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hughes\Documents\Florida\Florida\Completed\Nassau\"/>
    </mc:Choice>
  </mc:AlternateContent>
  <bookViews>
    <workbookView xWindow="0" yWindow="0" windowWidth="28800" windowHeight="12330"/>
  </bookViews>
  <sheets>
    <sheet name="BackTax (1)" sheetId="1" r:id="rId1"/>
  </sheets>
  <definedNames>
    <definedName name="_xlnm._FilterDatabase" localSheetId="0" hidden="1">'BackTax (1)'!$A$1:$OC$2298</definedName>
  </definedNames>
  <calcPr calcId="162913"/>
</workbook>
</file>

<file path=xl/calcChain.xml><?xml version="1.0" encoding="utf-8"?>
<calcChain xmlns="http://schemas.openxmlformats.org/spreadsheetml/2006/main">
  <c r="F2" i="1" l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W2" i="1"/>
  <c r="F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W3" i="1"/>
  <c r="F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W4" i="1"/>
  <c r="F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W5" i="1"/>
  <c r="F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W6" i="1"/>
  <c r="F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W7" i="1"/>
  <c r="F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W8" i="1"/>
  <c r="F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W9" i="1"/>
  <c r="F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W10" i="1"/>
  <c r="F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W11" i="1"/>
  <c r="F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W12" i="1"/>
  <c r="F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W13" i="1"/>
  <c r="F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W14" i="1"/>
  <c r="F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W15" i="1"/>
  <c r="F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W16" i="1"/>
  <c r="F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W17" i="1"/>
  <c r="F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W18" i="1"/>
  <c r="F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W19" i="1"/>
  <c r="F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W20" i="1"/>
  <c r="F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W21" i="1"/>
  <c r="F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W22" i="1"/>
  <c r="F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W23" i="1"/>
  <c r="F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W24" i="1"/>
  <c r="F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W25" i="1"/>
  <c r="F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W26" i="1"/>
  <c r="F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W27" i="1"/>
  <c r="F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W28" i="1"/>
  <c r="F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W29" i="1"/>
  <c r="F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W30" i="1"/>
  <c r="F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W31" i="1"/>
  <c r="F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W32" i="1"/>
  <c r="F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W33" i="1"/>
  <c r="F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W34" i="1"/>
  <c r="F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W35" i="1"/>
  <c r="F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W36" i="1"/>
  <c r="F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W37" i="1"/>
  <c r="F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W38" i="1"/>
  <c r="F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W39" i="1"/>
  <c r="F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W40" i="1"/>
  <c r="F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W41" i="1"/>
  <c r="F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W42" i="1"/>
  <c r="F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W43" i="1"/>
  <c r="F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W44" i="1"/>
  <c r="F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W45" i="1"/>
  <c r="F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W46" i="1"/>
  <c r="F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W47" i="1"/>
  <c r="F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W48" i="1"/>
  <c r="F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W49" i="1"/>
  <c r="F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W50" i="1"/>
  <c r="F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W51" i="1"/>
  <c r="F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W52" i="1"/>
  <c r="F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W53" i="1"/>
  <c r="F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W54" i="1"/>
  <c r="F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W55" i="1"/>
  <c r="F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W56" i="1"/>
  <c r="F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W57" i="1"/>
  <c r="F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W58" i="1"/>
  <c r="F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W59" i="1"/>
  <c r="F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W60" i="1"/>
  <c r="F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W61" i="1"/>
  <c r="F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W62" i="1"/>
  <c r="F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W63" i="1"/>
  <c r="F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W64" i="1"/>
  <c r="F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W65" i="1"/>
  <c r="F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W66" i="1"/>
  <c r="F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W67" i="1"/>
  <c r="F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W68" i="1"/>
  <c r="F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W69" i="1"/>
  <c r="F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W70" i="1"/>
  <c r="F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W71" i="1"/>
  <c r="F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W72" i="1"/>
  <c r="F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W73" i="1"/>
  <c r="F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W74" i="1"/>
  <c r="F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W75" i="1"/>
  <c r="F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W76" i="1"/>
  <c r="F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W77" i="1"/>
  <c r="F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W78" i="1"/>
  <c r="F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W79" i="1"/>
  <c r="F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W80" i="1"/>
  <c r="F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W81" i="1"/>
  <c r="F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W82" i="1"/>
  <c r="F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W83" i="1"/>
  <c r="F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W84" i="1"/>
  <c r="F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W85" i="1"/>
  <c r="F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W86" i="1"/>
  <c r="F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W87" i="1"/>
  <c r="F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W88" i="1"/>
  <c r="F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W89" i="1"/>
  <c r="F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W90" i="1"/>
  <c r="F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W91" i="1"/>
  <c r="F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W92" i="1"/>
  <c r="F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W93" i="1"/>
  <c r="F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W94" i="1"/>
  <c r="F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W95" i="1"/>
  <c r="F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W96" i="1"/>
  <c r="F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W97" i="1"/>
  <c r="F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W98" i="1"/>
  <c r="F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W99" i="1"/>
  <c r="F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W100" i="1"/>
  <c r="F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W101" i="1"/>
  <c r="F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W102" i="1"/>
  <c r="F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W103" i="1"/>
  <c r="F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W104" i="1"/>
  <c r="F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W105" i="1"/>
  <c r="F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W106" i="1"/>
  <c r="F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W107" i="1"/>
  <c r="F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W108" i="1"/>
  <c r="F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W109" i="1"/>
  <c r="F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W110" i="1"/>
  <c r="F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W111" i="1"/>
  <c r="F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W112" i="1"/>
  <c r="F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W113" i="1"/>
  <c r="F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W114" i="1"/>
  <c r="F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W115" i="1"/>
  <c r="F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W116" i="1"/>
  <c r="F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W117" i="1"/>
  <c r="F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W118" i="1"/>
  <c r="F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W119" i="1"/>
  <c r="F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W120" i="1"/>
  <c r="F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W121" i="1"/>
  <c r="F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W122" i="1"/>
  <c r="F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W123" i="1"/>
  <c r="F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W124" i="1"/>
  <c r="F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W125" i="1"/>
  <c r="F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W126" i="1"/>
  <c r="F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W127" i="1"/>
  <c r="F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W128" i="1"/>
  <c r="F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W129" i="1"/>
  <c r="F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W130" i="1"/>
  <c r="F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W131" i="1"/>
  <c r="F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W132" i="1"/>
  <c r="F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W133" i="1"/>
  <c r="F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W134" i="1"/>
  <c r="F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W135" i="1"/>
  <c r="F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W136" i="1"/>
  <c r="F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W137" i="1"/>
  <c r="F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W138" i="1"/>
  <c r="F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W139" i="1"/>
  <c r="F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W140" i="1"/>
  <c r="F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W141" i="1"/>
  <c r="F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W142" i="1"/>
  <c r="F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W143" i="1"/>
  <c r="F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W144" i="1"/>
  <c r="F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W145" i="1"/>
  <c r="F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W146" i="1"/>
  <c r="F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W147" i="1"/>
  <c r="F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W148" i="1"/>
  <c r="F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W149" i="1"/>
  <c r="F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W150" i="1"/>
  <c r="F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W151" i="1"/>
  <c r="F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W152" i="1"/>
  <c r="F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W153" i="1"/>
  <c r="F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W154" i="1"/>
  <c r="F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W155" i="1"/>
  <c r="F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W156" i="1"/>
  <c r="F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W157" i="1"/>
  <c r="F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W158" i="1"/>
  <c r="F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W159" i="1"/>
  <c r="F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W160" i="1"/>
  <c r="F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W161" i="1"/>
  <c r="F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W162" i="1"/>
  <c r="F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W163" i="1"/>
  <c r="F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W164" i="1"/>
  <c r="F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W165" i="1"/>
  <c r="F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W166" i="1"/>
  <c r="F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W167" i="1"/>
  <c r="F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W168" i="1"/>
  <c r="F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W169" i="1"/>
  <c r="F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W170" i="1"/>
  <c r="F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W171" i="1"/>
  <c r="F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W172" i="1"/>
  <c r="F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W173" i="1"/>
  <c r="F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W174" i="1"/>
  <c r="F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W175" i="1"/>
  <c r="F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W176" i="1"/>
  <c r="F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W177" i="1"/>
  <c r="F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W178" i="1"/>
  <c r="F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W179" i="1"/>
  <c r="F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W180" i="1"/>
  <c r="F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W181" i="1"/>
  <c r="F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W182" i="1"/>
  <c r="F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W183" i="1"/>
  <c r="F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W184" i="1"/>
  <c r="F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W185" i="1"/>
  <c r="F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W186" i="1"/>
  <c r="F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W187" i="1"/>
  <c r="F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W188" i="1"/>
  <c r="F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W189" i="1"/>
  <c r="F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W190" i="1"/>
  <c r="F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W191" i="1"/>
  <c r="F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W192" i="1"/>
  <c r="F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W193" i="1"/>
  <c r="F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W194" i="1"/>
  <c r="F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W195" i="1"/>
  <c r="F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W196" i="1"/>
  <c r="F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W197" i="1"/>
  <c r="F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W198" i="1"/>
  <c r="F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W199" i="1"/>
  <c r="F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W200" i="1"/>
  <c r="F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W201" i="1"/>
  <c r="F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W202" i="1"/>
  <c r="F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W203" i="1"/>
  <c r="F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W204" i="1"/>
  <c r="F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W205" i="1"/>
  <c r="F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W206" i="1"/>
  <c r="F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W207" i="1"/>
  <c r="F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W208" i="1"/>
  <c r="F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W209" i="1"/>
  <c r="F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W210" i="1"/>
  <c r="F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W211" i="1"/>
  <c r="F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W212" i="1"/>
  <c r="F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W213" i="1"/>
  <c r="F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W214" i="1"/>
  <c r="F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W215" i="1"/>
  <c r="F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W216" i="1"/>
  <c r="F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W217" i="1"/>
  <c r="F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W218" i="1"/>
  <c r="F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W219" i="1"/>
  <c r="F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W220" i="1"/>
  <c r="F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W221" i="1"/>
  <c r="F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W222" i="1"/>
  <c r="F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W223" i="1"/>
  <c r="F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W224" i="1"/>
  <c r="F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W225" i="1"/>
  <c r="F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W226" i="1"/>
  <c r="F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W227" i="1"/>
  <c r="F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W228" i="1"/>
  <c r="F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W229" i="1"/>
  <c r="F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W230" i="1"/>
  <c r="F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W231" i="1"/>
  <c r="F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W232" i="1"/>
  <c r="F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W233" i="1"/>
  <c r="F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W234" i="1"/>
  <c r="F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W235" i="1"/>
  <c r="F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W236" i="1"/>
  <c r="F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W237" i="1"/>
  <c r="F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W238" i="1"/>
  <c r="F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W239" i="1"/>
  <c r="F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W240" i="1"/>
  <c r="F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W241" i="1"/>
  <c r="F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W242" i="1"/>
  <c r="F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W243" i="1"/>
  <c r="F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W244" i="1"/>
  <c r="F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W245" i="1"/>
  <c r="F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W246" i="1"/>
  <c r="F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W247" i="1"/>
  <c r="F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W248" i="1"/>
  <c r="F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W249" i="1"/>
  <c r="F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W250" i="1"/>
  <c r="F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W251" i="1"/>
  <c r="F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W252" i="1"/>
  <c r="F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W253" i="1"/>
  <c r="F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W254" i="1"/>
  <c r="F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W255" i="1"/>
  <c r="F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W256" i="1"/>
  <c r="F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W257" i="1"/>
  <c r="F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W258" i="1"/>
  <c r="F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W259" i="1"/>
  <c r="F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W260" i="1"/>
  <c r="F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W261" i="1"/>
  <c r="F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W262" i="1"/>
  <c r="F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W263" i="1"/>
  <c r="F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W264" i="1"/>
  <c r="F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W265" i="1"/>
  <c r="F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W266" i="1"/>
  <c r="F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W267" i="1"/>
  <c r="F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W268" i="1"/>
  <c r="F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W269" i="1"/>
  <c r="F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W270" i="1"/>
  <c r="F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W271" i="1"/>
  <c r="F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W272" i="1"/>
  <c r="F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W273" i="1"/>
  <c r="F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W274" i="1"/>
  <c r="F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W275" i="1"/>
  <c r="F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W276" i="1"/>
  <c r="F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W277" i="1"/>
  <c r="F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W278" i="1"/>
  <c r="F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W279" i="1"/>
  <c r="F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W280" i="1"/>
  <c r="F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W281" i="1"/>
  <c r="F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W282" i="1"/>
  <c r="F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W283" i="1"/>
  <c r="F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W284" i="1"/>
  <c r="F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W285" i="1"/>
  <c r="F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W286" i="1"/>
  <c r="F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W287" i="1"/>
  <c r="F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W288" i="1"/>
  <c r="F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W289" i="1"/>
  <c r="F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W290" i="1"/>
  <c r="F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W291" i="1"/>
  <c r="F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W292" i="1"/>
  <c r="F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W293" i="1"/>
  <c r="F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W294" i="1"/>
  <c r="F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W295" i="1"/>
  <c r="F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W296" i="1"/>
  <c r="F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W297" i="1"/>
  <c r="F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W298" i="1"/>
  <c r="F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W299" i="1"/>
  <c r="F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W300" i="1"/>
  <c r="F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W301" i="1"/>
  <c r="F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W302" i="1"/>
  <c r="F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W303" i="1"/>
  <c r="F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W304" i="1"/>
  <c r="F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W305" i="1"/>
  <c r="F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W306" i="1"/>
  <c r="F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W307" i="1"/>
  <c r="F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W308" i="1"/>
  <c r="F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W309" i="1"/>
  <c r="F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W310" i="1"/>
  <c r="F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W311" i="1"/>
  <c r="F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W312" i="1"/>
  <c r="F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W313" i="1"/>
  <c r="F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W314" i="1"/>
  <c r="F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W315" i="1"/>
  <c r="F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W316" i="1"/>
  <c r="F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W317" i="1"/>
  <c r="F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W318" i="1"/>
  <c r="F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W319" i="1"/>
  <c r="F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W320" i="1"/>
  <c r="F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W321" i="1"/>
  <c r="F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W322" i="1"/>
  <c r="F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W323" i="1"/>
  <c r="F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W324" i="1"/>
  <c r="F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W325" i="1"/>
  <c r="F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W326" i="1"/>
  <c r="F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W327" i="1"/>
  <c r="F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W328" i="1"/>
  <c r="F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W329" i="1"/>
  <c r="F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W330" i="1"/>
  <c r="F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W331" i="1"/>
  <c r="F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W332" i="1"/>
  <c r="F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W333" i="1"/>
  <c r="F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W334" i="1"/>
  <c r="F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W335" i="1"/>
  <c r="F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W336" i="1"/>
  <c r="F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W337" i="1"/>
  <c r="F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W338" i="1"/>
  <c r="F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W339" i="1"/>
  <c r="F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W340" i="1"/>
  <c r="F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W341" i="1"/>
  <c r="F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W342" i="1"/>
  <c r="F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W343" i="1"/>
  <c r="F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W344" i="1"/>
  <c r="F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W345" i="1"/>
  <c r="F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W346" i="1"/>
  <c r="F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W347" i="1"/>
  <c r="F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W348" i="1"/>
  <c r="F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W349" i="1"/>
  <c r="F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W350" i="1"/>
  <c r="F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W351" i="1"/>
  <c r="F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W352" i="1"/>
  <c r="F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W353" i="1"/>
  <c r="F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W354" i="1"/>
  <c r="F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W355" i="1"/>
  <c r="F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W356" i="1"/>
  <c r="F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W357" i="1"/>
  <c r="F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W358" i="1"/>
  <c r="F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W359" i="1"/>
  <c r="F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W360" i="1"/>
  <c r="F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W361" i="1"/>
  <c r="F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W362" i="1"/>
  <c r="F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W363" i="1"/>
  <c r="F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W364" i="1"/>
  <c r="F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W365" i="1"/>
  <c r="F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W366" i="1"/>
  <c r="F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W367" i="1"/>
  <c r="F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W368" i="1"/>
  <c r="F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W369" i="1"/>
  <c r="F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W370" i="1"/>
  <c r="F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W371" i="1"/>
  <c r="F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W372" i="1"/>
  <c r="F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W373" i="1"/>
  <c r="F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W374" i="1"/>
  <c r="F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W375" i="1"/>
  <c r="F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W376" i="1"/>
  <c r="F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W377" i="1"/>
  <c r="F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W378" i="1"/>
  <c r="F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W379" i="1"/>
  <c r="F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W380" i="1"/>
  <c r="F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W381" i="1"/>
  <c r="F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W382" i="1"/>
  <c r="F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W383" i="1"/>
  <c r="F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W384" i="1"/>
  <c r="F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W385" i="1"/>
  <c r="F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W386" i="1"/>
  <c r="F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W387" i="1"/>
  <c r="F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W388" i="1"/>
  <c r="F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W389" i="1"/>
  <c r="F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W390" i="1"/>
  <c r="F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W391" i="1"/>
  <c r="F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W392" i="1"/>
  <c r="F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W393" i="1"/>
  <c r="F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W394" i="1"/>
  <c r="F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W395" i="1"/>
  <c r="F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W396" i="1"/>
  <c r="F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W397" i="1"/>
  <c r="F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W398" i="1"/>
  <c r="F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W399" i="1"/>
  <c r="F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W400" i="1"/>
  <c r="F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W401" i="1"/>
  <c r="F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W402" i="1"/>
  <c r="F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W403" i="1"/>
  <c r="F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W404" i="1"/>
  <c r="F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W405" i="1"/>
  <c r="F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W406" i="1"/>
  <c r="F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W407" i="1"/>
  <c r="F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W408" i="1"/>
  <c r="F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W409" i="1"/>
  <c r="F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W410" i="1"/>
  <c r="F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W411" i="1"/>
  <c r="F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W412" i="1"/>
  <c r="F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W413" i="1"/>
  <c r="F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W414" i="1"/>
  <c r="F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W415" i="1"/>
  <c r="F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W416" i="1"/>
  <c r="F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W417" i="1"/>
  <c r="F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W418" i="1"/>
  <c r="F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W419" i="1"/>
  <c r="F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W420" i="1"/>
  <c r="F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W421" i="1"/>
  <c r="F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W422" i="1"/>
  <c r="F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W423" i="1"/>
  <c r="F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W424" i="1"/>
  <c r="F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W425" i="1"/>
  <c r="F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W426" i="1"/>
  <c r="F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W427" i="1"/>
  <c r="F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W428" i="1"/>
  <c r="F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W429" i="1"/>
  <c r="F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W430" i="1"/>
  <c r="F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W431" i="1"/>
  <c r="F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W432" i="1"/>
  <c r="F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W433" i="1"/>
  <c r="F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W434" i="1"/>
  <c r="F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W435" i="1"/>
  <c r="F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W436" i="1"/>
  <c r="F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W437" i="1"/>
  <c r="F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W438" i="1"/>
  <c r="F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W439" i="1"/>
  <c r="F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W440" i="1"/>
  <c r="F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W441" i="1"/>
  <c r="F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W442" i="1"/>
  <c r="F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W443" i="1"/>
  <c r="F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W444" i="1"/>
  <c r="F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W445" i="1"/>
  <c r="F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W446" i="1"/>
  <c r="F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W447" i="1"/>
  <c r="F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W448" i="1"/>
  <c r="F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W449" i="1"/>
  <c r="F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W450" i="1"/>
  <c r="F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W451" i="1"/>
  <c r="F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W452" i="1"/>
  <c r="F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W453" i="1"/>
  <c r="F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W454" i="1"/>
  <c r="F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W455" i="1"/>
  <c r="F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W456" i="1"/>
  <c r="F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W457" i="1"/>
  <c r="F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W458" i="1"/>
  <c r="F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W459" i="1"/>
  <c r="F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W460" i="1"/>
  <c r="F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W461" i="1"/>
  <c r="F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W462" i="1"/>
  <c r="F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W463" i="1"/>
  <c r="F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W464" i="1"/>
  <c r="F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W465" i="1"/>
  <c r="F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W466" i="1"/>
  <c r="F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W467" i="1"/>
  <c r="F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W468" i="1"/>
  <c r="F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W469" i="1"/>
  <c r="F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W470" i="1"/>
  <c r="F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W471" i="1"/>
  <c r="F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W472" i="1"/>
  <c r="F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W473" i="1"/>
  <c r="F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W474" i="1"/>
  <c r="F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W475" i="1"/>
  <c r="F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W476" i="1"/>
  <c r="F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W477" i="1"/>
  <c r="F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W478" i="1"/>
  <c r="F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W479" i="1"/>
  <c r="F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W480" i="1"/>
  <c r="F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W481" i="1"/>
  <c r="F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W482" i="1"/>
  <c r="F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W483" i="1"/>
  <c r="F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W484" i="1"/>
  <c r="F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W485" i="1"/>
  <c r="F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W486" i="1"/>
  <c r="F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W487" i="1"/>
  <c r="F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W488" i="1"/>
  <c r="F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W489" i="1"/>
  <c r="F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W490" i="1"/>
  <c r="F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W491" i="1"/>
  <c r="F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W492" i="1"/>
  <c r="F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W493" i="1"/>
  <c r="F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W494" i="1"/>
  <c r="F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W495" i="1"/>
  <c r="F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W496" i="1"/>
  <c r="F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W497" i="1"/>
  <c r="F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W498" i="1"/>
  <c r="F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W499" i="1"/>
  <c r="F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W500" i="1"/>
  <c r="F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W501" i="1"/>
  <c r="F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W502" i="1"/>
  <c r="F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W503" i="1"/>
  <c r="F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W504" i="1"/>
  <c r="F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W505" i="1"/>
  <c r="F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W506" i="1"/>
  <c r="F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W507" i="1"/>
  <c r="F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W508" i="1"/>
  <c r="F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W509" i="1"/>
  <c r="F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W510" i="1"/>
  <c r="F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W511" i="1"/>
  <c r="F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W512" i="1"/>
  <c r="F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W513" i="1"/>
  <c r="F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W514" i="1"/>
  <c r="F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W515" i="1"/>
  <c r="F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W516" i="1"/>
  <c r="F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W517" i="1"/>
  <c r="F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W518" i="1"/>
  <c r="F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W519" i="1"/>
  <c r="F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W520" i="1"/>
  <c r="F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W521" i="1"/>
  <c r="F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W522" i="1"/>
  <c r="F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W523" i="1"/>
  <c r="F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W524" i="1"/>
  <c r="F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W525" i="1"/>
  <c r="F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W526" i="1"/>
  <c r="F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W527" i="1"/>
  <c r="F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W528" i="1"/>
  <c r="F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W529" i="1"/>
  <c r="F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W530" i="1"/>
  <c r="F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W531" i="1"/>
  <c r="F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W532" i="1"/>
  <c r="F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W533" i="1"/>
  <c r="F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W534" i="1"/>
  <c r="F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W535" i="1"/>
  <c r="F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W536" i="1"/>
  <c r="F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W537" i="1"/>
  <c r="F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W538" i="1"/>
  <c r="F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W539" i="1"/>
  <c r="F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W540" i="1"/>
  <c r="F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W541" i="1"/>
  <c r="F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W542" i="1"/>
  <c r="F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W543" i="1"/>
  <c r="F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W544" i="1"/>
  <c r="F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W545" i="1"/>
  <c r="F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W546" i="1"/>
  <c r="F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W547" i="1"/>
  <c r="F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W548" i="1"/>
  <c r="F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W549" i="1"/>
  <c r="F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W550" i="1"/>
  <c r="F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W551" i="1"/>
  <c r="F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W552" i="1"/>
  <c r="F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W553" i="1"/>
  <c r="F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W554" i="1"/>
  <c r="F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W555" i="1"/>
  <c r="F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W556" i="1"/>
  <c r="F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W557" i="1"/>
  <c r="F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W558" i="1"/>
  <c r="F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W559" i="1"/>
  <c r="F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W560" i="1"/>
  <c r="F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W561" i="1"/>
  <c r="F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W562" i="1"/>
  <c r="F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W563" i="1"/>
  <c r="F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W564" i="1"/>
  <c r="F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W565" i="1"/>
  <c r="F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W566" i="1"/>
  <c r="F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W567" i="1"/>
  <c r="F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W568" i="1"/>
  <c r="F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W569" i="1"/>
  <c r="F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W570" i="1"/>
  <c r="F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W571" i="1"/>
  <c r="F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W572" i="1"/>
  <c r="F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W573" i="1"/>
  <c r="F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W574" i="1"/>
  <c r="F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W575" i="1"/>
  <c r="F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W576" i="1"/>
  <c r="F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W577" i="1"/>
  <c r="F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W578" i="1"/>
  <c r="F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W579" i="1"/>
  <c r="F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W580" i="1"/>
  <c r="F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W581" i="1"/>
  <c r="F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W582" i="1"/>
  <c r="F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W583" i="1"/>
  <c r="F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W584" i="1"/>
  <c r="F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W585" i="1"/>
  <c r="F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W586" i="1"/>
  <c r="F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W587" i="1"/>
  <c r="F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W588" i="1"/>
  <c r="F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W589" i="1"/>
  <c r="F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W590" i="1"/>
  <c r="F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W591" i="1"/>
  <c r="F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W592" i="1"/>
  <c r="F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W593" i="1"/>
  <c r="F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W594" i="1"/>
  <c r="F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W595" i="1"/>
  <c r="F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W596" i="1"/>
  <c r="F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W597" i="1"/>
  <c r="F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W598" i="1"/>
  <c r="F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W599" i="1"/>
  <c r="F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W600" i="1"/>
  <c r="F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W601" i="1"/>
  <c r="F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W602" i="1"/>
  <c r="F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W603" i="1"/>
  <c r="F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W604" i="1"/>
  <c r="F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W605" i="1"/>
  <c r="F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W606" i="1"/>
  <c r="F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W607" i="1"/>
  <c r="F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W608" i="1"/>
  <c r="F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W609" i="1"/>
  <c r="F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W610" i="1"/>
  <c r="F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W611" i="1"/>
  <c r="F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W612" i="1"/>
  <c r="F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W613" i="1"/>
  <c r="F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W614" i="1"/>
  <c r="F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W615" i="1"/>
  <c r="F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W616" i="1"/>
  <c r="F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W617" i="1"/>
  <c r="F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W618" i="1"/>
  <c r="F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W619" i="1"/>
  <c r="F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W620" i="1"/>
  <c r="F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W621" i="1"/>
  <c r="F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W622" i="1"/>
  <c r="F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W623" i="1"/>
  <c r="F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W624" i="1"/>
  <c r="F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W625" i="1"/>
  <c r="F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W626" i="1"/>
  <c r="F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W627" i="1"/>
  <c r="F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W628" i="1"/>
  <c r="F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W629" i="1"/>
  <c r="F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W630" i="1"/>
  <c r="F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W631" i="1"/>
  <c r="F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W632" i="1"/>
  <c r="F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W633" i="1"/>
  <c r="F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W634" i="1"/>
  <c r="F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W635" i="1"/>
  <c r="F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W636" i="1"/>
  <c r="F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W637" i="1"/>
  <c r="F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W638" i="1"/>
  <c r="F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W639" i="1"/>
  <c r="F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W640" i="1"/>
  <c r="F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W641" i="1"/>
  <c r="F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W642" i="1"/>
  <c r="F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W643" i="1"/>
  <c r="F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W644" i="1"/>
  <c r="F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W645" i="1"/>
  <c r="F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W646" i="1"/>
  <c r="F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W647" i="1"/>
  <c r="F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W648" i="1"/>
  <c r="F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W649" i="1"/>
  <c r="F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W650" i="1"/>
  <c r="F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W651" i="1"/>
  <c r="F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W652" i="1"/>
  <c r="F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W653" i="1"/>
  <c r="F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W654" i="1"/>
  <c r="F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W655" i="1"/>
  <c r="F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W656" i="1"/>
  <c r="F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W657" i="1"/>
  <c r="F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W658" i="1"/>
  <c r="F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W659" i="1"/>
  <c r="F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W660" i="1"/>
  <c r="F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W661" i="1"/>
  <c r="F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W662" i="1"/>
  <c r="F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W663" i="1"/>
  <c r="F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W664" i="1"/>
  <c r="F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W665" i="1"/>
  <c r="F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W666" i="1"/>
  <c r="F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W667" i="1"/>
  <c r="F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W668" i="1"/>
  <c r="F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W669" i="1"/>
  <c r="F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W670" i="1"/>
  <c r="F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W671" i="1"/>
  <c r="F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W672" i="1"/>
  <c r="F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W673" i="1"/>
  <c r="F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W674" i="1"/>
  <c r="F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W675" i="1"/>
  <c r="F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W676" i="1"/>
  <c r="F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W677" i="1"/>
  <c r="F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W678" i="1"/>
  <c r="F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W679" i="1"/>
  <c r="F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W680" i="1"/>
  <c r="F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W681" i="1"/>
  <c r="F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W682" i="1"/>
  <c r="F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W683" i="1"/>
  <c r="F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W684" i="1"/>
  <c r="F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W685" i="1"/>
  <c r="F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W686" i="1"/>
  <c r="F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W687" i="1"/>
  <c r="F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W688" i="1"/>
  <c r="F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W689" i="1"/>
  <c r="F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W690" i="1"/>
  <c r="F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W691" i="1"/>
  <c r="F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W692" i="1"/>
  <c r="F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W693" i="1"/>
  <c r="F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W694" i="1"/>
  <c r="F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W695" i="1"/>
  <c r="F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W696" i="1"/>
  <c r="F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W697" i="1"/>
  <c r="F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W698" i="1"/>
  <c r="F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W699" i="1"/>
  <c r="F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W700" i="1"/>
  <c r="F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W701" i="1"/>
  <c r="F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W702" i="1"/>
  <c r="F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W703" i="1"/>
  <c r="F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W704" i="1"/>
  <c r="F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W705" i="1"/>
  <c r="F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W706" i="1"/>
  <c r="F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W707" i="1"/>
  <c r="F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W708" i="1"/>
  <c r="F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W709" i="1"/>
  <c r="F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W710" i="1"/>
  <c r="F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W711" i="1"/>
  <c r="F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W712" i="1"/>
  <c r="F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W713" i="1"/>
  <c r="F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W714" i="1"/>
  <c r="F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W715" i="1"/>
  <c r="F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W716" i="1"/>
  <c r="F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W717" i="1"/>
  <c r="F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W718" i="1"/>
  <c r="F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W719" i="1"/>
  <c r="F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W720" i="1"/>
  <c r="F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W721" i="1"/>
  <c r="F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W722" i="1"/>
  <c r="F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W723" i="1"/>
  <c r="F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W724" i="1"/>
  <c r="F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W725" i="1"/>
  <c r="F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W726" i="1"/>
  <c r="F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W727" i="1"/>
  <c r="F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W728" i="1"/>
  <c r="F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W729" i="1"/>
  <c r="F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W730" i="1"/>
  <c r="F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W731" i="1"/>
  <c r="F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W732" i="1"/>
  <c r="F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W733" i="1"/>
  <c r="F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W734" i="1"/>
  <c r="F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W735" i="1"/>
  <c r="F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W736" i="1"/>
  <c r="F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W737" i="1"/>
  <c r="F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W738" i="1"/>
  <c r="F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W739" i="1"/>
  <c r="F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W740" i="1"/>
  <c r="F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W741" i="1"/>
  <c r="F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W742" i="1"/>
  <c r="F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W743" i="1"/>
  <c r="F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W744" i="1"/>
  <c r="F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W745" i="1"/>
  <c r="F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W746" i="1"/>
  <c r="F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W747" i="1"/>
  <c r="F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W748" i="1"/>
  <c r="F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W749" i="1"/>
  <c r="F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W750" i="1"/>
  <c r="F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W751" i="1"/>
  <c r="F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W752" i="1"/>
  <c r="F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W753" i="1"/>
  <c r="F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W754" i="1"/>
  <c r="F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W755" i="1"/>
  <c r="F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W756" i="1"/>
  <c r="F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W757" i="1"/>
  <c r="F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W758" i="1"/>
  <c r="F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W759" i="1"/>
  <c r="F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W760" i="1"/>
  <c r="F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W761" i="1"/>
  <c r="F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W762" i="1"/>
  <c r="F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W763" i="1"/>
  <c r="F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W764" i="1"/>
  <c r="F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W765" i="1"/>
  <c r="F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W766" i="1"/>
  <c r="F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W767" i="1"/>
  <c r="F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W768" i="1"/>
  <c r="F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W769" i="1"/>
  <c r="F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W770" i="1"/>
  <c r="F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W771" i="1"/>
  <c r="F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W772" i="1"/>
  <c r="F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W773" i="1"/>
  <c r="F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W774" i="1"/>
  <c r="F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W775" i="1"/>
  <c r="F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W776" i="1"/>
  <c r="F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W777" i="1"/>
  <c r="F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W778" i="1"/>
  <c r="F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W779" i="1"/>
  <c r="F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W780" i="1"/>
  <c r="F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W781" i="1"/>
  <c r="F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W782" i="1"/>
  <c r="F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W783" i="1"/>
  <c r="F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W784" i="1"/>
  <c r="F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W785" i="1"/>
  <c r="F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W786" i="1"/>
  <c r="F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W787" i="1"/>
  <c r="F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W788" i="1"/>
  <c r="F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W789" i="1"/>
  <c r="F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W790" i="1"/>
  <c r="F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W791" i="1"/>
  <c r="F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W792" i="1"/>
  <c r="F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W793" i="1"/>
  <c r="F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W794" i="1"/>
  <c r="F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W795" i="1"/>
  <c r="F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W796" i="1"/>
  <c r="F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W797" i="1"/>
  <c r="F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W798" i="1"/>
  <c r="F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W799" i="1"/>
  <c r="F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W800" i="1"/>
  <c r="F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W801" i="1"/>
  <c r="F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W802" i="1"/>
  <c r="F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W803" i="1"/>
  <c r="F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W804" i="1"/>
  <c r="F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W805" i="1"/>
  <c r="F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W806" i="1"/>
  <c r="F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W807" i="1"/>
  <c r="F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W808" i="1"/>
  <c r="F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W809" i="1"/>
  <c r="F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W810" i="1"/>
  <c r="F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W811" i="1"/>
  <c r="F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W812" i="1"/>
  <c r="F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W813" i="1"/>
  <c r="F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W814" i="1"/>
  <c r="F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W815" i="1"/>
  <c r="F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W816" i="1"/>
  <c r="F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W817" i="1"/>
  <c r="F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W818" i="1"/>
  <c r="F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W819" i="1"/>
  <c r="F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W820" i="1"/>
  <c r="F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W821" i="1"/>
  <c r="F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W822" i="1"/>
  <c r="F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W823" i="1"/>
  <c r="F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W824" i="1"/>
  <c r="F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W825" i="1"/>
  <c r="F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W826" i="1"/>
  <c r="F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W827" i="1"/>
  <c r="F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W828" i="1"/>
  <c r="F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W829" i="1"/>
  <c r="F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W830" i="1"/>
  <c r="F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W831" i="1"/>
  <c r="F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W832" i="1"/>
  <c r="F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W833" i="1"/>
  <c r="F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W834" i="1"/>
  <c r="F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W835" i="1"/>
  <c r="F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W836" i="1"/>
  <c r="F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W837" i="1"/>
  <c r="F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W838" i="1"/>
  <c r="F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W839" i="1"/>
  <c r="F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W840" i="1"/>
  <c r="F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W841" i="1"/>
  <c r="F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W842" i="1"/>
  <c r="F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W843" i="1"/>
  <c r="F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W844" i="1"/>
  <c r="F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W845" i="1"/>
  <c r="F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W846" i="1"/>
  <c r="F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W847" i="1"/>
  <c r="F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W848" i="1"/>
  <c r="F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W849" i="1"/>
  <c r="F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W850" i="1"/>
  <c r="F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W851" i="1"/>
  <c r="F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W852" i="1"/>
  <c r="F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W853" i="1"/>
  <c r="F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W854" i="1"/>
  <c r="F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W855" i="1"/>
  <c r="F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W856" i="1"/>
  <c r="F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W857" i="1"/>
  <c r="F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W858" i="1"/>
  <c r="F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W859" i="1"/>
  <c r="F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W860" i="1"/>
  <c r="F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W861" i="1"/>
  <c r="F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W862" i="1"/>
  <c r="F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W863" i="1"/>
  <c r="F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W864" i="1"/>
  <c r="F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W865" i="1"/>
  <c r="F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W866" i="1"/>
  <c r="F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W867" i="1"/>
  <c r="F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W868" i="1"/>
  <c r="F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W869" i="1"/>
  <c r="F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W870" i="1"/>
  <c r="F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W871" i="1"/>
  <c r="F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W872" i="1"/>
  <c r="F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W873" i="1"/>
  <c r="F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W874" i="1"/>
  <c r="F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W875" i="1"/>
  <c r="F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W876" i="1"/>
  <c r="F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W877" i="1"/>
  <c r="F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W878" i="1"/>
  <c r="F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W879" i="1"/>
  <c r="F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W880" i="1"/>
  <c r="F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W881" i="1"/>
  <c r="F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W882" i="1"/>
  <c r="F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W883" i="1"/>
  <c r="F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W884" i="1"/>
  <c r="F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W885" i="1"/>
  <c r="F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W886" i="1"/>
  <c r="F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W887" i="1"/>
  <c r="F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W888" i="1"/>
  <c r="F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W889" i="1"/>
  <c r="F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W890" i="1"/>
  <c r="F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W891" i="1"/>
  <c r="F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W892" i="1"/>
  <c r="F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W893" i="1"/>
  <c r="F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W894" i="1"/>
  <c r="F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W895" i="1"/>
  <c r="F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W896" i="1"/>
  <c r="F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W897" i="1"/>
  <c r="F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W898" i="1"/>
  <c r="F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W899" i="1"/>
  <c r="F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W900" i="1"/>
  <c r="F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W901" i="1"/>
  <c r="F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W902" i="1"/>
  <c r="F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W903" i="1"/>
  <c r="F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W904" i="1"/>
  <c r="F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W905" i="1"/>
  <c r="F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W906" i="1"/>
  <c r="F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W907" i="1"/>
  <c r="F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W908" i="1"/>
  <c r="F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W909" i="1"/>
  <c r="F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W910" i="1"/>
  <c r="F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W911" i="1"/>
  <c r="F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W912" i="1"/>
  <c r="F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W913" i="1"/>
  <c r="F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W914" i="1"/>
  <c r="F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W915" i="1"/>
  <c r="F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W916" i="1"/>
  <c r="F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W917" i="1"/>
  <c r="F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W918" i="1"/>
  <c r="F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W919" i="1"/>
  <c r="F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W920" i="1"/>
  <c r="F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W921" i="1"/>
  <c r="F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W922" i="1"/>
  <c r="F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W923" i="1"/>
  <c r="F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W924" i="1"/>
  <c r="F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W925" i="1"/>
  <c r="F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W926" i="1"/>
  <c r="F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W927" i="1"/>
  <c r="F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W928" i="1"/>
  <c r="F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W929" i="1"/>
  <c r="F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W930" i="1"/>
  <c r="F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W931" i="1"/>
  <c r="F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W932" i="1"/>
  <c r="F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W933" i="1"/>
  <c r="F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W934" i="1"/>
  <c r="F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W935" i="1"/>
  <c r="F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W936" i="1"/>
  <c r="F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W937" i="1"/>
  <c r="F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W938" i="1"/>
  <c r="F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W939" i="1"/>
  <c r="F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W940" i="1"/>
  <c r="F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W941" i="1"/>
  <c r="F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W942" i="1"/>
  <c r="F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W943" i="1"/>
  <c r="F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W944" i="1"/>
  <c r="F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W945" i="1"/>
  <c r="F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W946" i="1"/>
  <c r="F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W947" i="1"/>
  <c r="F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W948" i="1"/>
  <c r="F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W949" i="1"/>
  <c r="F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W950" i="1"/>
  <c r="F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W951" i="1"/>
  <c r="F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W952" i="1"/>
  <c r="F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W953" i="1"/>
  <c r="F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W954" i="1"/>
  <c r="F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W955" i="1"/>
  <c r="F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W956" i="1"/>
  <c r="F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W957" i="1"/>
  <c r="F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W958" i="1"/>
  <c r="F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W959" i="1"/>
  <c r="F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W960" i="1"/>
  <c r="F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W961" i="1"/>
  <c r="F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W962" i="1"/>
  <c r="F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W963" i="1"/>
  <c r="F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W964" i="1"/>
  <c r="F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W965" i="1"/>
  <c r="F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W966" i="1"/>
  <c r="F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W967" i="1"/>
  <c r="F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W968" i="1"/>
  <c r="F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W969" i="1"/>
  <c r="F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W970" i="1"/>
  <c r="F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W971" i="1"/>
  <c r="F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W972" i="1"/>
  <c r="F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W973" i="1"/>
  <c r="F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W974" i="1"/>
  <c r="F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W975" i="1"/>
  <c r="F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W976" i="1"/>
  <c r="F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W977" i="1"/>
  <c r="F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W978" i="1"/>
  <c r="F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W979" i="1"/>
  <c r="F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W980" i="1"/>
  <c r="F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W981" i="1"/>
  <c r="F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W982" i="1"/>
  <c r="F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W983" i="1"/>
  <c r="F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W984" i="1"/>
  <c r="F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W985" i="1"/>
  <c r="F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W986" i="1"/>
  <c r="F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W987" i="1"/>
  <c r="F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W988" i="1"/>
  <c r="F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W989" i="1"/>
  <c r="F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W990" i="1"/>
  <c r="F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W991" i="1"/>
  <c r="F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W992" i="1"/>
  <c r="F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W993" i="1"/>
  <c r="F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W994" i="1"/>
  <c r="F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W995" i="1"/>
  <c r="F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W996" i="1"/>
  <c r="F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W997" i="1"/>
  <c r="F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W998" i="1"/>
  <c r="F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W999" i="1"/>
  <c r="F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W1000" i="1"/>
  <c r="F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W1001" i="1"/>
  <c r="F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W1002" i="1"/>
  <c r="F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W1003" i="1"/>
  <c r="F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W1004" i="1"/>
  <c r="F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W1005" i="1"/>
  <c r="F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W1006" i="1"/>
  <c r="F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W1007" i="1"/>
  <c r="F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W1008" i="1"/>
  <c r="F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W1009" i="1"/>
  <c r="F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W1010" i="1"/>
  <c r="F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W1011" i="1"/>
  <c r="F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W1012" i="1"/>
  <c r="F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W1013" i="1"/>
  <c r="F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W1014" i="1"/>
  <c r="F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W1015" i="1"/>
  <c r="F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W1016" i="1"/>
  <c r="F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W1017" i="1"/>
  <c r="F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W1018" i="1"/>
  <c r="F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W1019" i="1"/>
  <c r="F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W1020" i="1"/>
  <c r="F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W1021" i="1"/>
  <c r="F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W1022" i="1"/>
  <c r="F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W1023" i="1"/>
  <c r="F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W1024" i="1"/>
  <c r="F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W1025" i="1"/>
  <c r="F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W1026" i="1"/>
  <c r="F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W1027" i="1"/>
  <c r="F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W1028" i="1"/>
  <c r="F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W1029" i="1"/>
  <c r="F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W1030" i="1"/>
  <c r="F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W1031" i="1"/>
  <c r="F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W1032" i="1"/>
  <c r="F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W1033" i="1"/>
  <c r="F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W1034" i="1"/>
  <c r="F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W1035" i="1"/>
  <c r="F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W1036" i="1"/>
  <c r="F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W1037" i="1"/>
  <c r="F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W1038" i="1"/>
  <c r="F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W1039" i="1"/>
  <c r="F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W1040" i="1"/>
  <c r="F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W1041" i="1"/>
  <c r="F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W1042" i="1"/>
  <c r="F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W1043" i="1"/>
  <c r="F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W1044" i="1"/>
  <c r="F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W1045" i="1"/>
  <c r="F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W1046" i="1"/>
  <c r="F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W1047" i="1"/>
  <c r="F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W1048" i="1"/>
  <c r="F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W1049" i="1"/>
  <c r="F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W1050" i="1"/>
  <c r="F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W1051" i="1"/>
  <c r="F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W1052" i="1"/>
  <c r="F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W1053" i="1"/>
  <c r="F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W1054" i="1"/>
  <c r="F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W1055" i="1"/>
  <c r="F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W1056" i="1"/>
  <c r="F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W1057" i="1"/>
  <c r="F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W1058" i="1"/>
  <c r="F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W1059" i="1"/>
  <c r="F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W1060" i="1"/>
  <c r="F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W1061" i="1"/>
  <c r="F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W1062" i="1"/>
  <c r="F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W1063" i="1"/>
  <c r="F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W1064" i="1"/>
  <c r="F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W1065" i="1"/>
  <c r="F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W1066" i="1"/>
  <c r="F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W1067" i="1"/>
  <c r="F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W1068" i="1"/>
  <c r="F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W1069" i="1"/>
  <c r="F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W1070" i="1"/>
  <c r="F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W1071" i="1"/>
  <c r="F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W1072" i="1"/>
  <c r="F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W1073" i="1"/>
  <c r="F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W1074" i="1"/>
  <c r="F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W1075" i="1"/>
  <c r="F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W1076" i="1"/>
  <c r="F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W1077" i="1"/>
  <c r="F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W1078" i="1"/>
  <c r="F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W1079" i="1"/>
  <c r="F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W1080" i="1"/>
  <c r="F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W1081" i="1"/>
  <c r="F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W1082" i="1"/>
  <c r="F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W1083" i="1"/>
  <c r="F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W1084" i="1"/>
  <c r="F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W1085" i="1"/>
  <c r="F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W1086" i="1"/>
  <c r="F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W1087" i="1"/>
  <c r="F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W1088" i="1"/>
  <c r="F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W1089" i="1"/>
  <c r="F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W1090" i="1"/>
  <c r="F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W1091" i="1"/>
  <c r="F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W1092" i="1"/>
  <c r="F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W1093" i="1"/>
  <c r="F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W1094" i="1"/>
  <c r="F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W1095" i="1"/>
  <c r="F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W1096" i="1"/>
  <c r="F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W1097" i="1"/>
  <c r="F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W1098" i="1"/>
  <c r="F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W1099" i="1"/>
  <c r="F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W1100" i="1"/>
  <c r="F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W1101" i="1"/>
  <c r="F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W1102" i="1"/>
  <c r="F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W1103" i="1"/>
  <c r="F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W1104" i="1"/>
  <c r="F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W1105" i="1"/>
  <c r="F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W1106" i="1"/>
  <c r="F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W1107" i="1"/>
  <c r="F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W1108" i="1"/>
  <c r="F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W1109" i="1"/>
  <c r="F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W1110" i="1"/>
  <c r="F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W1111" i="1"/>
  <c r="F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W1112" i="1"/>
  <c r="F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W1113" i="1"/>
  <c r="F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W1114" i="1"/>
  <c r="F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W1115" i="1"/>
  <c r="F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W1116" i="1"/>
  <c r="F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W1117" i="1"/>
  <c r="F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W1118" i="1"/>
  <c r="F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W1119" i="1"/>
  <c r="F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W1120" i="1"/>
  <c r="F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W1121" i="1"/>
  <c r="F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W1122" i="1"/>
  <c r="F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W1123" i="1"/>
  <c r="F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W1124" i="1"/>
  <c r="F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W1125" i="1"/>
  <c r="F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W1126" i="1"/>
  <c r="F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W1127" i="1"/>
  <c r="F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W1128" i="1"/>
  <c r="F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W1129" i="1"/>
  <c r="F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W1130" i="1"/>
  <c r="F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W1131" i="1"/>
  <c r="F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W1132" i="1"/>
  <c r="F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W1133" i="1"/>
  <c r="F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W1134" i="1"/>
  <c r="F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W1135" i="1"/>
  <c r="F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W1136" i="1"/>
  <c r="F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W1137" i="1"/>
  <c r="F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W1138" i="1"/>
  <c r="F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W1139" i="1"/>
  <c r="F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W1140" i="1"/>
  <c r="F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W1141" i="1"/>
  <c r="F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W1142" i="1"/>
  <c r="F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W1143" i="1"/>
  <c r="F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W1144" i="1"/>
  <c r="F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W1145" i="1"/>
  <c r="F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W1146" i="1"/>
  <c r="F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W1147" i="1"/>
  <c r="F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W1148" i="1"/>
  <c r="F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W1149" i="1"/>
  <c r="F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W1150" i="1"/>
  <c r="F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W1151" i="1"/>
  <c r="F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W1152" i="1"/>
  <c r="F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W1153" i="1"/>
  <c r="F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W1154" i="1"/>
  <c r="F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W1155" i="1"/>
  <c r="F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W1156" i="1"/>
  <c r="F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W1157" i="1"/>
  <c r="F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W1158" i="1"/>
  <c r="F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W1159" i="1"/>
  <c r="F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W1160" i="1"/>
  <c r="F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W1161" i="1"/>
  <c r="F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W1162" i="1"/>
  <c r="F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W1163" i="1"/>
  <c r="F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W1164" i="1"/>
  <c r="F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W1165" i="1"/>
  <c r="F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W1166" i="1"/>
  <c r="F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W1167" i="1"/>
  <c r="F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W1168" i="1"/>
  <c r="F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W1169" i="1"/>
  <c r="F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W1170" i="1"/>
  <c r="F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W1171" i="1"/>
  <c r="F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W1172" i="1"/>
  <c r="F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W1173" i="1"/>
  <c r="F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W1174" i="1"/>
  <c r="F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W1175" i="1"/>
  <c r="F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W1176" i="1"/>
  <c r="F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W1177" i="1"/>
  <c r="F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W1178" i="1"/>
  <c r="F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W1179" i="1"/>
  <c r="F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W1180" i="1"/>
  <c r="F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W1181" i="1"/>
  <c r="F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W1182" i="1"/>
  <c r="F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W1183" i="1"/>
  <c r="F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W1184" i="1"/>
  <c r="F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W1185" i="1"/>
  <c r="F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W1186" i="1"/>
  <c r="F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W1187" i="1"/>
  <c r="F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W1188" i="1"/>
  <c r="F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W1189" i="1"/>
  <c r="F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W1190" i="1"/>
  <c r="F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W1191" i="1"/>
  <c r="F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W1192" i="1"/>
  <c r="F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W1193" i="1"/>
  <c r="F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W1194" i="1"/>
  <c r="F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W1195" i="1"/>
  <c r="F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W1196" i="1"/>
  <c r="F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W1197" i="1"/>
  <c r="F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W1198" i="1"/>
  <c r="F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W1199" i="1"/>
  <c r="F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W1200" i="1"/>
  <c r="F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W1201" i="1"/>
  <c r="F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W1202" i="1"/>
  <c r="F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W1203" i="1"/>
  <c r="F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W1204" i="1"/>
  <c r="F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W1205" i="1"/>
  <c r="F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W1206" i="1"/>
  <c r="F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W1207" i="1"/>
  <c r="F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W1208" i="1"/>
  <c r="F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W1209" i="1"/>
  <c r="F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W1210" i="1"/>
  <c r="F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W1211" i="1"/>
  <c r="F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W1212" i="1"/>
  <c r="F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W1213" i="1"/>
  <c r="F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W1214" i="1"/>
  <c r="F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W1215" i="1"/>
  <c r="F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W1216" i="1"/>
  <c r="F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W1217" i="1"/>
  <c r="F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W1218" i="1"/>
  <c r="F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W1219" i="1"/>
  <c r="F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W1220" i="1"/>
  <c r="F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W1221" i="1"/>
  <c r="F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W1222" i="1"/>
  <c r="F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W1223" i="1"/>
  <c r="F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W1224" i="1"/>
  <c r="F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W1225" i="1"/>
  <c r="F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W1226" i="1"/>
  <c r="F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W1227" i="1"/>
  <c r="F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W1228" i="1"/>
  <c r="F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W1229" i="1"/>
  <c r="F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W1230" i="1"/>
  <c r="F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W1231" i="1"/>
  <c r="F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W1232" i="1"/>
  <c r="F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W1233" i="1"/>
  <c r="F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W1234" i="1"/>
  <c r="F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W1235" i="1"/>
  <c r="F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W1236" i="1"/>
  <c r="F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W1237" i="1"/>
  <c r="F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W1238" i="1"/>
  <c r="F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W1239" i="1"/>
  <c r="F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W1240" i="1"/>
  <c r="F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W1241" i="1"/>
  <c r="F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W1242" i="1"/>
  <c r="F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W1243" i="1"/>
  <c r="F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W1244" i="1"/>
  <c r="F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W1245" i="1"/>
  <c r="F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W1246" i="1"/>
  <c r="F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W1247" i="1"/>
  <c r="F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W1248" i="1"/>
  <c r="F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W1249" i="1"/>
  <c r="F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W1250" i="1"/>
  <c r="F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W1251" i="1"/>
  <c r="F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W1252" i="1"/>
  <c r="F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W1253" i="1"/>
  <c r="F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W1254" i="1"/>
  <c r="F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W1255" i="1"/>
  <c r="F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W1256" i="1"/>
  <c r="F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W1257" i="1"/>
  <c r="F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W1258" i="1"/>
  <c r="F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W1259" i="1"/>
  <c r="F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W1260" i="1"/>
  <c r="F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W1261" i="1"/>
  <c r="F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W1262" i="1"/>
  <c r="F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W1263" i="1"/>
  <c r="F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W1264" i="1"/>
  <c r="F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W1265" i="1"/>
  <c r="F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W1266" i="1"/>
  <c r="F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W1267" i="1"/>
  <c r="F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W1268" i="1"/>
  <c r="F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W1269" i="1"/>
  <c r="F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W1270" i="1"/>
  <c r="F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W1271" i="1"/>
  <c r="F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W1272" i="1"/>
  <c r="F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W1273" i="1"/>
  <c r="F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W1274" i="1"/>
  <c r="F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W1275" i="1"/>
  <c r="F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W1276" i="1"/>
  <c r="F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W1277" i="1"/>
  <c r="F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W1278" i="1"/>
  <c r="F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W1279" i="1"/>
  <c r="F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W1280" i="1"/>
  <c r="F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W1281" i="1"/>
  <c r="F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W1282" i="1"/>
  <c r="F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W1283" i="1"/>
  <c r="F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W1284" i="1"/>
  <c r="F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W1285" i="1"/>
  <c r="F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W1286" i="1"/>
  <c r="F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W1287" i="1"/>
  <c r="F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W1288" i="1"/>
  <c r="F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W1289" i="1"/>
  <c r="F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W1290" i="1"/>
  <c r="F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W1291" i="1"/>
  <c r="F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W1292" i="1"/>
  <c r="F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W1293" i="1"/>
  <c r="F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W1294" i="1"/>
  <c r="F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W1295" i="1"/>
  <c r="F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W1296" i="1"/>
  <c r="F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W1297" i="1"/>
  <c r="F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W1298" i="1"/>
  <c r="F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W1299" i="1"/>
  <c r="F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W1300" i="1"/>
  <c r="F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W1301" i="1"/>
  <c r="F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W1302" i="1"/>
  <c r="F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W1303" i="1"/>
  <c r="F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W1304" i="1"/>
  <c r="F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W1305" i="1"/>
  <c r="F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W1306" i="1"/>
  <c r="F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W1307" i="1"/>
  <c r="F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W1308" i="1"/>
  <c r="F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W1309" i="1"/>
  <c r="F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W1310" i="1"/>
  <c r="F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W1311" i="1"/>
  <c r="F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W1312" i="1"/>
  <c r="F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W1313" i="1"/>
  <c r="F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W1314" i="1"/>
  <c r="F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W1315" i="1"/>
  <c r="F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W1316" i="1"/>
  <c r="F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W1317" i="1"/>
  <c r="F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W1318" i="1"/>
  <c r="F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W1319" i="1"/>
  <c r="F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W1320" i="1"/>
  <c r="F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W1321" i="1"/>
  <c r="F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W1322" i="1"/>
  <c r="F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W1323" i="1"/>
  <c r="F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W1324" i="1"/>
  <c r="F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W1325" i="1"/>
  <c r="F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W1326" i="1"/>
  <c r="F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W1327" i="1"/>
  <c r="F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W1328" i="1"/>
  <c r="F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W1329" i="1"/>
  <c r="F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W1330" i="1"/>
  <c r="F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W1331" i="1"/>
  <c r="F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W1332" i="1"/>
  <c r="F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W1333" i="1"/>
  <c r="F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W1334" i="1"/>
  <c r="F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W1335" i="1"/>
  <c r="F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W1336" i="1"/>
  <c r="F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W1337" i="1"/>
  <c r="F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W1338" i="1"/>
  <c r="F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W1339" i="1"/>
  <c r="F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W1340" i="1"/>
  <c r="F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W1341" i="1"/>
  <c r="F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W1342" i="1"/>
  <c r="F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W1343" i="1"/>
  <c r="F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W1344" i="1"/>
  <c r="F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W1345" i="1"/>
  <c r="F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W1346" i="1"/>
  <c r="F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W1347" i="1"/>
  <c r="F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W1348" i="1"/>
  <c r="F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W1349" i="1"/>
  <c r="F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W1350" i="1"/>
  <c r="F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W1351" i="1"/>
  <c r="F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W1352" i="1"/>
  <c r="F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W1353" i="1"/>
  <c r="F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W1354" i="1"/>
  <c r="F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W1355" i="1"/>
  <c r="F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W1356" i="1"/>
  <c r="F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W1357" i="1"/>
  <c r="F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W1358" i="1"/>
  <c r="F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W1359" i="1"/>
  <c r="F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W1360" i="1"/>
  <c r="F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W1361" i="1"/>
  <c r="F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W1362" i="1"/>
  <c r="F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W1363" i="1"/>
  <c r="F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W1364" i="1"/>
  <c r="F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W1365" i="1"/>
  <c r="F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W1366" i="1"/>
  <c r="F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W1367" i="1"/>
  <c r="F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W1368" i="1"/>
  <c r="F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W1369" i="1"/>
  <c r="F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W1370" i="1"/>
  <c r="F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W1371" i="1"/>
  <c r="F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W1372" i="1"/>
  <c r="F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W1373" i="1"/>
  <c r="F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W1374" i="1"/>
  <c r="F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W1375" i="1"/>
  <c r="F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W1376" i="1"/>
  <c r="F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W1377" i="1"/>
  <c r="F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W1378" i="1"/>
  <c r="F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W1379" i="1"/>
  <c r="F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W1380" i="1"/>
  <c r="F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W1381" i="1"/>
  <c r="F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W1382" i="1"/>
  <c r="F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W1383" i="1"/>
  <c r="F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W1384" i="1"/>
  <c r="F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W1385" i="1"/>
  <c r="F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W1386" i="1"/>
  <c r="F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W1387" i="1"/>
  <c r="F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W1388" i="1"/>
  <c r="F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W1389" i="1"/>
  <c r="F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W1390" i="1"/>
  <c r="F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W1391" i="1"/>
  <c r="F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W1392" i="1"/>
  <c r="F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W1393" i="1"/>
  <c r="F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W1394" i="1"/>
  <c r="F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W1395" i="1"/>
  <c r="F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W1396" i="1"/>
  <c r="F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W1397" i="1"/>
  <c r="F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W1398" i="1"/>
  <c r="F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W1399" i="1"/>
  <c r="F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W1400" i="1"/>
  <c r="F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W1401" i="1"/>
  <c r="F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W1402" i="1"/>
  <c r="F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W1403" i="1"/>
  <c r="F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W1404" i="1"/>
  <c r="F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W1405" i="1"/>
  <c r="F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W1406" i="1"/>
  <c r="F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W1407" i="1"/>
  <c r="F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W1408" i="1"/>
  <c r="F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W1409" i="1"/>
  <c r="F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W1410" i="1"/>
  <c r="F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W1411" i="1"/>
  <c r="F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W1412" i="1"/>
  <c r="F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W1413" i="1"/>
  <c r="F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W1414" i="1"/>
  <c r="F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W1415" i="1"/>
  <c r="F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W1416" i="1"/>
  <c r="F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W1417" i="1"/>
  <c r="F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W1418" i="1"/>
  <c r="F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W1419" i="1"/>
  <c r="F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W1420" i="1"/>
  <c r="F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W1421" i="1"/>
  <c r="F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W1422" i="1"/>
  <c r="F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W1423" i="1"/>
  <c r="F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W1424" i="1"/>
  <c r="F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W1425" i="1"/>
  <c r="F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W1426" i="1"/>
  <c r="F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W1427" i="1"/>
  <c r="F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W1428" i="1"/>
  <c r="F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W1429" i="1"/>
  <c r="F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W1430" i="1"/>
  <c r="F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W1431" i="1"/>
  <c r="F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W1432" i="1"/>
  <c r="F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W1433" i="1"/>
  <c r="F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W1434" i="1"/>
  <c r="F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W1435" i="1"/>
  <c r="F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W1436" i="1"/>
  <c r="F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W1437" i="1"/>
  <c r="F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W1438" i="1"/>
  <c r="F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W1439" i="1"/>
  <c r="F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W1440" i="1"/>
  <c r="F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W1441" i="1"/>
  <c r="F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W1442" i="1"/>
  <c r="F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W1443" i="1"/>
  <c r="F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W1444" i="1"/>
  <c r="F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W1445" i="1"/>
  <c r="F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W1446" i="1"/>
  <c r="F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W1447" i="1"/>
  <c r="F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W1448" i="1"/>
  <c r="F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W1449" i="1"/>
  <c r="F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W1450" i="1"/>
  <c r="F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W1451" i="1"/>
  <c r="F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W1452" i="1"/>
  <c r="F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W1453" i="1"/>
  <c r="F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W1454" i="1"/>
  <c r="F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W1455" i="1"/>
  <c r="F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W1456" i="1"/>
  <c r="F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W1457" i="1"/>
  <c r="F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W1458" i="1"/>
  <c r="F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W1459" i="1"/>
  <c r="F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W1460" i="1"/>
  <c r="F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W1461" i="1"/>
  <c r="F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W1462" i="1"/>
  <c r="F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W1463" i="1"/>
  <c r="F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W1464" i="1"/>
  <c r="F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W1465" i="1"/>
  <c r="F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W1466" i="1"/>
  <c r="F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W1467" i="1"/>
  <c r="F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W1468" i="1"/>
  <c r="F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W1469" i="1"/>
  <c r="F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W1470" i="1"/>
  <c r="F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W1471" i="1"/>
  <c r="F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W1472" i="1"/>
  <c r="F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W1473" i="1"/>
  <c r="F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W1474" i="1"/>
  <c r="F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W1475" i="1"/>
  <c r="F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W1476" i="1"/>
  <c r="F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W1477" i="1"/>
  <c r="F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W1478" i="1"/>
  <c r="F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W1479" i="1"/>
  <c r="F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W1480" i="1"/>
  <c r="F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W1481" i="1"/>
  <c r="F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W1482" i="1"/>
  <c r="F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W1483" i="1"/>
  <c r="F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W1484" i="1"/>
  <c r="F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W1485" i="1"/>
  <c r="F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W1486" i="1"/>
  <c r="F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W1487" i="1"/>
  <c r="F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W1488" i="1"/>
  <c r="F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W1489" i="1"/>
  <c r="F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W1490" i="1"/>
  <c r="F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W1491" i="1"/>
  <c r="F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W1492" i="1"/>
  <c r="F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W1493" i="1"/>
  <c r="F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W1494" i="1"/>
  <c r="F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W1495" i="1"/>
  <c r="F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W1496" i="1"/>
  <c r="F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W1497" i="1"/>
  <c r="F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W1498" i="1"/>
  <c r="F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W1499" i="1"/>
  <c r="F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W1500" i="1"/>
  <c r="F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W1501" i="1"/>
  <c r="F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W1502" i="1"/>
  <c r="F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W1503" i="1"/>
  <c r="F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W1504" i="1"/>
  <c r="F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W1505" i="1"/>
  <c r="F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W1506" i="1"/>
  <c r="F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W1507" i="1"/>
  <c r="F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W1508" i="1"/>
  <c r="F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W1509" i="1"/>
  <c r="F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W1510" i="1"/>
  <c r="F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W1511" i="1"/>
  <c r="F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W1512" i="1"/>
  <c r="F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W1513" i="1"/>
  <c r="F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W1514" i="1"/>
  <c r="F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W1515" i="1"/>
  <c r="F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W1516" i="1"/>
  <c r="F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W1517" i="1"/>
  <c r="F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W1518" i="1"/>
  <c r="F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W1519" i="1"/>
  <c r="F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W1520" i="1"/>
  <c r="F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W1521" i="1"/>
  <c r="F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W1522" i="1"/>
  <c r="F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W1523" i="1"/>
  <c r="F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W1524" i="1"/>
  <c r="F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W1525" i="1"/>
  <c r="F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W1526" i="1"/>
  <c r="F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W1527" i="1"/>
  <c r="F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W1528" i="1"/>
  <c r="F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W1529" i="1"/>
  <c r="F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W1530" i="1"/>
  <c r="F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W1531" i="1"/>
  <c r="F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W1532" i="1"/>
  <c r="F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W1533" i="1"/>
  <c r="F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W1534" i="1"/>
  <c r="F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W1535" i="1"/>
  <c r="F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W1536" i="1"/>
  <c r="F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W1537" i="1"/>
  <c r="F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W1538" i="1"/>
  <c r="F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W1539" i="1"/>
  <c r="F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W1540" i="1"/>
  <c r="F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W1541" i="1"/>
  <c r="F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W1542" i="1"/>
  <c r="F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W1543" i="1"/>
  <c r="F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W1544" i="1"/>
  <c r="F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W1545" i="1"/>
  <c r="F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W1546" i="1"/>
  <c r="F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W1547" i="1"/>
  <c r="F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W1548" i="1"/>
  <c r="F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W1549" i="1"/>
  <c r="F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W1550" i="1"/>
  <c r="F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W1551" i="1"/>
  <c r="F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W1552" i="1"/>
  <c r="F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W1553" i="1"/>
  <c r="F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W1554" i="1"/>
  <c r="F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W1555" i="1"/>
  <c r="F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W1556" i="1"/>
  <c r="F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W1557" i="1"/>
  <c r="F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W1558" i="1"/>
  <c r="F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W1559" i="1"/>
  <c r="F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W1560" i="1"/>
  <c r="F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W1561" i="1"/>
  <c r="F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W1562" i="1"/>
  <c r="F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W1563" i="1"/>
  <c r="F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W1564" i="1"/>
  <c r="F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W1565" i="1"/>
  <c r="F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W1566" i="1"/>
  <c r="F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W1567" i="1"/>
  <c r="F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W1568" i="1"/>
  <c r="F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W1569" i="1"/>
  <c r="F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W1570" i="1"/>
  <c r="F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W1571" i="1"/>
  <c r="F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W1572" i="1"/>
  <c r="F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W1573" i="1"/>
  <c r="F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W1574" i="1"/>
  <c r="F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W1575" i="1"/>
  <c r="F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W1576" i="1"/>
  <c r="F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W1577" i="1"/>
  <c r="F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W1578" i="1"/>
  <c r="F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W1579" i="1"/>
  <c r="F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W1580" i="1"/>
  <c r="F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W1581" i="1"/>
  <c r="F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W1582" i="1"/>
  <c r="F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W1583" i="1"/>
  <c r="F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W1584" i="1"/>
  <c r="F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W1585" i="1"/>
  <c r="F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W1586" i="1"/>
  <c r="F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W1587" i="1"/>
  <c r="F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W1588" i="1"/>
  <c r="F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W1589" i="1"/>
  <c r="F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W1590" i="1"/>
  <c r="F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W1591" i="1"/>
  <c r="F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W1592" i="1"/>
  <c r="F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W1593" i="1"/>
  <c r="F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W1594" i="1"/>
  <c r="F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W1595" i="1"/>
  <c r="F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W1596" i="1"/>
  <c r="F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W1597" i="1"/>
  <c r="F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W1598" i="1"/>
  <c r="F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W1599" i="1"/>
  <c r="F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W1600" i="1"/>
  <c r="F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W1601" i="1"/>
  <c r="F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W1602" i="1"/>
  <c r="F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W1603" i="1"/>
  <c r="F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W1604" i="1"/>
  <c r="F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W1605" i="1"/>
  <c r="F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W1606" i="1"/>
  <c r="F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W1607" i="1"/>
  <c r="F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W1608" i="1"/>
  <c r="F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W1609" i="1"/>
  <c r="F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W1610" i="1"/>
  <c r="F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W1611" i="1"/>
  <c r="F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W1612" i="1"/>
  <c r="F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W1613" i="1"/>
  <c r="F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W1614" i="1"/>
  <c r="F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W1615" i="1"/>
  <c r="F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W1616" i="1"/>
  <c r="F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W1617" i="1"/>
  <c r="F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W1618" i="1"/>
  <c r="F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W1619" i="1"/>
  <c r="F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W1620" i="1"/>
  <c r="F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W1621" i="1"/>
  <c r="F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W1622" i="1"/>
  <c r="F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W1623" i="1"/>
  <c r="F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W1624" i="1"/>
  <c r="F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W1625" i="1"/>
  <c r="F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W1626" i="1"/>
  <c r="F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W1627" i="1"/>
  <c r="F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W1628" i="1"/>
  <c r="F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W1629" i="1"/>
  <c r="F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W1630" i="1"/>
  <c r="F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W1631" i="1"/>
  <c r="F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W1632" i="1"/>
  <c r="F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W1633" i="1"/>
  <c r="F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W1634" i="1"/>
  <c r="F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W1635" i="1"/>
  <c r="F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W1636" i="1"/>
  <c r="F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W1637" i="1"/>
  <c r="F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W1638" i="1"/>
  <c r="F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W1639" i="1"/>
  <c r="F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W1640" i="1"/>
  <c r="F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W1641" i="1"/>
  <c r="F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W1642" i="1"/>
  <c r="F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W1643" i="1"/>
  <c r="F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W1644" i="1"/>
  <c r="F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W1645" i="1"/>
  <c r="F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W1646" i="1"/>
  <c r="F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W1647" i="1"/>
  <c r="F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W1648" i="1"/>
  <c r="F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W1649" i="1"/>
  <c r="F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W1650" i="1"/>
  <c r="F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W1651" i="1"/>
  <c r="F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W1652" i="1"/>
  <c r="F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W1653" i="1"/>
  <c r="F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W1654" i="1"/>
  <c r="F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W1655" i="1"/>
  <c r="F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W1656" i="1"/>
  <c r="F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W1657" i="1"/>
  <c r="F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W1658" i="1"/>
  <c r="F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W1659" i="1"/>
  <c r="F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W1660" i="1"/>
  <c r="F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W1661" i="1"/>
  <c r="F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W1662" i="1"/>
  <c r="F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W1663" i="1"/>
  <c r="F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W1664" i="1"/>
  <c r="F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W1665" i="1"/>
  <c r="F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W1666" i="1"/>
  <c r="F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W1667" i="1"/>
  <c r="F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W1668" i="1"/>
  <c r="F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W1669" i="1"/>
  <c r="F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W1670" i="1"/>
  <c r="F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W1671" i="1"/>
  <c r="F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W1672" i="1"/>
  <c r="F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W1673" i="1"/>
  <c r="F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W1674" i="1"/>
  <c r="F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W1675" i="1"/>
  <c r="F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W1676" i="1"/>
  <c r="F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W1677" i="1"/>
  <c r="F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W1678" i="1"/>
  <c r="F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W1679" i="1"/>
  <c r="F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W1680" i="1"/>
  <c r="F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W1681" i="1"/>
  <c r="F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W1682" i="1"/>
  <c r="F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W1683" i="1"/>
  <c r="F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W1684" i="1"/>
  <c r="F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W1685" i="1"/>
  <c r="F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W1686" i="1"/>
  <c r="F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W1687" i="1"/>
  <c r="F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W1688" i="1"/>
  <c r="F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W1689" i="1"/>
  <c r="F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W1690" i="1"/>
  <c r="F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W1691" i="1"/>
  <c r="F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W1692" i="1"/>
  <c r="F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W1693" i="1"/>
  <c r="F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W1694" i="1"/>
  <c r="F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W1695" i="1"/>
  <c r="F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W1696" i="1"/>
  <c r="F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W1697" i="1"/>
  <c r="F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W1698" i="1"/>
  <c r="F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W1699" i="1"/>
  <c r="F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W1700" i="1"/>
  <c r="F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W1701" i="1"/>
  <c r="F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W1702" i="1"/>
  <c r="F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W1703" i="1"/>
  <c r="F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W1704" i="1"/>
  <c r="F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W1705" i="1"/>
  <c r="F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W1706" i="1"/>
  <c r="F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W1707" i="1"/>
  <c r="F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W1708" i="1"/>
  <c r="F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W1709" i="1"/>
  <c r="F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W1710" i="1"/>
  <c r="F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W1711" i="1"/>
  <c r="F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W1712" i="1"/>
  <c r="F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W1713" i="1"/>
  <c r="F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W1714" i="1"/>
  <c r="F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W1715" i="1"/>
  <c r="F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W1716" i="1"/>
  <c r="F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W1717" i="1"/>
  <c r="F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W1718" i="1"/>
  <c r="F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W1719" i="1"/>
  <c r="F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W1720" i="1"/>
  <c r="F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W1721" i="1"/>
  <c r="F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W1722" i="1"/>
  <c r="F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W1723" i="1"/>
  <c r="F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W1724" i="1"/>
  <c r="F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W1725" i="1"/>
  <c r="F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W1726" i="1"/>
  <c r="F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W1727" i="1"/>
  <c r="F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W1728" i="1"/>
  <c r="F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W1729" i="1"/>
  <c r="F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W1730" i="1"/>
  <c r="F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W1731" i="1"/>
  <c r="F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W1732" i="1"/>
  <c r="F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W1733" i="1"/>
  <c r="F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W1734" i="1"/>
  <c r="F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W1735" i="1"/>
  <c r="F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W1736" i="1"/>
  <c r="F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W1737" i="1"/>
  <c r="F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W1738" i="1"/>
  <c r="F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W1739" i="1"/>
  <c r="F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W1740" i="1"/>
  <c r="F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W1741" i="1"/>
  <c r="F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W1742" i="1"/>
  <c r="F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W1743" i="1"/>
  <c r="F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W1744" i="1"/>
  <c r="F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W1745" i="1"/>
  <c r="F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W1746" i="1"/>
  <c r="F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W1747" i="1"/>
  <c r="F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W1748" i="1"/>
  <c r="F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W1749" i="1"/>
  <c r="F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W1750" i="1"/>
  <c r="F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W1751" i="1"/>
  <c r="F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W1752" i="1"/>
  <c r="F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W1753" i="1"/>
  <c r="F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W1754" i="1"/>
  <c r="F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W1755" i="1"/>
  <c r="F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W1756" i="1"/>
  <c r="F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W1757" i="1"/>
  <c r="F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W1758" i="1"/>
  <c r="F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W1759" i="1"/>
  <c r="F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W1760" i="1"/>
  <c r="F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W1761" i="1"/>
  <c r="F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W1762" i="1"/>
  <c r="F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W1763" i="1"/>
  <c r="F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W1764" i="1"/>
  <c r="F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W1765" i="1"/>
  <c r="F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W1766" i="1"/>
  <c r="F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W1767" i="1"/>
  <c r="F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W1768" i="1"/>
  <c r="F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W1769" i="1"/>
  <c r="F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W1770" i="1"/>
  <c r="F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W1771" i="1"/>
  <c r="F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W1772" i="1"/>
  <c r="F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W1773" i="1"/>
  <c r="F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W1774" i="1"/>
  <c r="F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W1775" i="1"/>
  <c r="F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W1776" i="1"/>
  <c r="F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W1777" i="1"/>
  <c r="F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W1778" i="1"/>
  <c r="F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W1779" i="1"/>
  <c r="F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W1780" i="1"/>
  <c r="F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W1781" i="1"/>
  <c r="F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W1782" i="1"/>
  <c r="F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W1783" i="1"/>
  <c r="F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W1784" i="1"/>
  <c r="F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W1785" i="1"/>
  <c r="F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W1786" i="1"/>
  <c r="F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W1787" i="1"/>
  <c r="F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W1788" i="1"/>
  <c r="F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W1789" i="1"/>
  <c r="F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W1790" i="1"/>
  <c r="F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W1791" i="1"/>
  <c r="F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W1792" i="1"/>
  <c r="F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W1793" i="1"/>
  <c r="F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W1794" i="1"/>
  <c r="F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W1795" i="1"/>
  <c r="F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W1796" i="1"/>
  <c r="F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W1797" i="1"/>
  <c r="F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W1798" i="1"/>
  <c r="F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W1799" i="1"/>
  <c r="F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W1800" i="1"/>
  <c r="F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W1801" i="1"/>
  <c r="F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W1802" i="1"/>
  <c r="F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W1803" i="1"/>
  <c r="F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W1804" i="1"/>
  <c r="F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W1805" i="1"/>
  <c r="F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W1806" i="1"/>
  <c r="F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W1807" i="1"/>
  <c r="F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W1808" i="1"/>
  <c r="F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W1809" i="1"/>
  <c r="F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W1810" i="1"/>
  <c r="F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W1811" i="1"/>
  <c r="F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W1812" i="1"/>
  <c r="F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W1813" i="1"/>
  <c r="F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W1814" i="1"/>
  <c r="F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W1815" i="1"/>
  <c r="F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W1816" i="1"/>
  <c r="F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W1817" i="1"/>
  <c r="F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W1818" i="1"/>
  <c r="F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W1819" i="1"/>
  <c r="F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W1820" i="1"/>
  <c r="F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W1821" i="1"/>
  <c r="F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W1822" i="1"/>
  <c r="F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W1823" i="1"/>
  <c r="F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W1824" i="1"/>
  <c r="F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W1825" i="1"/>
  <c r="F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W1826" i="1"/>
  <c r="F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W1827" i="1"/>
  <c r="F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W1828" i="1"/>
  <c r="F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W1829" i="1"/>
  <c r="F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W1830" i="1"/>
  <c r="F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W1831" i="1"/>
  <c r="F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W1832" i="1"/>
  <c r="F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W1833" i="1"/>
  <c r="F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W1834" i="1"/>
  <c r="F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W1835" i="1"/>
  <c r="F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W1836" i="1"/>
  <c r="F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W1837" i="1"/>
  <c r="F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W1838" i="1"/>
  <c r="F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W1839" i="1"/>
  <c r="F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W1840" i="1"/>
  <c r="F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W1841" i="1"/>
  <c r="F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W1842" i="1"/>
  <c r="F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W1843" i="1"/>
  <c r="F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W1844" i="1"/>
  <c r="F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W1845" i="1"/>
  <c r="F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W1846" i="1"/>
  <c r="F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W1847" i="1"/>
  <c r="F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W1848" i="1"/>
  <c r="F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W1849" i="1"/>
  <c r="F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W1850" i="1"/>
  <c r="F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W1851" i="1"/>
  <c r="F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W1852" i="1"/>
  <c r="F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W1853" i="1"/>
  <c r="F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W1854" i="1"/>
  <c r="F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W1855" i="1"/>
  <c r="F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W1856" i="1"/>
  <c r="F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W1857" i="1"/>
  <c r="F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W1858" i="1"/>
  <c r="F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W1859" i="1"/>
  <c r="F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W1860" i="1"/>
  <c r="F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W1861" i="1"/>
  <c r="F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W1862" i="1"/>
  <c r="F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W1863" i="1"/>
  <c r="F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W1864" i="1"/>
  <c r="F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W1865" i="1"/>
  <c r="F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W1866" i="1"/>
  <c r="F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W1867" i="1"/>
  <c r="F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W1868" i="1"/>
  <c r="F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W1869" i="1"/>
  <c r="F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W1870" i="1"/>
  <c r="F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W1871" i="1"/>
  <c r="F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W1872" i="1"/>
  <c r="F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W1873" i="1"/>
  <c r="F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W1874" i="1"/>
  <c r="F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W1875" i="1"/>
  <c r="F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W1876" i="1"/>
  <c r="F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W1877" i="1"/>
  <c r="F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W1878" i="1"/>
  <c r="F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W1879" i="1"/>
  <c r="F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W1880" i="1"/>
  <c r="F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W1881" i="1"/>
  <c r="F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W1882" i="1"/>
  <c r="F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W1883" i="1"/>
  <c r="F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W1884" i="1"/>
  <c r="F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W1885" i="1"/>
  <c r="F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W1886" i="1"/>
  <c r="F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W1887" i="1"/>
  <c r="F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W1888" i="1"/>
  <c r="F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W1889" i="1"/>
  <c r="F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W1890" i="1"/>
  <c r="F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W1891" i="1"/>
  <c r="F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W1892" i="1"/>
  <c r="F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W1893" i="1"/>
  <c r="F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W1894" i="1"/>
  <c r="F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W1895" i="1"/>
  <c r="F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W1896" i="1"/>
  <c r="F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W1897" i="1"/>
  <c r="F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W1898" i="1"/>
  <c r="F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W1899" i="1"/>
  <c r="F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W1900" i="1"/>
  <c r="F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W1901" i="1"/>
  <c r="F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W1902" i="1"/>
  <c r="F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W1903" i="1"/>
  <c r="F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W1904" i="1"/>
  <c r="F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W1905" i="1"/>
  <c r="F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W1906" i="1"/>
  <c r="F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W1907" i="1"/>
  <c r="F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W1908" i="1"/>
  <c r="F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W1909" i="1"/>
  <c r="F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W1910" i="1"/>
  <c r="F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W1911" i="1"/>
  <c r="F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W1912" i="1"/>
  <c r="F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W1913" i="1"/>
  <c r="F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W1914" i="1"/>
  <c r="F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W1915" i="1"/>
  <c r="F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W1916" i="1"/>
  <c r="F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W1917" i="1"/>
  <c r="F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W1918" i="1"/>
  <c r="F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W1919" i="1"/>
  <c r="F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W1920" i="1"/>
  <c r="F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W1921" i="1"/>
  <c r="F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W1922" i="1"/>
  <c r="F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W1923" i="1"/>
  <c r="F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W1924" i="1"/>
  <c r="F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W1925" i="1"/>
  <c r="F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W1926" i="1"/>
  <c r="F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W1927" i="1"/>
  <c r="F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W1928" i="1"/>
  <c r="F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W1929" i="1"/>
  <c r="F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W1930" i="1"/>
  <c r="F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W1931" i="1"/>
  <c r="F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W1932" i="1"/>
  <c r="F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W1933" i="1"/>
  <c r="F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W1934" i="1"/>
  <c r="F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W1935" i="1"/>
  <c r="F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W1936" i="1"/>
  <c r="F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W1937" i="1"/>
  <c r="F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W1938" i="1"/>
  <c r="F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W1939" i="1"/>
  <c r="F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W1940" i="1"/>
  <c r="F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W1941" i="1"/>
  <c r="F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W1942" i="1"/>
  <c r="F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W1943" i="1"/>
  <c r="F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W1944" i="1"/>
  <c r="F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W1945" i="1"/>
  <c r="F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W1946" i="1"/>
  <c r="F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W1947" i="1"/>
  <c r="F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W1948" i="1"/>
  <c r="F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W1949" i="1"/>
  <c r="F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W1950" i="1"/>
  <c r="F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W1951" i="1"/>
  <c r="F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W1952" i="1"/>
  <c r="F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W1953" i="1"/>
  <c r="F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W1954" i="1"/>
  <c r="F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W1955" i="1"/>
  <c r="F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W1956" i="1"/>
  <c r="F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W1957" i="1"/>
  <c r="F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W1958" i="1"/>
  <c r="F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W1959" i="1"/>
  <c r="F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W1960" i="1"/>
  <c r="F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W1961" i="1"/>
  <c r="F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W1962" i="1"/>
  <c r="F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W1963" i="1"/>
  <c r="F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W1964" i="1"/>
  <c r="F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W1965" i="1"/>
  <c r="F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W1966" i="1"/>
  <c r="F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W1967" i="1"/>
  <c r="F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W1968" i="1"/>
  <c r="F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W1969" i="1"/>
  <c r="F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W1970" i="1"/>
  <c r="F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W1971" i="1"/>
  <c r="F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W1972" i="1"/>
  <c r="F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W1973" i="1"/>
  <c r="F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W1974" i="1"/>
  <c r="F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W1975" i="1"/>
  <c r="F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W1976" i="1"/>
  <c r="F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W1977" i="1"/>
  <c r="F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W1978" i="1"/>
  <c r="F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W1979" i="1"/>
  <c r="F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W1980" i="1"/>
  <c r="F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W1981" i="1"/>
  <c r="F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W1982" i="1"/>
  <c r="F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W1983" i="1"/>
  <c r="F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W1984" i="1"/>
  <c r="F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W1985" i="1"/>
  <c r="F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W1986" i="1"/>
  <c r="F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W1987" i="1"/>
  <c r="F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W1988" i="1"/>
  <c r="F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W1989" i="1"/>
  <c r="F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W1990" i="1"/>
  <c r="F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W1991" i="1"/>
  <c r="F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W1992" i="1"/>
  <c r="F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W1993" i="1"/>
  <c r="F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W1994" i="1"/>
  <c r="F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W1995" i="1"/>
  <c r="F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W1996" i="1"/>
  <c r="F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W1997" i="1"/>
  <c r="F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W1998" i="1"/>
  <c r="F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W1999" i="1"/>
  <c r="F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W2000" i="1"/>
  <c r="F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W2001" i="1"/>
  <c r="F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W2002" i="1"/>
  <c r="F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W2003" i="1"/>
  <c r="F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W2004" i="1"/>
  <c r="F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W2005" i="1"/>
  <c r="F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W2006" i="1"/>
  <c r="F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W2007" i="1"/>
  <c r="F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W2008" i="1"/>
  <c r="F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W2009" i="1"/>
  <c r="F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W2010" i="1"/>
  <c r="F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W2011" i="1"/>
  <c r="F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W2012" i="1"/>
  <c r="F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W2013" i="1"/>
  <c r="F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W2014" i="1"/>
  <c r="F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W2015" i="1"/>
  <c r="F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W2016" i="1"/>
  <c r="F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W2017" i="1"/>
  <c r="F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W2018" i="1"/>
  <c r="F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W2019" i="1"/>
  <c r="F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W2020" i="1"/>
  <c r="F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W2021" i="1"/>
  <c r="F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W2022" i="1"/>
  <c r="F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W2023" i="1"/>
  <c r="F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W2024" i="1"/>
  <c r="F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W2025" i="1"/>
  <c r="F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W2026" i="1"/>
  <c r="F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W2027" i="1"/>
  <c r="F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W2028" i="1"/>
  <c r="F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W2029" i="1"/>
  <c r="F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W2030" i="1"/>
  <c r="F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W2031" i="1"/>
  <c r="F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W2032" i="1"/>
  <c r="F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W2033" i="1"/>
  <c r="F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W2034" i="1"/>
  <c r="F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W2035" i="1"/>
  <c r="F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W2036" i="1"/>
  <c r="F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W2037" i="1"/>
  <c r="F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W2038" i="1"/>
  <c r="F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W2039" i="1"/>
  <c r="F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W2040" i="1"/>
  <c r="F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W2041" i="1"/>
  <c r="F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W2042" i="1"/>
  <c r="F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W2043" i="1"/>
  <c r="F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W2044" i="1"/>
  <c r="F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W2045" i="1"/>
  <c r="F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W2046" i="1"/>
  <c r="F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W2047" i="1"/>
  <c r="F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W2048" i="1"/>
  <c r="F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W2049" i="1"/>
  <c r="F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W2050" i="1"/>
  <c r="F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W2051" i="1"/>
  <c r="F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W2052" i="1"/>
  <c r="F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W2053" i="1"/>
  <c r="F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W2054" i="1"/>
  <c r="F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W2055" i="1"/>
  <c r="F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W2056" i="1"/>
  <c r="F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W2057" i="1"/>
  <c r="F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W2058" i="1"/>
  <c r="F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W2059" i="1"/>
  <c r="F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W2060" i="1"/>
  <c r="F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W2061" i="1"/>
  <c r="F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W2062" i="1"/>
  <c r="F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W2063" i="1"/>
  <c r="F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W2064" i="1"/>
  <c r="F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W2065" i="1"/>
  <c r="F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W2066" i="1"/>
  <c r="F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W2067" i="1"/>
  <c r="F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W2068" i="1"/>
  <c r="F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W2069" i="1"/>
  <c r="F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W2070" i="1"/>
  <c r="F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W2071" i="1"/>
  <c r="F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W2072" i="1"/>
  <c r="F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W2073" i="1"/>
  <c r="F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W2074" i="1"/>
  <c r="F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W2075" i="1"/>
  <c r="F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W2076" i="1"/>
  <c r="F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W2077" i="1"/>
  <c r="F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W2078" i="1"/>
  <c r="F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W2079" i="1"/>
  <c r="F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W2080" i="1"/>
  <c r="F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W2081" i="1"/>
  <c r="F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W2082" i="1"/>
  <c r="F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W2083" i="1"/>
  <c r="F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W2084" i="1"/>
  <c r="F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W2085" i="1"/>
  <c r="F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W2086" i="1"/>
  <c r="F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W2087" i="1"/>
  <c r="F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W2088" i="1"/>
  <c r="F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W2089" i="1"/>
  <c r="F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W2090" i="1"/>
  <c r="F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W2091" i="1"/>
  <c r="F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W2092" i="1"/>
  <c r="F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W2093" i="1"/>
  <c r="F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W2094" i="1"/>
  <c r="F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W2095" i="1"/>
  <c r="F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W2096" i="1"/>
  <c r="F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W2097" i="1"/>
  <c r="F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W2098" i="1"/>
  <c r="F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W2099" i="1"/>
  <c r="F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W2100" i="1"/>
  <c r="F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W2101" i="1"/>
  <c r="F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W2102" i="1"/>
  <c r="F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W2103" i="1"/>
  <c r="F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W2104" i="1"/>
  <c r="F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W2105" i="1"/>
  <c r="F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W2106" i="1"/>
  <c r="F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W2107" i="1"/>
  <c r="F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W2108" i="1"/>
  <c r="F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W2109" i="1"/>
  <c r="F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W2110" i="1"/>
  <c r="F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W2111" i="1"/>
  <c r="F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W2112" i="1"/>
  <c r="F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W2113" i="1"/>
  <c r="F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W2114" i="1"/>
  <c r="F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W2115" i="1"/>
  <c r="F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W2116" i="1"/>
  <c r="F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W2117" i="1"/>
  <c r="F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W2118" i="1"/>
  <c r="F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W2119" i="1"/>
  <c r="F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W2120" i="1"/>
  <c r="F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W2121" i="1"/>
  <c r="F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W2122" i="1"/>
  <c r="F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W2123" i="1"/>
  <c r="F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W2124" i="1"/>
  <c r="F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W2125" i="1"/>
  <c r="F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W2126" i="1"/>
  <c r="F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W2127" i="1"/>
  <c r="F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W2128" i="1"/>
  <c r="F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W2129" i="1"/>
  <c r="F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W2130" i="1"/>
  <c r="F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W2131" i="1"/>
  <c r="F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W2132" i="1"/>
  <c r="F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W2133" i="1"/>
  <c r="F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W2134" i="1"/>
  <c r="F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W2135" i="1"/>
  <c r="F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W2136" i="1"/>
  <c r="F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W2137" i="1"/>
  <c r="F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W2138" i="1"/>
  <c r="F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W2139" i="1"/>
  <c r="F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W2140" i="1"/>
  <c r="F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W2141" i="1"/>
  <c r="F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W2142" i="1"/>
  <c r="F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W2143" i="1"/>
  <c r="F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W2144" i="1"/>
  <c r="F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W2145" i="1"/>
  <c r="F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W2146" i="1"/>
  <c r="F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W2147" i="1"/>
  <c r="F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W2148" i="1"/>
  <c r="F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W2149" i="1"/>
  <c r="F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W2150" i="1"/>
  <c r="F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W2151" i="1"/>
  <c r="F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W2152" i="1"/>
  <c r="F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W2153" i="1"/>
  <c r="F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W2154" i="1"/>
  <c r="F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W2155" i="1"/>
  <c r="F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W2156" i="1"/>
  <c r="F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W2157" i="1"/>
  <c r="F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W2158" i="1"/>
  <c r="F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W2159" i="1"/>
  <c r="F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W2160" i="1"/>
  <c r="F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W2161" i="1"/>
  <c r="F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W2162" i="1"/>
  <c r="F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W2163" i="1"/>
  <c r="F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W2164" i="1"/>
  <c r="F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W2165" i="1"/>
  <c r="F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W2166" i="1"/>
  <c r="F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W2167" i="1"/>
  <c r="F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W2168" i="1"/>
  <c r="F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W2169" i="1"/>
  <c r="F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W2170" i="1"/>
  <c r="F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W2171" i="1"/>
  <c r="F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W2172" i="1"/>
  <c r="F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W2173" i="1"/>
  <c r="F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W2174" i="1"/>
  <c r="F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W2175" i="1"/>
  <c r="F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W2176" i="1"/>
  <c r="F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W2177" i="1"/>
  <c r="F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W2178" i="1"/>
  <c r="F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W2179" i="1"/>
  <c r="F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W2180" i="1"/>
  <c r="F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W2181" i="1"/>
  <c r="F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W2182" i="1"/>
  <c r="F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W2183" i="1"/>
  <c r="F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W2184" i="1"/>
  <c r="F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W2185" i="1"/>
  <c r="F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W2186" i="1"/>
  <c r="F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W2187" i="1"/>
  <c r="F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W2188" i="1"/>
  <c r="F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W2189" i="1"/>
  <c r="F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W2190" i="1"/>
  <c r="F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W2191" i="1"/>
  <c r="F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W2192" i="1"/>
  <c r="F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W2193" i="1"/>
  <c r="F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W2194" i="1"/>
  <c r="F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W2195" i="1"/>
  <c r="F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W2196" i="1"/>
  <c r="F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W2197" i="1"/>
  <c r="F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W2198" i="1"/>
  <c r="F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W2199" i="1"/>
  <c r="F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W2200" i="1"/>
  <c r="F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W2201" i="1"/>
  <c r="F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W2202" i="1"/>
  <c r="F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W2203" i="1"/>
  <c r="F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W2204" i="1"/>
  <c r="F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W2205" i="1"/>
  <c r="F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W2206" i="1"/>
  <c r="F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W2207" i="1"/>
  <c r="F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W2208" i="1"/>
  <c r="F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W2209" i="1"/>
  <c r="F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W2210" i="1"/>
  <c r="F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W2211" i="1"/>
  <c r="F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W2212" i="1"/>
  <c r="F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W2213" i="1"/>
  <c r="F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W2214" i="1"/>
  <c r="F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W2215" i="1"/>
  <c r="F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W2216" i="1"/>
  <c r="F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W2217" i="1"/>
  <c r="F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W2218" i="1"/>
  <c r="F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W2219" i="1"/>
  <c r="F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W2220" i="1"/>
  <c r="F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W2221" i="1"/>
  <c r="F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W2222" i="1"/>
  <c r="F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W2223" i="1"/>
  <c r="F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W2224" i="1"/>
  <c r="F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W2225" i="1"/>
  <c r="F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W2226" i="1"/>
  <c r="F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W2227" i="1"/>
  <c r="F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W2228" i="1"/>
  <c r="F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W2229" i="1"/>
  <c r="F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W2230" i="1"/>
  <c r="F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W2231" i="1"/>
  <c r="F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W2232" i="1"/>
  <c r="F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W2233" i="1"/>
  <c r="F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W2234" i="1"/>
  <c r="F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W2235" i="1"/>
  <c r="F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W2236" i="1"/>
  <c r="F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W2237" i="1"/>
  <c r="F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W2238" i="1"/>
  <c r="F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W2239" i="1"/>
  <c r="F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W2240" i="1"/>
  <c r="F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W2241" i="1"/>
  <c r="F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W2242" i="1"/>
  <c r="F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W2243" i="1"/>
  <c r="F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W2244" i="1"/>
  <c r="F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AE2245" i="1"/>
  <c r="AF2245" i="1"/>
  <c r="AG2245" i="1"/>
  <c r="AH2245" i="1"/>
  <c r="AI2245" i="1"/>
  <c r="AJ2245" i="1"/>
  <c r="AK2245" i="1"/>
  <c r="AW2245" i="1"/>
  <c r="F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AE2246" i="1"/>
  <c r="AF2246" i="1"/>
  <c r="AG2246" i="1"/>
  <c r="AH2246" i="1"/>
  <c r="AI2246" i="1"/>
  <c r="AJ2246" i="1"/>
  <c r="AK2246" i="1"/>
  <c r="AW2246" i="1"/>
  <c r="F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AE2247" i="1"/>
  <c r="AF2247" i="1"/>
  <c r="AG2247" i="1"/>
  <c r="AH2247" i="1"/>
  <c r="AI2247" i="1"/>
  <c r="AJ2247" i="1"/>
  <c r="AK2247" i="1"/>
  <c r="AW2247" i="1"/>
  <c r="F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AE2248" i="1"/>
  <c r="AF2248" i="1"/>
  <c r="AG2248" i="1"/>
  <c r="AH2248" i="1"/>
  <c r="AI2248" i="1"/>
  <c r="AJ2248" i="1"/>
  <c r="AK2248" i="1"/>
  <c r="AW2248" i="1"/>
  <c r="F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AE2249" i="1"/>
  <c r="AF2249" i="1"/>
  <c r="AG2249" i="1"/>
  <c r="AH2249" i="1"/>
  <c r="AI2249" i="1"/>
  <c r="AJ2249" i="1"/>
  <c r="AK2249" i="1"/>
  <c r="AW2249" i="1"/>
  <c r="F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AE2250" i="1"/>
  <c r="AF2250" i="1"/>
  <c r="AG2250" i="1"/>
  <c r="AH2250" i="1"/>
  <c r="AI2250" i="1"/>
  <c r="AJ2250" i="1"/>
  <c r="AK2250" i="1"/>
  <c r="AW2250" i="1"/>
  <c r="F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AE2251" i="1"/>
  <c r="AF2251" i="1"/>
  <c r="AG2251" i="1"/>
  <c r="AH2251" i="1"/>
  <c r="AI2251" i="1"/>
  <c r="AJ2251" i="1"/>
  <c r="AK2251" i="1"/>
  <c r="AW2251" i="1"/>
  <c r="F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AE2252" i="1"/>
  <c r="AF2252" i="1"/>
  <c r="AG2252" i="1"/>
  <c r="AH2252" i="1"/>
  <c r="AI2252" i="1"/>
  <c r="AJ2252" i="1"/>
  <c r="AK2252" i="1"/>
  <c r="AW2252" i="1"/>
  <c r="F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AE2253" i="1"/>
  <c r="AF2253" i="1"/>
  <c r="AG2253" i="1"/>
  <c r="AH2253" i="1"/>
  <c r="AI2253" i="1"/>
  <c r="AJ2253" i="1"/>
  <c r="AK2253" i="1"/>
  <c r="AW2253" i="1"/>
  <c r="F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AE2254" i="1"/>
  <c r="AF2254" i="1"/>
  <c r="AG2254" i="1"/>
  <c r="AH2254" i="1"/>
  <c r="AI2254" i="1"/>
  <c r="AJ2254" i="1"/>
  <c r="AK2254" i="1"/>
  <c r="AW2254" i="1"/>
  <c r="F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AE2255" i="1"/>
  <c r="AF2255" i="1"/>
  <c r="AG2255" i="1"/>
  <c r="AH2255" i="1"/>
  <c r="AI2255" i="1"/>
  <c r="AJ2255" i="1"/>
  <c r="AK2255" i="1"/>
  <c r="AW2255" i="1"/>
  <c r="F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AJ2256" i="1"/>
  <c r="AK2256" i="1"/>
  <c r="AW2256" i="1"/>
  <c r="F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AJ2257" i="1"/>
  <c r="AK2257" i="1"/>
  <c r="AW2257" i="1"/>
  <c r="F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W2258" i="1"/>
  <c r="F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AJ2259" i="1"/>
  <c r="AK2259" i="1"/>
  <c r="AW2259" i="1"/>
  <c r="F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AJ2260" i="1"/>
  <c r="AK2260" i="1"/>
  <c r="AW2260" i="1"/>
  <c r="F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AJ2261" i="1"/>
  <c r="AK2261" i="1"/>
  <c r="AW2261" i="1"/>
  <c r="F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AJ2262" i="1"/>
  <c r="AK2262" i="1"/>
  <c r="AW2262" i="1"/>
  <c r="F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AJ2263" i="1"/>
  <c r="AK2263" i="1"/>
  <c r="AW2263" i="1"/>
  <c r="F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AF2264" i="1"/>
  <c r="AG2264" i="1"/>
  <c r="AH2264" i="1"/>
  <c r="AI2264" i="1"/>
  <c r="AJ2264" i="1"/>
  <c r="AK2264" i="1"/>
  <c r="AW2264" i="1"/>
  <c r="F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AF2265" i="1"/>
  <c r="AG2265" i="1"/>
  <c r="AH2265" i="1"/>
  <c r="AI2265" i="1"/>
  <c r="AJ2265" i="1"/>
  <c r="AK2265" i="1"/>
  <c r="AW2265" i="1"/>
  <c r="F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AF2266" i="1"/>
  <c r="AG2266" i="1"/>
  <c r="AH2266" i="1"/>
  <c r="AI2266" i="1"/>
  <c r="AJ2266" i="1"/>
  <c r="AK2266" i="1"/>
  <c r="AW2266" i="1"/>
  <c r="F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AE2267" i="1"/>
  <c r="AF2267" i="1"/>
  <c r="AG2267" i="1"/>
  <c r="AH2267" i="1"/>
  <c r="AI2267" i="1"/>
  <c r="AJ2267" i="1"/>
  <c r="AK2267" i="1"/>
  <c r="AW2267" i="1"/>
  <c r="F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AE2268" i="1"/>
  <c r="AF2268" i="1"/>
  <c r="AG2268" i="1"/>
  <c r="AH2268" i="1"/>
  <c r="AI2268" i="1"/>
  <c r="AJ2268" i="1"/>
  <c r="AK2268" i="1"/>
  <c r="AW2268" i="1"/>
  <c r="F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AE2269" i="1"/>
  <c r="AF2269" i="1"/>
  <c r="AG2269" i="1"/>
  <c r="AH2269" i="1"/>
  <c r="AI2269" i="1"/>
  <c r="AJ2269" i="1"/>
  <c r="AK2269" i="1"/>
  <c r="AW2269" i="1"/>
  <c r="F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AE2270" i="1"/>
  <c r="AF2270" i="1"/>
  <c r="AG2270" i="1"/>
  <c r="AH2270" i="1"/>
  <c r="AI2270" i="1"/>
  <c r="AJ2270" i="1"/>
  <c r="AK2270" i="1"/>
  <c r="AW2270" i="1"/>
  <c r="F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AE2271" i="1"/>
  <c r="AF2271" i="1"/>
  <c r="AG2271" i="1"/>
  <c r="AH2271" i="1"/>
  <c r="AI2271" i="1"/>
  <c r="AJ2271" i="1"/>
  <c r="AK2271" i="1"/>
  <c r="AW2271" i="1"/>
  <c r="F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AE2272" i="1"/>
  <c r="AF2272" i="1"/>
  <c r="AG2272" i="1"/>
  <c r="AH2272" i="1"/>
  <c r="AI2272" i="1"/>
  <c r="AJ2272" i="1"/>
  <c r="AK2272" i="1"/>
  <c r="AW2272" i="1"/>
  <c r="F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AE2273" i="1"/>
  <c r="AF2273" i="1"/>
  <c r="AG2273" i="1"/>
  <c r="AH2273" i="1"/>
  <c r="AI2273" i="1"/>
  <c r="AJ2273" i="1"/>
  <c r="AK2273" i="1"/>
  <c r="AW2273" i="1"/>
  <c r="F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AE2274" i="1"/>
  <c r="AF2274" i="1"/>
  <c r="AG2274" i="1"/>
  <c r="AH2274" i="1"/>
  <c r="AI2274" i="1"/>
  <c r="AJ2274" i="1"/>
  <c r="AK2274" i="1"/>
  <c r="AW2274" i="1"/>
  <c r="F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AE2275" i="1"/>
  <c r="AF2275" i="1"/>
  <c r="AG2275" i="1"/>
  <c r="AH2275" i="1"/>
  <c r="AI2275" i="1"/>
  <c r="AJ2275" i="1"/>
  <c r="AK2275" i="1"/>
  <c r="AW2275" i="1"/>
  <c r="F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AE2276" i="1"/>
  <c r="AF2276" i="1"/>
  <c r="AG2276" i="1"/>
  <c r="AH2276" i="1"/>
  <c r="AI2276" i="1"/>
  <c r="AJ2276" i="1"/>
  <c r="AK2276" i="1"/>
  <c r="AW2276" i="1"/>
  <c r="F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AE2277" i="1"/>
  <c r="AF2277" i="1"/>
  <c r="AG2277" i="1"/>
  <c r="AH2277" i="1"/>
  <c r="AI2277" i="1"/>
  <c r="AJ2277" i="1"/>
  <c r="AK2277" i="1"/>
  <c r="AW2277" i="1"/>
  <c r="F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AE2278" i="1"/>
  <c r="AF2278" i="1"/>
  <c r="AG2278" i="1"/>
  <c r="AH2278" i="1"/>
  <c r="AI2278" i="1"/>
  <c r="AJ2278" i="1"/>
  <c r="AK2278" i="1"/>
  <c r="AW2278" i="1"/>
  <c r="F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AD2279" i="1"/>
  <c r="AE2279" i="1"/>
  <c r="AF2279" i="1"/>
  <c r="AG2279" i="1"/>
  <c r="AH2279" i="1"/>
  <c r="AI2279" i="1"/>
  <c r="AJ2279" i="1"/>
  <c r="AK2279" i="1"/>
  <c r="AW2279" i="1"/>
  <c r="F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AD2280" i="1"/>
  <c r="AE2280" i="1"/>
  <c r="AF2280" i="1"/>
  <c r="AG2280" i="1"/>
  <c r="AH2280" i="1"/>
  <c r="AI2280" i="1"/>
  <c r="AJ2280" i="1"/>
  <c r="AK2280" i="1"/>
  <c r="AW2280" i="1"/>
  <c r="F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AD2281" i="1"/>
  <c r="AE2281" i="1"/>
  <c r="AF2281" i="1"/>
  <c r="AG2281" i="1"/>
  <c r="AH2281" i="1"/>
  <c r="AI2281" i="1"/>
  <c r="AJ2281" i="1"/>
  <c r="AK2281" i="1"/>
  <c r="AW2281" i="1"/>
  <c r="F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AD2282" i="1"/>
  <c r="AE2282" i="1"/>
  <c r="AF2282" i="1"/>
  <c r="AG2282" i="1"/>
  <c r="AH2282" i="1"/>
  <c r="AI2282" i="1"/>
  <c r="AJ2282" i="1"/>
  <c r="AK2282" i="1"/>
  <c r="AW2282" i="1"/>
  <c r="F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AD2283" i="1"/>
  <c r="AE2283" i="1"/>
  <c r="AF2283" i="1"/>
  <c r="AG2283" i="1"/>
  <c r="AH2283" i="1"/>
  <c r="AI2283" i="1"/>
  <c r="AJ2283" i="1"/>
  <c r="AK2283" i="1"/>
  <c r="AW2283" i="1"/>
  <c r="F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AD2284" i="1"/>
  <c r="AE2284" i="1"/>
  <c r="AF2284" i="1"/>
  <c r="AG2284" i="1"/>
  <c r="AH2284" i="1"/>
  <c r="AI2284" i="1"/>
  <c r="AJ2284" i="1"/>
  <c r="AK2284" i="1"/>
  <c r="AW2284" i="1"/>
  <c r="F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AD2285" i="1"/>
  <c r="AE2285" i="1"/>
  <c r="AF2285" i="1"/>
  <c r="AG2285" i="1"/>
  <c r="AH2285" i="1"/>
  <c r="AI2285" i="1"/>
  <c r="AJ2285" i="1"/>
  <c r="AK2285" i="1"/>
  <c r="AW2285" i="1"/>
  <c r="F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D2286" i="1"/>
  <c r="AE2286" i="1"/>
  <c r="AF2286" i="1"/>
  <c r="AG2286" i="1"/>
  <c r="AH2286" i="1"/>
  <c r="AI2286" i="1"/>
  <c r="AJ2286" i="1"/>
  <c r="AK2286" i="1"/>
  <c r="AW2286" i="1"/>
  <c r="F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AE2287" i="1"/>
  <c r="AF2287" i="1"/>
  <c r="AG2287" i="1"/>
  <c r="AH2287" i="1"/>
  <c r="AI2287" i="1"/>
  <c r="AJ2287" i="1"/>
  <c r="AK2287" i="1"/>
  <c r="AW2287" i="1"/>
  <c r="F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AD2288" i="1"/>
  <c r="AE2288" i="1"/>
  <c r="AF2288" i="1"/>
  <c r="AG2288" i="1"/>
  <c r="AH2288" i="1"/>
  <c r="AI2288" i="1"/>
  <c r="AJ2288" i="1"/>
  <c r="AK2288" i="1"/>
  <c r="AW2288" i="1"/>
  <c r="F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AE2289" i="1"/>
  <c r="AF2289" i="1"/>
  <c r="AG2289" i="1"/>
  <c r="AH2289" i="1"/>
  <c r="AI2289" i="1"/>
  <c r="AJ2289" i="1"/>
  <c r="AK2289" i="1"/>
  <c r="AW2289" i="1"/>
  <c r="F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AD2290" i="1"/>
  <c r="AE2290" i="1"/>
  <c r="AF2290" i="1"/>
  <c r="AG2290" i="1"/>
  <c r="AH2290" i="1"/>
  <c r="AI2290" i="1"/>
  <c r="AJ2290" i="1"/>
  <c r="AK2290" i="1"/>
  <c r="AW2290" i="1"/>
  <c r="F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AD2291" i="1"/>
  <c r="AE2291" i="1"/>
  <c r="AF2291" i="1"/>
  <c r="AG2291" i="1"/>
  <c r="AH2291" i="1"/>
  <c r="AI2291" i="1"/>
  <c r="AJ2291" i="1"/>
  <c r="AK2291" i="1"/>
  <c r="AW2291" i="1"/>
  <c r="F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AD2292" i="1"/>
  <c r="AE2292" i="1"/>
  <c r="AF2292" i="1"/>
  <c r="AG2292" i="1"/>
  <c r="AH2292" i="1"/>
  <c r="AI2292" i="1"/>
  <c r="AJ2292" i="1"/>
  <c r="AK2292" i="1"/>
  <c r="AW2292" i="1"/>
  <c r="F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AD2293" i="1"/>
  <c r="AE2293" i="1"/>
  <c r="AF2293" i="1"/>
  <c r="AG2293" i="1"/>
  <c r="AH2293" i="1"/>
  <c r="AI2293" i="1"/>
  <c r="AJ2293" i="1"/>
  <c r="AK2293" i="1"/>
  <c r="AW2293" i="1"/>
  <c r="F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AD2294" i="1"/>
  <c r="AE2294" i="1"/>
  <c r="AF2294" i="1"/>
  <c r="AG2294" i="1"/>
  <c r="AH2294" i="1"/>
  <c r="AI2294" i="1"/>
  <c r="AJ2294" i="1"/>
  <c r="AK2294" i="1"/>
  <c r="AW2294" i="1"/>
  <c r="F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AD2295" i="1"/>
  <c r="AE2295" i="1"/>
  <c r="AF2295" i="1"/>
  <c r="AG2295" i="1"/>
  <c r="AH2295" i="1"/>
  <c r="AI2295" i="1"/>
  <c r="AJ2295" i="1"/>
  <c r="AK2295" i="1"/>
  <c r="AW2295" i="1"/>
  <c r="F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AD2296" i="1"/>
  <c r="AE2296" i="1"/>
  <c r="AF2296" i="1"/>
  <c r="AG2296" i="1"/>
  <c r="AH2296" i="1"/>
  <c r="AI2296" i="1"/>
  <c r="AJ2296" i="1"/>
  <c r="AK2296" i="1"/>
  <c r="AW2296" i="1"/>
  <c r="F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AD2297" i="1"/>
  <c r="AE2297" i="1"/>
  <c r="AF2297" i="1"/>
  <c r="AG2297" i="1"/>
  <c r="AH2297" i="1"/>
  <c r="AI2297" i="1"/>
  <c r="AJ2297" i="1"/>
  <c r="AK2297" i="1"/>
  <c r="AW2297" i="1"/>
  <c r="F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AD2298" i="1"/>
  <c r="AE2298" i="1"/>
  <c r="AF2298" i="1"/>
  <c r="AG2298" i="1"/>
  <c r="AH2298" i="1"/>
  <c r="AI2298" i="1"/>
  <c r="AJ2298" i="1"/>
  <c r="AK2298" i="1"/>
  <c r="AW2298" i="1"/>
</calcChain>
</file>

<file path=xl/sharedStrings.xml><?xml version="1.0" encoding="utf-8"?>
<sst xmlns="http://schemas.openxmlformats.org/spreadsheetml/2006/main" count="112092" uniqueCount="22039">
  <si>
    <t>Current_Owner</t>
  </si>
  <si>
    <t>Location_City_State_Zip</t>
  </si>
  <si>
    <t>Tax_Year</t>
  </si>
  <si>
    <t>TSRID</t>
  </si>
  <si>
    <t>Sort_No</t>
  </si>
  <si>
    <t>State</t>
  </si>
  <si>
    <t>County</t>
  </si>
  <si>
    <t>Municipality</t>
  </si>
  <si>
    <t>Parcel_ID</t>
  </si>
  <si>
    <t>Tax_ID</t>
  </si>
  <si>
    <t>ID_1</t>
  </si>
  <si>
    <t>ID_2</t>
  </si>
  <si>
    <t>ID_3</t>
  </si>
  <si>
    <t>ID_4</t>
  </si>
  <si>
    <t>ID_5</t>
  </si>
  <si>
    <t>ID_6</t>
  </si>
  <si>
    <t>ID_7</t>
  </si>
  <si>
    <t>ID_8</t>
  </si>
  <si>
    <t>ID_9</t>
  </si>
  <si>
    <t>ID_10</t>
  </si>
  <si>
    <t>ID_11</t>
  </si>
  <si>
    <t>ID_12</t>
  </si>
  <si>
    <t>ID_13</t>
  </si>
  <si>
    <t>ID_14</t>
  </si>
  <si>
    <t>ID_15</t>
  </si>
  <si>
    <t>ID_16</t>
  </si>
  <si>
    <t>ID_17</t>
  </si>
  <si>
    <t>ID_18</t>
  </si>
  <si>
    <t>ID_19</t>
  </si>
  <si>
    <t>ID_20</t>
  </si>
  <si>
    <t>ID_21</t>
  </si>
  <si>
    <t>ID_22</t>
  </si>
  <si>
    <t>ID_23</t>
  </si>
  <si>
    <t>ID_24</t>
  </si>
  <si>
    <t>ID_25</t>
  </si>
  <si>
    <t>ID_26</t>
  </si>
  <si>
    <t>ID_27</t>
  </si>
  <si>
    <t>ID_28</t>
  </si>
  <si>
    <t>ID_29</t>
  </si>
  <si>
    <t>ID_30</t>
  </si>
  <si>
    <t>List_Batch_No</t>
  </si>
  <si>
    <t>List_Item_Ref</t>
  </si>
  <si>
    <t>Amount</t>
  </si>
  <si>
    <t>List_Item_Type</t>
  </si>
  <si>
    <t>List_Note_1</t>
  </si>
  <si>
    <t>List_Note_2</t>
  </si>
  <si>
    <t>List_Note_3</t>
  </si>
  <si>
    <t>List_Note_4</t>
  </si>
  <si>
    <t>TSR_Notes</t>
  </si>
  <si>
    <t>Data_Match</t>
  </si>
  <si>
    <t>Prop_Record_Year</t>
  </si>
  <si>
    <t>APN</t>
  </si>
  <si>
    <t>Location_House_Number</t>
  </si>
  <si>
    <t>Location_Street_Dir_Left</t>
  </si>
  <si>
    <t>Location_Street_Name</t>
  </si>
  <si>
    <t>Location_Street_Suffix</t>
  </si>
  <si>
    <t>Location_Street_Dir_Right</t>
  </si>
  <si>
    <t>Location_Unit_Number</t>
  </si>
  <si>
    <t>Location_City</t>
  </si>
  <si>
    <t>Location_State</t>
  </si>
  <si>
    <t>Location_Zip_4</t>
  </si>
  <si>
    <t>Location_Full_Street_Address</t>
  </si>
  <si>
    <t>Longitude</t>
  </si>
  <si>
    <t>Latitude</t>
  </si>
  <si>
    <t>Mailing_Care_Of</t>
  </si>
  <si>
    <t>Mailing_Street_Address</t>
  </si>
  <si>
    <t>Mailing_City_State</t>
  </si>
  <si>
    <t>Mail_Zip_4</t>
  </si>
  <si>
    <t>Owner_Occupied</t>
  </si>
  <si>
    <t>County_Land_Use</t>
  </si>
  <si>
    <t>County_Land_Use_Desc</t>
  </si>
  <si>
    <t>Standardized_Land_Use</t>
  </si>
  <si>
    <t>Standardized_Land_Use_Desc</t>
  </si>
  <si>
    <t>Lot_Frontage</t>
  </si>
  <si>
    <t>Lot_Depth</t>
  </si>
  <si>
    <t>Lot_Size</t>
  </si>
  <si>
    <t>Lot_Size_Unit</t>
  </si>
  <si>
    <t>Zoning</t>
  </si>
  <si>
    <t>Building_Class</t>
  </si>
  <si>
    <t>Year_Built</t>
  </si>
  <si>
    <t>No_Of_Stories</t>
  </si>
  <si>
    <t>No_Of_Units</t>
  </si>
  <si>
    <t>Assessment_Year</t>
  </si>
  <si>
    <t>Assessed_Land_Value</t>
  </si>
  <si>
    <t>Assessed_Improvement_Value</t>
  </si>
  <si>
    <t>Total_Assessed_Value</t>
  </si>
  <si>
    <t>Market_Value_Year</t>
  </si>
  <si>
    <t>Market_Land_Value</t>
  </si>
  <si>
    <t>Market_Improvement_Value</t>
  </si>
  <si>
    <t>Total_Market_Value</t>
  </si>
  <si>
    <t>Tax_Amount</t>
  </si>
  <si>
    <t>Latest_Sale_Date</t>
  </si>
  <si>
    <t>Latest_Sale_Price</t>
  </si>
  <si>
    <t>Latest_Arms_Length_Sale_Date</t>
  </si>
  <si>
    <t>Latest_Arms_Length_Sale_Price</t>
  </si>
  <si>
    <t>Prior_Arms_Length_Sale_Date</t>
  </si>
  <si>
    <t>Prior_Arms_Length_Sale_Price</t>
  </si>
  <si>
    <t>Loan1_Contract_Date</t>
  </si>
  <si>
    <t>Loan1_Recording_Date</t>
  </si>
  <si>
    <t>Loan1_Amount</t>
  </si>
  <si>
    <t>Loan1_Due_Date</t>
  </si>
  <si>
    <t>Loan1_Type</t>
  </si>
  <si>
    <t>Loan2_Contract_Date</t>
  </si>
  <si>
    <t>Loan2_Recording_Date</t>
  </si>
  <si>
    <t>Loan2_Amount</t>
  </si>
  <si>
    <t>Loan2_Due_Date</t>
  </si>
  <si>
    <t>Loan2_Type</t>
  </si>
  <si>
    <t>Legal_City</t>
  </si>
  <si>
    <t>Legal_Block</t>
  </si>
  <si>
    <t>Legal_Lot_Number</t>
  </si>
  <si>
    <t>Legal_Section</t>
  </si>
  <si>
    <t>Legal_District</t>
  </si>
  <si>
    <t>Legal_Unit</t>
  </si>
  <si>
    <t>Legal_Subdivision_Name</t>
  </si>
  <si>
    <t>Legal_Phase_Number</t>
  </si>
  <si>
    <t>Legal_Tract_Number</t>
  </si>
  <si>
    <t>Legal_Section_Township_Range_Meridian</t>
  </si>
  <si>
    <t>Legal_Assessors_Map_Ref</t>
  </si>
  <si>
    <t>Legal_Brief_Desc</t>
  </si>
  <si>
    <t>environmentalsubjectsitefoundcount</t>
  </si>
  <si>
    <t>environmentalsitefoundcount</t>
  </si>
  <si>
    <t>environmentalscore</t>
  </si>
  <si>
    <t>NFHL_EXISTS</t>
  </si>
  <si>
    <t>FLD_ZONE</t>
  </si>
  <si>
    <t>ZONE_SUBTY</t>
  </si>
  <si>
    <t>SFHA</t>
  </si>
  <si>
    <t>AR_REVERT</t>
  </si>
  <si>
    <t>STATIC_BFE</t>
  </si>
  <si>
    <t>V_DATUM</t>
  </si>
  <si>
    <t>DFIRM_ID</t>
  </si>
  <si>
    <t>VERSION_ID</t>
  </si>
  <si>
    <t>FLD_AR_ID</t>
  </si>
  <si>
    <t>EFF_DATE</t>
  </si>
  <si>
    <t>FLD_CLASS</t>
  </si>
  <si>
    <t>BFE_WSEL</t>
  </si>
  <si>
    <t>DIST1_100</t>
  </si>
  <si>
    <t>DIST1_500</t>
  </si>
  <si>
    <t>SOURCE_CIT</t>
  </si>
  <si>
    <t>DATA_UPDATE_DATE</t>
  </si>
  <si>
    <t>SuperiorLien</t>
  </si>
  <si>
    <t>LisPendens</t>
  </si>
  <si>
    <t>LastBondDateUpdated</t>
  </si>
  <si>
    <t>CDDName</t>
  </si>
  <si>
    <t>BondStatus</t>
  </si>
  <si>
    <t>TotalBondAmount</t>
  </si>
  <si>
    <t>CertHolderType</t>
  </si>
  <si>
    <t>TaxDeedHistory</t>
  </si>
  <si>
    <t>BackTaxOpenCount</t>
  </si>
  <si>
    <t>BackTaxClosedCount</t>
  </si>
  <si>
    <t>RollupFaceAmount</t>
  </si>
  <si>
    <t>RollupInterest</t>
  </si>
  <si>
    <t>RollupTotal</t>
  </si>
  <si>
    <t>BackTaxLastUpdated</t>
  </si>
  <si>
    <t>SAL_DATE1</t>
  </si>
  <si>
    <t>DEL_YEAR1</t>
  </si>
  <si>
    <t>FACE_AMT1</t>
  </si>
  <si>
    <t>CER_NUM1</t>
  </si>
  <si>
    <t>INT_RATE1</t>
  </si>
  <si>
    <t>CERT_HOLDER_TYPE1</t>
  </si>
  <si>
    <t>CER_STAT1</t>
  </si>
  <si>
    <t>RED_DATE1</t>
  </si>
  <si>
    <t>MONTHS_OPEN1</t>
  </si>
  <si>
    <t>BIDDER_NUMBER1</t>
  </si>
  <si>
    <t>BIDDER_NAME1</t>
  </si>
  <si>
    <t>TAX_DEED1</t>
  </si>
  <si>
    <t>SAL_DATE2</t>
  </si>
  <si>
    <t>DEL_YEAR2</t>
  </si>
  <si>
    <t>FACE_AMT2</t>
  </si>
  <si>
    <t>CER_NUM2</t>
  </si>
  <si>
    <t>INT_RATE2</t>
  </si>
  <si>
    <t>CERT_HOLDER_TYPE2</t>
  </si>
  <si>
    <t>CER_STAT2</t>
  </si>
  <si>
    <t>RED_DATE2</t>
  </si>
  <si>
    <t>MONTHS_OPEN2</t>
  </si>
  <si>
    <t>BIDDER_NUMBER2</t>
  </si>
  <si>
    <t>BIDDER_NAME2</t>
  </si>
  <si>
    <t>TAX_DEED2</t>
  </si>
  <si>
    <t>SAL_DATE3</t>
  </si>
  <si>
    <t>DEL_YEAR3</t>
  </si>
  <si>
    <t>FACE_AMT3</t>
  </si>
  <si>
    <t>CER_NUM3</t>
  </si>
  <si>
    <t>INT_RATE3</t>
  </si>
  <si>
    <t>CERT_HOLDER_TYPE3</t>
  </si>
  <si>
    <t>CER_STAT3</t>
  </si>
  <si>
    <t>RED_DATE3</t>
  </si>
  <si>
    <t>MONTHS_OPEN3</t>
  </si>
  <si>
    <t>BIDDER_NUMBER3</t>
  </si>
  <si>
    <t>BIDDER_NAME3</t>
  </si>
  <si>
    <t>TAX_DEED3</t>
  </si>
  <si>
    <t>SAL_DATE4</t>
  </si>
  <si>
    <t>DEL_YEAR4</t>
  </si>
  <si>
    <t>FACE_AMT4</t>
  </si>
  <si>
    <t>CER_NUM4</t>
  </si>
  <si>
    <t>INT_RATE4</t>
  </si>
  <si>
    <t>CERT_HOLDER_TYPE4</t>
  </si>
  <si>
    <t>CER_STAT4</t>
  </si>
  <si>
    <t>RED_DATE4</t>
  </si>
  <si>
    <t>MONTHS_OPEN4</t>
  </si>
  <si>
    <t>BIDDER_NUMBER4</t>
  </si>
  <si>
    <t>BIDDER_NAME4</t>
  </si>
  <si>
    <t>TAX_DEED4</t>
  </si>
  <si>
    <t>SAL_DATE5</t>
  </si>
  <si>
    <t>DEL_YEAR5</t>
  </si>
  <si>
    <t>FACE_AMT5</t>
  </si>
  <si>
    <t>CER_NUM5</t>
  </si>
  <si>
    <t>INT_RATE5</t>
  </si>
  <si>
    <t>CERT_HOLDER_TYPE5</t>
  </si>
  <si>
    <t>CER_STAT5</t>
  </si>
  <si>
    <t>RED_DATE5</t>
  </si>
  <si>
    <t>MONTHS_OPEN5</t>
  </si>
  <si>
    <t>BIDDER_NUMBER5</t>
  </si>
  <si>
    <t>BIDDER_NAME5</t>
  </si>
  <si>
    <t>TAX_DEED5</t>
  </si>
  <si>
    <t>SAL_DATE6</t>
  </si>
  <si>
    <t>DEL_YEAR6</t>
  </si>
  <si>
    <t>FACE_AMT6</t>
  </si>
  <si>
    <t>CER_NUM6</t>
  </si>
  <si>
    <t>INT_RATE6</t>
  </si>
  <si>
    <t>CERT_HOLDER_TYPE6</t>
  </si>
  <si>
    <t>CER_STAT6</t>
  </si>
  <si>
    <t>RED_DATE6</t>
  </si>
  <si>
    <t>MONTHS_OPEN6</t>
  </si>
  <si>
    <t>BIDDER_NUMBER6</t>
  </si>
  <si>
    <t>BIDDER_NAME6</t>
  </si>
  <si>
    <t>TAX_DEED6</t>
  </si>
  <si>
    <t>SAL_DATE7</t>
  </si>
  <si>
    <t>DEL_YEAR7</t>
  </si>
  <si>
    <t>FACE_AMT7</t>
  </si>
  <si>
    <t>CER_NUM7</t>
  </si>
  <si>
    <t>INT_RATE7</t>
  </si>
  <si>
    <t>CERT_HOLDER_TYPE7</t>
  </si>
  <si>
    <t>CER_STAT7</t>
  </si>
  <si>
    <t>RED_DATE7</t>
  </si>
  <si>
    <t>MONTHS_OPEN7</t>
  </si>
  <si>
    <t>BIDDER_NUMBER7</t>
  </si>
  <si>
    <t>BIDDER_NAME7</t>
  </si>
  <si>
    <t>TAX_DEED7</t>
  </si>
  <si>
    <t>SAL_DATE8</t>
  </si>
  <si>
    <t>DEL_YEAR8</t>
  </si>
  <si>
    <t>FACE_AMT8</t>
  </si>
  <si>
    <t>CER_NUM8</t>
  </si>
  <si>
    <t>INT_RATE8</t>
  </si>
  <si>
    <t>CERT_HOLDER_TYPE8</t>
  </si>
  <si>
    <t>CER_STAT8</t>
  </si>
  <si>
    <t>RED_DATE8</t>
  </si>
  <si>
    <t>MONTHS_OPEN8</t>
  </si>
  <si>
    <t>BIDDER_NUMBER8</t>
  </si>
  <si>
    <t>BIDDER_NAME8</t>
  </si>
  <si>
    <t>TAX_DEED8</t>
  </si>
  <si>
    <t>SAL_DATE9</t>
  </si>
  <si>
    <t>DEL_YEAR9</t>
  </si>
  <si>
    <t>FACE_AMT9</t>
  </si>
  <si>
    <t>CER_NUM9</t>
  </si>
  <si>
    <t>INT_RATE9</t>
  </si>
  <si>
    <t>CERT_HOLDER_TYPE9</t>
  </si>
  <si>
    <t>CER_STAT9</t>
  </si>
  <si>
    <t>RED_DATE9</t>
  </si>
  <si>
    <t>MONTHS_OPEN9</t>
  </si>
  <si>
    <t>BIDDER_NUMBER9</t>
  </si>
  <si>
    <t>BIDDER_NAME9</t>
  </si>
  <si>
    <t>TAX_DEED9</t>
  </si>
  <si>
    <t>SAL_DATE10</t>
  </si>
  <si>
    <t>DEL_YEAR10</t>
  </si>
  <si>
    <t>FACE_AMT10</t>
  </si>
  <si>
    <t>CER_NUM10</t>
  </si>
  <si>
    <t>INT_RATE10</t>
  </si>
  <si>
    <t>CERT_HOLDER_TYPE10</t>
  </si>
  <si>
    <t>CER_STAT10</t>
  </si>
  <si>
    <t>RED_DATE10</t>
  </si>
  <si>
    <t>MONTHS_OPEN10</t>
  </si>
  <si>
    <t>BIDDER_NUMBER10</t>
  </si>
  <si>
    <t>BIDDER_NAME10</t>
  </si>
  <si>
    <t>TAX_DEED10</t>
  </si>
  <si>
    <t>SAL_DATE11</t>
  </si>
  <si>
    <t>DEL_YEAR11</t>
  </si>
  <si>
    <t>FACE_AMT11</t>
  </si>
  <si>
    <t>CER_NUM11</t>
  </si>
  <si>
    <t>INT_RATE11</t>
  </si>
  <si>
    <t>CERT_HOLDER_TYPE11</t>
  </si>
  <si>
    <t>CER_STAT11</t>
  </si>
  <si>
    <t>RED_DATE11</t>
  </si>
  <si>
    <t>MONTHS_OPEN11</t>
  </si>
  <si>
    <t>BIDDER_NUMBER11</t>
  </si>
  <si>
    <t>BIDDER_NAME11</t>
  </si>
  <si>
    <t>TAX_DEED11</t>
  </si>
  <si>
    <t>SAL_DATE12</t>
  </si>
  <si>
    <t>DEL_YEAR12</t>
  </si>
  <si>
    <t>FACE_AMT12</t>
  </si>
  <si>
    <t>CER_NUM12</t>
  </si>
  <si>
    <t>INT_RATE12</t>
  </si>
  <si>
    <t>CERT_HOLDER_TYPE12</t>
  </si>
  <si>
    <t>CER_STAT12</t>
  </si>
  <si>
    <t>RED_DATE12</t>
  </si>
  <si>
    <t>MONTHS_OPEN12</t>
  </si>
  <si>
    <t>BIDDER_NUMBER12</t>
  </si>
  <si>
    <t>BIDDER_NAME12</t>
  </si>
  <si>
    <t>TAX_DEED12</t>
  </si>
  <si>
    <t>SAL_DATE13</t>
  </si>
  <si>
    <t>DEL_YEAR13</t>
  </si>
  <si>
    <t>FACE_AMT13</t>
  </si>
  <si>
    <t>CER_NUM13</t>
  </si>
  <si>
    <t>INT_RATE13</t>
  </si>
  <si>
    <t>CERT_HOLDER_TYPE13</t>
  </si>
  <si>
    <t>CER_STAT13</t>
  </si>
  <si>
    <t>RED_DATE13</t>
  </si>
  <si>
    <t>MONTHS_OPEN13</t>
  </si>
  <si>
    <t>BIDDER_NUMBER13</t>
  </si>
  <si>
    <t>BIDDER_NAME13</t>
  </si>
  <si>
    <t>TAX_DEED13</t>
  </si>
  <si>
    <t>SAL_DATE14</t>
  </si>
  <si>
    <t>DEL_YEAR14</t>
  </si>
  <si>
    <t>FACE_AMT14</t>
  </si>
  <si>
    <t>CER_NUM14</t>
  </si>
  <si>
    <t>INT_RATE14</t>
  </si>
  <si>
    <t>CERT_HOLDER_TYPE14</t>
  </si>
  <si>
    <t>CER_STAT14</t>
  </si>
  <si>
    <t>RED_DATE14</t>
  </si>
  <si>
    <t>MONTHS_OPEN14</t>
  </si>
  <si>
    <t>BIDDER_NUMBER14</t>
  </si>
  <si>
    <t>BIDDER_NAME14</t>
  </si>
  <si>
    <t>TAX_DEED14</t>
  </si>
  <si>
    <t>SAL_DATE15</t>
  </si>
  <si>
    <t>DEL_YEAR15</t>
  </si>
  <si>
    <t>FACE_AMT15</t>
  </si>
  <si>
    <t>CER_NUM15</t>
  </si>
  <si>
    <t>INT_RATE15</t>
  </si>
  <si>
    <t>CERT_HOLDER_TYPE15</t>
  </si>
  <si>
    <t>CER_STAT15</t>
  </si>
  <si>
    <t>RED_DATE15</t>
  </si>
  <si>
    <t>MONTHS_OPEN15</t>
  </si>
  <si>
    <t>BIDDER_NUMBER15</t>
  </si>
  <si>
    <t>BIDDER_NAME15</t>
  </si>
  <si>
    <t>TAX_DEED15</t>
  </si>
  <si>
    <t>SAL_DATE16</t>
  </si>
  <si>
    <t>DEL_YEAR16</t>
  </si>
  <si>
    <t>FACE_AMT16</t>
  </si>
  <si>
    <t>CER_NUM16</t>
  </si>
  <si>
    <t>INT_RATE16</t>
  </si>
  <si>
    <t>CERT_HOLDER_TYPE16</t>
  </si>
  <si>
    <t>CER_STAT16</t>
  </si>
  <si>
    <t>RED_DATE16</t>
  </si>
  <si>
    <t>MONTHS_OPEN16</t>
  </si>
  <si>
    <t>BIDDER_NUMBER16</t>
  </si>
  <si>
    <t>BIDDER_NAME16</t>
  </si>
  <si>
    <t>TAX_DEED16</t>
  </si>
  <si>
    <t>SAL_DATE17</t>
  </si>
  <si>
    <t>DEL_YEAR17</t>
  </si>
  <si>
    <t>FACE_AMT17</t>
  </si>
  <si>
    <t>CER_NUM17</t>
  </si>
  <si>
    <t>INT_RATE17</t>
  </si>
  <si>
    <t>CERT_HOLDER_TYPE17</t>
  </si>
  <si>
    <t>CER_STAT17</t>
  </si>
  <si>
    <t>RED_DATE17</t>
  </si>
  <si>
    <t>MONTHS_OPEN17</t>
  </si>
  <si>
    <t>BIDDER_NUMBER17</t>
  </si>
  <si>
    <t>BIDDER_NAME17</t>
  </si>
  <si>
    <t>TAX_DEED17</t>
  </si>
  <si>
    <t>SAL_DATE18</t>
  </si>
  <si>
    <t>DEL_YEAR18</t>
  </si>
  <si>
    <t>FACE_AMT18</t>
  </si>
  <si>
    <t>CER_NUM18</t>
  </si>
  <si>
    <t>INT_RATE18</t>
  </si>
  <si>
    <t>CERT_HOLDER_TYPE18</t>
  </si>
  <si>
    <t>CER_STAT18</t>
  </si>
  <si>
    <t>RED_DATE18</t>
  </si>
  <si>
    <t>MONTHS_OPEN18</t>
  </si>
  <si>
    <t>BIDDER_NUMBER18</t>
  </si>
  <si>
    <t>BIDDER_NAME18</t>
  </si>
  <si>
    <t>TAX_DEED18</t>
  </si>
  <si>
    <t>SAL_DATE19</t>
  </si>
  <si>
    <t>DEL_YEAR19</t>
  </si>
  <si>
    <t>FACE_AMT19</t>
  </si>
  <si>
    <t>CER_NUM19</t>
  </si>
  <si>
    <t>INT_RATE19</t>
  </si>
  <si>
    <t>CERT_HOLDER_TYPE19</t>
  </si>
  <si>
    <t>CER_STAT19</t>
  </si>
  <si>
    <t>RED_DATE19</t>
  </si>
  <si>
    <t>MONTHS_OPEN19</t>
  </si>
  <si>
    <t>BIDDER_NUMBER19</t>
  </si>
  <si>
    <t>BIDDER_NAME19</t>
  </si>
  <si>
    <t>TAX_DEED19</t>
  </si>
  <si>
    <t>SAL_DATE20</t>
  </si>
  <si>
    <t>DEL_YEAR20</t>
  </si>
  <si>
    <t>FACE_AMT20</t>
  </si>
  <si>
    <t>CER_NUM20</t>
  </si>
  <si>
    <t>INT_RATE20</t>
  </si>
  <si>
    <t>CERT_HOLDER_TYPE20</t>
  </si>
  <si>
    <t>CER_STAT20</t>
  </si>
  <si>
    <t>RED_DATE20</t>
  </si>
  <si>
    <t>MONTHS_OPEN20</t>
  </si>
  <si>
    <t>BIDDER_NUMBER20</t>
  </si>
  <si>
    <t>BIDDER_NAME20</t>
  </si>
  <si>
    <t>TAX_DEED20</t>
  </si>
  <si>
    <t>Florida</t>
  </si>
  <si>
    <t>Nassau</t>
  </si>
  <si>
    <t>03-1N-23-0000-0008-0010</t>
  </si>
  <si>
    <t>A</t>
  </si>
  <si>
    <t>SR 2</t>
  </si>
  <si>
    <t>HILLIARD</t>
  </si>
  <si>
    <t>2803 SR 2</t>
  </si>
  <si>
    <t>HILLIARD FL 32046</t>
  </si>
  <si>
    <t>TANNER IRIS C BRADDOCK</t>
  </si>
  <si>
    <t>2475 STATE ROAD 2</t>
  </si>
  <si>
    <t>HILLIARD FL</t>
  </si>
  <si>
    <t>N</t>
  </si>
  <si>
    <t>Mobile Homes</t>
  </si>
  <si>
    <t>Mobile home</t>
  </si>
  <si>
    <t>SF</t>
  </si>
  <si>
    <t>OR OPEN RU</t>
  </si>
  <si>
    <t>3-01N-23E</t>
  </si>
  <si>
    <t>PT OR 111/723 L/E &amp; PT OR 328/413 R498308 EX PAR 8-1L 8-3 8-10 8-12 &amp;</t>
  </si>
  <si>
    <t>Potential Low Risk</t>
  </si>
  <si>
    <t>04-1N-23-0000-0001-0020</t>
  </si>
  <si>
    <t>HOOT OWL HOLW</t>
  </si>
  <si>
    <t>18150 HOOT OWL HOLW</t>
  </si>
  <si>
    <t>MILLER SARAH ANN</t>
  </si>
  <si>
    <t>Y</t>
  </si>
  <si>
    <t>Timberland - site index 70 to 79</t>
  </si>
  <si>
    <t>Timberland Forest Trees (Agricultural)</t>
  </si>
  <si>
    <t>4-01N-23E</t>
  </si>
  <si>
    <t>IN OR 1627/431 EX 4-8 &amp; 1-8 2002/FTWD/DW/MH</t>
  </si>
  <si>
    <t>Individual</t>
  </si>
  <si>
    <t>No</t>
  </si>
  <si>
    <t>2017-2</t>
  </si>
  <si>
    <t>I</t>
  </si>
  <si>
    <t>Closed</t>
  </si>
  <si>
    <t>FCAP AS CUSTODIAN FOR FTCFIMT, LLC FL TAX CERT FUND I MUNI TAX, LLC</t>
  </si>
  <si>
    <t>PEGUN 7097 LLC</t>
  </si>
  <si>
    <t>2012-704</t>
  </si>
  <si>
    <t>PALM TREE TAX 2, LLC PALM TREE TAX LLC CAPITAL ONE</t>
  </si>
  <si>
    <t>LIME PORPOISE 10 LLC PALM TREE TAX, CAPONE NA AS CO</t>
  </si>
  <si>
    <t>04-1N-23-0000-0001-0080</t>
  </si>
  <si>
    <t>18205 HOOT OWL HOLW</t>
  </si>
  <si>
    <t>Grazing land soil capability Class I</t>
  </si>
  <si>
    <t>Range land (grazing)</t>
  </si>
  <si>
    <t>IN OR 1625/787</t>
  </si>
  <si>
    <t>2017-3</t>
  </si>
  <si>
    <t>MTAG AS CUSTODIAN FOR CAZ CREEK FLORIDA II, LLC</t>
  </si>
  <si>
    <t>BISBEE LLC X18AA22</t>
  </si>
  <si>
    <t>2012-705</t>
  </si>
  <si>
    <t>STRATTON HARRY</t>
  </si>
  <si>
    <t>04-1N-23-0000-0003-0090</t>
  </si>
  <si>
    <t>2476 SR 2</t>
  </si>
  <si>
    <t>HARTMAN GEORGE ALLEN</t>
  </si>
  <si>
    <t>2476 STATE ROAD 2</t>
  </si>
  <si>
    <t>PT GOVT LOTS 7 &amp; 8 OF SEC 4-1N-23E IN OR 1724/763</t>
  </si>
  <si>
    <t>T</t>
  </si>
  <si>
    <t>12089C</t>
  </si>
  <si>
    <t>1.1.1.0</t>
  </si>
  <si>
    <t>12089C_554</t>
  </si>
  <si>
    <t>High</t>
  </si>
  <si>
    <t>12089C_12089C_</t>
  </si>
  <si>
    <t>Yes</t>
  </si>
  <si>
    <t>2017-5</t>
  </si>
  <si>
    <t>Open</t>
  </si>
  <si>
    <t>VANTAGE TRCE 15 LEASE MANGEMENT LLC</t>
  </si>
  <si>
    <t>2015-2</t>
  </si>
  <si>
    <t>US BANK AS CUST FOR MAGNOLIA TC 15, LLC</t>
  </si>
  <si>
    <t>TD</t>
  </si>
  <si>
    <t>FFFFF3154</t>
  </si>
  <si>
    <t>2014-3</t>
  </si>
  <si>
    <t>MAGNOLIA TC 14, LLC</t>
  </si>
  <si>
    <t>2012-706</t>
  </si>
  <si>
    <t>QUATTLEBAUM SHERRY</t>
  </si>
  <si>
    <t>04-1N-23-0000-0003-0120</t>
  </si>
  <si>
    <t>WHEELING TR</t>
  </si>
  <si>
    <t>17465 WHEELING TR</t>
  </si>
  <si>
    <t>FERGUSON ROBERT DALE</t>
  </si>
  <si>
    <t>1480 UNCLE CHARLES CIR</t>
  </si>
  <si>
    <t>PT GOVT LOT 8 OF SEC 4-1N-23E IN OR 1666/48 {R622208 &amp; R622209}</t>
  </si>
  <si>
    <t>X</t>
  </si>
  <si>
    <t>AREA OF MINIMAL FLOOD HAZARD</t>
  </si>
  <si>
    <t>F</t>
  </si>
  <si>
    <t>12089C_1155</t>
  </si>
  <si>
    <t>Minimal</t>
  </si>
  <si>
    <t>2017-7</t>
  </si>
  <si>
    <t>BEACON HOLLOW 84 RENTING REO LLC</t>
  </si>
  <si>
    <t>2016-2</t>
  </si>
  <si>
    <t>ALLAN W JONES</t>
  </si>
  <si>
    <t>2015-4</t>
  </si>
  <si>
    <t>CAPITAL ONE, N.A., AS COLLATERAL ASSIGNEE OF TLGFY, LLC</t>
  </si>
  <si>
    <t>ORANGE DOLPHINS XWJF LLC</t>
  </si>
  <si>
    <t>2014-4</t>
  </si>
  <si>
    <t>ARONI, LLC</t>
  </si>
  <si>
    <t>2013-3</t>
  </si>
  <si>
    <t>MUNI TAX SERVICES LLC AS CUSTODIAN FOR FLORIDA CORAL LIEN INVESTMENTS LLC</t>
  </si>
  <si>
    <t>2012-708</t>
  </si>
  <si>
    <t>RMC TL 2013 LLC CAPITAL ONE, NA AS COLLATERAL ASSIGNEE FOR RMC TL</t>
  </si>
  <si>
    <t>GERMAN AMERICAN CAPITAL CORP</t>
  </si>
  <si>
    <t>04-1N-23-0000-0005-0010</t>
  </si>
  <si>
    <t>TANNER IRIS BRADDOCK</t>
  </si>
  <si>
    <t>Vacant Residential</t>
  </si>
  <si>
    <t>Residential-Vacant Land</t>
  </si>
  <si>
    <t>PT OR 328/413 EX R/W OR 535/356 EX 5-5 5-7 5-9 5-11 5-13 5-14</t>
  </si>
  <si>
    <t>04-1N-23-0000-0005-0080</t>
  </si>
  <si>
    <t>OAK HILL</t>
  </si>
  <si>
    <t>RD</t>
  </si>
  <si>
    <t>17201 OAK HILL RD</t>
  </si>
  <si>
    <t>BURNSED JAMES FRANKLIN</t>
  </si>
  <si>
    <t>BURNSED JAMES FENTON</t>
  </si>
  <si>
    <t>IN OR 1220/1889</t>
  </si>
  <si>
    <t>2017-8</t>
  </si>
  <si>
    <t>CHERI LYNN ROSENTHAL</t>
  </si>
  <si>
    <t>2016-3</t>
  </si>
  <si>
    <t>2015-5</t>
  </si>
  <si>
    <t>CAPITAL ONE CLTRL ASSIGNEE OF FIG 2241, LLC</t>
  </si>
  <si>
    <t>2014-6</t>
  </si>
  <si>
    <t>CAPITAL ONE CLTRL ASSIGNEE OF FIG 2222, LLC</t>
  </si>
  <si>
    <t>2013-5</t>
  </si>
  <si>
    <t>JONES NANCIE</t>
  </si>
  <si>
    <t>2011-2</t>
  </si>
  <si>
    <t>JAMOS FLORIDA FUND I, LLC CAPITAL ONE, N.A</t>
  </si>
  <si>
    <t>04-1N-23-0000-0005-0090</t>
  </si>
  <si>
    <t>2475 SR 2</t>
  </si>
  <si>
    <t>Single Family</t>
  </si>
  <si>
    <t>Single Family Residential</t>
  </si>
  <si>
    <t>PT OR 328 PG 413</t>
  </si>
  <si>
    <t>04-1N-23-0000-0005-0130</t>
  </si>
  <si>
    <t>17324 OAK HILL RD</t>
  </si>
  <si>
    <t>TANNER IRIS C &amp; LINDA &amp; WILBUR L RYALS</t>
  </si>
  <si>
    <t>2655 CRENSHAW LN</t>
  </si>
  <si>
    <t>IN OR 968/787</t>
  </si>
  <si>
    <t>2017-9</t>
  </si>
  <si>
    <t>ECRU LLC HEA3226344</t>
  </si>
  <si>
    <t>2016-5</t>
  </si>
  <si>
    <t>CCTS EPSILON GROUP 140760 US BANK CUST FOR PFS FINANCIAL 2 LLC</t>
  </si>
  <si>
    <t>2012-711</t>
  </si>
  <si>
    <t>04-1N-23-0000-0005-0240</t>
  </si>
  <si>
    <t>OAK HILL RD</t>
  </si>
  <si>
    <t>TANNER IRIS</t>
  </si>
  <si>
    <t>IN OR 1767/1999</t>
  </si>
  <si>
    <t>2016-6</t>
  </si>
  <si>
    <t>2015-7</t>
  </si>
  <si>
    <t>2014-9</t>
  </si>
  <si>
    <t>W A H REAL ESTATE INVESTMENT</t>
  </si>
  <si>
    <t>04-1N-23-0000-0005-0270</t>
  </si>
  <si>
    <t>OFF SR 2</t>
  </si>
  <si>
    <t>IN OR 1815/1669</t>
  </si>
  <si>
    <t>2016-7</t>
  </si>
  <si>
    <t>GREG WHEELER</t>
  </si>
  <si>
    <t>2015-8</t>
  </si>
  <si>
    <t>2014-10</t>
  </si>
  <si>
    <t>04-1N-23-0000-0005-0280</t>
  </si>
  <si>
    <t>PT OR 328/413 EX R/W OR 535/356</t>
  </si>
  <si>
    <t>05-1N-23-0000-0001-0030</t>
  </si>
  <si>
    <t>16540 OAK HILL RD</t>
  </si>
  <si>
    <t>BERKE JOSEPH F JR</t>
  </si>
  <si>
    <t>10435 GEORGE TABOR LANE</t>
  </si>
  <si>
    <t>JACKSONVILLE FL</t>
  </si>
  <si>
    <t>5-01N-23E</t>
  </si>
  <si>
    <t>IN OR 1144/1708 &amp; CASE #42-2009-DR-03490-FJ OR 1821/429</t>
  </si>
  <si>
    <t>12-1N-23-0000-0007-0010</t>
  </si>
  <si>
    <t>HOWARD</t>
  </si>
  <si>
    <t>BRYCEVILLE</t>
  </si>
  <si>
    <t>15552 HOWARD RD</t>
  </si>
  <si>
    <t>BRYCEVILLE FL 32009</t>
  </si>
  <si>
    <t>GORDON MICHAEL VERNON &amp;</t>
  </si>
  <si>
    <t>GORDON SHEILA T (JT/RS) 15552 HOWARD RD</t>
  </si>
  <si>
    <t>BRYCEVILLE FL</t>
  </si>
  <si>
    <t>12-01N-23E</t>
  </si>
  <si>
    <t>PT OF GOVT LOT 8 IN OR 1726/212 1997 SPRI DW/MH</t>
  </si>
  <si>
    <t>12089C_659</t>
  </si>
  <si>
    <t>2017-12</t>
  </si>
  <si>
    <t>SANMARCORA OZFCYA</t>
  </si>
  <si>
    <t>2016-10</t>
  </si>
  <si>
    <t>CLEMENTINE DOLPHIN AAZG LLC</t>
  </si>
  <si>
    <t>2015-11</t>
  </si>
  <si>
    <t>CROTONE1543</t>
  </si>
  <si>
    <t>2014-13</t>
  </si>
  <si>
    <t>2013-12</t>
  </si>
  <si>
    <t>2012-1153</t>
  </si>
  <si>
    <t>2011-12</t>
  </si>
  <si>
    <t>SAU CHI (NINA) SOO HOO</t>
  </si>
  <si>
    <t>12-1N-23-0000-0008-0040</t>
  </si>
  <si>
    <t>15358 HOWARD RD</t>
  </si>
  <si>
    <t>SNOWDEN DENISE B</t>
  </si>
  <si>
    <t>PT OF GOVT LOT 2 IN OR 529 PG 1109 &amp; OR 709/259</t>
  </si>
  <si>
    <t>2017-13</t>
  </si>
  <si>
    <t>SANMARCORA VSJCWT</t>
  </si>
  <si>
    <t>2016-11</t>
  </si>
  <si>
    <t>US BANK AS CUST FOR MAGNOLIA TC 16, LLC</t>
  </si>
  <si>
    <t>DDDDD1126</t>
  </si>
  <si>
    <t>2015-12</t>
  </si>
  <si>
    <t>CHITWAN HATI INV 285 LLC</t>
  </si>
  <si>
    <t>2014-14</t>
  </si>
  <si>
    <t>2013-13</t>
  </si>
  <si>
    <t>2012-1154</t>
  </si>
  <si>
    <t>2011-13</t>
  </si>
  <si>
    <t>US BANK AS C/F FL DUNDEE LIEN INV LLC</t>
  </si>
  <si>
    <t>GL FUNDING LIMITED</t>
  </si>
  <si>
    <t>12-1N-23-0000-0009-0010</t>
  </si>
  <si>
    <t>HOWARD RD</t>
  </si>
  <si>
    <t>BARBER GLENDA S</t>
  </si>
  <si>
    <t>15358 HOWARD ROAD</t>
  </si>
  <si>
    <t>OR 529/1110 &amp; OR 1542/1145 EX 9-3 &amp; 9-4</t>
  </si>
  <si>
    <t>Mixed</t>
  </si>
  <si>
    <t>2017-14</t>
  </si>
  <si>
    <t>RAJENDRA GUPTA</t>
  </si>
  <si>
    <t>2016-12</t>
  </si>
  <si>
    <t>DONOVAN A. COLEY</t>
  </si>
  <si>
    <t>2015-13</t>
  </si>
  <si>
    <t>ORLANDO J AVILA</t>
  </si>
  <si>
    <t>2014-15</t>
  </si>
  <si>
    <t>C</t>
  </si>
  <si>
    <t>NASSAU COUNTY</t>
  </si>
  <si>
    <t>MARK H FINK</t>
  </si>
  <si>
    <t>2013-14</t>
  </si>
  <si>
    <t>2012-1155</t>
  </si>
  <si>
    <t>2011-14</t>
  </si>
  <si>
    <t>FIRST COAST INC</t>
  </si>
  <si>
    <t>19-1N-23-0000-0006-0010</t>
  </si>
  <si>
    <t>CR 121</t>
  </si>
  <si>
    <t>14739 CR 121</t>
  </si>
  <si>
    <t>GILL JIMMY LEWIS</t>
  </si>
  <si>
    <t>14739 COUNTY ROAD 121</t>
  </si>
  <si>
    <t>19-01N-23E</t>
  </si>
  <si>
    <t>PT N1/2 OF N1/2 OF SW1/4 OF SW1/4 OF SEC 19-1N-23E BEING ONLY PT LYING E OF SR #121</t>
  </si>
  <si>
    <t>2017-15</t>
  </si>
  <si>
    <t>2016-13</t>
  </si>
  <si>
    <t>JENNY COLEY</t>
  </si>
  <si>
    <t>2015-14</t>
  </si>
  <si>
    <t>2014-16</t>
  </si>
  <si>
    <t>2013-15</t>
  </si>
  <si>
    <t>2012-1345</t>
  </si>
  <si>
    <t>2011-15</t>
  </si>
  <si>
    <t>19-1N-23-0000-0007-0030</t>
  </si>
  <si>
    <t>14621 CR 121</t>
  </si>
  <si>
    <t>JOHNS AUDREY H</t>
  </si>
  <si>
    <t>6063 ACRE ROAD</t>
  </si>
  <si>
    <t>MACCLENNY FL</t>
  </si>
  <si>
    <t>NI/2 OF S1/4 OF SW1/4 OF SW1/4 EAST OF ROAD 121 IN OR 1336/1231</t>
  </si>
  <si>
    <t>2017-16</t>
  </si>
  <si>
    <t>BUXEB 36548 LLC</t>
  </si>
  <si>
    <t>2016-14</t>
  </si>
  <si>
    <t>2015-15</t>
  </si>
  <si>
    <t>B1519</t>
  </si>
  <si>
    <t>2013-17</t>
  </si>
  <si>
    <t>2012-1346</t>
  </si>
  <si>
    <t>2011-17</t>
  </si>
  <si>
    <t>20-1N-23-0000-0003-0080</t>
  </si>
  <si>
    <t>JIMMY CONNER</t>
  </si>
  <si>
    <t>PL</t>
  </si>
  <si>
    <t>2527 JIMMY CONNER PL</t>
  </si>
  <si>
    <t>MUMFORD HARRY JAMES</t>
  </si>
  <si>
    <t>CONNER MELISSA D</t>
  </si>
  <si>
    <t>20-01N-23E</t>
  </si>
  <si>
    <t>PT OF GOVT LOT 6 IN OR 1441/1365 PARCELS 3-8 &amp; 3-13</t>
  </si>
  <si>
    <t>2014-18</t>
  </si>
  <si>
    <t>GREEN TAX FUNDING 5</t>
  </si>
  <si>
    <t>2011-18</t>
  </si>
  <si>
    <t>CATALINA TAX CO LLC US BANK % CATALINA TAX CO LLC</t>
  </si>
  <si>
    <t>20-1N-23-0000-0009-0010</t>
  </si>
  <si>
    <t>FOX TAIL</t>
  </si>
  <si>
    <t>LN</t>
  </si>
  <si>
    <t>13421 FOX TAIL LN</t>
  </si>
  <si>
    <t>MUMFORD JAMES</t>
  </si>
  <si>
    <t>MUMFORD KAITLAN</t>
  </si>
  <si>
    <t>NEW CONVENTIONAL</t>
  </si>
  <si>
    <t>PT GOVT LOT 8 IN OR 2022/1072 BNDRY LINE AGMT OR 1436/869</t>
  </si>
  <si>
    <t>20-1N-23-0000-0009-0030</t>
  </si>
  <si>
    <t>PARMENTER</t>
  </si>
  <si>
    <t>2668 PARMENTER RD</t>
  </si>
  <si>
    <t>ROBINSON STEPHEN L &amp; DENISE B</t>
  </si>
  <si>
    <t>2658 PARMENTER RD</t>
  </si>
  <si>
    <t>Improved agricultural</t>
  </si>
  <si>
    <t>Agricultural / Rural (General)</t>
  </si>
  <si>
    <t>PT OF GOVT LOT 15 OF</t>
  </si>
  <si>
    <t>23-1N-23-034D-0003-0000</t>
  </si>
  <si>
    <t>DEEP CREEK</t>
  </si>
  <si>
    <t>DR</t>
  </si>
  <si>
    <t>DEEP CREEK DR</t>
  </si>
  <si>
    <t>BERNHARDT JOSE M</t>
  </si>
  <si>
    <t>BERNHARDT SARA M</t>
  </si>
  <si>
    <t>1870 AUGUSTE ST</t>
  </si>
  <si>
    <t>PORT ALLEN LA</t>
  </si>
  <si>
    <t>UNKNOWN</t>
  </si>
  <si>
    <t>DEEP CREEK PLANTATION</t>
  </si>
  <si>
    <t>23-01N-23E</t>
  </si>
  <si>
    <t>LOT 3 IN OR 1913/342 DEEP CREEK PLANTATION PB 7/239</t>
  </si>
  <si>
    <t>2012-1475</t>
  </si>
  <si>
    <t>2011-23</t>
  </si>
  <si>
    <t>23-1N-23-034D-0004-0000</t>
  </si>
  <si>
    <t>FABRIZIO ANTHONY JR &amp; REILLY CAREN</t>
  </si>
  <si>
    <t>19 WALNUT GROVE RD</t>
  </si>
  <si>
    <t>RIDGEFIELD CT</t>
  </si>
  <si>
    <t>LOT 4 IN OR 1912/157 DEEP CREEK PLANTATION PB 7/239</t>
  </si>
  <si>
    <t>2017-19</t>
  </si>
  <si>
    <t>2012-1476</t>
  </si>
  <si>
    <t>2011-24</t>
  </si>
  <si>
    <t>23-1N-23-034D-0013-0000</t>
  </si>
  <si>
    <t>PIAZZA YOLANDE &amp;</t>
  </si>
  <si>
    <t>HODGES TONY A (W&amp;H) 104 STRONG BRANCH DR</t>
  </si>
  <si>
    <t>PONTE VEDRA FL</t>
  </si>
  <si>
    <t>BALLOON</t>
  </si>
  <si>
    <t>LOT 13 IN OR 1932/1269 DEEP CREEK PLANTATION PB 7/239</t>
  </si>
  <si>
    <t>N/A</t>
  </si>
  <si>
    <t>2015-18</t>
  </si>
  <si>
    <t>STEWART SHRIVER</t>
  </si>
  <si>
    <t>2012-1484</t>
  </si>
  <si>
    <t>2011-32</t>
  </si>
  <si>
    <t>23-1N-23-034D-0037-0000</t>
  </si>
  <si>
    <t>DUNROVEN</t>
  </si>
  <si>
    <t>DUNROVEN DR</t>
  </si>
  <si>
    <t>MARRERO JOSE R</t>
  </si>
  <si>
    <t>HERNANDEZ OLGA M</t>
  </si>
  <si>
    <t>5629 STATE ROAD 16 W</t>
  </si>
  <si>
    <t>STARKE FL</t>
  </si>
  <si>
    <t>SELLER TAKE-BACK</t>
  </si>
  <si>
    <t>PT LOTS 37 87 &amp; 88 IN OR 1957/244 DEEP CREEK PLANTATION</t>
  </si>
  <si>
    <t>2017-22</t>
  </si>
  <si>
    <t>MACHAPUCHARE ASMG LLC</t>
  </si>
  <si>
    <t>2012-1500</t>
  </si>
  <si>
    <t>2011-49</t>
  </si>
  <si>
    <t>EQUITY TRUST CO CUST FBO 60896 CATHERINE H. COSTNER IRA</t>
  </si>
  <si>
    <t>23-1N-23-034D-0039-0000</t>
  </si>
  <si>
    <t>HERITAGE INVESTMENT CO LLC</t>
  </si>
  <si>
    <t>50 N LAURA ST STE 2850</t>
  </si>
  <si>
    <t>LOT 39 IN OR 1544/1936 DEEP CREEK PLANTATION PB 7/239</t>
  </si>
  <si>
    <t>2017-23</t>
  </si>
  <si>
    <t>2016-19</t>
  </si>
  <si>
    <t>2014-21</t>
  </si>
  <si>
    <t>HELEN M. MALZAHN LIVING TRUST UAD 4/12/1994</t>
  </si>
  <si>
    <t>23-1N-23-034D-0062-0000</t>
  </si>
  <si>
    <t>DEACON</t>
  </si>
  <si>
    <t>DEACON DR</t>
  </si>
  <si>
    <t>SCHULZE WALTER W</t>
  </si>
  <si>
    <t>SCHULZE SANDRA</t>
  </si>
  <si>
    <t>1400 NE 57TH CT</t>
  </si>
  <si>
    <t>FORT LAUDERDALE FL</t>
  </si>
  <si>
    <t>LOT 62 IN OR 1943/1250 DEEP CREEK PLANTATION PB 7/239</t>
  </si>
  <si>
    <t>2012-1518</t>
  </si>
  <si>
    <t>2011-67</t>
  </si>
  <si>
    <t>23-1N-23-034D-0069-0000</t>
  </si>
  <si>
    <t>GOLDEN PHILIP G &amp;</t>
  </si>
  <si>
    <t>MCNEILLY REBECCA C (JT/RS) 20608 NW STATE ROAD 16</t>
  </si>
  <si>
    <t>LOT 69 IN OR 1910/1126 DEEP CREEK PLANTATION PB 7/239</t>
  </si>
  <si>
    <t>2012-1523</t>
  </si>
  <si>
    <t>2011-72</t>
  </si>
  <si>
    <t>23-1N-23-034D-0082-0000</t>
  </si>
  <si>
    <t>COX GROVER CLEVELAND &amp; EVA M</t>
  </si>
  <si>
    <t>8007 HASTINGS ST</t>
  </si>
  <si>
    <t>LOT 82 IN OR 1926/203 DEEP CREEK PLANTATION PB 7/239</t>
  </si>
  <si>
    <t>12089C_1077</t>
  </si>
  <si>
    <t>2017-27</t>
  </si>
  <si>
    <t>TRIAD HOLDINGS181611</t>
  </si>
  <si>
    <t>2012-1533</t>
  </si>
  <si>
    <t>2011-82</t>
  </si>
  <si>
    <t>23-1N-23-034D-0083-0000</t>
  </si>
  <si>
    <t>BULLOCK BLUFF</t>
  </si>
  <si>
    <t>BULLOCK BLUFF RD</t>
  </si>
  <si>
    <t>EL-BAHRI ANDRE</t>
  </si>
  <si>
    <t>3624 BRIDGEWOOD DR</t>
  </si>
  <si>
    <t>LOT 83 IN OR 1914/1643 DEEP CREEK PLANTATION PB 7/239</t>
  </si>
  <si>
    <t>2017-28</t>
  </si>
  <si>
    <t>2016-22</t>
  </si>
  <si>
    <t>CCTS - ANOTHER BUYING GROUP 55688 US BANK CUST FOR PFS FINANCIAL 2 LLC</t>
  </si>
  <si>
    <t>2012-1534</t>
  </si>
  <si>
    <t>2011-83</t>
  </si>
  <si>
    <t>23-1N-23-034D-0091-0000</t>
  </si>
  <si>
    <t>MCMILLAN JAMES M</t>
  </si>
  <si>
    <t>ELLIS MIRIAN FERNANDEZ</t>
  </si>
  <si>
    <t>2570 BROWARD RD</t>
  </si>
  <si>
    <t>LOTS 90 &amp; 91 IN OR 1926/205 (EX PT IN OR 1921/1289)</t>
  </si>
  <si>
    <t>2017-29</t>
  </si>
  <si>
    <t>2016-23</t>
  </si>
  <si>
    <t>JGK - 256358 - HORSESHOE BEACH EIGHTEEN PERCENT US BANK CUST FOR PFS FINANCIAL 2 LLC</t>
  </si>
  <si>
    <t>2012-1541</t>
  </si>
  <si>
    <t>2011-90</t>
  </si>
  <si>
    <t>23-1N-23-034D-0094-0000</t>
  </si>
  <si>
    <t>HOWARD NATASCHA FIEGE &amp; JAMES</t>
  </si>
  <si>
    <t>13541 VALBUENA CT</t>
  </si>
  <si>
    <t>LOT 94 IN OR 1936/254 DEEP CREEK PLANTATION PB 7/239</t>
  </si>
  <si>
    <t>2016-24</t>
  </si>
  <si>
    <t>SANMARCORA DZRQOX</t>
  </si>
  <si>
    <t>2012-1543</t>
  </si>
  <si>
    <t>2011-92</t>
  </si>
  <si>
    <t>PAUL CHARLES BURNS JR</t>
  </si>
  <si>
    <t>24-1N-23-0000-0001-0060</t>
  </si>
  <si>
    <t>HAMP HICKS</t>
  </si>
  <si>
    <t>3783 HAMP HICKS RD</t>
  </si>
  <si>
    <t>HAMMOND HOLDINGS OF JACKSONVILLE LLC</t>
  </si>
  <si>
    <t>665 DAY AVE</t>
  </si>
  <si>
    <t>24-01N-23E</t>
  </si>
  <si>
    <t>PT OF NE1/4 1997 HERI DW/MH IN OR 1986/721</t>
  </si>
  <si>
    <t>2017-31</t>
  </si>
  <si>
    <t>BOSTON COMMON 944 FINANCIAL SERVICES LLC</t>
  </si>
  <si>
    <t>2016-25</t>
  </si>
  <si>
    <t>ATCF II FLORIDA-A LLC MTAG AS CUSTODIAN FOR ATCF II FLORIDA-A LLC</t>
  </si>
  <si>
    <t>HOSSET LLC O104126 SERIES</t>
  </si>
  <si>
    <t>2015-22</t>
  </si>
  <si>
    <t>2014-23</t>
  </si>
  <si>
    <t>2013-21</t>
  </si>
  <si>
    <t>SATCHEL LLC</t>
  </si>
  <si>
    <t>2012-1576</t>
  </si>
  <si>
    <t>2011-103</t>
  </si>
  <si>
    <t>24-1N-23-0000-0001-0130</t>
  </si>
  <si>
    <t>3991 HAMP HICKS RD</t>
  </si>
  <si>
    <t>STARR FRANKLIN P &amp; LINDA J</t>
  </si>
  <si>
    <t>3439 HAMP HICKS</t>
  </si>
  <si>
    <t>PT OF NE1/4 R583655 IN OR 1650/1455 ESMT OR 1324/295</t>
  </si>
  <si>
    <t>2011-105</t>
  </si>
  <si>
    <t>24-1N-23-0000-0001-0180</t>
  </si>
  <si>
    <t>STARDUST</t>
  </si>
  <si>
    <t>3342 STARDUST RD</t>
  </si>
  <si>
    <t>PORTER JOHN C II</t>
  </si>
  <si>
    <t>3342 STARDUST ROAD</t>
  </si>
  <si>
    <t>PT OF NE1/4 IN OR 974/167</t>
  </si>
  <si>
    <t>2016-26</t>
  </si>
  <si>
    <t>MELARA249</t>
  </si>
  <si>
    <t>2014-24</t>
  </si>
  <si>
    <t>AKPH LLC AND OCEAN BANK</t>
  </si>
  <si>
    <t>2012-1578</t>
  </si>
  <si>
    <t>24-1N-23-0000-0001-0190</t>
  </si>
  <si>
    <t>3330 STARDUST RD</t>
  </si>
  <si>
    <t>GAMBRELL ROBERT J</t>
  </si>
  <si>
    <t>PT OF NE1/4 IN OR 1027/1737 2001 PION DW/MH</t>
  </si>
  <si>
    <t>2017-33</t>
  </si>
  <si>
    <t>LUNAR PRIME252456</t>
  </si>
  <si>
    <t>2016-27</t>
  </si>
  <si>
    <t>KINGFISHER KEY CERTS ACFD LLC</t>
  </si>
  <si>
    <t>2015-23</t>
  </si>
  <si>
    <t>FL-PTH 8 LLC CAPONE NA CLTRL ASSIGNEE OF FL CORAL LIEN INV LLC</t>
  </si>
  <si>
    <t>TAX EASE HOLDINGS, LLC MTAG SERVICES AS CUST FOR TAX EASE FUNDING 2016-1, LLC</t>
  </si>
  <si>
    <t>TAX EASE FUNDING 2016-1 LLC</t>
  </si>
  <si>
    <t>2014-25</t>
  </si>
  <si>
    <t>2013-23</t>
  </si>
  <si>
    <t>US BANK AS CUSTODIAN FOR MOONSTONE LIEN INVESTMENTS LLC</t>
  </si>
  <si>
    <t>2012-1579</t>
  </si>
  <si>
    <t>2011-107</t>
  </si>
  <si>
    <t>04-1S-23-0000-0007-0010</t>
  </si>
  <si>
    <t>KINARD</t>
  </si>
  <si>
    <t>2187 KINARD RD</t>
  </si>
  <si>
    <t>HYGEMA DAVID P &amp; SHARON L</t>
  </si>
  <si>
    <t>2187 KINARD ROAD</t>
  </si>
  <si>
    <t>4-01S-23E</t>
  </si>
  <si>
    <t>PT OF SW1/4 2003 MERIT DW/MH IN OR 1806/1014</t>
  </si>
  <si>
    <t>2013-24</t>
  </si>
  <si>
    <t>2012-738</t>
  </si>
  <si>
    <t>J &amp; L BULLOCK LLC</t>
  </si>
  <si>
    <t>04-1S-23-0000-0007-0020</t>
  </si>
  <si>
    <t>2191 KINARD RD</t>
  </si>
  <si>
    <t>MARTIN ROBERT RYAN &amp;</t>
  </si>
  <si>
    <t>KIRKPATRICK BARBARA E 2191 KINARD ROAD</t>
  </si>
  <si>
    <t>PT OF SW1/4 2002 KING DW IN OR 1543/793 EX 7-3</t>
  </si>
  <si>
    <t>2017-34</t>
  </si>
  <si>
    <t>KELUK 37071 LLC</t>
  </si>
  <si>
    <t>2016-28</t>
  </si>
  <si>
    <t>IBIS FLOCK CERTS 444 LLC</t>
  </si>
  <si>
    <t>2015-24</t>
  </si>
  <si>
    <t>PELICAN PIER CERTS ACNA LLC</t>
  </si>
  <si>
    <t>2013-25</t>
  </si>
  <si>
    <t>2012-739</t>
  </si>
  <si>
    <t>BURNS LEGACY TRUST</t>
  </si>
  <si>
    <t>2011-109</t>
  </si>
  <si>
    <t>04-1S-23-0000-0009-0210</t>
  </si>
  <si>
    <t>EASTWOOD</t>
  </si>
  <si>
    <t>2662 EASTWOOD DR</t>
  </si>
  <si>
    <t>RAULERSON STEPHEN M</t>
  </si>
  <si>
    <t>RAULERSON DOROTHY</t>
  </si>
  <si>
    <t>IN OR 393 PG 71</t>
  </si>
  <si>
    <t>04-1S-23-0000-0009-0260</t>
  </si>
  <si>
    <t>3009 EASTWOOD DR</t>
  </si>
  <si>
    <t>COLEMAN JACOB</t>
  </si>
  <si>
    <t>IN OR 1880/96 ESMT IN OR 446/745 1973 PEACHTREE DW/MH</t>
  </si>
  <si>
    <t>07-1S-23-0000-0001-0030</t>
  </si>
  <si>
    <t>BRIE</t>
  </si>
  <si>
    <t>WAY</t>
  </si>
  <si>
    <t>BRIE WAY</t>
  </si>
  <si>
    <t>BRYANT GLENN R SR &amp; TERESA T</t>
  </si>
  <si>
    <t>1060 BRIE WAY</t>
  </si>
  <si>
    <t>7-01S-23E</t>
  </si>
  <si>
    <t>PT OR 658 PG 540</t>
  </si>
  <si>
    <t>08-1S-23-0000-0001-0020</t>
  </si>
  <si>
    <t>DB HICKS</t>
  </si>
  <si>
    <t>1848 DB HICKS RD</t>
  </si>
  <si>
    <t>AGUILERA ADAM</t>
  </si>
  <si>
    <t>BECKERS AMANDA</t>
  </si>
  <si>
    <t>108 JUPITER LN</t>
  </si>
  <si>
    <t>ORANGE PARK FL</t>
  </si>
  <si>
    <t>8-01S-23E</t>
  </si>
  <si>
    <t>PT OF S1/2 OF NE1/4 OF NE1/4 IN OR 2044/802</t>
  </si>
  <si>
    <t>12089C_252</t>
  </si>
  <si>
    <t>2017-39</t>
  </si>
  <si>
    <t>BEDFORD CAPITAL 2</t>
  </si>
  <si>
    <t>2015-28</t>
  </si>
  <si>
    <t>E21358</t>
  </si>
  <si>
    <t>2014-30</t>
  </si>
  <si>
    <t>2012-880</t>
  </si>
  <si>
    <t>US BANK AS CUST FOR CAZ CREEK</t>
  </si>
  <si>
    <t>US BANK CUST BISBEE LLC M109C9</t>
  </si>
  <si>
    <t>2011-118</t>
  </si>
  <si>
    <t>MTAG AS CUSTODIAN FOR CAZ CREEK FLORIDA LLC</t>
  </si>
  <si>
    <t>US BANK CUST-CCTS CAPITAL - FL</t>
  </si>
  <si>
    <t>08-1S-23-0000-0001-0050</t>
  </si>
  <si>
    <t>PALTO</t>
  </si>
  <si>
    <t>1682 PALTO PL</t>
  </si>
  <si>
    <t>WILSON GARY M</t>
  </si>
  <si>
    <t>1682 PALTO PLACE</t>
  </si>
  <si>
    <t>IN OR 478 PG 485</t>
  </si>
  <si>
    <t>2017-40</t>
  </si>
  <si>
    <t>CATALINA TAX CO LLC SERIES 17</t>
  </si>
  <si>
    <t>ANCONA1272</t>
  </si>
  <si>
    <t>2016-31</t>
  </si>
  <si>
    <t>HOSSET LLC O47193 SERIES</t>
  </si>
  <si>
    <t>2015-29</t>
  </si>
  <si>
    <t>TIVOLI338</t>
  </si>
  <si>
    <t>08-1S-23-0000-0001-0080</t>
  </si>
  <si>
    <t>1776 DB HICKS RD</t>
  </si>
  <si>
    <t>WILKINSON LUCIA MARIE</t>
  </si>
  <si>
    <t>1776 D B HICKS RD</t>
  </si>
  <si>
    <t>PT OF S1/2 OF NE1/4 OF NE1/4 OR 339/58 &amp; OR 353/261 &amp; 262 PARCELS 1-8 &amp; 1-9</t>
  </si>
  <si>
    <t>2017-41</t>
  </si>
  <si>
    <t>SETPER LLC O130342 SERIES</t>
  </si>
  <si>
    <t>2015-30</t>
  </si>
  <si>
    <t>F20560</t>
  </si>
  <si>
    <t>2014-31</t>
  </si>
  <si>
    <t>GARBER TAX MANAGEMENT LLC - 1</t>
  </si>
  <si>
    <t>2013-30</t>
  </si>
  <si>
    <t>CAPONE-CLTRLASSIGNEE-ROTH ACQ LLC</t>
  </si>
  <si>
    <t>MAGNOLIA TC 5, LLC</t>
  </si>
  <si>
    <t>2012-881</t>
  </si>
  <si>
    <t>BRIDGE TAX LLC - 374 US BANK % BRIDGE TAX LLC-374</t>
  </si>
  <si>
    <t>2011-119</t>
  </si>
  <si>
    <t>08-1S-23-0000-0002-0020</t>
  </si>
  <si>
    <t>WILLS</t>
  </si>
  <si>
    <t>1505 WILLS LN</t>
  </si>
  <si>
    <t>HRABEL WM F</t>
  </si>
  <si>
    <t>36002 RUSTIC ACRES WAY</t>
  </si>
  <si>
    <t>CALLAHAN FL</t>
  </si>
  <si>
    <t>PT OF W 1/2 OF NE 1/4 IN OR 143 PG 171</t>
  </si>
  <si>
    <t>2017-42</t>
  </si>
  <si>
    <t>BISBEE LLC XE9E1D</t>
  </si>
  <si>
    <t>08-1S-23-0000-0006-0180</t>
  </si>
  <si>
    <t>CORTEZ</t>
  </si>
  <si>
    <t>CORTEZ RD</t>
  </si>
  <si>
    <t>BARNES JOSHUA C EST &amp; BARNES REBECCA E</t>
  </si>
  <si>
    <t>4242 RENDALE DR</t>
  </si>
  <si>
    <t>L/E OR 1036/1746 ESMT OR 1038/1954</t>
  </si>
  <si>
    <t>2017-43</t>
  </si>
  <si>
    <t>2016-33</t>
  </si>
  <si>
    <t>2015-34</t>
  </si>
  <si>
    <t>2014-32</t>
  </si>
  <si>
    <t>2013-33</t>
  </si>
  <si>
    <t>MATHON INVESTMENTS</t>
  </si>
  <si>
    <t>2012-886</t>
  </si>
  <si>
    <t>2011-121</t>
  </si>
  <si>
    <t>PRUDENTIAL ENTERPRISES INC</t>
  </si>
  <si>
    <t>08-1S-23-0000-0006-0250</t>
  </si>
  <si>
    <t>OFF BUCKS</t>
  </si>
  <si>
    <t>OFF BUCKS WAY</t>
  </si>
  <si>
    <t>PERRY JUSTIN O</t>
  </si>
  <si>
    <t>10190 BUCKS WAY</t>
  </si>
  <si>
    <t>PT OF S1/2 OF SW1/4 IN OR 1671/882</t>
  </si>
  <si>
    <t>2017-44</t>
  </si>
  <si>
    <t>2016-34</t>
  </si>
  <si>
    <t>JOHN MYERS ANN R MYERS</t>
  </si>
  <si>
    <t>2015-35</t>
  </si>
  <si>
    <t>2014-33</t>
  </si>
  <si>
    <t>JOHN C. POWERS</t>
  </si>
  <si>
    <t>2013-34</t>
  </si>
  <si>
    <t>2012-887</t>
  </si>
  <si>
    <t>2011-122</t>
  </si>
  <si>
    <t>08-1S-23-1830-0009-0000</t>
  </si>
  <si>
    <t>11514 CR 121</t>
  </si>
  <si>
    <t>CLANTON PATRICIA</t>
  </si>
  <si>
    <t>11514 COUNTY ROAD 121</t>
  </si>
  <si>
    <t>RIVERSIDE</t>
  </si>
  <si>
    <t>LOT 9 OR 672 PG 1518 RIVERSIDE ESTATES #1 PB 5/171</t>
  </si>
  <si>
    <t>2017-45</t>
  </si>
  <si>
    <t>PETRELLA2448</t>
  </si>
  <si>
    <t>2016-36</t>
  </si>
  <si>
    <t>BISBEE LLC RY5D66</t>
  </si>
  <si>
    <t>2015-37</t>
  </si>
  <si>
    <t>KINGFISHER BLUE GROUP XEUX LLC</t>
  </si>
  <si>
    <t>2014-35</t>
  </si>
  <si>
    <t>2013-36</t>
  </si>
  <si>
    <t>2012-889</t>
  </si>
  <si>
    <t>US BANK CUST BISBEE LLC M109C8</t>
  </si>
  <si>
    <t>2011-125</t>
  </si>
  <si>
    <t>08-1S-23-1830-0015-0000</t>
  </si>
  <si>
    <t>11837 CR 121</t>
  </si>
  <si>
    <t>HUBBARD SHARON</t>
  </si>
  <si>
    <t>11837 COUNTY ROAD 121</t>
  </si>
  <si>
    <t>LOT 15 IN OR 1801/1731 R787737 &amp; R787738</t>
  </si>
  <si>
    <t>2016-37</t>
  </si>
  <si>
    <t>ELVIS666</t>
  </si>
  <si>
    <t>08-1S-23-1830-0017-0000</t>
  </si>
  <si>
    <t>11761 CR 121</t>
  </si>
  <si>
    <t>COMBS CATHERINE &amp; SLAY WILLIAM RAY (JT/RS)</t>
  </si>
  <si>
    <t>LOT 17 IN OR 1077/526 &amp; OR 1556/1189 RIVERSIDE ESTATES #1 PB 5/171</t>
  </si>
  <si>
    <t>2017-46</t>
  </si>
  <si>
    <t>SETPER LLC O99499 SERIES</t>
  </si>
  <si>
    <t>2014-36</t>
  </si>
  <si>
    <t>US BANK CUST FOR PFS FINANCIAL 1 LLC</t>
  </si>
  <si>
    <t>2013-37</t>
  </si>
  <si>
    <t>2012-890</t>
  </si>
  <si>
    <t>2011-126</t>
  </si>
  <si>
    <t>08-1S-23-1830-0038-0000</t>
  </si>
  <si>
    <t>11003 CR 121</t>
  </si>
  <si>
    <t>KEITH THOMAS</t>
  </si>
  <si>
    <t>11003 COUNTY ROAD 121</t>
  </si>
  <si>
    <t>LOT 38 2002 FTWD DW/MH IN OR 1077/40 RIVERSIDE ESTATES #1 PB 5/171</t>
  </si>
  <si>
    <t>08-1S-23-1830-0055-0000</t>
  </si>
  <si>
    <t>CR 119</t>
  </si>
  <si>
    <t>VAUGHN WEYMAN E &amp; THERESA A</t>
  </si>
  <si>
    <t>15451 WEST BEAVER STREET</t>
  </si>
  <si>
    <t>BALDWIN FL</t>
  </si>
  <si>
    <t>RIVERSIDE ESTATES</t>
  </si>
  <si>
    <t>LOT 55 PT OR 759/674 RIVERSIDE ESTATES # 1 PB 5/171</t>
  </si>
  <si>
    <t>2017-48</t>
  </si>
  <si>
    <t>2015-39</t>
  </si>
  <si>
    <t>2011-129</t>
  </si>
  <si>
    <t>08-1S-23-1830-0056-0000</t>
  </si>
  <si>
    <t>LOT 56 PT OR 759/674 RIVERSIDE ESTATES #1 PB 5/171</t>
  </si>
  <si>
    <t>2017-49</t>
  </si>
  <si>
    <t>2015-40</t>
  </si>
  <si>
    <t>2011-130</t>
  </si>
  <si>
    <t>08-1S-23-1830-0057-0000</t>
  </si>
  <si>
    <t>LOT 57 PT OR 759/674 RIVERSIDE ESTATES #1 PB 5/171</t>
  </si>
  <si>
    <t>2017-50</t>
  </si>
  <si>
    <t>2014-39</t>
  </si>
  <si>
    <t>2011-131</t>
  </si>
  <si>
    <t>08-1S-23-1830-0058-0000</t>
  </si>
  <si>
    <t>LOT 58 PT OR 759/674 RIVERSIDE ESTATES #1 PB 5/171</t>
  </si>
  <si>
    <t>2017-51</t>
  </si>
  <si>
    <t>2014-40</t>
  </si>
  <si>
    <t>2011-132</t>
  </si>
  <si>
    <t>08-1S-23-1830-0059-0000</t>
  </si>
  <si>
    <t>LOT 59 PT OR 759/674 RIVERSIDE ESTATES #1 PB 5/171</t>
  </si>
  <si>
    <t>2017-52</t>
  </si>
  <si>
    <t>2015-41</t>
  </si>
  <si>
    <t>2014-41</t>
  </si>
  <si>
    <t>FLORIDA TAX LIEN ASSETS IV,LLC</t>
  </si>
  <si>
    <t>2011-133</t>
  </si>
  <si>
    <t>08-1S-23-1830-0060-0000</t>
  </si>
  <si>
    <t>LOT 60 PT OR 759/674 RIVERSIDE ESTATES #1 PB 5/171</t>
  </si>
  <si>
    <t>2017-53</t>
  </si>
  <si>
    <t>2015-42</t>
  </si>
  <si>
    <t>2014-42</t>
  </si>
  <si>
    <t>2011-134</t>
  </si>
  <si>
    <t>08-1S-23-1830-0066-0000</t>
  </si>
  <si>
    <t>1680 CR 119</t>
  </si>
  <si>
    <t>WILSON GARY M &amp; PAMELA T</t>
  </si>
  <si>
    <t>LOT 66 R407739 IN OR 1199/1774 RIVERSIDE ESTATES #1 PB 5/171</t>
  </si>
  <si>
    <t>2017-54</t>
  </si>
  <si>
    <t>PELICAN POINT GROUP11796</t>
  </si>
  <si>
    <t>08-1S-23-1830-0073-0000</t>
  </si>
  <si>
    <t>2250 CR 119</t>
  </si>
  <si>
    <t>MEEKS WALTER C JR EST</t>
  </si>
  <si>
    <t>C/O LEONA MEEKS</t>
  </si>
  <si>
    <t>P O BOX 335</t>
  </si>
  <si>
    <t>LOT 73 IN OR 1671/696 R672769 &amp; R672770</t>
  </si>
  <si>
    <t>2017-56</t>
  </si>
  <si>
    <t>ECRU LLC HMYEPFA</t>
  </si>
  <si>
    <t>08-1S-23-1830-0074-0000</t>
  </si>
  <si>
    <t>2286 CR 119</t>
  </si>
  <si>
    <t>SISLEY JASON WILLIAM</t>
  </si>
  <si>
    <t>21-01S-23E</t>
  </si>
  <si>
    <t>PT OF LOT 74 IN OR 1710/1678 (EX S-1 &amp; OR 1969/1859)</t>
  </si>
  <si>
    <t>2017-57</t>
  </si>
  <si>
    <t>KEYS TAX FUNDING LLC - 17</t>
  </si>
  <si>
    <t>GOLAN LLC SERIES A011994</t>
  </si>
  <si>
    <t>2016-39</t>
  </si>
  <si>
    <t>HOSSET LLC O97657 SERIES</t>
  </si>
  <si>
    <t>2014-44</t>
  </si>
  <si>
    <t>08-1S-23-1830-0094-0000</t>
  </si>
  <si>
    <t>1719 CR 119</t>
  </si>
  <si>
    <t>GILBERT ALICE FAYE</t>
  </si>
  <si>
    <t>GILBERT EARL E</t>
  </si>
  <si>
    <t>3118 DALEHURST DR W</t>
  </si>
  <si>
    <t>LOT 94 IN OR 1781/111 (EX ESMT IN OR 1781/112) RIVERSIDE ESTATES #1 PBK 5/171</t>
  </si>
  <si>
    <t>08-1S-23-1830-0097-0000</t>
  </si>
  <si>
    <t>1647 CR 119</t>
  </si>
  <si>
    <t>THOMAS RALPH M &amp; BEVERLY J</t>
  </si>
  <si>
    <t>LOTS 97 &amp; 98 2001 FTWD DW/MH IN OR 798/1564 &amp; OR 1055/619</t>
  </si>
  <si>
    <t>2017-58</t>
  </si>
  <si>
    <t>QUREV 2921 LLC</t>
  </si>
  <si>
    <t>2016-40</t>
  </si>
  <si>
    <t>QUATTLEBAUM KENNETH</t>
  </si>
  <si>
    <t>2015-44</t>
  </si>
  <si>
    <t>2014-46</t>
  </si>
  <si>
    <t>2013-43</t>
  </si>
  <si>
    <t>2012-895</t>
  </si>
  <si>
    <t>WEIGEL WILLIAM</t>
  </si>
  <si>
    <t>2011-138</t>
  </si>
  <si>
    <t>08-1S-23-1830-0113-0000</t>
  </si>
  <si>
    <t>10033 CR 121</t>
  </si>
  <si>
    <t>BARNCORD PATRICIA</t>
  </si>
  <si>
    <t>5124 MARLENE AVE</t>
  </si>
  <si>
    <t>LOT 113 R622097 IN OR 715/321 RIVERSIDE ESTATES #1 PB 5/171</t>
  </si>
  <si>
    <t>2017-59</t>
  </si>
  <si>
    <t>ORANGE WHALES AMRK LLC</t>
  </si>
  <si>
    <t>17-1S-23-0000-0003-0000</t>
  </si>
  <si>
    <t>SIERRA GATEWAY</t>
  </si>
  <si>
    <t>9823 SIERRA GATEWAY</t>
  </si>
  <si>
    <t>WIGHTMAN MARK</t>
  </si>
  <si>
    <t>WIGHTMAN JANNETTE</t>
  </si>
  <si>
    <t>8549 WALDEN RD</t>
  </si>
  <si>
    <t>17-01S-23E</t>
  </si>
  <si>
    <t>PT OF NW1/4 IN OR 1786/952 EX 3-14 3-15 &amp; 3-16</t>
  </si>
  <si>
    <t>2012-1296</t>
  </si>
  <si>
    <t>SUNIVILLE GRIFFIN AND SMITH LLC</t>
  </si>
  <si>
    <t>17-1S-23-0000-0003-0030</t>
  </si>
  <si>
    <t>SIERRA WOODS</t>
  </si>
  <si>
    <t>1032 SIERRA WOODS RD</t>
  </si>
  <si>
    <t>BRANNAN RONNIE</t>
  </si>
  <si>
    <t>BRANNEN RONALD</t>
  </si>
  <si>
    <t>PT OF NW1/4 IN OR 1990/1770 ESMT IN OR 233/552</t>
  </si>
  <si>
    <t>2017-60</t>
  </si>
  <si>
    <t>KINGFISH HAMMOCK 2DGD LLC</t>
  </si>
  <si>
    <t>17-1S-23-0270-0004-0000</t>
  </si>
  <si>
    <t>COUNTRYSIDE ACRES</t>
  </si>
  <si>
    <t>AVE</t>
  </si>
  <si>
    <t>1328 COUNTRYSIDE ACRES AVE</t>
  </si>
  <si>
    <t>EDENFIELD CLAYTON A</t>
  </si>
  <si>
    <t>LOT 4 IN OR 832/1609 R672986 &amp; R672987 &amp; R672988</t>
  </si>
  <si>
    <t>2017-61</t>
  </si>
  <si>
    <t>SETPER LLC O154281 SERIES</t>
  </si>
  <si>
    <t>2014-48</t>
  </si>
  <si>
    <t>2012-1298</t>
  </si>
  <si>
    <t>2011-142</t>
  </si>
  <si>
    <t>17-1S-23-0270-0011-0000</t>
  </si>
  <si>
    <t>AV</t>
  </si>
  <si>
    <t>1540 COUNTRYSIDE ACRES AV</t>
  </si>
  <si>
    <t>GORDON JEAN &amp;</t>
  </si>
  <si>
    <t>FAYE GILBERT 6796 COUNTY ROAD 119</t>
  </si>
  <si>
    <t>LOT 11 IN OR 927/1024 COUNTRYSIDE ACRES PB 5/287</t>
  </si>
  <si>
    <t>2017-63</t>
  </si>
  <si>
    <t>GREBE WALK CERTS 665 LLC</t>
  </si>
  <si>
    <t>2016-42</t>
  </si>
  <si>
    <t>ORANGE DOLPHINS XXEZ LLC</t>
  </si>
  <si>
    <t>2015-46</t>
  </si>
  <si>
    <t>2014-49</t>
  </si>
  <si>
    <t>2013-46</t>
  </si>
  <si>
    <t>WAPN, AS CUSTODIAN FOR TC 13 SUBSIDIARY, LLC</t>
  </si>
  <si>
    <t>2012-1300</t>
  </si>
  <si>
    <t>2011-144</t>
  </si>
  <si>
    <t>TC TAMPA 1, LLC</t>
  </si>
  <si>
    <t>17-1S-23-0270-0012-0000</t>
  </si>
  <si>
    <t>1582 COUNTRYSIDE ACRES AVE</t>
  </si>
  <si>
    <t>SHROWDER JAMES</t>
  </si>
  <si>
    <t>MCKINNON SHROWDER SUZANNE</t>
  </si>
  <si>
    <t>LOT 12 IN OR 701 PG 1478 R788173 &amp; R788174</t>
  </si>
  <si>
    <t>2017-64</t>
  </si>
  <si>
    <t>ARROW CREEK 990 COMPANY LLC</t>
  </si>
  <si>
    <t>2016-43</t>
  </si>
  <si>
    <t>PETRELLA1103</t>
  </si>
  <si>
    <t>2015-47</t>
  </si>
  <si>
    <t>B21888</t>
  </si>
  <si>
    <t>2014-50</t>
  </si>
  <si>
    <t>2013-47</t>
  </si>
  <si>
    <t>2012-1301</t>
  </si>
  <si>
    <t>2011-145</t>
  </si>
  <si>
    <t>19-1S-23-0000-0005-0050</t>
  </si>
  <si>
    <t>PEACE LILY</t>
  </si>
  <si>
    <t>OUTSIDE COUNTY</t>
  </si>
  <si>
    <t>631 PEACE LILY LN</t>
  </si>
  <si>
    <t>OUTSIDE COUNTY FL 32009</t>
  </si>
  <si>
    <t>MEEKS-JOHNSON SARA MELANIE</t>
  </si>
  <si>
    <t>19-01S-23E</t>
  </si>
  <si>
    <t>PT OF GOVT LOT 3 IN OR 681 PG 179</t>
  </si>
  <si>
    <t>2016-48</t>
  </si>
  <si>
    <t>EEEE252</t>
  </si>
  <si>
    <t>2015-51</t>
  </si>
  <si>
    <t>A12610</t>
  </si>
  <si>
    <t>2013-51</t>
  </si>
  <si>
    <t>2011-148</t>
  </si>
  <si>
    <t>33-1S-23-0000-0003-0000</t>
  </si>
  <si>
    <t>WILDCAT</t>
  </si>
  <si>
    <t>8035 WILDCAT WAY</t>
  </si>
  <si>
    <t>8035 WILDCAT LAND TRUST</t>
  </si>
  <si>
    <t>3658 BLUEBERRY LN</t>
  </si>
  <si>
    <t>33-01S-23E</t>
  </si>
  <si>
    <t>PT GOVT LOT 4 OF SEC 33-1S-23E &amp; PT GOVT LOT 1 OF SEC 32-1S-23E IN OR 2042/107</t>
  </si>
  <si>
    <t>Potential High Risk</t>
  </si>
  <si>
    <t>2017-69</t>
  </si>
  <si>
    <t>LOYOM 15167 LLC</t>
  </si>
  <si>
    <t>2016-53</t>
  </si>
  <si>
    <t>HOSSET LLC O67035 SERIES</t>
  </si>
  <si>
    <t>2013-52</t>
  </si>
  <si>
    <t>ASCOT CAPITAL LLC - 3</t>
  </si>
  <si>
    <t>2012-1984</t>
  </si>
  <si>
    <t>US BANK CUST BISBEE LLC H171FF</t>
  </si>
  <si>
    <t>2012-3283</t>
  </si>
  <si>
    <t>US BANK CUST BISBEE LLC H171F0</t>
  </si>
  <si>
    <t>33-1S-23-0000-0005-0010</t>
  </si>
  <si>
    <t>6654 CR 121</t>
  </si>
  <si>
    <t>MANSER JACK</t>
  </si>
  <si>
    <t>6654 COUNTY ROAD 121</t>
  </si>
  <si>
    <t>IN OR 896/1470 MH/ID GAFLR7523712WE</t>
  </si>
  <si>
    <t>12089C_377</t>
  </si>
  <si>
    <t>2015-56</t>
  </si>
  <si>
    <t>2014-58</t>
  </si>
  <si>
    <t>2013-54</t>
  </si>
  <si>
    <t>37-1S-23-0000-0006-0020</t>
  </si>
  <si>
    <t>6914 CR 121</t>
  </si>
  <si>
    <t>LAMPRECHT FRED WILLIAM</t>
  </si>
  <si>
    <t>6914 COUNTY ROAD 121</t>
  </si>
  <si>
    <t>37-01S-23E</t>
  </si>
  <si>
    <t>IN OR 654 PG 961 R497699 &amp; R497700 TEMP ESMT OR 895/755</t>
  </si>
  <si>
    <t>2017-70</t>
  </si>
  <si>
    <t>SUTTON INVESTMENT17911</t>
  </si>
  <si>
    <t>2014-61</t>
  </si>
  <si>
    <t>2013-56</t>
  </si>
  <si>
    <t>2012-3232</t>
  </si>
  <si>
    <t>02-2N-23-0000-0002-0000</t>
  </si>
  <si>
    <t>CR 108</t>
  </si>
  <si>
    <t>4489 CR 108</t>
  </si>
  <si>
    <t>MCDANIEL LONNIE J</t>
  </si>
  <si>
    <t>MCDANIEL KIMBERLY L</t>
  </si>
  <si>
    <t>4489 COUNTY ROAD 108</t>
  </si>
  <si>
    <t>2-02N-23E</t>
  </si>
  <si>
    <t>PAR 2 &amp; S-1 OF LOTS 25 26 &amp; 27 (25-1) S-2 OF LOTS 27 &amp; 28 (27-2) &amp;</t>
  </si>
  <si>
    <t>2017-71</t>
  </si>
  <si>
    <t>YUJAM 17155 LLC</t>
  </si>
  <si>
    <t>2016-56</t>
  </si>
  <si>
    <t>SSSSS1958</t>
  </si>
  <si>
    <t>02-2N-23-0000-0005-0030</t>
  </si>
  <si>
    <t>SMITH</t>
  </si>
  <si>
    <t>SMITH RD</t>
  </si>
  <si>
    <t>AFSHAR JAMES</t>
  </si>
  <si>
    <t>400 MERAVAN CT</t>
  </si>
  <si>
    <t>PALM HARBOR FL</t>
  </si>
  <si>
    <t>PT OF NW1/4 OF SW1/4 IN OR 645/588</t>
  </si>
  <si>
    <t>12089C_776</t>
  </si>
  <si>
    <t>2017-73</t>
  </si>
  <si>
    <t>2016-58</t>
  </si>
  <si>
    <t>2015-59</t>
  </si>
  <si>
    <t>2014-63</t>
  </si>
  <si>
    <t>2013-58</t>
  </si>
  <si>
    <t>TWO CENTS INVESTMENTS LLC AND OCEAN BANK</t>
  </si>
  <si>
    <t>2012-639</t>
  </si>
  <si>
    <t>03-2N-23-0000-0005-0040</t>
  </si>
  <si>
    <t>ADAMS MARY RETHA L/E</t>
  </si>
  <si>
    <t>MARK WESLEY ADAMS 24892 CR 121</t>
  </si>
  <si>
    <t>3-02N-23E</t>
  </si>
  <si>
    <t>PT OF E 1/2 OF SW 1/4 OR 171/303 &amp; L/E PT OR 706/411 EX PT OF OR 216/448</t>
  </si>
  <si>
    <t>2017-75</t>
  </si>
  <si>
    <t>2011-161</t>
  </si>
  <si>
    <t>03-2N-23-0000-0007-0000</t>
  </si>
  <si>
    <t>24892 CR 121</t>
  </si>
  <si>
    <t>Timberland not classified by site index</t>
  </si>
  <si>
    <t>PT OF N1/2 OF SW1/4 PT OR 706/411 (EX OR 258/556 &amp; EX R/W OR 246/641 &amp;</t>
  </si>
  <si>
    <t>2017-76</t>
  </si>
  <si>
    <t>F132144</t>
  </si>
  <si>
    <t>03-2N-23-0000-0007-0030</t>
  </si>
  <si>
    <t>ADAMS MARK WESLEY</t>
  </si>
  <si>
    <t>PT OF SW1/4 PT OR 2057/1702</t>
  </si>
  <si>
    <t>2017-77</t>
  </si>
  <si>
    <t>03-2N-23-0000-0007-0050</t>
  </si>
  <si>
    <t>25014 CR 121</t>
  </si>
  <si>
    <t>FOURNIER LORAINE L/E</t>
  </si>
  <si>
    <t>PT OF SW1/4 IN OR 2038/1719 R583240 &amp; R583241</t>
  </si>
  <si>
    <t>2017-78</t>
  </si>
  <si>
    <t>GRASSRIVER INV GREEN AELE LLC</t>
  </si>
  <si>
    <t>03-2N-23-0000-0007-0060</t>
  </si>
  <si>
    <t>PT OR 2057/1702</t>
  </si>
  <si>
    <t>2017-79</t>
  </si>
  <si>
    <t>03-2N-23-0000-0007-0080</t>
  </si>
  <si>
    <t>24892 COUNTY ROAD 121</t>
  </si>
  <si>
    <t>PT OR 706/411 &amp; PT OR 890/775</t>
  </si>
  <si>
    <t>12089C_517</t>
  </si>
  <si>
    <t>2017-80</t>
  </si>
  <si>
    <t>2016-60</t>
  </si>
  <si>
    <t>2014-65</t>
  </si>
  <si>
    <t>2011-164</t>
  </si>
  <si>
    <t>09-2N-23-0000-0002-0000</t>
  </si>
  <si>
    <t>SIKES</t>
  </si>
  <si>
    <t>2496 SIKES DR</t>
  </si>
  <si>
    <t>HARRIS SHERRI SIKES</t>
  </si>
  <si>
    <t>2496 SIKES DRIVE</t>
  </si>
  <si>
    <t>9-02N-23E</t>
  </si>
  <si>
    <t>IN OR 1490/561 EX ESMT OR 679/1144 EX 2-1 &amp; 2-2</t>
  </si>
  <si>
    <t>2014-69</t>
  </si>
  <si>
    <t>2012-990</t>
  </si>
  <si>
    <t>2011-169</t>
  </si>
  <si>
    <t>09-2N-23-0000-0003-0000</t>
  </si>
  <si>
    <t>SIKES DR</t>
  </si>
  <si>
    <t>DEGARMO KEEGHAN</t>
  </si>
  <si>
    <t>13241 LIAHONA LN</t>
  </si>
  <si>
    <t>IN OR 1889/1240</t>
  </si>
  <si>
    <t>2016-64</t>
  </si>
  <si>
    <t>F81680</t>
  </si>
  <si>
    <t>2015-64</t>
  </si>
  <si>
    <t>FLORIDA - GROUP SIGMA 151168 US BANK CUST FOR PFS FINANCIAL 1</t>
  </si>
  <si>
    <t>2013-66</t>
  </si>
  <si>
    <t>FLORIDA TAX CERTIFICATE FUND, LLC</t>
  </si>
  <si>
    <t>2011-170</t>
  </si>
  <si>
    <t>09-2N-23-0000-0005-0000</t>
  </si>
  <si>
    <t>RUBY</t>
  </si>
  <si>
    <t>RUBY LN</t>
  </si>
  <si>
    <t>MANGES HARRY E</t>
  </si>
  <si>
    <t>2303 SLIPPERY ROCK CIRCLE</t>
  </si>
  <si>
    <t>BLACKSHEAR GA</t>
  </si>
  <si>
    <t>PARCEL 5 (EX 5-2 THRU 5-6) IN PT OF OR 287 PG 261</t>
  </si>
  <si>
    <t>12089C_463</t>
  </si>
  <si>
    <t>2017-82</t>
  </si>
  <si>
    <t>2016-66</t>
  </si>
  <si>
    <t>2015-65</t>
  </si>
  <si>
    <t>2014-71</t>
  </si>
  <si>
    <t>2013-67</t>
  </si>
  <si>
    <t>PETER A. MAIRORANO OOBLIO ACQUISITIONS, LLC</t>
  </si>
  <si>
    <t>2012-991</t>
  </si>
  <si>
    <t>2011-171</t>
  </si>
  <si>
    <t>10-2N-23-0000-0003-0010</t>
  </si>
  <si>
    <t>JESSIE</t>
  </si>
  <si>
    <t>3364 JESSIE RD</t>
  </si>
  <si>
    <t>CANADAY KENNETH E</t>
  </si>
  <si>
    <t>CANADAY REGINALD E</t>
  </si>
  <si>
    <t>10-02N-23E</t>
  </si>
  <si>
    <t>L/E OR 1073/1943 EX ESMT PT OR 762/756</t>
  </si>
  <si>
    <t>2017-83</t>
  </si>
  <si>
    <t>SKYLER LLC O78958 SERIES</t>
  </si>
  <si>
    <t>10-2N-23-0000-0007-0000</t>
  </si>
  <si>
    <t>24355 CR 121</t>
  </si>
  <si>
    <t>DYAL KENNETH MYRON</t>
  </si>
  <si>
    <t>24355 COUNTY ROAD 121</t>
  </si>
  <si>
    <t>PT OF N1/2 OF NW1/4 CASE #13-CP-135 OR 1861/1488 EX R/W OR 246/647</t>
  </si>
  <si>
    <t>2017-84</t>
  </si>
  <si>
    <t>ECRU LLC TSCM0Y2</t>
  </si>
  <si>
    <t>2016-67</t>
  </si>
  <si>
    <t>SETPER LLC O111205 SERIES</t>
  </si>
  <si>
    <t>2015-69</t>
  </si>
  <si>
    <t>LIEGE TAX LIENS LLC 1 US BANK % LIEGE TAX LIENS LLC 1</t>
  </si>
  <si>
    <t>GOLAN LLC SERIES A011702</t>
  </si>
  <si>
    <t>2014-74</t>
  </si>
  <si>
    <t>2011-174</t>
  </si>
  <si>
    <t>10-2N-23-0000-0008-0000</t>
  </si>
  <si>
    <t>DYAL KENNETH</t>
  </si>
  <si>
    <t>PT N1/2 OF NW1/4 OF SEC 10-2N-23E IN OR 1316/1595 (EX PT IN OR 1319/1073 &amp; ESMT</t>
  </si>
  <si>
    <t>2017-85</t>
  </si>
  <si>
    <t>ARROWTREE BLVD 555 FINANCIAL SERVICES LLC</t>
  </si>
  <si>
    <t>2016-68</t>
  </si>
  <si>
    <t>2015-70</t>
  </si>
  <si>
    <t>2014-75</t>
  </si>
  <si>
    <t>SHANE LEACH CAZENOVIA CREEK FUNDING I LLC</t>
  </si>
  <si>
    <t>2011-175</t>
  </si>
  <si>
    <t>10-2N-23-0000-0008-0060</t>
  </si>
  <si>
    <t>ROY SIKES</t>
  </si>
  <si>
    <t>ROY SIKES RD</t>
  </si>
  <si>
    <t>DYAL KENNETH M</t>
  </si>
  <si>
    <t>24412 CR 121</t>
  </si>
  <si>
    <t>PT N1/2 OF NW1/4 OF SEC 10-2N-23E IN OR 1319/1073</t>
  </si>
  <si>
    <t>2017-86</t>
  </si>
  <si>
    <t>2016-69</t>
  </si>
  <si>
    <t>2015-71</t>
  </si>
  <si>
    <t>2014-76</t>
  </si>
  <si>
    <t>2011-176</t>
  </si>
  <si>
    <t>10-2N-23-0000-0013-0000</t>
  </si>
  <si>
    <t>WILSON CARROLL</t>
  </si>
  <si>
    <t>25012 WILSON CARROLL LN</t>
  </si>
  <si>
    <t>CARROLL WOODROW W</t>
  </si>
  <si>
    <t>CARROLL CHARLES</t>
  </si>
  <si>
    <t>Timberland - site index 80 to 89</t>
  </si>
  <si>
    <t>IN OR 1605/369 EX 13-2 13-6 &amp; 13-7</t>
  </si>
  <si>
    <t>10-2N-23-0000-0015-0020</t>
  </si>
  <si>
    <t>2744 SIKES DR</t>
  </si>
  <si>
    <t>ANDERSON JOSEPH M</t>
  </si>
  <si>
    <t>ANDERSON BILLIE JO</t>
  </si>
  <si>
    <t>PO BOX 1878</t>
  </si>
  <si>
    <t>PT OF SW1/4 PT OR 1264/170 EX 15-19</t>
  </si>
  <si>
    <t>2011-179</t>
  </si>
  <si>
    <t>11-2N-23-0000-0005-0020</t>
  </si>
  <si>
    <t>23356 SMITH RD N</t>
  </si>
  <si>
    <t>REID JUSTIN SCOT &amp; KRISTEN L</t>
  </si>
  <si>
    <t>3307 RIVER RD</t>
  </si>
  <si>
    <t>11-02N-23E</t>
  </si>
  <si>
    <t>PT GOVT LOTS 3 &amp; 4 OF SEC 11-2N-23E IN OR 1909/1815</t>
  </si>
  <si>
    <t>13-2N-23-0000-0002-0000</t>
  </si>
  <si>
    <t>RIVER</t>
  </si>
  <si>
    <t>RIVER RD</t>
  </si>
  <si>
    <t>RNHJ HOLDINGS INC</t>
  </si>
  <si>
    <t>PO BOX 455</t>
  </si>
  <si>
    <t>13-02N-23E</t>
  </si>
  <si>
    <t>S1/2 OF S1/2 IN OR 1551/825 ESMT OR 1434/470</t>
  </si>
  <si>
    <t>2017-91</t>
  </si>
  <si>
    <t>ECRU LLC R10501J</t>
  </si>
  <si>
    <t>2014-80</t>
  </si>
  <si>
    <t>2013-72</t>
  </si>
  <si>
    <t>PTL PARTNERS LLC US BANK CUST FOR PTL PARTNERS LLC</t>
  </si>
  <si>
    <t>2012-1172</t>
  </si>
  <si>
    <t>15-2N-23-0000-0005-0270</t>
  </si>
  <si>
    <t>23291 CR 121</t>
  </si>
  <si>
    <t>WHITFIELD MARIE CACERES</t>
  </si>
  <si>
    <t>23291 COUNTY ROAD 121</t>
  </si>
  <si>
    <t>15-02N-23E</t>
  </si>
  <si>
    <t>PT OF E1/2 OF NW1/4 IN OR 469 PG 33</t>
  </si>
  <si>
    <t>2017-92</t>
  </si>
  <si>
    <t>HOSSET LLC O73634 SERIES</t>
  </si>
  <si>
    <t>2016-73</t>
  </si>
  <si>
    <t>GARNET ROCK LLC - 616</t>
  </si>
  <si>
    <t>GENNESARET LLC SERIES A013894</t>
  </si>
  <si>
    <t>15-2N-23-0000-0006-0020</t>
  </si>
  <si>
    <t>CREWS</t>
  </si>
  <si>
    <t>22090 CREWS RD</t>
  </si>
  <si>
    <t>CASTLEBERRY MARVIN C JR &amp; CASTLEBERRY KENNA C EST</t>
  </si>
  <si>
    <t>IN OR 680/711 R673246 PARCELS 6-2 &amp; 6-7 ESMT OR 1634/1949</t>
  </si>
  <si>
    <t>2017-93</t>
  </si>
  <si>
    <t>KINGFISHER KEY RED AAGE LLC</t>
  </si>
  <si>
    <t>2016-74</t>
  </si>
  <si>
    <t>GUU - 271701 - JUPITER ISLAND LLC US BANK CUST FOR PFS FINANCIAL 1</t>
  </si>
  <si>
    <t>2015-74</t>
  </si>
  <si>
    <t>BARSA 230V LLC</t>
  </si>
  <si>
    <t>2014-81</t>
  </si>
  <si>
    <t>2013-74</t>
  </si>
  <si>
    <t>2012-1226</t>
  </si>
  <si>
    <t>2011-185</t>
  </si>
  <si>
    <t>15-2N-23-0000-0006-0040</t>
  </si>
  <si>
    <t>FOLLY</t>
  </si>
  <si>
    <t>2638 FOLLY LN</t>
  </si>
  <si>
    <t>BURNSED JAMES F</t>
  </si>
  <si>
    <t>BURNSED CHERYL O</t>
  </si>
  <si>
    <t>2562 FOLLY LN</t>
  </si>
  <si>
    <t>PT OF OR 578 PG 921</t>
  </si>
  <si>
    <t>2017-94</t>
  </si>
  <si>
    <t>2016-75</t>
  </si>
  <si>
    <t>BENNU LLC JA1F6BBS</t>
  </si>
  <si>
    <t>2015-75</t>
  </si>
  <si>
    <t>2014-82</t>
  </si>
  <si>
    <t>2013-75</t>
  </si>
  <si>
    <t>2012-1227</t>
  </si>
  <si>
    <t>2011-186</t>
  </si>
  <si>
    <t>WADE BLOODGOOD</t>
  </si>
  <si>
    <t>15-2N-23-0000-0006-0080</t>
  </si>
  <si>
    <t>2691 FOLLY LN</t>
  </si>
  <si>
    <t>CASTLEBERRY MARVIN C</t>
  </si>
  <si>
    <t>PT OR 835/1051 ESMT OR 1715/774</t>
  </si>
  <si>
    <t>2017-95</t>
  </si>
  <si>
    <t>BISBEE LLC IE10DF3AR</t>
  </si>
  <si>
    <t>2016-76</t>
  </si>
  <si>
    <t>FL SUB-ACCOUNTS 200-205 200557 US BANK CUST FOR PFS FINANCIAL 2 LLC</t>
  </si>
  <si>
    <t>2015-76</t>
  </si>
  <si>
    <t>MACHA TAL 3BGI LLC</t>
  </si>
  <si>
    <t>2014-83</t>
  </si>
  <si>
    <t>2013-76</t>
  </si>
  <si>
    <t>SUNSHINE STATE TAX LLC - 4</t>
  </si>
  <si>
    <t>2012-1228</t>
  </si>
  <si>
    <t>US BANK CUST BISBEE LLC H171E0</t>
  </si>
  <si>
    <t>2011-187</t>
  </si>
  <si>
    <t>15-2N-23-0000-0006-0100</t>
  </si>
  <si>
    <t>22246 CREWS RD</t>
  </si>
  <si>
    <t>BEAUDRY ROBERT</t>
  </si>
  <si>
    <t>BEAUDRY DONNA E</t>
  </si>
  <si>
    <t>PO BOX 113</t>
  </si>
  <si>
    <t>PT OR 781/1513 R787786 &amp; R787787</t>
  </si>
  <si>
    <t>2017-96</t>
  </si>
  <si>
    <t>ZYGGY LLC AND ZEHN LLC PARTNERSHIP 160</t>
  </si>
  <si>
    <t>2015-77</t>
  </si>
  <si>
    <t>DUDE 645 LLC</t>
  </si>
  <si>
    <t>2014-84</t>
  </si>
  <si>
    <t>2013-77</t>
  </si>
  <si>
    <t>IRA SERVICES TRUST COMPANY FBO RICHARD A ATKINSON</t>
  </si>
  <si>
    <t>2012-1229</t>
  </si>
  <si>
    <t>2011-188</t>
  </si>
  <si>
    <t>15-2N-23-0000-0006-0120</t>
  </si>
  <si>
    <t>22330 CREWS RD</t>
  </si>
  <si>
    <t>WALKER JASON M &amp; CHRISTY M</t>
  </si>
  <si>
    <t>22342 CREWS ROAD</t>
  </si>
  <si>
    <t>PT OF NW1/4 OF NW1/4 IN OR 1654/773</t>
  </si>
  <si>
    <t>15-2N-23-0000-0007-0000</t>
  </si>
  <si>
    <t>21964 CREWS RD</t>
  </si>
  <si>
    <t>NAYLOR GREGORY R &amp; ELIZABETH D</t>
  </si>
  <si>
    <t>SW1/4 OF NW1/4 2003 REGE DW CASE #12-CP-33 OR 1792/1778</t>
  </si>
  <si>
    <t>2013-78</t>
  </si>
  <si>
    <t>15-2N-23-0000-0008-0000</t>
  </si>
  <si>
    <t>22870 CR 121</t>
  </si>
  <si>
    <t>MILLIKIN PATRICIA A</t>
  </si>
  <si>
    <t>22928 COUNTY ROAD 121</t>
  </si>
  <si>
    <t>SW1/4 (EX 8-10) CASE #45-2011-CP-000289 PT OR 1876/1861</t>
  </si>
  <si>
    <t>2013-79</t>
  </si>
  <si>
    <t>2012-1231</t>
  </si>
  <si>
    <t>CAPONE-CLTRLASSGNEE-MAGTC4NSA</t>
  </si>
  <si>
    <t>A101001</t>
  </si>
  <si>
    <t>2011-189</t>
  </si>
  <si>
    <t>15-2N-23-0000-0008-0100</t>
  </si>
  <si>
    <t>22866 CR 121</t>
  </si>
  <si>
    <t>ROWELL DAPHNE M</t>
  </si>
  <si>
    <t>22864 CR 121</t>
  </si>
  <si>
    <t>CASE #45-2011-CP-000289 PT OR 1876/1861</t>
  </si>
  <si>
    <t>Potential Medium Risk</t>
  </si>
  <si>
    <t>2016-77</t>
  </si>
  <si>
    <t>15-2N-23-0000-0009-0110</t>
  </si>
  <si>
    <t>22717 CR 121</t>
  </si>
  <si>
    <t>WILSON DAVID</t>
  </si>
  <si>
    <t>646 N BROAD ST</t>
  </si>
  <si>
    <t>GROVE CITY PA</t>
  </si>
  <si>
    <t>PT OF SW1/4 OF SEC 15-2N-23E IN OR 1775/1181 {R583776 &amp; R583777}</t>
  </si>
  <si>
    <t>2017-98</t>
  </si>
  <si>
    <t>2015-78</t>
  </si>
  <si>
    <t>FL-PTH 4 LLC CAPONE NA CLTRL ASSIGNEE OF FL CORAL LIEN INV LLC</t>
  </si>
  <si>
    <t>2014-85</t>
  </si>
  <si>
    <t>2013-81</t>
  </si>
  <si>
    <t>16-2N-23-0000-0001-0110</t>
  </si>
  <si>
    <t>HILLIARD FL 32034</t>
  </si>
  <si>
    <t>16-02N-23E</t>
  </si>
  <si>
    <t>PT OR 835/1051</t>
  </si>
  <si>
    <t>2017-100</t>
  </si>
  <si>
    <t>2015-80</t>
  </si>
  <si>
    <t>2014-88</t>
  </si>
  <si>
    <t>2013-84</t>
  </si>
  <si>
    <t>2012-1272</t>
  </si>
  <si>
    <t>2011-194</t>
  </si>
  <si>
    <t>16-2N-23-0000-0001-0130</t>
  </si>
  <si>
    <t>CHOLERTON</t>
  </si>
  <si>
    <t>2595 CHOLERTON LN</t>
  </si>
  <si>
    <t>PT OR 781 PG 1513</t>
  </si>
  <si>
    <t>2016-79</t>
  </si>
  <si>
    <t>ECRU LLC HP3RC6F85</t>
  </si>
  <si>
    <t>2015-81</t>
  </si>
  <si>
    <t>FL - CCTS CAP 107083 US BANK CUST FOR PFS FINANCIAL 2 LLC</t>
  </si>
  <si>
    <t>2014-89</t>
  </si>
  <si>
    <t>2013-85</t>
  </si>
  <si>
    <t>2012-1273</t>
  </si>
  <si>
    <t>2011-195</t>
  </si>
  <si>
    <t>16-2N-23-0000-0001-0160</t>
  </si>
  <si>
    <t>2449 CHOLERTON LN</t>
  </si>
  <si>
    <t>MASTERS RALPH R</t>
  </si>
  <si>
    <t>MASTERS DIANE M</t>
  </si>
  <si>
    <t>2496 CHOLERTON LN</t>
  </si>
  <si>
    <t>PT GOVT LOT 1 IN SEC 16-2N-23E IN OR 2010/1483</t>
  </si>
  <si>
    <t>2017-101</t>
  </si>
  <si>
    <t>16-2N-23-1850-0001-0000</t>
  </si>
  <si>
    <t>CHOLERTON LN</t>
  </si>
  <si>
    <t>RIVER COUNTRY ESTATES</t>
  </si>
  <si>
    <t>LOT 1 ESMT PT OR 1433/701 RIVER COUNTRY ESTATES PB 6/170</t>
  </si>
  <si>
    <t>2017-102</t>
  </si>
  <si>
    <t>2016-80</t>
  </si>
  <si>
    <t>2015-82</t>
  </si>
  <si>
    <t>2014-90</t>
  </si>
  <si>
    <t>2013-86</t>
  </si>
  <si>
    <t>2012-1274</t>
  </si>
  <si>
    <t>2011-196</t>
  </si>
  <si>
    <t>16-2N-23-1850-0002-0000</t>
  </si>
  <si>
    <t>LOT 2 ESMT PT OR 1433/701 RIVER COUNTRY ESTATES PB 6/170</t>
  </si>
  <si>
    <t>2017-103</t>
  </si>
  <si>
    <t>2016-81</t>
  </si>
  <si>
    <t>2015-83</t>
  </si>
  <si>
    <t>2014-91</t>
  </si>
  <si>
    <t>2013-87</t>
  </si>
  <si>
    <t>2012-1275</t>
  </si>
  <si>
    <t>2011-197</t>
  </si>
  <si>
    <t>16-2N-23-1850-0003-0000</t>
  </si>
  <si>
    <t>LOT 3 ESMT PT OR 1433/701 RIVER COUNTRY ESTATES PB 6/170</t>
  </si>
  <si>
    <t>2017-104</t>
  </si>
  <si>
    <t>2016-82</t>
  </si>
  <si>
    <t>2015-84</t>
  </si>
  <si>
    <t>2014-92</t>
  </si>
  <si>
    <t>2013-88</t>
  </si>
  <si>
    <t>2012-1276</t>
  </si>
  <si>
    <t>2011-198</t>
  </si>
  <si>
    <t>16-2N-23-1850-0004-0000</t>
  </si>
  <si>
    <t>LOT 4 ESMT PT OR 1433/701 RIVER COUNTRY ESTATES PB 6/170</t>
  </si>
  <si>
    <t>2017-105</t>
  </si>
  <si>
    <t>2016-83</t>
  </si>
  <si>
    <t>2015-85</t>
  </si>
  <si>
    <t>2014-93</t>
  </si>
  <si>
    <t>2013-89</t>
  </si>
  <si>
    <t>2012-1277</t>
  </si>
  <si>
    <t>2011-199</t>
  </si>
  <si>
    <t>22-2N-23-0000-0002-0000</t>
  </si>
  <si>
    <t>21967 CR 121</t>
  </si>
  <si>
    <t>CONNER JR JOSHUA</t>
  </si>
  <si>
    <t>CONNER VICTORIA</t>
  </si>
  <si>
    <t>27352 W 4TH AVE</t>
  </si>
  <si>
    <t>Ornamentals miscellaneous agricultural</t>
  </si>
  <si>
    <t>Horticulture Growing Houses Ornamental (Agricultural)</t>
  </si>
  <si>
    <t>22-02N-23E</t>
  </si>
  <si>
    <t>S1/2 OF NE1/4 &amp; N1/2 OF SE1/4 OR 678/1848 LESS R/W</t>
  </si>
  <si>
    <t>23-2N-23-0000-0001-0050</t>
  </si>
  <si>
    <t>4548 RIVER RD</t>
  </si>
  <si>
    <t>ASHLEY CHRISTOPHER S &amp; SHANNON</t>
  </si>
  <si>
    <t>4548 RIVER ROAD</t>
  </si>
  <si>
    <t>23-02N-23E</t>
  </si>
  <si>
    <t>PT OF NE1/4 IN OR 1727/1046 PARCELS 1-5 &amp; 2-6</t>
  </si>
  <si>
    <t>2016-85</t>
  </si>
  <si>
    <t>ECRU LLC RLC95J</t>
  </si>
  <si>
    <t>2013-92</t>
  </si>
  <si>
    <t>2012-1560</t>
  </si>
  <si>
    <t>ASCOT CAPITAL LLC - 53 US BANK % ASCOT CAPITAL LLC-53</t>
  </si>
  <si>
    <t>23-2N-23-1803-0005-0010</t>
  </si>
  <si>
    <t>4359 RIVER RD</t>
  </si>
  <si>
    <t>HORNE CRAIG L &amp; LYDIA R</t>
  </si>
  <si>
    <t>4357 RIVER ROAD</t>
  </si>
  <si>
    <t>PT OF LOT 5 (S-1) IN OR 1523/851</t>
  </si>
  <si>
    <t>25-2N-23-0000-0002-0010</t>
  </si>
  <si>
    <t>6134 RIVER RD</t>
  </si>
  <si>
    <t>TARRIS BOB TRUSTEE OF BOJU TRUST</t>
  </si>
  <si>
    <t>6134 PO BOX 7441</t>
  </si>
  <si>
    <t>25-02N-23E</t>
  </si>
  <si>
    <t>IN OR 1059/996</t>
  </si>
  <si>
    <t>12089C_310</t>
  </si>
  <si>
    <t>2017-109</t>
  </si>
  <si>
    <t>THALSA LLC AND TLSK LLC PARTNERSHIP 1404</t>
  </si>
  <si>
    <t>2016-87</t>
  </si>
  <si>
    <t>PBO - 221391 - CANAL POINT EAST US BANK CUST FOR PFS FINANCIAL 2 LLC</t>
  </si>
  <si>
    <t>2012-1632</t>
  </si>
  <si>
    <t>2011-204</t>
  </si>
  <si>
    <t>26-2N-23-0000-0002-0000</t>
  </si>
  <si>
    <t>ROWE CUTOFF</t>
  </si>
  <si>
    <t>4413 ROWE CUTOFF RD</t>
  </si>
  <si>
    <t>26-02N-23E</t>
  </si>
  <si>
    <t>PARCEL 2 NW1/4 OF NE1/4 PT OR 1551/823</t>
  </si>
  <si>
    <t>2017-111</t>
  </si>
  <si>
    <t>OOOO2002</t>
  </si>
  <si>
    <t>2015-2323</t>
  </si>
  <si>
    <t>A14198</t>
  </si>
  <si>
    <t>2013-96</t>
  </si>
  <si>
    <t>SWAN FAMILY LTD</t>
  </si>
  <si>
    <t>2012-1669</t>
  </si>
  <si>
    <t>NAWS25 LLC</t>
  </si>
  <si>
    <t>26-2N-23-0000-0002-0010</t>
  </si>
  <si>
    <t>OFF ROWE CUT-OFF</t>
  </si>
  <si>
    <t>OFF ROWE CUT-OFF RD</t>
  </si>
  <si>
    <t>Timberland - site index 90 and above</t>
  </si>
  <si>
    <t>ROWE</t>
  </si>
  <si>
    <t>PARCEL 2-1 NW1/4 OF NE1/4 PT OR 1551/823</t>
  </si>
  <si>
    <t>2017-112</t>
  </si>
  <si>
    <t>2016-89</t>
  </si>
  <si>
    <t>2015-90</t>
  </si>
  <si>
    <t>26-2N-23-0000-0005-0020</t>
  </si>
  <si>
    <t>HASSELL</t>
  </si>
  <si>
    <t>4000 HASSELL LN</t>
  </si>
  <si>
    <t>CONNER GERALD DALE EST</t>
  </si>
  <si>
    <t>3800 CONNER COLLINS RD</t>
  </si>
  <si>
    <t>SE1/4 OF NW1/4 IN OR 1950/1507</t>
  </si>
  <si>
    <t>26-2N-23-0000-0005-0150</t>
  </si>
  <si>
    <t>CONNER COLLINS</t>
  </si>
  <si>
    <t>CONNER COLLINS RD</t>
  </si>
  <si>
    <t>NE1/4 OF SW1/4 PT OR 648/438</t>
  </si>
  <si>
    <t>27-2N-23-0000-0001-0000</t>
  </si>
  <si>
    <t>NASSAU TIMBER &amp; LAND HOLDINGS LLC</t>
  </si>
  <si>
    <t>PO BOX 1694</t>
  </si>
  <si>
    <t>27-02N-23E</t>
  </si>
  <si>
    <t>PT GOVT LOT 1 &amp; PT OF E1/2 OF NE1/4 OF SEC 27-2N-23E IN OR 1723/1783 BEING PARAGRAPH</t>
  </si>
  <si>
    <t>27-2N-23-0000-0001-0070</t>
  </si>
  <si>
    <t>OCEANS EIGHT CREATIVE</t>
  </si>
  <si>
    <t>GROUP LLC 450027 OLD DIXIE HWY</t>
  </si>
  <si>
    <t>PT OF SW1/4 OF SE1/4 OF SEC 27-2N-23E IN OR 2031/1666</t>
  </si>
  <si>
    <t>27-2N-23-0000-0001-0130</t>
  </si>
  <si>
    <t>OCEANS EIGHT CREATIVE GROUP</t>
  </si>
  <si>
    <t>LLC PO BOX 8918</t>
  </si>
  <si>
    <t>PT OF SW1/4 OF NE1/4 &amp; PT OF NW1/4 OF SE1/4 &amp; PT OF SW1/4 OF SE1/4 OF SEC 27-2N-23E IN</t>
  </si>
  <si>
    <t>27-2N-23-0000-0001-0190</t>
  </si>
  <si>
    <t>HENRY LEE</t>
  </si>
  <si>
    <t>HENRY LEE RD</t>
  </si>
  <si>
    <t>OCEANS EIGHT CREATIVE GROUP LLC</t>
  </si>
  <si>
    <t>PO BOX 8918</t>
  </si>
  <si>
    <t>PT GOVT LOT 1 &amp; PT OF E1/2 OF</t>
  </si>
  <si>
    <t>27-2N-23-0000-0001-0210</t>
  </si>
  <si>
    <t>27-2N-23-0000-0001-0220</t>
  </si>
  <si>
    <t>27-2N-23-0000-0005-0100</t>
  </si>
  <si>
    <t>JAGUAR</t>
  </si>
  <si>
    <t>20106 JAGUAR DR</t>
  </si>
  <si>
    <t>SHOTT KELLY LYNN &amp; CHRISTOPHER</t>
  </si>
  <si>
    <t>PT OF SEC 27-2N-23E</t>
  </si>
  <si>
    <t>27-2N-23-0000-0006-0020</t>
  </si>
  <si>
    <t>JANE</t>
  </si>
  <si>
    <t>2974 JANE LN</t>
  </si>
  <si>
    <t>MUMFORD MELISSA D</t>
  </si>
  <si>
    <t>MUMFORD HARRY J</t>
  </si>
  <si>
    <t>PT OF NE1/4 OF SW1/4 IN OR 1549/245 R673879 &amp; R673880</t>
  </si>
  <si>
    <t>12089C_1029</t>
  </si>
  <si>
    <t>2016-92</t>
  </si>
  <si>
    <t>BETA BLOCK - CCTS FLOR 120994 US BANK CUST FOR PFS FINANCIAL 2 LLC</t>
  </si>
  <si>
    <t>2015-92</t>
  </si>
  <si>
    <t>GRASS RIVER INVESTMENTS AJHY LLC</t>
  </si>
  <si>
    <t>2014-96</t>
  </si>
  <si>
    <t>2013-98</t>
  </si>
  <si>
    <t>2012-1689</t>
  </si>
  <si>
    <t>2011-207</t>
  </si>
  <si>
    <t>27-2N-23-0000-0007-0060</t>
  </si>
  <si>
    <t>BARBARA</t>
  </si>
  <si>
    <t>3458 BARBARA LN</t>
  </si>
  <si>
    <t>CONLEY DARRELL S JR &amp; CRYSTAL</t>
  </si>
  <si>
    <t>IN OR 1734/248 R583709 (EX R/W &amp; EX 7-18 &amp; 7-19)</t>
  </si>
  <si>
    <t>2017-115</t>
  </si>
  <si>
    <t>2016-93</t>
  </si>
  <si>
    <t>2015-93</t>
  </si>
  <si>
    <t>FL-PTH 3 LLC CAPONE NA CLTRL ASSIGNEE OF FL CORAL LIEN INV LLC</t>
  </si>
  <si>
    <t>2014-97</t>
  </si>
  <si>
    <t>2013-100</t>
  </si>
  <si>
    <t>2012-1690</t>
  </si>
  <si>
    <t>27-2N-23-0000-0007-0180</t>
  </si>
  <si>
    <t>ASHCRAFT</t>
  </si>
  <si>
    <t>19295 ASHCRAFT LN</t>
  </si>
  <si>
    <t>RODRIGUEZ NOWELL D</t>
  </si>
  <si>
    <t>RODRIGUEZ KIMBER N</t>
  </si>
  <si>
    <t>27210 KRISTIE CIR S</t>
  </si>
  <si>
    <t>IN OR 1872/849 EX 7-20 1982 NOBI SW/MH</t>
  </si>
  <si>
    <t>2016-94</t>
  </si>
  <si>
    <t>2012-1691</t>
  </si>
  <si>
    <t>2011-208</t>
  </si>
  <si>
    <t>27-2N-23-0000-0009-0000</t>
  </si>
  <si>
    <t>20362 CR 121</t>
  </si>
  <si>
    <t>RING STEVEN CHARLES</t>
  </si>
  <si>
    <t>PARCEL 9 IN SEC 27-2N-23E &amp; PARCEL 1-9 IN SEC 34-2N-23E IN OR 2058/100</t>
  </si>
  <si>
    <t>2017-117</t>
  </si>
  <si>
    <t>SANMARCORA ZCUQHB</t>
  </si>
  <si>
    <t>27-2N-23-0000-0009-0040</t>
  </si>
  <si>
    <t>20460 CR 121</t>
  </si>
  <si>
    <t>CLEMONS KELLY G</t>
  </si>
  <si>
    <t>CLEMONS EVELYN L</t>
  </si>
  <si>
    <t>20460 COUNTY ROAD 121</t>
  </si>
  <si>
    <t>SE1/4 OF SE1/4 IN OR 664 PG 392 R567543 &amp; R567544</t>
  </si>
  <si>
    <t>2017-118</t>
  </si>
  <si>
    <t>SANMARCORA GVSFEA</t>
  </si>
  <si>
    <t>2014-98</t>
  </si>
  <si>
    <t>YANG ZHAO</t>
  </si>
  <si>
    <t>28-2N-23-0000-0003-0010</t>
  </si>
  <si>
    <t>SCENIC RIVER</t>
  </si>
  <si>
    <t>19288 SCENIC RIVER DR</t>
  </si>
  <si>
    <t>CREWS RHONDA M &amp; JOHN G</t>
  </si>
  <si>
    <t>19288 SCENIC RIVER DRIVE</t>
  </si>
  <si>
    <t>28-02N-23E</t>
  </si>
  <si>
    <t>PT OF SE1/4 OF SE1/4 IN OR 1595/1630</t>
  </si>
  <si>
    <t>2017-119</t>
  </si>
  <si>
    <t>SUMMER BIRD LLC SERIES A012203</t>
  </si>
  <si>
    <t>2014-99</t>
  </si>
  <si>
    <t>2013-101</t>
  </si>
  <si>
    <t>ALTERNA FUNDING I, LLC MTAG AS CUSTODIAN FOR ALTERNA FUNDING I, LLC</t>
  </si>
  <si>
    <t>2012-1751</t>
  </si>
  <si>
    <t>US BANK CUST BISBEE LLC H171F5</t>
  </si>
  <si>
    <t>2011-209</t>
  </si>
  <si>
    <t>PPF HOLDINGS III LTD</t>
  </si>
  <si>
    <t>33-2N-23-0000-0001-0010</t>
  </si>
  <si>
    <t>2892 BARBARA LN</t>
  </si>
  <si>
    <t>PENDERGRASS JOHN M</t>
  </si>
  <si>
    <t>PENDERGRASS SANDRA J</t>
  </si>
  <si>
    <t>33-02N-23E</t>
  </si>
  <si>
    <t>PT OF E1/2 OF NE1/4 IN OR 1240/1139</t>
  </si>
  <si>
    <t>2017-120</t>
  </si>
  <si>
    <t>CLUSIA SB MUNI CUST FOR</t>
  </si>
  <si>
    <t>GHATA 4705</t>
  </si>
  <si>
    <t>2016-95</t>
  </si>
  <si>
    <t>SPOKANE LLC SERIES A000591</t>
  </si>
  <si>
    <t>2015-94</t>
  </si>
  <si>
    <t>KKKK829</t>
  </si>
  <si>
    <t>2014-100</t>
  </si>
  <si>
    <t>2013-102</t>
  </si>
  <si>
    <t>2012-1988</t>
  </si>
  <si>
    <t>ROSEHILL FUND 1 LLC</t>
  </si>
  <si>
    <t>ROSEHILL CAPITAL LLC</t>
  </si>
  <si>
    <t>2011-210</t>
  </si>
  <si>
    <t>34-2N-23-0000-0001-0080</t>
  </si>
  <si>
    <t>20346 CR 121</t>
  </si>
  <si>
    <t>RING STEVEN C &amp; SANDRA S</t>
  </si>
  <si>
    <t>34-02N-23E</t>
  </si>
  <si>
    <t>PT SEC 34-2N-23E RECD IN OR 1966/572</t>
  </si>
  <si>
    <t>2017-123</t>
  </si>
  <si>
    <t>MULBERRY GROVE 905 RENTING REO LLC</t>
  </si>
  <si>
    <t>34-2N-23-0000-0002-0060</t>
  </si>
  <si>
    <t>MCLENDON LUTHER S</t>
  </si>
  <si>
    <t>MCLENDON SUSAN</t>
  </si>
  <si>
    <t>18401 CONNER RD</t>
  </si>
  <si>
    <t>IN OR 1726/1495</t>
  </si>
  <si>
    <t>2017-124</t>
  </si>
  <si>
    <t>2016-97</t>
  </si>
  <si>
    <t>2014-102</t>
  </si>
  <si>
    <t>34-2N-23-0000-0002-0080</t>
  </si>
  <si>
    <t>CONNER</t>
  </si>
  <si>
    <t>CONNER RD</t>
  </si>
  <si>
    <t>PT S1/2 &amp; N1/2 OF SEC 34 IN OR 1765/218</t>
  </si>
  <si>
    <t>2017-125</t>
  </si>
  <si>
    <t>2016-98</t>
  </si>
  <si>
    <t>BISBEE LLC PM78374DEAH</t>
  </si>
  <si>
    <t>2014-103</t>
  </si>
  <si>
    <t>2013-106</t>
  </si>
  <si>
    <t>34-2N-23-0000-0003-0030</t>
  </si>
  <si>
    <t>19861 CR 121</t>
  </si>
  <si>
    <t>FLINK STEVE W</t>
  </si>
  <si>
    <t>PO BOX 584</t>
  </si>
  <si>
    <t>IN OR 2049/1165 2004 CLAS DW/MH</t>
  </si>
  <si>
    <t>2017-126</t>
  </si>
  <si>
    <t>MERLOT HOLDINGS126120</t>
  </si>
  <si>
    <t>34-2N-23-0000-0005-0100</t>
  </si>
  <si>
    <t>PAINT HORSE TR</t>
  </si>
  <si>
    <t>RAULERSON STEPHEN D</t>
  </si>
  <si>
    <t>86679 WORTHINGTON DR</t>
  </si>
  <si>
    <t>YULEE FL</t>
  </si>
  <si>
    <t>PT OF W1/2 OF NW1/4 IN OR 1016/1788</t>
  </si>
  <si>
    <t>2016-99</t>
  </si>
  <si>
    <t>2014-104</t>
  </si>
  <si>
    <t>2013-108</t>
  </si>
  <si>
    <t>34-2N-23-0000-0007-0110</t>
  </si>
  <si>
    <t>MCLENDON SUSAN A</t>
  </si>
  <si>
    <t>IN OR 729/309</t>
  </si>
  <si>
    <t>2017-127</t>
  </si>
  <si>
    <t>2016-100</t>
  </si>
  <si>
    <t>IDE IDE TECHNOLOGIES INC</t>
  </si>
  <si>
    <t>2014-105</t>
  </si>
  <si>
    <t>2013-109</t>
  </si>
  <si>
    <t>34-2N-23-0000-0008-0000</t>
  </si>
  <si>
    <t>RUTH</t>
  </si>
  <si>
    <t>RUTH LN</t>
  </si>
  <si>
    <t>CONNER RICHARD A</t>
  </si>
  <si>
    <t>14456 RUTH LN</t>
  </si>
  <si>
    <t>NW1/4 OF SW1/4 OF SEC 34-2N-23E IN OR 807/1840 (EX PT IN OR 1008-1533</t>
  </si>
  <si>
    <t>05-2S-23-0000-0003-0170</t>
  </si>
  <si>
    <t>HORSESHOE</t>
  </si>
  <si>
    <t>CIR</t>
  </si>
  <si>
    <t>HORSESHOE CIR</t>
  </si>
  <si>
    <t>PINER JAMES F JR</t>
  </si>
  <si>
    <t>12525 STERLING RUN COURT</t>
  </si>
  <si>
    <t>5-02S-23E</t>
  </si>
  <si>
    <t>PT OF GOVT LOT 4 IN OR 920/1185</t>
  </si>
  <si>
    <t>2017-129</t>
  </si>
  <si>
    <t>2016-104</t>
  </si>
  <si>
    <t>BENNU LLC LY18QE98R</t>
  </si>
  <si>
    <t>2013-114</t>
  </si>
  <si>
    <t>2012-788</t>
  </si>
  <si>
    <t>2011-218</t>
  </si>
  <si>
    <t>05-2S-23-1500-0007-0000</t>
  </si>
  <si>
    <t>PRINGLE</t>
  </si>
  <si>
    <t>5937 PRINGLE RD</t>
  </si>
  <si>
    <t>SMITHS INVESTMENT CORP</t>
  </si>
  <si>
    <t>2283 S BROOK DR</t>
  </si>
  <si>
    <t>LOT 7 IN OR 1490/1331 1987 LIBE DW/MH</t>
  </si>
  <si>
    <t>2017-130</t>
  </si>
  <si>
    <t>2016-105</t>
  </si>
  <si>
    <t>2015-98</t>
  </si>
  <si>
    <t>2014-110</t>
  </si>
  <si>
    <t>2013-116</t>
  </si>
  <si>
    <t>2012-790</t>
  </si>
  <si>
    <t>2011-219</t>
  </si>
  <si>
    <t>06-2S-23-0000-0006-0000</t>
  </si>
  <si>
    <t>MIDDLE</t>
  </si>
  <si>
    <t>892 MIDDLE RD</t>
  </si>
  <si>
    <t>AVERY TANGIE J</t>
  </si>
  <si>
    <t>892 MIDDLE ROAD</t>
  </si>
  <si>
    <t>6-02S-23E</t>
  </si>
  <si>
    <t>PT OF SE1/4 OF SE1/4 IN OR 1067/904</t>
  </si>
  <si>
    <t>2017-133</t>
  </si>
  <si>
    <t>ECRU LLC AR3FB115</t>
  </si>
  <si>
    <t>2016-106</t>
  </si>
  <si>
    <t>GOK - 226022 - CLOUD LAKE BATCH US BANK CUST FOR PFS FINANCIAL 2 LLC</t>
  </si>
  <si>
    <t>2015-99</t>
  </si>
  <si>
    <t>ECQ - 241745 - GOLF NORTH US BANK CUST FOR PFS FINANCIAL 2 LLC</t>
  </si>
  <si>
    <t>2014-115</t>
  </si>
  <si>
    <t>2013-120</t>
  </si>
  <si>
    <t>2012-853</t>
  </si>
  <si>
    <t>US BANK CUST BISBEE LLC H171F2</t>
  </si>
  <si>
    <t>2011-222</t>
  </si>
  <si>
    <t>07-2S-23-0000-0004-0070</t>
  </si>
  <si>
    <t>WHOA</t>
  </si>
  <si>
    <t>575 WHOA LN</t>
  </si>
  <si>
    <t>PRICE BONNIE J &amp; DARYL B</t>
  </si>
  <si>
    <t>575 WHOA LANE</t>
  </si>
  <si>
    <t>7-02S-23E</t>
  </si>
  <si>
    <t>PARCELS 4-7 &amp; 1-8 IN SEC 18 IN OR 1691/1092 2009 SEHI DW/MH</t>
  </si>
  <si>
    <t>2017-135</t>
  </si>
  <si>
    <t>BIJOB 26036 LLC</t>
  </si>
  <si>
    <t>2016-110</t>
  </si>
  <si>
    <t>E151100</t>
  </si>
  <si>
    <t>2015-103</t>
  </si>
  <si>
    <t>A131163</t>
  </si>
  <si>
    <t>2012-866</t>
  </si>
  <si>
    <t>08-2S-23-0000-0002-0050</t>
  </si>
  <si>
    <t>TRAVIS RICHARD A</t>
  </si>
  <si>
    <t>8080 GREAT VALLEY TR</t>
  </si>
  <si>
    <t>8-02S-23E</t>
  </si>
  <si>
    <t>PT SEC 7-2S-23E &amp; 8-2S-23E IN OR 1991/653</t>
  </si>
  <si>
    <t>15-2S-23-0000-0001-0020</t>
  </si>
  <si>
    <t>WOODCHUCK</t>
  </si>
  <si>
    <t>BALDWIN</t>
  </si>
  <si>
    <t>WOODCHUCK PL</t>
  </si>
  <si>
    <t>BALDWIN FL 32234</t>
  </si>
  <si>
    <t>TOMLIN DANIEL S &amp; DONNA M</t>
  </si>
  <si>
    <t>3525 COUNTY ROAD 121</t>
  </si>
  <si>
    <t>16-02S-23E</t>
  </si>
  <si>
    <t>PT OF SW1/4 PT OR 1040/1954</t>
  </si>
  <si>
    <t>2014-116</t>
  </si>
  <si>
    <t>SPC LLC</t>
  </si>
  <si>
    <t>2012-1237</t>
  </si>
  <si>
    <t>2011-224</t>
  </si>
  <si>
    <t>16-2S-23-0000-0002-0020</t>
  </si>
  <si>
    <t>3470 CR 121</t>
  </si>
  <si>
    <t>STEWART MATTHEW</t>
  </si>
  <si>
    <t>STEWART FELICIA</t>
  </si>
  <si>
    <t>3470 COUNTY ROAD 121</t>
  </si>
  <si>
    <t>PT OF S1/2 OF S1/2 OF GOVT LOT 4 OR 1364/1881 (EX 2-3)</t>
  </si>
  <si>
    <t>2017-136</t>
  </si>
  <si>
    <t>SANMARCORA UTWTKY</t>
  </si>
  <si>
    <t>2016-111</t>
  </si>
  <si>
    <t>KING FISHER KEY TAX TBIQ LLC</t>
  </si>
  <si>
    <t>2015-105</t>
  </si>
  <si>
    <t>MALLY LLC AND MED ALI LLC PARTNERSHIP 1430</t>
  </si>
  <si>
    <t>2014-117</t>
  </si>
  <si>
    <t>2013-122</t>
  </si>
  <si>
    <t>2012-1284</t>
  </si>
  <si>
    <t>2011-225</t>
  </si>
  <si>
    <t>21-2S-23-0000-0002-0010</t>
  </si>
  <si>
    <t>3417 CR 121</t>
  </si>
  <si>
    <t>CRAWFORD WILLIAM R</t>
  </si>
  <si>
    <t>3347 COUNTY ROAD 121</t>
  </si>
  <si>
    <t>21-02S-23E</t>
  </si>
  <si>
    <t>PT OF N1/2 OF NW1/4 OF NE1/4 IN OR 748/1433 R408007 &amp; R433923</t>
  </si>
  <si>
    <t>21-2S-23-0000-0002-0040</t>
  </si>
  <si>
    <t>3417 COUNTY ROAD 121</t>
  </si>
  <si>
    <t>PT OF N1/2 OF NW1/4 OF NE1/4 L/E OR 1168/755</t>
  </si>
  <si>
    <t>2013-123</t>
  </si>
  <si>
    <t>2011-226</t>
  </si>
  <si>
    <t>21-2S-23-0000-0002-0060</t>
  </si>
  <si>
    <t>3407 CR 121</t>
  </si>
  <si>
    <t>HODGES WENDY LEE</t>
  </si>
  <si>
    <t>3407 COUNTY ROAD 121</t>
  </si>
  <si>
    <t>PT N1/2 OF NW1/4 OF NE1/4 IN OR 2002/1403</t>
  </si>
  <si>
    <t>2017-137</t>
  </si>
  <si>
    <t>SANMARCORA OAARTT</t>
  </si>
  <si>
    <t>2012-1451</t>
  </si>
  <si>
    <t>ROSEHILL IRA FUND LLC</t>
  </si>
  <si>
    <t>2011-227</t>
  </si>
  <si>
    <t>21-2S-23-0000-0003-0000</t>
  </si>
  <si>
    <t>3402 CR 121</t>
  </si>
  <si>
    <t>STEWART JOHN T</t>
  </si>
  <si>
    <t>STEWART MADGE D</t>
  </si>
  <si>
    <t>1590 ISLAND LN STE 28</t>
  </si>
  <si>
    <t>FLEMING ISLAND FL</t>
  </si>
  <si>
    <t>N1/2 OF NE1/4 OF NW1/4 &amp; OR 173/591 &amp; OR 682/815 PARCELS 3 &amp; 3-1</t>
  </si>
  <si>
    <t>2017-138</t>
  </si>
  <si>
    <t>CALABRIA FINANCIAL LLC SERIES A000543</t>
  </si>
  <si>
    <t>2015-106</t>
  </si>
  <si>
    <t>T89</t>
  </si>
  <si>
    <t>2014-118</t>
  </si>
  <si>
    <t>HHL TAX LLC</t>
  </si>
  <si>
    <t>2013-124</t>
  </si>
  <si>
    <t>2012-1452</t>
  </si>
  <si>
    <t>MERCURY FUNDING, LLC</t>
  </si>
  <si>
    <t>2011-228</t>
  </si>
  <si>
    <t>21-2S-23-0000-0003-0020</t>
  </si>
  <si>
    <t>PRAIRIE DOG</t>
  </si>
  <si>
    <t>2361 PRAIRIE DOG LN</t>
  </si>
  <si>
    <t>PT OF NW1/4 IN OR 1319/573 1990 FLEE SW/MH PARCELS 3-2 &amp; 3-3</t>
  </si>
  <si>
    <t>2017-139</t>
  </si>
  <si>
    <t>TRIAD HOLDINGS207461</t>
  </si>
  <si>
    <t>2015-107</t>
  </si>
  <si>
    <t>ABRTL LLC AND AM CERT LLC PARTNERSHIP 709</t>
  </si>
  <si>
    <t>2014-119</t>
  </si>
  <si>
    <t>2013-125</t>
  </si>
  <si>
    <t>2012-1453</t>
  </si>
  <si>
    <t>2011-229</t>
  </si>
  <si>
    <t>21-2S-23-0000-0007-0040</t>
  </si>
  <si>
    <t>CARTER</t>
  </si>
  <si>
    <t>ST</t>
  </si>
  <si>
    <t>2333 CARTER ST</t>
  </si>
  <si>
    <t>BECK JAMES D EST</t>
  </si>
  <si>
    <t>2333 CARTER STREET</t>
  </si>
  <si>
    <t>PT SW1/4 OF SEC 21-2S-23E IN OR 280/582 {R 106627}</t>
  </si>
  <si>
    <t>21-2S-23-0000-0008-0000</t>
  </si>
  <si>
    <t>2310 CARTER ST</t>
  </si>
  <si>
    <t>BROOKS BOBBY ELBERT</t>
  </si>
  <si>
    <t>PT OF NE1/4 OF NE1/4 OF SW1/4 OR 373/148 &amp; OR 733/882</t>
  </si>
  <si>
    <t>12089C_693</t>
  </si>
  <si>
    <t>2017-140</t>
  </si>
  <si>
    <t>2016-113</t>
  </si>
  <si>
    <t>2015-109</t>
  </si>
  <si>
    <t>2014-120</t>
  </si>
  <si>
    <t>21-2S-23-0000-0009-0020</t>
  </si>
  <si>
    <t>CANAL</t>
  </si>
  <si>
    <t>CANAL RD</t>
  </si>
  <si>
    <t>DEDMON DERRY W &amp; M L</t>
  </si>
  <si>
    <t>2896 RIVER OAK DRIVE</t>
  </si>
  <si>
    <t>PT SW1/4 OF SW1/4 OF SEC 21-2S-23E IN OR 227/612</t>
  </si>
  <si>
    <t>2017-141</t>
  </si>
  <si>
    <t>2016-114</t>
  </si>
  <si>
    <t>2015-110</t>
  </si>
  <si>
    <t>2014-121</t>
  </si>
  <si>
    <t>02-3N-23-2020-0010-0010</t>
  </si>
  <si>
    <t>CORNERSTONE</t>
  </si>
  <si>
    <t>17805 CORNERSTONE RD</t>
  </si>
  <si>
    <t>SCHONBRUN HARVEY</t>
  </si>
  <si>
    <t>1802 N MORGAN ST</t>
  </si>
  <si>
    <t>TAMPA FL</t>
  </si>
  <si>
    <t>2-03N-23E</t>
  </si>
  <si>
    <t>W243 FT OF S210 FT OF LOT 10 EX W33 FT FOR R/W IN OR 1711/837</t>
  </si>
  <si>
    <t>2017-142</t>
  </si>
  <si>
    <t>GRASSRIVER INV GREEN ACTN LLC</t>
  </si>
  <si>
    <t>2016-115</t>
  </si>
  <si>
    <t>B832</t>
  </si>
  <si>
    <t>2015-111</t>
  </si>
  <si>
    <t>CLEMENTINE DOLPHIN ABGA LLC</t>
  </si>
  <si>
    <t>2014-122</t>
  </si>
  <si>
    <t>LAKE TAX PURCHASE GROUP LLC SERIES 1</t>
  </si>
  <si>
    <t>2013-127</t>
  </si>
  <si>
    <t>LUCA 2, LLC</t>
  </si>
  <si>
    <t>2012-648</t>
  </si>
  <si>
    <t>2011-233</t>
  </si>
  <si>
    <t>02-3N-23-2020-0018-0000</t>
  </si>
  <si>
    <t>CORNERSTONE RD</t>
  </si>
  <si>
    <t>COAST TO COAST INC</t>
  </si>
  <si>
    <t>523 ELLIS RD S</t>
  </si>
  <si>
    <t>CORNWALL SURVEY</t>
  </si>
  <si>
    <t>LOTS 18 19 20 &amp; 21 PT OR 646 PG 50 CORNWALL SURVEY</t>
  </si>
  <si>
    <t>2017-143</t>
  </si>
  <si>
    <t>2016-116</t>
  </si>
  <si>
    <t>04-3N-23-0000-0002-0040</t>
  </si>
  <si>
    <t>31599 CR 121</t>
  </si>
  <si>
    <t>TAYLOR ASHLEY DIANNE</t>
  </si>
  <si>
    <t>31599 COUNTY ROAD 121</t>
  </si>
  <si>
    <t>4-03N-23E</t>
  </si>
  <si>
    <t>PT OF N615 FT OF W2078.52 FT OF S1/2 IN OR 1995/1000 2001 FLEET DW/MH</t>
  </si>
  <si>
    <t>09-3N-23-2020-0041-0000</t>
  </si>
  <si>
    <t>WHISTLER SPRING</t>
  </si>
  <si>
    <t>17252 WHISTLER SPRING LN</t>
  </si>
  <si>
    <t>GUYNN SHELTON J</t>
  </si>
  <si>
    <t>17416 WHISTLER SPRING LANE</t>
  </si>
  <si>
    <t>9-03N-23E</t>
  </si>
  <si>
    <t>LOTS 41 THRU 44 IN OR 1107/1449 EX S-1 OF LOTS 41-44</t>
  </si>
  <si>
    <t>2017-147</t>
  </si>
  <si>
    <t>BENNU LLC JHA3E1FY</t>
  </si>
  <si>
    <t>2016-120</t>
  </si>
  <si>
    <t>DDDDD1888</t>
  </si>
  <si>
    <t>2015-116</t>
  </si>
  <si>
    <t>2014-127</t>
  </si>
  <si>
    <t>2013-131</t>
  </si>
  <si>
    <t>2012-1099</t>
  </si>
  <si>
    <t>2011-238</t>
  </si>
  <si>
    <t>09-3N-23-2020-0041-0010</t>
  </si>
  <si>
    <t>17416 WHISTLER SPRING LN</t>
  </si>
  <si>
    <t>GUYNN SHELTON J &amp; RHONDA L</t>
  </si>
  <si>
    <t>E1/2 OF LOTS 41 THRU 44 IN OR 879/1974 CORNWALL SURVEY</t>
  </si>
  <si>
    <t>2017-148</t>
  </si>
  <si>
    <t>BENNU LLC JHA404AY</t>
  </si>
  <si>
    <t>2016-121</t>
  </si>
  <si>
    <t>D5399</t>
  </si>
  <si>
    <t>2014-128</t>
  </si>
  <si>
    <t>2013-132</t>
  </si>
  <si>
    <t>2012-1100</t>
  </si>
  <si>
    <t>US BANK CUST BISBEE LLC H17201</t>
  </si>
  <si>
    <t>2011-239</t>
  </si>
  <si>
    <t>09-3N-23-2020-0045-0010</t>
  </si>
  <si>
    <t>17153 WHISTLER SPRING LN</t>
  </si>
  <si>
    <t>LOTS E1/2 OF 45 TO 48 &amp; 52 PT OR 646 PG 50 EX (S-1) OF LOT 52</t>
  </si>
  <si>
    <t>12089C_1063</t>
  </si>
  <si>
    <t>2017-149</t>
  </si>
  <si>
    <t>HOSSET LLC O13288 SERIES</t>
  </si>
  <si>
    <t>2016-122</t>
  </si>
  <si>
    <t>WWWWW73</t>
  </si>
  <si>
    <t>10-3N-23-2020-0013-0010</t>
  </si>
  <si>
    <t>BUCKSKIN</t>
  </si>
  <si>
    <t>17194 BUCKSKIN RD</t>
  </si>
  <si>
    <t>MOODY WILLIAM A &amp; BECKY &amp;</t>
  </si>
  <si>
    <t>MOODY ALTON VANCE (JT/RS) 17194 BUCKSKIN RD</t>
  </si>
  <si>
    <t>FUTURE ADVANCE CLAUSE / OPEN END MORTGAGE</t>
  </si>
  <si>
    <t>10-03N-23E</t>
  </si>
  <si>
    <t>W1/2 OF E1/2 OF LOT 13 &amp; PT OF LOT 14 (S-1) IN OR 1891/469</t>
  </si>
  <si>
    <t>2017-151</t>
  </si>
  <si>
    <t>TRIAD HOLDINGS118136</t>
  </si>
  <si>
    <t>2011-240</t>
  </si>
  <si>
    <t>12-3N-23-2020-0018-0010</t>
  </si>
  <si>
    <t>PEE WEE</t>
  </si>
  <si>
    <t>27065 PEE WEE LN</t>
  </si>
  <si>
    <t>SIKES CLAUDE R &amp; TERESA B</t>
  </si>
  <si>
    <t>27065 PEE WEE LANE</t>
  </si>
  <si>
    <t>12-03N-23E</t>
  </si>
  <si>
    <t>S200 FT OF W217.8 FT OF E1/2 OF LOT 18 OR 1092/1395 IN OR 1092/1395</t>
  </si>
  <si>
    <t>2017-152</t>
  </si>
  <si>
    <t>BENNU LLC YSC6NB1J</t>
  </si>
  <si>
    <t>2016-125</t>
  </si>
  <si>
    <t>C61841</t>
  </si>
  <si>
    <t>2015-117</t>
  </si>
  <si>
    <t>CILENTO FINANCIAL LLC SERIES A000053</t>
  </si>
  <si>
    <t>2014-130</t>
  </si>
  <si>
    <t>2013-134</t>
  </si>
  <si>
    <t>2012-1168</t>
  </si>
  <si>
    <t>US BANK CUST BISBEE LLC M10A6D</t>
  </si>
  <si>
    <t>2011-242</t>
  </si>
  <si>
    <t>14-3N-23-2020-0020-0000</t>
  </si>
  <si>
    <t>GOODWIN</t>
  </si>
  <si>
    <t>27769 GOODWIN RD</t>
  </si>
  <si>
    <t>CORNWALL DAWN</t>
  </si>
  <si>
    <t>CORNWALL CHARLES</t>
  </si>
  <si>
    <t>PO BOX 232</t>
  </si>
  <si>
    <t>DRYDEN NY</t>
  </si>
  <si>
    <t>14-03N-23E</t>
  </si>
  <si>
    <t>LOTS 20 &amp; 21 IN OR 842/262 &amp; OR 1846/626 (EX R/W OR 490/460 &amp; EX UTIL</t>
  </si>
  <si>
    <t>2017-153</t>
  </si>
  <si>
    <t>SKYLER LLC O9913 SERIES</t>
  </si>
  <si>
    <t>2016-126</t>
  </si>
  <si>
    <t>ORANGE PORPOISE ACDK LLC</t>
  </si>
  <si>
    <t>2015-118</t>
  </si>
  <si>
    <t>E20589</t>
  </si>
  <si>
    <t>2014-133</t>
  </si>
  <si>
    <t>2013-136</t>
  </si>
  <si>
    <t>2012-1217</t>
  </si>
  <si>
    <t>US BANK CUST BISBEE LLC H17206</t>
  </si>
  <si>
    <t>2011-243</t>
  </si>
  <si>
    <t>16-3N-23-2020-0029-0000</t>
  </si>
  <si>
    <t>LARAMIE TR</t>
  </si>
  <si>
    <t>17146 LARAMIE TR</t>
  </si>
  <si>
    <t>GEIGER RICHARD A &amp; KRISTIN C</t>
  </si>
  <si>
    <t>PO BOX 206</t>
  </si>
  <si>
    <t>16-03N-23E</t>
  </si>
  <si>
    <t>LOT 29 2007 CMHM DWMH IN OR 1945/1866</t>
  </si>
  <si>
    <t>33-3N-23-0000-0002-0030</t>
  </si>
  <si>
    <t>TUGGLE</t>
  </si>
  <si>
    <t>24374 TUGGLE RD</t>
  </si>
  <si>
    <t>BROWN NANCY VANZANT</t>
  </si>
  <si>
    <t>31555 CR 121</t>
  </si>
  <si>
    <t>33-03N-23E</t>
  </si>
  <si>
    <t>PT GOVT LOT 4 OF SEC 33-3N-23E IN OR 985/141 {1997 WEST SW}</t>
  </si>
  <si>
    <t>12089C_622</t>
  </si>
  <si>
    <t>2016-128</t>
  </si>
  <si>
    <t>5T WEALTH PARTNERS LP</t>
  </si>
  <si>
    <t>2015-119</t>
  </si>
  <si>
    <t>FL-PTH 7 LLC CAPONE NA CLTRL ASSIGNEE OF FL CORAL LIEN INV LLC</t>
  </si>
  <si>
    <t>2014-137</t>
  </si>
  <si>
    <t>2013-139</t>
  </si>
  <si>
    <t>2012-1998</t>
  </si>
  <si>
    <t>2011-245</t>
  </si>
  <si>
    <t>37-3N-23-0000-0001-0030</t>
  </si>
  <si>
    <t>NICK BAY</t>
  </si>
  <si>
    <t>29570 NICK BAY LN</t>
  </si>
  <si>
    <t>TAYLOR JIMMY DALE</t>
  </si>
  <si>
    <t>29570 NICK BAY LANE</t>
  </si>
  <si>
    <t>37-03N-23E</t>
  </si>
  <si>
    <t>IN OR 1852/1242 ESMT PT OR 1572/1606 2007 HOMI DW/MH</t>
  </si>
  <si>
    <t>2016-131</t>
  </si>
  <si>
    <t>B71455</t>
  </si>
  <si>
    <t>37-3N-23-0000-0001-0200</t>
  </si>
  <si>
    <t>MULBERRY LANDING ANX</t>
  </si>
  <si>
    <t>10955 MULBERRY LANDING ANX</t>
  </si>
  <si>
    <t>TYSON JACK</t>
  </si>
  <si>
    <t>10132 MULBERRY LANDING ANNEX</t>
  </si>
  <si>
    <t>IN OR 2018/475 (EX 1-42 &amp; 1-51)</t>
  </si>
  <si>
    <t>12089C_788</t>
  </si>
  <si>
    <t>2017-154</t>
  </si>
  <si>
    <t>2016-133</t>
  </si>
  <si>
    <t>2015-123</t>
  </si>
  <si>
    <t>2014-141</t>
  </si>
  <si>
    <t>APEX FUNDS SERVICES C/F APOLLO TAX RECEIVABLES LLC</t>
  </si>
  <si>
    <t>2012-2200</t>
  </si>
  <si>
    <t>37-3N-23-0000-0001-0330</t>
  </si>
  <si>
    <t>MCCAULEY</t>
  </si>
  <si>
    <t>17094 MCCAULEY LN</t>
  </si>
  <si>
    <t>MCCAULEY JAMES</t>
  </si>
  <si>
    <t>MCCAULEY AMANDA</t>
  </si>
  <si>
    <t>IN OR 1581/625 1981 CROW SW/MH</t>
  </si>
  <si>
    <t>2017-156</t>
  </si>
  <si>
    <t>ORANGE DOLPHINS XCVE LLC</t>
  </si>
  <si>
    <t>2016-135</t>
  </si>
  <si>
    <t>SANMARCORA IKEDYG</t>
  </si>
  <si>
    <t>2015-124</t>
  </si>
  <si>
    <t>2014-143</t>
  </si>
  <si>
    <t>2013-145</t>
  </si>
  <si>
    <t>2012-2203</t>
  </si>
  <si>
    <t>37-3N-23-0000-0001-0510</t>
  </si>
  <si>
    <t>10975 MULBERRY LANDING ANX</t>
  </si>
  <si>
    <t>IN OR 1846/423</t>
  </si>
  <si>
    <t>2017-158</t>
  </si>
  <si>
    <t>2016-136</t>
  </si>
  <si>
    <t>BENNU LLC JA202CS</t>
  </si>
  <si>
    <t>2015-126</t>
  </si>
  <si>
    <t>2014-145</t>
  </si>
  <si>
    <t>37-3N-23-0000-0001-0530</t>
  </si>
  <si>
    <t>SIMMONS JAMES ANDREW</t>
  </si>
  <si>
    <t>508 BAISDEN RD</t>
  </si>
  <si>
    <t>PT OF SEC 37-3N-23E IN OR 2032/1303 BEING EXHIBIT A</t>
  </si>
  <si>
    <t>2017-159</t>
  </si>
  <si>
    <t>37-3N-23-2070-0001-0000</t>
  </si>
  <si>
    <t>31718 CR 121</t>
  </si>
  <si>
    <t>KISER ALAN L &amp; WENDY D</t>
  </si>
  <si>
    <t>31718 COUNTY ROAD 121</t>
  </si>
  <si>
    <t>LOT 1 IN OR 2000/1476 1988 HART DW/MH</t>
  </si>
  <si>
    <t>2017-160</t>
  </si>
  <si>
    <t>HOSSET LLC O3186 SERIES</t>
  </si>
  <si>
    <t>37-3N-23-2070-0002-0000</t>
  </si>
  <si>
    <t>31688 CR 121</t>
  </si>
  <si>
    <t>PEDERSEN ROBERT L</t>
  </si>
  <si>
    <t>31688 COUNTY ROAD 121</t>
  </si>
  <si>
    <t>LOT 2 IN OR 769 PG 181 R278231 &amp; R359312</t>
  </si>
  <si>
    <t>2017-161</t>
  </si>
  <si>
    <t>2015-128</t>
  </si>
  <si>
    <t>2014-147</t>
  </si>
  <si>
    <t>2013-147</t>
  </si>
  <si>
    <t>2012-2205</t>
  </si>
  <si>
    <t>2011-256</t>
  </si>
  <si>
    <t>37-3N-23-2070-0026-0000</t>
  </si>
  <si>
    <t>MULBERRY LANDING</t>
  </si>
  <si>
    <t>1037 MULBERRY LANDING RD</t>
  </si>
  <si>
    <t>STOKES MICHAEL T &amp; JESSICA D</t>
  </si>
  <si>
    <t>1019 MULBERRY LANDING ROAD</t>
  </si>
  <si>
    <t>LOT 26 IN OR 1187/1694 MULBERRY LANDING 1 PB 4/37</t>
  </si>
  <si>
    <t>2016-138</t>
  </si>
  <si>
    <t>2014-149</t>
  </si>
  <si>
    <t>2012-2207</t>
  </si>
  <si>
    <t>2011-258</t>
  </si>
  <si>
    <t>37-3N-23-2070-0030-0000</t>
  </si>
  <si>
    <t>29620 NICK BAY LN</t>
  </si>
  <si>
    <t>TAYLOR NICHOLAS A</t>
  </si>
  <si>
    <t>29620 NICK BAY LANE</t>
  </si>
  <si>
    <t>LOTS 30 &amp; 31 1999 BELLA SW/MH IN OR 1852/1241</t>
  </si>
  <si>
    <t>37-3N-23-2070-0053-0000</t>
  </si>
  <si>
    <t>MULBERRY LANDING RD N</t>
  </si>
  <si>
    <t>PARMLEY CHANCIE</t>
  </si>
  <si>
    <t>HOLCOMBE JUSTIN</t>
  </si>
  <si>
    <t>28104 JACKSON TRL</t>
  </si>
  <si>
    <t>LOT 53 &amp; W 60 FT OF 54 IN OR 423 PG 251 MULBERRY LANDING 1 PB 4/37</t>
  </si>
  <si>
    <t>2017-163</t>
  </si>
  <si>
    <t>2016-141</t>
  </si>
  <si>
    <t>2015-131</t>
  </si>
  <si>
    <t>2014-151</t>
  </si>
  <si>
    <t>2013-150</t>
  </si>
  <si>
    <t>2012-2210</t>
  </si>
  <si>
    <t>NOBLES JAMES D</t>
  </si>
  <si>
    <t>2011-261</t>
  </si>
  <si>
    <t>39-3N-23-1860-0006-0000</t>
  </si>
  <si>
    <t>29984 CR 121</t>
  </si>
  <si>
    <t>HOLLEY MARCUS &amp; NICOLA</t>
  </si>
  <si>
    <t>17671 HOLLEY OAKS LN</t>
  </si>
  <si>
    <t>RIVERWOOD ESTATES</t>
  </si>
  <si>
    <t>39-03N-23E</t>
  </si>
  <si>
    <t>LOT 6 IN OR 1800/1945 1999 FLEETWOOD DW/MH RIVERWOOD ESTATES PB 5/292</t>
  </si>
  <si>
    <t>2015-134</t>
  </si>
  <si>
    <t>CCCCC2938</t>
  </si>
  <si>
    <t>2014-155</t>
  </si>
  <si>
    <t>2013-153</t>
  </si>
  <si>
    <t>12-4N-23-0000-0001-0000</t>
  </si>
  <si>
    <t>LAKE HAMPTON</t>
  </si>
  <si>
    <t>28154 LAKE HAMPTON RD</t>
  </si>
  <si>
    <t>SWORD LOIS C</t>
  </si>
  <si>
    <t>28180 LAKE HAMPTON ROAD</t>
  </si>
  <si>
    <t>CG COMM GE</t>
  </si>
  <si>
    <t>12-04N-23E</t>
  </si>
  <si>
    <t>TRACT A IN OR 831/949 EX 1-1</t>
  </si>
  <si>
    <t>12-4N-23-0000-0002-0000</t>
  </si>
  <si>
    <t>LAKE HAMPTON RD</t>
  </si>
  <si>
    <t>JPMORGAN CHASE BANK</t>
  </si>
  <si>
    <t>7255 BAYMEADOWS WAY</t>
  </si>
  <si>
    <t>PT GOVT LOT 1 SEC 12-4N-23E IN OR 1913/908</t>
  </si>
  <si>
    <t>2017-166</t>
  </si>
  <si>
    <t>ANTHONY A WILES</t>
  </si>
  <si>
    <t>2016-146</t>
  </si>
  <si>
    <t>2011-269</t>
  </si>
  <si>
    <t>14-4N-23-0000-0005-0000</t>
  </si>
  <si>
    <t>CHURCH</t>
  </si>
  <si>
    <t>28131 CHURCH DR</t>
  </si>
  <si>
    <t>WACTER STEVE E</t>
  </si>
  <si>
    <t>28132 CHURCH DRIVE</t>
  </si>
  <si>
    <t>14-04N-23E</t>
  </si>
  <si>
    <t>PT OF NE1/4 IN OR 588/708 &amp; OR 588/710 (EX PAR 5-2)</t>
  </si>
  <si>
    <t>14-4N-23-0000-0006-0000</t>
  </si>
  <si>
    <t>241965 CR 121</t>
  </si>
  <si>
    <t>WAITE RONALD W &amp;</t>
  </si>
  <si>
    <t>ISBILL-WAITE JENNIFER L (H&amp;W) 241965 CR 121</t>
  </si>
  <si>
    <t>IN OR 1476/491 ESMT IN OR 726/1105</t>
  </si>
  <si>
    <t>2017-167</t>
  </si>
  <si>
    <t>TULIPRIV 34H LLC</t>
  </si>
  <si>
    <t>2016-147</t>
  </si>
  <si>
    <t>ECRU LLC RLB59J</t>
  </si>
  <si>
    <t>2015-138</t>
  </si>
  <si>
    <t>FLORIDA - BLOCK PHI 183587 US BANK CUST FOR PFS FINANCIAL 1</t>
  </si>
  <si>
    <t>2014-159</t>
  </si>
  <si>
    <t>2013-157</t>
  </si>
  <si>
    <t>2012-3197</t>
  </si>
  <si>
    <t>HANS F VON GEHLEN</t>
  </si>
  <si>
    <t>2011-272</t>
  </si>
  <si>
    <t>BELINDA R THOMPSON</t>
  </si>
  <si>
    <t>14-4N-23-0000-0016-0060</t>
  </si>
  <si>
    <t>241884 CR 121</t>
  </si>
  <si>
    <t>MCINTOSH ELIZABETH A</t>
  </si>
  <si>
    <t>PALMER CLYDE V</t>
  </si>
  <si>
    <t>241884 COUNTY ROAD 121</t>
  </si>
  <si>
    <t>IN OR 1080/1794 LOTS H &amp; I</t>
  </si>
  <si>
    <t>14-4N-23-0190-0001-0000</t>
  </si>
  <si>
    <t>ORLEANS</t>
  </si>
  <si>
    <t>28154 ORLEANS RD</t>
  </si>
  <si>
    <t>MUSGROVE FLOYD M</t>
  </si>
  <si>
    <t>BOULOGNE COUNTRY</t>
  </si>
  <si>
    <t>PT LOT 1 IN OR 682/161 (EX PT OR 735/1337 &amp; OR 1327/805 &amp; OR 1954/901)</t>
  </si>
  <si>
    <t>2017-170</t>
  </si>
  <si>
    <t>KELSEY PARK 329 RENTING REO LLC</t>
  </si>
  <si>
    <t>2016-150</t>
  </si>
  <si>
    <t>F142432</t>
  </si>
  <si>
    <t>2015-141</t>
  </si>
  <si>
    <t>GGGG1637</t>
  </si>
  <si>
    <t>2014-164</t>
  </si>
  <si>
    <t>2013-159</t>
  </si>
  <si>
    <t>2012-1221</t>
  </si>
  <si>
    <t>2011-275</t>
  </si>
  <si>
    <t>22-4N-23-0000-0002-0070</t>
  </si>
  <si>
    <t>JOHNSON</t>
  </si>
  <si>
    <t>JOHNSON RD</t>
  </si>
  <si>
    <t>BLALOCK RICKY B</t>
  </si>
  <si>
    <t>18359 JOHNSON RD</t>
  </si>
  <si>
    <t>22-04N-23E</t>
  </si>
  <si>
    <t>NW1/4 OF NW1/4 OF NE1/4 IN OR 832/34</t>
  </si>
  <si>
    <t>22-4N-23-0000-0003-0030</t>
  </si>
  <si>
    <t>TRIGG</t>
  </si>
  <si>
    <t>TRIGG RD</t>
  </si>
  <si>
    <t>LISTER STEVEN E &amp;</t>
  </si>
  <si>
    <t>FORT STELLA M 1100 SEAGATE AV # 139</t>
  </si>
  <si>
    <t>NEPTUNE BEACH FL</t>
  </si>
  <si>
    <t>IN OR 1770/251 EX 3-14 &amp; 3-17</t>
  </si>
  <si>
    <t>2017-171</t>
  </si>
  <si>
    <t>2016-151</t>
  </si>
  <si>
    <t>BISBEE LLC X8189A2</t>
  </si>
  <si>
    <t>2011-276</t>
  </si>
  <si>
    <t>22-4N-23-0000-0003-0080</t>
  </si>
  <si>
    <t>28853 TRIGG RD</t>
  </si>
  <si>
    <t>HARRIS JAMES E</t>
  </si>
  <si>
    <t>OR 181 PG 153</t>
  </si>
  <si>
    <t>2017-172</t>
  </si>
  <si>
    <t>ISLAND LAKES 566 RENTING REO LLC</t>
  </si>
  <si>
    <t>2016-152</t>
  </si>
  <si>
    <t>CCTS CAPITAL - FLORIDA 5213 US BANK CUST FOR PFS FINANCIAL 2 LLC</t>
  </si>
  <si>
    <t>2015-142</t>
  </si>
  <si>
    <t>DAISY FIELD TAX 1498 LLC</t>
  </si>
  <si>
    <t>2012-1467</t>
  </si>
  <si>
    <t>23-4N-23-0000-0007-0060</t>
  </si>
  <si>
    <t>CHARITY</t>
  </si>
  <si>
    <t>28325 CHARITY LN</t>
  </si>
  <si>
    <t>COOPER MEGEN</t>
  </si>
  <si>
    <t>STAND ALONE FIRST</t>
  </si>
  <si>
    <t>23-04N-23E</t>
  </si>
  <si>
    <t>PT OF S1/2 OF SE1/4 OF NE1/4 IN OR 1892/1342 2007 CLSI DW/MH</t>
  </si>
  <si>
    <t>2017-176</t>
  </si>
  <si>
    <t>ECRU LLC AK480FB55</t>
  </si>
  <si>
    <t>23-4N-23-0000-0013-0010</t>
  </si>
  <si>
    <t>241835 CR 121</t>
  </si>
  <si>
    <t>YARBERRY KATHERINE</t>
  </si>
  <si>
    <t>YARBERRY REX ALLEN</t>
  </si>
  <si>
    <t>241835 COUNTY ROAD 121</t>
  </si>
  <si>
    <t>IN NE 1/4 OF SE 1/4 OF NW1/4 IN OR 1624/1033</t>
  </si>
  <si>
    <t>2017-177</t>
  </si>
  <si>
    <t>SETPER LLC O113265 SERIES</t>
  </si>
  <si>
    <t>2016-158</t>
  </si>
  <si>
    <t>SUTTON INVESTMENT64401</t>
  </si>
  <si>
    <t>2015-147</t>
  </si>
  <si>
    <t>SUNPORP 148 LLC</t>
  </si>
  <si>
    <t>23-4N-23-0000-0013-0020</t>
  </si>
  <si>
    <t>241836 CR 121</t>
  </si>
  <si>
    <t>MORGAN PHILLIP BRUCE L/E</t>
  </si>
  <si>
    <t>241836 COUNTY ROAD 121</t>
  </si>
  <si>
    <t>NE1/4 OF SE1/4 OF NW1/4 IN OR 1969/1372</t>
  </si>
  <si>
    <t>2017-178</t>
  </si>
  <si>
    <t>23-4N-23-0000-0013-0030</t>
  </si>
  <si>
    <t>28100 TRIGG RD</t>
  </si>
  <si>
    <t>MADDOX TEISHA</t>
  </si>
  <si>
    <t>NE1/4 OF SE1/4 OF NW1/4 IN OR 2020/113</t>
  </si>
  <si>
    <t>2017-179</t>
  </si>
  <si>
    <t>SANMARCORA YNLEEY</t>
  </si>
  <si>
    <t>2016-159</t>
  </si>
  <si>
    <t>HOSSET LLC O155586 SERIES</t>
  </si>
  <si>
    <t>2015-148</t>
  </si>
  <si>
    <t>DOGPOUND115482</t>
  </si>
  <si>
    <t>2014-173</t>
  </si>
  <si>
    <t>2013-168</t>
  </si>
  <si>
    <t>23-4N-23-2020-0020-0020</t>
  </si>
  <si>
    <t>DEWITT DOUGLASS E EST &amp;</t>
  </si>
  <si>
    <t>JAMES E &amp; NANCY L BUTTON 748 LEE ROAD</t>
  </si>
  <si>
    <t>PT OF LOT 20 (EX S-3) IN OR 839/1526 CORNWALL SURVEY</t>
  </si>
  <si>
    <t>2017-180</t>
  </si>
  <si>
    <t>2016-161</t>
  </si>
  <si>
    <t>2015-150</t>
  </si>
  <si>
    <t>2014-176</t>
  </si>
  <si>
    <t>2013-173</t>
  </si>
  <si>
    <t>2012-1570</t>
  </si>
  <si>
    <t>2011-285</t>
  </si>
  <si>
    <t>23-4N-23-2020-0021-0020</t>
  </si>
  <si>
    <t>241797 CR 121</t>
  </si>
  <si>
    <t>CROCKETT EARLAND M</t>
  </si>
  <si>
    <t>CROCKETT SARAH J</t>
  </si>
  <si>
    <t>PO BOX 756</t>
  </si>
  <si>
    <t>PT OF LOT 21 IN OR 834/1594 R787948 &amp; R787949</t>
  </si>
  <si>
    <t>23-4N-23-2020-0023-0010</t>
  </si>
  <si>
    <t>241811 CR 121</t>
  </si>
  <si>
    <t>PHILLIPS GARY</t>
  </si>
  <si>
    <t>PHILLIPS MONICA</t>
  </si>
  <si>
    <t>241811 COUNTY ROAD 121</t>
  </si>
  <si>
    <t>PT OF LOT 23 IN OR 2041/1564 R673075 &amp; R673076 &amp; R673077</t>
  </si>
  <si>
    <t>2016-162</t>
  </si>
  <si>
    <t>C1493</t>
  </si>
  <si>
    <t>23-4N-23-2020-0050-0010</t>
  </si>
  <si>
    <t>SUNDBERG</t>
  </si>
  <si>
    <t>281101 SUNDBERG RD</t>
  </si>
  <si>
    <t>ROBLING BETTY JEAN</t>
  </si>
  <si>
    <t>BURKETT DALE</t>
  </si>
  <si>
    <t>28897 SUNDBERG RD</t>
  </si>
  <si>
    <t>PT OF LOT 50 IN OR 628/169 CORNWALL SURVEY PB 0/31</t>
  </si>
  <si>
    <t>2017-182</t>
  </si>
  <si>
    <t>SKYLER LLC O63256 SERIES</t>
  </si>
  <si>
    <t>2016-164</t>
  </si>
  <si>
    <t>SUNNY FLORIDA LIENS 79549 US BANK CUST FOR PFS FINANCIAL 2 LLC</t>
  </si>
  <si>
    <t>2015-152</t>
  </si>
  <si>
    <t>DUNE VENTURES187659</t>
  </si>
  <si>
    <t>24-4N-23-0000-0002-0000</t>
  </si>
  <si>
    <t>US HWY 1</t>
  </si>
  <si>
    <t>YULEE</t>
  </si>
  <si>
    <t>YULEE FL 32097</t>
  </si>
  <si>
    <t>ANDREU ALAN A</t>
  </si>
  <si>
    <t>554041 US HWY 1 NORTH</t>
  </si>
  <si>
    <t>Vacant Commercial</t>
  </si>
  <si>
    <t>Commercial-Vacant Land</t>
  </si>
  <si>
    <t>24-04N-23E</t>
  </si>
  <si>
    <t>GOVT LOT 6 OF SEC 24-4N-23E IN OR 1491/706 (EX UTIL ESMT IN OR 1321/1969)</t>
  </si>
  <si>
    <t>2017-185</t>
  </si>
  <si>
    <t>2016-166</t>
  </si>
  <si>
    <t>2015-154</t>
  </si>
  <si>
    <t>2014-180</t>
  </si>
  <si>
    <t>2013-177</t>
  </si>
  <si>
    <t>2012-1630</t>
  </si>
  <si>
    <t>2011-288</t>
  </si>
  <si>
    <t>INA GROUP LLC C/O PINNACLE BANK LIENHOLDER</t>
  </si>
  <si>
    <t>25-4N-23-0000-0003-0040</t>
  </si>
  <si>
    <t>POTOCHNIK</t>
  </si>
  <si>
    <t>28063 POTOCHNIK RD</t>
  </si>
  <si>
    <t>STONE CHERYL A</t>
  </si>
  <si>
    <t>28063 POTOCHINK RD</t>
  </si>
  <si>
    <t>25-04N-23E</t>
  </si>
  <si>
    <t>PT OF E1/2 OF SW1/4 OF SE1/4 IN OR 1398/1383</t>
  </si>
  <si>
    <t>25-4N-23-2020-0016-0030</t>
  </si>
  <si>
    <t>ANDREWS</t>
  </si>
  <si>
    <t>171361 ANDREWS RD</t>
  </si>
  <si>
    <t>HADDOCK TIMBER INC</t>
  </si>
  <si>
    <t>27359 GEIGER RD</t>
  </si>
  <si>
    <t>PT OF LOT 16 (S-3) IN OR 1914/1622 CORNWALL SURVEY</t>
  </si>
  <si>
    <t>2017-186</t>
  </si>
  <si>
    <t>B231230</t>
  </si>
  <si>
    <t>2015-155</t>
  </si>
  <si>
    <t>CCTS LLC GROUP ETA 92283 US BANK CUST FOR PFS FINANCIAL 2 LLC</t>
  </si>
  <si>
    <t>25-4N-23-2020-0029-0000</t>
  </si>
  <si>
    <t>AMBER JACK</t>
  </si>
  <si>
    <t>AMBER JACK LN</t>
  </si>
  <si>
    <t>STRICKLAND ASHLEY L DONN</t>
  </si>
  <si>
    <t>STRICKLAND DANIEL J</t>
  </si>
  <si>
    <t>28456 AMBER JACK LN</t>
  </si>
  <si>
    <t>LOT 29 (EX S-1 &amp; S-2 &amp; S-3) IN OR 1851/228 ESMT IN OR 707/1476 &amp; 1480</t>
  </si>
  <si>
    <t>2017-187</t>
  </si>
  <si>
    <t>2016-167</t>
  </si>
  <si>
    <t>2015-156</t>
  </si>
  <si>
    <t>2014-181</t>
  </si>
  <si>
    <t>26-4N-23-0000-0001-0040</t>
  </si>
  <si>
    <t>28805 SUNDBERG RD</t>
  </si>
  <si>
    <t>DYAL JARRETT LEE</t>
  </si>
  <si>
    <t>28805 SUNBURG RD</t>
  </si>
  <si>
    <t>26-04N-23E</t>
  </si>
  <si>
    <t>IN OR 619/1118 R278013 &amp; R278014 EX 1-26 &amp; 1-28</t>
  </si>
  <si>
    <t>2017-188</t>
  </si>
  <si>
    <t>2016-170</t>
  </si>
  <si>
    <t>2015-158</t>
  </si>
  <si>
    <t>2013-179</t>
  </si>
  <si>
    <t>2012-1682</t>
  </si>
  <si>
    <t>26-4N-23-0000-0001-0050</t>
  </si>
  <si>
    <t>BURKETT JUDY ANN</t>
  </si>
  <si>
    <t>IN OR 481/764 R378380 &amp; R378381</t>
  </si>
  <si>
    <t>2017-189</t>
  </si>
  <si>
    <t>BANDIR TAX 568 LLC</t>
  </si>
  <si>
    <t>2016-171</t>
  </si>
  <si>
    <t>YRE - 239516 - GLEN ST MARY ENTITY US BANK CUST FOR PFS FINANCIAL 2 LLC</t>
  </si>
  <si>
    <t>2015-159</t>
  </si>
  <si>
    <t>KINGFISH HAMMOCK 2AYQ LLC</t>
  </si>
  <si>
    <t>2013-180</t>
  </si>
  <si>
    <t>2011-291</t>
  </si>
  <si>
    <t>26-4N-23-0000-0001-0150</t>
  </si>
  <si>
    <t>241738 CR 121</t>
  </si>
  <si>
    <t>KING SANDY</t>
  </si>
  <si>
    <t>241738 N CR 121</t>
  </si>
  <si>
    <t>IN OR 1869/275 EX 1-22 ESMT OR 1094/995 2003 JACO DW/MH</t>
  </si>
  <si>
    <t>2017-190</t>
  </si>
  <si>
    <t>HOSSET LLC O47150 SERIES</t>
  </si>
  <si>
    <t>2016-172</t>
  </si>
  <si>
    <t>MACHAPURNA ADLY LLC</t>
  </si>
  <si>
    <t>2015-160</t>
  </si>
  <si>
    <t>MERLOT HOLDINGS9387</t>
  </si>
  <si>
    <t>26-4N-23-0000-0001-0250</t>
  </si>
  <si>
    <t>241756 CR 121</t>
  </si>
  <si>
    <t>SIEMER BRUCE &amp; CONSUELA</t>
  </si>
  <si>
    <t>PO BOX 387</t>
  </si>
  <si>
    <t>PT OR 829/1766 ESMT OR 1165/926 EX 1-27</t>
  </si>
  <si>
    <t>2016-173</t>
  </si>
  <si>
    <t>2015-161</t>
  </si>
  <si>
    <t>2015-2325</t>
  </si>
  <si>
    <t>JOSHUA MARTIN</t>
  </si>
  <si>
    <t>BRETT STEGER</t>
  </si>
  <si>
    <t>2015-2369</t>
  </si>
  <si>
    <t>BLAINE INVESTMENTS, LLC BLAINE INVESTMENTS, LLC</t>
  </si>
  <si>
    <t>2015-2370</t>
  </si>
  <si>
    <t>26-4N-23-0000-0001-0340</t>
  </si>
  <si>
    <t>GERANIUM</t>
  </si>
  <si>
    <t>18110 GERANIUM LN</t>
  </si>
  <si>
    <t>POPE JAMES MATTHEW &amp; CHRISTINA</t>
  </si>
  <si>
    <t>IN OR 1923/621 (EX OR 1350/1332 PAR 1-22) 1982 ROYA DW/MH</t>
  </si>
  <si>
    <t>2016-174</t>
  </si>
  <si>
    <t>TLSK LLC AND THALSA LLC PARTNERSHIP 362</t>
  </si>
  <si>
    <t>2015-162</t>
  </si>
  <si>
    <t>26-4N-23-0000-0001-0380</t>
  </si>
  <si>
    <t>241716 CR 121</t>
  </si>
  <si>
    <t>ROWE REGINA DAWN</t>
  </si>
  <si>
    <t>IN OR 2051/1850 1989 FLEE SW/MH</t>
  </si>
  <si>
    <t>2017-191</t>
  </si>
  <si>
    <t>2015-163</t>
  </si>
  <si>
    <t>VIDON VI</t>
  </si>
  <si>
    <t>2014-184</t>
  </si>
  <si>
    <t>2013-181</t>
  </si>
  <si>
    <t>2012-1683</t>
  </si>
  <si>
    <t>26-4N-23-0000-0001-0410</t>
  </si>
  <si>
    <t>PAWNEE</t>
  </si>
  <si>
    <t>TRL</t>
  </si>
  <si>
    <t>27165 PAWNEE TRL</t>
  </si>
  <si>
    <t>BARLANTI ROBERT A &amp; KIMBERLY Z</t>
  </si>
  <si>
    <t>434 KIRKLAND CT</t>
  </si>
  <si>
    <t>BUILDING OR CONSTRUCTION LOAN</t>
  </si>
  <si>
    <t>PT OF SE1/4 OF SW1/4 OF SEC 26-4N-23E IN OR 1882/538</t>
  </si>
  <si>
    <t>27-4N-23-0000-0002-0010</t>
  </si>
  <si>
    <t>HODGES</t>
  </si>
  <si>
    <t>171057 HODGES RD</t>
  </si>
  <si>
    <t>JOHNSON KELLY</t>
  </si>
  <si>
    <t>JOHNSON BRITTANY</t>
  </si>
  <si>
    <t>27-04N-23E</t>
  </si>
  <si>
    <t>PT OF NE1/4 &amp; NW1/4 IN OR 1610/577 R673832 &amp; R673833</t>
  </si>
  <si>
    <t>12089C_16</t>
  </si>
  <si>
    <t>2017-193</t>
  </si>
  <si>
    <t>SIDE LACE PARTNERS24008</t>
  </si>
  <si>
    <t>2015-164</t>
  </si>
  <si>
    <t>B41450</t>
  </si>
  <si>
    <t>2014-185</t>
  </si>
  <si>
    <t>2013-182</t>
  </si>
  <si>
    <t>2012-1742</t>
  </si>
  <si>
    <t>2011-292</t>
  </si>
  <si>
    <t>27-4N-23-0000-0007-0010</t>
  </si>
  <si>
    <t>HODGES RD</t>
  </si>
  <si>
    <t>LEE JOSEPH E &amp; KAREN D</t>
  </si>
  <si>
    <t>18214 JOSEPH LN</t>
  </si>
  <si>
    <t>PT OF NW1/4 OF SE1/4 OF SEC 27-4N-23E IN OR 1819/1979 (EX PT IN OR 1941/546 &amp;</t>
  </si>
  <si>
    <t>2017-194</t>
  </si>
  <si>
    <t>HOSSET LLC O141002 SERIES</t>
  </si>
  <si>
    <t>2016-176</t>
  </si>
  <si>
    <t>BENNU LLC LY17QFF9R</t>
  </si>
  <si>
    <t>2015-165</t>
  </si>
  <si>
    <t>CCTS - ANOTHER BUYING GROUP 57995 US BANK CUST FOR PFS FINANCIAL 2 LLC</t>
  </si>
  <si>
    <t>2014-186</t>
  </si>
  <si>
    <t>27-4N-23-0000-0007-0100</t>
  </si>
  <si>
    <t>OFF HODGES</t>
  </si>
  <si>
    <t>OFF HODGES RD</t>
  </si>
  <si>
    <t>21ST MORTGAGE CORPORATION</t>
  </si>
  <si>
    <t>420 S ORANGE AVE SUITE 700 PO BOX 2346</t>
  </si>
  <si>
    <t>ORLANDO FL</t>
  </si>
  <si>
    <t>PT OF NW1/4 OF SE1/4 OF SEC 27-4N-23E IN OR 1941/546</t>
  </si>
  <si>
    <t>2017-196</t>
  </si>
  <si>
    <t>27-4N-23-0000-0008-0050</t>
  </si>
  <si>
    <t>BROKEN ARROW</t>
  </si>
  <si>
    <t>BROKEN ARROW RD</t>
  </si>
  <si>
    <t>JEANPIERRE FRANCENOR</t>
  </si>
  <si>
    <t>JEANPIERRE VIOLENE</t>
  </si>
  <si>
    <t>1713 S KIRKMAN RD APT 117</t>
  </si>
  <si>
    <t>PT E1/2 OF NW1/4 OF SW1/4 OF SEC 27-4N-23E IN OR 1428/1508</t>
  </si>
  <si>
    <t>2017-197</t>
  </si>
  <si>
    <t>2016-178</t>
  </si>
  <si>
    <t>2015-166</t>
  </si>
  <si>
    <t>2014-190</t>
  </si>
  <si>
    <t>2013-184</t>
  </si>
  <si>
    <t>2012-1746</t>
  </si>
  <si>
    <t>2011-297</t>
  </si>
  <si>
    <t>27-4N-23-0000-0011-0000</t>
  </si>
  <si>
    <t>HINES MARVIN LEE</t>
  </si>
  <si>
    <t>11118 PINE ESTATES RD W</t>
  </si>
  <si>
    <t>NE1/4 OF SE1/4 IN OR 65 PG 39</t>
  </si>
  <si>
    <t>2017-198</t>
  </si>
  <si>
    <t>FUNOR 34698 LLC</t>
  </si>
  <si>
    <t>2015-167</t>
  </si>
  <si>
    <t>2013-185</t>
  </si>
  <si>
    <t>28-4N-23-0000-0007-0010</t>
  </si>
  <si>
    <t>18520 BROKEN ARROW RD</t>
  </si>
  <si>
    <t>SMITH BARRY D</t>
  </si>
  <si>
    <t>28-04N-23E</t>
  </si>
  <si>
    <t>SE1/4 OF SE1/4 E1/2 OF E1/2 OF NE1/4 OF SE1/4 S1/2 OF W1/2 OF NE1/4 OF SE1/4</t>
  </si>
  <si>
    <t>2016-182</t>
  </si>
  <si>
    <t>CHANCELLOR CAPITAL 3</t>
  </si>
  <si>
    <t>2015-168</t>
  </si>
  <si>
    <t>D242939</t>
  </si>
  <si>
    <t>2014-192</t>
  </si>
  <si>
    <t>2013-186</t>
  </si>
  <si>
    <t>TUDOR TAX LIEN CO LLC - A1</t>
  </si>
  <si>
    <t>2011-298</t>
  </si>
  <si>
    <t>33-4N-23-0000-0006-0020</t>
  </si>
  <si>
    <t>TOMPKINS LANDING</t>
  </si>
  <si>
    <t>1942 TOMPKINS LANDING RD</t>
  </si>
  <si>
    <t>BROWN JOHN WAYNE EST</t>
  </si>
  <si>
    <t>C/O BARBARA LUCKEY</t>
  </si>
  <si>
    <t>1964 THOMPKINS LANDING ROAD</t>
  </si>
  <si>
    <t>33-04N-23E</t>
  </si>
  <si>
    <t>PT OF SE1/4 OF SW1/4 OF SEC 33-4N-23E IN OR 537/230 (EX PT IN OR 1077/1116)</t>
  </si>
  <si>
    <t>2016-183</t>
  </si>
  <si>
    <t>ORANGE DOLPHINS XCGH LLC</t>
  </si>
  <si>
    <t>2015-171</t>
  </si>
  <si>
    <t>SIDE LACE PARTNERS162518</t>
  </si>
  <si>
    <t>33-4N-23-2020-0044-0000</t>
  </si>
  <si>
    <t>KNIGHT</t>
  </si>
  <si>
    <t>KNIGHT RD</t>
  </si>
  <si>
    <t>BELL RONALD LESTER</t>
  </si>
  <si>
    <t>272832 CONNER NELSON RD</t>
  </si>
  <si>
    <t>PT OF LOTS 44 45 46 47 53 LYING NORTH OF SR 121 IN OR 1137/928</t>
  </si>
  <si>
    <t>2017-200</t>
  </si>
  <si>
    <t>2016-184</t>
  </si>
  <si>
    <t>2015-172</t>
  </si>
  <si>
    <t>2014-196</t>
  </si>
  <si>
    <t>2013-190</t>
  </si>
  <si>
    <t>2012-2005</t>
  </si>
  <si>
    <t>2011-306</t>
  </si>
  <si>
    <t>33-4N-23-2020-0045-0020</t>
  </si>
  <si>
    <t>CONNER NELSON</t>
  </si>
  <si>
    <t>272832 CONNER NELSON ROAD</t>
  </si>
  <si>
    <t>PT OF LOTS 45 46 47 &amp; 48 L/E OR 1137/930 EX S-3 OF LOTS 45-48</t>
  </si>
  <si>
    <t>2017-201</t>
  </si>
  <si>
    <t>ECRU LLC AK2B60433</t>
  </si>
  <si>
    <t>2016-185</t>
  </si>
  <si>
    <t>BISBEE LLC S13V11B88</t>
  </si>
  <si>
    <t>2015-173</t>
  </si>
  <si>
    <t>BENNU LLC JHA2B6FY</t>
  </si>
  <si>
    <t>2014-197</t>
  </si>
  <si>
    <t>2013-191</t>
  </si>
  <si>
    <t>2012-2006</t>
  </si>
  <si>
    <t>US BANK CUST BISBEE LLC H171FD</t>
  </si>
  <si>
    <t>2011-307</t>
  </si>
  <si>
    <t>33-4N-23-2020-0049-0010</t>
  </si>
  <si>
    <t>JAMES TOMMY L &amp; KRISTINA G</t>
  </si>
  <si>
    <t>76397 LONGLEAF LOOP</t>
  </si>
  <si>
    <t>PT OF LOTS 49 50 51 52 &amp; 53</t>
  </si>
  <si>
    <t>34-4N-23-0000-0001-0080</t>
  </si>
  <si>
    <t>241614 CR 121</t>
  </si>
  <si>
    <t>WHITTLE PATRICIA JEAN</t>
  </si>
  <si>
    <t>29131 SAINT MARYS CIR</t>
  </si>
  <si>
    <t>34-04N-23E</t>
  </si>
  <si>
    <t>PT OF W1/2 OF NE1/4 IN OR 1696/181</t>
  </si>
  <si>
    <t>2017-202</t>
  </si>
  <si>
    <t>GRAPESEED INDUSTRIES74</t>
  </si>
  <si>
    <t>2015-174</t>
  </si>
  <si>
    <t>SUDDEN SOLUTIONS117265</t>
  </si>
  <si>
    <t>2014-199</t>
  </si>
  <si>
    <t>2013-193</t>
  </si>
  <si>
    <t>2012-2026</t>
  </si>
  <si>
    <t>2011-310</t>
  </si>
  <si>
    <t>34-4N-23-0000-0001-0090</t>
  </si>
  <si>
    <t>MCCULLOUGH MARCUS ANTHONY</t>
  </si>
  <si>
    <t>15561 COUNTY ROAD 108</t>
  </si>
  <si>
    <t>IN OR 759 PG 1630</t>
  </si>
  <si>
    <t>2017-203</t>
  </si>
  <si>
    <t>34-4N-23-0000-0002-0060</t>
  </si>
  <si>
    <t>LOTT NICOLE</t>
  </si>
  <si>
    <t>814 NW 65TH AVENUE</t>
  </si>
  <si>
    <t>PLANTATION FL</t>
  </si>
  <si>
    <t>PT OF W1/2 OF SW1/4 IN OR 1577/1779</t>
  </si>
  <si>
    <t>2017-204</t>
  </si>
  <si>
    <t>2016-186</t>
  </si>
  <si>
    <t>2015-175</t>
  </si>
  <si>
    <t>2013-194</t>
  </si>
  <si>
    <t>2012-2027</t>
  </si>
  <si>
    <t>2011-311</t>
  </si>
  <si>
    <t>34-4N-23-2020-0025-0010</t>
  </si>
  <si>
    <t>241583 CR 121</t>
  </si>
  <si>
    <t>WHITTLE JEAN WILDES</t>
  </si>
  <si>
    <t>241583 COUNTY ROAD 121</t>
  </si>
  <si>
    <t>LOT 25 LYING EAST OF 121 R/W IN OR 669 PG 735 R674017 &amp; R674018</t>
  </si>
  <si>
    <t>2017-205</t>
  </si>
  <si>
    <t>RAPTY TRUST SERIES 21269</t>
  </si>
  <si>
    <t>2016-188</t>
  </si>
  <si>
    <t>HOSSET LLC O149134 SERIES</t>
  </si>
  <si>
    <t>2015-176</t>
  </si>
  <si>
    <t>CCTS CAPITAL - FLORIDA 13138 US BANK CUST FOR PFS FINANCIAL 2 LLC</t>
  </si>
  <si>
    <t>2014-200</t>
  </si>
  <si>
    <t>2013-195</t>
  </si>
  <si>
    <t>2012-2028</t>
  </si>
  <si>
    <t>35-4N-23-2020-0033-0070</t>
  </si>
  <si>
    <t>17801 ANDREWS RD</t>
  </si>
  <si>
    <t>HENDERSON MARTY C</t>
  </si>
  <si>
    <t>35-04N-23E</t>
  </si>
  <si>
    <t>PT OF LOT 33 (S-7) IN OR 1708/1094 1996 HARB DW/MH</t>
  </si>
  <si>
    <t>2016-189</t>
  </si>
  <si>
    <t>KINGFISHER BLUE GROUP XBCM LLC</t>
  </si>
  <si>
    <t>2015-179</t>
  </si>
  <si>
    <t>2014-203</t>
  </si>
  <si>
    <t>2013-199</t>
  </si>
  <si>
    <t>2012-2056</t>
  </si>
  <si>
    <t>36-4N-23-2020-0001-0000</t>
  </si>
  <si>
    <t>GEIGER</t>
  </si>
  <si>
    <t>GEIGER RD</t>
  </si>
  <si>
    <t>HADDOCK RODNEY</t>
  </si>
  <si>
    <t>36-04N-23E</t>
  </si>
  <si>
    <t>LOT 1 IN OR 2026/1567 EX ESMT OR 565/433 (E 30 OF</t>
  </si>
  <si>
    <t>2017-207</t>
  </si>
  <si>
    <t>36-4N-23-2020-0002-0010</t>
  </si>
  <si>
    <t>HADDOCK RODNEY DEWAYNE</t>
  </si>
  <si>
    <t>HADDOCK BRANDI DALE</t>
  </si>
  <si>
    <t>PT LOT 2 &amp; N1/2 OF LOT 3 IN OR 1960/909 CORNWALL SURVEY SUB</t>
  </si>
  <si>
    <t>2017-208</t>
  </si>
  <si>
    <t>AFFILIATED TAX CO LLC - 17</t>
  </si>
  <si>
    <t>GREEN TAX FUNDING LLC 19 SERIES 2</t>
  </si>
  <si>
    <t>2015-181</t>
  </si>
  <si>
    <t>MATRICE1145</t>
  </si>
  <si>
    <t>2012-3287</t>
  </si>
  <si>
    <t>36-4N-23-2020-0003-0020</t>
  </si>
  <si>
    <t>S1/2 OF LOT 3 IN OR 2031/307 CORNWALL SURVEY SUB SEC 36-4N-23E PBK O/31</t>
  </si>
  <si>
    <t>2017-209</t>
  </si>
  <si>
    <t>2012-2095</t>
  </si>
  <si>
    <t>2011-317</t>
  </si>
  <si>
    <t>LAST FRANK JAMES III &amp; MARY JEAN LAST</t>
  </si>
  <si>
    <t>41-4N-23-0000-0001-0050</t>
  </si>
  <si>
    <t>SCOTTS LANDING</t>
  </si>
  <si>
    <t>29506 SCOTTS LANDING RD</t>
  </si>
  <si>
    <t>BECK KAREN LYNN</t>
  </si>
  <si>
    <t>23 SHARMAN STREET</t>
  </si>
  <si>
    <t>Tourist attractions permanent exhibits</t>
  </si>
  <si>
    <t>Amusement Park Tourist Attraction</t>
  </si>
  <si>
    <t>41-04N-23E</t>
  </si>
  <si>
    <t>IN OR 522 PG 561</t>
  </si>
  <si>
    <t>2017-210</t>
  </si>
  <si>
    <t>SKYLER LLC O75216 SERIES</t>
  </si>
  <si>
    <t>2015-183</t>
  </si>
  <si>
    <t>BENNU LLC LYADQ09R</t>
  </si>
  <si>
    <t>2014-207</t>
  </si>
  <si>
    <t>2013-201</t>
  </si>
  <si>
    <t>2012-2547</t>
  </si>
  <si>
    <t>2011-320</t>
  </si>
  <si>
    <t>41-4N-23-1210-0008-0000</t>
  </si>
  <si>
    <t>COFFEE MILL</t>
  </si>
  <si>
    <t>28123 COFFEE MILL LN</t>
  </si>
  <si>
    <t>HUCKLEBY RHONDA L</t>
  </si>
  <si>
    <t>PO BOX 1424</t>
  </si>
  <si>
    <t>LOT 8 OR 648/340 SECS 19-4N-24 &amp; 49-4N-24 R378434 &amp; R378435</t>
  </si>
  <si>
    <t>2017-211</t>
  </si>
  <si>
    <t>COUNTRY CLUB 687 COMPANY LLC</t>
  </si>
  <si>
    <t>2016-190</t>
  </si>
  <si>
    <t>D7895</t>
  </si>
  <si>
    <t>2015-184</t>
  </si>
  <si>
    <t>E241334</t>
  </si>
  <si>
    <t>2012-2548</t>
  </si>
  <si>
    <t>41-4N-23-2100-0003-0050</t>
  </si>
  <si>
    <t>HADDOCK BRANDI DALE &amp;</t>
  </si>
  <si>
    <t>GEIGER JOSEPH RAY 27359 GEIGER RD</t>
  </si>
  <si>
    <t>RS-1</t>
  </si>
  <si>
    <t>BLOCK 3 LOT 5 IN OR 1195/1402 EX RW IN OR 106/450</t>
  </si>
  <si>
    <t>2012-2550</t>
  </si>
  <si>
    <t>2011-324</t>
  </si>
  <si>
    <t>41-4N-23-2100-0004-0070</t>
  </si>
  <si>
    <t>ST MARYS</t>
  </si>
  <si>
    <t>29131 ST MARYS CIR</t>
  </si>
  <si>
    <t>WHITTLE PATRICIA</t>
  </si>
  <si>
    <t>REWIS BILLY C</t>
  </si>
  <si>
    <t>ST MARYS HIGHLANDS</t>
  </si>
  <si>
    <t>BLOCK 4 LOT 7 IN OR 1573/365 ST MARYS HIGHLANDS PB 5/12-13</t>
  </si>
  <si>
    <t>2017-213</t>
  </si>
  <si>
    <t>B LOW LLC AND CBBTL LLC PARTNERSHIP 879</t>
  </si>
  <si>
    <t>2016-191</t>
  </si>
  <si>
    <t>H101968</t>
  </si>
  <si>
    <t>2015-186</t>
  </si>
  <si>
    <t>PELICAN WHARF CERTS XBCZ LLC</t>
  </si>
  <si>
    <t>2014-209</t>
  </si>
  <si>
    <t>2013-204</t>
  </si>
  <si>
    <t>2012-2551</t>
  </si>
  <si>
    <t>US BANK CUST BISBEE LLC M109BA</t>
  </si>
  <si>
    <t>41-4N-23-2100-0004-0080</t>
  </si>
  <si>
    <t>TWO WATERS</t>
  </si>
  <si>
    <t>TWO WATERS LN</t>
  </si>
  <si>
    <t>EQUITY TRUST COMPANY</t>
  </si>
  <si>
    <t>FBO BONNIE WADE CONNER IRA</t>
  </si>
  <si>
    <t>770 A1A BEACH BLVD</t>
  </si>
  <si>
    <t>SAINT AUGUSTINE FL</t>
  </si>
  <si>
    <t>BLOCK 4 LOT 8 PT OR 2058/1223 ST MARYS HIGHLANDS PB 5/12 13</t>
  </si>
  <si>
    <t>2017-214</t>
  </si>
  <si>
    <t>41-4N-23-2100-0005-0020</t>
  </si>
  <si>
    <t>ST MARYS CIR</t>
  </si>
  <si>
    <t>HARVILL LINDA</t>
  </si>
  <si>
    <t>PO BOX 782</t>
  </si>
  <si>
    <t>ST MARYS HIGHLAND</t>
  </si>
  <si>
    <t>BLOCK 5 LOT 2 IN OR 1013/1865 ST MARYS HIGHLAND PB 5/12 &amp; 13</t>
  </si>
  <si>
    <t>2015-187</t>
  </si>
  <si>
    <t>2014-210</t>
  </si>
  <si>
    <t>2013-205</t>
  </si>
  <si>
    <t>DAVID COGNATA JANET COGNATA</t>
  </si>
  <si>
    <t>47-4N-23-0000-0001-0040</t>
  </si>
  <si>
    <t>TRACEY</t>
  </si>
  <si>
    <t>TRACEY RD</t>
  </si>
  <si>
    <t>THIGPEN LORITA J</t>
  </si>
  <si>
    <t>2113 JERSEY ST</t>
  </si>
  <si>
    <t>47-04N-23E</t>
  </si>
  <si>
    <t>IN OR 921/1215-1217 EX 1-8 &amp; 1-9</t>
  </si>
  <si>
    <t>49-4N-23-0000-0007-0010</t>
  </si>
  <si>
    <t>FOXGLOVE</t>
  </si>
  <si>
    <t>2845 FOXGLOVE PL</t>
  </si>
  <si>
    <t>BOUCHARD JOSEPH E IV &amp;</t>
  </si>
  <si>
    <t>MUSSELMAN DIANE F (M&amp;S)(JT/RS) 2845 FOXGLOVE PLACE</t>
  </si>
  <si>
    <t>49-04N-23E</t>
  </si>
  <si>
    <t>IN OR 1299/550</t>
  </si>
  <si>
    <t>01-1N-24-0000-0001-0020</t>
  </si>
  <si>
    <t>KINGBIRD</t>
  </si>
  <si>
    <t>CALLAHAN</t>
  </si>
  <si>
    <t>44191 KINGBIRD DR</t>
  </si>
  <si>
    <t>CALLAHAN FL 32011</t>
  </si>
  <si>
    <t>TYNER ALBERT J &amp; MARGARET S</t>
  </si>
  <si>
    <t>44191 KINGBIRD DRIVE</t>
  </si>
  <si>
    <t>1-01N-24E</t>
  </si>
  <si>
    <t>IN OR 1269/1152 2002 FTWD DWMH 2007 HOME OF MERIT DW/MH</t>
  </si>
  <si>
    <t>12089C_865</t>
  </si>
  <si>
    <t>2017-215</t>
  </si>
  <si>
    <t>LUNAR PRIME318449</t>
  </si>
  <si>
    <t>2015-189</t>
  </si>
  <si>
    <t>FOGGIA4762</t>
  </si>
  <si>
    <t>2014-211</t>
  </si>
  <si>
    <t>2013-208</t>
  </si>
  <si>
    <t>2011-329</t>
  </si>
  <si>
    <t>01-1N-24-0000-0002-0130</t>
  </si>
  <si>
    <t>SANDY FORD</t>
  </si>
  <si>
    <t>44110 SANDY FORD RD</t>
  </si>
  <si>
    <t>REAVES SHAWN C</t>
  </si>
  <si>
    <t>IN OR 1997/953 2000 KINGS DW/MH</t>
  </si>
  <si>
    <t>01-1N-24-0000-0003-0100</t>
  </si>
  <si>
    <t>HIGGINBOTHAM</t>
  </si>
  <si>
    <t>44244 HIGGINBOTHAM DR</t>
  </si>
  <si>
    <t>DENMARK DARRELL A</t>
  </si>
  <si>
    <t>IN OR 763/610 &amp; OR 1799/522</t>
  </si>
  <si>
    <t>2017-216</t>
  </si>
  <si>
    <t>ECRU LLC R72C5J</t>
  </si>
  <si>
    <t>01-1N-24-0000-0003-0230</t>
  </si>
  <si>
    <t>HIGGINBOTHAM RD</t>
  </si>
  <si>
    <t>DENMARK GINA L</t>
  </si>
  <si>
    <t>IN OR 730 PG 1339</t>
  </si>
  <si>
    <t>01-1N-24-1370-0011-0000</t>
  </si>
  <si>
    <t>DAYBREAK</t>
  </si>
  <si>
    <t>34295 DAYBREAK DR</t>
  </si>
  <si>
    <t>GREGG JOSHUA D &amp;</t>
  </si>
  <si>
    <t>GREGG AMANDA G 34295 DAYBREAK DRIVE</t>
  </si>
  <si>
    <t>MORNING DOVE ESTATES</t>
  </si>
  <si>
    <t>LOT 11 IN OR 1942/1852 MORNING DOVE ESTATES PB 6/193</t>
  </si>
  <si>
    <t>02-1N-24-2180-1377-0000</t>
  </si>
  <si>
    <t>OLD BALDWIN</t>
  </si>
  <si>
    <t>34143 OLD BALDWIN RD</t>
  </si>
  <si>
    <t>MEADOWS CARSON D</t>
  </si>
  <si>
    <t>MEADOWS BELVA L</t>
  </si>
  <si>
    <t>PO BOX 440083</t>
  </si>
  <si>
    <t>2-01N-24E</t>
  </si>
  <si>
    <t>LOT 1377 (EX S-1 &amp; S-2) IN OR 666/1516 R567658 TOWN OF CRAWFORD</t>
  </si>
  <si>
    <t>2017-219</t>
  </si>
  <si>
    <t>PELICAN POINT GROUP128223</t>
  </si>
  <si>
    <t>2016-200</t>
  </si>
  <si>
    <t>SATCHEL LLC AND TCRCG LLC PARTNERSHIP 691</t>
  </si>
  <si>
    <t>2015-195</t>
  </si>
  <si>
    <t>RIVSGRASS 1189S LLC</t>
  </si>
  <si>
    <t>2014-219</t>
  </si>
  <si>
    <t>2013-225</t>
  </si>
  <si>
    <t>HAEYOUNG KONG TANG FOUNDATION</t>
  </si>
  <si>
    <t>2012-630</t>
  </si>
  <si>
    <t>2011-338</t>
  </si>
  <si>
    <t>11-1N-24-2180-0014-0000</t>
  </si>
  <si>
    <t>LEMONWOOD</t>
  </si>
  <si>
    <t>34505 LEMONWOOD LN</t>
  </si>
  <si>
    <t>STEWART WILLIAM</t>
  </si>
  <si>
    <t>PO BOX 1151</t>
  </si>
  <si>
    <t>11-01N-24E</t>
  </si>
  <si>
    <t>LOT 14 IN OR 1185/1387 ESMT PT OR 1849/175</t>
  </si>
  <si>
    <t>2017-221</t>
  </si>
  <si>
    <t>2015-198</t>
  </si>
  <si>
    <t>2014-221</t>
  </si>
  <si>
    <t>2013-228</t>
  </si>
  <si>
    <t>2012-1140</t>
  </si>
  <si>
    <t>2011-342</t>
  </si>
  <si>
    <t>11-1N-24-2180-0040-0040</t>
  </si>
  <si>
    <t>WOODS</t>
  </si>
  <si>
    <t>33681 WOODS LN</t>
  </si>
  <si>
    <t>MCSWAIN SONIA DELORES</t>
  </si>
  <si>
    <t>PT OF LOT 40 IN OR 1836/1332 TOWN OF CRAWFORD</t>
  </si>
  <si>
    <t>2015-199</t>
  </si>
  <si>
    <t>11-1N-24-2180-0040-0050</t>
  </si>
  <si>
    <t>33685 WOODS LN</t>
  </si>
  <si>
    <t>PRESCOTT ARNOLD L</t>
  </si>
  <si>
    <t>PRESCOTT EVELYN</t>
  </si>
  <si>
    <t>PT OF LOT 40 IN OR 655/805 TOWN OF CRAWFORD</t>
  </si>
  <si>
    <t>2017-222</t>
  </si>
  <si>
    <t>HOSSET LLC O125401 SERIES</t>
  </si>
  <si>
    <t>2016-202</t>
  </si>
  <si>
    <t>PELICAN PERCH CERTS ACBF LLC</t>
  </si>
  <si>
    <t>2014-222</t>
  </si>
  <si>
    <t>2013-232</t>
  </si>
  <si>
    <t>2012-1142</t>
  </si>
  <si>
    <t>11-1N-24-2180-0053-0030</t>
  </si>
  <si>
    <t>CRAWFORD</t>
  </si>
  <si>
    <t>CRAWFORD RD</t>
  </si>
  <si>
    <t>ZAKRZEWSKI RANDY J</t>
  </si>
  <si>
    <t>ZAKRZEWSKI SUSAN G</t>
  </si>
  <si>
    <t>24966 CRAWFORD RD</t>
  </si>
  <si>
    <t>PT OF LOT 53 (S-3) PT OR 1487/1571 TOWN OF CRAWFORD</t>
  </si>
  <si>
    <t>2017-223</t>
  </si>
  <si>
    <t>CHICKERING FARM INC.</t>
  </si>
  <si>
    <t>2016-204</t>
  </si>
  <si>
    <t>2015-200</t>
  </si>
  <si>
    <t>2013-233</t>
  </si>
  <si>
    <t>2012-1143</t>
  </si>
  <si>
    <t>2011-346</t>
  </si>
  <si>
    <t>11-1N-24-2180-0056-0010</t>
  </si>
  <si>
    <t>24890 CRAWFORD RD</t>
  </si>
  <si>
    <t>MILLER TRACY DENIEL EST</t>
  </si>
  <si>
    <t>24890 CRAWFORD ROAD</t>
  </si>
  <si>
    <t>PT OF LOT 56 1999 SW/MH BELL IN OR 995/1584 TOWN OF CRAWFORD</t>
  </si>
  <si>
    <t>14-1N-24-2180-0089-0000</t>
  </si>
  <si>
    <t>US HWY 301</t>
  </si>
  <si>
    <t>PICKETT CHARLES A</t>
  </si>
  <si>
    <t>542586 US HIGHWAY 1</t>
  </si>
  <si>
    <t>14-01N-24E</t>
  </si>
  <si>
    <t>LOTS 89 90 91 92 93 94 95 &amp; 96 (EX UTIL ESMT IN OR 1092/951) TOWN OF CRAWFORD S/D IN</t>
  </si>
  <si>
    <t>2016-205</t>
  </si>
  <si>
    <t>USA COMMUNITY CARE LLC USA COMMUNITY CARE LLC</t>
  </si>
  <si>
    <t>14-1N-24-2180-0106-0000</t>
  </si>
  <si>
    <t>LOTS 104 105 106 107 108 109 110 &amp; 111 (EX PT IN DOT R/W IN OR 1111/219)</t>
  </si>
  <si>
    <t>2017-226</t>
  </si>
  <si>
    <t>2016-206</t>
  </si>
  <si>
    <t>2015-203</t>
  </si>
  <si>
    <t>JSHERPA LLC AND J FLOY LLC PARTNERSHIP 492</t>
  </si>
  <si>
    <t>2013-237</t>
  </si>
  <si>
    <t>14-1N-24-2180-0517-0000</t>
  </si>
  <si>
    <t>ZINN RICHARD L</t>
  </si>
  <si>
    <t>3707 SAGE WAY</t>
  </si>
  <si>
    <t>OCEANSIDE CA</t>
  </si>
  <si>
    <t>LOT 517 &amp; E1/2 OF ABAND ST IN RES 2015-13 BEING PAR #1 LYING E THEREOF</t>
  </si>
  <si>
    <t>14-1N-24-2180-0539-0000</t>
  </si>
  <si>
    <t>LOT 539 TOWN OF CRAWFORD S/D IN SEC 14-1N-24E</t>
  </si>
  <si>
    <t>14-1N-24-2180-0699-0000</t>
  </si>
  <si>
    <t>HOBBS KATHRYN M</t>
  </si>
  <si>
    <t>7050 SUNSET DR SOUTH #403</t>
  </si>
  <si>
    <t>SOUTH PASADENA FL</t>
  </si>
  <si>
    <t>LOT 699 IN OR 507/265 TOWN OF CRAWFORD S/D IN</t>
  </si>
  <si>
    <t>2012-1189</t>
  </si>
  <si>
    <t>2011-351</t>
  </si>
  <si>
    <t>REFUGIO J A NEGRETE MARY O NEGRETE</t>
  </si>
  <si>
    <t>14-1N-24-2180-0749-0000</t>
  </si>
  <si>
    <t>KUNTZ WALTER F &amp; KENNETH J</t>
  </si>
  <si>
    <t>C/O ANNA J FEARICK</t>
  </si>
  <si>
    <t>6916 PAR WAY</t>
  </si>
  <si>
    <t>FT MYERS FL</t>
  </si>
  <si>
    <t>LOT 749 TOWN OF CRAWFORD SUB</t>
  </si>
  <si>
    <t>2017-227</t>
  </si>
  <si>
    <t>2016-207</t>
  </si>
  <si>
    <t>2015-205</t>
  </si>
  <si>
    <t>PATRICIA JONES</t>
  </si>
  <si>
    <t>2014-226</t>
  </si>
  <si>
    <t>2013-239</t>
  </si>
  <si>
    <t>2012-1190</t>
  </si>
  <si>
    <t>2011-352</t>
  </si>
  <si>
    <t>LAFUNTAIN CRENSHAW</t>
  </si>
  <si>
    <t>14-1N-24-2180-0761-0000</t>
  </si>
  <si>
    <t>SHIRK G M  MRS</t>
  </si>
  <si>
    <t>34172 PICKETT FAMILY CT</t>
  </si>
  <si>
    <t>LOT 761 TOWN OF CRAWFORD SUB</t>
  </si>
  <si>
    <t>2017-228</t>
  </si>
  <si>
    <t>2016-208</t>
  </si>
  <si>
    <t>2015-206</t>
  </si>
  <si>
    <t>2014-227</t>
  </si>
  <si>
    <t>2013-240</t>
  </si>
  <si>
    <t>2012-1191</t>
  </si>
  <si>
    <t>2011-353</t>
  </si>
  <si>
    <t>VALERIE A PETERS</t>
  </si>
  <si>
    <t>14-1N-24-2180-1046-0000</t>
  </si>
  <si>
    <t>SNYDER DONALD</t>
  </si>
  <si>
    <t>1430 FARNHAM RD</t>
  </si>
  <si>
    <t>TROY OH</t>
  </si>
  <si>
    <t>LOTS 1046 &amp; 1047 TOWN OF CRAWFORD S/D IN SEC 14-1N-24E</t>
  </si>
  <si>
    <t>2017-229</t>
  </si>
  <si>
    <t>2016-209</t>
  </si>
  <si>
    <t>2015-207</t>
  </si>
  <si>
    <t>2014-228</t>
  </si>
  <si>
    <t>2013-241</t>
  </si>
  <si>
    <t>2012-1196</t>
  </si>
  <si>
    <t>14-1N-24-2180-1049-0000</t>
  </si>
  <si>
    <t>LOT 1049 TOWN OF CRAWFORD S/D IN SEC 14-1N-24E</t>
  </si>
  <si>
    <t>2017-230</t>
  </si>
  <si>
    <t>2016-210</t>
  </si>
  <si>
    <t>14-1N-24-2180-1184-0000</t>
  </si>
  <si>
    <t>CROSSFIRE TR</t>
  </si>
  <si>
    <t>33600 CROSSFIRE TR</t>
  </si>
  <si>
    <t>LINDSEY JAMES</t>
  </si>
  <si>
    <t>LINDSEY LINDSEY CHARLEE</t>
  </si>
  <si>
    <t>PO BOX 2291</t>
  </si>
  <si>
    <t>LOT 1184 IN OR 2060/14 TOWN OF CRAWFORD SUB</t>
  </si>
  <si>
    <t>14-1N-24-2180-1190-0000</t>
  </si>
  <si>
    <t>RATTLESNAKE</t>
  </si>
  <si>
    <t>33575 RATTLESNAKE TRL</t>
  </si>
  <si>
    <t>LINDSEY CHARLES R</t>
  </si>
  <si>
    <t>8881 ROSE HILL DR S</t>
  </si>
  <si>
    <t>LOT 1190 IN OR 1837/1948 TOWN OF CRAWFORD SUB</t>
  </si>
  <si>
    <t>2017-233</t>
  </si>
  <si>
    <t>SANMARCORA HRGGAJ</t>
  </si>
  <si>
    <t>2016-212</t>
  </si>
  <si>
    <t>2015-210</t>
  </si>
  <si>
    <t>EEE1752</t>
  </si>
  <si>
    <t>2014-230</t>
  </si>
  <si>
    <t>14-1N-24-2180-1191-0010</t>
  </si>
  <si>
    <t>CRIPPLE HORSE</t>
  </si>
  <si>
    <t>33350 CRIPPLE HORSE TRL</t>
  </si>
  <si>
    <t>CHURCH KIM</t>
  </si>
  <si>
    <t>33350 CRIPPLE HORSE TRAIL</t>
  </si>
  <si>
    <t>PT LOT 1191 IN OR 2020/1630 TOWN OF CRAWFORD SUB</t>
  </si>
  <si>
    <t>14-1N-24-2180-1191-0020</t>
  </si>
  <si>
    <t>SAGEBRUSH</t>
  </si>
  <si>
    <t>SAGEBRUSH LN</t>
  </si>
  <si>
    <t>CHURCH JOSEPH R &amp; KIM</t>
  </si>
  <si>
    <t>36100 SAGEBRUSH LANE</t>
  </si>
  <si>
    <t>PT LOT 1191</t>
  </si>
  <si>
    <t>15-1N-24-2180-1229-0020</t>
  </si>
  <si>
    <t>WELCH</t>
  </si>
  <si>
    <t>34477 WELCH RD</t>
  </si>
  <si>
    <t>WELCH LESLEY JUNIOR EST</t>
  </si>
  <si>
    <t>34477 WELCH ROAD</t>
  </si>
  <si>
    <t>15-01N-24E</t>
  </si>
  <si>
    <t>S1/2 LOT 1229 PT OR 890/1197 TOWN OF CRAWFORD SEC 15-1N-24E</t>
  </si>
  <si>
    <t>2017-235</t>
  </si>
  <si>
    <t>BUQAG 6679 LLC</t>
  </si>
  <si>
    <t>15-1N-24-2180-1235-0020</t>
  </si>
  <si>
    <t>33414 WOODS LN</t>
  </si>
  <si>
    <t>HIGGINBOTHAM CHARLES</t>
  </si>
  <si>
    <t>PT OF LOT 1235 IN OR 1165/1600 &amp; S1/2 OF ABND R/W LYING N THEREOF IN BY</t>
  </si>
  <si>
    <t>12089C_1076</t>
  </si>
  <si>
    <t>2017-236</t>
  </si>
  <si>
    <t>PELICAN JETTY CERTS AAVO LLC</t>
  </si>
  <si>
    <t>2016-214</t>
  </si>
  <si>
    <t>ROCK BROOK CERTS 850 LLC</t>
  </si>
  <si>
    <t>16-1N-24-2090-0001-0000</t>
  </si>
  <si>
    <t>TUPELO</t>
  </si>
  <si>
    <t>33247 TUPELO LN</t>
  </si>
  <si>
    <t>HARRISON THOMAS J</t>
  </si>
  <si>
    <t>HARRISON CARRIE A</t>
  </si>
  <si>
    <t>PO BOX 50</t>
  </si>
  <si>
    <t>PUD</t>
  </si>
  <si>
    <t>TUPELO PLANTATION</t>
  </si>
  <si>
    <t>16-01N-24E</t>
  </si>
  <si>
    <t>LOT 1 IN OR 1889/1627 TUPELO PLANTATION PB 7/206</t>
  </si>
  <si>
    <t>2017-238</t>
  </si>
  <si>
    <t>2016-215</t>
  </si>
  <si>
    <t>ORANGE DOLPHINS AFSU LLC</t>
  </si>
  <si>
    <t>16-1N-24-2090-0010-0000</t>
  </si>
  <si>
    <t>WIREGRASS</t>
  </si>
  <si>
    <t>WIREGRASS WAY</t>
  </si>
  <si>
    <t>DEMPSEY ROBERT T</t>
  </si>
  <si>
    <t>4446 HENDRICKS AVE #227</t>
  </si>
  <si>
    <t>COMMERCIAL</t>
  </si>
  <si>
    <t>LOT 10 IN OR 1427/1666 TUPELO PLANTATION PB 7/206</t>
  </si>
  <si>
    <t>16-1N-24-2090-0013-0000</t>
  </si>
  <si>
    <t>HALF HITCH</t>
  </si>
  <si>
    <t>33348 HALF HITCH DR</t>
  </si>
  <si>
    <t>CONGER GARY DANIEL &amp;</t>
  </si>
  <si>
    <t>CONGER TIFFANY MICHELE M (H&amp;W) 27258 W 1ST AVENUE</t>
  </si>
  <si>
    <t>LOT 13 IN OR 1905/418 TUPELO PLANTATION PB 7/206</t>
  </si>
  <si>
    <t>16-1N-24-2090-0020-0000</t>
  </si>
  <si>
    <t>33250 WIREGRASS WAY</t>
  </si>
  <si>
    <t>BAHRI NABIL &amp; SOHA</t>
  </si>
  <si>
    <t>7433 TRAILS END</t>
  </si>
  <si>
    <t>LOT 20 IN OR 1891/1933 TUPELO PLANTATION PB 7/206</t>
  </si>
  <si>
    <t>2017-239</t>
  </si>
  <si>
    <t>2016-216</t>
  </si>
  <si>
    <t>2015-213</t>
  </si>
  <si>
    <t>TRIAD HOLDINGS69142</t>
  </si>
  <si>
    <t>16-1N-24-2090-0038-0000</t>
  </si>
  <si>
    <t>STEEPLE CHASE</t>
  </si>
  <si>
    <t>34978 STEEPLE CHASE WAY</t>
  </si>
  <si>
    <t>BLAISE JORDYNE &amp; BLAISE DUMARSAIS (JT/RS)</t>
  </si>
  <si>
    <t>12350 NW 2ND ST</t>
  </si>
  <si>
    <t>LOT 38 IN OR 1907/14 TUPELO PLANTATION PB 7/206</t>
  </si>
  <si>
    <t>2017-242</t>
  </si>
  <si>
    <t>SANMARCORA HNBNTU</t>
  </si>
  <si>
    <t>16-1N-24-2090-0071-0000</t>
  </si>
  <si>
    <t>33250 TUPELO LN</t>
  </si>
  <si>
    <t>MCKENZIE JAY</t>
  </si>
  <si>
    <t>12583 SHALLOW BROOKE CIRCLE</t>
  </si>
  <si>
    <t>LOT 71 L/E OR 1891/1904 TUPELO PLANTATION PB 7/206</t>
  </si>
  <si>
    <t>17-1N-24-2091-0003-0000</t>
  </si>
  <si>
    <t>MITIGATION TR</t>
  </si>
  <si>
    <t>34507 MITIGATION TR</t>
  </si>
  <si>
    <t>WOODARD CATHERINE P</t>
  </si>
  <si>
    <t>WOODARD BOBBY W</t>
  </si>
  <si>
    <t>10070 CHESTERTON RD</t>
  </si>
  <si>
    <t>TUPELO PLANTATION WEST</t>
  </si>
  <si>
    <t>17-01N-24E</t>
  </si>
  <si>
    <t>LOT 3 IN OR 1899/500 TUPELO PLANTATION WEST PB 8/17</t>
  </si>
  <si>
    <t>17-1N-24-2091-0005-0000</t>
  </si>
  <si>
    <t>34483 MITIGATION TR</t>
  </si>
  <si>
    <t>RAMIREZ KAREN</t>
  </si>
  <si>
    <t>6500 NW 114TH AVE APT 1038</t>
  </si>
  <si>
    <t>DORAL FL</t>
  </si>
  <si>
    <t>LOT 5 IN OR 1899/1391 TUPELO PLANTATION WEST PB 8/17</t>
  </si>
  <si>
    <t>2017-243</t>
  </si>
  <si>
    <t>PELICAN PERCH CERTS ADRR LLC</t>
  </si>
  <si>
    <t>2016-219</t>
  </si>
  <si>
    <t>LUNAR PRIME511</t>
  </si>
  <si>
    <t>2015-214</t>
  </si>
  <si>
    <t>17-1N-24-2091-0025-0000</t>
  </si>
  <si>
    <t>HEARTHSTONE</t>
  </si>
  <si>
    <t>35030 HEARTHSTONE WAY</t>
  </si>
  <si>
    <t>GRAY DANIEL J &amp; AMANDA K</t>
  </si>
  <si>
    <t>3866 WALSH ST</t>
  </si>
  <si>
    <t>LOT 25 IN OR 1908/34 TUPELO PLANTATION WEST PB 8/17</t>
  </si>
  <si>
    <t>2017-246</t>
  </si>
  <si>
    <t>2016-220</t>
  </si>
  <si>
    <t>FL PROJ - CCTS - GROUP MU 51699 US BANK CUST FOR PFS FINANCIAL 2 LLC</t>
  </si>
  <si>
    <t>2015-216</t>
  </si>
  <si>
    <t>20-1N-24-0000-0002-0090</t>
  </si>
  <si>
    <t>CONLEY</t>
  </si>
  <si>
    <t>33354 CONLEY RD</t>
  </si>
  <si>
    <t>CONLEY DARRELL JR &amp; CRYSTAL</t>
  </si>
  <si>
    <t>20-01N-24E</t>
  </si>
  <si>
    <t>IN OR 1140/1850</t>
  </si>
  <si>
    <t>2017-247</t>
  </si>
  <si>
    <t>2016-221</t>
  </si>
  <si>
    <t>2015-218</t>
  </si>
  <si>
    <t>2014-231</t>
  </si>
  <si>
    <t>2013-246</t>
  </si>
  <si>
    <t>2012-1416</t>
  </si>
  <si>
    <t>2011-358</t>
  </si>
  <si>
    <t>23-1N-24-2180-1270-0010</t>
  </si>
  <si>
    <t>33480 RATTLESNAKE TRL</t>
  </si>
  <si>
    <t>LIGHTSEY LARRY L</t>
  </si>
  <si>
    <t>23-01N-24E</t>
  </si>
  <si>
    <t>N1/2 OF N1/2 OF LOT 1270 IN OR 309 PG 581 2008 JACB DW/MH</t>
  </si>
  <si>
    <t>2012-1554</t>
  </si>
  <si>
    <t>23-1N-24-2180-1273-0000</t>
  </si>
  <si>
    <t>BREADCRUMB</t>
  </si>
  <si>
    <t>34100 BREADCRUMB TRL</t>
  </si>
  <si>
    <t>NELSON BRIAN EDWARD</t>
  </si>
  <si>
    <t>2787 HIDDEN VILLAGE DRIVE</t>
  </si>
  <si>
    <t>LOT 1273 IN OR 1493/1971 ESMT PT OR 1541/1242</t>
  </si>
  <si>
    <t>2017-250</t>
  </si>
  <si>
    <t>2016-223</t>
  </si>
  <si>
    <t>2015-219</t>
  </si>
  <si>
    <t>2014-233</t>
  </si>
  <si>
    <t>2013-247</t>
  </si>
  <si>
    <t>2012-1555</t>
  </si>
  <si>
    <t>2011-360</t>
  </si>
  <si>
    <t>23-1N-24-2180-1287-0000</t>
  </si>
  <si>
    <t>33136 RATTLESNAKE TRL</t>
  </si>
  <si>
    <t>GRIFFIS LAURA MARIE</t>
  </si>
  <si>
    <t>LOT 1287 (EX S-1 &amp; S-2) IN OR 1765/1255 1999 MERIT DW/MH</t>
  </si>
  <si>
    <t>2016-225</t>
  </si>
  <si>
    <t>ECRU LLC TSBM23B</t>
  </si>
  <si>
    <t>2015-220</t>
  </si>
  <si>
    <t>HALFOWL 246 LLC</t>
  </si>
  <si>
    <t>23-1N-24-2180-1296-0050</t>
  </si>
  <si>
    <t>MEADOWS</t>
  </si>
  <si>
    <t>MEADOWS LN</t>
  </si>
  <si>
    <t>TRUGLIO JOSEPH</t>
  </si>
  <si>
    <t>AHMAD ILAYYAN</t>
  </si>
  <si>
    <t>55211 SPENCERVILLE RD</t>
  </si>
  <si>
    <t>PT OF LOT 1296 IN OR 1612/274 TOWN OF CRAWFORD S/D IN SEC 23-1N-24E</t>
  </si>
  <si>
    <t>2017-252</t>
  </si>
  <si>
    <t>2016-226</t>
  </si>
  <si>
    <t>2015-221</t>
  </si>
  <si>
    <t>2013-249</t>
  </si>
  <si>
    <t>TAX LIEN STRATEGIES LP</t>
  </si>
  <si>
    <t>23-1N-24-2180-1299-0030</t>
  </si>
  <si>
    <t>33585 MEADOWS LN</t>
  </si>
  <si>
    <t>HENDRICKS DANIEL R</t>
  </si>
  <si>
    <t>PT OF LOT 1299 (S-3) IN OR 1635/303 TOWN OF CRAWFORD</t>
  </si>
  <si>
    <t>23-1N-24-2180-1299-0050</t>
  </si>
  <si>
    <t>33599 MEADOWS LN</t>
  </si>
  <si>
    <t>44500 CATIES WAY</t>
  </si>
  <si>
    <t>PT OF LOT 1299 (S-5) IN OR 2039/40 1986 DW/MH CHAD</t>
  </si>
  <si>
    <t>2017-253</t>
  </si>
  <si>
    <t>MISSION OAKS 59 SERVICING LLC</t>
  </si>
  <si>
    <t>2016-227</t>
  </si>
  <si>
    <t>23-1N-24-2180-1300-0050</t>
  </si>
  <si>
    <t>33695 MEADOWS LN</t>
  </si>
  <si>
    <t>STRICKLAND RICHARD G</t>
  </si>
  <si>
    <t>20 MANOUS CIR</t>
  </si>
  <si>
    <t>HINESVILLE GA</t>
  </si>
  <si>
    <t>ELY 160 FT OF SLY 272.25 FT OF LOT 1300 &amp; S-2 OF LOT 1301 IN OR 1898/1680</t>
  </si>
  <si>
    <t>23-1N-24-2180-1300-0070</t>
  </si>
  <si>
    <t>1123 JUNGLE CT</t>
  </si>
  <si>
    <t>LAKELAND FL</t>
  </si>
  <si>
    <t>PT OF LOT 1300 (S-7) PT OR 1641/1057 TOWN OF CRAWFORD SUB</t>
  </si>
  <si>
    <t>2017-255</t>
  </si>
  <si>
    <t>2016-229</t>
  </si>
  <si>
    <t>BENNU LLC YS1DN21AJ</t>
  </si>
  <si>
    <t>2015-224</t>
  </si>
  <si>
    <t>SOIF SERIES XV</t>
  </si>
  <si>
    <t>2013-253</t>
  </si>
  <si>
    <t>23-1N-24-2180-1307-0000</t>
  </si>
  <si>
    <t>LOT 1307 &amp; E1/2 OF ABND R/W LYING W THEREOF BY RES 1987-48 TOWN OF CRAWFORD S/D IN</t>
  </si>
  <si>
    <t>2017-257</t>
  </si>
  <si>
    <t>2016-231</t>
  </si>
  <si>
    <t>FLORIDA - CCTS CAP LLC 86148 US BANK CUST FOR PFS FINANCIAL 2 LLC</t>
  </si>
  <si>
    <t>2015-225</t>
  </si>
  <si>
    <t>2014-235</t>
  </si>
  <si>
    <t>2013-255</t>
  </si>
  <si>
    <t>2011-363</t>
  </si>
  <si>
    <t>24-1N-24-0150-0001-0000</t>
  </si>
  <si>
    <t>BLAIR</t>
  </si>
  <si>
    <t>CT</t>
  </si>
  <si>
    <t>43235 BLAIR CT</t>
  </si>
  <si>
    <t>NIGHTINGALE THATCHER C</t>
  </si>
  <si>
    <t>24-01N-24E</t>
  </si>
  <si>
    <t>LOTS 1 (EX S-1) &amp; 13 IN OR 1830/773 ESMT OR 1717/1499</t>
  </si>
  <si>
    <t>2017-258</t>
  </si>
  <si>
    <t>SANMARCORA TBVPPK</t>
  </si>
  <si>
    <t>2016-232</t>
  </si>
  <si>
    <t>SANMARCORA WRPFHO</t>
  </si>
  <si>
    <t>2015-226</t>
  </si>
  <si>
    <t>MACHAPURNA ACAT LLC</t>
  </si>
  <si>
    <t>2014-236</t>
  </si>
  <si>
    <t>PTL PARTNERS 2 LP - SERIES A US BANK CUST FOR PTL PARTNERS 2 LP - SERIES A</t>
  </si>
  <si>
    <t>24-1N-24-0150-0008-0000</t>
  </si>
  <si>
    <t>THOMAS CREEK</t>
  </si>
  <si>
    <t>43428 THOMAS CREEK RD</t>
  </si>
  <si>
    <t>SPENCER ZACHARY W</t>
  </si>
  <si>
    <t>SPENCER CANDICE J</t>
  </si>
  <si>
    <t>BROOK BLAIR EST</t>
  </si>
  <si>
    <t>LOT 8 2000/FTWD/SW/MH IN OR 1986/1942 BROOK BLAIR EST PB 5/390</t>
  </si>
  <si>
    <t>2014-237</t>
  </si>
  <si>
    <t>24-1N-24-0150-0012-0000</t>
  </si>
  <si>
    <t>43180 BLAIR CT</t>
  </si>
  <si>
    <t>TINDOL BOBBY C</t>
  </si>
  <si>
    <t>3067 WEST 19TH STREET</t>
  </si>
  <si>
    <t>LOT 12 IN OR 1329/1383 BROOK BLAIR EST PB 5/390</t>
  </si>
  <si>
    <t>2017-259</t>
  </si>
  <si>
    <t>SHARP FOCUS INVESTORS 31</t>
  </si>
  <si>
    <t>2016-234</t>
  </si>
  <si>
    <t>PELICAN WHARF CERTS XDOQ LLC</t>
  </si>
  <si>
    <t>2015-227</t>
  </si>
  <si>
    <t>KINGFISHER KEY CERTS ABWN LLC</t>
  </si>
  <si>
    <t>2014-238</t>
  </si>
  <si>
    <t>2013-257</t>
  </si>
  <si>
    <t>2011-364</t>
  </si>
  <si>
    <t>24-1N-24-0750-0001-0091</t>
  </si>
  <si>
    <t>43338 THOMAS CREEK RD</t>
  </si>
  <si>
    <t>RODRIGUEZ MELISSA L</t>
  </si>
  <si>
    <t>19-01N-25E</t>
  </si>
  <si>
    <t>BLOCK 1 PT OF LOT 9 (S-1) IN OR 1947/841 1997 MERI DW</t>
  </si>
  <si>
    <t>24-1N-24-0750-0002-0013</t>
  </si>
  <si>
    <t>KEEN CEMETERY</t>
  </si>
  <si>
    <t>431066 KEEN CEMETERY RD</t>
  </si>
  <si>
    <t>EBY PETER JOHN &amp;</t>
  </si>
  <si>
    <t>JOHNSON ELIZABETH E 431042 KEEN CEMETERY RD</t>
  </si>
  <si>
    <t>HILLS AT THOMAS CREEK</t>
  </si>
  <si>
    <t>BLOCK 2 PT OF LOT 1 IN OR 1828/1415 HILLS AT THOMAS CREEK PB 5/65</t>
  </si>
  <si>
    <t>24-1N-24-0750-0003-0080</t>
  </si>
  <si>
    <t>CLAXTON</t>
  </si>
  <si>
    <t>43257 CLAXTON CIR</t>
  </si>
  <si>
    <t>JARVIS KENNETH &amp; ANNETTE</t>
  </si>
  <si>
    <t>43257 CLAXTON CIRCLE</t>
  </si>
  <si>
    <t>BLOCK 3 LOT 8 (EX S-1) R583689 IN OR 1912/504 SEC 24-1N-24</t>
  </si>
  <si>
    <t>2017-261</t>
  </si>
  <si>
    <t>SKYLER LLC O48927 SERIES</t>
  </si>
  <si>
    <t>2016-236</t>
  </si>
  <si>
    <t>HOSSET LLC O117317 SERIES</t>
  </si>
  <si>
    <t>2015-229</t>
  </si>
  <si>
    <t>KOKOORA HOLDINGS 632 LLC</t>
  </si>
  <si>
    <t>24-1N-24-0750-0003-0124</t>
  </si>
  <si>
    <t>IMAGINE</t>
  </si>
  <si>
    <t>IMAGINE LN</t>
  </si>
  <si>
    <t>TANNER JUSTIN E &amp; MISINEC ERIN N</t>
  </si>
  <si>
    <t>44108 OAKWOOD LN</t>
  </si>
  <si>
    <t>BLK 3 PT OF LOT 12</t>
  </si>
  <si>
    <t>24-1N-24-0750-0003-0282</t>
  </si>
  <si>
    <t>LARSEN</t>
  </si>
  <si>
    <t>43013 LARSEN RD</t>
  </si>
  <si>
    <t>LAND THOMAS F JR</t>
  </si>
  <si>
    <t>43013 LARSEN ROAD</t>
  </si>
  <si>
    <t>SEC 30-1N-25 HILLS AT THOMAS CREEK</t>
  </si>
  <si>
    <t>30-01N-25E</t>
  </si>
  <si>
    <t>BLOCK 3 PT OF LOT 28 R787732 IN OR 1924/1670 SEC 30-1N-25 HILLS AT THOMAS CREEK PB 5/65</t>
  </si>
  <si>
    <t>2017-263</t>
  </si>
  <si>
    <t>BISBEE LLC PSC9C07</t>
  </si>
  <si>
    <t>2016-239</t>
  </si>
  <si>
    <t>YFK - 257218 - HOWEY US BANK CUST FOR PFS FINANCIAL 2 LLC</t>
  </si>
  <si>
    <t>2015-231</t>
  </si>
  <si>
    <t>SPIRIT MANAGEMENT 18</t>
  </si>
  <si>
    <t>2013-260</t>
  </si>
  <si>
    <t>2012-1582</t>
  </si>
  <si>
    <t>2011-367</t>
  </si>
  <si>
    <t>24-1N-24-0750-0003-0285</t>
  </si>
  <si>
    <t>43212 THOMAS CREEK RD</t>
  </si>
  <si>
    <t>SHELBY ASHLEY R</t>
  </si>
  <si>
    <t>BLK 3 PT OF LOT 28 IN OR 1770/292 HILLS OF THOMAS CREEK PBK 5/65</t>
  </si>
  <si>
    <t>2017-264</t>
  </si>
  <si>
    <t>2016-240</t>
  </si>
  <si>
    <t>SUTTON INVESTMENT27767</t>
  </si>
  <si>
    <t>2015-232</t>
  </si>
  <si>
    <t>VVVVV169</t>
  </si>
  <si>
    <t>2014-244</t>
  </si>
  <si>
    <t>2013-261</t>
  </si>
  <si>
    <t>24-1N-24-0750-0004-0072</t>
  </si>
  <si>
    <t>MORRIS</t>
  </si>
  <si>
    <t>43114 MORRIS DR</t>
  </si>
  <si>
    <t>MORRIS DENNIS E &amp; MARY M</t>
  </si>
  <si>
    <t>PO BOX 1540</t>
  </si>
  <si>
    <t>SEC 19-1N-25 HILLS AT THOMAS CREEK</t>
  </si>
  <si>
    <t>BLOCK 4 PT OF LOT 7 (S-2) OR 491/1305 SEC 19-1N-25 HILLS AT THOMAS CREEK PB 5/65</t>
  </si>
  <si>
    <t>24-1N-24-0750-0004-0090</t>
  </si>
  <si>
    <t>KIDS COACH</t>
  </si>
  <si>
    <t>43002 KIDS COACH LN</t>
  </si>
  <si>
    <t>WILKES SHEILA D L/E</t>
  </si>
  <si>
    <t>CHRISTINE HUMPHRIES 43002 KIDS COACH LANE</t>
  </si>
  <si>
    <t>BLOCK 4 LOT 9 (19-1N-25) IN OR 1657/813 R672202 &amp; R672203</t>
  </si>
  <si>
    <t>2017-266</t>
  </si>
  <si>
    <t>STORK CERTS 82 LLC</t>
  </si>
  <si>
    <t>2016-241</t>
  </si>
  <si>
    <t>SANMARCORA BGLHWD</t>
  </si>
  <si>
    <t>2015-234</t>
  </si>
  <si>
    <t>GRAPESEED INDUSTRIES128955</t>
  </si>
  <si>
    <t>2014-245</t>
  </si>
  <si>
    <t>2013-263</t>
  </si>
  <si>
    <t>2012-1584</t>
  </si>
  <si>
    <t>2011-369</t>
  </si>
  <si>
    <t>DANA H COOK FAMILY PARTNERSHIP C/O MARY WOHLRABE</t>
  </si>
  <si>
    <t>24-1N-24-0750-0004-0101</t>
  </si>
  <si>
    <t>43087 KIDS COACH LN</t>
  </si>
  <si>
    <t>WILKES SHEILA D &amp;</t>
  </si>
  <si>
    <t>HUMPHRIES CHRISTINE 43002 KIDS COACH LANE</t>
  </si>
  <si>
    <t>BLOCK 4 S-1 &amp; S-2 OF LOT 10 PT OR 1677/632 SEC 19-1N-25 HILLS AT THOMAS CREEK PB 5/65</t>
  </si>
  <si>
    <t>2017-267</t>
  </si>
  <si>
    <t>2016-242</t>
  </si>
  <si>
    <t>2015-235</t>
  </si>
  <si>
    <t>2014-246</t>
  </si>
  <si>
    <t>2013-264</t>
  </si>
  <si>
    <t>2012-1585</t>
  </si>
  <si>
    <t>2011-370</t>
  </si>
  <si>
    <t>24-1N-24-0750-0004-0152</t>
  </si>
  <si>
    <t>43377 LARSEN RD</t>
  </si>
  <si>
    <t>BUDZEAK ALAN</t>
  </si>
  <si>
    <t>10644 MEADOW LEA DR</t>
  </si>
  <si>
    <t>BLOCK 4 PT OF LOT 15 (S-2) IN OR 1816/1684 R433738 &amp; R433739</t>
  </si>
  <si>
    <t>2017-268</t>
  </si>
  <si>
    <t>2015-236</t>
  </si>
  <si>
    <t>2014-248</t>
  </si>
  <si>
    <t>2013-267</t>
  </si>
  <si>
    <t>24-1N-24-0750-0004-0161</t>
  </si>
  <si>
    <t>BRANDON</t>
  </si>
  <si>
    <t>BRANDON WAY</t>
  </si>
  <si>
    <t>WILKES SHEILA D</t>
  </si>
  <si>
    <t>43002 KIDS COACH LANE</t>
  </si>
  <si>
    <t>BLK 4 E1/2 LOT 16 IN OR 1677/641 BEING ONLY PARAGRAPH 2 (EX PT IN</t>
  </si>
  <si>
    <t>2017-269</t>
  </si>
  <si>
    <t>2016-244</t>
  </si>
  <si>
    <t>2015-237</t>
  </si>
  <si>
    <t>2013-268</t>
  </si>
  <si>
    <t>2012-1588</t>
  </si>
  <si>
    <t>2011-374</t>
  </si>
  <si>
    <t>24-1N-24-0750-0004-0170</t>
  </si>
  <si>
    <t>CHEROKEE</t>
  </si>
  <si>
    <t>43075 CHEROKEE TRL</t>
  </si>
  <si>
    <t>MERCHANT JOHN R</t>
  </si>
  <si>
    <t>HOUSEHOLDER KATHARINE M</t>
  </si>
  <si>
    <t>BLOCK 4 LOT 17 SKYO 1999 TW IN OR 2055/1586 PT IN SECS 19-1N-25 &amp; 30-1N-25</t>
  </si>
  <si>
    <t>2011-376</t>
  </si>
  <si>
    <t>25-1N-24-0080-0001-0000</t>
  </si>
  <si>
    <t>ELLIS</t>
  </si>
  <si>
    <t>43201 ELLIS AVE</t>
  </si>
  <si>
    <t>ARENBURGH WILLIAM PAUL</t>
  </si>
  <si>
    <t>43201 ELLIS DR</t>
  </si>
  <si>
    <t>25-01N-24E</t>
  </si>
  <si>
    <t>LOT 1 IN OR 799/1104 R673250 &amp; R673251 &amp; R673252</t>
  </si>
  <si>
    <t>2017-271</t>
  </si>
  <si>
    <t>GUQIL 8235 LLC</t>
  </si>
  <si>
    <t>2015-241</t>
  </si>
  <si>
    <t>KINDBIRD CERTS 866 LLC</t>
  </si>
  <si>
    <t>25-1N-24-0080-0004-0000</t>
  </si>
  <si>
    <t>HARVEY</t>
  </si>
  <si>
    <t>HARVEY DR</t>
  </si>
  <si>
    <t>ARENBURGH SUSAN</t>
  </si>
  <si>
    <t>8622 HARE AVE</t>
  </si>
  <si>
    <t>Timberland - site index 60 to 69</t>
  </si>
  <si>
    <t>LOT 4 IN OR 772 PG 1826 F/K/A 24-1N-24-0750-0003-0113</t>
  </si>
  <si>
    <t>28-1N-24-0000-0001-0210</t>
  </si>
  <si>
    <t>BROOKS</t>
  </si>
  <si>
    <t>BROOKS RD</t>
  </si>
  <si>
    <t>ROWLAND WENDELL D</t>
  </si>
  <si>
    <t>8236 BROOKS RD</t>
  </si>
  <si>
    <t>28-01N-24E</t>
  </si>
  <si>
    <t>PT OF NE1/4 OF SW1/4 OF SEC 28-1N-24E IN OR 1958/1881 &amp; OR 2008/685</t>
  </si>
  <si>
    <t>33-1N-24-0000-0001-0140</t>
  </si>
  <si>
    <t>OPUS</t>
  </si>
  <si>
    <t>13499 OPUS RD</t>
  </si>
  <si>
    <t>BUSTION GERALD W</t>
  </si>
  <si>
    <t>BUSTION CYNTHIA A</t>
  </si>
  <si>
    <t>7901 PODER PL</t>
  </si>
  <si>
    <t>33-01N-24E</t>
  </si>
  <si>
    <t>PT OR 690/827 R/W OR 953/1105 ESMT OR 986/874</t>
  </si>
  <si>
    <t>2017-272</t>
  </si>
  <si>
    <t>SUGARSAND PATH 577 RENTING REO LLC</t>
  </si>
  <si>
    <t>2016-246</t>
  </si>
  <si>
    <t>BENNU LLC JHA3FAAY</t>
  </si>
  <si>
    <t>2015-244</t>
  </si>
  <si>
    <t>Y2286</t>
  </si>
  <si>
    <t>2014-253</t>
  </si>
  <si>
    <t>2013-272</t>
  </si>
  <si>
    <t>2012-1969</t>
  </si>
  <si>
    <t>2011-379</t>
  </si>
  <si>
    <t>33-1N-24-2050-0007-0000</t>
  </si>
  <si>
    <t>13268 US HWY 301</t>
  </si>
  <si>
    <t>SMITH JULIE A</t>
  </si>
  <si>
    <t>701 SPANISH MAIN DR # 234</t>
  </si>
  <si>
    <t>CUDJOE KEY FL</t>
  </si>
  <si>
    <t>LOT 7 IN OR 1022/933 EX R/W OR 1051/542</t>
  </si>
  <si>
    <t>2017-276</t>
  </si>
  <si>
    <t>BENNU LLC LY16Q568R</t>
  </si>
  <si>
    <t>2015-246</t>
  </si>
  <si>
    <t>2014-256</t>
  </si>
  <si>
    <t>2013-276</t>
  </si>
  <si>
    <t>2012-1974</t>
  </si>
  <si>
    <t>2011-383</t>
  </si>
  <si>
    <t>33-1N-24-2050-0011-0000</t>
  </si>
  <si>
    <t>13128 US HWY 301</t>
  </si>
  <si>
    <t>ERVIN-HURD PATRICIA F</t>
  </si>
  <si>
    <t>13086 US HIGHWAY 301</t>
  </si>
  <si>
    <t>LOT 11 R107667 IN OR 705 PG 1205 EX R/W OR 997/857</t>
  </si>
  <si>
    <t>33-1N-24-2050-0014-0000</t>
  </si>
  <si>
    <t>PODER</t>
  </si>
  <si>
    <t>8095 PODER PL</t>
  </si>
  <si>
    <t>LOT 14 PT OR 690/827 1994 BELL SW/MH ESMT OR 691/1011</t>
  </si>
  <si>
    <t>2017-278</t>
  </si>
  <si>
    <t>2016-248</t>
  </si>
  <si>
    <t>2015-247</t>
  </si>
  <si>
    <t>2014-257</t>
  </si>
  <si>
    <t>2013-278</t>
  </si>
  <si>
    <t>2012-1975</t>
  </si>
  <si>
    <t>2011-384</t>
  </si>
  <si>
    <t>33-1N-24-2050-0017-0000</t>
  </si>
  <si>
    <t>12918 US HWY 301</t>
  </si>
  <si>
    <t>MOODY WANELL</t>
  </si>
  <si>
    <t>586 DEENS LANDING RD</t>
  </si>
  <si>
    <t>BAXLEY GA</t>
  </si>
  <si>
    <t>LOT 17 IN OR 2015/215 EX R/W OR 1004/784</t>
  </si>
  <si>
    <t>2017-279</t>
  </si>
  <si>
    <t>SANMARCORA FYHQQN</t>
  </si>
  <si>
    <t>33-1N-24-2050-0020-0000</t>
  </si>
  <si>
    <t>12808 US HWY 301</t>
  </si>
  <si>
    <t>THOMAS ADRAIN R</t>
  </si>
  <si>
    <t>LOT 20 R360131 IN OR 802 PG 764 EX R/W OR 997/1799</t>
  </si>
  <si>
    <t>2016-249</t>
  </si>
  <si>
    <t>2015-248</t>
  </si>
  <si>
    <t>FL-PTH 10 LLC CAPONE NA CLTRL ASSIGNEE OF FL CORAL LIEN INV LLC</t>
  </si>
  <si>
    <t>2014-259</t>
  </si>
  <si>
    <t>2013-279</t>
  </si>
  <si>
    <t>2012-1976</t>
  </si>
  <si>
    <t>2011-386</t>
  </si>
  <si>
    <t>33-1N-24-2051-0005-0000</t>
  </si>
  <si>
    <t>12801 US HWY 301</t>
  </si>
  <si>
    <t>TOM FORD BUILDERS LLC</t>
  </si>
  <si>
    <t>2120 CORPORATE SQUARE BLVD</t>
  </si>
  <si>
    <t>LOT 5 PT OR 1462/1041 EX R/W CASE #03-319-CA</t>
  </si>
  <si>
    <t>2017-280</t>
  </si>
  <si>
    <t>2016-250</t>
  </si>
  <si>
    <t>2015-249</t>
  </si>
  <si>
    <t>2014-260</t>
  </si>
  <si>
    <t>2013-280</t>
  </si>
  <si>
    <t>TRC-SPE LLC</t>
  </si>
  <si>
    <t>2012-1977</t>
  </si>
  <si>
    <t>2011-387</t>
  </si>
  <si>
    <t>33-1N-24-2051-000A-0000</t>
  </si>
  <si>
    <t>12775 US HWY 301</t>
  </si>
  <si>
    <t>TRACT  A  PT OR 1462/1041 EX R/W CASE #03-319-CA</t>
  </si>
  <si>
    <t>2016-251</t>
  </si>
  <si>
    <t>2015-250</t>
  </si>
  <si>
    <t>2014-261</t>
  </si>
  <si>
    <t>2013-281</t>
  </si>
  <si>
    <t>2012-1978</t>
  </si>
  <si>
    <t>2011-388</t>
  </si>
  <si>
    <t>33-1N-24-2052-0006-0000</t>
  </si>
  <si>
    <t>13397 US HWY 301</t>
  </si>
  <si>
    <t>WYATT LUKEVA F EST &amp;</t>
  </si>
  <si>
    <t>GEORGE HAZEL J 13397 US HIGHWAY 301</t>
  </si>
  <si>
    <t>LOT 6 IN OR 1298/580 EX R/W PT OR 963/751</t>
  </si>
  <si>
    <t>2017-281</t>
  </si>
  <si>
    <t>2015-251</t>
  </si>
  <si>
    <t>DOGPOUND84511</t>
  </si>
  <si>
    <t>2014-262</t>
  </si>
  <si>
    <t>2013-282</t>
  </si>
  <si>
    <t>2012-1979</t>
  </si>
  <si>
    <t>2011-389</t>
  </si>
  <si>
    <t>33-1N-24-2052-0025-0000</t>
  </si>
  <si>
    <t>THE PINES</t>
  </si>
  <si>
    <t>LOT 25 PT OR 1462/1041 THE PINES #3 PB 5/331-332</t>
  </si>
  <si>
    <t>2016-252</t>
  </si>
  <si>
    <t>2015-252</t>
  </si>
  <si>
    <t>2014-263</t>
  </si>
  <si>
    <t>2013-283</t>
  </si>
  <si>
    <t>2012-1980</t>
  </si>
  <si>
    <t>2011-390</t>
  </si>
  <si>
    <t>33-1N-24-2052-0026-0000</t>
  </si>
  <si>
    <t>LOT 26 IN OR 1639/645 EX R/W CASE #03-319-CA</t>
  </si>
  <si>
    <t>2016-253</t>
  </si>
  <si>
    <t>2015-253</t>
  </si>
  <si>
    <t>2014-264</t>
  </si>
  <si>
    <t>2013-284</t>
  </si>
  <si>
    <t>2012-1981</t>
  </si>
  <si>
    <t>2011-391</t>
  </si>
  <si>
    <t>33-1N-24-2052-0027-0000</t>
  </si>
  <si>
    <t>LOT 27 PT OR 1462/1041 EX R/W CASE #03-319-CA</t>
  </si>
  <si>
    <t>2016-254</t>
  </si>
  <si>
    <t>2015-254</t>
  </si>
  <si>
    <t>2014-265</t>
  </si>
  <si>
    <t>2013-285</t>
  </si>
  <si>
    <t>2012-1982</t>
  </si>
  <si>
    <t>2011-392</t>
  </si>
  <si>
    <t>33-1N-24-2052-0028-0000</t>
  </si>
  <si>
    <t>12909 US HWY 301</t>
  </si>
  <si>
    <t>MANNING WILLIAM A</t>
  </si>
  <si>
    <t>MANNING ALLISON J</t>
  </si>
  <si>
    <t>12909 HWY 301 N</t>
  </si>
  <si>
    <t>LOTS 28 &amp; 29 IN OR 837/1739 R788169 &amp; R788170</t>
  </si>
  <si>
    <t>2014-266</t>
  </si>
  <si>
    <t>2013-286</t>
  </si>
  <si>
    <t>2012-1983</t>
  </si>
  <si>
    <t>2011-393</t>
  </si>
  <si>
    <t>37-1N-24-2220-0002-0070</t>
  </si>
  <si>
    <t>445073 US HWY 301</t>
  </si>
  <si>
    <t>GARNER DAVID M</t>
  </si>
  <si>
    <t>37-01N-24E</t>
  </si>
  <si>
    <t>PT OF LOT 2 (S-7 &amp; S-8) IN OR 1902/1887 2001 MERT DW/MH</t>
  </si>
  <si>
    <t>12089C_290</t>
  </si>
  <si>
    <t>2017-283</t>
  </si>
  <si>
    <t>OCEAN ADVISORS9302</t>
  </si>
  <si>
    <t>2016-257</t>
  </si>
  <si>
    <t>OOOO2150</t>
  </si>
  <si>
    <t>2015-257</t>
  </si>
  <si>
    <t>GRASS BAYOU CERTS 5CMS LLC</t>
  </si>
  <si>
    <t>02-1S-24-0000-0001-0120</t>
  </si>
  <si>
    <t>THORNHILL</t>
  </si>
  <si>
    <t>12076 THORNHILL PL</t>
  </si>
  <si>
    <t>KREDELL SAMUEL</t>
  </si>
  <si>
    <t>1122 WOODRUFF AVE APT 1</t>
  </si>
  <si>
    <t>2-01S-24E</t>
  </si>
  <si>
    <t>IN OR 1472/701 1979 SATI DW/MH</t>
  </si>
  <si>
    <t>2017-286</t>
  </si>
  <si>
    <t>CEDAR SIDE 529 RENTING REO LLC</t>
  </si>
  <si>
    <t>2014-271</t>
  </si>
  <si>
    <t>2012-635</t>
  </si>
  <si>
    <t>2011-401</t>
  </si>
  <si>
    <t>02-1S-24-0000-0002-0050</t>
  </si>
  <si>
    <t>GOLDEN EAGLE</t>
  </si>
  <si>
    <t>11385 GOLDEN EAGLE PL</t>
  </si>
  <si>
    <t>GANDY JAMES N JR ETAL</t>
  </si>
  <si>
    <t>HARTJE NAOMI R (JTROS) 11385 GOLDEN EAGLE PLACE</t>
  </si>
  <si>
    <t>NEGATIVE AMORTIZATION</t>
  </si>
  <si>
    <t>PT SW1/4 OF SW1/4 OF SEC 2-1S-24E &amp; PT SE1/4 OF SE1/4 OF SEC 3-1S-24E IN</t>
  </si>
  <si>
    <t>02-1S-24-1990-0017-0000</t>
  </si>
  <si>
    <t>SUNOWA SPRINGS TR</t>
  </si>
  <si>
    <t>11773 SUNOWA SPRINGS TR</t>
  </si>
  <si>
    <t>CARTER ARTHUR M &amp; DONNA LYNN</t>
  </si>
  <si>
    <t>11773 SUNOWA SPRINGS TRAIL</t>
  </si>
  <si>
    <t>SUNOWA SPRINGS</t>
  </si>
  <si>
    <t>LOT 17 IN OR 473 PG 399 SUNOWA SPRINGS #1 PB 4/75 &amp; 76</t>
  </si>
  <si>
    <t>2017-287</t>
  </si>
  <si>
    <t>GRASSRIVER INV BLUE XCBC LLC</t>
  </si>
  <si>
    <t>2016-261</t>
  </si>
  <si>
    <t>ORANGE DOLPHINS XEPF LLC</t>
  </si>
  <si>
    <t>2015-261</t>
  </si>
  <si>
    <t>LUNAR PRIME263316</t>
  </si>
  <si>
    <t>2014-272</t>
  </si>
  <si>
    <t>2013-291</t>
  </si>
  <si>
    <t>2012-637</t>
  </si>
  <si>
    <t>2011-403</t>
  </si>
  <si>
    <t>03-1S-24-0000-0002-0100</t>
  </si>
  <si>
    <t>WATERLOO</t>
  </si>
  <si>
    <t>11331 WATERLOO LN</t>
  </si>
  <si>
    <t>CANTRELL WILLIAM</t>
  </si>
  <si>
    <t>CANTRELL TERESA</t>
  </si>
  <si>
    <t>3-01S-24E</t>
  </si>
  <si>
    <t>PT OF SE1/4 OF SE1/4 OF SEC 3-1S-24E IN OR 1991/1973</t>
  </si>
  <si>
    <t>04-1S-24-0000-0007-0010</t>
  </si>
  <si>
    <t>FORD</t>
  </si>
  <si>
    <t>8278 FORD RD</t>
  </si>
  <si>
    <t>PARKER MARIAN S EST</t>
  </si>
  <si>
    <t>4-01S-24E</t>
  </si>
  <si>
    <t>IN OR 259 PG 26 EX 7-4 &amp; 7-5 &amp; 7-6 &amp; 7-7 &amp; 7-8</t>
  </si>
  <si>
    <t>2017-289</t>
  </si>
  <si>
    <t>PELICAN PASS TAX AFNU LLC</t>
  </si>
  <si>
    <t>2016-262</t>
  </si>
  <si>
    <t>ROUTE 7 LLC HL1537F</t>
  </si>
  <si>
    <t>2015-264</t>
  </si>
  <si>
    <t>FREMONT CAPITAL MANAGEMENT127952</t>
  </si>
  <si>
    <t>2014-273</t>
  </si>
  <si>
    <t>2013-294</t>
  </si>
  <si>
    <t>2012-743</t>
  </si>
  <si>
    <t>2011-405</t>
  </si>
  <si>
    <t>04-1S-24-0000-0007-0060</t>
  </si>
  <si>
    <t>VERDIE CEMETERY</t>
  </si>
  <si>
    <t>11313 VERDIE CEMETERY RD</t>
  </si>
  <si>
    <t>FRITTON ARTHUR J</t>
  </si>
  <si>
    <t>PO BOX 586</t>
  </si>
  <si>
    <t>IN OR 304 PG 127</t>
  </si>
  <si>
    <t>2017-290</t>
  </si>
  <si>
    <t>E22944</t>
  </si>
  <si>
    <t>2016-263</t>
  </si>
  <si>
    <t>E31467</t>
  </si>
  <si>
    <t>2015-265</t>
  </si>
  <si>
    <t>B121872</t>
  </si>
  <si>
    <t>2014-274</t>
  </si>
  <si>
    <t>2013-295</t>
  </si>
  <si>
    <t>2012-744</t>
  </si>
  <si>
    <t>2011-406</t>
  </si>
  <si>
    <t>SUNSHINE STATE CERT III, LLLP BANKUNITED, TRUSTEE</t>
  </si>
  <si>
    <t>05-1S-24-0000-0004-0180</t>
  </si>
  <si>
    <t>12039 US HWY 301</t>
  </si>
  <si>
    <t>TRNKA KRISTINA BROWN</t>
  </si>
  <si>
    <t>12033 HWY 301</t>
  </si>
  <si>
    <t>5-01S-24E</t>
  </si>
  <si>
    <t>PT OF ELY 1/2 IN OR 1868/597 EX R/W IN OR 958/627</t>
  </si>
  <si>
    <t>2016-266</t>
  </si>
  <si>
    <t>2015-269</t>
  </si>
  <si>
    <t>2011-412</t>
  </si>
  <si>
    <t>05-1S-24-0000-0004-0190</t>
  </si>
  <si>
    <t>11935 US HWY 301</t>
  </si>
  <si>
    <t>GRIFFIN VICKY</t>
  </si>
  <si>
    <t>KELLY ROBERT</t>
  </si>
  <si>
    <t>11935 US HIGHWAY 301</t>
  </si>
  <si>
    <t>PT OF ELY 1/2 IN OR 1527/1742 EX R/W OR 948/527</t>
  </si>
  <si>
    <t>05-1S-24-0000-0014-0010</t>
  </si>
  <si>
    <t>7790 FORD RD</t>
  </si>
  <si>
    <t>FORD THOMAS R</t>
  </si>
  <si>
    <t>7790 FORD ROAD</t>
  </si>
  <si>
    <t>PT OF SE1/4 OF SE1/4 IN OR 350 PG 612 (EX R/W IN OR 1635/81)</t>
  </si>
  <si>
    <t>2017-292</t>
  </si>
  <si>
    <t>BENNU LLC JHA4A77Y</t>
  </si>
  <si>
    <t>2016-267</t>
  </si>
  <si>
    <t>LIENS FOR UNPAID TAXES 196865 US BANK CUST FOR PFS FINANCIAL 2 LLC</t>
  </si>
  <si>
    <t>2015-270</t>
  </si>
  <si>
    <t>DUDE699</t>
  </si>
  <si>
    <t>2013-299</t>
  </si>
  <si>
    <t>2012-777</t>
  </si>
  <si>
    <t>US BANK CUST BISBEE LLC M10A71</t>
  </si>
  <si>
    <t>2011-414</t>
  </si>
  <si>
    <t>08-1S-24-1610-0008-0000</t>
  </si>
  <si>
    <t>HWY 301</t>
  </si>
  <si>
    <t>11143 HWY 301</t>
  </si>
  <si>
    <t>GREEN RONALD L SR &amp; LYNN W</t>
  </si>
  <si>
    <t>11143 US HWY 301</t>
  </si>
  <si>
    <t>8-01S-24E</t>
  </si>
  <si>
    <t>LOT 8 IN OR 818/995 EX R/W OR 993/1140</t>
  </si>
  <si>
    <t>2017-294</t>
  </si>
  <si>
    <t>2016-269</t>
  </si>
  <si>
    <t>2014-278</t>
  </si>
  <si>
    <t>2013-300</t>
  </si>
  <si>
    <t>2012-899</t>
  </si>
  <si>
    <t>2011-416</t>
  </si>
  <si>
    <t>19-1S-24-0000-0004-0170</t>
  </si>
  <si>
    <t>6625 CR 119</t>
  </si>
  <si>
    <t>WHITTEMORE MANCIL</t>
  </si>
  <si>
    <t>6593 COUNTY ROAD 119</t>
  </si>
  <si>
    <t>19-01S-24E</t>
  </si>
  <si>
    <t>OR 1917/1730 EX 4-23 EX ESMT OR 568/569 EX ESMT IN OR 795/745</t>
  </si>
  <si>
    <t>2017-299</t>
  </si>
  <si>
    <t>SETPER LLC O11459 SERIES</t>
  </si>
  <si>
    <t>2016-271</t>
  </si>
  <si>
    <t>GRASS MARSH INV ADDS LLC</t>
  </si>
  <si>
    <t>2015-272</t>
  </si>
  <si>
    <t>FLOR - GROUP OMICRON 119517 US BANK CUST FOR PFS FINANCIAL 2 LLC</t>
  </si>
  <si>
    <t>2014-280</t>
  </si>
  <si>
    <t>2013-303</t>
  </si>
  <si>
    <t>PARTNERRE CAPITAL INVESTMENTS CORP. U.S. BANK CUSTODIAN FOR PARTNERRE CAPITAL INVESTMENTS CORP</t>
  </si>
  <si>
    <t>2012-1348</t>
  </si>
  <si>
    <t>2011-421</t>
  </si>
  <si>
    <t>29-1S-24-0000-0003-0130</t>
  </si>
  <si>
    <t>ANDREA</t>
  </si>
  <si>
    <t>8070 ANDREA PL</t>
  </si>
  <si>
    <t>WILLIAMS JOHN K</t>
  </si>
  <si>
    <t>WILLIAMS TERRI E</t>
  </si>
  <si>
    <t>8020 ANDREA PL</t>
  </si>
  <si>
    <t>29-01S-24E</t>
  </si>
  <si>
    <t>W135 FT OF E1485 FT OF N485.17 FT OF N1/2 OF NW1/4 OF SEC 29 &amp; W135 FT OF E1485 FT OF SW1/4</t>
  </si>
  <si>
    <t>2017-300</t>
  </si>
  <si>
    <t>HOSSET LLC O30708 SERIES</t>
  </si>
  <si>
    <t>2016-272</t>
  </si>
  <si>
    <t>RAPTY TRUST SERIES 22829</t>
  </si>
  <si>
    <t>2015-275</t>
  </si>
  <si>
    <t>KINGFISHER KEY TAX AIPX LLC</t>
  </si>
  <si>
    <t>2014-286</t>
  </si>
  <si>
    <t>2013-310</t>
  </si>
  <si>
    <t>2012-1769</t>
  </si>
  <si>
    <t>30-1S-24-0000-0018-0050</t>
  </si>
  <si>
    <t>RAILROAD</t>
  </si>
  <si>
    <t>7998 RAILROAD RD</t>
  </si>
  <si>
    <t>CARR RONALD LEWIS JR</t>
  </si>
  <si>
    <t>2112 LA VALLE DR</t>
  </si>
  <si>
    <t>30-01S-24E</t>
  </si>
  <si>
    <t>PT OF N1/4 OF SEC 30-1S-24E IN OR 2008/1850 ESMT OR 1934/1543</t>
  </si>
  <si>
    <t>30-1S-24-2120-0020-0000</t>
  </si>
  <si>
    <t>7699 US HWY 301</t>
  </si>
  <si>
    <t>ABERNATHY MIA L</t>
  </si>
  <si>
    <t>ABERNATHY PAUL E</t>
  </si>
  <si>
    <t>7699 HWY 301</t>
  </si>
  <si>
    <t>PINE VIEW</t>
  </si>
  <si>
    <t>LOTS 20 21 36 &amp; 37 IN OR 1967/75 PINE VIEW SUB PB 3/64</t>
  </si>
  <si>
    <t>12089C_804</t>
  </si>
  <si>
    <t>2017-301</t>
  </si>
  <si>
    <t>TCRCG LLC AND SATCHEL LLC PARTNERSHIP 340</t>
  </si>
  <si>
    <t>2016-273</t>
  </si>
  <si>
    <t>A111862</t>
  </si>
  <si>
    <t>2014-287</t>
  </si>
  <si>
    <t>30-1S-24-2120-0022-0000</t>
  </si>
  <si>
    <t>US HY</t>
  </si>
  <si>
    <t>7677 US HY 301</t>
  </si>
  <si>
    <t>Office buildings non-professional one story</t>
  </si>
  <si>
    <t>Office Bldg (General)</t>
  </si>
  <si>
    <t>LOTS 22 23 34 35 IN OR 1967/75 ESMT IN OR 303/340</t>
  </si>
  <si>
    <t>2017-302</t>
  </si>
  <si>
    <t>2016-274</t>
  </si>
  <si>
    <t>2014-288</t>
  </si>
  <si>
    <t>02-2N-24-0000-0001-0070</t>
  </si>
  <si>
    <t>FAIRVIEW</t>
  </si>
  <si>
    <t>36227 FAIRVIEW LN</t>
  </si>
  <si>
    <t>RAY RICHARD C &amp; DARA L</t>
  </si>
  <si>
    <t>85294 TRINITY CIR</t>
  </si>
  <si>
    <t>2-02N-24E</t>
  </si>
  <si>
    <t>PT OF E1/2 OF NW1/4 IN OR 2046/436 1995 HORTON SW/MH</t>
  </si>
  <si>
    <t>2015-277</t>
  </si>
  <si>
    <t>2014-290</t>
  </si>
  <si>
    <t>2013-314</t>
  </si>
  <si>
    <t>02-2N-24-0000-0003-0040</t>
  </si>
  <si>
    <t>DYAL</t>
  </si>
  <si>
    <t>36070 DYAL RD</t>
  </si>
  <si>
    <t>SAWYER MICHAEL J</t>
  </si>
  <si>
    <t>PT OF SW1/4 R672153 IN OR 1765/1338 EX R/W IN OR 723/698</t>
  </si>
  <si>
    <t>2017-303</t>
  </si>
  <si>
    <t>2016-275</t>
  </si>
  <si>
    <t>2014-291</t>
  </si>
  <si>
    <t>2013-315</t>
  </si>
  <si>
    <t>02-2N-24-0000-0003-0090</t>
  </si>
  <si>
    <t>OLD DIXIE</t>
  </si>
  <si>
    <t>HWY</t>
  </si>
  <si>
    <t>452314 OLD DIXIE HWY</t>
  </si>
  <si>
    <t>GRIFFIN CAROLYN A</t>
  </si>
  <si>
    <t>GRIFFIN LINDA S</t>
  </si>
  <si>
    <t>452322 OLD DIXIE HWY</t>
  </si>
  <si>
    <t>IN OR 1655/826</t>
  </si>
  <si>
    <t>2014-293</t>
  </si>
  <si>
    <t>02-2N-24-0000-0003-0100</t>
  </si>
  <si>
    <t>36160 FAIRVIEW LN</t>
  </si>
  <si>
    <t>BRANDT STEPHEN &amp;</t>
  </si>
  <si>
    <t>GARRETT PATRICIA (JT/RS) 36160 FAIRVIEW LN</t>
  </si>
  <si>
    <t>2-02S-24E</t>
  </si>
  <si>
    <t>PT SEC 2-2N-24E IN OR 1994/1837 (EX OR 1987/1322)</t>
  </si>
  <si>
    <t>2014-294</t>
  </si>
  <si>
    <t>2013-317</t>
  </si>
  <si>
    <t>11-2N-24-0000-0004-0000</t>
  </si>
  <si>
    <t>GLORY</t>
  </si>
  <si>
    <t>35502 GLORY RD</t>
  </si>
  <si>
    <t>JOHNSON MARVIN EDWIN</t>
  </si>
  <si>
    <t>JOHNSON TONIA RENEE</t>
  </si>
  <si>
    <t>11-02N-24E</t>
  </si>
  <si>
    <t>PT OF E1/2 OF SE1/4 OF SE1/4 IN OR 593/450 R788005 &amp; 788006</t>
  </si>
  <si>
    <t>2017-310</t>
  </si>
  <si>
    <t>BENNU LLC LY18QBD3R</t>
  </si>
  <si>
    <t>2016-282</t>
  </si>
  <si>
    <t>HARIO 78Z LLC</t>
  </si>
  <si>
    <t>2015-284</t>
  </si>
  <si>
    <t>AUSTEN PARTNERS148844</t>
  </si>
  <si>
    <t>2014-300</t>
  </si>
  <si>
    <t>2013-324</t>
  </si>
  <si>
    <t>2012-1146</t>
  </si>
  <si>
    <t>2011-436</t>
  </si>
  <si>
    <t>11-2N-24-1641-0002-0000</t>
  </si>
  <si>
    <t>PERRET PLANTATION</t>
  </si>
  <si>
    <t>35121 PERRET PLANTATION RD</t>
  </si>
  <si>
    <t>GODWIN NADINE TAYLOR</t>
  </si>
  <si>
    <t>35121 PERRET PLANTATION ROAD</t>
  </si>
  <si>
    <t>LOT 2 2001 SKYLINE DW/MH IN OR 984/1778 PERRET PLANTATION #2 PB 6/201</t>
  </si>
  <si>
    <t>2017-311</t>
  </si>
  <si>
    <t>SETPER LLC O74891 SERIES</t>
  </si>
  <si>
    <t>11-2N-24-1641-0010-0000</t>
  </si>
  <si>
    <t>DUCKPOND</t>
  </si>
  <si>
    <t>35041 DUCKPOND CT</t>
  </si>
  <si>
    <t>BELL DIANE &amp; SLOVAK JEAN</t>
  </si>
  <si>
    <t>LOT 10 IN OR 1388/1621 PERRET PLANTATION #2 PB 6/201</t>
  </si>
  <si>
    <t>2017-313</t>
  </si>
  <si>
    <t>BENNU LLC JHA2113CY</t>
  </si>
  <si>
    <t>2015-286</t>
  </si>
  <si>
    <t>DUNE VENTURES206337</t>
  </si>
  <si>
    <t>2013-326</t>
  </si>
  <si>
    <t>12-2N-24-0000-0003-0080</t>
  </si>
  <si>
    <t>BRADDOCK</t>
  </si>
  <si>
    <t>35488 BRADDOCK RD</t>
  </si>
  <si>
    <t>FOURAKER JOYCE B</t>
  </si>
  <si>
    <t>12-02N-24E</t>
  </si>
  <si>
    <t>PT SE1/4 &amp; SW 1/4 OF NW 1/4 IN OR 338/145 ESMT OR 1733/660</t>
  </si>
  <si>
    <t>2017-315</t>
  </si>
  <si>
    <t>ECRU LLC H44E1055</t>
  </si>
  <si>
    <t>2016-286</t>
  </si>
  <si>
    <t>BISBEE LLC AK1CC8D2</t>
  </si>
  <si>
    <t>2015-288</t>
  </si>
  <si>
    <t>CCTS CAPITAL - FLORIDA 32458 US BANK CUST FOR PFS FINANCIAL 2 LLC</t>
  </si>
  <si>
    <t>2013-328</t>
  </si>
  <si>
    <t>SOUTHERN PROPERTY LOGISTICS LLC</t>
  </si>
  <si>
    <t>12-2N-24-0000-0003-0120</t>
  </si>
  <si>
    <t>35086 BRADDOCK RD</t>
  </si>
  <si>
    <t>BIANCO RICHARD &amp; EILEEN</t>
  </si>
  <si>
    <t>35086 BRADDOCK ROAD</t>
  </si>
  <si>
    <t>PT OF SEC 11-2N-24E &amp; PT OF SEC 12-2N-24E IN OR 1931/794</t>
  </si>
  <si>
    <t>2017-316</t>
  </si>
  <si>
    <t>BISBEE LLC XF9FED</t>
  </si>
  <si>
    <t>2016-287</t>
  </si>
  <si>
    <t>SETPER LLC O93915 SERIES</t>
  </si>
  <si>
    <t>12-2N-24-0000-0003-0140</t>
  </si>
  <si>
    <t>35518 BRADDOCK RD</t>
  </si>
  <si>
    <t>FOURAKER BRANDON</t>
  </si>
  <si>
    <t>FOURAKER SALLY</t>
  </si>
  <si>
    <t>NW1/4 OF NW1/4 &amp; NE1/4 OF NW1/4 IN OR 1859/1272</t>
  </si>
  <si>
    <t>2017-317</t>
  </si>
  <si>
    <t>2016-288</t>
  </si>
  <si>
    <t>2015-289</t>
  </si>
  <si>
    <t>12-2N-24-0000-0003-0150</t>
  </si>
  <si>
    <t>BRADDOCK RD</t>
  </si>
  <si>
    <t>GRAHAM SHARI T</t>
  </si>
  <si>
    <t>P O BOX 1694</t>
  </si>
  <si>
    <t>Acreage not zoned agricultural</t>
  </si>
  <si>
    <t>Vacant Land (General)</t>
  </si>
  <si>
    <t>PT W1/2 &amp; PT OF SE1/4 OF SEC 12-2N-24E IN OR 1931/799 (EX OR 1936/950)</t>
  </si>
  <si>
    <t>2017-318</t>
  </si>
  <si>
    <t>SHOAL LAKE 6 FINANCIAL SERVICES LLC</t>
  </si>
  <si>
    <t>2016-289</t>
  </si>
  <si>
    <t>SARAVA LLC SERIES A012882</t>
  </si>
  <si>
    <t>12-2N-24-0000-0003-0220</t>
  </si>
  <si>
    <t>MAXWELL KYLE &amp; GENEVA N</t>
  </si>
  <si>
    <t>615720 RIVER ROAD</t>
  </si>
  <si>
    <t>PT OF SEC 12-2N-24E</t>
  </si>
  <si>
    <t>12-2N-24-0000-0003-0230</t>
  </si>
  <si>
    <t>OLD DIXIE HWY</t>
  </si>
  <si>
    <t>G&amp;H LAND &amp; TIMBER INVESTMENTS LLC</t>
  </si>
  <si>
    <t>PT OF NE1/4 OF SW1/4 OF</t>
  </si>
  <si>
    <t>12-2N-24-0000-0004-0070</t>
  </si>
  <si>
    <t>BRADDOCK DOROTHY T</t>
  </si>
  <si>
    <t>35427 BRADDOCK RD</t>
  </si>
  <si>
    <t>PT SE1/4 OF NW1/4 L/E OR 1713/1889 &amp; OR 1754/804 &amp; OR 1941/445</t>
  </si>
  <si>
    <t>2015-290</t>
  </si>
  <si>
    <t>12-2N-24-1640-0009-0000</t>
  </si>
  <si>
    <t>451431 OLD DIXIE HWY</t>
  </si>
  <si>
    <t>REGISTER CHARLES D</t>
  </si>
  <si>
    <t>LOT 9 IN OR 942/190 2000 FLEETWOOD DW/MH PERRET PLANTATION PHASE #1</t>
  </si>
  <si>
    <t>2017-319</t>
  </si>
  <si>
    <t>TURNER CAMP 610 HOLDINGS LLC</t>
  </si>
  <si>
    <t>2016-290</t>
  </si>
  <si>
    <t>2015-292</t>
  </si>
  <si>
    <t>KINGFISHER KEY TAX AAVA LLC</t>
  </si>
  <si>
    <t>2014-303</t>
  </si>
  <si>
    <t>2013-331</t>
  </si>
  <si>
    <t>2012-1160</t>
  </si>
  <si>
    <t>2011-541</t>
  </si>
  <si>
    <t>12-2N-24-1640-0014-0000</t>
  </si>
  <si>
    <t>35579 GLORY RD</t>
  </si>
  <si>
    <t>LAURAMORE RODNEY W</t>
  </si>
  <si>
    <t>LAURAMORE RHONDA BARFIELD</t>
  </si>
  <si>
    <t>13-02N-24E</t>
  </si>
  <si>
    <t>LOT 14 OR 881/1404 R787647 &amp; R787648</t>
  </si>
  <si>
    <t>2016-291</t>
  </si>
  <si>
    <t>BRITHBE 339A LLC</t>
  </si>
  <si>
    <t>2014-305</t>
  </si>
  <si>
    <t>2012-1162</t>
  </si>
  <si>
    <t>13-2N-24-0000-0002-0200</t>
  </si>
  <si>
    <t>450827 OLD DIXIE HWY</t>
  </si>
  <si>
    <t>HALL NANCY J &amp; DARRELL L</t>
  </si>
  <si>
    <t>35286 CHESTNUT LN</t>
  </si>
  <si>
    <t>IN OR 1608/1702 R235861 &amp; R235862</t>
  </si>
  <si>
    <t>13-2N-24-0212-0024-0000</t>
  </si>
  <si>
    <t>GAIL</t>
  </si>
  <si>
    <t>45272 GAIL DR</t>
  </si>
  <si>
    <t>WHALEY KENNETH M &amp; WHALEY TERRY ANNE</t>
  </si>
  <si>
    <t>P O BOX 2154</t>
  </si>
  <si>
    <t>LOT 24 IN OR 1661/1954 1989 CHAD DW/MH</t>
  </si>
  <si>
    <t>2017-322</t>
  </si>
  <si>
    <t>COQUINA ESPLANADE 124 COMPANY LLC</t>
  </si>
  <si>
    <t>2016-292</t>
  </si>
  <si>
    <t>2015-295</t>
  </si>
  <si>
    <t>2014-310</t>
  </si>
  <si>
    <t>2013-338</t>
  </si>
  <si>
    <t>2012-1179</t>
  </si>
  <si>
    <t>14-2N-24-0000-0004-0100</t>
  </si>
  <si>
    <t>QUAIL</t>
  </si>
  <si>
    <t>35027 QUAIL RD</t>
  </si>
  <si>
    <t>HESSONG JOHN</t>
  </si>
  <si>
    <t>HESSONG CONSTANCE S</t>
  </si>
  <si>
    <t>14-02N-24E</t>
  </si>
  <si>
    <t>IN OR 236 PG 666</t>
  </si>
  <si>
    <t>2017-326</t>
  </si>
  <si>
    <t>BISBEE LLC SH2BF613</t>
  </si>
  <si>
    <t>2016-297</t>
  </si>
  <si>
    <t>FFFFF2897</t>
  </si>
  <si>
    <t>2015-299</t>
  </si>
  <si>
    <t>GTK - 247103 - GULF STREAM GROUP US BANK CUST FOR PFS FINANCIAL 2 LLC</t>
  </si>
  <si>
    <t>2014-313</t>
  </si>
  <si>
    <t>2012-1199</t>
  </si>
  <si>
    <t>2011-560</t>
  </si>
  <si>
    <t>14-2N-24-0000-0004-0110</t>
  </si>
  <si>
    <t>35033 QUAIL RD</t>
  </si>
  <si>
    <t>MCRAE DAVID A &amp; PATRICIA A</t>
  </si>
  <si>
    <t>SW1/4 IN OR 763 PG 294 R673176 &amp; R673177</t>
  </si>
  <si>
    <t>2017-327</t>
  </si>
  <si>
    <t>TRIAD HOLDINGS112941</t>
  </si>
  <si>
    <t>2016-298</t>
  </si>
  <si>
    <t>GGG180</t>
  </si>
  <si>
    <t>2015-300</t>
  </si>
  <si>
    <t>MOCA INVESTMENTS66569</t>
  </si>
  <si>
    <t>2014-314</t>
  </si>
  <si>
    <t>2013-343</t>
  </si>
  <si>
    <t>2012-1200</t>
  </si>
  <si>
    <t>2011-561</t>
  </si>
  <si>
    <t>2011-3898</t>
  </si>
  <si>
    <t>2011-3906</t>
  </si>
  <si>
    <t>14-2N-24-0000-0004-0120</t>
  </si>
  <si>
    <t>35023 QUAIL RD</t>
  </si>
  <si>
    <t>COPE MORGAN &amp; KATHY</t>
  </si>
  <si>
    <t>35023 QUAIL ROAD</t>
  </si>
  <si>
    <t>PT OF SW1/4 IN OR 1188/335</t>
  </si>
  <si>
    <t>2017-328</t>
  </si>
  <si>
    <t>HOSSET LLC O146151 SERIES</t>
  </si>
  <si>
    <t>2016-299</t>
  </si>
  <si>
    <t>BISBEE LLC PI2D23C3</t>
  </si>
  <si>
    <t>2015-301</t>
  </si>
  <si>
    <t>LAKE TAX GROUP 1 US BANK % LAKE TAX GROUP 1</t>
  </si>
  <si>
    <t>GOLD COAST TAX LIEN LLC - SER 1102 A13</t>
  </si>
  <si>
    <t>2014-315</t>
  </si>
  <si>
    <t>2013-344</t>
  </si>
  <si>
    <t>2012-1201</t>
  </si>
  <si>
    <t>2011-562</t>
  </si>
  <si>
    <t>23-2N-24-0000-0001-0220</t>
  </si>
  <si>
    <t>QUAIL RD</t>
  </si>
  <si>
    <t>FRESHWATER CHARLES DAVID</t>
  </si>
  <si>
    <t>FRESHWATER JENNIFER</t>
  </si>
  <si>
    <t>PO BOX 51047</t>
  </si>
  <si>
    <t>JACKSONVILLE BEACH FL</t>
  </si>
  <si>
    <t>23-02N-24E</t>
  </si>
  <si>
    <t>PT OF NE1/4 IN OR 1572/476</t>
  </si>
  <si>
    <t>2011-565</t>
  </si>
  <si>
    <t>24-2N-24-0000-0011-0000</t>
  </si>
  <si>
    <t>6029 QUAIL RD</t>
  </si>
  <si>
    <t>JOHNSON JOHN K</t>
  </si>
  <si>
    <t>JOHNSON TAMMY R</t>
  </si>
  <si>
    <t>35739 QUAIL RD</t>
  </si>
  <si>
    <t>24-02N-24E</t>
  </si>
  <si>
    <t>IN OR 1945/1098 (EX 11-1 &amp; 11-2) (EX R/W OR 247/161)</t>
  </si>
  <si>
    <t>2017-330</t>
  </si>
  <si>
    <t>2016-301</t>
  </si>
  <si>
    <t>2015-305</t>
  </si>
  <si>
    <t>2013-350</t>
  </si>
  <si>
    <t>2012-1595</t>
  </si>
  <si>
    <t>2011-571</t>
  </si>
  <si>
    <t>24-2N-24-0000-0012-0010</t>
  </si>
  <si>
    <t>35752 QUAIL RD</t>
  </si>
  <si>
    <t>CLINE MARK ALLEN</t>
  </si>
  <si>
    <t>35752 QUAIL ROAD</t>
  </si>
  <si>
    <t>PT OF E1/2 OF SE1/4 OF NE1/4 IN OR 1887/1468</t>
  </si>
  <si>
    <t>2015-307</t>
  </si>
  <si>
    <t>D22967</t>
  </si>
  <si>
    <t>2013-352</t>
  </si>
  <si>
    <t>2012-1597</t>
  </si>
  <si>
    <t>2011-573</t>
  </si>
  <si>
    <t>FLORIDA COMMUNITY BANK NA CLTRLASSGNEE-MAGNOLIA TC 3 LLC</t>
  </si>
  <si>
    <t>JAMES ACQUISITIONS LLC CAPITAL ONE NA CLTRL ASSIGNEE</t>
  </si>
  <si>
    <t>24-2N-24-0000-0014-0050</t>
  </si>
  <si>
    <t>OFF QUAIL</t>
  </si>
  <si>
    <t>OFF QUAIL RD</t>
  </si>
  <si>
    <t>SIMMONS IDELIA</t>
  </si>
  <si>
    <t>450225 OLD DIXIE HWY</t>
  </si>
  <si>
    <t>PT OF SE1/4 IN OR 1179/330 (EX 14-19)</t>
  </si>
  <si>
    <t>2017-335</t>
  </si>
  <si>
    <t>2016-303</t>
  </si>
  <si>
    <t>BISBEE LLC AK298323</t>
  </si>
  <si>
    <t>2015-311</t>
  </si>
  <si>
    <t>CCTS LIKES TAX LIENS 125084 US BANK CUST FOR PFS FINANCIAL 2 LLC</t>
  </si>
  <si>
    <t>2014-324</t>
  </si>
  <si>
    <t>24-2N-24-0000-0014-0060</t>
  </si>
  <si>
    <t>BROWNS FARM</t>
  </si>
  <si>
    <t>45275 BROWNS FARM RD</t>
  </si>
  <si>
    <t>RAYSOR CHARLES H &amp; PAULINE F</t>
  </si>
  <si>
    <t>P O BOX 207</t>
  </si>
  <si>
    <t>PT NW1/4 OF SEC 24-2N-24E IN OR 868/310 {FLHMLCF157423149A &amp;</t>
  </si>
  <si>
    <t>2017-336</t>
  </si>
  <si>
    <t>SANMARCORA FEDLUM</t>
  </si>
  <si>
    <t>2015-312</t>
  </si>
  <si>
    <t>NCR - 260355 - INDIAN CREEK LLC US BANK CUST FOR PFS FINANCIAL 2 LLC</t>
  </si>
  <si>
    <t>2013-356</t>
  </si>
  <si>
    <t>2012-1601</t>
  </si>
  <si>
    <t>24-2N-24-0000-0014-0110</t>
  </si>
  <si>
    <t>NELSON FREDEVA M (1/2 INT) &amp; NELSON CAROL L (1/4 INT) &amp; ELLIS RAY (1/4 INT)</t>
  </si>
  <si>
    <t>15 MAGNOLIA DR</t>
  </si>
  <si>
    <t>OXFORD GA</t>
  </si>
  <si>
    <t>PT OF SW1/4 PT OR 1390/172 CASE#50-2006-CP-000548 XXXX MB</t>
  </si>
  <si>
    <t>24-2N-24-0000-0014-0150</t>
  </si>
  <si>
    <t>SIMMONS DERREL L</t>
  </si>
  <si>
    <t>IN OR 672/144</t>
  </si>
  <si>
    <t>2017-338</t>
  </si>
  <si>
    <t>2016-307</t>
  </si>
  <si>
    <t>ROUTE 7 LLC PIFCC7</t>
  </si>
  <si>
    <t>2014-326</t>
  </si>
  <si>
    <t>2013-358</t>
  </si>
  <si>
    <t>2012-1602</t>
  </si>
  <si>
    <t>2011-579</t>
  </si>
  <si>
    <t>24-2N-24-0000-0016-0060</t>
  </si>
  <si>
    <t>BALDERSON JERRY M</t>
  </si>
  <si>
    <t>PO BOX 15142</t>
  </si>
  <si>
    <t>FERNANDINA BEACH FL</t>
  </si>
  <si>
    <t>IN OR 1358/1820 EX 16-8 &amp; 16-9</t>
  </si>
  <si>
    <t>2017-340</t>
  </si>
  <si>
    <t>2016-309</t>
  </si>
  <si>
    <t>2014-331</t>
  </si>
  <si>
    <t>24-2N-24-0000-0018-0010</t>
  </si>
  <si>
    <t>PT OF S1/2 PT OR 570 PG 413</t>
  </si>
  <si>
    <t>2017-341</t>
  </si>
  <si>
    <t>RYAN WILHOUR SCALED INSTRUMENTS</t>
  </si>
  <si>
    <t>2015-316</t>
  </si>
  <si>
    <t>2014-333</t>
  </si>
  <si>
    <t>25-2N-24-0000-0017-0010</t>
  </si>
  <si>
    <t>HATHAWAY</t>
  </si>
  <si>
    <t>34706 HATHAWAY DR</t>
  </si>
  <si>
    <t>PERRET MARY S</t>
  </si>
  <si>
    <t>615550 RIVER RD</t>
  </si>
  <si>
    <t>25-02N-24E</t>
  </si>
  <si>
    <t>IN OR 1852/822 (EX 17-4) UTILITY ESMT IN OR 867/1830</t>
  </si>
  <si>
    <t>2016-313</t>
  </si>
  <si>
    <t>BENNU LLC JY15Q10EA</t>
  </si>
  <si>
    <t>2015-319</t>
  </si>
  <si>
    <t>2014-335</t>
  </si>
  <si>
    <t>2013-365</t>
  </si>
  <si>
    <t>2012-1635</t>
  </si>
  <si>
    <t>2011-583</t>
  </si>
  <si>
    <t>SSC3, LLC BANKUNITED, TRUSTEE</t>
  </si>
  <si>
    <t>25-2N-24-0000-0017-0040</t>
  </si>
  <si>
    <t>PERRET MICHAEL E JR</t>
  </si>
  <si>
    <t>615550 RIVER ROAD</t>
  </si>
  <si>
    <t>PT OF GOVT LOT 6 IN OR 1321/743 UTILITY ESMT IN OR 869/965</t>
  </si>
  <si>
    <t>2017-342</t>
  </si>
  <si>
    <t>YYYYY1360</t>
  </si>
  <si>
    <t>2016-315</t>
  </si>
  <si>
    <t>ASCOLI897</t>
  </si>
  <si>
    <t>2015-321</t>
  </si>
  <si>
    <t>ECRU LLC RH3C0D65</t>
  </si>
  <si>
    <t>25-2N-24-0000-0017-0070</t>
  </si>
  <si>
    <t>PT JOHN LOWE MILL GRANT</t>
  </si>
  <si>
    <t>25-2N-24-226B-0060-0040</t>
  </si>
  <si>
    <t>GOODBREAD</t>
  </si>
  <si>
    <t>35262 GOODBREAD RD</t>
  </si>
  <si>
    <t>REDDISH LINDA SUE</t>
  </si>
  <si>
    <t>REDDISH JR DALE ROBERT</t>
  </si>
  <si>
    <t>A E EWING SUB #2</t>
  </si>
  <si>
    <t>PT OF LOT 60 IN OR 1956/617 A E EWING SUB #2 PB 5/20</t>
  </si>
  <si>
    <t>26-2N-24-0000-0004-0140</t>
  </si>
  <si>
    <t>MARY</t>
  </si>
  <si>
    <t>35056 MARY RD</t>
  </si>
  <si>
    <t>HURST RONNIE HOWARD JR</t>
  </si>
  <si>
    <t>35056 MARY ROAD</t>
  </si>
  <si>
    <t>26-02N-24E</t>
  </si>
  <si>
    <t>IN OR 1770/38 R583685</t>
  </si>
  <si>
    <t>2017-343</t>
  </si>
  <si>
    <t>PURNAMACHA 336 LLC</t>
  </si>
  <si>
    <t>2016-319</t>
  </si>
  <si>
    <t>ECRU LLC ILCE4H3</t>
  </si>
  <si>
    <t>2012-1672</t>
  </si>
  <si>
    <t>26-2N-24-0000-0004-0170</t>
  </si>
  <si>
    <t>35019 MARY RD</t>
  </si>
  <si>
    <t>HURST RONNIE &amp; HEATHER</t>
  </si>
  <si>
    <t>PT NE 1/4 OF SW 1/4 OF SEC 26-2N-24E RECD IN OR 1988/1270</t>
  </si>
  <si>
    <t>2016-320</t>
  </si>
  <si>
    <t>SPOKANE LLC SERIES A001737</t>
  </si>
  <si>
    <t>2015-324</t>
  </si>
  <si>
    <t>DALBHAT HOLDINGS 516 LLC</t>
  </si>
  <si>
    <t>26-2N-24-0000-0015-0000</t>
  </si>
  <si>
    <t>2017-345</t>
  </si>
  <si>
    <t>2016-322</t>
  </si>
  <si>
    <t>2015-326</t>
  </si>
  <si>
    <t>2014-340</t>
  </si>
  <si>
    <t>BRANDON SINN LLC</t>
  </si>
  <si>
    <t>2013-372</t>
  </si>
  <si>
    <t>2012-1674</t>
  </si>
  <si>
    <t>2011-590</t>
  </si>
  <si>
    <t>PIETER JEREMIAS FAASEN GWENA LEE FAASEN</t>
  </si>
  <si>
    <t>27-2N-24-0000-0002-0060</t>
  </si>
  <si>
    <t>613386 RIVER RD</t>
  </si>
  <si>
    <t>SMITH DAVID P</t>
  </si>
  <si>
    <t>613386 RIVER ROAD</t>
  </si>
  <si>
    <t>27-02N-24E</t>
  </si>
  <si>
    <t>IN OR 1625/1846 UTILITY ESMT IN OR 869/962</t>
  </si>
  <si>
    <t>2017-346</t>
  </si>
  <si>
    <t>FFFFF620</t>
  </si>
  <si>
    <t>2016-323</t>
  </si>
  <si>
    <t>MACHAPURNA ADWV LLC</t>
  </si>
  <si>
    <t>2015-327</t>
  </si>
  <si>
    <t>ECRU LLC HM9APF1</t>
  </si>
  <si>
    <t>2014-341</t>
  </si>
  <si>
    <t>27-2N-24-228D-0059-0030</t>
  </si>
  <si>
    <t>WALTER ERNEST ESTATE</t>
  </si>
  <si>
    <t>C/O ERNEST DAWAL</t>
  </si>
  <si>
    <t>155 S HIDDENBROOKE DR</t>
  </si>
  <si>
    <t>ADVANCE NC</t>
  </si>
  <si>
    <t>BLK 59 LOTS 3 &amp; 4</t>
  </si>
  <si>
    <t>28-2N-24-0000-0007-0040</t>
  </si>
  <si>
    <t>613048 RIVER RD</t>
  </si>
  <si>
    <t>613048 RIVER ROAD</t>
  </si>
  <si>
    <t>28-02N-24E</t>
  </si>
  <si>
    <t>PT OF SE1/4 OF SE1/4 IN OR 1508/1671 EX 7-6 7-12 &amp; 7-13</t>
  </si>
  <si>
    <t>2017-347</t>
  </si>
  <si>
    <t>SANMARCORA FXMUXM</t>
  </si>
  <si>
    <t>2015-329</t>
  </si>
  <si>
    <t>KINGFISHER BLUE GROUP XEGO LLC</t>
  </si>
  <si>
    <t>2014-343</t>
  </si>
  <si>
    <t>2012-1752</t>
  </si>
  <si>
    <t>BRIDGE TAX LLC - 461 US BANK % BRIDGE TAX LLC-461</t>
  </si>
  <si>
    <t>35-2N-24-0000-0002-0080</t>
  </si>
  <si>
    <t>SIX CAR</t>
  </si>
  <si>
    <t>34002 SIX CAR LN</t>
  </si>
  <si>
    <t>DYAL TERRANCE WARREN JR</t>
  </si>
  <si>
    <t>35-02N-24E</t>
  </si>
  <si>
    <t>PT OF SW1/4 OF NW1/4 L/E OR 661 PG 906 R498093</t>
  </si>
  <si>
    <t>2017-348</t>
  </si>
  <si>
    <t>FREMONT CAPITAL MANAGEMENT220574</t>
  </si>
  <si>
    <t>2016-325</t>
  </si>
  <si>
    <t>FL - CCTS CAP 107045 US BANK CUST FOR PFS FINANCIAL 2 LLC</t>
  </si>
  <si>
    <t>2015-330</t>
  </si>
  <si>
    <t>TRIAD HOLDINGS283732</t>
  </si>
  <si>
    <t>2014-344</t>
  </si>
  <si>
    <t>2013-374</t>
  </si>
  <si>
    <t>2012-2032</t>
  </si>
  <si>
    <t>2011-594</t>
  </si>
  <si>
    <t>36-2N-24-0000-0003-0030</t>
  </si>
  <si>
    <t>COQUINA</t>
  </si>
  <si>
    <t>COQUINA WAY</t>
  </si>
  <si>
    <t>BARBER ROY E</t>
  </si>
  <si>
    <t>6213 ALFREDO DRIVE WEST</t>
  </si>
  <si>
    <t>36-02N-24E</t>
  </si>
  <si>
    <t>PT OF S1/2 OF NE1/4 OF NW1/4 IN OR 1131/1384</t>
  </si>
  <si>
    <t>38-2N-24-0000-0002-0040</t>
  </si>
  <si>
    <t>ATKINSON</t>
  </si>
  <si>
    <t>36059 ATKINSON LN</t>
  </si>
  <si>
    <t>MIZELL WALTER S</t>
  </si>
  <si>
    <t>45200 DORMAN PLACE</t>
  </si>
  <si>
    <t>38-02N-24E</t>
  </si>
  <si>
    <t>IN OR 1627/1643 EX R/W IN OR 723/702 1986 GREE DW/MH</t>
  </si>
  <si>
    <t>2017-350</t>
  </si>
  <si>
    <t>RAJAFISHER HOLDINGS 548 LLC</t>
  </si>
  <si>
    <t>38-2N-24-0000-0002-0100</t>
  </si>
  <si>
    <t>COTTONMOUTH</t>
  </si>
  <si>
    <t>36160 COTTONMOUTH LN</t>
  </si>
  <si>
    <t>HIGGINBOTHAM CHRISTINE</t>
  </si>
  <si>
    <t>HIGGINBOTHAM WILLIAM R</t>
  </si>
  <si>
    <t>3518 WOODMERE LN</t>
  </si>
  <si>
    <t>SUGAR LAND TX</t>
  </si>
  <si>
    <t>IN OR 1009/1139 2002 MERT-DW</t>
  </si>
  <si>
    <t>2017-351</t>
  </si>
  <si>
    <t>HOSSET LLC O10318 SERIES</t>
  </si>
  <si>
    <t>2016-328</t>
  </si>
  <si>
    <t>SUTTON INVESTMENT48345</t>
  </si>
  <si>
    <t>2015-332</t>
  </si>
  <si>
    <t>D192439</t>
  </si>
  <si>
    <t>2014-346</t>
  </si>
  <si>
    <t>2013-375</t>
  </si>
  <si>
    <t>2012-2365</t>
  </si>
  <si>
    <t>ZAGNUT</t>
  </si>
  <si>
    <t>2011-597</t>
  </si>
  <si>
    <t>03-3N-24-0000-0001-0030</t>
  </si>
  <si>
    <t>PINERIDGE</t>
  </si>
  <si>
    <t>37572 PINERIDGE RD</t>
  </si>
  <si>
    <t>REED HUBERT E</t>
  </si>
  <si>
    <t>37610 PINERIDGE DRIVE</t>
  </si>
  <si>
    <t>3-03N-24E</t>
  </si>
  <si>
    <t>IN OR 1670/970 EX ESMT OR 928/1851</t>
  </si>
  <si>
    <t>03-3N-24-0000-0001-0050</t>
  </si>
  <si>
    <t>37610 PINERIDGE RD</t>
  </si>
  <si>
    <t>REED HUBERT E JR &amp; DEBBIE SUE</t>
  </si>
  <si>
    <t>37610 PINERIDGE ROAD</t>
  </si>
  <si>
    <t>PT OF NW1/4 OF SE1/4 IN OR 402 PG 46 EX ESMT OR 924/748</t>
  </si>
  <si>
    <t>2015-333</t>
  </si>
  <si>
    <t>LANGOSTA134</t>
  </si>
  <si>
    <t>03-3N-24-0000-0001-0060</t>
  </si>
  <si>
    <t>OLD PINERIDGE</t>
  </si>
  <si>
    <t>37595 OLD PINERIDGE RD</t>
  </si>
  <si>
    <t>KINCADE RALPH RICHARD</t>
  </si>
  <si>
    <t>KINCADE DREMA D</t>
  </si>
  <si>
    <t>26393 SHEARED STOKES RD</t>
  </si>
  <si>
    <t>IN OR 1839/633 EX R/W OR 908/797</t>
  </si>
  <si>
    <t>03-3N-24-2020-0023-0110</t>
  </si>
  <si>
    <t>37402 OLD PINERIDGE RD</t>
  </si>
  <si>
    <t>DAUGHTRY CHARLES E</t>
  </si>
  <si>
    <t>DAUGHTRY MONICA S</t>
  </si>
  <si>
    <t>545605 US HIGHWAY 1</t>
  </si>
  <si>
    <t>PT LOT 23 IN OR 712 PG 386 EX R/W IN OR 1467/1495</t>
  </si>
  <si>
    <t>2017-355</t>
  </si>
  <si>
    <t>ORANGE DOLPHINS ASMP LLC</t>
  </si>
  <si>
    <t>2016-332</t>
  </si>
  <si>
    <t>BLACK CUB, LLC SB MUNI CUST FOR</t>
  </si>
  <si>
    <t>CORINTHA INVESTMENT 1145 LLC SB MUNI CUST FOR</t>
  </si>
  <si>
    <t>2015-338</t>
  </si>
  <si>
    <t>KING FISH CORAL CERTS ACVB LLC</t>
  </si>
  <si>
    <t>2014-349</t>
  </si>
  <si>
    <t>2013-378</t>
  </si>
  <si>
    <t>2012-700</t>
  </si>
  <si>
    <t>03-3N-24-2300-0017-0030</t>
  </si>
  <si>
    <t>COYOTE</t>
  </si>
  <si>
    <t>37179 COYOTE DR</t>
  </si>
  <si>
    <t>WADE TONYA M</t>
  </si>
  <si>
    <t>37810 OLD PINERIDGE RD</t>
  </si>
  <si>
    <t>E1/2 OF W1/2 OF SE1/4 OF SW1/4 A/K/A PT OF LOTS 17 THRU 20 IN OR 2042/1561</t>
  </si>
  <si>
    <t>2015-340</t>
  </si>
  <si>
    <t>2014-350</t>
  </si>
  <si>
    <t>04-3N-24-0000-0004-0090</t>
  </si>
  <si>
    <t>KINGS FERRY</t>
  </si>
  <si>
    <t>KINGS FERRY RD</t>
  </si>
  <si>
    <t>PEARSON PHILLIP CAREY</t>
  </si>
  <si>
    <t>12549 LOCHLOOSA LN</t>
  </si>
  <si>
    <t>4-03N-24E</t>
  </si>
  <si>
    <t>S1/2 OF N1/2 OF SE1/4 WEST OF &amp; ADJACENT TO C-115-A IN OR 1652/179</t>
  </si>
  <si>
    <t>2017-356</t>
  </si>
  <si>
    <t>WELLINGTON TRCE 581 MANAGEMENT SERVICES LLC</t>
  </si>
  <si>
    <t>2016-335</t>
  </si>
  <si>
    <t>WILLIAM SCHAEFFER LUCKY T INVESTMENTS, LLC</t>
  </si>
  <si>
    <t>2015-341</t>
  </si>
  <si>
    <t>05-3N-24-0000-0007-0010</t>
  </si>
  <si>
    <t>SWEARINGEN</t>
  </si>
  <si>
    <t>SWEARINGEN RD</t>
  </si>
  <si>
    <t>MASON WILBUR</t>
  </si>
  <si>
    <t>80 KLYONA AVE</t>
  </si>
  <si>
    <t>PHOENIXVILLE PA</t>
  </si>
  <si>
    <t>5-03N-24E</t>
  </si>
  <si>
    <t>BLOCK 11 LOTS 1-2-3-4 IN OR 287 PG 44 HILLIARD HGTS (7-1)</t>
  </si>
  <si>
    <t>2017-359</t>
  </si>
  <si>
    <t>2016-340</t>
  </si>
  <si>
    <t>2015-347</t>
  </si>
  <si>
    <t>2014-353</t>
  </si>
  <si>
    <t>2013-385</t>
  </si>
  <si>
    <t>2012-795</t>
  </si>
  <si>
    <t>2011-605</t>
  </si>
  <si>
    <t>05-3N-24-0000-0017-0020</t>
  </si>
  <si>
    <t>552355 US HWY 1</t>
  </si>
  <si>
    <t>MUSSELMAN DIANA FREDIA</t>
  </si>
  <si>
    <t>BOUCHARD CHANITY MARIE</t>
  </si>
  <si>
    <t>552355 US HIGHWAY 1</t>
  </si>
  <si>
    <t>IN OR 1909/1677 ESMT PT OR 1861/825</t>
  </si>
  <si>
    <t>2017-360</t>
  </si>
  <si>
    <t>BENNU LLC YS1AN18CJ</t>
  </si>
  <si>
    <t>2016-341</t>
  </si>
  <si>
    <t>BRT - 261445 - INDIAN RIVER SHORES ENTITY US BANK CUST FOR PFS FINANCIAL 1</t>
  </si>
  <si>
    <t>2015-349</t>
  </si>
  <si>
    <t>ALMOND CAPITAL 34</t>
  </si>
  <si>
    <t>2014-354</t>
  </si>
  <si>
    <t>2013-387</t>
  </si>
  <si>
    <t>2012-798</t>
  </si>
  <si>
    <t>2011-608</t>
  </si>
  <si>
    <t>05-3N-24-0000-0029-0030</t>
  </si>
  <si>
    <t>552169 US HWY 1</t>
  </si>
  <si>
    <t>YOUNG DARIN P &amp; YOUNG NEAL D (JT/RS)</t>
  </si>
  <si>
    <t>PT OF SE1/4 OF SE1/4 IN OR 1840/1227</t>
  </si>
  <si>
    <t>2017-362</t>
  </si>
  <si>
    <t>MACHAPUCHARE ADDO LLC</t>
  </si>
  <si>
    <t>2016-343</t>
  </si>
  <si>
    <t>BISBEE LLC HL633Z1</t>
  </si>
  <si>
    <t>2015-351</t>
  </si>
  <si>
    <t>F13908</t>
  </si>
  <si>
    <t>05-3N-24-0000-0031-0000</t>
  </si>
  <si>
    <t>552121 US HWY 1</t>
  </si>
  <si>
    <t>C/O SMITH MACHINE SERVICE</t>
  </si>
  <si>
    <t>P O BOX 339</t>
  </si>
  <si>
    <t>Light manufacturing</t>
  </si>
  <si>
    <t>Manufacturing (light)</t>
  </si>
  <si>
    <t>C-1</t>
  </si>
  <si>
    <t>IN OR 1341/703 PARCELS 31 &amp; 31-2 ESMT PT OR 1861/825</t>
  </si>
  <si>
    <t>2016-344</t>
  </si>
  <si>
    <t>SKYLER LLC O98521 SERIES</t>
  </si>
  <si>
    <t>2015-352</t>
  </si>
  <si>
    <t>BENNU LLC YSCCN99J</t>
  </si>
  <si>
    <t>2014-356</t>
  </si>
  <si>
    <t>2013-391</t>
  </si>
  <si>
    <t>2012-802</t>
  </si>
  <si>
    <t>2011-610</t>
  </si>
  <si>
    <t>JAMES WILLIAM MORRIS</t>
  </si>
  <si>
    <t>05-3N-24-0000-0031-0010</t>
  </si>
  <si>
    <t>SMITH ROBERTA A</t>
  </si>
  <si>
    <t>PO BOX 339</t>
  </si>
  <si>
    <t>PT OR 1483/454</t>
  </si>
  <si>
    <t>2016-345</t>
  </si>
  <si>
    <t>BENNU LLC JA534</t>
  </si>
  <si>
    <t>2015-353</t>
  </si>
  <si>
    <t>2014-357</t>
  </si>
  <si>
    <t>2013-392</t>
  </si>
  <si>
    <t>2012-803</t>
  </si>
  <si>
    <t>2011-611</t>
  </si>
  <si>
    <t>05-3N-24-0000-0031-0030</t>
  </si>
  <si>
    <t>EIGHTH</t>
  </si>
  <si>
    <t>EIGHTH AV</t>
  </si>
  <si>
    <t>PT OR 1483/454 ESMT PT OR 1861/825</t>
  </si>
  <si>
    <t>2016-346</t>
  </si>
  <si>
    <t>BISBEE LLC M2DD4AAR3</t>
  </si>
  <si>
    <t>2015-354</t>
  </si>
  <si>
    <t>FLORIDA - GROUP TAU 159300 US BANK CUST FOR PFS FINANCIAL 1</t>
  </si>
  <si>
    <t>2014-358</t>
  </si>
  <si>
    <t>2013-393</t>
  </si>
  <si>
    <t>2012-804</t>
  </si>
  <si>
    <t>2011-612</t>
  </si>
  <si>
    <t>05-3N-24-0000-0033-0000</t>
  </si>
  <si>
    <t>552073 US HWY 1</t>
  </si>
  <si>
    <t>LIBBY ARTHUR DALE &amp; JANICE P</t>
  </si>
  <si>
    <t>552073 US HWY 1 NORTH</t>
  </si>
  <si>
    <t>PT OF BLKS 25 27 &amp; PT ABND 8TH ST IN OR 2042/1264(EX UTIL ESMT IN OR 1961/825)</t>
  </si>
  <si>
    <t>2017-363</t>
  </si>
  <si>
    <t>CALABRIA FINANCIAL LLC SERIES A001789</t>
  </si>
  <si>
    <t>05-3N-24-0000-0035-0000</t>
  </si>
  <si>
    <t>552110 US HWY 1</t>
  </si>
  <si>
    <t>ALLPHIN TRUDI</t>
  </si>
  <si>
    <t>552210 US HIGHWAY 1</t>
  </si>
  <si>
    <t>IN OR 1822/1974 (EX 35-1) ESMT IN OR 377/465</t>
  </si>
  <si>
    <t>2013-395</t>
  </si>
  <si>
    <t>05-3N-24-0000-0035-0010</t>
  </si>
  <si>
    <t>HARGROVE ALTAMESE G</t>
  </si>
  <si>
    <t>1411 W 6TH ST</t>
  </si>
  <si>
    <t>IN OR 649 PG 1129</t>
  </si>
  <si>
    <t>2017-364</t>
  </si>
  <si>
    <t>2016-347</t>
  </si>
  <si>
    <t>2015-355</t>
  </si>
  <si>
    <t>2014-359</t>
  </si>
  <si>
    <t>2013-396</t>
  </si>
  <si>
    <t>2012-806</t>
  </si>
  <si>
    <t>2011-614</t>
  </si>
  <si>
    <t>05-3N-24-2020-0001-0010</t>
  </si>
  <si>
    <t>OFF GEORGIA</t>
  </si>
  <si>
    <t>OFF GEORGIA ST</t>
  </si>
  <si>
    <t>CICERO JOSEPH S</t>
  </si>
  <si>
    <t>272011 GEORGIA ST</t>
  </si>
  <si>
    <t>PT OF LOT 1 (S-1) IN OR 2041/1678 CORNWALL SURVEY</t>
  </si>
  <si>
    <t>2017-365</t>
  </si>
  <si>
    <t>STORK CERTS 166 LLC</t>
  </si>
  <si>
    <t>05-3N-24-2020-0011-0000</t>
  </si>
  <si>
    <t>27093 ROWE LN</t>
  </si>
  <si>
    <t>ROWE MELVERINE EST</t>
  </si>
  <si>
    <t>27093 ROWE LANE</t>
  </si>
  <si>
    <t>LOT 11 (EX S-1 S-2 &amp; S-3) IN OR 358 PG 270 CORNWALL SURVEY</t>
  </si>
  <si>
    <t>2017-366</t>
  </si>
  <si>
    <t>RAPTY TRUST SERIES 32769</t>
  </si>
  <si>
    <t>2016-348</t>
  </si>
  <si>
    <t>KINGFISHER KEY TAX ABDH LLC</t>
  </si>
  <si>
    <t>2015-356</t>
  </si>
  <si>
    <t>QLE - 219834 - CALLAHAN NORTH US BANK CUST FOR PFS FINANCIAL 2 LLC</t>
  </si>
  <si>
    <t>2014-360</t>
  </si>
  <si>
    <t>2011-615</t>
  </si>
  <si>
    <t>05-3N-24-2020-0011-0010</t>
  </si>
  <si>
    <t>GEORGIA</t>
  </si>
  <si>
    <t>271363 GEORGIA ST</t>
  </si>
  <si>
    <t>CURRIN SHERRIE L &amp;</t>
  </si>
  <si>
    <t>HARRIS JAMES KEVIN (T/I/C) 18543 ALABAMA HWY 35</t>
  </si>
  <si>
    <t>SCOTTSBORO AL</t>
  </si>
  <si>
    <t>W1/2 OF W1/2 OF LOT 11 IN OR 1940/485 MH/ID GDWGA108431673</t>
  </si>
  <si>
    <t>2017-367</t>
  </si>
  <si>
    <t>DIN 1085S LLC</t>
  </si>
  <si>
    <t>2012-3185</t>
  </si>
  <si>
    <t>05-3N-24-2020-0011-0030</t>
  </si>
  <si>
    <t>ROWE LN</t>
  </si>
  <si>
    <t>DAY KATRIENA V E EST</t>
  </si>
  <si>
    <t>C/O ROBERT ROWE</t>
  </si>
  <si>
    <t>PT OF LOT 11 CASE 99-1071-CA IN OR 818 PG 821 CORNWALL SURVEY</t>
  </si>
  <si>
    <t>2017-368</t>
  </si>
  <si>
    <t>2016-349</t>
  </si>
  <si>
    <t>2015-357</t>
  </si>
  <si>
    <t>HICKS ROB</t>
  </si>
  <si>
    <t>2014-361</t>
  </si>
  <si>
    <t>2012-807</t>
  </si>
  <si>
    <t>2011-616</t>
  </si>
  <si>
    <t>05-3N-24-2020-0012-0010</t>
  </si>
  <si>
    <t>271315 GEORGIA ST</t>
  </si>
  <si>
    <t>BELL SENIE D</t>
  </si>
  <si>
    <t>35041 DUCK POND CT</t>
  </si>
  <si>
    <t>N1/2 OF LOT 12 IN OR 1433/1230 ESMT OR 1726/281</t>
  </si>
  <si>
    <t>2017-369</t>
  </si>
  <si>
    <t>RONALD E WILES</t>
  </si>
  <si>
    <t>2015-359</t>
  </si>
  <si>
    <t>SOIF LXXIV</t>
  </si>
  <si>
    <t>2013-398</t>
  </si>
  <si>
    <t>2011-617</t>
  </si>
  <si>
    <t>05-3N-24-2330-0026-0000</t>
  </si>
  <si>
    <t>KARA</t>
  </si>
  <si>
    <t>27245 KARA CIR</t>
  </si>
  <si>
    <t>COBB LINDA L EST</t>
  </si>
  <si>
    <t>RM</t>
  </si>
  <si>
    <t>LOT 26 IN OR 840/247 ESMT PT OR 1861/825</t>
  </si>
  <si>
    <t>2012-3186</t>
  </si>
  <si>
    <t>2011-3811</t>
  </si>
  <si>
    <t>05-3N-24-2340-0003-0020</t>
  </si>
  <si>
    <t>OXFORD</t>
  </si>
  <si>
    <t>371145 OXFORD ST</t>
  </si>
  <si>
    <t>DONLEY HOLMAN EST</t>
  </si>
  <si>
    <t>C/O HOLMAN DONLEY JR</t>
  </si>
  <si>
    <t>P O BOX 340</t>
  </si>
  <si>
    <t>R3</t>
  </si>
  <si>
    <t>S PT OF LOT 3 IN DB 268 PG 117 LINCOLN SUB</t>
  </si>
  <si>
    <t>2017-370</t>
  </si>
  <si>
    <t>ECRU LLC HEA3212844</t>
  </si>
  <si>
    <t>2015-361</t>
  </si>
  <si>
    <t>D23151</t>
  </si>
  <si>
    <t>2014-363</t>
  </si>
  <si>
    <t>2013-400</t>
  </si>
  <si>
    <t>2012-808</t>
  </si>
  <si>
    <t>2011-619</t>
  </si>
  <si>
    <t>05-3N-24-2340-0013-0030</t>
  </si>
  <si>
    <t>OXFORD ST</t>
  </si>
  <si>
    <t>DONELY ARTHUR &amp; SHEILA</t>
  </si>
  <si>
    <t>410 25TH AVE</t>
  </si>
  <si>
    <t>VERO BEACH FL</t>
  </si>
  <si>
    <t>PT OF LOT 13 IN OR 519/803 LINCOLN SUB</t>
  </si>
  <si>
    <t>2017-372</t>
  </si>
  <si>
    <t>2016-352</t>
  </si>
  <si>
    <t>2015-364</t>
  </si>
  <si>
    <t>2014-366</t>
  </si>
  <si>
    <t>2013-403</t>
  </si>
  <si>
    <t>2012-811</t>
  </si>
  <si>
    <t>2011-622</t>
  </si>
  <si>
    <t>CARLAYNE ASSETS LLC</t>
  </si>
  <si>
    <t>05-3N-24-2340-0014-0040</t>
  </si>
  <si>
    <t>WEBB</t>
  </si>
  <si>
    <t>3737 WEBB ST</t>
  </si>
  <si>
    <t>BROWN LATASHIA &amp; BYRD DEBORAH EST &amp; BYRD OSCAR E EST</t>
  </si>
  <si>
    <t>W1/2 OF E1/2 OF LOT 14 (EX S60 FT) IN OR 487/214 &amp; OR 1909/1315</t>
  </si>
  <si>
    <t>2017-374</t>
  </si>
  <si>
    <t>2016-355</t>
  </si>
  <si>
    <t>CSC ASSOCIATES LLC</t>
  </si>
  <si>
    <t>2015-366</t>
  </si>
  <si>
    <t>FL-PTH 1 LLC MUNITAX SERVICES AS C/F FL-PTH 1 LLC</t>
  </si>
  <si>
    <t>2014-368</t>
  </si>
  <si>
    <t>MTAG AS CST FOR EBURY FUND 1FL LLC</t>
  </si>
  <si>
    <t>2013-405</t>
  </si>
  <si>
    <t>2012-812</t>
  </si>
  <si>
    <t>2011-624</t>
  </si>
  <si>
    <t>05-3N-24-2360-0015-0000</t>
  </si>
  <si>
    <t>552367 US HWY 1</t>
  </si>
  <si>
    <t>PADGETT CHRISTINA FAY</t>
  </si>
  <si>
    <t>PO BOX 1746</t>
  </si>
  <si>
    <t>CI COMM IN</t>
  </si>
  <si>
    <t>PLEASANT PARK</t>
  </si>
  <si>
    <t>LOT 15 (EX S-1) &amp; PAR 17-3 IN OR 1575/1201 PLEASANT PARK PB 2/21</t>
  </si>
  <si>
    <t>2017-375</t>
  </si>
  <si>
    <t>ORANGE DOLPHINS XPDP LLC</t>
  </si>
  <si>
    <t>2016-356</t>
  </si>
  <si>
    <t>CCTS EPSILON GROUP 141364 US BANK CUST FOR PFS FINANCIAL 2 LLC</t>
  </si>
  <si>
    <t>2015-368</t>
  </si>
  <si>
    <t>WONDER CAPITAL13517</t>
  </si>
  <si>
    <t>2014-369</t>
  </si>
  <si>
    <t>07-3N-24-2020-0050-0000</t>
  </si>
  <si>
    <t>27092 GEORGIA ST</t>
  </si>
  <si>
    <t>MCCONNELL RICHARD W</t>
  </si>
  <si>
    <t>MCCONNELL JANET L</t>
  </si>
  <si>
    <t>7-03N-24E</t>
  </si>
  <si>
    <t>LOT 50 PT OR 874/1552 R787462 &amp; R787463 &amp; R787464</t>
  </si>
  <si>
    <t>2017-376</t>
  </si>
  <si>
    <t>MACHAPUCHARE AAQS LLC</t>
  </si>
  <si>
    <t>2016-357</t>
  </si>
  <si>
    <t>F13611</t>
  </si>
  <si>
    <t>2015-369</t>
  </si>
  <si>
    <t>E261808</t>
  </si>
  <si>
    <t>2014-370</t>
  </si>
  <si>
    <t>2013-406</t>
  </si>
  <si>
    <t>2012-867</t>
  </si>
  <si>
    <t>2011-626</t>
  </si>
  <si>
    <t>07-3N-24-2020-0059-0000</t>
  </si>
  <si>
    <t>27664 GEORGIA ST</t>
  </si>
  <si>
    <t>ROBINSON EARL L</t>
  </si>
  <si>
    <t>ROBINSON SYLVIA I</t>
  </si>
  <si>
    <t>PO BOX 758</t>
  </si>
  <si>
    <t>LOT 59 IN OR 1230/843 CORNWALL SURVEY</t>
  </si>
  <si>
    <t>2016-358</t>
  </si>
  <si>
    <t>C12979</t>
  </si>
  <si>
    <t>07-3N-24-2020-0060-0010</t>
  </si>
  <si>
    <t>GEORGIA ST</t>
  </si>
  <si>
    <t>SADESKY STEVE JR</t>
  </si>
  <si>
    <t>SADESKY SHARON</t>
  </si>
  <si>
    <t>PO BOX 22</t>
  </si>
  <si>
    <t>N1/2 OF LOT 60 IN OR 1211/184 CORNWALL SURVEY</t>
  </si>
  <si>
    <t>07-3N-24-2020-0060-0020</t>
  </si>
  <si>
    <t>27708 GEORGIA ST</t>
  </si>
  <si>
    <t>SADESKY STEVE P</t>
  </si>
  <si>
    <t>S 1/2 OF LOT 60 OR 190 PG 354 RP 1458-1459 CORNWALL SURVEY</t>
  </si>
  <si>
    <t>08-3N-24-2380-0009-0022</t>
  </si>
  <si>
    <t>FIRST</t>
  </si>
  <si>
    <t>W</t>
  </si>
  <si>
    <t>37461 FIRST ST W</t>
  </si>
  <si>
    <t>HARRIS ELMO A</t>
  </si>
  <si>
    <t>PO BOX 1076</t>
  </si>
  <si>
    <t>Warehousing distribution terminals</t>
  </si>
  <si>
    <t>Distribution Warehouse (Regional)</t>
  </si>
  <si>
    <t>8-03N-24E</t>
  </si>
  <si>
    <t>BLOCK 9 SWLY 200 FT OF LOT 2 IN OR 336/738 EX ESMT OR 340/386</t>
  </si>
  <si>
    <t>08-3N-24-2380-0009-0030</t>
  </si>
  <si>
    <t>FIRST ST W</t>
  </si>
  <si>
    <t>BLOCK 9 SWLY 200 FT OF LOT 3 IN OR 332/240 EX ESMT OR 340/386</t>
  </si>
  <si>
    <t>08-3N-24-2380-0010-0033</t>
  </si>
  <si>
    <t>551690 US HWY 1</t>
  </si>
  <si>
    <t>GUYNN GERALD J &amp; DAPHNE M</t>
  </si>
  <si>
    <t>PO BOX 1344</t>
  </si>
  <si>
    <t>Stores one story</t>
  </si>
  <si>
    <t>Commercial (General)</t>
  </si>
  <si>
    <t>BLOCK 10 LOT PT OF 3 PT OR 1686/1317 TOWN OF HILLIARD</t>
  </si>
  <si>
    <t>2016-361</t>
  </si>
  <si>
    <t>2015-370</t>
  </si>
  <si>
    <t>2013-407</t>
  </si>
  <si>
    <t>2012-903</t>
  </si>
  <si>
    <t>08-3N-24-2380-0010-0034</t>
  </si>
  <si>
    <t>TOWN OF HILLIARD</t>
  </si>
  <si>
    <t>BLOCK 10 PT OF LOT 3 PT OR 1686/1317 TOWN OF HILLIARD</t>
  </si>
  <si>
    <t>2016-362</t>
  </si>
  <si>
    <t>BENNU LLC YSE2N91J</t>
  </si>
  <si>
    <t>2015-371</t>
  </si>
  <si>
    <t>2013-408</t>
  </si>
  <si>
    <t>2012-904</t>
  </si>
  <si>
    <t>08-3N-24-2380-0011-0023</t>
  </si>
  <si>
    <t>W FIRST ST</t>
  </si>
  <si>
    <t>37059 PECAN ST</t>
  </si>
  <si>
    <t>BLK 11 PT OF LOT 2 IN OR 724/971 TOWN OF HILLIARD S/D PBK 1/28</t>
  </si>
  <si>
    <t>08-3N-24-2380-0012-0032</t>
  </si>
  <si>
    <t>551722 US HWY 1</t>
  </si>
  <si>
    <t>HOFFMAN JAMES</t>
  </si>
  <si>
    <t>PO BOX 818</t>
  </si>
  <si>
    <t>BLOCK 12 LOT S1/4 OF 3 IN OR 284 PG 229 TOWN OF HILLIARD</t>
  </si>
  <si>
    <t>2017-378</t>
  </si>
  <si>
    <t>PELICAN JETTY CERTS AABU LLC</t>
  </si>
  <si>
    <t>2016-363</t>
  </si>
  <si>
    <t>CCTS CAPITAL - FLORIDA 6754 US BANK CUST FOR PFS FINANCIAL 2 LLC</t>
  </si>
  <si>
    <t>2015-372</t>
  </si>
  <si>
    <t>TRIAD HOLDINGS273883</t>
  </si>
  <si>
    <t>2014-372</t>
  </si>
  <si>
    <t>08-3N-24-2380-0012-0041</t>
  </si>
  <si>
    <t>ORANGE</t>
  </si>
  <si>
    <t>37090 ORANGE ST</t>
  </si>
  <si>
    <t>BLOCK 12 S50 FT OF LOT 4 IN OR 597/83-85 TOWN OF HILLIARD</t>
  </si>
  <si>
    <t>2017-379</t>
  </si>
  <si>
    <t>2016-364</t>
  </si>
  <si>
    <t>BENNU LLC LY25QC1CR</t>
  </si>
  <si>
    <t>2015-374</t>
  </si>
  <si>
    <t>2014-374</t>
  </si>
  <si>
    <t>08-3N-24-2380-0018-0044</t>
  </si>
  <si>
    <t>FOURTH</t>
  </si>
  <si>
    <t>37039 FOURTH ST W</t>
  </si>
  <si>
    <t>LARGIN JAMES A EST</t>
  </si>
  <si>
    <t>C/O TERRY LARGIN</t>
  </si>
  <si>
    <t>37039 W 4TH STREET</t>
  </si>
  <si>
    <t>R2</t>
  </si>
  <si>
    <t>BLOCK 18 PT OF LOT 4 IN OR 727 PG 831 TOWN OF HILLIARD</t>
  </si>
  <si>
    <t>2017-380</t>
  </si>
  <si>
    <t>SUTTON INVESTMENT77753</t>
  </si>
  <si>
    <t>2016-365</t>
  </si>
  <si>
    <t>ECRU LLC HP3RC5C65</t>
  </si>
  <si>
    <t>2015-375</t>
  </si>
  <si>
    <t>ORANGE DOLPHINS XUYE LLC</t>
  </si>
  <si>
    <t>2014-375</t>
  </si>
  <si>
    <t>08-3N-24-2380-0019-0042</t>
  </si>
  <si>
    <t>551943 US HWY 1</t>
  </si>
  <si>
    <t>FIRST STOP FLORIDA LLC</t>
  </si>
  <si>
    <t>5953 FEATHER LN</t>
  </si>
  <si>
    <t>SANFORD FL</t>
  </si>
  <si>
    <t>Supermarkets</t>
  </si>
  <si>
    <t>Grocery Supermarket</t>
  </si>
  <si>
    <t>BLOCK 19 S-2 OF LOTS 4 &amp; 1 IN OR 2043/805 TOWN OF HILLIARD</t>
  </si>
  <si>
    <t>2017-381</t>
  </si>
  <si>
    <t>ECRU LLC TSAMEE5</t>
  </si>
  <si>
    <t>2015-376</t>
  </si>
  <si>
    <t>BENNU LLC JHA11E50Y</t>
  </si>
  <si>
    <t>2014-376</t>
  </si>
  <si>
    <t>2013-409</t>
  </si>
  <si>
    <t>TFLTC, LLC</t>
  </si>
  <si>
    <t>WOODS COVE IV, LLC</t>
  </si>
  <si>
    <t>08-3N-24-2380-0023-0010</t>
  </si>
  <si>
    <t>552017 US HWY 1</t>
  </si>
  <si>
    <t>SCOTT JEANNE</t>
  </si>
  <si>
    <t>P O BOX  1199</t>
  </si>
  <si>
    <t>BLOCK 23 LOTS 1 &amp; PT OF 2 IN OR 1180/64 TOWN OF HILLIARD</t>
  </si>
  <si>
    <t>2016-367</t>
  </si>
  <si>
    <t>GINNORSAR LLC SERIES A001265</t>
  </si>
  <si>
    <t>08-3N-24-2380-0023-0032</t>
  </si>
  <si>
    <t>SEVENTH</t>
  </si>
  <si>
    <t>37046 SEVENTH ST W</t>
  </si>
  <si>
    <t>ROBERSON CLIFTON H &amp; ELAINE M</t>
  </si>
  <si>
    <t>PO BOX 1138</t>
  </si>
  <si>
    <t>WOODBINE GA</t>
  </si>
  <si>
    <t>BLOCK 23 PT LOTS 3 &amp; 4 (S-2) &amp; PT LOT 3 (S-3) BLOCK 25 PT OF LOTS 1 &amp; 2 (S-2) &amp;</t>
  </si>
  <si>
    <t>2017-383</t>
  </si>
  <si>
    <t>SUTTON INVESTMENT31121</t>
  </si>
  <si>
    <t>08-3N-24-2380-0023-0034</t>
  </si>
  <si>
    <t>ROBERSON CLIFTON H &amp; ELAINE D</t>
  </si>
  <si>
    <t>BLOCK 23 PT OF LOTS 3 &amp; 4 IN OR 1671/1569 (EX PT OR 1698/1582 S-6)</t>
  </si>
  <si>
    <t>2017-384</t>
  </si>
  <si>
    <t>08-3N-24-2380-0023-0035</t>
  </si>
  <si>
    <t>552035 US HWY 1</t>
  </si>
  <si>
    <t>Auto sales auto repair and storage</t>
  </si>
  <si>
    <t>Vehicle Rentals Vehicle Sales (auto/truck/RV/boat/etc.)</t>
  </si>
  <si>
    <t>BLOCK 23 PT OF LOT 4(S-5 &amp;S-6) &amp; ABANDONED W SEVENTH ST LYING NORTH THERE OF</t>
  </si>
  <si>
    <t>2017-385</t>
  </si>
  <si>
    <t>TIMBER RIDGE 831 SERVICING LLC</t>
  </si>
  <si>
    <t>08-3N-24-2380-0025-0011</t>
  </si>
  <si>
    <t>552085 US HY 1</t>
  </si>
  <si>
    <t>BLK 25 PT OF LOTS 1 2 &amp; 3 IN OR 250/164 (EX UTIL ESMT IN OR 1861/825)</t>
  </si>
  <si>
    <t>2017-386</t>
  </si>
  <si>
    <t>08-3N-24-2380-0025-0013</t>
  </si>
  <si>
    <t>552047 US HWY 1</t>
  </si>
  <si>
    <t>HADDOCK RODNEY D</t>
  </si>
  <si>
    <t>BLOCK 25 PT OF LOT 1 &amp; PT OF ABANDONED R/W &amp; PT OF BLOCK 23 LOT 4</t>
  </si>
  <si>
    <t>08-3N-24-2380-0063-0010</t>
  </si>
  <si>
    <t>CALHOUN JOE</t>
  </si>
  <si>
    <t>CALHOUN SHIRLEY MAE</t>
  </si>
  <si>
    <t>10247 ALLENE RD</t>
  </si>
  <si>
    <t>BLOCK 63 LOTS 1 2 4 &amp; PT ABANDONED R/W IN OR 103/290 &amp; PT OR 1497/750</t>
  </si>
  <si>
    <t>2017-389</t>
  </si>
  <si>
    <t>GALLANTRY INVESTMENTS, LLC</t>
  </si>
  <si>
    <t>2016-369</t>
  </si>
  <si>
    <t>2015-380</t>
  </si>
  <si>
    <t>2014-381</t>
  </si>
  <si>
    <t>2013-416</t>
  </si>
  <si>
    <t>2012-910</t>
  </si>
  <si>
    <t>2011-635</t>
  </si>
  <si>
    <t>08-3N-24-2380-0063-0033</t>
  </si>
  <si>
    <t>HALL STEPHANIE</t>
  </si>
  <si>
    <t>43 PRESCOTT ROAD</t>
  </si>
  <si>
    <t>FOLKSTON GA</t>
  </si>
  <si>
    <t>BLOCK 63 PT OF LOT 3 (S-3) IN OR 1609/486 TOWN OF HILLIARD</t>
  </si>
  <si>
    <t>2017-390</t>
  </si>
  <si>
    <t>2016-370</t>
  </si>
  <si>
    <t>2015-381</t>
  </si>
  <si>
    <t>2014-382</t>
  </si>
  <si>
    <t>WILLIAM P ALLISON 111</t>
  </si>
  <si>
    <t>2013-417</t>
  </si>
  <si>
    <t>2012-911</t>
  </si>
  <si>
    <t>2011-636</t>
  </si>
  <si>
    <t>08-3N-24-2380-0065-0020</t>
  </si>
  <si>
    <t>37937 OXFORD ST</t>
  </si>
  <si>
    <t>BLOCK 65 PT OF LOT 2 &amp; PT ABANDONED R/W OR 1497/747 ORD #2007-03</t>
  </si>
  <si>
    <t>2017-391</t>
  </si>
  <si>
    <t>GHATO 11460</t>
  </si>
  <si>
    <t>2016-371</t>
  </si>
  <si>
    <t>SUMMER BIRD LLC SERIES A000899</t>
  </si>
  <si>
    <t>2015-382</t>
  </si>
  <si>
    <t>GTF 1-12350</t>
  </si>
  <si>
    <t>2014-383</t>
  </si>
  <si>
    <t>2013-418</t>
  </si>
  <si>
    <t>2012-912</t>
  </si>
  <si>
    <t>BRIDGE TAX LLC - BB9 US BANK % BRIDGE TAX LLC-BB9</t>
  </si>
  <si>
    <t>2011-638</t>
  </si>
  <si>
    <t>08-3N-24-2380-0066-0032</t>
  </si>
  <si>
    <t>PINE</t>
  </si>
  <si>
    <t>PINE ST</t>
  </si>
  <si>
    <t>SMITH CHARLENE R &amp; REGINALD SR</t>
  </si>
  <si>
    <t>361963 PINE STREET</t>
  </si>
  <si>
    <t>BLOCK 66 N1/2 OF LOT 3 IN OR 1235/1361 TOWN OF HILLIARD</t>
  </si>
  <si>
    <t>2017-392</t>
  </si>
  <si>
    <t>2016-372</t>
  </si>
  <si>
    <t>08-3N-24-2380-0067-0031</t>
  </si>
  <si>
    <t>37988 OXFORD ST</t>
  </si>
  <si>
    <t>GORDON JACKIE L</t>
  </si>
  <si>
    <t>P O BOX 1347</t>
  </si>
  <si>
    <t>BLOCK 67 LOT E1/2 OF 3 LOT 4 LESS LINCOLN SUB IN OR 1244/537</t>
  </si>
  <si>
    <t>2016-373</t>
  </si>
  <si>
    <t>FLORIDA GROUP UPSILON 166974 US BANK CUST FOR PFS FINANCIAL 1</t>
  </si>
  <si>
    <t>2013-2800</t>
  </si>
  <si>
    <t>08-3N-24-2380-0072-0040</t>
  </si>
  <si>
    <t>361930 PINE ST</t>
  </si>
  <si>
    <t>JACKSON ALFRED</t>
  </si>
  <si>
    <t>JACKSON BARBARA</t>
  </si>
  <si>
    <t>PO BOX 187</t>
  </si>
  <si>
    <t>BLOCK 72 LOT 4 IN OR 467/164 &amp; OR 469/439 TOWN OF HILLIARD</t>
  </si>
  <si>
    <t>2016-374</t>
  </si>
  <si>
    <t>FULLOWL 184 LLC</t>
  </si>
  <si>
    <t>2011-642</t>
  </si>
  <si>
    <t>08-3N-24-2380-0074-0023</t>
  </si>
  <si>
    <t>NEW OAK</t>
  </si>
  <si>
    <t>37601 NEW OAK ST</t>
  </si>
  <si>
    <t>KELLY JOANNE</t>
  </si>
  <si>
    <t>PO BOX 545</t>
  </si>
  <si>
    <t>BLOCK 74 PT LOT 2 IN OR 1778/1318 TOWN OF HILLIARD</t>
  </si>
  <si>
    <t>2017-393</t>
  </si>
  <si>
    <t>2016-376</t>
  </si>
  <si>
    <t>GOLDEN DOME INVESTMENTS LLC</t>
  </si>
  <si>
    <t>GDI 83 LLC</t>
  </si>
  <si>
    <t>2014-387</t>
  </si>
  <si>
    <t>2013-421</t>
  </si>
  <si>
    <t>2012-917</t>
  </si>
  <si>
    <t>2011-643</t>
  </si>
  <si>
    <t>08-3N-24-2380-0074-0024</t>
  </si>
  <si>
    <t>FIFTH</t>
  </si>
  <si>
    <t>37293 W FIFTH ST</t>
  </si>
  <si>
    <t>BARNES J T &amp; BARBARA</t>
  </si>
  <si>
    <t>37293 WEST FIFTH STREET</t>
  </si>
  <si>
    <t>BLOCK 74 PT OF LOT 2 IN OR 360/511 &amp; OR 88/415 (EX OR 1980/529)</t>
  </si>
  <si>
    <t>2017-394</t>
  </si>
  <si>
    <t>BISBEE LLC SH1D59D3</t>
  </si>
  <si>
    <t>08-3N-24-2380-0074-0025</t>
  </si>
  <si>
    <t>37313 FIFTH ST W</t>
  </si>
  <si>
    <t>BLOCK 74 WLY 140 FT OF S1/2 OF LOT 2 OR 1282/1540 TOWN OF HILLIARD</t>
  </si>
  <si>
    <t>2017-395</t>
  </si>
  <si>
    <t>2015-383</t>
  </si>
  <si>
    <t>2014-2521</t>
  </si>
  <si>
    <t>2013-2801</t>
  </si>
  <si>
    <t>EARL BARRON</t>
  </si>
  <si>
    <t>2012-3190</t>
  </si>
  <si>
    <t>GREGORY W MARLETT</t>
  </si>
  <si>
    <t>08-3N-24-2380-0074-0031</t>
  </si>
  <si>
    <t>SIXTH</t>
  </si>
  <si>
    <t>37392 SIXTH ST W</t>
  </si>
  <si>
    <t>MITCHELL LARRY D</t>
  </si>
  <si>
    <t>MITCHELL SHARON</t>
  </si>
  <si>
    <t>PO BOX 1252</t>
  </si>
  <si>
    <t>BLOCK 74 E1/2 OF LOT 3 OR 776/353 R672713 TOWN OF HILLIARD</t>
  </si>
  <si>
    <t>2017-396</t>
  </si>
  <si>
    <t>BENNU LLC JA1F1BBS</t>
  </si>
  <si>
    <t>08-3N-24-2380-0076-0080</t>
  </si>
  <si>
    <t>37505 NEW OAK ST</t>
  </si>
  <si>
    <t>JONES DAVID J &amp; KEISHA M</t>
  </si>
  <si>
    <t>P O BOX 33</t>
  </si>
  <si>
    <t>BLOCK 76 LOT 8 (EX SLY 1/2) IN OR 731/979 TOWN OF HILLIARD</t>
  </si>
  <si>
    <t>2017-397</t>
  </si>
  <si>
    <t>ROMOH 36142 LLC</t>
  </si>
  <si>
    <t>2016-378</t>
  </si>
  <si>
    <t>BANDIR KOSI CERTS 442 LLC</t>
  </si>
  <si>
    <t>2015-385</t>
  </si>
  <si>
    <t>F19684</t>
  </si>
  <si>
    <t>2014-389</t>
  </si>
  <si>
    <t>2013-423</t>
  </si>
  <si>
    <t>2012-918</t>
  </si>
  <si>
    <t>2011-644</t>
  </si>
  <si>
    <t>08-3N-24-2380-0076-0082</t>
  </si>
  <si>
    <t>37495 NEW OAK ST</t>
  </si>
  <si>
    <t>EDWARDS VIRGINIA JORDAN</t>
  </si>
  <si>
    <t>PO BOX 33</t>
  </si>
  <si>
    <t>BLOCK 76 SELY 1/2 OF LOT 8 IN OR 462 PG 298 R567600 TOWN OF HILLIARD</t>
  </si>
  <si>
    <t>2017-398</t>
  </si>
  <si>
    <t>2016-379</t>
  </si>
  <si>
    <t>08-3N-24-2380-0077-0010</t>
  </si>
  <si>
    <t>37054 FOURTH ST W</t>
  </si>
  <si>
    <t>PO BOX 1077</t>
  </si>
  <si>
    <t>BLOCK 77 LOTS 1 3 &amp; S1/2 OF 5 OR 310 PG 38 TOWN OF HILLIARD</t>
  </si>
  <si>
    <t>08-3N-24-2380-0077-0060</t>
  </si>
  <si>
    <t>OAK</t>
  </si>
  <si>
    <t>OAK ST</t>
  </si>
  <si>
    <t>MITCHELL EDDIE</t>
  </si>
  <si>
    <t>37498 NEW OAK ST</t>
  </si>
  <si>
    <t>BLOCK 77 LOTS 6 8 9 10 TOWN OF HILLIARD</t>
  </si>
  <si>
    <t>2016-381</t>
  </si>
  <si>
    <t>2012-919</t>
  </si>
  <si>
    <t>2011-645</t>
  </si>
  <si>
    <t>08-3N-24-2380-0083-0011</t>
  </si>
  <si>
    <t>37092 NEW OAK ST</t>
  </si>
  <si>
    <t>EASTER TIMOTHY DALE</t>
  </si>
  <si>
    <t>PO BOX 316</t>
  </si>
  <si>
    <t>BROAD BROOK CT</t>
  </si>
  <si>
    <t>BLOCK 83 N1/2 OF LOT 1 IN OR 1492/1353 TOWN OF HILLIARD</t>
  </si>
  <si>
    <t>2017-400</t>
  </si>
  <si>
    <t>SETPER LLC O117141 SERIES</t>
  </si>
  <si>
    <t>2016-384</t>
  </si>
  <si>
    <t>YYYY128</t>
  </si>
  <si>
    <t>2015-388</t>
  </si>
  <si>
    <t>PETRELLA961</t>
  </si>
  <si>
    <t>2013-426</t>
  </si>
  <si>
    <t>2012-920</t>
  </si>
  <si>
    <t>2011-646</t>
  </si>
  <si>
    <t>08-3N-24-2380-0085-0042</t>
  </si>
  <si>
    <t>37055 FIRST ST W</t>
  </si>
  <si>
    <t>ATKINSON MARYANN &amp; BEASLEY SANDRA JEANETTE &amp; NANGLE HEATHER LEANNE</t>
  </si>
  <si>
    <t>37055 W 1ST ST</t>
  </si>
  <si>
    <t>BLOCK 85 PT OF LOT 4 OR 708/125 &amp; CASE #04-108-CP PT OR 1532/592</t>
  </si>
  <si>
    <t>2017-401</t>
  </si>
  <si>
    <t>BANDED RACCOON 336 MANAGEMENT SERVICES LLC</t>
  </si>
  <si>
    <t>2016-385</t>
  </si>
  <si>
    <t>FL PROJ - CCTS - GROUP LAMBDA 50136 US BANK CUST FOR PFS FINANCIAL 2 LLC</t>
  </si>
  <si>
    <t>2015-389</t>
  </si>
  <si>
    <t>A3746</t>
  </si>
  <si>
    <t>2014-391</t>
  </si>
  <si>
    <t>2013-428</t>
  </si>
  <si>
    <t>2012-922</t>
  </si>
  <si>
    <t>08-3N-24-2380-0094-0080</t>
  </si>
  <si>
    <t>MOON JEAN</t>
  </si>
  <si>
    <t>1545 NORTH STIRLING AVENUE</t>
  </si>
  <si>
    <t>PONTIAC MI</t>
  </si>
  <si>
    <t>BLOCK 94 LOT 8 PT OR 2030/1492 TOWN OF HILLIARD</t>
  </si>
  <si>
    <t>2017-402</t>
  </si>
  <si>
    <t>2016-386</t>
  </si>
  <si>
    <t>2015-390</t>
  </si>
  <si>
    <t>2014-392</t>
  </si>
  <si>
    <t>2013-429</t>
  </si>
  <si>
    <t>2012-923</t>
  </si>
  <si>
    <t>2011-647</t>
  </si>
  <si>
    <t>08-3N-24-2380-0102-0020</t>
  </si>
  <si>
    <t>POPE W  ET AL</t>
  </si>
  <si>
    <t>C/O JOHN G BARROW III</t>
  </si>
  <si>
    <t>661 US HWY 17 NORTH</t>
  </si>
  <si>
    <t>BLOCK 102 LOT 2 OR 343 PG 413 TOWN OF HILLIARD</t>
  </si>
  <si>
    <t>2017-403</t>
  </si>
  <si>
    <t>2016-387</t>
  </si>
  <si>
    <t>2015-391</t>
  </si>
  <si>
    <t>2014-393</t>
  </si>
  <si>
    <t>2013-431</t>
  </si>
  <si>
    <t>2012-925</t>
  </si>
  <si>
    <t>2011-649</t>
  </si>
  <si>
    <t>JEREMY BRENNEMAN</t>
  </si>
  <si>
    <t>08-3N-24-2380-0103-0070</t>
  </si>
  <si>
    <t>SEVENTH AV</t>
  </si>
  <si>
    <t>THOMAS W L JR &amp; LAFAYNE</t>
  </si>
  <si>
    <t>PO BOX 237</t>
  </si>
  <si>
    <t>RM4</t>
  </si>
  <si>
    <t>BLOCK 103 LOT 7 TOWN OF HILLIARD</t>
  </si>
  <si>
    <t>2017-404</t>
  </si>
  <si>
    <t>2016-388</t>
  </si>
  <si>
    <t>2015-392</t>
  </si>
  <si>
    <t>2014-394</t>
  </si>
  <si>
    <t>2013-432</t>
  </si>
  <si>
    <t>2012-926</t>
  </si>
  <si>
    <t>2011-650</t>
  </si>
  <si>
    <t>KARLA IBANEZ KELCEY INGRAM</t>
  </si>
  <si>
    <t>08-3N-24-2380-0103-0110</t>
  </si>
  <si>
    <t>RAM PROPERTIES</t>
  </si>
  <si>
    <t>PO BOX 56272</t>
  </si>
  <si>
    <t>BLOCK 103 LOTS 11 &amp; 12 IN OR 943/18 TOWN OF HILLIARD</t>
  </si>
  <si>
    <t>2017-405</t>
  </si>
  <si>
    <t>2016-389</t>
  </si>
  <si>
    <t>2015-393</t>
  </si>
  <si>
    <t>2014-395</t>
  </si>
  <si>
    <t>CURTIS WAYNE FRANKLIN NVRS-TEXAS LLC</t>
  </si>
  <si>
    <t>08-3N-24-2380-0104-0010</t>
  </si>
  <si>
    <t>8300 W SEVENTH AV</t>
  </si>
  <si>
    <t>ROCK N LEE LLC</t>
  </si>
  <si>
    <t>515 S 6TH ST</t>
  </si>
  <si>
    <t>Parking lots mobile home parks</t>
  </si>
  <si>
    <t>Mobile Home Park Trailer Park</t>
  </si>
  <si>
    <t>BLOCK 104 LOTS 1-6 13-19 20-24 R583994 R788166 &amp; R621777 1984 CRAN DW/MH</t>
  </si>
  <si>
    <t>08-3N-24-2380-0108-0200</t>
  </si>
  <si>
    <t>SIXTH AV</t>
  </si>
  <si>
    <t>BARROW ALMA M EST</t>
  </si>
  <si>
    <t>C/O JOHN G BARROW III EST</t>
  </si>
  <si>
    <t>BLOCK 108 LOT 20 PT OF OR 441 PG 637 TOWN OF HILLIARD</t>
  </si>
  <si>
    <t>2017-407</t>
  </si>
  <si>
    <t>2016-391</t>
  </si>
  <si>
    <t>2015-395</t>
  </si>
  <si>
    <t>2014-397</t>
  </si>
  <si>
    <t>2013-434</t>
  </si>
  <si>
    <t>2012-928</t>
  </si>
  <si>
    <t>2011-652</t>
  </si>
  <si>
    <t>08-3N-24-2380-0110-0090</t>
  </si>
  <si>
    <t>BLOCK 110 LOTS 9 &amp; 10 PT OR 1551/863 TOWN OF HILLIARD</t>
  </si>
  <si>
    <t>2017-408</t>
  </si>
  <si>
    <t>2016-392</t>
  </si>
  <si>
    <t>2015-397</t>
  </si>
  <si>
    <t>2014-399</t>
  </si>
  <si>
    <t>ANNGELINA KOENIG-FALES ANNGELINA KOENIG-FALES</t>
  </si>
  <si>
    <t>2013-436</t>
  </si>
  <si>
    <t>2012-930</t>
  </si>
  <si>
    <t>08-3N-24-2380-0114-0040</t>
  </si>
  <si>
    <t>BLOCK 114 LOTS 4 THRU 9 &amp; LOTS 13 THRU 17 &amp; 19 THRU 24 IN OR 1715/559</t>
  </si>
  <si>
    <t>08-3N-24-2380-0115-0070</t>
  </si>
  <si>
    <t>FIFTH AV</t>
  </si>
  <si>
    <t>BLOCK 115 LOT 7 PT OF OR 441 PG 637 TOWN OF HILLIARD</t>
  </si>
  <si>
    <t>2017-409</t>
  </si>
  <si>
    <t>2016-393</t>
  </si>
  <si>
    <t>2015-400</t>
  </si>
  <si>
    <t>2014-400</t>
  </si>
  <si>
    <t>2013-437</t>
  </si>
  <si>
    <t>2012-931</t>
  </si>
  <si>
    <t>2011-653</t>
  </si>
  <si>
    <t>08-3N-24-2380-0117-0090</t>
  </si>
  <si>
    <t>BULLOCK LOUIS A</t>
  </si>
  <si>
    <t>16435 EUCLID AVE NE</t>
  </si>
  <si>
    <t>BAINBRIDGE ISLAND WA</t>
  </si>
  <si>
    <t>BLOCK 117 LOTS 9 10 TOWN OF HILLIARD</t>
  </si>
  <si>
    <t>2017-410</t>
  </si>
  <si>
    <t>2016-394</t>
  </si>
  <si>
    <t>2015-401</t>
  </si>
  <si>
    <t>08-3N-24-2380-0117-0190</t>
  </si>
  <si>
    <t>REUSS EMILY EST</t>
  </si>
  <si>
    <t>C/O NORMAN REUSS</t>
  </si>
  <si>
    <t>34 THISTLE HILL DR</t>
  </si>
  <si>
    <t>HINESBURG VT</t>
  </si>
  <si>
    <t>BLOCK 117 LOT 19 TOWN OF HILLIARD</t>
  </si>
  <si>
    <t>2017-411</t>
  </si>
  <si>
    <t>2016-395</t>
  </si>
  <si>
    <t>2015-402</t>
  </si>
  <si>
    <t>2014-401</t>
  </si>
  <si>
    <t>2013-438</t>
  </si>
  <si>
    <t>2012-932</t>
  </si>
  <si>
    <t>2011-654</t>
  </si>
  <si>
    <t>08-3N-24-2380-0120-0130</t>
  </si>
  <si>
    <t>27201 FIFTH AVE W</t>
  </si>
  <si>
    <t>HIGGINBOTHAM DEAN E</t>
  </si>
  <si>
    <t>HIGGINBOTHAM ANN M</t>
  </si>
  <si>
    <t>27201 W 5TH AVE</t>
  </si>
  <si>
    <t>BLOCK 120 LOTS 13 THRU 18 IN OR 1602/1315 &amp; OR 1780/1828 2000 MERT DW/MH</t>
  </si>
  <si>
    <t>2016-396</t>
  </si>
  <si>
    <t>CCTS CAP FL 82736 US BANK CUST FOR PFS FINANCIAL 2 LLC</t>
  </si>
  <si>
    <t>08-3N-24-2380-0123-0010</t>
  </si>
  <si>
    <t>27254 FIFTH AVE W</t>
  </si>
  <si>
    <t>GEOGHAGAN DANIEL A</t>
  </si>
  <si>
    <t>GEOGHAGAN MELISSA B</t>
  </si>
  <si>
    <t>27254 W 5TH AVE</t>
  </si>
  <si>
    <t>BLOCK 123 LOTS 1 2 3 4 &amp; 5 1989 FOREMOST DW/MH IN OR 1970/1538</t>
  </si>
  <si>
    <t>2014-402</t>
  </si>
  <si>
    <t>2012-934</t>
  </si>
  <si>
    <t>2011-656</t>
  </si>
  <si>
    <t>08-3N-24-2380-0123-0060</t>
  </si>
  <si>
    <t>27236 FIFTH AVE W</t>
  </si>
  <si>
    <t>HIGGINBOTHAM LELAND KIRK</t>
  </si>
  <si>
    <t>27236 W 5TH AVE</t>
  </si>
  <si>
    <t>BLOCK 123 LOTS 6 &amp; 7 IN OR 1225/453 1996 CLAY SW/MH</t>
  </si>
  <si>
    <t>2013-2802</t>
  </si>
  <si>
    <t>08-3N-24-2380-0128-0130</t>
  </si>
  <si>
    <t>FOURTH &amp; FIFTH</t>
  </si>
  <si>
    <t>FOURTH &amp; FIFTH AV</t>
  </si>
  <si>
    <t>BLOCK 128 LOTS 13 THRU 18 IN OR 1715/559 TOWN OF HILLIARD</t>
  </si>
  <si>
    <t>08-3N-24-2380-0130-0040</t>
  </si>
  <si>
    <t>27106 FIFTH AVE W</t>
  </si>
  <si>
    <t>MIXON RICHARD E JR</t>
  </si>
  <si>
    <t>5557 MILMAR DRIVE NORTH</t>
  </si>
  <si>
    <t>BLOCK 130 LOTS 4 &amp; 5 IN OR 875/1072 TOWN OF HILLIARD</t>
  </si>
  <si>
    <t>2017-414</t>
  </si>
  <si>
    <t>2016-398</t>
  </si>
  <si>
    <t>TONELIUS OLIVER</t>
  </si>
  <si>
    <t>2015-404</t>
  </si>
  <si>
    <t>2014-403</t>
  </si>
  <si>
    <t>2013-439</t>
  </si>
  <si>
    <t>2012-935</t>
  </si>
  <si>
    <t>2011-658</t>
  </si>
  <si>
    <t>08-3N-24-2380-0130-0060</t>
  </si>
  <si>
    <t>BLOCK 130 LOTS 6 &amp; 7 IN OR 806 PG 1117 TOWN OF HILLIARD</t>
  </si>
  <si>
    <t>2017-415</t>
  </si>
  <si>
    <t>2016-399</t>
  </si>
  <si>
    <t>2015-405</t>
  </si>
  <si>
    <t>2014-404</t>
  </si>
  <si>
    <t>2013-440</t>
  </si>
  <si>
    <t>2012-936</t>
  </si>
  <si>
    <t>2011-659</t>
  </si>
  <si>
    <t>JAY E GROH</t>
  </si>
  <si>
    <t>08-3N-24-2380-0133-0180</t>
  </si>
  <si>
    <t>THIRD</t>
  </si>
  <si>
    <t>THIRD AV</t>
  </si>
  <si>
    <t>BLOCK 133 LOT 18 PT OR 874/1552 TOWN OF HILLIARD</t>
  </si>
  <si>
    <t>2017-417</t>
  </si>
  <si>
    <t>2016-400</t>
  </si>
  <si>
    <t>2015-406</t>
  </si>
  <si>
    <t>2014-405</t>
  </si>
  <si>
    <t>SKY DREAM HOLDINGS LLC.</t>
  </si>
  <si>
    <t>2013-447</t>
  </si>
  <si>
    <t>BRADLEY SNELL</t>
  </si>
  <si>
    <t>2012-943</t>
  </si>
  <si>
    <t>2011-666</t>
  </si>
  <si>
    <t>08-3N-24-2380-0134-0010</t>
  </si>
  <si>
    <t>MONTANA</t>
  </si>
  <si>
    <t>27302 MONTANA ST</t>
  </si>
  <si>
    <t>LAWSON ROBERT &amp; JOSETTA</t>
  </si>
  <si>
    <t>27302 MONTANA STREET</t>
  </si>
  <si>
    <t>BLOCK 134 LOTS 1 THRU 4 IN OR 853/1223 TOWN OF HILLIARD</t>
  </si>
  <si>
    <t>2017-418</t>
  </si>
  <si>
    <t>ECRU LLC PM3EC1717H5</t>
  </si>
  <si>
    <t>08-3N-24-2380-0134-0050</t>
  </si>
  <si>
    <t>27173 FOURTH AVE W</t>
  </si>
  <si>
    <t>PENSA ROBERT P</t>
  </si>
  <si>
    <t>27173 WEST 4TH AVE</t>
  </si>
  <si>
    <t>BLOCK 134 LOTS 5 6 7 &amp; 8 IN OR 1327/1973</t>
  </si>
  <si>
    <t>2017-419</t>
  </si>
  <si>
    <t>BENNU LLC JHA111B5Y</t>
  </si>
  <si>
    <t>2016-401</t>
  </si>
  <si>
    <t>FLORIDA GROUP UPSILON 165757 US BANK CUST FOR PFS FINANCIAL 1</t>
  </si>
  <si>
    <t>2015-407</t>
  </si>
  <si>
    <t>AZTEC ADVISORY SERVICES97339</t>
  </si>
  <si>
    <t>2014-406</t>
  </si>
  <si>
    <t>2013-448</t>
  </si>
  <si>
    <t>2012-944</t>
  </si>
  <si>
    <t>2011-667</t>
  </si>
  <si>
    <t>08-3N-24-2380-0134-0130</t>
  </si>
  <si>
    <t>W THIRD AV</t>
  </si>
  <si>
    <t>BLOCK 134 LOTS 13 14 15 &amp; 16 IN OR 419 PG 15 TOWN OF HILLIARD</t>
  </si>
  <si>
    <t>08-3N-24-2380-0134-0170</t>
  </si>
  <si>
    <t>27272 MONTANA ST</t>
  </si>
  <si>
    <t>BLOCK 134 17 THRU 24 IN OR 311/40 &amp; 342/101 TOWN OF HILLIARD</t>
  </si>
  <si>
    <t>08-3N-24-2380-0135-0200</t>
  </si>
  <si>
    <t>YOUNG R E</t>
  </si>
  <si>
    <t>2685 EVERETT DR</t>
  </si>
  <si>
    <t>RENO NV</t>
  </si>
  <si>
    <t>BLOCK 135 LOT 20 TOWN OF HILLIARD</t>
  </si>
  <si>
    <t>2017-420</t>
  </si>
  <si>
    <t>2016-402</t>
  </si>
  <si>
    <t>2015-408</t>
  </si>
  <si>
    <t>2014-407</t>
  </si>
  <si>
    <t>08-3N-24-2380-0138-0130</t>
  </si>
  <si>
    <t>27273 W THIRD AV</t>
  </si>
  <si>
    <t>PO BOX 940</t>
  </si>
  <si>
    <t>BLOCK 138 LOTS 13 TO 18 OR 1463/1700 R224171 1989 WEST SW/MH</t>
  </si>
  <si>
    <t>2016-404</t>
  </si>
  <si>
    <t>2015-409</t>
  </si>
  <si>
    <t>OCEAN ADVISORS103909</t>
  </si>
  <si>
    <t>2014-409</t>
  </si>
  <si>
    <t>EDWARD STEWART REI HOLDINGS, LLC</t>
  </si>
  <si>
    <t>2013-450</t>
  </si>
  <si>
    <t>2011-669</t>
  </si>
  <si>
    <t>08-3N-24-2380-0140-0110</t>
  </si>
  <si>
    <t>FOURTH AV</t>
  </si>
  <si>
    <t>BADER ULRICH</t>
  </si>
  <si>
    <t>C/O JOHN K CONNERS</t>
  </si>
  <si>
    <t>804 EMERALD BAY</t>
  </si>
  <si>
    <t>LAGUNA BEACH CA</t>
  </si>
  <si>
    <t>BLOCK 140 LOTS 11 12 TOWN OF HILLIARD</t>
  </si>
  <si>
    <t>2017-423</t>
  </si>
  <si>
    <t>2016-406</t>
  </si>
  <si>
    <t>2015-410</t>
  </si>
  <si>
    <t>2014-410</t>
  </si>
  <si>
    <t>2013-451</t>
  </si>
  <si>
    <t>2012-946</t>
  </si>
  <si>
    <t>2011-670</t>
  </si>
  <si>
    <t>JOSEPH DUNN ROMINE</t>
  </si>
  <si>
    <t>08-3N-24-2380-0145-0070</t>
  </si>
  <si>
    <t>27247 THIRD AVE W</t>
  </si>
  <si>
    <t>HOLLEY MARCUS W</t>
  </si>
  <si>
    <t>BLOCK 145 LOTS 7 8 9 10 11 12 IN OR 1732/1697 1996 FLTWD SW/MH</t>
  </si>
  <si>
    <t>2015-411</t>
  </si>
  <si>
    <t>F182564</t>
  </si>
  <si>
    <t>2014-411</t>
  </si>
  <si>
    <t>2013-452</t>
  </si>
  <si>
    <t>08-3N-24-2380-0147-0180</t>
  </si>
  <si>
    <t>MISSOURI</t>
  </si>
  <si>
    <t>27206 MISSOURI ST</t>
  </si>
  <si>
    <t>LAURENDINE KEE &amp; BENITA F &amp; LYNN CONSTANCE F</t>
  </si>
  <si>
    <t>BLOCK 147 LOTS 18 19 20 21 22 23 &amp; 24 OR 626/349 1/2 HX INT</t>
  </si>
  <si>
    <t>2017-424</t>
  </si>
  <si>
    <t>TIVOLI588</t>
  </si>
  <si>
    <t>2016-407</t>
  </si>
  <si>
    <t>GRASSYRIVER 767 LLC</t>
  </si>
  <si>
    <t>08-3N-24-2380-0148-0190</t>
  </si>
  <si>
    <t>SECOND</t>
  </si>
  <si>
    <t>SECOND AV</t>
  </si>
  <si>
    <t>HAQUE MOHAMMED</t>
  </si>
  <si>
    <t>3552 STEINWAY ST  APT 2</t>
  </si>
  <si>
    <t>LONG ISLAND CITY NY</t>
  </si>
  <si>
    <t>BLOCK 148 LOTS 19 &amp; 20 IN OR 1516/922 TOWN OF HILLIARD</t>
  </si>
  <si>
    <t>2017-425</t>
  </si>
  <si>
    <t>2016-408</t>
  </si>
  <si>
    <t>2015-412</t>
  </si>
  <si>
    <t>2014-413</t>
  </si>
  <si>
    <t>2013-454</t>
  </si>
  <si>
    <t>2012-947</t>
  </si>
  <si>
    <t>2011-672</t>
  </si>
  <si>
    <t>08-3N-24-2380-0150-0010</t>
  </si>
  <si>
    <t>27185 THIRD AVE W</t>
  </si>
  <si>
    <t>HARVILL LINDA G</t>
  </si>
  <si>
    <t>BLOCK 150 LOTS 1 2 3 &amp; 4 IN OR 408 PG 555 TOWN OF HILLIARD</t>
  </si>
  <si>
    <t>2015-413</t>
  </si>
  <si>
    <t>C42117</t>
  </si>
  <si>
    <t>2014-414</t>
  </si>
  <si>
    <t>2013-455</t>
  </si>
  <si>
    <t>08-3N-24-2380-0150-0050</t>
  </si>
  <si>
    <t>3RD &amp; KENTUCKY</t>
  </si>
  <si>
    <t>3RD &amp; KENTUCKY ST</t>
  </si>
  <si>
    <t>BLOCK 150 LOTS 5 THRU 12 IN OR 451 PG 332 TOWN OF HILLIARD</t>
  </si>
  <si>
    <t>08-3N-24-2380-0151-0160</t>
  </si>
  <si>
    <t>BLOCK 151 LOTS 16 &amp; 17 PT OR 2030/1492 TOWN OF HILLIARD</t>
  </si>
  <si>
    <t>2017-426</t>
  </si>
  <si>
    <t>2016-409</t>
  </si>
  <si>
    <t>2015-414</t>
  </si>
  <si>
    <t>2014-415</t>
  </si>
  <si>
    <t>2013-456</t>
  </si>
  <si>
    <t>2012-948</t>
  </si>
  <si>
    <t>2011-673</t>
  </si>
  <si>
    <t>08-3N-24-2380-0154-0010</t>
  </si>
  <si>
    <t>KENTUCKY</t>
  </si>
  <si>
    <t>27130 KENTUCKY ST</t>
  </si>
  <si>
    <t>ISHAM ROBERT J &amp; ALANA</t>
  </si>
  <si>
    <t>27146 WEST 2ND AVE</t>
  </si>
  <si>
    <t>BLOCK 154 LOTS 1 THRU 12 R583882 IN OR 755/1016 TOWN OF HILLIARD</t>
  </si>
  <si>
    <t>08-3N-24-2380-0155-0130</t>
  </si>
  <si>
    <t>27146 FIRST AVE W</t>
  </si>
  <si>
    <t>STETSON THEODORE</t>
  </si>
  <si>
    <t>BLOCK 155 LOTS 13 14 &amp; 15 IN OR 391 PG 182 R108171 TOWN OF HILLIARD</t>
  </si>
  <si>
    <t>2017-428</t>
  </si>
  <si>
    <t>2016-412</t>
  </si>
  <si>
    <t>BILL VAUGHAN GULDEN, LLC</t>
  </si>
  <si>
    <t>2015-415</t>
  </si>
  <si>
    <t>2014-416</t>
  </si>
  <si>
    <t>2013-457</t>
  </si>
  <si>
    <t>2012-949</t>
  </si>
  <si>
    <t>2011-674</t>
  </si>
  <si>
    <t>08-3N-24-2380-0157-0180</t>
  </si>
  <si>
    <t>27312 FIRST AVE W</t>
  </si>
  <si>
    <t>BRUCE JOHNNIE F &amp; RICH J W &amp; ROBERT TAYLOR</t>
  </si>
  <si>
    <t>27312 W FIRST AV</t>
  </si>
  <si>
    <t>BLOCK 157 LOTS 18 THRU 24 IN OR 1406/1495 &amp; OR 1925/1026 TOWN OF HILLIARD</t>
  </si>
  <si>
    <t>2016-413</t>
  </si>
  <si>
    <t>BENNU LLC LYA5Q4AR</t>
  </si>
  <si>
    <t>08-3N-24-2380-0168-0050</t>
  </si>
  <si>
    <t>27427 FIRST AVE W</t>
  </si>
  <si>
    <t>BULLARD LUCAS D</t>
  </si>
  <si>
    <t>BULLARD CHRISTINE E</t>
  </si>
  <si>
    <t>27427 W 1ST AVE</t>
  </si>
  <si>
    <t>BLOCK 168 LOTS 5 THRU 12 IN OR 1034/229 TOWN OF HILLIARD</t>
  </si>
  <si>
    <t>2016-415</t>
  </si>
  <si>
    <t>BENNU LLC YS1CN227J</t>
  </si>
  <si>
    <t>2015-418</t>
  </si>
  <si>
    <t>ECRU LLC HM80PA0</t>
  </si>
  <si>
    <t>ALTERNA FUNDING II, LLC MTAG AS CUSTODIAN FOR ALTERNA FUNDING II LLC</t>
  </si>
  <si>
    <t>2013-462</t>
  </si>
  <si>
    <t>2012-954</t>
  </si>
  <si>
    <t>2011-678</t>
  </si>
  <si>
    <t>08-3N-24-2380-0173-0040</t>
  </si>
  <si>
    <t>W FIRST AV</t>
  </si>
  <si>
    <t>HOFFMAN JAMES J</t>
  </si>
  <si>
    <t>PENSA MARK ANTHONY</t>
  </si>
  <si>
    <t>BLOCK 173 LOT 4 PT OR 1792/1188 TOWN OF HILLIARD</t>
  </si>
  <si>
    <t>2014-422</t>
  </si>
  <si>
    <t>2013-464</t>
  </si>
  <si>
    <t>08-3N-24-2380-0173-0050</t>
  </si>
  <si>
    <t>27103 FIRST AVE W</t>
  </si>
  <si>
    <t>LEE LARRY F EST &amp; LEE JAUNELL</t>
  </si>
  <si>
    <t>56256 COLBY DR</t>
  </si>
  <si>
    <t>BLOCK 173 LOTS 5 6 &amp; 7 IN OR 420 PG 26 TOWN OF HILLIARD</t>
  </si>
  <si>
    <t>2017-431</t>
  </si>
  <si>
    <t>2016-417</t>
  </si>
  <si>
    <t>2015-421</t>
  </si>
  <si>
    <t>2014-423</t>
  </si>
  <si>
    <t>2011-680</t>
  </si>
  <si>
    <t>08-3N-24-2380-0176-0070</t>
  </si>
  <si>
    <t>NEW FRONT</t>
  </si>
  <si>
    <t>NEW FRONT ST</t>
  </si>
  <si>
    <t>MIKKELSON CARL G EST</t>
  </si>
  <si>
    <t>3756 WEST 3RD STREET</t>
  </si>
  <si>
    <t>BLOCK 176 LOT 7 TOWN OF HILLIARD</t>
  </si>
  <si>
    <t>08-3N-24-2380-0178-0170</t>
  </si>
  <si>
    <t>BAY</t>
  </si>
  <si>
    <t>BAY RD</t>
  </si>
  <si>
    <t>DOHR LILAS H TRUSTEE OF THE LILAS DOHR REVOC TRUST</t>
  </si>
  <si>
    <t>321 SOUTH WALNUT STREET</t>
  </si>
  <si>
    <t>APPLETON WI</t>
  </si>
  <si>
    <t>BLOCK 178 LOT 17 (LESS S5 FT) IN OR 1009/1486 TOWN OF HILLIARD</t>
  </si>
  <si>
    <t>2017-433</t>
  </si>
  <si>
    <t>2016-419</t>
  </si>
  <si>
    <t>2015-425</t>
  </si>
  <si>
    <t>2014-427</t>
  </si>
  <si>
    <t>2013-468</t>
  </si>
  <si>
    <t>2012-959</t>
  </si>
  <si>
    <t>2011-684</t>
  </si>
  <si>
    <t>POPE YOLANDA ROCHE POPE YOLANDA R</t>
  </si>
  <si>
    <t>08-3N-24-2380-0180-0090</t>
  </si>
  <si>
    <t>27353 NEW FRONT ST</t>
  </si>
  <si>
    <t>PIERSON KRISTINA</t>
  </si>
  <si>
    <t>BLOCK 180 LOTS 9 THRU 12 (LESS TO S RD) IN OR 2043/270 TOWN OF HILLIARD</t>
  </si>
  <si>
    <t>2017-434</t>
  </si>
  <si>
    <t>GATO 11013</t>
  </si>
  <si>
    <t>08-3N-24-2380-0183-0130</t>
  </si>
  <si>
    <t>INDIANA</t>
  </si>
  <si>
    <t>27071 INDIANA ST</t>
  </si>
  <si>
    <t>CALHOUN PAULINE</t>
  </si>
  <si>
    <t>27071 INDIANA ST APT 101</t>
  </si>
  <si>
    <t>Multi-family - fewer than 10 units</t>
  </si>
  <si>
    <t>Multi-Family Dwellings (Generic any combination 2+)</t>
  </si>
  <si>
    <t>CN COMM NH</t>
  </si>
  <si>
    <t>BLOCK 183 LOTS 13 THRU 17 IN OR 1309/86 TOWN OF HILLIARD</t>
  </si>
  <si>
    <t>08-3N-24-2380-0184-0180</t>
  </si>
  <si>
    <t>MOLLY</t>
  </si>
  <si>
    <t>MOLLY LN</t>
  </si>
  <si>
    <t>BALLARD BERENDA F</t>
  </si>
  <si>
    <t>2497 DAVIS RD</t>
  </si>
  <si>
    <t>FENTON MI</t>
  </si>
  <si>
    <t>BLOCK 184 LOT 18 TOWN OF HILLIARD</t>
  </si>
  <si>
    <t>2017-435</t>
  </si>
  <si>
    <t>2016-421</t>
  </si>
  <si>
    <t>2015-430</t>
  </si>
  <si>
    <t>2014-431</t>
  </si>
  <si>
    <t>2013-478</t>
  </si>
  <si>
    <t>2012-963</t>
  </si>
  <si>
    <t>2011-689</t>
  </si>
  <si>
    <t>08-3N-24-2380-0184-0200</t>
  </si>
  <si>
    <t>HOWARD A E (ESTATE)</t>
  </si>
  <si>
    <t>702 NEWPORT ST</t>
  </si>
  <si>
    <t>BLOCK 184 LOT 20 TOWN OF HILLIARD</t>
  </si>
  <si>
    <t>2017-436</t>
  </si>
  <si>
    <t>2016-422</t>
  </si>
  <si>
    <t>2015-431</t>
  </si>
  <si>
    <t>2014-432</t>
  </si>
  <si>
    <t>08-3N-24-2380-0197-0080</t>
  </si>
  <si>
    <t>11TH</t>
  </si>
  <si>
    <t>11TH AV</t>
  </si>
  <si>
    <t>STOCKTON C  B</t>
  </si>
  <si>
    <t>2951 LA PAZ AVE</t>
  </si>
  <si>
    <t>HEMET CA</t>
  </si>
  <si>
    <t>BLOCK 197 LOT 8 TOWN OF HILLIARD</t>
  </si>
  <si>
    <t>2017-438</t>
  </si>
  <si>
    <t>2016-424</t>
  </si>
  <si>
    <t>2015-432</t>
  </si>
  <si>
    <t>2014-434</t>
  </si>
  <si>
    <t>2013-480</t>
  </si>
  <si>
    <t>2012-964</t>
  </si>
  <si>
    <t>2011-691</t>
  </si>
  <si>
    <t>08-3N-24-2380-0199-0140</t>
  </si>
  <si>
    <t>TENTH</t>
  </si>
  <si>
    <t>W TENTH AV</t>
  </si>
  <si>
    <t>BRYCE ROBERT W SR HEIRS TRUST</t>
  </si>
  <si>
    <t>305 KNOLL ST NW</t>
  </si>
  <si>
    <t>VIENNA VA</t>
  </si>
  <si>
    <t>BLOCK 199 LOTS 14 &amp; 15 PT OR 364/39-46 &amp; 357/13 TOWN OF HILLIARD</t>
  </si>
  <si>
    <t>2017-439</t>
  </si>
  <si>
    <t>2016-425</t>
  </si>
  <si>
    <t>2015-433</t>
  </si>
  <si>
    <t>2014-435</t>
  </si>
  <si>
    <t>2013-481</t>
  </si>
  <si>
    <t>2012-965</t>
  </si>
  <si>
    <t>2011-692</t>
  </si>
  <si>
    <t>08-3N-24-2380-0199-0220</t>
  </si>
  <si>
    <t>BELL RONALD WAYNE &amp; BELL DONALD GARY</t>
  </si>
  <si>
    <t>45219 MICKLER ST</t>
  </si>
  <si>
    <t>BLOCK 199 LOTS 22 &amp; 23 PT OR 1028/1690 TOWN OF HILLIARD</t>
  </si>
  <si>
    <t>2015-434</t>
  </si>
  <si>
    <t>MARIA DEJESUS ISAIS</t>
  </si>
  <si>
    <t>2013-482</t>
  </si>
  <si>
    <t>08-3N-24-2380-0201-0130</t>
  </si>
  <si>
    <t>10TH</t>
  </si>
  <si>
    <t>27426 W 10TH AV</t>
  </si>
  <si>
    <t>JOHNSON HAROLD F</t>
  </si>
  <si>
    <t>PO BOX 1701</t>
  </si>
  <si>
    <t>BLOCK 201 LOTS 13 THRU 24 PT OR 163/242 &amp; OR 201/178 &amp; CASE #2009-DR-784 OR 1687/534</t>
  </si>
  <si>
    <t>2017-440</t>
  </si>
  <si>
    <t>GREENWOOD VILLAGE MANAGEMENT SERVICES 789 LLC</t>
  </si>
  <si>
    <t>2016-426</t>
  </si>
  <si>
    <t>GRASS RIVER INVESTMENTS ACJT LLC</t>
  </si>
  <si>
    <t>2015-435</t>
  </si>
  <si>
    <t>ORANGE DOLPHIN ZAMZ LLC</t>
  </si>
  <si>
    <t>2014-436</t>
  </si>
  <si>
    <t>2013-483</t>
  </si>
  <si>
    <t>2011-693</t>
  </si>
  <si>
    <t>08-3N-24-2380-0208-0040</t>
  </si>
  <si>
    <t>12TH</t>
  </si>
  <si>
    <t>12TH AV</t>
  </si>
  <si>
    <t>KELLY JEAN VALERIE</t>
  </si>
  <si>
    <t>C/O MICHAEL KELLY</t>
  </si>
  <si>
    <t>1220 PARK AVE #7D</t>
  </si>
  <si>
    <t>NEW YORK NY</t>
  </si>
  <si>
    <t>BLOCK 208 LOT 4 TOWN OF HILLIARD</t>
  </si>
  <si>
    <t>2017-444</t>
  </si>
  <si>
    <t>2016-431</t>
  </si>
  <si>
    <t>2015-439</t>
  </si>
  <si>
    <t>2014-440</t>
  </si>
  <si>
    <t>2013-487</t>
  </si>
  <si>
    <t>2012-968</t>
  </si>
  <si>
    <t>08-3N-24-2380-0218-0010</t>
  </si>
  <si>
    <t>FOURTEENTH</t>
  </si>
  <si>
    <t>27193 FOURTEENTH AVE W</t>
  </si>
  <si>
    <t>SCAFF CHARLES R II</t>
  </si>
  <si>
    <t>BLOCK 218 LOTS 1 TO 6 IN OR 1723/1432 TOWN OF HILLIARD</t>
  </si>
  <si>
    <t>2017-447</t>
  </si>
  <si>
    <t>CROTONE1783</t>
  </si>
  <si>
    <t>2014-441</t>
  </si>
  <si>
    <t>2013-489</t>
  </si>
  <si>
    <t>08-3N-24-2380-0219-0210</t>
  </si>
  <si>
    <t>27730 KENTUCKY ST</t>
  </si>
  <si>
    <t>HESS JEANNIE</t>
  </si>
  <si>
    <t>BLOCK 219 LOTS 21 THRU 24 &amp; LOTS 13 THRU 20 OR 683/64 &amp; OR 714/1207 &amp;</t>
  </si>
  <si>
    <t>2016-433</t>
  </si>
  <si>
    <t>RAPTY TRUST SERIES 21179</t>
  </si>
  <si>
    <t>08-3N-24-2381-0001-0000</t>
  </si>
  <si>
    <t>PECAN</t>
  </si>
  <si>
    <t>LOTS 1 &amp; 2 IN OR 1765/563 BUSINESS LOTS S/D OF TOWN OF</t>
  </si>
  <si>
    <t>2016-434</t>
  </si>
  <si>
    <t>TRIAD HOLDINGS131552</t>
  </si>
  <si>
    <t>2015-443</t>
  </si>
  <si>
    <t>ORANGE DOLPHINS XBAC LLC</t>
  </si>
  <si>
    <t>2013-490</t>
  </si>
  <si>
    <t>08-3N-24-2381-0003-0000</t>
  </si>
  <si>
    <t>37085 PECAN ST</t>
  </si>
  <si>
    <t>LOT 3 IN OR 1765/564 BUSINESS LOTS S/D OF TOWN OF</t>
  </si>
  <si>
    <t>2016-435</t>
  </si>
  <si>
    <t>ECRU LLC TS1B7YE</t>
  </si>
  <si>
    <t>2015-444</t>
  </si>
  <si>
    <t>2013-491</t>
  </si>
  <si>
    <t>08-3N-24-2420-000E-0140</t>
  </si>
  <si>
    <t>CYPRESS</t>
  </si>
  <si>
    <t>2406 CYPRESS ST</t>
  </si>
  <si>
    <t>SAMPSON JAMES</t>
  </si>
  <si>
    <t>SAMPSON STACY LEIGH</t>
  </si>
  <si>
    <t>37207 CYPRESS LN</t>
  </si>
  <si>
    <t>DELLA WARE HEIGHTS</t>
  </si>
  <si>
    <t>LOT 14 IN OR 847/1403 DELLA WARE HEIGHTS SUB PB 3/60</t>
  </si>
  <si>
    <t>2016-436</t>
  </si>
  <si>
    <t>JOSE HERNANDEZ</t>
  </si>
  <si>
    <t>2015-445</t>
  </si>
  <si>
    <t>2014-442</t>
  </si>
  <si>
    <t>2013-494</t>
  </si>
  <si>
    <t>2011-699</t>
  </si>
  <si>
    <t>08-3N-24-2440-0006-0020</t>
  </si>
  <si>
    <t>WALKER</t>
  </si>
  <si>
    <t>37134 WALKER ST</t>
  </si>
  <si>
    <t>FOSSICK DEBORAH G</t>
  </si>
  <si>
    <t>PO BOX 1004</t>
  </si>
  <si>
    <t>E</t>
  </si>
  <si>
    <t>SUB LOT E WALKER SUB UNR A/K/A PT OF LOTS 6 &amp; 7 (S-2) OR 291 PG 150</t>
  </si>
  <si>
    <t>2017-448</t>
  </si>
  <si>
    <t>PELICAN PASS TAX ACGP LLC</t>
  </si>
  <si>
    <t>2016-438</t>
  </si>
  <si>
    <t>BENNU LLC LY17QCB6R</t>
  </si>
  <si>
    <t>2015-446</t>
  </si>
  <si>
    <t>TANGERINE DELPHIS XIWY LLC</t>
  </si>
  <si>
    <t>2014-444</t>
  </si>
  <si>
    <t>2013-495</t>
  </si>
  <si>
    <t>2012-975</t>
  </si>
  <si>
    <t>2011-702</t>
  </si>
  <si>
    <t>09-3N-24-0000-0004-0070</t>
  </si>
  <si>
    <t>371440 EASTWOOD RD</t>
  </si>
  <si>
    <t>TERRELL ALVIN D</t>
  </si>
  <si>
    <t>TERRELL BARBARA L</t>
  </si>
  <si>
    <t>R1</t>
  </si>
  <si>
    <t>9-03N-24E</t>
  </si>
  <si>
    <t>PT OF NE1/4 IN OR 1813/1065</t>
  </si>
  <si>
    <t>2017-449</t>
  </si>
  <si>
    <t>PELICAN PASS TAX ABLB LLC</t>
  </si>
  <si>
    <t>2015-448</t>
  </si>
  <si>
    <t>KEYS TAX FUNDING LLC - 1 US BANK % KEYS TAX FUNDING LLC-1</t>
  </si>
  <si>
    <t>RAPTY TRUST SERIES 7908</t>
  </si>
  <si>
    <t>2014-445</t>
  </si>
  <si>
    <t>2013-496</t>
  </si>
  <si>
    <t>09-3N-24-0000-0020-0000</t>
  </si>
  <si>
    <t>DONELY DAVID EST</t>
  </si>
  <si>
    <t>37060 OXFORD ST</t>
  </si>
  <si>
    <t>IN OR 3 PG 408 CO REC</t>
  </si>
  <si>
    <t>2016-440</t>
  </si>
  <si>
    <t>LAQUSHIA EDWARDS LNE PROPERTIES, LLC</t>
  </si>
  <si>
    <t>2015-449</t>
  </si>
  <si>
    <t>2013-497</t>
  </si>
  <si>
    <t>STEVEN W OVERFELT ONEDAY LLC</t>
  </si>
  <si>
    <t>2012-1101</t>
  </si>
  <si>
    <t>2011-705</t>
  </si>
  <si>
    <t>ROBERT S. HUENEFELD</t>
  </si>
  <si>
    <t>09-3N-24-0000-0022-0010</t>
  </si>
  <si>
    <t>37013 OXFORD ST</t>
  </si>
  <si>
    <t>ANDERSON JAMES A</t>
  </si>
  <si>
    <t>PO BOX 842</t>
  </si>
  <si>
    <t>IN OR 790 PG 1794</t>
  </si>
  <si>
    <t>2017-450</t>
  </si>
  <si>
    <t>2016-441</t>
  </si>
  <si>
    <t>2015-450</t>
  </si>
  <si>
    <t>2014-446</t>
  </si>
  <si>
    <t>2013-498</t>
  </si>
  <si>
    <t>2012-1102</t>
  </si>
  <si>
    <t>2011-706</t>
  </si>
  <si>
    <t>09-3N-24-2480-0018-0010</t>
  </si>
  <si>
    <t>MILL</t>
  </si>
  <si>
    <t>MILL ST</t>
  </si>
  <si>
    <t>MCLEMORE CHARLES L</t>
  </si>
  <si>
    <t>MCLEMORE EVELYN L</t>
  </si>
  <si>
    <t>37286 MILL ST</t>
  </si>
  <si>
    <t>N1/2 OF LOT 18 IN OR 1277/1839 PONSETTIA PARK PB 3/68</t>
  </si>
  <si>
    <t>10-3N-24-073A-0001-0000</t>
  </si>
  <si>
    <t>151040 CR 108</t>
  </si>
  <si>
    <t>GREENWELL KEVIN</t>
  </si>
  <si>
    <t>151040 COUNTY ROAD 108</t>
  </si>
  <si>
    <t>10-03N-24E</t>
  </si>
  <si>
    <t>LOT 1 IN OR 847/259 R787320 &amp; R787321</t>
  </si>
  <si>
    <t>2016-443</t>
  </si>
  <si>
    <t>BENJAMIN FLECK</t>
  </si>
  <si>
    <t>10-3N-24-0775-0005-0000</t>
  </si>
  <si>
    <t>151084 CR 108</t>
  </si>
  <si>
    <t>DUBOSE KAREN</t>
  </si>
  <si>
    <t>LOT 5 IN OR 859/945 EX R/W IN OR 860/1122</t>
  </si>
  <si>
    <t>2016-445</t>
  </si>
  <si>
    <t>2015-454</t>
  </si>
  <si>
    <t>2013-503</t>
  </si>
  <si>
    <t>2013-2871</t>
  </si>
  <si>
    <t>2013-2890</t>
  </si>
  <si>
    <t>2013-2900</t>
  </si>
  <si>
    <t>10-3N-24-2320-0040-0020</t>
  </si>
  <si>
    <t>MUNDEE</t>
  </si>
  <si>
    <t>37076 MUNDEE PL</t>
  </si>
  <si>
    <t>SMITH BRANDON K &amp; DEANNA M</t>
  </si>
  <si>
    <t>37076 MUNDEE PLACE</t>
  </si>
  <si>
    <t>PT OF LOT 40 IN OR 1637/1305 R672172 &amp; 672173</t>
  </si>
  <si>
    <t>2014-449</t>
  </si>
  <si>
    <t>2012-1133</t>
  </si>
  <si>
    <t>10-3N-24-2320-0040-0040</t>
  </si>
  <si>
    <t>BULFORD</t>
  </si>
  <si>
    <t>37362 BULFORD RD</t>
  </si>
  <si>
    <t>ROBERTSON CYNTHIA T</t>
  </si>
  <si>
    <t>PO BOX 554</t>
  </si>
  <si>
    <t>PT OF LOT 40 IN OR 1163/721 DUNN SURVEY</t>
  </si>
  <si>
    <t>2017-455</t>
  </si>
  <si>
    <t>2016-447</t>
  </si>
  <si>
    <t>2014-450</t>
  </si>
  <si>
    <t>2013-506</t>
  </si>
  <si>
    <t>2012-1134</t>
  </si>
  <si>
    <t>2011-717</t>
  </si>
  <si>
    <t>10-3N-24-2320-0043-0030</t>
  </si>
  <si>
    <t>37172 BULFORD RD</t>
  </si>
  <si>
    <t>SELLERS TINA</t>
  </si>
  <si>
    <t>SELLERS CHARLES</t>
  </si>
  <si>
    <t>PT OF LOT 43 IN OR 1039/1099 R278256 &amp; R278257</t>
  </si>
  <si>
    <t>2016-450</t>
  </si>
  <si>
    <t>CCTS LLC GROUP ETA 91353 US BANK CUST FOR PFS FINANCIAL 2 LLC</t>
  </si>
  <si>
    <t>2015-458</t>
  </si>
  <si>
    <t>GRAPESEED INDUSTRIES174080</t>
  </si>
  <si>
    <t>2011-720</t>
  </si>
  <si>
    <t>15-3N-24-0000-0002-0000</t>
  </si>
  <si>
    <t>ESMT OFF ALICE</t>
  </si>
  <si>
    <t>ESMT OFF ALICE ST</t>
  </si>
  <si>
    <t>OKEFENOKEE II L C</t>
  </si>
  <si>
    <t>PO BOX 50338</t>
  </si>
  <si>
    <t>15-03N-24E</t>
  </si>
  <si>
    <t>PT OF NW1/4 OF NW1/4 OF SEC 15-3N-24E IN OR 1287/886 (EX PT IN OR 1115/1455 &amp;</t>
  </si>
  <si>
    <t>15-3N-24-0000-0002-0040</t>
  </si>
  <si>
    <t>EASTWOOD RD</t>
  </si>
  <si>
    <t>OKEFENOKEE II LC</t>
  </si>
  <si>
    <t>RG-1</t>
  </si>
  <si>
    <t>PT OF NW1/4 OF SEC 15-3N-24E IN OR 1194/1968 (EX ESMTS IN OR 557/520 OR 557/527)</t>
  </si>
  <si>
    <t>15-3N-24-0000-0002-0050</t>
  </si>
  <si>
    <t>R-3</t>
  </si>
  <si>
    <t>PT OR 956/1102 ESMT OR 557/527 WATER TREATMENT PLANT</t>
  </si>
  <si>
    <t>15-3N-24-0000-0002-0060</t>
  </si>
  <si>
    <t>ALICE</t>
  </si>
  <si>
    <t>ALICE ST</t>
  </si>
  <si>
    <t>PT OF NW1/4 OF NW1/4 OF SEC 15-3N-24E IN OR 1115/1455 (EX PT IN OR 1148/729)</t>
  </si>
  <si>
    <t>15-3N-24-0000-0006-0000</t>
  </si>
  <si>
    <t>551091 US HWY 1</t>
  </si>
  <si>
    <t>WELLS VIRGINIA J EST</t>
  </si>
  <si>
    <t>551090 US HWY 1</t>
  </si>
  <si>
    <t>Mixed use - store and office combination</t>
  </si>
  <si>
    <t>Store/Office (mixed use)</t>
  </si>
  <si>
    <t>IN OR 1114/852</t>
  </si>
  <si>
    <t>15-3N-24-2320-0017-0030</t>
  </si>
  <si>
    <t>TESTONE</t>
  </si>
  <si>
    <t>37093 TESTONE LN</t>
  </si>
  <si>
    <t>HAMMAGE &amp; SKEET LLC</t>
  </si>
  <si>
    <t>4225 N PEARL ST</t>
  </si>
  <si>
    <t>Multi-family - 10 units or more</t>
  </si>
  <si>
    <t>ALL LOT 17 W OF HWY &amp; ALL LOT 18 W OF HWY S-2 IN OR 1473/1633</t>
  </si>
  <si>
    <t>2016-451</t>
  </si>
  <si>
    <t>BISBEE LLC 1Y5A5CA</t>
  </si>
  <si>
    <t>2015-461</t>
  </si>
  <si>
    <t>E16869</t>
  </si>
  <si>
    <t>2013-510</t>
  </si>
  <si>
    <t>16-3N-24-0000-0006-0270</t>
  </si>
  <si>
    <t>JOY</t>
  </si>
  <si>
    <t>3786 JOY LN</t>
  </si>
  <si>
    <t>SIMS PATRICK E</t>
  </si>
  <si>
    <t>3786 JOY LANE</t>
  </si>
  <si>
    <t>16-03N-24E</t>
  </si>
  <si>
    <t>PT OF NE1/4 OF NW1/4 IN OR 1376/771</t>
  </si>
  <si>
    <t>2017-461</t>
  </si>
  <si>
    <t>RAPTY TRUST SERIES 8247</t>
  </si>
  <si>
    <t>2016-454</t>
  </si>
  <si>
    <t>SETPER LLC O87637 SERIES</t>
  </si>
  <si>
    <t>2015-463</t>
  </si>
  <si>
    <t>ECRU LLC TS9MEEE</t>
  </si>
  <si>
    <t>2014-453</t>
  </si>
  <si>
    <t>2013-514</t>
  </si>
  <si>
    <t>2012-1286</t>
  </si>
  <si>
    <t>BRIDGE TAX LLC - S5 US BANK % BRIDGE TAX LLC-S5</t>
  </si>
  <si>
    <t>2011-727</t>
  </si>
  <si>
    <t>16-3N-24-0000-0006-0290</t>
  </si>
  <si>
    <t>SIMS PATRICK</t>
  </si>
  <si>
    <t>PT OF NE1/4 OF NW1/4 IN OR 1577/775</t>
  </si>
  <si>
    <t>2017-462</t>
  </si>
  <si>
    <t>2015-464</t>
  </si>
  <si>
    <t>2014-454</t>
  </si>
  <si>
    <t>2013-515</t>
  </si>
  <si>
    <t>2012-1287</t>
  </si>
  <si>
    <t>2011-728</t>
  </si>
  <si>
    <t>16-3N-24-0000-0015-0000</t>
  </si>
  <si>
    <t>INGHAM</t>
  </si>
  <si>
    <t>37551 INGHAM RD</t>
  </si>
  <si>
    <t>NICKS JAMES C JR &amp; BETTY M</t>
  </si>
  <si>
    <t>15801 CR 108</t>
  </si>
  <si>
    <t>IN OR 137 PG 42 (EX 15-2)</t>
  </si>
  <si>
    <t>16-3N-24-0000-0015-0010</t>
  </si>
  <si>
    <t>INGHAM RD</t>
  </si>
  <si>
    <t>GUYNN SHELTON</t>
  </si>
  <si>
    <t>17106 GUYNN DR</t>
  </si>
  <si>
    <t>IN OR 2040/1339</t>
  </si>
  <si>
    <t>2017-463</t>
  </si>
  <si>
    <t>16-3N-24-0000-0024-0050</t>
  </si>
  <si>
    <t>HENRY SMITH</t>
  </si>
  <si>
    <t>37405 HENRY SMITH RD</t>
  </si>
  <si>
    <t>SMALLWOOD CHARLES A</t>
  </si>
  <si>
    <t>540 NE 45TH CT</t>
  </si>
  <si>
    <t>OCALA FL</t>
  </si>
  <si>
    <t>Vacant Industrial</t>
  </si>
  <si>
    <t>Industrial-Vacant Land</t>
  </si>
  <si>
    <t>PT OF S1/2 OF NE1/4 OF SE1/4 OF SEC 16-3N-24E IN OR 1998/844</t>
  </si>
  <si>
    <t>2014-455</t>
  </si>
  <si>
    <t>2013-516</t>
  </si>
  <si>
    <t>2012-1288</t>
  </si>
  <si>
    <t>2011-729</t>
  </si>
  <si>
    <t>16-3N-24-1270-0004-0000</t>
  </si>
  <si>
    <t>LORENA</t>
  </si>
  <si>
    <t>37166 LORENA DR</t>
  </si>
  <si>
    <t>ALESSI MICHAEL</t>
  </si>
  <si>
    <t>37166 LORENA DRIVE</t>
  </si>
  <si>
    <t>LOT 4 IN OR 1651/1375 ESMTS PT OR 899/471 &amp; 474</t>
  </si>
  <si>
    <t>2011-730</t>
  </si>
  <si>
    <t>16-3N-24-1270-0014-0000</t>
  </si>
  <si>
    <t>3755 LORENA DR</t>
  </si>
  <si>
    <t>MUMFORD MELISSA</t>
  </si>
  <si>
    <t>LORENA SUB</t>
  </si>
  <si>
    <t>LOT 14 IN OR 1458/243 LORENA SUB PB 5/313</t>
  </si>
  <si>
    <t>2014-456</t>
  </si>
  <si>
    <t>WGS TAX INVESTMENT FUNDING LLC 1</t>
  </si>
  <si>
    <t>16-3N-24-2020-0034-0030</t>
  </si>
  <si>
    <t>551378 US HWY 1</t>
  </si>
  <si>
    <t>LATHAM EMILY EST</t>
  </si>
  <si>
    <t>C/O ALLAN DALE LATHAM &amp; BRENDA ACKERMAN</t>
  </si>
  <si>
    <t>PT OF LOT 34 IN DBK 272/54 CORNWALL SURVEY S/D OF SEC 16-3N-24E PBK O/31</t>
  </si>
  <si>
    <t>2016-455</t>
  </si>
  <si>
    <t>AAAAA3777</t>
  </si>
  <si>
    <t>16-3N-24-2320-0001-0000</t>
  </si>
  <si>
    <t>NYRENS</t>
  </si>
  <si>
    <t>WY</t>
  </si>
  <si>
    <t>7624 NYRENS WY</t>
  </si>
  <si>
    <t>NYREN GERALD</t>
  </si>
  <si>
    <t>3911 PARK STREET</t>
  </si>
  <si>
    <t>LOTS 1 &amp; PT OF LOTS 2 &amp; 3 IN OR 357/542 EX S-1 &amp; S-2 OF LOTS 1 &amp; 2</t>
  </si>
  <si>
    <t>2016-456</t>
  </si>
  <si>
    <t>16-3N-24-2320-0001-0020</t>
  </si>
  <si>
    <t>NYRENS WY</t>
  </si>
  <si>
    <t>PT OF LOTS 1 &amp; 2 (S-2) PT OR 357/542 DUNN SURVEY</t>
  </si>
  <si>
    <t>2016-457</t>
  </si>
  <si>
    <t>16-3N-24-2320-0002-0010</t>
  </si>
  <si>
    <t>NYRENS WAY</t>
  </si>
  <si>
    <t>PT OF LOTS 2 &amp; 3 PT OR 956/1102 SEWER PLANT</t>
  </si>
  <si>
    <t>16-3N-24-2320-0003-0020</t>
  </si>
  <si>
    <t>PT OF LOT 3 (S-2) PT OR 357/542 DUNN SURVEY</t>
  </si>
  <si>
    <t>2016-458</t>
  </si>
  <si>
    <t>SMITHWOOD LEGACY, LLC</t>
  </si>
  <si>
    <t>16-3N-24-2580-0029-0020</t>
  </si>
  <si>
    <t>LITTLE MAGNOLIA</t>
  </si>
  <si>
    <t>37017 LITTLE MAGNOLIA CT</t>
  </si>
  <si>
    <t>BOWMAN WENDY</t>
  </si>
  <si>
    <t>SUB OF NW 1/4</t>
  </si>
  <si>
    <t>PT OF LOT 29 &amp; 30 IN OR 2010/1678 SUB OF NW 1/4 PB 1/3</t>
  </si>
  <si>
    <t>2017-464</t>
  </si>
  <si>
    <t>RAPTY TRUST SERIES 38368</t>
  </si>
  <si>
    <t>17-3N-24-2020-0022-0040</t>
  </si>
  <si>
    <t>GARTH</t>
  </si>
  <si>
    <t>2783 GARTH LN</t>
  </si>
  <si>
    <t>RIVER CITY HOLDINGS LLC</t>
  </si>
  <si>
    <t>9378 ARLINGTON EXPY # 311</t>
  </si>
  <si>
    <t>PURCHASE MONEY MORTGAGE</t>
  </si>
  <si>
    <t>17-03N-24E</t>
  </si>
  <si>
    <t>IN OR 721 PG 1995</t>
  </si>
  <si>
    <t>17-3N-24-2020-0037-0000</t>
  </si>
  <si>
    <t>BENT CREEK</t>
  </si>
  <si>
    <t>27138 BENT CREEK CIR</t>
  </si>
  <si>
    <t>STOKES RAYMOND CHRISTOPHER</t>
  </si>
  <si>
    <t>27138 BENT CREEK CIRCLE</t>
  </si>
  <si>
    <t>LOT 37 IN OR 448 PG 666 CORNWALL SURVEY S/D OF</t>
  </si>
  <si>
    <t>17-3N-24-2020-0053-0100</t>
  </si>
  <si>
    <t>FRIENDSHIP</t>
  </si>
  <si>
    <t>FRIENDSHIP CIR</t>
  </si>
  <si>
    <t>HOLDEN DAVID &amp; MELISSA</t>
  </si>
  <si>
    <t>3799 FRIENDSHIP DR</t>
  </si>
  <si>
    <t>PT OF LOT 53 (S-10) IN OR 1298/1704 CORNWALL SURVEY</t>
  </si>
  <si>
    <t>2017-465</t>
  </si>
  <si>
    <t>2017-2233</t>
  </si>
  <si>
    <t>2017-2246</t>
  </si>
  <si>
    <t>2013-523</t>
  </si>
  <si>
    <t>2011-739</t>
  </si>
  <si>
    <t>MARY JEAN LAST &amp; FRANK JAMES LAST III</t>
  </si>
  <si>
    <t>17-3N-24-2020-0055-0020</t>
  </si>
  <si>
    <t>36422 PINE ST</t>
  </si>
  <si>
    <t>WEST JAMIE L L/E</t>
  </si>
  <si>
    <t>36433 PINE ST</t>
  </si>
  <si>
    <t>PT LOT 55 IN OR 2061/72</t>
  </si>
  <si>
    <t>17-3N-24-2020-0057-0000</t>
  </si>
  <si>
    <t>RAVEN</t>
  </si>
  <si>
    <t>3714 RAVEN DR</t>
  </si>
  <si>
    <t>HILLIARD LLC</t>
  </si>
  <si>
    <t>5639 COLDSTREAM CT</t>
  </si>
  <si>
    <t>RM-H</t>
  </si>
  <si>
    <t>LOTS 57 58 59 &amp; 60 OR 1240/367 &amp; PT OR 1240/356 (EX R/W OR 78/549 &amp; OR 78/551)</t>
  </si>
  <si>
    <t>2017-466</t>
  </si>
  <si>
    <t>ORANGE PORPOISE AEEV LLC</t>
  </si>
  <si>
    <t>17-3N-24-2640-0002-0100</t>
  </si>
  <si>
    <t>CHRISTENSEN EMMA MRS</t>
  </si>
  <si>
    <t>3350 LAKEVIEW DR</t>
  </si>
  <si>
    <t>SUAMICO WI</t>
  </si>
  <si>
    <t>HILLIARD TERRACE</t>
  </si>
  <si>
    <t>BLOCK 2 LOT 10 SOUTH HILLIARD TERRACE 3 PB 0/19 1/2</t>
  </si>
  <si>
    <t>2017-468</t>
  </si>
  <si>
    <t>2016-462</t>
  </si>
  <si>
    <t>2015-472</t>
  </si>
  <si>
    <t>2014-461</t>
  </si>
  <si>
    <t>2013-524</t>
  </si>
  <si>
    <t>20-3N-24-0000-0007-0000</t>
  </si>
  <si>
    <t>TOM BROWN</t>
  </si>
  <si>
    <t>37341 TOM BROWN RD</t>
  </si>
  <si>
    <t>REWIS BILLY CHARLES</t>
  </si>
  <si>
    <t>37263 TOM BROWN ROAD</t>
  </si>
  <si>
    <t>20-03N-24E</t>
  </si>
  <si>
    <t>PT OF SE1/4 OF NE1/4 PARCELS 7 7-1 &amp; 7-3 IN OR 1835/1644</t>
  </si>
  <si>
    <t>2017-470</t>
  </si>
  <si>
    <t>2016-463</t>
  </si>
  <si>
    <t>SIDE LACE PARTNERS34881</t>
  </si>
  <si>
    <t>2015-474</t>
  </si>
  <si>
    <t>BUSSO2489</t>
  </si>
  <si>
    <t>2014-464</t>
  </si>
  <si>
    <t>2013-526</t>
  </si>
  <si>
    <t>20-3N-24-0000-0007-0020</t>
  </si>
  <si>
    <t>37263 TOM BROWN RD</t>
  </si>
  <si>
    <t>PT OF SE1/4 OF NE1/4 OR 136/20 L/E &amp; OR 726/1175</t>
  </si>
  <si>
    <t>2017-471</t>
  </si>
  <si>
    <t>BISBEE LLC H088B20</t>
  </si>
  <si>
    <t>2015-475</t>
  </si>
  <si>
    <t>D19769</t>
  </si>
  <si>
    <t>2014-465</t>
  </si>
  <si>
    <t>2013-527</t>
  </si>
  <si>
    <t>20-3N-24-2020-0023-0010</t>
  </si>
  <si>
    <t>15616 CR 108</t>
  </si>
  <si>
    <t>HOBBS BENJAMIN FRANKLIN &amp; HOBBS GORDON F &amp; CONNIE(JT/RS)</t>
  </si>
  <si>
    <t>E 290 OF LOT 23</t>
  </si>
  <si>
    <t>20-3N-24-2020-0046-0000</t>
  </si>
  <si>
    <t>15595 CR 108</t>
  </si>
  <si>
    <t>HODGES WILL RANDALL &amp; LISA K &amp;</t>
  </si>
  <si>
    <t>HODGES ISOM ZANE 15595 COUNTY ROAD 108</t>
  </si>
  <si>
    <t>LOT 46 IN OR 1195/801 1997 WEST SW/MH &amp; 1985 SHOW SW/MH</t>
  </si>
  <si>
    <t>2014-469</t>
  </si>
  <si>
    <t>2013-529</t>
  </si>
  <si>
    <t>2012-1427</t>
  </si>
  <si>
    <t>20-3N-24-2020-0047-0000</t>
  </si>
  <si>
    <t>15585 CR 108</t>
  </si>
  <si>
    <t>GILL TROY V SR &amp; DONNA E H</t>
  </si>
  <si>
    <t>LOT 47 IN OR 1392/775 R583352 &amp; R583353</t>
  </si>
  <si>
    <t>2016-465</t>
  </si>
  <si>
    <t>OWLATHEN CERT 874 LLC</t>
  </si>
  <si>
    <t>2015-477</t>
  </si>
  <si>
    <t>CLEMENTINE DOLPHIN AACG LLC</t>
  </si>
  <si>
    <t>2014-470</t>
  </si>
  <si>
    <t>2013-530</t>
  </si>
  <si>
    <t>2011-743</t>
  </si>
  <si>
    <t>22-3N-24-2320-0006-0010</t>
  </si>
  <si>
    <t>PRATT SIDING</t>
  </si>
  <si>
    <t>36507 PRATT SIDING RD</t>
  </si>
  <si>
    <t>BEST CAROLINE EST</t>
  </si>
  <si>
    <t>94070 WINTERBERRY AVE</t>
  </si>
  <si>
    <t>DUNNS SURVEY</t>
  </si>
  <si>
    <t>22-03N-24E</t>
  </si>
  <si>
    <t>PT LOTS 6 7 &amp; 8 PAR 6-1 IN OR 411/100 DUNNS SURVEY DBK B-10/48</t>
  </si>
  <si>
    <t>22-3N-24-2320-0010-0020</t>
  </si>
  <si>
    <t>550602 US HWY 1</t>
  </si>
  <si>
    <t>PO BOX 1199</t>
  </si>
  <si>
    <t>Nightclubs cocktail lounges bars</t>
  </si>
  <si>
    <t>Nightclub (Cocktail Lounge)</t>
  </si>
  <si>
    <t>PT OF LOTS 10 &amp; 11 PAR 10-2 IN OR 1502/260 DUNNS SURVEY DBK B-10/48</t>
  </si>
  <si>
    <t>2016-467</t>
  </si>
  <si>
    <t>F13108</t>
  </si>
  <si>
    <t>26-3N-24-2300-0018-0030</t>
  </si>
  <si>
    <t>PATSY</t>
  </si>
  <si>
    <t>36624 PATSY LN</t>
  </si>
  <si>
    <t>PERKINS SANDRA M</t>
  </si>
  <si>
    <t>STOCKER MARY</t>
  </si>
  <si>
    <t>26-03N-24E</t>
  </si>
  <si>
    <t>E1/2 OF LOT 18 (S-3) IN 0R 1234/36 R359365 &amp; R359366</t>
  </si>
  <si>
    <t>2017-478</t>
  </si>
  <si>
    <t>KOKOORA HOLDINGS 390 LLC</t>
  </si>
  <si>
    <t>2016-470</t>
  </si>
  <si>
    <t>HOSSET LLC O75935 SERIES</t>
  </si>
  <si>
    <t>2014-475</t>
  </si>
  <si>
    <t>2011-755</t>
  </si>
  <si>
    <t>26-3N-24-2300-0022-0040</t>
  </si>
  <si>
    <t>36328 PATSY LN</t>
  </si>
  <si>
    <t>BOYLES GLEN E</t>
  </si>
  <si>
    <t>S116 FT OF W375 FT OF N264 FT OF E1/2 OF LOT 22 IN OR 1448/895</t>
  </si>
  <si>
    <t>27-3N-24-0000-0001-0000</t>
  </si>
  <si>
    <t>36144 PRATT SIDING RD</t>
  </si>
  <si>
    <t>MILLER DWAINE K</t>
  </si>
  <si>
    <t>36144 PRATT SIDING ROAD</t>
  </si>
  <si>
    <t>27-03N-24E</t>
  </si>
  <si>
    <t>PT OF NW1/4 OF NE1/4 E OF ACL R/W IN OR 1535/1513</t>
  </si>
  <si>
    <t>2017-479</t>
  </si>
  <si>
    <t>GOLD COAST TAX LIEN LLC - SER 400A57</t>
  </si>
  <si>
    <t>2016-472</t>
  </si>
  <si>
    <t>C5528</t>
  </si>
  <si>
    <t>2015-482</t>
  </si>
  <si>
    <t>CCC587</t>
  </si>
  <si>
    <t>2013-538</t>
  </si>
  <si>
    <t>2011-756</t>
  </si>
  <si>
    <t>27-3N-24-0000-0001-0040</t>
  </si>
  <si>
    <t>36270 PRATT SIDING RD</t>
  </si>
  <si>
    <t>FIGUEIRA FELIPE</t>
  </si>
  <si>
    <t>TRIMINO MARTINEZ MAILET</t>
  </si>
  <si>
    <t>141 E 44TH ST</t>
  </si>
  <si>
    <t>PT OF NW1/4 OF NE1/4 IN OR 1866/1289</t>
  </si>
  <si>
    <t>2017-480</t>
  </si>
  <si>
    <t>SANMARCORA MHIEWZ</t>
  </si>
  <si>
    <t>27-3N-24-2020-0037-0010</t>
  </si>
  <si>
    <t>WEDGEWOOD</t>
  </si>
  <si>
    <t>36748 WEDGEWOOD WAY</t>
  </si>
  <si>
    <t>MANN ROBERT D</t>
  </si>
  <si>
    <t>PT OF LOT 37 IN OR 1552/956 R673154 &amp; R673155</t>
  </si>
  <si>
    <t>2015-483</t>
  </si>
  <si>
    <t>ZYGGY LLC AND ZEHN LLC PARTNERSHIP 497</t>
  </si>
  <si>
    <t>2014-476</t>
  </si>
  <si>
    <t>2013-539</t>
  </si>
  <si>
    <t>2012-1735</t>
  </si>
  <si>
    <t>2011-757</t>
  </si>
  <si>
    <t>27-3N-24-2020-0057-0010</t>
  </si>
  <si>
    <t>PEANUT</t>
  </si>
  <si>
    <t>37170 PEANUT TRL</t>
  </si>
  <si>
    <t>WILKES PAUL B</t>
  </si>
  <si>
    <t>P O BOX 1415</t>
  </si>
  <si>
    <t>PT OF LOT 57 (S-1) &amp; PT OF LOT 40 IN OR 1358/1624 1997 WEST SW</t>
  </si>
  <si>
    <t>2017-481</t>
  </si>
  <si>
    <t>RAPTY TRUST SERIES 7067</t>
  </si>
  <si>
    <t>2016-474</t>
  </si>
  <si>
    <t>FL ST CCTS GAMMA BLOCK 135376 US BANK CUST FOR PFS FINANCIAL 2 LLC</t>
  </si>
  <si>
    <t>2015-484</t>
  </si>
  <si>
    <t>KINGFISHER KEY TAX XCWG LLC</t>
  </si>
  <si>
    <t>2014-477</t>
  </si>
  <si>
    <t>2012-1736</t>
  </si>
  <si>
    <t>2011-758</t>
  </si>
  <si>
    <t>27-3N-24-2020-0061-0020</t>
  </si>
  <si>
    <t>VICTORY</t>
  </si>
  <si>
    <t>36117 VICTORY LN</t>
  </si>
  <si>
    <t>HENRY ANNETTE A</t>
  </si>
  <si>
    <t>W1/2 OF LOTS 61 62 &amp; 63 IN OR 576 PG 1218 R407712 R407710 R407711 &amp;</t>
  </si>
  <si>
    <t>2017-482</t>
  </si>
  <si>
    <t>HOSSET LLC O62674 SERIES</t>
  </si>
  <si>
    <t>2015-485</t>
  </si>
  <si>
    <t>LIMELO WHALE CERTS 37 LLC</t>
  </si>
  <si>
    <t>2014-478</t>
  </si>
  <si>
    <t>2013-540</t>
  </si>
  <si>
    <t>2012-1737</t>
  </si>
  <si>
    <t>2011-759</t>
  </si>
  <si>
    <t>FCPG RE FUND 11-01, LLC</t>
  </si>
  <si>
    <t>27-3N-24-2020-0062-0020</t>
  </si>
  <si>
    <t>ALDERWOOD</t>
  </si>
  <si>
    <t>36001 ALDERWOOD ST</t>
  </si>
  <si>
    <t>PORTER MATTHEW B &amp; CONNIE FAYE</t>
  </si>
  <si>
    <t>36001 ALDERWOOD STREET</t>
  </si>
  <si>
    <t>PT OF LOTS 62 63 &amp; 64 IN OR 583 PG 82 CORNWALL SURVEY PB 0/31</t>
  </si>
  <si>
    <t>2017-483</t>
  </si>
  <si>
    <t>BISBEE LLC XC9CC1</t>
  </si>
  <si>
    <t>2016-475</t>
  </si>
  <si>
    <t>BENNU LLC JY23Q0ADA</t>
  </si>
  <si>
    <t>2015-486</t>
  </si>
  <si>
    <t>BISBEE LLC AK1B0372</t>
  </si>
  <si>
    <t>2014-479</t>
  </si>
  <si>
    <t>2013-542</t>
  </si>
  <si>
    <t>2012-1739</t>
  </si>
  <si>
    <t>BRIDGE TAX LLC - S10 US BANK % BRIDGE TAX LLC-S10</t>
  </si>
  <si>
    <t>2011-761</t>
  </si>
  <si>
    <t>28-3N-24-0000-0001-0100</t>
  </si>
  <si>
    <t>UTOPIA TL</t>
  </si>
  <si>
    <t>36124 UTOPIA TL</t>
  </si>
  <si>
    <t>CRANE THOMAS PAUL</t>
  </si>
  <si>
    <t>618351 MARTIN LUTHER KING AVE</t>
  </si>
  <si>
    <t>28-03N-24E</t>
  </si>
  <si>
    <t>PT OF NE1/4 OF SE1/4 PT OR 998/172</t>
  </si>
  <si>
    <t>2014-2525</t>
  </si>
  <si>
    <t>28-3N-24-0000-0001-0200</t>
  </si>
  <si>
    <t>BETTS</t>
  </si>
  <si>
    <t>36027 BETTS RD</t>
  </si>
  <si>
    <t>2014-485</t>
  </si>
  <si>
    <t>28-3N-24-2020-0043-0020</t>
  </si>
  <si>
    <t>VIOLET</t>
  </si>
  <si>
    <t>VIOLET LN</t>
  </si>
  <si>
    <t>SKELTON MARCUS EUGENE</t>
  </si>
  <si>
    <t>SKELTON KATIE MARIE</t>
  </si>
  <si>
    <t>37191 S OAK ST</t>
  </si>
  <si>
    <t>E1/2 OF LOT 43 PT OR 1749/1421 EX S-3 &amp; S-4</t>
  </si>
  <si>
    <t>2017-488</t>
  </si>
  <si>
    <t>2016-479</t>
  </si>
  <si>
    <t>2015-489</t>
  </si>
  <si>
    <t>28-3N-24-2020-0044-0010</t>
  </si>
  <si>
    <t>36325 BETTS RD</t>
  </si>
  <si>
    <t>PT OF LOT 44 PT OR 1749/1421 &amp; ESMT OR 1753/850 (EX PT IN OR 485/162 OR 1437/95 &amp;</t>
  </si>
  <si>
    <t>2017-489</t>
  </si>
  <si>
    <t>NANUD 30924 LLC</t>
  </si>
  <si>
    <t>2016-480</t>
  </si>
  <si>
    <t>WONDER CAPITAL18125</t>
  </si>
  <si>
    <t>2015-490</t>
  </si>
  <si>
    <t>B349</t>
  </si>
  <si>
    <t>29-3N-24-0000-0003-0060</t>
  </si>
  <si>
    <t>26216 H</t>
  </si>
  <si>
    <t>A STOKES</t>
  </si>
  <si>
    <t>26216 H A STOKES RD</t>
  </si>
  <si>
    <t>CARTER KENNETH WYATT</t>
  </si>
  <si>
    <t>29-03N-24E</t>
  </si>
  <si>
    <t>PT OF SE1/4 OF NW1/4 IN OR 1578/996</t>
  </si>
  <si>
    <t>29-3N-24-2020-0012-0020</t>
  </si>
  <si>
    <t>WILLIE HODGES</t>
  </si>
  <si>
    <t>26544 WILLIE HODGES RD</t>
  </si>
  <si>
    <t>BROWN IDA E STOKES EST</t>
  </si>
  <si>
    <t>11321 LANDING ESTATES DR</t>
  </si>
  <si>
    <t>PT OF LOTS 12 &amp; 13 (EX 12-4) IN OR 395 PG 1 RP 305</t>
  </si>
  <si>
    <t>2017-490</t>
  </si>
  <si>
    <t>29-3N-24-2020-0020-0000</t>
  </si>
  <si>
    <t>TSR is unable to verify or provide data for this parcel with the available information.</t>
  </si>
  <si>
    <t>29-3N-24-2020-0032-0030</t>
  </si>
  <si>
    <t>15561 CR 108</t>
  </si>
  <si>
    <t>MCCULLOUGH DOUGLAS MARK</t>
  </si>
  <si>
    <t>PT OF LOT 32 (S-3) IN OR 1113/865 EX S-4</t>
  </si>
  <si>
    <t>2015-493</t>
  </si>
  <si>
    <t>S595</t>
  </si>
  <si>
    <t>29-3N-24-2020-0032-0040</t>
  </si>
  <si>
    <t>PT OF LOT 32 (S-4) IN OR 1913/1 CORNWALL SURVEY</t>
  </si>
  <si>
    <t>2016-482</t>
  </si>
  <si>
    <t>2015-494</t>
  </si>
  <si>
    <t>30-3N-24-0000-0007-0020</t>
  </si>
  <si>
    <t>WILLIE HODGES RD</t>
  </si>
  <si>
    <t>SPANN GARY H</t>
  </si>
  <si>
    <t>SPANN ELIZABETH A</t>
  </si>
  <si>
    <t>3131 COSBY HWY</t>
  </si>
  <si>
    <t>COSBY TN</t>
  </si>
  <si>
    <t>30-03N-24E</t>
  </si>
  <si>
    <t>PT OF SE1/4 PT OR 337 PG 262 EX 7-7 7-17 7-18 7-19 &amp; 7-20</t>
  </si>
  <si>
    <t>12089C_857</t>
  </si>
  <si>
    <t>2017-493</t>
  </si>
  <si>
    <t>2016-483</t>
  </si>
  <si>
    <t>PAMELA MONK OUR BUSINESS ADMINISTRATIVE SERVICES, LLC</t>
  </si>
  <si>
    <t>2015-495</t>
  </si>
  <si>
    <t>2014-492</t>
  </si>
  <si>
    <t>2013-548</t>
  </si>
  <si>
    <t>2012-1832</t>
  </si>
  <si>
    <t>DYLAN DONALD BOWES</t>
  </si>
  <si>
    <t>2011-765</t>
  </si>
  <si>
    <t>A J CLAYTON INVESTMENTS LLC</t>
  </si>
  <si>
    <t>36-3N-24-0000-0001-0000</t>
  </si>
  <si>
    <t>361293 M</t>
  </si>
  <si>
    <t>361293 M SIKES RD</t>
  </si>
  <si>
    <t>JONES RHONDA LARGIN</t>
  </si>
  <si>
    <t>JONES DOUGLAS Z</t>
  </si>
  <si>
    <t>36-03N-24E</t>
  </si>
  <si>
    <t>NE1/4 OF NE1/4 NW1/4 OF NE1/4 IN OR 1589/1073</t>
  </si>
  <si>
    <t>2017-498</t>
  </si>
  <si>
    <t>GEEATO 4369</t>
  </si>
  <si>
    <t>2016-484</t>
  </si>
  <si>
    <t>B19503</t>
  </si>
  <si>
    <t>2015-497</t>
  </si>
  <si>
    <t>B23674</t>
  </si>
  <si>
    <t>2014-495</t>
  </si>
  <si>
    <t>2013-549</t>
  </si>
  <si>
    <t>2012-2091</t>
  </si>
  <si>
    <t>37-3N-24-0000-0003-0000</t>
  </si>
  <si>
    <t>545760 US HWY 1</t>
  </si>
  <si>
    <t>TANNER HENRY</t>
  </si>
  <si>
    <t>545760 US HIGHWAY 1</t>
  </si>
  <si>
    <t>37-03N-24E</t>
  </si>
  <si>
    <t>IN OR 1621/1092 &amp; OR 1941/441 ESMT IN OR 374/2</t>
  </si>
  <si>
    <t>2017-500</t>
  </si>
  <si>
    <t>HOSSET LLC O141050 SERIES</t>
  </si>
  <si>
    <t>2012-2213</t>
  </si>
  <si>
    <t>2011-767</t>
  </si>
  <si>
    <t>37-3N-24-0000-0005-0000</t>
  </si>
  <si>
    <t>HENDERSON CECIL R</t>
  </si>
  <si>
    <t>HENDERSON BETTIE H</t>
  </si>
  <si>
    <t>36363 PRATT SIDING RD</t>
  </si>
  <si>
    <t>IN OR 787/1058 ESMT IN OR 374/3 EX 5-1 &amp; 5-2</t>
  </si>
  <si>
    <t>2017-501</t>
  </si>
  <si>
    <t>2016-485</t>
  </si>
  <si>
    <t>BTI 2016 LLC</t>
  </si>
  <si>
    <t>2015-498</t>
  </si>
  <si>
    <t>2014-496</t>
  </si>
  <si>
    <t>2013-550</t>
  </si>
  <si>
    <t>2012-2215</t>
  </si>
  <si>
    <t>2011-769</t>
  </si>
  <si>
    <t>37-3N-24-0000-0005-0010</t>
  </si>
  <si>
    <t>545740 US HWY 1</t>
  </si>
  <si>
    <t>IN OR 1361/728</t>
  </si>
  <si>
    <t>2017-502</t>
  </si>
  <si>
    <t>TRIAD HOLDINGS187297</t>
  </si>
  <si>
    <t>2016-486</t>
  </si>
  <si>
    <t>DPS - 210947 - BELL EAST US BANK CUST FOR PFS FINANCIAL 2 LLC</t>
  </si>
  <si>
    <t>2015-499</t>
  </si>
  <si>
    <t>E231047</t>
  </si>
  <si>
    <t>2014-497</t>
  </si>
  <si>
    <t>2013-551</t>
  </si>
  <si>
    <t>KEVIN C TANG FOUNDATION</t>
  </si>
  <si>
    <t>2012-2216</t>
  </si>
  <si>
    <t>US BANK CUST BISBEE LLC H17202</t>
  </si>
  <si>
    <t>2011-770</t>
  </si>
  <si>
    <t>37-3N-24-0000-0010-0030</t>
  </si>
  <si>
    <t>RANMART</t>
  </si>
  <si>
    <t>36001 RANMART WAY</t>
  </si>
  <si>
    <t>KELLY RANDY P</t>
  </si>
  <si>
    <t>KELLY ROBIN</t>
  </si>
  <si>
    <t>PT WILLIAM SPARKMAN GRANT SEC 37-3N-24E IN OR 798/1082 {R613206 &amp; R613207}</t>
  </si>
  <si>
    <t>2017-503</t>
  </si>
  <si>
    <t>PELICAN PIER CERTS ADBE LLC</t>
  </si>
  <si>
    <t>2016-487</t>
  </si>
  <si>
    <t>PELICAN PIER CERTS ACAJ LLC</t>
  </si>
  <si>
    <t>2015-500</t>
  </si>
  <si>
    <t>CCTS FL 38817 US BANK CUST FOR PFS FINANCIAL 2 LLC</t>
  </si>
  <si>
    <t>2014-498</t>
  </si>
  <si>
    <t>2013-552</t>
  </si>
  <si>
    <t>37-3N-24-0000-0013-0020</t>
  </si>
  <si>
    <t>545605 US HWY 1</t>
  </si>
  <si>
    <t>BREWER DORIS L</t>
  </si>
  <si>
    <t>DORIS L BREWER LIVING TRUST</t>
  </si>
  <si>
    <t>36176 J W ELLIOTT DR</t>
  </si>
  <si>
    <t>PT WILLIAM SPARKMAN GRANT SEC 37-3N-24E IN OR 1942/728 (EX PT IN OR 534/67</t>
  </si>
  <si>
    <t>37-3N-24-0000-0016-0030</t>
  </si>
  <si>
    <t>545819 US HWY 1</t>
  </si>
  <si>
    <t>S TRANSPORTATION INC</t>
  </si>
  <si>
    <t>SANDEVOL SERGIO</t>
  </si>
  <si>
    <t>PO BOX 40</t>
  </si>
  <si>
    <t>IN OR 239/243 &amp; OR 268/549 &amp; IN OR 1342/236</t>
  </si>
  <si>
    <t>2017-504</t>
  </si>
  <si>
    <t>2016-488</t>
  </si>
  <si>
    <t>2015-501</t>
  </si>
  <si>
    <t>2014-499</t>
  </si>
  <si>
    <t>2013-554</t>
  </si>
  <si>
    <t>CORNERSTONE TRADING CORP</t>
  </si>
  <si>
    <t>IPLANGROUP AGENT FOR CUSTODIAN FBO TERRY ARCULUS ROTH IRA</t>
  </si>
  <si>
    <t>2012-2219</t>
  </si>
  <si>
    <t>TC 12, LLC BUYTHISTAXLIEN.COM</t>
  </si>
  <si>
    <t>2011-773</t>
  </si>
  <si>
    <t>CB INTERNATIONAL INVESTMENTS</t>
  </si>
  <si>
    <t>CB CAPITAL INVESTMENTS 311 LP</t>
  </si>
  <si>
    <t>ELLIS NED SMITH</t>
  </si>
  <si>
    <t>37-3N-24-2710-0002-0000</t>
  </si>
  <si>
    <t>HOLIDAY</t>
  </si>
  <si>
    <t>36341 HOLIDAY DR</t>
  </si>
  <si>
    <t>SAPP MELODY L</t>
  </si>
  <si>
    <t>LOT 2 IN OR 804 PG 355 R583756 &amp; R583757</t>
  </si>
  <si>
    <t>2017-505</t>
  </si>
  <si>
    <t>SUTTON INVESTMENT69629</t>
  </si>
  <si>
    <t>2016-489</t>
  </si>
  <si>
    <t>RAPTY TRUST SERIES 11202</t>
  </si>
  <si>
    <t>2015-502</t>
  </si>
  <si>
    <t>KENSINGTON CAPITAL59082</t>
  </si>
  <si>
    <t>2014-500</t>
  </si>
  <si>
    <t>2013-555</t>
  </si>
  <si>
    <t>2012-2220</t>
  </si>
  <si>
    <t>2011-774</t>
  </si>
  <si>
    <t>37-3N-24-2710-0003-0000</t>
  </si>
  <si>
    <t>36315 HOLIDAY DR</t>
  </si>
  <si>
    <t>SHAW DONALD GRAHAM</t>
  </si>
  <si>
    <t>SHAW DAWN L</t>
  </si>
  <si>
    <t>HOLIDAY ACRES</t>
  </si>
  <si>
    <t>LOT 3 IN OR 2018/1428 HOLIDAY ACRES SUB PB 4/50</t>
  </si>
  <si>
    <t>2017-506</t>
  </si>
  <si>
    <t>CATALINA TAX CO LLC SERIES 1326</t>
  </si>
  <si>
    <t>37-3N-24-2710-0014-0000</t>
  </si>
  <si>
    <t>36031 HOLIDAY DR</t>
  </si>
  <si>
    <t>BANNISTER ERNEST M</t>
  </si>
  <si>
    <t>BANNISTER DENISE M</t>
  </si>
  <si>
    <t>LOT 14 R567598 IN OR 1197/1159 HOLIDAY ACRES SUB PB 4/50</t>
  </si>
  <si>
    <t>2016-490</t>
  </si>
  <si>
    <t>2015-503</t>
  </si>
  <si>
    <t>SOIF LXXVII</t>
  </si>
  <si>
    <t>2014-501</t>
  </si>
  <si>
    <t>2013-556</t>
  </si>
  <si>
    <t>37-3N-24-2710-0018-0000</t>
  </si>
  <si>
    <t>36064 HOLIDAY DR</t>
  </si>
  <si>
    <t>NEVES RAYMOND H</t>
  </si>
  <si>
    <t>LOTS 18 &amp; 19 R498297 IN OR 673/43 &amp; OR 674/1921 HOLIDAY ACRES SUB PB 4/50</t>
  </si>
  <si>
    <t>37-3N-24-2710-0027-0000</t>
  </si>
  <si>
    <t>36366 HOLIDAY DR</t>
  </si>
  <si>
    <t>GATLIN LINDA</t>
  </si>
  <si>
    <t>PO BOX 715</t>
  </si>
  <si>
    <t>LOT 27 IN OR 1691/1297 R378190 &amp; R378191</t>
  </si>
  <si>
    <t>2015-504</t>
  </si>
  <si>
    <t>2014-502</t>
  </si>
  <si>
    <t>2013-557</t>
  </si>
  <si>
    <t>2012-2221</t>
  </si>
  <si>
    <t>37-3N-24-2720-0005-0020</t>
  </si>
  <si>
    <t>J W ELLIOTT</t>
  </si>
  <si>
    <t>J W ELLIOTT DR</t>
  </si>
  <si>
    <t>GILDNER AMY &amp; MIXON KALA K &amp; AMANDA D</t>
  </si>
  <si>
    <t>45121 BROWN ST APT 103</t>
  </si>
  <si>
    <t>HOLIDAY TIME SUB</t>
  </si>
  <si>
    <t>PT OF LOTS 5 &amp; 6 (EX S-3) IN OR 1808/42 &amp; OR 2061/1514 HOLIDAY TIME SUB PB 5/14</t>
  </si>
  <si>
    <t>2017-508</t>
  </si>
  <si>
    <t>38-3N-24-0000-0004-0000</t>
  </si>
  <si>
    <t>DYAL RD</t>
  </si>
  <si>
    <t>EVERLY JOHNNY</t>
  </si>
  <si>
    <t>EVERLY MAXINE</t>
  </si>
  <si>
    <t>36583 DYAL RD</t>
  </si>
  <si>
    <t>38-03N-24E</t>
  </si>
  <si>
    <t>L/E IN OR 699/1685 EX OR 185/320 EX 4-1 &amp; 4-2</t>
  </si>
  <si>
    <t>2017-509</t>
  </si>
  <si>
    <t>2016-492</t>
  </si>
  <si>
    <t>2015-506</t>
  </si>
  <si>
    <t>2014-504</t>
  </si>
  <si>
    <t>2013-560</t>
  </si>
  <si>
    <t>2012-2392</t>
  </si>
  <si>
    <t>2011-778</t>
  </si>
  <si>
    <t>38-3N-24-0000-0004-0010</t>
  </si>
  <si>
    <t>OR 188 PG 206 EX R/W IN OR 723/716</t>
  </si>
  <si>
    <t>2017-510</t>
  </si>
  <si>
    <t>CERTEOS INVESTMENTS 1148 LLC SB MUNI CUST FOR</t>
  </si>
  <si>
    <t>05-4N-24-0000-0001-0010</t>
  </si>
  <si>
    <t>PENNY HADDOCK</t>
  </si>
  <si>
    <t>PENNY HADDOCK RD</t>
  </si>
  <si>
    <t>THORNTON ARTHUR PAUL</t>
  </si>
  <si>
    <t>5-04N-24E</t>
  </si>
  <si>
    <t>SW1/4 OF NE1/4 OF PENNY HADDOCK RD PT OF SE1/4 OF NW1/4</t>
  </si>
  <si>
    <t>2014-505</t>
  </si>
  <si>
    <t>05-4N-24-0000-0001-0040</t>
  </si>
  <si>
    <t>P O BOX 1199</t>
  </si>
  <si>
    <t>PT OF SW1/4 OF NE1/4 OF</t>
  </si>
  <si>
    <t>05-4N-24-0000-0006-0020</t>
  </si>
  <si>
    <t>SCOTT JEANNE H</t>
  </si>
  <si>
    <t>MILLIGAN RONALD G</t>
  </si>
  <si>
    <t>PT OF SE1/4 OF NW/14 IN OR 1497/1474</t>
  </si>
  <si>
    <t>2014-506</t>
  </si>
  <si>
    <t>05-4N-24-0000-0006-0030</t>
  </si>
  <si>
    <t>KARA LYNN</t>
  </si>
  <si>
    <t>29964 KARA LYNN LN</t>
  </si>
  <si>
    <t>PT OF SE1/4 OF NW1/4 IN OR 1448/1589 &amp; OR 1448/1580 1988 NEWM SW/MH</t>
  </si>
  <si>
    <t>2016-493</t>
  </si>
  <si>
    <t>SWALE LLC SERIES A011072</t>
  </si>
  <si>
    <t>2014-507</t>
  </si>
  <si>
    <t>05-4N-24-1630-0009-0000</t>
  </si>
  <si>
    <t>291395 PENNY HADDOCK RD</t>
  </si>
  <si>
    <t>DAVIS MARK L</t>
  </si>
  <si>
    <t>PENNY HADDOCK ESTATES</t>
  </si>
  <si>
    <t>LOT 9 IN OR 679 PG 1529 PENNY HADDOCK ESTATES PB 5/338</t>
  </si>
  <si>
    <t>2017-511</t>
  </si>
  <si>
    <t>WINDSOR PARKE 976 SERVICING LLC</t>
  </si>
  <si>
    <t>2016-494</t>
  </si>
  <si>
    <t>EEEEE3455</t>
  </si>
  <si>
    <t>2015-508</t>
  </si>
  <si>
    <t>2014-508</t>
  </si>
  <si>
    <t>2013-562</t>
  </si>
  <si>
    <t>2012-815</t>
  </si>
  <si>
    <t>2011-780</t>
  </si>
  <si>
    <t>05-4N-24-1630-0013-0000</t>
  </si>
  <si>
    <t>292041 PENNY HADDOCK RD</t>
  </si>
  <si>
    <t>32-05N-24E</t>
  </si>
  <si>
    <t>LOT 13 (IN SEC 32-5N-24) IN OR 1245/1581 PENNY HADDOCK ESTATES PB 5/338</t>
  </si>
  <si>
    <t>07-4N-24-0000-0006-0150</t>
  </si>
  <si>
    <t>PIGEON CREEK</t>
  </si>
  <si>
    <t>29114 PIGEON CREEK RD</t>
  </si>
  <si>
    <t>HADDOCK BRAND D</t>
  </si>
  <si>
    <t>7-04N-24E</t>
  </si>
  <si>
    <t>PT GOVT LOT 4 OF SEC 7-4N-24E IN OR 1382/1828 {2001 NOBI-DW}</t>
  </si>
  <si>
    <t>07-4N-24-0000-0009-0000</t>
  </si>
  <si>
    <t>282085 LAKE HAMPTON RD</t>
  </si>
  <si>
    <t>KEENE HAL L</t>
  </si>
  <si>
    <t>282131 LAKE HAMPTON RD</t>
  </si>
  <si>
    <t>IN OR 1498/1525</t>
  </si>
  <si>
    <t>2016-495</t>
  </si>
  <si>
    <t>2015-509</t>
  </si>
  <si>
    <t>2014-509</t>
  </si>
  <si>
    <t>2013-563</t>
  </si>
  <si>
    <t>2012-877</t>
  </si>
  <si>
    <t>09-4N-24-0000-0002-0030</t>
  </si>
  <si>
    <t>HIERS</t>
  </si>
  <si>
    <t>39107 HIERS WAY</t>
  </si>
  <si>
    <t>JORDAN THEODORE C</t>
  </si>
  <si>
    <t>JORDAN AMANDA A</t>
  </si>
  <si>
    <t>9-04N-24E</t>
  </si>
  <si>
    <t>NE1/4 OF NW1/4 OF SEC 9 PARCELS 2-3 &amp; 2-17 SE1/4 OF SW1/4 OF SEC 40</t>
  </si>
  <si>
    <t>2017-513</t>
  </si>
  <si>
    <t>MML LLC AND OAR LLC PARTNERSHIP 287</t>
  </si>
  <si>
    <t>2016-497</t>
  </si>
  <si>
    <t>SKYLER LLC O27958 SERIES</t>
  </si>
  <si>
    <t>2015-512</t>
  </si>
  <si>
    <t>ECRU LLC R170A2J</t>
  </si>
  <si>
    <t>2014-511</t>
  </si>
  <si>
    <t>09-4N-24-0000-0002-0140</t>
  </si>
  <si>
    <t>KOLARS FERRY</t>
  </si>
  <si>
    <t>39313 KOLARS FERRY RD</t>
  </si>
  <si>
    <t>EADY WILLIAM JR</t>
  </si>
  <si>
    <t>EADY LISA</t>
  </si>
  <si>
    <t>PT OF NE1/4 OF NE1/4 IN OR 855/1179 2001 MERT DW/MH</t>
  </si>
  <si>
    <t>2016-498</t>
  </si>
  <si>
    <t>CLEMENTINE DOLPHIN AATC LLC</t>
  </si>
  <si>
    <t>2015-513</t>
  </si>
  <si>
    <t>ORANGE DOLPHINS XYXU LLC</t>
  </si>
  <si>
    <t>2014-512</t>
  </si>
  <si>
    <t>2013-566</t>
  </si>
  <si>
    <t>2012-1105</t>
  </si>
  <si>
    <t>2011-784</t>
  </si>
  <si>
    <t>16-4N-24-0000-0007-0000</t>
  </si>
  <si>
    <t>MURRHEE</t>
  </si>
  <si>
    <t>MURRHEE RD</t>
  </si>
  <si>
    <t>KELLEY ROBERT L</t>
  </si>
  <si>
    <t>2347 WILMONT AVE</t>
  </si>
  <si>
    <t>16-04N-24E</t>
  </si>
  <si>
    <t>IN OR 1351/1203</t>
  </si>
  <si>
    <t>2017-516</t>
  </si>
  <si>
    <t>2016-502</t>
  </si>
  <si>
    <t>BISBEE LLC M10B84AR</t>
  </si>
  <si>
    <t>2014-514</t>
  </si>
  <si>
    <t>2013-567</t>
  </si>
  <si>
    <t>2012-1293</t>
  </si>
  <si>
    <t>2011-787</t>
  </si>
  <si>
    <t>16-4N-24-0180-0004-0000</t>
  </si>
  <si>
    <t>273491 MURRHEE RD</t>
  </si>
  <si>
    <t>HOLSOMBACH HELEN A</t>
  </si>
  <si>
    <t>PO BOX 947</t>
  </si>
  <si>
    <t>BRANTLEY FARMS</t>
  </si>
  <si>
    <t>TRACT 4 SEC 16-4N-24 IN OR 826/1767 R407663 BRANTLEY FARMS PB 5/97</t>
  </si>
  <si>
    <t>16-4N-24-0180-0005-0000</t>
  </si>
  <si>
    <t>273471 MURRHEE RD</t>
  </si>
  <si>
    <t>HANNAH CLYDE C</t>
  </si>
  <si>
    <t>55193 WHITE OAK PL</t>
  </si>
  <si>
    <t>LOT 5 IN OR 837/581 R674034 &amp; R674035</t>
  </si>
  <si>
    <t>2017-517</t>
  </si>
  <si>
    <t>SANMARCORA WGSLBI</t>
  </si>
  <si>
    <t>2016-503</t>
  </si>
  <si>
    <t>FL SUB-ACCOUNTS 200-205 201078 US BANK CUST FOR PFS FINANCIAL 2 LLC</t>
  </si>
  <si>
    <t>2015-516</t>
  </si>
  <si>
    <t>2014-515</t>
  </si>
  <si>
    <t>2013-568</t>
  </si>
  <si>
    <t>2012-1294</t>
  </si>
  <si>
    <t>2011-788</t>
  </si>
  <si>
    <t>17-4N-24-0000-0001-0020</t>
  </si>
  <si>
    <t>274000 MURRHEE RD</t>
  </si>
  <si>
    <t>SALIS JAMES</t>
  </si>
  <si>
    <t>SALIS KAREN</t>
  </si>
  <si>
    <t>17-04N-24E</t>
  </si>
  <si>
    <t>PT OF NE1/4 OF NE1/4 PARCELS 1-2 &amp; 1-4 IN OR 1330/766</t>
  </si>
  <si>
    <t>2015-517</t>
  </si>
  <si>
    <t>MAG TC 3-3701</t>
  </si>
  <si>
    <t>17-4N-24-0000-0008-0010</t>
  </si>
  <si>
    <t>COLLECTION</t>
  </si>
  <si>
    <t>3846 COLLECTION PL</t>
  </si>
  <si>
    <t>PARKER DOREEN</t>
  </si>
  <si>
    <t>PT SE1/4 OF SE1/4 OF SEC 17-4N-24E IN OR 579/1014 {R407788 &amp; R497468}</t>
  </si>
  <si>
    <t>2017-518</t>
  </si>
  <si>
    <t>2016-504</t>
  </si>
  <si>
    <t>2015-519</t>
  </si>
  <si>
    <t>2014-516</t>
  </si>
  <si>
    <t>2012-3205</t>
  </si>
  <si>
    <t>2011-792</t>
  </si>
  <si>
    <t>18-4N-24-0000-0004-0010</t>
  </si>
  <si>
    <t>29946 PIGEON CREEK RD</t>
  </si>
  <si>
    <t>WILCOX RICHARD T</t>
  </si>
  <si>
    <t>CHURCH KAREN K</t>
  </si>
  <si>
    <t>18-04N-24E</t>
  </si>
  <si>
    <t>PARCELS 4-1 &amp; 4 IN OR 1639/173 EX FPL ESMT OR 328/376 &amp;</t>
  </si>
  <si>
    <t>2016-506</t>
  </si>
  <si>
    <t>F112808</t>
  </si>
  <si>
    <t>2015-520</t>
  </si>
  <si>
    <t>RAPTY TRUST SERIES 33070</t>
  </si>
  <si>
    <t>2014-517</t>
  </si>
  <si>
    <t>2013-570</t>
  </si>
  <si>
    <t>2012-1339</t>
  </si>
  <si>
    <t>2011-795</t>
  </si>
  <si>
    <t>19-4N-24-0000-0004-0030</t>
  </si>
  <si>
    <t>554041 US HWY 1</t>
  </si>
  <si>
    <t>554041 US HIGHWAY 1</t>
  </si>
  <si>
    <t>19-04N-24E</t>
  </si>
  <si>
    <t>PT GOVT LOTS 11 &amp; 12 OF SEC 19-4N-24E IN OR 1112/1681 (EX UTIL ESMT IN OF 1321/1970)</t>
  </si>
  <si>
    <t>2017-520</t>
  </si>
  <si>
    <t>MOCA INVESTMENTS263488</t>
  </si>
  <si>
    <t>2016-507</t>
  </si>
  <si>
    <t>BUSSO2524</t>
  </si>
  <si>
    <t>2015-522</t>
  </si>
  <si>
    <t>CMON LLC AND GEEZ LLC PARTNERSHIP 2190</t>
  </si>
  <si>
    <t>2014-518</t>
  </si>
  <si>
    <t>2013-571</t>
  </si>
  <si>
    <t>2012-1410</t>
  </si>
  <si>
    <t>2011-798</t>
  </si>
  <si>
    <t>19-4N-24-1212-0015-0000</t>
  </si>
  <si>
    <t>553936 US HWY 1</t>
  </si>
  <si>
    <t>STUTSMAN KELLI ELAINE</t>
  </si>
  <si>
    <t>553936 US HIGHWAY 1</t>
  </si>
  <si>
    <t>LOT 15 IN OR 1687/402 2002 WFLD SW/MH</t>
  </si>
  <si>
    <t>21-4N-24-0000-0005-0010</t>
  </si>
  <si>
    <t>MCLENDON LUTHER</t>
  </si>
  <si>
    <t>PAUL ERIC</t>
  </si>
  <si>
    <t>21-04N-24E</t>
  </si>
  <si>
    <t>PARCELS 5-1 &amp; 6-2 IN 21-4N-24 &amp; PARCEL 2-1 IN SEC 39-4N-24 IN OR 887/389</t>
  </si>
  <si>
    <t>2017-523</t>
  </si>
  <si>
    <t>2016-511</t>
  </si>
  <si>
    <t>2014-524</t>
  </si>
  <si>
    <t>2013-576</t>
  </si>
  <si>
    <t>2012-1456</t>
  </si>
  <si>
    <t>2011-804</t>
  </si>
  <si>
    <t>21-4N-24-0000-0005-0020</t>
  </si>
  <si>
    <t>KING SHAUN</t>
  </si>
  <si>
    <t>KING AMBER NICOLE</t>
  </si>
  <si>
    <t>680 SNOWDEN RD</t>
  </si>
  <si>
    <t>PT GOVT LOT 5 IN OR 1979/259</t>
  </si>
  <si>
    <t>24-4N-24-0000-0006-0010</t>
  </si>
  <si>
    <t>375037 KINGS FERRY RD</t>
  </si>
  <si>
    <t>BRADDOCK CLAUDINE P</t>
  </si>
  <si>
    <t>45134 BOOTH ST</t>
  </si>
  <si>
    <t>24-04N-24E</t>
  </si>
  <si>
    <t>PT GOVT LOT 3 IN OR 391/300 (BY WILL)</t>
  </si>
  <si>
    <t>2017-524</t>
  </si>
  <si>
    <t>CHATFIELD VENTURES 32</t>
  </si>
  <si>
    <t>2015-527</t>
  </si>
  <si>
    <t>PEAKCERTS 739 LLC</t>
  </si>
  <si>
    <t>2013-577</t>
  </si>
  <si>
    <t>2012-1631</t>
  </si>
  <si>
    <t>2011-805</t>
  </si>
  <si>
    <t>25-4N-24-2020-0003-0010</t>
  </si>
  <si>
    <t>DAHOMA</t>
  </si>
  <si>
    <t>38084 DAHOMA RD</t>
  </si>
  <si>
    <t>FOLEY PETER BRUCE</t>
  </si>
  <si>
    <t>25-04N-24E</t>
  </si>
  <si>
    <t>PT OF LOT 3 EX S-4 IN OR 653/869 R 107342 &amp; 107343</t>
  </si>
  <si>
    <t>12089C_680</t>
  </si>
  <si>
    <t>2017-525</t>
  </si>
  <si>
    <t>KINGFISH HAMMOCK 2EYI LLC</t>
  </si>
  <si>
    <t>2016-512</t>
  </si>
  <si>
    <t>2015-528</t>
  </si>
  <si>
    <t>2014-525</t>
  </si>
  <si>
    <t>2013-578</t>
  </si>
  <si>
    <t>2012-1667</t>
  </si>
  <si>
    <t>2011-806</t>
  </si>
  <si>
    <t>28-4N-24-2020-0004-0030</t>
  </si>
  <si>
    <t>PERMIS PASCAL</t>
  </si>
  <si>
    <t>PERMIS MICHELINE</t>
  </si>
  <si>
    <t>15248 SW MYRTLE DR</t>
  </si>
  <si>
    <t>INDIANTOWN FL</t>
  </si>
  <si>
    <t>28-04N-24E</t>
  </si>
  <si>
    <t>LOTS 4 5 &amp; 6 LYING WEST OF &amp; ADJACENT TO CONNER MURRHEE RD IN OR 1325/388</t>
  </si>
  <si>
    <t>2017-527</t>
  </si>
  <si>
    <t>2016-517</t>
  </si>
  <si>
    <t>2015-531</t>
  </si>
  <si>
    <t>2014-529</t>
  </si>
  <si>
    <t>2013-581</t>
  </si>
  <si>
    <t>2012-1765</t>
  </si>
  <si>
    <t>2011-810</t>
  </si>
  <si>
    <t>30-4N-24-0000-0004-0000</t>
  </si>
  <si>
    <t>553584 US HWY 1</t>
  </si>
  <si>
    <t>MUHEISEN NAJHY</t>
  </si>
  <si>
    <t>4046 MISSION HLS</t>
  </si>
  <si>
    <t>30-04N-24E</t>
  </si>
  <si>
    <t>IN OR 2010/1108</t>
  </si>
  <si>
    <t>2017-528</t>
  </si>
  <si>
    <t>BENNU LLC LYA8Q84R</t>
  </si>
  <si>
    <t>2016-518</t>
  </si>
  <si>
    <t>HOSSET LLC O47173 SERIES</t>
  </si>
  <si>
    <t>2015-534</t>
  </si>
  <si>
    <t>MALLY LLC AND MED ALI LLC PARTNERSHIP 1935</t>
  </si>
  <si>
    <t>2014-546</t>
  </si>
  <si>
    <t>2013-583</t>
  </si>
  <si>
    <t>2012-1835</t>
  </si>
  <si>
    <t>2011-816</t>
  </si>
  <si>
    <t>30-4N-24-0000-0008-0000</t>
  </si>
  <si>
    <t>HOLOKA NAOMI</t>
  </si>
  <si>
    <t>1341 WOODRUFF AVE</t>
  </si>
  <si>
    <t>PT GOVT LOT 3 OF SEC 30-4N-24E IN OR 405/243 (EX PT IN OR 58/341)</t>
  </si>
  <si>
    <t>2017-530</t>
  </si>
  <si>
    <t>2016-520</t>
  </si>
  <si>
    <t>2015-535</t>
  </si>
  <si>
    <t>2014-547</t>
  </si>
  <si>
    <t>2013-584</t>
  </si>
  <si>
    <t>2012-1836</t>
  </si>
  <si>
    <t>2011-817</t>
  </si>
  <si>
    <t>30-4N-24-0000-0009-0000</t>
  </si>
  <si>
    <t>553777 US HWY 1</t>
  </si>
  <si>
    <t>Hotels motels</t>
  </si>
  <si>
    <t>Hotel</t>
  </si>
  <si>
    <t>PT GOVT LOTS 3 6 SEC 30-4N-24E IN OR 58/341</t>
  </si>
  <si>
    <t>2017-531</t>
  </si>
  <si>
    <t>RAPTY TRUST SERIES 31241</t>
  </si>
  <si>
    <t>2016-521</t>
  </si>
  <si>
    <t>KINGFISHER KEY RED ACCM LLC</t>
  </si>
  <si>
    <t>2015-536</t>
  </si>
  <si>
    <t>BETA BLOCK - CCTS FLOR 121999 US BANK CUST FOR PFS FINANCIAL 2 LLC</t>
  </si>
  <si>
    <t>2014-548</t>
  </si>
  <si>
    <t>2013-585</t>
  </si>
  <si>
    <t>2012-1837</t>
  </si>
  <si>
    <t>US BANK CUST BISBEE LLC H171D2</t>
  </si>
  <si>
    <t>2011-818</t>
  </si>
  <si>
    <t>30-4N-24-0000-0013-0010</t>
  </si>
  <si>
    <t>JACKSON</t>
  </si>
  <si>
    <t>HOGAN LARRY</t>
  </si>
  <si>
    <t>PT OF GOVT LOT 8 IN OR 2001/1706 2009 FLTWD DW/MH</t>
  </si>
  <si>
    <t>30-4N-24-2740-0001-0000</t>
  </si>
  <si>
    <t>ST MARYS HEIGHTS SUB</t>
  </si>
  <si>
    <t>LOTS 1 &amp; 2 IN OR 1533/780 ST MARYS HEIGHTS SUB PB 3/36</t>
  </si>
  <si>
    <t>2016-522</t>
  </si>
  <si>
    <t>2015-537</t>
  </si>
  <si>
    <t>2014-549</t>
  </si>
  <si>
    <t>2013-587</t>
  </si>
  <si>
    <t>2011-820</t>
  </si>
  <si>
    <t>30-4N-24-2740-0003-0000</t>
  </si>
  <si>
    <t>553519 US HWY 1</t>
  </si>
  <si>
    <t>SNIPES VELAR O</t>
  </si>
  <si>
    <t>9375 SE 163RD LN</t>
  </si>
  <si>
    <t>SUMMERFIELD FL</t>
  </si>
  <si>
    <t>LOTS 3 &amp; 4 IN OR 863/211 R672863 &amp; R672864</t>
  </si>
  <si>
    <t>30-4N-24-2740-0020-0010</t>
  </si>
  <si>
    <t>553408 US HY 1</t>
  </si>
  <si>
    <t>FRANKLIN KEN</t>
  </si>
  <si>
    <t>KITTRELL J B</t>
  </si>
  <si>
    <t>27196 GEIGER RD</t>
  </si>
  <si>
    <t>PT OF LOT 20 &amp; ALL LOTS 21 THRU 23 PT OR 1180/443</t>
  </si>
  <si>
    <t>2016-525</t>
  </si>
  <si>
    <t>2015-538</t>
  </si>
  <si>
    <t>CCTS CAPITAL - FLORIDA 10361 US BANK CUST FOR PFS FINANCIAL 2 LLC</t>
  </si>
  <si>
    <t>2014-551</t>
  </si>
  <si>
    <t>2013-588</t>
  </si>
  <si>
    <t>2012-1840</t>
  </si>
  <si>
    <t>2011-822</t>
  </si>
  <si>
    <t>31-4N-24-0000-0002-0000</t>
  </si>
  <si>
    <t>553079 US HWY 1</t>
  </si>
  <si>
    <t>31-04N-24E</t>
  </si>
  <si>
    <t>PT OF NE1/4 IN OR 1597/904 EX 2-1</t>
  </si>
  <si>
    <t>2017-533</t>
  </si>
  <si>
    <t>BAYSHORE BLVD 742 HOLDINGS LLC</t>
  </si>
  <si>
    <t>2015-539</t>
  </si>
  <si>
    <t>GRASS STREAM INV 213 LLC</t>
  </si>
  <si>
    <t>2012-1871</t>
  </si>
  <si>
    <t>US BANK CUST BISBEE LLC M10A70</t>
  </si>
  <si>
    <t>2011-823</t>
  </si>
  <si>
    <t>31-4N-24-2020-0062-0020</t>
  </si>
  <si>
    <t>DEMAGGIO PETE</t>
  </si>
  <si>
    <t>3760 HIGGINBOTHAM RD</t>
  </si>
  <si>
    <t>LOT 62 W OF US 1 (S-2) IN OR 1396/764 EX RR/RW &amp; 62-3</t>
  </si>
  <si>
    <t>2017-535</t>
  </si>
  <si>
    <t>VICTOR A OZOEZE</t>
  </si>
  <si>
    <t>2016-526</t>
  </si>
  <si>
    <t>2015-540</t>
  </si>
  <si>
    <t>2014-553</t>
  </si>
  <si>
    <t>2013-590</t>
  </si>
  <si>
    <t>2012-1873</t>
  </si>
  <si>
    <t>NYLDA BRECENIO CARRIDO</t>
  </si>
  <si>
    <t>2011-825</t>
  </si>
  <si>
    <t>32-4N-24-0000-0003-0020</t>
  </si>
  <si>
    <t>ALDERMAN KENNETH W</t>
  </si>
  <si>
    <t>27184 MURRHEE RD</t>
  </si>
  <si>
    <t>32-04N-24E</t>
  </si>
  <si>
    <t>PT OF SW1/4 IN OR 1630/1903</t>
  </si>
  <si>
    <t>32-4N-24-0000-0005-0010</t>
  </si>
  <si>
    <t>IN OR 1988/773 ESMT PT OR 1861/825</t>
  </si>
  <si>
    <t>2017-536</t>
  </si>
  <si>
    <t>ARCHFELD BLVD 7 MANAGEMENT SERVICES LLC</t>
  </si>
  <si>
    <t>2012-1964</t>
  </si>
  <si>
    <t>2011-826</t>
  </si>
  <si>
    <t>32-4N-24-0000-0017-0040</t>
  </si>
  <si>
    <t>POWER</t>
  </si>
  <si>
    <t>37116 POWER DR</t>
  </si>
  <si>
    <t>LOWERY LEE D</t>
  </si>
  <si>
    <t>LOWERY DOROTHY O</t>
  </si>
  <si>
    <t>PT OF GOVT LOT 3 IN OR 799 PG 1174 EX 17-5</t>
  </si>
  <si>
    <t>2017-537</t>
  </si>
  <si>
    <t>HARIO 95Q LLC</t>
  </si>
  <si>
    <t>2016-527</t>
  </si>
  <si>
    <t>ORANGE WHALES ALIT LLC</t>
  </si>
  <si>
    <t>2015-541</t>
  </si>
  <si>
    <t>KINGFISHER KEY RED AAHQ LLC</t>
  </si>
  <si>
    <t>2014-555</t>
  </si>
  <si>
    <t>2013-593</t>
  </si>
  <si>
    <t>32-4N-24-2020-0008-0020</t>
  </si>
  <si>
    <t>552959 US HWY 1</t>
  </si>
  <si>
    <t>MOWERY JOSEPH L</t>
  </si>
  <si>
    <t>2550 PLOVER RD</t>
  </si>
  <si>
    <t>WISCONSIN RAPIDS WI</t>
  </si>
  <si>
    <t>N PT OF LOT 8 W OF HWY IN OR 1989/1683 CORNWALL SURVEY</t>
  </si>
  <si>
    <t>2016-529</t>
  </si>
  <si>
    <t>CCTS LLC GROUP ETA 92221 US BANK CUST FOR PFS FINANCIAL 2 LLC</t>
  </si>
  <si>
    <t>34-4N-24-2020-0005-0000</t>
  </si>
  <si>
    <t>SR 115</t>
  </si>
  <si>
    <t>LSF9 MASTER PARTICIPATION TRST</t>
  </si>
  <si>
    <t>3701 REGENT BLVD</t>
  </si>
  <si>
    <t>IRVING TX</t>
  </si>
  <si>
    <t>34-04N-24E</t>
  </si>
  <si>
    <t>PT OF TRACT 5 LYING SE OF SR 115A IN OR 2026/897</t>
  </si>
  <si>
    <t>2015-542</t>
  </si>
  <si>
    <t>DUONG T PHO OR GIANG T PHO</t>
  </si>
  <si>
    <t>2013-597</t>
  </si>
  <si>
    <t>2012-2030</t>
  </si>
  <si>
    <t>2011-830</t>
  </si>
  <si>
    <t>34-4N-24-2020-0008-0020</t>
  </si>
  <si>
    <t>ABERCORN</t>
  </si>
  <si>
    <t>37168 ABERCORN RD</t>
  </si>
  <si>
    <t>JOHNSON VERNON</t>
  </si>
  <si>
    <t>PT OF LOTS 8 &amp; 9 (S-2) IN OR 2021/1503 CORNWALL SURVEY 2000 CMH DW/MH</t>
  </si>
  <si>
    <t>2017-539</t>
  </si>
  <si>
    <t>CYPRESS ARBOR 752 RENTING REO LLC</t>
  </si>
  <si>
    <t>2014-562</t>
  </si>
  <si>
    <t>2013-598</t>
  </si>
  <si>
    <t>34-4N-24-2020-0011-0010</t>
  </si>
  <si>
    <t>LIBBY</t>
  </si>
  <si>
    <t>LIBBY RD</t>
  </si>
  <si>
    <t>REED FLAVIUS THOMAS</t>
  </si>
  <si>
    <t>37028 TRACTOR LN</t>
  </si>
  <si>
    <t>E1/2 LOT 11 PT E1/2 OF LOT 12 OF CORNWALL SURVEY PBK O/31 &amp; &amp; PT SW1/4 OF SW1/4 OF</t>
  </si>
  <si>
    <t>2017-540</t>
  </si>
  <si>
    <t>2016-530</t>
  </si>
  <si>
    <t>2015-544</t>
  </si>
  <si>
    <t>2014-563</t>
  </si>
  <si>
    <t>2013-599</t>
  </si>
  <si>
    <t>2011-833</t>
  </si>
  <si>
    <t>CHEROKEE COVE II. INC.</t>
  </si>
  <si>
    <t>28-5N-24-0000-0001-0020</t>
  </si>
  <si>
    <t>PROSPECT LANDING</t>
  </si>
  <si>
    <t>392273 PROSPECT LANDING RD</t>
  </si>
  <si>
    <t>POTURICH NICHOLAS J</t>
  </si>
  <si>
    <t>POTURICH TONI A</t>
  </si>
  <si>
    <t>210 CAHOON RD S</t>
  </si>
  <si>
    <t>28-05N-24E</t>
  </si>
  <si>
    <t>IN OR 1520/472 PARCEL 1-2 SECS 28 &amp; 33-5N-24 PARCEL 2-11 SEC 33-5N-24</t>
  </si>
  <si>
    <t>2017-541</t>
  </si>
  <si>
    <t>2016-532</t>
  </si>
  <si>
    <t>2015-547</t>
  </si>
  <si>
    <t>2014-568</t>
  </si>
  <si>
    <t>2013-601</t>
  </si>
  <si>
    <t>2012-1766</t>
  </si>
  <si>
    <t>2011-837</t>
  </si>
  <si>
    <t>03-1N-25-0000-0001-0060</t>
  </si>
  <si>
    <t>CRAVEY</t>
  </si>
  <si>
    <t>54163 CRAVEY RD</t>
  </si>
  <si>
    <t>DAVIS BILLY WAYNE</t>
  </si>
  <si>
    <t>12605 GILLESPIE AVE</t>
  </si>
  <si>
    <t>3-01N-25E</t>
  </si>
  <si>
    <t>PT SE1/4 OF SW1/4 EX 1-43 IN OR 2008/1015 R378297 &amp; R378298</t>
  </si>
  <si>
    <t>2017-543</t>
  </si>
  <si>
    <t>ORANGE WHALES ACBJ LLC</t>
  </si>
  <si>
    <t>2014-569</t>
  </si>
  <si>
    <t>2013-602</t>
  </si>
  <si>
    <t>2012-661</t>
  </si>
  <si>
    <t>2011-838</t>
  </si>
  <si>
    <t>03-1N-25-0000-0001-0270</t>
  </si>
  <si>
    <t>CHURCH RD</t>
  </si>
  <si>
    <t>BAKER SUSAN B</t>
  </si>
  <si>
    <t>PO BOX 343</t>
  </si>
  <si>
    <t>IN OR 854/55</t>
  </si>
  <si>
    <t>2017-544</t>
  </si>
  <si>
    <t>2015-548</t>
  </si>
  <si>
    <t>03-1N-25-0000-0003-0060</t>
  </si>
  <si>
    <t>54123 CHURCH RD</t>
  </si>
  <si>
    <t>HALL EUGENE</t>
  </si>
  <si>
    <t>HALL VERNON W</t>
  </si>
  <si>
    <t>IN OR 1077/853 1974 DPST DW/MH EX R/W OR 262/87</t>
  </si>
  <si>
    <t>2017-546</t>
  </si>
  <si>
    <t>HUNTERS CREEK 405 REO LLC</t>
  </si>
  <si>
    <t>2016-536</t>
  </si>
  <si>
    <t>GRASSRIVER INV GREEN ACPK LLC</t>
  </si>
  <si>
    <t>2015-550</t>
  </si>
  <si>
    <t>2014-572</t>
  </si>
  <si>
    <t>2012-667</t>
  </si>
  <si>
    <t>2011-844</t>
  </si>
  <si>
    <t>03-1N-25-0620-0001-0000</t>
  </si>
  <si>
    <t>HONEYSUCKLE</t>
  </si>
  <si>
    <t>54143 HONEYSUCKLE LN</t>
  </si>
  <si>
    <t>MEEKS GARY L</t>
  </si>
  <si>
    <t>GARDEN POINT</t>
  </si>
  <si>
    <t>LOT 1 R497590 IN OR 729 PG 1557 GARDEN POINT PB 5/94</t>
  </si>
  <si>
    <t>12089C_7063</t>
  </si>
  <si>
    <t>12089C_LOMC3</t>
  </si>
  <si>
    <t>2017-547</t>
  </si>
  <si>
    <t>2016-537</t>
  </si>
  <si>
    <t>03-1N-25-0620-0006-0000</t>
  </si>
  <si>
    <t>54051 HONEYSUCKLE LN</t>
  </si>
  <si>
    <t>LOT 6 2001 FLEETWOOD DW IN OR 600/432 &amp; 434 GARDEN POINT PB 5/94</t>
  </si>
  <si>
    <t>2017-549</t>
  </si>
  <si>
    <t>BADIRMOOK INVEST 131 LLC</t>
  </si>
  <si>
    <t>2016-538</t>
  </si>
  <si>
    <t>FLORIDA - OMEGA GROUP 186970 US BANK CUST FOR PFS FINANCIAL 2 LLC</t>
  </si>
  <si>
    <t>2012-669</t>
  </si>
  <si>
    <t>03-1N-25-1421-0004-0000</t>
  </si>
  <si>
    <t>54267 CHURCH RD</t>
  </si>
  <si>
    <t>JOHNSON TONY M</t>
  </si>
  <si>
    <t>JOHNSON TONI D</t>
  </si>
  <si>
    <t>NATURE TRAIL</t>
  </si>
  <si>
    <t>LOT 4 2001 FLTWD DW IN OR 732 PG 1310 NATURE TRAIL #2 PB 5/403</t>
  </si>
  <si>
    <t>2017-552</t>
  </si>
  <si>
    <t>SANMARCORA SHUNSS</t>
  </si>
  <si>
    <t>2016-539</t>
  </si>
  <si>
    <t>HOSSET LLC O115479 SERIES</t>
  </si>
  <si>
    <t>2015-554</t>
  </si>
  <si>
    <t>CCTS CAPITAL - FLORIDA 105872 US BANK CUST FOR PFS FINANCIAL 2 LLC</t>
  </si>
  <si>
    <t>2014-575</t>
  </si>
  <si>
    <t>2013-610</t>
  </si>
  <si>
    <t>2012-672</t>
  </si>
  <si>
    <t>03-1N-25-2750-0003-0000</t>
  </si>
  <si>
    <t>54310 CHURCH RD</t>
  </si>
  <si>
    <t>BROWN ROBYN L</t>
  </si>
  <si>
    <t>85362 JOANN RD</t>
  </si>
  <si>
    <t>TRACT 3 (EX S-2) IN OR 1207/1153 1983 DUTCH DW/MH</t>
  </si>
  <si>
    <t>2017-553</t>
  </si>
  <si>
    <t>BLACK BEAR 881 LEASE MANGEMENT LLC</t>
  </si>
  <si>
    <t>2016-540</t>
  </si>
  <si>
    <t>2015-555</t>
  </si>
  <si>
    <t>03-1N-25-2752-0017-0000</t>
  </si>
  <si>
    <t>54460 CHURCH RD</t>
  </si>
  <si>
    <t>HELBERT MARK EDWARD</t>
  </si>
  <si>
    <t>HELBERT MARY C</t>
  </si>
  <si>
    <t>77089 PARKER RD</t>
  </si>
  <si>
    <t>LOT 17 2003 MERT DW IN OR 1993/1546 CASE NO 05-304-DR</t>
  </si>
  <si>
    <t>2017-554</t>
  </si>
  <si>
    <t>HOSSET LLC O90179 SERIES</t>
  </si>
  <si>
    <t>03-1N-25-2752-0027-0000</t>
  </si>
  <si>
    <t>54572 CHURCH RD</t>
  </si>
  <si>
    <t>MYERS CHARLES R</t>
  </si>
  <si>
    <t>MYERS CAROL J</t>
  </si>
  <si>
    <t>LOT 27 IN OR 1175/1860 ESMT OR 416/635</t>
  </si>
  <si>
    <t>2017-556</t>
  </si>
  <si>
    <t>NNNN2908</t>
  </si>
  <si>
    <t>03-1N-25-2752-0042-0000</t>
  </si>
  <si>
    <t>54439 CHURCH RD</t>
  </si>
  <si>
    <t>GORDEN MARY</t>
  </si>
  <si>
    <t>GORDEN BARRY</t>
  </si>
  <si>
    <t>1101 W 1ST ST</t>
  </si>
  <si>
    <t>MIDWAY GA</t>
  </si>
  <si>
    <t>CRAVEY SUB</t>
  </si>
  <si>
    <t>LOT 42 R106966 IN OR 1876/426 CRAVEY SUB 2 UNR</t>
  </si>
  <si>
    <t>2017-559</t>
  </si>
  <si>
    <t>RAPTY TRUST SERIES 13692</t>
  </si>
  <si>
    <t>2016-542</t>
  </si>
  <si>
    <t>JH - LIEN BUYING MACHINE 60177 US BANK CUST FOR PFS FINANCIAL 2 LLC</t>
  </si>
  <si>
    <t>2015-561</t>
  </si>
  <si>
    <t>04-1N-25-0000-0006-0000</t>
  </si>
  <si>
    <t>CUSHMAN</t>
  </si>
  <si>
    <t>44097 CUSHMAN RD</t>
  </si>
  <si>
    <t>OWENS LEONARD W</t>
  </si>
  <si>
    <t>4-01N-25E</t>
  </si>
  <si>
    <t>IN OR 102 PG 109 RP 259</t>
  </si>
  <si>
    <t>04-1N-25-2755-0020-0000</t>
  </si>
  <si>
    <t>CHARWOOD</t>
  </si>
  <si>
    <t>44303 CHARWOOD DR</t>
  </si>
  <si>
    <t>MILLER BRIAN K</t>
  </si>
  <si>
    <t>OBRIEN ROBERTA L</t>
  </si>
  <si>
    <t>PO BOX 1144</t>
  </si>
  <si>
    <t>CHARWOOD ESTATES</t>
  </si>
  <si>
    <t>TRACT 20 IN OR 941/1464 CHARWOOD ESTATES PB 4/65</t>
  </si>
  <si>
    <t>2017-560</t>
  </si>
  <si>
    <t>PAGIJ 16516 LLC</t>
  </si>
  <si>
    <t>2016-543</t>
  </si>
  <si>
    <t>OSA 3526</t>
  </si>
  <si>
    <t>2015-562</t>
  </si>
  <si>
    <t>JANAKPUR SO 22 LLC</t>
  </si>
  <si>
    <t>2014-580</t>
  </si>
  <si>
    <t>2013-616</t>
  </si>
  <si>
    <t>2012-715</t>
  </si>
  <si>
    <t>2011-855</t>
  </si>
  <si>
    <t>04-1N-25-2755-0035-0000</t>
  </si>
  <si>
    <t>44002 CHARWOOD DR</t>
  </si>
  <si>
    <t>PETERS CLINTON</t>
  </si>
  <si>
    <t>482 15TH AVE S</t>
  </si>
  <si>
    <t>TRACT 35 IN OR 1167/160 CHARWOOD ESTATES PB 4/65</t>
  </si>
  <si>
    <t>2017-561</t>
  </si>
  <si>
    <t>2016-544</t>
  </si>
  <si>
    <t>04-1N-25-2760-0008-0030</t>
  </si>
  <si>
    <t>MCKENDREE</t>
  </si>
  <si>
    <t>44136 MCKENDREE DR</t>
  </si>
  <si>
    <t>MCKENDREE JOSEPH</t>
  </si>
  <si>
    <t>BELLAMY MARY</t>
  </si>
  <si>
    <t>35199 QUAIL RD</t>
  </si>
  <si>
    <t>PT LOTS 8 &amp; 9 IN OR 1932/64 (EX PT IN OR 679/297 OR 725/200)</t>
  </si>
  <si>
    <t>2017-562</t>
  </si>
  <si>
    <t>SCOTTISH PINE 439 SERVICING LLC</t>
  </si>
  <si>
    <t>2016-545</t>
  </si>
  <si>
    <t>A680</t>
  </si>
  <si>
    <t>2012-718</t>
  </si>
  <si>
    <t>US BANK CUST BISBEE LLC H171D0</t>
  </si>
  <si>
    <t>2011-858</t>
  </si>
  <si>
    <t>04-1N-25-2760-0009-0030</t>
  </si>
  <si>
    <t>44182 MCKENDREE DR</t>
  </si>
  <si>
    <t>MCBEE MICHAEL E</t>
  </si>
  <si>
    <t>MCBEE JANE M</t>
  </si>
  <si>
    <t>GRAY GABLES SUB</t>
  </si>
  <si>
    <t>PT OF LOTS 9 &amp; 10 IN OR 679 PG 297 EAST GRAY GABLES SUB PB 2/50</t>
  </si>
  <si>
    <t>2017-563</t>
  </si>
  <si>
    <t>F92644</t>
  </si>
  <si>
    <t>2015-563</t>
  </si>
  <si>
    <t>FL SUB-ACCOUNTS 200-205 202011 US BANK CUST FOR PFS FINANCIAL 2 LLC</t>
  </si>
  <si>
    <t>2014-581</t>
  </si>
  <si>
    <t>2013-618</t>
  </si>
  <si>
    <t>2012-719</t>
  </si>
  <si>
    <t>2011-859</t>
  </si>
  <si>
    <t>04-1N-25-2760-0013-0020</t>
  </si>
  <si>
    <t>541064 US HWY 1</t>
  </si>
  <si>
    <t>GREEN JOSEPH BRIAN</t>
  </si>
  <si>
    <t>GREENS ROD SHOP &amp; RESTORATIONS</t>
  </si>
  <si>
    <t>541064 US HIGHWAY 1</t>
  </si>
  <si>
    <t>SW 313 FT OF LOT 13 EX R/W IN OR 1445/288 EAST GRAY GABLES SUB PB 2/50</t>
  </si>
  <si>
    <t>2017-565</t>
  </si>
  <si>
    <t>SUNGOR INVESTMENTS 833 LLC</t>
  </si>
  <si>
    <t>2016-546</t>
  </si>
  <si>
    <t>CHITWAN 291A LLC</t>
  </si>
  <si>
    <t>2015-566</t>
  </si>
  <si>
    <t>DOGPOUND98261</t>
  </si>
  <si>
    <t>2014-584</t>
  </si>
  <si>
    <t>2013-620</t>
  </si>
  <si>
    <t>2012-721</t>
  </si>
  <si>
    <t>2011-860</t>
  </si>
  <si>
    <t>04-1N-25-2760-0014-0040</t>
  </si>
  <si>
    <t>44127 MCKENDREE DR</t>
  </si>
  <si>
    <t>DENHAM PERRY P</t>
  </si>
  <si>
    <t>DENHAM JENNIFER L</t>
  </si>
  <si>
    <t>PT OF LOT 14 (S-4) IN OR 962/43 EAST GRAY GABLES SUB PB 2/50</t>
  </si>
  <si>
    <t>04-1N-25-276C-0010-0000</t>
  </si>
  <si>
    <t>PINEBREEZE</t>
  </si>
  <si>
    <t>44839 PINEBREEZE CIR</t>
  </si>
  <si>
    <t>LUKE KENNETH CARLTON</t>
  </si>
  <si>
    <t>CUSHING CREEK ESTATES</t>
  </si>
  <si>
    <t>LOT 10 R672991 &amp; R672992 IN OR 883/1398 AMENDED CUSHING CREEK ESTATES</t>
  </si>
  <si>
    <t>2017-566</t>
  </si>
  <si>
    <t>GRASSRIVER INV GREEN ABBH LLC</t>
  </si>
  <si>
    <t>2016-547</t>
  </si>
  <si>
    <t>BENNU LLC LY27QF83R</t>
  </si>
  <si>
    <t>2015-567</t>
  </si>
  <si>
    <t>TORO1897</t>
  </si>
  <si>
    <t>2014-586</t>
  </si>
  <si>
    <t>2013-622</t>
  </si>
  <si>
    <t>2012-722</t>
  </si>
  <si>
    <t>2011-861</t>
  </si>
  <si>
    <t>04-1N-25-276C-0018-0000</t>
  </si>
  <si>
    <t>44609 PINEBREEZE CIR</t>
  </si>
  <si>
    <t>CROCCO BARTHOLOMEW L</t>
  </si>
  <si>
    <t>CROCCO BRUCE V</t>
  </si>
  <si>
    <t>3518 LENCZYK DR W</t>
  </si>
  <si>
    <t>5-01N-25E</t>
  </si>
  <si>
    <t>LOT 18 SEC 5-1N-25 IN OR 1796/1087 AMENDED CUSHING CREEK ESTATES</t>
  </si>
  <si>
    <t>12089C_658</t>
  </si>
  <si>
    <t>2017-567</t>
  </si>
  <si>
    <t>2016-549</t>
  </si>
  <si>
    <t>BENNU LLC YS2AN358J</t>
  </si>
  <si>
    <t>2015-568</t>
  </si>
  <si>
    <t>2014-587</t>
  </si>
  <si>
    <t>2013-623</t>
  </si>
  <si>
    <t>04-1N-25-276C-0029-0000</t>
  </si>
  <si>
    <t>44536 PINEBREEZE CIR</t>
  </si>
  <si>
    <t>MULLIGAN FRANK</t>
  </si>
  <si>
    <t>4179 SANDHILL CRANE TER</t>
  </si>
  <si>
    <t>MIDDLEBURG FL</t>
  </si>
  <si>
    <t>LOT 29 SEC 5-1N-25 IN OR 1886/150 AMENDED CUSHING CREEK ESTATES</t>
  </si>
  <si>
    <t>2017-568</t>
  </si>
  <si>
    <t>EVERMORE FUNDING LLC - 1100 A35</t>
  </si>
  <si>
    <t>2015-569</t>
  </si>
  <si>
    <t>2014-589</t>
  </si>
  <si>
    <t>04-1N-25-276C-0042-0000</t>
  </si>
  <si>
    <t>44802 PINEBREEZE CIR</t>
  </si>
  <si>
    <t>STRINE TRACEY H</t>
  </si>
  <si>
    <t>LOT 42 R673579 IN OR 857/625 AMENDED CUSHING CREEK ESTATES</t>
  </si>
  <si>
    <t>2016-551</t>
  </si>
  <si>
    <t>SUDDEN SOLUTIONS126225</t>
  </si>
  <si>
    <t>2013-626</t>
  </si>
  <si>
    <t>2012-726</t>
  </si>
  <si>
    <t>2011-865</t>
  </si>
  <si>
    <t>04-1N-25-2780-0002-0000</t>
  </si>
  <si>
    <t>44014 CUSHMAN RD</t>
  </si>
  <si>
    <t>SWEAT CHARLES</t>
  </si>
  <si>
    <t>SWEAT JENNIFER</t>
  </si>
  <si>
    <t>LOT 2 (EX S-1) R622389 R360157 IN OR 1792/1842</t>
  </si>
  <si>
    <t>2017-569</t>
  </si>
  <si>
    <t>MED ALI LLC AND MALLY LLC PARTNERSHIP 1958</t>
  </si>
  <si>
    <t>2016-553</t>
  </si>
  <si>
    <t>2015-571</t>
  </si>
  <si>
    <t>2014-591</t>
  </si>
  <si>
    <t>04-1N-25-2780-0003-0010</t>
  </si>
  <si>
    <t>44002 CUSHMAN RD</t>
  </si>
  <si>
    <t>SWEAT ROBYN M</t>
  </si>
  <si>
    <t>SWEAT BRUCE</t>
  </si>
  <si>
    <t>45227 ROBINWOOD CIR</t>
  </si>
  <si>
    <t>N1/2 OF LOT 3 (S-1) IN OR 1317/1902 GRAY GABLES SUB PB 0/52</t>
  </si>
  <si>
    <t>2017-570</t>
  </si>
  <si>
    <t>TIREZ 30773 LLC</t>
  </si>
  <si>
    <t>2016-554</t>
  </si>
  <si>
    <t>2015-572</t>
  </si>
  <si>
    <t>2014-592</t>
  </si>
  <si>
    <t>04-1N-25-2780-0004-0000</t>
  </si>
  <si>
    <t>ARTESIAN</t>
  </si>
  <si>
    <t>BLVD</t>
  </si>
  <si>
    <t>44725 ARTESIAN BLVD</t>
  </si>
  <si>
    <t>FENCIK KRISTIE LEEANN</t>
  </si>
  <si>
    <t>LOT 4 IN OR 587/852 GRAY GABLES SUB PB 0/52</t>
  </si>
  <si>
    <t>04-1N-25-2786-0017-0000</t>
  </si>
  <si>
    <t>44329 PINEBREEZE CIR</t>
  </si>
  <si>
    <t>POWELL TANYA NYE</t>
  </si>
  <si>
    <t>MEARES MEADOWS</t>
  </si>
  <si>
    <t>LOT 17 1998 FLEET DW/MH IN OR 1374/1037 MEARES MEADOWS PB 6/17-18</t>
  </si>
  <si>
    <t>2017-572</t>
  </si>
  <si>
    <t>AUTUMN GLEN 831 MANAGEMENT SERVICES LLC</t>
  </si>
  <si>
    <t>2015-577</t>
  </si>
  <si>
    <t>E222273</t>
  </si>
  <si>
    <t>2014-596</t>
  </si>
  <si>
    <t>2013-631</t>
  </si>
  <si>
    <t>2012-732</t>
  </si>
  <si>
    <t>2011-872</t>
  </si>
  <si>
    <t>04-1N-25-2786-0024-0000</t>
  </si>
  <si>
    <t>44187 PINEBREEZE CIR</t>
  </si>
  <si>
    <t>OLDAKER KATHY W</t>
  </si>
  <si>
    <t>LOT 24 IN OR 1269/348 1996 NOBI DW/MH</t>
  </si>
  <si>
    <t>2016-557</t>
  </si>
  <si>
    <t>SUDDEN SOLUTIONS58572</t>
  </si>
  <si>
    <t>2015-578</t>
  </si>
  <si>
    <t>ARAPAHOE VENTURES 1</t>
  </si>
  <si>
    <t>2014-597</t>
  </si>
  <si>
    <t>2011-874</t>
  </si>
  <si>
    <t>04-1N-25-2786-0026-0000</t>
  </si>
  <si>
    <t>44145 PINEBREEZE CIR</t>
  </si>
  <si>
    <t>MONCRIEF JULIE S</t>
  </si>
  <si>
    <t>LOT 26 R673186 &amp; R673187 IN OR 792 PG 1559 MEARES MEADOWS PB 6/17-18</t>
  </si>
  <si>
    <t>2017-573</t>
  </si>
  <si>
    <t>OCEAN SHORE 313 MANAGEMENT SERVICES LLC</t>
  </si>
  <si>
    <t>2016-559</t>
  </si>
  <si>
    <t>2015-579</t>
  </si>
  <si>
    <t>GEEZ LLC AND CMON LLC PARTNERSHIP 1324</t>
  </si>
  <si>
    <t>2014-599</t>
  </si>
  <si>
    <t>2013-634</t>
  </si>
  <si>
    <t>2011-876</t>
  </si>
  <si>
    <t>04-1N-25-2800-0046-0000</t>
  </si>
  <si>
    <t>LEE</t>
  </si>
  <si>
    <t>44329 LEE DR</t>
  </si>
  <si>
    <t>HART JACQUELINE</t>
  </si>
  <si>
    <t>HART JON D</t>
  </si>
  <si>
    <t>55407 SHUG RD</t>
  </si>
  <si>
    <t>PINE KNOLL</t>
  </si>
  <si>
    <t>LOTS 46 &amp; 47 R 673131 IN OR 784 PG 944 PINE KNOLL SUB PB 4/5</t>
  </si>
  <si>
    <t>12089C_706</t>
  </si>
  <si>
    <t>2017-574</t>
  </si>
  <si>
    <t>2016-561</t>
  </si>
  <si>
    <t>2015-580</t>
  </si>
  <si>
    <t>04-1N-25-2800-0051-0000</t>
  </si>
  <si>
    <t>44257 LEE DR</t>
  </si>
  <si>
    <t>RODGERS ANN M</t>
  </si>
  <si>
    <t>LOTS 51 52 &amp; 53 IN OR 706 PG 1384 PINE KNOLL SUB PB 4/5</t>
  </si>
  <si>
    <t>2017-575</t>
  </si>
  <si>
    <t>KORA LA CERTS 15 LLC</t>
  </si>
  <si>
    <t>2012-737</t>
  </si>
  <si>
    <t>A10100</t>
  </si>
  <si>
    <t>2011-877</t>
  </si>
  <si>
    <t>04-1N-25-2800-0063-0000</t>
  </si>
  <si>
    <t>44041 LEE DR</t>
  </si>
  <si>
    <t>SELF ROBERT SEAN</t>
  </si>
  <si>
    <t>LOT 63 (EX S-1 &amp; S-2) IN OR 1426/1974 1985 CONC DW/MH</t>
  </si>
  <si>
    <t>04-1N-25-2820-0013-0000</t>
  </si>
  <si>
    <t>BECKER</t>
  </si>
  <si>
    <t>44086 BECKER AVE</t>
  </si>
  <si>
    <t>FRAME CHARLES</t>
  </si>
  <si>
    <t>LOTS 13 14 &amp; 15 IN OR 936/712 PINE KNOLL UNIT # 2 PB 5/17</t>
  </si>
  <si>
    <t>06-1N-25-0973-0002-0000</t>
  </si>
  <si>
    <t>DALES</t>
  </si>
  <si>
    <t>44170 DALES PL</t>
  </si>
  <si>
    <t>TALLMAN RANDY</t>
  </si>
  <si>
    <t>TALLMAN TARRA</t>
  </si>
  <si>
    <t>6-01N-25E</t>
  </si>
  <si>
    <t>LOT 2 IN OR 1229/1522 R673870 &amp; R673871</t>
  </si>
  <si>
    <t>2017-577</t>
  </si>
  <si>
    <t>BENNU LLC JY15Q4EEA</t>
  </si>
  <si>
    <t>2015-582</t>
  </si>
  <si>
    <t>F191315</t>
  </si>
  <si>
    <t>2014-601</t>
  </si>
  <si>
    <t>2013-638</t>
  </si>
  <si>
    <t>2012-817</t>
  </si>
  <si>
    <t>2011-880</t>
  </si>
  <si>
    <t>06-1N-25-199S-0001-0230</t>
  </si>
  <si>
    <t>QUAIL RIDGE</t>
  </si>
  <si>
    <t>44140 QUAIL RIDGE DR</t>
  </si>
  <si>
    <t>JAN INVESTMENT GROUP INC</t>
  </si>
  <si>
    <t>SWALLOWFORK ESTATES</t>
  </si>
  <si>
    <t>BLOCK 1 LOT 23 IN OR 1603/845 SWALLOWFORK ESTATES PB 5/305</t>
  </si>
  <si>
    <t>2017-580</t>
  </si>
  <si>
    <t>SWALE LLC SERIES A001881</t>
  </si>
  <si>
    <t>2014-604</t>
  </si>
  <si>
    <t>2013-642</t>
  </si>
  <si>
    <t>2012-821</t>
  </si>
  <si>
    <t>US BANK AS CUSTODIAN FOR PRO TAX FINANCIAL LLC</t>
  </si>
  <si>
    <t>06-1N-25-199S-0049-0000</t>
  </si>
  <si>
    <t>SWALLOWFORK</t>
  </si>
  <si>
    <t>SWALLOWFORK AV</t>
  </si>
  <si>
    <t>MARTIN BERNARD K</t>
  </si>
  <si>
    <t>MARTIN REBECCA L</t>
  </si>
  <si>
    <t>44387 SWALLOWFORK AVE</t>
  </si>
  <si>
    <t>LOT 49 PT OR 1645/1177 (EX OR 1932/513) SWALLOWFORK ESTATES PHASE 2</t>
  </si>
  <si>
    <t>2017-581</t>
  </si>
  <si>
    <t>BTI 2017 LLC</t>
  </si>
  <si>
    <t>2016-566</t>
  </si>
  <si>
    <t>2015-584</t>
  </si>
  <si>
    <t>06-1N-25-199S-0107-0000</t>
  </si>
  <si>
    <t>44965 SWALLOWFORK AVE</t>
  </si>
  <si>
    <t>WEAKLEY ANGELA</t>
  </si>
  <si>
    <t>95135 RAINTREE LN</t>
  </si>
  <si>
    <t>LOTS 107 &amp; 108 IN OR 1237/402 2005 FTWD DW/MH</t>
  </si>
  <si>
    <t>2016-567</t>
  </si>
  <si>
    <t>A141296</t>
  </si>
  <si>
    <t>2015-585</t>
  </si>
  <si>
    <t>PELICAN POINT GROUP139899</t>
  </si>
  <si>
    <t>06-1N-25-199S-0117-0000</t>
  </si>
  <si>
    <t>MAYHAW</t>
  </si>
  <si>
    <t>44061 MAYHAW LN</t>
  </si>
  <si>
    <t>SLUDER RALPH L</t>
  </si>
  <si>
    <t>SLUDER LISA M</t>
  </si>
  <si>
    <t>44079 MAYHAW LN</t>
  </si>
  <si>
    <t>LOT 117 PT OR 1144/1691 SWALLOWFORK ESTATES PHASE 5</t>
  </si>
  <si>
    <t>2017-582</t>
  </si>
  <si>
    <t>2016-568</t>
  </si>
  <si>
    <t>GDI 24 LLC</t>
  </si>
  <si>
    <t>2015-586</t>
  </si>
  <si>
    <t>2013-645</t>
  </si>
  <si>
    <t>2012-823</t>
  </si>
  <si>
    <t>2011-885</t>
  </si>
  <si>
    <t>06-1N-25-199S-0118-0000</t>
  </si>
  <si>
    <t>LOT 118 PT OR 1144/1691 SWALLOWFORK ESTATES PHASE 5</t>
  </si>
  <si>
    <t>2017-583</t>
  </si>
  <si>
    <t>2016-569</t>
  </si>
  <si>
    <t>MAB INVESTMENT TRUST LLC</t>
  </si>
  <si>
    <t>2015-587</t>
  </si>
  <si>
    <t>2013-646</t>
  </si>
  <si>
    <t>2012-824</t>
  </si>
  <si>
    <t>2011-886</t>
  </si>
  <si>
    <t>06-1N-25-199S-0149-0000</t>
  </si>
  <si>
    <t>44866 SWALLOWFORK AVE</t>
  </si>
  <si>
    <t>SIMPKINS CREGG A</t>
  </si>
  <si>
    <t>6172 MILTONDALE RD</t>
  </si>
  <si>
    <t>LOTS 149 &amp; 150 2000 PALM HARBOR DW/MH IN OR 1964/49</t>
  </si>
  <si>
    <t>2017-585</t>
  </si>
  <si>
    <t>KETICHAK INVESTS 513 LLC</t>
  </si>
  <si>
    <t>2014-606</t>
  </si>
  <si>
    <t>2013-647</t>
  </si>
  <si>
    <t>2012-825</t>
  </si>
  <si>
    <t>06-1N-25-199S-0168-0000</t>
  </si>
  <si>
    <t>BAYBERRY</t>
  </si>
  <si>
    <t>44039 BAYBERRY CT</t>
  </si>
  <si>
    <t>DALTON SEAN ALLAN FLOYD</t>
  </si>
  <si>
    <t>JARVIS CHRISTINE MICHELLE</t>
  </si>
  <si>
    <t>LOTS 168 &amp; 169 IN OR 1509/1850 2007 JACO DW/MH</t>
  </si>
  <si>
    <t>06-1N-25-199S-0187-0000</t>
  </si>
  <si>
    <t>WILLOW</t>
  </si>
  <si>
    <t>44100 WILLOW LN</t>
  </si>
  <si>
    <t>SHEARER MATTHEW A</t>
  </si>
  <si>
    <t>4384 BATTLECREEK CT W</t>
  </si>
  <si>
    <t>LOTS 187 &amp; 188 IN OR 1666/1311 1993 MERI DW/MH</t>
  </si>
  <si>
    <t>2012-827</t>
  </si>
  <si>
    <t>06-1N-25-199S-0195-0000</t>
  </si>
  <si>
    <t>RED OAK</t>
  </si>
  <si>
    <t>44059 RED OAK CT</t>
  </si>
  <si>
    <t>GLOUNER GREGORY D</t>
  </si>
  <si>
    <t>LOT 195 IN OR 1383/1511 R787665 &amp; R787666</t>
  </si>
  <si>
    <t>2017-588</t>
  </si>
  <si>
    <t>LILY STREAM INVEST 164 LLC</t>
  </si>
  <si>
    <t>2016-570</t>
  </si>
  <si>
    <t>FLORIDA INVESTMENT BLOCK PSI 164215 US BANK CUST FOR PFS FINANCIAL 1</t>
  </si>
  <si>
    <t>2015-588</t>
  </si>
  <si>
    <t>SONA CAPITAL40635</t>
  </si>
  <si>
    <t>2014-608</t>
  </si>
  <si>
    <t>2013-648</t>
  </si>
  <si>
    <t>2011-888</t>
  </si>
  <si>
    <t>06-1N-25-199S-0211-0000</t>
  </si>
  <si>
    <t>RED OAK CT</t>
  </si>
  <si>
    <t>JONES GWEN W</t>
  </si>
  <si>
    <t>44001 GWEN AVE</t>
  </si>
  <si>
    <t>LOT 211 IN OR 1293/228 SWALLOWFORK ESTATES PHASE 3</t>
  </si>
  <si>
    <t>2017-590</t>
  </si>
  <si>
    <t>VIRGINIA DUNLEAVY DUNLEAVY FAMILY TRUST</t>
  </si>
  <si>
    <t>2017-2234</t>
  </si>
  <si>
    <t>RUC, LLC RUC, LLC</t>
  </si>
  <si>
    <t>2017-2247</t>
  </si>
  <si>
    <t>2014-610</t>
  </si>
  <si>
    <t>2013-649</t>
  </si>
  <si>
    <t>2012-828</t>
  </si>
  <si>
    <t>06-1N-25-199S-0216-0000</t>
  </si>
  <si>
    <t>LITTLE LIVE OAK</t>
  </si>
  <si>
    <t>44013 LITTLE LIVE OAK LN</t>
  </si>
  <si>
    <t>BRIGMOND WANELL K</t>
  </si>
  <si>
    <t>LOTS 216 &amp; 217 IN OR 1746/1788 2006 FTWD DW/MH</t>
  </si>
  <si>
    <t>2017-591</t>
  </si>
  <si>
    <t>WASHINGTON LOOP 27 LEASE MANGEMENT LLC</t>
  </si>
  <si>
    <t>06-1N-25-199S-0238-0000</t>
  </si>
  <si>
    <t>BREEZY</t>
  </si>
  <si>
    <t>BREEZY LN</t>
  </si>
  <si>
    <t>WOODARD RUSSELL</t>
  </si>
  <si>
    <t>NELSON CLAUDIA A</t>
  </si>
  <si>
    <t>1 RIDGEWAY CT</t>
  </si>
  <si>
    <t>WEST ORANGE NJ</t>
  </si>
  <si>
    <t>LOT 238 PT OR 1398/747 SWALLOWFORK ESTATES PHASE 2</t>
  </si>
  <si>
    <t>2016-573</t>
  </si>
  <si>
    <t>2015-590</t>
  </si>
  <si>
    <t>2014-611</t>
  </si>
  <si>
    <t>2013-650</t>
  </si>
  <si>
    <t>2012-829</t>
  </si>
  <si>
    <t>06-1N-25-199S-0239-0000</t>
  </si>
  <si>
    <t>LOT 239 PT OR 1398/747 SWALLOWFORK ESTATES PHASE 2</t>
  </si>
  <si>
    <t>2016-574</t>
  </si>
  <si>
    <t>2015-591</t>
  </si>
  <si>
    <t>2014-612</t>
  </si>
  <si>
    <t>2013-651</t>
  </si>
  <si>
    <t>2012-830</t>
  </si>
  <si>
    <t>06-1N-25-199S-0240-0000</t>
  </si>
  <si>
    <t>PARKER CREIGHTON MILLICENT</t>
  </si>
  <si>
    <t>14434 LAKE UNDERHILL RD</t>
  </si>
  <si>
    <t>LOT 240 PT OR 2040/1565 SWALLOWFORK ESTATES PHASE 2</t>
  </si>
  <si>
    <t>2012-831</t>
  </si>
  <si>
    <t>06-1N-25-199S-0241-0000</t>
  </si>
  <si>
    <t>LOT 241 PT OR 2040/1565 SWALLOWFORK ESTATES PHASE 2</t>
  </si>
  <si>
    <t>2012-832</t>
  </si>
  <si>
    <t>06-1N-25-199S-0277-0000</t>
  </si>
  <si>
    <t>MAGNOLIA</t>
  </si>
  <si>
    <t>MAGNOLIA LN</t>
  </si>
  <si>
    <t>BAILEY LAUREL</t>
  </si>
  <si>
    <t>14343 110TH AVE</t>
  </si>
  <si>
    <t>JAMAICA NY</t>
  </si>
  <si>
    <t>LOT 277 PT OR 1366/904 SWALLOWFORK ESTATES PHASE 2</t>
  </si>
  <si>
    <t>2015-595</t>
  </si>
  <si>
    <t>06-1N-25-2920-0001-0033</t>
  </si>
  <si>
    <t>44092 DALES PL</t>
  </si>
  <si>
    <t>HARTMAN KATHRYN ANNE</t>
  </si>
  <si>
    <t>MEEKS SUSIE</t>
  </si>
  <si>
    <t>BLOCK 1 PT LOT 4 PAR S-3 IN OR 1798/525 (EX S-2 IN OR 1730/1751)</t>
  </si>
  <si>
    <t>2017-593</t>
  </si>
  <si>
    <t>GRAPESEED INDUSTRIES109717</t>
  </si>
  <si>
    <t>2015-597</t>
  </si>
  <si>
    <t>YAY FOR TAX LIENS 103102 US BANK CUST FOR PFS FINANCIAL 2 LLC</t>
  </si>
  <si>
    <t>2012-837</t>
  </si>
  <si>
    <t>06-1N-25-2920-0001-0092</t>
  </si>
  <si>
    <t>GWEN</t>
  </si>
  <si>
    <t>BLOCK 1 PT OF LOT 9 IN OR 730 PG 719 1997 FLEE DW/MH</t>
  </si>
  <si>
    <t>2014-617</t>
  </si>
  <si>
    <t>2013-656</t>
  </si>
  <si>
    <t>2012-838</t>
  </si>
  <si>
    <t>06-1N-25-2920-0002-0072</t>
  </si>
  <si>
    <t>44055 SWALLOWFORK AVE</t>
  </si>
  <si>
    <t>WIGGINS JESSICA K</t>
  </si>
  <si>
    <t>BLOCK 2 PT OF LOT 7 IN OR 917/561 R673374 &amp; R673375</t>
  </si>
  <si>
    <t>2017-594</t>
  </si>
  <si>
    <t>LAGYO INVESTMENTS 1185 LLC</t>
  </si>
  <si>
    <t>2016-580</t>
  </si>
  <si>
    <t>GRASS RIVER INVESTMENTS ADLW LLC</t>
  </si>
  <si>
    <t>2015-598</t>
  </si>
  <si>
    <t>F19946</t>
  </si>
  <si>
    <t>2013-657</t>
  </si>
  <si>
    <t>2012-839</t>
  </si>
  <si>
    <t>2011-894</t>
  </si>
  <si>
    <t>06-1N-25-2920-0002-0092</t>
  </si>
  <si>
    <t>CALLAHAN AV</t>
  </si>
  <si>
    <t>JACKMAN CHRIS</t>
  </si>
  <si>
    <t>258 EDMANDS RD</t>
  </si>
  <si>
    <t>FRAMINGHAM MA</t>
  </si>
  <si>
    <t>NEWCOMB SUB</t>
  </si>
  <si>
    <t>BLOCK 2 PT OF S1/2 OF LOT 9 IN OR 1489/709 NEWCOMB SUB PB 1/16</t>
  </si>
  <si>
    <t>2017-595</t>
  </si>
  <si>
    <t>2016-581</t>
  </si>
  <si>
    <t>2015-599</t>
  </si>
  <si>
    <t>2014-618</t>
  </si>
  <si>
    <t>2013-658</t>
  </si>
  <si>
    <t>09-1N-25-0670-0001-0010</t>
  </si>
  <si>
    <t>CATIES</t>
  </si>
  <si>
    <t>44134 CATIES WAY</t>
  </si>
  <si>
    <t>LOUDERMILK ROBERT W</t>
  </si>
  <si>
    <t>9-01N-25E</t>
  </si>
  <si>
    <t>BLOCK 1 LOT 1 IN OR 860/1521 R673867 &amp; R673868 &amp; R673869</t>
  </si>
  <si>
    <t>2017-596</t>
  </si>
  <si>
    <t>PELICAN PASS TAX AIML LLC</t>
  </si>
  <si>
    <t>2016-582</t>
  </si>
  <si>
    <t>SUTTON INVESTMENT68871</t>
  </si>
  <si>
    <t>2015-600</t>
  </si>
  <si>
    <t>PELICAN PASS TAX AKHK LLC</t>
  </si>
  <si>
    <t>2014-619</t>
  </si>
  <si>
    <t>2013-660</t>
  </si>
  <si>
    <t>2012-988</t>
  </si>
  <si>
    <t>09-1N-25-0670-0002-0060</t>
  </si>
  <si>
    <t>44320 CATIES WAY</t>
  </si>
  <si>
    <t>GROGAN CHAD E</t>
  </si>
  <si>
    <t>GROGAN SHELLY D</t>
  </si>
  <si>
    <t>307 E OHIO AVE APT 702</t>
  </si>
  <si>
    <t>GREEN MEADOWS</t>
  </si>
  <si>
    <t>BLOCK 2 LOT 6 IN OR 1483/442 GREEN MEADOWS #1 PB 6/101</t>
  </si>
  <si>
    <t>2017-597</t>
  </si>
  <si>
    <t>HOSSET LLC O3963 SERIES</t>
  </si>
  <si>
    <t>09-1N-25-0670-0002-0130</t>
  </si>
  <si>
    <t>HENDRICKS DANIEL</t>
  </si>
  <si>
    <t>BLOCK 2 LOT 13 IN OR 972/892 GREEN MEADOWS #1 PB 6/101</t>
  </si>
  <si>
    <t>2014-621</t>
  </si>
  <si>
    <t>09-1N-25-0672-0016-0000</t>
  </si>
  <si>
    <t>44904 GREEN MEADOWS LN</t>
  </si>
  <si>
    <t>MCCOY MARC</t>
  </si>
  <si>
    <t>MCCOY KIMBERLY</t>
  </si>
  <si>
    <t>LOT 16 IN OR 1125/607 GREEN MEADOWS PHASE 3 PB 6/334</t>
  </si>
  <si>
    <t>09-1N-25-0672-0030-0000</t>
  </si>
  <si>
    <t>44959 GREEN MEADOWS LN</t>
  </si>
  <si>
    <t>GREENE KENNETH L</t>
  </si>
  <si>
    <t>GREENE DANA M</t>
  </si>
  <si>
    <t>LOT 30 IN OR 1665/1319 GREEN MEADOWS PHASE 3 PB 6/334</t>
  </si>
  <si>
    <t>2013-663</t>
  </si>
  <si>
    <t>2011-897</t>
  </si>
  <si>
    <t>10-1N-25-0000-0012-0000</t>
  </si>
  <si>
    <t>ABD AHMAD I</t>
  </si>
  <si>
    <t>1544 N MAIN ST</t>
  </si>
  <si>
    <t>10-01N-25E</t>
  </si>
  <si>
    <t>PT OR 2025/622</t>
  </si>
  <si>
    <t>2016-584</t>
  </si>
  <si>
    <t>2015-602</t>
  </si>
  <si>
    <t>2014-623</t>
  </si>
  <si>
    <t>2013-666</t>
  </si>
  <si>
    <t>2012-1108</t>
  </si>
  <si>
    <t>2011-899</t>
  </si>
  <si>
    <t>INVESTAX, LLC</t>
  </si>
  <si>
    <t>10-1N-25-022H-0003-0000</t>
  </si>
  <si>
    <t>HURSEY JASON</t>
  </si>
  <si>
    <t>HURSEY JULIE</t>
  </si>
  <si>
    <t>613957 RIVER RD</t>
  </si>
  <si>
    <t>CHURCH ROAD EST</t>
  </si>
  <si>
    <t>LOT PT OR 1509/1261 CHURCH ROAD EST PB 7/301</t>
  </si>
  <si>
    <t>2017-599</t>
  </si>
  <si>
    <t>10-1N-25-022H-0005-0000</t>
  </si>
  <si>
    <t>54100 CHURCH RD</t>
  </si>
  <si>
    <t>SMITH ALLISON</t>
  </si>
  <si>
    <t>HARTSFIELD RICKY</t>
  </si>
  <si>
    <t>LOT 5 IN OR 2031/738 CHURCH ROAD EST PB 7/301</t>
  </si>
  <si>
    <t>10-1N-25-022H-0006-0000</t>
  </si>
  <si>
    <t>14039 RIVER RD</t>
  </si>
  <si>
    <t>LOT 6 PT OR 1509/1261 CHURCH ROAD EST PB 7/301</t>
  </si>
  <si>
    <t>2017-600</t>
  </si>
  <si>
    <t>BENNU LLC JY53Q88A</t>
  </si>
  <si>
    <t>10-1N-25-2880-0002-0060</t>
  </si>
  <si>
    <t>HERON</t>
  </si>
  <si>
    <t>54162 HERON RD</t>
  </si>
  <si>
    <t>FINCH NINA</t>
  </si>
  <si>
    <t>NASSAU PLANTATIONS</t>
  </si>
  <si>
    <t>BLOCK 2 LOT 6 IN OR 1616/1101 NASSAU PLANTATIONS UNR</t>
  </si>
  <si>
    <t>2017-603</t>
  </si>
  <si>
    <t>2016-586</t>
  </si>
  <si>
    <t>BENNU LLC JY14Q2F1A</t>
  </si>
  <si>
    <t>10-1N-25-2880-0003-0030</t>
  </si>
  <si>
    <t>PELICAN</t>
  </si>
  <si>
    <t>54080 PELICAN RD</t>
  </si>
  <si>
    <t>KEEFER RONALD L</t>
  </si>
  <si>
    <t>KEEFER SARAH B</t>
  </si>
  <si>
    <t>BLOCK 3 LOT 3 IN OR 1907/1562 2001 MILL-TW</t>
  </si>
  <si>
    <t>2016-587</t>
  </si>
  <si>
    <t>BISBEE LLC S23V2085E3</t>
  </si>
  <si>
    <t>2015-605</t>
  </si>
  <si>
    <t>HORIZON 2659</t>
  </si>
  <si>
    <t>10-1N-25-2880-0003-0130</t>
  </si>
  <si>
    <t>54360 PELICAN RD</t>
  </si>
  <si>
    <t>MESSER LINDA C</t>
  </si>
  <si>
    <t>BLOCK 3 LOT 13 IN OR 800 PG 1585 NASSAU PLANTATIONS UNR</t>
  </si>
  <si>
    <t>10-1N-25-2880-0003-0140</t>
  </si>
  <si>
    <t>54388 PELICAN RD</t>
  </si>
  <si>
    <t>HARGROVE DAVID G</t>
  </si>
  <si>
    <t>HARGROVE TERRY</t>
  </si>
  <si>
    <t>BLOCK 3 LOT 14 IN OR 588/115 NASSAU PLANTATIONS UNR</t>
  </si>
  <si>
    <t>2017-604</t>
  </si>
  <si>
    <t>BENNU LLC LY26QA85R</t>
  </si>
  <si>
    <t>2013-671</t>
  </si>
  <si>
    <t>JANE CHEON CHEON 2005 REVOCABLE TRUST</t>
  </si>
  <si>
    <t>2012-1114</t>
  </si>
  <si>
    <t>ROSEHILL FUND 1A LLC</t>
  </si>
  <si>
    <t>10-1N-25-2880-0004-0030</t>
  </si>
  <si>
    <t>SEAGULL</t>
  </si>
  <si>
    <t>54076 SEAGULL DR</t>
  </si>
  <si>
    <t>GULBRANDSEN RICHARD</t>
  </si>
  <si>
    <t>7651 OWL RD</t>
  </si>
  <si>
    <t>BLOCK 4 LOT 3 &amp; PT OF TRACT C IN OR 994/636 R108160 &amp; R108161</t>
  </si>
  <si>
    <t>2014-628</t>
  </si>
  <si>
    <t>2013-672</t>
  </si>
  <si>
    <t>10-1N-25-2880-0006-0040</t>
  </si>
  <si>
    <t>PLANTATION</t>
  </si>
  <si>
    <t>54203 PLANTATION RD</t>
  </si>
  <si>
    <t>GANGER TAMMY LYNN</t>
  </si>
  <si>
    <t>JOHNS TAMMY LYNN</t>
  </si>
  <si>
    <t>BLOCK 6 LOT 4 IN OR 1051/1131</t>
  </si>
  <si>
    <t>2017-605</t>
  </si>
  <si>
    <t>TULIP CREEK CERTS 357 LLC</t>
  </si>
  <si>
    <t>2016-590</t>
  </si>
  <si>
    <t>RAPTY TRUST SERIES 17110</t>
  </si>
  <si>
    <t>2015-608</t>
  </si>
  <si>
    <t>MALLY LLC AND MED ALI LLC PARTNERSHIP 1494</t>
  </si>
  <si>
    <t>10-1N-25-2880-0006-0080</t>
  </si>
  <si>
    <t>54083 PLANTATION RD</t>
  </si>
  <si>
    <t>MILLER JOE W</t>
  </si>
  <si>
    <t>MILLER EVA L</t>
  </si>
  <si>
    <t>BLOCK 6 LOT 8 IN OR 192 PG 288 1996 FLEET SW/MH</t>
  </si>
  <si>
    <t>2016-591</t>
  </si>
  <si>
    <t>SUTTON INVESTMENT79036</t>
  </si>
  <si>
    <t>2011-906</t>
  </si>
  <si>
    <t>HANG YORK SOOHOO</t>
  </si>
  <si>
    <t>10-1N-25-2880-000C-0012</t>
  </si>
  <si>
    <t>54138 CHURCH RD</t>
  </si>
  <si>
    <t>HUMPHRIES CHRISTINE</t>
  </si>
  <si>
    <t>450671 STATE ROAD 200</t>
  </si>
  <si>
    <t>PT GOVT LOT 3 OF SEC 10-1N-25E IN OR 1677/636 BEING PARAGRAPH 1 OF EXHIBIT A</t>
  </si>
  <si>
    <t>2017-606</t>
  </si>
  <si>
    <t>ORANGE WHALES ADUH LLC</t>
  </si>
  <si>
    <t>2016-592</t>
  </si>
  <si>
    <t>CCTS FLOR ALPHA BLOCK 114510 US BANK CUST FOR PFS FINANCIAL 2 LLC</t>
  </si>
  <si>
    <t>2015-609</t>
  </si>
  <si>
    <t>DUNE VENTURES181268</t>
  </si>
  <si>
    <t>2014-630</t>
  </si>
  <si>
    <t>2013-675</t>
  </si>
  <si>
    <t>2012-1116</t>
  </si>
  <si>
    <t>10-1N-25-2882-0006-0000</t>
  </si>
  <si>
    <t>SUNSHINE</t>
  </si>
  <si>
    <t>54115 SUNSHINE DR</t>
  </si>
  <si>
    <t>SWAIN CYNTHIA</t>
  </si>
  <si>
    <t>LOT 6 IN OR 1513/81 NASSAU PLANTATIONS #2 PB 5/109</t>
  </si>
  <si>
    <t>2017-607</t>
  </si>
  <si>
    <t>TERRACE GARDEN 477 LEASE MANGEMENT LLC</t>
  </si>
  <si>
    <t>2016-593</t>
  </si>
  <si>
    <t>2015-611</t>
  </si>
  <si>
    <t>2014-632</t>
  </si>
  <si>
    <t>2013-678</t>
  </si>
  <si>
    <t>2012-1119</t>
  </si>
  <si>
    <t>10-1N-25-2882-0011-0000</t>
  </si>
  <si>
    <t>54072 SUNSHINE DR</t>
  </si>
  <si>
    <t>MATHIS GLORIA L</t>
  </si>
  <si>
    <t>MATHIS JAMES H</t>
  </si>
  <si>
    <t>LOT 11 IN OR 539 PG 378 R567984 &amp; R567985</t>
  </si>
  <si>
    <t>2017-608</t>
  </si>
  <si>
    <t>SODA BROTHERS4</t>
  </si>
  <si>
    <t>2016-594</t>
  </si>
  <si>
    <t>MALLY LLC AND MED ALI LLC PARTNERSHIP 469</t>
  </si>
  <si>
    <t>2011-910</t>
  </si>
  <si>
    <t>10-1N-25-2882-0015-0000</t>
  </si>
  <si>
    <t>54180 SUNSHINE DR</t>
  </si>
  <si>
    <t>FARMER SR DANIEL C</t>
  </si>
  <si>
    <t>1480 ARLINGWOOD AVE</t>
  </si>
  <si>
    <t>LOT 15 IN OR 1618/381 R378163 &amp; R378164</t>
  </si>
  <si>
    <t>2013-2810</t>
  </si>
  <si>
    <t>16-1N-25-0000-0001-0220</t>
  </si>
  <si>
    <t>HURST</t>
  </si>
  <si>
    <t>HURST RD</t>
  </si>
  <si>
    <t>CARROLL JODY LEE</t>
  </si>
  <si>
    <t>CARROLL SHELLEY R</t>
  </si>
  <si>
    <t>45068 IRIS BLVD</t>
  </si>
  <si>
    <t>16-01N-25E</t>
  </si>
  <si>
    <t>IN OR 972/490 EX ESMT OR 623/1161</t>
  </si>
  <si>
    <t>2017-609</t>
  </si>
  <si>
    <t>2016-596</t>
  </si>
  <si>
    <t>BENNU LLC YS1CN014J</t>
  </si>
  <si>
    <t>2015-612</t>
  </si>
  <si>
    <t>16-1N-25-0000-0001-0350</t>
  </si>
  <si>
    <t>54366 HURST RD</t>
  </si>
  <si>
    <t>WARREN WILLIAM</t>
  </si>
  <si>
    <t>IN OR 1414/1322</t>
  </si>
  <si>
    <t>16-1N-25-0000-0001-0380</t>
  </si>
  <si>
    <t>MCSWAIN</t>
  </si>
  <si>
    <t>44011 MCSWAIN CIR</t>
  </si>
  <si>
    <t>SHEPARD STEPHEN M</t>
  </si>
  <si>
    <t>SHEPARD HEATHER L</t>
  </si>
  <si>
    <t>44011 MCSWAINS LN</t>
  </si>
  <si>
    <t>IN OR 1762/965</t>
  </si>
  <si>
    <t>16-1N-25-2900-0004-0020</t>
  </si>
  <si>
    <t>RATLIFF</t>
  </si>
  <si>
    <t>43303 RATLIFF RD</t>
  </si>
  <si>
    <t>BALOUTA RAFAT</t>
  </si>
  <si>
    <t>BALUUTA ANGEL</t>
  </si>
  <si>
    <t>ETLY 170 FT OF LOT 4 IN OR 1864/950 R278181 &amp; R278182</t>
  </si>
  <si>
    <t>2017-614</t>
  </si>
  <si>
    <t>HEATHER HEIGHTS 249 LEASE MANGEMENT LLC</t>
  </si>
  <si>
    <t>2016-598</t>
  </si>
  <si>
    <t>2014-636</t>
  </si>
  <si>
    <t>2013-683</t>
  </si>
  <si>
    <t>2011-914</t>
  </si>
  <si>
    <t>16-1N-25-2900-0010-0000</t>
  </si>
  <si>
    <t>43383 RATLIFF RD</t>
  </si>
  <si>
    <t>MOSER GRACE E</t>
  </si>
  <si>
    <t>MOSER MICHAEL W</t>
  </si>
  <si>
    <t>LOT 10 (EX S-1) IN OR 1105/945 (SEC 20-1N-25) R787773 &amp; R787774 &amp; R787775</t>
  </si>
  <si>
    <t>12089C_998</t>
  </si>
  <si>
    <t>2017-615</t>
  </si>
  <si>
    <t>BAYTOWNE WHARF 78 MANAGEMENT SERVICES LLC</t>
  </si>
  <si>
    <t>2016-601</t>
  </si>
  <si>
    <t>ZYGGY LLC AND ZEHN LLC PARTNERSHIP 366</t>
  </si>
  <si>
    <t>2015-617</t>
  </si>
  <si>
    <t>KING FISHER KEY TAX TBBI LLC</t>
  </si>
  <si>
    <t>2014-640</t>
  </si>
  <si>
    <t>16-1N-25-2900-0010-0010</t>
  </si>
  <si>
    <t>PINEWOOD</t>
  </si>
  <si>
    <t>43056 PINEWOOD CT</t>
  </si>
  <si>
    <t>VICKERS JUDY K</t>
  </si>
  <si>
    <t>PT OF LOT 10 IN OR 858/775 R673519 &amp; R673520</t>
  </si>
  <si>
    <t>2017-616</t>
  </si>
  <si>
    <t>DUTUQ 29383 LLC</t>
  </si>
  <si>
    <t>2015-618</t>
  </si>
  <si>
    <t>CLEMENTINE DOLPHIN ABLS LLC</t>
  </si>
  <si>
    <t>2014-641</t>
  </si>
  <si>
    <t>16-1N-25-2900-0013-0020</t>
  </si>
  <si>
    <t>43433 RATLIFF RD</t>
  </si>
  <si>
    <t>AMOS CHRISTY L</t>
  </si>
  <si>
    <t>RATLIFF ACRES</t>
  </si>
  <si>
    <t>PT OF LOT 13 IN OR 781 PG 952 RATLIFF ACRES UNR</t>
  </si>
  <si>
    <t>2017-617</t>
  </si>
  <si>
    <t>TEMPLE GROVE 661 RENTING REO LLC</t>
  </si>
  <si>
    <t>2016-602</t>
  </si>
  <si>
    <t>BRIDGE TAX LLC - 616</t>
  </si>
  <si>
    <t>PLEASANT VALLEY CAPITAL LLC - 1810 A12</t>
  </si>
  <si>
    <t>2015-619</t>
  </si>
  <si>
    <t>MALLY LLC AND MED ALI LLC PARTNERSHIP 965</t>
  </si>
  <si>
    <t>2014-642</t>
  </si>
  <si>
    <t>2013-685</t>
  </si>
  <si>
    <t>2012-1244</t>
  </si>
  <si>
    <t>BRIDGE TAX LLC - 339 US BANK % BRIDGE TAX LLC-339</t>
  </si>
  <si>
    <t>16-1N-25-2900-0017-0000</t>
  </si>
  <si>
    <t>43501 RATLIFF RD</t>
  </si>
  <si>
    <t>HUNT DEBORAH M</t>
  </si>
  <si>
    <t>PO BOX 1433</t>
  </si>
  <si>
    <t>LOT 17 R106937 IN OR 1820/300 R672144 &amp; R672145 &amp; R672156</t>
  </si>
  <si>
    <t>12089C_763</t>
  </si>
  <si>
    <t>2017-619</t>
  </si>
  <si>
    <t>ELDRON BLVD 940 MANAGEMENT SERVICES LLC</t>
  </si>
  <si>
    <t>2016-604</t>
  </si>
  <si>
    <t>CCTS FL 38679 US BANK CUST FOR PFS FINANCIAL 2 LLC</t>
  </si>
  <si>
    <t>2014-644</t>
  </si>
  <si>
    <t>2012-1246</t>
  </si>
  <si>
    <t>16-1N-25-2900-0027-0010</t>
  </si>
  <si>
    <t>43434 RATLIFF RD</t>
  </si>
  <si>
    <t>PT OF LOT 27 IN OR 1493/332 ESMT OR 1138/707</t>
  </si>
  <si>
    <t>2017-621</t>
  </si>
  <si>
    <t>DAISY RIVER CERTS 802 LLC</t>
  </si>
  <si>
    <t>2016-606</t>
  </si>
  <si>
    <t>CCTS FL 41938 US BANK CUST FOR PFS FINANCIAL 2 LLC</t>
  </si>
  <si>
    <t>2015-622</t>
  </si>
  <si>
    <t>DUNE VENTURES45699</t>
  </si>
  <si>
    <t>2014-646</t>
  </si>
  <si>
    <t>2013-688</t>
  </si>
  <si>
    <t>2012-1248</t>
  </si>
  <si>
    <t>2011-917</t>
  </si>
  <si>
    <t>16-1N-25-2900-0027-0030</t>
  </si>
  <si>
    <t>43432 RATLIFF RD</t>
  </si>
  <si>
    <t>S-3 OF LOT 27 IN OR 1677/639 RATLIFF ACRES UNR</t>
  </si>
  <si>
    <t>2017-622</t>
  </si>
  <si>
    <t>SONA CAPITAL77316</t>
  </si>
  <si>
    <t>2016-607</t>
  </si>
  <si>
    <t>OFN - 269775 - JUPITER GROUP US BANK CUST FOR PFS FINANCIAL 1</t>
  </si>
  <si>
    <t>2015-623</t>
  </si>
  <si>
    <t>2014-647</t>
  </si>
  <si>
    <t>2013-689</t>
  </si>
  <si>
    <t>2012-1249</t>
  </si>
  <si>
    <t>16-1N-25-2900-0028-0010</t>
  </si>
  <si>
    <t>43416 RATLIFF RD</t>
  </si>
  <si>
    <t>PT OF LOT 28 (S-1) IN OR 1429/1537 1988 DERO SW/MH</t>
  </si>
  <si>
    <t>2017-623</t>
  </si>
  <si>
    <t>SILVER BEACH 568 SERVICING LLC</t>
  </si>
  <si>
    <t>2016-608</t>
  </si>
  <si>
    <t>AZTEC ADVISORY SERVICES48888</t>
  </si>
  <si>
    <t>2015-624</t>
  </si>
  <si>
    <t>KOSITAPU 819A LLC</t>
  </si>
  <si>
    <t>2014-648</t>
  </si>
  <si>
    <t>2013-690</t>
  </si>
  <si>
    <t>2012-1250</t>
  </si>
  <si>
    <t>2011-918</t>
  </si>
  <si>
    <t>16-1N-25-2910-0008-0000</t>
  </si>
  <si>
    <t>FREEDOM</t>
  </si>
  <si>
    <t>43755 FREEDOM DR</t>
  </si>
  <si>
    <t>SHRADER RORIE J</t>
  </si>
  <si>
    <t>SHRADER JACQUELINE A</t>
  </si>
  <si>
    <t>43765 FREEDOM DR</t>
  </si>
  <si>
    <t>LOT 8 IN OR 1872/989 &amp; OR 1885/430 1980 STAT/SW/MH</t>
  </si>
  <si>
    <t>2017-624</t>
  </si>
  <si>
    <t>ORANGE WHALES ADXK LLC</t>
  </si>
  <si>
    <t>2013-2891</t>
  </si>
  <si>
    <t>16-1N-25-2910-0019-0000</t>
  </si>
  <si>
    <t>43111 FREEDOM DR</t>
  </si>
  <si>
    <t>EVANS GLORIA</t>
  </si>
  <si>
    <t>PT OF LOT 19 IN OR 558/1066 EX S-2 &amp; S-3</t>
  </si>
  <si>
    <t>2015-625</t>
  </si>
  <si>
    <t>SLINGSHOT FUNDING LLC SERIES 18008</t>
  </si>
  <si>
    <t>16-1N-25-2910-0019-0020</t>
  </si>
  <si>
    <t>FREEDOM DR</t>
  </si>
  <si>
    <t>EVANS GLORIA JEAN</t>
  </si>
  <si>
    <t>WOODLAND ESTATES</t>
  </si>
  <si>
    <t>PT OF LOT 19 (S-2) IN OR 1874/1050 WOODLAND ESTATES #1 PB 4/29-30</t>
  </si>
  <si>
    <t>2016-609</t>
  </si>
  <si>
    <t>BENNU LLC LY9DQDAR</t>
  </si>
  <si>
    <t>2015-626</t>
  </si>
  <si>
    <t>16-1N-25-2912-0003-0090</t>
  </si>
  <si>
    <t>WOODLAND</t>
  </si>
  <si>
    <t>44090 WOODLAND CIR</t>
  </si>
  <si>
    <t>HARRISON THOMAS</t>
  </si>
  <si>
    <t>HARRISON CARRIE</t>
  </si>
  <si>
    <t>BLOCK 3 LOT 9 &amp; S-1 OF LOT 8 IN OR 1482/833 EX ESMT OR 1271/1681</t>
  </si>
  <si>
    <t>2017-625</t>
  </si>
  <si>
    <t>SETPER LLC O64861 SERIES</t>
  </si>
  <si>
    <t>2015-628</t>
  </si>
  <si>
    <t>KKKK1118</t>
  </si>
  <si>
    <t>2014-652</t>
  </si>
  <si>
    <t>2012-1257</t>
  </si>
  <si>
    <t>2011-924</t>
  </si>
  <si>
    <t>16-1N-25-2912-0004-0090</t>
  </si>
  <si>
    <t>44752 WOODLAND CIR</t>
  </si>
  <si>
    <t>NETTLES AL W</t>
  </si>
  <si>
    <t>NETTLES JANICE M</t>
  </si>
  <si>
    <t>BLOCK 4 LOT 9 IN OR 336 PG 397 R 223924 &amp; R 223925</t>
  </si>
  <si>
    <t>2016-612</t>
  </si>
  <si>
    <t>CCTS EPSILON GROUP 145481 US BANK CUST FOR PFS FINANCIAL 2 LLC</t>
  </si>
  <si>
    <t>2015-630</t>
  </si>
  <si>
    <t>CCTS - BUY MORE LIENS 190368 US BANK CUST FOR PFS FINANCIAL 2 LLC</t>
  </si>
  <si>
    <t>2014-655</t>
  </si>
  <si>
    <t>16-1N-25-2912-0005-0070</t>
  </si>
  <si>
    <t>WOODRIDGE</t>
  </si>
  <si>
    <t>44467 WOODRIDGE DR</t>
  </si>
  <si>
    <t>CONNOR JAMES E</t>
  </si>
  <si>
    <t>CONNOR KAREN H</t>
  </si>
  <si>
    <t>BLOCK 5 LOT 7 IN OR 1334/580 WOODLAND ESTATES UNIT 2</t>
  </si>
  <si>
    <t>2017-628</t>
  </si>
  <si>
    <t>SANMARCORA GTLJNP</t>
  </si>
  <si>
    <t>2016-614</t>
  </si>
  <si>
    <t>IIII1712</t>
  </si>
  <si>
    <t>2015-631</t>
  </si>
  <si>
    <t>NQX - 231324 - DUNDEE SOUTH US BANK CUST FOR PFS FINANCIAL 2 LLC</t>
  </si>
  <si>
    <t>2014-656</t>
  </si>
  <si>
    <t>2013-699</t>
  </si>
  <si>
    <t>2012-1260</t>
  </si>
  <si>
    <t>US BANK CUST BISBEE LLC H171E3</t>
  </si>
  <si>
    <t>2011-927</t>
  </si>
  <si>
    <t>16-1N-25-2912-0006-0130</t>
  </si>
  <si>
    <t>44013 WOODLAND CIR</t>
  </si>
  <si>
    <t>SIKES JACQUELINE</t>
  </si>
  <si>
    <t>43111 HILLTOP LN</t>
  </si>
  <si>
    <t>BLOCK 6 LOT 13 IN OR 1081/314 WOODLAND ESTATES UNIT 2</t>
  </si>
  <si>
    <t>2017-630</t>
  </si>
  <si>
    <t>TRIAD HOLDINGS187301</t>
  </si>
  <si>
    <t>2016-615</t>
  </si>
  <si>
    <t>2015-634</t>
  </si>
  <si>
    <t>2014-659</t>
  </si>
  <si>
    <t>2013-701</t>
  </si>
  <si>
    <t>2012-1264</t>
  </si>
  <si>
    <t>16-1N-25-2912-0007-0040</t>
  </si>
  <si>
    <t>OAKWOOD</t>
  </si>
  <si>
    <t>44099 OAKWOOD LN</t>
  </si>
  <si>
    <t>BOWEN STEVEN</t>
  </si>
  <si>
    <t>BOWEN TIFFANY</t>
  </si>
  <si>
    <t>BLOCK 7 LOT 4 IN OR 2013/104 R672717 &amp; R672718</t>
  </si>
  <si>
    <t>2017-631</t>
  </si>
  <si>
    <t>MOCA INVESTMENTS77210</t>
  </si>
  <si>
    <t>16-1N-25-2912-0008-0120</t>
  </si>
  <si>
    <t>43247 PINEWOOD CT</t>
  </si>
  <si>
    <t>KOSTENSKI SUZANNE D</t>
  </si>
  <si>
    <t>320 1ST ST N STE 702</t>
  </si>
  <si>
    <t>BLOCK 8 LOTS 12 &amp; 13 IN OR 717/285 R/W OR 1054/1072</t>
  </si>
  <si>
    <t>12089C_174</t>
  </si>
  <si>
    <t>2017-632</t>
  </si>
  <si>
    <t>ORANGE DOLPHINS AUBH LLC</t>
  </si>
  <si>
    <t>2016-617</t>
  </si>
  <si>
    <t>THETA GROUP CCTS 144307 US BANK CUST FOR PFS FINANCIAL 2 LLC</t>
  </si>
  <si>
    <t>2015-635</t>
  </si>
  <si>
    <t>BAGJUSTO INVEST 1330 LLC</t>
  </si>
  <si>
    <t>2014-661</t>
  </si>
  <si>
    <t>2013-702</t>
  </si>
  <si>
    <t>2012-1269</t>
  </si>
  <si>
    <t>NAWS10 LLC</t>
  </si>
  <si>
    <t>2011-932</t>
  </si>
  <si>
    <t>20-1N-25-0000-0006-0010</t>
  </si>
  <si>
    <t>43239 RATLIFF RD</t>
  </si>
  <si>
    <t>CROSBY JOHN B JR &amp; KELLY ANN</t>
  </si>
  <si>
    <t>20-01N-25E</t>
  </si>
  <si>
    <t>IN OR 1503/392 EX RW IN OR 82/578</t>
  </si>
  <si>
    <t>2017-633</t>
  </si>
  <si>
    <t>BENNU LLC YS1ANF38J</t>
  </si>
  <si>
    <t>2016-618</t>
  </si>
  <si>
    <t>HOSSET LLC O133431 SERIES</t>
  </si>
  <si>
    <t>2015-637</t>
  </si>
  <si>
    <t>BISBEE LLC PM116ECECH</t>
  </si>
  <si>
    <t>2014-663</t>
  </si>
  <si>
    <t>2013-703</t>
  </si>
  <si>
    <t>2012-1419</t>
  </si>
  <si>
    <t>BRIDGE TAX LLC - 345 US BANK % BRIDGE TAX LLC-345</t>
  </si>
  <si>
    <t>2011-933</t>
  </si>
  <si>
    <t>20-1N-25-0000-0006-0020</t>
  </si>
  <si>
    <t>SMITTY</t>
  </si>
  <si>
    <t>43162 SMITTY RD</t>
  </si>
  <si>
    <t>DEDMAN RANDY</t>
  </si>
  <si>
    <t>43136 SMITTY RD</t>
  </si>
  <si>
    <t>PT OF SW1/4 OF NW1/4 IN OR 1892/112 2007 NOBI DW/MH</t>
  </si>
  <si>
    <t>29-1N-25-0000-0002-0000</t>
  </si>
  <si>
    <t>43624 LARSEN RD</t>
  </si>
  <si>
    <t>BARBER CAROLYN ELIZABETH</t>
  </si>
  <si>
    <t>29-01N-25E</t>
  </si>
  <si>
    <t>NW1/4 OF NW1/4 IN OR 1275/698 1998 REGE TW/MH &amp;</t>
  </si>
  <si>
    <t>2017-634</t>
  </si>
  <si>
    <t>ECRU LLC R17162J</t>
  </si>
  <si>
    <t>2016-619</t>
  </si>
  <si>
    <t>CCTS CAPITAL - FLORIDA 13039 US BANK CUST FOR PFS FINANCIAL 2 LLC</t>
  </si>
  <si>
    <t>2015-638</t>
  </si>
  <si>
    <t>ROUTE 7 LLC M1082EAR</t>
  </si>
  <si>
    <t>2014-664</t>
  </si>
  <si>
    <t>2013-704</t>
  </si>
  <si>
    <t>2012-1767</t>
  </si>
  <si>
    <t>US BANK CUST BISBEE LLC M109D0</t>
  </si>
  <si>
    <t>2011-934</t>
  </si>
  <si>
    <t>31-1N-25-0000-0001-0000</t>
  </si>
  <si>
    <t>43008 THOMAS CREEK DR</t>
  </si>
  <si>
    <t>31-01N-25E</t>
  </si>
  <si>
    <t>PT NE1/4 OF NE1/4 OF SEC 31-1N-25E IN OR 1677/636 BEING PARAGRAPH 2 OF EXHIBIT A</t>
  </si>
  <si>
    <t>2017-635</t>
  </si>
  <si>
    <t>J FLOY LLC AND JSHERPA LLC PARTNERSHIP 820</t>
  </si>
  <si>
    <t>2016-620</t>
  </si>
  <si>
    <t>FREMONT CAPITAL MANAGEMENT11758</t>
  </si>
  <si>
    <t>2015-640</t>
  </si>
  <si>
    <t>ORANGE DOLPHINS AJNC LLC</t>
  </si>
  <si>
    <t>2014-667</t>
  </si>
  <si>
    <t>2013-707</t>
  </si>
  <si>
    <t>2012-1842</t>
  </si>
  <si>
    <t>37-1N-25-0000-0004-0010</t>
  </si>
  <si>
    <t>DEERFIELD COUNTRY CLUB</t>
  </si>
  <si>
    <t>54002 DEERFIELD COUNTRY CLUB RD</t>
  </si>
  <si>
    <t>MIN JAMES BYUNG KWAN</t>
  </si>
  <si>
    <t>MIN HELEN HYO YOUN</t>
  </si>
  <si>
    <t>Golf courses driving ranges</t>
  </si>
  <si>
    <t>Golf Course</t>
  </si>
  <si>
    <t>RS-2</t>
  </si>
  <si>
    <t>GREEN ACRES</t>
  </si>
  <si>
    <t>37-01N-25E</t>
  </si>
  <si>
    <t>PT OF SEC 37 IN OR 1044/1073 PAR 4-1 &amp; 4-5 GREEN ACRES GOLF COURSE</t>
  </si>
  <si>
    <t>2015-643</t>
  </si>
  <si>
    <t>BISBEE LLC AK7D705</t>
  </si>
  <si>
    <t>2013-709</t>
  </si>
  <si>
    <t>37-1N-25-0000-0004-0070</t>
  </si>
  <si>
    <t>DEERFIELD COUNTRY CLUB RD</t>
  </si>
  <si>
    <t>MULRAIN KATHRYN WOOD</t>
  </si>
  <si>
    <t>1216 30TH ST NW</t>
  </si>
  <si>
    <t>WASHINGTON DC</t>
  </si>
  <si>
    <t>IN OR 919/1854 EX 4-8</t>
  </si>
  <si>
    <t>2017-637</t>
  </si>
  <si>
    <t>2016-621</t>
  </si>
  <si>
    <t>2015-644</t>
  </si>
  <si>
    <t>2014-669</t>
  </si>
  <si>
    <t>2013-710</t>
  </si>
  <si>
    <t>2012-2101</t>
  </si>
  <si>
    <t>2011-939</t>
  </si>
  <si>
    <t>37-1N-25-0000-0005-0150</t>
  </si>
  <si>
    <t>FOURACRE</t>
  </si>
  <si>
    <t>54152 FOURACRE CIR</t>
  </si>
  <si>
    <t>WINDHAM JOHN T</t>
  </si>
  <si>
    <t>IN OR 1153 PG 1477 1989 SPEC SW/MH</t>
  </si>
  <si>
    <t>37-1N-25-0000-0010-0060</t>
  </si>
  <si>
    <t>ROY BOOTH</t>
  </si>
  <si>
    <t>54212 ROY BOOTH RD</t>
  </si>
  <si>
    <t>HIGGINBOTHAM RAYMOND R</t>
  </si>
  <si>
    <t>HIGGINBOTHAM MARY ANN</t>
  </si>
  <si>
    <t>IN OR 519 PG 915 EX R/W OR 605/1193</t>
  </si>
  <si>
    <t>2017-640</t>
  </si>
  <si>
    <t>HOSSET LLC O110414 SERIES</t>
  </si>
  <si>
    <t>2016-623</t>
  </si>
  <si>
    <t>SETPER LLC O13772 SERIES</t>
  </si>
  <si>
    <t>2015-648</t>
  </si>
  <si>
    <t>A2613</t>
  </si>
  <si>
    <t>2014-670</t>
  </si>
  <si>
    <t>37-1N-25-0000-0018-0000</t>
  </si>
  <si>
    <t>CABELL JOHN</t>
  </si>
  <si>
    <t>CABELL LORI</t>
  </si>
  <si>
    <t>2801 RACHEAL AVE</t>
  </si>
  <si>
    <t>IN OR 1545/681 EX 18-1</t>
  </si>
  <si>
    <t>2017-641</t>
  </si>
  <si>
    <t>2016-627</t>
  </si>
  <si>
    <t>2015-651</t>
  </si>
  <si>
    <t>2014-672</t>
  </si>
  <si>
    <t>2013-715</t>
  </si>
  <si>
    <t>37-1N-25-0000-0019-0040</t>
  </si>
  <si>
    <t>RATLIFF RD</t>
  </si>
  <si>
    <t>SHUMAN STACY SHANE</t>
  </si>
  <si>
    <t>43757 RATLIFF RD</t>
  </si>
  <si>
    <t>IN OR 1643/630</t>
  </si>
  <si>
    <t>2017-642</t>
  </si>
  <si>
    <t>2016-628</t>
  </si>
  <si>
    <t>37-1N-25-2940-0005-0080</t>
  </si>
  <si>
    <t>540363 US HWY 1</t>
  </si>
  <si>
    <t>FAIN HAROLD DEAN</t>
  </si>
  <si>
    <t>5395 DETTA CT</t>
  </si>
  <si>
    <t>KEYSTONE HEIGHTS FL</t>
  </si>
  <si>
    <t>PT OF LOTS 5 &amp; 15 IN OR 1760/1303 FLA LAND SYNDICATE PBK O/42</t>
  </si>
  <si>
    <t>2014-674</t>
  </si>
  <si>
    <t>37-1N-25-2950-0001-0150</t>
  </si>
  <si>
    <t>54049 DEERFIELD COUNTRY CLUB RD</t>
  </si>
  <si>
    <t>BLOCK 1 LOT 15 IN OR 1044/1070 GREEN ACRES UNR</t>
  </si>
  <si>
    <t>37-1N-25-296A-0008-0000</t>
  </si>
  <si>
    <t>LEM TURNER</t>
  </si>
  <si>
    <t>540388 LEM TURNER RD</t>
  </si>
  <si>
    <t>MCVEY CHRISTOPHER</t>
  </si>
  <si>
    <t>LEE STONER SHORES</t>
  </si>
  <si>
    <t>TRACT 8 IN OR 786/977 &amp; OR 1528/1953 LEE STONER SHORES 1 UNR</t>
  </si>
  <si>
    <t>2017-644</t>
  </si>
  <si>
    <t>TLOA OF FLORIDA LLC TLOA SERVICING LLC AS CUSTODIAN FOR SECURED PARTY</t>
  </si>
  <si>
    <t>CCH - 272459 - KENNETH CITY ENTITY US BANK CUST FOR PFS FINANCIAL 1</t>
  </si>
  <si>
    <t>2016-632</t>
  </si>
  <si>
    <t>KEYS FUNDING LLC - 875 A57</t>
  </si>
  <si>
    <t>2015-655</t>
  </si>
  <si>
    <t>GENNESARET LLC SERIES A004078</t>
  </si>
  <si>
    <t>2012-2112</t>
  </si>
  <si>
    <t>2011-948</t>
  </si>
  <si>
    <t>37-1N-25-296A-0054-0000</t>
  </si>
  <si>
    <t>LEE STONER</t>
  </si>
  <si>
    <t>54142 LEE STONER RD</t>
  </si>
  <si>
    <t>LEWIS JOHN E</t>
  </si>
  <si>
    <t>2842 BROWARD RD</t>
  </si>
  <si>
    <t>TRACT 54 L/E OR 1190/1633 LEE STONER SHORES 1 UNR</t>
  </si>
  <si>
    <t>2017-647</t>
  </si>
  <si>
    <t>SANMARCORA ASPQBY</t>
  </si>
  <si>
    <t>2016-634</t>
  </si>
  <si>
    <t>KING FISH CORAL CERTS AAFI LLC</t>
  </si>
  <si>
    <t>2015-658</t>
  </si>
  <si>
    <t>OCEAN ADVISORS76753</t>
  </si>
  <si>
    <t>2014-678</t>
  </si>
  <si>
    <t>2013-722</t>
  </si>
  <si>
    <t>2012-2113</t>
  </si>
  <si>
    <t>37-1N-25-296C-0019-0000</t>
  </si>
  <si>
    <t>LISA</t>
  </si>
  <si>
    <t>54069 LISA DR</t>
  </si>
  <si>
    <t>CLARK JULIAN W</t>
  </si>
  <si>
    <t>TRACT 19 IN OR 150/369 LEE STONER SHORES 3 UNR</t>
  </si>
  <si>
    <t>2016-637</t>
  </si>
  <si>
    <t>FLOR TAX LIEN ACCTS 129791 US BANK CUST FOR PFS FINANCIAL 2 LLC</t>
  </si>
  <si>
    <t>2015-660</t>
  </si>
  <si>
    <t>QTP - 216997 - BRINY BREEZES LLC US BANK CUST FOR PFS FINANCIAL 2 LLC</t>
  </si>
  <si>
    <t>37-1N-25-299A-0026-0000</t>
  </si>
  <si>
    <t>VONTZ</t>
  </si>
  <si>
    <t>54661 VONTZ CIR</t>
  </si>
  <si>
    <t>JENNINGS MELYNDA</t>
  </si>
  <si>
    <t>JENNINGS JR DAVID E</t>
  </si>
  <si>
    <t>NASSAU VILLAGE</t>
  </si>
  <si>
    <t>LOT 26 IN OR 832 PG 1578 NASSAU VILLAGE #1 UNR</t>
  </si>
  <si>
    <t>37-1N-25-299A-0032-0000</t>
  </si>
  <si>
    <t>54517 VONTZ CIR</t>
  </si>
  <si>
    <t>SKIPPER DEBORAH S</t>
  </si>
  <si>
    <t>LOT 32 R672496 IN OR 762 PG 542 NASSAU VILLAGE #1 UNR</t>
  </si>
  <si>
    <t>2017-655</t>
  </si>
  <si>
    <t>GRAPESEED INDUSTRIES64483</t>
  </si>
  <si>
    <t>2016-644</t>
  </si>
  <si>
    <t>SUNNY FLORIDA LIENS 79221 US BANK CUST FOR PFS FINANCIAL 2 LLC</t>
  </si>
  <si>
    <t>2015-667</t>
  </si>
  <si>
    <t>GRASS RIVER INVESTMENTS AIZN LLC</t>
  </si>
  <si>
    <t>2014-686</t>
  </si>
  <si>
    <t>2013-730</t>
  </si>
  <si>
    <t>2011-960</t>
  </si>
  <si>
    <t>37-1N-25-299A-0037-0000</t>
  </si>
  <si>
    <t>VONTZ CIR</t>
  </si>
  <si>
    <t>SCOTT JEANNE HENDERSON</t>
  </si>
  <si>
    <t>LOT 37 IN OR 819 PG 1980 NASSAU VILLAGE #1 UNR</t>
  </si>
  <si>
    <t>2016-647</t>
  </si>
  <si>
    <t>2014-687</t>
  </si>
  <si>
    <t>37-1N-25-299A-0041-0000</t>
  </si>
  <si>
    <t>MARLEE</t>
  </si>
  <si>
    <t>54171 MARLEE RD</t>
  </si>
  <si>
    <t>FISHER ROBERT E</t>
  </si>
  <si>
    <t>LOT 41 IN OR 323/552 &amp; OR 1629/1917 R 107521 &amp; R 107522</t>
  </si>
  <si>
    <t>2015-668</t>
  </si>
  <si>
    <t>37-1N-25-299C-0014-0000</t>
  </si>
  <si>
    <t>54291 MARLEE RD</t>
  </si>
  <si>
    <t>MABRY NATHANIEL O</t>
  </si>
  <si>
    <t>LOT 14 IN OR 1328/1345 R673741 &amp; R673742</t>
  </si>
  <si>
    <t>2017-657</t>
  </si>
  <si>
    <t>HOSSET LLC O82838 SERIES</t>
  </si>
  <si>
    <t>2015-669</t>
  </si>
  <si>
    <t>FL-PTH 2 LLC CAPONE NA CLTRL ASSIGNEE OF FL CORAL LIEN INV LLC</t>
  </si>
  <si>
    <t>2014-688</t>
  </si>
  <si>
    <t>2013-732</t>
  </si>
  <si>
    <t>2012-2124</t>
  </si>
  <si>
    <t>2011-962</t>
  </si>
  <si>
    <t>37-1N-25-299C-0037-0000</t>
  </si>
  <si>
    <t>JONAS</t>
  </si>
  <si>
    <t>54520 JONAS DR</t>
  </si>
  <si>
    <t>EBY TERRY</t>
  </si>
  <si>
    <t>EBY MARILYN</t>
  </si>
  <si>
    <t>45113 SNICKERS TRL</t>
  </si>
  <si>
    <t>LOT 37 IN OR 902/381 R787696 &amp; R787697</t>
  </si>
  <si>
    <t>2017-658</t>
  </si>
  <si>
    <t>SUTTON INVESTMENT53431</t>
  </si>
  <si>
    <t>2015-670</t>
  </si>
  <si>
    <t>2013-733</t>
  </si>
  <si>
    <t>2012-2125</t>
  </si>
  <si>
    <t>2011-963</t>
  </si>
  <si>
    <t>37-1N-25-299C-0048-0000</t>
  </si>
  <si>
    <t>54079 JONAS DR</t>
  </si>
  <si>
    <t>NEW KINGS ROAD ENTERPRISES LLC</t>
  </si>
  <si>
    <t>LOT 48 R622058 IN OR 1996/1261 NASSAU VILLAGE #3 UNR</t>
  </si>
  <si>
    <t>2017-659</t>
  </si>
  <si>
    <t>37-1N-25-299D-0008-0000</t>
  </si>
  <si>
    <t>54434 MARLEE RD</t>
  </si>
  <si>
    <t>BARRY RUDY B</t>
  </si>
  <si>
    <t>54463 MARLEE RD</t>
  </si>
  <si>
    <t>LOT 8 IN OR 1522/943 MH/ID 60121682HA &amp; 60121682HB</t>
  </si>
  <si>
    <t>2017-660</t>
  </si>
  <si>
    <t>CEDAR PARTNERS 8</t>
  </si>
  <si>
    <t>2016-651</t>
  </si>
  <si>
    <t>RAPTY TRUST SERIES 38796</t>
  </si>
  <si>
    <t>2015-672</t>
  </si>
  <si>
    <t>2014-690</t>
  </si>
  <si>
    <t>2013-737</t>
  </si>
  <si>
    <t>2012-2129</t>
  </si>
  <si>
    <t>2011-965</t>
  </si>
  <si>
    <t>37-1N-25-299D-0009-0000</t>
  </si>
  <si>
    <t>54446 MARLEE RD</t>
  </si>
  <si>
    <t>MCGINLEY GARY R</t>
  </si>
  <si>
    <t>1739 CEDAR BAY RD</t>
  </si>
  <si>
    <t>LOT 9 1984 CONC DW IN OR 1599/1069 NASSAU VILLAGE 4 UNR</t>
  </si>
  <si>
    <t>2016-652</t>
  </si>
  <si>
    <t>MED ALI LLC AND MALLY LLC PARTNERSHIP 1270</t>
  </si>
  <si>
    <t>37-1N-25-299E-0025-0000</t>
  </si>
  <si>
    <t>54613 MARLEE RD</t>
  </si>
  <si>
    <t>GRIFFIN GERALD R</t>
  </si>
  <si>
    <t>LOT 25 IN OR 501 PG 1185 NASSAU VILLAGE 5 UNR</t>
  </si>
  <si>
    <t>2017-662</t>
  </si>
  <si>
    <t>AUSTEN PARTNERS86124</t>
  </si>
  <si>
    <t>37-1N-25-299E-0035-0000</t>
  </si>
  <si>
    <t>BARRY RUBY BETSY</t>
  </si>
  <si>
    <t>LOT 35 R236010 &amp; R236011 IN OR 1842/254</t>
  </si>
  <si>
    <t>2017-663</t>
  </si>
  <si>
    <t>SANMARCORA GUJKQC</t>
  </si>
  <si>
    <t>2016-654</t>
  </si>
  <si>
    <t>2015-676</t>
  </si>
  <si>
    <t>CAMALA THAO SIMPLE VALUES LLC</t>
  </si>
  <si>
    <t>2014-694</t>
  </si>
  <si>
    <t>2013-742</t>
  </si>
  <si>
    <t>2012-2135</t>
  </si>
  <si>
    <t>2011-970</t>
  </si>
  <si>
    <t>37-1N-25-299E-0039-0000</t>
  </si>
  <si>
    <t>54417 MARLEE RD</t>
  </si>
  <si>
    <t>LOVE JOSEPH R</t>
  </si>
  <si>
    <t>LOVE KRISTEN</t>
  </si>
  <si>
    <t>LOT 39 IN OR 1860/305 R497982 &amp; R497983</t>
  </si>
  <si>
    <t>2017-664</t>
  </si>
  <si>
    <t>POQEN 16155 LLC</t>
  </si>
  <si>
    <t>2016-655</t>
  </si>
  <si>
    <t>FLORIDA GROUP UPSILON 168568 US BANK CUST FOR PFS FINANCIAL 1</t>
  </si>
  <si>
    <t>2015-678</t>
  </si>
  <si>
    <t>ORANGE DOLPHINS AKEI LLC</t>
  </si>
  <si>
    <t>37-1N-25-299F-0003-0000</t>
  </si>
  <si>
    <t>LAWHON</t>
  </si>
  <si>
    <t>54029 LAWHON RD</t>
  </si>
  <si>
    <t>CASWELL DAVID</t>
  </si>
  <si>
    <t>CASWELL CRYSTAL SIRLES</t>
  </si>
  <si>
    <t>7038 RIVERCREST DR</t>
  </si>
  <si>
    <t>TRACT 3 IN OR 1952/68 NASSAU VILLAGE WEST PB 5/23</t>
  </si>
  <si>
    <t>2017-667</t>
  </si>
  <si>
    <t>ORANGE BLOSSOM 376 COMPANY LLC</t>
  </si>
  <si>
    <t>2014-697</t>
  </si>
  <si>
    <t>2013-744</t>
  </si>
  <si>
    <t>2012-2137</t>
  </si>
  <si>
    <t>US BANK CUST BISBEE LLC M109B8</t>
  </si>
  <si>
    <t>37-1N-25-299F-0013-0000</t>
  </si>
  <si>
    <t>54283 LAWHON RD</t>
  </si>
  <si>
    <t>SHAW CHRISTOPHER W</t>
  </si>
  <si>
    <t>SHAW PATRICIA D</t>
  </si>
  <si>
    <t>36365 DYAL RD</t>
  </si>
  <si>
    <t>TRACT 13 IN OR 2009/1159 R567623 &amp; R567624</t>
  </si>
  <si>
    <t>2017-668</t>
  </si>
  <si>
    <t>TRIAD HOLDINGS17986</t>
  </si>
  <si>
    <t>37-1N-25-299F-0060-0000</t>
  </si>
  <si>
    <t>SHEFFIELD</t>
  </si>
  <si>
    <t>54046 SHEFFIELD RD</t>
  </si>
  <si>
    <t>POWELL MATTHEW W</t>
  </si>
  <si>
    <t>TRACT 60 IN OR 1809/1551 NASSAU VILLAGE WEST PB 5/23</t>
  </si>
  <si>
    <t>2017-670</t>
  </si>
  <si>
    <t>SETPER LLC O30813 SERIES</t>
  </si>
  <si>
    <t>2016-659</t>
  </si>
  <si>
    <t>ECRU LLC R27C6J</t>
  </si>
  <si>
    <t>37-1N-25-299F-0062-0000</t>
  </si>
  <si>
    <t>54058 LAWHON RD</t>
  </si>
  <si>
    <t>GREEN DARLA J</t>
  </si>
  <si>
    <t>112 BAY ST</t>
  </si>
  <si>
    <t>TRACT 62 1988 WEST SW/MH IN OR 1171/695 NASSAU VILLAGE WEST PB 5/23</t>
  </si>
  <si>
    <t>2017-672</t>
  </si>
  <si>
    <t>2016-661</t>
  </si>
  <si>
    <t>2015-683</t>
  </si>
  <si>
    <t>2014-700</t>
  </si>
  <si>
    <t>2013-750</t>
  </si>
  <si>
    <t>25 SKIDOO LLC USAMERIBANK REF 25 SKIDOO LLC</t>
  </si>
  <si>
    <t>2011-977</t>
  </si>
  <si>
    <t>RMC USAB LIFT, LLC USAMERIBANK REF RMC USAB LIFT</t>
  </si>
  <si>
    <t>37-1N-25-299F-0071-0000</t>
  </si>
  <si>
    <t>540701 LEM TURNER RD</t>
  </si>
  <si>
    <t>RAULERSON BETTY JO</t>
  </si>
  <si>
    <t>DANDEREAU JR KEITH H</t>
  </si>
  <si>
    <t>54251 OGILVIE RD</t>
  </si>
  <si>
    <t>TRACT 71 R497845 IN OR 2013/1526 NASSAU VILLAGE WEST PB 5/23</t>
  </si>
  <si>
    <t>2011-980</t>
  </si>
  <si>
    <t>37-1N-25-299F-0083-0000</t>
  </si>
  <si>
    <t>CORNELIA</t>
  </si>
  <si>
    <t>54034 CORNELIA CT</t>
  </si>
  <si>
    <t>PEYTON ROBERT D</t>
  </si>
  <si>
    <t>PEYTON NANCY L</t>
  </si>
  <si>
    <t>TRACT 83 R567625 &amp; R567626 IN OR 972/1854 NASSAU VILLAGE WEST PB 5/23</t>
  </si>
  <si>
    <t>2017-676</t>
  </si>
  <si>
    <t>2016-664</t>
  </si>
  <si>
    <t>2015-686</t>
  </si>
  <si>
    <t>AZTEC ADVISORY SERVICES129849</t>
  </si>
  <si>
    <t>2014-703</t>
  </si>
  <si>
    <t>MTAG AS CST FOR EBURY FUND FL15 LLC</t>
  </si>
  <si>
    <t>2013-2819</t>
  </si>
  <si>
    <t>37-1N-25-299F-0084-0000</t>
  </si>
  <si>
    <t>54068 CORNELIA CT</t>
  </si>
  <si>
    <t>TURNER GEORGE</t>
  </si>
  <si>
    <t>TURNER DEBRA</t>
  </si>
  <si>
    <t>1038 JANELLS RIVER DR</t>
  </si>
  <si>
    <t>TRACT 84 R497697 &amp; R497698 IN OR 1951/565 NASSAU VILLAGE WEST PB 5/23</t>
  </si>
  <si>
    <t>2017-677</t>
  </si>
  <si>
    <t>PINK PORPOISE HOLDINGS 457 LLC</t>
  </si>
  <si>
    <t>2016-665</t>
  </si>
  <si>
    <t>SKYLER LLC O87162 SERIES</t>
  </si>
  <si>
    <t>37-1N-25-299F-0095-0000</t>
  </si>
  <si>
    <t>JENELLE</t>
  </si>
  <si>
    <t>54020 JENELLE CT</t>
  </si>
  <si>
    <t>NETTLES JOE</t>
  </si>
  <si>
    <t>54073 CORNELIA CT</t>
  </si>
  <si>
    <t>TRACT 95 IN OR 2044/412 R108220 &amp; 108221</t>
  </si>
  <si>
    <t>2017-678</t>
  </si>
  <si>
    <t>SIDE LACE PARTNERS104563</t>
  </si>
  <si>
    <t>37-1N-25-299F-0110-0000</t>
  </si>
  <si>
    <t>54626 SHEFFIELD RD</t>
  </si>
  <si>
    <t>BROWN ROBYN</t>
  </si>
  <si>
    <t>HAMILTON GEORGE D</t>
  </si>
  <si>
    <t>TRACT 110 IN OR 1245/1198 R106735 &amp; R106736</t>
  </si>
  <si>
    <t>2017-679</t>
  </si>
  <si>
    <t>2016-667</t>
  </si>
  <si>
    <t>2015-687</t>
  </si>
  <si>
    <t>2014-705</t>
  </si>
  <si>
    <t>37-1N-25-299F-0117-0000</t>
  </si>
  <si>
    <t>540939 LEM TURNER RD</t>
  </si>
  <si>
    <t>PITTMAN CHRISTOPHER JON</t>
  </si>
  <si>
    <t>44127 CATIES WAY</t>
  </si>
  <si>
    <t>TRACT 117 R360178 IN OR 1391/671 NASSAU VILLAGE WEST PB 5/23</t>
  </si>
  <si>
    <t>37-1N-25-299F-0118-0000</t>
  </si>
  <si>
    <t>540955 LEM TURNER RD</t>
  </si>
  <si>
    <t>MARTINEZ LEANN M</t>
  </si>
  <si>
    <t>NYE SHERRY A</t>
  </si>
  <si>
    <t>54908 CHURCH RD</t>
  </si>
  <si>
    <t>TRACT 118 IN OR 1049/659 NASSAU VILLAGE WEST PB 5/23</t>
  </si>
  <si>
    <t>2017-680</t>
  </si>
  <si>
    <t>2012-2145</t>
  </si>
  <si>
    <t>2011-983</t>
  </si>
  <si>
    <t>37-1N-25-299F-0124-0000</t>
  </si>
  <si>
    <t>MARTINEZ LEANNE M</t>
  </si>
  <si>
    <t>NYE TANYA LYNN</t>
  </si>
  <si>
    <t>TRACT 124 2000 MERIT TW IN OR 510 PG 654 NASSAU VILLAGE WEST PB 5/23</t>
  </si>
  <si>
    <t>2017-681</t>
  </si>
  <si>
    <t>SKYLER LLC O23031 SERIES</t>
  </si>
  <si>
    <t>2012-2146</t>
  </si>
  <si>
    <t>LIENBASE-FL 12 SB MUNI CUST FOR</t>
  </si>
  <si>
    <t>CHITWAN LLC SB MUNI CUST FOR</t>
  </si>
  <si>
    <t>2011-985</t>
  </si>
  <si>
    <t>37-1N-25-299G-0008-0000</t>
  </si>
  <si>
    <t>54242 VONTZ CIR</t>
  </si>
  <si>
    <t>RAY RICHARD</t>
  </si>
  <si>
    <t>RAY DARA</t>
  </si>
  <si>
    <t>44152 SWALLOWFORK AVE</t>
  </si>
  <si>
    <t>TRACTS 8 &amp; 9 IN OR 1102 PG 137 NASSAU VILLAGE #6 UNR</t>
  </si>
  <si>
    <t>37-1N-25-299L-0002-0020</t>
  </si>
  <si>
    <t>54095 ROY BOOTH RD</t>
  </si>
  <si>
    <t>ALLEN NORMAN ROBERT</t>
  </si>
  <si>
    <t>ALLEN SANDRA J</t>
  </si>
  <si>
    <t>BLOCK 2 LOT 2 IN OR 988/1539 R236004 &amp; R236005</t>
  </si>
  <si>
    <t>2016-669</t>
  </si>
  <si>
    <t>2015-690</t>
  </si>
  <si>
    <t>2014-707</t>
  </si>
  <si>
    <t>2013-754</t>
  </si>
  <si>
    <t>2012-2148</t>
  </si>
  <si>
    <t>2011-987</t>
  </si>
  <si>
    <t>37-1N-25-299M-0001-0000</t>
  </si>
  <si>
    <t>CHARLOTTE</t>
  </si>
  <si>
    <t>54067 CHARLOTTE DR</t>
  </si>
  <si>
    <t>CONNOR DEBBIE D</t>
  </si>
  <si>
    <t>5389 107TH ST</t>
  </si>
  <si>
    <t>LOT 1 R583725 &amp; R583726 IN OR 618 PG 116</t>
  </si>
  <si>
    <t>2017-683</t>
  </si>
  <si>
    <t>2016-671</t>
  </si>
  <si>
    <t>2014-710</t>
  </si>
  <si>
    <t>2013-756</t>
  </si>
  <si>
    <t>2011-991</t>
  </si>
  <si>
    <t>37-1N-25-299M-0011-0000</t>
  </si>
  <si>
    <t>DEBRA</t>
  </si>
  <si>
    <t>54134 DEBRA LN</t>
  </si>
  <si>
    <t>CORDELL BRENDA T</t>
  </si>
  <si>
    <t>POINT SOUTH</t>
  </si>
  <si>
    <t>LOT 11 1994 HARB DW IN OR 840 PG 13 POINT SOUTH #2 PB 4/82 &amp; 83</t>
  </si>
  <si>
    <t>2017-685</t>
  </si>
  <si>
    <t>PELICAN PIER CERTS AFXI LLC</t>
  </si>
  <si>
    <t>2016-673</t>
  </si>
  <si>
    <t>2015-694</t>
  </si>
  <si>
    <t>DOGPOUND151716</t>
  </si>
  <si>
    <t>2014-711</t>
  </si>
  <si>
    <t>2012-2152</t>
  </si>
  <si>
    <t>2011-993</t>
  </si>
  <si>
    <t>37-1N-25-299N-0002-0050</t>
  </si>
  <si>
    <t>EVA</t>
  </si>
  <si>
    <t>54125 EVA CT</t>
  </si>
  <si>
    <t>HAYES KENNETH</t>
  </si>
  <si>
    <t>HAYES STEPHANIE</t>
  </si>
  <si>
    <t>BLOCK 2 LOT 5 IN OR 1859/181 1985 SHOW DW/MH</t>
  </si>
  <si>
    <t>37-1N-25-299N-0002-0080</t>
  </si>
  <si>
    <t>54055 EVA CT</t>
  </si>
  <si>
    <t>FORBES TROY A</t>
  </si>
  <si>
    <t>FORBES JESSICA A</t>
  </si>
  <si>
    <t>BLOCK 2 LOT 8 IN OR 1600/1909 POINT SOUTH #3 PB 4/98 &amp;99</t>
  </si>
  <si>
    <t>2017-686</t>
  </si>
  <si>
    <t>ENGLEWOOD HOLDINGS 13</t>
  </si>
  <si>
    <t>2016-675</t>
  </si>
  <si>
    <t>2015-696</t>
  </si>
  <si>
    <t>GRASS RIVER INVESTMENTS ANBR LLC</t>
  </si>
  <si>
    <t>2014-712</t>
  </si>
  <si>
    <t>2013-758</t>
  </si>
  <si>
    <t>2012-2154</t>
  </si>
  <si>
    <t>2011-995</t>
  </si>
  <si>
    <t>37-1N-25-299O-0013-0000</t>
  </si>
  <si>
    <t>54494 POINT SOUTH DR</t>
  </si>
  <si>
    <t>SOLANA JUDY</t>
  </si>
  <si>
    <t>16043 RESSIE DR W</t>
  </si>
  <si>
    <t>LOT 13 IN OR 1673/1823 R583390 &amp; R583391</t>
  </si>
  <si>
    <t>2017-687</t>
  </si>
  <si>
    <t>SANMARCORA PUCUNF</t>
  </si>
  <si>
    <t>2016-677</t>
  </si>
  <si>
    <t>WONDER CAPITAL139682</t>
  </si>
  <si>
    <t>2015-697</t>
  </si>
  <si>
    <t>F71103</t>
  </si>
  <si>
    <t>2014-713</t>
  </si>
  <si>
    <t>2013-759</t>
  </si>
  <si>
    <t>2012-2156</t>
  </si>
  <si>
    <t>2011-0</t>
  </si>
  <si>
    <t>37-1N-25-299O-0021-0000</t>
  </si>
  <si>
    <t>WANDA</t>
  </si>
  <si>
    <t>54001 WANDA WAY</t>
  </si>
  <si>
    <t>HIXON NORMA M</t>
  </si>
  <si>
    <t>54111 ROY BOOTH RD</t>
  </si>
  <si>
    <t>LOT 21 R235764 IN OR 1725/1722 POINT SOUTH 4 PB 4/111 &amp; 112</t>
  </si>
  <si>
    <t>2016-679</t>
  </si>
  <si>
    <t>TRIAD HOLDINGS181038</t>
  </si>
  <si>
    <t>2015-698</t>
  </si>
  <si>
    <t>2014-715</t>
  </si>
  <si>
    <t>2011-998</t>
  </si>
  <si>
    <t>37-1N-25-299O-0022-0000</t>
  </si>
  <si>
    <t>54011 WANDA WAY</t>
  </si>
  <si>
    <t>ROTHSTEIN SIMON D</t>
  </si>
  <si>
    <t>RICHARD H WYSE TESTAMENTARY TRUST</t>
  </si>
  <si>
    <t>6041 WINDING BRIDGE DR</t>
  </si>
  <si>
    <t>LOT 22 IN OR 1237/790 POINT SOUTH #4 PB 4/111 &amp; 112</t>
  </si>
  <si>
    <t>37-1N-25-299R-0013-0000</t>
  </si>
  <si>
    <t>54693 CHURCH RD</t>
  </si>
  <si>
    <t>BRADDOCK GRADY E</t>
  </si>
  <si>
    <t>BRADDOCK TAMMY J</t>
  </si>
  <si>
    <t>54633 CHURCH RD</t>
  </si>
  <si>
    <t>TRACT 13 IN OR 916/1133 R 108158 &amp; 108159</t>
  </si>
  <si>
    <t>2017-689</t>
  </si>
  <si>
    <t>ORANGE DOLPHINS XROX LLC</t>
  </si>
  <si>
    <t>2015-699</t>
  </si>
  <si>
    <t>CMON LLC AND GEEZ LLC PARTNERSHIP 1572</t>
  </si>
  <si>
    <t>37-1N-25-299R-0029-0000</t>
  </si>
  <si>
    <t>54661 CHURCH RD</t>
  </si>
  <si>
    <t>BRADDOCK GRADY JR</t>
  </si>
  <si>
    <t>REPLAT OF OGILVIE LOT 9 SUB</t>
  </si>
  <si>
    <t>TRACTS 29 &amp; 30 IN OR 937/633 REPLAT OF OGILVIE LOT 9 SUB</t>
  </si>
  <si>
    <t>2017-690</t>
  </si>
  <si>
    <t>SPOTBILLED PASS 1BYW LLC</t>
  </si>
  <si>
    <t>2015-700</t>
  </si>
  <si>
    <t>BARNEY ADVISORS 6</t>
  </si>
  <si>
    <t>2011-1000</t>
  </si>
  <si>
    <t>37-1N-25-299S-0001-0220</t>
  </si>
  <si>
    <t>HAZEL JONES</t>
  </si>
  <si>
    <t>54345 HAZEL JONES RD</t>
  </si>
  <si>
    <t>WADE LINDA Y</t>
  </si>
  <si>
    <t>BLOCK 1 LOT 22 IN OR 1193/389 2003/MERT/DW/MH SHEFFIELD VILLAGE PB 5/28 &amp; 29</t>
  </si>
  <si>
    <t>2017-693</t>
  </si>
  <si>
    <t>SKYLER LLC O89341 SERIES</t>
  </si>
  <si>
    <t>2016-683</t>
  </si>
  <si>
    <t>RAPTY TRUST SERIES 31050</t>
  </si>
  <si>
    <t>2015-703</t>
  </si>
  <si>
    <t>F16162</t>
  </si>
  <si>
    <t>2014-717</t>
  </si>
  <si>
    <t>2013-763</t>
  </si>
  <si>
    <t>2012-2162</t>
  </si>
  <si>
    <t>2011-1003</t>
  </si>
  <si>
    <t>37-1N-25-299S-0001-0280</t>
  </si>
  <si>
    <t>54171 HAZEL JONES RD</t>
  </si>
  <si>
    <t>STONE PATRICK S</t>
  </si>
  <si>
    <t>BLOCK 1 LOT 28 IN OR 1724/15 R622086 &amp; R622087</t>
  </si>
  <si>
    <t>2017-694</t>
  </si>
  <si>
    <t>MERLOT HOLDINGS58852</t>
  </si>
  <si>
    <t>2016-684</t>
  </si>
  <si>
    <t>GRASSRIVER INV GREEN AOIO LLC</t>
  </si>
  <si>
    <t>2014-718</t>
  </si>
  <si>
    <t>37-1N-25-299S-0001-0500</t>
  </si>
  <si>
    <t>VIKKI</t>
  </si>
  <si>
    <t>54081 VIKKI RD</t>
  </si>
  <si>
    <t>MULLIS KATISHA ANN</t>
  </si>
  <si>
    <t>44332 WOODRIDGE DR</t>
  </si>
  <si>
    <t>BLOCK 1 LOT 50 IN OR 1815/1601 1996 HIGH DW/MH</t>
  </si>
  <si>
    <t>2017-696</t>
  </si>
  <si>
    <t>HAVEV 9211 LLC</t>
  </si>
  <si>
    <t>2016-686</t>
  </si>
  <si>
    <t>2015-705</t>
  </si>
  <si>
    <t>2014-719</t>
  </si>
  <si>
    <t>2013-764</t>
  </si>
  <si>
    <t>2012-2163</t>
  </si>
  <si>
    <t>2011-1004</t>
  </si>
  <si>
    <t>37-1N-25-299S-0001-0580</t>
  </si>
  <si>
    <t>TROOPER</t>
  </si>
  <si>
    <t>54047 TROOPER CT</t>
  </si>
  <si>
    <t>EDENFIELD BOBBIE E</t>
  </si>
  <si>
    <t>BLOCK 1 LOTS 58 &amp; PT OF 59 IN OR 1116/574 R278103 &amp; R278104</t>
  </si>
  <si>
    <t>2017-697</t>
  </si>
  <si>
    <t>TANGERINE DELPHIS XFIL LLC</t>
  </si>
  <si>
    <t>37-1N-25-299S-0001-0740</t>
  </si>
  <si>
    <t>54273 ROY BOOTH RD</t>
  </si>
  <si>
    <t>GRIFFIN CAROLYN ANN</t>
  </si>
  <si>
    <t>GEIGER LINDA S</t>
  </si>
  <si>
    <t>540511 US HIGHWAY 1</t>
  </si>
  <si>
    <t>BLOCK 1 LOT 74 IN OR 1599/864 R359909 &amp; R359908</t>
  </si>
  <si>
    <t>2017-699</t>
  </si>
  <si>
    <t>2016-687</t>
  </si>
  <si>
    <t>MALLY LLC AND MED ALI LLC PARTNERSHIP 886</t>
  </si>
  <si>
    <t>2015-706</t>
  </si>
  <si>
    <t>KANA 587O LLC</t>
  </si>
  <si>
    <t>37-1N-25-299S-0002-0010</t>
  </si>
  <si>
    <t>DORNBUSH</t>
  </si>
  <si>
    <t>DORNBUSH RD</t>
  </si>
  <si>
    <t>HICKEN DAVID WAYNE</t>
  </si>
  <si>
    <t>540271 LEM TURNER RD</t>
  </si>
  <si>
    <t>BLOCK 2 LOT 1 IN OR 1767/1301 SHEFFIELD VILLAGE PB 5/28 &amp; 29</t>
  </si>
  <si>
    <t>2016-688</t>
  </si>
  <si>
    <t>BISBEE LLC AK1C7FE2</t>
  </si>
  <si>
    <t>2015-707</t>
  </si>
  <si>
    <t>2013-765</t>
  </si>
  <si>
    <t>37-1N-25-299S-0002-0090</t>
  </si>
  <si>
    <t>ARMSTRONG</t>
  </si>
  <si>
    <t>54436 ARMSTRONG RD</t>
  </si>
  <si>
    <t>JONES PAUL L</t>
  </si>
  <si>
    <t>BLOCK 2 LOT 9 R673792 IN OR 492 PG 462 SHEFFIELD VILLAGE PB 5/28 &amp; 29</t>
  </si>
  <si>
    <t>2015-708</t>
  </si>
  <si>
    <t>MACHAPURNA ADKC LLC</t>
  </si>
  <si>
    <t>2011-1007</t>
  </si>
  <si>
    <t>37-1N-25-299S-0002-0130</t>
  </si>
  <si>
    <t>54320 ARMSTRONG RD</t>
  </si>
  <si>
    <t>WILLIAMS LAWTON</t>
  </si>
  <si>
    <t>WILLIAMS JEAN</t>
  </si>
  <si>
    <t>BLOCK 2 LOT 13 IN OR 1461/1472 R434231 &amp; R434232</t>
  </si>
  <si>
    <t>2016-691</t>
  </si>
  <si>
    <t>SONA CAPITAL149377</t>
  </si>
  <si>
    <t>2015-709</t>
  </si>
  <si>
    <t>LILY STREAM INVEST 107 LLC</t>
  </si>
  <si>
    <t>2014-722</t>
  </si>
  <si>
    <t>2011-1008</t>
  </si>
  <si>
    <t>37-1N-25-299S-0002-0180</t>
  </si>
  <si>
    <t>54176 ARMSTRONG RD</t>
  </si>
  <si>
    <t>KENNISON ROBERT E</t>
  </si>
  <si>
    <t>KENNISON RICHARD G</t>
  </si>
  <si>
    <t>BLOCK 2 LOT 18 IN OR 1284/295 MH/ID GAFLY35B17816HH21 &amp;</t>
  </si>
  <si>
    <t>2017-701</t>
  </si>
  <si>
    <t>SANMARCORA ACHIQL</t>
  </si>
  <si>
    <t>2016-692</t>
  </si>
  <si>
    <t>B18389</t>
  </si>
  <si>
    <t>2015-710</t>
  </si>
  <si>
    <t>HUDSON PRIME28674</t>
  </si>
  <si>
    <t>2014-723</t>
  </si>
  <si>
    <t>2013-767</t>
  </si>
  <si>
    <t>2012-2165</t>
  </si>
  <si>
    <t>2011-1009</t>
  </si>
  <si>
    <t>37-1N-25-299S-0002-0210</t>
  </si>
  <si>
    <t>ARMSTRONG RD</t>
  </si>
  <si>
    <t>BLOCK 2 LOT 21 IN OR 970/1712 SHEFFIELD VILLAGE PB 5/28 &amp; 29</t>
  </si>
  <si>
    <t>2017-702</t>
  </si>
  <si>
    <t>2016-693</t>
  </si>
  <si>
    <t>37-1N-25-299S-0003-0110</t>
  </si>
  <si>
    <t>BEA</t>
  </si>
  <si>
    <t>54326 BEA RD</t>
  </si>
  <si>
    <t>WALTERS LARRY J</t>
  </si>
  <si>
    <t>WALTERS TRACY D</t>
  </si>
  <si>
    <t>BLOCK 3 LOT 11 IN OR 584 PG 139 R378159 R378158</t>
  </si>
  <si>
    <t>2017-704</t>
  </si>
  <si>
    <t>GRASSRIVER INV GREEN AAKS LLC</t>
  </si>
  <si>
    <t>2016-696</t>
  </si>
  <si>
    <t>BENNU LLC YSD4N0EJ</t>
  </si>
  <si>
    <t>2015-712</t>
  </si>
  <si>
    <t>ORANGE DOLPHINS AEFR LLC</t>
  </si>
  <si>
    <t>2014-724</t>
  </si>
  <si>
    <t>2012-2166</t>
  </si>
  <si>
    <t>37-1N-25-299S-0003-0330</t>
  </si>
  <si>
    <t>54365 ARMSTRONG RD</t>
  </si>
  <si>
    <t>WEAVER RHENDA S</t>
  </si>
  <si>
    <t>BLOCK 3 LOT 33 IN OR 781 PG 755 R672711 &amp; R672712</t>
  </si>
  <si>
    <t>2017-708</t>
  </si>
  <si>
    <t>BUFFALO MEADOW 64 HOLDINGS LLC</t>
  </si>
  <si>
    <t>2016-700</t>
  </si>
  <si>
    <t>GRASS RIVER INVESTMENTS ADRT LLC</t>
  </si>
  <si>
    <t>2015-716</t>
  </si>
  <si>
    <t>GRASS BAYOU CERTS 5ALL LLC</t>
  </si>
  <si>
    <t>2014-729</t>
  </si>
  <si>
    <t>2013-771</t>
  </si>
  <si>
    <t>2012-2168</t>
  </si>
  <si>
    <t>2011-1012</t>
  </si>
  <si>
    <t>37-1N-25-299S-0004-0170</t>
  </si>
  <si>
    <t>54200 DORNBUSH RD</t>
  </si>
  <si>
    <t>LOVE STEVEN</t>
  </si>
  <si>
    <t>BLOCK 4 LOT 17 IN OR 1815/596 SHEFFIELD VILLAGE PB 5/28 &amp; 29</t>
  </si>
  <si>
    <t>2016-702</t>
  </si>
  <si>
    <t>BENNU LLC YS1AND2FJ</t>
  </si>
  <si>
    <t>2013-773</t>
  </si>
  <si>
    <t>37-1N-25-299S-0004-0380</t>
  </si>
  <si>
    <t>54439 BEA RD</t>
  </si>
  <si>
    <t>DAUGHTRY JOSEPH JR</t>
  </si>
  <si>
    <t>3479 SUGAR CANE CIR</t>
  </si>
  <si>
    <t>FAYETTEVILLE NC</t>
  </si>
  <si>
    <t>BLOCK 4 LOT 38 IN OR 1457/85 R235632 &amp; R235633</t>
  </si>
  <si>
    <t>2017-713</t>
  </si>
  <si>
    <t>WONDER CAPITAL4861</t>
  </si>
  <si>
    <t>37-1N-25-299S-0006-0220</t>
  </si>
  <si>
    <t>HELLER</t>
  </si>
  <si>
    <t>54185 HELLER RD</t>
  </si>
  <si>
    <t>SHELFER CANDLE R</t>
  </si>
  <si>
    <t>BLOCK 6 LOT 22 IN OR 601 PG 708 SHEFFIELD VILLAGE PB 5/28 &amp; 29</t>
  </si>
  <si>
    <t>2015-720</t>
  </si>
  <si>
    <t>D3818</t>
  </si>
  <si>
    <t>2014-735</t>
  </si>
  <si>
    <t>2013-775</t>
  </si>
  <si>
    <t>2011-1017</t>
  </si>
  <si>
    <t>37-1N-25-299S-0007-0050</t>
  </si>
  <si>
    <t>54174 HELLER RD</t>
  </si>
  <si>
    <t>BLOCK 7 LOT 5 IN OR 886/341 1996 MERI DW/MH</t>
  </si>
  <si>
    <t>37-1N-25-299S-0008-0050</t>
  </si>
  <si>
    <t>JEANNIE</t>
  </si>
  <si>
    <t>54194 JEANNIE RD</t>
  </si>
  <si>
    <t>MCDOWELL JOHN L</t>
  </si>
  <si>
    <t>BLOCK 8 LOT 5 IN OR 513 PG 1303 R407988 &amp; R407989</t>
  </si>
  <si>
    <t>2017-719</t>
  </si>
  <si>
    <t>2016-705</t>
  </si>
  <si>
    <t>2015-725</t>
  </si>
  <si>
    <t>PELICAN PASS TAX ALGU LLC</t>
  </si>
  <si>
    <t>2014-738</t>
  </si>
  <si>
    <t>2013-776</t>
  </si>
  <si>
    <t>2012-2176</t>
  </si>
  <si>
    <t>2011-1024</t>
  </si>
  <si>
    <t>37-1N-25-299S-0009-0080</t>
  </si>
  <si>
    <t>54162 VIKKI RD</t>
  </si>
  <si>
    <t>NORRIS DONNA KAY</t>
  </si>
  <si>
    <t>54042 VIKKI RD</t>
  </si>
  <si>
    <t>BLOCK 9 LOT 8 (EX S-1) IN OR 1725/141 R360192 SHEFFIELD VILLAGE PB 5/28 &amp; 29</t>
  </si>
  <si>
    <t>2017-720</t>
  </si>
  <si>
    <t>BANDIR TAX 683 LLC</t>
  </si>
  <si>
    <t>2016-707</t>
  </si>
  <si>
    <t>DOGPOUND146981</t>
  </si>
  <si>
    <t>2013-777</t>
  </si>
  <si>
    <t>2012-2179</t>
  </si>
  <si>
    <t>37-1N-25-299S-0009-0081</t>
  </si>
  <si>
    <t>VIKKI RD</t>
  </si>
  <si>
    <t>HMS AMELIA INC</t>
  </si>
  <si>
    <t>1503 DUNN AVE</t>
  </si>
  <si>
    <t>BLOCK 9 PT OF LOT 8 PT OR 532 PG 803 SHEFFIELD VILLAGE PB 5/28 &amp; 29</t>
  </si>
  <si>
    <t>2017-721</t>
  </si>
  <si>
    <t>2016-708</t>
  </si>
  <si>
    <t>2015-727</t>
  </si>
  <si>
    <t>2014-740</t>
  </si>
  <si>
    <t>2013-778</t>
  </si>
  <si>
    <t>2012-2180</t>
  </si>
  <si>
    <t>2011-1027</t>
  </si>
  <si>
    <t>37-1N-25-299S-0009-0140</t>
  </si>
  <si>
    <t>54115 JEANNIE RD</t>
  </si>
  <si>
    <t>CZINDER BARBARA A</t>
  </si>
  <si>
    <t>RYALS JEFFERY S</t>
  </si>
  <si>
    <t>BLOCK 9 LOT 14 IN OR 1687/671 2007/JACO/DW/MH</t>
  </si>
  <si>
    <t>03-2N-25-0000-0001-0080</t>
  </si>
  <si>
    <t>MUSSLEWHITE</t>
  </si>
  <si>
    <t>45544 MUSSLEWHITE RD</t>
  </si>
  <si>
    <t>NETTLES MISTY A</t>
  </si>
  <si>
    <t>45544 MUSSELWHITE RD</t>
  </si>
  <si>
    <t>3-02N-25E</t>
  </si>
  <si>
    <t>PT SW1/4 SEC 3-2N-25E IN OR 1490/1119</t>
  </si>
  <si>
    <t>03-2N-25-0000-0001-0170</t>
  </si>
  <si>
    <t>DAVIS</t>
  </si>
  <si>
    <t>56585 DAVIS RD</t>
  </si>
  <si>
    <t>BECKER MARVIN ROY</t>
  </si>
  <si>
    <t>PT E1/2 PARS 1-17 &amp; 1-18 IN OR 1804/133</t>
  </si>
  <si>
    <t>2017-723</t>
  </si>
  <si>
    <t>NNNN2996</t>
  </si>
  <si>
    <t>03-2N-25-0000-0004-0010</t>
  </si>
  <si>
    <t>45617 MUSSLEWHITE RD</t>
  </si>
  <si>
    <t>EDWARDS EVAN W &amp; ALISON D</t>
  </si>
  <si>
    <t>45619 MUSSLEWHITE RD</t>
  </si>
  <si>
    <t>PT W1/2 OF SW1/4 OF NW1/4 &amp;</t>
  </si>
  <si>
    <t>03-2N-25-0000-0006-0010</t>
  </si>
  <si>
    <t>56695 DAVIS RD</t>
  </si>
  <si>
    <t>DAVIS JOEL L</t>
  </si>
  <si>
    <t>DAVIS KRISTY L</t>
  </si>
  <si>
    <t>IN OR 1792/1807 ESMT OR 1812/249 1981 SOUTHERN DW/MH</t>
  </si>
  <si>
    <t>2013-787</t>
  </si>
  <si>
    <t>FORICH LLC</t>
  </si>
  <si>
    <t>07-2N-25-0000-0005-0000</t>
  </si>
  <si>
    <t>BELL CAROL ANN</t>
  </si>
  <si>
    <t>45348 ZIDELL RD</t>
  </si>
  <si>
    <t>7-02N-25E</t>
  </si>
  <si>
    <t>PT OR 1317/1646</t>
  </si>
  <si>
    <t>2017-725</t>
  </si>
  <si>
    <t>ROYAL CROWN 360 SERVICING LLC</t>
  </si>
  <si>
    <t>2016-714</t>
  </si>
  <si>
    <t>BENNU LLC JA1E347</t>
  </si>
  <si>
    <t>2015-731</t>
  </si>
  <si>
    <t>2013-791</t>
  </si>
  <si>
    <t>2012-856</t>
  </si>
  <si>
    <t>07-2N-25-0000-0006-0000</t>
  </si>
  <si>
    <t>2017-726</t>
  </si>
  <si>
    <t>BISBEE LLC S13V12002</t>
  </si>
  <si>
    <t>2016-715</t>
  </si>
  <si>
    <t>BISBEE LLC AK4B4CF</t>
  </si>
  <si>
    <t>2015-732</t>
  </si>
  <si>
    <t>2013-792</t>
  </si>
  <si>
    <t>2012-857</t>
  </si>
  <si>
    <t>07-2N-25-0000-0006-0010</t>
  </si>
  <si>
    <t>UD HWY 1</t>
  </si>
  <si>
    <t>BELL FRANKLIN AARON</t>
  </si>
  <si>
    <t>45419 ZIDELL RD</t>
  </si>
  <si>
    <t>S1/3 OF W1/2 PT OR 1303/899</t>
  </si>
  <si>
    <t>2017-727</t>
  </si>
  <si>
    <t>BENNU LLC YS1DN127J</t>
  </si>
  <si>
    <t>2016-716</t>
  </si>
  <si>
    <t>BENNU LLC JY15QEFCA</t>
  </si>
  <si>
    <t>2015-733</t>
  </si>
  <si>
    <t>2013-793</t>
  </si>
  <si>
    <t>2012-858</t>
  </si>
  <si>
    <t>07-2N-25-0000-0007-0000</t>
  </si>
  <si>
    <t>PT OR 1303/899</t>
  </si>
  <si>
    <t>2016-718</t>
  </si>
  <si>
    <t>BENNU LLC JHA21B3CY</t>
  </si>
  <si>
    <t>2015-735</t>
  </si>
  <si>
    <t>2013-795</t>
  </si>
  <si>
    <t>2012-860</t>
  </si>
  <si>
    <t>09-2N-25-0000-0003-0030</t>
  </si>
  <si>
    <t>MUSSLEWHITE RD</t>
  </si>
  <si>
    <t>WALL TIMBER PRODUCTS INC</t>
  </si>
  <si>
    <t>45282 MUSSELWHITE RD</t>
  </si>
  <si>
    <t>Repair service shops (excluding automotive)</t>
  </si>
  <si>
    <t>Service Shop (TV radio electric plumbing)</t>
  </si>
  <si>
    <t>9-02N-25E</t>
  </si>
  <si>
    <t>PT OF SW1/4 OF R/W IN OR 2006/1994</t>
  </si>
  <si>
    <t>12-2N-25-0000-0002-0050</t>
  </si>
  <si>
    <t>SR 200</t>
  </si>
  <si>
    <t>HALEY WILLIAM J</t>
  </si>
  <si>
    <t>HALEY THOMAS J</t>
  </si>
  <si>
    <t>PO BOX 2756</t>
  </si>
  <si>
    <t>LAKE CITY FL</t>
  </si>
  <si>
    <t>12-02N-25E</t>
  </si>
  <si>
    <t>PT OR 1279/1851</t>
  </si>
  <si>
    <t>2017-730</t>
  </si>
  <si>
    <t>2016-720</t>
  </si>
  <si>
    <t>12-2N-25-2350-0004-0000</t>
  </si>
  <si>
    <t>WHITE OAKS</t>
  </si>
  <si>
    <t>55193 WHITE OAKS PL</t>
  </si>
  <si>
    <t>DEDMON BRENDA S</t>
  </si>
  <si>
    <t>LOT 4 IN OR 1873/679 &amp; OR 1983/700 WHITE OAK SUBS PB 5/230</t>
  </si>
  <si>
    <t>2017-731</t>
  </si>
  <si>
    <t>ECRU LLC R4AE4J</t>
  </si>
  <si>
    <t>14-2N-25-0000-0001-0020</t>
  </si>
  <si>
    <t>THOMAS</t>
  </si>
  <si>
    <t>55058 THOMAS RD</t>
  </si>
  <si>
    <t>BROWN JEAN</t>
  </si>
  <si>
    <t>14-02N-25E</t>
  </si>
  <si>
    <t>PT OR SW1/4 OF NW/14 &amp; PT OF GOVT LOT 1 IN OR 576/1014</t>
  </si>
  <si>
    <t>14-2N-25-0000-0001-0040</t>
  </si>
  <si>
    <t>450769 SR 200</t>
  </si>
  <si>
    <t>THOMPSON GARY</t>
  </si>
  <si>
    <t>THOMPSON MARY ANN</t>
  </si>
  <si>
    <t>450769 STATE ROAD 200</t>
  </si>
  <si>
    <t>PT OF SW1/4 OF NW1/4 IN OR 1420/1961 &amp; OR 1549/13 EX R/W CASE #03-64-CA</t>
  </si>
  <si>
    <t>2012-1202</t>
  </si>
  <si>
    <t>LIME PORPOISE 64 LLC PALM TREE TAX, CAPONE NA AS CO</t>
  </si>
  <si>
    <t>15-2N-25-0000-0001-0070</t>
  </si>
  <si>
    <t>55126 THOMAS RD</t>
  </si>
  <si>
    <t>ARMSTRONG DORIS C</t>
  </si>
  <si>
    <t>15-02N-25E</t>
  </si>
  <si>
    <t>OR 274 PG 678</t>
  </si>
  <si>
    <t>2017-733</t>
  </si>
  <si>
    <t>SWAMP ROAD LIEN CO LLC SERIES 22210</t>
  </si>
  <si>
    <t>2016-723</t>
  </si>
  <si>
    <t>SKYLER LLC O54809 SERIES</t>
  </si>
  <si>
    <t>2015-737</t>
  </si>
  <si>
    <t>LLLL758</t>
  </si>
  <si>
    <t>15-2N-25-2980-0001-0010</t>
  </si>
  <si>
    <t>55049 THOMAS RD</t>
  </si>
  <si>
    <t>WILLIAMS CATHY LOWE</t>
  </si>
  <si>
    <t>36127 MATT DYLAN LN</t>
  </si>
  <si>
    <t>PT OF LOT 1 (S-1) IN OR 922/745 R788153 &amp; R788154</t>
  </si>
  <si>
    <t>15-2N-25-2980-0009-0030</t>
  </si>
  <si>
    <t>450671 SR 200 W</t>
  </si>
  <si>
    <t>CARRIGG DAVID</t>
  </si>
  <si>
    <t>145 PINE TREE RD</t>
  </si>
  <si>
    <t>EAST PALATKA FL</t>
  </si>
  <si>
    <t>PT OF LOTS 9 10 &amp; 11 (S-3) IN OR 1831/594 EX R/W OR 1114/426</t>
  </si>
  <si>
    <t>2017-735</t>
  </si>
  <si>
    <t>TUDOR TAX LIEN CO LLC - SER 1615</t>
  </si>
  <si>
    <t>2016-724</t>
  </si>
  <si>
    <t>PLEASANT VALLEY CAPITAL LLC - 1625 A73</t>
  </si>
  <si>
    <t>2015-738</t>
  </si>
  <si>
    <t>D202977</t>
  </si>
  <si>
    <t>2014-752</t>
  </si>
  <si>
    <t>16-2N-25-0000-0003-0000</t>
  </si>
  <si>
    <t>JONES</t>
  </si>
  <si>
    <t>45489 JONES WAY</t>
  </si>
  <si>
    <t>BROWN JOHNNY L</t>
  </si>
  <si>
    <t>PO BOX 322</t>
  </si>
  <si>
    <t>16-02N-25E</t>
  </si>
  <si>
    <t>IN OR 261 PG 385 &amp; IN OR 286/58 &amp; OR 319/737 (PAR 3 &amp; 3-3 &amp; 3-4)</t>
  </si>
  <si>
    <t>2017-737</t>
  </si>
  <si>
    <t>OCEAN BLVD 176 MANAGEMENT SERVICES LLC</t>
  </si>
  <si>
    <t>2016-725</t>
  </si>
  <si>
    <t>C161121</t>
  </si>
  <si>
    <t>2015-739</t>
  </si>
  <si>
    <t>ANCONA2401</t>
  </si>
  <si>
    <t>2014-753</t>
  </si>
  <si>
    <t>2013-801</t>
  </si>
  <si>
    <t>2012-1280</t>
  </si>
  <si>
    <t>2011-1043</t>
  </si>
  <si>
    <t>16-2N-25-0000-0005-0010</t>
  </si>
  <si>
    <t>RAINY</t>
  </si>
  <si>
    <t>45082 RAINY LN</t>
  </si>
  <si>
    <t>WALKER MICHAEL L</t>
  </si>
  <si>
    <t>IN OR 747/824</t>
  </si>
  <si>
    <t>17-2N-25-0000-0011-0130</t>
  </si>
  <si>
    <t>PRECIOUS</t>
  </si>
  <si>
    <t>PRECIOUS PL</t>
  </si>
  <si>
    <t>FRISON HILDA JONES</t>
  </si>
  <si>
    <t>100 BROOKLYN AVE APT 1T</t>
  </si>
  <si>
    <t>FREEPORT NY</t>
  </si>
  <si>
    <t>JONES EST</t>
  </si>
  <si>
    <t>17-02N-25E</t>
  </si>
  <si>
    <t>PT OF LOT 4 IN OR 404/59 BEING PARCEL  D  ELIZA JONES ESTATE OR 148/454</t>
  </si>
  <si>
    <t>2017-743</t>
  </si>
  <si>
    <t>2016-732</t>
  </si>
  <si>
    <t>2015-744</t>
  </si>
  <si>
    <t>2014-761</t>
  </si>
  <si>
    <t>2013-809</t>
  </si>
  <si>
    <t>2012-1312</t>
  </si>
  <si>
    <t>2011-1054</t>
  </si>
  <si>
    <t>17-2N-25-0000-0011-0160</t>
  </si>
  <si>
    <t>MITCHELL GREGORY</t>
  </si>
  <si>
    <t>MITCHELL LISA</t>
  </si>
  <si>
    <t>1418 GUARDIAN DR</t>
  </si>
  <si>
    <t>PT OF LOT 4 IN OR 1301/328 ELIZA JONES ESTATE OR 148/454</t>
  </si>
  <si>
    <t>2017-744</t>
  </si>
  <si>
    <t>2016-733</t>
  </si>
  <si>
    <t>2015-745</t>
  </si>
  <si>
    <t>2014-762</t>
  </si>
  <si>
    <t>2013-810</t>
  </si>
  <si>
    <t>2012-1313</t>
  </si>
  <si>
    <t>2011-1055</t>
  </si>
  <si>
    <t>17-2N-25-0000-0011-0170</t>
  </si>
  <si>
    <t>KEY</t>
  </si>
  <si>
    <t>45052 KEY LN</t>
  </si>
  <si>
    <t>OLIVER BARRY</t>
  </si>
  <si>
    <t>PADILLA DEBRA</t>
  </si>
  <si>
    <t>PT OF LOT 9 IN OR 1443/1700 ELIZA JONES ESTATE OR 148/454 {R788007 R788008 &amp; R788009}</t>
  </si>
  <si>
    <t>2017-745</t>
  </si>
  <si>
    <t>PINK ELEPHANT ADVISORS 55</t>
  </si>
  <si>
    <t>2016-734</t>
  </si>
  <si>
    <t>AUSTEN PARTNERS45158</t>
  </si>
  <si>
    <t>2015-746</t>
  </si>
  <si>
    <t>WONDER CAPITAL135456</t>
  </si>
  <si>
    <t>2014-763</t>
  </si>
  <si>
    <t>2013-811</t>
  </si>
  <si>
    <t>2012-1314</t>
  </si>
  <si>
    <t>2011-1056</t>
  </si>
  <si>
    <t>17-2N-25-3010-0017-0000</t>
  </si>
  <si>
    <t>EULA B</t>
  </si>
  <si>
    <t>45125 EULA B RD</t>
  </si>
  <si>
    <t>BRAY DILLON</t>
  </si>
  <si>
    <t>WOODGROVE ACRES</t>
  </si>
  <si>
    <t>LOT 17 R673562 IN OR 1481/1720 WOODGROVE ACRES PB 4/59</t>
  </si>
  <si>
    <t>2016-735</t>
  </si>
  <si>
    <t>PELICAN PIER CERTS AFKM LLC</t>
  </si>
  <si>
    <t>2011-1057</t>
  </si>
  <si>
    <t>18-2N-25-3000-0005-0110</t>
  </si>
  <si>
    <t>ZIDELL</t>
  </si>
  <si>
    <t>ZIDELL RD</t>
  </si>
  <si>
    <t>CALLAHAN HEIGHTS</t>
  </si>
  <si>
    <t>18-02N-25E</t>
  </si>
  <si>
    <t>LOTS 5 &amp; 6 (EX S1/3) &amp; LOT 7 IN OR 1336/421 CALLAHAN HEIGHTS PB 0/30</t>
  </si>
  <si>
    <t>2016-736</t>
  </si>
  <si>
    <t>BISBEE LLC M10702AR</t>
  </si>
  <si>
    <t>2015-748</t>
  </si>
  <si>
    <t>2013-812</t>
  </si>
  <si>
    <t>2012-1323</t>
  </si>
  <si>
    <t>18-2N-25-3000-0008-0000</t>
  </si>
  <si>
    <t>LOTS 8 &amp; 10 IN OR 1303/897 CALLAHAN HEIGHTS PB 0/30</t>
  </si>
  <si>
    <t>2016-737</t>
  </si>
  <si>
    <t>BISBEE LLC AK1C0F82</t>
  </si>
  <si>
    <t>2015-749</t>
  </si>
  <si>
    <t>2013-813</t>
  </si>
  <si>
    <t>2012-1324</t>
  </si>
  <si>
    <t>18-2N-25-3000-0009-0000</t>
  </si>
  <si>
    <t>AARON FRANKLIN</t>
  </si>
  <si>
    <t>BELL ZACHARY AARON</t>
  </si>
  <si>
    <t>LOT 9 IN OR 1303/898 CALLAHAN HEIGHTS PB 0/30</t>
  </si>
  <si>
    <t>2016-738</t>
  </si>
  <si>
    <t>BENNU LLC LY19Q3BCR</t>
  </si>
  <si>
    <t>2015-750</t>
  </si>
  <si>
    <t>2013-814</t>
  </si>
  <si>
    <t>2012-1325</t>
  </si>
  <si>
    <t>18-2N-25-3000-0011-0000</t>
  </si>
  <si>
    <t>45417 ZIDELL RD</t>
  </si>
  <si>
    <t>LOT 11 IN OR 818 PG 573 CALLAHAN HEIGHTS PB 0/30</t>
  </si>
  <si>
    <t>2017-747</t>
  </si>
  <si>
    <t>ROUTE 7 LLC AKA1ACC2</t>
  </si>
  <si>
    <t>2016-739</t>
  </si>
  <si>
    <t>BENNU LLC YS1BN959J</t>
  </si>
  <si>
    <t>2015-751</t>
  </si>
  <si>
    <t>CCTS CAPITAL - FLORIDA 32201 US BANK CUST FOR PFS FINANCIAL 2 LLC</t>
  </si>
  <si>
    <t>2013-815</t>
  </si>
  <si>
    <t>2012-1326</t>
  </si>
  <si>
    <t>2011-1058</t>
  </si>
  <si>
    <t>18-2N-25-3000-0016-0240</t>
  </si>
  <si>
    <t>WITT GARY C</t>
  </si>
  <si>
    <t>WITT JENNIFER C</t>
  </si>
  <si>
    <t>5150 ALPHA AVE</t>
  </si>
  <si>
    <t>N1/2 OF LOT 16 (S-24) IN OR 1793/321 CALLAHAN HEIGHTS PB 0/30</t>
  </si>
  <si>
    <t>2016-740</t>
  </si>
  <si>
    <t>18-2N-25-3000-0022-0210</t>
  </si>
  <si>
    <t>E1/2 OF LOT 22 PT OR 818/574 EX 22-20</t>
  </si>
  <si>
    <t>2017-748</t>
  </si>
  <si>
    <t>2016-741</t>
  </si>
  <si>
    <t>2015-752</t>
  </si>
  <si>
    <t>19-2N-25-0000-0001-0000</t>
  </si>
  <si>
    <t>HILL</t>
  </si>
  <si>
    <t>45560 HILL RD</t>
  </si>
  <si>
    <t>MITCHELL ARCHIE A</t>
  </si>
  <si>
    <t>19-02N-25E</t>
  </si>
  <si>
    <t>IN OR 1784/1006 EX 1-1 3 1-2 &amp; 1-3</t>
  </si>
  <si>
    <t>2017-749</t>
  </si>
  <si>
    <t>CANOE CREEK 647 FINANCIAL SERVICES LLC</t>
  </si>
  <si>
    <t>2016-742</t>
  </si>
  <si>
    <t>GOLAN LLC SERIES A013418</t>
  </si>
  <si>
    <t>2015-753</t>
  </si>
  <si>
    <t>ASCOT CAPITAL LLC - 1200 A58</t>
  </si>
  <si>
    <t>19-2N-25-0000-0017-0000</t>
  </si>
  <si>
    <t>HILL RD</t>
  </si>
  <si>
    <t>ELEBY DAVID</t>
  </si>
  <si>
    <t>PO BOX 657</t>
  </si>
  <si>
    <t>IN SW1/4 OF SE1/4 OF NE1/4 OR 828/1575 EX 17-2</t>
  </si>
  <si>
    <t>2017-752</t>
  </si>
  <si>
    <t>2016-746</t>
  </si>
  <si>
    <t>BISBEE LLC AK2A07E3</t>
  </si>
  <si>
    <t>2014-770</t>
  </si>
  <si>
    <t>2013-819</t>
  </si>
  <si>
    <t>2012-1357</t>
  </si>
  <si>
    <t>2011-1064</t>
  </si>
  <si>
    <t>19-2N-25-0000-0017-0010</t>
  </si>
  <si>
    <t>ELMWOOD</t>
  </si>
  <si>
    <t>45063 ELMWOOD LN</t>
  </si>
  <si>
    <t>MITCHELL ARCHIE ANTHONY</t>
  </si>
  <si>
    <t>PO BOX 955</t>
  </si>
  <si>
    <t>PT GOVT LOT 1 OF SEC 19-2N-25E IN OR 1735/88</t>
  </si>
  <si>
    <t>2016-747</t>
  </si>
  <si>
    <t>SKYLER LLC O78399 SERIES</t>
  </si>
  <si>
    <t>2015-759</t>
  </si>
  <si>
    <t>ROCK BROOK CERTS 657 LLC</t>
  </si>
  <si>
    <t>2014-771</t>
  </si>
  <si>
    <t>2012-1358</t>
  </si>
  <si>
    <t>19-2N-25-0000-0017-0030</t>
  </si>
  <si>
    <t>45063 ELMWOOD RD</t>
  </si>
  <si>
    <t>WAY RONNIE L</t>
  </si>
  <si>
    <t>IN OR 1664/1823</t>
  </si>
  <si>
    <t>2017-753</t>
  </si>
  <si>
    <t>2016-748</t>
  </si>
  <si>
    <t>19-2N-25-0000-0019-0000</t>
  </si>
  <si>
    <t>45051 ELMWOOD RD</t>
  </si>
  <si>
    <t>SHEFFIELD EMILY</t>
  </si>
  <si>
    <t>PO BOX 329</t>
  </si>
  <si>
    <t>IN OR 726 PG 5</t>
  </si>
  <si>
    <t>2017-755</t>
  </si>
  <si>
    <t>GEEATO 4299</t>
  </si>
  <si>
    <t>2016-750</t>
  </si>
  <si>
    <t>F192100</t>
  </si>
  <si>
    <t>2015-761</t>
  </si>
  <si>
    <t>GGGG536</t>
  </si>
  <si>
    <t>2014-773</t>
  </si>
  <si>
    <t>2013-821</t>
  </si>
  <si>
    <t>2012-1360</t>
  </si>
  <si>
    <t>19-2N-25-0000-0019-0010</t>
  </si>
  <si>
    <t>ROBERTS</t>
  </si>
  <si>
    <t>ROBERTS RD</t>
  </si>
  <si>
    <t>ALDERMAN BERNICE W</t>
  </si>
  <si>
    <t>58067 ALDERMAN LN</t>
  </si>
  <si>
    <t>IN OR 35 PG 345 IN OR 18 PG 374</t>
  </si>
  <si>
    <t>12089C_919</t>
  </si>
  <si>
    <t>2017-756</t>
  </si>
  <si>
    <t>2016-751</t>
  </si>
  <si>
    <t>2015-762</t>
  </si>
  <si>
    <t>2014-774</t>
  </si>
  <si>
    <t>2013-822</t>
  </si>
  <si>
    <t>2012-1361</t>
  </si>
  <si>
    <t>2011-1066</t>
  </si>
  <si>
    <t>19-2N-25-0000-0026-0020</t>
  </si>
  <si>
    <t>BLUME</t>
  </si>
  <si>
    <t>45273 BLUME DR</t>
  </si>
  <si>
    <t>BLUME IDEE</t>
  </si>
  <si>
    <t>PO BOX 781</t>
  </si>
  <si>
    <t>IN OR 95 PG 387 EX R/W OR 326 PG 298 ESMT PT OR 1861/825</t>
  </si>
  <si>
    <t>2017-757</t>
  </si>
  <si>
    <t>BISBEE LLC HEA30EDC33</t>
  </si>
  <si>
    <t>2016-752</t>
  </si>
  <si>
    <t>B14464</t>
  </si>
  <si>
    <t>2015-763</t>
  </si>
  <si>
    <t>HFU - 247659 - GULF STREAM GROUP US BANK CUST FOR PFS FINANCIAL 2 LLC</t>
  </si>
  <si>
    <t>2014-775</t>
  </si>
  <si>
    <t>2013-823</t>
  </si>
  <si>
    <t>2011-1068</t>
  </si>
  <si>
    <t>19-2N-25-0000-0028-0010</t>
  </si>
  <si>
    <t>35808 QUAIL RD</t>
  </si>
  <si>
    <t>DUTTON DONALD D</t>
  </si>
  <si>
    <t>PT OF SW1/4 OF NW1/4 R407833 L/E PT OR 754/726</t>
  </si>
  <si>
    <t>2017-758</t>
  </si>
  <si>
    <t>SANTA ROSA 857 HOLDINGS LLC</t>
  </si>
  <si>
    <t>19-2N-25-0000-0033-0020</t>
  </si>
  <si>
    <t>WARDLAW</t>
  </si>
  <si>
    <t>45175 WARDLAW CIR</t>
  </si>
  <si>
    <t>WRIGHT CURTIS M</t>
  </si>
  <si>
    <t>WRIGHT GERALD A</t>
  </si>
  <si>
    <t>45175 WORDLAW CIR</t>
  </si>
  <si>
    <t>IN OR 1509/1777 EX FPL R/W OR 281/530 EX ESMT OR 593/63</t>
  </si>
  <si>
    <t>12089C_703</t>
  </si>
  <si>
    <t>2017-759</t>
  </si>
  <si>
    <t>PELICAN PIE 990 LLC</t>
  </si>
  <si>
    <t>2015-764</t>
  </si>
  <si>
    <t>REST OF J BLOCK 187508 US BANK CUST FOR PFS FINANCIAL 2 LLC</t>
  </si>
  <si>
    <t>2014-778</t>
  </si>
  <si>
    <t>2012-1369</t>
  </si>
  <si>
    <t>2011-1072</t>
  </si>
  <si>
    <t>19-2N-25-0000-0033-0090</t>
  </si>
  <si>
    <t>NELSON EDWARD ELLIS TRUST FOR CAROL LA RAE NELSON</t>
  </si>
  <si>
    <t>IN OR 379 PG 771</t>
  </si>
  <si>
    <t>19-2N-25-0000-0033-0200</t>
  </si>
  <si>
    <t>BY PASS</t>
  </si>
  <si>
    <t>BY PASS RD</t>
  </si>
  <si>
    <t>PT OF W1/2 OF SW1/4 PT OR 1390/172 CASE#50-2006-CP-000548 XXXX MB</t>
  </si>
  <si>
    <t>19-2N-25-0000-0035-0010</t>
  </si>
  <si>
    <t>ARLINE</t>
  </si>
  <si>
    <t>45059 ARLINE RD</t>
  </si>
  <si>
    <t>HAMPTON KEVA</t>
  </si>
  <si>
    <t>COOPER TERRIE</t>
  </si>
  <si>
    <t>45136 DUTTON WAY</t>
  </si>
  <si>
    <t>PT OF SE1/4 OF NE1/4 OF SW1/4 IN OR 1974/1193</t>
  </si>
  <si>
    <t>2017-763</t>
  </si>
  <si>
    <t>SPINNAKER LOOP 883 FINANCIAL SERVICES LLC</t>
  </si>
  <si>
    <t>2016-757</t>
  </si>
  <si>
    <t>C241893</t>
  </si>
  <si>
    <t>2015-769</t>
  </si>
  <si>
    <t>AUSTEN PARTNERS153343</t>
  </si>
  <si>
    <t>19-2N-25-0000-0040-0000</t>
  </si>
  <si>
    <t>1545 STIRLING AVE</t>
  </si>
  <si>
    <t>NW1/4 OF NW1/4 OF SW1/4 *LESS 2A* PT OR 2030/1492</t>
  </si>
  <si>
    <t>2017-764</t>
  </si>
  <si>
    <t>2016-760</t>
  </si>
  <si>
    <t>2015-773</t>
  </si>
  <si>
    <t>2014-786</t>
  </si>
  <si>
    <t>2013-836</t>
  </si>
  <si>
    <t>2012-1375</t>
  </si>
  <si>
    <t>2011-1078</t>
  </si>
  <si>
    <t>19-2N-25-0000-0042-0030</t>
  </si>
  <si>
    <t>LAST FRANK III</t>
  </si>
  <si>
    <t>LAST MARY J</t>
  </si>
  <si>
    <t>2019 ALACHUA ST</t>
  </si>
  <si>
    <t>PT OF SW1/4 IN OR 1578/1803</t>
  </si>
  <si>
    <t>2017-765</t>
  </si>
  <si>
    <t>2016-761</t>
  </si>
  <si>
    <t>BISBEE LLC RH1D845</t>
  </si>
  <si>
    <t>19-2N-25-0000-0051-0000</t>
  </si>
  <si>
    <t>WORDLAW</t>
  </si>
  <si>
    <t>45091 WORDLAW CIR</t>
  </si>
  <si>
    <t>CRYSTAL I LLC</t>
  </si>
  <si>
    <t>18305 BISCAYNE BLVD STE 400</t>
  </si>
  <si>
    <t>AVENTURA FL</t>
  </si>
  <si>
    <t>IN OR 1646/782 ESMT IN OR 288/745</t>
  </si>
  <si>
    <t>2017-767</t>
  </si>
  <si>
    <t>2016-762</t>
  </si>
  <si>
    <t>2015-774</t>
  </si>
  <si>
    <t>2014-787</t>
  </si>
  <si>
    <t>SIGMA TAX 1 GP</t>
  </si>
  <si>
    <t>2013-838</t>
  </si>
  <si>
    <t>2012-1376</t>
  </si>
  <si>
    <t>2011-1080</t>
  </si>
  <si>
    <t>19-2N-25-0000-0052-0010</t>
  </si>
  <si>
    <t>MORGAN</t>
  </si>
  <si>
    <t>45371 MORGAN CIR</t>
  </si>
  <si>
    <t>WILSON MALINDA E</t>
  </si>
  <si>
    <t>ELY 250 FT R497748 IN OR 1194/1817 EX R/W OR 677/228</t>
  </si>
  <si>
    <t>2016-763</t>
  </si>
  <si>
    <t>2015-775</t>
  </si>
  <si>
    <t>2014-788</t>
  </si>
  <si>
    <t>2012-1377</t>
  </si>
  <si>
    <t>2011-1081</t>
  </si>
  <si>
    <t>19-2N-25-0000-0054-0000</t>
  </si>
  <si>
    <t>45435 MORGAN CIR</t>
  </si>
  <si>
    <t>THOMPSON A J</t>
  </si>
  <si>
    <t>9220 CYPRESS GREEN DR</t>
  </si>
  <si>
    <t>IN OR 2009/1688 EX R/W OR 673/1892</t>
  </si>
  <si>
    <t>19-2N-25-0000-0055-0010</t>
  </si>
  <si>
    <t>DENEFIELD</t>
  </si>
  <si>
    <t>DENEFIELD RD</t>
  </si>
  <si>
    <t>COAKLEY EMMITT D</t>
  </si>
  <si>
    <t>COAKLEY ETHELRENE F</t>
  </si>
  <si>
    <t>PO BOX 536</t>
  </si>
  <si>
    <t>IN OR 74 PG 312</t>
  </si>
  <si>
    <t>2017-769</t>
  </si>
  <si>
    <t>2016-764</t>
  </si>
  <si>
    <t>2015-777</t>
  </si>
  <si>
    <t>IRENE MENDOZA</t>
  </si>
  <si>
    <t>19-2N-25-0000-0075-0000</t>
  </si>
  <si>
    <t>KILLINGS LENDFORD</t>
  </si>
  <si>
    <t>KILLINGS EARTHIE</t>
  </si>
  <si>
    <t>LOTS 36 37 &amp; 38 IN OR 1747/1008 (EX ESMT IN OR 734/1027)</t>
  </si>
  <si>
    <t>2017-772</t>
  </si>
  <si>
    <t>2016-766</t>
  </si>
  <si>
    <t>2015-780</t>
  </si>
  <si>
    <t>2014-795</t>
  </si>
  <si>
    <t>2013-844</t>
  </si>
  <si>
    <t>2012-1384</t>
  </si>
  <si>
    <t>2011-1090</t>
  </si>
  <si>
    <t>19-2N-25-0000-0084-0000</t>
  </si>
  <si>
    <t>COLSON</t>
  </si>
  <si>
    <t>45064 COLSON RD</t>
  </si>
  <si>
    <t>WILLIAMS ANTHONY</t>
  </si>
  <si>
    <t>2819 RIPLEY AVE</t>
  </si>
  <si>
    <t>PT GOVT LOT 2 OF SEC 19-2N-25E IN OR 1941/2 (EX PT IN OR 289/715)</t>
  </si>
  <si>
    <t>2017-773</t>
  </si>
  <si>
    <t>ECRU LLC RY41BDB5</t>
  </si>
  <si>
    <t>2016-767</t>
  </si>
  <si>
    <t>2015-781</t>
  </si>
  <si>
    <t>PISA 1022H LLC</t>
  </si>
  <si>
    <t>2014-796</t>
  </si>
  <si>
    <t>2013-845</t>
  </si>
  <si>
    <t>19-2N-25-0000-0102-0010</t>
  </si>
  <si>
    <t>WHITFIELD</t>
  </si>
  <si>
    <t>45263 WHITFIELD RD</t>
  </si>
  <si>
    <t>MELTON CHAD</t>
  </si>
  <si>
    <t>7923 BERRY AVE</t>
  </si>
  <si>
    <t>IN OR 1890/825 PARCELS 102-1 &amp; 102-3 EX 102-2</t>
  </si>
  <si>
    <t>2017-774</t>
  </si>
  <si>
    <t>2016-769</t>
  </si>
  <si>
    <t>2015-784</t>
  </si>
  <si>
    <t>2014-798</t>
  </si>
  <si>
    <t>2013-848</t>
  </si>
  <si>
    <t>2012-1387</t>
  </si>
  <si>
    <t>2011-1093</t>
  </si>
  <si>
    <t>19-2N-25-0000-0102-0040</t>
  </si>
  <si>
    <t>45243 WHITFIELD RD</t>
  </si>
  <si>
    <t>PT OF W1/2 OF NW1/4 OF SE1/4 IN OR 1890/827 1984 SANT DW/MH</t>
  </si>
  <si>
    <t>2017-775</t>
  </si>
  <si>
    <t>2016-770</t>
  </si>
  <si>
    <t>2015-785</t>
  </si>
  <si>
    <t>2014-2550</t>
  </si>
  <si>
    <t>2013-2825</t>
  </si>
  <si>
    <t>19-2N-25-0000-0102-0050</t>
  </si>
  <si>
    <t>WHITFIELD RD</t>
  </si>
  <si>
    <t>MELTON BENIN</t>
  </si>
  <si>
    <t>PO BOX 386</t>
  </si>
  <si>
    <t>IN OR 1710/602</t>
  </si>
  <si>
    <t>2017-776</t>
  </si>
  <si>
    <t>2016-771</t>
  </si>
  <si>
    <t>2015-786</t>
  </si>
  <si>
    <t>2014-799</t>
  </si>
  <si>
    <t>2013-849</t>
  </si>
  <si>
    <t>2012-1388</t>
  </si>
  <si>
    <t>2011-1094</t>
  </si>
  <si>
    <t>19-2N-25-0000-0102-0080</t>
  </si>
  <si>
    <t>45174 ARLINE RD</t>
  </si>
  <si>
    <t>JANUSZKIEWICZ LEE EDWARD</t>
  </si>
  <si>
    <t>JANUSZKIEWICZ SHERRI LYNN</t>
  </si>
  <si>
    <t>IN OR 1322/22 2006 PALM HARBOR DW/MH</t>
  </si>
  <si>
    <t>2016-773</t>
  </si>
  <si>
    <t>BISBEE LLC X3608B33</t>
  </si>
  <si>
    <t>2015-787</t>
  </si>
  <si>
    <t>2014-800</t>
  </si>
  <si>
    <t>2013-850</t>
  </si>
  <si>
    <t>2012-1389</t>
  </si>
  <si>
    <t>US BANK CUST BISBEE LLC M10A69</t>
  </si>
  <si>
    <t>2011-1095</t>
  </si>
  <si>
    <t>19-2N-25-0000-0108-0000</t>
  </si>
  <si>
    <t>STRAWBERRY</t>
  </si>
  <si>
    <t>45029 STRAWBERRY LN</t>
  </si>
  <si>
    <t>IN OR 453 PG 36 PARCELS 108 &amp; 109</t>
  </si>
  <si>
    <t>2017-777</t>
  </si>
  <si>
    <t>BENNU LLC LY7CQ83R</t>
  </si>
  <si>
    <t>2016-776</t>
  </si>
  <si>
    <t>ECRU LLC H266813</t>
  </si>
  <si>
    <t>2015-788</t>
  </si>
  <si>
    <t>BISBEE LLC H16C262</t>
  </si>
  <si>
    <t>2014-802</t>
  </si>
  <si>
    <t>2013-851</t>
  </si>
  <si>
    <t>2011-1096</t>
  </si>
  <si>
    <t>19-2N-25-0000-0110-0000</t>
  </si>
  <si>
    <t>STRAWBERRY LN</t>
  </si>
  <si>
    <t>JONES LATHERN B</t>
  </si>
  <si>
    <t>400 E BAY ST STE 1210</t>
  </si>
  <si>
    <t>PT OR 1590/726</t>
  </si>
  <si>
    <t>2017-778</t>
  </si>
  <si>
    <t>2017-2236</t>
  </si>
  <si>
    <t>2017-2248</t>
  </si>
  <si>
    <t>2014-803</t>
  </si>
  <si>
    <t>2013-852</t>
  </si>
  <si>
    <t>2012-1390</t>
  </si>
  <si>
    <t>2011-1097</t>
  </si>
  <si>
    <t>19-2N-25-0000-0111-0000</t>
  </si>
  <si>
    <t>45055 STRAWBERRY LN</t>
  </si>
  <si>
    <t>2017-779</t>
  </si>
  <si>
    <t>2017-2237</t>
  </si>
  <si>
    <t>2017-2249</t>
  </si>
  <si>
    <t>2014-804</t>
  </si>
  <si>
    <t>2013-853</t>
  </si>
  <si>
    <t>2012-1391</t>
  </si>
  <si>
    <t>2011-1098</t>
  </si>
  <si>
    <t>19-2N-25-0000-0132-0000</t>
  </si>
  <si>
    <t>WHITE</t>
  </si>
  <si>
    <t>45092 WHITE RD</t>
  </si>
  <si>
    <t>REED BETTY JEAN</t>
  </si>
  <si>
    <t>IN DB 135/184 &amp; DB 172/375 &amp; IN OR 1594/661 PARCELS 132 &amp; 133</t>
  </si>
  <si>
    <t>2017-780</t>
  </si>
  <si>
    <t>2016-777</t>
  </si>
  <si>
    <t>MEGACLERK LLC</t>
  </si>
  <si>
    <t>KING SOLOMON INVESTMENT TRUST</t>
  </si>
  <si>
    <t>2015-789</t>
  </si>
  <si>
    <t>2014-805</t>
  </si>
  <si>
    <t>2012-1392</t>
  </si>
  <si>
    <t>2011-1099</t>
  </si>
  <si>
    <t>19-2N-25-0000-0135-0000</t>
  </si>
  <si>
    <t>MAIN LINE TIMBER LLC</t>
  </si>
  <si>
    <t>PT GOVT LOT 2 PAR 135 PT OR 1385/762</t>
  </si>
  <si>
    <t>2015-790</t>
  </si>
  <si>
    <t>HXY - 271332 - JUPITER ISLAND LLC US BANK CUST FOR PFS FINANCIAL 1</t>
  </si>
  <si>
    <t>2014-806</t>
  </si>
  <si>
    <t>2013-854</t>
  </si>
  <si>
    <t>2012-1393</t>
  </si>
  <si>
    <t>19-2N-25-0000-0143-0000</t>
  </si>
  <si>
    <t>450027 OLD DIXIE HWY</t>
  </si>
  <si>
    <t>HIGGINBOTHAM ALBERT L</t>
  </si>
  <si>
    <t>PT GOVT LOT 2 PAR 143 PT OR 1747/1823</t>
  </si>
  <si>
    <t>2013-855</t>
  </si>
  <si>
    <t>19-2N-25-0000-0143-0010</t>
  </si>
  <si>
    <t>PT GOVT LOT 2 PAR 143-1 PT OR 1747/1823</t>
  </si>
  <si>
    <t>2016-778</t>
  </si>
  <si>
    <t>2015-791</t>
  </si>
  <si>
    <t>CCTS CAPITAL - FLORIDA 15597 US BANK CUST FOR PFS FINANCIAL 2 LLC</t>
  </si>
  <si>
    <t>2013-856</t>
  </si>
  <si>
    <t>19-2N-25-0000-0143-0020</t>
  </si>
  <si>
    <t>PT GOVT LOT 2 PAR 143-2 PT OR 1385/762</t>
  </si>
  <si>
    <t>2015-792</t>
  </si>
  <si>
    <t>CCTS TAX LIEN BUYERS - 174523 US BANK CUST FOR PFS FINANCIAL 1</t>
  </si>
  <si>
    <t>2014-807</t>
  </si>
  <si>
    <t>2013-857</t>
  </si>
  <si>
    <t>2012-1395</t>
  </si>
  <si>
    <t>19-2N-25-0000-0144-0000</t>
  </si>
  <si>
    <t>PT GOVT LOT 2 PT OR 1385/758 PAR 144 ANNEXED CITY #13-0-2005</t>
  </si>
  <si>
    <t>2016-779</t>
  </si>
  <si>
    <t>ROUTE 7 LLC RYA441D</t>
  </si>
  <si>
    <t>2015-793</t>
  </si>
  <si>
    <t>CCTS TAX LIEN BUYERS - 172883 US BANK CUST FOR PFS FINANCIAL 1</t>
  </si>
  <si>
    <t>2014-808</t>
  </si>
  <si>
    <t>2013-858</t>
  </si>
  <si>
    <t>2012-1396</t>
  </si>
  <si>
    <t>19-2N-25-0000-0145-0000</t>
  </si>
  <si>
    <t>PT GOVT LOT 2 PT OR 1385/758 PAR 145 ANNEXED CITY #13-0-2005</t>
  </si>
  <si>
    <t>12089C_319</t>
  </si>
  <si>
    <t>2016-780</t>
  </si>
  <si>
    <t>BISBEE LLC M1EE25AR</t>
  </si>
  <si>
    <t>2015-794</t>
  </si>
  <si>
    <t>FL - CCTS CAP 107165 US BANK CUST FOR PFS FINANCIAL 2 LLC</t>
  </si>
  <si>
    <t>2014-809</t>
  </si>
  <si>
    <t>2013-859</t>
  </si>
  <si>
    <t>2012-1397</t>
  </si>
  <si>
    <t>19-2N-25-0000-0147-0000</t>
  </si>
  <si>
    <t>PT GOVT LOT 2 PT OR 1385/758 PAR 147 ANNEXED CITY #13-0-2005</t>
  </si>
  <si>
    <t>2016-782</t>
  </si>
  <si>
    <t>BISBEE LLC S13V11D9E</t>
  </si>
  <si>
    <t>2015-796</t>
  </si>
  <si>
    <t>2014-811</t>
  </si>
  <si>
    <t>2013-861</t>
  </si>
  <si>
    <t>2012-1399</t>
  </si>
  <si>
    <t>19-2N-25-0000-0147-0010</t>
  </si>
  <si>
    <t>PT GOVT LOT 2 PT OR 1385/758 PAR 147-1 ANNEXED CITY # 13-0-2005</t>
  </si>
  <si>
    <t>2016-783</t>
  </si>
  <si>
    <t>BENNU LLC JHA22177Y</t>
  </si>
  <si>
    <t>2015-797</t>
  </si>
  <si>
    <t>2014-812</t>
  </si>
  <si>
    <t>2013-862</t>
  </si>
  <si>
    <t>2012-1400</t>
  </si>
  <si>
    <t>19-2N-25-0000-0147-0020</t>
  </si>
  <si>
    <t>PT GOVT LOT 2 PT OR 1385/758 PAR 147-2 ANNEXED #13-0-2005</t>
  </si>
  <si>
    <t>2016-784</t>
  </si>
  <si>
    <t>BENNU LLC LY25QBE5R</t>
  </si>
  <si>
    <t>2015-798</t>
  </si>
  <si>
    <t>ECRU LLC IPEFH5C</t>
  </si>
  <si>
    <t>2014-813</t>
  </si>
  <si>
    <t>2013-863</t>
  </si>
  <si>
    <t>2012-1401</t>
  </si>
  <si>
    <t>19-2N-25-3020-0018-0000</t>
  </si>
  <si>
    <t>IN SW1/4 OF SE1/4 OF NW1/4 PT OF LOTS 18 19 30 31 32 WEST OF RD</t>
  </si>
  <si>
    <t>2017-783</t>
  </si>
  <si>
    <t>2016-790</t>
  </si>
  <si>
    <t>BISBEE LLC PI2D56CCK3</t>
  </si>
  <si>
    <t>2014-819</t>
  </si>
  <si>
    <t>2012-1407</t>
  </si>
  <si>
    <t>2011-1107</t>
  </si>
  <si>
    <t>19-2N-25-3020-0033-0000</t>
  </si>
  <si>
    <t>450426 OLD DIXIE HWY</t>
  </si>
  <si>
    <t>PATTERSON MARK</t>
  </si>
  <si>
    <t>PATTERSON TAMMY R</t>
  </si>
  <si>
    <t>LOT 33 &amp; PT LOT 32 E SR 115 IN OR 1596/1847 R497691 SUB OF SE1/4 OF NW1/4</t>
  </si>
  <si>
    <t>2016-791</t>
  </si>
  <si>
    <t>2014-820</t>
  </si>
  <si>
    <t>2011-1108</t>
  </si>
  <si>
    <t>20-2N-25-0000-0011-0000</t>
  </si>
  <si>
    <t>DIXIE</t>
  </si>
  <si>
    <t>45972 DIXIE AVE</t>
  </si>
  <si>
    <t>SAMPSON JAMES L</t>
  </si>
  <si>
    <t>45086 WHITFIELD RD</t>
  </si>
  <si>
    <t>20-02N-25E</t>
  </si>
  <si>
    <t>IN OR 791 PG 607</t>
  </si>
  <si>
    <t>2017-785</t>
  </si>
  <si>
    <t>2016-792</t>
  </si>
  <si>
    <t>2015-805</t>
  </si>
  <si>
    <t>2014-827</t>
  </si>
  <si>
    <t>2013-876</t>
  </si>
  <si>
    <t>2012-1422</t>
  </si>
  <si>
    <t>21-2N-25-0000-0005-0000</t>
  </si>
  <si>
    <t>BENRAY</t>
  </si>
  <si>
    <t>BENRAY LN</t>
  </si>
  <si>
    <t>BYRD JEAN</t>
  </si>
  <si>
    <t>SMITH RUTH</t>
  </si>
  <si>
    <t>45049 BENRAY LN</t>
  </si>
  <si>
    <t>21-02N-25E</t>
  </si>
  <si>
    <t>PT OR 456/745 EX 5-2</t>
  </si>
  <si>
    <t>2017-786</t>
  </si>
  <si>
    <t>2016-793</t>
  </si>
  <si>
    <t>2015-806</t>
  </si>
  <si>
    <t>2014-828</t>
  </si>
  <si>
    <t>2013-877</t>
  </si>
  <si>
    <t>2012-1432</t>
  </si>
  <si>
    <t>21-2N-25-0000-0005-0020</t>
  </si>
  <si>
    <t>45002 BENRAY LN</t>
  </si>
  <si>
    <t>WYNDAM MARISSA</t>
  </si>
  <si>
    <t>PT OR 946/1954</t>
  </si>
  <si>
    <t>2016-794</t>
  </si>
  <si>
    <t>ECRU LLC TSBMBA1</t>
  </si>
  <si>
    <t>2015-807</t>
  </si>
  <si>
    <t>2014-829</t>
  </si>
  <si>
    <t>2013-878</t>
  </si>
  <si>
    <t>2012-1433</t>
  </si>
  <si>
    <t>22-2N-25-1460-0003-0000</t>
  </si>
  <si>
    <t>AMERICAN DREAM</t>
  </si>
  <si>
    <t>45126 AMERICAN DREAM DR</t>
  </si>
  <si>
    <t>GUY THIAM</t>
  </si>
  <si>
    <t>85372 CLAXTON RD</t>
  </si>
  <si>
    <t>NORTH DEERWOOD EST</t>
  </si>
  <si>
    <t>22-02N-25E</t>
  </si>
  <si>
    <t>LOT 3 IN OR 1519/406 NORTH DEERWOOD EST PB 6/173</t>
  </si>
  <si>
    <t>2016-795</t>
  </si>
  <si>
    <t>TOWER LIEN LLC SER 17077</t>
  </si>
  <si>
    <t>2015-808</t>
  </si>
  <si>
    <t>BISBEE LLC S23V206D6</t>
  </si>
  <si>
    <t>2013-879</t>
  </si>
  <si>
    <t>2012-1459</t>
  </si>
  <si>
    <t>BRIDGE TAX LLC - W5 US BANK % BRIDGE TAX LLC-W5</t>
  </si>
  <si>
    <t>2011-1113</t>
  </si>
  <si>
    <t>22-2N-25-1460-0004-0000</t>
  </si>
  <si>
    <t>45176 AMERICAN DREAM DR</t>
  </si>
  <si>
    <t>TOY GEORGETTE C</t>
  </si>
  <si>
    <t>TOY STANLEY R</t>
  </si>
  <si>
    <t>LOT 4 IN OR 1280/1197 NORTH DEERWOOD EST PB 6/173</t>
  </si>
  <si>
    <t>2014-830</t>
  </si>
  <si>
    <t>22-2N-25-1460-0005-0000</t>
  </si>
  <si>
    <t>45196 AMERICAN DREAM DR</t>
  </si>
  <si>
    <t>U Y PROPERTIES LLC</t>
  </si>
  <si>
    <t>LOT 5 PT OR 1634/724 NORTH DEERWOOD EST PB 6/173</t>
  </si>
  <si>
    <t>2015-809</t>
  </si>
  <si>
    <t>ROGER BAUGH</t>
  </si>
  <si>
    <t>2014-831</t>
  </si>
  <si>
    <t>22-2N-25-1460-0010-0000</t>
  </si>
  <si>
    <t>45338 AMERICAN DREAM DR</t>
  </si>
  <si>
    <t>TOY RYAN J</t>
  </si>
  <si>
    <t>180 BOX TREE CT</t>
  </si>
  <si>
    <t>LOT 10 IN OR 1093/983 NORTH DEERWOOD EST PB 6/173</t>
  </si>
  <si>
    <t>2014-832</t>
  </si>
  <si>
    <t>2013-880</t>
  </si>
  <si>
    <t>2012-1460</t>
  </si>
  <si>
    <t>2011-1114</t>
  </si>
  <si>
    <t>22-2N-25-1460-0020-0000</t>
  </si>
  <si>
    <t>45361 AMERICAN DREAM DR</t>
  </si>
  <si>
    <t>TOY CAROLYN GEORGETTE</t>
  </si>
  <si>
    <t>ANDERSON BILLIE J</t>
  </si>
  <si>
    <t>LOT 20 IN OR 1650/1877 NORTH DEERWOOD EST PB 6/173</t>
  </si>
  <si>
    <t>2014-833</t>
  </si>
  <si>
    <t>25-2N-25-0000-0001-0100</t>
  </si>
  <si>
    <t>BISMARK</t>
  </si>
  <si>
    <t>45979 BISMARK RD</t>
  </si>
  <si>
    <t>PIPPIN PERRY J</t>
  </si>
  <si>
    <t>PIPPIN SHERYL S</t>
  </si>
  <si>
    <t>25-02N-25E</t>
  </si>
  <si>
    <t>IN OR 1546/67</t>
  </si>
  <si>
    <t>26-2N-25-0000-0001-0200</t>
  </si>
  <si>
    <t>BEAR RUN</t>
  </si>
  <si>
    <t>55798 BEAR RUN RD</t>
  </si>
  <si>
    <t>JONES RICHARD A</t>
  </si>
  <si>
    <t>JONES GAYLA S</t>
  </si>
  <si>
    <t>26-02N-25E</t>
  </si>
  <si>
    <t>IN OR 1224/458 PARCEL 1-20 &amp; TRACT A OF GREEN ACRES PB6/261</t>
  </si>
  <si>
    <t>26-2N-25-0672-0001-0000</t>
  </si>
  <si>
    <t>BEAR RUN RD</t>
  </si>
  <si>
    <t>GREEN RANDALL B</t>
  </si>
  <si>
    <t>54137 CHURCH RD</t>
  </si>
  <si>
    <t>LOT 1 GREEN ACRES PB 6/261</t>
  </si>
  <si>
    <t>2015-813</t>
  </si>
  <si>
    <t>2014-836</t>
  </si>
  <si>
    <t>2014-2606</t>
  </si>
  <si>
    <t>2012-1676</t>
  </si>
  <si>
    <t>2011-1117</t>
  </si>
  <si>
    <t>27-2N-25-0000-0004-0280</t>
  </si>
  <si>
    <t>MARSH</t>
  </si>
  <si>
    <t>54593 MARSH RD</t>
  </si>
  <si>
    <t>WALKER GEORGE T</t>
  </si>
  <si>
    <t>WALKER JOYCE E</t>
  </si>
  <si>
    <t>27-02N-25E</t>
  </si>
  <si>
    <t>IN OR 892/575 R673141 &amp; R673142</t>
  </si>
  <si>
    <t>27-2N-25-0000-0004-0300</t>
  </si>
  <si>
    <t>54481 MARSH RD</t>
  </si>
  <si>
    <t>RAY RICHARD C</t>
  </si>
  <si>
    <t>IN OR 818/1013 &amp; OR 1429/1966 R672485 &amp; R672486</t>
  </si>
  <si>
    <t>2017-789</t>
  </si>
  <si>
    <t>27-2N-25-0000-0005-0050</t>
  </si>
  <si>
    <t>54388 MARSH RD</t>
  </si>
  <si>
    <t>SCARBOROUGH GLENDA L</t>
  </si>
  <si>
    <t>PT OF GOVT LOTS 4 &amp; 5 IN OR 1716/1322 EX 5-8 ESMT IN OR 409/25</t>
  </si>
  <si>
    <t>27-2N-25-8600-0003-0000</t>
  </si>
  <si>
    <t>PEACEFUL TRAIL</t>
  </si>
  <si>
    <t>55138 PEACEFUL TRAIL DR</t>
  </si>
  <si>
    <t>PARKERSON RHETT P</t>
  </si>
  <si>
    <t>PARKERSON TANYA D</t>
  </si>
  <si>
    <t>THE TRAILS</t>
  </si>
  <si>
    <t>LOT 3 IN OR 1257/829 THE TRAILS PB 6/296</t>
  </si>
  <si>
    <t>2017-790</t>
  </si>
  <si>
    <t>F202945</t>
  </si>
  <si>
    <t>2016-799</t>
  </si>
  <si>
    <t>ECRU LLC H3C9D8LS5</t>
  </si>
  <si>
    <t>2014-840</t>
  </si>
  <si>
    <t>2013-886</t>
  </si>
  <si>
    <t>2012-1695</t>
  </si>
  <si>
    <t>ATCF II DELAWARE MASTER LLC - CAPITAL ONE NA AS COLLATERAL A</t>
  </si>
  <si>
    <t>2011-1121</t>
  </si>
  <si>
    <t>28-2N-25-0150-0005-0000</t>
  </si>
  <si>
    <t>45229 BISMARK RD</t>
  </si>
  <si>
    <t>CONNER CHAD DANIEL</t>
  </si>
  <si>
    <t>28-02N-25E</t>
  </si>
  <si>
    <t>LOT 5 IN OR 1840/537 1989 SAND SW/MH</t>
  </si>
  <si>
    <t>28-2N-25-3060-0002-0010</t>
  </si>
  <si>
    <t>KILPATRICK</t>
  </si>
  <si>
    <t>45116 KILPATRICK RD</t>
  </si>
  <si>
    <t>GARNER SCOTT E</t>
  </si>
  <si>
    <t>45029 KILPATRICK RD</t>
  </si>
  <si>
    <t>EAST CALLAHAN SUB</t>
  </si>
  <si>
    <t>PT OF LOT 2 (S-1) IN OR 1996/1625 EAST CALLAHAN SUB PB 1/35</t>
  </si>
  <si>
    <t>2017-792</t>
  </si>
  <si>
    <t>RAPTY TRUST SERIES 8478</t>
  </si>
  <si>
    <t>2016-801</t>
  </si>
  <si>
    <t>RAPTY TRUST SERIES 38064</t>
  </si>
  <si>
    <t>2015-817</t>
  </si>
  <si>
    <t>UTJ - 206494 - BAL HARBOUR ENTITY US BANK CUST FOR PFS FINANCIAL 2 LLC</t>
  </si>
  <si>
    <t>2014-842</t>
  </si>
  <si>
    <t>2013-889</t>
  </si>
  <si>
    <t>28-2N-25-3060-0003-0000</t>
  </si>
  <si>
    <t>SNICKERS TL</t>
  </si>
  <si>
    <t>45113 SNICKERS TL</t>
  </si>
  <si>
    <t>LOTS 3 4 &amp; 63 &amp; PT OF 61 &amp; 62 &amp; 30 FT OF ESMT IN OR 1069/1448</t>
  </si>
  <si>
    <t>2017-793</t>
  </si>
  <si>
    <t>BENNU LLC LYACQE8R</t>
  </si>
  <si>
    <t>2014-843</t>
  </si>
  <si>
    <t>2013-890</t>
  </si>
  <si>
    <t>2012-1754</t>
  </si>
  <si>
    <t>2011-1124</t>
  </si>
  <si>
    <t>28-2N-25-3060-0007-0010</t>
  </si>
  <si>
    <t>45151 KILPATRICK RD</t>
  </si>
  <si>
    <t>LUCAS MARY T</t>
  </si>
  <si>
    <t>PT OF LOT 7 (S-1) L/E PT OR 1001/1969 EAST CALLAHAN SUB PB 1/35</t>
  </si>
  <si>
    <t>2017-794</t>
  </si>
  <si>
    <t>PORK CHOP SANDWICHES UEKCAZ</t>
  </si>
  <si>
    <t>28-2N-25-3060-0010-0010</t>
  </si>
  <si>
    <t>45228 BISMARK RD</t>
  </si>
  <si>
    <t>SMITH MONICA LINETTE</t>
  </si>
  <si>
    <t>PT OF LOT 10 &amp; 27 S-1 IN OR 732 PG 626 EX S-9 OF LOT 10</t>
  </si>
  <si>
    <t>2017-795</t>
  </si>
  <si>
    <t>KATHMAN CERT 545 LLC</t>
  </si>
  <si>
    <t>28-2N-25-3060-0012-0010</t>
  </si>
  <si>
    <t>REVERE</t>
  </si>
  <si>
    <t>45001 REVERE ST</t>
  </si>
  <si>
    <t>FRALICK MARTHA A</t>
  </si>
  <si>
    <t>PT OF LOT 12 &amp; 25 (S1) IN OR 758/1792 EAST CALLAHAN SUB PB 1/35</t>
  </si>
  <si>
    <t>28-2N-25-3060-0012-0050</t>
  </si>
  <si>
    <t>QUIP</t>
  </si>
  <si>
    <t>QUIP CT</t>
  </si>
  <si>
    <t>CRAY PRIMULA H</t>
  </si>
  <si>
    <t>PO BOX 5031</t>
  </si>
  <si>
    <t>PT OF LOTS 12 &amp; 13 IN OR 801 PG 1939 EAST CALLAHAN SUB PB 1/35</t>
  </si>
  <si>
    <t>2017-796</t>
  </si>
  <si>
    <t>2011-1127</t>
  </si>
  <si>
    <t>28-2N-25-3060-0017-0000</t>
  </si>
  <si>
    <t>HEMMINGWAY</t>
  </si>
  <si>
    <t>45018 HEMMINGWAY LN</t>
  </si>
  <si>
    <t>FOX J LEE</t>
  </si>
  <si>
    <t>S 939 FT OF LOT 17 IN OR 497 PG 411 R 107333 &amp; R 107334</t>
  </si>
  <si>
    <t>2017-797</t>
  </si>
  <si>
    <t>BRITHBE 349K LLC</t>
  </si>
  <si>
    <t>2012-1756</t>
  </si>
  <si>
    <t>2011-1128</t>
  </si>
  <si>
    <t>28-2N-25-3060-0025-0020</t>
  </si>
  <si>
    <t>45030 REVERE ST</t>
  </si>
  <si>
    <t>FISHER MARGARET SUE</t>
  </si>
  <si>
    <t>45030 REVEM ST</t>
  </si>
  <si>
    <t>PT OF LOT 25 IN OR 2049/1734 EX S-1 &amp; S-3 OF</t>
  </si>
  <si>
    <t>2017-798</t>
  </si>
  <si>
    <t>ECRU LLC RY245BC3</t>
  </si>
  <si>
    <t>2012-1758</t>
  </si>
  <si>
    <t>KML CAPITAL LLC A40 AND SUNSHI</t>
  </si>
  <si>
    <t>28-2N-25-3060-0033-0050</t>
  </si>
  <si>
    <t>CIRCLE</t>
  </si>
  <si>
    <t>CIRCLE DR</t>
  </si>
  <si>
    <t>ANDERSON KIMBERLY</t>
  </si>
  <si>
    <t>872 S BRETT ST</t>
  </si>
  <si>
    <t>CRESTVIEW FL</t>
  </si>
  <si>
    <t>EAST CALLAHAN</t>
  </si>
  <si>
    <t>PT OF LOT 33 IN OR 896/1570 EAST CALLAHAN PB 1/35</t>
  </si>
  <si>
    <t>2017-799</t>
  </si>
  <si>
    <t>2016-802</t>
  </si>
  <si>
    <t>BENNU LLC JY14Q5A5A</t>
  </si>
  <si>
    <t>2012-1759</t>
  </si>
  <si>
    <t>2011-1130</t>
  </si>
  <si>
    <t>28-2N-25-3060-0047-0030</t>
  </si>
  <si>
    <t>STRATTON</t>
  </si>
  <si>
    <t>45164 STRATTON RD</t>
  </si>
  <si>
    <t>HODGES ROGER L</t>
  </si>
  <si>
    <t>HODGES ANGELA K</t>
  </si>
  <si>
    <t>47-02N-25E</t>
  </si>
  <si>
    <t>S-3 &amp; S-5 OF LOT 47 IN OR 1311/1386 EAST CALLAHAN SUB PB 1/35</t>
  </si>
  <si>
    <t>2017-800</t>
  </si>
  <si>
    <t>F122092</t>
  </si>
  <si>
    <t>2016-804</t>
  </si>
  <si>
    <t>HOSSET LLC O7613 SERIES</t>
  </si>
  <si>
    <t>2015-818</t>
  </si>
  <si>
    <t>SECRETARIAT RESOURCES LLC SERIES A003903</t>
  </si>
  <si>
    <t>2014-846</t>
  </si>
  <si>
    <t>2013-892</t>
  </si>
  <si>
    <t>2012-1760</t>
  </si>
  <si>
    <t>US BANK CUST BISBEE LLC H171FC</t>
  </si>
  <si>
    <t>2011-1131</t>
  </si>
  <si>
    <t>29-2N-25-0000-0005-0000</t>
  </si>
  <si>
    <t>DORMAN</t>
  </si>
  <si>
    <t>45200 DORMAN PL</t>
  </si>
  <si>
    <t>MIZELL CARRIE D</t>
  </si>
  <si>
    <t>29-02N-25E</t>
  </si>
  <si>
    <t>PT GOVT LOT 1 SEC 29-2N-25E &amp; PT PEDRO PONS GRANT SEC 47-2N-25E PAR 5 IN</t>
  </si>
  <si>
    <t>2017-801</t>
  </si>
  <si>
    <t>SPOKANE LLC SERIES A002875</t>
  </si>
  <si>
    <t>29-2N-25-0000-0012-0000</t>
  </si>
  <si>
    <t>450047 SR 200</t>
  </si>
  <si>
    <t>BENNETT JUDSON B</t>
  </si>
  <si>
    <t>BURNS ANDREW L</t>
  </si>
  <si>
    <t>10562 NEW KINGS RD</t>
  </si>
  <si>
    <t>PT NW1/4 OF SEC 29-2N-25E IN OR 1056/1865 (EX R/W CASE# 99-1163-CA)</t>
  </si>
  <si>
    <t>29-2N-25-0000-0016-0010</t>
  </si>
  <si>
    <t>DRAGONFLY</t>
  </si>
  <si>
    <t>45063 DRAGONFLY WAY</t>
  </si>
  <si>
    <t>PT OF NW1/4 OF SEC 29-2N-25E IN OR 1210/1075 {R278350}</t>
  </si>
  <si>
    <t>AE</t>
  </si>
  <si>
    <t>12089C_1114</t>
  </si>
  <si>
    <t>2016-808</t>
  </si>
  <si>
    <t>2014-848</t>
  </si>
  <si>
    <t>29-2N-25-0000-0016-0100</t>
  </si>
  <si>
    <t>45065 DRAGONFLY WAY</t>
  </si>
  <si>
    <t>PT OF NW1/4 OF SEC 29-2N-25E IN OR 958/15</t>
  </si>
  <si>
    <t>2016-809</t>
  </si>
  <si>
    <t>TORO2436</t>
  </si>
  <si>
    <t>2014-856</t>
  </si>
  <si>
    <t>29-2N-25-0000-0026-0000</t>
  </si>
  <si>
    <t>DR MARTIN LUTHER KING JR</t>
  </si>
  <si>
    <t>618291 DR MARTIN LUTHER KING JR AVE</t>
  </si>
  <si>
    <t>SIMMONS JACQUELINE</t>
  </si>
  <si>
    <t>BROWN RUTHIE MAE</t>
  </si>
  <si>
    <t>618291 MARTIN LUTHER KING AVE</t>
  </si>
  <si>
    <t>IN OR 1852/1193</t>
  </si>
  <si>
    <t>2017-803</t>
  </si>
  <si>
    <t>KINGFISHER KEY TAX AGVZ LLC</t>
  </si>
  <si>
    <t>2015-820</t>
  </si>
  <si>
    <t>CLEMENTINE DOLPHIN AFSN LLC</t>
  </si>
  <si>
    <t>29-2N-25-3120-0009-0000</t>
  </si>
  <si>
    <t>GREEN</t>
  </si>
  <si>
    <t>45321 GREEN AVE</t>
  </si>
  <si>
    <t>G &amp; H LAND DEVELOPMENT LLC</t>
  </si>
  <si>
    <t>BOOTH SURVEY</t>
  </si>
  <si>
    <t>BLOCK 1 PT OF LOTS 4 &amp; 5 S-9 IN OR 1327/201 BOOTH SURVEY PB 1/29</t>
  </si>
  <si>
    <t>2016-817</t>
  </si>
  <si>
    <t>BETA BLOCK - CCTS FLOR 121251 US BANK CUST FOR PFS FINANCIAL 2 LLC</t>
  </si>
  <si>
    <t>2015-826</t>
  </si>
  <si>
    <t>JSHERPA LLC AND J FLOY LLC PARTNERSHIP 1317</t>
  </si>
  <si>
    <t>2014-864</t>
  </si>
  <si>
    <t>2013-905</t>
  </si>
  <si>
    <t>2012-1785</t>
  </si>
  <si>
    <t>29-2N-25-3120-0012-0000</t>
  </si>
  <si>
    <t>45367 GREEN AVE</t>
  </si>
  <si>
    <t>BRADDOCK DALE P</t>
  </si>
  <si>
    <t>BRADDOCK CAROL E</t>
  </si>
  <si>
    <t>PO BOX 511</t>
  </si>
  <si>
    <t>Private schools and colleges</t>
  </si>
  <si>
    <t>Parochial School Private School</t>
  </si>
  <si>
    <t>BLK 1 PT LOT 5 IN OR 349/445 JEHU BOOTHE SURVEY PBK 1/29</t>
  </si>
  <si>
    <t>2016-819</t>
  </si>
  <si>
    <t>KEYS FUNDING LLC - 6075 A6</t>
  </si>
  <si>
    <t>2015-828</t>
  </si>
  <si>
    <t>RUDY427</t>
  </si>
  <si>
    <t>2013-907</t>
  </si>
  <si>
    <t>2012-1787</t>
  </si>
  <si>
    <t>2011-1145</t>
  </si>
  <si>
    <t>29-2N-25-3120-0013-0000</t>
  </si>
  <si>
    <t>45383 GREEN AVE</t>
  </si>
  <si>
    <t>BLK 1 PT LOTS 5 &amp; 6 IN OR 1516/1704 JEHU BOOTHE SURVEY PBK 1/29</t>
  </si>
  <si>
    <t>2017-809</t>
  </si>
  <si>
    <t>ECRU LLC HM7APAB</t>
  </si>
  <si>
    <t>29-2N-25-3120-0070-0000</t>
  </si>
  <si>
    <t>45125 SECOND AVE</t>
  </si>
  <si>
    <t>JONES ALLEN LAMARR</t>
  </si>
  <si>
    <t>619 CARRACK DR</t>
  </si>
  <si>
    <t>SAINT MARYS GA</t>
  </si>
  <si>
    <t>BLOCK 23 PT OF LOTS 6 &amp; 7 IN OR 1594/282 &amp; OR 1594/284 J M DANCY SURVEY</t>
  </si>
  <si>
    <t>29-2N-25-3160-0002-0064</t>
  </si>
  <si>
    <t>BOOTH</t>
  </si>
  <si>
    <t>45300 BOOTH ST</t>
  </si>
  <si>
    <t>EMMI NANCY E</t>
  </si>
  <si>
    <t>BLK 2 PT OF LOT 6 IN OR 1879/856 E H BRADDOCKS ADDITION</t>
  </si>
  <si>
    <t>2017-812</t>
  </si>
  <si>
    <t>KINGFISHER KEY TAX AIID LLC</t>
  </si>
  <si>
    <t>2016-821</t>
  </si>
  <si>
    <t>SETPER LLC O13057 SERIES</t>
  </si>
  <si>
    <t>2015-833</t>
  </si>
  <si>
    <t>KETI TAX INV 758 LLC</t>
  </si>
  <si>
    <t>29-2N-25-3200-0003-0010</t>
  </si>
  <si>
    <t>MICKLER</t>
  </si>
  <si>
    <t>BELL RONALD WAYNE</t>
  </si>
  <si>
    <t>BELL BRENDA D</t>
  </si>
  <si>
    <t>LAKESIDE PARK</t>
  </si>
  <si>
    <t>BLOCK 3 LOTS 1 &amp; 2 IN OR 477 PG 249 LAKESIDE PARK SUB PB 0/36</t>
  </si>
  <si>
    <t>2017-814</t>
  </si>
  <si>
    <t>BRIDGE TAX LLC - 1094 A18</t>
  </si>
  <si>
    <t>2016-823</t>
  </si>
  <si>
    <t>SLINGSHOT FUNDING LLC SERIES 36680</t>
  </si>
  <si>
    <t>2015-837</t>
  </si>
  <si>
    <t>WGC - 267738 - JENNINGS EIGHTEEN PERCENT US BANK CUST FOR PFS FINANCIAL 1</t>
  </si>
  <si>
    <t>2014-875</t>
  </si>
  <si>
    <t>2013-913</t>
  </si>
  <si>
    <t>2012-1793</t>
  </si>
  <si>
    <t>2011-1154</t>
  </si>
  <si>
    <t>MATTHEW MLEKUSH</t>
  </si>
  <si>
    <t>29-2N-25-3200-0003-0030</t>
  </si>
  <si>
    <t>PUMPKIN</t>
  </si>
  <si>
    <t>45030 PUMPKIN CT</t>
  </si>
  <si>
    <t>BLOCK 3 LOTS 3 &amp; 6 PT OR 381 PG 500 (BY WILL) LAKESIDE PARK SUB PB 0/36</t>
  </si>
  <si>
    <t>2017-815</t>
  </si>
  <si>
    <t>SAURAHA RATU 44 LLC</t>
  </si>
  <si>
    <t>2014-876</t>
  </si>
  <si>
    <t>2013-914</t>
  </si>
  <si>
    <t>2012-1794</t>
  </si>
  <si>
    <t>US BANK CUST BISBEE LLC H17205</t>
  </si>
  <si>
    <t>2011-1155</t>
  </si>
  <si>
    <t>29-2N-25-3200-0003-0040</t>
  </si>
  <si>
    <t>45025 PUMPKIN CT</t>
  </si>
  <si>
    <t>BLOCK 3 LOTS 4 &amp; 5 IN OR 128 PG 392 LAKESIDE PARK SUB PB 0/36</t>
  </si>
  <si>
    <t>2015-838</t>
  </si>
  <si>
    <t>ECRU LLC R43BAJ</t>
  </si>
  <si>
    <t>2014-877</t>
  </si>
  <si>
    <t>2013-915</t>
  </si>
  <si>
    <t>2012-1795</t>
  </si>
  <si>
    <t>2011-1156</t>
  </si>
  <si>
    <t>29-2N-25-3220-0003-0021</t>
  </si>
  <si>
    <t>45127 BOOTH ST</t>
  </si>
  <si>
    <t>MCGRATH DONNA</t>
  </si>
  <si>
    <t>PO BOX 1962</t>
  </si>
  <si>
    <t>BLOCK 3 PT OF LOT 2 (S-1) IN OR 1759/1552 WILSON &amp; OGILVIE SUB DB B9/500</t>
  </si>
  <si>
    <t>2017-816</t>
  </si>
  <si>
    <t>HOSSET LLC O141082 SERIES</t>
  </si>
  <si>
    <t>2016-825</t>
  </si>
  <si>
    <t>FLOR - GROUP OMICRON 115279 US BANK CUST FOR PFS FINANCIAL 2 LLC</t>
  </si>
  <si>
    <t>2015-840</t>
  </si>
  <si>
    <t>SUTTON INVESTMENT47759</t>
  </si>
  <si>
    <t>29-2N-25-3220-0003-0046</t>
  </si>
  <si>
    <t>45110 THIRD AVE</t>
  </si>
  <si>
    <t>BUILDING BLOCKS ACADEMY LLC</t>
  </si>
  <si>
    <t>PO BOX 2221</t>
  </si>
  <si>
    <t>BLOCK 3 PT OF LOTS 4 &amp; 5 IN OR 785 PG 1886 WILSON &amp; OGILVIE SUB DB B9/500</t>
  </si>
  <si>
    <t>29-2N-25-3220-0003-0052</t>
  </si>
  <si>
    <t>45098 THIRD AVE</t>
  </si>
  <si>
    <t>BLOCK 3 PT OF LOT 5 IN OR 1450/1666 WILSON &amp; OGILVIE SUB DB B9/500</t>
  </si>
  <si>
    <t>2017-817</t>
  </si>
  <si>
    <t>BENNU LLC JHA1FDB5Y</t>
  </si>
  <si>
    <t>2014-882</t>
  </si>
  <si>
    <t>2013-920</t>
  </si>
  <si>
    <t>2012-1800</t>
  </si>
  <si>
    <t>29-2N-25-3220-0003-0053</t>
  </si>
  <si>
    <t>45096 THIRD AV</t>
  </si>
  <si>
    <t>FHA</t>
  </si>
  <si>
    <t>BLOCK 3 PT OF LOT 5 TOWNHOUSE IN OR 1503/1224 WILSON &amp; OGILVIE SUB DB B9/500</t>
  </si>
  <si>
    <t>2017-818</t>
  </si>
  <si>
    <t>BENNU LLC JHA202B1Y</t>
  </si>
  <si>
    <t>2014-883</t>
  </si>
  <si>
    <t>2013-921</t>
  </si>
  <si>
    <t>2012-1801</t>
  </si>
  <si>
    <t>29-2N-25-3220-0003-0054</t>
  </si>
  <si>
    <t>45102 THIRD AV</t>
  </si>
  <si>
    <t>BLOCK 3 PT OF LOT 5 IN OR 1503/1215 WILSON &amp; OGILVIE SUB DB B9/500</t>
  </si>
  <si>
    <t>2017-819</t>
  </si>
  <si>
    <t>RAPTY TRUST SERIES 24750</t>
  </si>
  <si>
    <t>2014-884</t>
  </si>
  <si>
    <t>2013-922</t>
  </si>
  <si>
    <t>2012-1802</t>
  </si>
  <si>
    <t>30-2N-25-0000-0001-0020</t>
  </si>
  <si>
    <t>30-02N-25E</t>
  </si>
  <si>
    <t>PT E1/2 OF NE1/4 PT OR 1385/758 PAR 1-2 LYING EAST OF RR R/W</t>
  </si>
  <si>
    <t>12089C_518</t>
  </si>
  <si>
    <t>2016-826</t>
  </si>
  <si>
    <t>SKYLER LLC O89543 SERIES</t>
  </si>
  <si>
    <t>2015-841</t>
  </si>
  <si>
    <t>FL - CCTS CAP 107832 US BANK CUST FOR PFS FINANCIAL 2 LLC</t>
  </si>
  <si>
    <t>2014-885</t>
  </si>
  <si>
    <t>2013-923</t>
  </si>
  <si>
    <t>2012-1819</t>
  </si>
  <si>
    <t>30-2N-25-0000-0001-0060</t>
  </si>
  <si>
    <t>PT E1/2 OF NE1/4 PT OR 1385/758 PARCELS 1-6 &amp; 37-1</t>
  </si>
  <si>
    <t>2016-829</t>
  </si>
  <si>
    <t>BISBEE LLC RY14A6D2</t>
  </si>
  <si>
    <t>2015-844</t>
  </si>
  <si>
    <t>ROK - 267200 - JENNINGS EIGHTEEN PERCENT US BANK CUST FOR PFS FINANCIAL 1</t>
  </si>
  <si>
    <t>2014-888</t>
  </si>
  <si>
    <t>2013-924</t>
  </si>
  <si>
    <t>2012-1822</t>
  </si>
  <si>
    <t>30-2N-25-0000-0003-0140</t>
  </si>
  <si>
    <t>OAK TR</t>
  </si>
  <si>
    <t>KELLY DAVID M &amp; KELLY KERSTI G (JT/RS)</t>
  </si>
  <si>
    <t>45200 OAK TRAIL</t>
  </si>
  <si>
    <t>PT NE1/4 OF SEC 30-2N-25E</t>
  </si>
  <si>
    <t>30-2N-25-0000-0009-0000</t>
  </si>
  <si>
    <t>BRANDIES</t>
  </si>
  <si>
    <t>617365 BRANDIES AV</t>
  </si>
  <si>
    <t>MCANINCH ELLIS L</t>
  </si>
  <si>
    <t>PO BOX 282</t>
  </si>
  <si>
    <t>L/E PT OR 893/229</t>
  </si>
  <si>
    <t>2016-830</t>
  </si>
  <si>
    <t>2015-846</t>
  </si>
  <si>
    <t>2014-889</t>
  </si>
  <si>
    <t>30-2N-25-0000-0016-0000</t>
  </si>
  <si>
    <t>CALLAHAN FUNERAL HOME INC</t>
  </si>
  <si>
    <t>Mortuaries cemeteries crematoriums</t>
  </si>
  <si>
    <t>Crematorium Mortuary (Exempt)</t>
  </si>
  <si>
    <t>A E OGILVIE ADDITION 2</t>
  </si>
  <si>
    <t>PARCEL 16 LOT 11 BLOCK 1 IN OR 1595/1247 A E OGILVIE ADDITION 2</t>
  </si>
  <si>
    <t>2017-821</t>
  </si>
  <si>
    <t>RAPTY TRUST SERIES 21533</t>
  </si>
  <si>
    <t>2016-831</t>
  </si>
  <si>
    <t>SKYLER LLC O29742 SERIES</t>
  </si>
  <si>
    <t>2015-847</t>
  </si>
  <si>
    <t>SONA CAPITAL90120</t>
  </si>
  <si>
    <t>2014-891</t>
  </si>
  <si>
    <t>2012-1824</t>
  </si>
  <si>
    <t>US BANK CUST BISBEE LLC H171F3</t>
  </si>
  <si>
    <t>30-2N-25-0000-0017-0000</t>
  </si>
  <si>
    <t>45276 MORGAN CIR</t>
  </si>
  <si>
    <t>MORGAN RUBY A</t>
  </si>
  <si>
    <t>IN OR 83 PG 144 (EX PARCELS 17-1 17-2 18 &amp; 19) EX 17-3</t>
  </si>
  <si>
    <t>2017-822</t>
  </si>
  <si>
    <t>MAKUJ 8821 LLC</t>
  </si>
  <si>
    <t>2016-833</t>
  </si>
  <si>
    <t>CCTS EPSILON GROUP 145668 US BANK CUST FOR PFS FINANCIAL 2 LLC</t>
  </si>
  <si>
    <t>2015-849</t>
  </si>
  <si>
    <t>HARIO 210B LLC</t>
  </si>
  <si>
    <t>2014-893</t>
  </si>
  <si>
    <t>2013-927</t>
  </si>
  <si>
    <t>2012-1825</t>
  </si>
  <si>
    <t>SNICKERS1 LLC</t>
  </si>
  <si>
    <t>2011-1165</t>
  </si>
  <si>
    <t>30-2N-25-0000-0033-0010</t>
  </si>
  <si>
    <t>PONY</t>
  </si>
  <si>
    <t>45100 PONY TRL</t>
  </si>
  <si>
    <t>PETTY DAWN L</t>
  </si>
  <si>
    <t>PETTY DAVID L</t>
  </si>
  <si>
    <t>8985 NORMANDY BLVD</t>
  </si>
  <si>
    <t>PT OF SE1/4 OF SEC 30-2N-25E IN OR 1983/178</t>
  </si>
  <si>
    <t>2017-823</t>
  </si>
  <si>
    <t>2016-834</t>
  </si>
  <si>
    <t>30-2N-25-0000-0037-0000</t>
  </si>
  <si>
    <t>PT E1/2 OF NE1/4 PT OR 1385/758 PAR 37(EX 37-1)</t>
  </si>
  <si>
    <t>2016-835</t>
  </si>
  <si>
    <t>ROUTE 7 LLC HL153D4</t>
  </si>
  <si>
    <t>2015-852</t>
  </si>
  <si>
    <t>2014-895</t>
  </si>
  <si>
    <t>2013-929</t>
  </si>
  <si>
    <t>2012-1827</t>
  </si>
  <si>
    <t>32-2N-25-0000-0002-0020</t>
  </si>
  <si>
    <t>WOODSIDE</t>
  </si>
  <si>
    <t>44087 WOODSIDE LN</t>
  </si>
  <si>
    <t>DELL DEBORAH H</t>
  </si>
  <si>
    <t>32-02N-25E</t>
  </si>
  <si>
    <t>PT GOVT LOT 1 IN OR 1567/869 (EX OR 18/139)</t>
  </si>
  <si>
    <t>32-2N-25-0000-0007-0000</t>
  </si>
  <si>
    <t>541703 US HWY 1</t>
  </si>
  <si>
    <t>WHIDDEN LOREN G</t>
  </si>
  <si>
    <t>541703 US HIGHWAY 1</t>
  </si>
  <si>
    <t>PT GOVT LOT 1 OF SEC 32-2N-25E IN OR 285/212 &amp; ESMT IN OR 290/693</t>
  </si>
  <si>
    <t>2017-826</t>
  </si>
  <si>
    <t>SUNSET TRACE 575 RENTING REO LLC</t>
  </si>
  <si>
    <t>2015-859</t>
  </si>
  <si>
    <t>BEDFORD ADVISORS 3</t>
  </si>
  <si>
    <t>2014-902</t>
  </si>
  <si>
    <t>2013-935</t>
  </si>
  <si>
    <t>32-2N-25-0000-0007-0010</t>
  </si>
  <si>
    <t>541763 US HWY 1</t>
  </si>
  <si>
    <t>DUEY-DODGE AMY LEGARE</t>
  </si>
  <si>
    <t>940272 OLD NASSAUVILLE RD</t>
  </si>
  <si>
    <t>PT GOVT LOT 1 OF SEC 32-2N-25E IN OR 1939/1231</t>
  </si>
  <si>
    <t>2017-827</t>
  </si>
  <si>
    <t>BISBEE LLC H34C2D33</t>
  </si>
  <si>
    <t>32-2N-25-0000-0009-0030</t>
  </si>
  <si>
    <t>541661 US HWY 1</t>
  </si>
  <si>
    <t>MASSIS GASSAN B</t>
  </si>
  <si>
    <t>7032 BONNIE BRAE LN</t>
  </si>
  <si>
    <t>PT GOVT LOT 1 &amp; PT OF SE1/4 OF SEC 32-2N-25E IN OR 1876/506</t>
  </si>
  <si>
    <t>2017-830</t>
  </si>
  <si>
    <t>PURNAMACHA 333 LLC</t>
  </si>
  <si>
    <t>2015-863</t>
  </si>
  <si>
    <t>B20651</t>
  </si>
  <si>
    <t>2014-906</t>
  </si>
  <si>
    <t>2012-1881</t>
  </si>
  <si>
    <t>2011-1176</t>
  </si>
  <si>
    <t>32-2N-25-019B-0041-0000</t>
  </si>
  <si>
    <t>MARY SAULS</t>
  </si>
  <si>
    <t>44401 MARY SAULS CIR</t>
  </si>
  <si>
    <t>ALLEN TRAVIS JOEL</t>
  </si>
  <si>
    <t>BRANCH CREEK</t>
  </si>
  <si>
    <t>LOT 41 IN OR 1589/437 BRANCH CREEK PB 7/343</t>
  </si>
  <si>
    <t>2016-841</t>
  </si>
  <si>
    <t>GAMALA LLC SERIES A016118</t>
  </si>
  <si>
    <t>2015-864</t>
  </si>
  <si>
    <t>XPY - 208508 - BASCOM NORTH US BANK CUST FOR PFS FINANCIAL 2 LLC</t>
  </si>
  <si>
    <t>2014-908</t>
  </si>
  <si>
    <t>2013-936</t>
  </si>
  <si>
    <t>2012-1882</t>
  </si>
  <si>
    <t>2011-1177</t>
  </si>
  <si>
    <t>32-2N-25-019B-0059-0000</t>
  </si>
  <si>
    <t>ROBINWOOD</t>
  </si>
  <si>
    <t>46069 ROBINWOOD TRL</t>
  </si>
  <si>
    <t>GREENE KENNETH LEE</t>
  </si>
  <si>
    <t>LOT 59 PT OR 1739/377 BRANCH CREEK PB 7/343</t>
  </si>
  <si>
    <t>2013-937</t>
  </si>
  <si>
    <t>32-2N-25-019B-0060-0000</t>
  </si>
  <si>
    <t>46051 ROBINWOOD TRL</t>
  </si>
  <si>
    <t>PO BOX 544</t>
  </si>
  <si>
    <t>LOT 60 IN OR 1713/343 BRANCH CREEK PB 7/343</t>
  </si>
  <si>
    <t>2013-938</t>
  </si>
  <si>
    <t>32-2N-25-019B-0061-0000</t>
  </si>
  <si>
    <t>46033 ROBINWOOD TRL</t>
  </si>
  <si>
    <t>LOT 61 PT OR 1739/377 BRANCH CREEK PB 7/343</t>
  </si>
  <si>
    <t>2013-939</t>
  </si>
  <si>
    <t>32-2N-25-2920-0002-0020</t>
  </si>
  <si>
    <t>PICKETT</t>
  </si>
  <si>
    <t>PICKETT ST</t>
  </si>
  <si>
    <t>NEWCOMB ETHEL S</t>
  </si>
  <si>
    <t>7590 N DESERT TREE DR</t>
  </si>
  <si>
    <t>TUCSON AZ</t>
  </si>
  <si>
    <t>BLOCK 2 LOT 2 ESMT PT OR 1861/825 NEWCOMB SUB-SOUTH CALLAHAN</t>
  </si>
  <si>
    <t>2017-831</t>
  </si>
  <si>
    <t>2016-842</t>
  </si>
  <si>
    <t>2015-865</t>
  </si>
  <si>
    <t>2014-909</t>
  </si>
  <si>
    <t>2013-941</t>
  </si>
  <si>
    <t>2012-1883</t>
  </si>
  <si>
    <t>32-2N-25-2920-0002-0061</t>
  </si>
  <si>
    <t>NASSAU</t>
  </si>
  <si>
    <t>44186 NASSAU AVE</t>
  </si>
  <si>
    <t>SHAW GLORIA &amp; CARTER JERALD &amp; CARTER TIFTON</t>
  </si>
  <si>
    <t>5287 OTTER LN</t>
  </si>
  <si>
    <t>BLOCK 2 LOT PT OF 6 (S-1) R278180 CASE #12-CP-184 OR 1860/173</t>
  </si>
  <si>
    <t>2016-844</t>
  </si>
  <si>
    <t>32-2N-25-2920-0002-0067</t>
  </si>
  <si>
    <t>COMMANCHEE</t>
  </si>
  <si>
    <t>44427 COMMANCHEE RD</t>
  </si>
  <si>
    <t>GODWIN JR DAVID ANTHONY</t>
  </si>
  <si>
    <t>BLOCK 2 PT OF LOT 6 IN OR 1002/1186 &amp; OR 2046/103 NEWCOMB SUB-SOUTH CALLAHAN</t>
  </si>
  <si>
    <t>2017-833</t>
  </si>
  <si>
    <t>2014-911</t>
  </si>
  <si>
    <t>32-2N-25-2920-0002-0610</t>
  </si>
  <si>
    <t>44385 COMMANCHEE RD</t>
  </si>
  <si>
    <t>SLAY RILEY JR</t>
  </si>
  <si>
    <t>PO BOX 369</t>
  </si>
  <si>
    <t>SOUTH CALLAHAN</t>
  </si>
  <si>
    <t>BLOCK 2 PT OF LOT 6 (S-10) IN OR 1506/1784 NEWCOMB SUB SOUTH CALLAHAN</t>
  </si>
  <si>
    <t>2017-835</t>
  </si>
  <si>
    <t>2016-846</t>
  </si>
  <si>
    <t>2015-869</t>
  </si>
  <si>
    <t>2014-913</t>
  </si>
  <si>
    <t>32-2N-25-2920-0003-0040</t>
  </si>
  <si>
    <t>COMMANCHEE RD</t>
  </si>
  <si>
    <t>BLOCK 3 LOTS 4 &amp; 5 &amp; W 14 FT OF 3 &amp; 6 PT OR 1883/289</t>
  </si>
  <si>
    <t>2017-836</t>
  </si>
  <si>
    <t>2016-847</t>
  </si>
  <si>
    <t>2015-870</t>
  </si>
  <si>
    <t>2014-914</t>
  </si>
  <si>
    <t>2013-943</t>
  </si>
  <si>
    <t>2012-1886</t>
  </si>
  <si>
    <t>2011-1181</t>
  </si>
  <si>
    <t>32-2N-25-2920-0003-0101</t>
  </si>
  <si>
    <t>LINDSEY</t>
  </si>
  <si>
    <t>44121 LINDSEY LN</t>
  </si>
  <si>
    <t>BECK STANLEY R</t>
  </si>
  <si>
    <t>BECK LINDA</t>
  </si>
  <si>
    <t>PICKETT RD</t>
  </si>
  <si>
    <t>BLOCK 3 PT LOTS 10 &amp; 11 OR 697/1473-1477 ESMT OR 357/497 &amp; 498</t>
  </si>
  <si>
    <t>2017-842</t>
  </si>
  <si>
    <t>GREBE WALK CERTS 1024 LLC</t>
  </si>
  <si>
    <t>2016-851</t>
  </si>
  <si>
    <t>BENNU LLC LY25Q3A8R</t>
  </si>
  <si>
    <t>2015-874</t>
  </si>
  <si>
    <t>DDD177</t>
  </si>
  <si>
    <t>2014-918</t>
  </si>
  <si>
    <t>2013-947</t>
  </si>
  <si>
    <t>2012-1888</t>
  </si>
  <si>
    <t>2011-1182</t>
  </si>
  <si>
    <t>32-2N-25-4020-0004-0000</t>
  </si>
  <si>
    <t>MARY SAULS CIR</t>
  </si>
  <si>
    <t>KIMES DONDI CLINTON</t>
  </si>
  <si>
    <t>44265 CATTLE BEND LN</t>
  </si>
  <si>
    <t>PT LOT 4 PT OR 1407/1233 ESMT PT OR 887/844</t>
  </si>
  <si>
    <t>2014-919</t>
  </si>
  <si>
    <t>2013-948</t>
  </si>
  <si>
    <t>2013-2872</t>
  </si>
  <si>
    <t>2013-2892</t>
  </si>
  <si>
    <t>2013-2901</t>
  </si>
  <si>
    <t>32-2N-25-4020-0004-0020</t>
  </si>
  <si>
    <t>CATTLE BEND</t>
  </si>
  <si>
    <t>44354 CATTLE BEND DR</t>
  </si>
  <si>
    <t>ARNOLD CHRISTOPHER M</t>
  </si>
  <si>
    <t>44354 CATTLE BEND LN</t>
  </si>
  <si>
    <t>ANTHONY BRYANT LAND SUB</t>
  </si>
  <si>
    <t>PT LOT 4 PAR 4-2 PT OR 890/553 (EX IN OR 1748/1554 &amp; EX LOT 4 OF ANTHONY BRYANT LAND SUB</t>
  </si>
  <si>
    <t>32-2N-25-4020-0010-0020</t>
  </si>
  <si>
    <t>45775 PICKETT ST</t>
  </si>
  <si>
    <t>NOBLES JOHN</t>
  </si>
  <si>
    <t>NOBLES MARY</t>
  </si>
  <si>
    <t>45082 WEAVER CIR</t>
  </si>
  <si>
    <t>PT OF LOT 10 &amp; LOTS 13 &amp; 14 IN OR 2016/3 PICKETT ESTATES PB 2/27</t>
  </si>
  <si>
    <t>32-2N-25-5750-0008-0000</t>
  </si>
  <si>
    <t>LUCKY</t>
  </si>
  <si>
    <t>LUCKY LN</t>
  </si>
  <si>
    <t>ARNOLD KEITH</t>
  </si>
  <si>
    <t>ARNOLD TERESA</t>
  </si>
  <si>
    <t>PO BOX 84</t>
  </si>
  <si>
    <t>RAILROAD ESTATES</t>
  </si>
  <si>
    <t>LOT 8 IN OR 979/1958 RAILROAD ESTATES PB 6/118-119</t>
  </si>
  <si>
    <t>2015-878</t>
  </si>
  <si>
    <t>2014-922</t>
  </si>
  <si>
    <t>2013-951</t>
  </si>
  <si>
    <t>2012-1890</t>
  </si>
  <si>
    <t>2011-1185</t>
  </si>
  <si>
    <t>32-2N-25-5750-0009-0000</t>
  </si>
  <si>
    <t>44156 LUCKY LN</t>
  </si>
  <si>
    <t>LOT 9 IN OR 850/996 R787657 &amp; R787658</t>
  </si>
  <si>
    <t>2015-879</t>
  </si>
  <si>
    <t>TANGELO DOLPHIN 1261 LLC</t>
  </si>
  <si>
    <t>2014-923</t>
  </si>
  <si>
    <t>2013-952</t>
  </si>
  <si>
    <t>2012-1891</t>
  </si>
  <si>
    <t>2011-1186</t>
  </si>
  <si>
    <t>33-2N-25-0000-0002-0000</t>
  </si>
  <si>
    <t>541692 LEM TURNER RD</t>
  </si>
  <si>
    <t>33-02N-25E</t>
  </si>
  <si>
    <t>IN OR 851 PG 795 R787964 R787965 &amp; 92 DEST SW</t>
  </si>
  <si>
    <t>2016-858</t>
  </si>
  <si>
    <t>SETPER LLC O15626 SERIES</t>
  </si>
  <si>
    <t>33-2N-25-0000-0015-0190</t>
  </si>
  <si>
    <t>REBECCA</t>
  </si>
  <si>
    <t>44208 REBECCA LN</t>
  </si>
  <si>
    <t>AGUILAR JOSE LUIS</t>
  </si>
  <si>
    <t>541801 LEM TURNER RD</t>
  </si>
  <si>
    <t>PT E1/2 OF SEC 33-2N-25E &amp; PT SE1/4 OF SEC 32-2N-25E IN OR 2008/1128 BEING PARCELS</t>
  </si>
  <si>
    <t>2017-849</t>
  </si>
  <si>
    <t>SKYLER LLC O88589 SERIES</t>
  </si>
  <si>
    <t>33-2N-25-0000-0015-0200</t>
  </si>
  <si>
    <t>DON CARTER PLUMBING INC</t>
  </si>
  <si>
    <t>PO BOX 735</t>
  </si>
  <si>
    <t>PT SW1/4 OF SEC 33-2N-25E IN OR 2012/1524 BEING EXHIBIT  C</t>
  </si>
  <si>
    <t>12089C_199</t>
  </si>
  <si>
    <t>2017-850</t>
  </si>
  <si>
    <t>BENNU LLC LY25Q570R</t>
  </si>
  <si>
    <t>2016-861</t>
  </si>
  <si>
    <t>2015-883</t>
  </si>
  <si>
    <t>2014-927</t>
  </si>
  <si>
    <t>2013-957</t>
  </si>
  <si>
    <t>2012-1995</t>
  </si>
  <si>
    <t>2011-1189</t>
  </si>
  <si>
    <t>34-2N-25-0000-0001-0090</t>
  </si>
  <si>
    <t>LEM TURNER RD</t>
  </si>
  <si>
    <t>TURNING LEAF HOMEOWNERS ASSOCIATION OF N</t>
  </si>
  <si>
    <t>11555 CENTRAL PKWY STE 801</t>
  </si>
  <si>
    <t>TURNING LEAF</t>
  </si>
  <si>
    <t>34-02N-25E</t>
  </si>
  <si>
    <t>IN OR 2040/1187 EX TURNING LEAF PB 7/275-279</t>
  </si>
  <si>
    <t>2017-852</t>
  </si>
  <si>
    <t>2016-862</t>
  </si>
  <si>
    <t>2013-963</t>
  </si>
  <si>
    <t>2012-2011</t>
  </si>
  <si>
    <t>2011-1193</t>
  </si>
  <si>
    <t>34-2N-25-0000-0008-0030</t>
  </si>
  <si>
    <t>WILBUR JONES</t>
  </si>
  <si>
    <t>54482 WILBUR JONES RD</t>
  </si>
  <si>
    <t>WHITLEY CHRISTY LEE</t>
  </si>
  <si>
    <t>IN OR 1354/1965 1998 REDMAN DW/MH</t>
  </si>
  <si>
    <t>2011-1195</t>
  </si>
  <si>
    <t>42-2N-25-0000-0013-0010</t>
  </si>
  <si>
    <t>G &amp; H LAND &amp; TIMBER INVESTMENTS LLC</t>
  </si>
  <si>
    <t>42-02N-25E</t>
  </si>
  <si>
    <t>PT FRANCIS WOODS DONATION SEC 42-2N-25E IN OR 1959/1629</t>
  </si>
  <si>
    <t>2017-854</t>
  </si>
  <si>
    <t>INDIAN RIVER 608 MANAGEMENT SERVICES LLC</t>
  </si>
  <si>
    <t>2016-864</t>
  </si>
  <si>
    <t>42-2N-25-0000-0013-0020</t>
  </si>
  <si>
    <t>GRESSMAN LINDA J</t>
  </si>
  <si>
    <t>GRESSMAN CHARLES L</t>
  </si>
  <si>
    <t>45142 GRESSMAN DAIRY RD</t>
  </si>
  <si>
    <t>PT FRANCIS WOODS DONATION SEC 42-2N-25E IN OR 1959/1632</t>
  </si>
  <si>
    <t>2017-855</t>
  </si>
  <si>
    <t>SETPER LLC O87496 SERIES</t>
  </si>
  <si>
    <t>2016-865</t>
  </si>
  <si>
    <t>ECRU LLC TS1A15F</t>
  </si>
  <si>
    <t>42-2N-25-0000-0015-0010</t>
  </si>
  <si>
    <t>ARMSTRONG R  H</t>
  </si>
  <si>
    <t>ARMSTRONG MARILYN</t>
  </si>
  <si>
    <t>450829 STATE ROAD 200</t>
  </si>
  <si>
    <t>PT FRANCIS WOODS DONATION SEC 42 PT OF ABDN RR R/W PT OR 511/830 (EX PT IN</t>
  </si>
  <si>
    <t>2014-934</t>
  </si>
  <si>
    <t>2012-2553</t>
  </si>
  <si>
    <t>THEREESE MADDOX NEW BEGINNING INVESTMENT PROP</t>
  </si>
  <si>
    <t>2011-1229</t>
  </si>
  <si>
    <t>42-2N-25-0000-0019-0010</t>
  </si>
  <si>
    <t>RICKS JOEY</t>
  </si>
  <si>
    <t>85535 KIRKLAND RD</t>
  </si>
  <si>
    <t>PT FRANCIS WOODS GRANT SEC 42-2N-25E IN OR 2057/1582 (EX DOT R/W IN OR 1001/1611 &amp;</t>
  </si>
  <si>
    <t>2017-857</t>
  </si>
  <si>
    <t>42-2N-25-0000-0019-0030</t>
  </si>
  <si>
    <t>450584 SR 200</t>
  </si>
  <si>
    <t>PHILLIPS CLINT</t>
  </si>
  <si>
    <t>23880 FLORA PARKE BLVD</t>
  </si>
  <si>
    <t>PT FRANCIS WOODS GRANT SEC 42-2N-25E IN OR 2039/1004</t>
  </si>
  <si>
    <t>42-2N-25-0000-0021-0000</t>
  </si>
  <si>
    <t>ZWEIFEL</t>
  </si>
  <si>
    <t>55060 ZWEIFEL RD</t>
  </si>
  <si>
    <t>HARTLEY JOSEPHINE M</t>
  </si>
  <si>
    <t>55060 ZWIEFEL RD</t>
  </si>
  <si>
    <t>S260 FT OF E223 FT R787334 &amp; R787335 IN OR 844 PG 1480</t>
  </si>
  <si>
    <t>46-2N-25-0000-0002-0030</t>
  </si>
  <si>
    <t>45958 BISMARK RD</t>
  </si>
  <si>
    <t>HUNT GRACE DIANE</t>
  </si>
  <si>
    <t>46-02N-25E</t>
  </si>
  <si>
    <t>IN OR 1035/834 1994 HOME DW</t>
  </si>
  <si>
    <t>2017-859</t>
  </si>
  <si>
    <t>MACHAPUCHARE AQOO LLC</t>
  </si>
  <si>
    <t>2014-937</t>
  </si>
  <si>
    <t>2013-971</t>
  </si>
  <si>
    <t>2012-2959</t>
  </si>
  <si>
    <t>2011-1233</t>
  </si>
  <si>
    <t>46-2N-25-0000-0014-0030</t>
  </si>
  <si>
    <t>OGILVIE</t>
  </si>
  <si>
    <t>54131 OGILVIE RD</t>
  </si>
  <si>
    <t>CARTER BRYANT STEVEN</t>
  </si>
  <si>
    <t>PT OF LOT 6 IN OR 803/1034 PARCELS 14-3 &amp; 15-6 2009 LIVE OAK DW/MH</t>
  </si>
  <si>
    <t>2017-860</t>
  </si>
  <si>
    <t>MIRACLE STRIP 491 HOLDINGS LLC</t>
  </si>
  <si>
    <t>2016-868</t>
  </si>
  <si>
    <t>2015-893</t>
  </si>
  <si>
    <t>2014-939</t>
  </si>
  <si>
    <t>2013-974</t>
  </si>
  <si>
    <t>2011-1234</t>
  </si>
  <si>
    <t>46-2N-25-0000-0017-0010</t>
  </si>
  <si>
    <t>54466 OGILVIE RD</t>
  </si>
  <si>
    <t>STRAWN STEPHANIE MUSGROVE</t>
  </si>
  <si>
    <t>25815 GIFT SHOP RD</t>
  </si>
  <si>
    <t>OPP AL</t>
  </si>
  <si>
    <t>PT OF LOT 6 IN OR 800 PG 1498</t>
  </si>
  <si>
    <t>2017-861</t>
  </si>
  <si>
    <t>ECRU LLC HM17FC8</t>
  </si>
  <si>
    <t>2016-869</t>
  </si>
  <si>
    <t>46-2N-25-0000-0020-0010</t>
  </si>
  <si>
    <t>54720 OGILVIE RD</t>
  </si>
  <si>
    <t>MILEY BEVERLY BAKER</t>
  </si>
  <si>
    <t>MILEY JR DELVIN H</t>
  </si>
  <si>
    <t>IN OR 552 PG 1071</t>
  </si>
  <si>
    <t>2017-862</t>
  </si>
  <si>
    <t>A24120</t>
  </si>
  <si>
    <t>2015-894</t>
  </si>
  <si>
    <t>ORANGE DOLPHINS TAGR LLC</t>
  </si>
  <si>
    <t>2014-940</t>
  </si>
  <si>
    <t>2011-1236</t>
  </si>
  <si>
    <t>46-2N-25-0240-0022-0000</t>
  </si>
  <si>
    <t>BAYLAND</t>
  </si>
  <si>
    <t>54096 BAYLAND DR</t>
  </si>
  <si>
    <t>GORE RICHARD R</t>
  </si>
  <si>
    <t>GORE JUDY C</t>
  </si>
  <si>
    <t>14590 DUVAL PL W</t>
  </si>
  <si>
    <t>CLEAR LAKE ESTATES</t>
  </si>
  <si>
    <t>LOT 22 PT OR 1753/771 CLEAR LAKE ESTATES #1 PB 7/346</t>
  </si>
  <si>
    <t>2017-863</t>
  </si>
  <si>
    <t>46-2N-25-197A-0003-0110</t>
  </si>
  <si>
    <t>DEER RUN</t>
  </si>
  <si>
    <t>55012 DEER RUN RD</t>
  </si>
  <si>
    <t>BRACKETT EDWARD C</t>
  </si>
  <si>
    <t>BRACKETT CORZETTA T</t>
  </si>
  <si>
    <t>SPRING LAKE EST #1</t>
  </si>
  <si>
    <t>BLOCK 3 LOT 11 IN OR 662 PG 1230 SPRING LAKE EST #1 PB 5/183</t>
  </si>
  <si>
    <t>46-2N-25-197B-0005-0050</t>
  </si>
  <si>
    <t>YELLOW JACKET</t>
  </si>
  <si>
    <t>55668 YELLOW JACKET DR</t>
  </si>
  <si>
    <t>LARSON GARY R</t>
  </si>
  <si>
    <t>BLOCK 5 LOT 5 IN OR 1695/1158 &amp; OR 1728/535 SPRING LAKE EST #2 PB 5/185</t>
  </si>
  <si>
    <t>46-2N-25-197B-0005-0060</t>
  </si>
  <si>
    <t>55690 YELLOW JACKET DR</t>
  </si>
  <si>
    <t>GREEN FERLANDIS F</t>
  </si>
  <si>
    <t>GREEN CHARLENE Y</t>
  </si>
  <si>
    <t>SPRING LAKE EST #2</t>
  </si>
  <si>
    <t>BLOCK 5 LOT 6 IN OR 1836/306 SPRING LAKE EST #2 PB 5/185</t>
  </si>
  <si>
    <t>2017-867</t>
  </si>
  <si>
    <t>SETPER LLC O20615 SERIES</t>
  </si>
  <si>
    <t>2016-872</t>
  </si>
  <si>
    <t>ECRU LLC R48BLJ</t>
  </si>
  <si>
    <t>2014-944</t>
  </si>
  <si>
    <t>46-2N-25-197D-0013-0020</t>
  </si>
  <si>
    <t>SPRING LAKE</t>
  </si>
  <si>
    <t>54651 SPRING LAKE DR</t>
  </si>
  <si>
    <t>SUBER CHRISTIE</t>
  </si>
  <si>
    <t>SUBER JEANNETTE</t>
  </si>
  <si>
    <t>BLOCK 13 LOT 2 IN OR 1443/1267 CONSERV ESMT PT OR 929/824</t>
  </si>
  <si>
    <t>46-2N-25-197D-0014-0170</t>
  </si>
  <si>
    <t>55016 BEAR RUN RD</t>
  </si>
  <si>
    <t>HIGHLINK LLC</t>
  </si>
  <si>
    <t>THE 55016 BEAR RUN RD LAND TRUST</t>
  </si>
  <si>
    <t>4745 SUTTON PARK CT STE 601</t>
  </si>
  <si>
    <t>BLOCK 14 LOT 17 IN OR 1460/1800 CONSERV ESMT PT OR 929/824</t>
  </si>
  <si>
    <t>46-2N-25-197D-0014-0330</t>
  </si>
  <si>
    <t>CUB</t>
  </si>
  <si>
    <t>55025 CUB CT</t>
  </si>
  <si>
    <t>WASHINGTON GEORGE III</t>
  </si>
  <si>
    <t>WASHINGTON CHELSEY</t>
  </si>
  <si>
    <t>2124 FAIRFAX ST</t>
  </si>
  <si>
    <t>BLOCK 14 LOT 33 PT OR 940/146 SPRING LAKE EST 4 REPLAT</t>
  </si>
  <si>
    <t>2017-870</t>
  </si>
  <si>
    <t>2016-874</t>
  </si>
  <si>
    <t>2015-898</t>
  </si>
  <si>
    <t>2013-982</t>
  </si>
  <si>
    <t>2012-2969</t>
  </si>
  <si>
    <t>2011-1246</t>
  </si>
  <si>
    <t>46-2N-25-197D-0014-0340</t>
  </si>
  <si>
    <t>55073 CUB CT</t>
  </si>
  <si>
    <t>BLOCK 14 LOT 34 PT OR 940/146 SPRING LAKE EST 4 REPLAT</t>
  </si>
  <si>
    <t>2017-871</t>
  </si>
  <si>
    <t>2016-875</t>
  </si>
  <si>
    <t>2015-899</t>
  </si>
  <si>
    <t>2013-983</t>
  </si>
  <si>
    <t>2012-2970</t>
  </si>
  <si>
    <t>2011-1247</t>
  </si>
  <si>
    <t>47-2N-25-0000-0004-0060</t>
  </si>
  <si>
    <t>SEMINOLE</t>
  </si>
  <si>
    <t>45215 SEMINOLE TRL</t>
  </si>
  <si>
    <t>SHADY GROVE</t>
  </si>
  <si>
    <t>PARCELS 4-6 &amp; S-2 OF LOT 3 OF SHADY GROVE PB 6/13-14 PT OR 1634/724</t>
  </si>
  <si>
    <t>2014-949</t>
  </si>
  <si>
    <t>47-2N-25-0000-0005-0010</t>
  </si>
  <si>
    <t>PO BOX 493</t>
  </si>
  <si>
    <t>2017-873</t>
  </si>
  <si>
    <t>2015-901</t>
  </si>
  <si>
    <t>2014-951</t>
  </si>
  <si>
    <t>2013-987</t>
  </si>
  <si>
    <t>2012-2994</t>
  </si>
  <si>
    <t>47-2N-25-0000-0006-0010</t>
  </si>
  <si>
    <t>PETREE</t>
  </si>
  <si>
    <t>45217 PETREE RD</t>
  </si>
  <si>
    <t>PETREE LYNDA F</t>
  </si>
  <si>
    <t>PETREE JONATHAN</t>
  </si>
  <si>
    <t>OR 1089/1957 CASE# 2002-162-CP IN OR 1406/1059 &amp; OR 1406/1063 PARCELS 6-1 6-4 &amp; 6-5</t>
  </si>
  <si>
    <t>47-2N-25-4080-0008-0010</t>
  </si>
  <si>
    <t>450279 SR 200</t>
  </si>
  <si>
    <t>MILLIGAN RONALD</t>
  </si>
  <si>
    <t>MILLIGAN JEANNE SCOTT</t>
  </si>
  <si>
    <t>LOT 8 R497874 IN OR 888/216 EX R/W OR 1031/451</t>
  </si>
  <si>
    <t>2016-878</t>
  </si>
  <si>
    <t>FLORIDA - OMEGA GROUP 188000 US BANK CUST FOR PFS FINANCIAL 2 LLC</t>
  </si>
  <si>
    <t>2014-952</t>
  </si>
  <si>
    <t>47-2N-25-4080-0011-0040</t>
  </si>
  <si>
    <t>450322 SR 200</t>
  </si>
  <si>
    <t>HUTSON JULIE WILDES</t>
  </si>
  <si>
    <t>45249 MEADOWBROOK LN</t>
  </si>
  <si>
    <t>PT OF LOTS 9 11 12 13 20 &amp; 25 &amp; ALL OF LOTS 21 THRU 24 EX R/W OR 1064/1538</t>
  </si>
  <si>
    <t>2016-879</t>
  </si>
  <si>
    <t>B3554</t>
  </si>
  <si>
    <t>2015-902</t>
  </si>
  <si>
    <t>2014-953</t>
  </si>
  <si>
    <t>2013-988</t>
  </si>
  <si>
    <t>47-2N-25-4080-0014-0030</t>
  </si>
  <si>
    <t>450348 SR 200</t>
  </si>
  <si>
    <t>HUTSON RODNEY L</t>
  </si>
  <si>
    <t>HUTSON JULIE W</t>
  </si>
  <si>
    <t>PT OF LOT 14 &amp; LOT 15 (S-2 OF LOT 14 &amp; S-3 OF LOT 14 &amp; S-3 OF LOT 15)</t>
  </si>
  <si>
    <t>2015-903</t>
  </si>
  <si>
    <t>UYF - 237122 - FORT WHITE BATCH US BANK CUST FOR PFS FINANCIAL 2 LLC</t>
  </si>
  <si>
    <t>2014-954</t>
  </si>
  <si>
    <t>2013-989</t>
  </si>
  <si>
    <t>2012-2996</t>
  </si>
  <si>
    <t>US BANK CUST BISBEE LLC H171CE</t>
  </si>
  <si>
    <t>2011-1251</t>
  </si>
  <si>
    <t>47-2N-25-720S-0005-0000</t>
  </si>
  <si>
    <t>45500 STRATTON RD</t>
  </si>
  <si>
    <t>VICTORY VISION INC</t>
  </si>
  <si>
    <t>PO BOX 1459</t>
  </si>
  <si>
    <t>PT OF LOTS 3 4 &amp; 5 OF SHADY GROVE S/D PBK 6/13 &amp; TRACT A OF TRAILS #2 S/D PBK 7/47 IN</t>
  </si>
  <si>
    <t>2017-874</t>
  </si>
  <si>
    <t>SUMMER BIRD LLC SERIES A012779</t>
  </si>
  <si>
    <t>2015-904</t>
  </si>
  <si>
    <t>B9850</t>
  </si>
  <si>
    <t>2014-955</t>
  </si>
  <si>
    <t>2013-992</t>
  </si>
  <si>
    <t>49-2N-25-4100-0003-0010</t>
  </si>
  <si>
    <t>45366 FIFTH AVE</t>
  </si>
  <si>
    <t>49-02N-25E</t>
  </si>
  <si>
    <t>PT OF LOT 3 IN OR 1054/1860 EX S-4 S-7 &amp; S-8</t>
  </si>
  <si>
    <t>2016-882</t>
  </si>
  <si>
    <t>BISBEE LLC ZI3A8C</t>
  </si>
  <si>
    <t>2015-905</t>
  </si>
  <si>
    <t>ECRU LLC AR3FA835</t>
  </si>
  <si>
    <t>2014-958</t>
  </si>
  <si>
    <t>2012-3017</t>
  </si>
  <si>
    <t>2011-1252</t>
  </si>
  <si>
    <t>49-2N-25-4100-0003-0050</t>
  </si>
  <si>
    <t>PICKETT AV</t>
  </si>
  <si>
    <t>BROOKINS FRANK R</t>
  </si>
  <si>
    <t>PO BOX 1836</t>
  </si>
  <si>
    <t>SUB OF 49</t>
  </si>
  <si>
    <t>PT OF LOT 3 (EX S-6) IN OR 530 PG 1055 SUB OF 49 PB 2/15</t>
  </si>
  <si>
    <t>2017-875</t>
  </si>
  <si>
    <t>2016-883</t>
  </si>
  <si>
    <t>2015-906</t>
  </si>
  <si>
    <t>2014-959</t>
  </si>
  <si>
    <t>2013-994</t>
  </si>
  <si>
    <t>2012-3018</t>
  </si>
  <si>
    <t>2011-1253</t>
  </si>
  <si>
    <t>49-2N-25-4100-0008-0010</t>
  </si>
  <si>
    <t>ROBINWOOD CIR</t>
  </si>
  <si>
    <t>NOT AVAILABLE FROM THE COUNTY</t>
  </si>
  <si>
    <t>FL</t>
  </si>
  <si>
    <t>SUB SEC 49</t>
  </si>
  <si>
    <t>PT OF LOTS 8 &amp; 12 BEING A FRACL RESIDUE THEREOF SUB SEC 49 PBK 2/15</t>
  </si>
  <si>
    <t>12089C_366</t>
  </si>
  <si>
    <t>2016-884</t>
  </si>
  <si>
    <t>2015-907</t>
  </si>
  <si>
    <t>2014-960</t>
  </si>
  <si>
    <t>2013-995</t>
  </si>
  <si>
    <t>2012-3019</t>
  </si>
  <si>
    <t>49-2N-25-4100-0013-0010</t>
  </si>
  <si>
    <t>45944 PICKETT ST</t>
  </si>
  <si>
    <t>MEDSKER ADMIRAL L</t>
  </si>
  <si>
    <t>PT OF LOT 13 IN OR 1193/284 EX R/W IN OR 205/504</t>
  </si>
  <si>
    <t>2017-877</t>
  </si>
  <si>
    <t>SWAMP ROAD LIEN CO LLC SERIES 25395</t>
  </si>
  <si>
    <t>2016-885</t>
  </si>
  <si>
    <t>GZT - 269205 - JUPITER GROUP US BANK CUST FOR PFS FINANCIAL 1</t>
  </si>
  <si>
    <t>2014-963</t>
  </si>
  <si>
    <t>2013-998</t>
  </si>
  <si>
    <t>2012-3023</t>
  </si>
  <si>
    <t>2011-1256</t>
  </si>
  <si>
    <t>49-2N-25-4120-0007-0000</t>
  </si>
  <si>
    <t>45084 MICKLER ST</t>
  </si>
  <si>
    <t>HACK SHANNON</t>
  </si>
  <si>
    <t>PINEY POINT</t>
  </si>
  <si>
    <t>LOT 7 IN OR 1232/1281 PINEY POINT SUB PB 3/62</t>
  </si>
  <si>
    <t>2017-879</t>
  </si>
  <si>
    <t>FREMONT CAPITAL MANAGEMENT197444</t>
  </si>
  <si>
    <t>2015-910</t>
  </si>
  <si>
    <t>GRASS RIVER INVESTMENTS AEDR LLC</t>
  </si>
  <si>
    <t>2014-964</t>
  </si>
  <si>
    <t>2013-999</t>
  </si>
  <si>
    <t>2012-3024</t>
  </si>
  <si>
    <t>2011-1257</t>
  </si>
  <si>
    <t>49-2N-25-4140-0007-0000</t>
  </si>
  <si>
    <t>45097 MICKLER ST</t>
  </si>
  <si>
    <t>JAN INVESTMENT INC</t>
  </si>
  <si>
    <t>MCARTHURS SUB</t>
  </si>
  <si>
    <t>LOT 7 PT OR 1101/1820 MCARTHURS SUB PB 3/16</t>
  </si>
  <si>
    <t>2017-880</t>
  </si>
  <si>
    <t>HOSSET LLC O150671 SERIES</t>
  </si>
  <si>
    <t>2014-965</t>
  </si>
  <si>
    <t>2013-1002</t>
  </si>
  <si>
    <t>2012-3028</t>
  </si>
  <si>
    <t>49-2N-25-4140-0008-0000</t>
  </si>
  <si>
    <t>45105 MICKLER ST</t>
  </si>
  <si>
    <t>LOT 8 PT OR 1101/1820 R106876 &amp; R106877</t>
  </si>
  <si>
    <t>2017-881</t>
  </si>
  <si>
    <t>ORANGE DOLPHINS XYVA LLC</t>
  </si>
  <si>
    <t>2014-966</t>
  </si>
  <si>
    <t>2013-1003</t>
  </si>
  <si>
    <t>2012-3029</t>
  </si>
  <si>
    <t>49-2N-25-4140-0017-0000</t>
  </si>
  <si>
    <t>BROWN</t>
  </si>
  <si>
    <t>45138 BROWN ST</t>
  </si>
  <si>
    <t>MURPHY RONALD JASON &amp; MURPHY SHARON A (JT/RS)</t>
  </si>
  <si>
    <t>54040 VONTZ CIRCLE</t>
  </si>
  <si>
    <t>LOT 17</t>
  </si>
  <si>
    <t>49-2N-25-4140-0019-0000</t>
  </si>
  <si>
    <t>45102 BROWN ST</t>
  </si>
  <si>
    <t>TANNER KENNETH EDEE</t>
  </si>
  <si>
    <t>LOTS 19 &amp; 20 IN OR 1048/1262 2007 KING DW/MH</t>
  </si>
  <si>
    <t>2016-886</t>
  </si>
  <si>
    <t>CHOWRAY 333U LLC</t>
  </si>
  <si>
    <t>2015-912</t>
  </si>
  <si>
    <t>H6346</t>
  </si>
  <si>
    <t>2014-967</t>
  </si>
  <si>
    <t>2013-1004</t>
  </si>
  <si>
    <t>49-2N-25-4150-000B-0011</t>
  </si>
  <si>
    <t>SIKES J  F</t>
  </si>
  <si>
    <t>SIKES J A  N</t>
  </si>
  <si>
    <t>45290 ROBINWOOD CIR</t>
  </si>
  <si>
    <t>ROBINWOOD ESTATES</t>
  </si>
  <si>
    <t>BLOCK B PT OF LOTS 1 &amp; 3 IN OR 929/313 ROBINWOOD ESTATES PB 5/333</t>
  </si>
  <si>
    <t>2017-883</t>
  </si>
  <si>
    <t>2016-887</t>
  </si>
  <si>
    <t>49-2N-25-4150-000B-0140</t>
  </si>
  <si>
    <t>PO BOX 830539</t>
  </si>
  <si>
    <t>BIRMINGHAM AL</t>
  </si>
  <si>
    <t>BLOCK B LOT 14 CONSERVATION ESMT PT 699/529 PT OR 1436/893</t>
  </si>
  <si>
    <t>12089C_968</t>
  </si>
  <si>
    <t>2017-884</t>
  </si>
  <si>
    <t>2016-888</t>
  </si>
  <si>
    <t>2015-913</t>
  </si>
  <si>
    <t>2014-968</t>
  </si>
  <si>
    <t>2013-1007</t>
  </si>
  <si>
    <t>2012-3031</t>
  </si>
  <si>
    <t>49-2N-25-4150-000B-0150</t>
  </si>
  <si>
    <t>BLOCK B LOT 15 CONSERVATION ESMT PT 699/529 PT OR 1436/893</t>
  </si>
  <si>
    <t>2017-885</t>
  </si>
  <si>
    <t>2016-889</t>
  </si>
  <si>
    <t>2015-914</t>
  </si>
  <si>
    <t>2014-969</t>
  </si>
  <si>
    <t>2013-1008</t>
  </si>
  <si>
    <t>2012-3032</t>
  </si>
  <si>
    <t>49-2N-25-4150-000B-0160</t>
  </si>
  <si>
    <t>BLOCK B LOT 16 CONSERVATION ESMT PT 699/529 PT OR 1436/893</t>
  </si>
  <si>
    <t>2017-886</t>
  </si>
  <si>
    <t>2016-890</t>
  </si>
  <si>
    <t>2015-915</t>
  </si>
  <si>
    <t>2014-970</t>
  </si>
  <si>
    <t>2013-1009</t>
  </si>
  <si>
    <t>2012-3033</t>
  </si>
  <si>
    <t>49-2N-25-4150-000B-0170</t>
  </si>
  <si>
    <t>BLOCK B LOT 17 CONSERVATION ESMT PT 699/529 PT OR 1436/893</t>
  </si>
  <si>
    <t>2017-887</t>
  </si>
  <si>
    <t>2016-891</t>
  </si>
  <si>
    <t>2015-916</t>
  </si>
  <si>
    <t>2014-971</t>
  </si>
  <si>
    <t>2013-1010</t>
  </si>
  <si>
    <t>2012-3034</t>
  </si>
  <si>
    <t>49-2N-25-4150-000B-0180</t>
  </si>
  <si>
    <t>ST WEALTH PARTNERS LP</t>
  </si>
  <si>
    <t>BLOCK B LOT 18 CONSERVATION ESMT PT 699/529 PT OR 1436/893</t>
  </si>
  <si>
    <t>2017-888</t>
  </si>
  <si>
    <t>2016-892</t>
  </si>
  <si>
    <t>2015-917</t>
  </si>
  <si>
    <t>2014-972</t>
  </si>
  <si>
    <t>2013-1011</t>
  </si>
  <si>
    <t>2012-3035</t>
  </si>
  <si>
    <t>49-2N-25-4150-000B-0190</t>
  </si>
  <si>
    <t>BLOCK B LOT 19 CONSERVATION ESMT PT 699/529 PT OR 1436/893</t>
  </si>
  <si>
    <t>2017-889</t>
  </si>
  <si>
    <t>2016-893</t>
  </si>
  <si>
    <t>2015-918</t>
  </si>
  <si>
    <t>2014-973</t>
  </si>
  <si>
    <t>2013-1012</t>
  </si>
  <si>
    <t>2012-3036</t>
  </si>
  <si>
    <t>49-2N-25-4160-0003-0010</t>
  </si>
  <si>
    <t>ROHE ERIN PA</t>
  </si>
  <si>
    <t>103 S 10TH ST</t>
  </si>
  <si>
    <t>PT OF LOT 3 IN OR 1815/129 ANTHONY BRYANT LAND SUB</t>
  </si>
  <si>
    <t>2017-891</t>
  </si>
  <si>
    <t>2016-894</t>
  </si>
  <si>
    <t>2015-921</t>
  </si>
  <si>
    <t>2014-976</t>
  </si>
  <si>
    <t>2013-1015</t>
  </si>
  <si>
    <t>2012-3038</t>
  </si>
  <si>
    <t>2011-1264</t>
  </si>
  <si>
    <t>49-2N-25-4160-0003-0020</t>
  </si>
  <si>
    <t>PT OF LOT 3 IN OR 1815/130 ANTHONY BRYANT LAND SUB</t>
  </si>
  <si>
    <t>2017-892</t>
  </si>
  <si>
    <t>2016-895</t>
  </si>
  <si>
    <t>2015-922</t>
  </si>
  <si>
    <t>2014-977</t>
  </si>
  <si>
    <t>2013-1016</t>
  </si>
  <si>
    <t>2012-3039</t>
  </si>
  <si>
    <t>2011-1265</t>
  </si>
  <si>
    <t>49-2N-25-4160-0004-0010</t>
  </si>
  <si>
    <t>PT OF LOTS 4 &amp; 5 &amp; PT OF UNNUMBERED LOT IN NE/CORNER IN OR 1815/127</t>
  </si>
  <si>
    <t>2017-893</t>
  </si>
  <si>
    <t>2016-896</t>
  </si>
  <si>
    <t>2015-923</t>
  </si>
  <si>
    <t>2014-978</t>
  </si>
  <si>
    <t>2013-1017</t>
  </si>
  <si>
    <t>2012-3040</t>
  </si>
  <si>
    <t>2011-1266</t>
  </si>
  <si>
    <t>49-2N-25-4160-0004-0020</t>
  </si>
  <si>
    <t>LOT 6 &amp; PT LOTS 4 5 8 &amp; PT OF UNDEVELOPED 35 FT R/W STRIP IN OR 1815/128</t>
  </si>
  <si>
    <t>2017-894</t>
  </si>
  <si>
    <t>2016-897</t>
  </si>
  <si>
    <t>2015-924</t>
  </si>
  <si>
    <t>2014-979</t>
  </si>
  <si>
    <t>2013-1018</t>
  </si>
  <si>
    <t>2012-3041</t>
  </si>
  <si>
    <t>2011-1267</t>
  </si>
  <si>
    <t>51-2N-25-0000-0001-0010</t>
  </si>
  <si>
    <t>51-02N-25E</t>
  </si>
  <si>
    <t>PT OR 1883/289 EX R/W CASE #01-417-CA</t>
  </si>
  <si>
    <t>12089C_671</t>
  </si>
  <si>
    <t>2017-895</t>
  </si>
  <si>
    <t>2016-898</t>
  </si>
  <si>
    <t>2015-925</t>
  </si>
  <si>
    <t>2014-982</t>
  </si>
  <si>
    <t>2013-1021</t>
  </si>
  <si>
    <t>2012-3073</t>
  </si>
  <si>
    <t>2011-1268</t>
  </si>
  <si>
    <t>51-2N-25-0000-0011-0000</t>
  </si>
  <si>
    <t>COLSON JOE L &amp; COLSON JANETTE J &amp; DELOURS &amp; JONES LAURA COLSON</t>
  </si>
  <si>
    <t>45094 COLSON RD</t>
  </si>
  <si>
    <t>IN OR 106/266 1/4 INT HX</t>
  </si>
  <si>
    <t>2016-899</t>
  </si>
  <si>
    <t>2015-927</t>
  </si>
  <si>
    <t>51-2N-25-0000-0012-0000</t>
  </si>
  <si>
    <t>HISTORICAL</t>
  </si>
  <si>
    <t>45050 HISTORICAL LN</t>
  </si>
  <si>
    <t>GRIFFIN ANDREW</t>
  </si>
  <si>
    <t>GRIFFIN CONNIE</t>
  </si>
  <si>
    <t>56209 GRIFFIN FARM RD</t>
  </si>
  <si>
    <t>IN OR 1281/427</t>
  </si>
  <si>
    <t>2017-896</t>
  </si>
  <si>
    <t>MACHA TAL 3A3F LLC</t>
  </si>
  <si>
    <t>2016-900</t>
  </si>
  <si>
    <t>BRYANT MANAGEMENT 45</t>
  </si>
  <si>
    <t>2015-928</t>
  </si>
  <si>
    <t>GRASS RIVER INVESTMENTS ACUU LLC</t>
  </si>
  <si>
    <t>2014-984</t>
  </si>
  <si>
    <t>2013-1023</t>
  </si>
  <si>
    <t>2012-3075</t>
  </si>
  <si>
    <t>2011-1269</t>
  </si>
  <si>
    <t>51-2N-25-0000-0015-0000</t>
  </si>
  <si>
    <t>JONES ROBERT</t>
  </si>
  <si>
    <t>PO BOX 405</t>
  </si>
  <si>
    <t>PT F P SANCHEZ GRANT SEC 51-2N-25E BEING ONLY PT LYING E OF DBK 109/269 &amp; S OF</t>
  </si>
  <si>
    <t>2017-897</t>
  </si>
  <si>
    <t>2016-901</t>
  </si>
  <si>
    <t>2015-929</t>
  </si>
  <si>
    <t>2014-985</t>
  </si>
  <si>
    <t>2013-1024</t>
  </si>
  <si>
    <t>2012-3076</t>
  </si>
  <si>
    <t>2011-1270</t>
  </si>
  <si>
    <t>51-2N-25-0000-0016-0000</t>
  </si>
  <si>
    <t>542834 US HWY 1</t>
  </si>
  <si>
    <t>C WEST NASSAU CHARITIES LLC</t>
  </si>
  <si>
    <t>42830 US HIGHWAY 1</t>
  </si>
  <si>
    <t>Clubs lodges union halls</t>
  </si>
  <si>
    <t>Clubs Lodges Professional Associations</t>
  </si>
  <si>
    <t>IN OR 1247/624 EX RW IN OR 92/296</t>
  </si>
  <si>
    <t>51-2N-25-0000-0021-0000</t>
  </si>
  <si>
    <t>542766 US HWY 1</t>
  </si>
  <si>
    <t>392306 PROSPECT LANDING RD</t>
  </si>
  <si>
    <t>IN OR 879/305</t>
  </si>
  <si>
    <t>2016-902</t>
  </si>
  <si>
    <t>ORANGE DOLPHINS AEGN LLC</t>
  </si>
  <si>
    <t>51-2N-25-0000-0024-0000</t>
  </si>
  <si>
    <t>542738 US HWY 1</t>
  </si>
  <si>
    <t>BELL DONALD GARY</t>
  </si>
  <si>
    <t>PT OR 1028/1690 EX OR 99/94</t>
  </si>
  <si>
    <t>2017-899</t>
  </si>
  <si>
    <t>E26872</t>
  </si>
  <si>
    <t>2016-903</t>
  </si>
  <si>
    <t>MACHA TAL 3BOH LLC</t>
  </si>
  <si>
    <t>2015-931</t>
  </si>
  <si>
    <t>E14957</t>
  </si>
  <si>
    <t>2014-987</t>
  </si>
  <si>
    <t>2013-1026</t>
  </si>
  <si>
    <t>51-2N-25-0000-0027-0000</t>
  </si>
  <si>
    <t>TAYLOR</t>
  </si>
  <si>
    <t>45035 TAYLOR RD</t>
  </si>
  <si>
    <t>WILLIAMS ROBERT L</t>
  </si>
  <si>
    <t>542696 US HIGHWAY 1</t>
  </si>
  <si>
    <t>IN DB 220 PG 62</t>
  </si>
  <si>
    <t>2016-904</t>
  </si>
  <si>
    <t>2015-932</t>
  </si>
  <si>
    <t>2014-988</t>
  </si>
  <si>
    <t>2013-1027</t>
  </si>
  <si>
    <t>2012-3077</t>
  </si>
  <si>
    <t>51-2N-25-0000-0033-0020</t>
  </si>
  <si>
    <t>HOLLOWAY</t>
  </si>
  <si>
    <t>45101 HOLLOWAY LN</t>
  </si>
  <si>
    <t>NELSON MARTHA</t>
  </si>
  <si>
    <t>IN OR 19 PG 86</t>
  </si>
  <si>
    <t>2017-900</t>
  </si>
  <si>
    <t>HOSSET LLC O20692 SERIES</t>
  </si>
  <si>
    <t>2016-905</t>
  </si>
  <si>
    <t>B241700</t>
  </si>
  <si>
    <t>2015-933</t>
  </si>
  <si>
    <t>LLLL734</t>
  </si>
  <si>
    <t>2013-1028</t>
  </si>
  <si>
    <t>2012-3079</t>
  </si>
  <si>
    <t>51-2N-25-0000-0042-0000</t>
  </si>
  <si>
    <t>DR MARTIN LUTHER KING JR AV</t>
  </si>
  <si>
    <t>LALLAMANT STEVEN R</t>
  </si>
  <si>
    <t>PO BOX 13023</t>
  </si>
  <si>
    <t>SAINT PETERSBURG FL</t>
  </si>
  <si>
    <t>PT F P SANCHEZ GRANT SEC 51-2N-28E IN OR 1402/1032 BEING PARCEL 3</t>
  </si>
  <si>
    <t>2015-935</t>
  </si>
  <si>
    <t>2014-990</t>
  </si>
  <si>
    <t>2013-1031</t>
  </si>
  <si>
    <t>2012-3083</t>
  </si>
  <si>
    <t>2011-1274</t>
  </si>
  <si>
    <t>51-2N-25-0000-0044-0010</t>
  </si>
  <si>
    <t>HOLLOWAY LN</t>
  </si>
  <si>
    <t>PT F P SANCHEZ GRANT SEC 51-2N-28E IN OR 1402/1032 BEING PARCEL 2</t>
  </si>
  <si>
    <t>2015-936</t>
  </si>
  <si>
    <t>2014-991</t>
  </si>
  <si>
    <t>ELIZABETH C. JOHNSON DEJ INVESTMENTS, LLC</t>
  </si>
  <si>
    <t>2013-1032</t>
  </si>
  <si>
    <t>2012-3084</t>
  </si>
  <si>
    <t>2011-1275</t>
  </si>
  <si>
    <t>51-2N-25-0000-0045-0000</t>
  </si>
  <si>
    <t>PT F P SANCHEZ GRANT SEC 51-2N-28E IN OR 1402/1032 BEING PARCEL 1</t>
  </si>
  <si>
    <t>2015-937</t>
  </si>
  <si>
    <t>2014-992</t>
  </si>
  <si>
    <t>2013-1033</t>
  </si>
  <si>
    <t>2012-3085</t>
  </si>
  <si>
    <t>2011-1276</t>
  </si>
  <si>
    <t>51-2N-25-0000-0046-0000</t>
  </si>
  <si>
    <t>ADAMS RICHARD D</t>
  </si>
  <si>
    <t>3260 SUNNYBROOK AVE N</t>
  </si>
  <si>
    <t>IN OR 464/660 &amp; OR 718/1958</t>
  </si>
  <si>
    <t>2016-907</t>
  </si>
  <si>
    <t>51-2N-25-0000-0051-0000</t>
  </si>
  <si>
    <t>MCGRIFF ROBERT</t>
  </si>
  <si>
    <t>PO BOX 318</t>
  </si>
  <si>
    <t>CASE # 86-732-CA</t>
  </si>
  <si>
    <t>2014-997</t>
  </si>
  <si>
    <t>51-2N-25-0000-0052-0000</t>
  </si>
  <si>
    <t>618620 DR MARTIN LUTHER KING JR AVE</t>
  </si>
  <si>
    <t>BROOKS MYRTLE H</t>
  </si>
  <si>
    <t>PO BOX 452</t>
  </si>
  <si>
    <t>IN OR 6 PG 461 ESMTS IN OR 640/177 &amp; 178 1/5 HX INT</t>
  </si>
  <si>
    <t>2016-911</t>
  </si>
  <si>
    <t>51-2N-25-0000-0053-0000</t>
  </si>
  <si>
    <t>HUNTER DON &amp; SYLVESTER &amp; HUNTER CLIFTON EST &amp; RAINEY GERALDINE</t>
  </si>
  <si>
    <t>IN OR 640 PG 179 EX OR 6/461 PAR 53 &amp; 54</t>
  </si>
  <si>
    <t>2015-942</t>
  </si>
  <si>
    <t>51-2N-25-0000-0059-0000</t>
  </si>
  <si>
    <t>OLIVER JETROE M</t>
  </si>
  <si>
    <t>22 BEECHWOOD ST APT 302</t>
  </si>
  <si>
    <t>DORCHESTER MA</t>
  </si>
  <si>
    <t>IN DB 60 PG 86</t>
  </si>
  <si>
    <t>2017-905</t>
  </si>
  <si>
    <t>2016-913</t>
  </si>
  <si>
    <t>2015-944</t>
  </si>
  <si>
    <t>2014-999</t>
  </si>
  <si>
    <t>2013-1040</t>
  </si>
  <si>
    <t>2012-3088</t>
  </si>
  <si>
    <t>2011-1281</t>
  </si>
  <si>
    <t>51-2N-25-0000-0060-0010</t>
  </si>
  <si>
    <t>MCCOLLUM EDWARD</t>
  </si>
  <si>
    <t>86014 BRITT LYNN LN</t>
  </si>
  <si>
    <t>PT SEC 51-2N-25E IN OR 2049/1993</t>
  </si>
  <si>
    <t>51-2N-25-0000-0062-0000</t>
  </si>
  <si>
    <t>AJP PROPERTIES LLC</t>
  </si>
  <si>
    <t>PT F P SANCHEZ GRANT IN OR 1680/1995 (EX R/W OR 907/1659)</t>
  </si>
  <si>
    <t>51-2N-25-0000-0068-0000</t>
  </si>
  <si>
    <t>IN OR 1519/664</t>
  </si>
  <si>
    <t>2016-914</t>
  </si>
  <si>
    <t>2015-946</t>
  </si>
  <si>
    <t>2013-1041</t>
  </si>
  <si>
    <t>2012-3089</t>
  </si>
  <si>
    <t>2011-1282</t>
  </si>
  <si>
    <t>51-2N-25-4170-0006-0000</t>
  </si>
  <si>
    <t>450145 SR 200</t>
  </si>
  <si>
    <t>PATRICK ADRIAN LEE</t>
  </si>
  <si>
    <t>PO BOX 813</t>
  </si>
  <si>
    <t>LOTS 6 &amp; 7 R567918 IN OR 1805/1737 EX R/W OR 1004/993</t>
  </si>
  <si>
    <t>2017-908</t>
  </si>
  <si>
    <t>2014-1000</t>
  </si>
  <si>
    <t>51-2N-25-4170-0008-0000</t>
  </si>
  <si>
    <t>5185 SR 200</t>
  </si>
  <si>
    <t>LOT 8 PT OR 1838/1805 EX R/W CASE #01-417-CA</t>
  </si>
  <si>
    <t>2017-909</t>
  </si>
  <si>
    <t>2014-1001</t>
  </si>
  <si>
    <t>51-2N-25-4170-0009-0000</t>
  </si>
  <si>
    <t>450135 SR 200</t>
  </si>
  <si>
    <t>HOWELL MYRA GAIL</t>
  </si>
  <si>
    <t>1459 STATE ROUTE 46 S</t>
  </si>
  <si>
    <t>JEFFERSON OH</t>
  </si>
  <si>
    <t>LOT 9 (EX R/W OR 909/1233) PT OR 237/539 &amp; OR 443/539 J P PAGE SUB PB 3/20</t>
  </si>
  <si>
    <t>2017-910</t>
  </si>
  <si>
    <t>2016-923</t>
  </si>
  <si>
    <t>2015-947</t>
  </si>
  <si>
    <t>2014-1002</t>
  </si>
  <si>
    <t>2013-1044</t>
  </si>
  <si>
    <t>2012-3092</t>
  </si>
  <si>
    <t>2011-1284</t>
  </si>
  <si>
    <t>51-2N-25-4170-0019-0000</t>
  </si>
  <si>
    <t>JAMES</t>
  </si>
  <si>
    <t>45040 JAMES ST</t>
  </si>
  <si>
    <t>ONEAL LORIE</t>
  </si>
  <si>
    <t>J P PAGE SUB</t>
  </si>
  <si>
    <t>LOT 19 2002 FTWD TWMH IN OR 923/705 J P PAGE SUB PB 3/20</t>
  </si>
  <si>
    <t>2017-914</t>
  </si>
  <si>
    <t>SUTTON INVESTMENT28818</t>
  </si>
  <si>
    <t>2016-927</t>
  </si>
  <si>
    <t>BISBEE LLC H3508933</t>
  </si>
  <si>
    <t>2015-951</t>
  </si>
  <si>
    <t>TRIAD HOLDINGS194697</t>
  </si>
  <si>
    <t>2014-1003</t>
  </si>
  <si>
    <t>2013-1045</t>
  </si>
  <si>
    <t>2012-3093</t>
  </si>
  <si>
    <t>2011-1285</t>
  </si>
  <si>
    <t>51-2N-25-4170-0025-0000</t>
  </si>
  <si>
    <t>EVELYN</t>
  </si>
  <si>
    <t>45039 EVELYN ST</t>
  </si>
  <si>
    <t>LOT 25 R567520 PT OR 1838/1805 J P PAGE SUB PB 3/20</t>
  </si>
  <si>
    <t>2017-916</t>
  </si>
  <si>
    <t>2014-1004</t>
  </si>
  <si>
    <t>51-2N-25-4170-0026-0000</t>
  </si>
  <si>
    <t>45042 EVELYN ST</t>
  </si>
  <si>
    <t>LOT 26 PT OR 1838/1805 J P PAGE SUB PB 3/20</t>
  </si>
  <si>
    <t>2017-917</t>
  </si>
  <si>
    <t>SETPER LLC O72994 SERIES</t>
  </si>
  <si>
    <t>2014-1005</t>
  </si>
  <si>
    <t>51-2N-25-4170-0027-0000</t>
  </si>
  <si>
    <t>45168 JAMES ST</t>
  </si>
  <si>
    <t>MADDOX TROY ALEX</t>
  </si>
  <si>
    <t>LOT 27 IN OR 100 PG 302 J P PAGE SUB PB 3/20</t>
  </si>
  <si>
    <t>2017-918</t>
  </si>
  <si>
    <t>GHATO 8297</t>
  </si>
  <si>
    <t>2016-929</t>
  </si>
  <si>
    <t>ZYGGY LLC AND ZEHN LLC PARTNERSHIP 916</t>
  </si>
  <si>
    <t>2015-953</t>
  </si>
  <si>
    <t>MACHA PUCHARE XEPT LLC</t>
  </si>
  <si>
    <t>2014-1006</t>
  </si>
  <si>
    <t>2013-1046</t>
  </si>
  <si>
    <t>2012-3094</t>
  </si>
  <si>
    <t>2011-1286</t>
  </si>
  <si>
    <t>51-2N-25-4170-0036-0000</t>
  </si>
  <si>
    <t>45089 JAMES ST</t>
  </si>
  <si>
    <t>FLAKE LARRY NORMAN</t>
  </si>
  <si>
    <t>FLAKE CLEO H</t>
  </si>
  <si>
    <t>LOT 36 IN OR 1558/1311 J P PAGE SUB PB 3/20</t>
  </si>
  <si>
    <t>2016-930</t>
  </si>
  <si>
    <t>CCTS CAPITAL - FLORIDA 105636 US BANK CUST FOR PFS FINANCIAL 2 LLC</t>
  </si>
  <si>
    <t>2015-954</t>
  </si>
  <si>
    <t>KENSINGTON CAPITAL83802</t>
  </si>
  <si>
    <t>2014-1007</t>
  </si>
  <si>
    <t>2013-1047</t>
  </si>
  <si>
    <t>2011-1287</t>
  </si>
  <si>
    <t>51-2N-25-4170-0038-0000</t>
  </si>
  <si>
    <t>ANNIE LAURA</t>
  </si>
  <si>
    <t>45063 ANNIE LAURA ST</t>
  </si>
  <si>
    <t>PREMIER HMES OF NORTH FLORIDA</t>
  </si>
  <si>
    <t>541222 US HIGHWAY 1</t>
  </si>
  <si>
    <t>LOT 38 IN OR 1574/1502 J P PAGE SUB PB 3/20</t>
  </si>
  <si>
    <t>2017-919</t>
  </si>
  <si>
    <t>2016-931</t>
  </si>
  <si>
    <t>GRAYSON JACKSON</t>
  </si>
  <si>
    <t>2015-955</t>
  </si>
  <si>
    <t>2014-1008</t>
  </si>
  <si>
    <t>2013-1048</t>
  </si>
  <si>
    <t>2012-3095</t>
  </si>
  <si>
    <t>2011-1288</t>
  </si>
  <si>
    <t>51-2N-25-4170-0039-0000</t>
  </si>
  <si>
    <t>45035 JAMES ST</t>
  </si>
  <si>
    <t>LOT 39 IN DB 255 PG 15 J P PAGE SUB PB 3/20</t>
  </si>
  <si>
    <t>2017-920</t>
  </si>
  <si>
    <t>2016-932</t>
  </si>
  <si>
    <t>2015-956</t>
  </si>
  <si>
    <t>2014-1009</t>
  </si>
  <si>
    <t>2013-1049</t>
  </si>
  <si>
    <t>2012-3096</t>
  </si>
  <si>
    <t>2011-1289</t>
  </si>
  <si>
    <t>51-2N-25-4170-0045-0000</t>
  </si>
  <si>
    <t>LUTHER</t>
  </si>
  <si>
    <t>45052 LUTHER ST</t>
  </si>
  <si>
    <t>REMISEWS RELASES</t>
  </si>
  <si>
    <t>541222 US HWY CALLAHAN</t>
  </si>
  <si>
    <t>LOTS 45 46 &amp; 47 IN OR 1522/199 J P PAGE SUB PB 3/20</t>
  </si>
  <si>
    <t>2017-921</t>
  </si>
  <si>
    <t>2016-935</t>
  </si>
  <si>
    <t>2015-957</t>
  </si>
  <si>
    <t>2013-1050</t>
  </si>
  <si>
    <t>2012-3097</t>
  </si>
  <si>
    <t>2011-1290</t>
  </si>
  <si>
    <t>51-2N-25-4170-0049-0000</t>
  </si>
  <si>
    <t>45108 LUTHER ST</t>
  </si>
  <si>
    <t>TIMMONS LEONARD JR</t>
  </si>
  <si>
    <t>PO BOX 205</t>
  </si>
  <si>
    <t>LOTS 49 &amp; 50 IN OR 855/219 R674070 &amp; R674071</t>
  </si>
  <si>
    <t>2016-936</t>
  </si>
  <si>
    <t>BENNU LLC JA2410S</t>
  </si>
  <si>
    <t>2014-1010</t>
  </si>
  <si>
    <t>2013-1051</t>
  </si>
  <si>
    <t>2012-3098</t>
  </si>
  <si>
    <t>2011-1291</t>
  </si>
  <si>
    <t>51-2N-25-4170-0057-0000</t>
  </si>
  <si>
    <t>45099 LUTHER ST</t>
  </si>
  <si>
    <t>HAM KAROLINE</t>
  </si>
  <si>
    <t>14464 AMELIA COVE DR</t>
  </si>
  <si>
    <t>LOT 57 IN OR 1296/1647 J P PAGE SUB PB 3/20</t>
  </si>
  <si>
    <t>2016-938</t>
  </si>
  <si>
    <t>51-2N-25-4170-0060-0000</t>
  </si>
  <si>
    <t>45055 LUTHER ST</t>
  </si>
  <si>
    <t>WAPN</t>
  </si>
  <si>
    <t>TC 13 SUBSIDIARY LLC</t>
  </si>
  <si>
    <t>PO BOX 173017</t>
  </si>
  <si>
    <t>LOT 60 IN OR 2041/61 J P PAGE SUB PB 3/20</t>
  </si>
  <si>
    <t>2017-923</t>
  </si>
  <si>
    <t>2016-939</t>
  </si>
  <si>
    <t>2015-959</t>
  </si>
  <si>
    <t>2014-1012</t>
  </si>
  <si>
    <t>2013-1054</t>
  </si>
  <si>
    <t>2012-3101</t>
  </si>
  <si>
    <t>2011-1294</t>
  </si>
  <si>
    <t>FIG CAPITAL INVESTMENTS, LLC</t>
  </si>
  <si>
    <t>51-2N-25-4170-0061-0000</t>
  </si>
  <si>
    <t>45053 LUTHER ST</t>
  </si>
  <si>
    <t>DAVIS L C (EST)</t>
  </si>
  <si>
    <t>LOT 61 J P PAGE SUB PB 3/20</t>
  </si>
  <si>
    <t>2016-940</t>
  </si>
  <si>
    <t>2015-960</t>
  </si>
  <si>
    <t>2014-1013</t>
  </si>
  <si>
    <t>2013-1055</t>
  </si>
  <si>
    <t>2012-3102</t>
  </si>
  <si>
    <t>2011-1295</t>
  </si>
  <si>
    <t>51-2N-25-4170-0062-0000</t>
  </si>
  <si>
    <t>45023 LUTHER ST</t>
  </si>
  <si>
    <t>MELTON GEORGE L</t>
  </si>
  <si>
    <t>LOTS 62 &amp; 63 R673301 R673302 IN OR 437 PG 186</t>
  </si>
  <si>
    <t>51-2N-25-4170-0065-0000</t>
  </si>
  <si>
    <t>LUTHER ST</t>
  </si>
  <si>
    <t>WOODS RUTH</t>
  </si>
  <si>
    <t>PO BOX 442</t>
  </si>
  <si>
    <t>LOT 65 IN OR 888/665 J P PAGE SUB PB 3/20</t>
  </si>
  <si>
    <t>2017-924</t>
  </si>
  <si>
    <t>2016-941</t>
  </si>
  <si>
    <t>2015-961</t>
  </si>
  <si>
    <t>2014-1014</t>
  </si>
  <si>
    <t>2013-1056</t>
  </si>
  <si>
    <t>2011-1296</t>
  </si>
  <si>
    <t>51-2N-25-4170-0066-0000</t>
  </si>
  <si>
    <t>45001 LUTHER ST</t>
  </si>
  <si>
    <t>WOODS JOHN R</t>
  </si>
  <si>
    <t>LOT 66</t>
  </si>
  <si>
    <t>2017-925</t>
  </si>
  <si>
    <t>OLGA MILLER</t>
  </si>
  <si>
    <t>2016-942</t>
  </si>
  <si>
    <t>2015-962</t>
  </si>
  <si>
    <t>2014-1015</t>
  </si>
  <si>
    <t>2013-1057</t>
  </si>
  <si>
    <t>2012-3103</t>
  </si>
  <si>
    <t>2011-1297</t>
  </si>
  <si>
    <t>51-2N-25-4170-0070-0000</t>
  </si>
  <si>
    <t>MARVIN</t>
  </si>
  <si>
    <t>45038 MARVIN ST</t>
  </si>
  <si>
    <t>JOURNEY INVESTMENTS LLC</t>
  </si>
  <si>
    <t>8454 E TIMROD ST</t>
  </si>
  <si>
    <t>LOTS 70 &amp; 71 IN OR 1383/1408 2006 FLEET DW/MH</t>
  </si>
  <si>
    <t>51-2N-25-4170-0077-0000</t>
  </si>
  <si>
    <t>45057 MARVIN ST</t>
  </si>
  <si>
    <t>MELTON ALLEN</t>
  </si>
  <si>
    <t>PO BOX 1232</t>
  </si>
  <si>
    <t>LOT 77 J P PAGE SUB PB 3/20</t>
  </si>
  <si>
    <t>2017-927</t>
  </si>
  <si>
    <t>TOFUG 6501 LLC</t>
  </si>
  <si>
    <t>2016-943</t>
  </si>
  <si>
    <t>2015-964</t>
  </si>
  <si>
    <t>2014-1016</t>
  </si>
  <si>
    <t>51-2N-25-4170-0079-0000</t>
  </si>
  <si>
    <t>45041 MARVIN ST</t>
  </si>
  <si>
    <t>WILLIAMS WILLIE C</t>
  </si>
  <si>
    <t>LOT 79 IN OR 612 PG 456 J P PAGE SUB PB 3/20</t>
  </si>
  <si>
    <t>2015-965</t>
  </si>
  <si>
    <t>2014-1017</t>
  </si>
  <si>
    <t>51-2N-25-4170-0080-0000</t>
  </si>
  <si>
    <t>45029 MARVIN ST</t>
  </si>
  <si>
    <t>MELTON PATRICIA ANN</t>
  </si>
  <si>
    <t>MELTON ANTHONY</t>
  </si>
  <si>
    <t>PO BOX 474</t>
  </si>
  <si>
    <t>LOT 80 PT OR 1559/350 J P PAGE SUB PB 3/20</t>
  </si>
  <si>
    <t>2017-928</t>
  </si>
  <si>
    <t>2016-944</t>
  </si>
  <si>
    <t>2015-966</t>
  </si>
  <si>
    <t>2014-1018</t>
  </si>
  <si>
    <t>2013-1059</t>
  </si>
  <si>
    <t>2012-3104</t>
  </si>
  <si>
    <t>51-2N-25-4170-0081-0000</t>
  </si>
  <si>
    <t>45021 MARVIN ST</t>
  </si>
  <si>
    <t>MELTON PATRICIA ANN &amp; MELTON JAMES R LEE EST</t>
  </si>
  <si>
    <t>PO BOX 162</t>
  </si>
  <si>
    <t>LOT 81 PT OR 1559/350 2006 NOBI DW/MH</t>
  </si>
  <si>
    <t>2017-929</t>
  </si>
  <si>
    <t>PELICAN PIER CERTS AGHQ LLC</t>
  </si>
  <si>
    <t>2016-945</t>
  </si>
  <si>
    <t>2015-967</t>
  </si>
  <si>
    <t>2014-1019</t>
  </si>
  <si>
    <t>2013-1060</t>
  </si>
  <si>
    <t>2012-3105</t>
  </si>
  <si>
    <t>2011-1299</t>
  </si>
  <si>
    <t>51-2N-25-4180-0009-0000</t>
  </si>
  <si>
    <t>542588 US HWY 1</t>
  </si>
  <si>
    <t>542588 US HIGHWAY 1</t>
  </si>
  <si>
    <t>LOTS 9 10 &amp; 11 IN OR 534/397 &amp; OR 694/1261 EX R/W IN OR 88 PG 23 R498165</t>
  </si>
  <si>
    <t>2017-930</t>
  </si>
  <si>
    <t>BISBEE LLC PI1656CK</t>
  </si>
  <si>
    <t>2016-946</t>
  </si>
  <si>
    <t>YWX - 240764 - GOLDEN BEACH FLORIDIAN US BANK CUST FOR PFS FINANCIAL 2 LLC</t>
  </si>
  <si>
    <t>2015-968</t>
  </si>
  <si>
    <t>E21833</t>
  </si>
  <si>
    <t>2014-1020</t>
  </si>
  <si>
    <t>2013-1061</t>
  </si>
  <si>
    <t>2012-3106</t>
  </si>
  <si>
    <t>SUNSHINE STATE CERTIFICATES IV BANKUNITED, TRUSTEE</t>
  </si>
  <si>
    <t>2011-1300</t>
  </si>
  <si>
    <t>51-2N-25-4180-0012-0000</t>
  </si>
  <si>
    <t>RHODEN</t>
  </si>
  <si>
    <t>45056 RHODEN LN</t>
  </si>
  <si>
    <t>LOTS 12 &amp; 13 R108157 IN OR 1039/968 BRANDIES ADD TO CALLAHAN</t>
  </si>
  <si>
    <t>2017-931</t>
  </si>
  <si>
    <t>RAPTY TRUST SERIES 7151</t>
  </si>
  <si>
    <t>2016-947</t>
  </si>
  <si>
    <t>PELICAN POINT GROUP23378</t>
  </si>
  <si>
    <t>2015-969</t>
  </si>
  <si>
    <t>EVERESTCERT 343 LLC</t>
  </si>
  <si>
    <t>2014-1021</t>
  </si>
  <si>
    <t>2013-1062</t>
  </si>
  <si>
    <t>2012-3107</t>
  </si>
  <si>
    <t>2011-1301</t>
  </si>
  <si>
    <t>51-2N-25-4190-0001-0000</t>
  </si>
  <si>
    <t>542616 US HWY 1</t>
  </si>
  <si>
    <t>JOSEPH WILLIAM G</t>
  </si>
  <si>
    <t>3930 VILLA SAN JOSE DR</t>
  </si>
  <si>
    <t>LOTS 1 &amp; 3 THRU 6 IN OR 1619/1393 BRANDIES 2ND ADD TO CALLAHAN</t>
  </si>
  <si>
    <t>2015-970</t>
  </si>
  <si>
    <t>BISBEE LLC RY554B</t>
  </si>
  <si>
    <t>2013-1063</t>
  </si>
  <si>
    <t>2012-3108</t>
  </si>
  <si>
    <t>PAYDAY8 LLC</t>
  </si>
  <si>
    <t>51-2N-25-4240-0001-0000</t>
  </si>
  <si>
    <t>PAGE</t>
  </si>
  <si>
    <t>45168 PAGE ST</t>
  </si>
  <si>
    <t>MCNIGHT RODNEY OHARA</t>
  </si>
  <si>
    <t>LOTS 1 2 &amp; 7 (EX PAR 7-1) IN OR 1513/689-694 &amp; CASE #45-2011-DR-116</t>
  </si>
  <si>
    <t>2017-932</t>
  </si>
  <si>
    <t>SANMARCORA ODUGIT</t>
  </si>
  <si>
    <t>2016-948</t>
  </si>
  <si>
    <t>D212666</t>
  </si>
  <si>
    <t>2015-972</t>
  </si>
  <si>
    <t>KING FISH CORAL CERTS AAUI LLC</t>
  </si>
  <si>
    <t>2014-1022</t>
  </si>
  <si>
    <t>2013-1065</t>
  </si>
  <si>
    <t>2012-3109</t>
  </si>
  <si>
    <t>2011-1302</t>
  </si>
  <si>
    <t>51-2N-25-4240-0011-0000</t>
  </si>
  <si>
    <t>DIXIE AV</t>
  </si>
  <si>
    <t>MLN MANAGEMENT CO</t>
  </si>
  <si>
    <t>731 DUVAL STATION RD # 107-305</t>
  </si>
  <si>
    <t>ARTHUR JONES SURVEY</t>
  </si>
  <si>
    <t>LOT 11 IN OR 1502/460 ARTHUR JONES SURVEY OR 75/281</t>
  </si>
  <si>
    <t>2017-937</t>
  </si>
  <si>
    <t>ROGER HOLDEN HOLDEN RESEARCH, INC</t>
  </si>
  <si>
    <t>2016-951</t>
  </si>
  <si>
    <t>2015-977</t>
  </si>
  <si>
    <t>2014-1026</t>
  </si>
  <si>
    <t>2013-1067</t>
  </si>
  <si>
    <t>2012-3112</t>
  </si>
  <si>
    <t>2011-1306</t>
  </si>
  <si>
    <t>51-2N-25-4240-0014-0000</t>
  </si>
  <si>
    <t>45826 DIXIE AVE</t>
  </si>
  <si>
    <t>GRIMAGE MAGGIE</t>
  </si>
  <si>
    <t>GRIMMAGE MAGGIE CARLETHA</t>
  </si>
  <si>
    <t>10857 NATALIE DR E</t>
  </si>
  <si>
    <t>LOT 14 IN OR 1467/15 ARTHUR JONES SURVEY OR 75/281</t>
  </si>
  <si>
    <t>2017-939</t>
  </si>
  <si>
    <t>2016-953</t>
  </si>
  <si>
    <t>2015-979</t>
  </si>
  <si>
    <t>2014-1027</t>
  </si>
  <si>
    <t>2013-1069</t>
  </si>
  <si>
    <t>2012-3114</t>
  </si>
  <si>
    <t>2011-1308</t>
  </si>
  <si>
    <t>51-2N-25-4240-0015-0000</t>
  </si>
  <si>
    <t>GRIMMAGE RUFUS</t>
  </si>
  <si>
    <t>LOT 15 IN OR 206 PG 34 (M &amp; S) ARTHUR JONES SURVEY OR 75/281</t>
  </si>
  <si>
    <t>2017-940</t>
  </si>
  <si>
    <t>2016-954</t>
  </si>
  <si>
    <t>GDI 101 LLC</t>
  </si>
  <si>
    <t>2015-980</t>
  </si>
  <si>
    <t>2014-1028</t>
  </si>
  <si>
    <t>2013-1070</t>
  </si>
  <si>
    <t>2012-3115</t>
  </si>
  <si>
    <t>2011-1309</t>
  </si>
  <si>
    <t>05-3N-25-0000-0001-0090</t>
  </si>
  <si>
    <t>JACKSON COVE</t>
  </si>
  <si>
    <t>47450 JACKSON COVE RD</t>
  </si>
  <si>
    <t>JACKSON LARRY GENE JR &amp; JACKSON SHERI</t>
  </si>
  <si>
    <t>5-03N-25E</t>
  </si>
  <si>
    <t>IN OR 686 PG 125 R498207 &amp; R498208</t>
  </si>
  <si>
    <t>0.2 PCT ANNUAL CHANCE FLOOD HAZARD</t>
  </si>
  <si>
    <t>12089C_925</t>
  </si>
  <si>
    <t>Moderate</t>
  </si>
  <si>
    <t>2017-941</t>
  </si>
  <si>
    <t>HIDEW 32330 LLC</t>
  </si>
  <si>
    <t>2016-955</t>
  </si>
  <si>
    <t>JH - LIEN BUYING MACHINE 65759 US BANK CUST FOR PFS FINANCIAL 2 LLC</t>
  </si>
  <si>
    <t>2015-981</t>
  </si>
  <si>
    <t>LIME WHALE 171 LLC</t>
  </si>
  <si>
    <t>2014-1029</t>
  </si>
  <si>
    <t>2013-1071</t>
  </si>
  <si>
    <t>2012-813</t>
  </si>
  <si>
    <t>2011-1310</t>
  </si>
  <si>
    <t>08-3N-25-0000-0003-0000</t>
  </si>
  <si>
    <t>SHEPHERD ALAN D</t>
  </si>
  <si>
    <t>8008 NEWTON RD</t>
  </si>
  <si>
    <t>8-03N-25E</t>
  </si>
  <si>
    <t>SW1/4 OF NE1/4 NW1/4 OF SE1/4 IN OR 1298/1130 EX 3-1 3-2 3-3 3-5 &amp; 3-6</t>
  </si>
  <si>
    <t>2016-956</t>
  </si>
  <si>
    <t>08-3N-25-0000-0003-0030</t>
  </si>
  <si>
    <t>151495 CR 108</t>
  </si>
  <si>
    <t>BRANTLEY SANDRA DRAKE</t>
  </si>
  <si>
    <t>151495 COUNTY ROAD 108</t>
  </si>
  <si>
    <t>IN OR 702 PG 1723</t>
  </si>
  <si>
    <t>2017-942</t>
  </si>
  <si>
    <t>RAPTY TRUST SERIES 26058</t>
  </si>
  <si>
    <t>2016-959</t>
  </si>
  <si>
    <t>FLORIDA GROUP UPSILON 166775 US BANK CUST FOR PFS FINANCIAL 1</t>
  </si>
  <si>
    <t>2014-1030</t>
  </si>
  <si>
    <t>2013-1072</t>
  </si>
  <si>
    <t>2012-978</t>
  </si>
  <si>
    <t>2011-1313</t>
  </si>
  <si>
    <t>09-3N-25-0000-0002-0010</t>
  </si>
  <si>
    <t>MIDDLE RD</t>
  </si>
  <si>
    <t>DELOACH ROBERT E</t>
  </si>
  <si>
    <t>DELOACH TINA K</t>
  </si>
  <si>
    <t>47225 MIDDLE RD</t>
  </si>
  <si>
    <t>9-03N-25E</t>
  </si>
  <si>
    <t>PT GOVT LOT 2 OF SEC 9-3N-25E IN OR 1569/259 (EX ROAD R/W)</t>
  </si>
  <si>
    <t>09-3N-25-0000-0002-0030</t>
  </si>
  <si>
    <t>PT GOVT LOT 2 OF SEC 9-3N-25E IN OR 643/741 (EX ROAD R/W)</t>
  </si>
  <si>
    <t>12-3N-25-0000-0001-0010</t>
  </si>
  <si>
    <t>152985 CR 108</t>
  </si>
  <si>
    <t>CAMS DEMOLITION &amp; DISPOSAL INC</t>
  </si>
  <si>
    <t>8 JEWEL DR</t>
  </si>
  <si>
    <t>WILMINGTON MA</t>
  </si>
  <si>
    <t>12-03N-25E</t>
  </si>
  <si>
    <t>PT GOVT LOT 6 OF SEC 12-3N-25E IN OR 1830/909</t>
  </si>
  <si>
    <t>2017-943</t>
  </si>
  <si>
    <t>2016-962</t>
  </si>
  <si>
    <t>2015-982</t>
  </si>
  <si>
    <t>2013-1073</t>
  </si>
  <si>
    <t>2012-1169</t>
  </si>
  <si>
    <t>2011-1316</t>
  </si>
  <si>
    <t>16-3N-25-0000-0002-0000</t>
  </si>
  <si>
    <t>ALESSI ANTHONY</t>
  </si>
  <si>
    <t>27032 W 5TH AVE</t>
  </si>
  <si>
    <t>16-03N-25E</t>
  </si>
  <si>
    <t>W1/2 OF NE1/4 OF NW1/4 IN OR 1557/785 EX ESMT OR 1516/312</t>
  </si>
  <si>
    <t>2011-1318</t>
  </si>
  <si>
    <t>27-3N-25-0000-0003-0070</t>
  </si>
  <si>
    <t>HOLTON JOHN</t>
  </si>
  <si>
    <t>HOLTON ALAINA</t>
  </si>
  <si>
    <t>15223 LANDMARK CIR S</t>
  </si>
  <si>
    <t>27-03N-25E</t>
  </si>
  <si>
    <t>S1/2 OF NW1/4 &amp; SW1/4 OF SEC 27-3N-25E IN OR 2033/161 LYING EAST OF LANDS DESCRIBED</t>
  </si>
  <si>
    <t>2017-945</t>
  </si>
  <si>
    <t>PRINCE WILLIAM 602 COMPANY LLC</t>
  </si>
  <si>
    <t>27-3N-25-0000-0004-0020</t>
  </si>
  <si>
    <t>46551 MIDDLE RD</t>
  </si>
  <si>
    <t>PT GOVT LOT 3 OF SEC 27-3N-25E IN OR 1558/873 &amp; ESMT IN OR 1839/1613</t>
  </si>
  <si>
    <t>2017-946</t>
  </si>
  <si>
    <t>SETPER LLC O103581 SERIES</t>
  </si>
  <si>
    <t>2016-965</t>
  </si>
  <si>
    <t>ECRU LLC AK490C555</t>
  </si>
  <si>
    <t>2012-1740</t>
  </si>
  <si>
    <t>27-3N-25-2345-0002-0000</t>
  </si>
  <si>
    <t>46667 MIDDLE RD</t>
  </si>
  <si>
    <t>BROWN MARY C</t>
  </si>
  <si>
    <t>WELLS RONNIE C</t>
  </si>
  <si>
    <t>WILDERNESS PLANTATION</t>
  </si>
  <si>
    <t>LOT 2 IN OR 1033 PG 1456 2002 FTWD DW/MH WILDERNESS PLANTATION PB 6/267</t>
  </si>
  <si>
    <t>2017-948</t>
  </si>
  <si>
    <t>BISBEE LLC AK1C6422</t>
  </si>
  <si>
    <t>2016-966</t>
  </si>
  <si>
    <t>BISBEE LLC HB883DB</t>
  </si>
  <si>
    <t>2015-985</t>
  </si>
  <si>
    <t>SSSSS1476</t>
  </si>
  <si>
    <t>2014-1032</t>
  </si>
  <si>
    <t>28-3N-25-0000-0002-0010</t>
  </si>
  <si>
    <t>28-03N-25E</t>
  </si>
  <si>
    <t>PT OF NW1/4 &amp; PT OF SW1/4 &amp; PT OF SE1/4 OF SEC 28-3N-25E IN OR 1558/873 (EX ESMTS IN</t>
  </si>
  <si>
    <t>2017-949</t>
  </si>
  <si>
    <t>SIDE LACE PARTNERS139452</t>
  </si>
  <si>
    <t>2016-967</t>
  </si>
  <si>
    <t>D1134</t>
  </si>
  <si>
    <t>34-3N-25-0000-0003-0020</t>
  </si>
  <si>
    <t>BOGGY</t>
  </si>
  <si>
    <t>56126 BOGGY TRL</t>
  </si>
  <si>
    <t>CRAWFORD ROBERT L</t>
  </si>
  <si>
    <t>ROBERT L CRAWFORD REVOCABLE TRUST</t>
  </si>
  <si>
    <t>34-03N-25E</t>
  </si>
  <si>
    <t>L/E OR 1278/165 ESMT OR 580/80</t>
  </si>
  <si>
    <t>2017-955</t>
  </si>
  <si>
    <t>TREELINE TRACE 528 MANAGEMENT SERVICES LLC</t>
  </si>
  <si>
    <t>2016-969</t>
  </si>
  <si>
    <t>DBW FL 3671 A2</t>
  </si>
  <si>
    <t>2014-1039</t>
  </si>
  <si>
    <t>2013-1086</t>
  </si>
  <si>
    <t>2011-1326</t>
  </si>
  <si>
    <t>35-3N-25-1810-0006-0000</t>
  </si>
  <si>
    <t>BARTRAM TR</t>
  </si>
  <si>
    <t>55206 BARTRAM TR</t>
  </si>
  <si>
    <t>CALLAHAN FL 32097</t>
  </si>
  <si>
    <t>TAYLOR JAMES V</t>
  </si>
  <si>
    <t>87543 CREEKSIDE DR</t>
  </si>
  <si>
    <t>35-03N-25E</t>
  </si>
  <si>
    <t>LOT 6 IN OR 2055/583 RESERVE AT DEER RUN #1 PB 8/24</t>
  </si>
  <si>
    <t>2016-979</t>
  </si>
  <si>
    <t>2015-992</t>
  </si>
  <si>
    <t>2014-1047</t>
  </si>
  <si>
    <t>2011-1337</t>
  </si>
  <si>
    <t>35-3N-25-1810-0075-0000</t>
  </si>
  <si>
    <t>55169 BARTRAM TR</t>
  </si>
  <si>
    <t>JACKSON JR LARRY GENE</t>
  </si>
  <si>
    <t>JACKSON TREANA</t>
  </si>
  <si>
    <t>55127 BARTRAM TRL</t>
  </si>
  <si>
    <t>LOT 75 PT OR 1789/1249 RESERVE AT DEER RUN #1 PB 8/24</t>
  </si>
  <si>
    <t>2016-985</t>
  </si>
  <si>
    <t>2015-1014</t>
  </si>
  <si>
    <t>2014-1073</t>
  </si>
  <si>
    <t>35-3N-25-1810-0076-0000</t>
  </si>
  <si>
    <t>LOT 76 PT OR 1789/1249 RESERVE AT DEER RUN #1 PB 8/24</t>
  </si>
  <si>
    <t>2016-986</t>
  </si>
  <si>
    <t>2015-1015</t>
  </si>
  <si>
    <t>2014-1074</t>
  </si>
  <si>
    <t>2011-1365</t>
  </si>
  <si>
    <t>35-3N-25-1810-0093-0000</t>
  </si>
  <si>
    <t>TROTTER</t>
  </si>
  <si>
    <t>54118 TROTTER LN</t>
  </si>
  <si>
    <t>RESERVE AT DEER RUN</t>
  </si>
  <si>
    <t>LOT 93 PT OR 1789/1249 RESERVE AT DEER RUN #1 PB 8/24</t>
  </si>
  <si>
    <t>2016-988</t>
  </si>
  <si>
    <t>2015-1024</t>
  </si>
  <si>
    <t>2014-1087</t>
  </si>
  <si>
    <t>2011-1378</t>
  </si>
  <si>
    <t>35-3N-25-1810-0094-0000</t>
  </si>
  <si>
    <t>TROTTER LN</t>
  </si>
  <si>
    <t>LOT 94 PT OR 1789/1249 RESERVE AT DEER RUN #1 PB 8/24</t>
  </si>
  <si>
    <t>2016-989</t>
  </si>
  <si>
    <t>2015-1025</t>
  </si>
  <si>
    <t>2014-1088</t>
  </si>
  <si>
    <t>2011-1379</t>
  </si>
  <si>
    <t>40-3N-25-0000-0001-0110</t>
  </si>
  <si>
    <t>152981 CR 108</t>
  </si>
  <si>
    <t>ALBERTIE CORA</t>
  </si>
  <si>
    <t>86145 FORTUNE DR</t>
  </si>
  <si>
    <t>40-03N-25E</t>
  </si>
  <si>
    <t>OR 514 PG 591</t>
  </si>
  <si>
    <t>2017-961</t>
  </si>
  <si>
    <t>2016-991</t>
  </si>
  <si>
    <t>2015-1027</t>
  </si>
  <si>
    <t>2013-1096</t>
  </si>
  <si>
    <t>2012-2449</t>
  </si>
  <si>
    <t>2011-1380</t>
  </si>
  <si>
    <t>40-3N-25-0000-0001-0160</t>
  </si>
  <si>
    <t>HENDRIX MAX</t>
  </si>
  <si>
    <t>5645 WANDERING TRL</t>
  </si>
  <si>
    <t>IN OR 1864/1564</t>
  </si>
  <si>
    <t>2015-1028</t>
  </si>
  <si>
    <t>40-3N-25-0000-0001-0210</t>
  </si>
  <si>
    <t>ALDERMAN</t>
  </si>
  <si>
    <t>ALDERMAN DR</t>
  </si>
  <si>
    <t>MASON WADE</t>
  </si>
  <si>
    <t>MASON DANA</t>
  </si>
  <si>
    <t>4338 MARSH HAWK DR S</t>
  </si>
  <si>
    <t>IN OR 1630/502</t>
  </si>
  <si>
    <t>2014-1090</t>
  </si>
  <si>
    <t>2013-1097</t>
  </si>
  <si>
    <t>2011-1381</t>
  </si>
  <si>
    <t>48-3N-25-0000-0001-0040</t>
  </si>
  <si>
    <t>HICKOX</t>
  </si>
  <si>
    <t>56206 HICKOX LN</t>
  </si>
  <si>
    <t>SHIVER ASHLEY</t>
  </si>
  <si>
    <t>STAFFORD JOSHUA</t>
  </si>
  <si>
    <t>56182 HICKOX LN</t>
  </si>
  <si>
    <t>48-03N-25E</t>
  </si>
  <si>
    <t>IN OR 1542/144 PAR 1-4 IN SEC 48 &amp; PAR 2-1 IN SEC 50</t>
  </si>
  <si>
    <t>2016-992</t>
  </si>
  <si>
    <t>BANDIR KOSI CERTS 638 LLC</t>
  </si>
  <si>
    <t>2014-1091</t>
  </si>
  <si>
    <t>2012-3003</t>
  </si>
  <si>
    <t>SZYMANSKI GENE GENE SZYMANSKI</t>
  </si>
  <si>
    <t>2011-1385</t>
  </si>
  <si>
    <t>48-3N-25-4195-0001-0000</t>
  </si>
  <si>
    <t>COLBY</t>
  </si>
  <si>
    <t>56375 COLBY DR</t>
  </si>
  <si>
    <t>REA KODY LEE</t>
  </si>
  <si>
    <t>NASSAU OAKS</t>
  </si>
  <si>
    <t>LOT 1 IN OR 1981/569 NASSAU OAKS SEC 1 UNR</t>
  </si>
  <si>
    <t>2017-962</t>
  </si>
  <si>
    <t>2016-993</t>
  </si>
  <si>
    <t>48-3N-25-4195-0002-0000</t>
  </si>
  <si>
    <t>56467 NASSAU OAKS DR</t>
  </si>
  <si>
    <t>KIRKLAND REA LEE</t>
  </si>
  <si>
    <t>LOT 2 IN OR 983/917 NASSAU OAKS SEC 1 UNR</t>
  </si>
  <si>
    <t>2017-963</t>
  </si>
  <si>
    <t>2016-994</t>
  </si>
  <si>
    <t>2015-1035</t>
  </si>
  <si>
    <t>2014-1092</t>
  </si>
  <si>
    <t>2013-1103</t>
  </si>
  <si>
    <t>2012-3004</t>
  </si>
  <si>
    <t>2011-1386</t>
  </si>
  <si>
    <t>48-3N-25-4195-000H-0000</t>
  </si>
  <si>
    <t>56193 COLBY DR</t>
  </si>
  <si>
    <t>EARICK VIRGINIA L</t>
  </si>
  <si>
    <t>H</t>
  </si>
  <si>
    <t>LOT H RP 2309 IN OR 679 PG 630 NASSAU OAKS SEC 1 UNR</t>
  </si>
  <si>
    <t>48-3N-25-4195-0025-0000</t>
  </si>
  <si>
    <t>56392 NASSAU OAKS DR</t>
  </si>
  <si>
    <t>WATSON RICHARD</t>
  </si>
  <si>
    <t>LOT 25 IN OR 253/652 &amp; OR 1958/552 R360176 &amp; R360177</t>
  </si>
  <si>
    <t>2017-966</t>
  </si>
  <si>
    <t>2016-995</t>
  </si>
  <si>
    <t>2015-1036</t>
  </si>
  <si>
    <t>2014-1094</t>
  </si>
  <si>
    <t>2013-1104</t>
  </si>
  <si>
    <t>2012-3005</t>
  </si>
  <si>
    <t>2011-1387</t>
  </si>
  <si>
    <t>48-3N-25-4195-0027-0000</t>
  </si>
  <si>
    <t>56414 NASSAU OAKS DR</t>
  </si>
  <si>
    <t>CURRENT RICHARD K</t>
  </si>
  <si>
    <t>CURRENT TERRY L</t>
  </si>
  <si>
    <t>LOT 27 IN OR 781/631 NASSAU OAKS SEC 1 UNR</t>
  </si>
  <si>
    <t>2017-967</t>
  </si>
  <si>
    <t>GEEATO 9263</t>
  </si>
  <si>
    <t>2016-996</t>
  </si>
  <si>
    <t>GRAPESEED INDUSTRIES213090</t>
  </si>
  <si>
    <t>2015-1037</t>
  </si>
  <si>
    <t>FL PROJ - CCTS - GROUP LAMBDA 47535 US BANK CUST FOR PFS FINANCIAL 2 LLC</t>
  </si>
  <si>
    <t>2014-1095</t>
  </si>
  <si>
    <t>2013-1105</t>
  </si>
  <si>
    <t>2012-3006</t>
  </si>
  <si>
    <t>GARNET ROCK LLC - 384 US BANK % GARNET ROCK LLC-384</t>
  </si>
  <si>
    <t>48-3N-25-4195-0037-0000</t>
  </si>
  <si>
    <t>56525 NASSAU OAKS DR</t>
  </si>
  <si>
    <t>GLISSON SIDNEY R</t>
  </si>
  <si>
    <t>GLISSON APRIL M</t>
  </si>
  <si>
    <t>45244 KERI BLVD</t>
  </si>
  <si>
    <t>LOT 37 IN OR 1280/1073 1975 MARIE SW/MH NASSAU OAKS SEC 1 UNR</t>
  </si>
  <si>
    <t>2017-969</t>
  </si>
  <si>
    <t>2016-999</t>
  </si>
  <si>
    <t>2015-1039</t>
  </si>
  <si>
    <t>2014-1097</t>
  </si>
  <si>
    <t>2013-1107</t>
  </si>
  <si>
    <t>2012-3008</t>
  </si>
  <si>
    <t>2011-1389</t>
  </si>
  <si>
    <t>48-3N-25-4196-000L-0000</t>
  </si>
  <si>
    <t>56234 NASSAU OAKS DR</t>
  </si>
  <si>
    <t>MAYBERRY KENNETH R</t>
  </si>
  <si>
    <t>MAYBERRY ANGELA</t>
  </si>
  <si>
    <t>56127 NASSAU OAKS DR</t>
  </si>
  <si>
    <t>L</t>
  </si>
  <si>
    <t>LOT L IN OR 1780/1663 R407624 &amp; R407625</t>
  </si>
  <si>
    <t>48-3N-25-4196-000N-0000</t>
  </si>
  <si>
    <t>56178 NASSAU OAKS DR</t>
  </si>
  <si>
    <t>JONES CHARLES A</t>
  </si>
  <si>
    <t>JONES SARAH V</t>
  </si>
  <si>
    <t>LOT N R622295 &amp; R622296 IN OR 432 PG 747 NASSAU OAKS SEC 2 UNR</t>
  </si>
  <si>
    <t>2017-970</t>
  </si>
  <si>
    <t>CHAINPUR TIN 44 LLC</t>
  </si>
  <si>
    <t>2015-1040</t>
  </si>
  <si>
    <t>MOCA INVESTMENTS44053</t>
  </si>
  <si>
    <t>2014-1098</t>
  </si>
  <si>
    <t>2013-1108</t>
  </si>
  <si>
    <t>2012-3009</t>
  </si>
  <si>
    <t>2011-1390</t>
  </si>
  <si>
    <t>48-3N-25-4196-0104-0000</t>
  </si>
  <si>
    <t>56491 NASSAU OAKS DR</t>
  </si>
  <si>
    <t>CARROLL MARILYN J</t>
  </si>
  <si>
    <t>LOT 104 IN OR 207 PG 435 NASSAU OAKS SEC 2 UNR</t>
  </si>
  <si>
    <t>2017-971</t>
  </si>
  <si>
    <t>SILVER MEADOW 975 REO LLC</t>
  </si>
  <si>
    <t>2016-1000</t>
  </si>
  <si>
    <t>GRASSRIVER INV GREEN AJOD LLC</t>
  </si>
  <si>
    <t>2015-1041</t>
  </si>
  <si>
    <t>SIDE LACE PARTNERS174520</t>
  </si>
  <si>
    <t>2014-1099</t>
  </si>
  <si>
    <t>2013-1109</t>
  </si>
  <si>
    <t>2012-3010</t>
  </si>
  <si>
    <t>2011-1391</t>
  </si>
  <si>
    <t>48-3N-25-4196-0118-0000</t>
  </si>
  <si>
    <t>56151 NASSAU OAKS DR</t>
  </si>
  <si>
    <t>THOMAS KENNETH J</t>
  </si>
  <si>
    <t>THOMAS LURETIA D</t>
  </si>
  <si>
    <t>LOT 118 IN OR 1897/942 R36005 &amp; R360051</t>
  </si>
  <si>
    <t>2017-972</t>
  </si>
  <si>
    <t>2016-1003</t>
  </si>
  <si>
    <t>2015-1042</t>
  </si>
  <si>
    <t>CCTS CAP FL 82631 US BANK CUST FOR PFS FINANCIAL 2 LLC</t>
  </si>
  <si>
    <t>2013-1111</t>
  </si>
  <si>
    <t>2012-3011</t>
  </si>
  <si>
    <t>2011-1392</t>
  </si>
  <si>
    <t>48-3N-25-4196-0126-0000</t>
  </si>
  <si>
    <t>56023 NASSAU OAKS DR</t>
  </si>
  <si>
    <t>JONASSEN BARBARA E</t>
  </si>
  <si>
    <t>JONASSEN HARRY C</t>
  </si>
  <si>
    <t>LOT 126 IN OR 1788/1642 R672964 &amp; R672965</t>
  </si>
  <si>
    <t>2017-974</t>
  </si>
  <si>
    <t>MEADOW VIEW 761 SERVICING LLC</t>
  </si>
  <si>
    <t>48-3N-25-4196-0132-0000</t>
  </si>
  <si>
    <t>56204 COLBY DR</t>
  </si>
  <si>
    <t>HERR CRAIG M</t>
  </si>
  <si>
    <t>HERR LAURA BETH</t>
  </si>
  <si>
    <t>LOT 132 IN OR 1680/435 2010/CMMH/SWMH</t>
  </si>
  <si>
    <t>2017-975</t>
  </si>
  <si>
    <t>NETTLES BLVD 314 TAX RE LLC</t>
  </si>
  <si>
    <t>2016-1007</t>
  </si>
  <si>
    <t>RODEO HOLDINGS 52</t>
  </si>
  <si>
    <t>2015-1044</t>
  </si>
  <si>
    <t>FANO257</t>
  </si>
  <si>
    <t>2014-1102</t>
  </si>
  <si>
    <t>2013-1113</t>
  </si>
  <si>
    <t>2012-3013</t>
  </si>
  <si>
    <t>2011-1396</t>
  </si>
  <si>
    <t>48-3N-25-4196-0133-0000</t>
  </si>
  <si>
    <t>56234 COLBY DR</t>
  </si>
  <si>
    <t>REYNOLDS KIMBERLY D</t>
  </si>
  <si>
    <t>LOT 133 IN OR 1987/1951 2015 TOWN DW/MH</t>
  </si>
  <si>
    <t>2017-976</t>
  </si>
  <si>
    <t>DOGPOUND156619</t>
  </si>
  <si>
    <t>18-4N-25-0000-0005-0000</t>
  </si>
  <si>
    <t>WHITAKER</t>
  </si>
  <si>
    <t>4891 WHITAKER RD</t>
  </si>
  <si>
    <t>WHITTAKER CHARLES E</t>
  </si>
  <si>
    <t>PHILLIPS DEBORAH W</t>
  </si>
  <si>
    <t>4891 WHITTAKER RD</t>
  </si>
  <si>
    <t>18-04N-25E</t>
  </si>
  <si>
    <t>IN NE1/4 OF SW1/4 IN OR 786/1054 &amp; OR 818/1776 1987/WINN/SW/MH</t>
  </si>
  <si>
    <t>2017-977</t>
  </si>
  <si>
    <t>GRAPESEED INDUSTRIES50</t>
  </si>
  <si>
    <t>2016-1010</t>
  </si>
  <si>
    <t>C6763</t>
  </si>
  <si>
    <t>2015-1045</t>
  </si>
  <si>
    <t>JACKFISHER 628 LLC</t>
  </si>
  <si>
    <t>2014-1104</t>
  </si>
  <si>
    <t>18-4N-25-0000-0005-0040</t>
  </si>
  <si>
    <t>ROBINS NEST</t>
  </si>
  <si>
    <t>48050 ROBINS NEST WAY</t>
  </si>
  <si>
    <t>HOGAN ROGER N</t>
  </si>
  <si>
    <t>HOGAN ROBIN A</t>
  </si>
  <si>
    <t>PT OF NE1/4 OF SW1/4 IN OR 1199/571 R433611 &amp; R433612</t>
  </si>
  <si>
    <t>2017-978</t>
  </si>
  <si>
    <t>ICECAP INVEST 230 LLC</t>
  </si>
  <si>
    <t>2016-1011</t>
  </si>
  <si>
    <t>AM CERT LLC AND ABRTL LLC PARTNERSHIP 1905</t>
  </si>
  <si>
    <t>2015-1046</t>
  </si>
  <si>
    <t>KINGFISHER KEY TAX AIJF LLC</t>
  </si>
  <si>
    <t>2014-1105</t>
  </si>
  <si>
    <t>2013-1115</t>
  </si>
  <si>
    <t>2012-1341</t>
  </si>
  <si>
    <t>2011-1397</t>
  </si>
  <si>
    <t>18-4N-25-0000-0007-0080</t>
  </si>
  <si>
    <t>376175 KINGS FERRY RD</t>
  </si>
  <si>
    <t>WILSON AUSTIN L</t>
  </si>
  <si>
    <t>YOUNG VIRGINIA E</t>
  </si>
  <si>
    <t>IN OR 1098/127 &amp; OR 1943/894 R621559 &amp; R621560</t>
  </si>
  <si>
    <t>12089C_126</t>
  </si>
  <si>
    <t>2017-979</t>
  </si>
  <si>
    <t>MED ALI LLC AND MALLY LLC PARTNERSHIP 1502</t>
  </si>
  <si>
    <t>2016-1012</t>
  </si>
  <si>
    <t>KOKOORA HOLDINGS 408 LLC</t>
  </si>
  <si>
    <t>2015-1047</t>
  </si>
  <si>
    <t>SONA CAPITAL144582</t>
  </si>
  <si>
    <t>2014-1106</t>
  </si>
  <si>
    <t>2013-1116</t>
  </si>
  <si>
    <t>19-4N-25-0000-0002-0070</t>
  </si>
  <si>
    <t>HADDOCK</t>
  </si>
  <si>
    <t>48454 HADDOCK RD</t>
  </si>
  <si>
    <t>HULS JAMES</t>
  </si>
  <si>
    <t>HULS TONI S</t>
  </si>
  <si>
    <t>156 SW CROSSBOW PL</t>
  </si>
  <si>
    <t>19-04N-25E</t>
  </si>
  <si>
    <t>IN OR 471/425 &amp; OR 2006/451 R235911 EX R/W OR 611/1165</t>
  </si>
  <si>
    <t>2016-1014</t>
  </si>
  <si>
    <t>MALLY LLC AND MED ALI LLC PARTNERSHIP 202</t>
  </si>
  <si>
    <t>2012-3211</t>
  </si>
  <si>
    <t>2011-1399</t>
  </si>
  <si>
    <t>19-4N-25-4200-0004-0010</t>
  </si>
  <si>
    <t>TYLER KENNETH</t>
  </si>
  <si>
    <t>375917 KINGS FERRY RD</t>
  </si>
  <si>
    <t>PT OF LOTS 4 &amp; 5 IN OR 2044/1146 WATKINS ESTATE PBK O/65</t>
  </si>
  <si>
    <t>2017-980</t>
  </si>
  <si>
    <t>19-4N-25-4200-0004-0040</t>
  </si>
  <si>
    <t>TYLER KENNETH M</t>
  </si>
  <si>
    <t>PT OF LOTS 4 &amp; 5 A/K/A TRACT D IN OR 719 PG 209</t>
  </si>
  <si>
    <t>2017-982</t>
  </si>
  <si>
    <t>2016-1016</t>
  </si>
  <si>
    <t>2015-1048</t>
  </si>
  <si>
    <t>2014-1108</t>
  </si>
  <si>
    <t>2013-1118</t>
  </si>
  <si>
    <t>2011-1401</t>
  </si>
  <si>
    <t>19-4N-25-4200-0005-0010</t>
  </si>
  <si>
    <t>TIMMONS HELEN</t>
  </si>
  <si>
    <t>475212 MIDDLE RD</t>
  </si>
  <si>
    <t>PT OF LOT 5 A/K/A TRACT B PT OF OR 286 PG 400</t>
  </si>
  <si>
    <t>2017-983</t>
  </si>
  <si>
    <t>20-4N-25-0000-0003-0030</t>
  </si>
  <si>
    <t>INDIAN SUMMER</t>
  </si>
  <si>
    <t>48133 INDIAN SUMMER PL</t>
  </si>
  <si>
    <t>BUTLER GRAYMOND E</t>
  </si>
  <si>
    <t>3141 WATER ST</t>
  </si>
  <si>
    <t>FANNIE MAE/FREDDIE MAC</t>
  </si>
  <si>
    <t>20-04N-25E</t>
  </si>
  <si>
    <t>PARCEL 1-3 OF SEC 19 (EX 1-5) PARCEL 3-3 OF SEC 20 (EX 3-5) IN OR 1345/1432</t>
  </si>
  <si>
    <t>2017-984</t>
  </si>
  <si>
    <t>20-4N-25-0000-0006-0000</t>
  </si>
  <si>
    <t>481209 HADDOCK RD</t>
  </si>
  <si>
    <t>HADDOCK WINONA</t>
  </si>
  <si>
    <t>OR 242/28 L/E OR 587 PG 268 PARCELS 6 &amp; 7</t>
  </si>
  <si>
    <t>12089C_922</t>
  </si>
  <si>
    <t>2017-985</t>
  </si>
  <si>
    <t>ORANGE DOLPHINS XEXF LLC</t>
  </si>
  <si>
    <t>2016-1018</t>
  </si>
  <si>
    <t>JVJ - 212674 - BELLEAIR SHORE EIGHTEEN PERCENT US BANK CUST FOR PFS FINANCIAL 2 LLC</t>
  </si>
  <si>
    <t>2015-1049</t>
  </si>
  <si>
    <t>PELICAN FLOCK CERTS 1369 LLC</t>
  </si>
  <si>
    <t>2014-1109</t>
  </si>
  <si>
    <t>2013-1119</t>
  </si>
  <si>
    <t>2012-3212</t>
  </si>
  <si>
    <t>2011-1402</t>
  </si>
  <si>
    <t>20-4N-25-0000-0009-0060</t>
  </si>
  <si>
    <t>48658 CRAWFORD LN</t>
  </si>
  <si>
    <t>REED MS JENNIFER L</t>
  </si>
  <si>
    <t>48042 FROG PL</t>
  </si>
  <si>
    <t>OR 220/463 ESMT IN OR 718/150</t>
  </si>
  <si>
    <t>20-4N-25-0000-0010-0080</t>
  </si>
  <si>
    <t>48303 CRAWFORD LN</t>
  </si>
  <si>
    <t>ROBERTS RICHARD E</t>
  </si>
  <si>
    <t>ROBERTS TIA L</t>
  </si>
  <si>
    <t>IN OR 1559/1250 1972 ARLI SW</t>
  </si>
  <si>
    <t>2017-987</t>
  </si>
  <si>
    <t>LUNAR PRIME373309</t>
  </si>
  <si>
    <t>2016-1019</t>
  </si>
  <si>
    <t>MOCA INVESTMENTS164430</t>
  </si>
  <si>
    <t>2015-1052</t>
  </si>
  <si>
    <t>BIRDKIND CERTS 192 LLC</t>
  </si>
  <si>
    <t>2014-1111</t>
  </si>
  <si>
    <t>2012-1431</t>
  </si>
  <si>
    <t>2011-1404</t>
  </si>
  <si>
    <t>20-4N-25-4210-0001-0000</t>
  </si>
  <si>
    <t>473951 MIDDLE RD</t>
  </si>
  <si>
    <t>KATO JOHN H</t>
  </si>
  <si>
    <t>85663 AVANT RD</t>
  </si>
  <si>
    <t>TRACT 1 IN OR 1977/1323 D/W 84 SANT</t>
  </si>
  <si>
    <t>2016-1020</t>
  </si>
  <si>
    <t>RAPTY TRUST SERIES 30930</t>
  </si>
  <si>
    <t>21-4N-25-0000-0001-0010</t>
  </si>
  <si>
    <t>LESSIE</t>
  </si>
  <si>
    <t>574715 LESSIE RD</t>
  </si>
  <si>
    <t>MALONE ERIC M</t>
  </si>
  <si>
    <t>MALONE JENNIFER L</t>
  </si>
  <si>
    <t>21-04N-25E</t>
  </si>
  <si>
    <t>PT GOVT LOT 1 OF SEC 21-4N-25E IN OR 1568/918 (EX R/W OR 602/672)</t>
  </si>
  <si>
    <t>2017-988</t>
  </si>
  <si>
    <t>HOSSET LLC O30925 SERIES</t>
  </si>
  <si>
    <t>2016-1021</t>
  </si>
  <si>
    <t>SETPER LLC O61144 SERIES</t>
  </si>
  <si>
    <t>2015-1053</t>
  </si>
  <si>
    <t>LEMON DOLPHIN 371 LLC</t>
  </si>
  <si>
    <t>2014-1112</t>
  </si>
  <si>
    <t>2013-1120</t>
  </si>
  <si>
    <t>22-4N-25-0000-0004-0010</t>
  </si>
  <si>
    <t>574154 LESSIE RD</t>
  </si>
  <si>
    <t>WILLIAMSON GERALD M</t>
  </si>
  <si>
    <t>22-04N-25E</t>
  </si>
  <si>
    <t>PT GOVT LOT 2 OF SEC 22-4N-25E IN OR 745/1295 (EX R/W OR 614/925)</t>
  </si>
  <si>
    <t>2017-989</t>
  </si>
  <si>
    <t>ORANGE WHALES AKYN LLC</t>
  </si>
  <si>
    <t>2016-1022</t>
  </si>
  <si>
    <t>KINGFISHER KEY RED ABLV LLC</t>
  </si>
  <si>
    <t>26-4N-25-0000-0007-0090</t>
  </si>
  <si>
    <t>572734 LESSIE RD</t>
  </si>
  <si>
    <t>ARMSTRONG ROY L</t>
  </si>
  <si>
    <t>ARMSTRONG MARGIE J</t>
  </si>
  <si>
    <t>26-04N-25E</t>
  </si>
  <si>
    <t>PT OF NE1/4 OF SW1/4 IN OR 1258/1106 EX R/W OR 602/664</t>
  </si>
  <si>
    <t>26-4N-25-0000-0007-0150</t>
  </si>
  <si>
    <t>LESSIE RD</t>
  </si>
  <si>
    <t>BOYNT WANDA SWILLEY</t>
  </si>
  <si>
    <t>58056 HARVS PL</t>
  </si>
  <si>
    <t>PT OF W1/2 OF NE1/4 OF SW1/4 OF SEC 26-4N-25E IN OR 2002/438</t>
  </si>
  <si>
    <t>2017-991</t>
  </si>
  <si>
    <t>2016-1025</t>
  </si>
  <si>
    <t>2015-1057</t>
  </si>
  <si>
    <t>29-4N-25-0000-0003-0070</t>
  </si>
  <si>
    <t>NARROW</t>
  </si>
  <si>
    <t>NARROW WAY</t>
  </si>
  <si>
    <t>HOWARD CAROL</t>
  </si>
  <si>
    <t>48158 NARROW WAY</t>
  </si>
  <si>
    <t>29-04N-25E</t>
  </si>
  <si>
    <t>PT OF NE1/4 OF NW1/4 SEC 29 &amp; PT OF SE1/4 OF SW1/4 SEC 20 PARCELS 3-7 &amp; 3-6</t>
  </si>
  <si>
    <t>2017-992</t>
  </si>
  <si>
    <t>32-4N-25-0000-0001-0020</t>
  </si>
  <si>
    <t>LOGGING</t>
  </si>
  <si>
    <t>LOGGING RD</t>
  </si>
  <si>
    <t>THOMAS ADRIAN RANDOLPH</t>
  </si>
  <si>
    <t>12808 US HNY 301</t>
  </si>
  <si>
    <t>32-04N-25E</t>
  </si>
  <si>
    <t>PT OF N1/2 OF NE1/4 PAR 1-2 IN OR 1869/257 (EX R/W)</t>
  </si>
  <si>
    <t>32-4N-25-0000-0001-0030</t>
  </si>
  <si>
    <t>IN OR 1836/1938</t>
  </si>
  <si>
    <t>34-4N-25-0000-0001-0000</t>
  </si>
  <si>
    <t>MELTON</t>
  </si>
  <si>
    <t>MELTON RD</t>
  </si>
  <si>
    <t>WANG PETER</t>
  </si>
  <si>
    <t>58261 MELTON RD</t>
  </si>
  <si>
    <t>34-04N-25E</t>
  </si>
  <si>
    <t>E1/2 OF NE1/4 OF SEC 34-4N-25E IN OR 1207/569 BEING PARAGRAPHS 2 &amp; 3 &amp; PT OF W1/2</t>
  </si>
  <si>
    <t>2016-1027</t>
  </si>
  <si>
    <t>MAG TC 3-5087</t>
  </si>
  <si>
    <t>2015-1059</t>
  </si>
  <si>
    <t>2014-1117</t>
  </si>
  <si>
    <t>2012-2031</t>
  </si>
  <si>
    <t>2011-1410</t>
  </si>
  <si>
    <t>35-4N-25-0000-0001-0010</t>
  </si>
  <si>
    <t>COOPERS NECK</t>
  </si>
  <si>
    <t>58893 COOPERS NECK RD</t>
  </si>
  <si>
    <t>FAVORS MICHAEL FLOYD</t>
  </si>
  <si>
    <t>58871 COOPERS NECK RD</t>
  </si>
  <si>
    <t>35-04N-25E</t>
  </si>
  <si>
    <t>PT NE1/4 OF NE1/4 OF SEC 35-4N-25E IN OR 1241/1158 {R672538}</t>
  </si>
  <si>
    <t>2016-1028</t>
  </si>
  <si>
    <t>2015-1060</t>
  </si>
  <si>
    <t>SOIF XXX</t>
  </si>
  <si>
    <t>2014-1118</t>
  </si>
  <si>
    <t>35-4N-25-0000-0003-0000</t>
  </si>
  <si>
    <t>MASON</t>
  </si>
  <si>
    <t>MASON RD</t>
  </si>
  <si>
    <t>MASON JOHN</t>
  </si>
  <si>
    <t>58108 MASON RD</t>
  </si>
  <si>
    <t>IN W1/2 OF NW1/4 IN OR 514/448 &amp; OR 1636/1751</t>
  </si>
  <si>
    <t>2017-994</t>
  </si>
  <si>
    <t>2016-1029</t>
  </si>
  <si>
    <t>2015-1062</t>
  </si>
  <si>
    <t>2014-1122</t>
  </si>
  <si>
    <t>2013-1129</t>
  </si>
  <si>
    <t>2012-2059</t>
  </si>
  <si>
    <t>COX 3933INC</t>
  </si>
  <si>
    <t>35-4N-25-0000-0005-0000</t>
  </si>
  <si>
    <t>COONER PHILLIP M</t>
  </si>
  <si>
    <t>COONER LATISHA L</t>
  </si>
  <si>
    <t>PT OF NW1/4 OF NW1/4 OF SEC 35-4N-25E IN OR 1911/1808</t>
  </si>
  <si>
    <t>2017-995</t>
  </si>
  <si>
    <t>2016-1030</t>
  </si>
  <si>
    <t>2015-1063</t>
  </si>
  <si>
    <t>2014-1123</t>
  </si>
  <si>
    <t>2013-1130</t>
  </si>
  <si>
    <t>2012-2060</t>
  </si>
  <si>
    <t>2011-1414</t>
  </si>
  <si>
    <t>35-4N-25-0000-0005-0050</t>
  </si>
  <si>
    <t>PT OF NW1/4 OF NW1/4 OF SEC 35-4N-25E IN OR 1207/569 BEING PARAGRAPH 4</t>
  </si>
  <si>
    <t>2017-996</t>
  </si>
  <si>
    <t>TERRY COVE 336 RENTING REO LLC</t>
  </si>
  <si>
    <t>2016-1031</t>
  </si>
  <si>
    <t>ORANGE DOLPHINS AHMM LLC</t>
  </si>
  <si>
    <t>2015-1064</t>
  </si>
  <si>
    <t>KING FISH CORAL CERTS AANP LLC</t>
  </si>
  <si>
    <t>2012-2061</t>
  </si>
  <si>
    <t>2011-1415</t>
  </si>
  <si>
    <t>35-4N-25-0000-0008-0080</t>
  </si>
  <si>
    <t>TIMMONS</t>
  </si>
  <si>
    <t>58291 TIMMONS RD</t>
  </si>
  <si>
    <t>JONES BELINDA M</t>
  </si>
  <si>
    <t>PT OF SW1/4 OF NW1/4 IN OR 1955/1513</t>
  </si>
  <si>
    <t>2017-997</t>
  </si>
  <si>
    <t>CREEKSIDE BLVD HOLDINGS LLC</t>
  </si>
  <si>
    <t>2016-1032</t>
  </si>
  <si>
    <t>TRIAD HOLDINGS70977</t>
  </si>
  <si>
    <t>2015-1066</t>
  </si>
  <si>
    <t>TRAVIS FARM INVESTMENTS LLC - 271</t>
  </si>
  <si>
    <t>2011-1417</t>
  </si>
  <si>
    <t>35-4N-25-0000-0009-0130</t>
  </si>
  <si>
    <t>571639 LESSIE RD</t>
  </si>
  <si>
    <t>SCOTT VICTORIA M</t>
  </si>
  <si>
    <t>MASON JR LESTER</t>
  </si>
  <si>
    <t>PT OF NW1/4 OF SE1/4 IN OR 1174/406</t>
  </si>
  <si>
    <t>35-4N-25-4220-0001-0020</t>
  </si>
  <si>
    <t>58104 COOPERS NECK RD</t>
  </si>
  <si>
    <t>WALTER TERESA LYNN</t>
  </si>
  <si>
    <t>PT OF LOTS 1 3 &amp; 5 L/E IN OR 385 PG 564 EX S-3 OF LOT 3</t>
  </si>
  <si>
    <t>2017-998</t>
  </si>
  <si>
    <t>VIJEQ 16507 LLC</t>
  </si>
  <si>
    <t>2014-2561</t>
  </si>
  <si>
    <t>2013-2831</t>
  </si>
  <si>
    <t>2011-3819</t>
  </si>
  <si>
    <t>35-4N-25-4220-0002-0020</t>
  </si>
  <si>
    <t>COOPERS NECK RD</t>
  </si>
  <si>
    <t>CHEAVERS EVERETT</t>
  </si>
  <si>
    <t>10 MANOR DR</t>
  </si>
  <si>
    <t>NEPTUNE NJ</t>
  </si>
  <si>
    <t>PT OF LOTS 2 4 &amp; 6 OR 322 PG 610 &amp; 337 PG 324 QUINCE HERRING EST</t>
  </si>
  <si>
    <t>35-4N-25-4220-0003-0030</t>
  </si>
  <si>
    <t>E75 OF W308 OF S150 OF LOT 3 IN SW1/4 OF NE1/4 IN OR 1499/304</t>
  </si>
  <si>
    <t>2017-999</t>
  </si>
  <si>
    <t>2016-1034</t>
  </si>
  <si>
    <t>38-4N-25-0000-0012-0000</t>
  </si>
  <si>
    <t>BREAKER MARY LOUISE</t>
  </si>
  <si>
    <t>1235 W 12TH ST</t>
  </si>
  <si>
    <t>38-04N-25E</t>
  </si>
  <si>
    <t>PT WILLIAM NELSON GRANT SEC 38-4N-25E IN OR 458/556 (EX R/W IN OR 621/901)</t>
  </si>
  <si>
    <t>2017-1000</t>
  </si>
  <si>
    <t>43-4N-25-0000-0002-0030</t>
  </si>
  <si>
    <t>474630 MIDDLE RD</t>
  </si>
  <si>
    <t>POHL LEE NORA JO WINGATE</t>
  </si>
  <si>
    <t>WINGATE MONTA C</t>
  </si>
  <si>
    <t>474694 MIDDLE RD</t>
  </si>
  <si>
    <t>43-04N-25E</t>
  </si>
  <si>
    <t>CASE #04-24-CP OR 1315/116 R622047 &amp; R622048 EX R/W OR 605/1176</t>
  </si>
  <si>
    <t>12089C_1023</t>
  </si>
  <si>
    <t>2017-1001</t>
  </si>
  <si>
    <t>2016-1035</t>
  </si>
  <si>
    <t>2015-1068</t>
  </si>
  <si>
    <t>2013-1136</t>
  </si>
  <si>
    <t>2013-2876</t>
  </si>
  <si>
    <t>2011-1421</t>
  </si>
  <si>
    <t>43-4N-25-0000-0002-0080</t>
  </si>
  <si>
    <t>HOOVER ADAM E</t>
  </si>
  <si>
    <t>HOOVER MEGAN L</t>
  </si>
  <si>
    <t>37360 BULFORD RD</t>
  </si>
  <si>
    <t>OR 689/1262 EX R/W OR 602/572 EX 2-21 &amp; 2-22</t>
  </si>
  <si>
    <t>12089C_1116</t>
  </si>
  <si>
    <t>2017-1002</t>
  </si>
  <si>
    <t>2016-1036</t>
  </si>
  <si>
    <t>2015-1069</t>
  </si>
  <si>
    <t>2014-1129</t>
  </si>
  <si>
    <t>2013-1137</t>
  </si>
  <si>
    <t>2012-2855</t>
  </si>
  <si>
    <t>2011-1422</t>
  </si>
  <si>
    <t>43-4N-25-0000-0002-0220</t>
  </si>
  <si>
    <t>ROY HADDOCK</t>
  </si>
  <si>
    <t>ROY HADDOCK RD</t>
  </si>
  <si>
    <t>HOOVER WILLIAM L</t>
  </si>
  <si>
    <t>481572 HADDOCK RD</t>
  </si>
  <si>
    <t>IN OR 1217/1826 EX 2-23</t>
  </si>
  <si>
    <t>2017-1003</t>
  </si>
  <si>
    <t>2016-1037</t>
  </si>
  <si>
    <t>2015-1070</t>
  </si>
  <si>
    <t>2014-1130</t>
  </si>
  <si>
    <t>2012-2856</t>
  </si>
  <si>
    <t>2011-1423</t>
  </si>
  <si>
    <t>43-4N-25-0000-0002-0230</t>
  </si>
  <si>
    <t>481424 HADDOCK RD</t>
  </si>
  <si>
    <t>HOOVER APRIL</t>
  </si>
  <si>
    <t>IN OR 1868/1114</t>
  </si>
  <si>
    <t>2017-1004</t>
  </si>
  <si>
    <t>2016-1038</t>
  </si>
  <si>
    <t>2015-1071</t>
  </si>
  <si>
    <t>2014-1131</t>
  </si>
  <si>
    <t>2012-2857</t>
  </si>
  <si>
    <t>2011-1424</t>
  </si>
  <si>
    <t>43-4N-25-0000-0002-0290</t>
  </si>
  <si>
    <t>474278 MIDDLE RD</t>
  </si>
  <si>
    <t>HOOVER JOHN L</t>
  </si>
  <si>
    <t>PT JOSEPH HADDOCK DONATION IN OR 1939/1729 1985 CATA SW/MH</t>
  </si>
  <si>
    <t>2017-1005</t>
  </si>
  <si>
    <t>2016-1039</t>
  </si>
  <si>
    <t>2015-1072</t>
  </si>
  <si>
    <t>FL-PTH 9 LLC CAPONE NA CLTRL ASSIGNEE OF FL CORAL LIEN INV LLC</t>
  </si>
  <si>
    <t>2014-1132</t>
  </si>
  <si>
    <t>2013-1139</t>
  </si>
  <si>
    <t>2012-2858</t>
  </si>
  <si>
    <t>2011-1425</t>
  </si>
  <si>
    <t>48-4N-25-0000-0001-0260</t>
  </si>
  <si>
    <t>KOLARS FERRY RD</t>
  </si>
  <si>
    <t>WADE JASON &amp; OLIVER EMILY LYNN</t>
  </si>
  <si>
    <t>394669 KOLARS FERRY RD</t>
  </si>
  <si>
    <t>48-04N-25E</t>
  </si>
  <si>
    <t>PT SEC 48-4N-25E</t>
  </si>
  <si>
    <t>01-2N-26-0000-0007-0010</t>
  </si>
  <si>
    <t>GARRETT FLOYD L</t>
  </si>
  <si>
    <t>WILSON GARRETT AVA A</t>
  </si>
  <si>
    <t>2010 OAK VIEW DR</t>
  </si>
  <si>
    <t>SEVIERVILLE TN</t>
  </si>
  <si>
    <t>CHT COMM H</t>
  </si>
  <si>
    <t>1-02N-26E</t>
  </si>
  <si>
    <t>IN OR 1427/1012 PT IN SEC 1 &amp; SEC 12 EX R/W 01-351CA</t>
  </si>
  <si>
    <t>2017-1010</t>
  </si>
  <si>
    <t>BISBEE LLC AK1B1F9</t>
  </si>
  <si>
    <t>2016-1044</t>
  </si>
  <si>
    <t>2015-1078</t>
  </si>
  <si>
    <t>2014-1136</t>
  </si>
  <si>
    <t>2013-1143</t>
  </si>
  <si>
    <t>2012-594</t>
  </si>
  <si>
    <t>2011-1430</t>
  </si>
  <si>
    <t>02-2N-26-0000-0004-0100</t>
  </si>
  <si>
    <t>BILLS TR</t>
  </si>
  <si>
    <t>76023 BILLS TR</t>
  </si>
  <si>
    <t>JOHNSON BRENDA C</t>
  </si>
  <si>
    <t>JOHNSON JR CHARLES R</t>
  </si>
  <si>
    <t>595 ROCKINGHAM RD</t>
  </si>
  <si>
    <t>2-02N-26E</t>
  </si>
  <si>
    <t>IN OR 1967/3</t>
  </si>
  <si>
    <t>02-2N-26-0000-0004-0110</t>
  </si>
  <si>
    <t>HALLMARK</t>
  </si>
  <si>
    <t>77002 HALLMARK LN</t>
  </si>
  <si>
    <t>JOHNSON REBECCA M</t>
  </si>
  <si>
    <t>77135 HALLMARK LN</t>
  </si>
  <si>
    <t>PT OF N1/2 OF S1/2 OF S1/2 OF NE1/4 OF NW1/4 OR 1571/1455 1998 MERI DW/MH</t>
  </si>
  <si>
    <t>12089C_109</t>
  </si>
  <si>
    <t>2017-1011</t>
  </si>
  <si>
    <t>AZTEC ADVISORY SERVICES97554</t>
  </si>
  <si>
    <t>2016-1046</t>
  </si>
  <si>
    <t>RAPTY TRUST SERIES 914</t>
  </si>
  <si>
    <t>2015-1080</t>
  </si>
  <si>
    <t>ELVIS238</t>
  </si>
  <si>
    <t>2014-1138</t>
  </si>
  <si>
    <t>03-2N-26-0000-0001-0020</t>
  </si>
  <si>
    <t>FRED MINER ESTATE</t>
  </si>
  <si>
    <t>66616 FRED MINER ESTATE DR</t>
  </si>
  <si>
    <t>HIGGS JACK H</t>
  </si>
  <si>
    <t>HIGGS SHEILA F</t>
  </si>
  <si>
    <t>66616 FRED MINER ESTATES DR</t>
  </si>
  <si>
    <t>3-02N-26E</t>
  </si>
  <si>
    <t>IN OR 845/477 R787589 ESMT IN OR 287/83</t>
  </si>
  <si>
    <t>2017-1012</t>
  </si>
  <si>
    <t>EAGLE RIDGE 388 FINANCIAL SERVICES LLC</t>
  </si>
  <si>
    <t>2016-1047</t>
  </si>
  <si>
    <t>GREEN TAX FUNDING LLC 4 SERIES 3 A18</t>
  </si>
  <si>
    <t>2013-2832</t>
  </si>
  <si>
    <t>2011-1433</t>
  </si>
  <si>
    <t>03-2N-26-0000-0001-0080</t>
  </si>
  <si>
    <t>IONA</t>
  </si>
  <si>
    <t>66040 IONA PL</t>
  </si>
  <si>
    <t>CRIBB CHARLES R</t>
  </si>
  <si>
    <t>CRIBB NANCIE S</t>
  </si>
  <si>
    <t>IN OR 727/1685 R672678 &amp; R672679</t>
  </si>
  <si>
    <t>2017-1013</t>
  </si>
  <si>
    <t>MML LLC AND OAR LLC PARTNERSHIP 1425</t>
  </si>
  <si>
    <t>2014-1139</t>
  </si>
  <si>
    <t>2013-1145</t>
  </si>
  <si>
    <t>2011-1434</t>
  </si>
  <si>
    <t>03-2N-26-0000-0001-0120</t>
  </si>
  <si>
    <t>FRED MINER ESTATE DR</t>
  </si>
  <si>
    <t>POLAND LOIS MINER</t>
  </si>
  <si>
    <t>PO BOX 6</t>
  </si>
  <si>
    <t>E1/2 OF NE1/4 IN OR 1094/1144</t>
  </si>
  <si>
    <t>2017-1014</t>
  </si>
  <si>
    <t>2016-1048</t>
  </si>
  <si>
    <t>2015-1081</t>
  </si>
  <si>
    <t>2014-1140</t>
  </si>
  <si>
    <t>2013-1147</t>
  </si>
  <si>
    <t>2012-693</t>
  </si>
  <si>
    <t>05-2N-26-0000-0004-0090</t>
  </si>
  <si>
    <t>GUSSIE</t>
  </si>
  <si>
    <t>GUSSIE LN</t>
  </si>
  <si>
    <t>GILL CHARLES B</t>
  </si>
  <si>
    <t>66112 GUSSIE LN</t>
  </si>
  <si>
    <t>5-02N-26E</t>
  </si>
  <si>
    <t>IN OR 979/1651 RP 1316 EX R/W PT CASE# 01-418CA EX 4-12 THRU 4-15</t>
  </si>
  <si>
    <t>2016-1049</t>
  </si>
  <si>
    <t>GDI 60 LLC</t>
  </si>
  <si>
    <t>2011-1438</t>
  </si>
  <si>
    <t>05-2N-26-0000-0004-0130</t>
  </si>
  <si>
    <t>66146 GUSSIE LN</t>
  </si>
  <si>
    <t>BROWN ROBERT CHARLES</t>
  </si>
  <si>
    <t>IN OR 1078/577 R497758 &amp; R622393 ESMT OR 1434/442</t>
  </si>
  <si>
    <t>2017-1015</t>
  </si>
  <si>
    <t>TRIAD HOLDINGS148576</t>
  </si>
  <si>
    <t>2015-1083</t>
  </si>
  <si>
    <t>2014-1141</t>
  </si>
  <si>
    <t>2013-1149</t>
  </si>
  <si>
    <t>2012-778</t>
  </si>
  <si>
    <t>2011-1439</t>
  </si>
  <si>
    <t>05-2N-26-0000-0004-0150</t>
  </si>
  <si>
    <t>IN OR 586/539 &amp; OR 633/214 EX R/W CASE #01-418CA ESMT OR 1434/440</t>
  </si>
  <si>
    <t>2016-1050</t>
  </si>
  <si>
    <t>GDI 23 LLC</t>
  </si>
  <si>
    <t>2011-1440</t>
  </si>
  <si>
    <t>05-2N-26-1875-0001-0000</t>
  </si>
  <si>
    <t>ROCKING HORSE</t>
  </si>
  <si>
    <t>66110 ROCKING HORSE LN</t>
  </si>
  <si>
    <t>PREMIER HOMES OF NORTH FLORIDA INC</t>
  </si>
  <si>
    <t>55234 WHITE OAK PL</t>
  </si>
  <si>
    <t>RS-E</t>
  </si>
  <si>
    <t>ROCKING HORSE FARMS</t>
  </si>
  <si>
    <t>LOT 1 PT OR 1313/1108 ROCKING HORSE FARMS PB 7/104</t>
  </si>
  <si>
    <t>05-2N-26-1875-0002-0000</t>
  </si>
  <si>
    <t>66144 ROCKING HORSE LN</t>
  </si>
  <si>
    <t>LOT 2 PT OR 1313/1108 ROCKING HORSE FARMS PB 7/104</t>
  </si>
  <si>
    <t>05-2N-26-1875-0003-0000</t>
  </si>
  <si>
    <t>66178 ROCKING HORSE LN</t>
  </si>
  <si>
    <t>LOT 3 PT OR 1313/1108 ROCKING HORSE FARMS PB 7/104</t>
  </si>
  <si>
    <t>05-2N-26-1875-0004-0000</t>
  </si>
  <si>
    <t>66208 ROCKING HORSE LN</t>
  </si>
  <si>
    <t>ROCKING HORSE DEVELOPMENT INC</t>
  </si>
  <si>
    <t>LOT 4 PT OR 1313/1108 ROCKING HORSE FARMS PB 7/104</t>
  </si>
  <si>
    <t>07-2N-26-0000-0002-0010</t>
  </si>
  <si>
    <t>DIXON</t>
  </si>
  <si>
    <t>56124 DIXON TRL</t>
  </si>
  <si>
    <t>MORGAN PAMELA J</t>
  </si>
  <si>
    <t>7-02N-26E</t>
  </si>
  <si>
    <t>PT OF NE1/4 OF NW1/4 IN OR 1881/1619 {1995 RICH SW/MH}</t>
  </si>
  <si>
    <t>2017-1016</t>
  </si>
  <si>
    <t>2015-1085</t>
  </si>
  <si>
    <t>C4880</t>
  </si>
  <si>
    <t>2014-1142</t>
  </si>
  <si>
    <t>2013-1150</t>
  </si>
  <si>
    <t>2012-861</t>
  </si>
  <si>
    <t>2012-3271</t>
  </si>
  <si>
    <t>2012-3315</t>
  </si>
  <si>
    <t>2012-3326</t>
  </si>
  <si>
    <t>11-2N-26-1830-0122-0000</t>
  </si>
  <si>
    <t>FERN CREEK</t>
  </si>
  <si>
    <t>75102 FERN CREEK DR</t>
  </si>
  <si>
    <t>IWANIUSZ MICHAEL WILLIAM</t>
  </si>
  <si>
    <t>IWANIUSZ SHELLY LYNN</t>
  </si>
  <si>
    <t>VA</t>
  </si>
  <si>
    <t>RIVER GLEN #1</t>
  </si>
  <si>
    <t>11-02N-26E</t>
  </si>
  <si>
    <t>LOT 122 PT OR 2052/825 RIVER GLEN #1 PB 7/263</t>
  </si>
  <si>
    <t>River Glen Community Development District</t>
  </si>
  <si>
    <t>DFLT 1D</t>
  </si>
  <si>
    <t>2011-1506</t>
  </si>
  <si>
    <t>11-2N-26-2050-0185-0000</t>
  </si>
  <si>
    <t>DEERWOOD</t>
  </si>
  <si>
    <t>76282 DEERWOOD DR</t>
  </si>
  <si>
    <t>COLE HERMAN K</t>
  </si>
  <si>
    <t>COLE CHRISTINE L</t>
  </si>
  <si>
    <t>TIMBER CREEK</t>
  </si>
  <si>
    <t>LOT 185 IN OR 1422/1395 TIMBER CREEK PLANTATION #1</t>
  </si>
  <si>
    <t>13-2N-26-4200-0023-0000</t>
  </si>
  <si>
    <t>EDWARDS</t>
  </si>
  <si>
    <t>75028 EDWARDS RD</t>
  </si>
  <si>
    <t>SMIT ROBIN</t>
  </si>
  <si>
    <t>SMIT LAURA MARY</t>
  </si>
  <si>
    <t>3910 FOXFIELD LN</t>
  </si>
  <si>
    <t>NASSAU LANDING SUB</t>
  </si>
  <si>
    <t>13-02N-26E</t>
  </si>
  <si>
    <t>LOT 23 IN OR 2023/350 NASSAU LANDING SUB PB 4/84-85</t>
  </si>
  <si>
    <t>14-2N-26-4280-0002-0160</t>
  </si>
  <si>
    <t>RANDY</t>
  </si>
  <si>
    <t>75135 RANDY RD</t>
  </si>
  <si>
    <t>WEINBERG DOUGLAS E</t>
  </si>
  <si>
    <t>WEINBERG JUNE T</t>
  </si>
  <si>
    <t>14-02N-26E</t>
  </si>
  <si>
    <t>PT OF UNNUMBERED TRACT IN OR 650/238 SUB OF GOVT LOT 9 IN</t>
  </si>
  <si>
    <t>2013-1160</t>
  </si>
  <si>
    <t>14-2N-26-4280-0002-0260</t>
  </si>
  <si>
    <t>OFF RANDY</t>
  </si>
  <si>
    <t>OFF RANDY RD</t>
  </si>
  <si>
    <t>WEINBERG DAVID</t>
  </si>
  <si>
    <t>WEINBERG AURIEL</t>
  </si>
  <si>
    <t>75051 RANDY RD</t>
  </si>
  <si>
    <t>PT OF UNNUMBERED TRACT IN OR 1684/1813 SUB OF GOVT LOT 9 IN</t>
  </si>
  <si>
    <t>2017-1030</t>
  </si>
  <si>
    <t>14-2N-26-4280-0002-0270</t>
  </si>
  <si>
    <t>PT OF UNNUMBERED TRACT IN OR 1684/1815 SUB OF GOVT LOT 9 IN</t>
  </si>
  <si>
    <t>2017-1031</t>
  </si>
  <si>
    <t>2015-1098</t>
  </si>
  <si>
    <t>SF CII</t>
  </si>
  <si>
    <t>2014-1153</t>
  </si>
  <si>
    <t>2013-1161</t>
  </si>
  <si>
    <t>2012-1205</t>
  </si>
  <si>
    <t>14-2N-26-4280-0011-0000</t>
  </si>
  <si>
    <t>EASY</t>
  </si>
  <si>
    <t>75076 EASY ST</t>
  </si>
  <si>
    <t>HIGGS JACK</t>
  </si>
  <si>
    <t>HIGGS SHEILA</t>
  </si>
  <si>
    <t>SUB LOT 33 IN OR 1876/1057 SUB OF GOVT LOT 9 UNR</t>
  </si>
  <si>
    <t>2017-1033</t>
  </si>
  <si>
    <t>MACHAPUCHARE AKZC LLC</t>
  </si>
  <si>
    <t>2015-1099</t>
  </si>
  <si>
    <t>2014-1155</t>
  </si>
  <si>
    <t>14-2N-26-4280-0023-0030</t>
  </si>
  <si>
    <t>PARRISH</t>
  </si>
  <si>
    <t>75039 PARRISH RD</t>
  </si>
  <si>
    <t>TESTON ELLA JEAN EILEEN</t>
  </si>
  <si>
    <t>95415 BAMWELL RD</t>
  </si>
  <si>
    <t>LOTS 3 &amp; 4 IN OR 1390/1235 N E FLA SPORTSMAN CLUB S/D</t>
  </si>
  <si>
    <t>14-2N-26-4280-0033-0100</t>
  </si>
  <si>
    <t>TWISTED OAK</t>
  </si>
  <si>
    <t>75115 TWISTED OAK DR</t>
  </si>
  <si>
    <t>COATS THOMAS I</t>
  </si>
  <si>
    <t>COATS PAULA H</t>
  </si>
  <si>
    <t>IN OR 935/1855-1866 SUB OF GOVT LOT 9 UNR 2004 MERT DW/MH</t>
  </si>
  <si>
    <t>2013-1169</t>
  </si>
  <si>
    <t>01-3N-26-0000-0001-0010</t>
  </si>
  <si>
    <t>HANCE</t>
  </si>
  <si>
    <t>PKWY</t>
  </si>
  <si>
    <t>HANCE PKWY</t>
  </si>
  <si>
    <t>HORNE ELWIN G</t>
  </si>
  <si>
    <t>HORNE ANN C</t>
  </si>
  <si>
    <t>174 GREENVILLE RD</t>
  </si>
  <si>
    <t>KINGSLAND GA</t>
  </si>
  <si>
    <t>1-03N-26E</t>
  </si>
  <si>
    <t>PT OR 1641/1573 EX 1-2 1-3 &amp; 1-5</t>
  </si>
  <si>
    <t>2017-1038</t>
  </si>
  <si>
    <t>2016-1064</t>
  </si>
  <si>
    <t>2015-1104</t>
  </si>
  <si>
    <t>2014-1160</t>
  </si>
  <si>
    <t>2013-1173</t>
  </si>
  <si>
    <t>2012-602</t>
  </si>
  <si>
    <t>2011-1780</t>
  </si>
  <si>
    <t>01-3N-26-0000-0001-0020</t>
  </si>
  <si>
    <t>HORNE LAKE</t>
  </si>
  <si>
    <t>77455 HORNE LAKE CIR</t>
  </si>
  <si>
    <t>PT OR 1641/1567 PARS 1-2 SECTS 01 &amp; 38-3N-26</t>
  </si>
  <si>
    <t>2017-1039</t>
  </si>
  <si>
    <t>2016-1065</t>
  </si>
  <si>
    <t>2015-1105</t>
  </si>
  <si>
    <t>2014-1161</t>
  </si>
  <si>
    <t>2013-1174</t>
  </si>
  <si>
    <t>2012-603</t>
  </si>
  <si>
    <t>2011-1781</t>
  </si>
  <si>
    <t>01-3N-26-0000-0001-0030</t>
  </si>
  <si>
    <t>77411 HORNE LAKE CIR</t>
  </si>
  <si>
    <t>PT OR 1641/1586 PARS 1-3 SECT 01 &amp; 38-3N-26</t>
  </si>
  <si>
    <t>2017-1040</t>
  </si>
  <si>
    <t>2016-1066</t>
  </si>
  <si>
    <t>2015-1106</t>
  </si>
  <si>
    <t>2014-1162</t>
  </si>
  <si>
    <t>2013-1175</t>
  </si>
  <si>
    <t>2012-604</t>
  </si>
  <si>
    <t>2011-1782</t>
  </si>
  <si>
    <t>01-3N-26-0000-0001-0050</t>
  </si>
  <si>
    <t>HANCE HORNE ANN CREWS</t>
  </si>
  <si>
    <t>IN OR 1876/171 PARS 1-5 &amp; 2-1 SEC 1-3N-26 &amp; PARCEL 1-14 SEC 2-3N-26</t>
  </si>
  <si>
    <t>2017-1041</t>
  </si>
  <si>
    <t>WATERFALL BLVD 683 MANAGEMENT SERVICES LLC</t>
  </si>
  <si>
    <t>2016-1067</t>
  </si>
  <si>
    <t>2015-1107</t>
  </si>
  <si>
    <t>2014-1163</t>
  </si>
  <si>
    <t>2013-1176</t>
  </si>
  <si>
    <t>2012-605</t>
  </si>
  <si>
    <t>02-3N-26-0000-0001-0030</t>
  </si>
  <si>
    <t>US HWY 17</t>
  </si>
  <si>
    <t>17/95 RV PARK LLC</t>
  </si>
  <si>
    <t>1610 S 8TH ST</t>
  </si>
  <si>
    <t>IW IND/WHS</t>
  </si>
  <si>
    <t>2-03N-26E</t>
  </si>
  <si>
    <t>PT OF NE1/4 OF SEC 2-3N-26E IN OR 1593/116 BEING PARAGRAPH  2</t>
  </si>
  <si>
    <t>2016-1069</t>
  </si>
  <si>
    <t>02-3N-26-0000-0001-0060</t>
  </si>
  <si>
    <t>PT OR 1641/1573 EX 1-7 1-8 1-11 &amp; 1-14</t>
  </si>
  <si>
    <t>2017-1043</t>
  </si>
  <si>
    <t>ECRU LLC R6LE4J</t>
  </si>
  <si>
    <t>2015-1110</t>
  </si>
  <si>
    <t>2014-1165</t>
  </si>
  <si>
    <t>2013-1179</t>
  </si>
  <si>
    <t>2012-651</t>
  </si>
  <si>
    <t>2011-1785</t>
  </si>
  <si>
    <t>TAX-LIEN-CERTIFICATES-SALES</t>
  </si>
  <si>
    <t>02-3N-26-0000-0001-0090</t>
  </si>
  <si>
    <t>HANCE PARK</t>
  </si>
  <si>
    <t>77219 HANCE PARK WAY</t>
  </si>
  <si>
    <t>PTRO INC</t>
  </si>
  <si>
    <t>86595 HESTER DR</t>
  </si>
  <si>
    <t>PT OF NE1/4 &amp; PT OR NE1/4 OF SE1/4 PARS 1-9 1-11 6 7 8 9-1 10 12</t>
  </si>
  <si>
    <t>2017-1044</t>
  </si>
  <si>
    <t>SETPER LLC O96734 SERIES</t>
  </si>
  <si>
    <t>2015-1111</t>
  </si>
  <si>
    <t>H71679</t>
  </si>
  <si>
    <t>2014-1166</t>
  </si>
  <si>
    <t>2013-1180</t>
  </si>
  <si>
    <t>2012-652</t>
  </si>
  <si>
    <t>02-3N-26-0000-0009-0000</t>
  </si>
  <si>
    <t>PT OF NE1/4 OF SE1/4 PT OR 1641/1573 EX 9-1 &amp; ESMT OR 532/249 &amp;</t>
  </si>
  <si>
    <t>2017-1045</t>
  </si>
  <si>
    <t>2015-1112</t>
  </si>
  <si>
    <t>2014-1168</t>
  </si>
  <si>
    <t>2013-1184</t>
  </si>
  <si>
    <t>2012-654</t>
  </si>
  <si>
    <t>2011-1787</t>
  </si>
  <si>
    <t>02-3N-26-0000-0013-0030</t>
  </si>
  <si>
    <t>PT OR 1641/1573 (EX 13)</t>
  </si>
  <si>
    <t>2017-1046</t>
  </si>
  <si>
    <t>2016-1071</t>
  </si>
  <si>
    <t>2015-1113</t>
  </si>
  <si>
    <t>2014-1169</t>
  </si>
  <si>
    <t>2013-1185</t>
  </si>
  <si>
    <t>2012-655</t>
  </si>
  <si>
    <t>2011-1788</t>
  </si>
  <si>
    <t>02-3N-26-0000-0013-0040</t>
  </si>
  <si>
    <t>PT OR 1641/1573</t>
  </si>
  <si>
    <t>2017-1047</t>
  </si>
  <si>
    <t>2016-1072</t>
  </si>
  <si>
    <t>2015-1114</t>
  </si>
  <si>
    <t>2014-1170</t>
  </si>
  <si>
    <t>2013-1186</t>
  </si>
  <si>
    <t>2012-656</t>
  </si>
  <si>
    <t>2011-1789</t>
  </si>
  <si>
    <t>07-3N-26-0000-0002-0000</t>
  </si>
  <si>
    <t>7-03N-26E</t>
  </si>
  <si>
    <t>PT OF LOT 7 S OF PUB RD &amp; NE PT OF LOT 6 IN OR 1639/679</t>
  </si>
  <si>
    <t>2017-1048</t>
  </si>
  <si>
    <t>2016-1073</t>
  </si>
  <si>
    <t>2015-1117</t>
  </si>
  <si>
    <t>2014-1172</t>
  </si>
  <si>
    <t>2013-1188</t>
  </si>
  <si>
    <t>2012-868</t>
  </si>
  <si>
    <t>2011-1791</t>
  </si>
  <si>
    <t>07-3N-26-0000-0002-0030</t>
  </si>
  <si>
    <t>JACOBS</t>
  </si>
  <si>
    <t>JACOBS RD</t>
  </si>
  <si>
    <t>JACOBS TERRY</t>
  </si>
  <si>
    <t>PO BOX 70</t>
  </si>
  <si>
    <t>OR 243/308</t>
  </si>
  <si>
    <t>2017-1049</t>
  </si>
  <si>
    <t>2016-1074</t>
  </si>
  <si>
    <t>2015-1118</t>
  </si>
  <si>
    <t>2014-1173</t>
  </si>
  <si>
    <t>2013-1189</t>
  </si>
  <si>
    <t>2012-869</t>
  </si>
  <si>
    <t>2011-1792</t>
  </si>
  <si>
    <t>CIMESA, LLC</t>
  </si>
  <si>
    <t>07-3N-26-0000-0003-0000</t>
  </si>
  <si>
    <t>2582 CR 108</t>
  </si>
  <si>
    <t>JACOBS VERONA &amp; JACOBS FRANSCENA M EST &amp; JACOBS FRANK</t>
  </si>
  <si>
    <t>IN OR 459 PG 464 EX 3-1 3-5 &amp; 3-4</t>
  </si>
  <si>
    <t>2016-1075</t>
  </si>
  <si>
    <t>BENNU LLC LY27Q169R</t>
  </si>
  <si>
    <t>2015-1120</t>
  </si>
  <si>
    <t>A11228</t>
  </si>
  <si>
    <t>2014-1175</t>
  </si>
  <si>
    <t>2013-1191</t>
  </si>
  <si>
    <t>07-3N-26-0000-0006-0070</t>
  </si>
  <si>
    <t>ESMT OFF CR 108</t>
  </si>
  <si>
    <t>MURPHY ERIC</t>
  </si>
  <si>
    <t>MURPHY MURPHY BRENDA</t>
  </si>
  <si>
    <t>PO BOX 1384</t>
  </si>
  <si>
    <t>OR 614/1062 &amp; OR 716/870 R/W AGRMNT OR 614/1069 PARCELS 6-7 6-13 &amp; 6-14</t>
  </si>
  <si>
    <t>2017-1050</t>
  </si>
  <si>
    <t>2016-1076</t>
  </si>
  <si>
    <t>2015-1121</t>
  </si>
  <si>
    <t>2014-1176</t>
  </si>
  <si>
    <t>2013-1193</t>
  </si>
  <si>
    <t>2012-872</t>
  </si>
  <si>
    <t>2011-1795</t>
  </si>
  <si>
    <t>07-3N-26-0000-0007-0010</t>
  </si>
  <si>
    <t>152996 CR 108</t>
  </si>
  <si>
    <t>RAINEY BRENDA</t>
  </si>
  <si>
    <t>RAINEY ALBERTIE LAWRENCE</t>
  </si>
  <si>
    <t>PO BOX 1566</t>
  </si>
  <si>
    <t>PT GOVT LOT 1 OF SEC 7-3N-26E IN OR 676/306</t>
  </si>
  <si>
    <t>2017-1051</t>
  </si>
  <si>
    <t>ROUTE 7 LLC PIF9AD</t>
  </si>
  <si>
    <t>07-3N-26-0000-0011-0000</t>
  </si>
  <si>
    <t>67002 JACOBS RD</t>
  </si>
  <si>
    <t>JONES ROBERT JR &amp; JONES PAUL &amp; PETER &amp; HAROLD M</t>
  </si>
  <si>
    <t>PO BOX 1225</t>
  </si>
  <si>
    <t>PT GOVT LOTS 5 &amp; 6 PAR 11 IN OR 75/138 (EX PAR 11-4 &amp; 11-5) CASE NO 97-44-CP</t>
  </si>
  <si>
    <t>2017-1052</t>
  </si>
  <si>
    <t>SKYLER LLC O34700 SERIES</t>
  </si>
  <si>
    <t>2016-1077</t>
  </si>
  <si>
    <t>CASERTA FINANCIAL LLC SERIES A013303</t>
  </si>
  <si>
    <t>2015-1122</t>
  </si>
  <si>
    <t>H6740</t>
  </si>
  <si>
    <t>2014-1177</t>
  </si>
  <si>
    <t>07-3N-26-0000-0011-0010</t>
  </si>
  <si>
    <t>67014 JACOBS RD</t>
  </si>
  <si>
    <t>JONES PETER</t>
  </si>
  <si>
    <t>JONES FLORINE</t>
  </si>
  <si>
    <t>PT GOVT LOT 6 OF SEC 7-3N-26E IN OR 42/185</t>
  </si>
  <si>
    <t>08-3N-26-0000-0001-0020</t>
  </si>
  <si>
    <t>153359 CR 108</t>
  </si>
  <si>
    <t>TEMPLES TIMOTHY SR</t>
  </si>
  <si>
    <t>153359 COUNTY ROAD 108</t>
  </si>
  <si>
    <t>8-03N-26E</t>
  </si>
  <si>
    <t>PT OF NE1/4 OF SEC 8-3N-26E IN OR 904/1483 (EX ESMT IN OR 843/1507)</t>
  </si>
  <si>
    <t>2017-1055</t>
  </si>
  <si>
    <t>KATHMAN CERT 19 LLC</t>
  </si>
  <si>
    <t>2016-1078</t>
  </si>
  <si>
    <t>2015-1124</t>
  </si>
  <si>
    <t>2014-1180</t>
  </si>
  <si>
    <t>2013-1197</t>
  </si>
  <si>
    <t>2012-982</t>
  </si>
  <si>
    <t>2011-1798</t>
  </si>
  <si>
    <t>08-3N-26-0000-0001-0050</t>
  </si>
  <si>
    <t>2197 CR 108</t>
  </si>
  <si>
    <t>TEMPLES TIMOTHY SCOTT</t>
  </si>
  <si>
    <t>PT OF NE1/4 OF SEC 8-3N-26E IN OR 843/1504 &amp; ESMT IN OR 843/1507</t>
  </si>
  <si>
    <t>2017-1056</t>
  </si>
  <si>
    <t>2016-1079</t>
  </si>
  <si>
    <t>2015-1125</t>
  </si>
  <si>
    <t>SF XXXIIII</t>
  </si>
  <si>
    <t>2014-1181</t>
  </si>
  <si>
    <t>2013-1198</t>
  </si>
  <si>
    <t>2011-1799</t>
  </si>
  <si>
    <t>08-3N-26-0000-0002-0080</t>
  </si>
  <si>
    <t>ELNORA</t>
  </si>
  <si>
    <t>67027 ELNORA LN</t>
  </si>
  <si>
    <t>ALBERTIE VERNICE</t>
  </si>
  <si>
    <t>ALBERTIE SHERRIE</t>
  </si>
  <si>
    <t>PT OF NW1/4 OF NE1/4 OF SW1/4 IN OR 1141/1648 ESMT OR 1557/1483</t>
  </si>
  <si>
    <t>2014-1182</t>
  </si>
  <si>
    <t>2013-1199</t>
  </si>
  <si>
    <t>2012-984</t>
  </si>
  <si>
    <t>US BANK CUST BISBEE LLC H17208</t>
  </si>
  <si>
    <t>2011-1801</t>
  </si>
  <si>
    <t>08-3N-26-0000-0002-0100</t>
  </si>
  <si>
    <t>ELNORA ST</t>
  </si>
  <si>
    <t>ALBERTIE JANICE L</t>
  </si>
  <si>
    <t>67286 JACOBS RD</t>
  </si>
  <si>
    <t>PT OF NE1/4 OF SW1/4 IN OR 1802/1896</t>
  </si>
  <si>
    <t>2017-1057</t>
  </si>
  <si>
    <t>2016-1080</t>
  </si>
  <si>
    <t>2012-985</t>
  </si>
  <si>
    <t>38-3N-26-0000-0001-0010</t>
  </si>
  <si>
    <t>38-03N-26E</t>
  </si>
  <si>
    <t>PT OR 1641/1573 EX 1-2 1-3 &amp; 1-4</t>
  </si>
  <si>
    <t>2017-1058</t>
  </si>
  <si>
    <t>2015-1126</t>
  </si>
  <si>
    <t>2014-1183</t>
  </si>
  <si>
    <t>2013-1200</t>
  </si>
  <si>
    <t>2012-2393</t>
  </si>
  <si>
    <t>2011-1802</t>
  </si>
  <si>
    <t>38-3N-26-0000-0001-0040</t>
  </si>
  <si>
    <t>38-03N-28E</t>
  </si>
  <si>
    <t>PT OR 1641/1567</t>
  </si>
  <si>
    <t>2017-1059</t>
  </si>
  <si>
    <t>2015-1127</t>
  </si>
  <si>
    <t>2014-1184</t>
  </si>
  <si>
    <t>2013-1201</t>
  </si>
  <si>
    <t>2012-2394</t>
  </si>
  <si>
    <t>2011-1803</t>
  </si>
  <si>
    <t>41-3N-26-0000-0004-0000</t>
  </si>
  <si>
    <t>DAWSON</t>
  </si>
  <si>
    <t>77206 DAWSON RD</t>
  </si>
  <si>
    <t>SCOTT WILLIE J</t>
  </si>
  <si>
    <t>41-03N-26E</t>
  </si>
  <si>
    <t>IN OR 305/411 &amp; OR 319/540 EX 4-1 4-2 &amp; 4-4</t>
  </si>
  <si>
    <t>2017-1060</t>
  </si>
  <si>
    <t>LAKE TAX PURCHASE GROUP LLC SERIES1 A47</t>
  </si>
  <si>
    <t>2015-1128</t>
  </si>
  <si>
    <t>ECRU LLC R5F40J</t>
  </si>
  <si>
    <t>2014-1187</t>
  </si>
  <si>
    <t>2013-1204</t>
  </si>
  <si>
    <t>2012-2465</t>
  </si>
  <si>
    <t>BRIDGE TAX LLC - W7 US BANK % BRIDGE TAX LLC-W7</t>
  </si>
  <si>
    <t>35-4N-26-0000-0001-0050</t>
  </si>
  <si>
    <t>GET &amp; SAVE LLC</t>
  </si>
  <si>
    <t>852426 US HIGHWAY 17</t>
  </si>
  <si>
    <t>35-04N-26E</t>
  </si>
  <si>
    <t>IN OR 782 PG 424</t>
  </si>
  <si>
    <t>35-4N-26-0000-0001-0100</t>
  </si>
  <si>
    <t>852426 N HWY 17</t>
  </si>
  <si>
    <t>PT OF SE1/4 OF SEC 35-4N-26E IN OR 1981/1586</t>
  </si>
  <si>
    <t>2016-1083</t>
  </si>
  <si>
    <t>36-4N-26-0000-0001-0010</t>
  </si>
  <si>
    <t>36-04N-26E</t>
  </si>
  <si>
    <t>PT OR 1641/1573 (EX 1-2)</t>
  </si>
  <si>
    <t>2017-1061</t>
  </si>
  <si>
    <t>2016-1084</t>
  </si>
  <si>
    <t>2015-1131</t>
  </si>
  <si>
    <t>X2022</t>
  </si>
  <si>
    <t>QUARTERDECK, LLC QUARTERDECK, LLC</t>
  </si>
  <si>
    <t>2014-1189</t>
  </si>
  <si>
    <t>2013-1208</t>
  </si>
  <si>
    <t>2012-2096</t>
  </si>
  <si>
    <t>2011-1809</t>
  </si>
  <si>
    <t>38-4N-26-0000-0001-0010</t>
  </si>
  <si>
    <t>HORNE LAKE PKWY</t>
  </si>
  <si>
    <t>38-04N-26E</t>
  </si>
  <si>
    <t>PT OR 1641/1573 EX 1-2</t>
  </si>
  <si>
    <t>2017-1062</t>
  </si>
  <si>
    <t>2015-1132</t>
  </si>
  <si>
    <t>2014-1191</t>
  </si>
  <si>
    <t>2013-1209</t>
  </si>
  <si>
    <t>2012-2411</t>
  </si>
  <si>
    <t>GANOTE JEFFREY</t>
  </si>
  <si>
    <t>2011-1811</t>
  </si>
  <si>
    <t>38-4N-26-0000-0001-0020</t>
  </si>
  <si>
    <t>77780 HORNE LAKE CIR</t>
  </si>
  <si>
    <t>IN OR 1641/1593</t>
  </si>
  <si>
    <t>2017-1063</t>
  </si>
  <si>
    <t>2016-1085</t>
  </si>
  <si>
    <t>2015-1133</t>
  </si>
  <si>
    <t>2014-1192</t>
  </si>
  <si>
    <t>2013-1210</t>
  </si>
  <si>
    <t>2012-2412</t>
  </si>
  <si>
    <t>2011-1812</t>
  </si>
  <si>
    <t>41-4N-26-0000-0003-0000</t>
  </si>
  <si>
    <t>CORNING</t>
  </si>
  <si>
    <t>68117 CORNING CT</t>
  </si>
  <si>
    <t>FERGUSON GLENDA S</t>
  </si>
  <si>
    <t>FERGUSON LACEY M</t>
  </si>
  <si>
    <t>41-04N-26E</t>
  </si>
  <si>
    <t>PT NATHANIEL WILDER GRANT SEC 41-4N-26E IN OR 1884/510 &amp; ESMT IN OR 748/555</t>
  </si>
  <si>
    <t>NAVD88</t>
  </si>
  <si>
    <t>12089C_895</t>
  </si>
  <si>
    <t>2017-1064</t>
  </si>
  <si>
    <t>SKYLER LLC O80694 SERIES</t>
  </si>
  <si>
    <t>2016-1086</t>
  </si>
  <si>
    <t>GSM - 252952 - HIGHLAND PARK NORTH US BANK CUST FOR PFS FINANCIAL 2 LLC</t>
  </si>
  <si>
    <t>2015-1134</t>
  </si>
  <si>
    <t>GRASS RIVER INVESTMENTS ACJB LLC</t>
  </si>
  <si>
    <t>2014-1193</t>
  </si>
  <si>
    <t>2013-1211</t>
  </si>
  <si>
    <t>2012-2552</t>
  </si>
  <si>
    <t>2011-1814</t>
  </si>
  <si>
    <t>01-2N-27-0000-0003-0140</t>
  </si>
  <si>
    <t>LOFTON</t>
  </si>
  <si>
    <t>LOFTON BLVD</t>
  </si>
  <si>
    <t>TREVETT FAMILY COMPANIES INC</t>
  </si>
  <si>
    <t>PO BOX 706</t>
  </si>
  <si>
    <t>1-02N-27E</t>
  </si>
  <si>
    <t>PT OR 971/1311 &amp; PT 963/1593 ESMT PT OR 1333/365 EX ESMT PT OR 1449/848</t>
  </si>
  <si>
    <t>2017-1065</t>
  </si>
  <si>
    <t>2016-1087</t>
  </si>
  <si>
    <t>2015-1136</t>
  </si>
  <si>
    <t>2014-1194</t>
  </si>
  <si>
    <t>2013-1212</t>
  </si>
  <si>
    <t>2012-595</t>
  </si>
  <si>
    <t>2011-1816</t>
  </si>
  <si>
    <t>01-2N-27-0000-0003-0150</t>
  </si>
  <si>
    <t>PT OR 971/1311 &amp; PT 963/1593</t>
  </si>
  <si>
    <t>2017-1066</t>
  </si>
  <si>
    <t>2016-1088</t>
  </si>
  <si>
    <t>2015-1137</t>
  </si>
  <si>
    <t>2014-1195</t>
  </si>
  <si>
    <t>2013-1213</t>
  </si>
  <si>
    <t>2012-596</t>
  </si>
  <si>
    <t>2011-1817</t>
  </si>
  <si>
    <t>01-2N-27-0000-0003-0160</t>
  </si>
  <si>
    <t>AMELIA CONCOURSE</t>
  </si>
  <si>
    <t>95734 AMELIA CONCOURSE</t>
  </si>
  <si>
    <t>LOFTON POINTE INC</t>
  </si>
  <si>
    <t>PT OR 971/1306 &amp; PT 963/1590 EX 3-18 &amp; 3-27 ESMT PT OR 1127/1783</t>
  </si>
  <si>
    <t>2017-1067</t>
  </si>
  <si>
    <t>2016-1089</t>
  </si>
  <si>
    <t>BRENTON J. ROSE SILVA &amp; DIAMOND INVESTMENT PROPERTIES 2 LLC</t>
  </si>
  <si>
    <t>2015-1138</t>
  </si>
  <si>
    <t>2014-1196</t>
  </si>
  <si>
    <t>2013-1214</t>
  </si>
  <si>
    <t>2012-597</t>
  </si>
  <si>
    <t>2011-1818</t>
  </si>
  <si>
    <t>04-2N-27-0000-0003-0100</t>
  </si>
  <si>
    <t>CARDINAL</t>
  </si>
  <si>
    <t>CARDINAL RD</t>
  </si>
  <si>
    <t>ROBINSON JO ANN</t>
  </si>
  <si>
    <t>10206 WASHAM POTTS RD</t>
  </si>
  <si>
    <t>CORNELIUS NC</t>
  </si>
  <si>
    <t>4-02N-27E</t>
  </si>
  <si>
    <t>PT OF LOT 2 IN OR 684/1137</t>
  </si>
  <si>
    <t>2017-1069</t>
  </si>
  <si>
    <t>04-2N-27-0000-0003-0180</t>
  </si>
  <si>
    <t>ROBIN</t>
  </si>
  <si>
    <t>ROBIN RD</t>
  </si>
  <si>
    <t>PT OR 318/337</t>
  </si>
  <si>
    <t>04-2N-27-0000-0003-0300</t>
  </si>
  <si>
    <t>MACAW</t>
  </si>
  <si>
    <t>86288 MACAW RD</t>
  </si>
  <si>
    <t>PATTON SYLVIA A</t>
  </si>
  <si>
    <t>PATTON DONALD R</t>
  </si>
  <si>
    <t>IN OR 822 PG 14 RP41- 2272 &amp; R278274 R567864 &amp; R567865</t>
  </si>
  <si>
    <t>2017-1070</t>
  </si>
  <si>
    <t>AZTEC ADVISORY SERVICES24783</t>
  </si>
  <si>
    <t>2016-1091</t>
  </si>
  <si>
    <t>RAPTY TRUST SERIES 21328</t>
  </si>
  <si>
    <t>2015-1141</t>
  </si>
  <si>
    <t>E8537</t>
  </si>
  <si>
    <t>04-2N-27-0000-0003-0450</t>
  </si>
  <si>
    <t>MACAW RD</t>
  </si>
  <si>
    <t>PATTON RANDALL C</t>
  </si>
  <si>
    <t>IN OR 644/359 EX 3-63</t>
  </si>
  <si>
    <t>2017-1072</t>
  </si>
  <si>
    <t>2016-1093</t>
  </si>
  <si>
    <t>2015-1143</t>
  </si>
  <si>
    <t>2011-1823</t>
  </si>
  <si>
    <t>04-2N-27-0000-0003-0640</t>
  </si>
  <si>
    <t>86448 MACAW RD</t>
  </si>
  <si>
    <t>86374 MACAW RD</t>
  </si>
  <si>
    <t>PT OR 496 PG 1237 R278266 &amp; R278267</t>
  </si>
  <si>
    <t>2017-1073</t>
  </si>
  <si>
    <t>BLUE DOLPH 1079 LLC</t>
  </si>
  <si>
    <t>2016-1094</t>
  </si>
  <si>
    <t>TRIAD HOLDINGS31228</t>
  </si>
  <si>
    <t>2015-1144</t>
  </si>
  <si>
    <t>OAR LLC AND MML LLC PARTNERSHIP 1413</t>
  </si>
  <si>
    <t>2014-1201</t>
  </si>
  <si>
    <t>2012-747</t>
  </si>
  <si>
    <t>2011-1824</t>
  </si>
  <si>
    <t>04-2N-27-0000-0004-0010</t>
  </si>
  <si>
    <t>NORTH</t>
  </si>
  <si>
    <t>HARTS</t>
  </si>
  <si>
    <t>85765 NORTH HARTS RD</t>
  </si>
  <si>
    <t>DUNMAN MARSHALL WILBUR</t>
  </si>
  <si>
    <t>85765 HARTS RD</t>
  </si>
  <si>
    <t>IN OR 923/1491</t>
  </si>
  <si>
    <t>04-2N-27-0000-0004-0050</t>
  </si>
  <si>
    <t>WHIPPOORWILL</t>
  </si>
  <si>
    <t>86122 WHIPPOORWILL PL</t>
  </si>
  <si>
    <t>LEE GEORGE G</t>
  </si>
  <si>
    <t>IN OR 617/901 EX 4-16</t>
  </si>
  <si>
    <t>2017-1074</t>
  </si>
  <si>
    <t>JUDGE LOOP 289 SERVICING LLC</t>
  </si>
  <si>
    <t>04-2N-27-4290-000A-0020</t>
  </si>
  <si>
    <t>85783 NORTH HARTS RD</t>
  </si>
  <si>
    <t>DUNMAN MARSHALL W</t>
  </si>
  <si>
    <t>PT OF TRACT A IN OR 935/325 1981 CONC DW/MH ESMT OR 390/469 &amp; OR 463/137</t>
  </si>
  <si>
    <t>2012-750</t>
  </si>
  <si>
    <t>04-2N-27-4290-000A-0040</t>
  </si>
  <si>
    <t>HUMMINGBIRD</t>
  </si>
  <si>
    <t>HUMMINGBIRD LN</t>
  </si>
  <si>
    <t>WHISENANT WILLIAM TIMOTHY</t>
  </si>
  <si>
    <t>8135 KENWOOD DR N</t>
  </si>
  <si>
    <t>FLOOD ACRES</t>
  </si>
  <si>
    <t>S-4 OF TRACT A IN OR 1104/1312 FLOOD ACRES #1 PB 4/20</t>
  </si>
  <si>
    <t>2016-1097</t>
  </si>
  <si>
    <t>2015-1148</t>
  </si>
  <si>
    <t>2014-1204</t>
  </si>
  <si>
    <t>2013-1217</t>
  </si>
  <si>
    <t>2012-751</t>
  </si>
  <si>
    <t>2011-1830</t>
  </si>
  <si>
    <t>04-2N-27-4290-0016-0000</t>
  </si>
  <si>
    <t>VERONA V LLC</t>
  </si>
  <si>
    <t>LOT 16 IN OR 1651/1130 EX ESMT OR 120/624</t>
  </si>
  <si>
    <t>2017-1077</t>
  </si>
  <si>
    <t>2016-1098</t>
  </si>
  <si>
    <t>2015-1149</t>
  </si>
  <si>
    <t>2014-1205</t>
  </si>
  <si>
    <t>2013-1218</t>
  </si>
  <si>
    <t>2012-752</t>
  </si>
  <si>
    <t>2011-1831</t>
  </si>
  <si>
    <t>04-2N-27-4290-0018-0000</t>
  </si>
  <si>
    <t>86318 CARDINAL RD</t>
  </si>
  <si>
    <t>MCKENDREE ROY V</t>
  </si>
  <si>
    <t>LOT 18 R 107971 &amp; 107972 IN OR 379 PG 722 FLOOD ACRES UNIT 1 PB 4/20</t>
  </si>
  <si>
    <t>04-2N-27-4290-0027-0000</t>
  </si>
  <si>
    <t>JOHNSON RICHARD F</t>
  </si>
  <si>
    <t>136 OAK TERRACE DR</t>
  </si>
  <si>
    <t>LOT 27 IN OR 1331/409 FLOOD ACRES UNIT 1 PB 4/20</t>
  </si>
  <si>
    <t>2016-1099</t>
  </si>
  <si>
    <t>BISBEE LLC PS17E9D2</t>
  </si>
  <si>
    <t>2015-1150</t>
  </si>
  <si>
    <t>2014-1206</t>
  </si>
  <si>
    <t>2013-1219</t>
  </si>
  <si>
    <t>2012-753</t>
  </si>
  <si>
    <t>2011-1832</t>
  </si>
  <si>
    <t>04-2N-27-4290-0046-0000</t>
  </si>
  <si>
    <t>86499 CARDINAL RD</t>
  </si>
  <si>
    <t>NEAL GEORGE G</t>
  </si>
  <si>
    <t>LOT 46 (EX S-1) IN OR 1381/1044 FLOOD ACRES UNIT 1 PB 4/20</t>
  </si>
  <si>
    <t>04-2N-27-4290-0046-0010</t>
  </si>
  <si>
    <t>WREN</t>
  </si>
  <si>
    <t>86158 WREN RD</t>
  </si>
  <si>
    <t>PO BOX 413</t>
  </si>
  <si>
    <t>W1/2 OF LOT 46 IN OR 693 PG 1706 R567875 &amp; R567876</t>
  </si>
  <si>
    <t>2017-1078</t>
  </si>
  <si>
    <t>MACHAPUCHARE AQGS LLC</t>
  </si>
  <si>
    <t>2014-1207</t>
  </si>
  <si>
    <t>2011-1834</t>
  </si>
  <si>
    <t>04-2N-27-4300-0014-0000</t>
  </si>
  <si>
    <t>86723 CARDINAL RD</t>
  </si>
  <si>
    <t>KRAUSS ANNIE RUTH</t>
  </si>
  <si>
    <t>BLOCK 14 IN OR 1504/1875 TOWN OF YULEE-SNOWBALL</t>
  </si>
  <si>
    <t>2017-1079</t>
  </si>
  <si>
    <t>VVVVV219</t>
  </si>
  <si>
    <t>2016-1100</t>
  </si>
  <si>
    <t>CITRUS CAPITAL LLC - SERIES 325 A41</t>
  </si>
  <si>
    <t>2015-1152</t>
  </si>
  <si>
    <t>BENNU LLC YSD4N47J</t>
  </si>
  <si>
    <t>2014-1209</t>
  </si>
  <si>
    <t>2013-1220</t>
  </si>
  <si>
    <t>2012-757</t>
  </si>
  <si>
    <t>KML CAPITAL LLC A34 BANKUNITED, TRUSTEE</t>
  </si>
  <si>
    <t>2011-1837</t>
  </si>
  <si>
    <t>04-2N-27-4300-0015-0010</t>
  </si>
  <si>
    <t>ROE C LARRY</t>
  </si>
  <si>
    <t>ROE PENNY L</t>
  </si>
  <si>
    <t>1721 ANNISTON RD APT 1025</t>
  </si>
  <si>
    <t>PT OF BLOCK 15 IN OR 1242/689 TOWN OF YULEE-SNOWBALL</t>
  </si>
  <si>
    <t>2017-1080</t>
  </si>
  <si>
    <t>2016-1101</t>
  </si>
  <si>
    <t>2015-1153</t>
  </si>
  <si>
    <t>2014-1210</t>
  </si>
  <si>
    <t>2013-1221</t>
  </si>
  <si>
    <t>2012-758</t>
  </si>
  <si>
    <t>2011-1838</t>
  </si>
  <si>
    <t>04-2N-27-4300-0019-0062</t>
  </si>
  <si>
    <t>OAK TREE</t>
  </si>
  <si>
    <t>86050 OAK TREE LN</t>
  </si>
  <si>
    <t>MOSLEY JOYCE MICHELLE</t>
  </si>
  <si>
    <t>BLOCK 19 S20 FT OF LOT 6 &amp; ALL OF LOT 7 IN OR 1350/1540</t>
  </si>
  <si>
    <t>2017-1081</t>
  </si>
  <si>
    <t>05-2N-27-0000-0001-0060</t>
  </si>
  <si>
    <t>DOVE</t>
  </si>
  <si>
    <t>76506 DOVE RD</t>
  </si>
  <si>
    <t>DURRANCE JOLENE JONES</t>
  </si>
  <si>
    <t>PO BOX 866</t>
  </si>
  <si>
    <t>5-02N-27E</t>
  </si>
  <si>
    <t>PT SW1/4 OF SW1/4 OF FRAC SEC 5-2N-27E IN OR 1990/915</t>
  </si>
  <si>
    <t>2015-1156</t>
  </si>
  <si>
    <t>05-2N-27-4292-0021-0000</t>
  </si>
  <si>
    <t>DOVE RD</t>
  </si>
  <si>
    <t>LEONARD CHARLES</t>
  </si>
  <si>
    <t>3900 SKIPPER RD</t>
  </si>
  <si>
    <t>LOT 21 EX S-1 IN OR 1511/802 FLOOD ACRES NO 2 UNR</t>
  </si>
  <si>
    <t>2017-1084</t>
  </si>
  <si>
    <t>2016-1104</t>
  </si>
  <si>
    <t>2015-1157</t>
  </si>
  <si>
    <t>2014-1213</t>
  </si>
  <si>
    <t>2013-1226</t>
  </si>
  <si>
    <t>2012-781</t>
  </si>
  <si>
    <t>2011-1843</t>
  </si>
  <si>
    <t>05-2N-27-4292-0056-0000</t>
  </si>
  <si>
    <t>76260 DOVE RD</t>
  </si>
  <si>
    <t>MOORE DON RANDOLPH</t>
  </si>
  <si>
    <t>MOORE HELEN J</t>
  </si>
  <si>
    <t>LOTS 56 &amp; 57 IN OR 359 PG 435 R407685 &amp; R407686 &amp;</t>
  </si>
  <si>
    <t>2017-1088</t>
  </si>
  <si>
    <t>SKYLER LLC O15549 SERIES</t>
  </si>
  <si>
    <t>2016-1107</t>
  </si>
  <si>
    <t>YAY FOR TAX LIENS 101326 US BANK CUST FOR PFS FINANCIAL 2 LLC</t>
  </si>
  <si>
    <t>2011-1848</t>
  </si>
  <si>
    <t>05-2N-27-4292-0058-0000</t>
  </si>
  <si>
    <t>76230 DOVE RD</t>
  </si>
  <si>
    <t>KENNISON RONNIE</t>
  </si>
  <si>
    <t>KENNISON LEANNE</t>
  </si>
  <si>
    <t>LOTS 58 &amp; 59 IN OR 259 PG 346 R235909 &amp; R235910</t>
  </si>
  <si>
    <t>05-2N-27-4292-0075-0000</t>
  </si>
  <si>
    <t>CATHY</t>
  </si>
  <si>
    <t>76087 CATHY LN</t>
  </si>
  <si>
    <t>TESTA ANTHONY MICHAEL</t>
  </si>
  <si>
    <t>76461 DOVE RD</t>
  </si>
  <si>
    <t>LOTS 75 83 84 &amp; S-2 OF 76 IN OR 2044/1841 R583305 &amp; R359545</t>
  </si>
  <si>
    <t>2017-1089</t>
  </si>
  <si>
    <t>DUWAN 17007 LLC</t>
  </si>
  <si>
    <t>05-2N-27-4292-0077-0000</t>
  </si>
  <si>
    <t>LOTS 77 THRU 82 IN OR 1673/248 R334147 &amp; MH/ID 4546</t>
  </si>
  <si>
    <t>2017-1090</t>
  </si>
  <si>
    <t>PELICAN WHARF CERTS XDEH LLC</t>
  </si>
  <si>
    <t>06-2N-27-0000-0005-0020</t>
  </si>
  <si>
    <t>MENTORIA</t>
  </si>
  <si>
    <t>75908 MENTORIA RD</t>
  </si>
  <si>
    <t>BRYANT DARRYL J</t>
  </si>
  <si>
    <t>BRYANT GWENDOLYN D</t>
  </si>
  <si>
    <t>813 TORTOISE WAY</t>
  </si>
  <si>
    <t>6-02N-27E</t>
  </si>
  <si>
    <t>PT GOVT LOT 4 OF SEC 6-2N-27E IN OR 1019/1021 BEING EXHIBIT  A</t>
  </si>
  <si>
    <t>2017-1091</t>
  </si>
  <si>
    <t>2016-1110</t>
  </si>
  <si>
    <t>2015-1162</t>
  </si>
  <si>
    <t>2014-1217</t>
  </si>
  <si>
    <t>2013-1232</t>
  </si>
  <si>
    <t>2012-842</t>
  </si>
  <si>
    <t>2011-1851</t>
  </si>
  <si>
    <t>06-2N-27-0000-0005-0090</t>
  </si>
  <si>
    <t>PINE CREST</t>
  </si>
  <si>
    <t>PINE CREST RD</t>
  </si>
  <si>
    <t>5-B</t>
  </si>
  <si>
    <t>PT GOVT LOT 4 OF SEC 6-2N-27E IN OR 1019/1021 BEING EXHIBIT  B</t>
  </si>
  <si>
    <t>2017-1092</t>
  </si>
  <si>
    <t>2016-1111</t>
  </si>
  <si>
    <t>2015-1164</t>
  </si>
  <si>
    <t>2014-1220</t>
  </si>
  <si>
    <t>2013-1235</t>
  </si>
  <si>
    <t>2012-845</t>
  </si>
  <si>
    <t>2011-1853</t>
  </si>
  <si>
    <t>07-2N-27-0000-0002-0060</t>
  </si>
  <si>
    <t>WALTHOUR</t>
  </si>
  <si>
    <t>76070 WALTHOUR PL</t>
  </si>
  <si>
    <t>DINKINS CLIFFORD N</t>
  </si>
  <si>
    <t>76120 HARPER CHAPEL RD</t>
  </si>
  <si>
    <t>7-02N-27E</t>
  </si>
  <si>
    <t>PT NW1/4 OF NW1/4 OF NE1/4 PAR 2-6 IN OR 798/1890</t>
  </si>
  <si>
    <t>2017-1093</t>
  </si>
  <si>
    <t>2015-1165</t>
  </si>
  <si>
    <t>2014-1221</t>
  </si>
  <si>
    <t>2013-1236</t>
  </si>
  <si>
    <t>2012-862</t>
  </si>
  <si>
    <t>2011-1859</t>
  </si>
  <si>
    <t>08-2N-27-0000-0005-0340</t>
  </si>
  <si>
    <t>ETHYL</t>
  </si>
  <si>
    <t>85119 ETHYL LN</t>
  </si>
  <si>
    <t>SCOTT JANICE C</t>
  </si>
  <si>
    <t>75294 CLYDE HIGGINBOTHAM RD</t>
  </si>
  <si>
    <t>8-02N-27E</t>
  </si>
  <si>
    <t>IN OR 1484/1629 PT OR 810/1210 &amp; 1212 &amp; PT OR 818/1140 &amp; OR 622/404</t>
  </si>
  <si>
    <t>2017-1096</t>
  </si>
  <si>
    <t>ASTER COVE 54 HOLDINGS LLC</t>
  </si>
  <si>
    <t>2016-1115</t>
  </si>
  <si>
    <t>F181002</t>
  </si>
  <si>
    <t>2015-1168</t>
  </si>
  <si>
    <t>FLORIDA - CCTS CAP LLC 86601 US BANK CUST FOR PFS FINANCIAL 2 LLC</t>
  </si>
  <si>
    <t>2014-1223</t>
  </si>
  <si>
    <t>2013-1239</t>
  </si>
  <si>
    <t>2012-902</t>
  </si>
  <si>
    <t>US BANK CUST BISBEE LLC M109C5</t>
  </si>
  <si>
    <t>2011-1864</t>
  </si>
  <si>
    <t>09-2N-27-0230-0073-0000</t>
  </si>
  <si>
    <t>JORDAN</t>
  </si>
  <si>
    <t>86081 JORDAN CT</t>
  </si>
  <si>
    <t>WALLACE JUDY</t>
  </si>
  <si>
    <t>CARTESIAN POINTE</t>
  </si>
  <si>
    <t>9-02N-27E</t>
  </si>
  <si>
    <t>LOT 73 IN OR 1222/1435 CARTESIAN POINTE #1 PB 6/345</t>
  </si>
  <si>
    <t>12-2N-27-1460-0040-0000</t>
  </si>
  <si>
    <t>MONTAUK</t>
  </si>
  <si>
    <t>FERNANDINA BEACH</t>
  </si>
  <si>
    <t>86152 MONTAUK DR</t>
  </si>
  <si>
    <t>FERNANDINA BEACH FL 32034</t>
  </si>
  <si>
    <t>ANDERSON KELLIN</t>
  </si>
  <si>
    <t>ANDERSON JOCELYN D</t>
  </si>
  <si>
    <t>NORTH HAMPTON</t>
  </si>
  <si>
    <t>12-02N-27E</t>
  </si>
  <si>
    <t>LOT 40 IN OR 1016/1767 NORTH HAMPTON PHASE 1 PB 6/215</t>
  </si>
  <si>
    <t>12-2N-27-1460-0358-0000</t>
  </si>
  <si>
    <t>NAPEAGUE</t>
  </si>
  <si>
    <t>85042 NAPEAGUE DR</t>
  </si>
  <si>
    <t>GLEASON MARK</t>
  </si>
  <si>
    <t>GLEASON LISA</t>
  </si>
  <si>
    <t>86142 EASTPORT DR</t>
  </si>
  <si>
    <t>LOT 358 IN OR 1986/387 NORTH HAMPTON PHASE 3 PB 7/16</t>
  </si>
  <si>
    <t>2017-1101</t>
  </si>
  <si>
    <t>SMALL POND 102 TAX RE LLC</t>
  </si>
  <si>
    <t>12-2N-27-1460-0385-0000</t>
  </si>
  <si>
    <t>85055 NAPEAGUE DR</t>
  </si>
  <si>
    <t>HAM MICHAEL</t>
  </si>
  <si>
    <t>2357 CANEY OAKS DR</t>
  </si>
  <si>
    <t>LOT 385 IN OR 2001/1833 NORTH HAMPTON PHASE 3 PB 7/16</t>
  </si>
  <si>
    <t>12089C_989</t>
  </si>
  <si>
    <t>2017-1102</t>
  </si>
  <si>
    <t>HOSSET LLC O140118 SERIES</t>
  </si>
  <si>
    <t>2016-1117</t>
  </si>
  <si>
    <t>FTL - 245274 - GREENVILLE EIGHTEEN PERCENT US BANK CUST FOR PFS FINANCIAL 2 LLC</t>
  </si>
  <si>
    <t>18-2N-27-4315-0010-0000</t>
  </si>
  <si>
    <t>JOHNSON LAKE</t>
  </si>
  <si>
    <t>75586 JOHNSON LAKE RD</t>
  </si>
  <si>
    <t>GRESHAM ELBERT THOMAS</t>
  </si>
  <si>
    <t>18-02N-27E</t>
  </si>
  <si>
    <t>LOT 10 IN OR 1602/938 1986 BIRGADAI DW/MH</t>
  </si>
  <si>
    <t>18-2N-27-4315-0040-0000</t>
  </si>
  <si>
    <t>75820 JOHNSON LAKE RD</t>
  </si>
  <si>
    <t>LEE MATTEW</t>
  </si>
  <si>
    <t>LEE LACY</t>
  </si>
  <si>
    <t>LOT 40 IN OR 2066/837 (EX PT IN OR 2014/1817) JOHNSONS LAKE ESTATES SUB UNR</t>
  </si>
  <si>
    <t>2017-1103</t>
  </si>
  <si>
    <t>OCEAN BLVD 919 COMPANY LLC</t>
  </si>
  <si>
    <t>2016-1118</t>
  </si>
  <si>
    <t>18-2N-27-4315-0050-0000</t>
  </si>
  <si>
    <t>JOHNSON LAKE RD</t>
  </si>
  <si>
    <t>ZELL DONALD D</t>
  </si>
  <si>
    <t>8604 SAN SERVERA DR W</t>
  </si>
  <si>
    <t>LOT 50 PT OR 800 PG 411 JOHNSONS LAKE EST UNR</t>
  </si>
  <si>
    <t>2017-1104</t>
  </si>
  <si>
    <t>DAVID WILES</t>
  </si>
  <si>
    <t>2016-1119</t>
  </si>
  <si>
    <t>2015-1172</t>
  </si>
  <si>
    <t>2014-1233</t>
  </si>
  <si>
    <t>2013-1336</t>
  </si>
  <si>
    <t>2012-1327</t>
  </si>
  <si>
    <t>18-2N-27-4315-0051-0000</t>
  </si>
  <si>
    <t>LOT 51 PT OR 800 PG 411 JOHNSONS LAKE EST UNR</t>
  </si>
  <si>
    <t>2017-1105</t>
  </si>
  <si>
    <t>2016-1120</t>
  </si>
  <si>
    <t>2015-1173</t>
  </si>
  <si>
    <t>2014-1234</t>
  </si>
  <si>
    <t>2013-1337</t>
  </si>
  <si>
    <t>2012-1328</t>
  </si>
  <si>
    <t>18-2N-27-4315-0052-0000</t>
  </si>
  <si>
    <t>LOT 52 PT OR 800 PG 411 JOHNSONS LAKE EST UNR</t>
  </si>
  <si>
    <t>2017-1106</t>
  </si>
  <si>
    <t>2016-1121</t>
  </si>
  <si>
    <t>2015-1174</t>
  </si>
  <si>
    <t>2014-1235</t>
  </si>
  <si>
    <t>2013-1338</t>
  </si>
  <si>
    <t>2012-1329</t>
  </si>
  <si>
    <t>18-2N-27-4315-0053-0000</t>
  </si>
  <si>
    <t>LOT 53 PT OR 800 PG 411 JOHNSONS LAKE EST UNR</t>
  </si>
  <si>
    <t>2017-1107</t>
  </si>
  <si>
    <t>2016-1122</t>
  </si>
  <si>
    <t>2015-1175</t>
  </si>
  <si>
    <t>2014-1236</t>
  </si>
  <si>
    <t>2013-1339</t>
  </si>
  <si>
    <t>2012-1330</t>
  </si>
  <si>
    <t>18-2N-27-4315-0054-0000</t>
  </si>
  <si>
    <t>LOT 54 PT OR 800 PG 411 JOHNSONS LAKE EST UNR</t>
  </si>
  <si>
    <t>2017-1108</t>
  </si>
  <si>
    <t>2016-1123</t>
  </si>
  <si>
    <t>2015-1176</t>
  </si>
  <si>
    <t>2014-1237</t>
  </si>
  <si>
    <t>2013-1340</t>
  </si>
  <si>
    <t>2012-1331</t>
  </si>
  <si>
    <t>18-2N-27-4315-0055-0000</t>
  </si>
  <si>
    <t>LOT 55 PT OR 800 PG 411 JOHNSONS LAKE EST UNR</t>
  </si>
  <si>
    <t>2017-1109</t>
  </si>
  <si>
    <t>2016-1124</t>
  </si>
  <si>
    <t>2015-1177</t>
  </si>
  <si>
    <t>2014-1238</t>
  </si>
  <si>
    <t>2013-1341</t>
  </si>
  <si>
    <t>2012-1332</t>
  </si>
  <si>
    <t>18-2N-27-4315-0056-0000</t>
  </si>
  <si>
    <t>LOT 56 (EX S-1) PT OR 800 PG 411 JOHNSONS LAKE EST UNR</t>
  </si>
  <si>
    <t>2017-1110</t>
  </si>
  <si>
    <t>2016-1125</t>
  </si>
  <si>
    <t>2015-1178</t>
  </si>
  <si>
    <t>2014-1239</t>
  </si>
  <si>
    <t>2013-1342</t>
  </si>
  <si>
    <t>2012-1333</t>
  </si>
  <si>
    <t>18-2N-27-4315-0061-0000</t>
  </si>
  <si>
    <t>75072 JOHNSON LAKE RD</t>
  </si>
  <si>
    <t>YOUNG JAMES M</t>
  </si>
  <si>
    <t>YOUNG PATRICIA S</t>
  </si>
  <si>
    <t>86058 JEAN RD</t>
  </si>
  <si>
    <t>LOT 61 IN OR 1744/1823 JOHNSONS LAKE EST UNR</t>
  </si>
  <si>
    <t>2014-1240</t>
  </si>
  <si>
    <t>18-2N-27-4316-0012-0000</t>
  </si>
  <si>
    <t>75229 JOHNSON LAKE RD</t>
  </si>
  <si>
    <t>MEADOWS MELISSA</t>
  </si>
  <si>
    <t>LOT 12 2001 SCHT DW IN OR 2030/1641 FPL ESMT PT OR 943/796</t>
  </si>
  <si>
    <t>2017-1111</t>
  </si>
  <si>
    <t>DOGPOUND80591</t>
  </si>
  <si>
    <t>2016-1127</t>
  </si>
  <si>
    <t>KINGFISHER KEY TAX XGPY LLC</t>
  </si>
  <si>
    <t>18-2N-27-4316-0021-0000</t>
  </si>
  <si>
    <t>75343 JOHNSON LAKE RD</t>
  </si>
  <si>
    <t>MILES MATTHEW S</t>
  </si>
  <si>
    <t>LOT 21 IN OR 1158/785 &amp; OR 1988/31 R621644 &amp; R621645</t>
  </si>
  <si>
    <t>2017-1113</t>
  </si>
  <si>
    <t>MOCA INVESTMENTS252095</t>
  </si>
  <si>
    <t>2016-1129</t>
  </si>
  <si>
    <t>BETA BLOCK - CCTS FLOR 121532 US BANK CUST FOR PFS FINANCIAL 2 LLC</t>
  </si>
  <si>
    <t>2015-1181</t>
  </si>
  <si>
    <t>2014-1243</t>
  </si>
  <si>
    <t>2013-1345</t>
  </si>
  <si>
    <t>2012-1335</t>
  </si>
  <si>
    <t>2011-1983</t>
  </si>
  <si>
    <t>18-2N-27-4316-0022-0000</t>
  </si>
  <si>
    <t>75353 JOHNSON LAKE RD</t>
  </si>
  <si>
    <t>BULLOCK DARYL D</t>
  </si>
  <si>
    <t>BULLOCK MISTY D</t>
  </si>
  <si>
    <t>JOHNSON LAKE EST #2</t>
  </si>
  <si>
    <t>LOT 22 R583802 IN OR 1247/334 JOHNSON LAKE EST #2 PB 5/168</t>
  </si>
  <si>
    <t>2017-1114</t>
  </si>
  <si>
    <t>2016-1130</t>
  </si>
  <si>
    <t>2015-1182</t>
  </si>
  <si>
    <t>2014-1244</t>
  </si>
  <si>
    <t>2013-1346</t>
  </si>
  <si>
    <t>2012-3207</t>
  </si>
  <si>
    <t>LEONILA PICARDAL DAPAR LEOLITA PICARDAL DAPAR</t>
  </si>
  <si>
    <t>18-2N-27-4316-0024-0000</t>
  </si>
  <si>
    <t>75389 JOHNSON LAKE RD</t>
  </si>
  <si>
    <t>WILLIAMSON KENNETH</t>
  </si>
  <si>
    <t>WILLIAMSON JANICE F</t>
  </si>
  <si>
    <t>LOT 24 IN OR 843/1435 R672993 &amp; R672994</t>
  </si>
  <si>
    <t>2017-1115</t>
  </si>
  <si>
    <t>XIBEF 9397 LLC</t>
  </si>
  <si>
    <t>2016-1131</t>
  </si>
  <si>
    <t>CCTS LLC GROUP ETA 89812 US BANK CUST FOR PFS FINANCIAL 2 LLC</t>
  </si>
  <si>
    <t>2015-1183</t>
  </si>
  <si>
    <t>RAJA 724V LLC</t>
  </si>
  <si>
    <t>2014-1245</t>
  </si>
  <si>
    <t>2013-1347</t>
  </si>
  <si>
    <t>2012-1336</t>
  </si>
  <si>
    <t>2011-1984</t>
  </si>
  <si>
    <t>18-2N-27-4316-0030-0000</t>
  </si>
  <si>
    <t>SEMPER FI</t>
  </si>
  <si>
    <t>75014 SEMPER FI DR</t>
  </si>
  <si>
    <t>KNAUSS DENNIS M</t>
  </si>
  <si>
    <t>KNAUSS JUDITH A</t>
  </si>
  <si>
    <t>LOT 30 IN OR 697 PG 272 JOHNSON LAKE EST #2 PB 5/168</t>
  </si>
  <si>
    <t>2017-1116</t>
  </si>
  <si>
    <t>FREMONT CAPITAL MANAGEMENT23693</t>
  </si>
  <si>
    <t>2016-1132</t>
  </si>
  <si>
    <t>CCTS FL 38396 US BANK CUST FOR PFS FINANCIAL 2 LLC</t>
  </si>
  <si>
    <t>18-2N-27-4316-0031-0000</t>
  </si>
  <si>
    <t>75523 JOHNSON LAKE RD</t>
  </si>
  <si>
    <t>WESLEY ALFRED L</t>
  </si>
  <si>
    <t>WESLEY MELANIE S</t>
  </si>
  <si>
    <t>LOT 31 IN OR 800 PG 413 JOHNSON LAKE EST #2 PB 5/168</t>
  </si>
  <si>
    <t>2017-1117</t>
  </si>
  <si>
    <t>HADEY 21850 LLC</t>
  </si>
  <si>
    <t>2016-1133</t>
  </si>
  <si>
    <t>CCTS CAP FL 81138 US BANK CUST FOR PFS FINANCIAL 2 LLC</t>
  </si>
  <si>
    <t>2015-1184</t>
  </si>
  <si>
    <t>E161584</t>
  </si>
  <si>
    <t>2014-1246</t>
  </si>
  <si>
    <t>2013-1348</t>
  </si>
  <si>
    <t>2012-1337</t>
  </si>
  <si>
    <t>2011-1985</t>
  </si>
  <si>
    <t>18-2N-27-431A-000C-0000</t>
  </si>
  <si>
    <t>75625 JOHNSON LAKE RD</t>
  </si>
  <si>
    <t>HALL LINDA LEIGH</t>
  </si>
  <si>
    <t>PO BOX 1132</t>
  </si>
  <si>
    <t>INTERLACHEN FL</t>
  </si>
  <si>
    <t>LOT C IN OR 1043/683 1984 CHAM DW/MH</t>
  </si>
  <si>
    <t>18-2N-27-431A-000D-0000</t>
  </si>
  <si>
    <t>75641 JOHNSON LAKE RD</t>
  </si>
  <si>
    <t>COKER TAMMIE</t>
  </si>
  <si>
    <t>D</t>
  </si>
  <si>
    <t>JOHNSON LAKE EST # 1A</t>
  </si>
  <si>
    <t>LOT D IN OR 1253/1957 1972 FTWD SW/MH JOHNSON LAKE EST # 1A PB 6/63</t>
  </si>
  <si>
    <t>21-2N-27-0000-0001-0020</t>
  </si>
  <si>
    <t>BRYAN FREDERICK SR</t>
  </si>
  <si>
    <t>BRYAN CATHERINE</t>
  </si>
  <si>
    <t>2003 FAYE RD</t>
  </si>
  <si>
    <t>21-02N-27E</t>
  </si>
  <si>
    <t>IN OR 643 PG 1113</t>
  </si>
  <si>
    <t>12089C_1020</t>
  </si>
  <si>
    <t>2016-1135</t>
  </si>
  <si>
    <t>GDI 75 LLC</t>
  </si>
  <si>
    <t>2015-1185</t>
  </si>
  <si>
    <t>SF CXXXVI</t>
  </si>
  <si>
    <t>2014-1247</t>
  </si>
  <si>
    <t>2013-1349</t>
  </si>
  <si>
    <t>2012-1434</t>
  </si>
  <si>
    <t>21-2N-27-0000-0001-0030</t>
  </si>
  <si>
    <t>850117 US HWY 17</t>
  </si>
  <si>
    <t>BRYAN F A</t>
  </si>
  <si>
    <t>BRYAN CATHERINE BOATRIGHT</t>
  </si>
  <si>
    <t>IN OR 749/1192 &amp; OR 1295/473 PARCELS 1-3 &amp; 1-4</t>
  </si>
  <si>
    <t>2016-1136</t>
  </si>
  <si>
    <t>BENNU LLC JAEBCB</t>
  </si>
  <si>
    <t>2015-1186</t>
  </si>
  <si>
    <t>SOIF CIX</t>
  </si>
  <si>
    <t>2014-1248</t>
  </si>
  <si>
    <t>2013-1350</t>
  </si>
  <si>
    <t>2012-1435</t>
  </si>
  <si>
    <t>21-2N-27-0000-0001-0050</t>
  </si>
  <si>
    <t>IN OR 1407/1811</t>
  </si>
  <si>
    <t>2016-1137</t>
  </si>
  <si>
    <t>2015-1187</t>
  </si>
  <si>
    <t>2014-1249</t>
  </si>
  <si>
    <t>2013-1351</t>
  </si>
  <si>
    <t>2012-1436</t>
  </si>
  <si>
    <t>21-2N-27-0000-0001-0070</t>
  </si>
  <si>
    <t>BRYAN F A &amp; CATHERINE B</t>
  </si>
  <si>
    <t>IN OR 1466/329</t>
  </si>
  <si>
    <t>2016-1138</t>
  </si>
  <si>
    <t>2015-1188</t>
  </si>
  <si>
    <t>SOIF CXXIV</t>
  </si>
  <si>
    <t>2014-1250</t>
  </si>
  <si>
    <t>2013-1352</t>
  </si>
  <si>
    <t>2012-1437</t>
  </si>
  <si>
    <t>21-2N-27-0000-0001-0080</t>
  </si>
  <si>
    <t>IN OR 1466/327</t>
  </si>
  <si>
    <t>2016-1139</t>
  </si>
  <si>
    <t>2015-1189</t>
  </si>
  <si>
    <t>SF LXXII</t>
  </si>
  <si>
    <t>2014-1251</t>
  </si>
  <si>
    <t>2013-1353</t>
  </si>
  <si>
    <t>2012-1438</t>
  </si>
  <si>
    <t>21-2N-27-0000-0001-0090</t>
  </si>
  <si>
    <t>PT OR 1460/362</t>
  </si>
  <si>
    <t>2016-1140</t>
  </si>
  <si>
    <t>2015-1190</t>
  </si>
  <si>
    <t>SOIF XXXVII</t>
  </si>
  <si>
    <t>2014-1252</t>
  </si>
  <si>
    <t>2013-1354</t>
  </si>
  <si>
    <t>2012-1439</t>
  </si>
  <si>
    <t>21-2N-27-0000-0001-0100</t>
  </si>
  <si>
    <t>2016-1142</t>
  </si>
  <si>
    <t>2015-1192</t>
  </si>
  <si>
    <t>SF XXXI</t>
  </si>
  <si>
    <t>2014-1254</t>
  </si>
  <si>
    <t>2013-1356</t>
  </si>
  <si>
    <t>2012-1441</t>
  </si>
  <si>
    <t>21-2N-27-0000-0001-0110</t>
  </si>
  <si>
    <t>2016-1143</t>
  </si>
  <si>
    <t>2015-1193</t>
  </si>
  <si>
    <t>HRG III</t>
  </si>
  <si>
    <t>2014-1255</t>
  </si>
  <si>
    <t>2013-1357</t>
  </si>
  <si>
    <t>2012-1442</t>
  </si>
  <si>
    <t>21-2N-27-0000-0001-0120</t>
  </si>
  <si>
    <t>850075 US HWY 17</t>
  </si>
  <si>
    <t>IN OR 1466/325</t>
  </si>
  <si>
    <t>2016-1144</t>
  </si>
  <si>
    <t>2015-1194</t>
  </si>
  <si>
    <t>2014-1256</t>
  </si>
  <si>
    <t>2013-1358</t>
  </si>
  <si>
    <t>2012-1443</t>
  </si>
  <si>
    <t>21-2N-27-0000-0001-0130</t>
  </si>
  <si>
    <t>HAIR TONY RAY</t>
  </si>
  <si>
    <t>2638 GREGOR MCGREGOR BLVD</t>
  </si>
  <si>
    <t>PT OR 1477/936</t>
  </si>
  <si>
    <t>2017-1121</t>
  </si>
  <si>
    <t>2016-1145</t>
  </si>
  <si>
    <t>2015-1195</t>
  </si>
  <si>
    <t>2014-1257</t>
  </si>
  <si>
    <t>2012-1444</t>
  </si>
  <si>
    <t>2011-1989</t>
  </si>
  <si>
    <t>21-2N-27-0000-0001-0140</t>
  </si>
  <si>
    <t>2017-1122</t>
  </si>
  <si>
    <t>2016-1146</t>
  </si>
  <si>
    <t>2015-1196</t>
  </si>
  <si>
    <t>2014-1258</t>
  </si>
  <si>
    <t>2012-1445</t>
  </si>
  <si>
    <t>2011-1990</t>
  </si>
  <si>
    <t>21-2N-27-0000-0001-0150</t>
  </si>
  <si>
    <t>2017-1123</t>
  </si>
  <si>
    <t>2016-1147</t>
  </si>
  <si>
    <t>2015-1197</t>
  </si>
  <si>
    <t>2014-1259</t>
  </si>
  <si>
    <t>2012-1446</t>
  </si>
  <si>
    <t>2011-1991</t>
  </si>
  <si>
    <t>21-2N-27-0000-0001-0160</t>
  </si>
  <si>
    <t>2017-1124</t>
  </si>
  <si>
    <t>2016-1148</t>
  </si>
  <si>
    <t>2015-1198</t>
  </si>
  <si>
    <t>2014-1260</t>
  </si>
  <si>
    <t>2012-1447</t>
  </si>
  <si>
    <t>2011-1992</t>
  </si>
  <si>
    <t>21-2N-27-0000-0001-0170</t>
  </si>
  <si>
    <t>YULEE FL 32037</t>
  </si>
  <si>
    <t>IN OR 1487/75</t>
  </si>
  <si>
    <t>2017-1125</t>
  </si>
  <si>
    <t>2016-1149</t>
  </si>
  <si>
    <t>2015-1199</t>
  </si>
  <si>
    <t>2014-1261</t>
  </si>
  <si>
    <t>2013-1359</t>
  </si>
  <si>
    <t>2012-1448</t>
  </si>
  <si>
    <t>2011-1993</t>
  </si>
  <si>
    <t>21-2N-27-0000-0001-0180</t>
  </si>
  <si>
    <t>PT OR 1527/1286</t>
  </si>
  <si>
    <t>2017-1126</t>
  </si>
  <si>
    <t>2016-1150</t>
  </si>
  <si>
    <t>2015-1200</t>
  </si>
  <si>
    <t>2014-1262</t>
  </si>
  <si>
    <t>2013-1360</t>
  </si>
  <si>
    <t>2012-1449</t>
  </si>
  <si>
    <t>2011-1994</t>
  </si>
  <si>
    <t>21-2N-27-0000-0001-0190</t>
  </si>
  <si>
    <t>12089C_196</t>
  </si>
  <si>
    <t>2017-1127</t>
  </si>
  <si>
    <t>2016-1151</t>
  </si>
  <si>
    <t>2015-1201</t>
  </si>
  <si>
    <t>2014-1263</t>
  </si>
  <si>
    <t>2013-1361</t>
  </si>
  <si>
    <t>2012-1450</t>
  </si>
  <si>
    <t>2011-1995</t>
  </si>
  <si>
    <t>25-2N-27-1475-0001-0100</t>
  </si>
  <si>
    <t>LIL WILLIAM</t>
  </si>
  <si>
    <t>85324 LIL WILLIAM RD</t>
  </si>
  <si>
    <t>MENTER DOROTHY J</t>
  </si>
  <si>
    <t>25-02N-27E</t>
  </si>
  <si>
    <t>BLOCK 1 LOT 10 IN OR 908/225 R787442 &amp; R787443</t>
  </si>
  <si>
    <t>2017-1129</t>
  </si>
  <si>
    <t>TRIAD HOLDINGS154052</t>
  </si>
  <si>
    <t>2013-1364</t>
  </si>
  <si>
    <t>25-2N-27-1475-0001-0310</t>
  </si>
  <si>
    <t>BURMEISTER</t>
  </si>
  <si>
    <t>85257 BURMEISTER RD</t>
  </si>
  <si>
    <t>TAYLOR OSCAR VINCE</t>
  </si>
  <si>
    <t>BLOCK 1 LOT 31 PT OR 1361/1011 1992 HORT DW/MH</t>
  </si>
  <si>
    <t>12089C_447</t>
  </si>
  <si>
    <t>2017-1130</t>
  </si>
  <si>
    <t>BREEZE PKWY 214 RENTING REO LLC</t>
  </si>
  <si>
    <t>2016-1153</t>
  </si>
  <si>
    <t>CHOWRAY 128X LLC</t>
  </si>
  <si>
    <t>2015-1203</t>
  </si>
  <si>
    <t>KING FISHER KEY TAX TATU LLC</t>
  </si>
  <si>
    <t>2014-1266</t>
  </si>
  <si>
    <t>2013-1366</t>
  </si>
  <si>
    <t>2011-2000</t>
  </si>
  <si>
    <t>25-2N-27-1475-0001-0320</t>
  </si>
  <si>
    <t>BURMEISTER RD</t>
  </si>
  <si>
    <t>TAYLOR FELICIA</t>
  </si>
  <si>
    <t>BLOCK 1 LOT 32 PT OR 1361/1011 EX ESMT PT OR 556/654</t>
  </si>
  <si>
    <t>2017-1131</t>
  </si>
  <si>
    <t>2016-1154</t>
  </si>
  <si>
    <t>2015-1204</t>
  </si>
  <si>
    <t>2014-1267</t>
  </si>
  <si>
    <t>2013-1367</t>
  </si>
  <si>
    <t>2011-2001</t>
  </si>
  <si>
    <t>25-2N-27-1475-0001-0340</t>
  </si>
  <si>
    <t>85129 BURMEISTER RD</t>
  </si>
  <si>
    <t>BALLARD JOHN M</t>
  </si>
  <si>
    <t>BLOCK 1 LOT 34 IN OR 632 PG 820 R621759 &amp; R621760</t>
  </si>
  <si>
    <t>2016-1155</t>
  </si>
  <si>
    <t>SUDDEN SOLUTIONS130718</t>
  </si>
  <si>
    <t>2014-1268</t>
  </si>
  <si>
    <t>25-2N-27-1475-0001-0640</t>
  </si>
  <si>
    <t>LINA</t>
  </si>
  <si>
    <t>85132 LINA RD</t>
  </si>
  <si>
    <t>WALKER STACEY R</t>
  </si>
  <si>
    <t>WALKER THERESA C</t>
  </si>
  <si>
    <t>BLOCK 1 LOT 64 IN OR 790 PG 236 R673679 &amp; R673680</t>
  </si>
  <si>
    <t>2016-1157</t>
  </si>
  <si>
    <t>SKYLER LLC O9037 SERIES</t>
  </si>
  <si>
    <t>2015-1207</t>
  </si>
  <si>
    <t>GTURN LLC AND GHETT TL LLC PARTNERSHIP 131</t>
  </si>
  <si>
    <t>2014-1270</t>
  </si>
  <si>
    <t>25-2N-27-1475-0001-0690</t>
  </si>
  <si>
    <t>85288 LINA RD</t>
  </si>
  <si>
    <t>DUBBERLY WILLIAM O</t>
  </si>
  <si>
    <t>DUBBERLY CYNTHIA J</t>
  </si>
  <si>
    <t>NASSAUVILLE WOODS</t>
  </si>
  <si>
    <t>BLOCK 1 LOT 69 IN OR 791 PG 1107 NASSAUVILLE WOODS PB 5/126</t>
  </si>
  <si>
    <t>2017-1133</t>
  </si>
  <si>
    <t>2016-1158</t>
  </si>
  <si>
    <t>FRANK T ILES</t>
  </si>
  <si>
    <t>2014-1272</t>
  </si>
  <si>
    <t>2013-1370</t>
  </si>
  <si>
    <t>25-2N-27-1475-0002-0210</t>
  </si>
  <si>
    <t>85262 BURMEISTER RD</t>
  </si>
  <si>
    <t>LUCAS DALE A</t>
  </si>
  <si>
    <t>BLOCK 2 LOT 21 IN OR 677 PG 183 NASSAUVILLE WOODS PB 5/126</t>
  </si>
  <si>
    <t>2017-1134</t>
  </si>
  <si>
    <t>2016-1160</t>
  </si>
  <si>
    <t>2015-1209</t>
  </si>
  <si>
    <t>2014-1275</t>
  </si>
  <si>
    <t>2013-1373</t>
  </si>
  <si>
    <t>2012-1647</t>
  </si>
  <si>
    <t>2011-2007</t>
  </si>
  <si>
    <t>25-2N-27-1475-0002-0220</t>
  </si>
  <si>
    <t>85244 BURMEISTER RD</t>
  </si>
  <si>
    <t>PAULK PATRICIA</t>
  </si>
  <si>
    <t>PAULK DORSEY</t>
  </si>
  <si>
    <t>BLOCK 2 LOT 22 IN OR 1524/262 2008 JACO DW/MH</t>
  </si>
  <si>
    <t>2017-1135</t>
  </si>
  <si>
    <t>HOSSET LLC O78755 SERIES</t>
  </si>
  <si>
    <t>2016-1161</t>
  </si>
  <si>
    <t>BHC - 239558 - GLEN ST MARY ENTITY US BANK CUST FOR PFS FINANCIAL 2 LLC</t>
  </si>
  <si>
    <t>2015-1210</t>
  </si>
  <si>
    <t>C6499</t>
  </si>
  <si>
    <t>2014-1276</t>
  </si>
  <si>
    <t>2012-1648</t>
  </si>
  <si>
    <t>LIME PORPOISE 17 LLC PALM TREE TAX, CAPONE NA AS CO</t>
  </si>
  <si>
    <t>2011-2008</t>
  </si>
  <si>
    <t>36-2N-27-525N-0005-0000</t>
  </si>
  <si>
    <t>SCHUBERT</t>
  </si>
  <si>
    <t>85336 SCHUBERT RD</t>
  </si>
  <si>
    <t>JESSE JEAN</t>
  </si>
  <si>
    <t>ODOM WILLIE T</t>
  </si>
  <si>
    <t>36-02N-27E</t>
  </si>
  <si>
    <t>LOT 5 L/E OR 1643/1813 1984 PARK DW/MH</t>
  </si>
  <si>
    <t>2016-1163</t>
  </si>
  <si>
    <t>KATHMAN CERT 104 LLC</t>
  </si>
  <si>
    <t>2015-1212</t>
  </si>
  <si>
    <t>SUTTON INVESTMENT8851</t>
  </si>
  <si>
    <t>2014-1280</t>
  </si>
  <si>
    <t>2013-1376</t>
  </si>
  <si>
    <t>36-2N-27-525N-0015-0000</t>
  </si>
  <si>
    <t>2901 SCHUBERT RD</t>
  </si>
  <si>
    <t>THEOBALD THOMAS ANDREW</t>
  </si>
  <si>
    <t>96568 CALHOUN RD</t>
  </si>
  <si>
    <t>HOLLY POINT</t>
  </si>
  <si>
    <t>LOTS 15 &amp; 16 IN OR 543/190 &amp; OR 543/193 HOLLY POINT NORTH UNR</t>
  </si>
  <si>
    <t>2012-2074</t>
  </si>
  <si>
    <t>36-2N-27-525N-0019-0000</t>
  </si>
  <si>
    <t>SCHUBERT CT</t>
  </si>
  <si>
    <t>THEOBALD THOMAS A</t>
  </si>
  <si>
    <t>LOT 19 IN OR 654 PG 775 HOLLY POINT NORTH UNR</t>
  </si>
  <si>
    <t>2012-2075</t>
  </si>
  <si>
    <t>36-2N-27-525N-0041-0000</t>
  </si>
  <si>
    <t>LINDA HALL</t>
  </si>
  <si>
    <t>85216 LINDA HALL RD</t>
  </si>
  <si>
    <t>DUNCUM BRIAN E</t>
  </si>
  <si>
    <t>DUNCUM FELICIA W</t>
  </si>
  <si>
    <t>95221 GERALD CIR</t>
  </si>
  <si>
    <t>LOT 41 IN OR 581/888 HOLLY POINT NORTH UNR</t>
  </si>
  <si>
    <t>36-2N-27-525N-0045-0000</t>
  </si>
  <si>
    <t>ADMIRAL</t>
  </si>
  <si>
    <t>85034 ADMIRAL AVE</t>
  </si>
  <si>
    <t>KOHLENBERGER GLENDA G</t>
  </si>
  <si>
    <t>LOT 45 PT OR 735/853 R621701 &amp; R621702</t>
  </si>
  <si>
    <t>2017-1137</t>
  </si>
  <si>
    <t>B LOW LLC AND CBBTL LLC PARTNERSHIP 143</t>
  </si>
  <si>
    <t>2016-1165</t>
  </si>
  <si>
    <t>BANDIR KOSI CERTS 671 LLC</t>
  </si>
  <si>
    <t>2015-1214</t>
  </si>
  <si>
    <t>MYKON TAX 309 LLC</t>
  </si>
  <si>
    <t>2013-1378</t>
  </si>
  <si>
    <t>2012-2079</t>
  </si>
  <si>
    <t>2011-2017</t>
  </si>
  <si>
    <t>36-2N-27-525N-0046-0000</t>
  </si>
  <si>
    <t>85165 SCHUBERT RD</t>
  </si>
  <si>
    <t>KOHLENBERGER ALAN</t>
  </si>
  <si>
    <t>LOT 46 IN OR 1079/905 HOLLY POINT NORTH UNR</t>
  </si>
  <si>
    <t>2017-1138</t>
  </si>
  <si>
    <t>2016-1166</t>
  </si>
  <si>
    <t>2015-1215</t>
  </si>
  <si>
    <t>2014-1283</t>
  </si>
  <si>
    <t>2012-2080</t>
  </si>
  <si>
    <t>36-2N-27-525P-0001-0070</t>
  </si>
  <si>
    <t>85367 SCHUBERT RD</t>
  </si>
  <si>
    <t>NUNEZ JEFFREY L</t>
  </si>
  <si>
    <t>PO BOX 15016</t>
  </si>
  <si>
    <t>BLOCK 1 LOTS 7 &amp; 8 PT OR 1356/1808 HOLLY POINT NORTH 2 PB 4/80</t>
  </si>
  <si>
    <t>2017-1140</t>
  </si>
  <si>
    <t>FAIRWAY WEST 110 FINANCIAL SERVICES LLC</t>
  </si>
  <si>
    <t>2016-1168</t>
  </si>
  <si>
    <t>SKYLER LLC O33227 SERIES</t>
  </si>
  <si>
    <t>2015-1217</t>
  </si>
  <si>
    <t>IMT - 205335 - ASTATULA LLC US BANK CUST FOR PFS FINANCIAL 2 LLC</t>
  </si>
  <si>
    <t>2014-1285</t>
  </si>
  <si>
    <t>2013-1380</t>
  </si>
  <si>
    <t>2012-2082</t>
  </si>
  <si>
    <t>2011-2019</t>
  </si>
  <si>
    <t>36-2N-27-525P-0002-0030</t>
  </si>
  <si>
    <t>85423 LINDA HALL RD</t>
  </si>
  <si>
    <t>MANN RANDALL W</t>
  </si>
  <si>
    <t>SPRING HILL</t>
  </si>
  <si>
    <t>BLOCK 2 LOT 3 1999 SPRING HILL DW IN OR 835 PG 2001</t>
  </si>
  <si>
    <t>2017-1141</t>
  </si>
  <si>
    <t>SKYLER LLC F3921 SERIES</t>
  </si>
  <si>
    <t>2016-1169</t>
  </si>
  <si>
    <t>VVVVV1130</t>
  </si>
  <si>
    <t>2015-1218</t>
  </si>
  <si>
    <t>WONDER CAPITAL117293</t>
  </si>
  <si>
    <t>2014-1286</t>
  </si>
  <si>
    <t>2013-1381</t>
  </si>
  <si>
    <t>2012-2083</t>
  </si>
  <si>
    <t>2011-2020</t>
  </si>
  <si>
    <t>36-2N-27-525P-0002-0050</t>
  </si>
  <si>
    <t>85363 LINDA HALL RD</t>
  </si>
  <si>
    <t>MCKINNEY JAMES A</t>
  </si>
  <si>
    <t>BLOCK 2 LOT 5 IN OR 1964/1345 R673783 &amp; R673784</t>
  </si>
  <si>
    <t>2017-1142</t>
  </si>
  <si>
    <t>SIDE LACE PARTNERS24179</t>
  </si>
  <si>
    <t>2016-1170</t>
  </si>
  <si>
    <t>ECRU LLC RLL087J</t>
  </si>
  <si>
    <t>2015-1219</t>
  </si>
  <si>
    <t>ORATINO2182</t>
  </si>
  <si>
    <t>2013-1382</t>
  </si>
  <si>
    <t>2012-2084</t>
  </si>
  <si>
    <t>2011-2021</t>
  </si>
  <si>
    <t>36-2N-27-525P-0004-0020</t>
  </si>
  <si>
    <t>LONNIE CREWS</t>
  </si>
  <si>
    <t>85182 LONNIE CREWS RD</t>
  </si>
  <si>
    <t>WAY ELIPHUS JEROME</t>
  </si>
  <si>
    <t>BLOCK 4 LOT 2 IN OR 804 PG 368 R672483 &amp; R672484</t>
  </si>
  <si>
    <t>2017-1143</t>
  </si>
  <si>
    <t>2016-1172</t>
  </si>
  <si>
    <t>2015-1220</t>
  </si>
  <si>
    <t>DOGPOUND150207</t>
  </si>
  <si>
    <t>2013-1384</t>
  </si>
  <si>
    <t>2012-2087</t>
  </si>
  <si>
    <t>2011-2025</t>
  </si>
  <si>
    <t>36-2N-27-525Q-0002-0050</t>
  </si>
  <si>
    <t>85355 LONNIE CREWS RD</t>
  </si>
  <si>
    <t>NIX CLAUDE E</t>
  </si>
  <si>
    <t>NIX ERIC JUSTIN</t>
  </si>
  <si>
    <t>BLOCK 2 LOT 5 R497460 IN OR 635/1052 &amp; OR 1905/516 HOLLY POINT NORTH #3 PB 5/24</t>
  </si>
  <si>
    <t>2015-1221</t>
  </si>
  <si>
    <t>2013-2836</t>
  </si>
  <si>
    <t>2012-3225</t>
  </si>
  <si>
    <t>36-2N-27-525Q-0002-0110</t>
  </si>
  <si>
    <t>85441 LONNIE CREWS RD</t>
  </si>
  <si>
    <t>PARKER ALMA GENE</t>
  </si>
  <si>
    <t>PO BOX 2034</t>
  </si>
  <si>
    <t>BLOCK 2 LOT 11 IN OR 1479/1534 1998 JAGU DW/MH</t>
  </si>
  <si>
    <t>36-2N-27-525Q-0003-0020</t>
  </si>
  <si>
    <t>85505 LONNIE CREWS RD</t>
  </si>
  <si>
    <t>CRAWFORD STEVE M</t>
  </si>
  <si>
    <t>CRAWFORD DEBBIE M</t>
  </si>
  <si>
    <t>BLOCK 3 LOT 2 R359755 EX FPL ESMT OR 385/127 IN OR 568 PG 794</t>
  </si>
  <si>
    <t>2014-1291</t>
  </si>
  <si>
    <t>2013-1387</t>
  </si>
  <si>
    <t>2012-2090</t>
  </si>
  <si>
    <t>2011-2029</t>
  </si>
  <si>
    <t>36-2N-27-525Q-0004-0010</t>
  </si>
  <si>
    <t>85502 LONNIE CREWS RD</t>
  </si>
  <si>
    <t>ALLISON VENTURES LLC</t>
  </si>
  <si>
    <t>96034 SANDY POINTE CIR</t>
  </si>
  <si>
    <t>BLOCK 4 LOT 1 IN OR 1779/1862 R434348 &amp; R434349</t>
  </si>
  <si>
    <t>2017-1144</t>
  </si>
  <si>
    <t>2016-1176</t>
  </si>
  <si>
    <t>2015-1223</t>
  </si>
  <si>
    <t>BARI1439</t>
  </si>
  <si>
    <t>2014-1292</t>
  </si>
  <si>
    <t>2013-1388</t>
  </si>
  <si>
    <t>36-2N-27-525Q-0004-0050</t>
  </si>
  <si>
    <t>OFF LONNIE CREWS</t>
  </si>
  <si>
    <t>OFF LONNIE CREWS RD</t>
  </si>
  <si>
    <t>GRIFFIN ROBERT B</t>
  </si>
  <si>
    <t>97175 LAFFITES WAY</t>
  </si>
  <si>
    <t>LONNIE</t>
  </si>
  <si>
    <t>BLOCK 4 LOT 5 PT OR 1876/1244 HOLLY POINT NORTH #3 PB 5/24</t>
  </si>
  <si>
    <t>2017-1146</t>
  </si>
  <si>
    <t>2016-1178</t>
  </si>
  <si>
    <t>2015-1224</t>
  </si>
  <si>
    <t>37-2N-27-0000-0001-0220</t>
  </si>
  <si>
    <t>EAST</t>
  </si>
  <si>
    <t>463773 EAST SR 200</t>
  </si>
  <si>
    <t>KIMCO NASSAU LLC</t>
  </si>
  <si>
    <t>3333 NEW HYDE PARK RD STE 100</t>
  </si>
  <si>
    <t>NEW HYDE PARK NY</t>
  </si>
  <si>
    <t>Sewage disposal solid waste</t>
  </si>
  <si>
    <t>Waste Disposal Sewage (processing; disposal; storage; treatment)</t>
  </si>
  <si>
    <t>37-02N-27E</t>
  </si>
  <si>
    <t>PT OR 1196/1796 PARCEL 1-22 SEC 37-2N-27 &amp; PARCEL 1-27 SEC 51-3N-27</t>
  </si>
  <si>
    <t>38-2N-27-0000-0008-0020</t>
  </si>
  <si>
    <t>463471 SR 200</t>
  </si>
  <si>
    <t>HILLIARD TRUCK &amp; AUTO INC</t>
  </si>
  <si>
    <t>15928 COUNTY ROAD 108</t>
  </si>
  <si>
    <t>38-02N-27E</t>
  </si>
  <si>
    <t>IN OR 1812/1516 ESMT OR 1457/915</t>
  </si>
  <si>
    <t>2017-1147</t>
  </si>
  <si>
    <t>DERIBHAT TAX 427 LLC</t>
  </si>
  <si>
    <t>2015-1226</t>
  </si>
  <si>
    <t>MOCA INVESTMENTS273895</t>
  </si>
  <si>
    <t>2014-1293</t>
  </si>
  <si>
    <t>2013-1390</t>
  </si>
  <si>
    <t>2012-2366</t>
  </si>
  <si>
    <t>38-2N-27-0000-0008-0040</t>
  </si>
  <si>
    <t>DICHARIA</t>
  </si>
  <si>
    <t>DICHARIA ST</t>
  </si>
  <si>
    <t>DICHARIA ANNA MARIE</t>
  </si>
  <si>
    <t>86128 DI CHARIA ST</t>
  </si>
  <si>
    <t>IN OR 1550/32</t>
  </si>
  <si>
    <t>2017-1148</t>
  </si>
  <si>
    <t>2016-1182</t>
  </si>
  <si>
    <t>2015-1228</t>
  </si>
  <si>
    <t>CCTS CAP FL 82119 US BANK CUST FOR PFS FINANCIAL 2 LLC</t>
  </si>
  <si>
    <t>2012-2368</t>
  </si>
  <si>
    <t>2011-2034</t>
  </si>
  <si>
    <t>38-2N-27-0000-0011-0010</t>
  </si>
  <si>
    <t>463400 SR 200</t>
  </si>
  <si>
    <t>THOMAS ANDREW</t>
  </si>
  <si>
    <t>PO BOX 24</t>
  </si>
  <si>
    <t>OR 729/1670 &amp; PT OR 749/1649 EX R/W IN OR 203/470</t>
  </si>
  <si>
    <t>2017-1149</t>
  </si>
  <si>
    <t>MS FOR MS8</t>
  </si>
  <si>
    <t>2015-1229</t>
  </si>
  <si>
    <t>BISBEE LLC AK298993</t>
  </si>
  <si>
    <t>2014-1294</t>
  </si>
  <si>
    <t>2013-1391</t>
  </si>
  <si>
    <t>2012-2369</t>
  </si>
  <si>
    <t>BLUE SPRINGS INC</t>
  </si>
  <si>
    <t>2011-2035</t>
  </si>
  <si>
    <t>38-2N-27-0000-0011-0030</t>
  </si>
  <si>
    <t>EAST SR 200</t>
  </si>
  <si>
    <t>OR 677/441 &amp; PT OR 749/1649</t>
  </si>
  <si>
    <t>2017-1150</t>
  </si>
  <si>
    <t>WOBAC 11534 LLC</t>
  </si>
  <si>
    <t>2016-1183</t>
  </si>
  <si>
    <t>2015-1230</t>
  </si>
  <si>
    <t>2014-1295</t>
  </si>
  <si>
    <t>2013-1392</t>
  </si>
  <si>
    <t>2012-2370</t>
  </si>
  <si>
    <t>2011-2036</t>
  </si>
  <si>
    <t>38-2N-27-0000-0014-0060</t>
  </si>
  <si>
    <t>MINER</t>
  </si>
  <si>
    <t>85798 MINER RD</t>
  </si>
  <si>
    <t>HAYWOOD FRED</t>
  </si>
  <si>
    <t>1790 FREDERICA RD</t>
  </si>
  <si>
    <t>SAINT SIMONS ISLAND GA</t>
  </si>
  <si>
    <t>IN OR 137/612 &amp; OR 329/781</t>
  </si>
  <si>
    <t>2017-1151</t>
  </si>
  <si>
    <t>PORK CHOP SANDWICHES URKSVA</t>
  </si>
  <si>
    <t>2016-1184</t>
  </si>
  <si>
    <t>HOSSET LLC O23677 SERIES</t>
  </si>
  <si>
    <t>2015-1231</t>
  </si>
  <si>
    <t>MAG TC 3-5725</t>
  </si>
  <si>
    <t>38-2N-27-0000-0014-0170</t>
  </si>
  <si>
    <t>463493 SR 200</t>
  </si>
  <si>
    <t>FADEL ABDALLAH FARES</t>
  </si>
  <si>
    <t>11937 FITCHWOOD CIR</t>
  </si>
  <si>
    <t>IN OR 2038/608 R568144 &amp; R568145 &amp; R622392 PARCELS 14-17 14-18 &amp; 14-19</t>
  </si>
  <si>
    <t>2017-1152</t>
  </si>
  <si>
    <t>KING FISHER KEY TAX TASM LLC</t>
  </si>
  <si>
    <t>2015-1232</t>
  </si>
  <si>
    <t>2014-1296</t>
  </si>
  <si>
    <t>2013-1394</t>
  </si>
  <si>
    <t>2012-2371</t>
  </si>
  <si>
    <t>2011-2037</t>
  </si>
  <si>
    <t>38-2N-27-0000-0018-0030</t>
  </si>
  <si>
    <t>APPALOOSA</t>
  </si>
  <si>
    <t>86187 APPALOOSA AVE</t>
  </si>
  <si>
    <t>MINER STEVEN M</t>
  </si>
  <si>
    <t>PAINTER PAMELA G</t>
  </si>
  <si>
    <t>IN OR 1922/30</t>
  </si>
  <si>
    <t>2016-1186</t>
  </si>
  <si>
    <t>SANMARCORA XVMXPN</t>
  </si>
  <si>
    <t>2015-1234</t>
  </si>
  <si>
    <t>YYYYY1900</t>
  </si>
  <si>
    <t>2014-1297</t>
  </si>
  <si>
    <t>2011-2039</t>
  </si>
  <si>
    <t>38-2N-27-1270-000D-0010</t>
  </si>
  <si>
    <t>ST PAUL</t>
  </si>
  <si>
    <t>ST PAUL BLVD</t>
  </si>
  <si>
    <t>GOTCH JOHN</t>
  </si>
  <si>
    <t>94182 RIVER MARSH DR</t>
  </si>
  <si>
    <t>Utility gas and electricity</t>
  </si>
  <si>
    <t>Public Utility (Electric; Water; Gas; etc.)</t>
  </si>
  <si>
    <t>SW1/2 OF TRACT D IN OR 1326/608 LOFTON OAKS @ YULEE HOME</t>
  </si>
  <si>
    <t>2017-1155</t>
  </si>
  <si>
    <t>2016-1188</t>
  </si>
  <si>
    <t>38-2N-27-127C-0071-0000</t>
  </si>
  <si>
    <t>ST MARK</t>
  </si>
  <si>
    <t>83151 ST MARK DR</t>
  </si>
  <si>
    <t>HOLZENDORF DWAYNE K</t>
  </si>
  <si>
    <t>83151 SAINT MARK DR</t>
  </si>
  <si>
    <t>LOFTON CREEK</t>
  </si>
  <si>
    <t>LOT 71 IN OR 812/609 LOFTON CREEK PB 6/33-36</t>
  </si>
  <si>
    <t>2015-1235</t>
  </si>
  <si>
    <t>CCTS FL 38587 US BANK CUST FOR PFS FINANCIAL 2 LLC</t>
  </si>
  <si>
    <t>38-2N-27-1330-0028-0000</t>
  </si>
  <si>
    <t>MEADOWFIELD BLUFFS</t>
  </si>
  <si>
    <t>86253 MEADOWFIELD BLUFFS RD</t>
  </si>
  <si>
    <t>BARNARD DENISE R</t>
  </si>
  <si>
    <t>762 GEIGER RD</t>
  </si>
  <si>
    <t>LOT 28 IN OR 726 PG 426 MEADOWFIELD BLUFFS PB 5/105</t>
  </si>
  <si>
    <t>2014-1307</t>
  </si>
  <si>
    <t>2013-1401</t>
  </si>
  <si>
    <t>2012-2379</t>
  </si>
  <si>
    <t>38-2N-27-1331-0031-0000</t>
  </si>
  <si>
    <t>FIELDSTONE</t>
  </si>
  <si>
    <t>86239 FIELDSTONE DR</t>
  </si>
  <si>
    <t>STRICKLAND ARLENE L</t>
  </si>
  <si>
    <t>PO BOX 458</t>
  </si>
  <si>
    <t>WAYCROSS GA</t>
  </si>
  <si>
    <t>1B</t>
  </si>
  <si>
    <t>MEADOWFIELD</t>
  </si>
  <si>
    <t>LOT 31 IN OR 1863/200 MEADOWFIELD UNIT 1B PB 6/203</t>
  </si>
  <si>
    <t>38-2N-27-1525-0010-0000</t>
  </si>
  <si>
    <t>CREEK</t>
  </si>
  <si>
    <t>CREEK DR</t>
  </si>
  <si>
    <t>KUCHES CHRISTOPHER E</t>
  </si>
  <si>
    <t>85642 MINER RD</t>
  </si>
  <si>
    <t>OAK WOODS</t>
  </si>
  <si>
    <t>LOT 10 PT OR 1546/1141 OAK WOODS PB 5/370</t>
  </si>
  <si>
    <t>42-2N-27-0000-0001-0310</t>
  </si>
  <si>
    <t>85115 HADDOCK RD</t>
  </si>
  <si>
    <t>DAVIS BRETT L</t>
  </si>
  <si>
    <t>42-02N-27E</t>
  </si>
  <si>
    <t>IN OR 1877/1264</t>
  </si>
  <si>
    <t>2016-1198</t>
  </si>
  <si>
    <t>D7533</t>
  </si>
  <si>
    <t>2015-1241</t>
  </si>
  <si>
    <t>2014-1314</t>
  </si>
  <si>
    <t>2013-1413</t>
  </si>
  <si>
    <t>2012-2556</t>
  </si>
  <si>
    <t>2011-2054</t>
  </si>
  <si>
    <t>42-2N-27-0000-0001-0350</t>
  </si>
  <si>
    <t>TURK</t>
  </si>
  <si>
    <t>TURK LN</t>
  </si>
  <si>
    <t>PIKULA BYRON KYLE</t>
  </si>
  <si>
    <t>PIKULA JENNIFER BROWN</t>
  </si>
  <si>
    <t>85538 MINER RD</t>
  </si>
  <si>
    <t>PT JOHN LOW MILL GRANT SEC 42-2N-27E IN OR 2029/567</t>
  </si>
  <si>
    <t>42-2N-27-0000-0002-0220</t>
  </si>
  <si>
    <t>850709 US HWY 17</t>
  </si>
  <si>
    <t>FKCL INVESTMENTS IINC</t>
  </si>
  <si>
    <t>PO BOX E879</t>
  </si>
  <si>
    <t>IN OR 973/813 &amp; OR 1683/716</t>
  </si>
  <si>
    <t>42-2N-27-0000-0002-0310</t>
  </si>
  <si>
    <t>850646 US HWY 17</t>
  </si>
  <si>
    <t>PEARCE CAROLEE J</t>
  </si>
  <si>
    <t>DANIEL MACARTHUR H</t>
  </si>
  <si>
    <t>PO BOX 16437</t>
  </si>
  <si>
    <t>IN OR 1341/1231 ESMT OR 1226/654 ESMT OR 1463/789</t>
  </si>
  <si>
    <t>2017-1165</t>
  </si>
  <si>
    <t>TRIAD HOLDINGS64351</t>
  </si>
  <si>
    <t>2016-1204</t>
  </si>
  <si>
    <t>OCEAN ADVISORS104051</t>
  </si>
  <si>
    <t>2015-1245</t>
  </si>
  <si>
    <t>BERND381</t>
  </si>
  <si>
    <t>2014-1319</t>
  </si>
  <si>
    <t>2012-2564</t>
  </si>
  <si>
    <t>2011-2062</t>
  </si>
  <si>
    <t>42-2N-27-0000-0009-0010</t>
  </si>
  <si>
    <t>KUTANA</t>
  </si>
  <si>
    <t>86153 KUTANA DR</t>
  </si>
  <si>
    <t>GILBERT BESSIE LEE</t>
  </si>
  <si>
    <t>PT JOHN LOW MILL GRANT SEC 42-2N-27E IN OR 958/1673</t>
  </si>
  <si>
    <t>2017-1169</t>
  </si>
  <si>
    <t>2016-1208</t>
  </si>
  <si>
    <t>42-2N-27-0000-0018-0000</t>
  </si>
  <si>
    <t>86013 KUTANA DR</t>
  </si>
  <si>
    <t>COLLINS FRANK</t>
  </si>
  <si>
    <t>IN OR 295/635 &amp; OR 1380/468 &amp; OR 1711/26</t>
  </si>
  <si>
    <t>2017-1172</t>
  </si>
  <si>
    <t>2015-1251</t>
  </si>
  <si>
    <t>2013-1426</t>
  </si>
  <si>
    <t>2012-2569</t>
  </si>
  <si>
    <t>42-2N-27-0000-0019-0010</t>
  </si>
  <si>
    <t>HENDERSON</t>
  </si>
  <si>
    <t>86002 HENDERSON AVE</t>
  </si>
  <si>
    <t>THOMAS ANDREW C</t>
  </si>
  <si>
    <t>1204 E 14TH ST</t>
  </si>
  <si>
    <t>PANAMA CITY FL</t>
  </si>
  <si>
    <t>PT JOHN LOW MILL GRANT SEC 42-2N-27E IN OR 1496/729</t>
  </si>
  <si>
    <t>2017-1173</t>
  </si>
  <si>
    <t>SUDDEN SOLUTIONS81133</t>
  </si>
  <si>
    <t>2016-1211</t>
  </si>
  <si>
    <t>FLORIDA - BLOCK PHI 184883 US BANK CUST FOR PFS FINANCIAL 1</t>
  </si>
  <si>
    <t>2014-1329</t>
  </si>
  <si>
    <t>2013-1428</t>
  </si>
  <si>
    <t>2012-2571</t>
  </si>
  <si>
    <t>2011-2070</t>
  </si>
  <si>
    <t>42-2N-27-0000-0023-0010</t>
  </si>
  <si>
    <t>PINEWOOD DR</t>
  </si>
  <si>
    <t>LILLIE ALBERT MAE</t>
  </si>
  <si>
    <t>86220 PINEWOOD DR</t>
  </si>
  <si>
    <t>IN OR 20/358 L/E BY WILL</t>
  </si>
  <si>
    <t>2017-1176</t>
  </si>
  <si>
    <t>2016-1213</t>
  </si>
  <si>
    <t>2015-1254</t>
  </si>
  <si>
    <t>2014-1332</t>
  </si>
  <si>
    <t>2013-1431</t>
  </si>
  <si>
    <t>2012-2573</t>
  </si>
  <si>
    <t>2011-2071</t>
  </si>
  <si>
    <t>MARSHA PHELTS</t>
  </si>
  <si>
    <t>42-2N-27-0000-0023-0030</t>
  </si>
  <si>
    <t>SIMMONS EDDIE</t>
  </si>
  <si>
    <t>SIMMONS CHARMAINE</t>
  </si>
  <si>
    <t>IN OR 1946/407 R408037 &amp; R408038</t>
  </si>
  <si>
    <t>2017-1177</t>
  </si>
  <si>
    <t>2014-1333</t>
  </si>
  <si>
    <t>2013-1432</t>
  </si>
  <si>
    <t>2012-2574</t>
  </si>
  <si>
    <t>2011-2072</t>
  </si>
  <si>
    <t>42-2N-27-0000-0026-0000</t>
  </si>
  <si>
    <t>86394 PINEWOOD DR</t>
  </si>
  <si>
    <t>WOODBURY MARIE G</t>
  </si>
  <si>
    <t>916 STRAWBERRY CT</t>
  </si>
  <si>
    <t>ELLENWOOD GA</t>
  </si>
  <si>
    <t>IN OR 100 PG 97</t>
  </si>
  <si>
    <t>2017-1178</t>
  </si>
  <si>
    <t>2016-1214</t>
  </si>
  <si>
    <t>BISBEE LLC RY1449B2</t>
  </si>
  <si>
    <t>2015-1255</t>
  </si>
  <si>
    <t>2014-1334</t>
  </si>
  <si>
    <t>2013-1433</t>
  </si>
  <si>
    <t>2012-2576</t>
  </si>
  <si>
    <t>2011-2073</t>
  </si>
  <si>
    <t>42-2N-27-0000-0026-0030</t>
  </si>
  <si>
    <t>GILYARD ELIZABETH</t>
  </si>
  <si>
    <t>462974 STATE ROAD 200</t>
  </si>
  <si>
    <t>IN OR 67 PG 667</t>
  </si>
  <si>
    <t>2017-1179</t>
  </si>
  <si>
    <t>2016-1215</t>
  </si>
  <si>
    <t>2015-1256</t>
  </si>
  <si>
    <t>2014-1335</t>
  </si>
  <si>
    <t>2013-1434</t>
  </si>
  <si>
    <t>2012-2577</t>
  </si>
  <si>
    <t>2011-2074</t>
  </si>
  <si>
    <t>42-2N-27-0000-0031-0000</t>
  </si>
  <si>
    <t>PALM TREE</t>
  </si>
  <si>
    <t>PALM TREE DR</t>
  </si>
  <si>
    <t>MOBLEY MARGARET</t>
  </si>
  <si>
    <t>PO BOX 51</t>
  </si>
  <si>
    <t>PT JOHN LOW GRANTS SECS 42-2N-27E &amp; 51-3N-27E PAR 31 IN OR 274/565 (EX R/W</t>
  </si>
  <si>
    <t>2017-1182</t>
  </si>
  <si>
    <t>2016-1219</t>
  </si>
  <si>
    <t>BISBEE LLC HL152132</t>
  </si>
  <si>
    <t>2015-1261</t>
  </si>
  <si>
    <t>2014-1339</t>
  </si>
  <si>
    <t>42-2N-27-0000-0032-0000</t>
  </si>
  <si>
    <t>MOBLEY GRANDVILLE</t>
  </si>
  <si>
    <t>PT JOHN LOW GRANTS SECS 42-2N-27E &amp; 51-3N-27E PAR 32 IN DBK 182/482</t>
  </si>
  <si>
    <t>2017-1183</t>
  </si>
  <si>
    <t>2016-1220</t>
  </si>
  <si>
    <t>BENNU LLC LY16QEA2R</t>
  </si>
  <si>
    <t>2015-1262</t>
  </si>
  <si>
    <t>2014-1340</t>
  </si>
  <si>
    <t>2013-1437</t>
  </si>
  <si>
    <t>2013-2878</t>
  </si>
  <si>
    <t>42-2N-27-0000-0033-0000</t>
  </si>
  <si>
    <t>86129 PALM TREE DR</t>
  </si>
  <si>
    <t>JACKSON FRANCENA</t>
  </si>
  <si>
    <t>PT JOHN LOW GRANTS SECS 42-2N-27E &amp; 51-3N-27E PAR 33 IN DBK 167/154</t>
  </si>
  <si>
    <t>2017-1184</t>
  </si>
  <si>
    <t>2015-1263</t>
  </si>
  <si>
    <t>42-2N-27-0000-0039-0000</t>
  </si>
  <si>
    <t>463200 SR 200</t>
  </si>
  <si>
    <t>MOBLEY GAIL</t>
  </si>
  <si>
    <t>MOBLEY MOBLEY MAGGIE</t>
  </si>
  <si>
    <t>PT JOHN LOW GRANTS SECS 42-2N-27E &amp; 51-3N-27E PAR 39 IN OR 187/316</t>
  </si>
  <si>
    <t>2017-1185</t>
  </si>
  <si>
    <t>BARSA 442Z LLC</t>
  </si>
  <si>
    <t>2016-1222</t>
  </si>
  <si>
    <t>SETPER LLC O88057 SERIES</t>
  </si>
  <si>
    <t>2015-1264</t>
  </si>
  <si>
    <t>ECRU LLC R102ABJ</t>
  </si>
  <si>
    <t>2014-1341</t>
  </si>
  <si>
    <t>2013-1438</t>
  </si>
  <si>
    <t>42-2N-27-0000-0043-0000</t>
  </si>
  <si>
    <t>SPICEWOOD</t>
  </si>
  <si>
    <t>SPICEWOOD DR</t>
  </si>
  <si>
    <t>PRINCE G A (EST)</t>
  </si>
  <si>
    <t>PO BOX 2097</t>
  </si>
  <si>
    <t>IN DB 180 PG 360</t>
  </si>
  <si>
    <t>2017-1186</t>
  </si>
  <si>
    <t>2016-1223</t>
  </si>
  <si>
    <t>2015-1265</t>
  </si>
  <si>
    <t>2014-1342</t>
  </si>
  <si>
    <t>2013-1439</t>
  </si>
  <si>
    <t>2012-2581</t>
  </si>
  <si>
    <t>42-2N-27-0000-0044-0020</t>
  </si>
  <si>
    <t>SPICEWOOD ST</t>
  </si>
  <si>
    <t>COLLYMORE MICHAEL</t>
  </si>
  <si>
    <t>IN OR 569 PG 1133</t>
  </si>
  <si>
    <t>2017-1187</t>
  </si>
  <si>
    <t>2016-1224</t>
  </si>
  <si>
    <t>2015-1266</t>
  </si>
  <si>
    <t>2014-1343</t>
  </si>
  <si>
    <t>2013-1440</t>
  </si>
  <si>
    <t>2012-2582</t>
  </si>
  <si>
    <t>CAROLYN DOUGLAS LONZO DOUGLAS</t>
  </si>
  <si>
    <t>2011-2077</t>
  </si>
  <si>
    <t>42-2N-27-0000-0056-0010</t>
  </si>
  <si>
    <t>SOWELL</t>
  </si>
  <si>
    <t>86075 SOWELL RD</t>
  </si>
  <si>
    <t>EVANS JOSEPH</t>
  </si>
  <si>
    <t>PO BOX 81</t>
  </si>
  <si>
    <t>IN OR 253 PG 289</t>
  </si>
  <si>
    <t>2017-1189</t>
  </si>
  <si>
    <t>2016-1226</t>
  </si>
  <si>
    <t>2015-1268</t>
  </si>
  <si>
    <t>2014-1345</t>
  </si>
  <si>
    <t>42-2N-27-0000-0066-0000</t>
  </si>
  <si>
    <t>850568 US HWY 17</t>
  </si>
  <si>
    <t>REPO YULEE CENTER</t>
  </si>
  <si>
    <t>PO BOX 1748</t>
  </si>
  <si>
    <t>OR 879/1195 PARCELS 66 &amp; 66-1</t>
  </si>
  <si>
    <t>2017-1192</t>
  </si>
  <si>
    <t>BENNU LLC LY8BQ89R</t>
  </si>
  <si>
    <t>2015-1271</t>
  </si>
  <si>
    <t>2014-1347</t>
  </si>
  <si>
    <t>2013-1444</t>
  </si>
  <si>
    <t>2012-2584</t>
  </si>
  <si>
    <t>2011-2083</t>
  </si>
  <si>
    <t>42-2N-27-0000-0079-0010</t>
  </si>
  <si>
    <t>HARTS RD</t>
  </si>
  <si>
    <t>CLAXTON JOHN L</t>
  </si>
  <si>
    <t>85127 HARTS RD</t>
  </si>
  <si>
    <t>IN OR 1592/1507 RP 434356</t>
  </si>
  <si>
    <t>42-2N-27-0000-0084-0000</t>
  </si>
  <si>
    <t>85043 HARTS RD</t>
  </si>
  <si>
    <t>NORMAN TRAE</t>
  </si>
  <si>
    <t>IN OR 2017/1050 &amp; OR 2017/1070</t>
  </si>
  <si>
    <t>42-2N-27-0000-0085-0010</t>
  </si>
  <si>
    <t>85011 HARTS RD</t>
  </si>
  <si>
    <t>WILSON DAVID GLEN</t>
  </si>
  <si>
    <t>IN OR 1461/727 PARCELS 85-1 &amp; 85-2</t>
  </si>
  <si>
    <t>42-2N-27-0000-0086-0000</t>
  </si>
  <si>
    <t>AB HARTS ROAD LLC</t>
  </si>
  <si>
    <t>401 SAN NICOLAS WAY</t>
  </si>
  <si>
    <t>PT OR 1732/1480 EX 86-1 &amp; 86-3 RECIPRICAL ESMT PT 1010/302</t>
  </si>
  <si>
    <t>2016-1232</t>
  </si>
  <si>
    <t>F20758</t>
  </si>
  <si>
    <t>2015-1275</t>
  </si>
  <si>
    <t>GRAPESEED INDUSTRIES167637</t>
  </si>
  <si>
    <t>2013-1450</t>
  </si>
  <si>
    <t>2012-2590</t>
  </si>
  <si>
    <t>2011-2089</t>
  </si>
  <si>
    <t>42-2N-27-0000-0086-0020</t>
  </si>
  <si>
    <t>ANDREWS KIMBER L</t>
  </si>
  <si>
    <t>11477 PINE ST</t>
  </si>
  <si>
    <t>IN OR 1820/1468 RECIPRICAL ESMT PT 1010/302 EX 86-4</t>
  </si>
  <si>
    <t>2016-1234</t>
  </si>
  <si>
    <t>2015-1277</t>
  </si>
  <si>
    <t>2013-1452</t>
  </si>
  <si>
    <t>2012-2592</t>
  </si>
  <si>
    <t>2011-2091</t>
  </si>
  <si>
    <t>42-2N-27-0000-0091-0010</t>
  </si>
  <si>
    <t>DURRANCE</t>
  </si>
  <si>
    <t>85006 DURRANCE AVE</t>
  </si>
  <si>
    <t>HALL COREY DURAND</t>
  </si>
  <si>
    <t>IN OR 1847/692 ESMT PT OR 852/1653</t>
  </si>
  <si>
    <t>2017-1195</t>
  </si>
  <si>
    <t>JSHERPA LLC AND J FLOY LLC PARTNERSHIP 1644</t>
  </si>
  <si>
    <t>2014-1351</t>
  </si>
  <si>
    <t>2013-1453</t>
  </si>
  <si>
    <t>2012-2593</t>
  </si>
  <si>
    <t>42-2N-27-0000-0095-0000</t>
  </si>
  <si>
    <t>HALLS</t>
  </si>
  <si>
    <t>85020 HALLS LN</t>
  </si>
  <si>
    <t>WARREN RICKY LAMAR</t>
  </si>
  <si>
    <t>PT JOHN LOW MILL GRANT SEC 42-2N-27E IN OR 1830/362 {1997 MERI DW/MH}</t>
  </si>
  <si>
    <t>2017-1196</t>
  </si>
  <si>
    <t>RAPTY TRUST SERIES 21171</t>
  </si>
  <si>
    <t>2016-1235</t>
  </si>
  <si>
    <t>TRIAD HOLDINGS39081</t>
  </si>
  <si>
    <t>42-2N-27-0000-0096-0000</t>
  </si>
  <si>
    <t>85042 HALLS LN</t>
  </si>
  <si>
    <t>PT JOHN LOW MILL GRANT SEC 42-2N-27E IN OR 1970/112 (EX PT IN OR 1353/1406)</t>
  </si>
  <si>
    <t>2017-1198</t>
  </si>
  <si>
    <t>OCEAN ADVISORS99691</t>
  </si>
  <si>
    <t>2015-1278</t>
  </si>
  <si>
    <t>2014-2563</t>
  </si>
  <si>
    <t>42-2N-27-0000-0096-0010</t>
  </si>
  <si>
    <t>85019 HALLS LN</t>
  </si>
  <si>
    <t>WARREN SHIRLEY HALL</t>
  </si>
  <si>
    <t>PT JOHN LOW MILL GRANT SEC 42-2N-27E IN OR 909/1148</t>
  </si>
  <si>
    <t>2017-1199</t>
  </si>
  <si>
    <t>2016-1237</t>
  </si>
  <si>
    <t>2012-2595</t>
  </si>
  <si>
    <t>42-2N-27-1330-0004-0000</t>
  </si>
  <si>
    <t>463360 SR 200</t>
  </si>
  <si>
    <t>G CUBED LLC</t>
  </si>
  <si>
    <t>10290 ATLANTIC BLVD</t>
  </si>
  <si>
    <t>MINER CORNERS SUB</t>
  </si>
  <si>
    <t>PARCEL 4 UTIL ESMTS PT OR 1769/492-513 MINER CORNERS SUB PB 8/56</t>
  </si>
  <si>
    <t>42-2N-27-430C-0003-0000</t>
  </si>
  <si>
    <t>EADY</t>
  </si>
  <si>
    <t>85051 EADY LN</t>
  </si>
  <si>
    <t>WHICKER SOLO 401 K TRUST</t>
  </si>
  <si>
    <t>2018 VILLAGE LN</t>
  </si>
  <si>
    <t>RMH RES MH</t>
  </si>
  <si>
    <t>CLAXTON ACRES</t>
  </si>
  <si>
    <t>LOT 3 IN OR 2034/631 CLAXTON ACRES PB 5/257</t>
  </si>
  <si>
    <t>42-2N-27-430C-0017-0000</t>
  </si>
  <si>
    <t>LINDSEY KAY</t>
  </si>
  <si>
    <t>85285 LINDSEY KAY CT</t>
  </si>
  <si>
    <t>ROSE JOHN C</t>
  </si>
  <si>
    <t>LOT 17 IN OR 662 PG 1146 R498073 &amp; R498074</t>
  </si>
  <si>
    <t>2017-1201</t>
  </si>
  <si>
    <t>SUTTON INVESTMENT31202</t>
  </si>
  <si>
    <t>2016-1240</t>
  </si>
  <si>
    <t>HOSSET LLC O20121 SERIES</t>
  </si>
  <si>
    <t>2015-1281</t>
  </si>
  <si>
    <t>BRITHBE 190H LLC</t>
  </si>
  <si>
    <t>2014-1354</t>
  </si>
  <si>
    <t>2013-1456</t>
  </si>
  <si>
    <t>2012-2597</t>
  </si>
  <si>
    <t>42-2N-27-430C-0022-0000</t>
  </si>
  <si>
    <t>85373 LINDSEY KAY CT</t>
  </si>
  <si>
    <t>FRANCIS JAMES G &amp; FRANCIS VELMA J EST</t>
  </si>
  <si>
    <t>LOT 22 IN OR 670 PG 1116 R434250 &amp; R434251</t>
  </si>
  <si>
    <t>2016-1241</t>
  </si>
  <si>
    <t>CCTS TAX LIEN PURCHASERS - 178892 US BANK CUST FOR PFS FINANCIAL 1</t>
  </si>
  <si>
    <t>42-2N-27-4310-0008-0000</t>
  </si>
  <si>
    <t>YANIE</t>
  </si>
  <si>
    <t>YANIE RD</t>
  </si>
  <si>
    <t>BOLDEN SAMUEL SR</t>
  </si>
  <si>
    <t>BOLDEN CARLEENE</t>
  </si>
  <si>
    <t>1752 DAYTONA LN</t>
  </si>
  <si>
    <t>DAVIS ESTATE HEIGHTS</t>
  </si>
  <si>
    <t>LOT 8 DAVIS ESTATE HEIGHTS PB 5/15</t>
  </si>
  <si>
    <t>2017-1202</t>
  </si>
  <si>
    <t>2016-1242</t>
  </si>
  <si>
    <t>2015-1282</t>
  </si>
  <si>
    <t>2014-1355</t>
  </si>
  <si>
    <t>2013-1457</t>
  </si>
  <si>
    <t>2012-2598</t>
  </si>
  <si>
    <t>42-2N-27-4310-0009-0000</t>
  </si>
  <si>
    <t>86139 YANIE RD</t>
  </si>
  <si>
    <t>LOT 9 DAVIS ESTATE HEIGHTS PB 5/15</t>
  </si>
  <si>
    <t>2017-1203</t>
  </si>
  <si>
    <t>2016-1243</t>
  </si>
  <si>
    <t>2015-1283</t>
  </si>
  <si>
    <t>2014-1356</t>
  </si>
  <si>
    <t>2013-1458</t>
  </si>
  <si>
    <t>2012-2599</t>
  </si>
  <si>
    <t>42-2N-27-4320-0005-0030</t>
  </si>
  <si>
    <t>86021 HENDERSON AVE</t>
  </si>
  <si>
    <t>PT OF LOT 5 IN OR 595/431 WM DAVIS ESTATE DB 245/475</t>
  </si>
  <si>
    <t>2017-1204</t>
  </si>
  <si>
    <t>2016-1245</t>
  </si>
  <si>
    <t>2015-1284</t>
  </si>
  <si>
    <t>E261771</t>
  </si>
  <si>
    <t>2014-1357</t>
  </si>
  <si>
    <t>2013-1459</t>
  </si>
  <si>
    <t>2012-2600</t>
  </si>
  <si>
    <t>2011-2094</t>
  </si>
  <si>
    <t>42-2N-27-4340-0003-0020</t>
  </si>
  <si>
    <t>85938 NORTH HARTS RD</t>
  </si>
  <si>
    <t>REEVES ANGELA E</t>
  </si>
  <si>
    <t>85938 HARTS RD</t>
  </si>
  <si>
    <t>PT BLKS 3 &amp; 4 PAR 3-2 IN OR 319/759 &amp; OR 320/121 ESMT PT OR 1881/975</t>
  </si>
  <si>
    <t>2011-2096</t>
  </si>
  <si>
    <t>42-2N-27-4340-0011-0000</t>
  </si>
  <si>
    <t>106 HARTS RD</t>
  </si>
  <si>
    <t>DANIEL ROBERT K</t>
  </si>
  <si>
    <t>86150 HAYLEY PL</t>
  </si>
  <si>
    <t>PT BLKS 11 12 13 &amp; PT ABND R/W IN OR 1522/465 &amp; ESMTS IN OR 454/85 &amp; OR 456/382</t>
  </si>
  <si>
    <t>2017-1206</t>
  </si>
  <si>
    <t>2016-1247</t>
  </si>
  <si>
    <t>BENNU LLC YSD1N99J</t>
  </si>
  <si>
    <t>2015-1286</t>
  </si>
  <si>
    <t>2014-1360</t>
  </si>
  <si>
    <t>2012-2602</t>
  </si>
  <si>
    <t>42-2N-27-4340-0011-0030</t>
  </si>
  <si>
    <t>HAYLEY</t>
  </si>
  <si>
    <t>PT BLKS 11 12 PT ABND R/W &amp; PT JOHN LOW GRANT SEC 42-2N 27E PT OR 1669/572 &amp; ESMT IN</t>
  </si>
  <si>
    <t>2017-1207</t>
  </si>
  <si>
    <t>ORANGE DOLPHINS ANJA LLC</t>
  </si>
  <si>
    <t>2016-1248</t>
  </si>
  <si>
    <t>FLOR - GROUP OMICRON 120185 US BANK CUST FOR PFS FINANCIAL 2 LLC</t>
  </si>
  <si>
    <t>2015-1287</t>
  </si>
  <si>
    <t>CCTS FLOR ALPHA BLOCK 111976 US BANK CUST FOR PFS FINANCIAL 2 LLC</t>
  </si>
  <si>
    <t>2013-1460</t>
  </si>
  <si>
    <t>2012-2603</t>
  </si>
  <si>
    <t>2011-2099</t>
  </si>
  <si>
    <t>42-2N-27-4340-0014-0000</t>
  </si>
  <si>
    <t>MORGAN RUSSELL JR</t>
  </si>
  <si>
    <t>463106 STATE ROAD 200</t>
  </si>
  <si>
    <t>BLOCK 14 IN OR 811 PG 1383 E J JOHNSON ADD TO YULEE UNR</t>
  </si>
  <si>
    <t>2016-1249</t>
  </si>
  <si>
    <t>2015-1288</t>
  </si>
  <si>
    <t>2014-1361</t>
  </si>
  <si>
    <t>2013-1461</t>
  </si>
  <si>
    <t>2012-2605</t>
  </si>
  <si>
    <t>2011-2101</t>
  </si>
  <si>
    <t>42-2N-27-4350-0008-0000</t>
  </si>
  <si>
    <t>CARR VILLAGE</t>
  </si>
  <si>
    <t>86011 CARR VILLAGE RD</t>
  </si>
  <si>
    <t>LITTLES JEANIE M</t>
  </si>
  <si>
    <t>410 JACKSON AVE</t>
  </si>
  <si>
    <t>PALATKA FL</t>
  </si>
  <si>
    <t>LOTS 8 &amp; 15 IN OR 1489/1888 JAMES D CARR SUB UNR</t>
  </si>
  <si>
    <t>2017-1208</t>
  </si>
  <si>
    <t>BISBEE LLC XF9F4B</t>
  </si>
  <si>
    <t>2016-1251</t>
  </si>
  <si>
    <t>BENNU LLC YSBANC9J</t>
  </si>
  <si>
    <t>2015-1290</t>
  </si>
  <si>
    <t>H6597</t>
  </si>
  <si>
    <t>42-2N-27-4350-0010-0000</t>
  </si>
  <si>
    <t>86047 CARR VILLAGE RD</t>
  </si>
  <si>
    <t>MCKINNON DORIS G</t>
  </si>
  <si>
    <t>PO BOX 368</t>
  </si>
  <si>
    <t>LOTS 10 &amp; 13 &amp; PT OF LOT 14 (F/K/A 57-13) OR 222 PG 19</t>
  </si>
  <si>
    <t>42-2N-27-4350-0017-0000</t>
  </si>
  <si>
    <t>DUNCAN</t>
  </si>
  <si>
    <t>DUNCAN RD</t>
  </si>
  <si>
    <t>DAVIS MARK DUNCAN</t>
  </si>
  <si>
    <t>DAVIS CLINT L</t>
  </si>
  <si>
    <t>303 CENTRE ST STE 200</t>
  </si>
  <si>
    <t>LOT 17 PT OF OR 456 PG 203 JAMES D CARR SUB UNR</t>
  </si>
  <si>
    <t>2017-1210</t>
  </si>
  <si>
    <t>2015-1292</t>
  </si>
  <si>
    <t>2014-1363</t>
  </si>
  <si>
    <t>2013-1463</t>
  </si>
  <si>
    <t>2012-2608</t>
  </si>
  <si>
    <t>2011-2104</t>
  </si>
  <si>
    <t>42-2N-27-4350-0018-0000</t>
  </si>
  <si>
    <t>LOT 18 PT OF OR 456 PG 203 JAMES D CARR SUB UNR</t>
  </si>
  <si>
    <t>2017-1211</t>
  </si>
  <si>
    <t>2015-1293</t>
  </si>
  <si>
    <t>2014-1364</t>
  </si>
  <si>
    <t>2013-1464</t>
  </si>
  <si>
    <t>2012-2609</t>
  </si>
  <si>
    <t>2011-2105</t>
  </si>
  <si>
    <t>42-2N-27-4350-0019-0000</t>
  </si>
  <si>
    <t>86065 DUNCAN RD</t>
  </si>
  <si>
    <t>LOT 19 PT OF OR 456 PG 203 JAMES D CARR SUB UNR</t>
  </si>
  <si>
    <t>2017-1212</t>
  </si>
  <si>
    <t>2015-1294</t>
  </si>
  <si>
    <t>2014-1365</t>
  </si>
  <si>
    <t>2013-1465</t>
  </si>
  <si>
    <t>2012-2610</t>
  </si>
  <si>
    <t>FMJ ASSOCIATES LLC</t>
  </si>
  <si>
    <t>2011-2106</t>
  </si>
  <si>
    <t>42-2N-27-4350-0020-0000</t>
  </si>
  <si>
    <t>86058 SOWELL RD</t>
  </si>
  <si>
    <t>TURNER REBECCA A</t>
  </si>
  <si>
    <t>BALBASTRO RAYMOND J</t>
  </si>
  <si>
    <t>LOT 20 (F/K/A PAR 57-3) IN OR 1551/1198 JAMES D CARR SUB UNR</t>
  </si>
  <si>
    <t>2016-1253</t>
  </si>
  <si>
    <t>2015-1295</t>
  </si>
  <si>
    <t>2013-1466</t>
  </si>
  <si>
    <t>2012-2611</t>
  </si>
  <si>
    <t>2011-2107</t>
  </si>
  <si>
    <t>42-2N-27-4350-0021-0000</t>
  </si>
  <si>
    <t>DUKE</t>
  </si>
  <si>
    <t>86050 DUKE RD</t>
  </si>
  <si>
    <t>LOT 21 PT OF OR 456 PG 203 JAMES D CARR SUB UNR</t>
  </si>
  <si>
    <t>2017-1213</t>
  </si>
  <si>
    <t>MACHAPUCHARE ARUB LLC</t>
  </si>
  <si>
    <t>2016-1254</t>
  </si>
  <si>
    <t>RAPTY TRUST SERIES 16553</t>
  </si>
  <si>
    <t>2015-1296</t>
  </si>
  <si>
    <t>2014-1366</t>
  </si>
  <si>
    <t>2013-1467</t>
  </si>
  <si>
    <t>2012-2612</t>
  </si>
  <si>
    <t>2011-2108</t>
  </si>
  <si>
    <t>42-2N-27-4350-0022-0000</t>
  </si>
  <si>
    <t>86030 DUKE RD</t>
  </si>
  <si>
    <t>LOT 22 PT OF OR 456 PG 203 JAMES D CARR SUB UNR</t>
  </si>
  <si>
    <t>2017-1214</t>
  </si>
  <si>
    <t>DOGPOUND134161</t>
  </si>
  <si>
    <t>2016-1255</t>
  </si>
  <si>
    <t>2015-1297</t>
  </si>
  <si>
    <t>2014-1367</t>
  </si>
  <si>
    <t>2013-1468</t>
  </si>
  <si>
    <t>2012-2613</t>
  </si>
  <si>
    <t>42-2N-27-435H-0231-0000</t>
  </si>
  <si>
    <t>SAND HICKORY</t>
  </si>
  <si>
    <t>86263 SAND HICKORY TRL</t>
  </si>
  <si>
    <t>GUINN ROBERT R</t>
  </si>
  <si>
    <t>GUINN PATRICIA M</t>
  </si>
  <si>
    <t>HICKORY VILLAGE</t>
  </si>
  <si>
    <t>LOT 231 IN OR 1529/749 HICKORY VILLAGE #4 PB 7/122</t>
  </si>
  <si>
    <t>42-2N-27-4360-0010-0000</t>
  </si>
  <si>
    <t>WINONA BAYVIEW</t>
  </si>
  <si>
    <t>85129 WINONA BAYVIEW RD</t>
  </si>
  <si>
    <t>MYERS BONNIE FAYE</t>
  </si>
  <si>
    <t>COUNCIL PARK</t>
  </si>
  <si>
    <t>LOT 10 &amp; S65 OF LOT 12 PT OR 703 PG 240 COUNCIL PARK SUB PB 3/42</t>
  </si>
  <si>
    <t>2017-1217</t>
  </si>
  <si>
    <t>LIMELO WHALE CERTS 381 LLC</t>
  </si>
  <si>
    <t>2016-1257</t>
  </si>
  <si>
    <t>TANGERINE DELPHIS XJIL LLC</t>
  </si>
  <si>
    <t>2015-1299</t>
  </si>
  <si>
    <t>2013-2838</t>
  </si>
  <si>
    <t>2011-2112</t>
  </si>
  <si>
    <t>42-2N-27-437S-0007-0000</t>
  </si>
  <si>
    <t>85205 WINONA BAYVIEW RD</t>
  </si>
  <si>
    <t>DONALDSON CAROLYN R</t>
  </si>
  <si>
    <t>LOT 7 IN OR 940/1022 32620145LA &amp; 326201452B</t>
  </si>
  <si>
    <t>2017-1218</t>
  </si>
  <si>
    <t>ECRU LLC R1722DJ</t>
  </si>
  <si>
    <t>2016-1258</t>
  </si>
  <si>
    <t>BENNU LLC YS1BNC3DJ</t>
  </si>
  <si>
    <t>2015-1301</t>
  </si>
  <si>
    <t>SONA CAPITAL13542</t>
  </si>
  <si>
    <t>2014-1371</t>
  </si>
  <si>
    <t>2013-1471</t>
  </si>
  <si>
    <t>2011-2116</t>
  </si>
  <si>
    <t>42-2N-27-4380-0001-0010</t>
  </si>
  <si>
    <t>LASSERRE CURTISS H</t>
  </si>
  <si>
    <t>CURTISS H LASSERRE REVOCABLE LIVING TRUS</t>
  </si>
  <si>
    <t>PO BOX 653</t>
  </si>
  <si>
    <t>TRINITY CIRCLE</t>
  </si>
  <si>
    <t>BLOCK 1 LOTS 1 THRU 10 INC PT OR 2004/377 BEING PARCEL 16</t>
  </si>
  <si>
    <t>42-2N-27-4380-0002-0100</t>
  </si>
  <si>
    <t>TRINITY</t>
  </si>
  <si>
    <t>85186 TRINITY CIR</t>
  </si>
  <si>
    <t>GRAHAM SHELVIA J</t>
  </si>
  <si>
    <t>BLOCK 2 LOT 10 IN OR 495 PG 948 R235893 &amp; R235892</t>
  </si>
  <si>
    <t>2017-1219</t>
  </si>
  <si>
    <t>2014-2565</t>
  </si>
  <si>
    <t>42-2N-27-438U-0006-0000</t>
  </si>
  <si>
    <t>COMMERCIAL PARK</t>
  </si>
  <si>
    <t>COMMERCIAL PARK DR</t>
  </si>
  <si>
    <t>HOLLAND DEBBIE</t>
  </si>
  <si>
    <t>64 N 15TH ST</t>
  </si>
  <si>
    <t>LOT 6 IN OR 1779/316 ESMT OR 1201/1143</t>
  </si>
  <si>
    <t>2015-1302</t>
  </si>
  <si>
    <t>2014-1373</t>
  </si>
  <si>
    <t>2013-1474</t>
  </si>
  <si>
    <t>2012-2619</t>
  </si>
  <si>
    <t>2011-2118</t>
  </si>
  <si>
    <t>42-2N-27-438U-0007-0000</t>
  </si>
  <si>
    <t>85082 COMMERCIAL PARK DR</t>
  </si>
  <si>
    <t>SECOND AMENDMENT INC</t>
  </si>
  <si>
    <t>2410 SAFE HARBOR LN</t>
  </si>
  <si>
    <t>Colleges (non-private)</t>
  </si>
  <si>
    <t>Colleges University-PUBLIC</t>
  </si>
  <si>
    <t>LOT 7 IN OR 1639/749-754 ESMT OR 1201/1144</t>
  </si>
  <si>
    <t>2014-1374</t>
  </si>
  <si>
    <t>42-2N-27-438U-0009-0000</t>
  </si>
  <si>
    <t>85049 COMMERCIAL PARK DR</t>
  </si>
  <si>
    <t>STEVENSON COLLISION CENTER INC</t>
  </si>
  <si>
    <t>US 17 COMMERICAL PARK</t>
  </si>
  <si>
    <t>LOT 9 IN OR 1086/65 US 17 COMMERICAL PARK PB 6/259</t>
  </si>
  <si>
    <t>2017-1220</t>
  </si>
  <si>
    <t>HOLLY LAKE 596 COMPANY LLC</t>
  </si>
  <si>
    <t>2016-1259</t>
  </si>
  <si>
    <t>CAMPANIA FINANCIAL LLC SERIES A010390</t>
  </si>
  <si>
    <t>2015-1303</t>
  </si>
  <si>
    <t>WE BUY LIENS 69868 US BANK CUST FOR PFS FINANCIAL 2 LLC</t>
  </si>
  <si>
    <t>2014-1375</t>
  </si>
  <si>
    <t>2013-1475</t>
  </si>
  <si>
    <t>2012-2620</t>
  </si>
  <si>
    <t>2011-2119</t>
  </si>
  <si>
    <t>42-2N-27-438U-0010-0000</t>
  </si>
  <si>
    <t>LOT 10 IN OR 1191/219 EX 15X15 FT ESMT IN NE CORNER</t>
  </si>
  <si>
    <t>2017-1221</t>
  </si>
  <si>
    <t>PARADISE COMMONS 887 FINANCIAL SERVICES LLC</t>
  </si>
  <si>
    <t>2016-1260</t>
  </si>
  <si>
    <t>F9267</t>
  </si>
  <si>
    <t>2015-1304</t>
  </si>
  <si>
    <t>2014-1376</t>
  </si>
  <si>
    <t>2013-1476</t>
  </si>
  <si>
    <t>2012-2621</t>
  </si>
  <si>
    <t>2011-2120</t>
  </si>
  <si>
    <t>42-2N-27-4400-0003-0200</t>
  </si>
  <si>
    <t>HESTER</t>
  </si>
  <si>
    <t>86798 HESTER DR</t>
  </si>
  <si>
    <t>STRUBLE RONALD JOE</t>
  </si>
  <si>
    <t>STRUBLE DEBORAH LYNN</t>
  </si>
  <si>
    <t>PO BOX 1403</t>
  </si>
  <si>
    <t>YULEE HEIGHTS</t>
  </si>
  <si>
    <t>BLOCK 3 LOT 20 IN OR 360 PG 372 YULEE HEIGHTS SUB PB 3/47A</t>
  </si>
  <si>
    <t>2017-1226</t>
  </si>
  <si>
    <t>ZZZ252</t>
  </si>
  <si>
    <t>2016-1264</t>
  </si>
  <si>
    <t>SUMMER BIRD LLC SERIES A003680</t>
  </si>
  <si>
    <t>2014-1381</t>
  </si>
  <si>
    <t>2011-2124</t>
  </si>
  <si>
    <t>42-2N-27-4400-0004-0010</t>
  </si>
  <si>
    <t>AUSMUS</t>
  </si>
  <si>
    <t>85191 AUSMUS AVE</t>
  </si>
  <si>
    <t>BAILEY SHAWN M</t>
  </si>
  <si>
    <t>BLOCK 4 LOTS 1 &amp; 21 EX S56.2 FT OF LOT 21 IN OR 1322/1057</t>
  </si>
  <si>
    <t>42-2N-27-4460-0001-0000</t>
  </si>
  <si>
    <t>RADIO</t>
  </si>
  <si>
    <t>85125 RADIO AVE</t>
  </si>
  <si>
    <t>CRUMP LESLIE L</t>
  </si>
  <si>
    <t>TERMINAL HEIGHTS</t>
  </si>
  <si>
    <t>LOTS 1 &amp; 2 IN OR 1906/1473 TERMINAL HEIGHTS SUB PB 5/9</t>
  </si>
  <si>
    <t>2016-1266</t>
  </si>
  <si>
    <t>ORANGE WHALES AKMN LLC</t>
  </si>
  <si>
    <t>2015-1309</t>
  </si>
  <si>
    <t>ECRU LLC HM199EE</t>
  </si>
  <si>
    <t>42-2N-27-4460-0027-0000</t>
  </si>
  <si>
    <t>CONDOR</t>
  </si>
  <si>
    <t>85051 CONDOR LN</t>
  </si>
  <si>
    <t>MOORE LINDA M</t>
  </si>
  <si>
    <t>MOORE DAVID C</t>
  </si>
  <si>
    <t>PO BOX 1063</t>
  </si>
  <si>
    <t>LOT 27 IN OR 736 PG 541 1/2 HX INT</t>
  </si>
  <si>
    <t>42-2N-27-4460-0028-0000</t>
  </si>
  <si>
    <t>CONDOR LN</t>
  </si>
  <si>
    <t>MOORE LINDA</t>
  </si>
  <si>
    <t>LOT 28 IN OR 954/193 TERMINAL HEIGHTS SUB PB5/9</t>
  </si>
  <si>
    <t>42-2N-27-4487-0004-0000</t>
  </si>
  <si>
    <t>85537 NORTH HARTS RD</t>
  </si>
  <si>
    <t>MUHS KENNETH M</t>
  </si>
  <si>
    <t>MUHS FLORENCE L</t>
  </si>
  <si>
    <t>85537 HARTS RD</t>
  </si>
  <si>
    <t>WIDE ROAD ACRES</t>
  </si>
  <si>
    <t>LOT 4 IN OR 745/223 WIDE ROAD ACRES PB 5/404-406</t>
  </si>
  <si>
    <t>2016-1270</t>
  </si>
  <si>
    <t>2015-1312</t>
  </si>
  <si>
    <t>2014-1387</t>
  </si>
  <si>
    <t>2013-1490</t>
  </si>
  <si>
    <t>2012-2635</t>
  </si>
  <si>
    <t>2011-2133</t>
  </si>
  <si>
    <t>42-2N-27-4487-0013-0000</t>
  </si>
  <si>
    <t>PEACOCK</t>
  </si>
  <si>
    <t>85020 PEACOCK CT</t>
  </si>
  <si>
    <t>HESSENAUER BRIAN</t>
  </si>
  <si>
    <t>HESSENAUER PHYLLIS</t>
  </si>
  <si>
    <t>LOT 13 (EX S-1 &amp; S-2) IN OR 754/1932 &amp; OR 1815/469 ESMT OR 993/1156</t>
  </si>
  <si>
    <t>2017-1231</t>
  </si>
  <si>
    <t>JULIE TONIA 411 FINANCIAL SERVICES LLC</t>
  </si>
  <si>
    <t>2016-1271</t>
  </si>
  <si>
    <t>ORANGE DOLPHINS XGDP LLC</t>
  </si>
  <si>
    <t>2015-1313</t>
  </si>
  <si>
    <t>BADIRMOOK INVEST 1174 LLC</t>
  </si>
  <si>
    <t>2014-1388</t>
  </si>
  <si>
    <t>2013-1491</t>
  </si>
  <si>
    <t>2012-2638</t>
  </si>
  <si>
    <t>2011-2136</t>
  </si>
  <si>
    <t>42-2N-27-4487-0032-0000</t>
  </si>
  <si>
    <t>85488 NORTH HARTS RD</t>
  </si>
  <si>
    <t>PETERSON CLAYTON R</t>
  </si>
  <si>
    <t>PETERSON KIMBERLY A</t>
  </si>
  <si>
    <t>85488 HARTS RD</t>
  </si>
  <si>
    <t>LOT 32 (EX S-1) IN OR 1924/629 1995 SKYL DW/MH</t>
  </si>
  <si>
    <t>2017-1234</t>
  </si>
  <si>
    <t>BISBEE LLC AKBDB32</t>
  </si>
  <si>
    <t>42-2N-27-4487-0033-0000</t>
  </si>
  <si>
    <t>85494 NORTH HARTS RD</t>
  </si>
  <si>
    <t>HOWARD CONNIE C STEVENS</t>
  </si>
  <si>
    <t>HOWARD MICHAEL A</t>
  </si>
  <si>
    <t>85494 HARTS RD</t>
  </si>
  <si>
    <t>LOT 33 (EX S-1) IN OR 751 PG 1856 R672881 &amp; R672882</t>
  </si>
  <si>
    <t>2017-1235</t>
  </si>
  <si>
    <t>SANMARCORA LNDHNB</t>
  </si>
  <si>
    <t>2016-1273</t>
  </si>
  <si>
    <t>CCTS CAPITAL - FLORIDA 30871 US BANK CUST FOR PFS FINANCIAL 2 LLC</t>
  </si>
  <si>
    <t>2015-1316</t>
  </si>
  <si>
    <t>ORANGE DOLPHINS XIDA LLC</t>
  </si>
  <si>
    <t>2014-1390</t>
  </si>
  <si>
    <t>2013-1495</t>
  </si>
  <si>
    <t>2012-2641</t>
  </si>
  <si>
    <t>2011-2138</t>
  </si>
  <si>
    <t>42-2N-27-4487-0033-0010</t>
  </si>
  <si>
    <t>85498 NORTH HARTS RD</t>
  </si>
  <si>
    <t>HOWARD LORRAINE R</t>
  </si>
  <si>
    <t>PO BOX 1737</t>
  </si>
  <si>
    <t>PT OF LOT 33 (S-1) IN OR 976/1049 WIDE ROAD ACRES PB 5/404-406</t>
  </si>
  <si>
    <t>2017-1236</t>
  </si>
  <si>
    <t>KING FISH CORAL CERTS ACSF LLC</t>
  </si>
  <si>
    <t>2015-1317</t>
  </si>
  <si>
    <t>2014-1391</t>
  </si>
  <si>
    <t>2013-1496</t>
  </si>
  <si>
    <t>2011-2139</t>
  </si>
  <si>
    <t>42-2N-27-4490-0004-0000</t>
  </si>
  <si>
    <t>WINDY OAKS</t>
  </si>
  <si>
    <t>85101 WINDY OAKS LN</t>
  </si>
  <si>
    <t>HESSENAUER BRIAN T</t>
  </si>
  <si>
    <t>HESSENAUER PHYLLIS L</t>
  </si>
  <si>
    <t>WINDY OAK SUB</t>
  </si>
  <si>
    <t>LOT 4 IN OR 1282/1511 WINDY OAK SUB PB 4/101</t>
  </si>
  <si>
    <t>2016-1274</t>
  </si>
  <si>
    <t>SETPER LLC O15594 SERIES</t>
  </si>
  <si>
    <t>2011-2140</t>
  </si>
  <si>
    <t>42-2N-27-4500-0008-0030</t>
  </si>
  <si>
    <t>WILSON</t>
  </si>
  <si>
    <t>85049 WILSON ST</t>
  </si>
  <si>
    <t>LAYDEN HARRIETT LORRAINE</t>
  </si>
  <si>
    <t>606 VENGEANCE CREEK RD</t>
  </si>
  <si>
    <t>MARBLE NC</t>
  </si>
  <si>
    <t>PT OF LOT 8 (S-3 &amp; S-4) L/E IN OR 502/508 &amp; 509 IN OR 515 PG 527</t>
  </si>
  <si>
    <t>42-2N-27-4500-0009-0060</t>
  </si>
  <si>
    <t>AIRPLANE</t>
  </si>
  <si>
    <t>85102 AIRPLANE LN</t>
  </si>
  <si>
    <t>CRAWFORD STEVEN M</t>
  </si>
  <si>
    <t>PT OF LOT 9 IN OR 1946/113 YULEE FARM SUB 1 PB 2/37</t>
  </si>
  <si>
    <t>2017-1238</t>
  </si>
  <si>
    <t>D71552</t>
  </si>
  <si>
    <t>42-2N-27-4500-0010-0010</t>
  </si>
  <si>
    <t>85208 HARTS RD</t>
  </si>
  <si>
    <t>ROBERTS JASON DARRELL</t>
  </si>
  <si>
    <t>PT OF LOT 10 IN OR 1970/1361 YULEE FARMS SUB 1 PB 2/37</t>
  </si>
  <si>
    <t>42-2N-27-4500-0010-0030</t>
  </si>
  <si>
    <t>85202 HARTS RD</t>
  </si>
  <si>
    <t>CHANCEY DANIEL JR</t>
  </si>
  <si>
    <t>YULEE FARM SUB 1</t>
  </si>
  <si>
    <t>PT OF LOT 10 IN OR 1841/27 YULEE FARM SUB 1 PB 2/37</t>
  </si>
  <si>
    <t>2017-1239</t>
  </si>
  <si>
    <t>SETPER LLC O90818 SERIES</t>
  </si>
  <si>
    <t>2016-1278</t>
  </si>
  <si>
    <t>GEEZ LLC AND CMON LLC PARTNERSHIP 1047</t>
  </si>
  <si>
    <t>2015-1320</t>
  </si>
  <si>
    <t>E121535</t>
  </si>
  <si>
    <t>2011-2145</t>
  </si>
  <si>
    <t>42-2N-27-4500-0022-0040</t>
  </si>
  <si>
    <t>MYRTICE</t>
  </si>
  <si>
    <t>85050 MYRTICE RD</t>
  </si>
  <si>
    <t>SHAVERS JAMES DOUGLAS</t>
  </si>
  <si>
    <t>PT OF LOTS 22 &amp; 23 (S-4 &amp; S-5) IN OR 1233/1374 2002 MERT DW</t>
  </si>
  <si>
    <t>2017-1240</t>
  </si>
  <si>
    <t>HOSSET LLC O13829 SERIES</t>
  </si>
  <si>
    <t>2016-1279</t>
  </si>
  <si>
    <t>SETPER LLC O10154 SERIES</t>
  </si>
  <si>
    <t>42-2N-27-4540-0011-0010</t>
  </si>
  <si>
    <t>PATCHES</t>
  </si>
  <si>
    <t>85086 PATCHES LN</t>
  </si>
  <si>
    <t>MELISSA ACRES LLC</t>
  </si>
  <si>
    <t>3416 SEA MARSH RD</t>
  </si>
  <si>
    <t>N1/2 OF LOTS 11 12 &amp; 13 IN OR 2054/1968 R433772 R433766 &amp;</t>
  </si>
  <si>
    <t>2013-1498</t>
  </si>
  <si>
    <t>2012-2645</t>
  </si>
  <si>
    <t>2011-2149</t>
  </si>
  <si>
    <t>42-2N-27-4540-0014-0020</t>
  </si>
  <si>
    <t>TELEPHONE</t>
  </si>
  <si>
    <t>85123 TELEPHONE LN</t>
  </si>
  <si>
    <t>STEPHENS TIMOTHY</t>
  </si>
  <si>
    <t>STEPHENS LEE ANNE</t>
  </si>
  <si>
    <t>YULEE FARMS</t>
  </si>
  <si>
    <t>PT OF LOTS 14 &amp; 15 (S-2 &amp; S-4) IN OR 1915/78 YULEE FARMS 2 SUB PB 3/23</t>
  </si>
  <si>
    <t>2017-1241</t>
  </si>
  <si>
    <t>OTTERS VIEW 864 MANAGEMENT SERVICES LLC</t>
  </si>
  <si>
    <t>2016-1281</t>
  </si>
  <si>
    <t>CCTS TAX LIEN PURCHASERS 75345 US BANK CUST FOR PFS FINANCIAL 2 LLC</t>
  </si>
  <si>
    <t>2015-1322</t>
  </si>
  <si>
    <t>ECRU LLC R12D54J</t>
  </si>
  <si>
    <t>42-2N-27-4540-0015-0010</t>
  </si>
  <si>
    <t>ALENE</t>
  </si>
  <si>
    <t>ALENE RD</t>
  </si>
  <si>
    <t>VERA KEVIN</t>
  </si>
  <si>
    <t>3245 SOUTHSIDE BLVD</t>
  </si>
  <si>
    <t>PT OF LOT 15 (S-1) IN OR 1396/22 YULEE FARMS #2 PB 3/23</t>
  </si>
  <si>
    <t>2017-1242</t>
  </si>
  <si>
    <t>2016-1282</t>
  </si>
  <si>
    <t>BENNU LLC YSE3NA3J</t>
  </si>
  <si>
    <t>2014-1396</t>
  </si>
  <si>
    <t>2013-1500</t>
  </si>
  <si>
    <t>2011-2150</t>
  </si>
  <si>
    <t>42-2N-27-4600-0007-0010</t>
  </si>
  <si>
    <t>DORSEY</t>
  </si>
  <si>
    <t>86071 DORSEY LN</t>
  </si>
  <si>
    <t>MCCORMICK CHRISTOPHER W</t>
  </si>
  <si>
    <t>MCCORMICK CATHALEEN N</t>
  </si>
  <si>
    <t>PT OF LOT 7 IN OR 1514/1306 YULEE FARMS UNIT 4 PBK 3/32</t>
  </si>
  <si>
    <t>2017-1244</t>
  </si>
  <si>
    <t>WHISPERING PALM 551 TAX RE LLC</t>
  </si>
  <si>
    <t>2016-1283</t>
  </si>
  <si>
    <t>HOSSET LLC O145517 SERIES</t>
  </si>
  <si>
    <t>2015-1324</t>
  </si>
  <si>
    <t>CCCC1165</t>
  </si>
  <si>
    <t>2014-1398</t>
  </si>
  <si>
    <t>2013-1504</t>
  </si>
  <si>
    <t>2012-2647</t>
  </si>
  <si>
    <t>2011-2154</t>
  </si>
  <si>
    <t>42-2N-27-4610-0016-0000</t>
  </si>
  <si>
    <t>85535 HADDOCK RD</t>
  </si>
  <si>
    <t>CHANCEY SR DANIEL B</t>
  </si>
  <si>
    <t>85528 HADDOCK RD</t>
  </si>
  <si>
    <t>LOT 16 IN OR 792 PG 925 R224183 &amp; R224184</t>
  </si>
  <si>
    <t>42-2N-27-4612-0002-0170</t>
  </si>
  <si>
    <t>THERESA</t>
  </si>
  <si>
    <t>85134 THERESA RD</t>
  </si>
  <si>
    <t>YARBROUGH JAMES C</t>
  </si>
  <si>
    <t>YULEE WOODS</t>
  </si>
  <si>
    <t>BLOCK 2 LOT 17 IN OR 1170/1744 H54657G YULEE WOODS #2 PB 5/83 &amp; 84</t>
  </si>
  <si>
    <t>2017-1246</t>
  </si>
  <si>
    <t>2016-1287</t>
  </si>
  <si>
    <t>2015-1327</t>
  </si>
  <si>
    <t>2014-2570</t>
  </si>
  <si>
    <t>2013-2843</t>
  </si>
  <si>
    <t>2012-2653</t>
  </si>
  <si>
    <t>2011-2161</t>
  </si>
  <si>
    <t>42-2N-27-4612-0002-0230</t>
  </si>
  <si>
    <t>85052 THERESA RD</t>
  </si>
  <si>
    <t>WILLIAMS JEREMIAH P</t>
  </si>
  <si>
    <t>WILLIAMS CARRIE</t>
  </si>
  <si>
    <t>BLOCK 2 LOT 23 IN OR 893/475 YULEE WOODS #2 PB 5/83 &amp; 84</t>
  </si>
  <si>
    <t>2017-1247</t>
  </si>
  <si>
    <t>2016-1288</t>
  </si>
  <si>
    <t>2015-1328</t>
  </si>
  <si>
    <t>2014-1402</t>
  </si>
  <si>
    <t>2013-1510</t>
  </si>
  <si>
    <t>2012-2654</t>
  </si>
  <si>
    <t>2011-2162</t>
  </si>
  <si>
    <t>42-2N-27-4612-0002-0320</t>
  </si>
  <si>
    <t>JOANN</t>
  </si>
  <si>
    <t>85161 JOANN RD</t>
  </si>
  <si>
    <t>HERRERA GENEVA M</t>
  </si>
  <si>
    <t>BLOCK 2 LOT 32 IN OR 1910/1461 1986 CONC DW/MH</t>
  </si>
  <si>
    <t>2017-1249</t>
  </si>
  <si>
    <t>JAMES XING 654 COMPANY LLC</t>
  </si>
  <si>
    <t>2013-1512</t>
  </si>
  <si>
    <t>2012-2656</t>
  </si>
  <si>
    <t>2011-2164</t>
  </si>
  <si>
    <t>42-2N-27-4612-0004-0260</t>
  </si>
  <si>
    <t>85143 THERESA RD</t>
  </si>
  <si>
    <t>CREWS LINDA</t>
  </si>
  <si>
    <t>BLOCK 4 LOT 26 IN OR 508/737 &amp; OR 1858/1566 2000 PIONEER DW/MH</t>
  </si>
  <si>
    <t>2012-2659</t>
  </si>
  <si>
    <t>42-2N-27-4612-0004-0300</t>
  </si>
  <si>
    <t>85199 THERESA RD</t>
  </si>
  <si>
    <t>NEVES LACINDA</t>
  </si>
  <si>
    <t>2564 E US ROUTE 36</t>
  </si>
  <si>
    <t>PIQUA OH</t>
  </si>
  <si>
    <t>BLOCK 4 LOT 30 IN OR 2043/1882 R334304 &amp; R334305</t>
  </si>
  <si>
    <t>2012-2660</t>
  </si>
  <si>
    <t>2011-2169</t>
  </si>
  <si>
    <t>42-2N-27-4612-0005-0070</t>
  </si>
  <si>
    <t>MADELINE</t>
  </si>
  <si>
    <t>85161 MADELINE RD</t>
  </si>
  <si>
    <t>ROMAN WALTER D</t>
  </si>
  <si>
    <t>BLOCK 5 LOT 7 IN OR 494/1028 &amp; OR 1983/1975 YULEE WOODS #2 PB 5/83 &amp; 84</t>
  </si>
  <si>
    <t>2017-1251</t>
  </si>
  <si>
    <t>2016-1292</t>
  </si>
  <si>
    <t>2015-1332</t>
  </si>
  <si>
    <t>2014-1406</t>
  </si>
  <si>
    <t>42-2N-27-4612-0006-0110</t>
  </si>
  <si>
    <t>BLOCK 6 LOT 11 IN OR 1100/1372 2001 MERIT QUAD/WIDE</t>
  </si>
  <si>
    <t>2017-1252</t>
  </si>
  <si>
    <t>BISBEE LLC H266743</t>
  </si>
  <si>
    <t>2016-1293</t>
  </si>
  <si>
    <t>MAG TC 3-5331</t>
  </si>
  <si>
    <t>2015-1333</t>
  </si>
  <si>
    <t>D1724</t>
  </si>
  <si>
    <t>42-2N-27-4612-0007-0110</t>
  </si>
  <si>
    <t>KIRKLAND</t>
  </si>
  <si>
    <t>85534 KIRKLAND RD</t>
  </si>
  <si>
    <t>SHEFFIELD CHARLES</t>
  </si>
  <si>
    <t>SHEFFIELD GWENDOLYN</t>
  </si>
  <si>
    <t>BLOCK 7 LOT 11 IN OR 519 PG 17 R621742 &amp; R621743 &amp; R621744</t>
  </si>
  <si>
    <t>2017-1254</t>
  </si>
  <si>
    <t>ORANGE WHALES ACCD LLC</t>
  </si>
  <si>
    <t>2015-1334</t>
  </si>
  <si>
    <t>BRITHBE 285Y LLC</t>
  </si>
  <si>
    <t>2014-1408</t>
  </si>
  <si>
    <t>2013-1516</t>
  </si>
  <si>
    <t>2012-2664</t>
  </si>
  <si>
    <t>2011-2172</t>
  </si>
  <si>
    <t>42-2N-27-4612-0007-0200</t>
  </si>
  <si>
    <t>85228 KIRKLAND RD</t>
  </si>
  <si>
    <t>COFFEY KELLY J</t>
  </si>
  <si>
    <t>STROUD SHERREE D</t>
  </si>
  <si>
    <t>BLOCK 7 LOT 20 IN OR 659 PG 1146 YULEE WOODS #2 PB 5/83 &amp; 84</t>
  </si>
  <si>
    <t>2015-1335</t>
  </si>
  <si>
    <t>2014-1409</t>
  </si>
  <si>
    <t>2012-2665</t>
  </si>
  <si>
    <t>2011-2173</t>
  </si>
  <si>
    <t>42-2N-27-4612-0007-0370</t>
  </si>
  <si>
    <t>85163 MINER RD</t>
  </si>
  <si>
    <t>HUNTER ROBERT H</t>
  </si>
  <si>
    <t>HUNTER WENDY L</t>
  </si>
  <si>
    <t>BLOCK 7 LOT 37 IN OR 1916/1303 R583382 &amp; R583383</t>
  </si>
  <si>
    <t>2017-1257</t>
  </si>
  <si>
    <t>TAYLOR ROSE 933 LEASE MANGEMENT LLC</t>
  </si>
  <si>
    <t>2016-1295</t>
  </si>
  <si>
    <t>RAPTY TRUST SERIES 19071</t>
  </si>
  <si>
    <t>2015-1338</t>
  </si>
  <si>
    <t>KINGFISHER REEF TAX YEAI</t>
  </si>
  <si>
    <t>42-2N-27-4613-0003-0170</t>
  </si>
  <si>
    <t>RENIA</t>
  </si>
  <si>
    <t>85233 RENIA ST</t>
  </si>
  <si>
    <t>ROWELL CHRISTOPHER KELLY</t>
  </si>
  <si>
    <t>BLOCK 3 LOT 17 R378414 IN OR 639 PG 228 YULEE WOODS #3 PB 5/239</t>
  </si>
  <si>
    <t>2017-1259</t>
  </si>
  <si>
    <t>2016-1299</t>
  </si>
  <si>
    <t>2015-1342</t>
  </si>
  <si>
    <t>2014-1414</t>
  </si>
  <si>
    <t>2013-1521</t>
  </si>
  <si>
    <t>2012-2671</t>
  </si>
  <si>
    <t>2011-2177</t>
  </si>
  <si>
    <t>42-2N-27-4613-0004-0020</t>
  </si>
  <si>
    <t>DUANE</t>
  </si>
  <si>
    <t>85352 DUANE RD</t>
  </si>
  <si>
    <t>DERAWAY JASON L</t>
  </si>
  <si>
    <t>DERAWAY LORNA J</t>
  </si>
  <si>
    <t>BLOCK 4 LOT 2 IN OR 2046/943 R378399 &amp; R378400 &amp; R433701</t>
  </si>
  <si>
    <t>2017-1260</t>
  </si>
  <si>
    <t>MERLOT HOLDINGS1093</t>
  </si>
  <si>
    <t>2013-1522</t>
  </si>
  <si>
    <t>2012-2672</t>
  </si>
  <si>
    <t>2011-2178</t>
  </si>
  <si>
    <t>42-2N-27-4613-0005-0070</t>
  </si>
  <si>
    <t>85123 DUANE RD</t>
  </si>
  <si>
    <t>ALSPAUGH SCOTT A</t>
  </si>
  <si>
    <t>ALSPAUGH TINA H</t>
  </si>
  <si>
    <t>BLK 5 PT LOTS 7 &amp; 8 IN OR 767/981 YULEE WOODS #3 PBK 5/239</t>
  </si>
  <si>
    <t>2017-1261</t>
  </si>
  <si>
    <t>TEZIQ 30219 LLC</t>
  </si>
  <si>
    <t>2016-1300</t>
  </si>
  <si>
    <t>SETPER LLC O60373 SERIES</t>
  </si>
  <si>
    <t>2015-1343</t>
  </si>
  <si>
    <t>2014-1415</t>
  </si>
  <si>
    <t>2013-1524</t>
  </si>
  <si>
    <t>2012-2675</t>
  </si>
  <si>
    <t>2011-2182</t>
  </si>
  <si>
    <t>42-2N-27-4613-0005-0100</t>
  </si>
  <si>
    <t>85031 DUANE RD</t>
  </si>
  <si>
    <t>LOVE JIMMIE JO</t>
  </si>
  <si>
    <t>490 KEVIN DR</t>
  </si>
  <si>
    <t>BLOCK 5 LOT 10 R621636 IN OR 746 PG 1468 INCL E37.5 OF LOT 7 &amp; E37.5</t>
  </si>
  <si>
    <t>2017-1262</t>
  </si>
  <si>
    <t>SANMARCORA YWAQZX</t>
  </si>
  <si>
    <t>2016-1301</t>
  </si>
  <si>
    <t>2015-1344</t>
  </si>
  <si>
    <t>2014-1416</t>
  </si>
  <si>
    <t>2012-2677</t>
  </si>
  <si>
    <t>2011-2184</t>
  </si>
  <si>
    <t>42-2N-27-4613-0007-0050</t>
  </si>
  <si>
    <t>85615 RADIO AVE</t>
  </si>
  <si>
    <t>SCOATES GEORGE R</t>
  </si>
  <si>
    <t>BLOCK 7 LOT 5 IN OR 684 PG 984 YULEE WOODS #3 PB 5/239</t>
  </si>
  <si>
    <t>2017-1263</t>
  </si>
  <si>
    <t>SANMARCORA OQAHNF</t>
  </si>
  <si>
    <t>2016-1302</t>
  </si>
  <si>
    <t>2015-1345</t>
  </si>
  <si>
    <t>2014-1417</t>
  </si>
  <si>
    <t>2013-1525</t>
  </si>
  <si>
    <t>2012-2678</t>
  </si>
  <si>
    <t>2011-2186</t>
  </si>
  <si>
    <t>42-2N-27-4613-0007-0090</t>
  </si>
  <si>
    <t>85525 RADIO AVE</t>
  </si>
  <si>
    <t>DIPPY NATHAN A</t>
  </si>
  <si>
    <t>7701 BAYMEADOWS CIR W APT 1156</t>
  </si>
  <si>
    <t>BLOCK 7 LOT 9 IN OR 2044/436 1997 MERI DW/MH</t>
  </si>
  <si>
    <t>2017-1264</t>
  </si>
  <si>
    <t>SAURAHA A 299 LLC</t>
  </si>
  <si>
    <t>42-2N-27-4613-0008-0190</t>
  </si>
  <si>
    <t>ASHLEY</t>
  </si>
  <si>
    <t>85165 ASHLEY AVE</t>
  </si>
  <si>
    <t>HIGHSMITH DANIEL M</t>
  </si>
  <si>
    <t>HIGHSMITH KAREN</t>
  </si>
  <si>
    <t>BLOCK 8 LOT 19 R621842 IN OR 739 PG 771 YULEE WOODS #3 PB 5/239</t>
  </si>
  <si>
    <t>2017-1267</t>
  </si>
  <si>
    <t>KINGFISHER KEY TAX XFGK LLC</t>
  </si>
  <si>
    <t>2016-1305</t>
  </si>
  <si>
    <t>AM CERT LLC AND ABRTL LLC PARTNERSHIP 165</t>
  </si>
  <si>
    <t>2015-1347</t>
  </si>
  <si>
    <t>PELICAN PASS TAX ALHW LLC</t>
  </si>
  <si>
    <t>2014-1418</t>
  </si>
  <si>
    <t>2013-1527</t>
  </si>
  <si>
    <t>2012-2681</t>
  </si>
  <si>
    <t>2011-2188</t>
  </si>
  <si>
    <t>42-2N-27-4613-0008-0220</t>
  </si>
  <si>
    <t>85249 ASHLEY AVE</t>
  </si>
  <si>
    <t>JONES LARRY K</t>
  </si>
  <si>
    <t>235 TROUT RIVER DR</t>
  </si>
  <si>
    <t>BLOCK 8 LOT 22 IN OR 1413/782 YULEE WOODS #3 PB 5/239</t>
  </si>
  <si>
    <t>2017-1268</t>
  </si>
  <si>
    <t>DORUR 18264 LLC</t>
  </si>
  <si>
    <t>2016-1306</t>
  </si>
  <si>
    <t>CALABRIA FINANCIAL LLC SERIES A005664</t>
  </si>
  <si>
    <t>2015-1348</t>
  </si>
  <si>
    <t>B6845</t>
  </si>
  <si>
    <t>2014-1419</t>
  </si>
  <si>
    <t>2013-1528</t>
  </si>
  <si>
    <t>2012-2682</t>
  </si>
  <si>
    <t>ASCOT CAPITAL LLC - 66 US BANK % ASCOT CAPITAL LLC-66</t>
  </si>
  <si>
    <t>2011-2189</t>
  </si>
  <si>
    <t>42-2N-27-4613-0008-0270</t>
  </si>
  <si>
    <t>85389 ASHLEY AVE</t>
  </si>
  <si>
    <t>BROWN BRIAN D</t>
  </si>
  <si>
    <t>BROWN DIANIA L</t>
  </si>
  <si>
    <t>BLOCK 8 LOT 27 IN OR 1223/1414 HMLCP24091904208A &amp;</t>
  </si>
  <si>
    <t>2016-1307</t>
  </si>
  <si>
    <t>2014-1420</t>
  </si>
  <si>
    <t>2013-1529</t>
  </si>
  <si>
    <t>2012-2683</t>
  </si>
  <si>
    <t>42-2N-27-4613-0009-0070</t>
  </si>
  <si>
    <t>85248 ASHLEY AVE</t>
  </si>
  <si>
    <t>DAVIS MITCHELL W</t>
  </si>
  <si>
    <t>409 FIR ST</t>
  </si>
  <si>
    <t>BLOCK 9 L0T 7 IN OR 1970/470 R568029 &amp; R568030</t>
  </si>
  <si>
    <t>2014-1422</t>
  </si>
  <si>
    <t>2013-1531</t>
  </si>
  <si>
    <t>2012-2685</t>
  </si>
  <si>
    <t>2011-2193</t>
  </si>
  <si>
    <t>42-2N-27-4613-0009-0080</t>
  </si>
  <si>
    <t>85222 ASHLEY AVE</t>
  </si>
  <si>
    <t>LYNCH-ORTIZ REBEKAH</t>
  </si>
  <si>
    <t>ORTIZ LYNCH-ORTIZ SALVADOR</t>
  </si>
  <si>
    <t>BLOCK 9 LOT 8 IN OR 1912/239 YULEE WOODS #3 PB 5/239</t>
  </si>
  <si>
    <t>2017-1269</t>
  </si>
  <si>
    <t>2011-2194</t>
  </si>
  <si>
    <t>42-2N-27-4613-0009-0090</t>
  </si>
  <si>
    <t>85184 ASHLEY AVE</t>
  </si>
  <si>
    <t>YOUMANS JUDITH BLOUNT</t>
  </si>
  <si>
    <t>BLOCK 9 LOT 9 1988 OMNI DW/MH IN OR 723 PG 211 YULEE WOODS #3 PB 5/239</t>
  </si>
  <si>
    <t>2017-1270</t>
  </si>
  <si>
    <t>2016-1308</t>
  </si>
  <si>
    <t>2015-1349</t>
  </si>
  <si>
    <t>2014-2574</t>
  </si>
  <si>
    <t>2013-1532</t>
  </si>
  <si>
    <t>2012-2686</t>
  </si>
  <si>
    <t>2011-2195</t>
  </si>
  <si>
    <t>42-2N-27-4613-0009-0150</t>
  </si>
  <si>
    <t>85024 ASHLEY AVE</t>
  </si>
  <si>
    <t>LIVINGSTON JENNIFER T</t>
  </si>
  <si>
    <t>BLOCK 9 LOT 15 IN OR 2036/690 &amp; OR 2036/692 R621764 &amp; R621765</t>
  </si>
  <si>
    <t>2017-1271</t>
  </si>
  <si>
    <t>PALISADES PARK 187 LEASE MANGEMENT LLC</t>
  </si>
  <si>
    <t>42-2N-27-4613-0010-0040</t>
  </si>
  <si>
    <t>ROSE MARIE</t>
  </si>
  <si>
    <t>85292 ROSE MARIE RD</t>
  </si>
  <si>
    <t>BLAKE RHONDA MOBLEY</t>
  </si>
  <si>
    <t>97289 PIRATES POINT RD</t>
  </si>
  <si>
    <t>BLOCK 10 LOT 4 R433468 IN OR 1121/648 YULEE WOODS #3 PB 5/239</t>
  </si>
  <si>
    <t>2017-1272</t>
  </si>
  <si>
    <t>SUNPORP 678 LLC</t>
  </si>
  <si>
    <t>2016-1309</t>
  </si>
  <si>
    <t>SANMARCORA QJJREH</t>
  </si>
  <si>
    <t>2015-1350</t>
  </si>
  <si>
    <t>CCTS CAPITAL - FL US BANK CUST FOR PFS FINANCIAL 2 LLC</t>
  </si>
  <si>
    <t>2014-1423</t>
  </si>
  <si>
    <t>2013-1534</t>
  </si>
  <si>
    <t>2012-2689</t>
  </si>
  <si>
    <t>2011-2198</t>
  </si>
  <si>
    <t>42-2N-27-4613-0010-0190</t>
  </si>
  <si>
    <t>TINYA</t>
  </si>
  <si>
    <t>85221 TINYA RD</t>
  </si>
  <si>
    <t>VARGO DAVID JOSEPH</t>
  </si>
  <si>
    <t>VARGO CAROL S</t>
  </si>
  <si>
    <t>BLOCK 10 LOT 19 IN OR 2018/1424 32620424AX &amp; 32620424BX</t>
  </si>
  <si>
    <t>42-2N-27-4613-0011-0010</t>
  </si>
  <si>
    <t>85321 THERESA RD</t>
  </si>
  <si>
    <t>BRUSSELL DON S</t>
  </si>
  <si>
    <t>86378 CALLAWAY DR</t>
  </si>
  <si>
    <t>BLOCK 11 LOT 1 IN OR 1609/519 1989 SPRI DW/MH</t>
  </si>
  <si>
    <t>2017-1273</t>
  </si>
  <si>
    <t>EVERETT UNLIMITED121752</t>
  </si>
  <si>
    <t>2016-1310</t>
  </si>
  <si>
    <t>SANMARCORA IMNQYX</t>
  </si>
  <si>
    <t>2014-1424</t>
  </si>
  <si>
    <t>2013-1535</t>
  </si>
  <si>
    <t>42-2N-27-4613-0011-0070</t>
  </si>
  <si>
    <t>85200 TINYA RD</t>
  </si>
  <si>
    <t>HUTCHERSON DONALD R</t>
  </si>
  <si>
    <t>HUTCHERSON CHERRY L</t>
  </si>
  <si>
    <t>BLOCK 11 LOT 7 IN OR 920/1904 R433514 &amp; R433515</t>
  </si>
  <si>
    <t>2016-1311</t>
  </si>
  <si>
    <t>CCTS - ANOTHER BUYING GROUP 55327 US BANK CUST FOR PFS FINANCIAL 2 LLC</t>
  </si>
  <si>
    <t>2015-1351</t>
  </si>
  <si>
    <t>GRAPESEED INDUSTRIES32613</t>
  </si>
  <si>
    <t>42-2N-27-4613-0012-0030</t>
  </si>
  <si>
    <t>BROOKE</t>
  </si>
  <si>
    <t>85449 BROOKE ST</t>
  </si>
  <si>
    <t>MABE WILLIAM D</t>
  </si>
  <si>
    <t>MABE FRANCES J</t>
  </si>
  <si>
    <t>BLOCK 12 LOT 3 IN OR 906/520 R787585 &amp; R787586</t>
  </si>
  <si>
    <t>42-2N-27-4614-0001-0040</t>
  </si>
  <si>
    <t>85289 DUANE RD</t>
  </si>
  <si>
    <t>GROVE NANCY ANN</t>
  </si>
  <si>
    <t>NANCY ANN GROVE LIVING TRUST</t>
  </si>
  <si>
    <t>96082 PARK PL</t>
  </si>
  <si>
    <t>BLOCK 1 LOT 4 IN OR 2045/1853 R787587 &amp; R787588</t>
  </si>
  <si>
    <t>42-2N-27-4614-0001-0060</t>
  </si>
  <si>
    <t>85247 DUANE RD</t>
  </si>
  <si>
    <t>OLIVER RUBY E</t>
  </si>
  <si>
    <t>BLOCK 1 LOT 6 IN OR 1266 PG 1403 1991 HORT TW/MH</t>
  </si>
  <si>
    <t>2017-1275</t>
  </si>
  <si>
    <t>MACHA PUCHARE XFUV LLC</t>
  </si>
  <si>
    <t>2016-1314</t>
  </si>
  <si>
    <t>SKYLER LLC O96610 SERIES</t>
  </si>
  <si>
    <t>42-2N-27-4614-0001-0110</t>
  </si>
  <si>
    <t>85513 ASHLEY AVE</t>
  </si>
  <si>
    <t>DAVIS SANDRA A</t>
  </si>
  <si>
    <t>BLOCK 1 LOT 11 IN OR 1657/1739 &amp; OR 1957/552 2000 FTWD DW</t>
  </si>
  <si>
    <t>2014-1429</t>
  </si>
  <si>
    <t>2013-1539</t>
  </si>
  <si>
    <t>2012-2695</t>
  </si>
  <si>
    <t>2011-2203</t>
  </si>
  <si>
    <t>42-2N-27-4614-0001-0120</t>
  </si>
  <si>
    <t>85487 ASHLEY AVE</t>
  </si>
  <si>
    <t>DAVIS WILLIAM R</t>
  </si>
  <si>
    <t>BLOCK 1 LOT 12 IN OR 673 PG 144 R583328/583329</t>
  </si>
  <si>
    <t>2017-1276</t>
  </si>
  <si>
    <t>SANMARCORA GTADPJ</t>
  </si>
  <si>
    <t>2016-1315</t>
  </si>
  <si>
    <t>CCTS TAX LIEN BUYERS - 174600 US BANK CUST FOR PFS FINANCIAL 1</t>
  </si>
  <si>
    <t>42-2N-27-4614-0001-0140</t>
  </si>
  <si>
    <t>85726 RADIO AVE</t>
  </si>
  <si>
    <t>BENDER JOHN A</t>
  </si>
  <si>
    <t>BENDER CYNTHIA J</t>
  </si>
  <si>
    <t>BLOCK 1 LOT 14 IN OR 1931/328 1994 MERIT TW/MH</t>
  </si>
  <si>
    <t>2017-1277</t>
  </si>
  <si>
    <t>BENNU LLC JHA115EBY</t>
  </si>
  <si>
    <t>2016-1316</t>
  </si>
  <si>
    <t>C96</t>
  </si>
  <si>
    <t>42-2N-27-4614-0001-0150</t>
  </si>
  <si>
    <t>85756 RADIO AVE</t>
  </si>
  <si>
    <t>WHITMAN BEVERLY A</t>
  </si>
  <si>
    <t>WHITMAN III DONALD K</t>
  </si>
  <si>
    <t>BLOCK 1 LOT 15 IN OR 1528/981 R621625 &amp; R621626</t>
  </si>
  <si>
    <t>2017-1278</t>
  </si>
  <si>
    <t>SEVILLE BLVD 520 REO LLC</t>
  </si>
  <si>
    <t>2015-1354</t>
  </si>
  <si>
    <t>ABRTL LLC AND AM CERT LLC PARTNERSHIP 673</t>
  </si>
  <si>
    <t>2014-1430</t>
  </si>
  <si>
    <t>42-2N-27-4614-0001-0200</t>
  </si>
  <si>
    <t>85809 RADIO AVE</t>
  </si>
  <si>
    <t>CHRISTMAS CHRISTOPHER D</t>
  </si>
  <si>
    <t>CHRISTMAS DARLA J</t>
  </si>
  <si>
    <t>BLOCK 1 LOT 20 IN OR 1218/392 R672606 &amp; R672607</t>
  </si>
  <si>
    <t>2017-1279</t>
  </si>
  <si>
    <t>TRIAD HOLDINGS180422</t>
  </si>
  <si>
    <t>2016-1317</t>
  </si>
  <si>
    <t>CCTS FLOR ALPHA BLOCK 112180 US BANK CUST FOR PFS FINANCIAL 2 LLC</t>
  </si>
  <si>
    <t>2015-1355</t>
  </si>
  <si>
    <t>MACHAPUCHARE AMTJ LLC</t>
  </si>
  <si>
    <t>2014-1431</t>
  </si>
  <si>
    <t>2013-1540</t>
  </si>
  <si>
    <t>2012-2696</t>
  </si>
  <si>
    <t>42-2N-27-4614-0002-0050</t>
  </si>
  <si>
    <t>TERRY</t>
  </si>
  <si>
    <t>85220 TERRY RD</t>
  </si>
  <si>
    <t>HOOVER TODD S</t>
  </si>
  <si>
    <t>BLOCK 2 LOT 5 &amp; S20 FT LOT 4 EX S8.08 FT OF LOT 5 DW/MH 2001 HOME OF MERIT</t>
  </si>
  <si>
    <t>2016-1318</t>
  </si>
  <si>
    <t>2015-1357</t>
  </si>
  <si>
    <t>2014-1433</t>
  </si>
  <si>
    <t>2013-1542</t>
  </si>
  <si>
    <t>2012-2698</t>
  </si>
  <si>
    <t>US BANK CUST BISBEE LLC M109BD</t>
  </si>
  <si>
    <t>2011-2205</t>
  </si>
  <si>
    <t>42-2N-27-4614-0002-0072</t>
  </si>
  <si>
    <t>TERRY RD</t>
  </si>
  <si>
    <t>SHEFFIELD WILLIAM F &amp; PHILIPS ELISE &amp; BLACKMON HARRY</t>
  </si>
  <si>
    <t>PO BOX 551669</t>
  </si>
  <si>
    <t>BLOCK 2 PT LOTS 7 &amp; 6 STORM WATER DRAIN YULEE WOODS #4 PB 5/301 &amp; 302</t>
  </si>
  <si>
    <t>2017-1280</t>
  </si>
  <si>
    <t>2016-1319</t>
  </si>
  <si>
    <t>2015-1358</t>
  </si>
  <si>
    <t>2014-1434</t>
  </si>
  <si>
    <t>2013-1543</t>
  </si>
  <si>
    <t>2012-2699</t>
  </si>
  <si>
    <t>42-2N-27-4614-0003-0070</t>
  </si>
  <si>
    <t>85398 THERESA RD</t>
  </si>
  <si>
    <t>RITTER ELIZABETH ANN</t>
  </si>
  <si>
    <t>PO BOX 611</t>
  </si>
  <si>
    <t>BLOCK 3 LOT 7 IN OR 676 PG 190 YULEE WOODS #4 PB 5/301 &amp; 302</t>
  </si>
  <si>
    <t>2017-1282</t>
  </si>
  <si>
    <t>HOSSET LLC O136085 SERIES</t>
  </si>
  <si>
    <t>2014-1436</t>
  </si>
  <si>
    <t>2013-1544</t>
  </si>
  <si>
    <t>2012-2700</t>
  </si>
  <si>
    <t>42-2N-27-461A-0006-0000</t>
  </si>
  <si>
    <t>85633 ALENE RD</t>
  </si>
  <si>
    <t>TAYLOR GREGORY L</t>
  </si>
  <si>
    <t>PO BOX 1266</t>
  </si>
  <si>
    <t>TRACT 6 IN OR 899/1343 R672599 &amp; R672600</t>
  </si>
  <si>
    <t>2017-1284</t>
  </si>
  <si>
    <t>SALT CREEK CERT 504 LLC</t>
  </si>
  <si>
    <t>2016-1322</t>
  </si>
  <si>
    <t>XNZ - 261561 - INDIAN RIVER SHORES ENTITY US BANK CUST FOR PFS FINANCIAL 1</t>
  </si>
  <si>
    <t>2015-1360</t>
  </si>
  <si>
    <t>RHUBARB VENTURES 34</t>
  </si>
  <si>
    <t>2014-1438</t>
  </si>
  <si>
    <t>2013-1546</t>
  </si>
  <si>
    <t>2012-2701</t>
  </si>
  <si>
    <t>2011-2207</t>
  </si>
  <si>
    <t>43-2N-27-4620-0006-0000</t>
  </si>
  <si>
    <t>BLACKMON</t>
  </si>
  <si>
    <t>85012 BLACKMON RD</t>
  </si>
  <si>
    <t>KRZEMINSKI ADGELE P</t>
  </si>
  <si>
    <t>KRZEMINSKI MICHAEL M</t>
  </si>
  <si>
    <t>751 PARROT CT</t>
  </si>
  <si>
    <t>KISSIMMEE FL</t>
  </si>
  <si>
    <t>43-02N-27E</t>
  </si>
  <si>
    <t>TRACT 6 IN OR 1385/12 1973 DENMARK DW/MH</t>
  </si>
  <si>
    <t>12089C_110</t>
  </si>
  <si>
    <t>2017-1285</t>
  </si>
  <si>
    <t>THALSA LLC AND TLSK LLC PARTNERSHIP 184</t>
  </si>
  <si>
    <t>2016-1323</t>
  </si>
  <si>
    <t>ORANGE PORPOISE AOVU LLC</t>
  </si>
  <si>
    <t>2015-1361</t>
  </si>
  <si>
    <t>TRIAD HOLDINGS100148</t>
  </si>
  <si>
    <t>2014-1439</t>
  </si>
  <si>
    <t>2013-1547</t>
  </si>
  <si>
    <t>2012-3243</t>
  </si>
  <si>
    <t>WALLACE R GERBER</t>
  </si>
  <si>
    <t>43-2N-27-4621-0002-0100</t>
  </si>
  <si>
    <t>STEPHEN</t>
  </si>
  <si>
    <t>85370 STEPHEN RD</t>
  </si>
  <si>
    <t>FRANKLIN W J SR &amp; EMILY D</t>
  </si>
  <si>
    <t>LOFTON BLUFF</t>
  </si>
  <si>
    <t>BLOCK 2 LOT 10 IN OR 1096/1750 LOFTON BLUFF 2 PB 4/92 &amp; 93</t>
  </si>
  <si>
    <t>2016-1326</t>
  </si>
  <si>
    <t>SUZZARA357</t>
  </si>
  <si>
    <t>2014-1445</t>
  </si>
  <si>
    <t>2013-1553</t>
  </si>
  <si>
    <t>2012-2733</t>
  </si>
  <si>
    <t>43-2N-27-4621-0002-0150</t>
  </si>
  <si>
    <t>DAVID</t>
  </si>
  <si>
    <t>85237 DAVID RD</t>
  </si>
  <si>
    <t>SAPP CHARLES L</t>
  </si>
  <si>
    <t>THOMPSON HEATHER L</t>
  </si>
  <si>
    <t>BLOCK 2 LOT 15 IN OR 984 PG 1919 2001 SKYLINE DW/MH</t>
  </si>
  <si>
    <t>2017-1290</t>
  </si>
  <si>
    <t>ROCKY CREEK TAX 21 LLC</t>
  </si>
  <si>
    <t>2016-1327</t>
  </si>
  <si>
    <t>BENNU LLC JY14Q45AA</t>
  </si>
  <si>
    <t>2015-1366</t>
  </si>
  <si>
    <t>B25654</t>
  </si>
  <si>
    <t>2014-1446</t>
  </si>
  <si>
    <t>2013-1554</t>
  </si>
  <si>
    <t>2012-2734</t>
  </si>
  <si>
    <t>2011-2215</t>
  </si>
  <si>
    <t>43-2N-27-4621-0002-0160</t>
  </si>
  <si>
    <t>85203 DAVID RD</t>
  </si>
  <si>
    <t>CARPENTER JOHN W</t>
  </si>
  <si>
    <t>357 NW 87TH TER # 457</t>
  </si>
  <si>
    <t>BLOCK 2 LOT 16 IN OR 2018/592 R621496 &amp; R621497</t>
  </si>
  <si>
    <t>2016-1328</t>
  </si>
  <si>
    <t>X1301</t>
  </si>
  <si>
    <t>2014-1447</t>
  </si>
  <si>
    <t>2013-1555</t>
  </si>
  <si>
    <t>2012-2735</t>
  </si>
  <si>
    <t>43-2N-27-4621-0002-0290</t>
  </si>
  <si>
    <t>ANGIE</t>
  </si>
  <si>
    <t>85128 ANGIE RD</t>
  </si>
  <si>
    <t>HARDING ROBERT</t>
  </si>
  <si>
    <t>HARDING MARGARET M</t>
  </si>
  <si>
    <t>1840 MILLS RD</t>
  </si>
  <si>
    <t>BLOCK 2 LOT 29 IN OR 1603/1195 R359734 &amp; R359735</t>
  </si>
  <si>
    <t>43-2N-27-4621-0002-0380</t>
  </si>
  <si>
    <t>85477 BLACKMON RD</t>
  </si>
  <si>
    <t>REEVES PROPERTIES INC</t>
  </si>
  <si>
    <t>86197 CARTESIAN POINTE DR</t>
  </si>
  <si>
    <t>BLOCK 2 LOT 38 IN OR 447 PG 722 LOFTON BLUFF 2 PB 4/92 &amp; 93</t>
  </si>
  <si>
    <t>2017-1291</t>
  </si>
  <si>
    <t>2011-2217</t>
  </si>
  <si>
    <t>43-2N-27-4621-0003-0080</t>
  </si>
  <si>
    <t>85295 STEPHEN RD</t>
  </si>
  <si>
    <t>MARCUMM MERRI &amp; VANWEY ROBERT LEE &amp; JOHN H &amp; VANWEY RONALD A &amp; DONALD ETAL</t>
  </si>
  <si>
    <t>86040 CLYDE ST</t>
  </si>
  <si>
    <t>BLOCK 3 LOT 8 R359791 IN OR 1614/236 LOFTON BLUFF #2 PB 4/92 &amp; 93</t>
  </si>
  <si>
    <t>2017-1292</t>
  </si>
  <si>
    <t>KINGFISHER KEY TAX ALVY LLC</t>
  </si>
  <si>
    <t>2014-1448</t>
  </si>
  <si>
    <t>2013-1556</t>
  </si>
  <si>
    <t>2012-2736</t>
  </si>
  <si>
    <t>2011-2218</t>
  </si>
  <si>
    <t>43-2N-27-4621-0004-0080</t>
  </si>
  <si>
    <t>85321 ANGIE RD</t>
  </si>
  <si>
    <t>ROBERTSON LOUELLA</t>
  </si>
  <si>
    <t>500 TEMPLE CHURCH RD</t>
  </si>
  <si>
    <t>BLOCK 4 LOT 8 R498250 OR 549/40 &amp; OR 733/394 LOFTON BLUFF 2 PB 4/92 &amp; 93</t>
  </si>
  <si>
    <t>2017-1293</t>
  </si>
  <si>
    <t>CMON LLC AND GEEZ LLC PARTNERSHIP 812</t>
  </si>
  <si>
    <t>2016-1329</t>
  </si>
  <si>
    <t>CCTS LLC GROUP ETA 95293 US BANK CUST FOR PFS FINANCIAL 2 LLC</t>
  </si>
  <si>
    <t>2015-1368</t>
  </si>
  <si>
    <t>2013-1558</t>
  </si>
  <si>
    <t>43-2N-27-4621-0005-0040</t>
  </si>
  <si>
    <t>85669 BLACKMON RD</t>
  </si>
  <si>
    <t>BUFORD BOBBY SHEA SHERIDAN</t>
  </si>
  <si>
    <t>SHERIDAN-BRINKMAN DEBRA J</t>
  </si>
  <si>
    <t>BLOCK 5 LOT 4 CASE #45-2011-CP-000256 R235953 &amp; R235954</t>
  </si>
  <si>
    <t>2013-1561</t>
  </si>
  <si>
    <t>43-2N-27-4621-0005-0050</t>
  </si>
  <si>
    <t>PHILLIPS</t>
  </si>
  <si>
    <t>85635 PHILLIPS RD</t>
  </si>
  <si>
    <t>DAVIS CELESTA JEANNINE</t>
  </si>
  <si>
    <t>BLOCK 5 LOT 5 96 CHAD DW/MH IN OR 932/74 LOFTON BLUFF 2 PB 4/92 &amp; 93</t>
  </si>
  <si>
    <t>2017-1296</t>
  </si>
  <si>
    <t>SONA CAPITAL85635</t>
  </si>
  <si>
    <t>2015-1370</t>
  </si>
  <si>
    <t>FCI ADVISORS 49</t>
  </si>
  <si>
    <t>2014-1452</t>
  </si>
  <si>
    <t>2013-1562</t>
  </si>
  <si>
    <t>2012-2739</t>
  </si>
  <si>
    <t>2011-2221</t>
  </si>
  <si>
    <t>43-2N-27-4622-0007-0200</t>
  </si>
  <si>
    <t>DICK KING</t>
  </si>
  <si>
    <t>85357 DICK KING RD</t>
  </si>
  <si>
    <t>SHAW ZACHERY K</t>
  </si>
  <si>
    <t>SHAW LINDA V</t>
  </si>
  <si>
    <t>85357 DICK KIND RD</t>
  </si>
  <si>
    <t>BLOCK 7 LOT 20 IN OR 2057/1535 R108079 &amp; R108078</t>
  </si>
  <si>
    <t>43-2N-27-4622-0007-0400</t>
  </si>
  <si>
    <t>85444 HADDOCK RD</t>
  </si>
  <si>
    <t>SILLS JOHN F</t>
  </si>
  <si>
    <t>SILLS ANGELA</t>
  </si>
  <si>
    <t>BLOCK 7 LOT 40 IN OR 929/1417 MH/ID FLHML3B127323265A &amp; FLHML3B127323265B</t>
  </si>
  <si>
    <t>2014-1455</t>
  </si>
  <si>
    <t>2012-2743</t>
  </si>
  <si>
    <t>US BANK CUST BISBEE LLC H171F4</t>
  </si>
  <si>
    <t>43-2N-27-4622-0007-0430</t>
  </si>
  <si>
    <t>CHANCEY DANIEL B</t>
  </si>
  <si>
    <t>CHANCEY JUDIE T</t>
  </si>
  <si>
    <t>BLOCK 7 LOTS 43 &amp; 44 IN OR 1039/698 &amp; OR 1958/87 R498157 &amp; R498158</t>
  </si>
  <si>
    <t>43-2N-27-4622-0007-0590</t>
  </si>
  <si>
    <t>85860 HADDOCK RD</t>
  </si>
  <si>
    <t>BARRY JAMES K</t>
  </si>
  <si>
    <t>85581 CLAXTON RD</t>
  </si>
  <si>
    <t>BLOCK 7 LOT 59 R378384 IN OR 940/1789 LOFTON BLUFF 3 PB 4/108</t>
  </si>
  <si>
    <t>2017-1298</t>
  </si>
  <si>
    <t>NORTH CENTRAL 448 SERVICING LLC</t>
  </si>
  <si>
    <t>2014-1457</t>
  </si>
  <si>
    <t>2013-1565</t>
  </si>
  <si>
    <t>2012-2745</t>
  </si>
  <si>
    <t>43-2N-27-4622-0008-0280</t>
  </si>
  <si>
    <t>85276 DAVID RD</t>
  </si>
  <si>
    <t>BARLOW R CASH</t>
  </si>
  <si>
    <t>3948 3RD ST S # 316</t>
  </si>
  <si>
    <t>BLOCK 8 LOT 28 IN OR 1540/239 1997 MERI SW/MH</t>
  </si>
  <si>
    <t>2017-1300</t>
  </si>
  <si>
    <t>LIMELO WHALE CERTS 200 LLC</t>
  </si>
  <si>
    <t>2016-1336</t>
  </si>
  <si>
    <t>ORANGE DOLPHINS XOIG LLC</t>
  </si>
  <si>
    <t>2015-1374</t>
  </si>
  <si>
    <t>GRASS RIVER INVESTMENTS AELO LLC</t>
  </si>
  <si>
    <t>2013-1566</t>
  </si>
  <si>
    <t>2012-2746</t>
  </si>
  <si>
    <t>2011-2225</t>
  </si>
  <si>
    <t>43-2N-27-4622-0008-0290</t>
  </si>
  <si>
    <t>85030 DICK KING RD</t>
  </si>
  <si>
    <t>BRANCH WILLIAM E</t>
  </si>
  <si>
    <t>BLOCK 8 LOT 29 OR 379/646 EX FPL ESMT OR 401/73 R378484 &amp; R378485</t>
  </si>
  <si>
    <t>2017-1301</t>
  </si>
  <si>
    <t>KINGFISHER REEF TAX YBAW</t>
  </si>
  <si>
    <t>2016-1337</t>
  </si>
  <si>
    <t>XKO - 218515 - BROOKER FLORIDIAN US BANK CUST FOR PFS FINANCIAL 2 LLC</t>
  </si>
  <si>
    <t>2015-1375</t>
  </si>
  <si>
    <t>OCEAN ADVISORS50211</t>
  </si>
  <si>
    <t>43-2N-27-4622-0008-0500</t>
  </si>
  <si>
    <t>85644 DICK KING RD</t>
  </si>
  <si>
    <t>SAWYER HOYET E</t>
  </si>
  <si>
    <t>SAWYER SANDRA R</t>
  </si>
  <si>
    <t>BLOCK 8 LOT 50 R673637 &amp; R673638 IN OR 796 PG 113</t>
  </si>
  <si>
    <t>2016-1338</t>
  </si>
  <si>
    <t>PELICAN PASS CERTS AABJ LLC</t>
  </si>
  <si>
    <t>2015-1376</t>
  </si>
  <si>
    <t>CORAL DOLPHIN INVEST 24 LLC</t>
  </si>
  <si>
    <t>2014-1458</t>
  </si>
  <si>
    <t>2013-1568</t>
  </si>
  <si>
    <t>2012-2749</t>
  </si>
  <si>
    <t>2011-2227</t>
  </si>
  <si>
    <t>43-2N-27-4622-0008-0520</t>
  </si>
  <si>
    <t>85700 DICK KING RD</t>
  </si>
  <si>
    <t>LAIRSEY CASEY C</t>
  </si>
  <si>
    <t>LAIRSEY LESLIE A</t>
  </si>
  <si>
    <t>6941 TONGA DR</t>
  </si>
  <si>
    <t>BLOCK 8 LOT 52 IN OR 1919/504 LOFTON BLUFF 3 PB 4/108</t>
  </si>
  <si>
    <t>2013-1569</t>
  </si>
  <si>
    <t>43-2N-27-4622-0009-0240</t>
  </si>
  <si>
    <t>85172 PHILLIPS RD</t>
  </si>
  <si>
    <t>CARTER CARLTON LEE</t>
  </si>
  <si>
    <t>BLOCK 9 LOT 24 IN OR 1866/900 R359329 &amp; R359330</t>
  </si>
  <si>
    <t>43-2N-27-4622-0009-0280</t>
  </si>
  <si>
    <t>85276 PHILLIPS RD</t>
  </si>
  <si>
    <t>TURLINGTON RALPH T</t>
  </si>
  <si>
    <t>TURLINGTON JUDY D</t>
  </si>
  <si>
    <t>BLOCK 9 LOT 28 R 107774 IN OR 634 PG 1162 LOFTON BLUFF #3 PB 4/108</t>
  </si>
  <si>
    <t>43-2N-27-4622-0009-0300</t>
  </si>
  <si>
    <t>85338 PHILLIPS RD</t>
  </si>
  <si>
    <t>HYERS STEVE</t>
  </si>
  <si>
    <t>BLOCK 9 LOT 30 IN OR 756 PG 80 R672589 &amp; R672590 &amp; R672591</t>
  </si>
  <si>
    <t>2016-1339</t>
  </si>
  <si>
    <t>D5419</t>
  </si>
  <si>
    <t>2015-1377</t>
  </si>
  <si>
    <t>2014-1459</t>
  </si>
  <si>
    <t>2013-1570</t>
  </si>
  <si>
    <t>2012-2750</t>
  </si>
  <si>
    <t>2011-2228</t>
  </si>
  <si>
    <t>43-2N-27-4622-0009-0340</t>
  </si>
  <si>
    <t>85496 PHILLIPS RD</t>
  </si>
  <si>
    <t>JOHNSON WILLIAM M</t>
  </si>
  <si>
    <t>MEYLE KELLY S</t>
  </si>
  <si>
    <t>BLOCK 9 LOT 34 93 FLEE SW/MH IN OR 993/204 1/2 HX INT</t>
  </si>
  <si>
    <t>2017-1302</t>
  </si>
  <si>
    <t>ORANGE DOLPHINS XUWO LLC</t>
  </si>
  <si>
    <t>2016-1340</t>
  </si>
  <si>
    <t>2015-1379</t>
  </si>
  <si>
    <t>BEEGREO INVESTMENTS 1102 LLC</t>
  </si>
  <si>
    <t>2014-1460</t>
  </si>
  <si>
    <t>43-2N-27-4640-0035-0000</t>
  </si>
  <si>
    <t>AVANT</t>
  </si>
  <si>
    <t>85628 AVANT RD</t>
  </si>
  <si>
    <t>APPLEWHITE MICHAEL K</t>
  </si>
  <si>
    <t>WILSON NECK</t>
  </si>
  <si>
    <t>LOT 35 IN OR 960/726 WILSON NECK SUB PB 4/2</t>
  </si>
  <si>
    <t>2015-1381</t>
  </si>
  <si>
    <t>SANMARCORA TSEKNJ</t>
  </si>
  <si>
    <t>43-2N-27-4640-0046-0000</t>
  </si>
  <si>
    <t>85880 AVANT RD</t>
  </si>
  <si>
    <t>BELL JAMES GREGORY</t>
  </si>
  <si>
    <t>LOT 46 IN OR 1263/1972 WILSON NECK SUB PB 4/2</t>
  </si>
  <si>
    <t>2017-1303</t>
  </si>
  <si>
    <t>HOSSET LLC O31290 SERIES</t>
  </si>
  <si>
    <t>2016-1344</t>
  </si>
  <si>
    <t>RAPTY TRUST SERIES 4124</t>
  </si>
  <si>
    <t>2012-2753</t>
  </si>
  <si>
    <t>BRIDGE TAX LLC - 435 US BANK % BRIDGE TAX LLC-435</t>
  </si>
  <si>
    <t>2011-2231</t>
  </si>
  <si>
    <t>43-2N-27-4641-0001-0150</t>
  </si>
  <si>
    <t>85008 WILSON NECK RD</t>
  </si>
  <si>
    <t>WILLIAMS FAMILY LIVING TRUST</t>
  </si>
  <si>
    <t>BLOCK 1 LOT 15 IN OR 1353/1828 WILSON NECK UNIT 2 PB 5/98-101</t>
  </si>
  <si>
    <t>2017-1304</t>
  </si>
  <si>
    <t>SUTTON INVESTMENT79097</t>
  </si>
  <si>
    <t>2016-1345</t>
  </si>
  <si>
    <t>RAPTY TRUST SERIES 11054</t>
  </si>
  <si>
    <t>2015-1383</t>
  </si>
  <si>
    <t>CERESE285</t>
  </si>
  <si>
    <t>2014-1463</t>
  </si>
  <si>
    <t>2013-1573</t>
  </si>
  <si>
    <t>2012-2754</t>
  </si>
  <si>
    <t>ASCOT CAPITAL LLC - 8 US BANK % ASCOT CAPITAL LLC-8</t>
  </si>
  <si>
    <t>2011-2232</t>
  </si>
  <si>
    <t>43-2N-27-4642-0002-0000</t>
  </si>
  <si>
    <t>ELISE</t>
  </si>
  <si>
    <t>85316 ELISE RD</t>
  </si>
  <si>
    <t>MILLER LUTHER M</t>
  </si>
  <si>
    <t>MILLER JANN W</t>
  </si>
  <si>
    <t>LOT 2 IN OR 2018/547 WILSON NECK HILLS PB 4/62</t>
  </si>
  <si>
    <t>2012-2758</t>
  </si>
  <si>
    <t>US BANK CUST BISBEE LLC H171DE</t>
  </si>
  <si>
    <t>43-2N-27-4642-0007-0000</t>
  </si>
  <si>
    <t>WESLEY</t>
  </si>
  <si>
    <t>85315 WESLEY RD</t>
  </si>
  <si>
    <t>BROWNING CALVIN</t>
  </si>
  <si>
    <t>LOTS 7 &amp; 8 IN OR 1999/1515 R673036 &amp; R673037</t>
  </si>
  <si>
    <t>43-2N-27-4642-0041-0000</t>
  </si>
  <si>
    <t>LINDA</t>
  </si>
  <si>
    <t>85262 LINDA RD</t>
  </si>
  <si>
    <t>EDWARDS DEBRA L</t>
  </si>
  <si>
    <t>1136 SKYE DR E</t>
  </si>
  <si>
    <t>LOT 41 IN OR 2044/1289 WILSON NECK HILLS PB 4/62</t>
  </si>
  <si>
    <t>2015-1384</t>
  </si>
  <si>
    <t>2014-1465</t>
  </si>
  <si>
    <t>2013-1575</t>
  </si>
  <si>
    <t>43-2N-27-4642-0046-0000</t>
  </si>
  <si>
    <t>85126 LINDA RD</t>
  </si>
  <si>
    <t>MELVIN KENNETH J</t>
  </si>
  <si>
    <t>LOT 46 R583913 IN OR 1928/783 WILSON NECK HILLS PB 4/62</t>
  </si>
  <si>
    <t>2016-1347</t>
  </si>
  <si>
    <t>SUTTON INVESTMENT29715</t>
  </si>
  <si>
    <t>2015-1386</t>
  </si>
  <si>
    <t>2014-1466</t>
  </si>
  <si>
    <t>43-2N-27-4643-0030-0000</t>
  </si>
  <si>
    <t>LANA</t>
  </si>
  <si>
    <t>85344 LANA RD</t>
  </si>
  <si>
    <t>MULLIN HENRY J</t>
  </si>
  <si>
    <t>MULLIN CLARA L</t>
  </si>
  <si>
    <t>TRACT 30 IN OR 703 PG 102 8D610261NA &amp; 8D610261NB</t>
  </si>
  <si>
    <t>43-2N-27-4643-0040-0000</t>
  </si>
  <si>
    <t>85592 LANA RD</t>
  </si>
  <si>
    <t>NELSON BARBARA</t>
  </si>
  <si>
    <t>TRACT 40 IN OR 840/884 &amp; OR 1652/1006 R673919 &amp; R673920</t>
  </si>
  <si>
    <t>2017-1308</t>
  </si>
  <si>
    <t>HARBOR BLVD 265 MANAGEMENT SERVICES LLC</t>
  </si>
  <si>
    <t>2016-1350</t>
  </si>
  <si>
    <t>MATRICE2690</t>
  </si>
  <si>
    <t>2015-1389</t>
  </si>
  <si>
    <t>TTTT515</t>
  </si>
  <si>
    <t>2014-1469</t>
  </si>
  <si>
    <t>2013-1577</t>
  </si>
  <si>
    <t>2012-2762</t>
  </si>
  <si>
    <t>43-2N-27-4643-0042-0000</t>
  </si>
  <si>
    <t>85642 LANA RD</t>
  </si>
  <si>
    <t>MOORE JON M</t>
  </si>
  <si>
    <t>TRACT 42 IN OR 702/609 R673030 &amp; R673031 &amp; R673032</t>
  </si>
  <si>
    <t>2017-1309</t>
  </si>
  <si>
    <t>MACHAPUCHARE AGBG LLC</t>
  </si>
  <si>
    <t>2016-1351</t>
  </si>
  <si>
    <t>CCTS TAX LIEN PURCHASERS - 177534 US BANK CUST FOR PFS FINANCIAL 1</t>
  </si>
  <si>
    <t>2015-1390</t>
  </si>
  <si>
    <t>2014-1470</t>
  </si>
  <si>
    <t>2013-1578</t>
  </si>
  <si>
    <t>2012-2763</t>
  </si>
  <si>
    <t>2011-2239</t>
  </si>
  <si>
    <t>43-2N-27-4645-0003-0000</t>
  </si>
  <si>
    <t>85063 BLACKMON RD</t>
  </si>
  <si>
    <t>85011 HARTS RAOD</t>
  </si>
  <si>
    <t>LOT 3 R568135 IN OR 1729/135 ESMT IN OR 454/178</t>
  </si>
  <si>
    <t>43-2N-27-4645-0026-0000</t>
  </si>
  <si>
    <t>85393 BLACKMON RD</t>
  </si>
  <si>
    <t>JOHNSON WILLIAM PRESTON</t>
  </si>
  <si>
    <t>LOT 26 IN OR 773 PG 1310 R673929 &amp; R673930</t>
  </si>
  <si>
    <t>2017-1310</t>
  </si>
  <si>
    <t>JACKS BRANCH 401 SERVICING LLC</t>
  </si>
  <si>
    <t>2016-1354</t>
  </si>
  <si>
    <t>KING FISHER KEY TAX TCQP LLC</t>
  </si>
  <si>
    <t>2015-1392</t>
  </si>
  <si>
    <t>CHA 1181 LLC</t>
  </si>
  <si>
    <t>2014-1472</t>
  </si>
  <si>
    <t>2013-1579</t>
  </si>
  <si>
    <t>2012-2764</t>
  </si>
  <si>
    <t>2011-2240</t>
  </si>
  <si>
    <t>43-2N-27-4647-0006-0130</t>
  </si>
  <si>
    <t>85007 CLAXTON RD</t>
  </si>
  <si>
    <t>CHAIRES CHRISTINA</t>
  </si>
  <si>
    <t>CHAIRES TRAVIS</t>
  </si>
  <si>
    <t>BLOCK 6 LOT 13 IN OR 1937/1289 1994 FTWD DWMH</t>
  </si>
  <si>
    <t>12089C_508</t>
  </si>
  <si>
    <t>2012-2767</t>
  </si>
  <si>
    <t>43-2N-27-4647-0006-0160</t>
  </si>
  <si>
    <t>85071 CLAXTON RD</t>
  </si>
  <si>
    <t>DAVIDSON MELISSA A</t>
  </si>
  <si>
    <t>BLOCK 6 LOT 16 IN OR 776/1977 1993 SKYL DW/MH</t>
  </si>
  <si>
    <t>43-2N-27-4648-0001-0010</t>
  </si>
  <si>
    <t>85737 LANA RD</t>
  </si>
  <si>
    <t>JOHNSON MICHAEL L</t>
  </si>
  <si>
    <t>JOHNSON JUANITA L</t>
  </si>
  <si>
    <t>BLOCK 1 LOT 1 IN OR 700 PG 2000 R788205 &amp; R788206</t>
  </si>
  <si>
    <t>2016-1355</t>
  </si>
  <si>
    <t>2015-1395</t>
  </si>
  <si>
    <t>2014-1478</t>
  </si>
  <si>
    <t>2013-1585</t>
  </si>
  <si>
    <t>2012-2772</t>
  </si>
  <si>
    <t>2011-2246</t>
  </si>
  <si>
    <t>43-2N-27-4648-0001-0070</t>
  </si>
  <si>
    <t>85571 LANA RD</t>
  </si>
  <si>
    <t>HARPE CONNIE D</t>
  </si>
  <si>
    <t>85074 JESSIE LN</t>
  </si>
  <si>
    <t>BLOCK 1 LOT 7 IN OR 721 PG 1909 R408026 &amp; R408027</t>
  </si>
  <si>
    <t>2017-1313</t>
  </si>
  <si>
    <t>OCEAN STRAND 701 SERVICING LLC</t>
  </si>
  <si>
    <t>2016-1356</t>
  </si>
  <si>
    <t>LUNAR PRIME164789</t>
  </si>
  <si>
    <t>2015-1396</t>
  </si>
  <si>
    <t>CCTS - ANOTHER BUYING GROUP 55848 US BANK CUST FOR PFS FINANCIAL 2 LLC</t>
  </si>
  <si>
    <t>2013-1586</t>
  </si>
  <si>
    <t>2012-2773</t>
  </si>
  <si>
    <t>2011-2247</t>
  </si>
  <si>
    <t>43-2N-27-4648-0001-0160</t>
  </si>
  <si>
    <t>85714 CLAXTON RD</t>
  </si>
  <si>
    <t>JOHNSON MICHAEL</t>
  </si>
  <si>
    <t>JOHNSON JUANITA</t>
  </si>
  <si>
    <t>BLOCK 1 LOT 16 IN OR 1176/621 R673619 &amp; R673620</t>
  </si>
  <si>
    <t>2017-1314</t>
  </si>
  <si>
    <t>PLACE BLVD 497 MANAGEMENT SERVICES LLC</t>
  </si>
  <si>
    <t>2016-1357</t>
  </si>
  <si>
    <t>PELICAN POINT GROUP105007</t>
  </si>
  <si>
    <t>2015-1397</t>
  </si>
  <si>
    <t>TRIAD HOLDINGS18976</t>
  </si>
  <si>
    <t>2013-1587</t>
  </si>
  <si>
    <t>2012-2774</t>
  </si>
  <si>
    <t>2011-2248</t>
  </si>
  <si>
    <t>43-2N-27-4648-0002-0050</t>
  </si>
  <si>
    <t>SARA</t>
  </si>
  <si>
    <t>85113 SARA RD</t>
  </si>
  <si>
    <t>GRAVES JEFFREY LEE</t>
  </si>
  <si>
    <t>GRAVES DEBRA</t>
  </si>
  <si>
    <t>BLOCK 2 LOT 5 IN OR 1460/297 WILSON NECK LANDING 2 PB 4/72</t>
  </si>
  <si>
    <t>2017-1315</t>
  </si>
  <si>
    <t>ZOEE83</t>
  </si>
  <si>
    <t>2014-1479</t>
  </si>
  <si>
    <t>2013-1588</t>
  </si>
  <si>
    <t>2012-2775</t>
  </si>
  <si>
    <t>US BANK CUST BISBEE LLC H17215</t>
  </si>
  <si>
    <t>2011-2249</t>
  </si>
  <si>
    <t>43-2N-27-4648-0002-0060</t>
  </si>
  <si>
    <t>85089 SARA RD</t>
  </si>
  <si>
    <t>ADAMS JOHN</t>
  </si>
  <si>
    <t>ADAMS LISA</t>
  </si>
  <si>
    <t>BLOCK 2 LOT 6 IN OR 1598/1264 1/2 HX INT 2007 TOWN HOME DW/MH</t>
  </si>
  <si>
    <t>2017-1316</t>
  </si>
  <si>
    <t>VALENTINE HOLDINGS 20</t>
  </si>
  <si>
    <t>43-2N-27-4648-0003-0080</t>
  </si>
  <si>
    <t>FAYE</t>
  </si>
  <si>
    <t>85225 FAYE RD</t>
  </si>
  <si>
    <t>HOFFMAN STEPHEN W</t>
  </si>
  <si>
    <t>HARPER CHERYL A</t>
  </si>
  <si>
    <t>PO BOX 977</t>
  </si>
  <si>
    <t>BLOCK 3 LOT 8 IN OR 816/279 R108115 &amp; 108116</t>
  </si>
  <si>
    <t>2017-1317</t>
  </si>
  <si>
    <t>MML LLC AND OAR LLC PARTNERSHIP 573</t>
  </si>
  <si>
    <t>2015-1399</t>
  </si>
  <si>
    <t>2014-1480</t>
  </si>
  <si>
    <t>2013-1589</t>
  </si>
  <si>
    <t>2012-2777</t>
  </si>
  <si>
    <t>2011-2252</t>
  </si>
  <si>
    <t>43-2N-27-4648-0003-0140</t>
  </si>
  <si>
    <t>85396 CLAXTON RD</t>
  </si>
  <si>
    <t>MURRAY TAMMY M</t>
  </si>
  <si>
    <t>BLOCK 3 LOT 14 IN OR 1433/1154 1998 CYPR DW/MH</t>
  </si>
  <si>
    <t>2017-1318</t>
  </si>
  <si>
    <t>JACKFISHER 761 LLC</t>
  </si>
  <si>
    <t>2016-1358</t>
  </si>
  <si>
    <t>FQL - 229680 - CUTLER BAY FLORIDIAN US BANK CUST FOR PFS FINANCIAL 2 LLC</t>
  </si>
  <si>
    <t>2015-1400</t>
  </si>
  <si>
    <t>SONA CAPITAL158589</t>
  </si>
  <si>
    <t>2014-1482</t>
  </si>
  <si>
    <t>2011-2254</t>
  </si>
  <si>
    <t>43-2N-27-4648-0005-0060</t>
  </si>
  <si>
    <t>ALGER</t>
  </si>
  <si>
    <t>85162 ALGER RD</t>
  </si>
  <si>
    <t>GILES JAMES R</t>
  </si>
  <si>
    <t>BLOCK 5 LOT 6 R672689 &amp; R672690 L/E IN OR 836 PG 21</t>
  </si>
  <si>
    <t>2017-1319</t>
  </si>
  <si>
    <t>KENSINGTON CAPITAL64346</t>
  </si>
  <si>
    <t>2016-1360</t>
  </si>
  <si>
    <t>TIN 676 LLC</t>
  </si>
  <si>
    <t>2014-1484</t>
  </si>
  <si>
    <t>2013-1594</t>
  </si>
  <si>
    <t>2012-2781</t>
  </si>
  <si>
    <t>2011-2257</t>
  </si>
  <si>
    <t>43-2N-27-4648-0005-0240</t>
  </si>
  <si>
    <t>85020 CLAXTON RD</t>
  </si>
  <si>
    <t>DOSSENBACK MICHAEL J</t>
  </si>
  <si>
    <t>DOSSENBACK DEBORAH A</t>
  </si>
  <si>
    <t>116 KIRK RD</t>
  </si>
  <si>
    <t>BLOCK 5 LOT 24 IN OR 1999/1653 R334368 &amp; R334369</t>
  </si>
  <si>
    <t>2014-1487</t>
  </si>
  <si>
    <t>2013-1597</t>
  </si>
  <si>
    <t>2012-2784</t>
  </si>
  <si>
    <t>2011-2260</t>
  </si>
  <si>
    <t>43-2N-27-4651-0008-0000</t>
  </si>
  <si>
    <t>85279 WILSON NECK RD</t>
  </si>
  <si>
    <t>FOUNTAIN HUBERT RAYMOND</t>
  </si>
  <si>
    <t>43193 WINDING LN</t>
  </si>
  <si>
    <t>TRACT 8 IN OR 483 PG 251 1993 CLAY SW/MH</t>
  </si>
  <si>
    <t>2017-1323</t>
  </si>
  <si>
    <t>2016-1364</t>
  </si>
  <si>
    <t>2014-1488</t>
  </si>
  <si>
    <t>2012-2785</t>
  </si>
  <si>
    <t>2011-2261</t>
  </si>
  <si>
    <t>43-2N-27-4651-0024-0000</t>
  </si>
  <si>
    <t>85735 WILSON NECK RD</t>
  </si>
  <si>
    <t>JOHNSON SAMUEL E</t>
  </si>
  <si>
    <t>TRACT 24 IN OR 2047/1421 WILSON NECK ROAD UNIT #1 UNR</t>
  </si>
  <si>
    <t>43-2N-27-4651-0043-0000</t>
  </si>
  <si>
    <t>85250 WILSON NECK RD</t>
  </si>
  <si>
    <t>ANDERSON MICHAEL A</t>
  </si>
  <si>
    <t>ANDERSON HELEN C</t>
  </si>
  <si>
    <t>TRACT 43 IN OR 757/776 R672611 &amp; R672612</t>
  </si>
  <si>
    <t>2017-1326</t>
  </si>
  <si>
    <t>CHITWAN HATI INV 554 LLC</t>
  </si>
  <si>
    <t>2016-1366</t>
  </si>
  <si>
    <t>FLORIDA - GROUP SIGMA 152507 US BANK CUST FOR PFS FINANCIAL 1</t>
  </si>
  <si>
    <t>2015-1404</t>
  </si>
  <si>
    <t>FREMONT CAPITAL MANAGEMENT186094</t>
  </si>
  <si>
    <t>2014-1489</t>
  </si>
  <si>
    <t>2013-1600</t>
  </si>
  <si>
    <t>2012-2788</t>
  </si>
  <si>
    <t>2011-2264</t>
  </si>
  <si>
    <t>43-2N-27-4651-0046-0000</t>
  </si>
  <si>
    <t>85162 WILSON NECK RD</t>
  </si>
  <si>
    <t>TALBOT KAREN E</t>
  </si>
  <si>
    <t>PO BOX 28337</t>
  </si>
  <si>
    <t>TRACT 46 IN OR 685 PG 1418 R567884 &amp; R567885</t>
  </si>
  <si>
    <t>43-2N-27-4653-0010-0000</t>
  </si>
  <si>
    <t>85991 WILSON NECK RD</t>
  </si>
  <si>
    <t>CAMPBELL LISA V</t>
  </si>
  <si>
    <t>PO BOX 212</t>
  </si>
  <si>
    <t>LOT 10 IN OR 1099/1537 WILSON NECK ROAD #3 UNR</t>
  </si>
  <si>
    <t>2017-1329</t>
  </si>
  <si>
    <t>2016-1368</t>
  </si>
  <si>
    <t>2015-1406</t>
  </si>
  <si>
    <t>2014-1491</t>
  </si>
  <si>
    <t>2013-1603</t>
  </si>
  <si>
    <t>2012-2791</t>
  </si>
  <si>
    <t>2011-2267</t>
  </si>
  <si>
    <t>44-2N-27-0000-0001-0090</t>
  </si>
  <si>
    <t>HARPER CHAPEL</t>
  </si>
  <si>
    <t>76375 HARPER CHAPEL</t>
  </si>
  <si>
    <t>HARPER CHAPEL LLC</t>
  </si>
  <si>
    <t>44-02N-27E</t>
  </si>
  <si>
    <t>PT HEIRS E WATERMAN GRANT SEC 44-2N-27E IN OR 1981/1830 (EX UTIL ESMT IN OR 944/25 &amp;</t>
  </si>
  <si>
    <t>2011-2270</t>
  </si>
  <si>
    <t>44-2N-27-0000-0001-0200</t>
  </si>
  <si>
    <t>CRANDALL</t>
  </si>
  <si>
    <t>CRANDALL RD</t>
  </si>
  <si>
    <t>STRICKLAND JOHN D</t>
  </si>
  <si>
    <t>STRICKLAND LINDA L</t>
  </si>
  <si>
    <t>2830 COLERAIN RD</t>
  </si>
  <si>
    <t>PT E WATERMAN MILL GRANT SEC 44-2N-27E IN OR 826/1117 (EX PT IN OR 1205/1158 &amp; PT IN</t>
  </si>
  <si>
    <t>2017-1331</t>
  </si>
  <si>
    <t>2016-1369</t>
  </si>
  <si>
    <t>2015-1408</t>
  </si>
  <si>
    <t>2014-1494</t>
  </si>
  <si>
    <t>2013-1607</t>
  </si>
  <si>
    <t>2012-2860</t>
  </si>
  <si>
    <t>ELIZABETH SZOLLOSI</t>
  </si>
  <si>
    <t>2011-2271</t>
  </si>
  <si>
    <t>44-2N-27-0000-0010-0000</t>
  </si>
  <si>
    <t>462974 SR 200</t>
  </si>
  <si>
    <t>PT OF HEIRS OF E WATERMAN GRANT SEC 44-2N-27E IN OR 10/206 (EX R/W IN</t>
  </si>
  <si>
    <t>2017-1333</t>
  </si>
  <si>
    <t>XEMOG 17114 LLC</t>
  </si>
  <si>
    <t>2016-1372</t>
  </si>
  <si>
    <t>HERON HANG CERT 980 LLC</t>
  </si>
  <si>
    <t>2015-1409</t>
  </si>
  <si>
    <t>DOGPOUND80646</t>
  </si>
  <si>
    <t>2014-2578</t>
  </si>
  <si>
    <t>2013-2852</t>
  </si>
  <si>
    <t>2012-3247</t>
  </si>
  <si>
    <t>37-3N-27-0135-0007-0000</t>
  </si>
  <si>
    <t>LENTS</t>
  </si>
  <si>
    <t>87259 LENTS RD</t>
  </si>
  <si>
    <t>BELLS RIVER SIX LLC</t>
  </si>
  <si>
    <t>2712 W JETTON AVE</t>
  </si>
  <si>
    <t>BELLS RIVER EST #2</t>
  </si>
  <si>
    <t>37-03N-27E</t>
  </si>
  <si>
    <t>LOT 7 PT OR 1283/1051 BELLS RIVER EST #2 PB 7/31</t>
  </si>
  <si>
    <t>2017-1334</t>
  </si>
  <si>
    <t>2015-1417</t>
  </si>
  <si>
    <t>37-3N-27-0135-0008-0000</t>
  </si>
  <si>
    <t>87263 LENTS RD</t>
  </si>
  <si>
    <t>LOT 8 PT OR 1283/1051 BELLS RIVER EST #2 PB 7/31</t>
  </si>
  <si>
    <t>2017-1335</t>
  </si>
  <si>
    <t>2015-1418</t>
  </si>
  <si>
    <t>37-3N-27-0135-0009-0000</t>
  </si>
  <si>
    <t>87267 LENTS RD</t>
  </si>
  <si>
    <t>2312 W JETTON AVE</t>
  </si>
  <si>
    <t>LOT 9 PT OR 1283/1051 BELLS RIVER EST #2 PB 7/31</t>
  </si>
  <si>
    <t>2017-1336</t>
  </si>
  <si>
    <t>2015-1419</t>
  </si>
  <si>
    <t>37-3N-27-0135-0010-0000</t>
  </si>
  <si>
    <t>87271 LENTS RD</t>
  </si>
  <si>
    <t>LOT 10 PT OR 1283/1051 BELLS RIVER EST #2 PB 7/31</t>
  </si>
  <si>
    <t>2017-1337</t>
  </si>
  <si>
    <t>2015-1420</t>
  </si>
  <si>
    <t>37-3N-27-0135-0011-0000</t>
  </si>
  <si>
    <t>87275 LENTS RD</t>
  </si>
  <si>
    <t>LOT 11 PT OR 1283/1051 BELLS RIVER EST #2 PB 7/31</t>
  </si>
  <si>
    <t>2017-1338</t>
  </si>
  <si>
    <t>2015-1421</t>
  </si>
  <si>
    <t>37-3N-27-0135-0012-0000</t>
  </si>
  <si>
    <t>87279 LENTS RD</t>
  </si>
  <si>
    <t>LOT 12 PT OR 1283/1051 BELLS RIVER EST #2 PB 7/31</t>
  </si>
  <si>
    <t>2017-1339</t>
  </si>
  <si>
    <t>2015-1422</t>
  </si>
  <si>
    <t>37-3N-27-4680-0004-0110</t>
  </si>
  <si>
    <t>ROSES BLUFF</t>
  </si>
  <si>
    <t>ROSES BLUFF RD</t>
  </si>
  <si>
    <t>WAREH F</t>
  </si>
  <si>
    <t>3660 PIZARRO RD</t>
  </si>
  <si>
    <t>PT OF LOT 4 IN OR 1932/802 SUB OF HM THIGPEN DB 39/356</t>
  </si>
  <si>
    <t>2014-1498</t>
  </si>
  <si>
    <t>2013-1619</t>
  </si>
  <si>
    <t>2012-2234</t>
  </si>
  <si>
    <t>2011-2291</t>
  </si>
  <si>
    <t>37-3N-27-4680-0004-0150</t>
  </si>
  <si>
    <t>87581 ROSES BLUFF RD</t>
  </si>
  <si>
    <t>AMERICAN RECOVERY CORPORATION INC OF USA</t>
  </si>
  <si>
    <t>2200 BAYVIEW RD</t>
  </si>
  <si>
    <t>PT OF LOT 4 IN OR 1965/879 1994 SKLY TW/MH</t>
  </si>
  <si>
    <t>2017-1341</t>
  </si>
  <si>
    <t>BISBEE LLC AK2A0B03</t>
  </si>
  <si>
    <t>2016-1378</t>
  </si>
  <si>
    <t>BENNU LLC YS1ANAC8J</t>
  </si>
  <si>
    <t>2015-1425</t>
  </si>
  <si>
    <t>E14834</t>
  </si>
  <si>
    <t>2014-1500</t>
  </si>
  <si>
    <t>38-3N-27-4690-0010-0000</t>
  </si>
  <si>
    <t>HAVEN</t>
  </si>
  <si>
    <t>87509 HAVEN RD</t>
  </si>
  <si>
    <t>LAWRENCE LYNDA JEAN &amp; BONNIE LOU TOLBERT LITEBORN &amp; TED TOLBERT</t>
  </si>
  <si>
    <t>38-03N-27E</t>
  </si>
  <si>
    <t>LOT 10 OR 612/464 &amp; OR 819/365 MH/ID GAFLW75A34279WT21</t>
  </si>
  <si>
    <t>2017-1343</t>
  </si>
  <si>
    <t>SANMARCORA DKDGFU</t>
  </si>
  <si>
    <t>2016-1380</t>
  </si>
  <si>
    <t>TANGERINE DELPHIS XGUD LLC</t>
  </si>
  <si>
    <t>2012-2396</t>
  </si>
  <si>
    <t>38-3N-27-4690-0029-0000</t>
  </si>
  <si>
    <t>87465 ROSES BLUFF RD</t>
  </si>
  <si>
    <t>BATTLES TOMMY D</t>
  </si>
  <si>
    <t>BATTLES PAMELA J</t>
  </si>
  <si>
    <t>HAVEN FOREST</t>
  </si>
  <si>
    <t>LOT 29 R583350 &amp; R583351 IN OR 691 PG 660 HAVEN FOREST UNR</t>
  </si>
  <si>
    <t>2017-1344</t>
  </si>
  <si>
    <t>SANMARCORA TLSWJM</t>
  </si>
  <si>
    <t>2016-1381</t>
  </si>
  <si>
    <t>KENSINGTON CAPITAL26111</t>
  </si>
  <si>
    <t>2015-1429</t>
  </si>
  <si>
    <t>TRIAD HOLDINGS11306</t>
  </si>
  <si>
    <t>2014-1504</t>
  </si>
  <si>
    <t>2013-1622</t>
  </si>
  <si>
    <t>2012-2399</t>
  </si>
  <si>
    <t>2011-2293</t>
  </si>
  <si>
    <t>38-3N-27-4690-0053-0010</t>
  </si>
  <si>
    <t>87596 HAVEN RD</t>
  </si>
  <si>
    <t>WILLIAMS LARRY SHELTON</t>
  </si>
  <si>
    <t>PT OF LOT 53 IN OR 1541/813 HAVEN FOREST UNR</t>
  </si>
  <si>
    <t>2017-1346</t>
  </si>
  <si>
    <t>ECRU LLC R4F4FJ</t>
  </si>
  <si>
    <t>2016-1383</t>
  </si>
  <si>
    <t>SPOKANE LLC SERIES A006231</t>
  </si>
  <si>
    <t>2015-1431</t>
  </si>
  <si>
    <t>R807</t>
  </si>
  <si>
    <t>2014-1508</t>
  </si>
  <si>
    <t>2013-1626</t>
  </si>
  <si>
    <t>2012-2402</t>
  </si>
  <si>
    <t>US BANK CUST BISBEE LLC H171F1</t>
  </si>
  <si>
    <t>2011-2295</t>
  </si>
  <si>
    <t>39-3N-27-0000-0001-0060</t>
  </si>
  <si>
    <t>BROOKER</t>
  </si>
  <si>
    <t>87115 BROOKER RD</t>
  </si>
  <si>
    <t>COVER ALAN B</t>
  </si>
  <si>
    <t>87667 HAVEN RD</t>
  </si>
  <si>
    <t>39-03N-27E</t>
  </si>
  <si>
    <t>IN 1074/1722 &amp; L/E OR 1852/493 EX 1-31</t>
  </si>
  <si>
    <t>2017-1347</t>
  </si>
  <si>
    <t>HAJUP 26010 LLC</t>
  </si>
  <si>
    <t>2016-1384</t>
  </si>
  <si>
    <t>2014-1509</t>
  </si>
  <si>
    <t>2013-1627</t>
  </si>
  <si>
    <t>39-3N-27-0000-0001-0120</t>
  </si>
  <si>
    <t>BELL RIVER EST</t>
  </si>
  <si>
    <t>87270 BELL RIVER EST RD</t>
  </si>
  <si>
    <t>DONNA LYNNE CUSTOM HOMES INC</t>
  </si>
  <si>
    <t>YULEE HOME CENTER LLC</t>
  </si>
  <si>
    <t>474423 E STATE ROAD 200 # 1</t>
  </si>
  <si>
    <t>IN OR 1277/1410</t>
  </si>
  <si>
    <t>2017-1348</t>
  </si>
  <si>
    <t>2016-1385</t>
  </si>
  <si>
    <t>2015-1433</t>
  </si>
  <si>
    <t>2014-1511</t>
  </si>
  <si>
    <t>2013-1628</t>
  </si>
  <si>
    <t>2012-2431</t>
  </si>
  <si>
    <t>2011-2299</t>
  </si>
  <si>
    <t>50-3N-27-0000-0001-0050</t>
  </si>
  <si>
    <t>AZOR PATRICK G</t>
  </si>
  <si>
    <t>AZOR PATRICIA J</t>
  </si>
  <si>
    <t>86485 PAGES DAIRY RD</t>
  </si>
  <si>
    <t>50-03N-27E</t>
  </si>
  <si>
    <t>IN OR 494 PG 393</t>
  </si>
  <si>
    <t>2015-1434</t>
  </si>
  <si>
    <t>50-3N-27-0000-0001-0060</t>
  </si>
  <si>
    <t>GOODBREAD RD</t>
  </si>
  <si>
    <t>HALLS SALVAGE LLC</t>
  </si>
  <si>
    <t>85712 AVANT RD</t>
  </si>
  <si>
    <t>PT OR 1834/1286</t>
  </si>
  <si>
    <t>50-3N-27-0000-0012-0000</t>
  </si>
  <si>
    <t>76044 QUAIL RIDGE RD</t>
  </si>
  <si>
    <t>MOSES WILLIAM HAROLD</t>
  </si>
  <si>
    <t>MOSES KAREN</t>
  </si>
  <si>
    <t>PO BOX 8</t>
  </si>
  <si>
    <t>PT E WATERMAN GRANT SEC 50-3N-27E IN OR 1910/1533 BEING PARCELS 1 &amp; 2</t>
  </si>
  <si>
    <t>2017-1350</t>
  </si>
  <si>
    <t>RAJAFISHER HOLDINGS 1417 LLC</t>
  </si>
  <si>
    <t>2016-1388</t>
  </si>
  <si>
    <t>ECRU LLC R325CJ</t>
  </si>
  <si>
    <t>2012-3046</t>
  </si>
  <si>
    <t>50-3N-27-0000-0016-0000</t>
  </si>
  <si>
    <t>86033 MCKENDREE DR</t>
  </si>
  <si>
    <t>WOODWARD SPALDING K</t>
  </si>
  <si>
    <t>WOODWARD GENEVA</t>
  </si>
  <si>
    <t>IN OR 717 PG 851</t>
  </si>
  <si>
    <t>50-3N-27-0000-0023-0000</t>
  </si>
  <si>
    <t>463081 SR 200</t>
  </si>
  <si>
    <t>ARGOS READY MIX LLC</t>
  </si>
  <si>
    <t>3015 WINDWARD PLZ STE 300</t>
  </si>
  <si>
    <t>ALPHARETTA GA</t>
  </si>
  <si>
    <t>IN OR 1907/1315</t>
  </si>
  <si>
    <t>50-3N-27-4720-0077-0000</t>
  </si>
  <si>
    <t>851008 US HWY 17</t>
  </si>
  <si>
    <t>GIBSON ELVA DARLENE</t>
  </si>
  <si>
    <t>2651 S JUNIPER ST APT 101</t>
  </si>
  <si>
    <t>FOLEY AL</t>
  </si>
  <si>
    <t>NORTH YULEE</t>
  </si>
  <si>
    <t>LOTS 77 &amp; 78 IN OR 2022/1205 NORTH YULEE PB 2/26</t>
  </si>
  <si>
    <t>2017-1352</t>
  </si>
  <si>
    <t>ECRU LLC TSAMF77</t>
  </si>
  <si>
    <t>2016-1391</t>
  </si>
  <si>
    <t>PELICAN PASS TAX AEWH LLC</t>
  </si>
  <si>
    <t>2015-1438</t>
  </si>
  <si>
    <t>LLLLL482</t>
  </si>
  <si>
    <t>2014-1515</t>
  </si>
  <si>
    <t>2013-1631</t>
  </si>
  <si>
    <t>2012-3047</t>
  </si>
  <si>
    <t>2011-2304</t>
  </si>
  <si>
    <t>50-3N-27-4720-0081-0000</t>
  </si>
  <si>
    <t>851026 US HWY 17</t>
  </si>
  <si>
    <t>REBELROAMER LLC</t>
  </si>
  <si>
    <t>851026 US HIGHWAY 17</t>
  </si>
  <si>
    <t>LOTS 81 &amp; 82 IN OR 1533/194 NORTH YULEE PB 2/26</t>
  </si>
  <si>
    <t>2017-1353</t>
  </si>
  <si>
    <t>PELICAN HARBOUR 249 TAX RE LLC</t>
  </si>
  <si>
    <t>2015-1439</t>
  </si>
  <si>
    <t>GTURN LLC AND GHETT TL LLC PARTNERSHIP 1102</t>
  </si>
  <si>
    <t>2013-1632</t>
  </si>
  <si>
    <t>2011-2305</t>
  </si>
  <si>
    <t>50-3N-27-4720-0084-0010</t>
  </si>
  <si>
    <t>851036 US HWY 17 DR</t>
  </si>
  <si>
    <t>LOTS 83 84 85 &amp; PT LOT 90 IN OR 1834/1286 (EX OR 2006/1546)</t>
  </si>
  <si>
    <t>50-3N-27-4720-0106-0010</t>
  </si>
  <si>
    <t>PAGES DAIRY</t>
  </si>
  <si>
    <t>86101 PAGES DAIRY RD</t>
  </si>
  <si>
    <t>STEWART SR TERRELL L</t>
  </si>
  <si>
    <t>CRAVENER CHRISTINA J</t>
  </si>
  <si>
    <t>1624 STEWART AVE</t>
  </si>
  <si>
    <t>PT OF LOT 106 IN OR 2046/1071 NORTH YULEE PB 2/26</t>
  </si>
  <si>
    <t>2017-1355</t>
  </si>
  <si>
    <t>ORANGE WHALES AHSO LLC</t>
  </si>
  <si>
    <t>50-3N-27-4781-0018-0000</t>
  </si>
  <si>
    <t>YULEE PARK</t>
  </si>
  <si>
    <t>LOT 18 PT OR 1834/1286 YULEE PARK #2 PB 5/60</t>
  </si>
  <si>
    <t>51-3N-27-0000-0001-0040</t>
  </si>
  <si>
    <t>EZELL</t>
  </si>
  <si>
    <t>86015 EZELL LN</t>
  </si>
  <si>
    <t>WILKINS RONALD C</t>
  </si>
  <si>
    <t>51-03N-27E</t>
  </si>
  <si>
    <t>IN OR 1709/1976 R673475 ESMT PT OR 473/322 ESMT IN OR 474/691</t>
  </si>
  <si>
    <t>2017-1356</t>
  </si>
  <si>
    <t>MERLOT HOLDINGS106</t>
  </si>
  <si>
    <t>51-3N-27-0000-0001-0200</t>
  </si>
  <si>
    <t>86055 EZELL LN</t>
  </si>
  <si>
    <t>KENNEDY MICHAEL KEVIN</t>
  </si>
  <si>
    <t>KENNEDY TERESA JEANETTE</t>
  </si>
  <si>
    <t>IN OR 1071 PG 1939 1995 LIBE SW/MH</t>
  </si>
  <si>
    <t>2017-1358</t>
  </si>
  <si>
    <t>HOSSET LLC O81019 SERIES</t>
  </si>
  <si>
    <t>2016-1395</t>
  </si>
  <si>
    <t>SKYLER LLC O28758 SERIES</t>
  </si>
  <si>
    <t>2015-1442</t>
  </si>
  <si>
    <t>BALLPARK ADVISORS 20</t>
  </si>
  <si>
    <t>2014-1519</t>
  </si>
  <si>
    <t>2013-1634</t>
  </si>
  <si>
    <t>2011-2307</t>
  </si>
  <si>
    <t>51-3N-27-0000-0008-0010</t>
  </si>
  <si>
    <t>86543 PAGES DAIRY RD</t>
  </si>
  <si>
    <t>PAGE JOHN E</t>
  </si>
  <si>
    <t>PAGE BOBBIE SUE</t>
  </si>
  <si>
    <t>2633 AMELIA RD</t>
  </si>
  <si>
    <t>IN OR 1127/877 PARCELS 8-1 &amp; 58</t>
  </si>
  <si>
    <t>2017-1359</t>
  </si>
  <si>
    <t>C3208</t>
  </si>
  <si>
    <t>2016-1396</t>
  </si>
  <si>
    <t>AAAAA138</t>
  </si>
  <si>
    <t>2015-1443</t>
  </si>
  <si>
    <t>BIRCH CAPITAL 12</t>
  </si>
  <si>
    <t>2014-1520</t>
  </si>
  <si>
    <t>2013-1635</t>
  </si>
  <si>
    <t>51-3N-27-0000-0013-0100</t>
  </si>
  <si>
    <t>MORGAN RUSSELL H</t>
  </si>
  <si>
    <t>IN OR 1409/626</t>
  </si>
  <si>
    <t>2016-1398</t>
  </si>
  <si>
    <t>2015-1446</t>
  </si>
  <si>
    <t>2014-1522</t>
  </si>
  <si>
    <t>2013-1637</t>
  </si>
  <si>
    <t>2012-3119</t>
  </si>
  <si>
    <t>2011-2309</t>
  </si>
  <si>
    <t>51-3N-27-0000-0017-0000</t>
  </si>
  <si>
    <t>850914 US HWY 17</t>
  </si>
  <si>
    <t>PORCH SWING PROPERTIES LLC</t>
  </si>
  <si>
    <t>1832 WOODROW ST</t>
  </si>
  <si>
    <t>AUGUSTA GA</t>
  </si>
  <si>
    <t>IN OR 1302/1490 RESOLUTION #2012-06 PT OR 1780/1948</t>
  </si>
  <si>
    <t>2017-1361</t>
  </si>
  <si>
    <t>KEATON CHASE 38 COMPANY LLC</t>
  </si>
  <si>
    <t>2015-1447</t>
  </si>
  <si>
    <t>A141273</t>
  </si>
  <si>
    <t>2014-1523</t>
  </si>
  <si>
    <t>2013-1638</t>
  </si>
  <si>
    <t>2012-3120</t>
  </si>
  <si>
    <t>NAWS20</t>
  </si>
  <si>
    <t>2011-2310</t>
  </si>
  <si>
    <t>51-3N-27-0000-0030-0030</t>
  </si>
  <si>
    <t>86102 HICKOX RD</t>
  </si>
  <si>
    <t>HICKOX LOIS P</t>
  </si>
  <si>
    <t>IN OR 51 PG 75 R334035 &amp; 334036</t>
  </si>
  <si>
    <t>2016-1399</t>
  </si>
  <si>
    <t>51-3N-27-0000-0037-0060</t>
  </si>
  <si>
    <t>86190 PAGES DAIRY RD</t>
  </si>
  <si>
    <t>GRAVES CHARLOTTE</t>
  </si>
  <si>
    <t>GRAVES PHILIPP KYLE</t>
  </si>
  <si>
    <t>IN OR 1515/281 1998 JACO TW/MH</t>
  </si>
  <si>
    <t>51-3N-27-0000-0044-0030</t>
  </si>
  <si>
    <t>CHARMED</t>
  </si>
  <si>
    <t>86013 CHARMED WAY</t>
  </si>
  <si>
    <t>JOHNSON CAMEIL</t>
  </si>
  <si>
    <t>PT JOHN LOW GRANT 51-3N-27E PAR 44-3 IN OR 23/506 OR 284/570 OR 620/569</t>
  </si>
  <si>
    <t>2016-1401</t>
  </si>
  <si>
    <t>RIVTULIP 1014Z LLC</t>
  </si>
  <si>
    <t>2015-1451</t>
  </si>
  <si>
    <t>2014-1525</t>
  </si>
  <si>
    <t>2013-1642</t>
  </si>
  <si>
    <t>2012-3124</t>
  </si>
  <si>
    <t>2011-2314</t>
  </si>
  <si>
    <t>51-3N-27-0000-0053-0010</t>
  </si>
  <si>
    <t>WAYLON</t>
  </si>
  <si>
    <t>86033 WAYLON ST</t>
  </si>
  <si>
    <t>BLAKE CHRIS</t>
  </si>
  <si>
    <t>BLAKE RHONDA</t>
  </si>
  <si>
    <t>IN OR 1439/1004 ESMT OR 200/633</t>
  </si>
  <si>
    <t>2017-1364</t>
  </si>
  <si>
    <t>ECRU LLC AK74724F5</t>
  </si>
  <si>
    <t>2016-1402</t>
  </si>
  <si>
    <t>B9541</t>
  </si>
  <si>
    <t>2015-1452</t>
  </si>
  <si>
    <t>D41464</t>
  </si>
  <si>
    <t>2014-1527</t>
  </si>
  <si>
    <t>2013-1645</t>
  </si>
  <si>
    <t>NADEZDA KARIMENKO</t>
  </si>
  <si>
    <t>2012-3125</t>
  </si>
  <si>
    <t>2011-2315</t>
  </si>
  <si>
    <t>51-3N-27-0000-0053-0020</t>
  </si>
  <si>
    <t>86001 WAYLON ST</t>
  </si>
  <si>
    <t>PT OR 1492/133 R498009</t>
  </si>
  <si>
    <t>2017-1365</t>
  </si>
  <si>
    <t>DOGPOUND154252</t>
  </si>
  <si>
    <t>2016-1403</t>
  </si>
  <si>
    <t>KINGFISHER KEY TAX AIXS LLC</t>
  </si>
  <si>
    <t>2015-1453</t>
  </si>
  <si>
    <t>DOGPOUND137827</t>
  </si>
  <si>
    <t>2014-1528</t>
  </si>
  <si>
    <t>2013-1646</t>
  </si>
  <si>
    <t>2012-3126</t>
  </si>
  <si>
    <t>2011-2316</t>
  </si>
  <si>
    <t>51-3N-27-0000-0053-0040</t>
  </si>
  <si>
    <t>WAYLON ST</t>
  </si>
  <si>
    <t>PT OR 1492/133</t>
  </si>
  <si>
    <t>2017-1366</t>
  </si>
  <si>
    <t>2016-1404</t>
  </si>
  <si>
    <t>2015-1454</t>
  </si>
  <si>
    <t>SF XXIX</t>
  </si>
  <si>
    <t>2014-1529</t>
  </si>
  <si>
    <t>2013-1647</t>
  </si>
  <si>
    <t>2012-3127</t>
  </si>
  <si>
    <t>2011-2317</t>
  </si>
  <si>
    <t>51-3N-27-0000-0060-0040</t>
  </si>
  <si>
    <t>BOBBY</t>
  </si>
  <si>
    <t>86013 BOBBY DR</t>
  </si>
  <si>
    <t>BROWN KIMBERLY S</t>
  </si>
  <si>
    <t>SHEALEY JR RICHARD N</t>
  </si>
  <si>
    <t>737 GEIGER RD</t>
  </si>
  <si>
    <t>IN OR 1716/920</t>
  </si>
  <si>
    <t>2017-1367</t>
  </si>
  <si>
    <t>SUNSET POINT 512 RENTING REO LLC</t>
  </si>
  <si>
    <t>2016-1405</t>
  </si>
  <si>
    <t>A91997</t>
  </si>
  <si>
    <t>2015-1455</t>
  </si>
  <si>
    <t>MMMM465</t>
  </si>
  <si>
    <t>2014-1530</t>
  </si>
  <si>
    <t>2013-1648</t>
  </si>
  <si>
    <t>2012-3129</t>
  </si>
  <si>
    <t>2011-2319</t>
  </si>
  <si>
    <t>51-3N-27-0000-0066-0010</t>
  </si>
  <si>
    <t>OFF PAGES DAIRY</t>
  </si>
  <si>
    <t>OFF PAGES DAIRY RD</t>
  </si>
  <si>
    <t>KEPNER FRANK</t>
  </si>
  <si>
    <t>KEPNER LAURIE P</t>
  </si>
  <si>
    <t>PO BOX 96</t>
  </si>
  <si>
    <t>PAGES</t>
  </si>
  <si>
    <t>IN OR 1645/180</t>
  </si>
  <si>
    <t>51-3N-27-0000-0067-0010</t>
  </si>
  <si>
    <t>86570 PAGES DAIRY RD</t>
  </si>
  <si>
    <t>KEPNER FRANK A</t>
  </si>
  <si>
    <t>IN OR 616 PG 1053</t>
  </si>
  <si>
    <t>51-3N-27-0000-0067-0020</t>
  </si>
  <si>
    <t>PAGES DAIRY RD</t>
  </si>
  <si>
    <t>KEPNER LAURIE B</t>
  </si>
  <si>
    <t>IN OR 734 PG 1563</t>
  </si>
  <si>
    <t>2013-1649</t>
  </si>
  <si>
    <t>2011-2320</t>
  </si>
  <si>
    <t>51-3N-27-0497-0003-0000</t>
  </si>
  <si>
    <t>86223 PAGES DAIRY RD</t>
  </si>
  <si>
    <t>ETHRIDGE LILLIAN B</t>
  </si>
  <si>
    <t>PO BOX 1044</t>
  </si>
  <si>
    <t>EZELL ACRES</t>
  </si>
  <si>
    <t>LOT 3 2002 LEX DW IN OR 786 PG 1163 EZELL ACRES PB 5/326</t>
  </si>
  <si>
    <t>2016-1406</t>
  </si>
  <si>
    <t>BBBB1620</t>
  </si>
  <si>
    <t>2015-1457</t>
  </si>
  <si>
    <t>ECRU LLC PM2FFE9E9H4</t>
  </si>
  <si>
    <t>2014-1532</t>
  </si>
  <si>
    <t>2013-1653</t>
  </si>
  <si>
    <t>2011-2324</t>
  </si>
  <si>
    <t>51-3N-27-0497-0005-0000</t>
  </si>
  <si>
    <t>SEWELL ROBERT B</t>
  </si>
  <si>
    <t>SEWELL AMY E</t>
  </si>
  <si>
    <t>1507 SUNNYMEADE DR</t>
  </si>
  <si>
    <t>LOT 5 IN OR 1253/1859 EZELL ACRES PB 5/326</t>
  </si>
  <si>
    <t>2017-1370</t>
  </si>
  <si>
    <t>2017-2239</t>
  </si>
  <si>
    <t>2017-2250</t>
  </si>
  <si>
    <t>2017-2253</t>
  </si>
  <si>
    <t>2017-2255</t>
  </si>
  <si>
    <t>2017-2257</t>
  </si>
  <si>
    <t>2017-2258</t>
  </si>
  <si>
    <t>51-3N-27-0497-0006-0000</t>
  </si>
  <si>
    <t>86209 PAGES DAIRY RD</t>
  </si>
  <si>
    <t>LOT 6 IN OR 2045/1859 2002 JACO DW/MH EZELL ACRES PB 5/326</t>
  </si>
  <si>
    <t>51-3N-27-1626-0002-0000</t>
  </si>
  <si>
    <t>WORTHINGTON</t>
  </si>
  <si>
    <t>86375 WORTHINGTON DR</t>
  </si>
  <si>
    <t>HALLMARK HOMES INC</t>
  </si>
  <si>
    <t>8130 BAYMEADOWS CIR W STE 107</t>
  </si>
  <si>
    <t>LOT 2 IN OR 1106/1070 ESMT PT OR 1117/1699</t>
  </si>
  <si>
    <t>2017-1371</t>
  </si>
  <si>
    <t>2016-1407</t>
  </si>
  <si>
    <t>2015-1459</t>
  </si>
  <si>
    <t>2014-1535</t>
  </si>
  <si>
    <t>2013-1656</t>
  </si>
  <si>
    <t>2012-3134</t>
  </si>
  <si>
    <t>2011-2328</t>
  </si>
  <si>
    <t>51-3N-27-1627-0009-0000</t>
  </si>
  <si>
    <t>86961 WORTHINGTON DR</t>
  </si>
  <si>
    <t>STEPHENSON DANIEL M</t>
  </si>
  <si>
    <t>STEPHENSON DAINA E</t>
  </si>
  <si>
    <t>PAGE HILL</t>
  </si>
  <si>
    <t>LOT 9 IN OR 2045/1603 PAGE HILL #3 PB 6/341</t>
  </si>
  <si>
    <t>2017-1372</t>
  </si>
  <si>
    <t>ZIHIG 32900 LLC</t>
  </si>
  <si>
    <t>51-3N-27-1627-0084-0000</t>
  </si>
  <si>
    <t>86842 WORTHINGTON DR</t>
  </si>
  <si>
    <t>BREELAND DONNA R</t>
  </si>
  <si>
    <t>LOT 84 IN OR 1285/590 PAGE HILL #3 PB 6/341</t>
  </si>
  <si>
    <t>2017-1373</t>
  </si>
  <si>
    <t>ECRU LLC TSBM705</t>
  </si>
  <si>
    <t>2013-1657</t>
  </si>
  <si>
    <t>2012-3135</t>
  </si>
  <si>
    <t>BRIDGE TAX LLC - BB8 US BANK % BRIDGE TAX LLC-BB8</t>
  </si>
  <si>
    <t>2011-2330</t>
  </si>
  <si>
    <t>51-3N-27-4800-0006-0000</t>
  </si>
  <si>
    <t>FLORIDA</t>
  </si>
  <si>
    <t>86075 FLORIDA AVE</t>
  </si>
  <si>
    <t>PRITCHARD KENNETH C</t>
  </si>
  <si>
    <t>PRITCHARD GLENDA F</t>
  </si>
  <si>
    <t>PO BOX 686</t>
  </si>
  <si>
    <t>NASSAU ACRES</t>
  </si>
  <si>
    <t>LOT 6 IN OR 124/149 NASSAU ACRES SUB PB 3/48</t>
  </si>
  <si>
    <t>2017-1374</t>
  </si>
  <si>
    <t>OCEAN ADVISORS31945</t>
  </si>
  <si>
    <t>2015-1460</t>
  </si>
  <si>
    <t>BADIRMOOK INVEST 354 LLC</t>
  </si>
  <si>
    <t>2014-1536</t>
  </si>
  <si>
    <t>2013-1658</t>
  </si>
  <si>
    <t>2012-3136</t>
  </si>
  <si>
    <t>2011-2331</t>
  </si>
  <si>
    <t>51-3N-27-4820-0032-0000</t>
  </si>
  <si>
    <t>STUART LOUIS</t>
  </si>
  <si>
    <t>203 OCEAN FRONT</t>
  </si>
  <si>
    <t>LOT 32 PT OR 973/519 NASSAU ACRES 2 PB 3/61</t>
  </si>
  <si>
    <t>2017-1377</t>
  </si>
  <si>
    <t>2014-1541</t>
  </si>
  <si>
    <t>2013-1662</t>
  </si>
  <si>
    <t>2012-3141</t>
  </si>
  <si>
    <t>2011-2337</t>
  </si>
  <si>
    <t>51-3N-27-4820-0038-0000</t>
  </si>
  <si>
    <t>86054 OAK ST</t>
  </si>
  <si>
    <t>WILLIAMS EVA M</t>
  </si>
  <si>
    <t>LOTS 38 &amp; 39 IN OR 1343/136 2002 CYPRE DW</t>
  </si>
  <si>
    <t>51-3N-27-4820-0044-0000</t>
  </si>
  <si>
    <t>86067 OAK ST</t>
  </si>
  <si>
    <t>POWELL JOYCE E</t>
  </si>
  <si>
    <t>PO BOX 402</t>
  </si>
  <si>
    <t>LOT 44 IN OR 672/1633 NASSAU ACRES #2 PB 3/61</t>
  </si>
  <si>
    <t>2016-1410</t>
  </si>
  <si>
    <t>2011-2338</t>
  </si>
  <si>
    <t>51-3N-27-4840-0017-0000</t>
  </si>
  <si>
    <t>463152 SR 200</t>
  </si>
  <si>
    <t>ALL AMERICAN OIL LLC</t>
  </si>
  <si>
    <t>380 COMMERCE PKWY</t>
  </si>
  <si>
    <t>ROCKLEDGE FL</t>
  </si>
  <si>
    <t>LOTS 17 18 &amp; 19 &amp; PARCEL 35 OR 1469/1266 ESMT IN OR 917/772</t>
  </si>
  <si>
    <t>2016-1411</t>
  </si>
  <si>
    <t>FL PROJ - CCTS - GROUP LAMBDA 48086 US BANK CUST FOR PFS FINANCIAL 2 LLC</t>
  </si>
  <si>
    <t>51-3N-27-4860-000A-0040</t>
  </si>
  <si>
    <t>CLYDE</t>
  </si>
  <si>
    <t>86078 CLYDE ST</t>
  </si>
  <si>
    <t>DANIEL MUTT J</t>
  </si>
  <si>
    <t>BARLOW RICHRAD</t>
  </si>
  <si>
    <t>PO BOX 15321</t>
  </si>
  <si>
    <t>FELMORE PARK</t>
  </si>
  <si>
    <t>BLOCK A LOT 4 IN OR 1893/300 R433474 FELMORE PARK SUB PB 3/41</t>
  </si>
  <si>
    <t>2016-1412</t>
  </si>
  <si>
    <t>2015-1466</t>
  </si>
  <si>
    <t>2013-1663</t>
  </si>
  <si>
    <t>2012-3144</t>
  </si>
  <si>
    <t>2011-2341</t>
  </si>
  <si>
    <t>51-3N-27-4860-000A-0100</t>
  </si>
  <si>
    <t>86018 CLYDE ST</t>
  </si>
  <si>
    <t>WINDER VI LLC</t>
  </si>
  <si>
    <t>BLOCK A LOT 10 IN OR 1643/1510 FELMORE PARK SUB PB 3/41</t>
  </si>
  <si>
    <t>2017-1378</t>
  </si>
  <si>
    <t>2016-1413</t>
  </si>
  <si>
    <t>2015-1468</t>
  </si>
  <si>
    <t>2014-1543</t>
  </si>
  <si>
    <t>2013-1664</t>
  </si>
  <si>
    <t>2012-3145</t>
  </si>
  <si>
    <t>2011-2343</t>
  </si>
  <si>
    <t>51-3N-27-4881-0018-0000</t>
  </si>
  <si>
    <t>HILL VALLEY</t>
  </si>
  <si>
    <t>86209 HILL VALLEY AVE</t>
  </si>
  <si>
    <t>ROYAL DAVID R</t>
  </si>
  <si>
    <t>85089 SUTTON PL</t>
  </si>
  <si>
    <t>TRACT 18 IN OR 1935/1386 R433994 &amp; R433995</t>
  </si>
  <si>
    <t>51-3N-27-4881-0023-0000</t>
  </si>
  <si>
    <t>86063 HILL VALLEY AVE</t>
  </si>
  <si>
    <t>POPE JOHN R</t>
  </si>
  <si>
    <t>YULEE HILLS</t>
  </si>
  <si>
    <t>TRACT 23 1993 LIBE SW/MH IN OR 1995/160 YULEE HILLS PB 4/31</t>
  </si>
  <si>
    <t>2017-1379</t>
  </si>
  <si>
    <t>PELICAN PIER CERTS AFPV LLC</t>
  </si>
  <si>
    <t>2016-1416</t>
  </si>
  <si>
    <t>CCTS TAX LIEN PURCHASERS - 175666 US BANK CUST FOR PFS FINANCIAL 1</t>
  </si>
  <si>
    <t>51-3N-27-4881-0028-0000</t>
  </si>
  <si>
    <t>86112 HILL VALLEY AVE</t>
  </si>
  <si>
    <t>TRUJILLO KIMBERLY BELL</t>
  </si>
  <si>
    <t>TRACT 28 IN OR 1677/440 1978 VOGUE/PINE DW/MH</t>
  </si>
  <si>
    <t>2017-1381</t>
  </si>
  <si>
    <t>SKYLER LLC O73298 SERIES</t>
  </si>
  <si>
    <t>51-3N-27-4881-0035-0000</t>
  </si>
  <si>
    <t>86326 HILL VALLEY AVE</t>
  </si>
  <si>
    <t>MIXON DARRELL G</t>
  </si>
  <si>
    <t>MIXON JUDITH A</t>
  </si>
  <si>
    <t>TRACT 35 IN OR 814/745 MH/ID 10644L &amp; 10644R YULEE HILLS PB 4/31</t>
  </si>
  <si>
    <t>51-3N-27-4881-0051-0000</t>
  </si>
  <si>
    <t>JEAN</t>
  </si>
  <si>
    <t>86423 JEAN RD</t>
  </si>
  <si>
    <t>ALLEN MARION J</t>
  </si>
  <si>
    <t>913 JESS ALLEN RD</t>
  </si>
  <si>
    <t>NAHUNTA GA</t>
  </si>
  <si>
    <t>TRACT 51 IN OR 420 PG 589 R621593 &amp; R621594</t>
  </si>
  <si>
    <t>2016-1418</t>
  </si>
  <si>
    <t>H10647</t>
  </si>
  <si>
    <t>2015-1470</t>
  </si>
  <si>
    <t>C6555</t>
  </si>
  <si>
    <t>2014-1546</t>
  </si>
  <si>
    <t>2011-2347</t>
  </si>
  <si>
    <t>51-3N-27-4881-0055-0000</t>
  </si>
  <si>
    <t>86313 JEAN RD</t>
  </si>
  <si>
    <t>MUSIC STEVE</t>
  </si>
  <si>
    <t>TRACT 55 IN OR 577 PG 544 R672466 &amp; R672467</t>
  </si>
  <si>
    <t>2016-1421</t>
  </si>
  <si>
    <t>ORANGE DOLPHINS XTHQ LLC</t>
  </si>
  <si>
    <t>2014-1548</t>
  </si>
  <si>
    <t>2011-2349</t>
  </si>
  <si>
    <t>51-3N-27-4881-0056-0000</t>
  </si>
  <si>
    <t>86277 JEAN RD</t>
  </si>
  <si>
    <t>FREEMAN SIDNEY A JR &amp; DOYLE BARBARA &amp; JAMES</t>
  </si>
  <si>
    <t>86279 JEAN RD</t>
  </si>
  <si>
    <t>TRACT 56 1971 GRNDR SW &amp; 2000 HOMD DW IN OR 1777/83</t>
  </si>
  <si>
    <t>2017-1384</t>
  </si>
  <si>
    <t>PONTOON BLVD 374 HOLDINGS LLC</t>
  </si>
  <si>
    <t>2016-1422</t>
  </si>
  <si>
    <t>CARRARA653</t>
  </si>
  <si>
    <t>2015-1472</t>
  </si>
  <si>
    <t>D4447</t>
  </si>
  <si>
    <t>2014-1549</t>
  </si>
  <si>
    <t>2013-1670</t>
  </si>
  <si>
    <t>2012-3149</t>
  </si>
  <si>
    <t>2011-2350</t>
  </si>
  <si>
    <t>51-3N-27-4881-0072-0000</t>
  </si>
  <si>
    <t>86204 JEAN RD</t>
  </si>
  <si>
    <t>OSBORNE GERALDINE</t>
  </si>
  <si>
    <t>TRACT 72 IN OR 534/82 8D610194N YULEE HILLS PB 4/31</t>
  </si>
  <si>
    <t>2017-1387</t>
  </si>
  <si>
    <t>TANGERINE DELPHIS XGLH LLC</t>
  </si>
  <si>
    <t>51-3N-27-4881-0075-0000</t>
  </si>
  <si>
    <t>86294 JEAN RD</t>
  </si>
  <si>
    <t>HANIFEE JASON</t>
  </si>
  <si>
    <t>HANIFEE MEGAN</t>
  </si>
  <si>
    <t>TRACT 75 IN OR 1816/297 R224263 &amp; R224264</t>
  </si>
  <si>
    <t>51-3N-27-4881-0096-0000</t>
  </si>
  <si>
    <t>TIMBER RIDGE</t>
  </si>
  <si>
    <t>86258 TIMBER RIDGE ST</t>
  </si>
  <si>
    <t>GUEST VERNON WAYNE</t>
  </si>
  <si>
    <t>TRACT 96 IN OR 1662/848-853 1977 CHAMP SW/MH</t>
  </si>
  <si>
    <t>2017-1388</t>
  </si>
  <si>
    <t>PELICAN PASS TAX AJUF LLC</t>
  </si>
  <si>
    <t>2016-1427</t>
  </si>
  <si>
    <t>SPOTBILLED PASS 1BTR LLC</t>
  </si>
  <si>
    <t>51-3N-27-4881-0130-0000</t>
  </si>
  <si>
    <t>86262 YULEE HILLS RD</t>
  </si>
  <si>
    <t>POTTS HERBERT MICHAEL</t>
  </si>
  <si>
    <t>TRACT 130 IN OR 732/794 YULEE HILLS PB 4/31</t>
  </si>
  <si>
    <t>2017-1395</t>
  </si>
  <si>
    <t>2015-1477</t>
  </si>
  <si>
    <t>ARONI-G LLC GULF SHORES BANK AS COLLATERAL ASSIGNEE OF ARONI-G LLC</t>
  </si>
  <si>
    <t>2014-1555</t>
  </si>
  <si>
    <t>2013-1676</t>
  </si>
  <si>
    <t>2012-3152</t>
  </si>
  <si>
    <t>2011-2353</t>
  </si>
  <si>
    <t>51-3N-27-4881-0152-0000</t>
  </si>
  <si>
    <t>86419 TIMBER RIDGE ST</t>
  </si>
  <si>
    <t>HALE DENNIS MICHAEL</t>
  </si>
  <si>
    <t>PT TRACT A IN OR 501/739 YULEE HILLS PBK 4/31 {A/K/A UNR TRACT 152 OF TRACT A}</t>
  </si>
  <si>
    <t>12089C_146</t>
  </si>
  <si>
    <t>2017-1397</t>
  </si>
  <si>
    <t>RAPTY TRUST SERIES 3103</t>
  </si>
  <si>
    <t>2015-1480</t>
  </si>
  <si>
    <t>KINGFISHER REEF TAX YCFB</t>
  </si>
  <si>
    <t>2014-1557</t>
  </si>
  <si>
    <t>2013-1678</t>
  </si>
  <si>
    <t>51-3N-27-4881-0179-0000</t>
  </si>
  <si>
    <t>897 YULEE HILLS RD</t>
  </si>
  <si>
    <t>RUSS LISA VALERIE &amp; KINDT CHARLES &amp; DALE S</t>
  </si>
  <si>
    <t>85057 MINER RD</t>
  </si>
  <si>
    <t>PT TRACT A PT OR 966/500 YULEE HILLS PBK 4/31 {A/K/A UNR TRACT 179 OF TRACT A}</t>
  </si>
  <si>
    <t>2017-1399</t>
  </si>
  <si>
    <t>2016-1436</t>
  </si>
  <si>
    <t>2015-1483</t>
  </si>
  <si>
    <t>2014-1559</t>
  </si>
  <si>
    <t>2013-1680</t>
  </si>
  <si>
    <t>2012-3157</t>
  </si>
  <si>
    <t>2011-2360</t>
  </si>
  <si>
    <t>52-3N-27-0000-0002-0150</t>
  </si>
  <si>
    <t>RUSH</t>
  </si>
  <si>
    <t>86016 RUSH RD</t>
  </si>
  <si>
    <t>THEOBALD MONA R</t>
  </si>
  <si>
    <t>52-03N-27E</t>
  </si>
  <si>
    <t>IN OR 1408/232 R360206 &amp; R360207</t>
  </si>
  <si>
    <t>2012-3158</t>
  </si>
  <si>
    <t>LIME PORPOISE 28 LLC PALM TREE TAX, CAPONE NA AS CO</t>
  </si>
  <si>
    <t>52-3N-27-0000-0002-0330</t>
  </si>
  <si>
    <t>RON NELSON</t>
  </si>
  <si>
    <t>86100 RON NELSON LN</t>
  </si>
  <si>
    <t>GREEN HARRY E</t>
  </si>
  <si>
    <t>86456 HARRY GREEN RD</t>
  </si>
  <si>
    <t>PT OF JOHN VAUGHAN GRANT SEC 52-3N-27E IN OR 960/317 &amp; OR 1943/899</t>
  </si>
  <si>
    <t>52-3N-27-4890-0018-0000</t>
  </si>
  <si>
    <t>HARRY GREEN</t>
  </si>
  <si>
    <t>86385 HARRY GREEN RD</t>
  </si>
  <si>
    <t>CRUMP LESLIE LANDRUM</t>
  </si>
  <si>
    <t>LOT 18 (EX 18-1) IN OR 791/1057 RP 1572 &amp; 1573</t>
  </si>
  <si>
    <t>2016-1442</t>
  </si>
  <si>
    <t>FLORIDA GROUP UPSILON 169223 US BANK CUST FOR PFS FINANCIAL 1</t>
  </si>
  <si>
    <t>2015-1488</t>
  </si>
  <si>
    <t>PEAKCERTS 78 LLC</t>
  </si>
  <si>
    <t>2014-1566</t>
  </si>
  <si>
    <t>2013-1685</t>
  </si>
  <si>
    <t>2012-3162</t>
  </si>
  <si>
    <t>2011-2368</t>
  </si>
  <si>
    <t>13-2N-28-0000-0002-0080</t>
  </si>
  <si>
    <t>AMELIA ISLAND</t>
  </si>
  <si>
    <t>AMELIA ISLAND PKWY</t>
  </si>
  <si>
    <t>CLARINET I LLC</t>
  </si>
  <si>
    <t>13-02N-28E</t>
  </si>
  <si>
    <t>OPEN SPACE &amp; PT ABANDONED SANCHEZ RD RESOLUTION PER OR 106/668</t>
  </si>
  <si>
    <t>12089C_183</t>
  </si>
  <si>
    <t>2017-1409</t>
  </si>
  <si>
    <t>2016-1443</t>
  </si>
  <si>
    <t>2015-1491</t>
  </si>
  <si>
    <t>WILLIAM E SYKES</t>
  </si>
  <si>
    <t>2014-1572</t>
  </si>
  <si>
    <t>2013-1691</t>
  </si>
  <si>
    <t>2012-1185</t>
  </si>
  <si>
    <t>JOHN THE BOLD LLC</t>
  </si>
  <si>
    <t>TIMAR BRYAN</t>
  </si>
  <si>
    <t>2011-2377</t>
  </si>
  <si>
    <t>14-2N-28-0000-0005-0000</t>
  </si>
  <si>
    <t>FIRST COAST</t>
  </si>
  <si>
    <t>5162 FIRST COAST HWY</t>
  </si>
  <si>
    <t>HOLLIDAY JOHN F</t>
  </si>
  <si>
    <t>14-02N-28E</t>
  </si>
  <si>
    <t>IN OR 1654/1419</t>
  </si>
  <si>
    <t>2017-1410</t>
  </si>
  <si>
    <t>RAMBLING DRIVE 508 RENTING REO LLC</t>
  </si>
  <si>
    <t>2016-1444</t>
  </si>
  <si>
    <t>TOWER LIEN LLC SER 20353</t>
  </si>
  <si>
    <t>2015-1492</t>
  </si>
  <si>
    <t>C21550</t>
  </si>
  <si>
    <t>2014-1574</t>
  </si>
  <si>
    <t>2013-1693</t>
  </si>
  <si>
    <t>14-2N-28-0000-0007-0000</t>
  </si>
  <si>
    <t>STEWART</t>
  </si>
  <si>
    <t>STEWART AV</t>
  </si>
  <si>
    <t>FOSTER MARY</t>
  </si>
  <si>
    <t>FOSTER PAMELIA</t>
  </si>
  <si>
    <t>816 VERNON ST</t>
  </si>
  <si>
    <t>LOT 3 IN OR 123/111 WILLIE B WILLIAMS SUB OR 77/122</t>
  </si>
  <si>
    <t>2017-1411</t>
  </si>
  <si>
    <t>2016-1445</t>
  </si>
  <si>
    <t>2015-1493</t>
  </si>
  <si>
    <t>2014-1575</t>
  </si>
  <si>
    <t>2013-1694</t>
  </si>
  <si>
    <t>2012-1210</t>
  </si>
  <si>
    <t>14-2N-28-0000-0007-0050</t>
  </si>
  <si>
    <t>1510 STEWART AVE</t>
  </si>
  <si>
    <t>EMORY EUGENE K</t>
  </si>
  <si>
    <t>5576 GREGG ST</t>
  </si>
  <si>
    <t>PT GOVT LOT 2 OF SEC 14-2N-28E IN OR 1097/333</t>
  </si>
  <si>
    <t>2017-1412</t>
  </si>
  <si>
    <t>ASHTON WOODS 359 FINANCIAL SERVICES LLC</t>
  </si>
  <si>
    <t>2016-1446</t>
  </si>
  <si>
    <t>SETPER LLC O143129 SERIES</t>
  </si>
  <si>
    <t>2015-1494</t>
  </si>
  <si>
    <t>2014-1576</t>
  </si>
  <si>
    <t>2013-1695</t>
  </si>
  <si>
    <t>2012-1211</t>
  </si>
  <si>
    <t>14-2N-28-0000-0007-0110</t>
  </si>
  <si>
    <t>1428 STEWART AVE</t>
  </si>
  <si>
    <t>PT GOVT LOT 2 OF SEC 14-2N-28E IN OR 1092/215</t>
  </si>
  <si>
    <t>2017-1414</t>
  </si>
  <si>
    <t>2016-1448</t>
  </si>
  <si>
    <t>2015-1496</t>
  </si>
  <si>
    <t>2014-1579</t>
  </si>
  <si>
    <t>2012-1213</t>
  </si>
  <si>
    <t>14-2N-28-0000-0007-0170</t>
  </si>
  <si>
    <t>TINER JAMES P</t>
  </si>
  <si>
    <t>1448 IAN DR</t>
  </si>
  <si>
    <t>LOT 9 IN OR 1791/1341 WILLIE B WILLIAMS SUB OR 77/122</t>
  </si>
  <si>
    <t>2017-1415</t>
  </si>
  <si>
    <t>2016-1450</t>
  </si>
  <si>
    <t>BENNU LLC YS29N697J</t>
  </si>
  <si>
    <t>2014-1581</t>
  </si>
  <si>
    <t>2011-2384</t>
  </si>
  <si>
    <t>14-2N-28-0000-0007-0190</t>
  </si>
  <si>
    <t>1618 STEWART AVE</t>
  </si>
  <si>
    <t>1436 IAN DR</t>
  </si>
  <si>
    <t>LOT 8 IN OR 1977/1161 WILLIE B WILLIAMS SUB OR 77/122</t>
  </si>
  <si>
    <t>2017-1416</t>
  </si>
  <si>
    <t>2016-1451</t>
  </si>
  <si>
    <t>14-2N-28-0000-0008-0000</t>
  </si>
  <si>
    <t>PT GOVT LOT 2 OF SEC 14-2N-28E IN OR 1079/39 BEING ONLY WLY 75 FT LYING N OF LANDS PLATTED</t>
  </si>
  <si>
    <t>2017-1417</t>
  </si>
  <si>
    <t>2016-1452</t>
  </si>
  <si>
    <t>2015-1499</t>
  </si>
  <si>
    <t>24-2N-28-0000-0002-0020</t>
  </si>
  <si>
    <t>BLACKROCK</t>
  </si>
  <si>
    <t>96142 BLACKROCK RD</t>
  </si>
  <si>
    <t>HUGHES WILLIAM S</t>
  </si>
  <si>
    <t>445 WEBS RD</t>
  </si>
  <si>
    <t>KINGSTREE SC</t>
  </si>
  <si>
    <t>24-02N-28E</t>
  </si>
  <si>
    <t>IN OR 1703/701 CASE #10-CP-185</t>
  </si>
  <si>
    <t>24-2N-28-0000-0005-0000</t>
  </si>
  <si>
    <t>PRINCE DR OFF</t>
  </si>
  <si>
    <t>A1A</t>
  </si>
  <si>
    <t>PRINCE DR OFF A1A</t>
  </si>
  <si>
    <t>ALDERMAN ANTHONY</t>
  </si>
  <si>
    <t>HOLZENDORF MAMIE LOU</t>
  </si>
  <si>
    <t>96157 NORTH PRINCE DR</t>
  </si>
  <si>
    <t>IN OR 1737/890 R497752</t>
  </si>
  <si>
    <t>12089C_261151</t>
  </si>
  <si>
    <t>12089C_LOMC2</t>
  </si>
  <si>
    <t>2017-1419</t>
  </si>
  <si>
    <t>2016-1454</t>
  </si>
  <si>
    <t>2015-1503</t>
  </si>
  <si>
    <t>2014-1585</t>
  </si>
  <si>
    <t>2013-1703</t>
  </si>
  <si>
    <t>2012-1607</t>
  </si>
  <si>
    <t>24-2N-28-0000-0006-0000</t>
  </si>
  <si>
    <t>PRINCE</t>
  </si>
  <si>
    <t>69 PRINCE DR</t>
  </si>
  <si>
    <t>96157 N PRINCE DR</t>
  </si>
  <si>
    <t>PT GOVT LOT 3 OF SEC 24-2N-28E IN OR 1723/549</t>
  </si>
  <si>
    <t>12089C_89</t>
  </si>
  <si>
    <t>2017-1420</t>
  </si>
  <si>
    <t>MEDOK 3720 LLC</t>
  </si>
  <si>
    <t>2016-1456</t>
  </si>
  <si>
    <t>OGJ - 250567 - HAVERHILL ENTITY US BANK CUST FOR PFS FINANCIAL 2 LLC</t>
  </si>
  <si>
    <t>2015-1505</t>
  </si>
  <si>
    <t>DUNE VENTURES64716</t>
  </si>
  <si>
    <t>2014-2584</t>
  </si>
  <si>
    <t>2013-2860</t>
  </si>
  <si>
    <t>24-2N-28-0000-0007-0000</t>
  </si>
  <si>
    <t>PRINCE DR</t>
  </si>
  <si>
    <t>ALBERTIE DOLPHUS SR</t>
  </si>
  <si>
    <t>8309 DALESFORD RD</t>
  </si>
  <si>
    <t>PARKVILLE MD</t>
  </si>
  <si>
    <t>PT GOVT LOT 3 OF SEC 24-2N-28E IN OR 680/448</t>
  </si>
  <si>
    <t>2017-1421</t>
  </si>
  <si>
    <t>2016-1457</t>
  </si>
  <si>
    <t>2015-1506</t>
  </si>
  <si>
    <t>2014-1587</t>
  </si>
  <si>
    <t>2013-1705</t>
  </si>
  <si>
    <t>2012-1609</t>
  </si>
  <si>
    <t>2011-2392</t>
  </si>
  <si>
    <t>24-2N-28-0000-0007-0010</t>
  </si>
  <si>
    <t>96101 NORTH PRINCE DR</t>
  </si>
  <si>
    <t>ALBERTIE THELMA W</t>
  </si>
  <si>
    <t>2040 SOUTEL DR</t>
  </si>
  <si>
    <t>PT GOVT LOT 3 OF SEC 24-2N-28E IN OR 670/846</t>
  </si>
  <si>
    <t>2017-1422</t>
  </si>
  <si>
    <t>GGH 55  GP 170306A</t>
  </si>
  <si>
    <t>2016-1458</t>
  </si>
  <si>
    <t>GRASSRIVER INV GREEN ACEB LLC</t>
  </si>
  <si>
    <t>2015-1507</t>
  </si>
  <si>
    <t>E9570</t>
  </si>
  <si>
    <t>2013-1706</t>
  </si>
  <si>
    <t>24-2N-28-0000-0011-0000</t>
  </si>
  <si>
    <t>96079 NORTH PRINCE DR</t>
  </si>
  <si>
    <t>BAKER SIDNEY</t>
  </si>
  <si>
    <t>BAKER ANGELA</t>
  </si>
  <si>
    <t>PT GOVT LOT 3 OF SEC 24-2N-28E IN OR 1032/45 (EX UTIL ESMT IN OR 863/1524)</t>
  </si>
  <si>
    <t>24-2N-28-0000-0017-0010</t>
  </si>
  <si>
    <t>464101 SR 200</t>
  </si>
  <si>
    <t>HOLZENDORF QUINN</t>
  </si>
  <si>
    <t>PT GOVT LOT 3 OF SEC 24-2N-28E IN OR 90/534 (EX DOT R/W IN OR 206/59)</t>
  </si>
  <si>
    <t>2017-1423</t>
  </si>
  <si>
    <t>SPOONBILL CERTS 995 LLC</t>
  </si>
  <si>
    <t>2016-1464</t>
  </si>
  <si>
    <t>TRIAD HOLDINGS86401</t>
  </si>
  <si>
    <t>2015-1511</t>
  </si>
  <si>
    <t>E232266</t>
  </si>
  <si>
    <t>2014-1593</t>
  </si>
  <si>
    <t>2013-1712</t>
  </si>
  <si>
    <t>24-2N-28-0000-0020-0000</t>
  </si>
  <si>
    <t>MT ZION</t>
  </si>
  <si>
    <t>LOOP</t>
  </si>
  <si>
    <t>96053 MT ZION LOOP</t>
  </si>
  <si>
    <t>SOLOMON CLAUDIA H</t>
  </si>
  <si>
    <t>OR 144/514 &amp; OR 244/314 &amp; OR 244/317 PARCELS 20 21 &amp; 22</t>
  </si>
  <si>
    <t>2017-1424</t>
  </si>
  <si>
    <t>KINGFISHER KEY TAX AFQS LLC</t>
  </si>
  <si>
    <t>2016-1465</t>
  </si>
  <si>
    <t>B91245</t>
  </si>
  <si>
    <t>2015-1512</t>
  </si>
  <si>
    <t>FLORIDA - BLOCK PHI 183076 US BANK CUST FOR PFS FINANCIAL 1</t>
  </si>
  <si>
    <t>2014-1594</t>
  </si>
  <si>
    <t>2013-1713</t>
  </si>
  <si>
    <t>2012-1614</t>
  </si>
  <si>
    <t>CHITWAN SUNGOR LLC SB MUNI CUST FOR</t>
  </si>
  <si>
    <t>2011-2398</t>
  </si>
  <si>
    <t>24-2N-28-0000-0037-0000</t>
  </si>
  <si>
    <t>WATSON FRANK</t>
  </si>
  <si>
    <t>PT GOVT LOT 3 PAR 37 IN DB 122/29 (EX R/W OR 199/540)</t>
  </si>
  <si>
    <t>2017-1425</t>
  </si>
  <si>
    <t>2016-1466</t>
  </si>
  <si>
    <t>2015-1515</t>
  </si>
  <si>
    <t>2013-1716</t>
  </si>
  <si>
    <t>2012-1617</t>
  </si>
  <si>
    <t>2011-2401</t>
  </si>
  <si>
    <t>24-2N-28-0000-0038-0050</t>
  </si>
  <si>
    <t>MT ZION AV</t>
  </si>
  <si>
    <t>GOLPHIN ESTELLA B</t>
  </si>
  <si>
    <t>3640 NW 3RD ST</t>
  </si>
  <si>
    <t>LAUDERHILL FL</t>
  </si>
  <si>
    <t>PT GOVT LOT 3 PAR 38-5 IN OR 1323/1768</t>
  </si>
  <si>
    <t>2017-1426</t>
  </si>
  <si>
    <t>2016-1467</t>
  </si>
  <si>
    <t>2015-1516</t>
  </si>
  <si>
    <t>2014-1595</t>
  </si>
  <si>
    <t>24-2N-28-4940-0005-0000</t>
  </si>
  <si>
    <t>ZION</t>
  </si>
  <si>
    <t>96025 ZION CT</t>
  </si>
  <si>
    <t>GILYARD ALLEAN D</t>
  </si>
  <si>
    <t>GILYARD TORRIE</t>
  </si>
  <si>
    <t>LOT 5 PT OR 1605/1768 G A PRINCE SURVEY OR 15/534</t>
  </si>
  <si>
    <t>24-2N-28-4940-0013-0000</t>
  </si>
  <si>
    <t>96466 MT ZION LOOP</t>
  </si>
  <si>
    <t>OSTEEN DEMPS JR</t>
  </si>
  <si>
    <t>OSTEEN MILDRED</t>
  </si>
  <si>
    <t>225 S 13TH ST</t>
  </si>
  <si>
    <t>LOT 13 PT OR 585/355 G A PRINCE SURVEY OR 15/534</t>
  </si>
  <si>
    <t>2017-1432</t>
  </si>
  <si>
    <t>2015-1519</t>
  </si>
  <si>
    <t>2014-1600</t>
  </si>
  <si>
    <t>2013-1720</t>
  </si>
  <si>
    <t>2012-1623</t>
  </si>
  <si>
    <t>2011-2440</t>
  </si>
  <si>
    <t>24-2N-28-4940-0014-0000</t>
  </si>
  <si>
    <t>ZION CIR</t>
  </si>
  <si>
    <t>GA PRINCE</t>
  </si>
  <si>
    <t>LOT 14 PT OR 585/355 GA PRINCE SURVEY OR 15/534</t>
  </si>
  <si>
    <t>2017-1433</t>
  </si>
  <si>
    <t>2015-1520</t>
  </si>
  <si>
    <t>2014-1601</t>
  </si>
  <si>
    <t>2013-1721</t>
  </si>
  <si>
    <t>2012-1624</t>
  </si>
  <si>
    <t>2011-2441</t>
  </si>
  <si>
    <t>24-2N-28-4940-0015-0000</t>
  </si>
  <si>
    <t>A1A ZION</t>
  </si>
  <si>
    <t>CRK</t>
  </si>
  <si>
    <t>A1A/ZION CR</t>
  </si>
  <si>
    <t>LOT 15 PT OR 585/355 EX R/W OR 207 PG 325</t>
  </si>
  <si>
    <t>2017-1434</t>
  </si>
  <si>
    <t>2015-1521</t>
  </si>
  <si>
    <t>2014-1602</t>
  </si>
  <si>
    <t>2013-1722</t>
  </si>
  <si>
    <t>2012-1625</t>
  </si>
  <si>
    <t>2011-2442</t>
  </si>
  <si>
    <t>24-2N-28-4940-0016-0000</t>
  </si>
  <si>
    <t>A1A/ ZION CR</t>
  </si>
  <si>
    <t>DEMPS JR OSTEAN</t>
  </si>
  <si>
    <t>LOT 16 PT OR 585/355 EX R/W OR 207 PG 325</t>
  </si>
  <si>
    <t>2017-1435</t>
  </si>
  <si>
    <t>2015-1522</t>
  </si>
  <si>
    <t>2014-1603</t>
  </si>
  <si>
    <t>2013-1723</t>
  </si>
  <si>
    <t>2012-1626</t>
  </si>
  <si>
    <t>2011-2443</t>
  </si>
  <si>
    <t>25-2N-28-0000-0001-0050</t>
  </si>
  <si>
    <t>BLACKROCK RD</t>
  </si>
  <si>
    <t>HARTLEY JAMES E</t>
  </si>
  <si>
    <t>9140 BON AIR DR</t>
  </si>
  <si>
    <t>25-02N-28E</t>
  </si>
  <si>
    <t>IN OR 1834/653 PARCELS 1-5 1-12 &amp; 1-13</t>
  </si>
  <si>
    <t>2017-1436</t>
  </si>
  <si>
    <t>HOSSET LLC O33952 SERIES</t>
  </si>
  <si>
    <t>25-2N-28-0000-0002-0030</t>
  </si>
  <si>
    <t>96063 BLACKROCK RD</t>
  </si>
  <si>
    <t>BRASWELL ENTERPRISES II INC</t>
  </si>
  <si>
    <t>BLACKROCK ESTATES</t>
  </si>
  <si>
    <t>IN OR 1254/1682 EX BLACKROCK ESTATES PB 5/57</t>
  </si>
  <si>
    <t>2017-1437</t>
  </si>
  <si>
    <t>2015-1523</t>
  </si>
  <si>
    <t>2013-1726</t>
  </si>
  <si>
    <t>2012-1649</t>
  </si>
  <si>
    <t>25-2N-28-0000-0002-0280</t>
  </si>
  <si>
    <t>PT OR 963/1580 &amp; PT 963/1590 EX 2-78 ESMT PT OR 1127/1783</t>
  </si>
  <si>
    <t>2017-1438</t>
  </si>
  <si>
    <t>2016-1470</t>
  </si>
  <si>
    <t>2015-1524</t>
  </si>
  <si>
    <t>2014-1604</t>
  </si>
  <si>
    <t>2013-1727</t>
  </si>
  <si>
    <t>2012-1650</t>
  </si>
  <si>
    <t>2011-2446</t>
  </si>
  <si>
    <t>25-2N-28-0000-0002-0400</t>
  </si>
  <si>
    <t>463949 SR 200</t>
  </si>
  <si>
    <t>HARRISON GEORGE WAYNE</t>
  </si>
  <si>
    <t>3000 N ATLANTIC AVE APT 14</t>
  </si>
  <si>
    <t>DAYTONA BEACH FL</t>
  </si>
  <si>
    <t>Restaurants cafeterias</t>
  </si>
  <si>
    <t>Restaurant</t>
  </si>
  <si>
    <t>IN OR 802 PG 783 RECIPROCAL ESMT PT OR 803/1773 ESMT OR 1457/909</t>
  </si>
  <si>
    <t>2017-1439</t>
  </si>
  <si>
    <t>TRIAD HOLDINGS277053</t>
  </si>
  <si>
    <t>2016-1471</t>
  </si>
  <si>
    <t>E16691</t>
  </si>
  <si>
    <t>2015-1525</t>
  </si>
  <si>
    <t>BISBEE LLC AK8E8DA</t>
  </si>
  <si>
    <t>2014-1605</t>
  </si>
  <si>
    <t>2013-1728</t>
  </si>
  <si>
    <t>2012-1651</t>
  </si>
  <si>
    <t>BABERUTH2 LLC</t>
  </si>
  <si>
    <t>25-2N-28-0000-0002-0720</t>
  </si>
  <si>
    <t>2017-1441</t>
  </si>
  <si>
    <t>2015-1526</t>
  </si>
  <si>
    <t>2014-1607</t>
  </si>
  <si>
    <t>2013-1730</t>
  </si>
  <si>
    <t>2012-1653</t>
  </si>
  <si>
    <t>2011-2448</t>
  </si>
  <si>
    <t>25-2N-28-0000-0002-0730</t>
  </si>
  <si>
    <t>PT OR 971/1311 &amp; PT 963/1593 ESMT PT OR 1127/1783 EX ESMT PT OR 1449/848</t>
  </si>
  <si>
    <t>2017-1442</t>
  </si>
  <si>
    <t>2015-1527</t>
  </si>
  <si>
    <t>2014-1608</t>
  </si>
  <si>
    <t>2013-1731</t>
  </si>
  <si>
    <t>2012-1654</t>
  </si>
  <si>
    <t>2011-2449</t>
  </si>
  <si>
    <t>25-2N-28-027C-0808-0000</t>
  </si>
  <si>
    <t>STONEY CREEK</t>
  </si>
  <si>
    <t>96062 STONEY CREEK PKWY</t>
  </si>
  <si>
    <t>CAMPO RICHARD</t>
  </si>
  <si>
    <t>CAMPO ANGELA</t>
  </si>
  <si>
    <t>9202 STONEY MOUNTAIN DR</t>
  </si>
  <si>
    <t>CHATTANOOGA TN</t>
  </si>
  <si>
    <t>Condominiums</t>
  </si>
  <si>
    <t>Condominium (Residential)</t>
  </si>
  <si>
    <t>COTTAGES AT STONEY CREEK</t>
  </si>
  <si>
    <t>UNIT 808 IN OR 1697/809 THE COTTAGES AT STONEY CREEK</t>
  </si>
  <si>
    <t>2016-1473</t>
  </si>
  <si>
    <t>BISBEE LLC AK1B43D2</t>
  </si>
  <si>
    <t>2015-1528</t>
  </si>
  <si>
    <t>BENNU LLC LY7CQCAR</t>
  </si>
  <si>
    <t>2014-1609</t>
  </si>
  <si>
    <t>2011-2450</t>
  </si>
  <si>
    <t>25-2N-28-027C-1101-0000</t>
  </si>
  <si>
    <t>COTTAGE</t>
  </si>
  <si>
    <t>96041 COTTAGE CT</t>
  </si>
  <si>
    <t>DEAVER RAYMON T</t>
  </si>
  <si>
    <t>2365 LAKE AVE</t>
  </si>
  <si>
    <t>THORNTON CO</t>
  </si>
  <si>
    <t>UNIT 1101 IN OR 2011/1809 THE COTTAGES AT STONEY CREEK</t>
  </si>
  <si>
    <t>2017-1445</t>
  </si>
  <si>
    <t>E3690</t>
  </si>
  <si>
    <t>2016-1474</t>
  </si>
  <si>
    <t>LAKEVIEW TAX MANAGEMENT LLC SERIES8864</t>
  </si>
  <si>
    <t>2015-1529</t>
  </si>
  <si>
    <t>BISBEE LLC PI2D626CK3</t>
  </si>
  <si>
    <t>25-2N-28-027C-1307-0000</t>
  </si>
  <si>
    <t>96013 COTTAGE CT</t>
  </si>
  <si>
    <t>UNIT 1307 IN OR 2011/1809 THE COTTAGES AT STONEY CREEK</t>
  </si>
  <si>
    <t>2017-1446</t>
  </si>
  <si>
    <t>BISBEE LLC HE88D9E</t>
  </si>
  <si>
    <t>2015-1530</t>
  </si>
  <si>
    <t>HATIMOOK INVESTMENTS 783 LLC</t>
  </si>
  <si>
    <t>25-2N-28-027C-1404-0000</t>
  </si>
  <si>
    <t>96022 COTTAGE CT</t>
  </si>
  <si>
    <t>LATZA SABINE DOROTHEE</t>
  </si>
  <si>
    <t>2402 S WINONA CT</t>
  </si>
  <si>
    <t>DENVER CO</t>
  </si>
  <si>
    <t>UNIT 1404 IN OR 1729/925 THE COTTAGES AT STONEY CREEK</t>
  </si>
  <si>
    <t>25-2N-28-027C-2607-0000</t>
  </si>
  <si>
    <t>STONEY</t>
  </si>
  <si>
    <t>96094 STONEY DR</t>
  </si>
  <si>
    <t>UNIT 2607 IN OR 2011/1809 THE COTTAGES AT STONEY CREEK</t>
  </si>
  <si>
    <t>2017-1450</t>
  </si>
  <si>
    <t>HOSSET LLC O11863 SERIES</t>
  </si>
  <si>
    <t>2016-1476</t>
  </si>
  <si>
    <t>B161874</t>
  </si>
  <si>
    <t>2015-1531</t>
  </si>
  <si>
    <t>F121642</t>
  </si>
  <si>
    <t>2014-1611</t>
  </si>
  <si>
    <t>25-2N-28-027C-2702-0000</t>
  </si>
  <si>
    <t>96138 STONEY DR</t>
  </si>
  <si>
    <t>UNIT 2702 IN OR 1710/1261 THE COTTAGES AT STONEY CREEK</t>
  </si>
  <si>
    <t>2017-1451</t>
  </si>
  <si>
    <t>AFFILIATED TAX CO LLC -  840</t>
  </si>
  <si>
    <t>2016-1477</t>
  </si>
  <si>
    <t>GTF 1-18104</t>
  </si>
  <si>
    <t>2015-1532</t>
  </si>
  <si>
    <t>CAPRI FINANCIAL LLC SERIES A002682</t>
  </si>
  <si>
    <t>2014-1612</t>
  </si>
  <si>
    <t>25-2N-28-0551-0067-0000</t>
  </si>
  <si>
    <t>SUNNY PARKE</t>
  </si>
  <si>
    <t>33119 SUNNY PARKE CIR</t>
  </si>
  <si>
    <t>ROSS WILLIAM L</t>
  </si>
  <si>
    <t>FLORA PARKE</t>
  </si>
  <si>
    <t>LOT 67 IN OR 2018/204 FLORA PARKE #3 PB 6/402</t>
  </si>
  <si>
    <t>26-2N-28-006A-0068-0000</t>
  </si>
  <si>
    <t>BUCKEYE</t>
  </si>
  <si>
    <t>95092 BUCKEYE CT</t>
  </si>
  <si>
    <t>RIVERSIDED HOMES OF NORTH</t>
  </si>
  <si>
    <t>12276 SAN JOSE BLVD STE 120</t>
  </si>
  <si>
    <t>AMELIA NATIONAL</t>
  </si>
  <si>
    <t>26-02N-28E</t>
  </si>
  <si>
    <t>LOT 68 IN OR 2003/1820 AMELIA NATIONAL #1 PB 7/48</t>
  </si>
  <si>
    <t>Amelia National Community Development District</t>
  </si>
  <si>
    <t>WATCH LIST</t>
  </si>
  <si>
    <t>26-2N-28-006A-0127-0000</t>
  </si>
  <si>
    <t>BERMUDA</t>
  </si>
  <si>
    <t>95034 BERMUDA DR</t>
  </si>
  <si>
    <t>LOT 127 IN OR 2003/1820 AMELIA NATIONAL #1 PB 7/48</t>
  </si>
  <si>
    <t>26-2N-28-006A-0145-0000</t>
  </si>
  <si>
    <t>SUNFLOWER</t>
  </si>
  <si>
    <t>95012 SUNFLOWER CT</t>
  </si>
  <si>
    <t>GOWER JAMES N</t>
  </si>
  <si>
    <t>GOWER VALENCIA D</t>
  </si>
  <si>
    <t>LOT 145 IN OR 1855/208 AMELIA NATIONAL #1 PB 7/48</t>
  </si>
  <si>
    <t>2017-1454</t>
  </si>
  <si>
    <t>JUZIQ 22851 LLC</t>
  </si>
  <si>
    <t>2016-1481</t>
  </si>
  <si>
    <t>RMS - 254100 - HILLIARD EAST US BANK CUST FOR PFS FINANCIAL 2 LLC</t>
  </si>
  <si>
    <t>2015-1535</t>
  </si>
  <si>
    <t>CCTS FL 38665 US BANK CUST FOR PFS FINANCIAL 2 LLC</t>
  </si>
  <si>
    <t>2014-1617</t>
  </si>
  <si>
    <t>26-2N-28-006A-0223-0000</t>
  </si>
  <si>
    <t>SUGARBERRY</t>
  </si>
  <si>
    <t>95048 SUGARBERRY CT</t>
  </si>
  <si>
    <t>HEIDER JEANETTE D</t>
  </si>
  <si>
    <t>604 OCEAN CLUB CT</t>
  </si>
  <si>
    <t>LOT 223 IN OR 1600/216 AMELIA NATIONAL #1B PB 7/191</t>
  </si>
  <si>
    <t>26-2N-28-006A-0262-0000</t>
  </si>
  <si>
    <t>KESTREL</t>
  </si>
  <si>
    <t>95040 KESTREL CT</t>
  </si>
  <si>
    <t>WEEKLEY HOMES LP</t>
  </si>
  <si>
    <t>1111 N POST OAK RD</t>
  </si>
  <si>
    <t>HOUSTON TX</t>
  </si>
  <si>
    <t>LOT 262 PT OR 1421/1082 AMELIA NATIONAL #1B PB 7/191</t>
  </si>
  <si>
    <t>26-2N-28-168P-0003-0000</t>
  </si>
  <si>
    <t>HEMLOCK</t>
  </si>
  <si>
    <t>94006 HEMLOCK CT</t>
  </si>
  <si>
    <t>ADVANTAGE HOME BUILDERS INC</t>
  </si>
  <si>
    <t>305 KINGSLEY LAKE DR STE 704</t>
  </si>
  <si>
    <t>24-03N-28E</t>
  </si>
  <si>
    <t>LOT 3 IN OR 1976/675 DECL COV &amp; RESTR OR 1458/887</t>
  </si>
  <si>
    <t>2017-1457</t>
  </si>
  <si>
    <t>SETPER LLC O89156 SERIES</t>
  </si>
  <si>
    <t>2016-1485</t>
  </si>
  <si>
    <t>26-2N-28-168P-0004-0000</t>
  </si>
  <si>
    <t>94008 HEMLOCK CT</t>
  </si>
  <si>
    <t>LOT 4 IN OR 1976/675 DECL COV &amp; RESTR OR 1458/887</t>
  </si>
  <si>
    <t>2017-1458</t>
  </si>
  <si>
    <t>2016-1486</t>
  </si>
  <si>
    <t>26-2N-28-168P-0005-0000</t>
  </si>
  <si>
    <t>94010 HEMLOCK CT</t>
  </si>
  <si>
    <t>LOT 5 IN OR 1976/675 DECL COV &amp; RESTR OR 1458/887</t>
  </si>
  <si>
    <t>2017-1459</t>
  </si>
  <si>
    <t>2016-1487</t>
  </si>
  <si>
    <t>26-2N-28-168P-0006-0000</t>
  </si>
  <si>
    <t>94012 HEMLOCK CT</t>
  </si>
  <si>
    <t>LOT 6 IN OR 1976/675 DECL COV &amp; RESTR OR 1458/887</t>
  </si>
  <si>
    <t>2017-1460</t>
  </si>
  <si>
    <t>2016-1488</t>
  </si>
  <si>
    <t>26-2N-28-168P-0007-0000</t>
  </si>
  <si>
    <t>94014 HEMLOCK CT</t>
  </si>
  <si>
    <t>LOT 7 IN OR 1976/675 DECL COV &amp; RESTR OR 1458/887</t>
  </si>
  <si>
    <t>2017-1461</t>
  </si>
  <si>
    <t>2016-1489</t>
  </si>
  <si>
    <t>26-2N-28-168P-0008-0000</t>
  </si>
  <si>
    <t>94016 HEMLOCK CT</t>
  </si>
  <si>
    <t>LOT 8 IN OR 1976/675 DECL COV &amp; RESTR OR 1458/887</t>
  </si>
  <si>
    <t>2017-1462</t>
  </si>
  <si>
    <t>2016-1490</t>
  </si>
  <si>
    <t>26-2N-28-168P-0011-0000</t>
  </si>
  <si>
    <t>94022 HEMLOCK CT</t>
  </si>
  <si>
    <t>LOT 11 IN OR 1976/675 DECL COV &amp; RESTR OR 1458/887</t>
  </si>
  <si>
    <t>2017-1465</t>
  </si>
  <si>
    <t>2016-1493</t>
  </si>
  <si>
    <t>BENNU LLC LY25Q469R</t>
  </si>
  <si>
    <t>26-2N-28-168P-0012-0000</t>
  </si>
  <si>
    <t>94024 HEMLOCK CT</t>
  </si>
  <si>
    <t>LOT 12 IN OR 1976/675 DECL COV &amp; RESTR OR 1458/887</t>
  </si>
  <si>
    <t>2017-1466</t>
  </si>
  <si>
    <t>2016-1494</t>
  </si>
  <si>
    <t>TOWER FLORIDA LLC - SERIES 175 A61</t>
  </si>
  <si>
    <t>26-2N-28-168P-0013-0000</t>
  </si>
  <si>
    <t>94028 HEMLOCK CT</t>
  </si>
  <si>
    <t>LOT 13 IN OR 1976/675 DECL COV &amp; RESTR OR 1458/887</t>
  </si>
  <si>
    <t>2017-1467</t>
  </si>
  <si>
    <t>2016-1495</t>
  </si>
  <si>
    <t>26-2N-28-168P-0014-0000</t>
  </si>
  <si>
    <t>94030 HEMLOCK CT</t>
  </si>
  <si>
    <t>LOT 14 IN OR 1976/675 DECL COV &amp; RESTR OR 1458/887</t>
  </si>
  <si>
    <t>2017-1468</t>
  </si>
  <si>
    <t>2016-1496</t>
  </si>
  <si>
    <t>27-2N-28-0000-0004-0000</t>
  </si>
  <si>
    <t>OLD NASSAUVILLE</t>
  </si>
  <si>
    <t>942699 OLD NASSAUVILLE RD</t>
  </si>
  <si>
    <t>27-02N-28E</t>
  </si>
  <si>
    <t>IN OR 710 PG 160 EX R/W IN OR 674/1035 EX 4-1</t>
  </si>
  <si>
    <t>2017-1469</t>
  </si>
  <si>
    <t>GALILEE CAPITAL LLC SERIES A004157</t>
  </si>
  <si>
    <t>2015-1536</t>
  </si>
  <si>
    <t>SPOONBILL CERTS 254 LLC</t>
  </si>
  <si>
    <t>2013-1741</t>
  </si>
  <si>
    <t>2012-1696</t>
  </si>
  <si>
    <t>NAWS11 LLC</t>
  </si>
  <si>
    <t>2011-2462</t>
  </si>
  <si>
    <t>27-2N-28-004L-0G22-0000</t>
  </si>
  <si>
    <t>PARADISE COMMONS</t>
  </si>
  <si>
    <t>AMELIA INVEST LLC</t>
  </si>
  <si>
    <t>201 E MCBEE AVE STE 202</t>
  </si>
  <si>
    <t>GREENVILLE SC</t>
  </si>
  <si>
    <t>G-22</t>
  </si>
  <si>
    <t>CONDO</t>
  </si>
  <si>
    <t>GARAGE UNIT G-22 AMELIA LAKES @ FDNA BEACH CONDO OR 1344/1628</t>
  </si>
  <si>
    <t>2014-1626</t>
  </si>
  <si>
    <t>2012-1721</t>
  </si>
  <si>
    <t>2011-2482</t>
  </si>
  <si>
    <t>27-2N-28-004L-0G30-0000</t>
  </si>
  <si>
    <t>G-30</t>
  </si>
  <si>
    <t>GARAGE UNIT G-30 AMELIA LAKES @ FDNA BEACH CONDO OR 1344/1628</t>
  </si>
  <si>
    <t>2017-1472</t>
  </si>
  <si>
    <t>2012-1728</t>
  </si>
  <si>
    <t>2011-2489</t>
  </si>
  <si>
    <t>27-2N-28-004L-1222-0000</t>
  </si>
  <si>
    <t>BAHAMA</t>
  </si>
  <si>
    <t>PT</t>
  </si>
  <si>
    <t>23671 BAHAMA PT 1222</t>
  </si>
  <si>
    <t>ANDREWS WALTER F</t>
  </si>
  <si>
    <t>ANDREWS VIRGINIA J</t>
  </si>
  <si>
    <t>95366 ARBOR LN</t>
  </si>
  <si>
    <t>AMELIA LAKES @ FDNA BEACH</t>
  </si>
  <si>
    <t>UNIT 1222 IN OR 1382/220 AMELIA LAKES @ FDNA BEACH</t>
  </si>
  <si>
    <t>2017-1473</t>
  </si>
  <si>
    <t>PELICAN PASS TAX AEFA LLC</t>
  </si>
  <si>
    <t>2015-1543</t>
  </si>
  <si>
    <t>TANGERINE DELPHIS XJUI LLC</t>
  </si>
  <si>
    <t>2014-1633</t>
  </si>
  <si>
    <t>2013-1749</t>
  </si>
  <si>
    <t>2012-1729</t>
  </si>
  <si>
    <t>ASCOT CAPITAL LLC - 43 US BANK % ASCOT CAPITAL LLC-43</t>
  </si>
  <si>
    <t>27-2N-28-004L-1524-0000</t>
  </si>
  <si>
    <t>23583 BAHAMA PT 1524</t>
  </si>
  <si>
    <t>LINDSAY DEBORAH L</t>
  </si>
  <si>
    <t>24 WATER ST</t>
  </si>
  <si>
    <t>LUBEC ME</t>
  </si>
  <si>
    <t>UNIT 1524 IN OR 1736/1686 AMELIA LAKES @ FDNA BEACH</t>
  </si>
  <si>
    <t>2017-1474</t>
  </si>
  <si>
    <t>BISBEE LLC M10264AR</t>
  </si>
  <si>
    <t>27-2N-28-014A-0006-0000</t>
  </si>
  <si>
    <t>ARRIGO</t>
  </si>
  <si>
    <t>23722 ARRIGO BLVD</t>
  </si>
  <si>
    <t>SOWELL NOLAN C</t>
  </si>
  <si>
    <t>ERICKSON KATHY L</t>
  </si>
  <si>
    <t>LOT 6 IN OR 1765/803 BEACHWAY @ NASSAU LAKE 1-A</t>
  </si>
  <si>
    <t>2016-1501</t>
  </si>
  <si>
    <t>EGARA 1305 LLC</t>
  </si>
  <si>
    <t>2015-1545</t>
  </si>
  <si>
    <t>KEYS FUNDING LLC - 10430 A27</t>
  </si>
  <si>
    <t>2014-1634</t>
  </si>
  <si>
    <t>27-2N-28-014A-000A-0000</t>
  </si>
  <si>
    <t>ARRIGO BLVD</t>
  </si>
  <si>
    <t>W R HOWELL COMPANY</t>
  </si>
  <si>
    <t>4545 ORTEGA BLVD</t>
  </si>
  <si>
    <t>FOR INFO ONLY COMMON ELEMENT PROPERTY HB1721 TRACT A</t>
  </si>
  <si>
    <t>2016-1502</t>
  </si>
  <si>
    <t>2015-1546</t>
  </si>
  <si>
    <t>27-2N-28-014A-000B-0000</t>
  </si>
  <si>
    <t>ARRIGO BV</t>
  </si>
  <si>
    <t>FOR INFO ONLY COMMON ELEMENT PROPERTY HB1721 TRACT B</t>
  </si>
  <si>
    <t>2016-1503</t>
  </si>
  <si>
    <t>2015-1547</t>
  </si>
  <si>
    <t>27-2N-28-141A-0004-0010</t>
  </si>
  <si>
    <t>PARLIAMENT</t>
  </si>
  <si>
    <t>96029 PARLIAMENT DR</t>
  </si>
  <si>
    <t>CARTRETTE GARY</t>
  </si>
  <si>
    <t>CARTRETTE JENNIFER L</t>
  </si>
  <si>
    <t>STAND ALONE SECOND</t>
  </si>
  <si>
    <t>NASSAU LAKES</t>
  </si>
  <si>
    <t>BLOCK 4 LOT 1 IN OR 1309/1560 &amp; OR 1424/1650 NASSAU LAKES PB 5/70</t>
  </si>
  <si>
    <t>2011-2494</t>
  </si>
  <si>
    <t>28-2N-28-0000-0002-0000</t>
  </si>
  <si>
    <t>RANCH</t>
  </si>
  <si>
    <t>95139 RANCH WAY</t>
  </si>
  <si>
    <t>HEAPE BARBARA L</t>
  </si>
  <si>
    <t>28-02N-28E</t>
  </si>
  <si>
    <t>PT FRAC SEC 28-2N-28E PT OR 696/574 ESMT PT OR 518/810</t>
  </si>
  <si>
    <t>2017-1476</t>
  </si>
  <si>
    <t>POZUF 5864 LLC</t>
  </si>
  <si>
    <t>2016-1505</t>
  </si>
  <si>
    <t>KETICHAK INVESTS 699 LLC</t>
  </si>
  <si>
    <t>29-2N-28-0000-0002-0040</t>
  </si>
  <si>
    <t>D R HORTON INC-JACKSONVILLE</t>
  </si>
  <si>
    <t>4220 RACE TRACK RD # 100</t>
  </si>
  <si>
    <t>SAINT JOHNS FL</t>
  </si>
  <si>
    <t>29-02N-28E</t>
  </si>
  <si>
    <t>PT SEC 30-2N-28E PT OR 2010/1594 BEING PARCEL B</t>
  </si>
  <si>
    <t>29-2N-28-4950-0020-0000</t>
  </si>
  <si>
    <t>MARC ANTHONY</t>
  </si>
  <si>
    <t>95199 MARC ANTHONY RD</t>
  </si>
  <si>
    <t>BOONE DANIEL</t>
  </si>
  <si>
    <t>BOONE SHIRLEY ANN</t>
  </si>
  <si>
    <t>LOTS 20 &amp; 21 IN OR 703 PG 1353 R788167 &amp; R788168</t>
  </si>
  <si>
    <t>2017-1492</t>
  </si>
  <si>
    <t>GOUVEA TERR 655 FINANCIAL SERVICES LLC</t>
  </si>
  <si>
    <t>2016-1507</t>
  </si>
  <si>
    <t>LUNAR PRIME175967</t>
  </si>
  <si>
    <t>2015-1552</t>
  </si>
  <si>
    <t>F192918</t>
  </si>
  <si>
    <t>2014-1640</t>
  </si>
  <si>
    <t>2012-1809</t>
  </si>
  <si>
    <t>30-2N-28-0150-0095-0000</t>
  </si>
  <si>
    <t>AMARYLLIS</t>
  </si>
  <si>
    <t>85352 AMARYLLIS CT</t>
  </si>
  <si>
    <t>WOODS MARTY W</t>
  </si>
  <si>
    <t>WOODS KERRY E</t>
  </si>
  <si>
    <t>30-02N-28E</t>
  </si>
  <si>
    <t>LOT 95 IN OR 1897/187 AMELIA CONCOURSE SUB #1</t>
  </si>
  <si>
    <t>Amelia Concourse Community Development District</t>
  </si>
  <si>
    <t>31-2N-28-0000-0003-0090</t>
  </si>
  <si>
    <t>CATALINA</t>
  </si>
  <si>
    <t>95274 CATALINA DR</t>
  </si>
  <si>
    <t>WORTMAN VICKIE</t>
  </si>
  <si>
    <t>31-02N-28E</t>
  </si>
  <si>
    <t>IN OR 1583/1318 2000 FLEE DW/MH 1986 ARLI DW/MH</t>
  </si>
  <si>
    <t>2017-1495</t>
  </si>
  <si>
    <t>BENNU LLC YS1CN1F2J</t>
  </si>
  <si>
    <t>2016-1509</t>
  </si>
  <si>
    <t>VINMAS HOLDINGS, LLC VINMAS HOLDINGS, LLC</t>
  </si>
  <si>
    <t>2014-1642</t>
  </si>
  <si>
    <t>31-2N-28-0000-0003-0170</t>
  </si>
  <si>
    <t>KAREN WALK</t>
  </si>
  <si>
    <t>95323 KAREN WALK</t>
  </si>
  <si>
    <t>COLLINS MARYANN</t>
  </si>
  <si>
    <t>COLLINS GEORGE E</t>
  </si>
  <si>
    <t>PO BOX 1762</t>
  </si>
  <si>
    <t>PT OF SW1/4 OF SW1/4 IN OR 1602/1264 1997 OAKK DW/MH</t>
  </si>
  <si>
    <t>31-2N-28-0235-0004-0000</t>
  </si>
  <si>
    <t>BARBARAS</t>
  </si>
  <si>
    <t>95232 BARBARAS PL</t>
  </si>
  <si>
    <t>DEJESUS LUIS</t>
  </si>
  <si>
    <t>DEJESUS LINDA</t>
  </si>
  <si>
    <t>CEDAR RIDGE</t>
  </si>
  <si>
    <t>LOT 4 R673359 &amp; R673360 IN OR 842/1332 CEDAR RIDGE #1 PB 6/95</t>
  </si>
  <si>
    <t>2017-1497</t>
  </si>
  <si>
    <t>ANDREWS VALLEY 387 REO LLC</t>
  </si>
  <si>
    <t>2016-1511</t>
  </si>
  <si>
    <t>CCTS FLOR ALPHA BLOCK 110909 US BANK CUST FOR PFS FINANCIAL 2 LLC</t>
  </si>
  <si>
    <t>2015-1559</t>
  </si>
  <si>
    <t>EVERETT UNLIMITED65057</t>
  </si>
  <si>
    <t>2014-1646</t>
  </si>
  <si>
    <t>2013-1763</t>
  </si>
  <si>
    <t>2012-1853</t>
  </si>
  <si>
    <t>2011-2509</t>
  </si>
  <si>
    <t>31-2N-28-0235-0005-0000</t>
  </si>
  <si>
    <t>95260 BARBARAS PL</t>
  </si>
  <si>
    <t>HAYS ANN M</t>
  </si>
  <si>
    <t>LOT 5 &amp; PT GOVT LOT 2 OF SEC 35-2N-28E IN OR 1740/1277 CEDAR RIDGE #1 PBK 6/95</t>
  </si>
  <si>
    <t>2014-1647</t>
  </si>
  <si>
    <t>2013-1764</t>
  </si>
  <si>
    <t>2012-1854</t>
  </si>
  <si>
    <t>31-2N-28-0235-0012-0000</t>
  </si>
  <si>
    <t>95466 BARBARAS PL</t>
  </si>
  <si>
    <t>SANDERS LUANN L</t>
  </si>
  <si>
    <t>LOT 12 IN OR 1365/999 R673080 &amp; R673081</t>
  </si>
  <si>
    <t>2016-1512</t>
  </si>
  <si>
    <t>2015-1560</t>
  </si>
  <si>
    <t>2014-1648</t>
  </si>
  <si>
    <t>2013-1765</t>
  </si>
  <si>
    <t>2012-1855</t>
  </si>
  <si>
    <t>2011-2510</t>
  </si>
  <si>
    <t>31-2N-28-1400-0007-0010</t>
  </si>
  <si>
    <t>95272 KAREN WALK</t>
  </si>
  <si>
    <t>WEAVER RICHARD D</t>
  </si>
  <si>
    <t>WEAVER AMANDA</t>
  </si>
  <si>
    <t>811 GA HIGHWAY 247 S</t>
  </si>
  <si>
    <t>KATHLEEN GA</t>
  </si>
  <si>
    <t>W290.37 OF LOT 7 (S-1 &amp; S-2) IN OR 1485/1057 1985 CHAL DW/MH</t>
  </si>
  <si>
    <t>2013-1767</t>
  </si>
  <si>
    <t>31-2N-28-1600-0003-0000</t>
  </si>
  <si>
    <t>LEO</t>
  </si>
  <si>
    <t>95587 LEO DR</t>
  </si>
  <si>
    <t>ROLSTON KRISTIN P</t>
  </si>
  <si>
    <t>HILL TAWANNA MARIE JT RS</t>
  </si>
  <si>
    <t>OAK HILL EST #1</t>
  </si>
  <si>
    <t>LOT 3 2002 SCHU DWMH IN OR 1081/567 OAK HILL EST #1 PB 5/90 &amp; 91</t>
  </si>
  <si>
    <t>2017-1499</t>
  </si>
  <si>
    <t>TRIAD HOLDINGS138067</t>
  </si>
  <si>
    <t>2016-1515</t>
  </si>
  <si>
    <t>ORANGE DOLPHINS ASXX LLC</t>
  </si>
  <si>
    <t>2014-1650</t>
  </si>
  <si>
    <t>2012-1857</t>
  </si>
  <si>
    <t>2011-2514</t>
  </si>
  <si>
    <t>31-2N-28-1600-0015-0000</t>
  </si>
  <si>
    <t>95304 LEO DR</t>
  </si>
  <si>
    <t>HALL JESSIE LEE</t>
  </si>
  <si>
    <t>HALL BRENDA S</t>
  </si>
  <si>
    <t>LOT 15 IN OR 689 PG 529 R787515 R787516 &amp; R787517</t>
  </si>
  <si>
    <t>2017-1500</t>
  </si>
  <si>
    <t>31-2N-28-1600-0020-0000</t>
  </si>
  <si>
    <t>95160 LEO DR</t>
  </si>
  <si>
    <t>MAXELL DANNY L</t>
  </si>
  <si>
    <t>95055 JUSTIN CT</t>
  </si>
  <si>
    <t>LOT 20 IN OR 935/1078 OAK HILL EST #1 PB 5/90 &amp; 91</t>
  </si>
  <si>
    <t>2011-2517</t>
  </si>
  <si>
    <t>31-2N-28-1601-0031-0000</t>
  </si>
  <si>
    <t>LOUISE</t>
  </si>
  <si>
    <t>95118 LOUISE CT</t>
  </si>
  <si>
    <t>JENKINS DEAH LYNN</t>
  </si>
  <si>
    <t>PO BOX 15774</t>
  </si>
  <si>
    <t>OAK HILL ESTATES</t>
  </si>
  <si>
    <t>LOT 31 R408011 &amp; R408012 IN OR 1864/153 OAK HILL ESTATES #2 PB 5/134</t>
  </si>
  <si>
    <t>2017-1506</t>
  </si>
  <si>
    <t>2016-1522</t>
  </si>
  <si>
    <t>2015-1572</t>
  </si>
  <si>
    <t>2014-2588</t>
  </si>
  <si>
    <t>2013-2862</t>
  </si>
  <si>
    <t>2012-3219</t>
  </si>
  <si>
    <t>2011-2523</t>
  </si>
  <si>
    <t>31-2N-28-1875-0001-0060</t>
  </si>
  <si>
    <t>WILDWOOD</t>
  </si>
  <si>
    <t>95135 WILDWOOD CIR</t>
  </si>
  <si>
    <t>OAKES MICHAEL A</t>
  </si>
  <si>
    <t>OAKES BARBARA J</t>
  </si>
  <si>
    <t>ROSEWOOD MEADOWS</t>
  </si>
  <si>
    <t>BLOCK 1 LOT 6 IN OR 904/43 ROSEWOOD MEADOWS #1 PB 5/314</t>
  </si>
  <si>
    <t>2017-1508</t>
  </si>
  <si>
    <t>WONDER CAPITAL117275</t>
  </si>
  <si>
    <t>2016-1525</t>
  </si>
  <si>
    <t>SUTTON INVESTMENT22346</t>
  </si>
  <si>
    <t>2015-1577</t>
  </si>
  <si>
    <t>A231008</t>
  </si>
  <si>
    <t>2014-1658</t>
  </si>
  <si>
    <t>2013-1778</t>
  </si>
  <si>
    <t>2012-1865</t>
  </si>
  <si>
    <t>2011-2528</t>
  </si>
  <si>
    <t>31-2N-28-1875-0004-0010</t>
  </si>
  <si>
    <t>GREENBERRY</t>
  </si>
  <si>
    <t>95025 GREENBERRY RD</t>
  </si>
  <si>
    <t>EVANS WILLIAM P</t>
  </si>
  <si>
    <t>EVANS JENNIFER</t>
  </si>
  <si>
    <t>ROSEWOOD</t>
  </si>
  <si>
    <t>BLOCK 4 LOT 1 IN OR 1825/977 ROSEWOOD MEADOWS #1 PB 5/314</t>
  </si>
  <si>
    <t>2017-1510</t>
  </si>
  <si>
    <t>SKYLER LLC O21223 SERIES</t>
  </si>
  <si>
    <t>2016-1526</t>
  </si>
  <si>
    <t>BISBEE LLC S23V205DB</t>
  </si>
  <si>
    <t>2015-1579</t>
  </si>
  <si>
    <t>H11846</t>
  </si>
  <si>
    <t>2014-1659</t>
  </si>
  <si>
    <t>31-2N-28-4955-0001-0020</t>
  </si>
  <si>
    <t>JUSTIN</t>
  </si>
  <si>
    <t>95066 JUSTIN CT</t>
  </si>
  <si>
    <t>KNOX MATTHEW</t>
  </si>
  <si>
    <t>BLOCK 1 LOT 2 IN OR 1585/243 1977 SATI DW/MH</t>
  </si>
  <si>
    <t>2017-1511</t>
  </si>
  <si>
    <t>2016-1527</t>
  </si>
  <si>
    <t>2014-1660</t>
  </si>
  <si>
    <t>2013-1779</t>
  </si>
  <si>
    <t>2011-2529</t>
  </si>
  <si>
    <t>31-2N-28-4955-0001-0090</t>
  </si>
  <si>
    <t>JUSTIN CT</t>
  </si>
  <si>
    <t>MAXWELL DANNY L</t>
  </si>
  <si>
    <t>MAXWELL ELIZABETH</t>
  </si>
  <si>
    <t>BLOCK 1 LOT 9 R621465 &amp; R621466 IN OR 998/1289</t>
  </si>
  <si>
    <t>2011-2530</t>
  </si>
  <si>
    <t>31-2N-28-4955-0003-0060</t>
  </si>
  <si>
    <t>PLUM</t>
  </si>
  <si>
    <t>95320 PLUM LOOP</t>
  </si>
  <si>
    <t>HOETZLEIN SUSAN C</t>
  </si>
  <si>
    <t>WELSH BARBARA A</t>
  </si>
  <si>
    <t>95030 GENTRY LN</t>
  </si>
  <si>
    <t>BLOCK 3 LOT 6 IN OR 1211/196 R673911 &amp; R673912</t>
  </si>
  <si>
    <t>2017-1515</t>
  </si>
  <si>
    <t>MALLY LLC AND MED ALI LLC PARTNERSHIP 588</t>
  </si>
  <si>
    <t>2016-1530</t>
  </si>
  <si>
    <t>CCTS CAP FL 83559 US BANK CUST FOR PFS FINANCIAL 2 LLC</t>
  </si>
  <si>
    <t>2015-1582</t>
  </si>
  <si>
    <t>WYAT MANAGEMENT 39</t>
  </si>
  <si>
    <t>2014-1663</t>
  </si>
  <si>
    <t>2013-1781</t>
  </si>
  <si>
    <t>2012-1869</t>
  </si>
  <si>
    <t>2011-2532</t>
  </si>
  <si>
    <t>31-2N-28-4955-0003-0080</t>
  </si>
  <si>
    <t>95398 PLUM LOOP</t>
  </si>
  <si>
    <t>JOHNSON MATTHEW BRANDON</t>
  </si>
  <si>
    <t>BLOCK 3 LOT 8 IN OR 1966/1875 R236053 &amp; R236052</t>
  </si>
  <si>
    <t>2015-1583</t>
  </si>
  <si>
    <t>BALDWIN INVESTMENTS 22</t>
  </si>
  <si>
    <t>32-2N-28-0000-0009-0000</t>
  </si>
  <si>
    <t>BLUE</t>
  </si>
  <si>
    <t>95083 BLUE LN</t>
  </si>
  <si>
    <t>BOATRIGHT CYNTHIA K</t>
  </si>
  <si>
    <t>BOATRIGHT JOHNNY P</t>
  </si>
  <si>
    <t>32-02N-28E</t>
  </si>
  <si>
    <t>PT S1/2 OF NE1/4 OF SE1/4 OF NW1/4 IN OR 833/72 R673380 &amp; R673381</t>
  </si>
  <si>
    <t>2016-1531</t>
  </si>
  <si>
    <t>2015-1584</t>
  </si>
  <si>
    <t>2014-1667</t>
  </si>
  <si>
    <t>2013-1786</t>
  </si>
  <si>
    <t>2012-1895</t>
  </si>
  <si>
    <t>2011-2544</t>
  </si>
  <si>
    <t>32-2N-28-0000-0012-0100</t>
  </si>
  <si>
    <t>ORIOLE</t>
  </si>
  <si>
    <t>95054 ORIOLE ST</t>
  </si>
  <si>
    <t>DELILLE DERRICK ANDREW</t>
  </si>
  <si>
    <t>IN OR 942 PG 1962 12-10 &amp; 12-2 1985 SCOT DW</t>
  </si>
  <si>
    <t>2017-1517</t>
  </si>
  <si>
    <t>SANMARCORA AGUFGY</t>
  </si>
  <si>
    <t>2016-1532</t>
  </si>
  <si>
    <t>2015-1585</t>
  </si>
  <si>
    <t>2014-1668</t>
  </si>
  <si>
    <t>2013-1787</t>
  </si>
  <si>
    <t>2012-1896</t>
  </si>
  <si>
    <t>32-2N-28-0000-0015-0000</t>
  </si>
  <si>
    <t>HENDRICKS</t>
  </si>
  <si>
    <t>HENDRICKS RD</t>
  </si>
  <si>
    <t>LIGHT BRIGHT SOCIETY</t>
  </si>
  <si>
    <t>PO BOX 371</t>
  </si>
  <si>
    <t>Vacant Institutional</t>
  </si>
  <si>
    <t>Institutional-Vacant Land</t>
  </si>
  <si>
    <t>PT GOVT LOT 3 OF SEC 32-2N-28E IN DBK 36-197</t>
  </si>
  <si>
    <t>2017-1519</t>
  </si>
  <si>
    <t>32-2N-28-0000-0025-0080</t>
  </si>
  <si>
    <t>BLUE JAMES C</t>
  </si>
  <si>
    <t>PO BOX 4661</t>
  </si>
  <si>
    <t>ATLANTA GA</t>
  </si>
  <si>
    <t>PT OF NW1/4 OF SW1/4 IN OR 1423/1484</t>
  </si>
  <si>
    <t>32-2N-28-0000-0026-0020</t>
  </si>
  <si>
    <t>BLUE JAMES C JR &amp; BLUE ROBERT E SR &amp; BENJAMIN J &amp; CORA STEVENSON &amp; LYNDON BLUE</t>
  </si>
  <si>
    <t>PT GOVT LOT 5 OF SEC 32-2N-28E IN OR 1613/914</t>
  </si>
  <si>
    <t>32-2N-28-005A-0023-0000</t>
  </si>
  <si>
    <t>BROOKHILL</t>
  </si>
  <si>
    <t>95124 BROOKHILL PL</t>
  </si>
  <si>
    <t>STEWART KYLE W</t>
  </si>
  <si>
    <t>STEWART ARLETTA D</t>
  </si>
  <si>
    <t>86350 MEADOWWOOD DR</t>
  </si>
  <si>
    <t>AMELIA BAY ESTATES</t>
  </si>
  <si>
    <t>LOT 23 IN OR 1894/1721 AMELIA BAY ESTATES PB 7/4</t>
  </si>
  <si>
    <t>2017-1521</t>
  </si>
  <si>
    <t>32-2N-28-005A-0031-0000</t>
  </si>
  <si>
    <t>AMBERWOOD</t>
  </si>
  <si>
    <t>95276 AMBERWOOD LN</t>
  </si>
  <si>
    <t>HOLLAND MICHAEL</t>
  </si>
  <si>
    <t>96191 RIDGEWOOD CIR</t>
  </si>
  <si>
    <t>LOT 31 IN OR 1993/1244 AMELIA BAY ESTATES PB 7/4</t>
  </si>
  <si>
    <t>12089C_1000</t>
  </si>
  <si>
    <t>2015-1601</t>
  </si>
  <si>
    <t>E7119</t>
  </si>
  <si>
    <t>2014-1685</t>
  </si>
  <si>
    <t>2013-1805</t>
  </si>
  <si>
    <t>2012-1912</t>
  </si>
  <si>
    <t>2011-2562</t>
  </si>
  <si>
    <t>32-2N-28-0150-0001-0050</t>
  </si>
  <si>
    <t>BIG OAK</t>
  </si>
  <si>
    <t>95129 BIG OAK AVE</t>
  </si>
  <si>
    <t>LANDRUM CARL J</t>
  </si>
  <si>
    <t>BLOCK 1 LOT 5 IN OR 782/201 R673708 &amp; R673709</t>
  </si>
  <si>
    <t>2017-1524</t>
  </si>
  <si>
    <t>RAPTY TRUST SERIES 12426</t>
  </si>
  <si>
    <t>2016-1536</t>
  </si>
  <si>
    <t>EEEEE3470</t>
  </si>
  <si>
    <t>2015-1604</t>
  </si>
  <si>
    <t>FLORIDA - GROUP SIGMA 153818 US BANK CUST FOR PFS FINANCIAL 1</t>
  </si>
  <si>
    <t>2014-1687</t>
  </si>
  <si>
    <t>32-2N-28-0150-0001-0060</t>
  </si>
  <si>
    <t>BIG OAK AV</t>
  </si>
  <si>
    <t>LANDRUM ANNIE C</t>
  </si>
  <si>
    <t>BLOCK 1 LOT 6 IN OR 879/1910 BIG OAK PB 5/357</t>
  </si>
  <si>
    <t>2016-1537</t>
  </si>
  <si>
    <t>BENNU LLC YSE5NE0J</t>
  </si>
  <si>
    <t>2015-1605</t>
  </si>
  <si>
    <t>SF XXXVII</t>
  </si>
  <si>
    <t>2014-1688</t>
  </si>
  <si>
    <t>32-2N-28-0150-0001-0150</t>
  </si>
  <si>
    <t>PETUNIA</t>
  </si>
  <si>
    <t>95027 PETUNIA CT</t>
  </si>
  <si>
    <t>BEDELL HARRIET RUSHAWN</t>
  </si>
  <si>
    <t>95003 PETUNIA CT</t>
  </si>
  <si>
    <t>BLOCK 1 LOT 15 R583983 OR 1549/1876 CASE # 07-DR-1177 BIG OAK PB 5/357</t>
  </si>
  <si>
    <t>2017-1525</t>
  </si>
  <si>
    <t>2016-1538</t>
  </si>
  <si>
    <t>2015-1606</t>
  </si>
  <si>
    <t>2014-1689</t>
  </si>
  <si>
    <t>2012-1921</t>
  </si>
  <si>
    <t>2011-2571</t>
  </si>
  <si>
    <t>32-2N-28-0150-0001-0160</t>
  </si>
  <si>
    <t>BLOCK 1 LOT 16 OR 679/1440 &amp; CASE #07-DR 1177 R673461 &amp; R673462</t>
  </si>
  <si>
    <t>2017-1526</t>
  </si>
  <si>
    <t>BENNU LLC JY68Q7FA</t>
  </si>
  <si>
    <t>2016-1539</t>
  </si>
  <si>
    <t>ECRU LLC R10BF6J</t>
  </si>
  <si>
    <t>2015-1607</t>
  </si>
  <si>
    <t>RFT - 250204 - HAVERHILL ENTITY US BANK CUST FOR PFS FINANCIAL 2 LLC</t>
  </si>
  <si>
    <t>2014-1690</t>
  </si>
  <si>
    <t>2013-1810</t>
  </si>
  <si>
    <t>2012-1922</t>
  </si>
  <si>
    <t>2011-2572</t>
  </si>
  <si>
    <t>32-2N-28-0150-0002-0030</t>
  </si>
  <si>
    <t>95184 BIG OAK AVE</t>
  </si>
  <si>
    <t>KRUPAR MICHAEL A</t>
  </si>
  <si>
    <t>KRUPAR KATRINA</t>
  </si>
  <si>
    <t>BLOCK 2 LOT 3 IN OR 709 PG 453 R672473 &amp; R672474</t>
  </si>
  <si>
    <t>2016-1540</t>
  </si>
  <si>
    <t>CCTS CAP - WE BUY LIENS 67396 US BANK CUST FOR PFS FINANCIAL 2 LLC</t>
  </si>
  <si>
    <t>2014-1692</t>
  </si>
  <si>
    <t>2013-1811</t>
  </si>
  <si>
    <t>2012-1923</t>
  </si>
  <si>
    <t>2011-2575</t>
  </si>
  <si>
    <t>34-2N-28-0000-0001-0070</t>
  </si>
  <si>
    <t>DENISE</t>
  </si>
  <si>
    <t>95024 DENISE ST</t>
  </si>
  <si>
    <t>SMITH VERNITHA G</t>
  </si>
  <si>
    <t>SMITH ERNEST L</t>
  </si>
  <si>
    <t>44-02N-28E</t>
  </si>
  <si>
    <t>L/E OR 1548/1483</t>
  </si>
  <si>
    <t>2017-1529</t>
  </si>
  <si>
    <t>2016-1544</t>
  </si>
  <si>
    <t>2015-1611</t>
  </si>
  <si>
    <t>FL ST CCTS GAMMA BLOCK 138118 US BANK CUST FOR PFS FINANCIAL 2 LLC</t>
  </si>
  <si>
    <t>2014-1696</t>
  </si>
  <si>
    <t>34-2N-28-0000-0007-0030</t>
  </si>
  <si>
    <t>WILDER</t>
  </si>
  <si>
    <t>95177 WILDER BLVD</t>
  </si>
  <si>
    <t>WILDER JOHN A</t>
  </si>
  <si>
    <t>WILDER PEGGY A</t>
  </si>
  <si>
    <t>34-02N-28E</t>
  </si>
  <si>
    <t>PT GOVT LOT 2 OF SEC 34-2N-28E IN OR 588/933</t>
  </si>
  <si>
    <t>12089C_578</t>
  </si>
  <si>
    <t>2017-1530</t>
  </si>
  <si>
    <t>BISBEE LLC M1F3FAR</t>
  </si>
  <si>
    <t>2016-1546</t>
  </si>
  <si>
    <t>E18946</t>
  </si>
  <si>
    <t>2015-1612</t>
  </si>
  <si>
    <t>DDDD76</t>
  </si>
  <si>
    <t>2014-1698</t>
  </si>
  <si>
    <t>2013-1850</t>
  </si>
  <si>
    <t>2011-2618</t>
  </si>
  <si>
    <t>34-2N-28-0000-0009-0000</t>
  </si>
  <si>
    <t>941046 OLD NASSAUVILLE RD</t>
  </si>
  <si>
    <t>BARBER JESSICA</t>
  </si>
  <si>
    <t>BARBER ERICA</t>
  </si>
  <si>
    <t>1725 PHEASANT LN</t>
  </si>
  <si>
    <t>PT OF GOVT LOT 2 PARCELS 3-2 9 &amp; S-1 OF LOT 4 SUB OF GOVT LOT 1</t>
  </si>
  <si>
    <t>2016-1547</t>
  </si>
  <si>
    <t>BENNU LLC JHA11D61Y</t>
  </si>
  <si>
    <t>2012-2015</t>
  </si>
  <si>
    <t>2011-2619</t>
  </si>
  <si>
    <t>34-2N-28-0000-0010-0000</t>
  </si>
  <si>
    <t>WILDER RD</t>
  </si>
  <si>
    <t>WARD BRUCE</t>
  </si>
  <si>
    <t>WARD JETTA K</t>
  </si>
  <si>
    <t>95395 WILDER BLVD</t>
  </si>
  <si>
    <t>IN OR 744/1943 (EX 10-1 10-2 &amp; 10-3)</t>
  </si>
  <si>
    <t>34-2N-28-4980-0041-0000</t>
  </si>
  <si>
    <t>WILDER BV</t>
  </si>
  <si>
    <t>95085 WILDER BV</t>
  </si>
  <si>
    <t>BURNSED GARY CLAYTON</t>
  </si>
  <si>
    <t>BURNSED APRIL LEA</t>
  </si>
  <si>
    <t>95085 WILDER BLVD</t>
  </si>
  <si>
    <t>LOT 41 (EX SOVEREIGN SUBMERGED LANDS LYING OUTSIDE OF DREDGED CANAL)</t>
  </si>
  <si>
    <t>34-2N-28-5132-0011-0000</t>
  </si>
  <si>
    <t>95133 WILDER BLVD</t>
  </si>
  <si>
    <t>PHG REAL ESTATE LLC</t>
  </si>
  <si>
    <t>ELLIS LANDING</t>
  </si>
  <si>
    <t>LOT 11 IN OR 1340/1676 ELLIS LANDING SEC 2 UNR</t>
  </si>
  <si>
    <t>34-2N-28-5132-0012-0000</t>
  </si>
  <si>
    <t>WILDER PL</t>
  </si>
  <si>
    <t>GIBSON JUDY L</t>
  </si>
  <si>
    <t>LOT 12 IN OR 1801/93 ELLIS LANDING SEC 2 UNR</t>
  </si>
  <si>
    <t>12089C_733</t>
  </si>
  <si>
    <t>2017-1532</t>
  </si>
  <si>
    <t>2016-1549</t>
  </si>
  <si>
    <t>2015-1616</t>
  </si>
  <si>
    <t>35-2N-28-0000-0001-0020</t>
  </si>
  <si>
    <t>85581 LONNIE CREWS RD</t>
  </si>
  <si>
    <t>JUSTICE JENNIFER</t>
  </si>
  <si>
    <t>35-02N-28E</t>
  </si>
  <si>
    <t>PT FRAC SEC 35-2N-28E PAR 1-20 IN OR 1471/1801 (EX R/W OR 154/123)</t>
  </si>
  <si>
    <t>2017-1533</t>
  </si>
  <si>
    <t>HOBUD 37016 LLC</t>
  </si>
  <si>
    <t>2016-1550</t>
  </si>
  <si>
    <t>PELICAN POINT GROUP69656</t>
  </si>
  <si>
    <t>35-2N-28-0000-0001-0100</t>
  </si>
  <si>
    <t>DOUGLAS</t>
  </si>
  <si>
    <t>95379 DOUGLAS RD</t>
  </si>
  <si>
    <t>SPAULDING TERRY G</t>
  </si>
  <si>
    <t>SPAULDING PATTY</t>
  </si>
  <si>
    <t>IN OR 835 PG 1492 AKA LOT 22 MOBLEY HEIGHTS UNR</t>
  </si>
  <si>
    <t>2017-1534</t>
  </si>
  <si>
    <t>BAGTERAI CERTS 1499 LLC</t>
  </si>
  <si>
    <t>35-2N-28-0000-0001-0220</t>
  </si>
  <si>
    <t>85044 CREWS RD</t>
  </si>
  <si>
    <t>PICKETT JAMES WALLACE</t>
  </si>
  <si>
    <t>IN OR 1597/877 EX R/W OR 619/1263 EX 1-112</t>
  </si>
  <si>
    <t>2015-1617</t>
  </si>
  <si>
    <t>SANMARCORA DDAMRA</t>
  </si>
  <si>
    <t>2013-1852</t>
  </si>
  <si>
    <t>2012-2033</t>
  </si>
  <si>
    <t>BRIDGE TAX LLC - 460 US BANK % BRIDGE TAX LLC-460</t>
  </si>
  <si>
    <t>35-2N-28-0000-0001-0250</t>
  </si>
  <si>
    <t>95525 DOUGLAS RD</t>
  </si>
  <si>
    <t>THOMAS WILLIAM DOYLE DEAN</t>
  </si>
  <si>
    <t>THOMAS BRENDA ZOLA</t>
  </si>
  <si>
    <t>PT GOVT LOT 1 OF SEC 35-2N-28E IN OR 1973/1866 MOBLEY HEIGHTS UNR</t>
  </si>
  <si>
    <t>35-2N-28-0000-0001-0270</t>
  </si>
  <si>
    <t>ACORN</t>
  </si>
  <si>
    <t>95003 ACORN LN</t>
  </si>
  <si>
    <t>HESTER JODI L</t>
  </si>
  <si>
    <t>TIPPETTE DAVID GLEN</t>
  </si>
  <si>
    <t>IN OR 1642/1271 R433580 &amp; R433581</t>
  </si>
  <si>
    <t>2017-1536</t>
  </si>
  <si>
    <t>LEJIL 20059 LLC</t>
  </si>
  <si>
    <t>2016-1552</t>
  </si>
  <si>
    <t>OCEAN ADVISORS148977</t>
  </si>
  <si>
    <t>2015-1618</t>
  </si>
  <si>
    <t>TANGERINE DELPHIS XBQB LLC</t>
  </si>
  <si>
    <t>2014-1702</t>
  </si>
  <si>
    <t>2013-1853</t>
  </si>
  <si>
    <t>2011-2624</t>
  </si>
  <si>
    <t>35-2N-28-0000-0001-0300</t>
  </si>
  <si>
    <t>PATRICIA</t>
  </si>
  <si>
    <t>85072 PATRICIA CT</t>
  </si>
  <si>
    <t>JACKSON JEFFREY B</t>
  </si>
  <si>
    <t>6818 S COURT DR</t>
  </si>
  <si>
    <t>PT GOVT LOT 3 OF SEC 35-2N-28E IN OR 1633/883 BEING PARCEL B &amp; ESMTS IN OR 951/708 &amp;</t>
  </si>
  <si>
    <t>35-2N-28-0000-0001-0320</t>
  </si>
  <si>
    <t>CREWS RD</t>
  </si>
  <si>
    <t>PICKETT JOHN T</t>
  </si>
  <si>
    <t>85142 CREWS RD</t>
  </si>
  <si>
    <t>L/E PT OR 1597/879 (PARCEL 1-32 &amp; 1-33) EX 1-69 EX R/W OR 611/1184</t>
  </si>
  <si>
    <t>2015-1619</t>
  </si>
  <si>
    <t>2014-1703</t>
  </si>
  <si>
    <t>2012-2034</t>
  </si>
  <si>
    <t>35-2N-28-0000-0001-0690</t>
  </si>
  <si>
    <t>L/E PT OR 1597/879 EX R/W OR 611/1186</t>
  </si>
  <si>
    <t>2015-1622</t>
  </si>
  <si>
    <t>BISBEE LLC HA88D6A</t>
  </si>
  <si>
    <t>2014-1706</t>
  </si>
  <si>
    <t>2012-2041</t>
  </si>
  <si>
    <t>BRIDGE TAX LLC - 454 US BANK % BRIDGE TAX LLC-454</t>
  </si>
  <si>
    <t>35-2N-28-0000-0001-0860</t>
  </si>
  <si>
    <t>MILLS JAMES E</t>
  </si>
  <si>
    <t>85127 PATRICIA CT</t>
  </si>
  <si>
    <t>PT GOVT LOT 3 OF SEC 35-2N-28E IN OR 2027/944 BEING PARCEL A (EX ESMTS IN OR 920/362</t>
  </si>
  <si>
    <t>2017-1540</t>
  </si>
  <si>
    <t>2016-1557</t>
  </si>
  <si>
    <t>BENNU LLC LY28Q43DR</t>
  </si>
  <si>
    <t>2013-1861</t>
  </si>
  <si>
    <t>2012-2044</t>
  </si>
  <si>
    <t>STURGES DAVID</t>
  </si>
  <si>
    <t>2011-2630</t>
  </si>
  <si>
    <t>35-2N-28-0000-0001-0920</t>
  </si>
  <si>
    <t>85551 LONNIE CREWS RD</t>
  </si>
  <si>
    <t>LOVE HOERLE-DAVIS</t>
  </si>
  <si>
    <t>IN OR 1307/877 1974 SHER SW/MH</t>
  </si>
  <si>
    <t>2017-1541</t>
  </si>
  <si>
    <t>KINGFISHER KEY TAX ACXQ LLC</t>
  </si>
  <si>
    <t>2014-1708</t>
  </si>
  <si>
    <t>35-2N-28-0000-0001-1020</t>
  </si>
  <si>
    <t>85042 PATRICIA CT</t>
  </si>
  <si>
    <t>PT GOVT LOT 3 OF SEC 35-2N-28E IN OR 1633/883 BEING PARCEL A &amp; ESMT IN OR 951/708</t>
  </si>
  <si>
    <t>35-2N-28-0000-0001-1030</t>
  </si>
  <si>
    <t>85086 PATRICIA CT</t>
  </si>
  <si>
    <t>PT GOVT LOT 3 OF SEC 35-2N-28E IN OR 1633/883 BEING PARCEL C {1984 TOWN SW}</t>
  </si>
  <si>
    <t>35-2N-28-0000-0001-1120</t>
  </si>
  <si>
    <t>85072 CREWS RD</t>
  </si>
  <si>
    <t>PICKETT MATT STEVEN</t>
  </si>
  <si>
    <t>PICKETT MYRA J</t>
  </si>
  <si>
    <t>IN OR 1782/1398</t>
  </si>
  <si>
    <t>2015-1625</t>
  </si>
  <si>
    <t>A2944</t>
  </si>
  <si>
    <t>2013-1863</t>
  </si>
  <si>
    <t>2012-2046</t>
  </si>
  <si>
    <t>US BANK CUST BISBEE LLC M109CB</t>
  </si>
  <si>
    <t>35-2N-28-1401-0002-0000</t>
  </si>
  <si>
    <t>95206 KAREN WALK</t>
  </si>
  <si>
    <t>DOUGLAS A B</t>
  </si>
  <si>
    <t>DOUGLAS BARBARA M</t>
  </si>
  <si>
    <t>940538 OLD NASSAUVILLE RD</t>
  </si>
  <si>
    <t>LOT 2 IN OR 1831/1636 MH/ID GMHGA208914468</t>
  </si>
  <si>
    <t>2013-1867</t>
  </si>
  <si>
    <t>2012-2049</t>
  </si>
  <si>
    <t>35-2N-28-1401-0003-0000</t>
  </si>
  <si>
    <t>95180 KAREN WALK</t>
  </si>
  <si>
    <t>ZIMMERMAN JILL E</t>
  </si>
  <si>
    <t>FRITTS ANTHONY C</t>
  </si>
  <si>
    <t>MOBLEY HEIGHTS NORTH</t>
  </si>
  <si>
    <t>LOT 3 MH/ID GBHMM52642 IN OR 853/1771 MOBLEY HEIGHTS NORTH 3 PB 6/39</t>
  </si>
  <si>
    <t>2016-1560</t>
  </si>
  <si>
    <t>HIMAL PEAK HOLDINGS 290 LLC</t>
  </si>
  <si>
    <t>35-2N-28-1401-0004-0010</t>
  </si>
  <si>
    <t>95154 KAREN WALK</t>
  </si>
  <si>
    <t>WEBB MATTHEW</t>
  </si>
  <si>
    <t>E217.75 FT OF LOT 4 &amp; N30 FT OF W363 FT OF LOT 4 1997 CHAD DW/MH</t>
  </si>
  <si>
    <t>2014-1712</t>
  </si>
  <si>
    <t>2012-2050</t>
  </si>
  <si>
    <t>37-2N-28-0000-0001-0000</t>
  </si>
  <si>
    <t>474639 SR 200</t>
  </si>
  <si>
    <t>PINEY ISLAND PARTNERSHIP</t>
  </si>
  <si>
    <t>437 E MONROE ST STE 100</t>
  </si>
  <si>
    <t>37-02N-28E</t>
  </si>
  <si>
    <t>ALL S OF SAL R/W PT OR 236/535 &amp; OR 921/542 &amp; PT OR 921/542 &amp; OR 1429/1157</t>
  </si>
  <si>
    <t>2017-1543</t>
  </si>
  <si>
    <t>ECRU LLC R5CA0J</t>
  </si>
  <si>
    <t>2016-1562</t>
  </si>
  <si>
    <t>2015-1628</t>
  </si>
  <si>
    <t>2015-2336</t>
  </si>
  <si>
    <t>2013-1868</t>
  </si>
  <si>
    <t>2012-2183</t>
  </si>
  <si>
    <t>2012-3288</t>
  </si>
  <si>
    <t>37-2N-28-1320-0031-0000</t>
  </si>
  <si>
    <t>MARSH LAKES</t>
  </si>
  <si>
    <t>96144 MARSH LAKES DR</t>
  </si>
  <si>
    <t>MATTHEWS BRIAN</t>
  </si>
  <si>
    <t>MATTHEWS JENNIFER</t>
  </si>
  <si>
    <t>2997 GREEN OAKS CIR NE</t>
  </si>
  <si>
    <t>LOT 31 IN OR 968/31 MARSH LAKES PB 5/159-167</t>
  </si>
  <si>
    <t>VE</t>
  </si>
  <si>
    <t>12089C_75</t>
  </si>
  <si>
    <t>2017-1544</t>
  </si>
  <si>
    <t>FUYEY 39613 LLC</t>
  </si>
  <si>
    <t>2016-1565</t>
  </si>
  <si>
    <t>SETPER LLC O96884 SERIES</t>
  </si>
  <si>
    <t>2014-1713</t>
  </si>
  <si>
    <t>2013-1870</t>
  </si>
  <si>
    <t>2012-2185</t>
  </si>
  <si>
    <t>CHITWAN BAG LLC SB MUNI CUST FOR</t>
  </si>
  <si>
    <t>2011-2636</t>
  </si>
  <si>
    <t>37-2N-28-209T-0121-0000</t>
  </si>
  <si>
    <t>TUSCANY</t>
  </si>
  <si>
    <t>96121 TUSCANY WAY</t>
  </si>
  <si>
    <t>TUSCANY PRESERVE LLC</t>
  </si>
  <si>
    <t>665 SIMONDS RD</t>
  </si>
  <si>
    <t>WILLIAMSTOWN MA</t>
  </si>
  <si>
    <t>UNIT 121 PT OR 1881/181 NOT DEVELOPED/VACANT</t>
  </si>
  <si>
    <t>37-2N-28-209T-0122-0000</t>
  </si>
  <si>
    <t>96122 TUSCANY WAY</t>
  </si>
  <si>
    <t>UNIT 122 PT OR 1881/181 NOT DEVELOPED/VACANT</t>
  </si>
  <si>
    <t>37-2N-28-209T-0123-0000</t>
  </si>
  <si>
    <t>96123 TUSCANY WAY</t>
  </si>
  <si>
    <t>UNIT 123 PT OR 1881/181 NOT DEVELOPED/VACANT</t>
  </si>
  <si>
    <t>37-2N-28-209T-0124-0000</t>
  </si>
  <si>
    <t>96124 TUSCANY WAY</t>
  </si>
  <si>
    <t>UNIT 124 PT OR 1881/181 NOT DEVELOPED/VACANT</t>
  </si>
  <si>
    <t>37-2N-28-209T-0131-0000</t>
  </si>
  <si>
    <t>96131 TUSCANY WAY</t>
  </si>
  <si>
    <t>UNIT 131 PT OR 1881/181 NOT DEVELOPED/VACANT</t>
  </si>
  <si>
    <t>37-2N-28-209T-0132-0000</t>
  </si>
  <si>
    <t>96132 TUSCANY WAY</t>
  </si>
  <si>
    <t>UNIT 132 PT OR 1881/181 NOT DEVELOPED/VACANT</t>
  </si>
  <si>
    <t>37-2N-28-209T-0133-0000</t>
  </si>
  <si>
    <t>96133 TUSCANY WAY</t>
  </si>
  <si>
    <t>UNIT 133 PT OR 1881/181 NOT DEVELOPED/VACANT</t>
  </si>
  <si>
    <t>37-2N-28-209T-0134-0000</t>
  </si>
  <si>
    <t>96134 TUSCANY WAY</t>
  </si>
  <si>
    <t>UNIT 134 PT OR 1881/181 NOT DEVELOPED/VACANT</t>
  </si>
  <si>
    <t>37-2N-28-209T-0141-0000</t>
  </si>
  <si>
    <t>96141 TUSCANY WAY</t>
  </si>
  <si>
    <t>UNIT 141 PT OR 1881/181 NOT DEVELOPED/VACANT</t>
  </si>
  <si>
    <t>37-2N-28-209T-0142-0000</t>
  </si>
  <si>
    <t>96142 TUSCANY WAY</t>
  </si>
  <si>
    <t>UNIT 142 PT OR 1881/181 NOT DEVELOPED/VACANT</t>
  </si>
  <si>
    <t>37-2N-28-209T-0143-0000</t>
  </si>
  <si>
    <t>96143 TUSCANY WAY</t>
  </si>
  <si>
    <t>UNIT 143 PT OR 1881/181 NOT DEVELOPED/VACANT</t>
  </si>
  <si>
    <t>37-2N-28-209T-0144-0000</t>
  </si>
  <si>
    <t>96144 TUSCANY WAY</t>
  </si>
  <si>
    <t>UNIT 144 PT OR 1881/181 NOT DEVELOPED/VACANT</t>
  </si>
  <si>
    <t>37-2N-28-209T-0221-0000</t>
  </si>
  <si>
    <t>96221 TUSCANY WAY</t>
  </si>
  <si>
    <t>UNIT 221 PT OR 1881/181 NOT DEVELOPED/VACANT</t>
  </si>
  <si>
    <t>37-2N-28-209T-0222-0000</t>
  </si>
  <si>
    <t>96222 TUSCANY WAY</t>
  </si>
  <si>
    <t>UNIT 222 PT OR 1881/181 NOT DEVELOPED/VACANT</t>
  </si>
  <si>
    <t>37-2N-28-209T-0223-0000</t>
  </si>
  <si>
    <t>96223 TUSCANY WAY</t>
  </si>
  <si>
    <t>UNIT 223 PT OR 1881/181 NOT DEVELOPED/VACANT</t>
  </si>
  <si>
    <t>37-2N-28-209T-0224-0000</t>
  </si>
  <si>
    <t>96224 TUSCANY WAY</t>
  </si>
  <si>
    <t>UNIT 224 PT OR 1881/181 NOT DEVELOPED/VACANT</t>
  </si>
  <si>
    <t>37-2N-28-209T-0231-0000</t>
  </si>
  <si>
    <t>96231 TUSCANY WAY</t>
  </si>
  <si>
    <t>UNIT 231 PT OR 1881/181 NOT DEVELOPED/VACANT</t>
  </si>
  <si>
    <t>37-2N-28-209T-0232-0000</t>
  </si>
  <si>
    <t>96232 TUSCANY WAY</t>
  </si>
  <si>
    <t>UNIT 232 PT OR 1881/181 NOT DEVELOPED/VACANT</t>
  </si>
  <si>
    <t>37-2N-28-209T-0233-0000</t>
  </si>
  <si>
    <t>96233 TUSCANY WAY</t>
  </si>
  <si>
    <t>UNIT 233 PT OR 1881/181 NOT DEVELOPED/VACANT</t>
  </si>
  <si>
    <t>37-2N-28-209T-0234-0000</t>
  </si>
  <si>
    <t>96234 TUSCANY WAY</t>
  </si>
  <si>
    <t>UNIT 234 PT OR 1881/181 NOT DEVELOPED/VACANT</t>
  </si>
  <si>
    <t>37-2N-28-209T-0241-0000</t>
  </si>
  <si>
    <t>96241 TUSCANY WAY</t>
  </si>
  <si>
    <t>UNIT 241 PT OR 1881/181 NOT DEVELOPED/VACANT</t>
  </si>
  <si>
    <t>37-2N-28-209T-0242-0000</t>
  </si>
  <si>
    <t>96242 TUSCANY WAY</t>
  </si>
  <si>
    <t>UNIT 242 PT OR 1881/181 NOT DEVELOPED/VACANT</t>
  </si>
  <si>
    <t>37-2N-28-209T-0243-0000</t>
  </si>
  <si>
    <t>96243 TUSCANY WAY</t>
  </si>
  <si>
    <t>UNIT 243 PT OR 1881/181 NOT DEVELOPED/VACANT</t>
  </si>
  <si>
    <t>37-2N-28-209T-0244-0000</t>
  </si>
  <si>
    <t>96244 TUSCANY WAY</t>
  </si>
  <si>
    <t>UNIT 244 PT OR 1881/181 NOT DEVELOPED/VACANT</t>
  </si>
  <si>
    <t>37-2N-28-209T-0321-0000</t>
  </si>
  <si>
    <t>96321 TUSCANY WAY</t>
  </si>
  <si>
    <t>UNIT 321 PT OR 1881/181 NOT DEVELOPED/VACANT</t>
  </si>
  <si>
    <t>37-2N-28-209T-0322-0000</t>
  </si>
  <si>
    <t>96322 TUSCANY WAY</t>
  </si>
  <si>
    <t>UNIT 322 PT OR 1881/181 NOT DEVELOPED/VACANT</t>
  </si>
  <si>
    <t>37-2N-28-209T-0323-0000</t>
  </si>
  <si>
    <t>96323 TUSCANY WAY</t>
  </si>
  <si>
    <t>UNIT 323 PT OR 1881/181 NOT DEVELOPED/VACANT</t>
  </si>
  <si>
    <t>37-2N-28-209T-0324-0000</t>
  </si>
  <si>
    <t>96324 TUSCANY WAY</t>
  </si>
  <si>
    <t>UNIT 324 PT OR 1881/181 NOT DEVELOPED/VACANT</t>
  </si>
  <si>
    <t>37-2N-28-209T-0331-0000</t>
  </si>
  <si>
    <t>96331 TUSCANY WAY</t>
  </si>
  <si>
    <t>UNIT 331 PT OR 1881/181 NOT DEVELOPED/VACANT</t>
  </si>
  <si>
    <t>37-2N-28-209T-0332-0000</t>
  </si>
  <si>
    <t>96332 TUSCANY WAY</t>
  </si>
  <si>
    <t>UNIT 332 PT OR 1881/181 NOT DEVELOPED/VACANT</t>
  </si>
  <si>
    <t>37-2N-28-209T-0333-0000</t>
  </si>
  <si>
    <t>96333 TUSCANY WAY</t>
  </si>
  <si>
    <t>UNIT 333 PT OR 1881/181 NOT DEVELOPED/VACANT</t>
  </si>
  <si>
    <t>37-2N-28-209T-0334-0000</t>
  </si>
  <si>
    <t>96334 TUSCANY WAY</t>
  </si>
  <si>
    <t>UNIT 334 PT OR 1881/181 NOT DEVELOPED/VACANT</t>
  </si>
  <si>
    <t>37-2N-28-209T-0341-0000</t>
  </si>
  <si>
    <t>96341 TUSCANY WAY</t>
  </si>
  <si>
    <t>UNIT 341 PT OR 1881/181 NOT DEVELOPED/VACANT</t>
  </si>
  <si>
    <t>37-2N-28-209T-0342-0000</t>
  </si>
  <si>
    <t>96342 TUSCANY WAY</t>
  </si>
  <si>
    <t>UNIT 342 PT OR 1881/181 NOT DEVELOPED/VACANT</t>
  </si>
  <si>
    <t>37-2N-28-209T-0343-0000</t>
  </si>
  <si>
    <t>96343 TUSCANY WAY</t>
  </si>
  <si>
    <t>UNIT 343 PT OR 1881/181 NOT DEVELOPED/VACANT</t>
  </si>
  <si>
    <t>37-2N-28-209T-0344-0000</t>
  </si>
  <si>
    <t>96344 TUSCANY WAY</t>
  </si>
  <si>
    <t>UNIT 344 PT OR 1881/181 NOT DEVELOPED/VACANT</t>
  </si>
  <si>
    <t>37-2N-28-227V-005A-0000</t>
  </si>
  <si>
    <t>VILLAGE</t>
  </si>
  <si>
    <t>95158 VILLAGE DR</t>
  </si>
  <si>
    <t>ROWE CAROLYN G</t>
  </si>
  <si>
    <t>85272 AMARYLLIS CT</t>
  </si>
  <si>
    <t>5A</t>
  </si>
  <si>
    <t>LOT 5A IN OR 1983/820 THE VILLAGE @ MARSH LAKES PB 5/355</t>
  </si>
  <si>
    <t>12089C_621</t>
  </si>
  <si>
    <t>2017-1545</t>
  </si>
  <si>
    <t>F16402</t>
  </si>
  <si>
    <t>2015-1633</t>
  </si>
  <si>
    <t>KEYS TAX FUNDING LLC - 271</t>
  </si>
  <si>
    <t>37-2N-28-227W-0016-0000</t>
  </si>
  <si>
    <t>95287 VILLAGE DR</t>
  </si>
  <si>
    <t>TRAVER MICHAEL D</t>
  </si>
  <si>
    <t>TRAVER ROY</t>
  </si>
  <si>
    <t>95332 VILLAGE DR</t>
  </si>
  <si>
    <t>THE VILLAGES OF MARSH LAKE</t>
  </si>
  <si>
    <t>LOT 16 IN OR 1610/94 THE VILLAGES OF MARSH LAKES #2</t>
  </si>
  <si>
    <t>37-2N-28-5000-000A-0000</t>
  </si>
  <si>
    <t>PT OF TRACT B PT OR 236/535 &amp; OR 1253/1846 &amp; PT OR 1201/1678 &amp; OR 1429/1157</t>
  </si>
  <si>
    <t>2017-1546</t>
  </si>
  <si>
    <t>BISBEE LLC HPFR1C4</t>
  </si>
  <si>
    <t>2016-1572</t>
  </si>
  <si>
    <t>2015-1634</t>
  </si>
  <si>
    <t>2014-1719</t>
  </si>
  <si>
    <t>2013-1877</t>
  </si>
  <si>
    <t>2012-2189</t>
  </si>
  <si>
    <t>LUCA 4, LLC</t>
  </si>
  <si>
    <t>2011-2640</t>
  </si>
  <si>
    <t>37-2N-28-5000-0022-0000</t>
  </si>
  <si>
    <t>LIMPKIN</t>
  </si>
  <si>
    <t>LIMPKIN LN</t>
  </si>
  <si>
    <t>HILL SR MAHLON HUBERT</t>
  </si>
  <si>
    <t>THE MAHLON HUBERT HILL SR REVOCABLE TRUS</t>
  </si>
  <si>
    <t>1201 TRIBBLE WOODS CT</t>
  </si>
  <si>
    <t>LAWRENCEVILLE GA</t>
  </si>
  <si>
    <t>PINEY ISLAND</t>
  </si>
  <si>
    <t>LOT 22 IN OR 1752/687 PINEY ISLAND II PB 4/97</t>
  </si>
  <si>
    <t>37-2N-28-5000-0046-0000</t>
  </si>
  <si>
    <t>PINEY ISLAND DR</t>
  </si>
  <si>
    <t>BEAN WARREN C</t>
  </si>
  <si>
    <t>96295 PINEY ISLAND DR</t>
  </si>
  <si>
    <t>LOT 46 PT OF OR 492/1076 PINEY ISLAND II PB 4/97</t>
  </si>
  <si>
    <t>2013-1879</t>
  </si>
  <si>
    <t>2012-2191</t>
  </si>
  <si>
    <t>2011-2641</t>
  </si>
  <si>
    <t>37-2N-28-5000-0074-0000</t>
  </si>
  <si>
    <t>96044 PINEY ISLAND DR</t>
  </si>
  <si>
    <t>DYE AMY L</t>
  </si>
  <si>
    <t>LOT 74 PT OF TRACT B IN OR 1710/901 PINEY ISLAND PB 4/63 &amp; 64</t>
  </si>
  <si>
    <t>37-2N-28-5000-0076-0000</t>
  </si>
  <si>
    <t>96034 PINEY ISLAND DR</t>
  </si>
  <si>
    <t>WATKIVS TAMARA A VECCHIARELLO</t>
  </si>
  <si>
    <t>LOT 76 PT OF TRACT B IN OR 863/1496 &amp; OR 1705/930 PINEY ISLAND PB 4/63 &amp; 64</t>
  </si>
  <si>
    <t>2017-1548</t>
  </si>
  <si>
    <t>ECRU LLC R32DBJ</t>
  </si>
  <si>
    <t>2016-1574</t>
  </si>
  <si>
    <t>SECRETARIAT RESOURCES LLC SERIES A003435</t>
  </si>
  <si>
    <t>2015-1637</t>
  </si>
  <si>
    <t>B3395</t>
  </si>
  <si>
    <t>2014-1721</t>
  </si>
  <si>
    <t>2013-1881</t>
  </si>
  <si>
    <t>2012-2193</t>
  </si>
  <si>
    <t>US BANK CUST BISBEE LLC H171D9</t>
  </si>
  <si>
    <t>2011-2642</t>
  </si>
  <si>
    <t>37-2N-28-5000-0203-0000</t>
  </si>
  <si>
    <t>FIDDLER</t>
  </si>
  <si>
    <t>91006 FIDDLER DR</t>
  </si>
  <si>
    <t>MUSIC BLAKLY J</t>
  </si>
  <si>
    <t>LOT 203 (EX S-1) IN OR 1830/1723 PINEY ISLAND 1 PB 4/69</t>
  </si>
  <si>
    <t>2017-1549</t>
  </si>
  <si>
    <t>PELICAN JETTY CERTS AFOX LLC</t>
  </si>
  <si>
    <t>2016-1575</t>
  </si>
  <si>
    <t>BISBEE LLC JA196122</t>
  </si>
  <si>
    <t>2015-1638</t>
  </si>
  <si>
    <t>RRRRR1067</t>
  </si>
  <si>
    <t>2013-1883</t>
  </si>
  <si>
    <t>2012-2195</t>
  </si>
  <si>
    <t>BRIDGE TAX LLC - BB2 US BANK % BRIDGE TAX LLC-BB2</t>
  </si>
  <si>
    <t>37-2N-28-5000-0212-0000</t>
  </si>
  <si>
    <t>CRANE</t>
  </si>
  <si>
    <t>CRANE DR</t>
  </si>
  <si>
    <t>ROWE JONATHAN M</t>
  </si>
  <si>
    <t>ROWE SUSAN L</t>
  </si>
  <si>
    <t>3058 RIVERSIDE DR</t>
  </si>
  <si>
    <t>PT OF LOT 212 IN OR 1371/544 PINEY ISLAND I PB 4/69</t>
  </si>
  <si>
    <t>2017-1550</t>
  </si>
  <si>
    <t>SHANNON LAKES 441 COMPANY LLC</t>
  </si>
  <si>
    <t>2016-1576</t>
  </si>
  <si>
    <t>2015-1639</t>
  </si>
  <si>
    <t>2014-1722</t>
  </si>
  <si>
    <t>2013-1884</t>
  </si>
  <si>
    <t>2012-2197</t>
  </si>
  <si>
    <t>2011-2643</t>
  </si>
  <si>
    <t>37-2N-28-5000-0212-0010</t>
  </si>
  <si>
    <t>PT OF LOT 212 (S-1) IN OR 1371/547 PINEY ISLAND I PB 4/69</t>
  </si>
  <si>
    <t>2017-1551</t>
  </si>
  <si>
    <t>SANDERS GROVE 676 REO LLC</t>
  </si>
  <si>
    <t>2016-1577</t>
  </si>
  <si>
    <t>2015-1640</t>
  </si>
  <si>
    <t>2014-1723</t>
  </si>
  <si>
    <t>2013-1885</t>
  </si>
  <si>
    <t>2011-2644</t>
  </si>
  <si>
    <t>38-2N-28-0180-0044-0000</t>
  </si>
  <si>
    <t>BRADY POINT</t>
  </si>
  <si>
    <t>96067 BRADY POINT RD</t>
  </si>
  <si>
    <t>SALCICCIOLI JOHN</t>
  </si>
  <si>
    <t>SALCICCIOLI JANET E</t>
  </si>
  <si>
    <t>42 TWIN RIDGE RD</t>
  </si>
  <si>
    <t>BRADY POINT PRESERVE</t>
  </si>
  <si>
    <t>38-02N-28E</t>
  </si>
  <si>
    <t>LOT 44 IN OR 1322/1269 BRADY POINT PRESERVE PB 7/76</t>
  </si>
  <si>
    <t>38-2N-28-0180-0045-0000</t>
  </si>
  <si>
    <t>96073 BRADY POINT RD</t>
  </si>
  <si>
    <t>KRYSIAK ALICE</t>
  </si>
  <si>
    <t>SIEGEL MARC</t>
  </si>
  <si>
    <t>2625 BLACKBEARD PL</t>
  </si>
  <si>
    <t>LOT 45 IN OR 1329/812 &amp; OR 1502/1112 BRADY POINT PRESERVE PB 7/76</t>
  </si>
  <si>
    <t>38-2N-28-0180-0050-0000</t>
  </si>
  <si>
    <t>96187 BRADY POINT RD</t>
  </si>
  <si>
    <t>ESB INVESTMENTS LLC</t>
  </si>
  <si>
    <t>95540 CLEMENTS RD</t>
  </si>
  <si>
    <t>LOT 50 IN OR 1989/1211 BRADY POINT PRESERVE PB 7/76</t>
  </si>
  <si>
    <t>2014-1725</t>
  </si>
  <si>
    <t>2012-2389</t>
  </si>
  <si>
    <t>2011-2647</t>
  </si>
  <si>
    <t>39-2N-28-0000-0002-0030</t>
  </si>
  <si>
    <t>ONEIL SCOTT</t>
  </si>
  <si>
    <t>ONEIL SCOTT RD</t>
  </si>
  <si>
    <t>JONES CHARLIE C</t>
  </si>
  <si>
    <t>31 ONEAL SCOTT RD</t>
  </si>
  <si>
    <t>39-02N-28E</t>
  </si>
  <si>
    <t>IN OR 788/1299 EX R/W OR 302/35</t>
  </si>
  <si>
    <t>2017-1553</t>
  </si>
  <si>
    <t>2015-1641</t>
  </si>
  <si>
    <t>2015-2338</t>
  </si>
  <si>
    <t>BTI 2015 LLC</t>
  </si>
  <si>
    <t>2013-1887</t>
  </si>
  <si>
    <t>2012-2413</t>
  </si>
  <si>
    <t>2011-2650</t>
  </si>
  <si>
    <t>39-2N-28-0000-0002-0080</t>
  </si>
  <si>
    <t>BARNWELL</t>
  </si>
  <si>
    <t>BARNWELL RD</t>
  </si>
  <si>
    <t>BROWN JESSE V</t>
  </si>
  <si>
    <t>BROWN CHARENE S</t>
  </si>
  <si>
    <t>87362 HAVEN RD</t>
  </si>
  <si>
    <t>IN OR 499 PG 1411 EX OR 375 PG 735</t>
  </si>
  <si>
    <t>2017-1554</t>
  </si>
  <si>
    <t>DAKES 38696 LLC</t>
  </si>
  <si>
    <t>2016-1578</t>
  </si>
  <si>
    <t>2015-1642</t>
  </si>
  <si>
    <t>2014-1727</t>
  </si>
  <si>
    <t>2013-1888</t>
  </si>
  <si>
    <t>2012-2414</t>
  </si>
  <si>
    <t>2011-2651</t>
  </si>
  <si>
    <t>39-2N-28-0000-0002-0110</t>
  </si>
  <si>
    <t>95102 BARNWELL RD</t>
  </si>
  <si>
    <t>IN OR 321/26</t>
  </si>
  <si>
    <t>2017-1555</t>
  </si>
  <si>
    <t>ZIYOS 11004 LLC</t>
  </si>
  <si>
    <t>2016-1579</t>
  </si>
  <si>
    <t>2015-1643</t>
  </si>
  <si>
    <t>2014-1728</t>
  </si>
  <si>
    <t>2013-1889</t>
  </si>
  <si>
    <t>2012-2415</t>
  </si>
  <si>
    <t>2011-2653</t>
  </si>
  <si>
    <t>39-2N-28-0000-0010-0000</t>
  </si>
  <si>
    <t>JASON</t>
  </si>
  <si>
    <t>96060 JASON WAY</t>
  </si>
  <si>
    <t>SCOTT LOIS B</t>
  </si>
  <si>
    <t>SCOTT ELBERT O</t>
  </si>
  <si>
    <t>IN OR 1655/441 ESMT OR 1108/50</t>
  </si>
  <si>
    <t>2017-1556</t>
  </si>
  <si>
    <t>ECRU LLC R58EJ</t>
  </si>
  <si>
    <t>2016-1581</t>
  </si>
  <si>
    <t>ECRU LLC PM2FFDFDFH4</t>
  </si>
  <si>
    <t>2015-1645</t>
  </si>
  <si>
    <t>PELICAN PASS TAX AJUR LLC</t>
  </si>
  <si>
    <t>39-2N-28-0000-0012-0100</t>
  </si>
  <si>
    <t>ONEIL-SCOTT</t>
  </si>
  <si>
    <t>ONEIL-SCOTT RD</t>
  </si>
  <si>
    <t>SCOTT STANLEY V</t>
  </si>
  <si>
    <t>SCOTT GLADYS T</t>
  </si>
  <si>
    <t>10624 NW HIGHWAY 225A</t>
  </si>
  <si>
    <t>PT OR 1718/1885</t>
  </si>
  <si>
    <t>39-2N-28-0000-0013-0010</t>
  </si>
  <si>
    <t>96302 ONEIL-SCOTT RD</t>
  </si>
  <si>
    <t>CRIBB PATRICIA A</t>
  </si>
  <si>
    <t>WAY ELIPHUS J</t>
  </si>
  <si>
    <t>8735 FREE AVE</t>
  </si>
  <si>
    <t>IN OR 1376/1897 EX R/W IN OR 229/419</t>
  </si>
  <si>
    <t>2017-1558</t>
  </si>
  <si>
    <t>2015-1647</t>
  </si>
  <si>
    <t>2014-1731</t>
  </si>
  <si>
    <t>2013-1892</t>
  </si>
  <si>
    <t>2012-2417</t>
  </si>
  <si>
    <t>2011-2657</t>
  </si>
  <si>
    <t>39-2N-28-0000-0013-0030</t>
  </si>
  <si>
    <t>LONNIES</t>
  </si>
  <si>
    <t>96101 LONNIES LN</t>
  </si>
  <si>
    <t>JONES OSCAR</t>
  </si>
  <si>
    <t>JONES JOSHUA A</t>
  </si>
  <si>
    <t>96072 LONNIES LN</t>
  </si>
  <si>
    <t>IN OR 1376/1898</t>
  </si>
  <si>
    <t>2017-1559</t>
  </si>
  <si>
    <t>2012-3236</t>
  </si>
  <si>
    <t>39-2N-28-0000-0013-0040</t>
  </si>
  <si>
    <t>96059 LONNIES LN</t>
  </si>
  <si>
    <t>BENJAMIN MARY L</t>
  </si>
  <si>
    <t>96384 MOUNT ZION LOOP</t>
  </si>
  <si>
    <t>IN OR 354 PG 664 R622304 &amp; R622310 EX R/W OR 302/50</t>
  </si>
  <si>
    <t>2016-1582</t>
  </si>
  <si>
    <t>MELTON LILLIE</t>
  </si>
  <si>
    <t>2015-1648</t>
  </si>
  <si>
    <t>VVVVV665</t>
  </si>
  <si>
    <t>2014-1732</t>
  </si>
  <si>
    <t>39-2N-28-0000-0014-0000</t>
  </si>
  <si>
    <t>96216 ONEIL-SCOTT RD</t>
  </si>
  <si>
    <t>JONES CHARLIE</t>
  </si>
  <si>
    <t>96216 ONEIL SCOTT RD</t>
  </si>
  <si>
    <t>IN OR 91/255 R567690 EX R/W OR 302 PG 32</t>
  </si>
  <si>
    <t>2016-1583</t>
  </si>
  <si>
    <t>2015-1649</t>
  </si>
  <si>
    <t>2013-1893</t>
  </si>
  <si>
    <t>2012-2418</t>
  </si>
  <si>
    <t>2011-2658</t>
  </si>
  <si>
    <t>39-2N-28-0000-0015-0000</t>
  </si>
  <si>
    <t>96299 ONEIL-SCOTT RD</t>
  </si>
  <si>
    <t>FRENCH MARGIE C</t>
  </si>
  <si>
    <t>4398 LORI LOOP RD</t>
  </si>
  <si>
    <t>PT MARGARET ONEIL GRANT PAR 15 IN OR 1680/1174 (EX R/W OR 302/38)</t>
  </si>
  <si>
    <t>2017-1560</t>
  </si>
  <si>
    <t>MAYBELLE KIRKLAND-BROWN</t>
  </si>
  <si>
    <t>2016-1584</t>
  </si>
  <si>
    <t>2015-1650</t>
  </si>
  <si>
    <t>2011-2659</t>
  </si>
  <si>
    <t>39-2N-28-0000-0016-0000</t>
  </si>
  <si>
    <t>96275 ONEIL-SCOTT RD</t>
  </si>
  <si>
    <t>BARKER &amp; BARKER PA</t>
  </si>
  <si>
    <t>PT MARGARET ONEIL GRANT PAR 16 PT OR 1648/1956</t>
  </si>
  <si>
    <t>2017-1561</t>
  </si>
  <si>
    <t>2016-1585</t>
  </si>
  <si>
    <t>FL SUB-ACCOUNTS 200-205 204319 US BANK CUST FOR PFS FINANCIAL 2 LLC</t>
  </si>
  <si>
    <t>2015-1651</t>
  </si>
  <si>
    <t>A25229</t>
  </si>
  <si>
    <t>2012-2419</t>
  </si>
  <si>
    <t>2011-2660</t>
  </si>
  <si>
    <t>39-2N-28-0000-0016-0010</t>
  </si>
  <si>
    <t>PT MARGARET ONEIL GRANT PAR 16-1 PT OR 1648/1956</t>
  </si>
  <si>
    <t>2017-1562</t>
  </si>
  <si>
    <t>2016-1586</t>
  </si>
  <si>
    <t>BENNU LLC JAEC2A</t>
  </si>
  <si>
    <t>2015-1652</t>
  </si>
  <si>
    <t>2012-2420</t>
  </si>
  <si>
    <t>2011-2661</t>
  </si>
  <si>
    <t>39-2N-28-011B-0002-0000</t>
  </si>
  <si>
    <t>BARNWELL CIR</t>
  </si>
  <si>
    <t>TOLLISON HUGH K SR &amp; H KENNETH JR &amp; LAWTON TOLLISON</t>
  </si>
  <si>
    <t>PO BOX 937</t>
  </si>
  <si>
    <t>BARNWELL ESTATES</t>
  </si>
  <si>
    <t>LOT 2 EX PT OR 745/1523 PT OR 740/357 BARNWELL ESTATES PB 5/226</t>
  </si>
  <si>
    <t>2017-1563</t>
  </si>
  <si>
    <t>2016-1589</t>
  </si>
  <si>
    <t>2015-1654</t>
  </si>
  <si>
    <t>2015-2339</t>
  </si>
  <si>
    <t>2013-1898</t>
  </si>
  <si>
    <t>2012-2424</t>
  </si>
  <si>
    <t>2011-2664</t>
  </si>
  <si>
    <t>39-2N-28-5020-0007-0000</t>
  </si>
  <si>
    <t>WATKINS THOMAS</t>
  </si>
  <si>
    <t>WATKINS GWENDOLYN P</t>
  </si>
  <si>
    <t>2224 S DUNSMUIR AVE</t>
  </si>
  <si>
    <t>LOS ANGELES CA</t>
  </si>
  <si>
    <t>LOT 7 OR 508/52 LENWORTH S MORRISON S/D DBK 258/27-51</t>
  </si>
  <si>
    <t>2017-1564</t>
  </si>
  <si>
    <t>SETPER LLC O73010 SERIES</t>
  </si>
  <si>
    <t>39-2N-28-5020-000C-0000</t>
  </si>
  <si>
    <t>OFF BARNWELL</t>
  </si>
  <si>
    <t>OFF BARNWELL RD</t>
  </si>
  <si>
    <t>L S &amp; ELIZABETH MORRISON</t>
  </si>
  <si>
    <t>PO BOX 3298</t>
  </si>
  <si>
    <t>LOT C IN OR 1641/858 LENWORTH S MORRISON S/D DBK 258/27-51</t>
  </si>
  <si>
    <t>39-2N-28-5020-0012-0000</t>
  </si>
  <si>
    <t>L S MORRISON</t>
  </si>
  <si>
    <t>L S MORRISON DR</t>
  </si>
  <si>
    <t>LOT 12 (EX R/W IN OR 384/81) LENWORTH S MORRISON S/D DBK 258/27-51</t>
  </si>
  <si>
    <t>2017-1565</t>
  </si>
  <si>
    <t>40-2N-28-0000-0020-0000</t>
  </si>
  <si>
    <t>40-02N-28E</t>
  </si>
  <si>
    <t>IN OR 520 PG 1011</t>
  </si>
  <si>
    <t>2017-1568</t>
  </si>
  <si>
    <t>BISBEE LLC M1F13AAR</t>
  </si>
  <si>
    <t>2016-1594</t>
  </si>
  <si>
    <t>F12684</t>
  </si>
  <si>
    <t>2015-1661</t>
  </si>
  <si>
    <t>2014-1739</t>
  </si>
  <si>
    <t>2013-1904</t>
  </si>
  <si>
    <t>2012-2436</t>
  </si>
  <si>
    <t>2011-2670</t>
  </si>
  <si>
    <t>40-2N-28-0000-0049-0140</t>
  </si>
  <si>
    <t>HARDY ALLEN</t>
  </si>
  <si>
    <t>96179 HARDY ALLEN RD</t>
  </si>
  <si>
    <t>FRANCIS MCCORMISK WAYNE</t>
  </si>
  <si>
    <t>85017 WAYNES PL</t>
  </si>
  <si>
    <t>IN OR 1318/628 R568060 &amp; R568061</t>
  </si>
  <si>
    <t>2017-1569</t>
  </si>
  <si>
    <t>FEXAP 26590 LLC</t>
  </si>
  <si>
    <t>2016-1595</t>
  </si>
  <si>
    <t>KINGFISHER KEY TAX AHYH LLC</t>
  </si>
  <si>
    <t>2015-1662</t>
  </si>
  <si>
    <t>ORANGE WHALES ACHL LLC</t>
  </si>
  <si>
    <t>2014-1743</t>
  </si>
  <si>
    <t>2013-1907</t>
  </si>
  <si>
    <t>2012-2442</t>
  </si>
  <si>
    <t>2011-2674</t>
  </si>
  <si>
    <t>40-2N-28-1590-0102-0000</t>
  </si>
  <si>
    <t>PALMETTO</t>
  </si>
  <si>
    <t>95096 PALMETTO TRL</t>
  </si>
  <si>
    <t>NORMANDIN MELINDA K</t>
  </si>
  <si>
    <t>OTTER RUN</t>
  </si>
  <si>
    <t>LOT 102 IN OR 1514/1308 OTTER RUN PB 5/156</t>
  </si>
  <si>
    <t>2017-1573</t>
  </si>
  <si>
    <t>GRASS BAYOU CERTS 5AYV LLC</t>
  </si>
  <si>
    <t>2016-1602</t>
  </si>
  <si>
    <t>B111072</t>
  </si>
  <si>
    <t>2015-1670</t>
  </si>
  <si>
    <t>STORK CERTS 810 LLC</t>
  </si>
  <si>
    <t>2014-1746</t>
  </si>
  <si>
    <t>2012-2447</t>
  </si>
  <si>
    <t>BRIDGE TAX LLC - T1 US BANK % BRIDGE TAX LLC-T1</t>
  </si>
  <si>
    <t>2011-2684</t>
  </si>
  <si>
    <t>40-2N-28-159O-0001-0000</t>
  </si>
  <si>
    <t>CALHOUN</t>
  </si>
  <si>
    <t>THEOBALD REMONA R</t>
  </si>
  <si>
    <t>OYSTERVILLE</t>
  </si>
  <si>
    <t>LOT 1 OR 676/1920 &amp; OR 700/332 OYSTERVILLE PB 5/358-359</t>
  </si>
  <si>
    <t>41-2N-28-0000-0003-0080</t>
  </si>
  <si>
    <t>LITTLEBERRY</t>
  </si>
  <si>
    <t>LITTLEBERRY LN</t>
  </si>
  <si>
    <t>41-02N-28E</t>
  </si>
  <si>
    <t>PT SEC 41-2N-28E IN OR 1989/1212</t>
  </si>
  <si>
    <t>41-2N-28-0000-0006-0000</t>
  </si>
  <si>
    <t>96044 LITTLEBERRY LN</t>
  </si>
  <si>
    <t>LEIGH JAMES NELSON</t>
  </si>
  <si>
    <t>3121 LAKE SHORE BLVD</t>
  </si>
  <si>
    <t>PT D FERNANDEZ GRANTS SECS 38 &amp; 41-2N-28E IN OR 781/267 &amp; OR 1730/526 &amp;</t>
  </si>
  <si>
    <t>12089C_841</t>
  </si>
  <si>
    <t>2017-1581</t>
  </si>
  <si>
    <t>SALT CREEK CERT 140 LLC</t>
  </si>
  <si>
    <t>2016-1605</t>
  </si>
  <si>
    <t>OCEAN ADVISORS27873</t>
  </si>
  <si>
    <t>2012-2460</t>
  </si>
  <si>
    <t>2011-2689</t>
  </si>
  <si>
    <t>43-2N-28-0000-0001-0090</t>
  </si>
  <si>
    <t>FRANK WARD</t>
  </si>
  <si>
    <t>FRANK WARD RD</t>
  </si>
  <si>
    <t>JENKINS JOHN A</t>
  </si>
  <si>
    <t>95098 FRANK WARD RD</t>
  </si>
  <si>
    <t>43-02N-28E</t>
  </si>
  <si>
    <t>IN OR 324 PG 867 EX 1-12 &amp; EX R/W OR 978/303 L/E PT OR 815/494</t>
  </si>
  <si>
    <t>2016-1606</t>
  </si>
  <si>
    <t>2015-1673</t>
  </si>
  <si>
    <t>2015-2341</t>
  </si>
  <si>
    <t>43-2N-28-0000-0001-0120</t>
  </si>
  <si>
    <t>95082 FRANK WARD RD</t>
  </si>
  <si>
    <t>IN OR 764 PG 1455 L/E PT OR 815/494 EX R/W OR 978/303</t>
  </si>
  <si>
    <t>2017-1582</t>
  </si>
  <si>
    <t>RENAISSANCE COMMONS 328 SERVICING LLC</t>
  </si>
  <si>
    <t>2016-1607</t>
  </si>
  <si>
    <t>D192641</t>
  </si>
  <si>
    <t>2015-1674</t>
  </si>
  <si>
    <t>2014-1751</t>
  </si>
  <si>
    <t>2013-1915</t>
  </si>
  <si>
    <t>2012-2794</t>
  </si>
  <si>
    <t>43-2N-28-0000-0001-0140</t>
  </si>
  <si>
    <t>TAMMY TL</t>
  </si>
  <si>
    <t>HORTON JR JOHN D</t>
  </si>
  <si>
    <t>474379 E STATE ROAD 200</t>
  </si>
  <si>
    <t>PT D FERNANDEZ GRANT SEC 43-2N-28E IN OR 879/580</t>
  </si>
  <si>
    <t>43-2N-28-0000-0003-0000</t>
  </si>
  <si>
    <t>IN OR 1770/1907 EX R/W OR 978/297 &amp; EX R/W OR 1015/1600</t>
  </si>
  <si>
    <t>12089C_543</t>
  </si>
  <si>
    <t>2017-1583</t>
  </si>
  <si>
    <t>BANANA RIVER 279 COMPANY LLC</t>
  </si>
  <si>
    <t>2016-1608</t>
  </si>
  <si>
    <t>PORK CHOP SANDWICHES UEKWRI</t>
  </si>
  <si>
    <t>2015-1675</t>
  </si>
  <si>
    <t>LATHROP MANAGEMENT FUNDING LLCSERIES 10589</t>
  </si>
  <si>
    <t>2014-1752</t>
  </si>
  <si>
    <t>2013-1916</t>
  </si>
  <si>
    <t>43-2N-28-0000-0003-0040</t>
  </si>
  <si>
    <t>FLATWOODS TL</t>
  </si>
  <si>
    <t>95184 FLATWOODS TL</t>
  </si>
  <si>
    <t>MCCARROLL MICHAEL ORY</t>
  </si>
  <si>
    <t>MCCARROLL ASHLEY C</t>
  </si>
  <si>
    <t>95184 FLATWOODS TRL</t>
  </si>
  <si>
    <t>IN OR 1903/834</t>
  </si>
  <si>
    <t>2017-1584</t>
  </si>
  <si>
    <t>EMERALD COAST 200 LEASE MANGEMENT LLC</t>
  </si>
  <si>
    <t>2016-1609</t>
  </si>
  <si>
    <t>2013-1917</t>
  </si>
  <si>
    <t>2012-2795</t>
  </si>
  <si>
    <t>2011-2695</t>
  </si>
  <si>
    <t>43-2N-28-0000-0003-0050</t>
  </si>
  <si>
    <t>FLATWOODS</t>
  </si>
  <si>
    <t>IN OR 1903/837</t>
  </si>
  <si>
    <t>2017-1585</t>
  </si>
  <si>
    <t>SKYLER LLC O53117 SERIES</t>
  </si>
  <si>
    <t>2016-1610</t>
  </si>
  <si>
    <t>SECRETARIAT RESOURCES LLC SERIES A006033</t>
  </si>
  <si>
    <t>2013-1918</t>
  </si>
  <si>
    <t>2012-2796</t>
  </si>
  <si>
    <t>2011-2696</t>
  </si>
  <si>
    <t>43-2N-28-0000-0003-0060</t>
  </si>
  <si>
    <t>OFF FRANK WARD</t>
  </si>
  <si>
    <t>OFF FRANK WARD RD</t>
  </si>
  <si>
    <t>FRANK</t>
  </si>
  <si>
    <t>IN OR 1903/840</t>
  </si>
  <si>
    <t>2017-1586</t>
  </si>
  <si>
    <t>2016-1611</t>
  </si>
  <si>
    <t>44-2N-28-0000-0023-0010</t>
  </si>
  <si>
    <t>ARBOR</t>
  </si>
  <si>
    <t>IN OR 410 PGS 33 &amp; 35 EX 23-2 &amp; 23-4 EX ESMT PT OR 1873/1188</t>
  </si>
  <si>
    <t>2012-2865</t>
  </si>
  <si>
    <t>2011-2702</t>
  </si>
  <si>
    <t>44-2N-28-0000-0029-0030</t>
  </si>
  <si>
    <t>941490 OLD NASSAUVILLE RD</t>
  </si>
  <si>
    <t>CUMMING WILLIE CARL</t>
  </si>
  <si>
    <t>IN OR 1745/179</t>
  </si>
  <si>
    <t>2014-1755</t>
  </si>
  <si>
    <t>2013-1922</t>
  </si>
  <si>
    <t>2012-2868</t>
  </si>
  <si>
    <t>44-2N-28-5120-000A-0160</t>
  </si>
  <si>
    <t>STINGRAY</t>
  </si>
  <si>
    <t>95083 STINGRAY LN</t>
  </si>
  <si>
    <t>MANCIL LARRY E</t>
  </si>
  <si>
    <t>MANCIL JUDITH E</t>
  </si>
  <si>
    <t>PT OF TRACT A IN OR 943/723 1993 JACO DW/MH</t>
  </si>
  <si>
    <t>2016-1613</t>
  </si>
  <si>
    <t>ECRU LLC TSBM7AC</t>
  </si>
  <si>
    <t>44-2N-28-5130-0013-0000</t>
  </si>
  <si>
    <t>95143 ELLIS LANDING RD</t>
  </si>
  <si>
    <t>LITTLE JOSEPH C &amp; L C</t>
  </si>
  <si>
    <t>LOT 13 OR 155 PG 244 ELLIS LANDING UNR</t>
  </si>
  <si>
    <t>2017-1587</t>
  </si>
  <si>
    <t>KINGFISHER KEY RED ABOT LLC</t>
  </si>
  <si>
    <t>2016-1615</t>
  </si>
  <si>
    <t>ECRU LLC AK3B8C044</t>
  </si>
  <si>
    <t>2015-1681</t>
  </si>
  <si>
    <t>REDFIELD FUNDING LLC - SER 1155 A21</t>
  </si>
  <si>
    <t>2014-1757</t>
  </si>
  <si>
    <t>2013-1925</t>
  </si>
  <si>
    <t>2012-2871</t>
  </si>
  <si>
    <t>2011-2706</t>
  </si>
  <si>
    <t>44-2N-28-5130-0032-0000</t>
  </si>
  <si>
    <t>GERALD</t>
  </si>
  <si>
    <t>95084 GERALD CIR</t>
  </si>
  <si>
    <t>MARSH DENNIS LEE</t>
  </si>
  <si>
    <t>LOT 32 R787542 IN OR 1939/1916 ELLIS LANDING UNR</t>
  </si>
  <si>
    <t>2017-1589</t>
  </si>
  <si>
    <t>2015-1683</t>
  </si>
  <si>
    <t>2011-2709</t>
  </si>
  <si>
    <t>44-2N-28-5130-0054-0000</t>
  </si>
  <si>
    <t>LOTS 54 &amp; 55 IN OR 1977/545 ELLIS LANDING UNR</t>
  </si>
  <si>
    <t>44-2N-28-5130-0063-0000</t>
  </si>
  <si>
    <t>ELLIS LANDING RD</t>
  </si>
  <si>
    <t>TAYLOR HOWARD L</t>
  </si>
  <si>
    <t>TAYLOR YOLANDA D</t>
  </si>
  <si>
    <t>95124 ELLIS LANDING RD</t>
  </si>
  <si>
    <t>LOT 63 IN OR 1010/395 ELLIS LANDING UNR</t>
  </si>
  <si>
    <t>2016-1617</t>
  </si>
  <si>
    <t>2015-1684</t>
  </si>
  <si>
    <t>2014-1760</t>
  </si>
  <si>
    <t>2013-1928</t>
  </si>
  <si>
    <t>2012-2873</t>
  </si>
  <si>
    <t>2011-2710</t>
  </si>
  <si>
    <t>44-2N-28-5136-0003-0000</t>
  </si>
  <si>
    <t>ALLIGATOR CREEK</t>
  </si>
  <si>
    <t>95458 ALLIGATOR CREEK RD</t>
  </si>
  <si>
    <t>MIRSCHELL JOHN H</t>
  </si>
  <si>
    <t>1224 HARRISON POINT TRL</t>
  </si>
  <si>
    <t>HOLLY OAK</t>
  </si>
  <si>
    <t>LOT 3 IN OR 1221/1190 2004 FTWD DW/MH HOLLY OAK SUB PB 5/309</t>
  </si>
  <si>
    <t>44-2N-28-5160-000A-0140</t>
  </si>
  <si>
    <t>95145 ARBOR LN</t>
  </si>
  <si>
    <t>THOMAS DAVID R</t>
  </si>
  <si>
    <t>THOMAS KIMBERLY R</t>
  </si>
  <si>
    <t>PT OF TRACT A IN OR 537/545 SEYMORE POINT ADDN #1 PBK 2/62</t>
  </si>
  <si>
    <t>2017-1591</t>
  </si>
  <si>
    <t>CENTURY BLVD 933 RENTING REO LLC</t>
  </si>
  <si>
    <t>2016-1618</t>
  </si>
  <si>
    <t>PLEASANT VALLEY CAPITAL LLC - 75 A16</t>
  </si>
  <si>
    <t>2015-1687</t>
  </si>
  <si>
    <t>PKW - 245711 - GREENVILLE EIGHTEEN PERCENT US BANK CUST FOR PFS FINANCIAL 2 LLC</t>
  </si>
  <si>
    <t>2014-1761</t>
  </si>
  <si>
    <t>2013-1930</t>
  </si>
  <si>
    <t>2012-2876</t>
  </si>
  <si>
    <t>GARNET ROCK LLC - 381 US BANK % GARNET ROCK LLC-381</t>
  </si>
  <si>
    <t>2011-2713</t>
  </si>
  <si>
    <t>44-2N-28-5180-0005-0020</t>
  </si>
  <si>
    <t>LADYFISH</t>
  </si>
  <si>
    <t>95020 LADYFISH LN</t>
  </si>
  <si>
    <t>BOUDROW REANNA A</t>
  </si>
  <si>
    <t>PT OF LOT 5 (S-2 &amp; S-3) IN OR 1717/980 WILDERS NASSAU RIVER FRONT</t>
  </si>
  <si>
    <t>2017-1592</t>
  </si>
  <si>
    <t>FISHPARROT 627 LLC</t>
  </si>
  <si>
    <t>2016-1619</t>
  </si>
  <si>
    <t>D9617</t>
  </si>
  <si>
    <t>2015-1688</t>
  </si>
  <si>
    <t>FREMONT CAPITAL MANAGEMENT174125</t>
  </si>
  <si>
    <t>2013-1931</t>
  </si>
  <si>
    <t>2012-2877</t>
  </si>
  <si>
    <t>GARNET ROCK LLC - 368 US BANK % GARNET ROCK LLC-368</t>
  </si>
  <si>
    <t>44-2N-28-5210-0006-0000</t>
  </si>
  <si>
    <t>SR 107-A</t>
  </si>
  <si>
    <t>1670 SR 107-A</t>
  </si>
  <si>
    <t>WILSON AVA A</t>
  </si>
  <si>
    <t>RAINBOW ACRES</t>
  </si>
  <si>
    <t>LOT 6 IN OR 248 PG 579 RAINBOW ACRES SUB</t>
  </si>
  <si>
    <t>12089C_1130</t>
  </si>
  <si>
    <t>2017-1593</t>
  </si>
  <si>
    <t>2016-1620</t>
  </si>
  <si>
    <t>2015-1689</t>
  </si>
  <si>
    <t>2014-1762</t>
  </si>
  <si>
    <t>2013-1932</t>
  </si>
  <si>
    <t>2012-2879</t>
  </si>
  <si>
    <t>2011-2715</t>
  </si>
  <si>
    <t>44-2N-28-5210-0010-0000</t>
  </si>
  <si>
    <t>95149 RAINBOW ACRES RD</t>
  </si>
  <si>
    <t>CORBITT RONALD</t>
  </si>
  <si>
    <t>CORBITT MAXINE</t>
  </si>
  <si>
    <t>LOTS 10 &amp; 11 RP 1781 &amp; R788209 &amp; R788210 MH/ID GAFL1AD34074405</t>
  </si>
  <si>
    <t>2017-1594</t>
  </si>
  <si>
    <t>LUNAR PRIME175727</t>
  </si>
  <si>
    <t>2016-1621</t>
  </si>
  <si>
    <t>RAPTY TRUST SERIES 16887</t>
  </si>
  <si>
    <t>2015-1690</t>
  </si>
  <si>
    <t>GTURN LLC AND GHETT TL LLC PARTNERSHIP 1566</t>
  </si>
  <si>
    <t>2014-1763</t>
  </si>
  <si>
    <t>2013-1933</t>
  </si>
  <si>
    <t>2011-2716</t>
  </si>
  <si>
    <t>44-2N-28-5210-0013-0010</t>
  </si>
  <si>
    <t>95237 RAINBOW ACRES RD</t>
  </si>
  <si>
    <t>CARTER EDWARD M</t>
  </si>
  <si>
    <t>95231 RAINBOW ACRES RD</t>
  </si>
  <si>
    <t>PT OF LOT 13 OR 835/627 &amp; CASE #01-151-DR R787504 &amp; R787505</t>
  </si>
  <si>
    <t>2016-1622</t>
  </si>
  <si>
    <t>GAIKOCERTS 563 LLC</t>
  </si>
  <si>
    <t>2015-1691</t>
  </si>
  <si>
    <t>2014-1764</t>
  </si>
  <si>
    <t>2013-1934</t>
  </si>
  <si>
    <t>2012-3248</t>
  </si>
  <si>
    <t>44-2N-28-5210-0047-0020</t>
  </si>
  <si>
    <t>95379 ALLIGATOR CREEK RD</t>
  </si>
  <si>
    <t>SEVILLA CHRISTOPHER J</t>
  </si>
  <si>
    <t>SEVILLA ASHLEY D</t>
  </si>
  <si>
    <t>PT OF LOTS 47 &amp; 48 IN OR 2055/717 &amp; WELL ESMT IN OR 691/1260</t>
  </si>
  <si>
    <t>2017-1597</t>
  </si>
  <si>
    <t>BEEGREO INVESTMENTS 1055 LLC</t>
  </si>
  <si>
    <t>44-2N-28-5210-0054-0010</t>
  </si>
  <si>
    <t>CANOE</t>
  </si>
  <si>
    <t>95002 CANOE LN</t>
  </si>
  <si>
    <t>FERNANDINA BEACH FL 32023</t>
  </si>
  <si>
    <t>DENMARK GARY</t>
  </si>
  <si>
    <t>PT LOT 54 IN OR 1970/1639 RAINBOW ACRES SUB UNR</t>
  </si>
  <si>
    <t>2017-1598</t>
  </si>
  <si>
    <t>WALKING PATH 583 TAX RE LLC</t>
  </si>
  <si>
    <t>2016-1624</t>
  </si>
  <si>
    <t>45-2N-28-0000-0003-0000</t>
  </si>
  <si>
    <t>OFF SR 107</t>
  </si>
  <si>
    <t>PRINCE CHAPEL AME CHURCH OF NASSAUVILLE</t>
  </si>
  <si>
    <t>PO BOX 15997</t>
  </si>
  <si>
    <t>45-02N-28E</t>
  </si>
  <si>
    <t>IN OR 463 PG 29</t>
  </si>
  <si>
    <t>2016-1626</t>
  </si>
  <si>
    <t>2013-1938</t>
  </si>
  <si>
    <t>2011-2719</t>
  </si>
  <si>
    <t>45-2N-28-0000-0007-0020</t>
  </si>
  <si>
    <t>940261 OLD NASSAUVILLE RD</t>
  </si>
  <si>
    <t>WALL BRIAN A</t>
  </si>
  <si>
    <t>WALL ANGELA</t>
  </si>
  <si>
    <t>IN OR 1641/575</t>
  </si>
  <si>
    <t>2017-1600</t>
  </si>
  <si>
    <t>FFF352</t>
  </si>
  <si>
    <t>2016-1627</t>
  </si>
  <si>
    <t>SUTTON INVESTMENT44761</t>
  </si>
  <si>
    <t>2015-1695</t>
  </si>
  <si>
    <t>GALILEE CAPITAL LLC SERIES A020779</t>
  </si>
  <si>
    <t>2014-1767</t>
  </si>
  <si>
    <t>2013-1940</t>
  </si>
  <si>
    <t>2012-2895</t>
  </si>
  <si>
    <t>2011-2720</t>
  </si>
  <si>
    <t>45-2N-28-0000-0011-0000</t>
  </si>
  <si>
    <t>ALBERT</t>
  </si>
  <si>
    <t>95050 ALBERT WAY</t>
  </si>
  <si>
    <t>ALBERT EUGENE</t>
  </si>
  <si>
    <t>THE ALBERT FAMILY IRREVOCABLE TRUST</t>
  </si>
  <si>
    <t>6323 ARDLEIGH ST</t>
  </si>
  <si>
    <t>PHILADELPHIA PA</t>
  </si>
  <si>
    <t>TRACT A IN OR 1267/944 EX 11-1</t>
  </si>
  <si>
    <t>2017-1601</t>
  </si>
  <si>
    <t>TLSK LLC AND THALSA LLC PARTNERSHIP 20</t>
  </si>
  <si>
    <t>2016-1628</t>
  </si>
  <si>
    <t>KEYS FUNDING LLC - 3413</t>
  </si>
  <si>
    <t>2015-1696</t>
  </si>
  <si>
    <t>PELICAN PERCH CERTS ACBU LLC</t>
  </si>
  <si>
    <t>2014-1768</t>
  </si>
  <si>
    <t>2013-1941</t>
  </si>
  <si>
    <t>2012-2896</t>
  </si>
  <si>
    <t>GARNET ROCK LLC - 342 US BANK % GARNET ROCK LLC-342</t>
  </si>
  <si>
    <t>2011-2721</t>
  </si>
  <si>
    <t>45-2N-28-0000-0012-0010</t>
  </si>
  <si>
    <t>DUEY JOHN CRAIG</t>
  </si>
  <si>
    <t>DUEY ANNE B</t>
  </si>
  <si>
    <t>PT JOHN CHISTOPHER GRANT SEC 45-2N-28E L/E OR 1939/1228 (EX FPL UTIL ESMT OR 333/771)</t>
  </si>
  <si>
    <t>2017-1602</t>
  </si>
  <si>
    <t>PELICAN PASS TAX AJYB LLC</t>
  </si>
  <si>
    <t>45-2N-28-0000-0015-0010</t>
  </si>
  <si>
    <t>WINTERBERRY</t>
  </si>
  <si>
    <t>WINTERBERRY AV</t>
  </si>
  <si>
    <t>MANGE JOE W</t>
  </si>
  <si>
    <t>MANGE MARIE R</t>
  </si>
  <si>
    <t>3761 CEDARCREST DR</t>
  </si>
  <si>
    <t>IN OR 92 PG 527 &amp; OR 122/73 (EX OR 122/74)</t>
  </si>
  <si>
    <t>12089C_180</t>
  </si>
  <si>
    <t>2017-1603</t>
  </si>
  <si>
    <t>WORLD PARKWAY 429 REO LLC</t>
  </si>
  <si>
    <t>2016-1629</t>
  </si>
  <si>
    <t>C12962</t>
  </si>
  <si>
    <t>2015-1697</t>
  </si>
  <si>
    <t>CCTS ROSELAND 1 LLC US BANK AS CUSTODIAN FOR PFS FINANCIAL 1 LLC</t>
  </si>
  <si>
    <t>2014-1769</t>
  </si>
  <si>
    <t>2013-1942</t>
  </si>
  <si>
    <t>2012-2898</t>
  </si>
  <si>
    <t>45-2N-28-5240-0011-0000</t>
  </si>
  <si>
    <t>940496 OLD NASSAUVILLE RD</t>
  </si>
  <si>
    <t>PANKE RUSSELL E</t>
  </si>
  <si>
    <t>PANKE BRENDA</t>
  </si>
  <si>
    <t>S 150 FT OF LOT 11 IN OR 728/633 CHRISTOPHER CREEK ESTATES</t>
  </si>
  <si>
    <t>2017-1606</t>
  </si>
  <si>
    <t>KEYS FUNDING LLC - 775 A36</t>
  </si>
  <si>
    <t>2016-1632</t>
  </si>
  <si>
    <t>C231408</t>
  </si>
  <si>
    <t>2015-1698</t>
  </si>
  <si>
    <t>MERLOT HOLDINGS59362</t>
  </si>
  <si>
    <t>2014-1771</t>
  </si>
  <si>
    <t>2013-1943</t>
  </si>
  <si>
    <t>45-2N-28-525B-0001-0000</t>
  </si>
  <si>
    <t>DUCK LAKE</t>
  </si>
  <si>
    <t>94061 DUCK LAKE DR</t>
  </si>
  <si>
    <t>DAVIS SUSAN M</t>
  </si>
  <si>
    <t>94035 MERLIN DR</t>
  </si>
  <si>
    <t>TRACT 1 &amp; 2 R672541 &amp; R672542 IN OR 2023/1791 HOLLY POINT UNIT 2 UR</t>
  </si>
  <si>
    <t>2017-1611</t>
  </si>
  <si>
    <t>KOSITAPU 419A LLC</t>
  </si>
  <si>
    <t>45-2N-28-525B-0011-0000</t>
  </si>
  <si>
    <t>94146 DUCK LAKE DR</t>
  </si>
  <si>
    <t>TRACT 11 &amp; PAR 4-1 IN OR 1788/1473 1993 HOMETTE TW/MH</t>
  </si>
  <si>
    <t>2017-1612</t>
  </si>
  <si>
    <t>BROWN THRASHER 364 HOLDINGS LLC</t>
  </si>
  <si>
    <t>2016-1636</t>
  </si>
  <si>
    <t>ECRU LLC HM182F7</t>
  </si>
  <si>
    <t>2015-1700</t>
  </si>
  <si>
    <t>ZHK - 225646 - CINCO BAYOU GROUP US BANK CUST FOR PFS FINANCIAL 2 LLC</t>
  </si>
  <si>
    <t>2014-1774</t>
  </si>
  <si>
    <t>2013-1946</t>
  </si>
  <si>
    <t>45-2N-28-525B-0017-0000</t>
  </si>
  <si>
    <t>94204 DUCK LAKE DR</t>
  </si>
  <si>
    <t>DAVIS MARK D</t>
  </si>
  <si>
    <t>85217 JOHNSON LN</t>
  </si>
  <si>
    <t>TRACT 17 R567717 IN OR 1780/944 HOLLY POINT UNIT 2 UNR</t>
  </si>
  <si>
    <t>2016-1638</t>
  </si>
  <si>
    <t>MACHAPURNA ACAE LLC</t>
  </si>
  <si>
    <t>2015-1701</t>
  </si>
  <si>
    <t>2014-1775</t>
  </si>
  <si>
    <t>2013-1947</t>
  </si>
  <si>
    <t>2011-2725</t>
  </si>
  <si>
    <t>45-2N-28-525B-0031-0000</t>
  </si>
  <si>
    <t>94654 DUCK LAKE DR</t>
  </si>
  <si>
    <t>TRACT 31 &amp; 32 R359520 IN OR 2004/1651 HOLLY POINT UNIT 2 UNR</t>
  </si>
  <si>
    <t>2017-1613</t>
  </si>
  <si>
    <t>TRIAD HOLDINGS11551</t>
  </si>
  <si>
    <t>2016-1639</t>
  </si>
  <si>
    <t>YAY FOR TAX LIENS 99414 US BANK CUST FOR PFS FINANCIAL 2 LLC</t>
  </si>
  <si>
    <t>2015-1702</t>
  </si>
  <si>
    <t>CLEMENTINE DOLPHIN AAOK LLC</t>
  </si>
  <si>
    <t>2014-1777</t>
  </si>
  <si>
    <t>2013-1950</t>
  </si>
  <si>
    <t>2012-2903</t>
  </si>
  <si>
    <t>2011-2727</t>
  </si>
  <si>
    <t>45-2N-28-525B-0034-0000</t>
  </si>
  <si>
    <t>DUCK LAKE DR</t>
  </si>
  <si>
    <t>NICHOLS LINDA R &amp; PAUL E</t>
  </si>
  <si>
    <t>94634 DUCK LAKE DRIVE</t>
  </si>
  <si>
    <t>TRACT 34</t>
  </si>
  <si>
    <t>45-2N-28-525B-0039-0000</t>
  </si>
  <si>
    <t>SCOTT-CHUNG MEIBECK LEE (TRSTEE OF) SCOTT-CHUNG FAMILY TRUST</t>
  </si>
  <si>
    <t>1717 16TH AVE</t>
  </si>
  <si>
    <t>OAKLAND CA</t>
  </si>
  <si>
    <t>TRACT 39 IN OR 1491/1082 HOLLY POINT UNIT 2 UNR</t>
  </si>
  <si>
    <t>45-2N-28-525C-0005-0000</t>
  </si>
  <si>
    <t>BEST ALVIN A</t>
  </si>
  <si>
    <t>BEST MABEL J</t>
  </si>
  <si>
    <t>TRACTS 5 &amp; 10 IN OR 1779/588 1996 MERI DW/MH</t>
  </si>
  <si>
    <t>2017-1614</t>
  </si>
  <si>
    <t>ECRU LLC TSAM67E</t>
  </si>
  <si>
    <t>2016-1640</t>
  </si>
  <si>
    <t>DOGPOUND120489</t>
  </si>
  <si>
    <t>2015-1704</t>
  </si>
  <si>
    <t>WWWW377</t>
  </si>
  <si>
    <t>2014-1778</t>
  </si>
  <si>
    <t>45-2N-28-525C-0034-0000</t>
  </si>
  <si>
    <t>CHRISTOPHER</t>
  </si>
  <si>
    <t>CHRISTOPHER LN</t>
  </si>
  <si>
    <t>PARKER JAMES O</t>
  </si>
  <si>
    <t>1812 SW COUNTY ROAD 351</t>
  </si>
  <si>
    <t>MAYO FL</t>
  </si>
  <si>
    <t>LOT 34 IN OR 814 PG 422 HOLLY POINT UNIT 3 UNR</t>
  </si>
  <si>
    <t>2017-1616</t>
  </si>
  <si>
    <t>LIMELO WHALE CERTS 213 LLC</t>
  </si>
  <si>
    <t>2016-1642</t>
  </si>
  <si>
    <t>2015-1707</t>
  </si>
  <si>
    <t>2014-1780</t>
  </si>
  <si>
    <t>45-2N-28-525C-0048-0000</t>
  </si>
  <si>
    <t>94390 DUCK LAKE DR</t>
  </si>
  <si>
    <t>RICHARDSON MICHAEL</t>
  </si>
  <si>
    <t>PO BOX 483</t>
  </si>
  <si>
    <t>TRACT 48 L/E IN OR 1085/55 HOLLY POINT #3 UNR</t>
  </si>
  <si>
    <t>2017-1617</t>
  </si>
  <si>
    <t>2016-1643</t>
  </si>
  <si>
    <t>2015-1708</t>
  </si>
  <si>
    <t>2014-1781</t>
  </si>
  <si>
    <t>2013-1953</t>
  </si>
  <si>
    <t>2012-2906</t>
  </si>
  <si>
    <t>45-2N-28-525D-0003-0000</t>
  </si>
  <si>
    <t>PALM CR</t>
  </si>
  <si>
    <t>NYREN GERALD PAUL</t>
  </si>
  <si>
    <t>NYREN MARY MARGARET</t>
  </si>
  <si>
    <t>3911 PARK ST</t>
  </si>
  <si>
    <t>LOT 3 IN OR 1916/681 HOLLY POINT UNIT 4 UNR</t>
  </si>
  <si>
    <t>12089C_272</t>
  </si>
  <si>
    <t>2016-1644</t>
  </si>
  <si>
    <t>2015-1709</t>
  </si>
  <si>
    <t>BETA BLOCK - CCTS FLOR 121585 US BANK CUST FOR PFS FINANCIAL 2 LLC</t>
  </si>
  <si>
    <t>2013-1955</t>
  </si>
  <si>
    <t>2012-2908</t>
  </si>
  <si>
    <t>2011-2732</t>
  </si>
  <si>
    <t>45-2N-28-525D-0018-0000</t>
  </si>
  <si>
    <t>PALM</t>
  </si>
  <si>
    <t>94245 PALM CIR</t>
  </si>
  <si>
    <t>PEGG R KEVIN</t>
  </si>
  <si>
    <t>94245 PALM CIRCLE</t>
  </si>
  <si>
    <t>LOT 18</t>
  </si>
  <si>
    <t>45-2N-28-525F-0010-0000</t>
  </si>
  <si>
    <t>OWENS</t>
  </si>
  <si>
    <t>85766 OWENS RD</t>
  </si>
  <si>
    <t>LOT 10 IN OR 1903/1079 GAFL1AD36074513</t>
  </si>
  <si>
    <t>2017-1619</t>
  </si>
  <si>
    <t>45-2N-28-525F-0013-0000</t>
  </si>
  <si>
    <t>85700 OWENS RD</t>
  </si>
  <si>
    <t>LOT 13 2005 DW/MH FTWD IN OR 1965/878 HOLLY POINT EAST PB 6/160</t>
  </si>
  <si>
    <t>2017-1620</t>
  </si>
  <si>
    <t>RAPTY TRUST SERIES 31374</t>
  </si>
  <si>
    <t>2016-1645</t>
  </si>
  <si>
    <t>BISBEE LLC RHEC7B</t>
  </si>
  <si>
    <t>2015-1713</t>
  </si>
  <si>
    <t>MONIKA98</t>
  </si>
  <si>
    <t>2014-1784</t>
  </si>
  <si>
    <t>45-2N-28-545K-0002-0000</t>
  </si>
  <si>
    <t>940732 OLD NASSAUVILLE RD</t>
  </si>
  <si>
    <t>TRANTHAM BENJAMIN F</t>
  </si>
  <si>
    <t>TRANTHAM NANCY R</t>
  </si>
  <si>
    <t>KASIE HILL SUB</t>
  </si>
  <si>
    <t>LOT 2 IN OR 1751/810 &amp; OR 1847/1834 KASIE HILL SUB PB 6/102</t>
  </si>
  <si>
    <t>45-2N-28-550A-0001-0020</t>
  </si>
  <si>
    <t>SANTA JUANA</t>
  </si>
  <si>
    <t>95297 SANTA JUANA RD</t>
  </si>
  <si>
    <t>BAKER SHANNON L</t>
  </si>
  <si>
    <t>BLOCK 1 LOT 2 R360276 IN OR 1689/566 SPRING HILL SUB PB 5/32</t>
  </si>
  <si>
    <t>2017-1622</t>
  </si>
  <si>
    <t>2016-1647</t>
  </si>
  <si>
    <t>2015-1714</t>
  </si>
  <si>
    <t>FL-PTH 6 LLC CAPONE NA CLTRL ASSIGNEE OF FL CORAL LIEN INV LLC</t>
  </si>
  <si>
    <t>2014-1785</t>
  </si>
  <si>
    <t>2013-1961</t>
  </si>
  <si>
    <t>2011-2740</t>
  </si>
  <si>
    <t>45-2N-28-550A-0001-0050</t>
  </si>
  <si>
    <t>95363 SANTA JUANA RD</t>
  </si>
  <si>
    <t>BAYVIEW LOAN SERVICING LLC</t>
  </si>
  <si>
    <t>4425 PONCE DE LEON BLVD # 5TH</t>
  </si>
  <si>
    <t>CORAL GABLES FL</t>
  </si>
  <si>
    <t>BLOCK 1 LOT 5 IN OR 1541/917 1998 REDMAN SWMH</t>
  </si>
  <si>
    <t>45-2N-28-550B-0002-0120</t>
  </si>
  <si>
    <t>CLEARWATER</t>
  </si>
  <si>
    <t>95364 CLEARWATER RD</t>
  </si>
  <si>
    <t>OVERLY TERRY L</t>
  </si>
  <si>
    <t>OVERLY LINDA G</t>
  </si>
  <si>
    <t>BLOCK 2 LOT 12 IN OR 860/474 1993 HORT DW/MH SPRING HILL SUB #2 PB 5/35</t>
  </si>
  <si>
    <t>2017-1627</t>
  </si>
  <si>
    <t>WHITE HERON 463 HOLDINGS LLC</t>
  </si>
  <si>
    <t>2016-1651</t>
  </si>
  <si>
    <t>CCTS FL 35929 US BANK CUST FOR PFS FINANCIAL 2 LLC</t>
  </si>
  <si>
    <t>2015-1719</t>
  </si>
  <si>
    <t>DOGPOUND83976</t>
  </si>
  <si>
    <t>2014-1789</t>
  </si>
  <si>
    <t>2013-1966</t>
  </si>
  <si>
    <t>2012-2918</t>
  </si>
  <si>
    <t>2011-2747</t>
  </si>
  <si>
    <t>45-2N-28-550B-0002-0180</t>
  </si>
  <si>
    <t>95190 CLEARWATER RD</t>
  </si>
  <si>
    <t>WILLIAMS OLVAN E</t>
  </si>
  <si>
    <t>BLOCK 2 LOT 18 IN OR 896/518 2005 ANNIVERS DW/MH</t>
  </si>
  <si>
    <t>45-2N-28-550B-0002-0281</t>
  </si>
  <si>
    <t>MOBLEY HEIGHTS</t>
  </si>
  <si>
    <t>95096 MOBLEY HEIGHTS RD</t>
  </si>
  <si>
    <t>DELAPP JULIA B</t>
  </si>
  <si>
    <t>DELAPP LINDA G</t>
  </si>
  <si>
    <t>BLOCK 2 NWLY 100 FT OF TRACT 28 IN OR 1805/412</t>
  </si>
  <si>
    <t>2017-1630</t>
  </si>
  <si>
    <t>SUTTON INVESTMENT33777</t>
  </si>
  <si>
    <t>2016-1652</t>
  </si>
  <si>
    <t>KINGFISHER KEY TAX AILT LLC</t>
  </si>
  <si>
    <t>2015-1720</t>
  </si>
  <si>
    <t>ORANGE DOLPHINS XTTA LLC</t>
  </si>
  <si>
    <t>2014-1791</t>
  </si>
  <si>
    <t>2013-1968</t>
  </si>
  <si>
    <t>2012-2919</t>
  </si>
  <si>
    <t>2011-2749</t>
  </si>
  <si>
    <t>45-2N-28-550B-0002-0460</t>
  </si>
  <si>
    <t>SPRINGHILL</t>
  </si>
  <si>
    <t>95633 SPRINGHILL RD</t>
  </si>
  <si>
    <t>DEONAS NICK D</t>
  </si>
  <si>
    <t>DEONAS HELEN D</t>
  </si>
  <si>
    <t>96208 LIGHT WIND DR</t>
  </si>
  <si>
    <t>BLOCK 2 LOT 46 IN OR 934/1105 R498258 &amp; R498259</t>
  </si>
  <si>
    <t>2016-1657</t>
  </si>
  <si>
    <t>DAISY FIELD TAX 744 LLC</t>
  </si>
  <si>
    <t>2013-1973</t>
  </si>
  <si>
    <t>2012-2925</t>
  </si>
  <si>
    <t>2011-2754</t>
  </si>
  <si>
    <t>45-2N-28-550B-0003-0460</t>
  </si>
  <si>
    <t>940847 OLD NASSAUVILLE RD</t>
  </si>
  <si>
    <t>YAKUNOVICH IVAN</t>
  </si>
  <si>
    <t>YAKUNOVICH BRANDY</t>
  </si>
  <si>
    <t>40847 OLD NASSAUVILLE RD</t>
  </si>
  <si>
    <t>BLOCK 3 LOT 46 R433472 IN OR 1142/1971 SPRING HILL SUB UNIT 2 PB 5/35</t>
  </si>
  <si>
    <t>2017-1632</t>
  </si>
  <si>
    <t>RAPTY TRUST SERIES 6872</t>
  </si>
  <si>
    <t>45-2N-28-550B-0003-0510</t>
  </si>
  <si>
    <t>940917 OLD NASSAUVILLE RD</t>
  </si>
  <si>
    <t>FIGUEROA ELIAZAR PERALTA</t>
  </si>
  <si>
    <t>96012 SUNFISH LN</t>
  </si>
  <si>
    <t>BLOCK 3 LOT 51 IN OR 1416/120 MH/ID GDWGA308218682A &amp;</t>
  </si>
  <si>
    <t>2016-1660</t>
  </si>
  <si>
    <t>KENSINGTON CAPITAL79486</t>
  </si>
  <si>
    <t>2015-1727</t>
  </si>
  <si>
    <t>TANGERINE DELPHIS XHWI LLC</t>
  </si>
  <si>
    <t>2014-1795</t>
  </si>
  <si>
    <t>45-2N-28-550C-0006-0000</t>
  </si>
  <si>
    <t>95282 SANTA JUANA RD</t>
  </si>
  <si>
    <t>KING JEREMY A</t>
  </si>
  <si>
    <t>LOT 6 IN OR 1933/1947 1999 MERT DW/MH</t>
  </si>
  <si>
    <t>2014-1797</t>
  </si>
  <si>
    <t>2013-1976</t>
  </si>
  <si>
    <t>2012-2929</t>
  </si>
  <si>
    <t>2011-2762</t>
  </si>
  <si>
    <t>45-2N-28-550D-0004-0000</t>
  </si>
  <si>
    <t>85735 LONNIE CREWS RD</t>
  </si>
  <si>
    <t>THORNTON BILLY J</t>
  </si>
  <si>
    <t>THORNTON JENNIFER L</t>
  </si>
  <si>
    <t>LOT 4 IN OR 873/1577 1999 MERIT DW/MH SPRING HILL #4 PB 6/43</t>
  </si>
  <si>
    <t>2017-1633</t>
  </si>
  <si>
    <t>SKYLER LLC O69855 SERIES</t>
  </si>
  <si>
    <t>2016-1661</t>
  </si>
  <si>
    <t>CCTS LLC GROUP ETA 90084 US BANK CUST FOR PFS FINANCIAL 2 LLC</t>
  </si>
  <si>
    <t>2015-1728</t>
  </si>
  <si>
    <t>2014-1799</t>
  </si>
  <si>
    <t>2013-1978</t>
  </si>
  <si>
    <t>2012-2931</t>
  </si>
  <si>
    <t>2011-2764</t>
  </si>
  <si>
    <t>45-2N-28-550D-0009-0000</t>
  </si>
  <si>
    <t>85795 OWENS RD</t>
  </si>
  <si>
    <t>BROWN JAMES</t>
  </si>
  <si>
    <t>97001 RICHO LN</t>
  </si>
  <si>
    <t>LOT 9 IN OR 1183/835</t>
  </si>
  <si>
    <t>2017-1634</t>
  </si>
  <si>
    <t>2016-1662</t>
  </si>
  <si>
    <t>BENNU LLC JHA21288Y</t>
  </si>
  <si>
    <t>2015-1730</t>
  </si>
  <si>
    <t>2014-1800</t>
  </si>
  <si>
    <t>2013-1979</t>
  </si>
  <si>
    <t>2012-2932</t>
  </si>
  <si>
    <t>2011-2765</t>
  </si>
  <si>
    <t>45-2N-28-550D-0013-0000</t>
  </si>
  <si>
    <t>95147 MOBLEY HEIGHTS RD</t>
  </si>
  <si>
    <t>HATCH DAVID J</t>
  </si>
  <si>
    <t>HATCH JAIME E</t>
  </si>
  <si>
    <t>LOT 13 IN OR 798 PG 321 R788105 &amp; R788106</t>
  </si>
  <si>
    <t>2017-1635</t>
  </si>
  <si>
    <t>PORK CHOP SANDWICHES EQFHSM</t>
  </si>
  <si>
    <t>2016-1663</t>
  </si>
  <si>
    <t>WONDER CAPITAL63232</t>
  </si>
  <si>
    <t>2015-1731</t>
  </si>
  <si>
    <t>2014-1801</t>
  </si>
  <si>
    <t>2013-1980</t>
  </si>
  <si>
    <t>2012-2933</t>
  </si>
  <si>
    <t>2011-2766</t>
  </si>
  <si>
    <t>45-2N-28-550D-0016-0000</t>
  </si>
  <si>
    <t>95187 MOBLEY HEIGHTS RD</t>
  </si>
  <si>
    <t>JOHNS DONNA M</t>
  </si>
  <si>
    <t>LOT 16 IN OR 842/1219 R788133 &amp; R788134</t>
  </si>
  <si>
    <t>2016-1664</t>
  </si>
  <si>
    <t>HOSSET LLC O12342 SERIES</t>
  </si>
  <si>
    <t>45-2N-28-550E-0016-0010</t>
  </si>
  <si>
    <t>CAROLINE</t>
  </si>
  <si>
    <t>95077 CAROLINE WAY</t>
  </si>
  <si>
    <t>MADDOX DAWN</t>
  </si>
  <si>
    <t>PT OF LOT 16 (S-1) IN OR 1941/260 ESMT PT OR 1043/798</t>
  </si>
  <si>
    <t>2016-1665</t>
  </si>
  <si>
    <t>ECRU LLC TSAM039</t>
  </si>
  <si>
    <t>2015-1733</t>
  </si>
  <si>
    <t>SUTTON INVESTMENT10329</t>
  </si>
  <si>
    <t>2013-1982</t>
  </si>
  <si>
    <t>2012-2935</t>
  </si>
  <si>
    <t>2011-2769</t>
  </si>
  <si>
    <t>45-2N-28-550E-0016-0020</t>
  </si>
  <si>
    <t>95188 CAROLINE WAY</t>
  </si>
  <si>
    <t>JS JACKSON PROPERTIES LLC</t>
  </si>
  <si>
    <t>PT OF LOT 16 IN OR 1658/1048 1989 SOUT DW/MH</t>
  </si>
  <si>
    <t>45-2N-28-550E-0024-0000</t>
  </si>
  <si>
    <t>BOBCAT</t>
  </si>
  <si>
    <t>95195 BOBCAT LN</t>
  </si>
  <si>
    <t>THORNTON KENNETH DANIEL</t>
  </si>
  <si>
    <t>THORNTON LEONA RENNE</t>
  </si>
  <si>
    <t>LOT 24 1998 SW/MH REDM IN OR 1180/1764 ESMT IN OR 849/803</t>
  </si>
  <si>
    <t>2017-1636</t>
  </si>
  <si>
    <t>SETPER LLC O127283 SERIES</t>
  </si>
  <si>
    <t>2015-1734</t>
  </si>
  <si>
    <t>CCTS BLOCK ALPHA FL 109403 US BANK CUST FOR PFS FINANCIAL 2 LLC</t>
  </si>
  <si>
    <t>2014-1803</t>
  </si>
  <si>
    <t>2013-1983</t>
  </si>
  <si>
    <t>2012-2937</t>
  </si>
  <si>
    <t>2011-2771</t>
  </si>
  <si>
    <t>46-2N-28-0000-0009-0000</t>
  </si>
  <si>
    <t>WADES</t>
  </si>
  <si>
    <t>96008 WADES PL</t>
  </si>
  <si>
    <t>TESTON EILEEN</t>
  </si>
  <si>
    <t>95415 BARNWELL RD</t>
  </si>
  <si>
    <t>46-02N-28E</t>
  </si>
  <si>
    <t>PT OR 747/956 (EX ST RD) MARSH LAND</t>
  </si>
  <si>
    <t>50-2N-28-0000-0004-0000</t>
  </si>
  <si>
    <t>OFF AMELIA</t>
  </si>
  <si>
    <t>OFF AMELIA RD</t>
  </si>
  <si>
    <t>KLARER MRS J</t>
  </si>
  <si>
    <t>1301 CHARTER CT E</t>
  </si>
  <si>
    <t>Rivers and lakes submerged lands</t>
  </si>
  <si>
    <t>Waste Land Marsh Swamp Submerged-Vacant Land</t>
  </si>
  <si>
    <t>50-02N-28E</t>
  </si>
  <si>
    <t>PT SW1/4 OF SEC 50-2N-28E IN DBK 119/340 (EX PT IN SOVEREIGN LANDS &amp; PT IN</t>
  </si>
  <si>
    <t>12089C_164</t>
  </si>
  <si>
    <t>2017-1638</t>
  </si>
  <si>
    <t>2016-1667</t>
  </si>
  <si>
    <t>2015-1736</t>
  </si>
  <si>
    <t>2014-1804</t>
  </si>
  <si>
    <t>2013-1985</t>
  </si>
  <si>
    <t>GLADYS ONOME DOGHOR</t>
  </si>
  <si>
    <t>2012-3044</t>
  </si>
  <si>
    <t>MACTOR PROPERTIES, LLC</t>
  </si>
  <si>
    <t>51-2N-28-0000-0002-0000</t>
  </si>
  <si>
    <t>OFF CLEMENTS</t>
  </si>
  <si>
    <t>OFF CLEMENTS RD</t>
  </si>
  <si>
    <t>KLARER JOHN MRS</t>
  </si>
  <si>
    <t>4278 RAPALLO RD</t>
  </si>
  <si>
    <t>51-02N-28E</t>
  </si>
  <si>
    <t>PT E1/2 OF SEC 51-2N-28E IN DBK 119/340 (EX SOVEREIGN LANDS)</t>
  </si>
  <si>
    <t>2017-1639</t>
  </si>
  <si>
    <t>2016-1668</t>
  </si>
  <si>
    <t>2015-1737</t>
  </si>
  <si>
    <t>2015-2348</t>
  </si>
  <si>
    <t>2013-1986</t>
  </si>
  <si>
    <t>CONNIE MCCRARY</t>
  </si>
  <si>
    <t>2012-3116</t>
  </si>
  <si>
    <t>PROVIDENT TRUST GROUP LLC FBO DAVID SMITH IRA</t>
  </si>
  <si>
    <t>27-3N-28-1192-0009-0000</t>
  </si>
  <si>
    <t>SHELL COVE CR</t>
  </si>
  <si>
    <t>2178 SHELL COVE CR</t>
  </si>
  <si>
    <t>ROBINSON CREEK 34 LLC</t>
  </si>
  <si>
    <t>27-03N-28E</t>
  </si>
  <si>
    <t>LOT 9 SHELL COVE PBK 8/150</t>
  </si>
  <si>
    <t>2017-1648</t>
  </si>
  <si>
    <t>27-3N-28-1192-0018-0000</t>
  </si>
  <si>
    <t>2142 SHELL COVE CR</t>
  </si>
  <si>
    <t>LOT 18 SHELL COVE PBK 8/150</t>
  </si>
  <si>
    <t>2017-1655</t>
  </si>
  <si>
    <t>27-3N-28-1192-0019-0000</t>
  </si>
  <si>
    <t>2138 SHELL COVE CR</t>
  </si>
  <si>
    <t>LOT 19 SHELL COVE PBK 8/150</t>
  </si>
  <si>
    <t>2017-1656</t>
  </si>
  <si>
    <t>27-3N-28-1192-0026-0000</t>
  </si>
  <si>
    <t>2110 SHELL COVE CR</t>
  </si>
  <si>
    <t>ARTISAN HOMES LLC</t>
  </si>
  <si>
    <t>28&amp;29 SHELL COVE</t>
  </si>
  <si>
    <t>LOT 26 IN OR 2039/773 SHELL COVE PBK 8/150</t>
  </si>
  <si>
    <t>27-3N-28-1192-0027-0000</t>
  </si>
  <si>
    <t>2106 SHELL COVE CR</t>
  </si>
  <si>
    <t>LOT 27 IN OR 2039/843 SHELL COVE PBK 8/150</t>
  </si>
  <si>
    <t>27-3N-28-1192-0028-0000</t>
  </si>
  <si>
    <t>2102 SHELL COVE CR</t>
  </si>
  <si>
    <t>LOT 28 IN OR 2039/914 SHELL COVE PBK 8/150</t>
  </si>
  <si>
    <t>27-3N-28-1192-0029-0000</t>
  </si>
  <si>
    <t>2101 SHELL COVE CR</t>
  </si>
  <si>
    <t>MAGNOLIA HOMES INC</t>
  </si>
  <si>
    <t>12543 HERBLORE DR</t>
  </si>
  <si>
    <t>LOT 29 IN OR 2039/877 SHELL COVE PBK 8/150</t>
  </si>
  <si>
    <t>27-3N-28-1192-0035-0000</t>
  </si>
  <si>
    <t>2123 SHELL COVE CR</t>
  </si>
  <si>
    <t>LOT 35 SHELL COVE PBK 8/150</t>
  </si>
  <si>
    <t>2017-1666</t>
  </si>
  <si>
    <t>37-3N-28-0740-0184-0000</t>
  </si>
  <si>
    <t>COMMODORE POINT</t>
  </si>
  <si>
    <t>96593 COMMODORE POINT DR</t>
  </si>
  <si>
    <t>GOODFEY JEFFREY H</t>
  </si>
  <si>
    <t>98593 COMMODROE POINT DR</t>
  </si>
  <si>
    <t>HERON ISLES</t>
  </si>
  <si>
    <t>37-03N-28E</t>
  </si>
  <si>
    <t>LOT 184 IN OR 1448/1197 HERON ISLES PHASE 1 REPLAT</t>
  </si>
  <si>
    <t>Heron Isles Community Development District</t>
  </si>
  <si>
    <t>BONDS DEFEASED</t>
  </si>
  <si>
    <t>37-3N-28-0740-0212-0000</t>
  </si>
  <si>
    <t>STONEY GLEN</t>
  </si>
  <si>
    <t>96080 STONEY GLEN CT</t>
  </si>
  <si>
    <t>SAPIKOWSKI SANDRA KAYE</t>
  </si>
  <si>
    <t>LOT 212 IN OR 1927/1579 HERON ISLES PHASE 1 REPLAT</t>
  </si>
  <si>
    <t>2017-1671</t>
  </si>
  <si>
    <t>BISBEE LLC RY148962</t>
  </si>
  <si>
    <t>2016-1674</t>
  </si>
  <si>
    <t>SANMARCORA DVPQWK</t>
  </si>
  <si>
    <t>2013-2002</t>
  </si>
  <si>
    <t>2012-2276</t>
  </si>
  <si>
    <t>37-3N-28-0741-0542-0000</t>
  </si>
  <si>
    <t>GRAYLON</t>
  </si>
  <si>
    <t>95962 GRAYLON DR</t>
  </si>
  <si>
    <t>LOT 542 IN OR 1984/781 HERON ISLES PHASE TWO C-1</t>
  </si>
  <si>
    <t>2016-1681</t>
  </si>
  <si>
    <t>37-3N-28-0741-0543-0000</t>
  </si>
  <si>
    <t>95974 GRAYLON DR</t>
  </si>
  <si>
    <t>LOT 543 IN OR 1984/781 HERON ISLES PHASE TWO C-1</t>
  </si>
  <si>
    <t>2016-1682</t>
  </si>
  <si>
    <t>37-3N-28-0741-0544-0000</t>
  </si>
  <si>
    <t>95986 GRAYLON DR</t>
  </si>
  <si>
    <t>LOT 544 IN OR 1984/781 HERON ISLES PHASE TWO C-1</t>
  </si>
  <si>
    <t>2016-1683</t>
  </si>
  <si>
    <t>37-3N-28-0741-0570-0000</t>
  </si>
  <si>
    <t>ALBATROSS</t>
  </si>
  <si>
    <t>97597 ALBATROSS DR</t>
  </si>
  <si>
    <t>LOT 570 IN OR 1940/85 HERON ISLES PHASE TWO C-1</t>
  </si>
  <si>
    <t>2016-1687</t>
  </si>
  <si>
    <t>37-3N-28-0743-0479-0000</t>
  </si>
  <si>
    <t>97612 ALBATROSS DR</t>
  </si>
  <si>
    <t>LOT 479 HERON ISLES PHASE TWO C-2 PBK 8/132</t>
  </si>
  <si>
    <t>37-3N-28-0743-0486-0000</t>
  </si>
  <si>
    <t>97654 ALBATROSS DR</t>
  </si>
  <si>
    <t>LOT 486 HERON ISLES PHASE TWO C-2 PBK 8/132</t>
  </si>
  <si>
    <t>2017-1672</t>
  </si>
  <si>
    <t>37-3N-28-0743-0487-0000</t>
  </si>
  <si>
    <t>97660 ALBATROSS DR</t>
  </si>
  <si>
    <t>HERON ISLES JOINT VENTURE  LLP</t>
  </si>
  <si>
    <t>2955 HARTLEY RD STE 108</t>
  </si>
  <si>
    <t>LOT 487 HERON ISLES PHASE TWO C-2 PBK 8/132</t>
  </si>
  <si>
    <t>2017-1673</t>
  </si>
  <si>
    <t>37-3N-28-0743-0489-0000</t>
  </si>
  <si>
    <t>97672 ALBATROSS DR</t>
  </si>
  <si>
    <t>LOT 489 HERON ISLES PHASE TWO C-2 PBK 8/132</t>
  </si>
  <si>
    <t>2017-1675</t>
  </si>
  <si>
    <t>37-3N-28-0743-0495-0000</t>
  </si>
  <si>
    <t>97708 ALBATROSS DR</t>
  </si>
  <si>
    <t>NEW ATLANTIC BUILDERS INC</t>
  </si>
  <si>
    <t>5875 MINNIBNG TERRACE 206</t>
  </si>
  <si>
    <t>LOT 495 HERON ISLES PHASE TWO C-2 PBK 8/132</t>
  </si>
  <si>
    <t>2017-1679</t>
  </si>
  <si>
    <t>37-3N-28-0743-0503-0000</t>
  </si>
  <si>
    <t>97756 ALBATROSS DR</t>
  </si>
  <si>
    <t>LOT 503 HERON ISLES PHASE TWO C-2 PBK 8/132</t>
  </si>
  <si>
    <t>37-3N-28-0743-0515-0000</t>
  </si>
  <si>
    <t>97717 ALBATROSS DR</t>
  </si>
  <si>
    <t>LOT 515 HERON ISLES PHASE TWO C-2 PBK 8/132</t>
  </si>
  <si>
    <t>2017-1686</t>
  </si>
  <si>
    <t>37-3N-28-0743-0519-0000</t>
  </si>
  <si>
    <t>97689 ALBATROSS DR</t>
  </si>
  <si>
    <t>LOT 519 HERON ISLES PHASE TWO C-2 PBK 8/132</t>
  </si>
  <si>
    <t>37-3N-28-0743-0520-0000</t>
  </si>
  <si>
    <t>97681 ALBATROSS DR</t>
  </si>
  <si>
    <t>LOT 520 HERON ISLES PHASE TWO C-2 PBK 8/132</t>
  </si>
  <si>
    <t>37-3N-28-0743-0521-0000</t>
  </si>
  <si>
    <t>97669 ALBATROSS DR</t>
  </si>
  <si>
    <t>LOT 521 HERON ISLES PHASE TWO C-2 PBK 8/132</t>
  </si>
  <si>
    <t>2017-1688</t>
  </si>
  <si>
    <t>37-3N-28-0745-0727-0000</t>
  </si>
  <si>
    <t>BREEZEWAY</t>
  </si>
  <si>
    <t>96060 BREEZEWAY CT</t>
  </si>
  <si>
    <t>HERON ISLES JOINT VENTURE LLP</t>
  </si>
  <si>
    <t>44-03N-28E</t>
  </si>
  <si>
    <t>LOT 727</t>
  </si>
  <si>
    <t>37-3N-28-0745-0735-0000</t>
  </si>
  <si>
    <t>96085 BREEZEWAY CT</t>
  </si>
  <si>
    <t>LOT 735</t>
  </si>
  <si>
    <t>37-3N-28-0745-0736-0000</t>
  </si>
  <si>
    <t>96079 BREEZEWAY CT</t>
  </si>
  <si>
    <t>LOT 736</t>
  </si>
  <si>
    <t>37-3N-28-0745-0739-0000</t>
  </si>
  <si>
    <t>96063 BREEZEWAY CT</t>
  </si>
  <si>
    <t>LOT 739</t>
  </si>
  <si>
    <t>38-3N-28-0000-0001-0000</t>
  </si>
  <si>
    <t>YAHTZEE</t>
  </si>
  <si>
    <t>96275 YAHTZEE LN</t>
  </si>
  <si>
    <t>BOWDEN DONNA M</t>
  </si>
  <si>
    <t>IN OR 1296/1192 FPL ESMT IN OR 1635/1814</t>
  </si>
  <si>
    <t>2017-1691</t>
  </si>
  <si>
    <t>BENNU LLC JA1FA1S</t>
  </si>
  <si>
    <t>2016-1688</t>
  </si>
  <si>
    <t>DBW FL 9444</t>
  </si>
  <si>
    <t>2015-1744</t>
  </si>
  <si>
    <t>D201140</t>
  </si>
  <si>
    <t>2014-1835</t>
  </si>
  <si>
    <t>2013-2056</t>
  </si>
  <si>
    <t>2012-2403</t>
  </si>
  <si>
    <t>2011-2788</t>
  </si>
  <si>
    <t>ANNA BARNES CPA LLC FAMILY BARNES</t>
  </si>
  <si>
    <t>38-3N-28-0000-0002-0000</t>
  </si>
  <si>
    <t>YAHTZEE RD</t>
  </si>
  <si>
    <t>OLIVER MARIA</t>
  </si>
  <si>
    <t>PO BOX 748</t>
  </si>
  <si>
    <t>PT FRAC SEC 38 PT OR 1508/386 &amp; IN OR 1591/953 (EX 2-2 THRU 2-7 &amp; 2-10)</t>
  </si>
  <si>
    <t>2017-1692</t>
  </si>
  <si>
    <t>2016-1689</t>
  </si>
  <si>
    <t>2015-1745</t>
  </si>
  <si>
    <t>2014-1836</t>
  </si>
  <si>
    <t>2013-2057</t>
  </si>
  <si>
    <t>2012-2404</t>
  </si>
  <si>
    <t>2011-2789</t>
  </si>
  <si>
    <t>38-3N-28-0000-0002-0010</t>
  </si>
  <si>
    <t>96310 BLACKROCK RD</t>
  </si>
  <si>
    <t>PT OR 1508/386 EX 2-7 ESMT IN OR 232/597</t>
  </si>
  <si>
    <t>2017-1693</t>
  </si>
  <si>
    <t>NAPUC 32247 LLC</t>
  </si>
  <si>
    <t>2016-1690</t>
  </si>
  <si>
    <t>CAMPANIA FINANCIAL LLC SERIES A003755</t>
  </si>
  <si>
    <t>2015-1746</t>
  </si>
  <si>
    <t>DOLPHIN CERTS 594 LLC</t>
  </si>
  <si>
    <t>2014-1837</t>
  </si>
  <si>
    <t>2013-2058</t>
  </si>
  <si>
    <t>2012-2405</t>
  </si>
  <si>
    <t>US BANK CUST BISBEE LLC M109C6</t>
  </si>
  <si>
    <t>2011-2790</t>
  </si>
  <si>
    <t>38-3N-28-0000-0002-0040</t>
  </si>
  <si>
    <t>96074 YAHTZEE LN</t>
  </si>
  <si>
    <t>RUSS DONALD</t>
  </si>
  <si>
    <t>46 WHIPPORWILL RD</t>
  </si>
  <si>
    <t>NICHOLLS GA</t>
  </si>
  <si>
    <t>IN OR 317 PG 221 R 106948</t>
  </si>
  <si>
    <t>2017-1694</t>
  </si>
  <si>
    <t>PELICAN PIER CERTS ABTK LLC</t>
  </si>
  <si>
    <t>38-3N-28-0000-0003-0000</t>
  </si>
  <si>
    <t>96311 BLACKROCK RD</t>
  </si>
  <si>
    <t>FOURTEENTH STREET PROPERTIES LLC</t>
  </si>
  <si>
    <t>20 S 4TH ST</t>
  </si>
  <si>
    <t>IN OR 1832/17 R621699</t>
  </si>
  <si>
    <t>38-3N-28-0000-0012-0070</t>
  </si>
  <si>
    <t>DURDEN</t>
  </si>
  <si>
    <t>96019 DURDEN RD</t>
  </si>
  <si>
    <t>LEIBMAN MARILYN C</t>
  </si>
  <si>
    <t>PO BOX 150</t>
  </si>
  <si>
    <t>SOUND BEACH NY</t>
  </si>
  <si>
    <t>PT GOVT LOTS 1 &amp; 2 OF SEC 38-3N-28E IN OR 1160/302 {R567790 &amp; 567991}</t>
  </si>
  <si>
    <t>38-3N-28-0000-0012-0090</t>
  </si>
  <si>
    <t>96181 DURDEN RD</t>
  </si>
  <si>
    <t>CINTRON EDDIE</t>
  </si>
  <si>
    <t>4012 CHERRYBROOK LOOP</t>
  </si>
  <si>
    <t>FORT MYERS FL</t>
  </si>
  <si>
    <t>IN OR 1838/779 R568163</t>
  </si>
  <si>
    <t>2017-1695</t>
  </si>
  <si>
    <t>LUNAR PRIME241333</t>
  </si>
  <si>
    <t>2016-1691</t>
  </si>
  <si>
    <t>THETA GROUP CCTS 144956 US BANK CUST FOR PFS FINANCIAL 2 LLC</t>
  </si>
  <si>
    <t>2015-1747</t>
  </si>
  <si>
    <t>CCTS LLC GROUP ETA 93531 US BANK CUST FOR PFS FINANCIAL 2 LLC</t>
  </si>
  <si>
    <t>2014-1838</t>
  </si>
  <si>
    <t>2013-2059</t>
  </si>
  <si>
    <t>2012-2406</t>
  </si>
  <si>
    <t>2011-2791</t>
  </si>
  <si>
    <t>38-3N-28-0000-0012-0120</t>
  </si>
  <si>
    <t>PIRATES BLUFF</t>
  </si>
  <si>
    <t>96223 PIRATES BLUFF RD</t>
  </si>
  <si>
    <t>STRICKLAND HOLLOWAY III</t>
  </si>
  <si>
    <t>PO BOX 2032</t>
  </si>
  <si>
    <t>STATESBORO GA</t>
  </si>
  <si>
    <t>PT GOVT LOT 2 OF SEC 38-3N-28E IN OR 1757/1407 {1978 REDMOND SW}</t>
  </si>
  <si>
    <t>2012-2407</t>
  </si>
  <si>
    <t>2011-2792</t>
  </si>
  <si>
    <t>38-3N-28-0000-0012-0130</t>
  </si>
  <si>
    <t>96166 PIRATES BLUFF RD</t>
  </si>
  <si>
    <t>FOWLER F ROGER</t>
  </si>
  <si>
    <t>FOWLER LINDA</t>
  </si>
  <si>
    <t>PT GOVT LOT 2 OF SEC 38-3N-28E IN OR 648/1165 {1999 SPRINGWO DW/MH}</t>
  </si>
  <si>
    <t>41-3N-28-0000-0002-0000</t>
  </si>
  <si>
    <t>GRANDVIEW MNR</t>
  </si>
  <si>
    <t>LIGHTHOUSE POINTE DEV LLC</t>
  </si>
  <si>
    <t>PO BOX 17833</t>
  </si>
  <si>
    <t>55-03N-28E</t>
  </si>
  <si>
    <t>PT OF E WATERMAN GRANT SEC 41-3N-28E IN OR 1938/1054 BEING THE ISLAND  &amp; SOVEREIGN</t>
  </si>
  <si>
    <t>12089C_78</t>
  </si>
  <si>
    <t>2017-1696</t>
  </si>
  <si>
    <t>GATA 2667</t>
  </si>
  <si>
    <t>2016-1692</t>
  </si>
  <si>
    <t>ECRU LLC TSCM225</t>
  </si>
  <si>
    <t>2015-1748</t>
  </si>
  <si>
    <t>BISBEE LLC H24F8C33</t>
  </si>
  <si>
    <t>2012-2466</t>
  </si>
  <si>
    <t>2011-2795</t>
  </si>
  <si>
    <t>41-3N-28-1250-000B-0000</t>
  </si>
  <si>
    <t>LENTS RD</t>
  </si>
  <si>
    <t>PARCEL B IN OR 1938/1054 BEING TRACT B ESMT PT OR 1528/682</t>
  </si>
  <si>
    <t>2017-1697</t>
  </si>
  <si>
    <t>2016-1694</t>
  </si>
  <si>
    <t>2015-1751</t>
  </si>
  <si>
    <t>2012-2470</t>
  </si>
  <si>
    <t>JAX TAX, LLC</t>
  </si>
  <si>
    <t>2011-2800</t>
  </si>
  <si>
    <t>41-3N-28-1250-0020-0000</t>
  </si>
  <si>
    <t>28820 GRANDVIEW MNR</t>
  </si>
  <si>
    <t>WATERMANS BLUFF 20 LLC</t>
  </si>
  <si>
    <t>7849 JAMES ISLAND WAY</t>
  </si>
  <si>
    <t>41-03N-28E</t>
  </si>
  <si>
    <t>LOT 20 PT OR 1938/1054 ESMT PT OR 1258/1035</t>
  </si>
  <si>
    <t>12089C_767</t>
  </si>
  <si>
    <t>2017-1699</t>
  </si>
  <si>
    <t>HOSSET LLC O133103 SERIES</t>
  </si>
  <si>
    <t>2016-1698</t>
  </si>
  <si>
    <t>ECRU LLC ILE74H4</t>
  </si>
  <si>
    <t>2015-1755</t>
  </si>
  <si>
    <t>BENNU LLC JHA21ADBY</t>
  </si>
  <si>
    <t>41-3N-28-1250-0043-0000</t>
  </si>
  <si>
    <t>SOUTHERN HERITAGE</t>
  </si>
  <si>
    <t>29770 SOUTHERN HERITAGE PL</t>
  </si>
  <si>
    <t>TREVETT BUILDING SYSTEMS OF FLORIDA LLC</t>
  </si>
  <si>
    <t>LIGHTHOUSE POINTE</t>
  </si>
  <si>
    <t>LOT 43 IN OR 1950/1356 LIGHTHOUSE POINTE PB 6/157</t>
  </si>
  <si>
    <t>2017-1701</t>
  </si>
  <si>
    <t>SETPER LLC O119171 SERIES</t>
  </si>
  <si>
    <t>2015-1758</t>
  </si>
  <si>
    <t>NEGRA338</t>
  </si>
  <si>
    <t>41-3N-28-1250-0052-0000</t>
  </si>
  <si>
    <t>28886 GRANDVIEW MNR</t>
  </si>
  <si>
    <t>LOT 52 PT OR 1938/1054 ESMT PT OR 1701/837</t>
  </si>
  <si>
    <t>12089C_386</t>
  </si>
  <si>
    <t>2017-1702</t>
  </si>
  <si>
    <t>SKYLER LLC O18659 SERIES</t>
  </si>
  <si>
    <t>2016-1702</t>
  </si>
  <si>
    <t>2015-1761</t>
  </si>
  <si>
    <t>RIMINI306</t>
  </si>
  <si>
    <t>41-3N-28-1250-0053-0000</t>
  </si>
  <si>
    <t>28900 GRANDVIEW MNR</t>
  </si>
  <si>
    <t>LIGHTHOUSE POINTE #2</t>
  </si>
  <si>
    <t>LOT 53 IN OR 1950/1356 LIGHTHOUSE POINTE #2 PB 7/145</t>
  </si>
  <si>
    <t>2017-1703</t>
  </si>
  <si>
    <t>BUCCANEER BLVD 65 HOLDINGS LLC</t>
  </si>
  <si>
    <t>2016-1703</t>
  </si>
  <si>
    <t>BENNU LLC JHA12DE6Y</t>
  </si>
  <si>
    <t>41-3N-28-1250-0054-0000</t>
  </si>
  <si>
    <t>28920 GRANDVIEW MNR</t>
  </si>
  <si>
    <t>LOT 54 IN OR 1938/1054 LIGHTHOUSE POINTE #2 PB 7/145</t>
  </si>
  <si>
    <t>2017-1704</t>
  </si>
  <si>
    <t>2016-1704</t>
  </si>
  <si>
    <t>2015-1762</t>
  </si>
  <si>
    <t>WWWWW17</t>
  </si>
  <si>
    <t>2012-2479</t>
  </si>
  <si>
    <t>2011-2816</t>
  </si>
  <si>
    <t>41-3N-28-1250-0056-0000</t>
  </si>
  <si>
    <t>28968 GRANDVIEW MNR</t>
  </si>
  <si>
    <t>LOT 56 PT OR 1938/1054 LIGHTHOUSE POINTE #2 PB 7/145</t>
  </si>
  <si>
    <t>2017-1705</t>
  </si>
  <si>
    <t>2016-1706</t>
  </si>
  <si>
    <t>2015-1764</t>
  </si>
  <si>
    <t>PPPP1595</t>
  </si>
  <si>
    <t>2012-2481</t>
  </si>
  <si>
    <t>2011-2818</t>
  </si>
  <si>
    <t>41-3N-28-1250-0057-0000</t>
  </si>
  <si>
    <t>28990 GRANDVIEW MNR</t>
  </si>
  <si>
    <t>LOT 57 PT OR 1938/1054 LIGHTHOUSE POINTE #2 PB 7/145</t>
  </si>
  <si>
    <t>2017-1706</t>
  </si>
  <si>
    <t>2016-1707</t>
  </si>
  <si>
    <t>2015-1765</t>
  </si>
  <si>
    <t>HORIZON 3355</t>
  </si>
  <si>
    <t>2012-2482</t>
  </si>
  <si>
    <t>2011-2819</t>
  </si>
  <si>
    <t>41-3N-28-1250-0065-0000</t>
  </si>
  <si>
    <t>29114 GRANDVIEW MNR</t>
  </si>
  <si>
    <t>LOT 65 PT OR 1938/1054 LIGHTHOUSE POINTE #2 PB 7/145</t>
  </si>
  <si>
    <t>12089C_221</t>
  </si>
  <si>
    <t>2017-1709</t>
  </si>
  <si>
    <t>HOSSET LLC O18947 SERIES</t>
  </si>
  <si>
    <t>2016-1711</t>
  </si>
  <si>
    <t>2015-1773</t>
  </si>
  <si>
    <t>F18540</t>
  </si>
  <si>
    <t>2012-2490</t>
  </si>
  <si>
    <t>2011-2827</t>
  </si>
  <si>
    <t>41-3N-28-1250-0070-0000</t>
  </si>
  <si>
    <t>29184 GRANDVIEW MNR</t>
  </si>
  <si>
    <t>LOT 70 PT OR 1938/1054 LIGHTHOUSE POINTE #2 PB 7/145</t>
  </si>
  <si>
    <t>2017-1710</t>
  </si>
  <si>
    <t>2016-1712</t>
  </si>
  <si>
    <t>2015-1775</t>
  </si>
  <si>
    <t>A241169</t>
  </si>
  <si>
    <t>2012-2495</t>
  </si>
  <si>
    <t>2011-2832</t>
  </si>
  <si>
    <t>41-3N-28-1250-0072-0000</t>
  </si>
  <si>
    <t>29212 GRANDVIEW MNR</t>
  </si>
  <si>
    <t>LOT 72 PT OR 1938/1054 LIGHTHOUSE POINTE #2 PB 7/145</t>
  </si>
  <si>
    <t>2017-1712</t>
  </si>
  <si>
    <t>2016-1714</t>
  </si>
  <si>
    <t>2015-1777</t>
  </si>
  <si>
    <t>D6251</t>
  </si>
  <si>
    <t>2012-2497</t>
  </si>
  <si>
    <t>2011-2834</t>
  </si>
  <si>
    <t>41-3N-28-1250-0073-0000</t>
  </si>
  <si>
    <t>29226 GRANDVIEW MNR</t>
  </si>
  <si>
    <t>LOT 73 PT OR 1938/1054 LIGHTHOUSE POINTE #2 PB 7/145</t>
  </si>
  <si>
    <t>2017-1713</t>
  </si>
  <si>
    <t>2016-1715</t>
  </si>
  <si>
    <t>2015-1778</t>
  </si>
  <si>
    <t>Z1754</t>
  </si>
  <si>
    <t>2012-2498</t>
  </si>
  <si>
    <t>2011-2835</t>
  </si>
  <si>
    <t>41-3N-28-1250-0074-0000</t>
  </si>
  <si>
    <t>29242 GRANDVIEW MNR</t>
  </si>
  <si>
    <t>LOT 74 PT OR 1938/1054 LIGHTHOUSE POINTE #2 PB 7/145</t>
  </si>
  <si>
    <t>2017-1714</t>
  </si>
  <si>
    <t>2016-1716</t>
  </si>
  <si>
    <t>2015-1779</t>
  </si>
  <si>
    <t>D242459</t>
  </si>
  <si>
    <t>2012-2499</t>
  </si>
  <si>
    <t>2011-2836</t>
  </si>
  <si>
    <t>41-3N-28-1250-0075-0000</t>
  </si>
  <si>
    <t>29258 GRANDVIEW MNR</t>
  </si>
  <si>
    <t>LOT 75 PT OR 1938/1054 LIGHTHOUSE POINTE #2 PB 7/145</t>
  </si>
  <si>
    <t>2017-1715</t>
  </si>
  <si>
    <t>2016-1717</t>
  </si>
  <si>
    <t>2015-1780</t>
  </si>
  <si>
    <t>D1512</t>
  </si>
  <si>
    <t>2012-2500</t>
  </si>
  <si>
    <t>2011-2837</t>
  </si>
  <si>
    <t>41-3N-28-1250-0076-0000</t>
  </si>
  <si>
    <t>29272 GRANDVIEW MNR</t>
  </si>
  <si>
    <t>LOT 76 PT OR 1938/1054 LIGHTHOUSE POINTE #2 PB 7/145</t>
  </si>
  <si>
    <t>2017-1716</t>
  </si>
  <si>
    <t>2016-1718</t>
  </si>
  <si>
    <t>2015-1781</t>
  </si>
  <si>
    <t>AAAAA824</t>
  </si>
  <si>
    <t>2012-2501</t>
  </si>
  <si>
    <t>2011-2838</t>
  </si>
  <si>
    <t>41-3N-28-1250-0085-0000</t>
  </si>
  <si>
    <t>28132 GRANDVIEW MNR</t>
  </si>
  <si>
    <t>DJOKOTO EMMANUEL</t>
  </si>
  <si>
    <t>13277 OCEAN MIST DR</t>
  </si>
  <si>
    <t>LOT 85 IN OR 1804/1702 LIGHTHOUSE POINTE #2 PB 7/145</t>
  </si>
  <si>
    <t>41-3N-28-1250-0091-0000</t>
  </si>
  <si>
    <t>28376 GRANDVIEW MNR</t>
  </si>
  <si>
    <t>LOT 91 IN OR 1907/24 LIGHTHOUSE POINTE #2 PB 7/145</t>
  </si>
  <si>
    <t>41-3N-28-1250-0092-0000</t>
  </si>
  <si>
    <t>28424 GRANDVIEW MNR</t>
  </si>
  <si>
    <t>LOT 92 PT OR 1938/1054 LIGHTHOUSE POINTE #2 PB 7/145</t>
  </si>
  <si>
    <t>2017-1719</t>
  </si>
  <si>
    <t>2016-1721</t>
  </si>
  <si>
    <t>2015-1784</t>
  </si>
  <si>
    <t>D202271</t>
  </si>
  <si>
    <t>2012-2505</t>
  </si>
  <si>
    <t>2011-2843</t>
  </si>
  <si>
    <t>41-3N-28-1250-0093-0000</t>
  </si>
  <si>
    <t>28466 GRANDVIEW MNR</t>
  </si>
  <si>
    <t>LOT 93 PT OR 1938/1054 LIGHTHOUSE POINTE #2 PB 7/145</t>
  </si>
  <si>
    <t>2017-1720</t>
  </si>
  <si>
    <t>2016-1722</t>
  </si>
  <si>
    <t>2015-1785</t>
  </si>
  <si>
    <t>R1598</t>
  </si>
  <si>
    <t>2012-2506</t>
  </si>
  <si>
    <t>2011-2844</t>
  </si>
  <si>
    <t>41-3N-28-1250-0096-0000</t>
  </si>
  <si>
    <t>28341 GRANDVIEW MNR</t>
  </si>
  <si>
    <t>LOT 96 PT OR 1938/1054 LIGHTHOUSE POINTE #2 PB 7/145</t>
  </si>
  <si>
    <t>2017-1722</t>
  </si>
  <si>
    <t>SETPER LLC O3093 SERIES</t>
  </si>
  <si>
    <t>2016-1724</t>
  </si>
  <si>
    <t>2015-1786</t>
  </si>
  <si>
    <t>D91041</t>
  </si>
  <si>
    <t>2012-2508</t>
  </si>
  <si>
    <t>2011-2847</t>
  </si>
  <si>
    <t>41-3N-28-1250-0102-0000</t>
  </si>
  <si>
    <t>LOT 102 PT OR 1938/1054 LIGHTHOUSE POINTE #2 PB 7/145</t>
  </si>
  <si>
    <t>2017-1725</t>
  </si>
  <si>
    <t>2016-1728</t>
  </si>
  <si>
    <t>2015-1790</t>
  </si>
  <si>
    <t>D202425</t>
  </si>
  <si>
    <t>2012-2513</t>
  </si>
  <si>
    <t>2011-2852</t>
  </si>
  <si>
    <t>41-3N-28-1250-0104-0000</t>
  </si>
  <si>
    <t>29263 GRANDVIEW MNR</t>
  </si>
  <si>
    <t>LOT 104 PT OR 1938/1054 LIGHTHOUSE POINTE #2 PB 7/145</t>
  </si>
  <si>
    <t>2017-1726</t>
  </si>
  <si>
    <t>2016-1729</t>
  </si>
  <si>
    <t>2015-1792</t>
  </si>
  <si>
    <t>HORIZON 3829</t>
  </si>
  <si>
    <t>2012-2515</t>
  </si>
  <si>
    <t>2011-2854</t>
  </si>
  <si>
    <t>41-3N-28-1250-0106-0000</t>
  </si>
  <si>
    <t>29223 GRANDVIEW MNR</t>
  </si>
  <si>
    <t>LOT 106 PT OR 1938/1054 LIGHTHOUSE POINTE #2 PB 7/145</t>
  </si>
  <si>
    <t>2017-1727</t>
  </si>
  <si>
    <t>2016-1730</t>
  </si>
  <si>
    <t>2015-1793</t>
  </si>
  <si>
    <t>F81564</t>
  </si>
  <si>
    <t>2012-2517</t>
  </si>
  <si>
    <t>2011-2856</t>
  </si>
  <si>
    <t>41-3N-28-1250-0110-0000</t>
  </si>
  <si>
    <t>29133 GRANDVIEW MNR</t>
  </si>
  <si>
    <t>LOT 110 PT OR 1938/1054 LIGHTHOUSE POINTE #2 PB 7/145</t>
  </si>
  <si>
    <t>2017-1728</t>
  </si>
  <si>
    <t>2016-1731</t>
  </si>
  <si>
    <t>2015-1795</t>
  </si>
  <si>
    <t>OSA 1526</t>
  </si>
  <si>
    <t>2012-2521</t>
  </si>
  <si>
    <t>2011-2860</t>
  </si>
  <si>
    <t>41-3N-28-1250-0111-0000</t>
  </si>
  <si>
    <t>29103 GRANDVIEW MNR</t>
  </si>
  <si>
    <t>LOT 111 PT OR 1938/1054 LIGHTHOUSE POINTE #2 PB 7/145</t>
  </si>
  <si>
    <t>2017-1729</t>
  </si>
  <si>
    <t>2016-1732</t>
  </si>
  <si>
    <t>2015-1796</t>
  </si>
  <si>
    <t>ORATINO692</t>
  </si>
  <si>
    <t>2012-2522</t>
  </si>
  <si>
    <t>2011-2861</t>
  </si>
  <si>
    <t>41-3N-28-1250-0115-0000</t>
  </si>
  <si>
    <t>29003 GRANDVIEW MNR</t>
  </si>
  <si>
    <t>LOT 115 PT OR 1938/1054 LIGHTHOUSE POINTE #2 PB 7/145</t>
  </si>
  <si>
    <t>2017-1730</t>
  </si>
  <si>
    <t>2016-1733</t>
  </si>
  <si>
    <t>2015-1797</t>
  </si>
  <si>
    <t>GGG980</t>
  </si>
  <si>
    <t>2012-2523</t>
  </si>
  <si>
    <t>2011-2862</t>
  </si>
  <si>
    <t>41-3N-28-1250-0119-0000</t>
  </si>
  <si>
    <t>28935 GRANDVIEW MNR</t>
  </si>
  <si>
    <t>LOT 119 PT OR 1938/1054 LIGHTHOUSE POINTE #2 PB 7/145</t>
  </si>
  <si>
    <t>2017-1732</t>
  </si>
  <si>
    <t>2016-1736</t>
  </si>
  <si>
    <t>2015-1800</t>
  </si>
  <si>
    <t>B91562</t>
  </si>
  <si>
    <t>2012-2527</t>
  </si>
  <si>
    <t>2011-2866</t>
  </si>
  <si>
    <t>41-3N-28-1250-0120-0000</t>
  </si>
  <si>
    <t>28919 GRANDVIEW MNR</t>
  </si>
  <si>
    <t>LOT 120 PT OR 1938/1054 LIGHTHOUSE POINTE #2 PB 7/145</t>
  </si>
  <si>
    <t>2017-1733</t>
  </si>
  <si>
    <t>2016-1737</t>
  </si>
  <si>
    <t>2015-1801</t>
  </si>
  <si>
    <t>C12272</t>
  </si>
  <si>
    <t>2012-2528</t>
  </si>
  <si>
    <t>2011-2867</t>
  </si>
  <si>
    <t>41-3N-28-1250-0123-0000</t>
  </si>
  <si>
    <t>VIEUX CARRE</t>
  </si>
  <si>
    <t>28024 VIEUX CARRE</t>
  </si>
  <si>
    <t>LOT 123 PT OR 1938/1054 LIGHTHOUSE POINTE #2 PB 7/145</t>
  </si>
  <si>
    <t>2017-1735</t>
  </si>
  <si>
    <t>2016-1739</t>
  </si>
  <si>
    <t>2015-1802</t>
  </si>
  <si>
    <t>ORATINO754</t>
  </si>
  <si>
    <t>2012-2529</t>
  </si>
  <si>
    <t>2011-2868</t>
  </si>
  <si>
    <t>41-3N-28-1250-0124-0000</t>
  </si>
  <si>
    <t>28060 VIEUX CARRE</t>
  </si>
  <si>
    <t>LOT 124 IN OR 1870/35 LIGHTHOUSE POINTE #2 PB 7/145</t>
  </si>
  <si>
    <t>2013-2066</t>
  </si>
  <si>
    <t>2012-2530</t>
  </si>
  <si>
    <t>41-3N-28-1250-0130-0000</t>
  </si>
  <si>
    <t>28282 VIEUX CARRE</t>
  </si>
  <si>
    <t>LOT 130 PT OR 1938/1054 LIGHTHOUSE POINTE #2 PB 7/145</t>
  </si>
  <si>
    <t>2017-1737</t>
  </si>
  <si>
    <t>SETPER LLC O134415 SERIES</t>
  </si>
  <si>
    <t>2016-1742</t>
  </si>
  <si>
    <t>2015-1805</t>
  </si>
  <si>
    <t>B18360</t>
  </si>
  <si>
    <t>2012-2535</t>
  </si>
  <si>
    <t>2011-2873</t>
  </si>
  <si>
    <t>41-3N-28-1250-0131-0000</t>
  </si>
  <si>
    <t>28302 VIEUX CARRE</t>
  </si>
  <si>
    <t>LOT 131 PT OR 1938/1054 LIGHTHOUSE POINTE #2 PB 7/145</t>
  </si>
  <si>
    <t>2017-1738</t>
  </si>
  <si>
    <t>SKYLER LLC O47655 SERIES</t>
  </si>
  <si>
    <t>2016-1743</t>
  </si>
  <si>
    <t>2015-1806</t>
  </si>
  <si>
    <t>E31974</t>
  </si>
  <si>
    <t>2012-2536</t>
  </si>
  <si>
    <t>2011-2874</t>
  </si>
  <si>
    <t>41-3N-28-1250-0132-0000</t>
  </si>
  <si>
    <t>28326 VIEUX CARRE</t>
  </si>
  <si>
    <t>LOT 132 PT OR 1938/1054 LIGHTHOUSE POINTE #2 PB 7/145</t>
  </si>
  <si>
    <t>2017-1739</t>
  </si>
  <si>
    <t>SKYLER LLC O99118 SERIES</t>
  </si>
  <si>
    <t>2016-1744</t>
  </si>
  <si>
    <t>2015-1807</t>
  </si>
  <si>
    <t>E14434</t>
  </si>
  <si>
    <t>2012-2537</t>
  </si>
  <si>
    <t>2011-2875</t>
  </si>
  <si>
    <t>41-3N-28-1250-0133-0000</t>
  </si>
  <si>
    <t>28354 VIEUX CARRE</t>
  </si>
  <si>
    <t>LOT 133 PT OR 1938/1054 LIGHTHOUSE POINTE #2 PB 7/145</t>
  </si>
  <si>
    <t>2017-1740</t>
  </si>
  <si>
    <t>HOSSET LLC O31797 SERIES</t>
  </si>
  <si>
    <t>2016-1745</t>
  </si>
  <si>
    <t>2015-1808</t>
  </si>
  <si>
    <t>H101496</t>
  </si>
  <si>
    <t>2012-2538</t>
  </si>
  <si>
    <t>2011-2876</t>
  </si>
  <si>
    <t>41-3N-28-1250-0135-0000</t>
  </si>
  <si>
    <t>28442 VIEUX CARRE</t>
  </si>
  <si>
    <t>LOT 135 PT OR 1938/1054 LIGHTHOUSE POINTE #2 PB 7/145</t>
  </si>
  <si>
    <t>2017-1741</t>
  </si>
  <si>
    <t>SETPER LLC O4430 SERIES</t>
  </si>
  <si>
    <t>2016-1746</t>
  </si>
  <si>
    <t>2015-1809</t>
  </si>
  <si>
    <t>SUZZARA141</t>
  </si>
  <si>
    <t>2012-2540</t>
  </si>
  <si>
    <t>2011-2878</t>
  </si>
  <si>
    <t>41-3N-28-1250-0136-0000</t>
  </si>
  <si>
    <t>28468 VIEUX CARRE</t>
  </si>
  <si>
    <t>LOT 136 PT OR 1938/1054 LIGHTHOUSE POINTE #2 PB 7/145</t>
  </si>
  <si>
    <t>2017-1742</t>
  </si>
  <si>
    <t>SETPER LLC O157227 SERIES</t>
  </si>
  <si>
    <t>2016-1747</t>
  </si>
  <si>
    <t>2015-1810</t>
  </si>
  <si>
    <t>BBBB1369</t>
  </si>
  <si>
    <t>2012-2541</t>
  </si>
  <si>
    <t>2011-2879</t>
  </si>
  <si>
    <t>41-3N-28-1250-0137-0000</t>
  </si>
  <si>
    <t>LOT 137 PT OR 1938/1054 LIGHTHOUSE POINTE #2 PB 7/145</t>
  </si>
  <si>
    <t>2017-1743</t>
  </si>
  <si>
    <t>SKYLER LLC O95551 SERIES</t>
  </si>
  <si>
    <t>2016-1748</t>
  </si>
  <si>
    <t>2015-1811</t>
  </si>
  <si>
    <t>F18549</t>
  </si>
  <si>
    <t>2012-2542</t>
  </si>
  <si>
    <t>2011-2880</t>
  </si>
  <si>
    <t>41-3N-28-1250-0138-0000</t>
  </si>
  <si>
    <t>LOT 138 IN OR 1950/1356 LIGHTHOUSE POINTE #2 PB 7/145</t>
  </si>
  <si>
    <t>2017-1744</t>
  </si>
  <si>
    <t>HOSSET LLC O15685 SERIES</t>
  </si>
  <si>
    <t>41-3N-28-1250-0139-0000</t>
  </si>
  <si>
    <t>28576 VIEUX CARRE</t>
  </si>
  <si>
    <t>LOT 139 PT OR 1938/1061 LIGHTHOUSE POINTE #2 PB 7/145</t>
  </si>
  <si>
    <t>2017-1745</t>
  </si>
  <si>
    <t>SKYLER LLC O47436 SERIES</t>
  </si>
  <si>
    <t>2016-1749</t>
  </si>
  <si>
    <t>2015-1812</t>
  </si>
  <si>
    <t>E18260</t>
  </si>
  <si>
    <t>2011-2881</t>
  </si>
  <si>
    <t>41-3N-28-1250-0140-0000</t>
  </si>
  <si>
    <t>28634 VIEUX CARRE</t>
  </si>
  <si>
    <t>LOT 140 PT OR 1938/1054 LIGHTHOUSE POINTE #2 PB 7/145</t>
  </si>
  <si>
    <t>2017-1746</t>
  </si>
  <si>
    <t>HOSSET LLC O129849 SERIES</t>
  </si>
  <si>
    <t>2016-1750</t>
  </si>
  <si>
    <t>2015-1813</t>
  </si>
  <si>
    <t>E31447</t>
  </si>
  <si>
    <t>2012-2543</t>
  </si>
  <si>
    <t>2011-2882</t>
  </si>
  <si>
    <t>41-3N-28-1250-0143-0000</t>
  </si>
  <si>
    <t>28872 VIEUX CARRE</t>
  </si>
  <si>
    <t>LOT 143 PT OR 1938/1054 LIGHTHOUSE POINTE #2 PB 7/145</t>
  </si>
  <si>
    <t>2017-1747</t>
  </si>
  <si>
    <t>2016-1752</t>
  </si>
  <si>
    <t>2015-1815</t>
  </si>
  <si>
    <t>VVVVV1445</t>
  </si>
  <si>
    <t>2012-2545</t>
  </si>
  <si>
    <t>2011-2884</t>
  </si>
  <si>
    <t>41-3N-28-1250-0144-0000</t>
  </si>
  <si>
    <t>28936 VIEUX CARRE</t>
  </si>
  <si>
    <t>LOT 144 PT OR 1938/1054 LIGHTHOUSE POINTE #2 PB 7/145</t>
  </si>
  <si>
    <t>2017-1748</t>
  </si>
  <si>
    <t>2016-1753</t>
  </si>
  <si>
    <t>2015-1816</t>
  </si>
  <si>
    <t>B22292</t>
  </si>
  <si>
    <t>2012-2546</t>
  </si>
  <si>
    <t>2011-2885</t>
  </si>
  <si>
    <t>42-3N-28-0000-0001-0000</t>
  </si>
  <si>
    <t>BELLEVILLE</t>
  </si>
  <si>
    <t>BELLEVILLE LN</t>
  </si>
  <si>
    <t>BLUE POTATO PROPERTIES LLC</t>
  </si>
  <si>
    <t>4 SE 1ST ST # 2ND</t>
  </si>
  <si>
    <t>MIAMI FL</t>
  </si>
  <si>
    <t>42-03N-28E</t>
  </si>
  <si>
    <t>IN OR 1921/1762 IN SEC 42 &amp; 43</t>
  </si>
  <si>
    <t>12089C_1129</t>
  </si>
  <si>
    <t>2017-1749</t>
  </si>
  <si>
    <t>2016-1754</t>
  </si>
  <si>
    <t>D21274</t>
  </si>
  <si>
    <t>42-3N-28-0000-0003-0010</t>
  </si>
  <si>
    <t>97205 BELLEVILLE LN</t>
  </si>
  <si>
    <t>BARBER JAMES DANIEL</t>
  </si>
  <si>
    <t>97573 CHESTER RIVER RD</t>
  </si>
  <si>
    <t>PT OF SEC 42-3N-28E &amp;43-3N-28E IN OR 1982/374 BEING PARCELS 1 &amp; 2</t>
  </si>
  <si>
    <t>2017-1750</t>
  </si>
  <si>
    <t>TRIAD HOLDINGS4991</t>
  </si>
  <si>
    <t>2013-2068</t>
  </si>
  <si>
    <t>42-3N-28-0000-0009-0020</t>
  </si>
  <si>
    <t>LEVY KENNETH W</t>
  </si>
  <si>
    <t>96014 BRIGHTON PL</t>
  </si>
  <si>
    <t>IN OR 1575/466 CASE #08-CP-83</t>
  </si>
  <si>
    <t>2017-1752</t>
  </si>
  <si>
    <t>2016-1755</t>
  </si>
  <si>
    <t>2015-1817</t>
  </si>
  <si>
    <t>2014-1846</t>
  </si>
  <si>
    <t>2013-2069</t>
  </si>
  <si>
    <t>2012-2703</t>
  </si>
  <si>
    <t>2011-2888</t>
  </si>
  <si>
    <t>42-3N-28-0000-0012-0000</t>
  </si>
  <si>
    <t>CHESTER</t>
  </si>
  <si>
    <t>2225 CHESTER RD</t>
  </si>
  <si>
    <t>HARRIS LEONARD I</t>
  </si>
  <si>
    <t>97304 WATER OAK RD</t>
  </si>
  <si>
    <t>PT OF LOT 12 IN OR 642/166 EX 12-5 &amp; 12-6</t>
  </si>
  <si>
    <t>2017-1753</t>
  </si>
  <si>
    <t>2016-1757</t>
  </si>
  <si>
    <t>2011-2889</t>
  </si>
  <si>
    <t>42-3N-28-0000-0013-0000</t>
  </si>
  <si>
    <t>CHESTER RIVER</t>
  </si>
  <si>
    <t>97590 CHESTER RIVER RD</t>
  </si>
  <si>
    <t>LOT 19 (LESS S 85 FT) IN OR 2045/1849 R334387/R334388 1976 CENTAUR</t>
  </si>
  <si>
    <t>42-3N-28-0000-0014-0010</t>
  </si>
  <si>
    <t>CHESTER RIVER RD</t>
  </si>
  <si>
    <t>BARBER LORI MICHELE</t>
  </si>
  <si>
    <t>96845 CHESTER RD</t>
  </si>
  <si>
    <t>PT SEC 42-3N-28E RECD IN OR 1967/1891</t>
  </si>
  <si>
    <t>2017-1754</t>
  </si>
  <si>
    <t>2016-1758</t>
  </si>
  <si>
    <t>BENNU LLC YSB5NCEJ</t>
  </si>
  <si>
    <t>2015-1819</t>
  </si>
  <si>
    <t>2013-2070</t>
  </si>
  <si>
    <t>42-3N-28-0000-0014-0020</t>
  </si>
  <si>
    <t>BARBER JAMES D</t>
  </si>
  <si>
    <t>L/E IN OR 747/832 &amp; OR 1815/21</t>
  </si>
  <si>
    <t>2016-1759</t>
  </si>
  <si>
    <t>ORANGE PORPOISE AJJR LLC</t>
  </si>
  <si>
    <t>2015-1820</t>
  </si>
  <si>
    <t>FREMONT CAPITAL MANAGEMENT209102</t>
  </si>
  <si>
    <t>2013-2071</t>
  </si>
  <si>
    <t>2012-2704</t>
  </si>
  <si>
    <t>2011-2891</t>
  </si>
  <si>
    <t>42-3N-28-0000-0015-0000</t>
  </si>
  <si>
    <t>LOVERS</t>
  </si>
  <si>
    <t>LOVERS LN</t>
  </si>
  <si>
    <t>PT JOHN LOWE GRANT SEC 42-3N-28E IN OR 1982/374 BEING PARCEL 3</t>
  </si>
  <si>
    <t>2013-2072</t>
  </si>
  <si>
    <t>42-3N-28-5080-0007-0010</t>
  </si>
  <si>
    <t>96837 BLACKROCK RD</t>
  </si>
  <si>
    <t>PIRATES TRADING POST INC</t>
  </si>
  <si>
    <t>THIGPEN SURVEY</t>
  </si>
  <si>
    <t>48-03N-28E</t>
  </si>
  <si>
    <t>PT OF LOT 7 (SEC 48) IN OR 752 PG 812 THIGPEN SURVEY DB 39/356</t>
  </si>
  <si>
    <t>2017-1755</t>
  </si>
  <si>
    <t>BENNU LLC LY83QBCR</t>
  </si>
  <si>
    <t>2016-1760</t>
  </si>
  <si>
    <t>CCTS - ANOTHER BUYING GROUP 56101 US BANK CUST FOR PFS FINANCIAL 2 LLC</t>
  </si>
  <si>
    <t>2015-1823</t>
  </si>
  <si>
    <t>BISBEE LLC M1F0B6AR</t>
  </si>
  <si>
    <t>2014-1847</t>
  </si>
  <si>
    <t>2013-2073</t>
  </si>
  <si>
    <t>2012-2705</t>
  </si>
  <si>
    <t>NAWS31 LLC</t>
  </si>
  <si>
    <t>2011-2897</t>
  </si>
  <si>
    <t>42-3N-28-5080-0015-0090</t>
  </si>
  <si>
    <t>96797 BLACKROCK RD</t>
  </si>
  <si>
    <t>ELLIS KRISTEN D</t>
  </si>
  <si>
    <t>ELLIS KEITH DUANE</t>
  </si>
  <si>
    <t>PT OF LOT 15 W OF R/W IN OR 1500/1681 ESMT OR 1608/165</t>
  </si>
  <si>
    <t>42-3N-28-5080-0015-0160</t>
  </si>
  <si>
    <t>96785 BLACKROCK RD</t>
  </si>
  <si>
    <t>RAWLS EDWIN E</t>
  </si>
  <si>
    <t>PT LOT 15 (EX S-17) IN OR 1781/793 THIGPEN SURVEY DB 39/356</t>
  </si>
  <si>
    <t>2017-1756</t>
  </si>
  <si>
    <t>GRASS MARSH INV AAII LLC</t>
  </si>
  <si>
    <t>2016-1761</t>
  </si>
  <si>
    <t>RAPTY TRUST SERIES 34856</t>
  </si>
  <si>
    <t>2015-1825</t>
  </si>
  <si>
    <t>MACHA TAL 3AYA LLC</t>
  </si>
  <si>
    <t>2014-1849</t>
  </si>
  <si>
    <t>2013-2079</t>
  </si>
  <si>
    <t>42-3N-28-5080-0037-0020</t>
  </si>
  <si>
    <t>PO FOLKS</t>
  </si>
  <si>
    <t>PO FOLKS WAY</t>
  </si>
  <si>
    <t>STEWART WILLIAM ELSWORTH</t>
  </si>
  <si>
    <t>PT LOT 37 IN OR 1341/1988 THIGPEN SURVEY DBK 39/356</t>
  </si>
  <si>
    <t>2017-1758</t>
  </si>
  <si>
    <t>2016-1763</t>
  </si>
  <si>
    <t>BISBEE LLC RY5ED7</t>
  </si>
  <si>
    <t>2015-1828</t>
  </si>
  <si>
    <t>2014-1854</t>
  </si>
  <si>
    <t>2013-2093</t>
  </si>
  <si>
    <t>2012-2721</t>
  </si>
  <si>
    <t>2011-2915</t>
  </si>
  <si>
    <t>43-3N-28-0000-0012-0000</t>
  </si>
  <si>
    <t>2142 CHESTER RD</t>
  </si>
  <si>
    <t>MITCHELL KENNETH LEE</t>
  </si>
  <si>
    <t>96798 CHESTER RD</t>
  </si>
  <si>
    <t>43-03N-28E</t>
  </si>
  <si>
    <t>PT JOHN LOWE GRANT SEC 43-3N-28E IN OR 1819/548</t>
  </si>
  <si>
    <t>2017-1762</t>
  </si>
  <si>
    <t>2016-1764</t>
  </si>
  <si>
    <t>2015-1833</t>
  </si>
  <si>
    <t>43-3N-28-0000-0016-0060</t>
  </si>
  <si>
    <t>MITCHELL</t>
  </si>
  <si>
    <t>97059 MITCHELL RD</t>
  </si>
  <si>
    <t>WILLIAMS VERNON SR</t>
  </si>
  <si>
    <t>540 YEW CT</t>
  </si>
  <si>
    <t>ALTAMONTE SPRINGS FL</t>
  </si>
  <si>
    <t>IN OR 879/1272 &amp; ESMT (16-6 &amp; 16-8)</t>
  </si>
  <si>
    <t>2016-1767</t>
  </si>
  <si>
    <t>ZII - 256218 - HORSESHOE BEACH EIGHTEEN PERCENT US BANK CUST FOR PFS FINANCIAL 2 LLC</t>
  </si>
  <si>
    <t>2015-1834</t>
  </si>
  <si>
    <t>2014-1858</t>
  </si>
  <si>
    <t>2013-2098</t>
  </si>
  <si>
    <t>2012-2799</t>
  </si>
  <si>
    <t>43-3N-28-0000-0017-0110</t>
  </si>
  <si>
    <t>BELL LAGOON</t>
  </si>
  <si>
    <t>BELL LAGOON DR</t>
  </si>
  <si>
    <t>GIORDANO ROBERT</t>
  </si>
  <si>
    <t>GIORDANO BARBARA</t>
  </si>
  <si>
    <t>76309 LONGLEAF LOOP</t>
  </si>
  <si>
    <t>PT OR 1262/719</t>
  </si>
  <si>
    <t>2017-1764</t>
  </si>
  <si>
    <t>2016-1769</t>
  </si>
  <si>
    <t>2015-1836</t>
  </si>
  <si>
    <t>MICHAEL V WILBUR LIV. TRUST U/A DATED 10/30/2001</t>
  </si>
  <si>
    <t>2014-1860</t>
  </si>
  <si>
    <t>2013-2100</t>
  </si>
  <si>
    <t>PROVIDENT TRUST GROUP LLC FBO MAX BENNINGFIELD IRA</t>
  </si>
  <si>
    <t>2012-2801</t>
  </si>
  <si>
    <t>2011-2920</t>
  </si>
  <si>
    <t>43-3N-28-1510-0014-0000</t>
  </si>
  <si>
    <t>MAYBOURNE</t>
  </si>
  <si>
    <t>88101 MAYBOURNE RD</t>
  </si>
  <si>
    <t>NEIL SHAWN E</t>
  </si>
  <si>
    <t>NEIL ALYSSA D</t>
  </si>
  <si>
    <t>OAKS AT BRISTOL</t>
  </si>
  <si>
    <t>LOT 14 PT OR 2027/444 OAKS AT BRISTOL PB 8/4</t>
  </si>
  <si>
    <t>2011-2937</t>
  </si>
  <si>
    <t>43-3N-28-509B-0012-0000</t>
  </si>
  <si>
    <t>MORGANS</t>
  </si>
  <si>
    <t>97081 MORGANS WAY</t>
  </si>
  <si>
    <t>TAUSCHER LILLIAN G</t>
  </si>
  <si>
    <t>PIRATES WOOD</t>
  </si>
  <si>
    <t>LOTS 12 &amp; 13 IN OR 795/430 PIRATES WOOD 2 UNR</t>
  </si>
  <si>
    <t>2017-1783</t>
  </si>
  <si>
    <t>PETRELLA1277</t>
  </si>
  <si>
    <t>43-3N-28-509C-0012-0000</t>
  </si>
  <si>
    <t>LAFFITES</t>
  </si>
  <si>
    <t>LAFFITES WAY</t>
  </si>
  <si>
    <t>MCFADDEN KYLE E</t>
  </si>
  <si>
    <t>310 COMMONS WAY</t>
  </si>
  <si>
    <t>GOOSE CREEK SC</t>
  </si>
  <si>
    <t>LOT 12 IN OR 1992/995 PIRATES WOOD 3 UNR</t>
  </si>
  <si>
    <t>2014-1885</t>
  </si>
  <si>
    <t>2013-2139</t>
  </si>
  <si>
    <t>2012-2841</t>
  </si>
  <si>
    <t>2011-2981</t>
  </si>
  <si>
    <t>43-3N-28-509C-0019-0000</t>
  </si>
  <si>
    <t>PIRATES POINT</t>
  </si>
  <si>
    <t>97441 PIRATES POINT RD</t>
  </si>
  <si>
    <t>SOUTHWELL DWIGHT L</t>
  </si>
  <si>
    <t>SOUTHWELL MARLA D</t>
  </si>
  <si>
    <t>LOT 19 IN OR 928/1456 PIRATES WOOD 3 UNR</t>
  </si>
  <si>
    <t>12089C_1144</t>
  </si>
  <si>
    <t>43-3N-28-509C-0031-0000</t>
  </si>
  <si>
    <t>97253 PIRATES POINT RD</t>
  </si>
  <si>
    <t>THOMPSON SHAWN D</t>
  </si>
  <si>
    <t>THOMPSON LAURA C</t>
  </si>
  <si>
    <t>LOT 31 IN OR 1940/553 PIRATES WOOD 3 UNR</t>
  </si>
  <si>
    <t>12089C_808</t>
  </si>
  <si>
    <t>43-3N-28-509D-0009-0000</t>
  </si>
  <si>
    <t>97562 PIRATES POINT RD</t>
  </si>
  <si>
    <t>WILSON ADAM</t>
  </si>
  <si>
    <t>WILSON HILLARY</t>
  </si>
  <si>
    <t>96105 DOLPHIN WAY</t>
  </si>
  <si>
    <t>LOT 9 IN OR 2066/313 PIRATES WOOD 4 UNR</t>
  </si>
  <si>
    <t>2017-1788</t>
  </si>
  <si>
    <t>BENNU LLC JHA4857Y</t>
  </si>
  <si>
    <t>2012-2845</t>
  </si>
  <si>
    <t>LIME PORPOISE 22 LLC PALM TREE TAX, CAPONE NA AS CO</t>
  </si>
  <si>
    <t>43-3N-28-509D-0010-0000</t>
  </si>
  <si>
    <t>97552 PIRATES POINT RD</t>
  </si>
  <si>
    <t>FRASER DAVID K</t>
  </si>
  <si>
    <t>DAVID K FRASER REVOCABLE TRUST</t>
  </si>
  <si>
    <t>LOT 10 IN OR 1611/665 PIRATES WOOD # 4 UNR</t>
  </si>
  <si>
    <t>12089C_393</t>
  </si>
  <si>
    <t>2017-1789</t>
  </si>
  <si>
    <t>SETPER LLC O67657 SERIES</t>
  </si>
  <si>
    <t>2016-1796</t>
  </si>
  <si>
    <t>CCCCC2091</t>
  </si>
  <si>
    <t>2015-1842</t>
  </si>
  <si>
    <t>E131109</t>
  </si>
  <si>
    <t>2014-1887</t>
  </si>
  <si>
    <t>2013-2143</t>
  </si>
  <si>
    <t>2012-2846</t>
  </si>
  <si>
    <t>GARNET ROCK LLC - 377 US BANK % GARNET ROCK LLC-377</t>
  </si>
  <si>
    <t>43-3N-28-509D-0012-0000</t>
  </si>
  <si>
    <t>97524 PIRATES POINT RD</t>
  </si>
  <si>
    <t>DOBBINS JOHN</t>
  </si>
  <si>
    <t>24 SAPALO DR</t>
  </si>
  <si>
    <t>LOT 12 IN OR 1887/879 PIRATES WOOD # 4 UNR</t>
  </si>
  <si>
    <t>12089C_339</t>
  </si>
  <si>
    <t>2017-1790</t>
  </si>
  <si>
    <t>AFFILIATED TAX CO LLC -  225 A6</t>
  </si>
  <si>
    <t>2015-1843</t>
  </si>
  <si>
    <t>VLX - 211555 - BELLEAIR WEST US BANK CUST FOR PFS FINANCIAL 2 LLC</t>
  </si>
  <si>
    <t>43-3N-28-509D-0022-0000</t>
  </si>
  <si>
    <t>97352 PIRATES POINT RD</t>
  </si>
  <si>
    <t>HOLDER MAROLYN K</t>
  </si>
  <si>
    <t>HOLDER CRAIG T</t>
  </si>
  <si>
    <t>LOT 22 IN OR 821 PG 1736 PIRATES WOOD 4 UNR</t>
  </si>
  <si>
    <t>43-3N-28-509D-0029-0000</t>
  </si>
  <si>
    <t>PIRATES POINT RD</t>
  </si>
  <si>
    <t>BLAKE CHRISTOPHER T</t>
  </si>
  <si>
    <t>BLAKE RHONDA L</t>
  </si>
  <si>
    <t>LOT 29 IN OR 855/612 PIRATES WOOD 4 UNR</t>
  </si>
  <si>
    <t>2017-1791</t>
  </si>
  <si>
    <t>SISKIN LOOP 111 SERVICING LLC</t>
  </si>
  <si>
    <t>2016-1797</t>
  </si>
  <si>
    <t>GGGG1949</t>
  </si>
  <si>
    <t>2015-1844</t>
  </si>
  <si>
    <t>HPE - 238401 - GLEN RIDGE LLC US BANK CUST FOR PFS FINANCIAL 2 LLC</t>
  </si>
  <si>
    <t>2014-1888</t>
  </si>
  <si>
    <t>2013-2144</t>
  </si>
  <si>
    <t>2012-2847</t>
  </si>
  <si>
    <t>2011-2982</t>
  </si>
  <si>
    <t>43-3N-28-509D-0056-0000</t>
  </si>
  <si>
    <t>PIRATES</t>
  </si>
  <si>
    <t>97528 PIRATES WAY</t>
  </si>
  <si>
    <t>BRANAN CHARLES R</t>
  </si>
  <si>
    <t>LOT 56 IN OR 599 PG 436 PIRATES WOOD 4 UNR</t>
  </si>
  <si>
    <t>43-3N-28-509D-0067-0000</t>
  </si>
  <si>
    <t>97376 PIRATES WAY</t>
  </si>
  <si>
    <t>BERRYHILL ALMA F EST &amp; HUGH D &amp; BONNIE B ARNOLD</t>
  </si>
  <si>
    <t>PO BOX 524</t>
  </si>
  <si>
    <t>LOT 67 IN OR 299 PG 358 PIRATES WOOD 4 UNR</t>
  </si>
  <si>
    <t>2017-1793</t>
  </si>
  <si>
    <t>ASCOT CAPITAL LLC - 100 A2</t>
  </si>
  <si>
    <t>2016-1800</t>
  </si>
  <si>
    <t>GREEN TAX FUNDING LLC I SER 15</t>
  </si>
  <si>
    <t>2014-1891</t>
  </si>
  <si>
    <t>43-3N-28-509D-0068-0000</t>
  </si>
  <si>
    <t>97358 PIRATES WAY</t>
  </si>
  <si>
    <t>POTEAT SHIRLEY A</t>
  </si>
  <si>
    <t>LOT 68 &amp; E1/2 OF LOT 69 IN OR 802/408 FPL ESMT IN OR 966/425</t>
  </si>
  <si>
    <t>43-3N-28-509E-0009-0000</t>
  </si>
  <si>
    <t>CARAVEL</t>
  </si>
  <si>
    <t>97253 CARAVEL TRL</t>
  </si>
  <si>
    <t>CARTWRIGHT JAMES E</t>
  </si>
  <si>
    <t>CARTWRIGHT LINDA K</t>
  </si>
  <si>
    <t>LOT 9 OR 347/509 &amp; 348/457 PIRATES WOOD 5 UNR</t>
  </si>
  <si>
    <t>2017-1794</t>
  </si>
  <si>
    <t>BISBEE LLC HL843EE9</t>
  </si>
  <si>
    <t>2015-1848</t>
  </si>
  <si>
    <t>BISBEE LLC HP1DY9B1</t>
  </si>
  <si>
    <t>2014-1894</t>
  </si>
  <si>
    <t>2012-2851</t>
  </si>
  <si>
    <t>US BANK CUST BISBEE LLC M109CD</t>
  </si>
  <si>
    <t>2011-2987</t>
  </si>
  <si>
    <t>43-3N-28-509F-0008-0000</t>
  </si>
  <si>
    <t>CUTLASS</t>
  </si>
  <si>
    <t>97174 CUTLASS WAY</t>
  </si>
  <si>
    <t>KIDD KELLEY</t>
  </si>
  <si>
    <t>KIDD WENDI G</t>
  </si>
  <si>
    <t>PO BOX 7</t>
  </si>
  <si>
    <t>LOT 8 IN OR 913/1627 PIRATES WOOD #6 UNR</t>
  </si>
  <si>
    <t>43-3N-28-5100-0008-0000</t>
  </si>
  <si>
    <t>96650 CHESTER RD</t>
  </si>
  <si>
    <t>MATTHEW 25 INVESTMENTS LLC</t>
  </si>
  <si>
    <t>96358 OTTER RUN DR</t>
  </si>
  <si>
    <t>CHESTER MEADOWS</t>
  </si>
  <si>
    <t>LOT 8 IN OR 1581/1949 CHESTER MEADOWS UNIT 1 UNR</t>
  </si>
  <si>
    <t>2017-1795</t>
  </si>
  <si>
    <t>SETPER LLC O140337 SERIES</t>
  </si>
  <si>
    <t>2016-1803</t>
  </si>
  <si>
    <t>ORANGE DOLPHINS XTYP LLC</t>
  </si>
  <si>
    <t>43-3N-28-5110-0013-0010</t>
  </si>
  <si>
    <t>96633 CHESTER RD</t>
  </si>
  <si>
    <t>MITCHELL JARELL DASHAWN</t>
  </si>
  <si>
    <t>CHESTER ROAD</t>
  </si>
  <si>
    <t>PT OF LOT 11 THIGPEN SURV A/K/A TRACT 13 (S-1) LOFTON CHESTER ROAD</t>
  </si>
  <si>
    <t>2017-1797</t>
  </si>
  <si>
    <t>WONDER CAPITAL355686</t>
  </si>
  <si>
    <t>44-3N-28-0000-0001-0020</t>
  </si>
  <si>
    <t>96730 BLACKROCK RD</t>
  </si>
  <si>
    <t>DAVIS RHONDA J</t>
  </si>
  <si>
    <t>145 RICHMOND DR</t>
  </si>
  <si>
    <t>IN OR 2041/780 A/K/A LOT 2 UNR SUB</t>
  </si>
  <si>
    <t>44-3N-28-5300-0012-0000</t>
  </si>
  <si>
    <t>AMY</t>
  </si>
  <si>
    <t>97343 AMY DR</t>
  </si>
  <si>
    <t>SHRADER RORIE JENNINGS</t>
  </si>
  <si>
    <t>LOT 12 IN OR 1993/552 PINE RIDGE PB 5/143</t>
  </si>
  <si>
    <t>2017-1801</t>
  </si>
  <si>
    <t>BISBEE LLC AR493A</t>
  </si>
  <si>
    <t>44-3N-28-5300-0020-0000</t>
  </si>
  <si>
    <t>97326 AMY DR</t>
  </si>
  <si>
    <t>WYLIE ROBERT M</t>
  </si>
  <si>
    <t>WYLIE JR ROBERT F</t>
  </si>
  <si>
    <t>LOT 20 IN OR 1498/996 1995 SKYL DW/MH</t>
  </si>
  <si>
    <t>2017-1802</t>
  </si>
  <si>
    <t>TARPON BLVD 192 SERVICING LLC</t>
  </si>
  <si>
    <t>2016-1806</t>
  </si>
  <si>
    <t>TANGERINE DELPHIS XDOA LLC</t>
  </si>
  <si>
    <t>2015-1854</t>
  </si>
  <si>
    <t>PELICAN PASS CERTS AAWB LLC</t>
  </si>
  <si>
    <t>2014-1903</t>
  </si>
  <si>
    <t>2013-2162</t>
  </si>
  <si>
    <t>2012-2894</t>
  </si>
  <si>
    <t>2011-3000</t>
  </si>
  <si>
    <t>45-3N-28-0000-0003-0130</t>
  </si>
  <si>
    <t>OFF OPAL</t>
  </si>
  <si>
    <t>OFF OPAL AV</t>
  </si>
  <si>
    <t>THOMASON PATRICK E</t>
  </si>
  <si>
    <t>PO BOX 1172</t>
  </si>
  <si>
    <t>45-03N-28E</t>
  </si>
  <si>
    <t>IN OR 1397/134 EX 3-14</t>
  </si>
  <si>
    <t>12089C_261153</t>
  </si>
  <si>
    <t>45-3N-28-0240-0011-0000</t>
  </si>
  <si>
    <t>CAPTAINS POINTE</t>
  </si>
  <si>
    <t>96278 CAPTAINS POINTE RD</t>
  </si>
  <si>
    <t>CAPITAL MARKETS GROUP</t>
  </si>
  <si>
    <t>PO BOX 16597</t>
  </si>
  <si>
    <t>LOT 11 &amp; PARCEL 13-7 SEC 38 IN OR 2050/720</t>
  </si>
  <si>
    <t>2017-1803</t>
  </si>
  <si>
    <t>IIII1618</t>
  </si>
  <si>
    <t>46-3N-28-0000-0007-0450</t>
  </si>
  <si>
    <t>JONES TODD</t>
  </si>
  <si>
    <t>JONES TERRY</t>
  </si>
  <si>
    <t>531 S 6TH ST</t>
  </si>
  <si>
    <t>LANCEFORD</t>
  </si>
  <si>
    <t>46-03N-28E</t>
  </si>
  <si>
    <t>PT OF SECT SOUTH OF LANCEFORD OAKS SUB PB 5/145 PT OR 691/57 &amp; PT OR 1718/1885</t>
  </si>
  <si>
    <t>46-3N-28-5055-0005-0000</t>
  </si>
  <si>
    <t>MARSH HEN</t>
  </si>
  <si>
    <t>96203 MARSH HEN RD</t>
  </si>
  <si>
    <t>4-Y PROPERTIES LLC</t>
  </si>
  <si>
    <t>BARNWELL PLANTATION</t>
  </si>
  <si>
    <t>LOTS 5 &amp; 6 IN OR 2033/1048 BARNWELL PLANTATION PB 5/34</t>
  </si>
  <si>
    <t>2017-1805</t>
  </si>
  <si>
    <t>LAMDA TAX 7 GP 170418A</t>
  </si>
  <si>
    <t>46-3N-28-5065-0001-0000</t>
  </si>
  <si>
    <t>PARK</t>
  </si>
  <si>
    <t>OYSTER BAY</t>
  </si>
  <si>
    <t>LOT 1 IN OR 2045/1856 THE COVE @ OYSTER BAY PB 6/79</t>
  </si>
  <si>
    <t>46-3N-28-5065-0002-0000</t>
  </si>
  <si>
    <t>96090 PARK PL</t>
  </si>
  <si>
    <t>LOT 2 IN OR 2045/1841 THE COVE @ OYSTER BAY PB 6/79</t>
  </si>
  <si>
    <t>46-3N-28-507F-0001-0000</t>
  </si>
  <si>
    <t>HIDDEN MARSH</t>
  </si>
  <si>
    <t>96033 HIDDEN MARSH LN</t>
  </si>
  <si>
    <t>COX DORIS A</t>
  </si>
  <si>
    <t>FIDDLERS WALK</t>
  </si>
  <si>
    <t>LOT 1 IN OR 885/644 FIDDLERS WALK PB 5/237</t>
  </si>
  <si>
    <t>2017-1806</t>
  </si>
  <si>
    <t>A21256</t>
  </si>
  <si>
    <t>2016-1811</t>
  </si>
  <si>
    <t>SUTTON INVESTMENT67952</t>
  </si>
  <si>
    <t>2014-1920</t>
  </si>
  <si>
    <t>2013-2183</t>
  </si>
  <si>
    <t>2012-2977</t>
  </si>
  <si>
    <t>2011-3023</t>
  </si>
  <si>
    <t>46-3N-28-507F-0016-0000</t>
  </si>
  <si>
    <t>SEA HAWK</t>
  </si>
  <si>
    <t>95008 SEA HAWK PL</t>
  </si>
  <si>
    <t>STECKLER EDWARD H</t>
  </si>
  <si>
    <t>EDWARD H STECKLER REVOCABLE TRUST</t>
  </si>
  <si>
    <t>LOT 16 IN OR 1799/434 FIDDLERS WALK PB 5/237</t>
  </si>
  <si>
    <t>2015-1860</t>
  </si>
  <si>
    <t>MACHA PUCHARE XBFS LLC</t>
  </si>
  <si>
    <t>2013-2185</t>
  </si>
  <si>
    <t>2012-2979</t>
  </si>
  <si>
    <t>LIME PORPOISE 2 LLC PALM TREE TAX, CAPONE NA AS CO</t>
  </si>
  <si>
    <t>46-3N-28-509H-0008-0000</t>
  </si>
  <si>
    <t>HIGH POINTE</t>
  </si>
  <si>
    <t>96205 HIGH POINTE DR</t>
  </si>
  <si>
    <t>MOORE DAVID</t>
  </si>
  <si>
    <t>MOORE PENNY</t>
  </si>
  <si>
    <t>LOT 8 IN OR 1647/362 HIGH POINTE PB 6/273</t>
  </si>
  <si>
    <t>2017-1807</t>
  </si>
  <si>
    <t>BENNU LLC YSCCN79J</t>
  </si>
  <si>
    <t>2016-1812</t>
  </si>
  <si>
    <t>CHAINPUR FA 33 LLC</t>
  </si>
  <si>
    <t>2013-2187</t>
  </si>
  <si>
    <t>46-3N-28-510O-0001-0000</t>
  </si>
  <si>
    <t>95345 BARNWELL RD</t>
  </si>
  <si>
    <t>LEE CARL</t>
  </si>
  <si>
    <t>LEE LELA MAE</t>
  </si>
  <si>
    <t>LOT 1 L/E OR 1677/110 LANCEFORD OAKS PB 5/145</t>
  </si>
  <si>
    <t>2017-1808</t>
  </si>
  <si>
    <t>SUTTON INVESTMENT30389</t>
  </si>
  <si>
    <t>2016-1815</t>
  </si>
  <si>
    <t>BENNU LLC YS1BNA46J</t>
  </si>
  <si>
    <t>46-3N-28-5482-0002-0000</t>
  </si>
  <si>
    <t>BAY VIEW</t>
  </si>
  <si>
    <t>BAY VIEW DR</t>
  </si>
  <si>
    <t>PEACOCK JAMES C</t>
  </si>
  <si>
    <t>34 N 14TH ST</t>
  </si>
  <si>
    <t>LOT 2 PT OR 1916/1497 OYSTER BAY #3 PB 5/397</t>
  </si>
  <si>
    <t>2017-1809</t>
  </si>
  <si>
    <t>SANTA ROSA 858 REO LLC</t>
  </si>
  <si>
    <t>2016-1817</t>
  </si>
  <si>
    <t>2015-1864</t>
  </si>
  <si>
    <t>CCTS FL 41345 US BANK CUST FOR PFS FINANCIAL 2 LLC</t>
  </si>
  <si>
    <t>2014-1924</t>
  </si>
  <si>
    <t>2013-2192</t>
  </si>
  <si>
    <t>2012-2984</t>
  </si>
  <si>
    <t>2011-3028</t>
  </si>
  <si>
    <t>46-3N-28-5482-0003-0000</t>
  </si>
  <si>
    <t>96001 BAY VIEW DR</t>
  </si>
  <si>
    <t>LOT 3 (F/K/A 1-4) PT OR 1916/1497 OYSTER BAY #3 PB 5/397</t>
  </si>
  <si>
    <t>2017-1810</t>
  </si>
  <si>
    <t>BISBEE LLC ZI123BC</t>
  </si>
  <si>
    <t>2016-1818</t>
  </si>
  <si>
    <t>CILENTO FINANCIAL LLC SERIES A000728</t>
  </si>
  <si>
    <t>2015-1865</t>
  </si>
  <si>
    <t>GREEN TAX FUNDING LLC 13 SERIES 4 A9</t>
  </si>
  <si>
    <t>2014-1925</t>
  </si>
  <si>
    <t>2013-2193</t>
  </si>
  <si>
    <t>2012-2985</t>
  </si>
  <si>
    <t>US BANK CUST BISBEE LLC H171F8</t>
  </si>
  <si>
    <t>2011-3029</t>
  </si>
  <si>
    <t>46-3N-28-576A-0006-0000</t>
  </si>
  <si>
    <t>MILL POND</t>
  </si>
  <si>
    <t>97096 MILL POND LN</t>
  </si>
  <si>
    <t>SABO JOHN</t>
  </si>
  <si>
    <t>1-A</t>
  </si>
  <si>
    <t>SPANISH OAKS</t>
  </si>
  <si>
    <t>LOT 6 IN OR 2031/1058 SPANISH OAKS UNIT 1-A PB 6/99</t>
  </si>
  <si>
    <t>2013-2197</t>
  </si>
  <si>
    <t>2012-2989</t>
  </si>
  <si>
    <t>GARNET ROCK LLC - 319 US BANK % GARNET ROCK LLC-319</t>
  </si>
  <si>
    <t>46-3N-28-5800-0003-0000</t>
  </si>
  <si>
    <t>96412 MARSH HEN RD</t>
  </si>
  <si>
    <t>RABOIN DANIEL</t>
  </si>
  <si>
    <t>RABOIN MICHELLE</t>
  </si>
  <si>
    <t>SUMMER ESTATES</t>
  </si>
  <si>
    <t>LOT 3 PT OR 711/1622 SUMMER ESTATES PB 6/245</t>
  </si>
  <si>
    <t>46-3N-28-6205-0034-0000</t>
  </si>
  <si>
    <t>SOAP CREEK</t>
  </si>
  <si>
    <t>96618 SOAP CREEK DR</t>
  </si>
  <si>
    <t>LENDRY HOMES LLC</t>
  </si>
  <si>
    <t>4745 SUTTON PARK CT STE 503</t>
  </si>
  <si>
    <t>LOT 34 WATERWAY OAKS AT OYSTER BAY HARBOUR REPLAT PB 7/289</t>
  </si>
  <si>
    <t>48-3N-28-0130-0049-0000</t>
  </si>
  <si>
    <t>GLEN</t>
  </si>
  <si>
    <t>97160 GLEN ST</t>
  </si>
  <si>
    <t>STEPHENS MICHAEL E</t>
  </si>
  <si>
    <t>LOT 49 IN OR 1596/1548 2002 CHNC TW/MH</t>
  </si>
  <si>
    <t>2017-1813</t>
  </si>
  <si>
    <t>BENNU LLC YS29NC91J</t>
  </si>
  <si>
    <t>50-3N-28-0000-0002-0010</t>
  </si>
  <si>
    <t>SWAMP FEVER</t>
  </si>
  <si>
    <t>SWAMP FEVER LN</t>
  </si>
  <si>
    <t>TODD DEBRA B</t>
  </si>
  <si>
    <t>98234 SWAMP FEVER LN</t>
  </si>
  <si>
    <t>50-03N-28E</t>
  </si>
  <si>
    <t>PT WM G CHRISTOPHER GRANT SEC 50-3N-28E IN OR 1857/939 (EX UTIL ESMT IN OR 1260/1500)</t>
  </si>
  <si>
    <t>2017-1815</t>
  </si>
  <si>
    <t>2016-1824</t>
  </si>
  <si>
    <t>2015-1871</t>
  </si>
  <si>
    <t>2015-2356</t>
  </si>
  <si>
    <t>2011-3039</t>
  </si>
  <si>
    <t>50-3N-28-0000-0002-0020</t>
  </si>
  <si>
    <t>THRIFT DEBRA BROOK</t>
  </si>
  <si>
    <t>PT WM G CHRISTOPHER GRANT SEC 50-3N-28E IN OR 1244/894 (EX UTIL ESMT IN OR 1260/1499)</t>
  </si>
  <si>
    <t>2017-1816</t>
  </si>
  <si>
    <t>BENNU LLC LY89Q18R</t>
  </si>
  <si>
    <t>2016-1825</t>
  </si>
  <si>
    <t>SARAVA LLC SERIES A012647</t>
  </si>
  <si>
    <t>2015-1872</t>
  </si>
  <si>
    <t>BENNU LLC YSB4NC0J</t>
  </si>
  <si>
    <t>2015-2357</t>
  </si>
  <si>
    <t>ECRU LLC R678CJ</t>
  </si>
  <si>
    <t>2011-3040</t>
  </si>
  <si>
    <t>50-3N-28-0000-0016-0090</t>
  </si>
  <si>
    <t>95996 CONNER LN</t>
  </si>
  <si>
    <t>WALTON DAVID</t>
  </si>
  <si>
    <t>WALTON NELDA</t>
  </si>
  <si>
    <t>96045 CONNER LN</t>
  </si>
  <si>
    <t>IN OR 1933/1757 R497800 PARCELS 16-9 &amp; 17</t>
  </si>
  <si>
    <t>2017-1817</t>
  </si>
  <si>
    <t>TANGERINE DELPHIS XBTH LLC</t>
  </si>
  <si>
    <t>2011-3045</t>
  </si>
  <si>
    <t>50-3N-28-0000-0016-0160</t>
  </si>
  <si>
    <t>IN OR 1257/1787</t>
  </si>
  <si>
    <t>2017-1819</t>
  </si>
  <si>
    <t>2016-1827</t>
  </si>
  <si>
    <t>50-3N-28-0000-0016-0170</t>
  </si>
  <si>
    <t>96080 CONNER LN</t>
  </si>
  <si>
    <t>ISLAND MISSION</t>
  </si>
  <si>
    <t>86730 PAGES DAIRY RD</t>
  </si>
  <si>
    <t>IN OR 2042/532</t>
  </si>
  <si>
    <t>2017-1820</t>
  </si>
  <si>
    <t>2016-1828</t>
  </si>
  <si>
    <t>FLORIDA CCTS 131790 US BANK CUST FOR PFS FINANCIAL 2 LLC</t>
  </si>
  <si>
    <t>2015-1874</t>
  </si>
  <si>
    <t>2015-2358</t>
  </si>
  <si>
    <t>2013-2206</t>
  </si>
  <si>
    <t>2012-3052</t>
  </si>
  <si>
    <t>2011-3047</t>
  </si>
  <si>
    <t>ROY WILLIAM LOUTH</t>
  </si>
  <si>
    <t>50-3N-28-0000-0017-0020</t>
  </si>
  <si>
    <t>95988 CONNER LN</t>
  </si>
  <si>
    <t>PT WM G CHRISTOPHER DONATION SEC 50-3N-28E IN OR 1940/768</t>
  </si>
  <si>
    <t>2017-1821</t>
  </si>
  <si>
    <t>2015-1875</t>
  </si>
  <si>
    <t>2014-1933</t>
  </si>
  <si>
    <t>2013-2207</t>
  </si>
  <si>
    <t>2012-3053</t>
  </si>
  <si>
    <t>2011-3048</t>
  </si>
  <si>
    <t>50-3N-28-0000-0029-0370</t>
  </si>
  <si>
    <t>MARANATHA</t>
  </si>
  <si>
    <t>96215 MARANATHA RD</t>
  </si>
  <si>
    <t>ROWLAND HEATHER D</t>
  </si>
  <si>
    <t>IN OR 2025/1814 2002 SKYL TW</t>
  </si>
  <si>
    <t>2017-1824</t>
  </si>
  <si>
    <t>PORK CHOP SANDWICHES WICFYH</t>
  </si>
  <si>
    <t>2015-1880</t>
  </si>
  <si>
    <t>AZTEC ADVISORY SERVICES97381</t>
  </si>
  <si>
    <t>2013-2214</t>
  </si>
  <si>
    <t>2012-3061</t>
  </si>
  <si>
    <t>2011-3055</t>
  </si>
  <si>
    <t>CAIN RICHARD</t>
  </si>
  <si>
    <t>50-3N-28-0000-0035-0000</t>
  </si>
  <si>
    <t>CONFEDERATE OAKS</t>
  </si>
  <si>
    <t>96245 CONFEDERATE OAKS DR</t>
  </si>
  <si>
    <t>VANZANT OSCAR D</t>
  </si>
  <si>
    <t>VANZANT ANDRIEA C</t>
  </si>
  <si>
    <t>OR 756/1217 &amp; OR 763/412 RP 262 PARCELS 35 &amp; 35-4</t>
  </si>
  <si>
    <t>2017-1825</t>
  </si>
  <si>
    <t>MOCA INVESTMENTS22556</t>
  </si>
  <si>
    <t>2016-1833</t>
  </si>
  <si>
    <t>CCTS TAX LIEN PURCHASERS - 175264 US BANK CUST FOR PFS FINANCIAL 1</t>
  </si>
  <si>
    <t>2015-1882</t>
  </si>
  <si>
    <t>KINGFISHER KEY RED ABMO LLC</t>
  </si>
  <si>
    <t>2014-1939</t>
  </si>
  <si>
    <t>2013-2215</t>
  </si>
  <si>
    <t>2011-3058</t>
  </si>
  <si>
    <t>50-3N-28-0000-0039-0010</t>
  </si>
  <si>
    <t>FREEMAN</t>
  </si>
  <si>
    <t>FREEMAN RD</t>
  </si>
  <si>
    <t>PARKER MICHAEL W</t>
  </si>
  <si>
    <t>2900 PARK SQUARE PL</t>
  </si>
  <si>
    <t>IN OR 1746/158</t>
  </si>
  <si>
    <t>2016-1834</t>
  </si>
  <si>
    <t>2015-1883</t>
  </si>
  <si>
    <t>FL PROJ - CCTS - GROUP MU 53160 US BANK CUST FOR PFS FINANCIAL 2 LLC</t>
  </si>
  <si>
    <t>2013-2216</t>
  </si>
  <si>
    <t>50-3N-28-0000-0042-0030</t>
  </si>
  <si>
    <t>96510 BLACKROCK RD</t>
  </si>
  <si>
    <t>SCARBORO JOHN P</t>
  </si>
  <si>
    <t>SCARBORO FRANCES E</t>
  </si>
  <si>
    <t>IN OR 1035/683 &amp; OR 1038/1902 PARCELS 42-3 &amp; 43-1</t>
  </si>
  <si>
    <t>50-3N-28-016B-0017-0000</t>
  </si>
  <si>
    <t>SOUTHERN LILY</t>
  </si>
  <si>
    <t>96349 SOUTHERN LILY DR</t>
  </si>
  <si>
    <t>NORTON DEAN</t>
  </si>
  <si>
    <t>662 COUNTY ROAD 662 # 23</t>
  </si>
  <si>
    <t>CEDAR BLUFF AL</t>
  </si>
  <si>
    <t>BLACKROCK HAMMOCK</t>
  </si>
  <si>
    <t>LOT 17 IN OR 1973/1239 BLACKROCK HAMMOCK PB 6/286</t>
  </si>
  <si>
    <t>2014-1943</t>
  </si>
  <si>
    <t>50-3N-28-0305-0001-0000</t>
  </si>
  <si>
    <t>GRANITE TR</t>
  </si>
  <si>
    <t>96413 GRANITE TR</t>
  </si>
  <si>
    <t>305 KINGSLEY LAKE DR SUITE 704</t>
  </si>
  <si>
    <t>LOT 1</t>
  </si>
  <si>
    <t>50-3N-28-0305-0005-0000</t>
  </si>
  <si>
    <t>96381 GRANITE TR</t>
  </si>
  <si>
    <t>305 KINGSLEY LAKE DRIVE SUITE # 704</t>
  </si>
  <si>
    <t>ST AUGUSTINE FL</t>
  </si>
  <si>
    <t>LOT 5</t>
  </si>
  <si>
    <t>50-3N-28-0305-0007-0000</t>
  </si>
  <si>
    <t>96365 GRANITE TR</t>
  </si>
  <si>
    <t>LOT 7</t>
  </si>
  <si>
    <t>50-3N-28-0305-0008-0000</t>
  </si>
  <si>
    <t>96357 GRANITE TR</t>
  </si>
  <si>
    <t>305 KINGSLEY LAKE DRIVE SUITE 704</t>
  </si>
  <si>
    <t>LOT 8</t>
  </si>
  <si>
    <t>50-3N-28-0305-0015-0000</t>
  </si>
  <si>
    <t>96301 GRANITE TR</t>
  </si>
  <si>
    <t>LOT 15</t>
  </si>
  <si>
    <t>50-3N-28-0305-0016-0000</t>
  </si>
  <si>
    <t>96304 GRANITE TR</t>
  </si>
  <si>
    <t>305 KINGSLEY LAKE DRIVE STE # 704</t>
  </si>
  <si>
    <t>LOT 16</t>
  </si>
  <si>
    <t>50-3N-28-0305-0017-0000</t>
  </si>
  <si>
    <t>96312 GRANITE TR</t>
  </si>
  <si>
    <t>ST. AUGUSTINE FL</t>
  </si>
  <si>
    <t>50-3N-28-0305-0018-0000</t>
  </si>
  <si>
    <t>96320 GRANITE TR</t>
  </si>
  <si>
    <t>BLACKROCK PARK LLP</t>
  </si>
  <si>
    <t>2955 HARTLEY ROAD STE 108</t>
  </si>
  <si>
    <t>50-3N-28-0305-0019-0000</t>
  </si>
  <si>
    <t>96328 GRANITE TR</t>
  </si>
  <si>
    <t>LOT 19</t>
  </si>
  <si>
    <t>50-3N-28-0305-0020-0000</t>
  </si>
  <si>
    <t>96336 GRANITE TR</t>
  </si>
  <si>
    <t>LOT 20</t>
  </si>
  <si>
    <t>50-3N-28-5280-0008-0000</t>
  </si>
  <si>
    <t>GLENWOOD</t>
  </si>
  <si>
    <t>96182 GLENWOOD RD</t>
  </si>
  <si>
    <t>BRASWELL STEVEN W</t>
  </si>
  <si>
    <t>BRASWELL BELINDA A</t>
  </si>
  <si>
    <t>LOT 8 IN OR 639/290 GLENWOOD S/D R/P DBK 199/409</t>
  </si>
  <si>
    <t>2017-1827</t>
  </si>
  <si>
    <t>D232700</t>
  </si>
  <si>
    <t>63-3N-28-0000-0004-0000</t>
  </si>
  <si>
    <t>63-03N-28E</t>
  </si>
  <si>
    <t>LOT 3 S OF CREEK S1/2 OF LOT 4 &amp; ALL LOT 5 MARSH LAND IN OR 177/299</t>
  </si>
  <si>
    <t>12089C_261154</t>
  </si>
  <si>
    <t>2017-1828</t>
  </si>
  <si>
    <t>2015-1885</t>
  </si>
  <si>
    <t>2015-2360</t>
  </si>
  <si>
    <t>2013-2222</t>
  </si>
  <si>
    <t>2012-3168</t>
  </si>
  <si>
    <t>JOHN ANDERSON</t>
  </si>
  <si>
    <t>2011-3065</t>
  </si>
  <si>
    <t>64-3N-28-0000-0002-0000</t>
  </si>
  <si>
    <t>SWANN S  A</t>
  </si>
  <si>
    <t>36 LYMAN RD</t>
  </si>
  <si>
    <t>NORTHAMPTON MA</t>
  </si>
  <si>
    <t>64-03N-28E</t>
  </si>
  <si>
    <t>N1/2 N &amp; W OF RIVER FRAC W1/2 OF 1 MARSH LAND</t>
  </si>
  <si>
    <t>2017-1829</t>
  </si>
  <si>
    <t>09-3N-29-0000-0003-0040</t>
  </si>
  <si>
    <t>FLETCHER</t>
  </si>
  <si>
    <t>1021 FLETCHER AVE N</t>
  </si>
  <si>
    <t>SORRELLS BILLY JOEY</t>
  </si>
  <si>
    <t>SORRELLS LEA MARIE</t>
  </si>
  <si>
    <t>PO BOX 503</t>
  </si>
  <si>
    <t>R-2</t>
  </si>
  <si>
    <t>9-03N-29E</t>
  </si>
  <si>
    <t>IN OR 1530/1774 3-4 3-9 &amp; N1/2 OF A FERREIRA REPLAT</t>
  </si>
  <si>
    <t>2013-2223</t>
  </si>
  <si>
    <t>2012-1104</t>
  </si>
  <si>
    <t>2011-3066</t>
  </si>
  <si>
    <t>01-6N-29-1300-0061-0000</t>
  </si>
  <si>
    <t>MARSH CREEK</t>
  </si>
  <si>
    <t>115 MARSH CREEK RD</t>
  </si>
  <si>
    <t>WHTV AMELIA PARTNERS LLC</t>
  </si>
  <si>
    <t>1258 OLDE TOWNE RD</t>
  </si>
  <si>
    <t>ALEXANDRIA VA</t>
  </si>
  <si>
    <t>MARSH CREEK VILLAGE</t>
  </si>
  <si>
    <t>23-02N-28E</t>
  </si>
  <si>
    <t>LOT 61 IN OR 2039/407 MARSH CREEK VILLAGE 1 PB 4/18</t>
  </si>
  <si>
    <t>01-6N-29-V020-0403-0000</t>
  </si>
  <si>
    <t>BEACHSIDE</t>
  </si>
  <si>
    <t>403 BEACHSIDE PL</t>
  </si>
  <si>
    <t>RAY STUART N</t>
  </si>
  <si>
    <t>RAY MICHELE R</t>
  </si>
  <si>
    <t>12203 LUCAS LN</t>
  </si>
  <si>
    <t>ANCHORAGE KY</t>
  </si>
  <si>
    <t>UNIT 403 IN OR 1277/875 BEACHSIDE VILLAS CONDO</t>
  </si>
  <si>
    <t>01-6N-29-V020-0421-0000</t>
  </si>
  <si>
    <t>421 BEACHSIDE PL</t>
  </si>
  <si>
    <t>COLE ALICE</t>
  </si>
  <si>
    <t>WIGHT ROBERT B</t>
  </si>
  <si>
    <t>3333 WISCONSIN AVE NW APT 504</t>
  </si>
  <si>
    <t>UNIT 421 IN OR 2010/1681 BEACHSIDE VILLAS CONDO</t>
  </si>
  <si>
    <t>01-6N-29-V040-3030-0000</t>
  </si>
  <si>
    <t>SEA MARSH</t>
  </si>
  <si>
    <t>3030 SEA MARSH RD</t>
  </si>
  <si>
    <t>STAFFORD LAURA C</t>
  </si>
  <si>
    <t>829 FOREST ST</t>
  </si>
  <si>
    <t>CLUB VILLAS</t>
  </si>
  <si>
    <t>22-02N-28E</t>
  </si>
  <si>
    <t>VILLA UNIT 3030 IN OR 1347/1873 CLUB VILLAS</t>
  </si>
  <si>
    <t>01-6N-29-V040-3060-0000</t>
  </si>
  <si>
    <t>3060 SEA MARSH RD</t>
  </si>
  <si>
    <t>STEINEMANN GEOFFREY S</t>
  </si>
  <si>
    <t>73 DEAN RD</t>
  </si>
  <si>
    <t>MENDHAM NJ</t>
  </si>
  <si>
    <t>VILLA UNIT 3060 IN OR 2054/1413 CLUB VILLAS</t>
  </si>
  <si>
    <t>12089C_1041</t>
  </si>
  <si>
    <t>2017-1838</t>
  </si>
  <si>
    <t>J FLOY LLC AND JSHERPA LLC PARTNERSHIP 1255</t>
  </si>
  <si>
    <t>2016-1843</t>
  </si>
  <si>
    <t>A251084</t>
  </si>
  <si>
    <t>01-6N-29-V090-3211-0000</t>
  </si>
  <si>
    <t>3211 SEA MARSH RD</t>
  </si>
  <si>
    <t>STANWICH MORTGAGE LOAN TRUST</t>
  </si>
  <si>
    <t>3801 KENNETT PIKE STE C200</t>
  </si>
  <si>
    <t>GREENVILLE DE</t>
  </si>
  <si>
    <t>AIRWAY OAKS</t>
  </si>
  <si>
    <t>20-02N-28E</t>
  </si>
  <si>
    <t>VILLA UNIT 3211 IN OR 1968/1882 FAIRWAY OAKS VILLAS PARCEL 9</t>
  </si>
  <si>
    <t>12089C_254</t>
  </si>
  <si>
    <t>2014-1969</t>
  </si>
  <si>
    <t>01-6N-29-V14A-1016-0000</t>
  </si>
  <si>
    <t>CAPTAINS COURT</t>
  </si>
  <si>
    <t>1016 CAPTAINS COURT DR</t>
  </si>
  <si>
    <t>MURRAY KEVIN E</t>
  </si>
  <si>
    <t>81 SANDPIPER CT; 8 THOMAS MO UK LONDON E1W 1AS</t>
  </si>
  <si>
    <t>VILLA UNIT 1016 IN OR 1452/333 CAPTAINS COURT VILLAS</t>
  </si>
  <si>
    <t>01-6N-29-V14A-1022-0000</t>
  </si>
  <si>
    <t>1022 CAPTAINS COURT DR</t>
  </si>
  <si>
    <t>ARENA PAMELA J</t>
  </si>
  <si>
    <t>1417 SADLER RD # 339</t>
  </si>
  <si>
    <t>VILLA UNIT 1022 IN OR 984/465 CAPTAINS COURT VILLAS</t>
  </si>
  <si>
    <t>2017-1840</t>
  </si>
  <si>
    <t>PPPP1645</t>
  </si>
  <si>
    <t>2016-1848</t>
  </si>
  <si>
    <t>MALLY LLC AND MED ALI LLC PARTNERSHIP 1666</t>
  </si>
  <si>
    <t>01-6N-29-V160-2109-0000</t>
  </si>
  <si>
    <t>BEACH WOOD</t>
  </si>
  <si>
    <t>2109 BEACH WOOD RD</t>
  </si>
  <si>
    <t>JARDINE WALTER B</t>
  </si>
  <si>
    <t>PO BOX 930</t>
  </si>
  <si>
    <t>DOUGLAS GA</t>
  </si>
  <si>
    <t>BEACH WOOD VILLAS</t>
  </si>
  <si>
    <t>VILLA UNIT 2109 IN OR 1340/507 BEACH WOOD VILLAS</t>
  </si>
  <si>
    <t>01-6N-29-V17A-0277-0000</t>
  </si>
  <si>
    <t>SANDCASTLES</t>
  </si>
  <si>
    <t>317 SANDCASTLES CT</t>
  </si>
  <si>
    <t>CHOW WILLIAM H</t>
  </si>
  <si>
    <t>CHOW MARGARET M</t>
  </si>
  <si>
    <t>10116 HIGH HILL CT</t>
  </si>
  <si>
    <t>GREAT FALLS VA</t>
  </si>
  <si>
    <t>UNIT 277 IN OR 1237/1591 &amp; OR 1312/966 IN OR 1624/899 &amp; OR 1624/900</t>
  </si>
  <si>
    <t>2016-1854</t>
  </si>
  <si>
    <t>SETPER LLC O81958 SERIES</t>
  </si>
  <si>
    <t>02-6N-29-DCCO-0001-0210</t>
  </si>
  <si>
    <t>BEACH WALKER</t>
  </si>
  <si>
    <t>BEACH WALKER RD</t>
  </si>
  <si>
    <t>AMELIA ISLAND HOLDING COMPANY</t>
  </si>
  <si>
    <t>4115 ORTEGA BLVD</t>
  </si>
  <si>
    <t>6-01N-29E</t>
  </si>
  <si>
    <t>PT FRAC SEC 6-1N-29E PAR 1-21 PT OR 463/443 BEING EXHIBIT G &amp; BEING ONLY PT IN SEC 6 LYING</t>
  </si>
  <si>
    <t>2017-1844</t>
  </si>
  <si>
    <t>2016-1855</t>
  </si>
  <si>
    <t>2015-1900</t>
  </si>
  <si>
    <t>02-6N-29-V003-1602-0000</t>
  </si>
  <si>
    <t>SEA DUNES</t>
  </si>
  <si>
    <t>1602 SEA DUNES PL</t>
  </si>
  <si>
    <t>LEARSY FLORENCE LEE</t>
  </si>
  <si>
    <t>THE FLORENCE LEE LEARSY TRUST</t>
  </si>
  <si>
    <t>4615 N PARK AVE APT 1101</t>
  </si>
  <si>
    <t>CHEVY CHASE MD</t>
  </si>
  <si>
    <t>1-01N-28E</t>
  </si>
  <si>
    <t>UNIT 1602 IN OR 2021/188 SEA DUNES OR 424/1</t>
  </si>
  <si>
    <t>00-00-30-0080-0001-0000</t>
  </si>
  <si>
    <t>BONNIEVIEW</t>
  </si>
  <si>
    <t>116 BONNIEVIEW RD</t>
  </si>
  <si>
    <t>METTS DIANA</t>
  </si>
  <si>
    <t>AMELIA MARSH</t>
  </si>
  <si>
    <t>31-03N-28E</t>
  </si>
  <si>
    <t>LOT 1 R787901 &amp; R787902 IN OR 624 PG 773 AMELIA MARSH SUB PB 4/104</t>
  </si>
  <si>
    <t>12089C_765</t>
  </si>
  <si>
    <t>2017-1848</t>
  </si>
  <si>
    <t>HOSSET LLC O107382 SERIES</t>
  </si>
  <si>
    <t>2016-1859</t>
  </si>
  <si>
    <t>SANMARCORA AKBFLN</t>
  </si>
  <si>
    <t>2015-1905</t>
  </si>
  <si>
    <t>KINGFISHER KEY RED AAZS LLC</t>
  </si>
  <si>
    <t>2014-1982</t>
  </si>
  <si>
    <t>2012-2</t>
  </si>
  <si>
    <t>2011-3097</t>
  </si>
  <si>
    <t>00-00-30-0087-0001-00C0</t>
  </si>
  <si>
    <t>FIRST COAST HWY 1-C</t>
  </si>
  <si>
    <t>8030 FIRST COAST HWY 1-C</t>
  </si>
  <si>
    <t>MARTIN ROBERT B</t>
  </si>
  <si>
    <t>MARTIN NANCY J</t>
  </si>
  <si>
    <t>8030 FIRST COAST HWY</t>
  </si>
  <si>
    <t>1-C</t>
  </si>
  <si>
    <t>AMELIA RETREAT</t>
  </si>
  <si>
    <t>UNIT 1-C IN OR 506 PG 1024 AMELIA RETREAT II</t>
  </si>
  <si>
    <t>00-00-30-0090-000A-1130</t>
  </si>
  <si>
    <t>A-113</t>
  </si>
  <si>
    <t>4800 AMELIA ISLAND PKWY A-113</t>
  </si>
  <si>
    <t>COOK KATHLEEN HATCHER</t>
  </si>
  <si>
    <t>5045 HOPEWELL RD E</t>
  </si>
  <si>
    <t>MUSELLA GA</t>
  </si>
  <si>
    <t>A113</t>
  </si>
  <si>
    <t>AMELIA SURF &amp; RACQUET CLUB #2</t>
  </si>
  <si>
    <t>UNIT A-113 IN OR 1738/976 &amp; OR 1846/493 AMELIA SURF &amp; RACQUET CLUB #2</t>
  </si>
  <si>
    <t>2014-1984</t>
  </si>
  <si>
    <t>00-00-30-0090-000A-1140</t>
  </si>
  <si>
    <t>A-114</t>
  </si>
  <si>
    <t>4800 AMELIA ISLAND PKWY A-114</t>
  </si>
  <si>
    <t>KATHLEEN H COOK REVOCABLE TRUST</t>
  </si>
  <si>
    <t>A114</t>
  </si>
  <si>
    <t>UNIT A-114 IN OR 1750/1420 AMELIA SURF &amp; RACQUET CLUB #2</t>
  </si>
  <si>
    <t>2014-1985</t>
  </si>
  <si>
    <t>2012-3</t>
  </si>
  <si>
    <t>BRIDGE TAX LLC - AA3 US BANK % BRIDGE TAX LLC-AA3</t>
  </si>
  <si>
    <t>00-00-30-010A-0002-0130</t>
  </si>
  <si>
    <t>GREGG</t>
  </si>
  <si>
    <t>5472 GREGG ST</t>
  </si>
  <si>
    <t>FLUKER N  E</t>
  </si>
  <si>
    <t>FLUKER JOHNNIE M</t>
  </si>
  <si>
    <t>905 OSSIE DAVIS PKWY</t>
  </si>
  <si>
    <t>AMERICAN BEACH</t>
  </si>
  <si>
    <t>18-02N-28E</t>
  </si>
  <si>
    <t>BLOCK 2 LOT 13 OR 84 PG 689 AMERICAN BEACH SUB 1 PB 2/42</t>
  </si>
  <si>
    <t>2016-1861</t>
  </si>
  <si>
    <t>FLORIDA GROUP UPSILON 166103 US BANK CUST FOR PFS FINANCIAL 1</t>
  </si>
  <si>
    <t>00-00-30-010A-0003-0182</t>
  </si>
  <si>
    <t>5487 GREGG ST</t>
  </si>
  <si>
    <t>WILLIAMS PEARL</t>
  </si>
  <si>
    <t>WILLIAMS LINCOLN C</t>
  </si>
  <si>
    <t>756 SUNKEN MEADOW LN</t>
  </si>
  <si>
    <t>BLOCK 3 S25 FT OF E75 FT OF 18 IN OR 403 PG 60 AMERICAN BEACH SUB 1 PB 2/42</t>
  </si>
  <si>
    <t>2017-1850</t>
  </si>
  <si>
    <t>NEWFOUND HARBOR 299 SERVICING LLC</t>
  </si>
  <si>
    <t>2016-1862</t>
  </si>
  <si>
    <t>TANGERINE DELPHIS XCNH LLC</t>
  </si>
  <si>
    <t>2015-1909</t>
  </si>
  <si>
    <t>PELICAN PASS CERTS AAMV LLC</t>
  </si>
  <si>
    <t>2013-2265</t>
  </si>
  <si>
    <t>2012-8</t>
  </si>
  <si>
    <t>2012-3263</t>
  </si>
  <si>
    <t>00-00-30-010A-0004-0250</t>
  </si>
  <si>
    <t>5443 GREGG ST</t>
  </si>
  <si>
    <t>WILLIAMS PEARL H</t>
  </si>
  <si>
    <t>952 TURTLE CREEK DR N</t>
  </si>
  <si>
    <t>BLOCK 4 LOT 25 IN OR 1591/1949 AMERICAN BEACH SUB # 1 PB 2/42</t>
  </si>
  <si>
    <t>2017-1851</t>
  </si>
  <si>
    <t>CHITWAN HATI INV 575 LLC</t>
  </si>
  <si>
    <t>2016-1863</t>
  </si>
  <si>
    <t>ROMA1859</t>
  </si>
  <si>
    <t>2015-1910</t>
  </si>
  <si>
    <t>BENNU LLC JY15QB75A</t>
  </si>
  <si>
    <t>2013-2267</t>
  </si>
  <si>
    <t>2012-10</t>
  </si>
  <si>
    <t>NAWS26 LLC</t>
  </si>
  <si>
    <t>2012-3264</t>
  </si>
  <si>
    <t>BUTTERFINGERS5</t>
  </si>
  <si>
    <t>00-00-30-010A-0007-0500</t>
  </si>
  <si>
    <t>LEWIS</t>
  </si>
  <si>
    <t>1827 LEWIS ST</t>
  </si>
  <si>
    <t>C M BROOKS L L C</t>
  </si>
  <si>
    <t>809 SHIPWATCH DR E</t>
  </si>
  <si>
    <t>BLOCK 7 LOT 50 IN OR 1651/919 AMERICAN BEACH SUB 1 PB 2/42</t>
  </si>
  <si>
    <t>00-00-30-010A-0007-0550</t>
  </si>
  <si>
    <t>WALDRON</t>
  </si>
  <si>
    <t>WALDRON ST</t>
  </si>
  <si>
    <t>BLOCK 7 LOT 55 IN OR 1062/1690 AMERICAN BEACH SUB # 1 PB 2/42</t>
  </si>
  <si>
    <t>2017-1855</t>
  </si>
  <si>
    <t>OCEAN BLVD 239 TAX RE LLC</t>
  </si>
  <si>
    <t>2015-1914</t>
  </si>
  <si>
    <t>CCTS TAX LIEN BUYERS - 174641 US BANK CUST FOR PFS FINANCIAL 1</t>
  </si>
  <si>
    <t>2014-1994</t>
  </si>
  <si>
    <t>2013-2271</t>
  </si>
  <si>
    <t>SRINIVASA R POLINENI SHALINI D POLINENI</t>
  </si>
  <si>
    <t>2011-3106</t>
  </si>
  <si>
    <t>00-00-30-010B-0011-0080</t>
  </si>
  <si>
    <t>5445 JAMES ST</t>
  </si>
  <si>
    <t>CHATMAN JACOB L</t>
  </si>
  <si>
    <t>CHATMAN ETTY ANN</t>
  </si>
  <si>
    <t>1136 LAFAYETTE RD</t>
  </si>
  <si>
    <t>WAYNE PA</t>
  </si>
  <si>
    <t>BLOCK 11 LOT 8 IN OR 1589/1490 AMERICAN BEACH SUB #2 PB 3/6</t>
  </si>
  <si>
    <t>2017-1858</t>
  </si>
  <si>
    <t>PPPP690</t>
  </si>
  <si>
    <t>2016-1866</t>
  </si>
  <si>
    <t>SETPER LLC O5107 SERIES</t>
  </si>
  <si>
    <t>2015-1918</t>
  </si>
  <si>
    <t>F121764</t>
  </si>
  <si>
    <t>2014-1997</t>
  </si>
  <si>
    <t>2013-2274</t>
  </si>
  <si>
    <t>2012-19</t>
  </si>
  <si>
    <t>00-00-30-010B-0011-0100</t>
  </si>
  <si>
    <t>ERVIN</t>
  </si>
  <si>
    <t>ERVIN ST</t>
  </si>
  <si>
    <t>KING FRANCINA C (2/3 INT) &amp; KING ALONZO D (1/6 INT) &amp; KING PILAR B (1/6 INT)</t>
  </si>
  <si>
    <t>100 BLAIR RD APT E8</t>
  </si>
  <si>
    <t>SAINT SIMONS IS GA</t>
  </si>
  <si>
    <t>BLOCK 11 LOT 10 OR 460/296 &amp; OR 875/1135 AMERICAN BEACH SUB #2 PB 3/6</t>
  </si>
  <si>
    <t>2017-1859</t>
  </si>
  <si>
    <t>2016-1867</t>
  </si>
  <si>
    <t>BENNU LLC JY24Q95AA</t>
  </si>
  <si>
    <t>2015-1919</t>
  </si>
  <si>
    <t>2013-2275</t>
  </si>
  <si>
    <t>2012-20</t>
  </si>
  <si>
    <t>2011-3113</t>
  </si>
  <si>
    <t>00-00-30-010B-0011-0110</t>
  </si>
  <si>
    <t>5442 ERVIN ST</t>
  </si>
  <si>
    <t>BAUGH RUBYE E</t>
  </si>
  <si>
    <t>1453 W 14TH ST</t>
  </si>
  <si>
    <t>BLOCK 11 LOT 11 AMERICAN BEACH SUB #2 PB 3/6</t>
  </si>
  <si>
    <t>2016-1868</t>
  </si>
  <si>
    <t>2012-21</t>
  </si>
  <si>
    <t>2011-3114</t>
  </si>
  <si>
    <t>00-00-30-010B-0012-0070</t>
  </si>
  <si>
    <t>1815 LEWIS ST</t>
  </si>
  <si>
    <t>TRUE BLUE VENTURES LLC</t>
  </si>
  <si>
    <t>2344 FORBES ST</t>
  </si>
  <si>
    <t>BLOCK 12 LOT 7 IN OR 1884/438 AMERICAN BEACH SUB #2</t>
  </si>
  <si>
    <t>00-00-30-010B-0012-0080</t>
  </si>
  <si>
    <t>LEWIS ST</t>
  </si>
  <si>
    <t>FREDERICK NICKOLE E</t>
  </si>
  <si>
    <t>PERSON CASSANDRA J</t>
  </si>
  <si>
    <t>PO BOX 2486</t>
  </si>
  <si>
    <t>BLOCK 12 LOT 8 IN OR 1388/849 AMERICAN BEACH SUB 2 PB 3/6</t>
  </si>
  <si>
    <t>2017-1860</t>
  </si>
  <si>
    <t>SETPER LLC O29069 SERIES</t>
  </si>
  <si>
    <t>2016-1871</t>
  </si>
  <si>
    <t>2015-1920</t>
  </si>
  <si>
    <t>FLORIDA INVESTMENT BLOCK PSI 163617 US BANK CUST FOR PFS FINANCIAL 1</t>
  </si>
  <si>
    <t>2014-2000</t>
  </si>
  <si>
    <t>2013-2278</t>
  </si>
  <si>
    <t>2012-23</t>
  </si>
  <si>
    <t>2011-3116</t>
  </si>
  <si>
    <t>00-00-30-010B-0015-0070</t>
  </si>
  <si>
    <t>LEE ST</t>
  </si>
  <si>
    <t>JONES JACKSON CYNTHIA DEBORAH</t>
  </si>
  <si>
    <t>5381 HALA CT</t>
  </si>
  <si>
    <t>BLOCK 15 LOTS 7 &amp; 8 IN OR 2049/1307 AMERICAN BEACH SUB #2 PB 3/6</t>
  </si>
  <si>
    <t>2015-1926</t>
  </si>
  <si>
    <t>JH - LIEN BUYING MACHINE 64488 US BANK CUST FOR PFS FINANCIAL 2 LLC</t>
  </si>
  <si>
    <t>2014-2006</t>
  </si>
  <si>
    <t>2013-2283</t>
  </si>
  <si>
    <t>2012-31</t>
  </si>
  <si>
    <t>2011-3123</t>
  </si>
  <si>
    <t>00-00-30-010B-0015-0110</t>
  </si>
  <si>
    <t>LEONARD</t>
  </si>
  <si>
    <t>LEONARD ST</t>
  </si>
  <si>
    <t>JONES CARITON D</t>
  </si>
  <si>
    <t>BLOCK 15 LOT 11 IN OR 2049/1307 AMERICAN BEACH SUB #2 PB 3/6</t>
  </si>
  <si>
    <t>2015-1927</t>
  </si>
  <si>
    <t>2014-2009</t>
  </si>
  <si>
    <t>2013-2284</t>
  </si>
  <si>
    <t>2012-33</t>
  </si>
  <si>
    <t>2011-3125</t>
  </si>
  <si>
    <t>00-00-30-010B-0015-0120</t>
  </si>
  <si>
    <t>JONES CARLTON D</t>
  </si>
  <si>
    <t>JONES BARBARA A</t>
  </si>
  <si>
    <t>BLOCK 15 LOT 12 IN OR 1414/1584 AMERICAN BEACH SUB #2 PB 3/6</t>
  </si>
  <si>
    <t>2015-1928</t>
  </si>
  <si>
    <t>2014-2010</t>
  </si>
  <si>
    <t>2013-2285</t>
  </si>
  <si>
    <t>2012-34</t>
  </si>
  <si>
    <t>2011-3126</t>
  </si>
  <si>
    <t>00-00-30-010B-0017-0100</t>
  </si>
  <si>
    <t>1705 LEWIS ST</t>
  </si>
  <si>
    <t>HOLMES JOHN T</t>
  </si>
  <si>
    <t>BLOCK 17 LOTS 10 &amp; 11 IN OR 523 PG 357 AMERICAN BEACH SUB 2 PB 3/6</t>
  </si>
  <si>
    <t>2017-1865</t>
  </si>
  <si>
    <t>KVN - 273139 - KEY BISCAYNE FLORIDIAN US BANK CUST FOR PFS FINANCIAL 1</t>
  </si>
  <si>
    <t>2015-1931</t>
  </si>
  <si>
    <t>CHITWAN 924A LLC</t>
  </si>
  <si>
    <t>00-00-30-010B-0017-0120</t>
  </si>
  <si>
    <t>MARY AV</t>
  </si>
  <si>
    <t>BLOCK 17 LOT 12 IN OR 689 PG 625 AMERICAN BEACH SUB 2 PB 3/6</t>
  </si>
  <si>
    <t>2016-1878</t>
  </si>
  <si>
    <t>2015-1932</t>
  </si>
  <si>
    <t>00-00-30-010B-0018-0070</t>
  </si>
  <si>
    <t>5437 LEONARD ST</t>
  </si>
  <si>
    <t>SMITH KEVIN B</t>
  </si>
  <si>
    <t>SMITH CHERYL R</t>
  </si>
  <si>
    <t>PO BOX 1392</t>
  </si>
  <si>
    <t>BLOCK 18 LOT 7 PT OR 1318/926 AMERICAN BEACH 2 PB 3/6</t>
  </si>
  <si>
    <t>00-00-30-010B-0018-0090</t>
  </si>
  <si>
    <t>1713 LEONARD ST</t>
  </si>
  <si>
    <t>GADSON ROSELLA</t>
  </si>
  <si>
    <t>BLOCK 18 LOT 9 IN OR 2003/1801 AMERICAN BEACH SUB #2 PB 3/6</t>
  </si>
  <si>
    <t>00-00-30-010B-0018-0130</t>
  </si>
  <si>
    <t>NISSEN NATHANIEL P</t>
  </si>
  <si>
    <t>5304 SHORE DR</t>
  </si>
  <si>
    <t>BLOCK 18 LOT 13 IN OR 1973/889 AMERICAN BEACH 2 PB 3/6</t>
  </si>
  <si>
    <t>2017-1867</t>
  </si>
  <si>
    <t>CHITWAN HATI INV 841 LLC</t>
  </si>
  <si>
    <t>2014-2016</t>
  </si>
  <si>
    <t>2013-2290</t>
  </si>
  <si>
    <t>2012-39</t>
  </si>
  <si>
    <t>2011-3131</t>
  </si>
  <si>
    <t>00-00-30-010B-0018-0140</t>
  </si>
  <si>
    <t>BLOCK 18 LOT 14 PT OR 1863/1036 AMERICAN BEACH SUB 2 PB 3/6</t>
  </si>
  <si>
    <t>2012-40</t>
  </si>
  <si>
    <t>2011-3132</t>
  </si>
  <si>
    <t>00-00-30-010B-0018-0150</t>
  </si>
  <si>
    <t>BLOCK 18 LOT 15 PT OR 1863/1036 AMERICAN BEACH SUB 2 PB 3/6</t>
  </si>
  <si>
    <t>2012-41</t>
  </si>
  <si>
    <t>2011-3133</t>
  </si>
  <si>
    <t>00-00-30-010B-0018-0160</t>
  </si>
  <si>
    <t>GREEN THERESA</t>
  </si>
  <si>
    <t>1097 REIMAN ST</t>
  </si>
  <si>
    <t>BLOCK 18 LOT 16 IN OR 2053/1373 AMERICAN BEACH SUB 2 PB 3/6</t>
  </si>
  <si>
    <t>00-00-30-010C-0001-0270</t>
  </si>
  <si>
    <t>GREGG ST</t>
  </si>
  <si>
    <t>DOLLISON BOBBY</t>
  </si>
  <si>
    <t>5553 GREGG ST</t>
  </si>
  <si>
    <t>BLOCK 1 LOT 27 IN OR 293 PG 275 AMERICAN BEACH 3 UNIT 1</t>
  </si>
  <si>
    <t>2017-1870</t>
  </si>
  <si>
    <t>PINELLAS BAYWAY 821 COMPANY LLC</t>
  </si>
  <si>
    <t>2016-1881</t>
  </si>
  <si>
    <t>KKKKK1589</t>
  </si>
  <si>
    <t>2015-1935</t>
  </si>
  <si>
    <t>CROTONE1219</t>
  </si>
  <si>
    <t>2014-2020</t>
  </si>
  <si>
    <t>2013-2293</t>
  </si>
  <si>
    <t>00-00-30-010C-0002-0100</t>
  </si>
  <si>
    <t>5537 GREGG ST</t>
  </si>
  <si>
    <t>HOOKER WILLIE F</t>
  </si>
  <si>
    <t>8125 BAHIA BLANCA 8</t>
  </si>
  <si>
    <t>BLOCK 2 LOT 10 AMERICAN BEACH #3 UNIT #1 PB3/19</t>
  </si>
  <si>
    <t>2014-2022</t>
  </si>
  <si>
    <t>2013-2295</t>
  </si>
  <si>
    <t>2012-47</t>
  </si>
  <si>
    <t>00-00-30-010C-0002-0110</t>
  </si>
  <si>
    <t>BLK 2 LOT 11 IN OR 664/1092 AMERICAN BEACH #3 UNIT 1</t>
  </si>
  <si>
    <t>2017-1871</t>
  </si>
  <si>
    <t>A181473</t>
  </si>
  <si>
    <t>2016-1882</t>
  </si>
  <si>
    <t>FLORIDA CCTS 132690 US BANK CUST FOR PFS FINANCIAL 2 LLC</t>
  </si>
  <si>
    <t>2015-1937</t>
  </si>
  <si>
    <t>IIJ - 256581 - HORSESHOE BEACH EIGHTEEN PERCENT US BANK CUST FOR PFS FINANCIAL 2 LLC</t>
  </si>
  <si>
    <t>2014-2023</t>
  </si>
  <si>
    <t>2013-2296</t>
  </si>
  <si>
    <t>00-00-30-010C-0002-0180</t>
  </si>
  <si>
    <t>ROBINSON W RUSSELL</t>
  </si>
  <si>
    <t>208 CHAPEL VALLEY LN</t>
  </si>
  <si>
    <t>APEX NC</t>
  </si>
  <si>
    <t>BLOCK 2 LOT 18 IN OR 1214/905 AMERICAN BEACH #3 UNIT #1</t>
  </si>
  <si>
    <t>2016-1883</t>
  </si>
  <si>
    <t>BENNU LLC JHA13509Y</t>
  </si>
  <si>
    <t>2015-1938</t>
  </si>
  <si>
    <t>ECRU LLC AK4810A55</t>
  </si>
  <si>
    <t>2013-2297</t>
  </si>
  <si>
    <t>2012-48</t>
  </si>
  <si>
    <t>2011-3137</t>
  </si>
  <si>
    <t>00-00-30-010D-0005-0010</t>
  </si>
  <si>
    <t>1736 LEWIS ST</t>
  </si>
  <si>
    <t>DOBSON ERIN C</t>
  </si>
  <si>
    <t>6538 KINLOCK DR W</t>
  </si>
  <si>
    <t>BLOCK 5 LOTS 1 &amp; 2 &amp; ABND R/W RESOLUTION 97-200 PT OR 1915/980</t>
  </si>
  <si>
    <t>00-00-30-010D-0005-0030</t>
  </si>
  <si>
    <t>1748 LEWIS ST</t>
  </si>
  <si>
    <t>GAFFNEY JOHNNY</t>
  </si>
  <si>
    <t>BLOCK 5 LOT 3 IN OR 1153/227 &amp; OR 1910/488 AMERICAN BEACH 3 SECT #2 PB4/1</t>
  </si>
  <si>
    <t>2016-1885</t>
  </si>
  <si>
    <t>BISBEE LLC RY143B52</t>
  </si>
  <si>
    <t>00-00-30-010D-0006-0020</t>
  </si>
  <si>
    <t>1720 LEWIS ST</t>
  </si>
  <si>
    <t>CINTRON EDWIN</t>
  </si>
  <si>
    <t>CINTRON SHEA</t>
  </si>
  <si>
    <t>684 TIMBERMILL LN</t>
  </si>
  <si>
    <t>BLOCK 6 LOT 2 IN OR 2040/244 AMERICAN BEACH 3 SEC 2 PB 4/1</t>
  </si>
  <si>
    <t>00-00-30-010D-0006-0040</t>
  </si>
  <si>
    <t>DOBSEN ERIN C</t>
  </si>
  <si>
    <t>BLOCK 6 LOT 4 &amp; ABND R/W RESOLUTION 97-200 PT OR 1915/980</t>
  </si>
  <si>
    <t>00-00-30-010D-0011-0020</t>
  </si>
  <si>
    <t>BLOCK 11 LOT 2 IN OR 2049/1307 AMERICAN BEACH #3 SEC #2</t>
  </si>
  <si>
    <t>2015-1944</t>
  </si>
  <si>
    <t>FLORIDA INVESTMENT BLOCK PSI 162537 US BANK CUST FOR PFS FINANCIAL 1</t>
  </si>
  <si>
    <t>2014-2028</t>
  </si>
  <si>
    <t>2013-2302</t>
  </si>
  <si>
    <t>2012-51</t>
  </si>
  <si>
    <t>2011-3142</t>
  </si>
  <si>
    <t>00-00-30-0120-0024-0000</t>
  </si>
  <si>
    <t>8TH</t>
  </si>
  <si>
    <t>S</t>
  </si>
  <si>
    <t>1827 8TH ST S</t>
  </si>
  <si>
    <t>ROWE KENNETH E</t>
  </si>
  <si>
    <t>FIVE POINTS</t>
  </si>
  <si>
    <t>30-03N-28E</t>
  </si>
  <si>
    <t>LOT 24 IN OR 1426/844 ASKINS FIVE POINTS PB 0/58</t>
  </si>
  <si>
    <t>2017-1872</t>
  </si>
  <si>
    <t>SETPER LLC O91607 SERIES</t>
  </si>
  <si>
    <t>2014-2031</t>
  </si>
  <si>
    <t>2011-3149</t>
  </si>
  <si>
    <t>00-00-30-0131-0010-0000</t>
  </si>
  <si>
    <t>HILDRETH</t>
  </si>
  <si>
    <t>9574 HILDRETH LN</t>
  </si>
  <si>
    <t>LOGAN SCOTT D</t>
  </si>
  <si>
    <t>LOGAN JULIE A</t>
  </si>
  <si>
    <t>PO BOX 285</t>
  </si>
  <si>
    <t>WHEELERSBURG OH</t>
  </si>
  <si>
    <t>AZALEA POINTE</t>
  </si>
  <si>
    <t>12-02N-28E</t>
  </si>
  <si>
    <t>LOT 10 IN OR 1908/707 AZALEA POINTE PB 6/164-165</t>
  </si>
  <si>
    <t>2017-1873</t>
  </si>
  <si>
    <t>A14970</t>
  </si>
  <si>
    <t>2016-1886</t>
  </si>
  <si>
    <t>SANMARCORA YIZUYT</t>
  </si>
  <si>
    <t>2014-2032</t>
  </si>
  <si>
    <t>2013-2307</t>
  </si>
  <si>
    <t>00-00-30-0140-0011-0000</t>
  </si>
  <si>
    <t>KAREN</t>
  </si>
  <si>
    <t>5021 KAREN ST</t>
  </si>
  <si>
    <t>EMBRICK MARK C</t>
  </si>
  <si>
    <t>EMBRICK STEPHANIE L</t>
  </si>
  <si>
    <t>382 ASHBOURNE TRL</t>
  </si>
  <si>
    <t>15-02N-28E</t>
  </si>
  <si>
    <t>LOTS 11 &amp; 12 IN OR 1965/48 1966 BILT SW/MH</t>
  </si>
  <si>
    <t>2017-1874</t>
  </si>
  <si>
    <t>TANGERINE DELPHIS XDVA LLC</t>
  </si>
  <si>
    <t>2016-1887</t>
  </si>
  <si>
    <t>TANGERINE DELPHIS XALI LLC</t>
  </si>
  <si>
    <t>00-00-30-0150-0005-0000</t>
  </si>
  <si>
    <t>ADAMS</t>
  </si>
  <si>
    <t>779 ADAMS RD</t>
  </si>
  <si>
    <t>MERRITT TEREASA STURGES</t>
  </si>
  <si>
    <t>517 EMANUEL CHURCH RD</t>
  </si>
  <si>
    <t>BRUNSWICK GA</t>
  </si>
  <si>
    <t>BUENA VISTA</t>
  </si>
  <si>
    <t>LOT 5 IN OR 1578/636 &amp; OR 2053/868 BUENA VISTA PB 5/19</t>
  </si>
  <si>
    <t>2017-1876</t>
  </si>
  <si>
    <t>PLEASANT VALLEY CAPITAL LLC - 113</t>
  </si>
  <si>
    <t>00-00-30-0170-0009-0000</t>
  </si>
  <si>
    <t>CASHEN</t>
  </si>
  <si>
    <t>847 CASHEN DR</t>
  </si>
  <si>
    <t>ALEXANDER JERETT ROY</t>
  </si>
  <si>
    <t>95259 SPRINGHILL RD</t>
  </si>
  <si>
    <t>LOT 9 L/E OR 571/1033 &amp; OR 1347/1950 IN OR 1593/1351</t>
  </si>
  <si>
    <t>2016-1889</t>
  </si>
  <si>
    <t>BETA BLOCK - CCTS FLOR 122794 US BANK CUST FOR PFS FINANCIAL 2 LLC</t>
  </si>
  <si>
    <t>2015-1948</t>
  </si>
  <si>
    <t>TRIAD HOLDINGS173938</t>
  </si>
  <si>
    <t>2014-2033</t>
  </si>
  <si>
    <t>2013-2308</t>
  </si>
  <si>
    <t>2011-3153</t>
  </si>
  <si>
    <t>00-00-30-0174-0036-0000</t>
  </si>
  <si>
    <t>CASHEN WOOD</t>
  </si>
  <si>
    <t>2018 CASHEN WOOD DR</t>
  </si>
  <si>
    <t>QUINN TAMMY B</t>
  </si>
  <si>
    <t>LOT 36 OR 575/1005 PROBATE FILE 96-90-CP CASHEN WOOD SUB PB5/221</t>
  </si>
  <si>
    <t>2017-1878</t>
  </si>
  <si>
    <t>SHORES BLVD 623 HOLDINGS LLC</t>
  </si>
  <si>
    <t>2016-1890</t>
  </si>
  <si>
    <t>E20893</t>
  </si>
  <si>
    <t>2015-1949</t>
  </si>
  <si>
    <t>A24111</t>
  </si>
  <si>
    <t>2014-2037</t>
  </si>
  <si>
    <t>2013-2311</t>
  </si>
  <si>
    <t>2012-57</t>
  </si>
  <si>
    <t>00-00-30-0174-0051-0000</t>
  </si>
  <si>
    <t>2361 CASHEN WOOD DR</t>
  </si>
  <si>
    <t>LEYENDECKER RONALD N</t>
  </si>
  <si>
    <t>LEYENDECKER JACQUELINE J</t>
  </si>
  <si>
    <t>LOT 51 IN OR 766 PG 1951 CASHEN WOOD SUB PB 5/221</t>
  </si>
  <si>
    <t>00-00-30-019C-0021-0000</t>
  </si>
  <si>
    <t>ST MARC</t>
  </si>
  <si>
    <t>4749 ST MARC CT</t>
  </si>
  <si>
    <t>NABORS ANDREW</t>
  </si>
  <si>
    <t>4749 SAINT MARC CT # 21</t>
  </si>
  <si>
    <t>THE COLONY</t>
  </si>
  <si>
    <t>UNIT 21 IN OR 1920/1428 THE COLONY CONDO OR 653/712</t>
  </si>
  <si>
    <t>00-00-30-019C-0030-0000</t>
  </si>
  <si>
    <t>4762 ST MARC CT</t>
  </si>
  <si>
    <t>THE 4762 ST MARC CT LAND TRUST</t>
  </si>
  <si>
    <t>UNIT 30 IN OR 2057/1817 THE COLONY CONDO OR 653/712</t>
  </si>
  <si>
    <t>00-00-30-019C-0050-0000</t>
  </si>
  <si>
    <t>WESTWIND</t>
  </si>
  <si>
    <t>4814 WESTWIND CT</t>
  </si>
  <si>
    <t>THARIN RUSSELL JR</t>
  </si>
  <si>
    <t>THARIN JANET</t>
  </si>
  <si>
    <t>UNIT 50 IN OR 1116/1603 THE COLONY CONDO OR 653/712</t>
  </si>
  <si>
    <t>2013-2316</t>
  </si>
  <si>
    <t>00-00-30-0200-0002-0000</t>
  </si>
  <si>
    <t>DRURY</t>
  </si>
  <si>
    <t>105 DRURY RD</t>
  </si>
  <si>
    <t>DRURY LINDA DARLENE</t>
  </si>
  <si>
    <t>2732 EASTWOOD DR</t>
  </si>
  <si>
    <t>DECATUR GA</t>
  </si>
  <si>
    <t>29-03N-28E</t>
  </si>
  <si>
    <t>LOT 2 &amp; BLOCK 1 LOT N 10 OF W1/2 OF 23 &amp; N 10 OF 24</t>
  </si>
  <si>
    <t>00-00-30-0200-0004-0000</t>
  </si>
  <si>
    <t>1889 DRURY RD</t>
  </si>
  <si>
    <t>KIMBALL BEVERLY ANN</t>
  </si>
  <si>
    <t>DRURY HOMES</t>
  </si>
  <si>
    <t>LOT 4 IN OR 1676/1851 DRURY HOMES PB 5/3</t>
  </si>
  <si>
    <t>2017-1881</t>
  </si>
  <si>
    <t>SETPER LLC O156730 SERIES</t>
  </si>
  <si>
    <t>2016-1893</t>
  </si>
  <si>
    <t>C221118</t>
  </si>
  <si>
    <t>00-00-30-0220-0002-0000</t>
  </si>
  <si>
    <t>IAN</t>
  </si>
  <si>
    <t>IAN DR</t>
  </si>
  <si>
    <t>HOWE GLYNOVA J</t>
  </si>
  <si>
    <t>300 WOODLAKE DR</t>
  </si>
  <si>
    <t>NEWNAN GA</t>
  </si>
  <si>
    <t>EVERETT ACRES</t>
  </si>
  <si>
    <t>LOT 2 PT OR 277 PG 135 EVERETT ACRES</t>
  </si>
  <si>
    <t>2015-1955</t>
  </si>
  <si>
    <t>2014-2041</t>
  </si>
  <si>
    <t>2013-2319</t>
  </si>
  <si>
    <t>00-00-30-0220-0004-0000</t>
  </si>
  <si>
    <t>LOT 4 PT OR 277 PG 135 EVERETT ACRES</t>
  </si>
  <si>
    <t>2015-1956</t>
  </si>
  <si>
    <t>SF XCI</t>
  </si>
  <si>
    <t>2014-2042</t>
  </si>
  <si>
    <t>2013-2320</t>
  </si>
  <si>
    <t>00-00-30-0220-0015-0000</t>
  </si>
  <si>
    <t>1521 IAN DR</t>
  </si>
  <si>
    <t>SALARY HENRY M</t>
  </si>
  <si>
    <t>SALARY MARVA J</t>
  </si>
  <si>
    <t>6825 RHODE ISLAND DR E</t>
  </si>
  <si>
    <t>LOTS 15 &amp; 17 IN OR 366 PG 36 EVERETT ACRES PB 5/11</t>
  </si>
  <si>
    <t>00-00-30-024B-0045-0000</t>
  </si>
  <si>
    <t>HOLLY</t>
  </si>
  <si>
    <t>1447 HOLLY DR</t>
  </si>
  <si>
    <t>HENDERSON FRANCES E</t>
  </si>
  <si>
    <t>LOT 45</t>
  </si>
  <si>
    <t>2017-1886</t>
  </si>
  <si>
    <t>KINGS FERRY 830 TAX RE LLC</t>
  </si>
  <si>
    <t>2016-1903</t>
  </si>
  <si>
    <t>FLORIDA GROUP UPSILON 165340 US BANK CUST FOR PFS FINANCIAL 1</t>
  </si>
  <si>
    <t>2015-1961</t>
  </si>
  <si>
    <t>LAKEVIEW TAX MANAGEMENT LLC SERIES14051</t>
  </si>
  <si>
    <t>2014-2047</t>
  </si>
  <si>
    <t>2013-2325</t>
  </si>
  <si>
    <t>00-00-30-0250-0055-0000</t>
  </si>
  <si>
    <t>FLORENCE POINT</t>
  </si>
  <si>
    <t>5332 FLORENCE POINT DR</t>
  </si>
  <si>
    <t>EDMONDSON JOHN STEPHEN</t>
  </si>
  <si>
    <t>6539 FAIRLAWN DR</t>
  </si>
  <si>
    <t>MCLEAN VA</t>
  </si>
  <si>
    <t>LOT 55 IN OR 1728/893 FLORENCE POINT PB 4/109 &amp; 110</t>
  </si>
  <si>
    <t>2015-1962</t>
  </si>
  <si>
    <t>ORANGE WHALES AMEM LLC</t>
  </si>
  <si>
    <t>2014-2048</t>
  </si>
  <si>
    <t>00-00-30-026G-201A-0000</t>
  </si>
  <si>
    <t>GATEWAY</t>
  </si>
  <si>
    <t>201A</t>
  </si>
  <si>
    <t>961687 GATEWAY BLVD 201A</t>
  </si>
  <si>
    <t>SHACKLEFORD ROBERT</t>
  </si>
  <si>
    <t>31255 PARADISE CMNS APT 913</t>
  </si>
  <si>
    <t>VILLAGE CENTER @ GATEWAY</t>
  </si>
  <si>
    <t>5-02N-28E</t>
  </si>
  <si>
    <t>UNIT 201A IN OR 1919/279 VILLAGE CENTER @ GATEWAY</t>
  </si>
  <si>
    <t>2017-1891</t>
  </si>
  <si>
    <t>ECRU LLC AR3FAF95</t>
  </si>
  <si>
    <t>2015-1968</t>
  </si>
  <si>
    <t>BISBEE LLC AKB1B4B2</t>
  </si>
  <si>
    <t>00-00-30-026G-201H-0000</t>
  </si>
  <si>
    <t>201H</t>
  </si>
  <si>
    <t>961687 GATEWAY BLVD 201H</t>
  </si>
  <si>
    <t>WIDE SKY PROPERTIES LLC</t>
  </si>
  <si>
    <t>961687 GATEWAY BLVD STE 201H</t>
  </si>
  <si>
    <t>UNIT 201H IN OR 1314/19 VILLAGE CENTER @ GATEWAY</t>
  </si>
  <si>
    <t>2016-1907</t>
  </si>
  <si>
    <t>AAAA1537</t>
  </si>
  <si>
    <t>2015-1969</t>
  </si>
  <si>
    <t>GINNORSAR LLC SERIES A007887</t>
  </si>
  <si>
    <t>2014-2055</t>
  </si>
  <si>
    <t>2013-2334</t>
  </si>
  <si>
    <t>2012-68</t>
  </si>
  <si>
    <t>NAWS24 LLC</t>
  </si>
  <si>
    <t>2011-3177</t>
  </si>
  <si>
    <t>00-00-30-0280-0016-0000</t>
  </si>
  <si>
    <t>AVERY</t>
  </si>
  <si>
    <t>AVERY RD</t>
  </si>
  <si>
    <t>BROWN MERLIN A</t>
  </si>
  <si>
    <t>BUGGS LISA J</t>
  </si>
  <si>
    <t>5018 LINCOLN CIR S</t>
  </si>
  <si>
    <t>GURNIE OAKS</t>
  </si>
  <si>
    <t>LOT 16 IN OR 953/1544 GURNIE OAKS SUB PB5/2</t>
  </si>
  <si>
    <t>2011-3179</t>
  </si>
  <si>
    <t>00-00-30-0280-0017-0000</t>
  </si>
  <si>
    <t>1477 AVERY RD</t>
  </si>
  <si>
    <t>SAUNDERS MONICA L</t>
  </si>
  <si>
    <t>SAUNDERS RONNIE L</t>
  </si>
  <si>
    <t>342 GOODWIN ST</t>
  </si>
  <si>
    <t>LOT 17 IN OR 698 PG 911 GURNIE OAKS SUB PB 5/2</t>
  </si>
  <si>
    <t>2017-1894</t>
  </si>
  <si>
    <t>2016-1910</t>
  </si>
  <si>
    <t>BENNU LLC JY24Q6FCA</t>
  </si>
  <si>
    <t>2015-1973</t>
  </si>
  <si>
    <t>THOMAS VAUGHAN</t>
  </si>
  <si>
    <t>2014-2060</t>
  </si>
  <si>
    <t>2013-2339</t>
  </si>
  <si>
    <t>2012-73</t>
  </si>
  <si>
    <t>2011-3180</t>
  </si>
  <si>
    <t>00-00-30-0280-0018-0000</t>
  </si>
  <si>
    <t>1450 AVERY RD</t>
  </si>
  <si>
    <t>HARRIS IAN C &amp; BACON CEDRIC G &amp; RODRIC L</t>
  </si>
  <si>
    <t>1280 NW 58TH TER</t>
  </si>
  <si>
    <t>SUNRISE FL</t>
  </si>
  <si>
    <t>LOT 18 L/E OR 620/854 &amp; OR 758/1690 OR 1749/1651 CASE #11-CP-160</t>
  </si>
  <si>
    <t>2017-1895</t>
  </si>
  <si>
    <t>ECRU LLC R62A0J</t>
  </si>
  <si>
    <t>2016-1911</t>
  </si>
  <si>
    <t>PINK PORPOISE HOLDINGS 232 LLC</t>
  </si>
  <si>
    <t>2015-1974</t>
  </si>
  <si>
    <t>HORIZON 3141</t>
  </si>
  <si>
    <t>2014-2061</t>
  </si>
  <si>
    <t>2013-2340</t>
  </si>
  <si>
    <t>2012-74</t>
  </si>
  <si>
    <t>2011-3181</t>
  </si>
  <si>
    <t>00-00-30-0280-0022-0000</t>
  </si>
  <si>
    <t>YOUNG SHARON A</t>
  </si>
  <si>
    <t>1916 W 20TH ST</t>
  </si>
  <si>
    <t>LOTS 22 &amp; 24 IN OR 1104/933 GURNIE OAKS SUB PB 5/2</t>
  </si>
  <si>
    <t>2017-1896</t>
  </si>
  <si>
    <t>2016-1912</t>
  </si>
  <si>
    <t>2014-2062</t>
  </si>
  <si>
    <t>2013-2341</t>
  </si>
  <si>
    <t>2012-75</t>
  </si>
  <si>
    <t>2011-3182</t>
  </si>
  <si>
    <t>00-00-30-028V-0003-03B0</t>
  </si>
  <si>
    <t>BARCLAY</t>
  </si>
  <si>
    <t>3B</t>
  </si>
  <si>
    <t>95024 BARCLAY PL 3B</t>
  </si>
  <si>
    <t>CALDWELL SARAH A</t>
  </si>
  <si>
    <t>95024 BARCLAY PL UNIT 3</t>
  </si>
  <si>
    <t>HARRISON COVE</t>
  </si>
  <si>
    <t>BLDG 3 UNIT 3B IN OR 1633/1992 HARRISON COVE VILLAS</t>
  </si>
  <si>
    <t>00-00-30-0290-0001-0020</t>
  </si>
  <si>
    <t>BAILEY</t>
  </si>
  <si>
    <t>2622 BAILEY RD</t>
  </si>
  <si>
    <t>SLY 95 FT OF LOTS 1 &amp; 2 PT OR 966/500 RP 2253 &amp; 2254</t>
  </si>
  <si>
    <t>2017-1897</t>
  </si>
  <si>
    <t>ORANGE PORPOISE AKYP LLC</t>
  </si>
  <si>
    <t>2016-1916</t>
  </si>
  <si>
    <t>SANMARCORA LGJYZD</t>
  </si>
  <si>
    <t>2015-1975</t>
  </si>
  <si>
    <t>CLEMENTINE DOLPHIN ADVI LLC</t>
  </si>
  <si>
    <t>2014-2063</t>
  </si>
  <si>
    <t>2013-2343</t>
  </si>
  <si>
    <t>2012-78</t>
  </si>
  <si>
    <t>00-00-30-031B-0011-0000</t>
  </si>
  <si>
    <t>BLUE HERON</t>
  </si>
  <si>
    <t>1726 BLUE HERON LN</t>
  </si>
  <si>
    <t>HILL ERNEST R</t>
  </si>
  <si>
    <t>ISLAND BLUFF SUB</t>
  </si>
  <si>
    <t>LOT 11 IN OR 1517/129 ISLAND BLUFF SUB PB 5/92</t>
  </si>
  <si>
    <t>12089C_204</t>
  </si>
  <si>
    <t>2016-1919</t>
  </si>
  <si>
    <t>KINGFISHER KEY CERTS ABAQ LLC</t>
  </si>
  <si>
    <t>00-00-30-031B-0023-0000</t>
  </si>
  <si>
    <t>1711 BLUE HERON LN</t>
  </si>
  <si>
    <t>BARRY MICHAEL D</t>
  </si>
  <si>
    <t>BARRY LAUREN LOWE</t>
  </si>
  <si>
    <t>LOT 23 OR 489/207 ISLAND BLUFF SUB PB 5/92</t>
  </si>
  <si>
    <t>2017-1899</t>
  </si>
  <si>
    <t>CATALINA TAX CO LLC SERIES 7664</t>
  </si>
  <si>
    <t>2013-2346</t>
  </si>
  <si>
    <t>00-00-30-0320-0006-0000</t>
  </si>
  <si>
    <t>KENNETH</t>
  </si>
  <si>
    <t>732 KENNETH CT</t>
  </si>
  <si>
    <t>DUBBERLY JR JAMES C</t>
  </si>
  <si>
    <t>DUBBERLY LAURA C</t>
  </si>
  <si>
    <t>95239 AMELIA NATIONAL PKWY</t>
  </si>
  <si>
    <t>KENNETH COURT</t>
  </si>
  <si>
    <t>LOT 6 IN OR 2012/104 KENNETH COURT SUB PB 3/50</t>
  </si>
  <si>
    <t>2017-1902</t>
  </si>
  <si>
    <t>LEMON TREE SERVICING LLC</t>
  </si>
  <si>
    <t>00-00-30-034B-0007-0020</t>
  </si>
  <si>
    <t>PETERS</t>
  </si>
  <si>
    <t>W PETERS RD</t>
  </si>
  <si>
    <t>SHAVE JON</t>
  </si>
  <si>
    <t>801 PARKVIEW PL E</t>
  </si>
  <si>
    <t>31-3N-28 S1/2 OF LOT 7 (EX S-5) IN OR 1970/254</t>
  </si>
  <si>
    <t>2017-1903</t>
  </si>
  <si>
    <t>SCENIC GULF 172 SERVICING LLC</t>
  </si>
  <si>
    <t>2016-1922</t>
  </si>
  <si>
    <t>BENNU LLC YSCDNB3J</t>
  </si>
  <si>
    <t>2015-1986</t>
  </si>
  <si>
    <t>BENNU LLC LY7FQ86R</t>
  </si>
  <si>
    <t>2014-2073</t>
  </si>
  <si>
    <t>2013-2355</t>
  </si>
  <si>
    <t>2012-93</t>
  </si>
  <si>
    <t>NAWS16 LLC</t>
  </si>
  <si>
    <t>00-00-30-034B-0018-0000</t>
  </si>
  <si>
    <t>SYCAMORE</t>
  </si>
  <si>
    <t>1940 SYCAMORE LN</t>
  </si>
  <si>
    <t>DAVIS JOHN L</t>
  </si>
  <si>
    <t>DAVIS BETTE M</t>
  </si>
  <si>
    <t>LOTS 18 &amp; 17 &amp; PT OF SEC 31-3N-28E IN OR 852/1689 &amp; OR 1927/795</t>
  </si>
  <si>
    <t>2017-1904</t>
  </si>
  <si>
    <t>E2127</t>
  </si>
  <si>
    <t>00-00-30-034C-0002-0000</t>
  </si>
  <si>
    <t>515 J</t>
  </si>
  <si>
    <t>I TAYLOR</t>
  </si>
  <si>
    <t>515 J I TAYLOR CT</t>
  </si>
  <si>
    <t>FULLWOOD SHERMAN ROBERT</t>
  </si>
  <si>
    <t>LOT 2 (EX S-1) REPLAT OF LOT 28 IN OR 1934/157 &amp; OR 1934/161</t>
  </si>
  <si>
    <t>2015-1987</t>
  </si>
  <si>
    <t>BRIDGE TAX LLC - 750 A36</t>
  </si>
  <si>
    <t>00-00-30-0360-0005-0000</t>
  </si>
  <si>
    <t>FIRST COAST HWY</t>
  </si>
  <si>
    <t>BELL SARAH</t>
  </si>
  <si>
    <t>5161 FIRST COAST HWY</t>
  </si>
  <si>
    <t>LEEWARD COVE</t>
  </si>
  <si>
    <t>LOTS 5 &amp; 6 IN OR 2027/1011 LEEWARD COVE PB 5/77</t>
  </si>
  <si>
    <t>2017-1907</t>
  </si>
  <si>
    <t>KEYS FUNDING LLC - 625 A58</t>
  </si>
  <si>
    <t>00-00-30-0380-0041-0000</t>
  </si>
  <si>
    <t>AMELIA</t>
  </si>
  <si>
    <t>2327 AMELIA RD</t>
  </si>
  <si>
    <t>ROWLAND JANAN LYNN</t>
  </si>
  <si>
    <t>MARLIN PARK</t>
  </si>
  <si>
    <t>LOT 41 PT OR 784/684 MARLIN PARK SUB PB 3/14</t>
  </si>
  <si>
    <t>2016-1923</t>
  </si>
  <si>
    <t>E7413</t>
  </si>
  <si>
    <t>2014-2076</t>
  </si>
  <si>
    <t>2012-97</t>
  </si>
  <si>
    <t>CHITWAN BHALU LLC SB MUNI CUST FOR</t>
  </si>
  <si>
    <t>2011-3194</t>
  </si>
  <si>
    <t>PPTS 500 LLC</t>
  </si>
  <si>
    <t>00-00-30-0380-0042-0000</t>
  </si>
  <si>
    <t>2311 AMELIA RD</t>
  </si>
  <si>
    <t>ROWLAND JANAN L</t>
  </si>
  <si>
    <t>ROWLAND LYNDON STORM</t>
  </si>
  <si>
    <t>LOT 42 IN OR 1698/929 ESMT IN OR 1525/1289</t>
  </si>
  <si>
    <t>2016-1924</t>
  </si>
  <si>
    <t>2014-2077</t>
  </si>
  <si>
    <t>2012-98</t>
  </si>
  <si>
    <t>2011-3195</t>
  </si>
  <si>
    <t>00-00-30-042C-000E-0050</t>
  </si>
  <si>
    <t>CLINCH</t>
  </si>
  <si>
    <t>1954 CLINCH DR</t>
  </si>
  <si>
    <t>HOMEFREE PROPERTY SOLUTIONS LLC</t>
  </si>
  <si>
    <t>339 PARKVIEW AVE</t>
  </si>
  <si>
    <t>GAITHERSBURG MD</t>
  </si>
  <si>
    <t>BLOCK E S1/2 OF LOT 5 &amp; ALL LOT 7 IN OR 1601/483</t>
  </si>
  <si>
    <t>00-00-30-042C-000G-0060</t>
  </si>
  <si>
    <t>MOURNING DOVE</t>
  </si>
  <si>
    <t>769 MOURNING DOVE LN</t>
  </si>
  <si>
    <t>HASPEL ROY L</t>
  </si>
  <si>
    <t>28300 TRINITY LN</t>
  </si>
  <si>
    <t>OAK GROVE</t>
  </si>
  <si>
    <t>BLOCK G LOT 6 IN OR 1982/291 OAK GROVE UNIT 2 PB 2/60</t>
  </si>
  <si>
    <t>2014-2083</t>
  </si>
  <si>
    <t>00-00-30-042C-000G-0080</t>
  </si>
  <si>
    <t>1963 OAK DR</t>
  </si>
  <si>
    <t>HICKS KENNETH D</t>
  </si>
  <si>
    <t>BLOCK G LOT 8 RP 2060 IN OR 1833/1061 OAK GROVE UNIT 2 PB 2/60</t>
  </si>
  <si>
    <t>2017-1909</t>
  </si>
  <si>
    <t>WHISPERING OAKS 651 RENTING REO LLC</t>
  </si>
  <si>
    <t>2016-1925</t>
  </si>
  <si>
    <t>INBESTIME 57</t>
  </si>
  <si>
    <t>2015-1989</t>
  </si>
  <si>
    <t>BANDIR KOSI CERTS 1064 LLC</t>
  </si>
  <si>
    <t>2014-2593</t>
  </si>
  <si>
    <t>2013-2864</t>
  </si>
  <si>
    <t>2012-3169</t>
  </si>
  <si>
    <t>00-00-30-042D-000M-0050</t>
  </si>
  <si>
    <t>1888 PINE DR</t>
  </si>
  <si>
    <t>GIBSON NANCY</t>
  </si>
  <si>
    <t>2202 WILL HARDEE RD</t>
  </si>
  <si>
    <t>BLOCK M LOT 5 &amp; S 15 OF LOT 1 IN OR 833/1607 OAK GROVE #3 PB 3/51</t>
  </si>
  <si>
    <t>2017-1910</t>
  </si>
  <si>
    <t>HOSSET LLC O154850 SERIES</t>
  </si>
  <si>
    <t>2016-1926</t>
  </si>
  <si>
    <t>BISBEE LLC HP59YE</t>
  </si>
  <si>
    <t>2014-2084</t>
  </si>
  <si>
    <t>00-00-30-042D-000N-0050</t>
  </si>
  <si>
    <t>1893 PALM DR</t>
  </si>
  <si>
    <t>DRURY JOHNNY C</t>
  </si>
  <si>
    <t>BLOCK N LOT 5 IN OR 1124/1818 OAK GROVE SUB #3 PB 3/51</t>
  </si>
  <si>
    <t>2012-106</t>
  </si>
  <si>
    <t>US BANK CUST BISBEE LLC H171CC</t>
  </si>
  <si>
    <t>2011-3204</t>
  </si>
  <si>
    <t>00-00-30-042D-000P-0060</t>
  </si>
  <si>
    <t>WAX WING</t>
  </si>
  <si>
    <t>749 WAX WING LN</t>
  </si>
  <si>
    <t>TAYLOR JIMMY M</t>
  </si>
  <si>
    <t>BLOCK P LOT 6 2003 DW/MH FTWD IN OR 412 PG 229</t>
  </si>
  <si>
    <t>2017-1912</t>
  </si>
  <si>
    <t>SANMARCORA NHALSM</t>
  </si>
  <si>
    <t>2014-2086</t>
  </si>
  <si>
    <t>2011-3205</t>
  </si>
  <si>
    <t>00-00-30-042D-000P-0070</t>
  </si>
  <si>
    <t>761 WAX WING LN</t>
  </si>
  <si>
    <t>KILGORE GEORGE B &amp;</t>
  </si>
  <si>
    <t>507 S 17TH ST</t>
  </si>
  <si>
    <t>BLOCK P LOT 7 RP 177 IN OR 772/366 OAK GROVE SUB 3 PB 3/51</t>
  </si>
  <si>
    <t>2017-1913</t>
  </si>
  <si>
    <t>PEBBLE STONE 586 REO LLC</t>
  </si>
  <si>
    <t>2014-2087</t>
  </si>
  <si>
    <t>2011-3206</t>
  </si>
  <si>
    <t>00-00-30-042D-000P-0080</t>
  </si>
  <si>
    <t>773 WAX WING LN</t>
  </si>
  <si>
    <t>COLON MICHAEL A</t>
  </si>
  <si>
    <t>BLOCK P LOT 8 IN OR 887/1209 R567607 &amp; R567608</t>
  </si>
  <si>
    <t>2017-1914</t>
  </si>
  <si>
    <t>PELICAN FLOCK CERTS 1701 LLC</t>
  </si>
  <si>
    <t>2015-1992</t>
  </si>
  <si>
    <t>MML LLC AND OAR LLC PARTNERSHIP 2146</t>
  </si>
  <si>
    <t>2014-2088</t>
  </si>
  <si>
    <t>2012-107</t>
  </si>
  <si>
    <t>CAPONE-CLTRLASSGNEE-A10102</t>
  </si>
  <si>
    <t>2011-3207</t>
  </si>
  <si>
    <t>00-00-30-0438-0003-0000</t>
  </si>
  <si>
    <t>BURNEY</t>
  </si>
  <si>
    <t>95580 BURNEY RD</t>
  </si>
  <si>
    <t>OCEAN BLVD EST #1</t>
  </si>
  <si>
    <t>LOTS 3 &amp; 4 IN OR 1035/804 OCEAN BLVD EST #1 PB 6/279</t>
  </si>
  <si>
    <t>2017-1915</t>
  </si>
  <si>
    <t>TERAMO1917</t>
  </si>
  <si>
    <t>2016-1929</t>
  </si>
  <si>
    <t>TRAVIS FARM INVESTMENTS LLC - 424B102</t>
  </si>
  <si>
    <t>2015-1995</t>
  </si>
  <si>
    <t>GOLAN LLC SERIES A003018</t>
  </si>
  <si>
    <t>2014-2091</t>
  </si>
  <si>
    <t>2013-2361</t>
  </si>
  <si>
    <t>2012-109</t>
  </si>
  <si>
    <t>GARNET ROCK LLC - 315 US BANK % GARNET ROCK LLC-315</t>
  </si>
  <si>
    <t>2011-3208</t>
  </si>
  <si>
    <t>00-00-30-043C-0013-0000</t>
  </si>
  <si>
    <t>OAK BLUFF</t>
  </si>
  <si>
    <t>2117 OAK BLUFF CT</t>
  </si>
  <si>
    <t>KELLEY EDWARD L</t>
  </si>
  <si>
    <t>OAK RIDGE</t>
  </si>
  <si>
    <t>LOT 13 IN OR 1940/1675 &amp; OR 1940/1723 OAK RIDGE #3 PB5/220</t>
  </si>
  <si>
    <t>2017-1917</t>
  </si>
  <si>
    <t>SPOKANE LLC SERIES A003132</t>
  </si>
  <si>
    <t>2016-1932</t>
  </si>
  <si>
    <t>CCCCC3355</t>
  </si>
  <si>
    <t>2015-1997</t>
  </si>
  <si>
    <t>ORANGE DOLPHINS XCNV LLC</t>
  </si>
  <si>
    <t>00-00-30-0440-0001-0000</t>
  </si>
  <si>
    <t>RIVERBEND WALK</t>
  </si>
  <si>
    <t>2950 RIVERBEND WALK</t>
  </si>
  <si>
    <t>SUMMERWOODS OF AMELIA ISLAND LLC</t>
  </si>
  <si>
    <t>3675 PINE ST</t>
  </si>
  <si>
    <t>00-00-30-0440-0002-0000</t>
  </si>
  <si>
    <t>2946 RIVERBEND WALK</t>
  </si>
  <si>
    <t>LOT 2</t>
  </si>
  <si>
    <t>00-00-30-0440-0003-0000</t>
  </si>
  <si>
    <t>2942 RIVERBEND WALK</t>
  </si>
  <si>
    <t>LOT 3</t>
  </si>
  <si>
    <t>00-00-30-0440-0004-0000</t>
  </si>
  <si>
    <t>2938 RIVERBEND WALK</t>
  </si>
  <si>
    <t>LOT 4</t>
  </si>
  <si>
    <t>00-00-30-0440-0005-0000</t>
  </si>
  <si>
    <t>2934 RIVERBEND WALK</t>
  </si>
  <si>
    <t>00-00-30-0440-0008-0000</t>
  </si>
  <si>
    <t>2922 RIVERBEND WALK</t>
  </si>
  <si>
    <t>00-00-30-0440-0009-0000</t>
  </si>
  <si>
    <t>2918 RIVERBEND WALK</t>
  </si>
  <si>
    <t>LOT 9</t>
  </si>
  <si>
    <t>00-00-30-0440-0010-0000</t>
  </si>
  <si>
    <t>2914 RIVERBEND WALK</t>
  </si>
  <si>
    <t>LOT 10</t>
  </si>
  <si>
    <t>00-00-30-0440-0011-0000</t>
  </si>
  <si>
    <t>2910 RIVERBEND WALK</t>
  </si>
  <si>
    <t>LOT 11</t>
  </si>
  <si>
    <t>00-00-30-0440-0012-0000</t>
  </si>
  <si>
    <t>2906 RIVERBEND WALK</t>
  </si>
  <si>
    <t>LOT 12</t>
  </si>
  <si>
    <t>00-00-30-0440-0013-0000</t>
  </si>
  <si>
    <t>2901 RIVERBEND WALK</t>
  </si>
  <si>
    <t>LOT 13</t>
  </si>
  <si>
    <t>00-00-30-0440-0014-0000</t>
  </si>
  <si>
    <t>2905 RIVERBEND WALK</t>
  </si>
  <si>
    <t>LOT 14</t>
  </si>
  <si>
    <t>00-00-30-0440-0015-0000</t>
  </si>
  <si>
    <t>2909 RIVERBEND WALK</t>
  </si>
  <si>
    <t>00-00-30-0440-0016-0000</t>
  </si>
  <si>
    <t>2913 RIVERBEND WALK</t>
  </si>
  <si>
    <t>00-00-30-0440-0017-0000</t>
  </si>
  <si>
    <t>2917 RIVERBEND WALK</t>
  </si>
  <si>
    <t>00-00-30-0440-0018-0000</t>
  </si>
  <si>
    <t>2921 RIVERBEND WALK</t>
  </si>
  <si>
    <t>00-00-30-0440-0019-0000</t>
  </si>
  <si>
    <t>2925 RIVERBEND WALK</t>
  </si>
  <si>
    <t>00-00-30-0440-0020-0000</t>
  </si>
  <si>
    <t>2929 RIVERBEND WALK</t>
  </si>
  <si>
    <t>00-00-30-0440-0021-0000</t>
  </si>
  <si>
    <t>2933 RIVERBEND WALK</t>
  </si>
  <si>
    <t>LOT 21</t>
  </si>
  <si>
    <t>00-00-30-0440-0022-0000</t>
  </si>
  <si>
    <t>2937 RIVERBEND WALK</t>
  </si>
  <si>
    <t>LOT 22</t>
  </si>
  <si>
    <t>00-00-30-0440-0024-0000</t>
  </si>
  <si>
    <t>2945 RIVERBEND WALK</t>
  </si>
  <si>
    <t>LOT 24</t>
  </si>
  <si>
    <t>00-00-30-0440-0025-0000</t>
  </si>
  <si>
    <t>2949 RIVERBEND WALK</t>
  </si>
  <si>
    <t>LOT 25</t>
  </si>
  <si>
    <t>00-00-30-0440-0026-0000</t>
  </si>
  <si>
    <t>2953 RIVERBEND WALK</t>
  </si>
  <si>
    <t>LOT 26</t>
  </si>
  <si>
    <t>00-00-30-0440-0028-0000</t>
  </si>
  <si>
    <t>2961 RIVERBEND WALK</t>
  </si>
  <si>
    <t>LOT 28</t>
  </si>
  <si>
    <t>00-00-30-0440-0029-0000</t>
  </si>
  <si>
    <t>2965 RIVERBEND WALK</t>
  </si>
  <si>
    <t>LOT 29</t>
  </si>
  <si>
    <t>00-00-30-0440-0030-0000</t>
  </si>
  <si>
    <t>2969 RIVERBEND WALK</t>
  </si>
  <si>
    <t>LOT 30</t>
  </si>
  <si>
    <t>00-00-30-0440-0033-0000</t>
  </si>
  <si>
    <t>2980 RIVERBEND WALK</t>
  </si>
  <si>
    <t>LOT 33</t>
  </si>
  <si>
    <t>00-00-30-044A-0004-0030</t>
  </si>
  <si>
    <t>3030 AMELIA RD</t>
  </si>
  <si>
    <t>PATEL LISA</t>
  </si>
  <si>
    <t>OCEAN BREEZE</t>
  </si>
  <si>
    <t>3-2N-28 PT OF LOT 4 IN OR 496 PG 572 OCEAN BREEZE SUB PB 1/11</t>
  </si>
  <si>
    <t>2017-1919</t>
  </si>
  <si>
    <t>ENGLISH MEADOWS 375 RENTING REO LLC</t>
  </si>
  <si>
    <t>00-00-30-044A-0025-0030</t>
  </si>
  <si>
    <t>2863 SEMINOLE AV</t>
  </si>
  <si>
    <t>OCEAN BREEZE OF AMELIA LLC</t>
  </si>
  <si>
    <t>414 OLD HARD RD STE 502</t>
  </si>
  <si>
    <t>3-02N-28E</t>
  </si>
  <si>
    <t>3-2N-28 S-3 OF LOT 25 IN OR 1926/1880 &amp; OR 1926/1883 EX EASEMENT IN OR 220/369</t>
  </si>
  <si>
    <t>2017-1921</t>
  </si>
  <si>
    <t>CACOJ 12199 LLC</t>
  </si>
  <si>
    <t>2016-1933</t>
  </si>
  <si>
    <t>REGAL VENTURES 2</t>
  </si>
  <si>
    <t>00-00-30-044B-0028-0010</t>
  </si>
  <si>
    <t>AMELIA RD</t>
  </si>
  <si>
    <t>THE ASPIRE AT AMELIA II LLC</t>
  </si>
  <si>
    <t>PT LOT 28 (S-1) IN OR 2051/198 (EX RD R/W)</t>
  </si>
  <si>
    <t>2017-1922</t>
  </si>
  <si>
    <t>POINCIANA BLVD 604 RENTING REO LLC</t>
  </si>
  <si>
    <t>00-00-30-044B-0028-0012</t>
  </si>
  <si>
    <t>3017 AMELIA RD</t>
  </si>
  <si>
    <t>PT LOT 28 IN OR 2051/189 (EX RD R/W)</t>
  </si>
  <si>
    <t>2017-1923</t>
  </si>
  <si>
    <t>BISBEE LLC PIFC37</t>
  </si>
  <si>
    <t>00-00-30-044B-0028-0014</t>
  </si>
  <si>
    <t>3021 AMELIA RD</t>
  </si>
  <si>
    <t>PT OF LOT 28 IN OR 2051/194 (EX RD R/W)</t>
  </si>
  <si>
    <t>2017-1924</t>
  </si>
  <si>
    <t>OCEAN BLVD 431 LEASE MANGEMENT LLC</t>
  </si>
  <si>
    <t>00-00-30-044B-0091-0020</t>
  </si>
  <si>
    <t>MIDWAY</t>
  </si>
  <si>
    <t>2634 MIDWAY RD</t>
  </si>
  <si>
    <t>FRENCH DEAN D</t>
  </si>
  <si>
    <t>903 AMELIA DR</t>
  </si>
  <si>
    <t>5-2N-28 S-2 PT OF LOTS 91 &amp; 92 IN OR 975/1185 OCEAN BREEZE FARMS PB 2/19</t>
  </si>
  <si>
    <t>2015-1999</t>
  </si>
  <si>
    <t>PETRELLA12</t>
  </si>
  <si>
    <t>2014-2096</t>
  </si>
  <si>
    <t>2013-2367</t>
  </si>
  <si>
    <t>2012-115</t>
  </si>
  <si>
    <t>2011-3216</t>
  </si>
  <si>
    <t>00-00-30-044B-0093-0000</t>
  </si>
  <si>
    <t>2619 MIDWAY RD</t>
  </si>
  <si>
    <t>OCONNER JAMES PRATT</t>
  </si>
  <si>
    <t>OCONNER JAMES MITCHELL</t>
  </si>
  <si>
    <t>PO BOX 471</t>
  </si>
  <si>
    <t>E 1/2 OF LOT 93 IN OR 1488/1661 EX R/W OR 119/230 &amp; 93-1</t>
  </si>
  <si>
    <t>2017-1926</t>
  </si>
  <si>
    <t>BISBEE LLC H25E3F3</t>
  </si>
  <si>
    <t>2016-1935</t>
  </si>
  <si>
    <t>HEINZ1092</t>
  </si>
  <si>
    <t>2014-2097</t>
  </si>
  <si>
    <t>2013-2368</t>
  </si>
  <si>
    <t>2012-116</t>
  </si>
  <si>
    <t>US BANK CUST BISBEE LLC H1720E</t>
  </si>
  <si>
    <t>2011-3217</t>
  </si>
  <si>
    <t>00-00-30-044D-0032-0000</t>
  </si>
  <si>
    <t>SEA GRAPE NORTH</t>
  </si>
  <si>
    <t>2840 SEA GRAPE NORTH DR</t>
  </si>
  <si>
    <t>RAY BARBARA DZIOB</t>
  </si>
  <si>
    <t>RAY GLENN THOMAS</t>
  </si>
  <si>
    <t>2840 SEA GRAPE DR N</t>
  </si>
  <si>
    <t>LOT 32 IN OR 2025/153 DUNES OF AMELIA PHASE 1</t>
  </si>
  <si>
    <t>00-00-30-046F-0024-0000</t>
  </si>
  <si>
    <t>OCEAN FOREST</t>
  </si>
  <si>
    <t>1638 OCEAN FOREST DR</t>
  </si>
  <si>
    <t>SINGLETON BRIAN</t>
  </si>
  <si>
    <t>LOT 24 IN OR 1980/125 OCEAN FOREST PB 5/124</t>
  </si>
  <si>
    <t>00-00-30-0513-0029-0000</t>
  </si>
  <si>
    <t>PLANTATION OAKS</t>
  </si>
  <si>
    <t>PLANTATION OAKS LN</t>
  </si>
  <si>
    <t>THOMSON MARK S</t>
  </si>
  <si>
    <t>THOMSON DENISE</t>
  </si>
  <si>
    <t>PO BOX 714</t>
  </si>
  <si>
    <t>BUNNELL FL</t>
  </si>
  <si>
    <t>LOT 29 IN OR 1071/1539 PLANTATION OAKS #3 PB 5/144</t>
  </si>
  <si>
    <t>2017-1932</t>
  </si>
  <si>
    <t>HOSSET LLC O85336 SERIES</t>
  </si>
  <si>
    <t>00-00-30-0540-0006-0000</t>
  </si>
  <si>
    <t>RAYON</t>
  </si>
  <si>
    <t>2040 RAYON RD</t>
  </si>
  <si>
    <t>BARNARD CODY A</t>
  </si>
  <si>
    <t>RAYON TERRACE</t>
  </si>
  <si>
    <t>LOTS 6 &amp; 8 L/E OR 1514/470 RAYON TERRACE PB 3/31</t>
  </si>
  <si>
    <t>2014-2102</t>
  </si>
  <si>
    <t>2012-123</t>
  </si>
  <si>
    <t>KML CAPITAL LLC A5 BANKUNITED, TRUSTEE</t>
  </si>
  <si>
    <t>00-00-30-056O-0021-0000</t>
  </si>
  <si>
    <t>ROWAN OAK</t>
  </si>
  <si>
    <t>RIVER OAKS OF AMELIA</t>
  </si>
  <si>
    <t>LOT 21 IN OR 1426/834 RIVER OAKS OF AMELIA 2 PB6/111</t>
  </si>
  <si>
    <t>2017-1933</t>
  </si>
  <si>
    <t>HOSSET LLC O146579 SERIES</t>
  </si>
  <si>
    <t>2014-2105</t>
  </si>
  <si>
    <t>2011-3224</t>
  </si>
  <si>
    <t>00-00-30-056O-0022-0000</t>
  </si>
  <si>
    <t>195 ROWAN OAK PL</t>
  </si>
  <si>
    <t>BRYAN TRESSA</t>
  </si>
  <si>
    <t>TRESSA BRYAN LIVING TRUST</t>
  </si>
  <si>
    <t>3002 SEA MARSH RD</t>
  </si>
  <si>
    <t>LOT 22 F/N/A S-3 OF LOT 64 OF OCEAN BREEZE FARMS PB 2/19</t>
  </si>
  <si>
    <t>00-00-30-0600-0001-0220</t>
  </si>
  <si>
    <t>SADLER</t>
  </si>
  <si>
    <t>2195 SADLER RD</t>
  </si>
  <si>
    <t>BLOCK 1 LOT 22 E 1/2 OF 23 L/E IN OR 33/199 &amp; 348/636 &amp; OR 348 PG 635</t>
  </si>
  <si>
    <t>00-00-30-0600-0002-0020</t>
  </si>
  <si>
    <t>2728 SADLER RD</t>
  </si>
  <si>
    <t>SPENCER-BELL PROPERTIES LLC</t>
  </si>
  <si>
    <t>4756 SADDLEHORN TRL</t>
  </si>
  <si>
    <t>20-03N-29E</t>
  </si>
  <si>
    <t>BLOCK 2 W93.75 FT OF LOT 2 IN OR 1542/125 ESMT PT OR 1203/651</t>
  </si>
  <si>
    <t>12089C_489</t>
  </si>
  <si>
    <t>2016-1941</t>
  </si>
  <si>
    <t>REST OF J BLOCK 180072 US BANK CUST FOR PFS FINANCIAL 1</t>
  </si>
  <si>
    <t>00-00-30-0600-0002-0071</t>
  </si>
  <si>
    <t>SADLER RD</t>
  </si>
  <si>
    <t>LANDINGS AMELIA PROPERTY</t>
  </si>
  <si>
    <t>5440 FIRST COAST HWY</t>
  </si>
  <si>
    <t>BLOCK 2 PRT LOTS 7 &amp; 8 IN OR 544 PG 905 ESMT OR 1572/78</t>
  </si>
  <si>
    <t>2017-1934</t>
  </si>
  <si>
    <t>2015-2005</t>
  </si>
  <si>
    <t>2014-2106</t>
  </si>
  <si>
    <t>00-00-30-0640-0025-0000</t>
  </si>
  <si>
    <t>ROBIN HOOD</t>
  </si>
  <si>
    <t>1467 ROBIN HOOD DR</t>
  </si>
  <si>
    <t>WINGATE JOY MIXON</t>
  </si>
  <si>
    <t>1467 ROBINHOOD DR</t>
  </si>
  <si>
    <t>SHERWOOD FOREST</t>
  </si>
  <si>
    <t>LOT 25 PT OR 275/424 &amp; L/E OR 512/235 SHERWOOD FOREST SUB PB 5/10</t>
  </si>
  <si>
    <t>2015-2008</t>
  </si>
  <si>
    <t>MACHAPURNA ABIW LLC</t>
  </si>
  <si>
    <t>00-00-30-065S-0200-0000</t>
  </si>
  <si>
    <t>5211 S FLETCHER AV 200</t>
  </si>
  <si>
    <t>AMELIA PROPERTIES LLC</t>
  </si>
  <si>
    <t>5211 S FLETCHER AVE</t>
  </si>
  <si>
    <t>UNIT 200 IN OR 1987/1763 SOUTH FLETCHER PROFESSIONAL</t>
  </si>
  <si>
    <t>00-00-30-065S-0201-0000</t>
  </si>
  <si>
    <t>5211 S FLETCHER AV 201</t>
  </si>
  <si>
    <t>UNIT 201 IN OR 1987/1763 SOUTH FLETCHER PROFESSIONAL</t>
  </si>
  <si>
    <t>00-00-30-065S-0202-0000</t>
  </si>
  <si>
    <t>5211 S FLETCHER AV 202</t>
  </si>
  <si>
    <t>UNIT 202 IN OR 1987/1763 SOUTH FLETCHER PROFESSIONAL</t>
  </si>
  <si>
    <t>00-00-30-065S-0203-0000</t>
  </si>
  <si>
    <t>5211 S FLETCHER AV 203</t>
  </si>
  <si>
    <t>UNIT 203 IN OR 1987/1763 SOUTH FLETCHER PROFESSIONAL</t>
  </si>
  <si>
    <t>00-00-30-0740-0060-0020</t>
  </si>
  <si>
    <t>PAGE BOBBIE SUE WORTH</t>
  </si>
  <si>
    <t>SUB PT OF SEC 4</t>
  </si>
  <si>
    <t>4-02N-28E</t>
  </si>
  <si>
    <t>PT OF LOTS 60 61 IN OR 570/1213 SUB PT OF SEC 4 PB 0/59</t>
  </si>
  <si>
    <t>2017-1939</t>
  </si>
  <si>
    <t>Y1970</t>
  </si>
  <si>
    <t>2016-1948</t>
  </si>
  <si>
    <t>SANMARCORA UHNDDE</t>
  </si>
  <si>
    <t>00-00-30-0741-0093-0000</t>
  </si>
  <si>
    <t>FERNANDINA</t>
  </si>
  <si>
    <t>96171 OCEAN BREEZE DR</t>
  </si>
  <si>
    <t>FERNANDINA FL 32034</t>
  </si>
  <si>
    <t>LOT 93 IN OR 1992/1048 OCEAN BREEZE AT AMELIA PB 8/91</t>
  </si>
  <si>
    <t>2017-1944</t>
  </si>
  <si>
    <t>GEXEW 28926 LLC</t>
  </si>
  <si>
    <t>2016-1950</t>
  </si>
  <si>
    <t>H71495</t>
  </si>
  <si>
    <t>00-00-30-0741-0101-0000</t>
  </si>
  <si>
    <t>96119 OCEAN BREEZE DR</t>
  </si>
  <si>
    <t>LOT 101 IN OR 1992/1048 OCEAN BREEZE AT AMELIA PB 8/91</t>
  </si>
  <si>
    <t>2017-1945</t>
  </si>
  <si>
    <t>NORMAN JACKSON 792 REO LLC</t>
  </si>
  <si>
    <t>2016-1951</t>
  </si>
  <si>
    <t>B171951</t>
  </si>
  <si>
    <t>00-00-30-0760-0004-0170</t>
  </si>
  <si>
    <t>MANUCY</t>
  </si>
  <si>
    <t>MANUCY RD</t>
  </si>
  <si>
    <t>ECHARD BRIAN D</t>
  </si>
  <si>
    <t>ECHARD KATHRYN A</t>
  </si>
  <si>
    <t>PT OF LOT 4 IN OR 1710/348 ESMT PT OR 1826/395</t>
  </si>
  <si>
    <t>00-00-30-0760-0006-0020</t>
  </si>
  <si>
    <t>4820 FIRST COAST HWY</t>
  </si>
  <si>
    <t>ABERSON JAMES E</t>
  </si>
  <si>
    <t>BEVERLY AMY A</t>
  </si>
  <si>
    <t>PT OF LOT 6 IN OR 729/658 SUB OF SO PT SEC 12 DB 39/292</t>
  </si>
  <si>
    <t>2017-1946</t>
  </si>
  <si>
    <t>BENNU LLC LY27Q6D5R</t>
  </si>
  <si>
    <t>2016-1953</t>
  </si>
  <si>
    <t>GRASSYRIVER 549 LLC</t>
  </si>
  <si>
    <t>2015-2016</t>
  </si>
  <si>
    <t>ORANGE DOLPHINS ATMO LLC</t>
  </si>
  <si>
    <t>2011-3244</t>
  </si>
  <si>
    <t>00-00-30-0760-0042-0000</t>
  </si>
  <si>
    <t>PHILIPS MANOR</t>
  </si>
  <si>
    <t>PHILIPS MANOR PL</t>
  </si>
  <si>
    <t>PHILIPS JANE G</t>
  </si>
  <si>
    <t>1641 PHILIPS MANOR RD</t>
  </si>
  <si>
    <t>PT OF LOT 42 LYING E OF LANDS IN OR 297/583 &amp; S OF LANDS IN PB 4/90</t>
  </si>
  <si>
    <t>00-00-30-0780-0003-0000</t>
  </si>
  <si>
    <t>FIRST COAST HY</t>
  </si>
  <si>
    <t>ENCLAVE PHASE 2 INVESTMENT L LC</t>
  </si>
  <si>
    <t>3966 ORTEGA BLVD</t>
  </si>
  <si>
    <t>LOT 3 IN OR 1828/1989 ESMT OR 1601/536</t>
  </si>
  <si>
    <t>2017-1947</t>
  </si>
  <si>
    <t>BISBEE LLC HEA2249C3</t>
  </si>
  <si>
    <t>00-00-30-0780-0019-0080</t>
  </si>
  <si>
    <t>WHY</t>
  </si>
  <si>
    <t>4856 WHY RD</t>
  </si>
  <si>
    <t>WILKES CHARLES R</t>
  </si>
  <si>
    <t>WILKES CAROLYN</t>
  </si>
  <si>
    <t>PT OF LOT 19 OR 153 PG 385 SUB OF SEC 15 DB Y/128</t>
  </si>
  <si>
    <t>2015-2019</t>
  </si>
  <si>
    <t>E231560</t>
  </si>
  <si>
    <t>2013-2388</t>
  </si>
  <si>
    <t>00-00-30-0800-0001-0030</t>
  </si>
  <si>
    <t>CLINCH DR</t>
  </si>
  <si>
    <t>LEE LYNDA H</t>
  </si>
  <si>
    <t>FISHER DEBORAH H</t>
  </si>
  <si>
    <t>236 HIGHPOINTE TRL</t>
  </si>
  <si>
    <t>ELLIJAY GA</t>
  </si>
  <si>
    <t>S1/2 LOT 1 IN OR 1982/473 EX S-4 &amp; S-7</t>
  </si>
  <si>
    <t>2017-1948</t>
  </si>
  <si>
    <t>2016-1954</t>
  </si>
  <si>
    <t>00-00-30-0800-0030-0030</t>
  </si>
  <si>
    <t>PT OF LOT 30 IN OR 393 PG 469 R359710 &amp; R359711</t>
  </si>
  <si>
    <t>2014-2124</t>
  </si>
  <si>
    <t>2013-2398</t>
  </si>
  <si>
    <t>2012-151</t>
  </si>
  <si>
    <t>00-00-30-0800-0030-0040</t>
  </si>
  <si>
    <t>SUB OF SEC 30</t>
  </si>
  <si>
    <t>PT OF LOT 30 IN OR 669 PGS 208-217 SUB OF SEC 30 PB 1/5</t>
  </si>
  <si>
    <t>2014-2125</t>
  </si>
  <si>
    <t>2013-2399</t>
  </si>
  <si>
    <t>2012-152</t>
  </si>
  <si>
    <t>00-00-30-0800-0031-0010</t>
  </si>
  <si>
    <t>1862 CLINCH DR</t>
  </si>
  <si>
    <t>TAVANIS AUDREY</t>
  </si>
  <si>
    <t>1417 SADLER RD # 217</t>
  </si>
  <si>
    <t>PT OF LOT 31 L/E OR 1467/166 SUB OF SEC 30 PB 1/5</t>
  </si>
  <si>
    <t>2017-1951</t>
  </si>
  <si>
    <t>D4882</t>
  </si>
  <si>
    <t>00-00-30-0800-0042-0050</t>
  </si>
  <si>
    <t>BOLES</t>
  </si>
  <si>
    <t>1982 BOLES CIR</t>
  </si>
  <si>
    <t>DUKES LARRY B</t>
  </si>
  <si>
    <t>DUKES CAROL B</t>
  </si>
  <si>
    <t>PT LOT 42 R359550 OR 511 PG 357 SUB OF SEC 30 PB 1/5</t>
  </si>
  <si>
    <t>2017-1952</t>
  </si>
  <si>
    <t>RIVSGRASS 770P LLC</t>
  </si>
  <si>
    <t>2016-1958</t>
  </si>
  <si>
    <t>LIENS FOR UNPAID TAXES 199294 US BANK CUST FOR PFS FINANCIAL 2 LLC</t>
  </si>
  <si>
    <t>2015-2027</t>
  </si>
  <si>
    <t>LUNAR PRIME834</t>
  </si>
  <si>
    <t>2014-2127</t>
  </si>
  <si>
    <t>2013-2404</t>
  </si>
  <si>
    <t>2012-155</t>
  </si>
  <si>
    <t>2011-3262</t>
  </si>
  <si>
    <t>00-00-30-0820-0012-0030</t>
  </si>
  <si>
    <t>1601 LEWIS ST</t>
  </si>
  <si>
    <t>THOMAS ROSA</t>
  </si>
  <si>
    <t>PT OF LOT 12 OR 120/332 SUHRER TRACT SUB DB 39/289</t>
  </si>
  <si>
    <t>2017-1959</t>
  </si>
  <si>
    <t>BENNU LLC YSCEN0CJ</t>
  </si>
  <si>
    <t>2016-1961</t>
  </si>
  <si>
    <t>GTF 1-5452</t>
  </si>
  <si>
    <t>2015-2032</t>
  </si>
  <si>
    <t>CALABRIA FINANCIAL LLC SERIES A013165</t>
  </si>
  <si>
    <t>2014-2132</t>
  </si>
  <si>
    <t>2013-2409</t>
  </si>
  <si>
    <t>2012-160</t>
  </si>
  <si>
    <t>2011-3269</t>
  </si>
  <si>
    <t>00-00-30-085U-0011-0000</t>
  </si>
  <si>
    <t>TIDEWATER</t>
  </si>
  <si>
    <t>2954 TIDEWATER ST</t>
  </si>
  <si>
    <t>COLEMAN KIMBERLY J</t>
  </si>
  <si>
    <t>TIDEWATER @ OCEAN REACH</t>
  </si>
  <si>
    <t>2-02N-28E</t>
  </si>
  <si>
    <t>LOT 11 IN OR 1262/1685 TIDEWATER @ OCEAN REACH #2</t>
  </si>
  <si>
    <t>2017-1961</t>
  </si>
  <si>
    <t>PELICAN POINT GROUP11623</t>
  </si>
  <si>
    <t>2016-1963</t>
  </si>
  <si>
    <t>CASERTA FINANCIAL LLC SERIES A000444</t>
  </si>
  <si>
    <t>2015-2035</t>
  </si>
  <si>
    <t>GRASSRIVER INV BLUE XCHC LLC</t>
  </si>
  <si>
    <t>2014-2134</t>
  </si>
  <si>
    <t>2013-2411</t>
  </si>
  <si>
    <t>2012-163</t>
  </si>
  <si>
    <t>2011-3272</t>
  </si>
  <si>
    <t>00-00-30-0880-0004-0000</t>
  </si>
  <si>
    <t>SUNSET</t>
  </si>
  <si>
    <t>539 SUNSET RD</t>
  </si>
  <si>
    <t>MAYO AMY J</t>
  </si>
  <si>
    <t>WILLA-VILLA SUB</t>
  </si>
  <si>
    <t>LOT 4 (EX WLY 4 FT) IN OR 602/1286 WILLA-VILLA SUB PB 3/57</t>
  </si>
  <si>
    <t>2017-1963</t>
  </si>
  <si>
    <t>NNNNN122</t>
  </si>
  <si>
    <t>2016-1964</t>
  </si>
  <si>
    <t>FYX - 258175 - HYPOLUXO GROUP US BANK CUST FOR PFS FINANCIAL 2 LLC</t>
  </si>
  <si>
    <t>2015-2037</t>
  </si>
  <si>
    <t>IBIS FLOCK CERTS 902 LLC</t>
  </si>
  <si>
    <t>00-00-30-0880-0010-0000</t>
  </si>
  <si>
    <t>540 SUNSET RD</t>
  </si>
  <si>
    <t>MAYO EDISON HOBART</t>
  </si>
  <si>
    <t>MAYO KATHY GUIRA</t>
  </si>
  <si>
    <t>LOT 10 IN OR 1152/1399 WILLA-VILLA SUB PB 3/57</t>
  </si>
  <si>
    <t>2017-1964</t>
  </si>
  <si>
    <t>SPRING HILL 69 HOLDINGS LLC</t>
  </si>
  <si>
    <t>2016-1965</t>
  </si>
  <si>
    <t>TRIAD HOLDINGS68934</t>
  </si>
  <si>
    <t>2015-2038</t>
  </si>
  <si>
    <t>2014-2137</t>
  </si>
  <si>
    <t>2013-2414</t>
  </si>
  <si>
    <t>2012-170</t>
  </si>
  <si>
    <t>2011-3279</t>
  </si>
  <si>
    <t>00-SB-30-022C-0G71-0000</t>
  </si>
  <si>
    <t>CARLTON DUNES</t>
  </si>
  <si>
    <t>CARLTON DUNES DR</t>
  </si>
  <si>
    <t>TYNDALL DAVID R</t>
  </si>
  <si>
    <t>TYNDALL SARAH W</t>
  </si>
  <si>
    <t>15 CHEROKEE RD</t>
  </si>
  <si>
    <t>MOULTRIE GA</t>
  </si>
  <si>
    <t>CARLTON DUNES CONDO</t>
  </si>
  <si>
    <t>GARAGE G-71 IN OR 1980/995 EXCLUSIVE ESMT CARLTON DUNES CONDO</t>
  </si>
  <si>
    <t>2016-1967</t>
  </si>
  <si>
    <t>HOSSET LLC O145721 SERIES</t>
  </si>
  <si>
    <t>00-SB-30-065B-0059-0000</t>
  </si>
  <si>
    <t>CAPTAINS</t>
  </si>
  <si>
    <t>95030 CAPTAINS WAY</t>
  </si>
  <si>
    <t>CRADDOCK MARY KING</t>
  </si>
  <si>
    <t>5514 WESTERN AVE</t>
  </si>
  <si>
    <t>GOLFSIDE AT SUMMER BEACH</t>
  </si>
  <si>
    <t>11-02N-28E</t>
  </si>
  <si>
    <t>LOT 59 &amp; PT LOT 58 IN OR 2025/1355 GOLFSIDE AT SUMMER BEACH #2</t>
  </si>
  <si>
    <t>00-SB-30-152P-0C11-0000</t>
  </si>
  <si>
    <t>CLIFTON JOE CROSBY</t>
  </si>
  <si>
    <t>1066 RIDGE RD</t>
  </si>
  <si>
    <t>VALDOSTA GA</t>
  </si>
  <si>
    <t>OCEAN PLACE @ SUMMER BEACH</t>
  </si>
  <si>
    <t>GARAGE NUMBER C-11 PT OR 912/877 OCEAN PLACE @ SUMMER BEACH</t>
  </si>
  <si>
    <t>2017-1976</t>
  </si>
  <si>
    <t>GATA 2885</t>
  </si>
  <si>
    <t>00-SB-30-157V-0016-0000</t>
  </si>
  <si>
    <t>OCEAN VILLAGE</t>
  </si>
  <si>
    <t>1857 OCEAN VILLAGE PL</t>
  </si>
  <si>
    <t>LASH MARY</t>
  </si>
  <si>
    <t>LOT 16 IN OR 788/227 OCEAN VILLAGE #3 PB 6/27-28</t>
  </si>
  <si>
    <t>00-SB-30-1900-0204-0000</t>
  </si>
  <si>
    <t>SUMMER BEACH</t>
  </si>
  <si>
    <t>5010 SUMMER BEACH BLVD 204</t>
  </si>
  <si>
    <t>MCNIEL WILLIAM H</t>
  </si>
  <si>
    <t>3169 ROCKINGHAM DR NW</t>
  </si>
  <si>
    <t>UNIT 204 IN OR 711/1440 SAILMAKER AT SUMMER BEACH CLUB</t>
  </si>
  <si>
    <t>00-SB-30-1900-0211-0000</t>
  </si>
  <si>
    <t>5010 SUMMER BEACH BLVD 211</t>
  </si>
  <si>
    <t>ADLER JOAN G</t>
  </si>
  <si>
    <t>THE JOAN G ADLER FAMILY TRUST</t>
  </si>
  <si>
    <t>4362 WESTOVER PL NW</t>
  </si>
  <si>
    <t>UNIT 211 IN OR 1417/741 SAILMAKER AT SUMMER BEACH CLUB</t>
  </si>
  <si>
    <t>00-00-31-087I-0046-0000</t>
  </si>
  <si>
    <t>SPANISH</t>
  </si>
  <si>
    <t>568 SPANISH WAY W</t>
  </si>
  <si>
    <t>HADDOCK EDD WAYNE</t>
  </si>
  <si>
    <t>2659 BURTON BLVD</t>
  </si>
  <si>
    <t>HOBOKEN GA</t>
  </si>
  <si>
    <t>ISLE DE MAI at AMELIA</t>
  </si>
  <si>
    <t>LOT 46 IN OR 1910/834 ISLE DE MAI AT AMELIA PB 7/12</t>
  </si>
  <si>
    <t>00-00-31-087I-0097-0000</t>
  </si>
  <si>
    <t>SANTA MARIA</t>
  </si>
  <si>
    <t>570 SANTA MARIA DR</t>
  </si>
  <si>
    <t>SEGAL HOWARD</t>
  </si>
  <si>
    <t>SEGAL CARRENN</t>
  </si>
  <si>
    <t>LOT 97 IN OR 1929/1511 ISLE DE MAI AT AMELIA PB 7/12</t>
  </si>
  <si>
    <t>00-00-31-1010-0017-0000</t>
  </si>
  <si>
    <t>3240 S FLETCHER AV 217</t>
  </si>
  <si>
    <t>WALKER TAMMY CISCO</t>
  </si>
  <si>
    <t>MOORE ALETHA CISCO</t>
  </si>
  <si>
    <t>851 PARKVIEW PL W</t>
  </si>
  <si>
    <t>AMELIA BY THE SEA</t>
  </si>
  <si>
    <t>6-02N-29E</t>
  </si>
  <si>
    <t>UNIT 17 IN OR 919/1406 AMELIA BY THE SEA OR 148/542</t>
  </si>
  <si>
    <t>12089C_1166</t>
  </si>
  <si>
    <t>2017-1984</t>
  </si>
  <si>
    <t>MACHA PUCHARE XAQD LLC</t>
  </si>
  <si>
    <t>2016-1982</t>
  </si>
  <si>
    <t>BISBEE LLC H170F32</t>
  </si>
  <si>
    <t>2015-2050</t>
  </si>
  <si>
    <t>PORK CHOP SANDWICHES XYWTJG</t>
  </si>
  <si>
    <t>2014-2145</t>
  </si>
  <si>
    <t>2012-179</t>
  </si>
  <si>
    <t>2011-3294</t>
  </si>
  <si>
    <t>00-00-31-1010-0019-0000</t>
  </si>
  <si>
    <t>3240 S FLETCHER AV 219</t>
  </si>
  <si>
    <t>STRICKLAND DEVIN B</t>
  </si>
  <si>
    <t>305 W WARING ST</t>
  </si>
  <si>
    <t>UNIT 19 IN OR 802/214 AMELIA BY THE SEA OR 148/542</t>
  </si>
  <si>
    <t>2017-1985</t>
  </si>
  <si>
    <t>HOSSET LLC O131738 SERIES</t>
  </si>
  <si>
    <t>2016-1983</t>
  </si>
  <si>
    <t>GOLAN LLC SERIES A000178</t>
  </si>
  <si>
    <t>2015-2051</t>
  </si>
  <si>
    <t>BENNU LLC JHA11D43Y</t>
  </si>
  <si>
    <t>2014-2146</t>
  </si>
  <si>
    <t>2013-2427</t>
  </si>
  <si>
    <t>00-00-31-1010-0023-0000</t>
  </si>
  <si>
    <t>3240 S FLETCHER AV 223</t>
  </si>
  <si>
    <t>NEWTON JAMES E</t>
  </si>
  <si>
    <t>NEWTON FRANCES B</t>
  </si>
  <si>
    <t>3240 S FLETCHER AVE</t>
  </si>
  <si>
    <t>UNIT 23 IN OR 1680/442 AMELIA BY THE SEA OR 148/542</t>
  </si>
  <si>
    <t>00-00-31-1010-0069-0000</t>
  </si>
  <si>
    <t>3240 S FLETCHER AV 669</t>
  </si>
  <si>
    <t>W J CAPITAL LLC</t>
  </si>
  <si>
    <t>192 E CHERRY ST</t>
  </si>
  <si>
    <t>JESUP GA</t>
  </si>
  <si>
    <t>UNIT 69 IN OR 1434/1346 AMELIA BY THE SEA OR 148/542</t>
  </si>
  <si>
    <t>00-00-31-1015-0010-0000</t>
  </si>
  <si>
    <t>SHANNON</t>
  </si>
  <si>
    <t>2383 SHANNON RD</t>
  </si>
  <si>
    <t>CAPPS INVESTMENT HOLDINGS LLC</t>
  </si>
  <si>
    <t>AMELIA ISLAND INDUSTRIAL PARK</t>
  </si>
  <si>
    <t>LOT 10 (EX S 25 FT) IN OR 1756/1894 AMELIA ISLAND INDUSTRIAL PARK</t>
  </si>
  <si>
    <t>2017-1990</t>
  </si>
  <si>
    <t>ECRU LLC R36CCJ</t>
  </si>
  <si>
    <t>2016-1988</t>
  </si>
  <si>
    <t>SANMARCORA RVIULV</t>
  </si>
  <si>
    <t>2015-2054</t>
  </si>
  <si>
    <t>CCTS TAX LIEN PURCHASERS 74372 US BANK CUST FOR PFS FINANCIAL 2 LLC</t>
  </si>
  <si>
    <t>2014-2153</t>
  </si>
  <si>
    <t>2011-3306</t>
  </si>
  <si>
    <t>00-00-31-1017-0019-0000</t>
  </si>
  <si>
    <t>LYNNDALE</t>
  </si>
  <si>
    <t>2432 LYNNDALE RD</t>
  </si>
  <si>
    <t>ILW</t>
  </si>
  <si>
    <t>7-02N-28E</t>
  </si>
  <si>
    <t>LOT 19 IN OR 1399/1558 AMELIA ISLAND INDUSTRIAL PARK</t>
  </si>
  <si>
    <t>2017-1991</t>
  </si>
  <si>
    <t>ECRU LLC HM1Y75C</t>
  </si>
  <si>
    <t>2016-1989</t>
  </si>
  <si>
    <t>DBW FL 2694</t>
  </si>
  <si>
    <t>2015-2055</t>
  </si>
  <si>
    <t>ECRU LLC RL437J</t>
  </si>
  <si>
    <t>2014-2154</t>
  </si>
  <si>
    <t>2013-2436</t>
  </si>
  <si>
    <t>2012-193</t>
  </si>
  <si>
    <t>2011-3310</t>
  </si>
  <si>
    <t>00-00-31-1017-0023-0000</t>
  </si>
  <si>
    <t>2416 LYNNDALE RD</t>
  </si>
  <si>
    <t>PEMBROKE PINES ENVESTORS LLC</t>
  </si>
  <si>
    <t>1700 EMBASSY DR APT 306</t>
  </si>
  <si>
    <t>WEST PALM BEACH FL</t>
  </si>
  <si>
    <t>Office buildings non-professional multi</t>
  </si>
  <si>
    <t>Office Bldg (multi-story)</t>
  </si>
  <si>
    <t>LOTS 23 &amp; 24 IN OR 1447/1826 AMELIA ISLAND INDUSTRIAL PARK</t>
  </si>
  <si>
    <t>00-00-31-1017-0028-0000</t>
  </si>
  <si>
    <t>JAMESTOWN</t>
  </si>
  <si>
    <t>2887 JAMESTOWN RD</t>
  </si>
  <si>
    <t>MOONEY TRACY OCONNER</t>
  </si>
  <si>
    <t>LOT 28 IN OR 1478/1722 AMELIA ISLAND INDUSTRIAL</t>
  </si>
  <si>
    <t>2017-1992</t>
  </si>
  <si>
    <t>ORANGE PORPOISE AAFT LLC</t>
  </si>
  <si>
    <t>2016-1990</t>
  </si>
  <si>
    <t>GGGG1686</t>
  </si>
  <si>
    <t>2014-2155</t>
  </si>
  <si>
    <t>2013-2437</t>
  </si>
  <si>
    <t>2012-197</t>
  </si>
  <si>
    <t>2011-3314</t>
  </si>
  <si>
    <t>00-00-31-1017-0029-0000</t>
  </si>
  <si>
    <t>2385 JAMESTOWN RD</t>
  </si>
  <si>
    <t>NASSAU EQUIPMENT INC</t>
  </si>
  <si>
    <t>LOT 29 IN OR 914/1977 AMELIA ISLAND INDUSTRIAL PARK SEC 3 PB 5/59</t>
  </si>
  <si>
    <t>2017-1993</t>
  </si>
  <si>
    <t>RAPTY TRUST SERIES 9951</t>
  </si>
  <si>
    <t>2016-1991</t>
  </si>
  <si>
    <t>FKA - 259059 - INDIALANTIC BATCH US BANK CUST FOR PFS FINANCIAL 2 LLC</t>
  </si>
  <si>
    <t>2015-2056</t>
  </si>
  <si>
    <t>E18206</t>
  </si>
  <si>
    <t>2014-2156</t>
  </si>
  <si>
    <t>2013-2438</t>
  </si>
  <si>
    <t>2013-2882</t>
  </si>
  <si>
    <t>2013-2895</t>
  </si>
  <si>
    <t>00-00-31-1020-0056-0010</t>
  </si>
  <si>
    <t>31 FLETCHER AVE S</t>
  </si>
  <si>
    <t>THE PARKIN COMPANY</t>
  </si>
  <si>
    <t>31 S FLETCHER AVE</t>
  </si>
  <si>
    <t>AMELIA LIGHTHOUSE RESERVATION</t>
  </si>
  <si>
    <t>12-03N-29E</t>
  </si>
  <si>
    <t>PT OF LOTS 56 &amp; 57 S-1 IN OR 950/128 AMELIA LIGHTHOUSE RESERVATION</t>
  </si>
  <si>
    <t>2012-225</t>
  </si>
  <si>
    <t>NAWS21 LLC</t>
  </si>
  <si>
    <t>2011-3351</t>
  </si>
  <si>
    <t>00-00-31-102U-P101-0000</t>
  </si>
  <si>
    <t>1416 PARK AV 101</t>
  </si>
  <si>
    <t>AMELIA PARK TOWN CENTER LLC</t>
  </si>
  <si>
    <t>914 ATLANTIC AVE STE 1D</t>
  </si>
  <si>
    <t>UNIT P101 PARK &amp; 14TH CONDO OR 1421/1973</t>
  </si>
  <si>
    <t>2017-1994</t>
  </si>
  <si>
    <t>ECRU LLC RB84J</t>
  </si>
  <si>
    <t>2016-1992</t>
  </si>
  <si>
    <t>SPOKANE LLC SERIES A002541</t>
  </si>
  <si>
    <t>2015-2064</t>
  </si>
  <si>
    <t>FLORIDA - BLOCK PHI 181611 US BANK CUST FOR PFS FINANCIAL 1</t>
  </si>
  <si>
    <t>2014-2164</t>
  </si>
  <si>
    <t>2013-2458</t>
  </si>
  <si>
    <t>2012-230</t>
  </si>
  <si>
    <t>NAWS6 LLC</t>
  </si>
  <si>
    <t>2011-3360</t>
  </si>
  <si>
    <t>00-00-31-102U-P102-0000</t>
  </si>
  <si>
    <t>1416 PARK AV 102</t>
  </si>
  <si>
    <t>UNIT P102 PARK &amp; 14TH CONDO OR 1421/1973</t>
  </si>
  <si>
    <t>2017-1995</t>
  </si>
  <si>
    <t>BISBEE LLC AK2A2A33</t>
  </si>
  <si>
    <t>2016-1993</t>
  </si>
  <si>
    <t>UUUUU15</t>
  </si>
  <si>
    <t>2015-2065</t>
  </si>
  <si>
    <t>AZTEC ADVISORY SERVICES89270</t>
  </si>
  <si>
    <t>2014-2165</t>
  </si>
  <si>
    <t>2013-2459</t>
  </si>
  <si>
    <t>2012-231</t>
  </si>
  <si>
    <t>KITKAT3</t>
  </si>
  <si>
    <t>2011-3361</t>
  </si>
  <si>
    <t>00-00-31-102U-P201-0000</t>
  </si>
  <si>
    <t>1416 PARK AV 201</t>
  </si>
  <si>
    <t>UNIT P201 PARK &amp; 14TH CONDO OR 1421/1973</t>
  </si>
  <si>
    <t>2017-1996</t>
  </si>
  <si>
    <t>SKILAK 6060</t>
  </si>
  <si>
    <t>2016-1994</t>
  </si>
  <si>
    <t>SUTTON INVESTMENT68290</t>
  </si>
  <si>
    <t>2015-2066</t>
  </si>
  <si>
    <t>DBW FL 8312 A2</t>
  </si>
  <si>
    <t>2014-2166</t>
  </si>
  <si>
    <t>2013-2460</t>
  </si>
  <si>
    <t>2012-232</t>
  </si>
  <si>
    <t>BRIDGE TAX LLC - 329 US BANK % BRIDGE TAX LLC-329</t>
  </si>
  <si>
    <t>2011-3362</t>
  </si>
  <si>
    <t>00-00-31-102U-P202-0000</t>
  </si>
  <si>
    <t>1416 PARK AV 202</t>
  </si>
  <si>
    <t>UNIT P202 PARK &amp; 14TH CONDO OR 1421/1973</t>
  </si>
  <si>
    <t>2017-1997</t>
  </si>
  <si>
    <t>SARAVA LLC SERIES A006039</t>
  </si>
  <si>
    <t>2016-1995</t>
  </si>
  <si>
    <t>CCTS LLC GROUP ETA 90179 US BANK CUST FOR PFS FINANCIAL 2 LLC</t>
  </si>
  <si>
    <t>2015-2067</t>
  </si>
  <si>
    <t>JSHERPA LLC AND J FLOY LLC PARTNERSHIP 1257</t>
  </si>
  <si>
    <t>2014-2167</t>
  </si>
  <si>
    <t>2013-2461</t>
  </si>
  <si>
    <t>2012-233</t>
  </si>
  <si>
    <t>PALM TREE TAX 3 PALM TREE TAX LLC CAPITAL ONE</t>
  </si>
  <si>
    <t>2011-3363</t>
  </si>
  <si>
    <t>00-00-31-102U-S101-0000</t>
  </si>
  <si>
    <t>14TH</t>
  </si>
  <si>
    <t>1880 S 14TH ST 101</t>
  </si>
  <si>
    <t>UNIT S101 PARK &amp; 14TH CONDO OR 1421/1973</t>
  </si>
  <si>
    <t>2017-1998</t>
  </si>
  <si>
    <t>C41522</t>
  </si>
  <si>
    <t>2016-1996</t>
  </si>
  <si>
    <t>ECRU LLC PI2E71D4</t>
  </si>
  <si>
    <t>2015-2068</t>
  </si>
  <si>
    <t>B23609</t>
  </si>
  <si>
    <t>2014-2168</t>
  </si>
  <si>
    <t>2013-2462</t>
  </si>
  <si>
    <t>2012-234</t>
  </si>
  <si>
    <t>LIME PORPOISE 46 LLC PALM TREE TAX, CAPONE NA AS CO</t>
  </si>
  <si>
    <t>2011-3364</t>
  </si>
  <si>
    <t>00-00-31-102U-S102-0000</t>
  </si>
  <si>
    <t>1880 S 14TH ST 102</t>
  </si>
  <si>
    <t>UNIT S102 PARK &amp; 14TH CONDO OR 1421/1973</t>
  </si>
  <si>
    <t>2017-1999</t>
  </si>
  <si>
    <t>E24696</t>
  </si>
  <si>
    <t>2016-1997</t>
  </si>
  <si>
    <t>BISBEE LLC ZI390C</t>
  </si>
  <si>
    <t>2015-2069</t>
  </si>
  <si>
    <t>GREEN TAX FUNDING LLC 12 SERIES 6 A18</t>
  </si>
  <si>
    <t>2014-2169</t>
  </si>
  <si>
    <t>2013-2463</t>
  </si>
  <si>
    <t>2012-235</t>
  </si>
  <si>
    <t>2011-3365</t>
  </si>
  <si>
    <t>00-00-31-102U-S103-0000</t>
  </si>
  <si>
    <t>1880 S 14TH ST 103</t>
  </si>
  <si>
    <t>UNIT S103 PARK &amp; 14TH CONDO OR 1421/1973</t>
  </si>
  <si>
    <t>2017-2000</t>
  </si>
  <si>
    <t>OOOO333</t>
  </si>
  <si>
    <t>2016-1998</t>
  </si>
  <si>
    <t>BENNU LLC JY22Q89CA</t>
  </si>
  <si>
    <t>2015-2070</t>
  </si>
  <si>
    <t>KENSINGTON CAPITAL34716</t>
  </si>
  <si>
    <t>2014-2170</t>
  </si>
  <si>
    <t>2013-2464</t>
  </si>
  <si>
    <t>2012-236</t>
  </si>
  <si>
    <t>2011-3366</t>
  </si>
  <si>
    <t>00-00-31-1030-002K-0000</t>
  </si>
  <si>
    <t>2K</t>
  </si>
  <si>
    <t>3350 S FLETCHER AV 2K</t>
  </si>
  <si>
    <t>TUCKER MARY ALICE TRUST</t>
  </si>
  <si>
    <t>8619 VILLA SAN JOSE DR E</t>
  </si>
  <si>
    <t>K2</t>
  </si>
  <si>
    <t>9-02N-28E</t>
  </si>
  <si>
    <t>UNIT 2K &amp; F/K/A CARPORT UNIT I-36 N/K/A PARKING UNIT I-36</t>
  </si>
  <si>
    <t>2017-2001</t>
  </si>
  <si>
    <t>BENNU LLC JY57Q81A</t>
  </si>
  <si>
    <t>2016-2000</t>
  </si>
  <si>
    <t>FFFF981</t>
  </si>
  <si>
    <t>2015-2073</t>
  </si>
  <si>
    <t>GOLD COAST TAX LIEN LLC - SER 425 A7</t>
  </si>
  <si>
    <t>2014-2173</t>
  </si>
  <si>
    <t>2013-2467</t>
  </si>
  <si>
    <t>2012-240</t>
  </si>
  <si>
    <t>2011-3373</t>
  </si>
  <si>
    <t>00-00-31-1030-002L-0000</t>
  </si>
  <si>
    <t>2L</t>
  </si>
  <si>
    <t>3350 S FLETCHER AV 2L</t>
  </si>
  <si>
    <t>SMITH MARY DUNCAN</t>
  </si>
  <si>
    <t>1902 OAK DR</t>
  </si>
  <si>
    <t>L2</t>
  </si>
  <si>
    <t>UNIT 2L &amp; F/K/A CARPORT UNIT I-32 N/K/A PARKING UNIT I-32</t>
  </si>
  <si>
    <t>00-00-31-1030-003B-0000</t>
  </si>
  <si>
    <t>3350 S FLETCHER AV 3B</t>
  </si>
  <si>
    <t>CARTER SUSAN</t>
  </si>
  <si>
    <t>3350 S FLETCHER AVE APT B3</t>
  </si>
  <si>
    <t>B3</t>
  </si>
  <si>
    <t>UNIT 3B &amp; F/K/A CARPORT UNIT I-28 N/K/A PARKING UNIT I-28</t>
  </si>
  <si>
    <t>00-00-31-1030-005L-0000</t>
  </si>
  <si>
    <t>5L</t>
  </si>
  <si>
    <t>3350 S FLETCHER AV 5L</t>
  </si>
  <si>
    <t>HUGHES DENNIS F</t>
  </si>
  <si>
    <t>180 CHURCH ST</t>
  </si>
  <si>
    <t>L5</t>
  </si>
  <si>
    <t>UNIT 5L &amp; F/K/A CARPORT UNIT I-45 N/K/A PARKING UNIT I-45</t>
  </si>
  <si>
    <t>00-00-31-1030-007J-0000</t>
  </si>
  <si>
    <t>7J</t>
  </si>
  <si>
    <t>3350 S FLETCHER AV 7J</t>
  </si>
  <si>
    <t>DAUGHTREY JAMES T</t>
  </si>
  <si>
    <t>DAUGHTREY MARCIA</t>
  </si>
  <si>
    <t>PO BOX 74</t>
  </si>
  <si>
    <t>CECIL GA</t>
  </si>
  <si>
    <t>J7</t>
  </si>
  <si>
    <t>UNIT 7J &amp; F/K/A CARPORT UNIT I-67 N/K/A PARKING UNIT I-67</t>
  </si>
  <si>
    <t>00-00-31-1040-0026-0100</t>
  </si>
  <si>
    <t>1060 FLETCHER AVE S</t>
  </si>
  <si>
    <t>SMITH CHESTER M</t>
  </si>
  <si>
    <t>3571 HIGHWAY 20 W</t>
  </si>
  <si>
    <t>HAMPTON GA</t>
  </si>
  <si>
    <t>R-1</t>
  </si>
  <si>
    <t>OCEAN CITY</t>
  </si>
  <si>
    <t>13-03N-29E</t>
  </si>
  <si>
    <t>BLOCK 26 LOT 10 IN OR 1317/53 ASKINS OCEAN CITY PB 0/51</t>
  </si>
  <si>
    <t>00-00-31-1060-000F-0022</t>
  </si>
  <si>
    <t>HIGHLAND</t>
  </si>
  <si>
    <t>2002 HIGHLAND ST</t>
  </si>
  <si>
    <t>RENFROW BENJAMIN E</t>
  </si>
  <si>
    <t>RENFROW CAROLYN R</t>
  </si>
  <si>
    <t>4542 GILBERTS BEACH RD</t>
  </si>
  <si>
    <t>TYNER NC</t>
  </si>
  <si>
    <t>ATLANTIC HIGHLANDS</t>
  </si>
  <si>
    <t>18-03N-28E</t>
  </si>
  <si>
    <t>BLOCK F N1/2 OF W100 FT OF LOT 2 OR 1732/1709 ATLANTIC HIGHLANDS SUB</t>
  </si>
  <si>
    <t>00-00-31-1060-000F-0042</t>
  </si>
  <si>
    <t>ALACHUA</t>
  </si>
  <si>
    <t>2022 ALACHUA ST</t>
  </si>
  <si>
    <t>MURRAY DANIEL N</t>
  </si>
  <si>
    <t>MURRAY KATHY M</t>
  </si>
  <si>
    <t>BLOCK F LOT W1/2 OF 4 IN OR 404 PG 415 ATLANTIC HIGHLANDS SUB</t>
  </si>
  <si>
    <t>2017-2003</t>
  </si>
  <si>
    <t>BISBEE LLC HL15D9E2</t>
  </si>
  <si>
    <t>2016-2004</t>
  </si>
  <si>
    <t>LUNAR PRIME142974</t>
  </si>
  <si>
    <t>2014-2177</t>
  </si>
  <si>
    <t>00-00-31-1060-000J-0021</t>
  </si>
  <si>
    <t>1624 HIGHLAND ST</t>
  </si>
  <si>
    <t>CAMPBELL JOHN C</t>
  </si>
  <si>
    <t>CAMPBELL ROBIN TROUT LIPPMAN</t>
  </si>
  <si>
    <t>BLOCK J E1/2 OF LOT 2 IN OR 1467/1681 ATLANTIC HIGHLANDS SUB</t>
  </si>
  <si>
    <t>00-00-31-1060-000J-0052</t>
  </si>
  <si>
    <t>1601 ALACHUA ST</t>
  </si>
  <si>
    <t>FERRELL DEBORAH</t>
  </si>
  <si>
    <t>MIRANDA ARABELLE</t>
  </si>
  <si>
    <t>6824 CITATION WAY</t>
  </si>
  <si>
    <t>VICTOR NY</t>
  </si>
  <si>
    <t>BLOCK J LOT W 67 FT OF LOT 5 IN OR 513 PG 986 L/E IN OR 902/232</t>
  </si>
  <si>
    <t>00-00-31-114A-0045-0000</t>
  </si>
  <si>
    <t>2377 FLETCHER AVE S</t>
  </si>
  <si>
    <t>BUCKS FDNA BEACH #1</t>
  </si>
  <si>
    <t>LOT 45 PT OR 2004/377 BEING PARCL 4</t>
  </si>
  <si>
    <t>00-00-31-114A-0061-0000</t>
  </si>
  <si>
    <t>2700 FLETCHER AVE S</t>
  </si>
  <si>
    <t>RICHARDS JANET CHASE</t>
  </si>
  <si>
    <t>2700 S FLETCHER AVE</t>
  </si>
  <si>
    <t>LOT 61 IN OR 1143/316 BUCKS FDNA BEACH #1 PB 2/30</t>
  </si>
  <si>
    <t>00-00-31-114A-0094-0000</t>
  </si>
  <si>
    <t>FLETCHER AVE S</t>
  </si>
  <si>
    <t>LASSERRE CHARLES W</t>
  </si>
  <si>
    <t>130 S 7TH ST</t>
  </si>
  <si>
    <t>LOT 94 IN OR 1148/737 &amp; OR 1148/738 IN OR 1655/249 &amp; OR 1655/250 &amp;</t>
  </si>
  <si>
    <t>00-00-31-114B-0006-0010</t>
  </si>
  <si>
    <t>1ST</t>
  </si>
  <si>
    <t>2453 1ST AV</t>
  </si>
  <si>
    <t>JONAS BRADFORD LEE</t>
  </si>
  <si>
    <t>2453 1ST AVE</t>
  </si>
  <si>
    <t>BLOCK 6 LOT 1 IN OR 1012/466 BUCKS FDNA BEACH = 2PB3/17</t>
  </si>
  <si>
    <t>2017-2005</t>
  </si>
  <si>
    <t>ECRU LLC ILE6ZH8</t>
  </si>
  <si>
    <t>2016-2007</t>
  </si>
  <si>
    <t>HEINZ696</t>
  </si>
  <si>
    <t>2015-2083</t>
  </si>
  <si>
    <t>KINGFISHER KEY TAX AHIX LLC</t>
  </si>
  <si>
    <t>2014-2181</t>
  </si>
  <si>
    <t>2013-2479</t>
  </si>
  <si>
    <t>2012-255</t>
  </si>
  <si>
    <t>ROLO9 LLC</t>
  </si>
  <si>
    <t>2011-3391</t>
  </si>
  <si>
    <t>00-00-31-1180-0072-0010</t>
  </si>
  <si>
    <t>BEECH</t>
  </si>
  <si>
    <t>1920 BEECH ST</t>
  </si>
  <si>
    <t>WALL EDWARD MILTON</t>
  </si>
  <si>
    <t>WALL FRANCES E</t>
  </si>
  <si>
    <t>15-03N-29E</t>
  </si>
  <si>
    <t>E 75 FT OF W 300 FT OF N 125 FT OF LOT 72 IN OR 488 PG 721</t>
  </si>
  <si>
    <t>00-00-31-1250-6312-0000</t>
  </si>
  <si>
    <t>TARPON</t>
  </si>
  <si>
    <t>631 TARPON AV 6312</t>
  </si>
  <si>
    <t>BRUCE MARGARITE P</t>
  </si>
  <si>
    <t>403 BRITTANY DOWNS</t>
  </si>
  <si>
    <t>MACON GA</t>
  </si>
  <si>
    <t>UNIT 6312 IN OR 1223/949 FERNANDINA SHORES OR 267/354</t>
  </si>
  <si>
    <t>12089C_85</t>
  </si>
  <si>
    <t>2017-2011</t>
  </si>
  <si>
    <t>ORANGE DOLPHINS XMMU LLC</t>
  </si>
  <si>
    <t>2016-2010</t>
  </si>
  <si>
    <t>GAMALA LLC SERIES A010410</t>
  </si>
  <si>
    <t>2015-2090</t>
  </si>
  <si>
    <t>A92263</t>
  </si>
  <si>
    <t>2014-2185</t>
  </si>
  <si>
    <t>2013-2489</t>
  </si>
  <si>
    <t>2012-258</t>
  </si>
  <si>
    <t>2011-3397</t>
  </si>
  <si>
    <t>00-00-31-125C-0101-0000</t>
  </si>
  <si>
    <t>ATLANTIC</t>
  </si>
  <si>
    <t>2811 ATLANTIC AV 101</t>
  </si>
  <si>
    <t>SCARBOROUGH LONNIE T</t>
  </si>
  <si>
    <t>201 E 50TH ST</t>
  </si>
  <si>
    <t>SAVANNAH GA</t>
  </si>
  <si>
    <t>UNIT 101 IN OR 1484/270 FERNANDINA CAY CONDO</t>
  </si>
  <si>
    <t>2016-2014</t>
  </si>
  <si>
    <t>B251686</t>
  </si>
  <si>
    <t>2015-2093</t>
  </si>
  <si>
    <t>F141120</t>
  </si>
  <si>
    <t>2014-2187</t>
  </si>
  <si>
    <t>2013-2491</t>
  </si>
  <si>
    <t>00-00-31-126B-0013-0000</t>
  </si>
  <si>
    <t>1123 FLETCHER AVE N</t>
  </si>
  <si>
    <t>CROSBY ROBERT EUGENE</t>
  </si>
  <si>
    <t>CROSBY REBECCA LYNN</t>
  </si>
  <si>
    <t>2865 1ST AVE</t>
  </si>
  <si>
    <t>LOT 13 SECT # 2 IN OR 2001/1784 FERREIRA REPLAT OF</t>
  </si>
  <si>
    <t>00-00-31-126B-0014-0000</t>
  </si>
  <si>
    <t>1125 FLETCHER AVE N</t>
  </si>
  <si>
    <t>NACHBAUER MATTHEW E</t>
  </si>
  <si>
    <t>NACHBAUER SARAH</t>
  </si>
  <si>
    <t>1125 N FLETCHER AVE</t>
  </si>
  <si>
    <t>ARM</t>
  </si>
  <si>
    <t>LOT 14 IN OR 1941/938 FERREIRAS REPLAT OF</t>
  </si>
  <si>
    <t>00-00-31-128A-0027-0000</t>
  </si>
  <si>
    <t>STANLEY</t>
  </si>
  <si>
    <t>512 STANLEY DR</t>
  </si>
  <si>
    <t>SHAFFER APRIL A</t>
  </si>
  <si>
    <t>1802 S CAROLE CT</t>
  </si>
  <si>
    <t>PERU IN</t>
  </si>
  <si>
    <t>FOREST HILLS</t>
  </si>
  <si>
    <t>LOT 27 IN OR 2017/658 FOREST HILLS #1 PB 2/76</t>
  </si>
  <si>
    <t>2017-2012</t>
  </si>
  <si>
    <t>SUMMER BIRD LLC SERIES A000190</t>
  </si>
  <si>
    <t>00-00-31-128A-0028-0000</t>
  </si>
  <si>
    <t>508 STANLEY DR</t>
  </si>
  <si>
    <t>AUCK DONNA M</t>
  </si>
  <si>
    <t>SIMMONS SHERRI O</t>
  </si>
  <si>
    <t>LOT 28 IN OR 1345/1497 FOREST HILLS #1 PB 2/76</t>
  </si>
  <si>
    <t>2017-2013</t>
  </si>
  <si>
    <t>ORANGE DOLPHINS AUJS LLC</t>
  </si>
  <si>
    <t>2011-3403</t>
  </si>
  <si>
    <t>00-00-31-128A-0037-0000</t>
  </si>
  <si>
    <t>1809 HIGHLAND DR</t>
  </si>
  <si>
    <t>DEMKO DONNA J</t>
  </si>
  <si>
    <t>LOT 37 IN OR 1327/116 FOREST HILLS 1 PB 2/76</t>
  </si>
  <si>
    <t>2017-2014</t>
  </si>
  <si>
    <t>HIDDEN SPRINGS 693 FINANCIAL SERVICES LLC</t>
  </si>
  <si>
    <t>2016-2015</t>
  </si>
  <si>
    <t>GOLAN LLC SERIES A004117</t>
  </si>
  <si>
    <t>2012-263</t>
  </si>
  <si>
    <t>BRIDGE TAX LLC - 458 US BANK % BRIDGE TAX LLC-458</t>
  </si>
  <si>
    <t>00-00-31-128R-000E-0030</t>
  </si>
  <si>
    <t>FOREST RIDGE</t>
  </si>
  <si>
    <t>2643 FOREST RIDGE DR</t>
  </si>
  <si>
    <t>ASLEEP AT THE REEL LLC</t>
  </si>
  <si>
    <t>FOREST RIDGE VILLAGE</t>
  </si>
  <si>
    <t>UNIT E-3 IN OR 1869/1148 FOREST RIDGE VILLAGE OR380/237</t>
  </si>
  <si>
    <t>2017-2018</t>
  </si>
  <si>
    <t>DBW FL 1178 A5</t>
  </si>
  <si>
    <t>2016-2017</t>
  </si>
  <si>
    <t>AUSTEN PARTNERS67873</t>
  </si>
  <si>
    <t>2015-2096</t>
  </si>
  <si>
    <t>C3227</t>
  </si>
  <si>
    <t>00-00-31-128R-000I-0020</t>
  </si>
  <si>
    <t>2742 FOREST RIDGE DR</t>
  </si>
  <si>
    <t>HILL JOHN W</t>
  </si>
  <si>
    <t>HILL KAREN Y</t>
  </si>
  <si>
    <t>UNIT I-2 IN OR 1004/1749 FOREST RIDGE VILLAGE OR380/237</t>
  </si>
  <si>
    <t>00-00-31-128R-000L-0010</t>
  </si>
  <si>
    <t>2701 FOREST RIDGE DR</t>
  </si>
  <si>
    <t>CROOM CONNIE</t>
  </si>
  <si>
    <t>PO BOX 912</t>
  </si>
  <si>
    <t>TAOS NM</t>
  </si>
  <si>
    <t>UNIT L-1 IN OR 1838/1161 FOREST RIDGE VILLAGE OR380/237</t>
  </si>
  <si>
    <t>2015-2098</t>
  </si>
  <si>
    <t>BENNU LLC YS28NEADJ</t>
  </si>
  <si>
    <t>00-00-31-134A-0084-0000</t>
  </si>
  <si>
    <t>OCEAN</t>
  </si>
  <si>
    <t>729 OCEAN AV</t>
  </si>
  <si>
    <t>AGRONOW DAN</t>
  </si>
  <si>
    <t>AGRONOW BECKY</t>
  </si>
  <si>
    <t>9481 GRACE LAKE DR</t>
  </si>
  <si>
    <t>DOUGLASVILLE GA</t>
  </si>
  <si>
    <t>GA FDNA BEACH SUB #1</t>
  </si>
  <si>
    <t>LOTS 84 &amp; 155 IN OR 1789/1077 GA FDNA BEACH SUB #1 PB 2/35</t>
  </si>
  <si>
    <t>2016-2023</t>
  </si>
  <si>
    <t>A1065</t>
  </si>
  <si>
    <t>2015-2101</t>
  </si>
  <si>
    <t>GTF 1-2508</t>
  </si>
  <si>
    <t>00-00-31-134A-0094-0000</t>
  </si>
  <si>
    <t>625 OCEAN AVE</t>
  </si>
  <si>
    <t>FISHER GREGORY A</t>
  </si>
  <si>
    <t>GA FDNA BEACH SUB</t>
  </si>
  <si>
    <t>LOT 94 IN OR 1459/1007 GA FDNA BEACH SUB PB 2/35</t>
  </si>
  <si>
    <t>2016-2024</t>
  </si>
  <si>
    <t>SKYLER LLC O96341 SERIES</t>
  </si>
  <si>
    <t>2013-2503</t>
  </si>
  <si>
    <t>00-00-31-134B-0145-0000</t>
  </si>
  <si>
    <t>626 N FLETCHER AV</t>
  </si>
  <si>
    <t>GA FDNA BEACH 2</t>
  </si>
  <si>
    <t>LOT 145 IN OR 1542/500 GA FDNA BEACH 2 UNR</t>
  </si>
  <si>
    <t>2016-2025</t>
  </si>
  <si>
    <t>BRIDGE TAX LLC - W1 A46</t>
  </si>
  <si>
    <t>2015-2103</t>
  </si>
  <si>
    <t>GQL - 223353 - CEDAR GROVE EIGHTEEN PERCENT US BANK CUST FOR PFS FINANCIAL 2 LLC</t>
  </si>
  <si>
    <t>2014-2193</t>
  </si>
  <si>
    <t>2013-2504</t>
  </si>
  <si>
    <t>2012-273</t>
  </si>
  <si>
    <t>2011-3411</t>
  </si>
  <si>
    <t>00-00-31-134B-0183-0000</t>
  </si>
  <si>
    <t>827 FLETCHER AVE N</t>
  </si>
  <si>
    <t>BATES TODD</t>
  </si>
  <si>
    <t>3106 JULINGTON CREEK RD</t>
  </si>
  <si>
    <t>LOT 183 IN OR 1591/1315 EX ESMT OR 1386/861</t>
  </si>
  <si>
    <t>00-00-31-134B-0189-0000</t>
  </si>
  <si>
    <t>731 FLETCHER AVE N</t>
  </si>
  <si>
    <t>SMITH MATTHEW</t>
  </si>
  <si>
    <t>731 N FLETCHER AVE</t>
  </si>
  <si>
    <t>GA FDNA BEACH #2</t>
  </si>
  <si>
    <t>LOT 189 IN OR 1871/985 GA FDNA BEACH #2 UNR</t>
  </si>
  <si>
    <t>2016-2028</t>
  </si>
  <si>
    <t>SKYLER LLC O62859 SERIES</t>
  </si>
  <si>
    <t>2015-2107</t>
  </si>
  <si>
    <t>SWALE LLC SERIES A002032</t>
  </si>
  <si>
    <t>00-00-31-134B-0192-0000</t>
  </si>
  <si>
    <t>FLETCHER AVE N U</t>
  </si>
  <si>
    <t>&amp; D</t>
  </si>
  <si>
    <t>725 FLETCHER AVE N U&amp;D</t>
  </si>
  <si>
    <t>AKINS VICTORIA H</t>
  </si>
  <si>
    <t>115 S 9TH ST</t>
  </si>
  <si>
    <t>U</t>
  </si>
  <si>
    <t>GA FDNA BEACH</t>
  </si>
  <si>
    <t>LOT 192 OR 410 PG 581 GA FDNA BEACH 2 UNR</t>
  </si>
  <si>
    <t>2017-2025</t>
  </si>
  <si>
    <t>MMMMM581</t>
  </si>
  <si>
    <t>2016-2029</t>
  </si>
  <si>
    <t>SANMARCORA OAOSIA</t>
  </si>
  <si>
    <t>00-00-31-134B-0238-00B0</t>
  </si>
  <si>
    <t>B</t>
  </si>
  <si>
    <t>432 TARPON AVE B</t>
  </si>
  <si>
    <t>VESTAL CURTIS D</t>
  </si>
  <si>
    <t>VESTAL JANET L</t>
  </si>
  <si>
    <t>432 TARPON AVE # B</t>
  </si>
  <si>
    <t>238-B</t>
  </si>
  <si>
    <t>LOT 238-B IN OR 885/1746 DECLARATION CVNTS &amp; RSTR</t>
  </si>
  <si>
    <t>00-00-31-1360-0033-0000</t>
  </si>
  <si>
    <t>2180 FLETCHER AVE S</t>
  </si>
  <si>
    <t>RUSSELL JERRY L</t>
  </si>
  <si>
    <t>96140 MARSH LAKES DR</t>
  </si>
  <si>
    <t>HAMBYS SUB</t>
  </si>
  <si>
    <t>LOT 33 IN OR 1687/1545 HAMBYS SUB PB 2/32</t>
  </si>
  <si>
    <t>2014-2198</t>
  </si>
  <si>
    <t>00-00-31-1390-0012-0030</t>
  </si>
  <si>
    <t>2976 1ST AV A</t>
  </si>
  <si>
    <t>JULIAO RICARDO</t>
  </si>
  <si>
    <t>2976 1ST AVE APT A</t>
  </si>
  <si>
    <t>PT OF LOT 12 IN OR 1575/378 PRTY WALL &amp; COMMON MAINTENANCE</t>
  </si>
  <si>
    <t>2017-2027</t>
  </si>
  <si>
    <t>BISBEE LLC AK5B504</t>
  </si>
  <si>
    <t>00-00-31-1390-0013-0000</t>
  </si>
  <si>
    <t>1ST AV</t>
  </si>
  <si>
    <t>RIVER GREEN ESTATES LLC</t>
  </si>
  <si>
    <t>11323 PHILLIPS PARKWAY DR E STE 7</t>
  </si>
  <si>
    <t>SOUTH BEACH</t>
  </si>
  <si>
    <t>TRACT 13 IN OR 2056/280 HUTCHNS SOUTH BEACH PB 4/70</t>
  </si>
  <si>
    <t>2017-2028</t>
  </si>
  <si>
    <t>TCRCG LLC AND SATCHEL LLC PARTNERSHIP 452</t>
  </si>
  <si>
    <t>00-00-31-142I-0013-0000</t>
  </si>
  <si>
    <t>ISLE OF PALMS</t>
  </si>
  <si>
    <t>1035 ISLE OF PALMS LN</t>
  </si>
  <si>
    <t>DEADY ERIC M</t>
  </si>
  <si>
    <t>ISLE OF PALMS OF AMELIA</t>
  </si>
  <si>
    <t>25-03N-28E</t>
  </si>
  <si>
    <t>LOT 13 IN OR 1810/508 ISLE OF PALMS OF AMELIA</t>
  </si>
  <si>
    <t>2017-2030</t>
  </si>
  <si>
    <t>BBBBB15</t>
  </si>
  <si>
    <t>2014-2241</t>
  </si>
  <si>
    <t>00-00-31-142L-0007-00E0</t>
  </si>
  <si>
    <t>7-E</t>
  </si>
  <si>
    <t>2328 SADLER RD 7-E</t>
  </si>
  <si>
    <t>TAYLOR SCOTT</t>
  </si>
  <si>
    <t>145 COOL BREEZE LN</t>
  </si>
  <si>
    <t>ALMA GA</t>
  </si>
  <si>
    <t>7E</t>
  </si>
  <si>
    <t>AMELIA LANDINGS</t>
  </si>
  <si>
    <t>UNIT 7-E IN OR 942/395 AMELIA LANDINGS II OR 407/599</t>
  </si>
  <si>
    <t>2017-2031</t>
  </si>
  <si>
    <t>SETPER LLC O24025 SERIES</t>
  </si>
  <si>
    <t>2016-2032</t>
  </si>
  <si>
    <t>HOSSET LLC O130961 SERIES</t>
  </si>
  <si>
    <t>2015-2112</t>
  </si>
  <si>
    <t>BENNU LLC JHA21BFAY</t>
  </si>
  <si>
    <t>2014-2244</t>
  </si>
  <si>
    <t>2013-2515</t>
  </si>
  <si>
    <t>2012-291</t>
  </si>
  <si>
    <t>US BANK CUST BISBEE LLC M10A6B</t>
  </si>
  <si>
    <t>2011-3468</t>
  </si>
  <si>
    <t>00-00-31-143B-0012-0000</t>
  </si>
  <si>
    <t>WILL HARDEE</t>
  </si>
  <si>
    <t>NIPPER JUSTIN</t>
  </si>
  <si>
    <t>NIPPER MARIE</t>
  </si>
  <si>
    <t>LAKEWOOD</t>
  </si>
  <si>
    <t>LOT 12 IN OR 1775/673 LAKEWOOD #4 PB 5/245</t>
  </si>
  <si>
    <t>2017-2032</t>
  </si>
  <si>
    <t>EMERALD COAST 120 MANAGEMENT SERVICES LLC</t>
  </si>
  <si>
    <t>2016-2033</t>
  </si>
  <si>
    <t>DBW FL 5694 A4</t>
  </si>
  <si>
    <t>2015-2113</t>
  </si>
  <si>
    <t>SUTTON INVESTMENT15729</t>
  </si>
  <si>
    <t>00-00-31-143B-0015-0000</t>
  </si>
  <si>
    <t>2232 WILL HARDEE RD</t>
  </si>
  <si>
    <t>THOMASON JOSEPH D</t>
  </si>
  <si>
    <t>LOT 15 IN OR 635 PG 337 LAKEWOOD #4 PB 5/245</t>
  </si>
  <si>
    <t>2016-2034</t>
  </si>
  <si>
    <t>ECRU LLC PM301DDDDH4</t>
  </si>
  <si>
    <t>2015-2114</t>
  </si>
  <si>
    <t>ECRU LLC TSBMB47</t>
  </si>
  <si>
    <t>2014-2245</t>
  </si>
  <si>
    <t>2012-294</t>
  </si>
  <si>
    <t>US BANK CUST BISBEE LLC M10A6A</t>
  </si>
  <si>
    <t>2011-3472</t>
  </si>
  <si>
    <t>00-00-31-143C-0039-0000</t>
  </si>
  <si>
    <t>CANTERBURY</t>
  </si>
  <si>
    <t>2133 CANTERBURY LN</t>
  </si>
  <si>
    <t>BERRY NANCY W</t>
  </si>
  <si>
    <t>LOT 39 IN OR 733/1961 LAKEWOOD #5 PB 5/380</t>
  </si>
  <si>
    <t>00-00-31-1460-0013-0000</t>
  </si>
  <si>
    <t>1482 FLETCHER AVE S</t>
  </si>
  <si>
    <t>NIXON WILLIAM F</t>
  </si>
  <si>
    <t>16 MEETINGHOUSE LN</t>
  </si>
  <si>
    <t>SOUTH EASTON MA</t>
  </si>
  <si>
    <t>MIRAMAR BEACH</t>
  </si>
  <si>
    <t>19-03N-29E</t>
  </si>
  <si>
    <t>LOT 13 IN OR 1879/1166 MIRAMAR BEACH PB 2/61</t>
  </si>
  <si>
    <t>00-00-31-147L-008B-0000</t>
  </si>
  <si>
    <t>NATURES WALK</t>
  </si>
  <si>
    <t>1116 NATURES WALK DR B</t>
  </si>
  <si>
    <t>SALAMATIN JAMES N</t>
  </si>
  <si>
    <t>SALAMATIN APRIL L</t>
  </si>
  <si>
    <t>1116 NATURES WALK DR # B</t>
  </si>
  <si>
    <t>8B</t>
  </si>
  <si>
    <t>LOT 8B IN OR 943 PG 1216 L/E IN OR 943 PG 1216</t>
  </si>
  <si>
    <t>2017-2037</t>
  </si>
  <si>
    <t>BISBEE LLC AK19A8F2</t>
  </si>
  <si>
    <t>00-00-31-147L-017B-0000</t>
  </si>
  <si>
    <t>1131 NATURES WALK CT B</t>
  </si>
  <si>
    <t>LAND CAROLYN</t>
  </si>
  <si>
    <t>ROBERTS JR THOMAS H</t>
  </si>
  <si>
    <t>1131 NATURES WALK CT # B</t>
  </si>
  <si>
    <t>17-B</t>
  </si>
  <si>
    <t>LOT 17-B IN OR 2030/1700 NATURES WALK PB 5/202</t>
  </si>
  <si>
    <t>2014-2250</t>
  </si>
  <si>
    <t>2013-2522</t>
  </si>
  <si>
    <t>2012-305</t>
  </si>
  <si>
    <t>ASCOT CAPITAL LLC - 29 US BANK % ASCOT CAPITAL LLC-29</t>
  </si>
  <si>
    <t>2011-3489</t>
  </si>
  <si>
    <t>00-00-31-147L-026A-0000</t>
  </si>
  <si>
    <t>NATURES</t>
  </si>
  <si>
    <t>2072 NATURES LN A</t>
  </si>
  <si>
    <t>BERRY CHARLES V</t>
  </si>
  <si>
    <t>BERRY CRYSTAL M</t>
  </si>
  <si>
    <t>2072 NATURES LN W # A</t>
  </si>
  <si>
    <t>26A</t>
  </si>
  <si>
    <t>LOT 26A &amp; W2 OF LOT 26B L/E OR 1846/1964 NATURES WALK PB 5/202</t>
  </si>
  <si>
    <t>2017-2038</t>
  </si>
  <si>
    <t>BISBEE LLC AK0D09E</t>
  </si>
  <si>
    <t>00-00-31-1480-0025-0000</t>
  </si>
  <si>
    <t>33 OAK GROVE PL</t>
  </si>
  <si>
    <t>ERDMANN THOMAS J</t>
  </si>
  <si>
    <t>1314 CLINCH DR</t>
  </si>
  <si>
    <t>22-03N-28E</t>
  </si>
  <si>
    <t>LOT 25 IN OR 1974/618 OAK GROVE PLACE PB 3/2</t>
  </si>
  <si>
    <t>00-00-31-150C-0005-0110</t>
  </si>
  <si>
    <t>16TH</t>
  </si>
  <si>
    <t>301 16TH ST S</t>
  </si>
  <si>
    <t>HOLLAND CHRISTOPHER A</t>
  </si>
  <si>
    <t>HOLLAND MISTY</t>
  </si>
  <si>
    <t>301 S 16TH ST</t>
  </si>
  <si>
    <t>OAK LAWN PARK #3</t>
  </si>
  <si>
    <t>BLOCK 5 LOT 11 IN OR 807/1559 OAK LAWN PARK #3 PB 3/28</t>
  </si>
  <si>
    <t>2017-2039</t>
  </si>
  <si>
    <t>E21330</t>
  </si>
  <si>
    <t>2016-2038</t>
  </si>
  <si>
    <t>TOWER LIEN LLC SER 14431</t>
  </si>
  <si>
    <t>2015-2119</t>
  </si>
  <si>
    <t>SECRETARIAT RESOURCES LLC SERIES A004286</t>
  </si>
  <si>
    <t>2014-2251</t>
  </si>
  <si>
    <t>2013-2524</t>
  </si>
  <si>
    <t>2012-310</t>
  </si>
  <si>
    <t>US BANK CUST BISBEE LLC M109BB</t>
  </si>
  <si>
    <t>2011-3493</t>
  </si>
  <si>
    <t>00-00-31-150F-0007-0140</t>
  </si>
  <si>
    <t>17TH</t>
  </si>
  <si>
    <t>503 S 17TH ST</t>
  </si>
  <si>
    <t>LIPINSKI DOLORES J</t>
  </si>
  <si>
    <t>OAK LAWN PARK 6</t>
  </si>
  <si>
    <t>BLOCK 7 LOT 14 OAK LAWN PARK 6 PB 3/40</t>
  </si>
  <si>
    <t>00-00-31-150F-0007-0160</t>
  </si>
  <si>
    <t>505 17TH ST S</t>
  </si>
  <si>
    <t>FEDERAL NATIONAL MORTGAGE</t>
  </si>
  <si>
    <t>950 E PACES FERRY RD NE STE 1900</t>
  </si>
  <si>
    <t>BLOCK 7 LOT 16 IN OR 1319/1648</t>
  </si>
  <si>
    <t>2017-2042</t>
  </si>
  <si>
    <t>CILENTO FINANCIAL LLC SERIES A002504</t>
  </si>
  <si>
    <t>2016-2042</t>
  </si>
  <si>
    <t>GTF 2-4003</t>
  </si>
  <si>
    <t>2015-2124</t>
  </si>
  <si>
    <t>ROKNUS INVESTMENTS 29 LLC</t>
  </si>
  <si>
    <t>2014-2256</t>
  </si>
  <si>
    <t>00-00-31-150F-0007-0180</t>
  </si>
  <si>
    <t>507 17TH ST S</t>
  </si>
  <si>
    <t>TAYLOR JIMMY R</t>
  </si>
  <si>
    <t>TAYLOR JEAN B</t>
  </si>
  <si>
    <t>OAK LAWN PARK #6</t>
  </si>
  <si>
    <t>BLOCK 7 LOT 18 OAK LAWN PARK #6 PB3/40</t>
  </si>
  <si>
    <t>2017-2043</t>
  </si>
  <si>
    <t>SKYLER LLC O48682 SERIES</t>
  </si>
  <si>
    <t>2014-2257</t>
  </si>
  <si>
    <t>2011-3497</t>
  </si>
  <si>
    <t>00-00-31-150F-0008-0050</t>
  </si>
  <si>
    <t>404 17TH ST S</t>
  </si>
  <si>
    <t>PATTERSON EDWARD G</t>
  </si>
  <si>
    <t>404 S 17TH ST</t>
  </si>
  <si>
    <t>BLOCK 8 LOT 5 IN OR 1984/1602 &amp; OR 1984/1604 OAK LAWN PARK #6 PB3/40</t>
  </si>
  <si>
    <t>2017-2044</t>
  </si>
  <si>
    <t>D81518</t>
  </si>
  <si>
    <t>2016-2043</t>
  </si>
  <si>
    <t>HOSSET LLC O155265 SERIES</t>
  </si>
  <si>
    <t>2014-2259</t>
  </si>
  <si>
    <t>2013-2530</t>
  </si>
  <si>
    <t>2011-3498</t>
  </si>
  <si>
    <t>00-00-31-150F-0008-0070</t>
  </si>
  <si>
    <t>406 17TH ST S</t>
  </si>
  <si>
    <t>HORNSBY STACEY L</t>
  </si>
  <si>
    <t>BLOCK 8 LOT 7 IN OR 2018/163 &amp; OR 2022/728 OAK LAWN PARK 6 PB 3/40</t>
  </si>
  <si>
    <t>2015-2126</t>
  </si>
  <si>
    <t>KKKK13</t>
  </si>
  <si>
    <t>00-00-31-150F-0008-0110</t>
  </si>
  <si>
    <t>500 17TH ST S</t>
  </si>
  <si>
    <t>EBENAL AMY R</t>
  </si>
  <si>
    <t>500 S 17TH ST</t>
  </si>
  <si>
    <t>BLOCK 8 LOT 11 IN OR 1511/1728 OAK LAWN PARK #6 PB 3/40</t>
  </si>
  <si>
    <t>2016-2044</t>
  </si>
  <si>
    <t>SUNNY FLORIDA LIENS 78538 US BANK CUST FOR PFS FINANCIAL 2 LLC</t>
  </si>
  <si>
    <t>2015-2127</t>
  </si>
  <si>
    <t>CHUTTAPU 129 LLC</t>
  </si>
  <si>
    <t>00-00-31-1520-0003-0060</t>
  </si>
  <si>
    <t>FLETCHER AVE S ABC</t>
  </si>
  <si>
    <t>487 FLETCHER AVE S ABC</t>
  </si>
  <si>
    <t>ABC</t>
  </si>
  <si>
    <t>BLK 3 LOT 6 OCEAN CITY NORTH PORTION R/P PBK 2/38</t>
  </si>
  <si>
    <t>00-00-31-1540-0017-0010</t>
  </si>
  <si>
    <t>JEAN LAFITTE</t>
  </si>
  <si>
    <t>1060 JEAN LAFITTE AVE</t>
  </si>
  <si>
    <t>J R HOLDINGS OF NORTH FLORIDA INC</t>
  </si>
  <si>
    <t>109 N LIBERTY ST</t>
  </si>
  <si>
    <t>PT BLKS 16 17 19 &amp; PT ABANDONED R/WS PT OR 1104/628 BEING PARCEL A</t>
  </si>
  <si>
    <t>2016-2046</t>
  </si>
  <si>
    <t>ECRU LLC R3D5LJ</t>
  </si>
  <si>
    <t>2015-2131</t>
  </si>
  <si>
    <t>JH - LIEN BUYING MACHINE 59036 US BANK CUST FOR PFS FINANCIAL 2 LLC</t>
  </si>
  <si>
    <t>2014-2263</t>
  </si>
  <si>
    <t>2013-2533</t>
  </si>
  <si>
    <t>2012-318</t>
  </si>
  <si>
    <t>2011-3500</t>
  </si>
  <si>
    <t>00-00-31-155E-0008-0000</t>
  </si>
  <si>
    <t>1441 N FLETCHER AV</t>
  </si>
  <si>
    <t>JOHN R EVANS LIVING IRREVOCABLE TRUST</t>
  </si>
  <si>
    <t>EVANS ANN DEKAY</t>
  </si>
  <si>
    <t>14701 MARSH VIEW DR</t>
  </si>
  <si>
    <t>OCEANS EIGHT</t>
  </si>
  <si>
    <t>LOT 8 PT OR 2029/175 OCEANS EIGHT PB 5/41</t>
  </si>
  <si>
    <t>00-00-31-155I-2168-00A0</t>
  </si>
  <si>
    <t>2168 1ST AVE A</t>
  </si>
  <si>
    <t>DOUGLAS COMPANIES LLC</t>
  </si>
  <si>
    <t>85352 BOSTICK WOOD DR</t>
  </si>
  <si>
    <t>NORTH UNIT AMELIA HILLS TOWNHOMES CONDO OR 1685/1241</t>
  </si>
  <si>
    <t>00-00-31-155I-2168-00B0</t>
  </si>
  <si>
    <t>2168 1ST AVE B</t>
  </si>
  <si>
    <t>SOUTH UNIT AMELIA HILLS TOWNHOMES CONDO OR 1685/1241</t>
  </si>
  <si>
    <t>00-00-31-155R-0018-0000</t>
  </si>
  <si>
    <t>OCEAN RIDGE</t>
  </si>
  <si>
    <t>138 OCEAN RIDGE DR</t>
  </si>
  <si>
    <t>MATNEY JIMMY L</t>
  </si>
  <si>
    <t>MATNEY JILL A</t>
  </si>
  <si>
    <t>2703 MOORE CROSSING RD</t>
  </si>
  <si>
    <t>LOT 18 IN OR 1766/1425 OCEAN RIDGE PB 5/103 &amp; 104</t>
  </si>
  <si>
    <t>2017-2051</t>
  </si>
  <si>
    <t>B211939</t>
  </si>
  <si>
    <t>00-00-31-155S-0017-0000</t>
  </si>
  <si>
    <t>OCEAN OVERLOOK</t>
  </si>
  <si>
    <t>990 OCEAN OVERLOOK DR</t>
  </si>
  <si>
    <t>TAYLOR MONTIE E</t>
  </si>
  <si>
    <t>TAYLOR CHERIE L</t>
  </si>
  <si>
    <t>1417 SADLER RD # 157</t>
  </si>
  <si>
    <t>OCEAN SOUND</t>
  </si>
  <si>
    <t>18-03N-29E</t>
  </si>
  <si>
    <t>LOT 17 IN OR 785/386 OCEAN SOUND PB 5/295</t>
  </si>
  <si>
    <t>00-00-31-1580-0023-0010</t>
  </si>
  <si>
    <t>1132 WHITE ST</t>
  </si>
  <si>
    <t>PAULS DEBORAH A &amp; MARTIN A</t>
  </si>
  <si>
    <t>6690 NW 33RD AVENUE</t>
  </si>
  <si>
    <t>FT LAUDERDALE FL</t>
  </si>
  <si>
    <t>14-03N-28E</t>
  </si>
  <si>
    <t>BLK 23 LOT 1</t>
  </si>
  <si>
    <t>00-00-31-1600-0002-0020</t>
  </si>
  <si>
    <t>1521 ALACHUA ST</t>
  </si>
  <si>
    <t>PARKIN PETER GORDON</t>
  </si>
  <si>
    <t>THE PETER GORDON PARKIN REVOCABLE TRUST</t>
  </si>
  <si>
    <t>R-1A</t>
  </si>
  <si>
    <t>OUT LOT E1/2 OF S1/2 OF 2 IN OR 1779/726 OUT LOTS</t>
  </si>
  <si>
    <t>2013-2548</t>
  </si>
  <si>
    <t>00-00-31-1600-0004-0040</t>
  </si>
  <si>
    <t>BROOME</t>
  </si>
  <si>
    <t>1503 BROOME ST</t>
  </si>
  <si>
    <t>BROWN PAMELA L</t>
  </si>
  <si>
    <t>BROWN MICHAEL D</t>
  </si>
  <si>
    <t>1/2 HX INT (S&amp;B) W72 FT OF E215 FT OF N136.5 FT OF S1/2 OF OUTLOT 4</t>
  </si>
  <si>
    <t>00-00-31-1600-0228-0020</t>
  </si>
  <si>
    <t>1804 BEECH ST</t>
  </si>
  <si>
    <t>DOBROSKY TERRENCE A</t>
  </si>
  <si>
    <t>DOBROSKY DAWN</t>
  </si>
  <si>
    <t>506 STARBOARD LNDG</t>
  </si>
  <si>
    <t>E 136.5 FT OF W 166.5 FT OF S 79 FT OF OUT LOT 228 IN OR 668 PG 1212</t>
  </si>
  <si>
    <t>2017-2056</t>
  </si>
  <si>
    <t>SETPER LLC O85099 SERIES</t>
  </si>
  <si>
    <t>2016-2052</t>
  </si>
  <si>
    <t>WE BUY LIENS 69345 US BANK CUST FOR PFS FINANCIAL 2 LLC</t>
  </si>
  <si>
    <t>2015-2143</t>
  </si>
  <si>
    <t>BISBEE LLC HEA137A32</t>
  </si>
  <si>
    <t>2014-2270</t>
  </si>
  <si>
    <t>2013-2550</t>
  </si>
  <si>
    <t>00-00-31-1611-0003-0000</t>
  </si>
  <si>
    <t>COASTAL OAKS</t>
  </si>
  <si>
    <t>1512 COASTAL OAKS CIR</t>
  </si>
  <si>
    <t>LOT 3 IN OR 2032/1123 COASTAL OAKS PBK 8/109</t>
  </si>
  <si>
    <t>00-00-31-1611-0006-0000</t>
  </si>
  <si>
    <t>1518 COASTAL OAKS CIR E</t>
  </si>
  <si>
    <t>LOT 6 IN OR 2032/1123 COASTAL OAKS PBK 8/109</t>
  </si>
  <si>
    <t>00-00-31-1611-0007-0000</t>
  </si>
  <si>
    <t>1520 COASTAL OAKS CIR E</t>
  </si>
  <si>
    <t>LOT 7 IN OR 2032/1123 COASTAL OAKS PBK 8/109</t>
  </si>
  <si>
    <t>00-00-31-1611-0010-0000</t>
  </si>
  <si>
    <t>1526 COASTAL OAKS CIR E</t>
  </si>
  <si>
    <t>LOT 10 IN OR 2032/1123 COASTAL OAKS PBK 8/109</t>
  </si>
  <si>
    <t>00-00-31-1611-0013-0000</t>
  </si>
  <si>
    <t>1532 COASTAL OAKS DR</t>
  </si>
  <si>
    <t>LOT 13 COASTAL OAKS PBK 8/109</t>
  </si>
  <si>
    <t>00-00-31-1611-0014-0000</t>
  </si>
  <si>
    <t>1534 COASTAL OAKS DR</t>
  </si>
  <si>
    <t>LOT 14 COASTAL OAKS PBK 8/109</t>
  </si>
  <si>
    <t>00-00-31-1611-0016-0000</t>
  </si>
  <si>
    <t>1538 COASTAL OAKS DR</t>
  </si>
  <si>
    <t>LOT 16 COASTAL OAKS PBK 8/109</t>
  </si>
  <si>
    <t>00-00-31-1611-0019-0000</t>
  </si>
  <si>
    <t>1543 COASTAL OAKS DR</t>
  </si>
  <si>
    <t>LOT 19 COASTAL OAKS PBK 8/109</t>
  </si>
  <si>
    <t>00-00-31-1611-0024-0000</t>
  </si>
  <si>
    <t>1553 COASTAL OAKS CIR N</t>
  </si>
  <si>
    <t>LOT 24 COASTAL OAKS PBK 8/109</t>
  </si>
  <si>
    <t>00-00-31-1611-0026-0000</t>
  </si>
  <si>
    <t>1557 COASTAL OAKS CIR N</t>
  </si>
  <si>
    <t>LOT 26 IN OR 2032/1123 COASTAL OAKS PBK 8/109</t>
  </si>
  <si>
    <t>00-00-31-1611-0027-0000</t>
  </si>
  <si>
    <t>1559 COASTAL OAKS CIR W</t>
  </si>
  <si>
    <t>LOT 27 COASTAL OAKS PBK 8/109</t>
  </si>
  <si>
    <t>2017-2060</t>
  </si>
  <si>
    <t>00-00-31-1611-0028-0000</t>
  </si>
  <si>
    <t>1561 COASTAL OAKS CIR W</t>
  </si>
  <si>
    <t>LOT 28 COASTAL OAKS PBK 8/109</t>
  </si>
  <si>
    <t>00-00-31-1611-0030-0000</t>
  </si>
  <si>
    <t>1565 COASTAL OAKS CIR W</t>
  </si>
  <si>
    <t>LOT 30 COASTAL OAKS PBK 8/109</t>
  </si>
  <si>
    <t>00-00-31-1611-0036-0000</t>
  </si>
  <si>
    <t>1505 COASTAL OAKS CIR</t>
  </si>
  <si>
    <t>LOT 36 COASTAL OAKS PBK 8/109</t>
  </si>
  <si>
    <t>00-00-31-1611-0040-0000</t>
  </si>
  <si>
    <t>1521 COASTAL OAKS CIR E</t>
  </si>
  <si>
    <t>LOT 40 COASTAL OAKS PBK 8/109</t>
  </si>
  <si>
    <t>00-00-31-1632-0407-0000</t>
  </si>
  <si>
    <t>3460 S FLETCHER AV 407</t>
  </si>
  <si>
    <t>GRIFFIN LYNDA K</t>
  </si>
  <si>
    <t>THE LYNDA K GRIFFIN REVOCABLE TRUST</t>
  </si>
  <si>
    <t>8 ROCK CREST LN</t>
  </si>
  <si>
    <t>SIGNAL MOUNTAIN TN</t>
  </si>
  <si>
    <t>THE PELICANS</t>
  </si>
  <si>
    <t>19-03N-28E</t>
  </si>
  <si>
    <t>UNIT 407 IN OR 1755/733 THE PELICANS OR 454/407</t>
  </si>
  <si>
    <t>00-00-31-163P-00E1-0000</t>
  </si>
  <si>
    <t>NECTARINE</t>
  </si>
  <si>
    <t>E1</t>
  </si>
  <si>
    <t>1601 NECTARINE ST E1</t>
  </si>
  <si>
    <t>THOMAS KIMBERLY</t>
  </si>
  <si>
    <t>95953 GRAGLON DR</t>
  </si>
  <si>
    <t>UNIT E1 IN OR 1991/703 THE PALMS AT AMELIA CONDO</t>
  </si>
  <si>
    <t>00-00-31-163V-0003-0000</t>
  </si>
  <si>
    <t>PARKVIEW</t>
  </si>
  <si>
    <t>METCALF JR RAY</t>
  </si>
  <si>
    <t>METCALF ALETHA CISCO</t>
  </si>
  <si>
    <t>LOT 3 IN OR 1240/1581 PARKVIEW PB 6/390</t>
  </si>
  <si>
    <t>2017-2067</t>
  </si>
  <si>
    <t>TLSK LLC AND THALSA LLC PARTNERSHIP 1248</t>
  </si>
  <si>
    <t>00-00-31-1652-0001-0000</t>
  </si>
  <si>
    <t>LONG BOAT</t>
  </si>
  <si>
    <t>2763 LONG BOAT DR</t>
  </si>
  <si>
    <t>WARNER BRETT C</t>
  </si>
  <si>
    <t>1417 SADLER RD # 331</t>
  </si>
  <si>
    <t>RESIDENCE</t>
  </si>
  <si>
    <t>LOT 1 &amp; PT OF LOT 42(S-1) THE RESIDENCE @ AMELIA LANDING #1 PB 5/247</t>
  </si>
  <si>
    <t>00-00-31-1665-0110-0000</t>
  </si>
  <si>
    <t>3056 FLETCHER AVE S 110</t>
  </si>
  <si>
    <t>TRAPNELL RALPH</t>
  </si>
  <si>
    <t>PO BOX 1409</t>
  </si>
  <si>
    <t>SAND DOLLAR VILLAS</t>
  </si>
  <si>
    <t>UNIT 110 IN OR 1456/199 SAND DOLLAR VILLAS OR 358/475</t>
  </si>
  <si>
    <t>00-00-31-1665-0111-0000</t>
  </si>
  <si>
    <t>3056 FLETCHER AVE S 111</t>
  </si>
  <si>
    <t>JAMES LESLIE PROPERTIES LLC</t>
  </si>
  <si>
    <t>162 VIRGINIA AVE S</t>
  </si>
  <si>
    <t>TIFTON GA</t>
  </si>
  <si>
    <t>UNIT 111 IN OR 1940/229 SAND DOLLAR VILLAS OR 358/475</t>
  </si>
  <si>
    <t>00-00-31-1665-0313-0000</t>
  </si>
  <si>
    <t>3056 FLETCHER AVE S 313</t>
  </si>
  <si>
    <t>SCARBORO JOHN</t>
  </si>
  <si>
    <t>SCARBORO FRANCES</t>
  </si>
  <si>
    <t>UNIT 313 IN OR 1950/157 SAND DOLLAR VILLAS OR 358/475</t>
  </si>
  <si>
    <t>00-00-31-1670-0006-0000</t>
  </si>
  <si>
    <t>3165 S FLETCHER AV 6</t>
  </si>
  <si>
    <t>CRIBBS JACK W</t>
  </si>
  <si>
    <t>CRIBBS REBECCA M</t>
  </si>
  <si>
    <t>3165 S FLETCHER AVE APT 6</t>
  </si>
  <si>
    <t>SEA CASTLES</t>
  </si>
  <si>
    <t>LOT 6 IN OR 736/1016 SEA CASTLES PB 4 PG 100</t>
  </si>
  <si>
    <t>2017-2074</t>
  </si>
  <si>
    <t>SHOAL RIVER 577 LEASE MANGEMENT LLC</t>
  </si>
  <si>
    <t>2016-2058</t>
  </si>
  <si>
    <t>FLORIDA CCTS BLOCK GAMMA 134715 US BANK CUST FOR PFS FINANCIAL 2 LLC</t>
  </si>
  <si>
    <t>2015-2147</t>
  </si>
  <si>
    <t>SANMARCORA OUJJCW</t>
  </si>
  <si>
    <t>2014-2277</t>
  </si>
  <si>
    <t>2013-2560</t>
  </si>
  <si>
    <t>00-00-31-1676-0034-0000</t>
  </si>
  <si>
    <t>SEA GROVE</t>
  </si>
  <si>
    <t>2752 SEA GROVE LN</t>
  </si>
  <si>
    <t>HANEY HALLE B</t>
  </si>
  <si>
    <t>LOT 34 IN OR 1519/1421 &amp; OR 1956/524 SEA GROVE PB 6/152-154</t>
  </si>
  <si>
    <t>2017-2075</t>
  </si>
  <si>
    <t>GHATA 6337</t>
  </si>
  <si>
    <t>00-00-31-1678-0026-0000</t>
  </si>
  <si>
    <t>MAGNOLIA WOODS</t>
  </si>
  <si>
    <t>MAGNOLIA WOODS CT</t>
  </si>
  <si>
    <t>SEA ISLAND PLANTATION</t>
  </si>
  <si>
    <t>LOT 26 IN OR 875/1647 SEA ISLAND PLANTATION PB5/275</t>
  </si>
  <si>
    <t>00-00-31-167C-0009-0000</t>
  </si>
  <si>
    <t>SAFE HARBOR</t>
  </si>
  <si>
    <t>SAFE HARBOR LN</t>
  </si>
  <si>
    <t>HARTLEY CHRISTOPHER C</t>
  </si>
  <si>
    <t>SCHOONER LANDING</t>
  </si>
  <si>
    <t>32-03N-28E</t>
  </si>
  <si>
    <t>LOT 9 IN OR 1335/550 SCHOONER LANDING PB 6/246</t>
  </si>
  <si>
    <t>00-00-31-1680-0010-0120</t>
  </si>
  <si>
    <t>3381 FLETCHER AVE S</t>
  </si>
  <si>
    <t>DYE ANGELA L</t>
  </si>
  <si>
    <t>BLOCK 10 LOTS 12 13 18 19 &amp; 50 FT STRIP E OF LOTS IN OR 1523/964</t>
  </si>
  <si>
    <t>2017-2077</t>
  </si>
  <si>
    <t>GTF 1-11746</t>
  </si>
  <si>
    <t>2016-2062</t>
  </si>
  <si>
    <t>BBBBB1035</t>
  </si>
  <si>
    <t>2015-2150</t>
  </si>
  <si>
    <t>GRUNT 308V LLC</t>
  </si>
  <si>
    <t>2014-2291</t>
  </si>
  <si>
    <t>2012-345</t>
  </si>
  <si>
    <t>NAWS28 LLC</t>
  </si>
  <si>
    <t>00-00-31-1680-0013-0110</t>
  </si>
  <si>
    <t>3635 FLETCHER AVE S</t>
  </si>
  <si>
    <t>URIE ANTHONY M</t>
  </si>
  <si>
    <t>18130 MIDVALE AVE N</t>
  </si>
  <si>
    <t>SHORELINE WA</t>
  </si>
  <si>
    <t>BLOCK 13 LOTS 11 &amp; 12 &amp; PT ABANDONED R/W IN OR 1422/802</t>
  </si>
  <si>
    <t>2015-2151</t>
  </si>
  <si>
    <t>RAPTY TRUST SERIES 23946</t>
  </si>
  <si>
    <t>2014-2293</t>
  </si>
  <si>
    <t>2013-2564</t>
  </si>
  <si>
    <t>2011-3570</t>
  </si>
  <si>
    <t>00-00-31-1680-0013-0290</t>
  </si>
  <si>
    <t>3580 1ST AVE</t>
  </si>
  <si>
    <t>SHAW HERBERT</t>
  </si>
  <si>
    <t>752 HARPER ST</t>
  </si>
  <si>
    <t>SEAVIEW</t>
  </si>
  <si>
    <t>BLOCK 13 LOTS 29 30 31 32 IN OR 2018/1393 SEAVIEW SUB PB 1/7</t>
  </si>
  <si>
    <t>2014-2294</t>
  </si>
  <si>
    <t>2013-2565</t>
  </si>
  <si>
    <t>2013-2884</t>
  </si>
  <si>
    <t>2011-3571</t>
  </si>
  <si>
    <t>00-00-31-1680-0019-0110</t>
  </si>
  <si>
    <t>MINNALOTA</t>
  </si>
  <si>
    <t>MINNALOTA AV</t>
  </si>
  <si>
    <t>11323 PHILLIPS HWY DR E STE 7</t>
  </si>
  <si>
    <t>BLOCK 19 LOT 11 PT OR 2055/1607 SEAVIEW SUB PB 1/7</t>
  </si>
  <si>
    <t>2017-2079</t>
  </si>
  <si>
    <t>00-00-31-1680-0019-0120</t>
  </si>
  <si>
    <t>11323 PHILIPS HWY # 7</t>
  </si>
  <si>
    <t>BLOCK 19 LOTS 12 13 PT OR 2055/1607 SEAVIEW SUB PB 1/7</t>
  </si>
  <si>
    <t>2017-2080</t>
  </si>
  <si>
    <t>KENSINGTON CAPITAL163031</t>
  </si>
  <si>
    <t>00-00-31-1681-0004-0000</t>
  </si>
  <si>
    <t>3978 1ST AV</t>
  </si>
  <si>
    <t>ALPHA INVESTMENTS OF ST AUGUSTINE LLC</t>
  </si>
  <si>
    <t>242 OCEAN CAY BLVD</t>
  </si>
  <si>
    <t>8-02N-28E</t>
  </si>
  <si>
    <t>LOT 4 IN OR 2045/1 SEAVIEW SUB 2 PB 5/26</t>
  </si>
  <si>
    <t>2017-2081</t>
  </si>
  <si>
    <t>SARAVA LLC SERIES A004202</t>
  </si>
  <si>
    <t>00-00-31-1690-0004-0000</t>
  </si>
  <si>
    <t>34 14TH ST N</t>
  </si>
  <si>
    <t>CPO</t>
  </si>
  <si>
    <t>LOTS 4 &amp; 5 PT OR 1916/1497 SORENSEN TERRACE REPLAT</t>
  </si>
  <si>
    <t>2017-2082</t>
  </si>
  <si>
    <t>BENNU LLC JA21F7S</t>
  </si>
  <si>
    <t>2016-2066</t>
  </si>
  <si>
    <t>OVN - 220284 - CAMPBELLTON SOUTH US BANK CUST FOR PFS FINANCIAL 2 LLC</t>
  </si>
  <si>
    <t>2015-2153</t>
  </si>
  <si>
    <t>CCTS CAPITAL - FLORIDA 6525 US BANK CUST FOR PFS FINANCIAL 2 LLC</t>
  </si>
  <si>
    <t>2014-2296</t>
  </si>
  <si>
    <t>2013-2569</t>
  </si>
  <si>
    <t>2012-348</t>
  </si>
  <si>
    <t>NAWS14</t>
  </si>
  <si>
    <t>00-00-31-1700-0023-0000</t>
  </si>
  <si>
    <t>843 MARY ST</t>
  </si>
  <si>
    <t>TUTEN FRANK D</t>
  </si>
  <si>
    <t>LOT 23 (EX SO 6 FT) &amp; S 6 FT OF LOT 24 IN OR 421/451 &amp; OR 426/630</t>
  </si>
  <si>
    <t>2017-2084</t>
  </si>
  <si>
    <t>SPOKANE LLC SERIES A002315</t>
  </si>
  <si>
    <t>2016-2067</t>
  </si>
  <si>
    <t>HOSSET LLC O21278 SERIES</t>
  </si>
  <si>
    <t>2015-2154</t>
  </si>
  <si>
    <t>PPPPP1280</t>
  </si>
  <si>
    <t>2014-2299</t>
  </si>
  <si>
    <t>2013-2572</t>
  </si>
  <si>
    <t>2012-351</t>
  </si>
  <si>
    <t>NAWS12</t>
  </si>
  <si>
    <t>2011-3575</t>
  </si>
  <si>
    <t>00-00-31-1720-000A-0110</t>
  </si>
  <si>
    <t>3075 1ST AVE</t>
  </si>
  <si>
    <t>RIVER GREEN ESTATE LLC</t>
  </si>
  <si>
    <t>11323 PHILIPS HWY</t>
  </si>
  <si>
    <t>PT OF TRACT A IN OR 1145/1554 SOUTH BEACH SUB PB 3/11</t>
  </si>
  <si>
    <t>2017-2086</t>
  </si>
  <si>
    <t>ECRU LLC ILDZ7HB</t>
  </si>
  <si>
    <t>00-00-31-1720-000A-0140</t>
  </si>
  <si>
    <t>3094 1ST AVE</t>
  </si>
  <si>
    <t>11323 PHILIPS PARKWAY DR E STE 7</t>
  </si>
  <si>
    <t>PT OF TRACT A IN OR 2004/1970 ESMT IN OR 362 PG 147</t>
  </si>
  <si>
    <t>2017-2087</t>
  </si>
  <si>
    <t>SPANISH MAIN 220 REO LLC</t>
  </si>
  <si>
    <t>2016-2069</t>
  </si>
  <si>
    <t>SANMARCORA ZXTDMT</t>
  </si>
  <si>
    <t>00-00-31-1741-0001-0010</t>
  </si>
  <si>
    <t>EVENTIDE</t>
  </si>
  <si>
    <t>3205 EVENTIDE CT</t>
  </si>
  <si>
    <t>TOLBERT CARLTON E JR &amp; WILSON-TOLBERT ROBIN G (38.6%) &amp; WILSON KATHLEEN M ETAL</t>
  </si>
  <si>
    <t>45 W DURHAM ST</t>
  </si>
  <si>
    <t>SURF UNIT ONE</t>
  </si>
  <si>
    <t>LOT 1-1 IN OR 1698/1339 SURF UNIT ONE PB 7/300</t>
  </si>
  <si>
    <t>2013-2578</t>
  </si>
  <si>
    <t>00-00-31-1760-0005-0020</t>
  </si>
  <si>
    <t>FRONT</t>
  </si>
  <si>
    <t>201 FRONT ST N</t>
  </si>
  <si>
    <t>Wholesale outlets manufacturing outlets</t>
  </si>
  <si>
    <t>Wholesale Outlet Discount Store (Franchise)</t>
  </si>
  <si>
    <t>SLY</t>
  </si>
  <si>
    <t>21-03N-28E</t>
  </si>
  <si>
    <t>LOT SLY 150 FT OF 5 IN OR 788/1368 WATER LOTS</t>
  </si>
  <si>
    <t>2017-2088</t>
  </si>
  <si>
    <t>PICKENS PLACE MANAGEMENT LLC</t>
  </si>
  <si>
    <t>2016-2071</t>
  </si>
  <si>
    <t>MALLY LLC AND MED ALI LLC PARTNERSHIP 779</t>
  </si>
  <si>
    <t>2015-2155</t>
  </si>
  <si>
    <t>TRIAD HOLDINGS307671</t>
  </si>
  <si>
    <t>2014-2305</t>
  </si>
  <si>
    <t>2013-2583</t>
  </si>
  <si>
    <t>2012-354</t>
  </si>
  <si>
    <t>2011-3584</t>
  </si>
  <si>
    <t>00-00-31-179D-348B-0000</t>
  </si>
  <si>
    <t>348 FLETCHER AVE S B</t>
  </si>
  <si>
    <t>LEE MICHAEL PAUL</t>
  </si>
  <si>
    <t>348 S FLETCHER AVE # B</t>
  </si>
  <si>
    <t>348-B</t>
  </si>
  <si>
    <t>WINDWARD DUPLEXES</t>
  </si>
  <si>
    <t>LOT 348-B IN OR 580/1297 WINDWARD DUPLEXES OR 551/150 F/N/A PT LOTS 3-5 &amp; S 12.5 FT</t>
  </si>
  <si>
    <t>00-00-31-1800-0001-0012</t>
  </si>
  <si>
    <t>CENTRE</t>
  </si>
  <si>
    <t>101 CENTRE ST</t>
  </si>
  <si>
    <t>TOUNDAS PATRICIA C</t>
  </si>
  <si>
    <t>96213 BLACKROCK RD</t>
  </si>
  <si>
    <t>C-3</t>
  </si>
  <si>
    <t>CITY OF FDNA BEACH</t>
  </si>
  <si>
    <t>BLK 1 W1/2 OF LOTS 1 2 3 &amp; 4 IN OR 1558/1447 CITY OF FDNA BEACH</t>
  </si>
  <si>
    <t>2017-2089</t>
  </si>
  <si>
    <t>OMEGA TAX 26 GP 161011A</t>
  </si>
  <si>
    <t>2016-2072</t>
  </si>
  <si>
    <t>ROUTE 7 LLC AK919C09</t>
  </si>
  <si>
    <t>2015-2156</t>
  </si>
  <si>
    <t>ROMA1077</t>
  </si>
  <si>
    <t>2014-2307</t>
  </si>
  <si>
    <t>2013-2585</t>
  </si>
  <si>
    <t>2012-357</t>
  </si>
  <si>
    <t>2011-3591</t>
  </si>
  <si>
    <t>00-00-31-1800-0008-0020</t>
  </si>
  <si>
    <t>2ND</t>
  </si>
  <si>
    <t>N 2ND ST</t>
  </si>
  <si>
    <t>IM</t>
  </si>
  <si>
    <t>BLOCK 8 LOTS 2 THRU 4 IN OR 932/135 CITY OF FDNA BEACH</t>
  </si>
  <si>
    <t>2017-2090</t>
  </si>
  <si>
    <t>2016-2073</t>
  </si>
  <si>
    <t>2015-2157</t>
  </si>
  <si>
    <t>2014-2308</t>
  </si>
  <si>
    <t>2013-2587</t>
  </si>
  <si>
    <t>2012-359</t>
  </si>
  <si>
    <t>2011-3592</t>
  </si>
  <si>
    <t>00-00-31-1800-0008-0310</t>
  </si>
  <si>
    <t>211 BROOME ST</t>
  </si>
  <si>
    <t>CLAYTON KERSTIN (3/16%) &amp; HOLMES WM O &amp; LAWRENCE &amp; HOLMES THEODORE ETAL</t>
  </si>
  <si>
    <t>BLOCK 8 LOTS 31 &amp; 32 &amp; N1/2 OF LOT 30 (EX E7 FT) PT OR 1172/1741 &amp; OR 1104/446</t>
  </si>
  <si>
    <t>2017-2092</t>
  </si>
  <si>
    <t>BENNU LLC JHA1FC58Y</t>
  </si>
  <si>
    <t>2016-2076</t>
  </si>
  <si>
    <t>PELICAN POINT GROUP162748</t>
  </si>
  <si>
    <t>2015-2160</t>
  </si>
  <si>
    <t>D202819</t>
  </si>
  <si>
    <t>2014-2311</t>
  </si>
  <si>
    <t>00-00-31-1800-0011-0240</t>
  </si>
  <si>
    <t>4TH</t>
  </si>
  <si>
    <t>211 S 4TH ST</t>
  </si>
  <si>
    <t>VILLANI NICHOLAS</t>
  </si>
  <si>
    <t>7838 GRANITE WALK AVE</t>
  </si>
  <si>
    <t>LAS VEGAS NV</t>
  </si>
  <si>
    <t>BLOCK 11 LOTS 24 THRU 30 INC IN OR 1225/862 CITY OF FDNA BEACH</t>
  </si>
  <si>
    <t>2013-2593</t>
  </si>
  <si>
    <t>00-00-31-1800-0017-0180</t>
  </si>
  <si>
    <t>331 4TH ST N</t>
  </si>
  <si>
    <t>TAYLOR MAMIE</t>
  </si>
  <si>
    <t>841 MARY ST # A</t>
  </si>
  <si>
    <t>BLOCK 17 LOT 18 CITY OF FDNA BEACH</t>
  </si>
  <si>
    <t>2017-2096</t>
  </si>
  <si>
    <t>2016-2080</t>
  </si>
  <si>
    <t>BENNU LLC JHA11C96Y</t>
  </si>
  <si>
    <t>2014-2315</t>
  </si>
  <si>
    <t>2013-2595</t>
  </si>
  <si>
    <t>2012-365</t>
  </si>
  <si>
    <t>2011-3598</t>
  </si>
  <si>
    <t>00-00-31-1800-0019-0020</t>
  </si>
  <si>
    <t>N 4TH ST</t>
  </si>
  <si>
    <t>HOWARD JAMES W</t>
  </si>
  <si>
    <t>BLOCK 19 LOT 2 IN OR 1244/1386 CITY OF FDNA BEACH</t>
  </si>
  <si>
    <t>2017-2097</t>
  </si>
  <si>
    <t>2016-2081</t>
  </si>
  <si>
    <t>BENNU LLC JHA2101FY</t>
  </si>
  <si>
    <t>2015-2163</t>
  </si>
  <si>
    <t>2014-2317</t>
  </si>
  <si>
    <t>2013-2597</t>
  </si>
  <si>
    <t>2012-367</t>
  </si>
  <si>
    <t>2011-3599</t>
  </si>
  <si>
    <t>00-00-31-1800-0019-0130</t>
  </si>
  <si>
    <t>5TH</t>
  </si>
  <si>
    <t>N 5TH ST</t>
  </si>
  <si>
    <t>STEWART WILLIAM E</t>
  </si>
  <si>
    <t>BLOCK 19 LOT 13 IN OR 1253/481 CITY OF FDNA BEACH</t>
  </si>
  <si>
    <t>12089C_497</t>
  </si>
  <si>
    <t>2017-2098</t>
  </si>
  <si>
    <t>2016-2083</t>
  </si>
  <si>
    <t>BISBEE LLC AK2D2E3</t>
  </si>
  <si>
    <t>2015-2165</t>
  </si>
  <si>
    <t>2014-2318</t>
  </si>
  <si>
    <t>2013-2598</t>
  </si>
  <si>
    <t>2012-368</t>
  </si>
  <si>
    <t>2011-3600</t>
  </si>
  <si>
    <t>00-00-31-1800-0019-0140</t>
  </si>
  <si>
    <t>DADE</t>
  </si>
  <si>
    <t>DADE ST</t>
  </si>
  <si>
    <t>BLOCK 19 LOTS 14 &amp; 15 IN OR 1288/91 CITY OF FDNA BEACH</t>
  </si>
  <si>
    <t>2017-2099</t>
  </si>
  <si>
    <t>2016-2084</t>
  </si>
  <si>
    <t>ROUTE 7 LLC AKC1C751</t>
  </si>
  <si>
    <t>2015-2166</t>
  </si>
  <si>
    <t>2014-2319</t>
  </si>
  <si>
    <t>2013-2599</t>
  </si>
  <si>
    <t>2012-369</t>
  </si>
  <si>
    <t>2011-3601</t>
  </si>
  <si>
    <t>00-00-31-1800-0023-0130</t>
  </si>
  <si>
    <t>415 CENTRE ST</t>
  </si>
  <si>
    <t>WHITMIRE JENNIFER N</t>
  </si>
  <si>
    <t>4045 BRANDYWINE POINTE BLVD</t>
  </si>
  <si>
    <t>OLD HICKORY TN</t>
  </si>
  <si>
    <t>BLK 23 LOT 14 &amp; E 30FT OF LOT 15 &amp; E 80FT LOT 13 IN OR 1980/1094</t>
  </si>
  <si>
    <t>2017-2100</t>
  </si>
  <si>
    <t>MACHAPUCHARE AGSK LLC</t>
  </si>
  <si>
    <t>00-00-31-1800-0026-0020</t>
  </si>
  <si>
    <t>4TH ST S A</t>
  </si>
  <si>
    <t>&amp; B</t>
  </si>
  <si>
    <t>216 4TH ST S A&amp;B</t>
  </si>
  <si>
    <t>RICHO JEROME</t>
  </si>
  <si>
    <t>PRENTICE DARIUS</t>
  </si>
  <si>
    <t>330 S 12TH ST</t>
  </si>
  <si>
    <t>23-03N-28E</t>
  </si>
  <si>
    <t>BLOCK 26 LOT 2 &amp; N1/2 OF 3 IN OR 393 PG 426 CITY OF FDNA BEACH</t>
  </si>
  <si>
    <t>00-00-31-1800-0026-0050</t>
  </si>
  <si>
    <t>222 4TH ST S</t>
  </si>
  <si>
    <t>KHEMANI LISA</t>
  </si>
  <si>
    <t>4896 HUGH HOWELL RD</t>
  </si>
  <si>
    <t>STONE MOUNTAIN GA</t>
  </si>
  <si>
    <t>N45</t>
  </si>
  <si>
    <t>BLOCK 26 LOT N45 FT OF 5 &amp; S5 FT OF E1/2 OF 5 IN OR 1532/909</t>
  </si>
  <si>
    <t>00-00-31-1800-0026-0140</t>
  </si>
  <si>
    <t>410 BEECH ST</t>
  </si>
  <si>
    <t>BREAKER MARY L</t>
  </si>
  <si>
    <t>1619 W 30TH ST</t>
  </si>
  <si>
    <t>BLOCK 26 LOT 14 OR 455/588 &amp; OR 458/557 L/E IN OR 843/1632</t>
  </si>
  <si>
    <t>2017-2102</t>
  </si>
  <si>
    <t>RAPTY TRUST SERIES 6948</t>
  </si>
  <si>
    <t>00-00-31-1800-0026-0150</t>
  </si>
  <si>
    <t>BLOCK 26 LOT 15 OR 455/588 &amp; OR 458/557 L/E IN OR 843/1632</t>
  </si>
  <si>
    <t>2017-2103</t>
  </si>
  <si>
    <t>QUAIL ROOST 351 FINANCIAL SERVICES LLC</t>
  </si>
  <si>
    <t>00-00-31-1800-0027-0041</t>
  </si>
  <si>
    <t>S 5TH ST</t>
  </si>
  <si>
    <t>CHAMPION WALTER</t>
  </si>
  <si>
    <t>221 S 5TH ST</t>
  </si>
  <si>
    <t>S 5 OF E 40 OF LOT 4 PT OR 108/750 CITY OF FDNA BEACH</t>
  </si>
  <si>
    <t>00-00-31-1800-0030-0014</t>
  </si>
  <si>
    <t>CENTRE ST</t>
  </si>
  <si>
    <t>NORTHWOODS LLC</t>
  </si>
  <si>
    <t>3190 NORTHEAST EXPY NE STE 120</t>
  </si>
  <si>
    <t>BLK 30 E 3.40FT OF W 35FT OF LOT 1 &amp; E 3.4FT OF W 35FT OF S 30FT OF LOT 2</t>
  </si>
  <si>
    <t>2016-2086</t>
  </si>
  <si>
    <t>2015-2168</t>
  </si>
  <si>
    <t>2014-2321</t>
  </si>
  <si>
    <t>2012-371</t>
  </si>
  <si>
    <t>2011-3605</t>
  </si>
  <si>
    <t>00-00-31-1800-0033-0130</t>
  </si>
  <si>
    <t>6TH</t>
  </si>
  <si>
    <t>N 6TH ST</t>
  </si>
  <si>
    <t>HARRIS JR CHARLES E</t>
  </si>
  <si>
    <t>BLOCK 33 LOT 13 IN OR 758 PG 566 CITY OF FDNA BEACH</t>
  </si>
  <si>
    <t>2017-2105</t>
  </si>
  <si>
    <t>2016-2087</t>
  </si>
  <si>
    <t>2015-2169</t>
  </si>
  <si>
    <t>2014-2322</t>
  </si>
  <si>
    <t>2013-2601</t>
  </si>
  <si>
    <t>2012-372</t>
  </si>
  <si>
    <t>2011-3606</t>
  </si>
  <si>
    <t>00-00-31-1800-0041-0030</t>
  </si>
  <si>
    <t>7TH</t>
  </si>
  <si>
    <t>S 7TH ST</t>
  </si>
  <si>
    <t>BLK 41 LOT 3 PT OR 2004/377 BEING PARCEL 18</t>
  </si>
  <si>
    <t>00-00-31-1800-0048-0031</t>
  </si>
  <si>
    <t>9TH</t>
  </si>
  <si>
    <t>218 9TH ST S</t>
  </si>
  <si>
    <t>MACEDONIA A M E  CHURCH</t>
  </si>
  <si>
    <t>PO BOX 6216</t>
  </si>
  <si>
    <t>MU-1</t>
  </si>
  <si>
    <t>BLOCK 48 N1/2 OF LOT 3 IN OR 1341/1107 CITY OF FDNA BEACH</t>
  </si>
  <si>
    <t>2017-2107</t>
  </si>
  <si>
    <t>TUSCANY GLEN 668 RENTING REO LLC</t>
  </si>
  <si>
    <t>2016-2091</t>
  </si>
  <si>
    <t>CCTS LIKES TAX LIENS 125821 US BANK CUST FOR PFS FINANCIAL 2 LLC</t>
  </si>
  <si>
    <t>2014-2331</t>
  </si>
  <si>
    <t>2012-378</t>
  </si>
  <si>
    <t>00-00-31-1800-0048-0041</t>
  </si>
  <si>
    <t>CEDAR</t>
  </si>
  <si>
    <t>905 CEDAR ST</t>
  </si>
  <si>
    <t>BLUE QUINTIN O</t>
  </si>
  <si>
    <t>BLOCK 48 LOT E1/2 OF 4 IN OR 1243/614 CITY OF FDNA BEACH</t>
  </si>
  <si>
    <t>2017-2108</t>
  </si>
  <si>
    <t>SKYLER LLC O34090 SERIES</t>
  </si>
  <si>
    <t>2015-2174</t>
  </si>
  <si>
    <t>F1328</t>
  </si>
  <si>
    <t>00-00-31-1800-0048-0042</t>
  </si>
  <si>
    <t>901 CEDAR ST</t>
  </si>
  <si>
    <t>MACEDONIA A M E CHURCH</t>
  </si>
  <si>
    <t>BLOCK 48 LOT W1/2 OF 4 IN OR 1501/731 CITY OF FDNA BEACH</t>
  </si>
  <si>
    <t>2017-2109</t>
  </si>
  <si>
    <t>BISBEE LLC M1041AAR</t>
  </si>
  <si>
    <t>2016-2092</t>
  </si>
  <si>
    <t>HOSSET LLC O18951 SERIES</t>
  </si>
  <si>
    <t>2015-2175</t>
  </si>
  <si>
    <t>Z466</t>
  </si>
  <si>
    <t>2014-2332</t>
  </si>
  <si>
    <t>00-00-31-1800-0048-0051</t>
  </si>
  <si>
    <t>913 CEDAR ST</t>
  </si>
  <si>
    <t>JOHNSON GEORGIA L EST &amp; SPAULDING LOURYNE &amp; ANNETTE &amp; HUGHLEY JEANNETTE ET AL</t>
  </si>
  <si>
    <t>BLOCK 48 LOT E1/2 OF 5 IN OR 1934/282 CITY OF FDNA BEACH</t>
  </si>
  <si>
    <t>2011-3612</t>
  </si>
  <si>
    <t>00-00-31-1800-0049-0010</t>
  </si>
  <si>
    <t>112 9TH ST S</t>
  </si>
  <si>
    <t>DAVIS-TAYLOR CECILIA M</t>
  </si>
  <si>
    <t>112 S 9TH ST</t>
  </si>
  <si>
    <t>BLOCK 49 LOTS 1 2 &amp; 7 IN OR 1335/1202 CITY OF FDNA BEACH</t>
  </si>
  <si>
    <t>2017-2110</t>
  </si>
  <si>
    <t>SANMARCORA OFQFYL</t>
  </si>
  <si>
    <t>2016-2093</t>
  </si>
  <si>
    <t>BISBEE LLC AK1B28E2</t>
  </si>
  <si>
    <t>2015-2176</t>
  </si>
  <si>
    <t>YYYY2224</t>
  </si>
  <si>
    <t>2014-2333</t>
  </si>
  <si>
    <t>2013-2609</t>
  </si>
  <si>
    <t>00-00-31-1800-0051-0060</t>
  </si>
  <si>
    <t>N 10TH ST</t>
  </si>
  <si>
    <t>BAKER INEZ</t>
  </si>
  <si>
    <t>923 VERNON ST</t>
  </si>
  <si>
    <t>BLOCK 51 LOTS 6 7 CITY OF FDNA BEACH</t>
  </si>
  <si>
    <t>2017-2112</t>
  </si>
  <si>
    <t>2016-2095</t>
  </si>
  <si>
    <t>2015-2178</t>
  </si>
  <si>
    <t>2014-2334</t>
  </si>
  <si>
    <t>2013-2612</t>
  </si>
  <si>
    <t>2012-380</t>
  </si>
  <si>
    <t>2011-3615</t>
  </si>
  <si>
    <t>00-00-31-1800-0052-0021</t>
  </si>
  <si>
    <t>16 10TH ST N</t>
  </si>
  <si>
    <t>RICHO EDDIE JR &amp; CATHERINE SUSIE RICHO &amp; JACKSON AMBLER MARIE RICHO</t>
  </si>
  <si>
    <t>16 N 10TH ST</t>
  </si>
  <si>
    <t>BLOCK 52 LOT N1/2 OF 2 IN OR 714/1457 CITY OF FDNA BEACH</t>
  </si>
  <si>
    <t>2017-2113</t>
  </si>
  <si>
    <t>ECRU LLC R134BFJ</t>
  </si>
  <si>
    <t>2016-2096</t>
  </si>
  <si>
    <t>CCC491</t>
  </si>
  <si>
    <t>2015-2179</t>
  </si>
  <si>
    <t>ANDRIA704</t>
  </si>
  <si>
    <t>2014-2336</t>
  </si>
  <si>
    <t>2013-2614</t>
  </si>
  <si>
    <t>2012-381</t>
  </si>
  <si>
    <t>US BANK CUST BISBEE LLC H171DF</t>
  </si>
  <si>
    <t>2011-3616</t>
  </si>
  <si>
    <t>00-00-31-1800-0054-0051</t>
  </si>
  <si>
    <t>125 11TH ST S</t>
  </si>
  <si>
    <t>BLUE ROBERT</t>
  </si>
  <si>
    <t>SHUNTAY LAWANNA</t>
  </si>
  <si>
    <t>PO BOX 579</t>
  </si>
  <si>
    <t>BLK 54 E 50 &amp; E 25 OF N35 OF W 1/2 OF LOT 5 BY WILL EX S65 OF E50 OF LOT 5</t>
  </si>
  <si>
    <t>2017-2118</t>
  </si>
  <si>
    <t>2016-2099</t>
  </si>
  <si>
    <t>2015-2181</t>
  </si>
  <si>
    <t>2014-2338</t>
  </si>
  <si>
    <t>2013-2616</t>
  </si>
  <si>
    <t>2012-383</t>
  </si>
  <si>
    <t>2011-3618</t>
  </si>
  <si>
    <t>00-00-31-1800-0054-0052</t>
  </si>
  <si>
    <t>1015 BEECH ST</t>
  </si>
  <si>
    <t>BLUE SHUNTAY LAWANNA</t>
  </si>
  <si>
    <t>BLOCK 54 LOT S65FT OF E50 OF LOT 5 IN OR 770/247 CITY OF FDNA BEACH</t>
  </si>
  <si>
    <t>2017-2119</t>
  </si>
  <si>
    <t>PELICAN POINT GROUP47062</t>
  </si>
  <si>
    <t>2015-2182</t>
  </si>
  <si>
    <t>2014-2339</t>
  </si>
  <si>
    <t>2013-2617</t>
  </si>
  <si>
    <t>2012-384</t>
  </si>
  <si>
    <t>2011-3619</t>
  </si>
  <si>
    <t>00-00-31-1800-0054-0053</t>
  </si>
  <si>
    <t>BEECH ST</t>
  </si>
  <si>
    <t>RAYSOR SHUNTAY B</t>
  </si>
  <si>
    <t>MCGAHEE WENDALL KALIL</t>
  </si>
  <si>
    <t>BLOCK 54 W 50 OFF W 65 &amp; W 25 FT OF N 35 FT OF LOT 5 IN OR 1705/457</t>
  </si>
  <si>
    <t>2017-2120</t>
  </si>
  <si>
    <t>2016-2100</t>
  </si>
  <si>
    <t>2015-2183</t>
  </si>
  <si>
    <t>2014-2340</t>
  </si>
  <si>
    <t>2013-2618</t>
  </si>
  <si>
    <t>2012-385</t>
  </si>
  <si>
    <t>2011-3620</t>
  </si>
  <si>
    <t>00-00-31-1800-0055-0032</t>
  </si>
  <si>
    <t>222 10TH ST S</t>
  </si>
  <si>
    <t>DAVIS JOHN B</t>
  </si>
  <si>
    <t>DAVIS JR JOHN B</t>
  </si>
  <si>
    <t>PO BOX 1260</t>
  </si>
  <si>
    <t>BLOCK 55 LOT S1/2 OF 3 IN OR 1544/1869 CITY OF FDNA BEACH</t>
  </si>
  <si>
    <t>2017-2121</t>
  </si>
  <si>
    <t>BENNU LLC JHA2D4AY</t>
  </si>
  <si>
    <t>2016-2101</t>
  </si>
  <si>
    <t>DOGPOUND158053</t>
  </si>
  <si>
    <t>2015-2184</t>
  </si>
  <si>
    <t>PELICAN PIER CERTS AGQT LLC</t>
  </si>
  <si>
    <t>2014-2341</t>
  </si>
  <si>
    <t>2013-2619</t>
  </si>
  <si>
    <t>2012-386</t>
  </si>
  <si>
    <t>00-00-31-1800-0065-0011</t>
  </si>
  <si>
    <t>ESCAMBIA</t>
  </si>
  <si>
    <t>432 ESCAMBIA ST</t>
  </si>
  <si>
    <t>SHINE CELESTINE</t>
  </si>
  <si>
    <t>PO BOX 204</t>
  </si>
  <si>
    <t>BLOCK 65 LOT E1/2 OF 1 CITY OF FDNA BEACH</t>
  </si>
  <si>
    <t>12089C_921</t>
  </si>
  <si>
    <t>2017-2124</t>
  </si>
  <si>
    <t>2016-2104</t>
  </si>
  <si>
    <t>2015-2187</t>
  </si>
  <si>
    <t>2014-2344</t>
  </si>
  <si>
    <t>2013-2621</t>
  </si>
  <si>
    <t>2012-389</t>
  </si>
  <si>
    <t>2011-3624</t>
  </si>
  <si>
    <t>00-00-31-1800-0067-0080</t>
  </si>
  <si>
    <t>N 8TH ST</t>
  </si>
  <si>
    <t>BLOCK 67 LOT 8 EX N 10 FT PT OR 1488/1658 CITY OF FDNA BEACH</t>
  </si>
  <si>
    <t>2017-2125</t>
  </si>
  <si>
    <t>2016-2105</t>
  </si>
  <si>
    <t>2015-2189</t>
  </si>
  <si>
    <t>2014-2345</t>
  </si>
  <si>
    <t>2013-2622</t>
  </si>
  <si>
    <t>2012-391</t>
  </si>
  <si>
    <t>2011-3626</t>
  </si>
  <si>
    <t>00-00-31-1800-0068-0040</t>
  </si>
  <si>
    <t>CALHOUN ST</t>
  </si>
  <si>
    <t>SNIPE VIOLA</t>
  </si>
  <si>
    <t>SIMMONS SNIPE LOUIS</t>
  </si>
  <si>
    <t>914 CALHOUN ST</t>
  </si>
  <si>
    <t>BLOCK 68 LOT 4 CITY OF FDNA BEACH</t>
  </si>
  <si>
    <t>2017-2126</t>
  </si>
  <si>
    <t>2016-2107</t>
  </si>
  <si>
    <t>2015-2191</t>
  </si>
  <si>
    <t>2014-2346</t>
  </si>
  <si>
    <t>DANIELLE FRANKLIN</t>
  </si>
  <si>
    <t>2013-2623</t>
  </si>
  <si>
    <t>2012-392</t>
  </si>
  <si>
    <t>2011-3627</t>
  </si>
  <si>
    <t>00-00-31-1800-0071-0031</t>
  </si>
  <si>
    <t>222 N 8TH ST</t>
  </si>
  <si>
    <t>BLOCK 71 LOT N 1/3 OF 3 PT OR 1488/1658 CITY OF FDNA BEACH</t>
  </si>
  <si>
    <t>2017-2127</t>
  </si>
  <si>
    <t>2016-2108</t>
  </si>
  <si>
    <t>2015-2192</t>
  </si>
  <si>
    <t>2014-2347</t>
  </si>
  <si>
    <t>2013-2625</t>
  </si>
  <si>
    <t>2012-395</t>
  </si>
  <si>
    <t>2011-3629</t>
  </si>
  <si>
    <t>00-00-31-1800-0072-0011</t>
  </si>
  <si>
    <t>316 N 8TH ST</t>
  </si>
  <si>
    <t>BLOCK 72 LOT N 25 FT OF 1 PT OR 1488/1658 CITY OF FDNA BEACH</t>
  </si>
  <si>
    <t>2017-2128</t>
  </si>
  <si>
    <t>2016-2109</t>
  </si>
  <si>
    <t>2015-2193</t>
  </si>
  <si>
    <t>2014-2348</t>
  </si>
  <si>
    <t>2013-2626</t>
  </si>
  <si>
    <t>2012-396</t>
  </si>
  <si>
    <t>2011-3630</t>
  </si>
  <si>
    <t>COMIAN XI TAX LIEN FUND, LLC</t>
  </si>
  <si>
    <t>00-00-31-1800-0072-0012</t>
  </si>
  <si>
    <t>BLOCK 72 LOT S 75 FT OF 1 (EX S-3) PT OR 1488/1658</t>
  </si>
  <si>
    <t>2017-2129</t>
  </si>
  <si>
    <t>2016-2110</t>
  </si>
  <si>
    <t>2015-2194</t>
  </si>
  <si>
    <t>2014-2349</t>
  </si>
  <si>
    <t>WILLIAM SCHRANTZ</t>
  </si>
  <si>
    <t>2013-2627</t>
  </si>
  <si>
    <t>2012-397</t>
  </si>
  <si>
    <t>2011-3631</t>
  </si>
  <si>
    <t>00-00-31-1800-0072-0013</t>
  </si>
  <si>
    <t>BLOCK 72 S75 OF W1/2 OF LOT 1 PT OR 1488/1658 CITY OF FDNA BEACH</t>
  </si>
  <si>
    <t>2017-2130</t>
  </si>
  <si>
    <t>2016-2111</t>
  </si>
  <si>
    <t>2015-2195</t>
  </si>
  <si>
    <t>2014-2350</t>
  </si>
  <si>
    <t>2013-2628</t>
  </si>
  <si>
    <t>2012-398</t>
  </si>
  <si>
    <t>2011-3632</t>
  </si>
  <si>
    <t>00-00-31-1800-0072-0020</t>
  </si>
  <si>
    <t>BLOCK 72 LOT 2 PT OR 1488/1658 CITY OF FDNA BEACH</t>
  </si>
  <si>
    <t>2017-2131</t>
  </si>
  <si>
    <t>2016-2112</t>
  </si>
  <si>
    <t>2015-2196</t>
  </si>
  <si>
    <t>2014-2351</t>
  </si>
  <si>
    <t>2013-2629</t>
  </si>
  <si>
    <t>2012-399</t>
  </si>
  <si>
    <t>2011-3633</t>
  </si>
  <si>
    <t>00-00-31-1800-0072-0030</t>
  </si>
  <si>
    <t>BLOCK 72 LOT 3 PT OR 1488/1658 CITY OF FDNA BEACH</t>
  </si>
  <si>
    <t>2017-2132</t>
  </si>
  <si>
    <t>2016-2113</t>
  </si>
  <si>
    <t>2015-2197</t>
  </si>
  <si>
    <t>2014-2352</t>
  </si>
  <si>
    <t>2013-2630</t>
  </si>
  <si>
    <t>2012-400</t>
  </si>
  <si>
    <t>2011-3634</t>
  </si>
  <si>
    <t>00-00-31-1800-0072-0071</t>
  </si>
  <si>
    <t>319 N 9TH ST</t>
  </si>
  <si>
    <t>BLOCK 72 LOT N1/2 OF 7 PT OR 1488/1658 CITY OF FDNA BEACH</t>
  </si>
  <si>
    <t>2017-2133</t>
  </si>
  <si>
    <t>2016-2115</t>
  </si>
  <si>
    <t>2015-2199</t>
  </si>
  <si>
    <t>2014-2353</t>
  </si>
  <si>
    <t>2013-2631</t>
  </si>
  <si>
    <t>2012-401</t>
  </si>
  <si>
    <t>2011-3636</t>
  </si>
  <si>
    <t>00-00-31-1800-0072-0072</t>
  </si>
  <si>
    <t>N 9TH ST</t>
  </si>
  <si>
    <t>BLOCK 72 LOT S1/2 OF 7 PT OR 1488/1658 CITY OF FDNA BEACH</t>
  </si>
  <si>
    <t>2017-2134</t>
  </si>
  <si>
    <t>2016-2116</t>
  </si>
  <si>
    <t>2015-2200</t>
  </si>
  <si>
    <t>2014-2354</t>
  </si>
  <si>
    <t>2013-2632</t>
  </si>
  <si>
    <t>2012-402</t>
  </si>
  <si>
    <t>2011-3637</t>
  </si>
  <si>
    <t>00-00-31-1800-0077-0031</t>
  </si>
  <si>
    <t>320 9TH ST N</t>
  </si>
  <si>
    <t>WRIGHT LOIS</t>
  </si>
  <si>
    <t>1372 WASHINGTON AVE APT 13E</t>
  </si>
  <si>
    <t>BRONX NY</t>
  </si>
  <si>
    <t>BLOCK 77 N 1/2 OF LOT 3 IN OR 1913/648 CITY OF FERNANDINA BCH</t>
  </si>
  <si>
    <t>2017-2135</t>
  </si>
  <si>
    <t>2016-2117</t>
  </si>
  <si>
    <t>2015-2201</t>
  </si>
  <si>
    <t>2014-2355</t>
  </si>
  <si>
    <t>2013-2633</t>
  </si>
  <si>
    <t>2012-403</t>
  </si>
  <si>
    <t>2011-3638</t>
  </si>
  <si>
    <t>00-00-31-1800-0077-0071</t>
  </si>
  <si>
    <t>TIFTON NASSAU LLC</t>
  </si>
  <si>
    <t>PO BOX 15163</t>
  </si>
  <si>
    <t>BLOCK 77 N1/2 OF LOT 7 PT OR 1751/1277 CITY OF FDNA BEACH</t>
  </si>
  <si>
    <t>2011-3639</t>
  </si>
  <si>
    <t>00-00-31-1800-0078-0020</t>
  </si>
  <si>
    <t>BLOCK 78 LOTS 2 3 6 CITY OF FDNA BEACH</t>
  </si>
  <si>
    <t>2017-2136</t>
  </si>
  <si>
    <t>00-00-31-1800-0081-0030</t>
  </si>
  <si>
    <t>222 10TH ST N</t>
  </si>
  <si>
    <t>DAVIS ANDREA</t>
  </si>
  <si>
    <t>JOHNSON NADINE DAVIS</t>
  </si>
  <si>
    <t>222 N 10TH ST</t>
  </si>
  <si>
    <t>BLOCK 81 LOT 3 OR 130/615 CITY OF FDNA BEACH</t>
  </si>
  <si>
    <t>2017-2138</t>
  </si>
  <si>
    <t>TRAPP409</t>
  </si>
  <si>
    <t>2015-2202</t>
  </si>
  <si>
    <t>A122090</t>
  </si>
  <si>
    <t>2011-3642</t>
  </si>
  <si>
    <t>00-00-31-1800-0082-0050</t>
  </si>
  <si>
    <t>N 11TH ST</t>
  </si>
  <si>
    <t>ALBERTIE GREGORY K</t>
  </si>
  <si>
    <t>ALBERTIE KATHERINE R</t>
  </si>
  <si>
    <t>319 N 11TH ST</t>
  </si>
  <si>
    <t>BLOCK 82 LOT 5 PT OR 792/887 CITY OF FDNA BEACH</t>
  </si>
  <si>
    <t>2017-2140</t>
  </si>
  <si>
    <t>2016-2119</t>
  </si>
  <si>
    <t>2016-2233</t>
  </si>
  <si>
    <t>2016-2239</t>
  </si>
  <si>
    <t>2016-2241</t>
  </si>
  <si>
    <t>2012-407</t>
  </si>
  <si>
    <t>00-00-31-1800-0082-0080</t>
  </si>
  <si>
    <t>1009 CALHOUN ST</t>
  </si>
  <si>
    <t>BOOTH SHARON H</t>
  </si>
  <si>
    <t>BLOCK 82 W1/2 OF LOT 8 IN OR 1414/1133 CITY OF FDNA BEACH</t>
  </si>
  <si>
    <t>2017-2141</t>
  </si>
  <si>
    <t>ORANGE DOLPHINS XECB LLC</t>
  </si>
  <si>
    <t>2016-2120</t>
  </si>
  <si>
    <t>ECRU LLC AK396D244</t>
  </si>
  <si>
    <t>2015-2205</t>
  </si>
  <si>
    <t>M217</t>
  </si>
  <si>
    <t>2014-2359</t>
  </si>
  <si>
    <t>2013-2638</t>
  </si>
  <si>
    <t>2012-408</t>
  </si>
  <si>
    <t>2011-3644</t>
  </si>
  <si>
    <t>00-00-31-1800-0084-0040</t>
  </si>
  <si>
    <t>FRANKLIN</t>
  </si>
  <si>
    <t>1012 FRANKLIN ST</t>
  </si>
  <si>
    <t>RILEY FANNIE MAE</t>
  </si>
  <si>
    <t>BLOCK 84 LOT 4 2/6 HX INT CITY OF FDNA BEACH</t>
  </si>
  <si>
    <t>2017-2142</t>
  </si>
  <si>
    <t>KINGFISHER KEY TAX AIKC LLC</t>
  </si>
  <si>
    <t>2015-2206</t>
  </si>
  <si>
    <t>EVERETT UNLIMITED220</t>
  </si>
  <si>
    <t>2014-2360</t>
  </si>
  <si>
    <t>2013-2639</t>
  </si>
  <si>
    <t>2012-409</t>
  </si>
  <si>
    <t>2011-3645</t>
  </si>
  <si>
    <t>DERICK LESTER</t>
  </si>
  <si>
    <t>00-00-31-1800-0084-0051</t>
  </si>
  <si>
    <t>RILEY IDA MAE &amp; RILELY IRA &amp; REBECCA &amp; HELEN M</t>
  </si>
  <si>
    <t>BLOCK 84 LOT N 1/2 OF 5 L/E OR 254/177 CITY OF FDNA BEACH</t>
  </si>
  <si>
    <t>2017-2143</t>
  </si>
  <si>
    <t>2016-2121</t>
  </si>
  <si>
    <t>2015-2207</t>
  </si>
  <si>
    <t>2014-2361</t>
  </si>
  <si>
    <t>2013-2640</t>
  </si>
  <si>
    <t>2012-410</t>
  </si>
  <si>
    <t>00-00-31-1800-0129-0030</t>
  </si>
  <si>
    <t>320 8TH ST S</t>
  </si>
  <si>
    <t>BUILDING AMELIA LLC</t>
  </si>
  <si>
    <t>C-2</t>
  </si>
  <si>
    <t>BLOCK 129 LOT 3 PT OR 2001/1010 CITY OF FDNA BEACH</t>
  </si>
  <si>
    <t>00-00-31-1800-0129-0062</t>
  </si>
  <si>
    <t>323 S 9TH ST</t>
  </si>
  <si>
    <t>BLOCK 129 LOT S1/2 OF 6 IN OR 2001/1010 CITY OF FDNA BEACH</t>
  </si>
  <si>
    <t>2012-413</t>
  </si>
  <si>
    <t>2011-3648</t>
  </si>
  <si>
    <t>00-00-31-1800-0130-0022</t>
  </si>
  <si>
    <t>9TH ST S U</t>
  </si>
  <si>
    <t>316 9TH ST S U&amp;D</t>
  </si>
  <si>
    <t>BLOCK 130 S1/2 OF LOT 2 IN OR 1207/1645 CITY OF FDNA BEACH</t>
  </si>
  <si>
    <t>2017-2145</t>
  </si>
  <si>
    <t>TRIAD HOLDINGS2016</t>
  </si>
  <si>
    <t>2016-2125</t>
  </si>
  <si>
    <t>LIMELO WHALE CERTS 860 LLC</t>
  </si>
  <si>
    <t>2015-2209</t>
  </si>
  <si>
    <t>A17609</t>
  </si>
  <si>
    <t>2014-2364</t>
  </si>
  <si>
    <t>2013-2646</t>
  </si>
  <si>
    <t>2012-414</t>
  </si>
  <si>
    <t>US BANK CUST BISBEE LLC H171D3</t>
  </si>
  <si>
    <t>2011-3650</t>
  </si>
  <si>
    <t>00-00-31-1800-0130-0060</t>
  </si>
  <si>
    <t>317 10TH ST S</t>
  </si>
  <si>
    <t>TOLBERT CARLTON E</t>
  </si>
  <si>
    <t>BLOCK 130 LOT 6 (EX S-1) IN OR 1829/602 CITY OF FDNA BEACH</t>
  </si>
  <si>
    <t>00-00-31-1800-0130-0071</t>
  </si>
  <si>
    <t>311 10TH ST S</t>
  </si>
  <si>
    <t>TOLBERT ROBIN WILSON</t>
  </si>
  <si>
    <t>BLOCK 130 N1/2 OF LOT 7 IN OR 1743/226 CITY OF FDNA BEACH</t>
  </si>
  <si>
    <t>2013-2647</t>
  </si>
  <si>
    <t>00-00-31-1800-0133-0060</t>
  </si>
  <si>
    <t>S 10TH ST</t>
  </si>
  <si>
    <t>YOUMAN EARL</t>
  </si>
  <si>
    <t>425 S 10TH ST</t>
  </si>
  <si>
    <t>BLK 133 LOT 6 (EX PT IN OR 1043/1134) CITY OF FDNA BEACH OF</t>
  </si>
  <si>
    <t>2017-2148</t>
  </si>
  <si>
    <t>2016-2127</t>
  </si>
  <si>
    <t>ECRU LLC TSAM5C9</t>
  </si>
  <si>
    <t>2015-2212</t>
  </si>
  <si>
    <t>DUNE VENTURES148805</t>
  </si>
  <si>
    <t>2016-2234</t>
  </si>
  <si>
    <t>SETPER LLC O61933 SERIES</t>
  </si>
  <si>
    <t>2014-2367</t>
  </si>
  <si>
    <t>2013-2652</t>
  </si>
  <si>
    <t>2011-3656</t>
  </si>
  <si>
    <t>00-00-31-1800-0134-0062</t>
  </si>
  <si>
    <t>423 9TH ST S</t>
  </si>
  <si>
    <t>RAYSOR ROBIN R</t>
  </si>
  <si>
    <t>423 S 9TH ST</t>
  </si>
  <si>
    <t>BLOCK 134 LOT S1/2 OF 6 IN OR 1993/1083 CITY OF FDNA BEACH</t>
  </si>
  <si>
    <t>2017-2149</t>
  </si>
  <si>
    <t>KINGFISHER REEF TAX YCZA</t>
  </si>
  <si>
    <t>2015-2214</t>
  </si>
  <si>
    <t>CCTS FL 38949 US BANK CUST FOR PFS FINANCIAL 2 LLC</t>
  </si>
  <si>
    <t>2013-2655</t>
  </si>
  <si>
    <t>2012-420</t>
  </si>
  <si>
    <t>2011-3662</t>
  </si>
  <si>
    <t>00-00-31-1800-0135-0050</t>
  </si>
  <si>
    <t>425 S 8TH ST</t>
  </si>
  <si>
    <t>HAIR TONY R</t>
  </si>
  <si>
    <t>HAIR VIRGINIA G</t>
  </si>
  <si>
    <t>BLOCK 135 LOTS 5 &amp; 6 PT OR 1019/1866 CITY OF FDNA BEACH</t>
  </si>
  <si>
    <t>2017-2150</t>
  </si>
  <si>
    <t>CEMAS 7378 LLC</t>
  </si>
  <si>
    <t>2016-2129</t>
  </si>
  <si>
    <t>BASNU 413 LLC</t>
  </si>
  <si>
    <t>2015-2215</t>
  </si>
  <si>
    <t>PEACH PORPOISE 1536 LLC</t>
  </si>
  <si>
    <t>2014-2369</t>
  </si>
  <si>
    <t>2012-421</t>
  </si>
  <si>
    <t>2011-3664</t>
  </si>
  <si>
    <t>00-00-31-1800-0135-0070</t>
  </si>
  <si>
    <t>425 8TH ST S</t>
  </si>
  <si>
    <t>BLOCK 135 LOT 7 PT OR 1019/1866 ESMT PT OR 1020/522</t>
  </si>
  <si>
    <t>2017-2151</t>
  </si>
  <si>
    <t>BENNU LLC YS1CND5CJ</t>
  </si>
  <si>
    <t>2015-2216</t>
  </si>
  <si>
    <t>2014-2370</t>
  </si>
  <si>
    <t>2012-422</t>
  </si>
  <si>
    <t>2011-3665</t>
  </si>
  <si>
    <t>00-00-31-1800-0139-0080</t>
  </si>
  <si>
    <t>531 6TH ST S</t>
  </si>
  <si>
    <t>JONES ANDREA RACHAEL</t>
  </si>
  <si>
    <t>BLOCK 139 LOTS 8 &amp; 9 IN OR 523 PG 19 (1/2 INT HX) CITY OF FDNA BEACH</t>
  </si>
  <si>
    <t>2016-2131</t>
  </si>
  <si>
    <t>GGG1608</t>
  </si>
  <si>
    <t>2014-2374</t>
  </si>
  <si>
    <t>2013-2657</t>
  </si>
  <si>
    <t>2012-424</t>
  </si>
  <si>
    <t>US BANK CUST BISBEE LLC H171EF</t>
  </si>
  <si>
    <t>00-00-31-1800-0139-0130</t>
  </si>
  <si>
    <t>511 6TH ST S</t>
  </si>
  <si>
    <t>BROWN ALDO R</t>
  </si>
  <si>
    <t>511 S 6TH ST</t>
  </si>
  <si>
    <t>BLOCK 139 LOT 13 CITY OF FDNA BEACH</t>
  </si>
  <si>
    <t>2017-2154</t>
  </si>
  <si>
    <t>GRAPESEED INDUSTRIES225731</t>
  </si>
  <si>
    <t>2016-2132</t>
  </si>
  <si>
    <t>BENNU LLC JA18D3S</t>
  </si>
  <si>
    <t>2015-2219</t>
  </si>
  <si>
    <t>CCTS CAPITAL - FLORIDA 4470 US BANK CUST FOR PFS FINANCIAL 2 LLC</t>
  </si>
  <si>
    <t>2014-2375</t>
  </si>
  <si>
    <t>2013-2658</t>
  </si>
  <si>
    <t>2011-3668</t>
  </si>
  <si>
    <t>00-00-31-1800-0140-0070</t>
  </si>
  <si>
    <t>517 7TH ST S</t>
  </si>
  <si>
    <t>TESTON RASTUS T</t>
  </si>
  <si>
    <t>517 S 7TH ST</t>
  </si>
  <si>
    <t>BLOCK 140 LOT 7 OR 554/555 &amp; OR 841/1249 CITY OF FDNA BEACH</t>
  </si>
  <si>
    <t>2017-2155</t>
  </si>
  <si>
    <t>DOGPOUND140294</t>
  </si>
  <si>
    <t>2016-2133</t>
  </si>
  <si>
    <t>BENNU LLC JHA36E0Y</t>
  </si>
  <si>
    <t>2015-2220</t>
  </si>
  <si>
    <t>SARAVA LLC SERIES A006496</t>
  </si>
  <si>
    <t>2013-2660</t>
  </si>
  <si>
    <t>2012-427</t>
  </si>
  <si>
    <t>00-00-31-1800-0143-0022</t>
  </si>
  <si>
    <t>514 9TH ST S</t>
  </si>
  <si>
    <t>WARREN GILBERT</t>
  </si>
  <si>
    <t>PO BOX 16763</t>
  </si>
  <si>
    <t>BLOCK 143 LOT S1/2 OF 2 CITY OF FDNA BEACH</t>
  </si>
  <si>
    <t>2017-2156</t>
  </si>
  <si>
    <t>2016-2135</t>
  </si>
  <si>
    <t>2015-2221</t>
  </si>
  <si>
    <t>2014-2377</t>
  </si>
  <si>
    <t>2013-2662</t>
  </si>
  <si>
    <t>00-00-31-1800-0143-0042</t>
  </si>
  <si>
    <t>9TH ST S A</t>
  </si>
  <si>
    <t>530 9TH ST S A&amp;B</t>
  </si>
  <si>
    <t>BLOCK 143 LOT S1/2 OF 4 IN OR 1279/1351 CITY OF FDNA BEACH</t>
  </si>
  <si>
    <t>2017-2157</t>
  </si>
  <si>
    <t>2016-2136</t>
  </si>
  <si>
    <t>2015-2222</t>
  </si>
  <si>
    <t>2014-2378</t>
  </si>
  <si>
    <t>2013-2663</t>
  </si>
  <si>
    <t>2012-428</t>
  </si>
  <si>
    <t>2011-3671</t>
  </si>
  <si>
    <t>00-00-31-1800-0146-0022</t>
  </si>
  <si>
    <t>S 9TH ST</t>
  </si>
  <si>
    <t>RIVER GREEN STATE</t>
  </si>
  <si>
    <t>11323 PHULIPPKWY</t>
  </si>
  <si>
    <t>BLOCK 146 LOT S1/2 OF 2 OR 164 PG 77 CITY OF FDNA BEACH</t>
  </si>
  <si>
    <t>2014-2380</t>
  </si>
  <si>
    <t>2012-430</t>
  </si>
  <si>
    <t>2011-3675</t>
  </si>
  <si>
    <t>00-00-31-1800-0146-0061</t>
  </si>
  <si>
    <t>619 10TH ST S</t>
  </si>
  <si>
    <t>HOLCEY MARK C &amp; HOLCEY CARLOS D &amp; CHERRELL M &amp; HOLCEY GUS A</t>
  </si>
  <si>
    <t>619 S 10TH ST</t>
  </si>
  <si>
    <t>BLOCK 146 N1/2 OF LOT 6 IN OR 1658/96 CITY OF FDNA BEACH</t>
  </si>
  <si>
    <t>2017-2158</t>
  </si>
  <si>
    <t>GRASS BAYOU CERTS 5ADC LLC</t>
  </si>
  <si>
    <t>2013-2666</t>
  </si>
  <si>
    <t>2012-431</t>
  </si>
  <si>
    <t>US BANK CUST BISBEE LLC H171E5</t>
  </si>
  <si>
    <t>2011-3676</t>
  </si>
  <si>
    <t>00-00-31-1800-0156-0270</t>
  </si>
  <si>
    <t>GUM</t>
  </si>
  <si>
    <t>1012 GUM ST</t>
  </si>
  <si>
    <t>TYLER ONEAL JR (TRUSTEE OF) ONEAL TYLER SR FAMILY</t>
  </si>
  <si>
    <t>504 N DONAR DR</t>
  </si>
  <si>
    <t>COLUMBIA SC</t>
  </si>
  <si>
    <t>BLOCK 156 LOTS 27 28 29 30 31 &amp; 32 PT OR 1500/927 CITY OF FDNA BEACH</t>
  </si>
  <si>
    <t>2017-2160</t>
  </si>
  <si>
    <t>AZTEC ADVISORY SERVICES138151</t>
  </si>
  <si>
    <t>2016-2139</t>
  </si>
  <si>
    <t>BENNU LLC JHA21D7DY</t>
  </si>
  <si>
    <t>2015-2225</t>
  </si>
  <si>
    <t>ORANGE DOLPHINS XDTV LLC</t>
  </si>
  <si>
    <t>2014-2383</t>
  </si>
  <si>
    <t>2013-2671</t>
  </si>
  <si>
    <t>2012-439</t>
  </si>
  <si>
    <t>2011-3683</t>
  </si>
  <si>
    <t>00-00-31-1800-0157-0011</t>
  </si>
  <si>
    <t>HICKORY ST A</t>
  </si>
  <si>
    <t>1010 HICKORY ST A&amp;B</t>
  </si>
  <si>
    <t>JGSP INVESTMENTS LLC</t>
  </si>
  <si>
    <t>BLOCK 157 E1/2 OF LOTS 1 2 3 4 IN OR 793/717</t>
  </si>
  <si>
    <t>00-00-31-1800-0158-0070</t>
  </si>
  <si>
    <t>806 S 9TH ST</t>
  </si>
  <si>
    <t>EVANS JESSIE H</t>
  </si>
  <si>
    <t>3501 AVENUE T</t>
  </si>
  <si>
    <t>RIVIERA BEACH FL</t>
  </si>
  <si>
    <t>BLOCK 158 LOT 7 CITY OF FDNA BEACH</t>
  </si>
  <si>
    <t>2017-2161</t>
  </si>
  <si>
    <t>00-00-31-1800-0168-0090</t>
  </si>
  <si>
    <t>MCCOY BERTHA</t>
  </si>
  <si>
    <t>905 S 9TH ST</t>
  </si>
  <si>
    <t>BLOCK 168 LOTS 9 10 CITY OF FDNA BEACH</t>
  </si>
  <si>
    <t>2011-3696</t>
  </si>
  <si>
    <t>00-00-31-1800-0170-0070</t>
  </si>
  <si>
    <t>1014 10TH ST S</t>
  </si>
  <si>
    <t>TYLER LEONIA M</t>
  </si>
  <si>
    <t>1274 NIPIGON AVE S</t>
  </si>
  <si>
    <t>BLOCK 170 LOTS 7 8 9 &amp; 10 IN OR 893/345 CITY OF FDNA BEACH</t>
  </si>
  <si>
    <t>2017-2164</t>
  </si>
  <si>
    <t>SKYLER LLC O55289 SERIES</t>
  </si>
  <si>
    <t>2016-2144</t>
  </si>
  <si>
    <t>OCEAN ADVISORS121914</t>
  </si>
  <si>
    <t>2015-2232</t>
  </si>
  <si>
    <t>GRASS RIVER INVESTMENTS AJDW LLC</t>
  </si>
  <si>
    <t>2014-2391</t>
  </si>
  <si>
    <t>2013-2682</t>
  </si>
  <si>
    <t>2012-453</t>
  </si>
  <si>
    <t>CRACKLE7 LLC</t>
  </si>
  <si>
    <t>2011-3700</t>
  </si>
  <si>
    <t>00-00-31-1800-0171-0190</t>
  </si>
  <si>
    <t>1023 10TH ST S</t>
  </si>
  <si>
    <t>OLSON THOMAS WALTER</t>
  </si>
  <si>
    <t>CARSTENS OLSON ALMA W</t>
  </si>
  <si>
    <t>3RA AVE SUR 20 ANTIGUA</t>
  </si>
  <si>
    <t>SACATEPQUEZ GUATEMALA XX</t>
  </si>
  <si>
    <t>BLOCK 171 LOTS 19 20 21 &amp; S1/2 OF LOT 22 IN OR 2043/1979</t>
  </si>
  <si>
    <t>2017-2165</t>
  </si>
  <si>
    <t>SANMARCORA RHETGX</t>
  </si>
  <si>
    <t>2015-2235</t>
  </si>
  <si>
    <t>PELICAN JETTY CERTS AAJN LLC</t>
  </si>
  <si>
    <t>2014-2393</t>
  </si>
  <si>
    <t>2013-2686</t>
  </si>
  <si>
    <t>00-00-31-1800-0172-0310</t>
  </si>
  <si>
    <t>JASMINE</t>
  </si>
  <si>
    <t>814 JASMINE ST</t>
  </si>
  <si>
    <t>KYLE ELAINE STEWART</t>
  </si>
  <si>
    <t>1050 VICTORY LAKE DR</t>
  </si>
  <si>
    <t>BLOCK 172 LOTS 31 &amp; 32 IN OR 929/1157 &amp; OR 1364/776 CITY OF FDNA BEACH</t>
  </si>
  <si>
    <t>2017-2167</t>
  </si>
  <si>
    <t>GENERATIONAL MANAGEMENT 9</t>
  </si>
  <si>
    <t>2016-2145</t>
  </si>
  <si>
    <t>2015-2237</t>
  </si>
  <si>
    <t>2014-2395</t>
  </si>
  <si>
    <t>2013-2687</t>
  </si>
  <si>
    <t>TAX EASE FL REO, LLC</t>
  </si>
  <si>
    <t>2013-2886</t>
  </si>
  <si>
    <t>2013-2898</t>
  </si>
  <si>
    <t>2013-2904</t>
  </si>
  <si>
    <t>00-00-31-1800-0181-0020</t>
  </si>
  <si>
    <t>1111 10TH ST S</t>
  </si>
  <si>
    <t>FISHER PAMELIA F</t>
  </si>
  <si>
    <t>WILSON NETHERLAND F</t>
  </si>
  <si>
    <t>BLOCK 181 LOT 2 &amp; N1/2 OF LOT 7 &amp; S1/2 OF LOT 8 IN OR 1231/301</t>
  </si>
  <si>
    <t>2017-2168</t>
  </si>
  <si>
    <t>BISBEE LLC AR21A5D33</t>
  </si>
  <si>
    <t>2016-2147</t>
  </si>
  <si>
    <t>SUMMER BIRD LLC SERIES A002609</t>
  </si>
  <si>
    <t>2015-2238</t>
  </si>
  <si>
    <t>F14742</t>
  </si>
  <si>
    <t>2014-2396</t>
  </si>
  <si>
    <t>2013-2688</t>
  </si>
  <si>
    <t>2012-459</t>
  </si>
  <si>
    <t>US BANK CUST BISBEE LLC H171D1</t>
  </si>
  <si>
    <t>00-00-31-1800-0182-0071</t>
  </si>
  <si>
    <t>1111 11TH ST S</t>
  </si>
  <si>
    <t>POLLARD JAVONE D</t>
  </si>
  <si>
    <t>1111 S 11TH ST</t>
  </si>
  <si>
    <t>BLOCK 182 N1/2 OF LOT 7 A/K/A SUBLOTS A &amp; B IN OR 802/577</t>
  </si>
  <si>
    <t>2017-2169</t>
  </si>
  <si>
    <t>BENNU LLC JY24Q7CBA</t>
  </si>
  <si>
    <t>2016-2148</t>
  </si>
  <si>
    <t>C5485</t>
  </si>
  <si>
    <t>2015-2239</t>
  </si>
  <si>
    <t>SUTTON INVESTMENT51272</t>
  </si>
  <si>
    <t>2014-2398</t>
  </si>
  <si>
    <t>2013-2691</t>
  </si>
  <si>
    <t>2011-3706</t>
  </si>
  <si>
    <t>00-00-31-1800-0182-0072</t>
  </si>
  <si>
    <t>1115 11TH ST S</t>
  </si>
  <si>
    <t>MARTIN ROBERT</t>
  </si>
  <si>
    <t>PO BOX 15073</t>
  </si>
  <si>
    <t>BLOCK 182 S1/2 OF LOT 7 A/K/A SUBLOTS C &amp; D IN OR 222/616</t>
  </si>
  <si>
    <t>2017-2170</t>
  </si>
  <si>
    <t>2016-2149</t>
  </si>
  <si>
    <t>BENNU LLC LYA8Q5BR</t>
  </si>
  <si>
    <t>2015-2240</t>
  </si>
  <si>
    <t>2014-2399</t>
  </si>
  <si>
    <t>2013-2692</t>
  </si>
  <si>
    <t>2012-460</t>
  </si>
  <si>
    <t>2011-3707</t>
  </si>
  <si>
    <t>00-00-31-1800-0188-0080</t>
  </si>
  <si>
    <t>1223 5TH ST S</t>
  </si>
  <si>
    <t>DOUGLAS MARK S</t>
  </si>
  <si>
    <t>DOUGLAS NANCY</t>
  </si>
  <si>
    <t>1223 S 5TH ST</t>
  </si>
  <si>
    <t>BLOCK 188 LOT 8 IN OR 893/1042 CITY OF FDNA BEACH</t>
  </si>
  <si>
    <t>2016-2150</t>
  </si>
  <si>
    <t>YYYYY286</t>
  </si>
  <si>
    <t>00-00-31-1800-0190-0010</t>
  </si>
  <si>
    <t>360 MAGNOLIA ST</t>
  </si>
  <si>
    <t>FRENCH SUSAN N</t>
  </si>
  <si>
    <t>BLOCK 190 LOTS 1 2 &amp; 8 OR 169 PG 44 CITY OF FDNA BEACH</t>
  </si>
  <si>
    <t>2017-2171</t>
  </si>
  <si>
    <t>SWAYING PALM 326 SERVICING LLC</t>
  </si>
  <si>
    <t>2015-2242</t>
  </si>
  <si>
    <t>BISBEE LLC HL6F44</t>
  </si>
  <si>
    <t>2014-2402</t>
  </si>
  <si>
    <t>2013-2694</t>
  </si>
  <si>
    <t>2012-462</t>
  </si>
  <si>
    <t>BRIDGE TAX LLC - 316 US BANK % BRIDGE TAX LLC-316</t>
  </si>
  <si>
    <t>00-00-31-1800-0190-0070</t>
  </si>
  <si>
    <t>1311 4TH ST S</t>
  </si>
  <si>
    <t>THEOBALD RAMONA R</t>
  </si>
  <si>
    <t>BLOCK 190 LOT 7 IN OR 1210/1508 CITY OF FDNA BEACH</t>
  </si>
  <si>
    <t>00-00-31-1800-0192-0030</t>
  </si>
  <si>
    <t>1320 5TH ST S</t>
  </si>
  <si>
    <t>LOVE SHEILA A</t>
  </si>
  <si>
    <t>1320 S 5TH ST</t>
  </si>
  <si>
    <t>BLOCK 192 LOT 3 IN OR 1841/292 CITY OF FDNA BEACH</t>
  </si>
  <si>
    <t>2016-2151</t>
  </si>
  <si>
    <t>BISBEE LLC AK2BB593</t>
  </si>
  <si>
    <t>2015-2243</t>
  </si>
  <si>
    <t>MACHAPURNA ABHY LLC</t>
  </si>
  <si>
    <t>2011-3711</t>
  </si>
  <si>
    <t>00-00-31-1800-0193-0030</t>
  </si>
  <si>
    <t>1322 6TH ST S</t>
  </si>
  <si>
    <t>NAGLE EARL S</t>
  </si>
  <si>
    <t>7343 TARPON AVE</t>
  </si>
  <si>
    <t>BLOCK 193 LOT 3 IN OR 1697/1090 CITY OF FDNA BEACH</t>
  </si>
  <si>
    <t>2017-2172</t>
  </si>
  <si>
    <t>OAR LLC AND MML LLC PARTNERSHIP 556</t>
  </si>
  <si>
    <t>2016-2152</t>
  </si>
  <si>
    <t>ROUTE 7 LLC SHEAE0</t>
  </si>
  <si>
    <t>2015-2244</t>
  </si>
  <si>
    <t>BENNU LLC YS1ANE29J</t>
  </si>
  <si>
    <t>2014-2403</t>
  </si>
  <si>
    <t>2012-463</t>
  </si>
  <si>
    <t>2011-3712</t>
  </si>
  <si>
    <t>00-00-31-1800-0193-0042</t>
  </si>
  <si>
    <t>1330 6TH ST S</t>
  </si>
  <si>
    <t>THRIFT BARBARA SUE</t>
  </si>
  <si>
    <t>1330 S 6TH ST</t>
  </si>
  <si>
    <t>BLOCK 193 S10 FT OF LOT 4 &amp; BLOCK 200 N10 FT OF LOT 1 &amp; PARCEL 5 24-3N-28</t>
  </si>
  <si>
    <t>2017-2173</t>
  </si>
  <si>
    <t>GEEZ LLC AND CMON LLC PARTNERSHIP 784</t>
  </si>
  <si>
    <t>2016-2153</t>
  </si>
  <si>
    <t>BISBEE LLC X3605C33</t>
  </si>
  <si>
    <t>2015-2245</t>
  </si>
  <si>
    <t>ECRU LLC TSAMFE4</t>
  </si>
  <si>
    <t>00-00-31-1800-0196-0010</t>
  </si>
  <si>
    <t>GALLUP WILLIAM F</t>
  </si>
  <si>
    <t>GALLUP MARILYN L</t>
  </si>
  <si>
    <t>1108 OLIVE ST</t>
  </si>
  <si>
    <t>BLOCK 196 LOTS 1 2 &amp; 3 IN OR 840/276 CITY OF FDNA BEACH</t>
  </si>
  <si>
    <t>2017-2174</t>
  </si>
  <si>
    <t>BENNU LLC JHA13504Y</t>
  </si>
  <si>
    <t>2016-2154</t>
  </si>
  <si>
    <t>2015-2246</t>
  </si>
  <si>
    <t>2014-2404</t>
  </si>
  <si>
    <t>2013-2696</t>
  </si>
  <si>
    <t>2012-464</t>
  </si>
  <si>
    <t>00-00-31-1800-0196-0080</t>
  </si>
  <si>
    <t>OLIVE</t>
  </si>
  <si>
    <t>1090 OLIVE ST</t>
  </si>
  <si>
    <t>BLOCK 196 LOT 8 IN OR 1710/100 R/W IN OR 150/517</t>
  </si>
  <si>
    <t>2017-2176</t>
  </si>
  <si>
    <t>FREMONT CAPITAL MANAGEMENT151490</t>
  </si>
  <si>
    <t>2016-2156</t>
  </si>
  <si>
    <t>SANMARCORA SBBXCF</t>
  </si>
  <si>
    <t>2015-2248</t>
  </si>
  <si>
    <t>FLORIDA - CCTS CAP LLC 87791 US BANK CUST FOR PFS FINANCIAL 2 LLC</t>
  </si>
  <si>
    <t>2014-2406</t>
  </si>
  <si>
    <t>2013-2698</t>
  </si>
  <si>
    <t>2012-465</t>
  </si>
  <si>
    <t>2011-3714</t>
  </si>
  <si>
    <t>00-00-31-1800-0199-0030</t>
  </si>
  <si>
    <t>1474 CLINCH DR</t>
  </si>
  <si>
    <t>FELDMAN IRMA K</t>
  </si>
  <si>
    <t>BLOCK 199 LOT 3 OR 161 PG 387 CITY OF FDNA BEACH</t>
  </si>
  <si>
    <t>2013-2700</t>
  </si>
  <si>
    <t>00-00-31-1800-0199-0081</t>
  </si>
  <si>
    <t>BRAND JANICE</t>
  </si>
  <si>
    <t>3163 GLENRIDGE DR</t>
  </si>
  <si>
    <t>BLOCK 199 N10 FT OF LOT 8 &amp; PARCEL 4-1 OF SEC 24-3N-28 IN OR 1891/1356</t>
  </si>
  <si>
    <t>2014-2408</t>
  </si>
  <si>
    <t>2013-2701</t>
  </si>
  <si>
    <t>2012-467</t>
  </si>
  <si>
    <t>2011-3716</t>
  </si>
  <si>
    <t>00-00-31-1800-0201-0010</t>
  </si>
  <si>
    <t>NOVELTY</t>
  </si>
  <si>
    <t>514 NOVELTY ST</t>
  </si>
  <si>
    <t>PLATT MICHAEL V</t>
  </si>
  <si>
    <t>1411 S 6TH ST</t>
  </si>
  <si>
    <t>BLOCK 201 LOTS 1 &amp; 8 R787411 IN OR 906/620 CITY OF FDNA BEACH</t>
  </si>
  <si>
    <t>2016-2159</t>
  </si>
  <si>
    <t>SANMARCORA RRHJGT</t>
  </si>
  <si>
    <t>2014-2410</t>
  </si>
  <si>
    <t>2012-469</t>
  </si>
  <si>
    <t>2011-3718</t>
  </si>
  <si>
    <t>00-00-31-1800-0201-0020</t>
  </si>
  <si>
    <t>1466 S 5TH ST</t>
  </si>
  <si>
    <t>HOOPER SPICER</t>
  </si>
  <si>
    <t>1412 S NAPA ST</t>
  </si>
  <si>
    <t>BLOCK 201 LOT 2 CITY OF FDNA BEACH</t>
  </si>
  <si>
    <t>2017-2177</t>
  </si>
  <si>
    <t>2015-2249</t>
  </si>
  <si>
    <t>2014-2411</t>
  </si>
  <si>
    <t>2012-470</t>
  </si>
  <si>
    <t>2011-3719</t>
  </si>
  <si>
    <t>00-00-31-1800-0201-0050</t>
  </si>
  <si>
    <t>S 6TH ST</t>
  </si>
  <si>
    <t>HOOPER JACKIE LASHAWN</t>
  </si>
  <si>
    <t>1482 S 5TH ST</t>
  </si>
  <si>
    <t>BLOCK 201 LOT 5 IN OR 1518/226 CITY OF FDNA BEACH</t>
  </si>
  <si>
    <t>00-00-31-1800-0201-0070</t>
  </si>
  <si>
    <t>HOOPER MARION H</t>
  </si>
  <si>
    <t>BLOCK 201 LOT 7 CITY OF FDNA BEACH</t>
  </si>
  <si>
    <t>2017-2178</t>
  </si>
  <si>
    <t>2015-2250</t>
  </si>
  <si>
    <t>2014-2412</t>
  </si>
  <si>
    <t>2012-472</t>
  </si>
  <si>
    <t>2011-3720</t>
  </si>
  <si>
    <t>00-00-31-1800-0206-0070</t>
  </si>
  <si>
    <t>SIMMONS ARTHUR</t>
  </si>
  <si>
    <t>5028 DOSTIE DR S</t>
  </si>
  <si>
    <t>BLK 206 LOT 7 CITY OF FDNA BEACH S/D OF SEC 24-3N-28E</t>
  </si>
  <si>
    <t>2017-2181</t>
  </si>
  <si>
    <t>2016-2162</t>
  </si>
  <si>
    <t>2015-2252</t>
  </si>
  <si>
    <t>LILIA SIGLER</t>
  </si>
  <si>
    <t>2014-2414</t>
  </si>
  <si>
    <t>00-00-31-1800-0209-0011</t>
  </si>
  <si>
    <t>1534 8TH ST S</t>
  </si>
  <si>
    <t>GALLUP WILLIAM</t>
  </si>
  <si>
    <t>BLOCK 209 N1/2 OF LOT 1 IN OR 467 PG 236 CITY OF FDNA BEACH</t>
  </si>
  <si>
    <t>2017-2182</t>
  </si>
  <si>
    <t>PELICAN PIER CERTS ACCM LLC</t>
  </si>
  <si>
    <t>2016-2164</t>
  </si>
  <si>
    <t>PTA - 218812 - BROOKER FLORIDIAN US BANK CUST FOR PFS FINANCIAL 2 LLC</t>
  </si>
  <si>
    <t>2015-2254</t>
  </si>
  <si>
    <t>TANGERINE DELPHIS XHAT LLC</t>
  </si>
  <si>
    <t>2014-2416</t>
  </si>
  <si>
    <t>2013-2704</t>
  </si>
  <si>
    <t>2012-474</t>
  </si>
  <si>
    <t>00-00-31-1800-0209-0012</t>
  </si>
  <si>
    <t>S 8TH ST</t>
  </si>
  <si>
    <t>GALLUP MARILYN</t>
  </si>
  <si>
    <t>BLOCK 209 LOT S1/2 OF 1 IN OR 673 PG 1351 CITY OF FDNA BEACH</t>
  </si>
  <si>
    <t>2017-2183</t>
  </si>
  <si>
    <t>2016-2165</t>
  </si>
  <si>
    <t>2015-2255</t>
  </si>
  <si>
    <t>2014-2417</t>
  </si>
  <si>
    <t>2013-2705</t>
  </si>
  <si>
    <t>00-00-31-1800-0213-0022</t>
  </si>
  <si>
    <t>820 11TH ST S</t>
  </si>
  <si>
    <t>BLUE BENJAMIN J &amp; BLUE JAMES C JR &amp; ROBERT E SR &amp; CORA STEVENSON &amp; LYNDON BLUE</t>
  </si>
  <si>
    <t>BLOCK 213 N111OF W100 OF LOT2 IN OR 1522/801 CITY OF FDNA BEACH</t>
  </si>
  <si>
    <t>00-00-31-1800-0213-0091</t>
  </si>
  <si>
    <t>815 12TH ST S</t>
  </si>
  <si>
    <t>JONES JOHN CHARLES</t>
  </si>
  <si>
    <t>815 S 12TH ST</t>
  </si>
  <si>
    <t>BLOCK 213 N50 FT OF E100 FT OF LOT 9 &amp; S11 FT OF E100 FT OF LOT 10</t>
  </si>
  <si>
    <t>00-00-31-1800-0213-0094</t>
  </si>
  <si>
    <t>DIVISION</t>
  </si>
  <si>
    <t>DIVISION ST</t>
  </si>
  <si>
    <t>CMR ISLAND LLC</t>
  </si>
  <si>
    <t>1766 MEMORIAL DR STE 1</t>
  </si>
  <si>
    <t>BLOCK 213 PT OF LOTS 9 &amp; 10 IN OR 1309/1167</t>
  </si>
  <si>
    <t>2016-2167</t>
  </si>
  <si>
    <t>00-00-31-1800-0213-0103</t>
  </si>
  <si>
    <t>CMR ISLAND INC</t>
  </si>
  <si>
    <t>BLOCK 213 E 100 OF W 130 OF N 61 OF S72 OF LOT 10 (S-3) IN OR 1300/635</t>
  </si>
  <si>
    <t>00-00-31-1800-0214-01A0</t>
  </si>
  <si>
    <t>602 11TH ST S</t>
  </si>
  <si>
    <t>HARDY MERRITT S</t>
  </si>
  <si>
    <t>528 S 13TH TER</t>
  </si>
  <si>
    <t>BLOCK 214 SUB A OF 1 N 14 FT OF B OF 1 IN OR 1948/1827</t>
  </si>
  <si>
    <t>2017-2187</t>
  </si>
  <si>
    <t>SANMARCORA XQOQRN</t>
  </si>
  <si>
    <t>2016-2168</t>
  </si>
  <si>
    <t>FLOR - GROUP OMICRON 118367 US BANK CUST FOR PFS FINANCIAL 2 LLC</t>
  </si>
  <si>
    <t>00-00-31-1800-0214-03D2</t>
  </si>
  <si>
    <t>1109 GUM ST</t>
  </si>
  <si>
    <t>MCNEIL DELORES M</t>
  </si>
  <si>
    <t>BLOCK 214 SUB W1/2 OF D OF 3 &amp; W1/2 OF S 44 FT OF C OF 2 IN OR 510 PG 277</t>
  </si>
  <si>
    <t>2014-2599</t>
  </si>
  <si>
    <t>00-00-31-1800-0214-06A1</t>
  </si>
  <si>
    <t>722 DIVISION ST</t>
  </si>
  <si>
    <t>RICHO ABRAHAM</t>
  </si>
  <si>
    <t>RICHO DOROTHY JORDON</t>
  </si>
  <si>
    <t>BLOCK 214 SUB N 72 FT OF A OF 6 SUB S 28 FT OF B OF 7</t>
  </si>
  <si>
    <t>00-00-31-1800-0214-07A2</t>
  </si>
  <si>
    <t>710 DIVISION ST</t>
  </si>
  <si>
    <t>ABENDROTH AMANDA</t>
  </si>
  <si>
    <t>13700 RICHMOND PARK DR N APT 1301</t>
  </si>
  <si>
    <t>BLOCK 214 LOT S 42 FT OF A &amp; N 8 FT OF B OF 7 IN OR 1971/881</t>
  </si>
  <si>
    <t>2017-2188</t>
  </si>
  <si>
    <t>WOODLAND CREEK 77 FINANCIAL SERVICES LLC</t>
  </si>
  <si>
    <t>2016-2175</t>
  </si>
  <si>
    <t>BANDIR TAX 709 LLC</t>
  </si>
  <si>
    <t>00-00-31-1800-0214-07D1</t>
  </si>
  <si>
    <t>707 12TH ST S</t>
  </si>
  <si>
    <t>DUFFY TAWN CHRISTOPHER</t>
  </si>
  <si>
    <t>1473 FOUNTAIN DR</t>
  </si>
  <si>
    <t>BLOCK 214 N 50 FT OF D OF 7 IN OR 1851/1414</t>
  </si>
  <si>
    <t>2017-2189</t>
  </si>
  <si>
    <t>BISBEE LLC AK6D6B0</t>
  </si>
  <si>
    <t>2016-2176</t>
  </si>
  <si>
    <t>SUTTON INVESTMENT58259</t>
  </si>
  <si>
    <t>2015-2265</t>
  </si>
  <si>
    <t>GGGGG3160</t>
  </si>
  <si>
    <t>2014-2428</t>
  </si>
  <si>
    <t>2013-2712</t>
  </si>
  <si>
    <t>2012-484</t>
  </si>
  <si>
    <t>2011-3728</t>
  </si>
  <si>
    <t>2011-3886</t>
  </si>
  <si>
    <t>00-00-31-1800-0214-08D0</t>
  </si>
  <si>
    <t>631 12TH ST S</t>
  </si>
  <si>
    <t>WHICKER DANA ROBERT</t>
  </si>
  <si>
    <t>842 PARKVIEW PL E</t>
  </si>
  <si>
    <t>BLK 214 SUB D OF 8 OR 259 PG 573 CITY OF FDNA BEACH</t>
  </si>
  <si>
    <t>2017-2190</t>
  </si>
  <si>
    <t>ORANGE PORPOISE AHED LLC</t>
  </si>
  <si>
    <t>2016-2177</t>
  </si>
  <si>
    <t>HOSSET LLC O45290 SERIES</t>
  </si>
  <si>
    <t>00-00-31-1800-0214-09C2</t>
  </si>
  <si>
    <t>631 S 12TH ST</t>
  </si>
  <si>
    <t>BLOCK 214 S44 FT OF SUB C OF LOT 9 OR 1647/1588 CITY OF FDNA BEACH</t>
  </si>
  <si>
    <t>2016-2179</t>
  </si>
  <si>
    <t>2015-2267</t>
  </si>
  <si>
    <t>2014-2431</t>
  </si>
  <si>
    <t>2013-2715</t>
  </si>
  <si>
    <t>2012-487</t>
  </si>
  <si>
    <t>2011-3730</t>
  </si>
  <si>
    <t>00-00-31-1800-0215-02C1</t>
  </si>
  <si>
    <t>421 DIVISION ST</t>
  </si>
  <si>
    <t>RICHO DAYLON</t>
  </si>
  <si>
    <t>BLOCK 215 N29 FT OF C OF LOT 2 &amp; S28 FT OF D OF LOT 2 IN OR 2008/118</t>
  </si>
  <si>
    <t>00-00-31-1800-0215-10A0</t>
  </si>
  <si>
    <t>SMITH MENTORIA</t>
  </si>
  <si>
    <t>400 RONDA KAY CT APT 68</t>
  </si>
  <si>
    <t>FORT WALTON BEACH FL</t>
  </si>
  <si>
    <t>BLOCK 215 SUB A OF 10 IN OR 610/365 &amp; OR 1915/1260 CITY OF FDNA BEACH</t>
  </si>
  <si>
    <t>2016-2184</t>
  </si>
  <si>
    <t>2015-2271</t>
  </si>
  <si>
    <t>2014-2437</t>
  </si>
  <si>
    <t>2012-491</t>
  </si>
  <si>
    <t>00-00-31-1800-0216-04A0</t>
  </si>
  <si>
    <t>S 11TH ST</t>
  </si>
  <si>
    <t>MARTIN SHERRI</t>
  </si>
  <si>
    <t>85054 FURTHERVIEW CT</t>
  </si>
  <si>
    <t>BLOCK 216 SUB A OF LOT 4 IN OR 1498/1027 CITY OF FDNA BEACH</t>
  </si>
  <si>
    <t>2013-2723</t>
  </si>
  <si>
    <t>00-00-31-1800-0216-04D2</t>
  </si>
  <si>
    <t>SADLER BELLE</t>
  </si>
  <si>
    <t>1476 NW 37TH ST</t>
  </si>
  <si>
    <t>BLOCK 216 SUB S 29 FT OF D OF 4 CITY OF FDNA BEACH</t>
  </si>
  <si>
    <t>2017-2192</t>
  </si>
  <si>
    <t>2016-2186</t>
  </si>
  <si>
    <t>MICHAEL S ROBERSON</t>
  </si>
  <si>
    <t>NASSAU HABITAT FOR HUMANITY, INC.</t>
  </si>
  <si>
    <t>2015-2274</t>
  </si>
  <si>
    <t>IGOR M</t>
  </si>
  <si>
    <t>2014-2439</t>
  </si>
  <si>
    <t>2013-2725</t>
  </si>
  <si>
    <t>2012-498</t>
  </si>
  <si>
    <t>2011-3740</t>
  </si>
  <si>
    <t>00-00-31-1800-0216-05D0</t>
  </si>
  <si>
    <t>REMSON DOROTHY</t>
  </si>
  <si>
    <t>67 FOX SQUIRREL CT APT B</t>
  </si>
  <si>
    <t>BLOCK 216 SUB D OF 5 IN OR 1540/1740 CITY OF FDNA BEACH</t>
  </si>
  <si>
    <t>2017-2193</t>
  </si>
  <si>
    <t>2016-2187</t>
  </si>
  <si>
    <t>2015-2275</t>
  </si>
  <si>
    <t>2014-2440</t>
  </si>
  <si>
    <t>2011-3741</t>
  </si>
  <si>
    <t>00-00-31-1800-0216-08B0</t>
  </si>
  <si>
    <t>304 DIVISION ST</t>
  </si>
  <si>
    <t>SOUTHERS REBECCA G EST &amp; BAILEY DAISEY M</t>
  </si>
  <si>
    <t>BLOCK 216 SUB B OF 8 CITY OF FDNA BEACH</t>
  </si>
  <si>
    <t>2017-2194</t>
  </si>
  <si>
    <t>TLSK LLC AND THALSA LLC PARTNERSHIP 1378</t>
  </si>
  <si>
    <t>2016-2188</t>
  </si>
  <si>
    <t>2015-2281</t>
  </si>
  <si>
    <t>2014-2441</t>
  </si>
  <si>
    <t>2013-2730</t>
  </si>
  <si>
    <t>2012-503</t>
  </si>
  <si>
    <t>00-00-31-1800-0230-01A0</t>
  </si>
  <si>
    <t>200 S 12TH ST</t>
  </si>
  <si>
    <t>THE AMERICAN LEGION DEPARTMENT OF FLORID</t>
  </si>
  <si>
    <t>PO BOX 547859</t>
  </si>
  <si>
    <t>BLOCK 230 SUB A &amp; B OF 1 IN OR 1659/1505 CITY OF FDNA BEACH</t>
  </si>
  <si>
    <t>2016-2190</t>
  </si>
  <si>
    <t>2015-2284</t>
  </si>
  <si>
    <t>2014-2444</t>
  </si>
  <si>
    <t>2013-2732</t>
  </si>
  <si>
    <t>2012-507</t>
  </si>
  <si>
    <t>00-00-31-1800-0230-03A0</t>
  </si>
  <si>
    <t>S 12TH ST</t>
  </si>
  <si>
    <t>1260 NW 58TH TER</t>
  </si>
  <si>
    <t>BLOCK 230 SUB A OF LOT 3 IN OR 758 PG 565 CITY OF FDNA BCH</t>
  </si>
  <si>
    <t>2017-2196</t>
  </si>
  <si>
    <t>2016-2191</t>
  </si>
  <si>
    <t>2015-2285</t>
  </si>
  <si>
    <t>2014-2445</t>
  </si>
  <si>
    <t>2012-510</t>
  </si>
  <si>
    <t>2011-3751</t>
  </si>
  <si>
    <t>00-00-31-1800-0230-03D0</t>
  </si>
  <si>
    <t>VERNON</t>
  </si>
  <si>
    <t>227 VERNON ST</t>
  </si>
  <si>
    <t>BLOCK 230 SUB D OF 3 IN OR 507 PG 387 CITY OF FERNANDINA BEACH</t>
  </si>
  <si>
    <t>2017-2197</t>
  </si>
  <si>
    <t>CRAWFORD PARRISH 126 REO LLC</t>
  </si>
  <si>
    <t>2016-2192</t>
  </si>
  <si>
    <t>SLINGSHOT FUNDING LLC SERIES 22180</t>
  </si>
  <si>
    <t>2015-2286</t>
  </si>
  <si>
    <t>A10223</t>
  </si>
  <si>
    <t>2014-2447</t>
  </si>
  <si>
    <t>2013-2733</t>
  </si>
  <si>
    <t>2011-3752</t>
  </si>
  <si>
    <t>00-00-31-1800-0230-05B0</t>
  </si>
  <si>
    <t>330 12TH ST S</t>
  </si>
  <si>
    <t>RICHO RYAN</t>
  </si>
  <si>
    <t>BLOCK 230 SUB B OF LOT 5 IN OR 1401/359 CITY OF FDNA BEACH</t>
  </si>
  <si>
    <t>00-00-31-1800-0230-08B0</t>
  </si>
  <si>
    <t>302 VERNON ST</t>
  </si>
  <si>
    <t>BENTON TOMMIE L</t>
  </si>
  <si>
    <t>PO BOX 1234</t>
  </si>
  <si>
    <t>BLOCK 230 SUB B OF 8 IN OR 631 PG 1090 CITY OF FERNANDINA BEACH</t>
  </si>
  <si>
    <t>00-00-31-1800-0230-08D0</t>
  </si>
  <si>
    <t>13TH</t>
  </si>
  <si>
    <t>229 13TH ST S</t>
  </si>
  <si>
    <t>JONES CATHERINE &amp; JONES CORNELLIA &amp; RICHARD SONIA &amp; BRENDA</t>
  </si>
  <si>
    <t>229 S 13TH ST</t>
  </si>
  <si>
    <t>BLOCK 230 SUBLOT D OF LOT 8 IN OR 701/1991 CITY OF FDNA BEACH</t>
  </si>
  <si>
    <t>00-00-31-1800-0230-09C0</t>
  </si>
  <si>
    <t>225 13TH ST S</t>
  </si>
  <si>
    <t>DEMPS OSTEAN JR</t>
  </si>
  <si>
    <t>DEMPS MILDRED</t>
  </si>
  <si>
    <t>BLOCK 230 SUB C OF LOT 9 IN OR 1419/1990 CITY OF FDNA BEACH</t>
  </si>
  <si>
    <t>2017-2199</t>
  </si>
  <si>
    <t>ORANGE DOLPHINS AXGL LLC</t>
  </si>
  <si>
    <t>2016-2193</t>
  </si>
  <si>
    <t>BBBBB2366</t>
  </si>
  <si>
    <t>2015-2287</t>
  </si>
  <si>
    <t>KETICHAK INVESTS 755 LLC</t>
  </si>
  <si>
    <t>2014-2449</t>
  </si>
  <si>
    <t>2013-2735</t>
  </si>
  <si>
    <t>2012-512</t>
  </si>
  <si>
    <t>2011-3755</t>
  </si>
  <si>
    <t>00-00-31-1800-0230-09D0</t>
  </si>
  <si>
    <t>217 13TH ST S</t>
  </si>
  <si>
    <t>SIMS DORIS J</t>
  </si>
  <si>
    <t>217 S 13TH ST</t>
  </si>
  <si>
    <t>BLOCK 230 SUB D OF LOT 9 IN OR 1752/41 CITY OF FDNA BEACH</t>
  </si>
  <si>
    <t>2017-2200</t>
  </si>
  <si>
    <t>RESH TAX 11 GP 170119A</t>
  </si>
  <si>
    <t>2016-2194</t>
  </si>
  <si>
    <t>WONDER CAPITAL4588</t>
  </si>
  <si>
    <t>2015-2288</t>
  </si>
  <si>
    <t>Z683</t>
  </si>
  <si>
    <t>2014-2450</t>
  </si>
  <si>
    <t>00-00-31-1800-0231-02C2</t>
  </si>
  <si>
    <t>ELM</t>
  </si>
  <si>
    <t>ELM ST</t>
  </si>
  <si>
    <t>11323 PHILIPS PARKWAY DR E</t>
  </si>
  <si>
    <t>BLK 231 W1/2 TRACT C OF LOT 2 &amp; W1/2 OF TRACT D OF LOT 3 CITY OF FDNA BEACH</t>
  </si>
  <si>
    <t>2014-2451</t>
  </si>
  <si>
    <t>2012-516</t>
  </si>
  <si>
    <t>2011-3759</t>
  </si>
  <si>
    <t>00-00-31-1800-0232-05C2</t>
  </si>
  <si>
    <t>731 VERNON ST</t>
  </si>
  <si>
    <t>THOMAS LORA ANN</t>
  </si>
  <si>
    <t>BLOCK 232 S 50 FT OF C OF 5 IN OR 330 PG 615 CITY OF FDNA BEACH</t>
  </si>
  <si>
    <t>2017-2202</t>
  </si>
  <si>
    <t>GRAPESEED INDUSTRIES38980</t>
  </si>
  <si>
    <t>2013-2738</t>
  </si>
  <si>
    <t>00-00-31-1800-0233-0023</t>
  </si>
  <si>
    <t>816 12TH ST S</t>
  </si>
  <si>
    <t>ROBERTS TERRY LEE</t>
  </si>
  <si>
    <t>816 S 12TH ST</t>
  </si>
  <si>
    <t>BLOCK 233 W 100FT OF N 1/2 OF LOT 2 IN OR 1332/1276</t>
  </si>
  <si>
    <t>00-00-31-1800-0233-0041</t>
  </si>
  <si>
    <t>909 VERNON ST</t>
  </si>
  <si>
    <t>WILLIAMSON JAMES JR</t>
  </si>
  <si>
    <t>BLOCK 233 N 65.5 FT OF W100 FT OF E130 FT OF LOT 4 IN OR 678 PG 1543</t>
  </si>
  <si>
    <t>2017-2205</t>
  </si>
  <si>
    <t>RIVTULIP 571Y LLC</t>
  </si>
  <si>
    <t>2016-2198</t>
  </si>
  <si>
    <t>E16671</t>
  </si>
  <si>
    <t>2015-2294</t>
  </si>
  <si>
    <t>GREEN TAX FUNDING LLC 20 SERIES 1 A7</t>
  </si>
  <si>
    <t>2014-2460</t>
  </si>
  <si>
    <t>2013-2747</t>
  </si>
  <si>
    <t>2012-525</t>
  </si>
  <si>
    <t>2011-3765</t>
  </si>
  <si>
    <t>00-00-31-1800-0233-0076</t>
  </si>
  <si>
    <t>920 VERNON ST</t>
  </si>
  <si>
    <t>MITCHELL LOVELY JEAN</t>
  </si>
  <si>
    <t>BLOCK 233 S41 FT OF E100 FT OF W130 FT OF LOT 7 &amp; N24.5 FT OF E100 FT OF W130 FT OF LOT 6</t>
  </si>
  <si>
    <t>2017-2207</t>
  </si>
  <si>
    <t>OFFICE PAVILION 94 HOLDINGS LLC</t>
  </si>
  <si>
    <t>2016-2200</t>
  </si>
  <si>
    <t>ECRU LLC S33V305BF4</t>
  </si>
  <si>
    <t>2015-2295</t>
  </si>
  <si>
    <t>OCEAN ADVISORS13558</t>
  </si>
  <si>
    <t>2014-2461</t>
  </si>
  <si>
    <t>2012-527</t>
  </si>
  <si>
    <t>2011-3768</t>
  </si>
  <si>
    <t>00-00-31-1800-0233-0093</t>
  </si>
  <si>
    <t>WILSON NETHERLAND A</t>
  </si>
  <si>
    <t>FOSTER MARY A</t>
  </si>
  <si>
    <t>BLOCK 233 E100 FT OF W130 FT OF N1/2 OF LOT 9 IN OR 1943/1206</t>
  </si>
  <si>
    <t>2017-2208</t>
  </si>
  <si>
    <t>GHATO 5750</t>
  </si>
  <si>
    <t>2016-2201</t>
  </si>
  <si>
    <t>CHOWRAY 406P LLC</t>
  </si>
  <si>
    <t>2015-2296</t>
  </si>
  <si>
    <t>OAR LLC AND MML LLC PARTNERSHIP 895</t>
  </si>
  <si>
    <t>2014-2462</t>
  </si>
  <si>
    <t>2013-2748</t>
  </si>
  <si>
    <t>2012-528</t>
  </si>
  <si>
    <t>LIME PORPOISE 11 LLC PALM TREE TAX, CAPONE NA AS CO</t>
  </si>
  <si>
    <t>00-00-31-1800-0238-0070</t>
  </si>
  <si>
    <t>1107 14TH ST S</t>
  </si>
  <si>
    <t>MURPHY LONNIE HOWARD</t>
  </si>
  <si>
    <t>1107 S 14TH ST</t>
  </si>
  <si>
    <t>BLOCK 238 LOT 7 EX S1/2 IN OR 1908/804 &amp; OR 1909/144 CITY OF FDNA BEACH</t>
  </si>
  <si>
    <t>00-00-31-1800-0240-0091</t>
  </si>
  <si>
    <t>615 14TH ST S</t>
  </si>
  <si>
    <t>MCLAUGHLIN HOLLE M</t>
  </si>
  <si>
    <t>1849 HIGHLAND DR</t>
  </si>
  <si>
    <t>E200</t>
  </si>
  <si>
    <t>BLOCK 240 LOT E200 FT OF N 1/2 OF 9 IN OR 604 PG 274</t>
  </si>
  <si>
    <t>2017-2209</t>
  </si>
  <si>
    <t>GEEZ LLC AND CMON LLC PARTNERSHIP 1929</t>
  </si>
  <si>
    <t>2016-2203</t>
  </si>
  <si>
    <t>PQW - 248686 - HASTINGS BATCH US BANK CUST FOR PFS FINANCIAL 2 LLC</t>
  </si>
  <si>
    <t>2015-2297</t>
  </si>
  <si>
    <t>BBBB993</t>
  </si>
  <si>
    <t>2014-2464</t>
  </si>
  <si>
    <t>2013-2749</t>
  </si>
  <si>
    <t>2012-530</t>
  </si>
  <si>
    <t>US BANK CUST BISBEE LLC M109C1</t>
  </si>
  <si>
    <t>2011-3770</t>
  </si>
  <si>
    <t>00-00-31-1800-0241-1090</t>
  </si>
  <si>
    <t>14TH ST S</t>
  </si>
  <si>
    <t>BLOCK 241 LOTS 109 110 111 &amp; 112 IN OR 1551/1660 CITY OF FDNA BEACH</t>
  </si>
  <si>
    <t>00-00-31-1800-0242-02C0</t>
  </si>
  <si>
    <t>216 13TH ST S</t>
  </si>
  <si>
    <t>BENJAMIN CARL T</t>
  </si>
  <si>
    <t>BENJAMIN MARGIE L</t>
  </si>
  <si>
    <t>294 HILLCREST DR</t>
  </si>
  <si>
    <t>Professional service buildings</t>
  </si>
  <si>
    <t>Professional Bldg (legal; insurance; real estate; business)</t>
  </si>
  <si>
    <t>BLOCK 242 SUB C &amp; D OF LOT 2 IN OR 372 PG 333 CITY OF FDNA BEACH</t>
  </si>
  <si>
    <t>2017-2211</t>
  </si>
  <si>
    <t>ECRU LLC R677BJ</t>
  </si>
  <si>
    <t>2015-2300</t>
  </si>
  <si>
    <t>JH - LIEN BUYING MACHINE 66290 US BANK CUST FOR PFS FINANCIAL 2 LLC</t>
  </si>
  <si>
    <t>2014-2467</t>
  </si>
  <si>
    <t>2013-2751</t>
  </si>
  <si>
    <t>2012-537</t>
  </si>
  <si>
    <t>NAWS9 LLC</t>
  </si>
  <si>
    <t>2011-3773</t>
  </si>
  <si>
    <t>00-00-31-1800-0242-10A0</t>
  </si>
  <si>
    <t>1316 BEECH ST</t>
  </si>
  <si>
    <t>HILL SHEILA</t>
  </si>
  <si>
    <t>BLOCK 242 SUB A OF LOT 10 OR 1588/1490 CASE #08-CP-165 IN OR 1594/78 &amp; 80</t>
  </si>
  <si>
    <t>2016-2206</t>
  </si>
  <si>
    <t>LILLIAN PARK</t>
  </si>
  <si>
    <t>2013-2753</t>
  </si>
  <si>
    <t>2012-539</t>
  </si>
  <si>
    <t>2011-3775</t>
  </si>
  <si>
    <t>00-00-31-1800-0243-06D0</t>
  </si>
  <si>
    <t>1323 BEECH ST</t>
  </si>
  <si>
    <t>BEACH DANA</t>
  </si>
  <si>
    <t>BEACH JENNIFER</t>
  </si>
  <si>
    <t>85052 CHAMPLAIN DR</t>
  </si>
  <si>
    <t>BLK 243 TRACT D OF LOT 6 IN OR 1297/1846 CITY OF FDNA BEACH S/D IN</t>
  </si>
  <si>
    <t>00-00-31-1800-0244-06A2</t>
  </si>
  <si>
    <t>TER</t>
  </si>
  <si>
    <t>128 13TH TER N</t>
  </si>
  <si>
    <t>GEORGE PATSY SUE</t>
  </si>
  <si>
    <t>128 N 13TH TER</t>
  </si>
  <si>
    <t>BLOCK 244 SUB G N12 FT OF H OF LOT 6 &amp; S5 FT OF A OF 6 IN OR 723 PG 476</t>
  </si>
  <si>
    <t>2017-2213</t>
  </si>
  <si>
    <t>OCEAN BLVD 390 SERVICING LLC</t>
  </si>
  <si>
    <t>2016-2207</t>
  </si>
  <si>
    <t>SANMARCORA YSKRFJ</t>
  </si>
  <si>
    <t>2014-2472</t>
  </si>
  <si>
    <t>2013-2867</t>
  </si>
  <si>
    <t>ALLEN D. GOULD</t>
  </si>
  <si>
    <t>2012-3174</t>
  </si>
  <si>
    <t>00-00-31-1800-0244-10B1</t>
  </si>
  <si>
    <t>9 14TH ST N</t>
  </si>
  <si>
    <t>BLK 244 N 55 FT OF TRACT B OF LOT 10 IN OR 727/1257 CITY OF FDNA BEACH</t>
  </si>
  <si>
    <t>2016-2208</t>
  </si>
  <si>
    <t>RAPTY TRUST SERIES 6160</t>
  </si>
  <si>
    <t>2013-2756</t>
  </si>
  <si>
    <t>2012-543</t>
  </si>
  <si>
    <t>2011-3780</t>
  </si>
  <si>
    <t>00-00-31-1800-0245-01B1</t>
  </si>
  <si>
    <t>213 13TH TER N</t>
  </si>
  <si>
    <t>REPLAT OF BLOCK 245</t>
  </si>
  <si>
    <t>BLK 245 N1/2 OF TRACT B OF LOT 1 &amp; S 7FT OF TRACT D OF LOT 2 IN OR 1977/252</t>
  </si>
  <si>
    <t>2017-2214</t>
  </si>
  <si>
    <t>ABRTL LLC AND AM CERT LLC PARTNERSHIP 2248</t>
  </si>
  <si>
    <t>2016-2209</t>
  </si>
  <si>
    <t>CBBTL LLC AND B LOW LLC PARTNERSHIP 1326</t>
  </si>
  <si>
    <t>00-00-31-1800-0245-02A0</t>
  </si>
  <si>
    <t>225 13TH TER N</t>
  </si>
  <si>
    <t>BOUNDS JUDY</t>
  </si>
  <si>
    <t>225 N 13TH ST</t>
  </si>
  <si>
    <t>BLK 245 TRACTS A B C &amp; NORTH 79 FT OF TRACT D OF LOT 2 &amp; TRACT D OF LOT 3 IN</t>
  </si>
  <si>
    <t>2014-2601</t>
  </si>
  <si>
    <t>00-00-31-1800-0245-10A0</t>
  </si>
  <si>
    <t>205 14TH ST N</t>
  </si>
  <si>
    <t>RYALS JUANITA C</t>
  </si>
  <si>
    <t>205 N 14TH ST</t>
  </si>
  <si>
    <t>BLOCK 245 SUB A &amp; B 0F 10 IN DB 198 PG 265 REPLAT OF BLOCK 245 PB 2/54</t>
  </si>
  <si>
    <t>2017-2215</t>
  </si>
  <si>
    <t>GALILEE CAPITAL LLC SERIES A022300</t>
  </si>
  <si>
    <t>00-00-31-1800-0253-0051</t>
  </si>
  <si>
    <t>1401 HIGHLAND DR</t>
  </si>
  <si>
    <t>VELTRE JOE A</t>
  </si>
  <si>
    <t>VELTRIE SHIRLEY</t>
  </si>
  <si>
    <t>BLK 253 PT OF LOTS 5 6 &amp; BLK 252 PT OF LOT 8 &amp; PT OF UNDEVELOPED PROPOSED R/W LYING</t>
  </si>
  <si>
    <t>2017-2216</t>
  </si>
  <si>
    <t>ECRU LLC HL33CEE4</t>
  </si>
  <si>
    <t>2016-2210</t>
  </si>
  <si>
    <t>SKYLER LLC O60887 SERIES</t>
  </si>
  <si>
    <t>2015-2302</t>
  </si>
  <si>
    <t>ORANGE DOLPHIN ZAOH LLC</t>
  </si>
  <si>
    <t>2014-2473</t>
  </si>
  <si>
    <t>00-00-31-1800-0256-0102</t>
  </si>
  <si>
    <t>1423 FRANKLIN ST</t>
  </si>
  <si>
    <t>SUPAN CURT J</t>
  </si>
  <si>
    <t>SUPAN JENNIFERE MARIE</t>
  </si>
  <si>
    <t>BLOCK 256 W80 FT OF LOT 10 IN OR 1460/1406 CITY OF FDNA BEACH</t>
  </si>
  <si>
    <t>00-00-31-1800-0262-0041</t>
  </si>
  <si>
    <t>502 14TH ST S</t>
  </si>
  <si>
    <t>YOUNG PATRICIA</t>
  </si>
  <si>
    <t>BLOCK 262 S75 FT OF N106 FT OF LOT 4 IN OR 1653/1161 CITY OF FDNA BEACH</t>
  </si>
  <si>
    <t>2014-2481</t>
  </si>
  <si>
    <t>00-00-31-1800-0266-0061</t>
  </si>
  <si>
    <t>1463 NECTARINE ST</t>
  </si>
  <si>
    <t>CEMR INC</t>
  </si>
  <si>
    <t>86229 N HAMPTON CLUB WAY</t>
  </si>
  <si>
    <t>BLK 266 E 180FT OF LOT 6 IN OR 1190/1786 CITY OF FDNA BEACH</t>
  </si>
  <si>
    <t>00-00-31-1800-0269-0280</t>
  </si>
  <si>
    <t>216 CENTRE ST</t>
  </si>
  <si>
    <t>BURGESS ANNETTE J</t>
  </si>
  <si>
    <t>BLOCK 269 LOT 28 EX S29.9 FT IN OR 697/881 CITY OF FDNA BEACH</t>
  </si>
  <si>
    <t>00-00-31-1800-0271-0110</t>
  </si>
  <si>
    <t>117 2ND ST S</t>
  </si>
  <si>
    <t>FERNANDINA BEACH VACATION RENTALS LLC</t>
  </si>
  <si>
    <t>88 FAIRWAY WOOD WAY</t>
  </si>
  <si>
    <t>PONTE VEDRA BEACH FL</t>
  </si>
  <si>
    <t>R-2C</t>
  </si>
  <si>
    <t>BLOCK 271 PT LOTS 11 &amp; 12 EAST OF SAR R/W &amp; LOTS 22 &amp; 23 IN OR 968/228</t>
  </si>
  <si>
    <t>2012-552</t>
  </si>
  <si>
    <t>2012-3267</t>
  </si>
  <si>
    <t>US BANK CUST BISBEE LLC M109CA</t>
  </si>
  <si>
    <t>00-00-31-1800-0273-0010</t>
  </si>
  <si>
    <t>208 BEECH ST</t>
  </si>
  <si>
    <t>GIEDRYS NORA</t>
  </si>
  <si>
    <t>210 BEECH ST</t>
  </si>
  <si>
    <t>BLOCK 273 LOTS 1 33 34 &amp; PT OF LOTS 2-5 &amp; 32 &amp; PT OF NW OF RR</t>
  </si>
  <si>
    <t>2017-2221</t>
  </si>
  <si>
    <t>DHARAN HATI 33 LLC</t>
  </si>
  <si>
    <t>2016-2218</t>
  </si>
  <si>
    <t>CCCCC2793</t>
  </si>
  <si>
    <t>2015-2310</t>
  </si>
  <si>
    <t>ORANGE WHALES ACZZ LLC</t>
  </si>
  <si>
    <t>2014-2485</t>
  </si>
  <si>
    <t>2012-553</t>
  </si>
  <si>
    <t>2011-3794</t>
  </si>
  <si>
    <t>00-00-31-1800-0281-0002</t>
  </si>
  <si>
    <t>314 ELM ST</t>
  </si>
  <si>
    <t>BLOCK 281 LOTS LYING EAST OF A STRAIGHT LINE DRAWN FROM NW CORNER OF LOT 31</t>
  </si>
  <si>
    <t>2017-2225</t>
  </si>
  <si>
    <t>PELICAN QUAY 1BEN LLC</t>
  </si>
  <si>
    <t>00-00-31-1800-0281-0020</t>
  </si>
  <si>
    <t>3RD</t>
  </si>
  <si>
    <t>S 3RD ST</t>
  </si>
  <si>
    <t>BLOCK 281 LOTS 2-5 &amp; PT OF LOTS 21-26 &amp; PT OF LOTS 30-31 PT OR 1246/1381</t>
  </si>
  <si>
    <t>2017-2227</t>
  </si>
  <si>
    <t>2016-2224</t>
  </si>
  <si>
    <t>2015-2316</t>
  </si>
  <si>
    <t>2014-2490</t>
  </si>
  <si>
    <t>2013-2767</t>
  </si>
  <si>
    <t>2012-560</t>
  </si>
  <si>
    <t>2011-3798</t>
  </si>
  <si>
    <t>00-00-31-1800-0308-0080</t>
  </si>
  <si>
    <t>1241 S 8TH ST</t>
  </si>
  <si>
    <t>DRAKUS NICHOLAS L</t>
  </si>
  <si>
    <t>94140 MERLIN DR</t>
  </si>
  <si>
    <t>Community Shopping Centers</t>
  </si>
  <si>
    <t>Community: Shopping Plaza Shopping Center Mini-Mall</t>
  </si>
  <si>
    <t>BLOCK 308 LOT 8 &amp; N 50 OF 7 E OF RR &amp; PT LOT 2 BLOCK 185 INCL PT OF R/W</t>
  </si>
  <si>
    <t>2017-2228</t>
  </si>
  <si>
    <t>ECRU LLC RL0B47J</t>
  </si>
  <si>
    <t>2016-2226</t>
  </si>
  <si>
    <t>CCTS CAP FL 84637 US BANK CUST FOR PFS FINANCIAL 2 LLC</t>
  </si>
  <si>
    <t>2015-2318</t>
  </si>
  <si>
    <t>BENNU LLC YSE9N50J</t>
  </si>
  <si>
    <t>2014-2492</t>
  </si>
  <si>
    <t>00-00-31-1800-0309-0032</t>
  </si>
  <si>
    <t>1335 S 8TH ST</t>
  </si>
  <si>
    <t>GAGE SCOTT MICHAEL</t>
  </si>
  <si>
    <t>GAGE CARLA SUSAN</t>
  </si>
  <si>
    <t>4901 E WINDRIDGE AVE</t>
  </si>
  <si>
    <t>WASILLA AK</t>
  </si>
  <si>
    <t>BLOCK 309 PT OF LOTS 3 4 5 &amp; 6 W OF HWY IN OR 1637/658</t>
  </si>
  <si>
    <t>00-00-31-1800-0310-0050</t>
  </si>
  <si>
    <t>BLOCK 310 LOT 5 (W OF RR) IN OR 1891/1354 CITY OF FDNA BEACH</t>
  </si>
  <si>
    <t>2015-2319</t>
  </si>
  <si>
    <t>2014-2494</t>
  </si>
  <si>
    <t>2013-2770</t>
  </si>
  <si>
    <t>2012-564</t>
  </si>
  <si>
    <t>2011-3803</t>
  </si>
  <si>
    <t>HODGES WILL RANDALL</t>
  </si>
  <si>
    <t>HODGES LISA KATINA</t>
  </si>
  <si>
    <t>15595 COUNTY ROAD 108</t>
  </si>
  <si>
    <t>35-2N-28-0000-0001-1130</t>
  </si>
  <si>
    <t>2013-1864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</si>
</sst>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6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C2298"/>
  <sheetViews>
    <sheetView tabSelected="1" workbookViewId="0">
      <selection activeCell="C11" sqref="C11"/>
    </sheetView>
  </sheetViews>
  <sheetFormatPr defaultRowHeight="15" x14ac:dyDescent="0.25"/>
  <cols>
    <col min="122" max="122" width="21.42578125" bestFit="1" customWidth="1"/>
    <col min="123" max="123" width="14.5703125" bestFit="1" customWidth="1"/>
  </cols>
  <sheetData>
    <row r="1" spans="1:393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1</v>
      </c>
      <c r="BI1" t="s">
        <v>62</v>
      </c>
      <c r="BJ1" t="s">
        <v>63</v>
      </c>
      <c r="BK1" t="s">
        <v>0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2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</row>
    <row r="2" spans="1:393" x14ac:dyDescent="0.25">
      <c r="A2">
        <v>16485009</v>
      </c>
      <c r="B2">
        <v>1</v>
      </c>
      <c r="C2" t="s">
        <v>393</v>
      </c>
      <c r="D2" t="s">
        <v>394</v>
      </c>
      <c r="F2" t="str">
        <f>"03-1N-23-0000-0008-0010"</f>
        <v>03-1N-23-0000-0008-0010</v>
      </c>
      <c r="H2" t="str">
        <f>"TANNER IRIS C BRADDOCK"</f>
        <v>TANNER IRIS C BRADDOCK</v>
      </c>
      <c r="I2" t="str">
        <f>"2475 STATE ROAD 2"</f>
        <v>2475 STATE ROAD 2</v>
      </c>
      <c r="J2" t="str">
        <f t="shared" ref="J2:J9" si="0">"HILLIARD FL 32046"</f>
        <v>HILLIARD FL 32046</v>
      </c>
      <c r="K2" t="str">
        <f>"2803 SR 2"</f>
        <v>2803 SR 2</v>
      </c>
      <c r="L2" t="str">
        <f t="shared" ref="L2:L14" si="1">"HILLIARD FL 32046"</f>
        <v>HILLIARD FL 32046</v>
      </c>
      <c r="M2" t="str">
        <f>"PT OR 111/723 L/E &amp; PT OR 328/413 R498308 EX PAR 8-1L 8-3 8-10 8-12 &amp; EX PAR 8-13"</f>
        <v>PT OR 111/723 L/E &amp; PT OR 328/413 R498308 EX PAR 8-1L 8-3 8-10 8-12 &amp; EX PAR 8-13</v>
      </c>
      <c r="N2" t="str">
        <f>""</f>
        <v/>
      </c>
      <c r="O2" t="str">
        <f>"18573"</f>
        <v>18573</v>
      </c>
      <c r="P2" t="str">
        <f t="shared" ref="P2:P65" si="2">"2017"</f>
        <v>2017</v>
      </c>
      <c r="Q2" t="str">
        <f>""</f>
        <v/>
      </c>
      <c r="R2" t="str">
        <f>"N"</f>
        <v>N</v>
      </c>
      <c r="S2" t="str">
        <f>"2.40"</f>
        <v>2.40</v>
      </c>
      <c r="T2" t="str">
        <f>"509.31"</f>
        <v>509.31</v>
      </c>
      <c r="U2" t="str">
        <f>"33643.00"</f>
        <v>33643.00</v>
      </c>
      <c r="V2" t="str">
        <f>"33643.00"</f>
        <v>33643.00</v>
      </c>
      <c r="W2" t="str">
        <f t="shared" ref="W2:W65" si="3">"2017"</f>
        <v>2017</v>
      </c>
      <c r="X2" t="str">
        <f>"6.50"</f>
        <v>6.50</v>
      </c>
      <c r="Y2" t="str">
        <f>"556.59"</f>
        <v>556.59</v>
      </c>
      <c r="Z2" t="str">
        <f>""</f>
        <v/>
      </c>
      <c r="AA2" t="str">
        <f>"33643.00"</f>
        <v>33643.00</v>
      </c>
      <c r="AB2" t="str">
        <f>"Residential"</f>
        <v>Residential</v>
      </c>
      <c r="AC2" t="str">
        <f t="shared" ref="AC2:AC65" si="4">"0"</f>
        <v>0</v>
      </c>
      <c r="AD2" t="str">
        <f>"4"</f>
        <v>4</v>
      </c>
      <c r="AE2" t="str">
        <f>"WOOD (INCLUDE STEEL STUDS)"</f>
        <v>WOOD (INCLUDE STEEL STUDS)</v>
      </c>
      <c r="AF2" t="str">
        <f>"002"</f>
        <v>002</v>
      </c>
      <c r="AG2" t="str">
        <f t="shared" ref="AG2:AG22" si="5">"FL"</f>
        <v>FL</v>
      </c>
      <c r="AH2" t="str">
        <f>"104544.00"</f>
        <v>104544.00</v>
      </c>
      <c r="AI2" t="str">
        <f>"28800.00"</f>
        <v>28800.00</v>
      </c>
      <c r="AJ2" t="str">
        <f>"C55-000-586-4210-9"</f>
        <v>C55-000-586-4210-9</v>
      </c>
      <c r="AK2" t="str">
        <f>"20"</f>
        <v>20</v>
      </c>
      <c r="AL2">
        <v>1</v>
      </c>
      <c r="AM2">
        <v>1</v>
      </c>
      <c r="AN2">
        <v>582.82000000000005</v>
      </c>
      <c r="AQ2" t="s">
        <v>395</v>
      </c>
      <c r="AR2" t="s">
        <v>395</v>
      </c>
      <c r="AS2" t="s">
        <v>395</v>
      </c>
      <c r="AU2" t="s">
        <v>396</v>
      </c>
      <c r="AV2">
        <v>2017</v>
      </c>
      <c r="AW2" t="str">
        <f>"03-1N-23-0000-0008-0010 "</f>
        <v xml:space="preserve">03-1N-23-0000-0008-0010 </v>
      </c>
      <c r="AX2">
        <v>2803</v>
      </c>
      <c r="AZ2" t="s">
        <v>397</v>
      </c>
      <c r="BD2" t="s">
        <v>398</v>
      </c>
      <c r="BE2" t="s">
        <v>393</v>
      </c>
      <c r="BF2">
        <v>32046</v>
      </c>
      <c r="BG2" t="s">
        <v>399</v>
      </c>
      <c r="BH2" t="s">
        <v>400</v>
      </c>
      <c r="BI2">
        <v>-82.002846170338799</v>
      </c>
      <c r="BJ2">
        <v>30.524315033667399</v>
      </c>
      <c r="BK2" t="s">
        <v>401</v>
      </c>
      <c r="BM2" t="s">
        <v>402</v>
      </c>
      <c r="BN2" t="s">
        <v>403</v>
      </c>
      <c r="BO2">
        <v>32046</v>
      </c>
      <c r="BP2" t="s">
        <v>404</v>
      </c>
      <c r="BQ2">
        <v>200</v>
      </c>
      <c r="BR2" t="s">
        <v>405</v>
      </c>
      <c r="BS2">
        <v>1006</v>
      </c>
      <c r="BT2" t="s">
        <v>406</v>
      </c>
      <c r="BW2">
        <v>104544</v>
      </c>
      <c r="BX2" t="s">
        <v>407</v>
      </c>
      <c r="BY2" t="s">
        <v>408</v>
      </c>
      <c r="BZ2">
        <v>4</v>
      </c>
      <c r="CA2">
        <v>1970</v>
      </c>
      <c r="CB2">
        <v>1</v>
      </c>
      <c r="CC2">
        <v>1</v>
      </c>
      <c r="CD2">
        <v>2017</v>
      </c>
      <c r="CE2">
        <v>28800</v>
      </c>
      <c r="CF2">
        <v>4843</v>
      </c>
      <c r="CG2">
        <v>33643</v>
      </c>
      <c r="CH2">
        <v>2017</v>
      </c>
      <c r="CI2">
        <v>28800</v>
      </c>
      <c r="CJ2">
        <v>4843</v>
      </c>
      <c r="CK2">
        <v>33643</v>
      </c>
      <c r="CL2">
        <v>2017</v>
      </c>
      <c r="CM2">
        <v>509.31</v>
      </c>
      <c r="CN2" s="1">
        <v>43024</v>
      </c>
      <c r="CO2">
        <v>35000</v>
      </c>
      <c r="CV2">
        <v>0</v>
      </c>
      <c r="CZ2" s="1">
        <v>43024</v>
      </c>
      <c r="DA2">
        <v>0</v>
      </c>
      <c r="DD2" t="s">
        <v>398</v>
      </c>
      <c r="DG2">
        <v>3</v>
      </c>
      <c r="DL2">
        <v>50503</v>
      </c>
      <c r="DM2" t="s">
        <v>409</v>
      </c>
      <c r="DO2" t="s">
        <v>410</v>
      </c>
      <c r="DP2">
        <v>0</v>
      </c>
      <c r="DQ2">
        <v>0</v>
      </c>
      <c r="DR2" t="s">
        <v>411</v>
      </c>
    </row>
    <row r="3" spans="1:393" x14ac:dyDescent="0.25">
      <c r="A3">
        <v>16485010</v>
      </c>
      <c r="B3">
        <v>2</v>
      </c>
      <c r="C3" t="s">
        <v>393</v>
      </c>
      <c r="D3" t="s">
        <v>394</v>
      </c>
      <c r="F3" t="str">
        <f>"04-1N-23-0000-0001-0020"</f>
        <v>04-1N-23-0000-0001-0020</v>
      </c>
      <c r="H3" t="str">
        <f>"MILLER SARAH ANN"</f>
        <v>MILLER SARAH ANN</v>
      </c>
      <c r="I3" t="str">
        <f>"18150 HOOT OWL HOLW"</f>
        <v>18150 HOOT OWL HOLW</v>
      </c>
      <c r="J3" t="str">
        <f t="shared" si="0"/>
        <v>HILLIARD FL 32046</v>
      </c>
      <c r="K3" t="str">
        <f>"18150 HOOT OWL HOLW"</f>
        <v>18150 HOOT OWL HOLW</v>
      </c>
      <c r="L3" t="str">
        <f t="shared" si="1"/>
        <v>HILLIARD FL 32046</v>
      </c>
      <c r="M3" t="str">
        <f>"IN OR 1627/431 EX 4-8 &amp; 1-8 2002/FTWD/DW/MH ESMT OR 1596/1914"</f>
        <v>IN OR 1627/431 EX 4-8 &amp; 1-8 2002/FTWD/DW/MH ESMT OR 1596/1914</v>
      </c>
      <c r="N3" t="str">
        <f>""</f>
        <v/>
      </c>
      <c r="O3" t="str">
        <f>"19567"</f>
        <v>19567</v>
      </c>
      <c r="P3" t="str">
        <f t="shared" si="2"/>
        <v>2017</v>
      </c>
      <c r="Q3" t="str">
        <f>""</f>
        <v/>
      </c>
      <c r="R3" t="str">
        <f>"Y"</f>
        <v>Y</v>
      </c>
      <c r="S3" t="str">
        <f>"35.03"</f>
        <v>35.03</v>
      </c>
      <c r="T3" t="str">
        <f>"580.18"</f>
        <v>580.18</v>
      </c>
      <c r="U3" t="str">
        <f>"77428.00"</f>
        <v>77428.00</v>
      </c>
      <c r="V3" t="str">
        <f>"77428.00"</f>
        <v>77428.00</v>
      </c>
      <c r="W3" t="str">
        <f t="shared" si="3"/>
        <v>2017</v>
      </c>
      <c r="X3" t="str">
        <f>"2.67"</f>
        <v>2.67</v>
      </c>
      <c r="Y3" t="str">
        <f>"629.59"</f>
        <v>629.59</v>
      </c>
      <c r="Z3" t="str">
        <f>"25000.00"</f>
        <v>25000.00</v>
      </c>
      <c r="AA3" t="str">
        <f>"52428.00"</f>
        <v>52428.00</v>
      </c>
      <c r="AB3" t="str">
        <f>"Agricultural"</f>
        <v>Agricultural</v>
      </c>
      <c r="AC3" t="str">
        <f t="shared" si="4"/>
        <v>0</v>
      </c>
      <c r="AD3" t="str">
        <f>"4"</f>
        <v>4</v>
      </c>
      <c r="AE3" t="str">
        <f>"WOOD (INCLUDE STEEL STUDS)"</f>
        <v>WOOD (INCLUDE STEEL STUDS)</v>
      </c>
      <c r="AF3" t="str">
        <f>"056"</f>
        <v>056</v>
      </c>
      <c r="AG3" t="str">
        <f t="shared" si="5"/>
        <v>FL</v>
      </c>
      <c r="AH3" t="str">
        <f>"1525906.00"</f>
        <v>1525906.00</v>
      </c>
      <c r="AI3" t="str">
        <f>"24531.00"</f>
        <v>24531.00</v>
      </c>
      <c r="AJ3" t="str">
        <f>"C55-000-586-4770-2"</f>
        <v>C55-000-586-4770-2</v>
      </c>
      <c r="AK3" t="str">
        <f>"37"</f>
        <v>37</v>
      </c>
      <c r="AL3">
        <v>1</v>
      </c>
      <c r="AM3">
        <v>2</v>
      </c>
      <c r="AN3">
        <v>659.47</v>
      </c>
      <c r="AQ3" t="s">
        <v>412</v>
      </c>
      <c r="AR3" t="s">
        <v>412</v>
      </c>
      <c r="AS3" t="s">
        <v>412</v>
      </c>
      <c r="AU3" t="s">
        <v>396</v>
      </c>
      <c r="AV3">
        <v>2017</v>
      </c>
      <c r="AW3" t="str">
        <f>"04-1N-23-0000-0001-0020 "</f>
        <v xml:space="preserve">04-1N-23-0000-0001-0020 </v>
      </c>
      <c r="AX3">
        <v>18150</v>
      </c>
      <c r="AZ3" t="s">
        <v>413</v>
      </c>
      <c r="BD3" t="s">
        <v>398</v>
      </c>
      <c r="BE3" t="s">
        <v>393</v>
      </c>
      <c r="BF3">
        <v>32046</v>
      </c>
      <c r="BG3" t="s">
        <v>414</v>
      </c>
      <c r="BH3" t="s">
        <v>400</v>
      </c>
      <c r="BI3">
        <v>-82.010917961410797</v>
      </c>
      <c r="BJ3">
        <v>30.533736865513799</v>
      </c>
      <c r="BK3" t="s">
        <v>415</v>
      </c>
      <c r="BM3" t="s">
        <v>414</v>
      </c>
      <c r="BN3" t="s">
        <v>403</v>
      </c>
      <c r="BO3">
        <v>32046</v>
      </c>
      <c r="BP3" t="s">
        <v>416</v>
      </c>
      <c r="BQ3">
        <v>5600</v>
      </c>
      <c r="BR3" t="s">
        <v>417</v>
      </c>
      <c r="BS3">
        <v>7009</v>
      </c>
      <c r="BT3" t="s">
        <v>418</v>
      </c>
      <c r="BW3">
        <v>1525906</v>
      </c>
      <c r="BX3" t="s">
        <v>407</v>
      </c>
      <c r="BY3" t="s">
        <v>408</v>
      </c>
      <c r="BZ3">
        <v>4</v>
      </c>
      <c r="CA3">
        <v>2002</v>
      </c>
      <c r="CC3">
        <v>1</v>
      </c>
      <c r="CD3">
        <v>2017</v>
      </c>
      <c r="CG3">
        <v>77428</v>
      </c>
      <c r="CH3">
        <v>2017</v>
      </c>
      <c r="CI3">
        <v>24531</v>
      </c>
      <c r="CJ3">
        <v>180543</v>
      </c>
      <c r="CK3">
        <v>205074</v>
      </c>
      <c r="CL3">
        <v>2017</v>
      </c>
      <c r="CM3">
        <v>580.17999999999995</v>
      </c>
      <c r="CN3" s="1">
        <v>39994</v>
      </c>
      <c r="CO3">
        <v>203500</v>
      </c>
      <c r="CV3">
        <v>0</v>
      </c>
      <c r="CZ3" s="1">
        <v>39994</v>
      </c>
      <c r="DA3">
        <v>0</v>
      </c>
      <c r="DD3" t="s">
        <v>398</v>
      </c>
      <c r="DG3">
        <v>4</v>
      </c>
      <c r="DL3">
        <v>50503</v>
      </c>
      <c r="DM3" t="s">
        <v>419</v>
      </c>
      <c r="DO3" t="s">
        <v>420</v>
      </c>
      <c r="DP3">
        <v>0</v>
      </c>
      <c r="DQ3">
        <v>0</v>
      </c>
      <c r="DR3" t="s">
        <v>411</v>
      </c>
      <c r="EP3" t="s">
        <v>421</v>
      </c>
      <c r="EQ3" t="s">
        <v>422</v>
      </c>
      <c r="ER3">
        <v>0</v>
      </c>
      <c r="ES3">
        <v>4</v>
      </c>
      <c r="ET3">
        <v>0</v>
      </c>
      <c r="EU3">
        <v>0</v>
      </c>
      <c r="EV3">
        <v>0</v>
      </c>
      <c r="EW3" s="2">
        <v>43222</v>
      </c>
      <c r="EX3" s="1">
        <v>42879</v>
      </c>
      <c r="EY3">
        <v>2016</v>
      </c>
      <c r="EZ3">
        <v>631.39</v>
      </c>
      <c r="FA3" t="s">
        <v>423</v>
      </c>
      <c r="FB3">
        <v>0.25</v>
      </c>
      <c r="FC3" t="s">
        <v>424</v>
      </c>
      <c r="FD3" t="s">
        <v>425</v>
      </c>
      <c r="FE3" s="1">
        <v>42907</v>
      </c>
      <c r="FF3">
        <v>1</v>
      </c>
      <c r="FG3">
        <v>7400234</v>
      </c>
      <c r="FH3" t="s">
        <v>426</v>
      </c>
      <c r="FJ3" s="1">
        <v>42879</v>
      </c>
      <c r="FK3">
        <v>2016</v>
      </c>
      <c r="FL3">
        <v>631.39</v>
      </c>
      <c r="FM3" t="s">
        <v>423</v>
      </c>
      <c r="FN3">
        <v>0.25</v>
      </c>
      <c r="FO3" t="s">
        <v>424</v>
      </c>
      <c r="FP3" t="s">
        <v>425</v>
      </c>
      <c r="FR3">
        <v>22</v>
      </c>
      <c r="FS3">
        <v>7541490</v>
      </c>
      <c r="FT3" t="s">
        <v>427</v>
      </c>
      <c r="FV3" s="1">
        <v>41052</v>
      </c>
      <c r="FW3">
        <v>2011</v>
      </c>
      <c r="FX3">
        <v>1148.28</v>
      </c>
      <c r="FY3" t="s">
        <v>428</v>
      </c>
      <c r="FZ3">
        <v>0.25</v>
      </c>
      <c r="GA3" t="s">
        <v>424</v>
      </c>
      <c r="GB3" t="s">
        <v>425</v>
      </c>
      <c r="GC3" s="1">
        <v>41086</v>
      </c>
      <c r="GD3">
        <v>1</v>
      </c>
      <c r="GE3">
        <v>13067</v>
      </c>
      <c r="GF3" t="s">
        <v>429</v>
      </c>
      <c r="GH3" s="1">
        <v>41052</v>
      </c>
      <c r="GI3">
        <v>2011</v>
      </c>
      <c r="GJ3">
        <v>1148.28</v>
      </c>
      <c r="GK3" t="s">
        <v>428</v>
      </c>
      <c r="GL3">
        <v>0.25</v>
      </c>
      <c r="GM3" t="s">
        <v>424</v>
      </c>
      <c r="GN3" t="s">
        <v>425</v>
      </c>
      <c r="GP3">
        <v>22</v>
      </c>
      <c r="GQ3">
        <v>13426</v>
      </c>
      <c r="GR3" t="s">
        <v>430</v>
      </c>
    </row>
    <row r="4" spans="1:393" x14ac:dyDescent="0.25">
      <c r="A4">
        <v>16485011</v>
      </c>
      <c r="B4">
        <v>3</v>
      </c>
      <c r="C4" t="s">
        <v>393</v>
      </c>
      <c r="D4" t="s">
        <v>394</v>
      </c>
      <c r="F4" t="str">
        <f>"04-1N-23-0000-0001-0080"</f>
        <v>04-1N-23-0000-0001-0080</v>
      </c>
      <c r="H4" t="str">
        <f>"MILLER SARAH ANN"</f>
        <v>MILLER SARAH ANN</v>
      </c>
      <c r="I4" t="str">
        <f>"18150 HOOT OWL HOLW"</f>
        <v>18150 HOOT OWL HOLW</v>
      </c>
      <c r="J4" t="str">
        <f t="shared" si="0"/>
        <v>HILLIARD FL 32046</v>
      </c>
      <c r="K4" t="str">
        <f>"18205 HOOT OWL HOLW"</f>
        <v>18205 HOOT OWL HOLW</v>
      </c>
      <c r="L4" t="str">
        <f t="shared" si="1"/>
        <v>HILLIARD FL 32046</v>
      </c>
      <c r="M4" t="str">
        <f>"PT GOVT LOTS 1 &amp; 2 OF SEC 4-1N-23E IN OR 1625/787"</f>
        <v>PT GOVT LOTS 1 &amp; 2 OF SEC 4-1N-23E IN OR 1625/787</v>
      </c>
      <c r="N4" t="str">
        <f>""</f>
        <v/>
      </c>
      <c r="O4" t="str">
        <f>"19572"</f>
        <v>19572</v>
      </c>
      <c r="P4" t="str">
        <f t="shared" si="2"/>
        <v>2017</v>
      </c>
      <c r="Q4" t="str">
        <f>""</f>
        <v/>
      </c>
      <c r="R4" t="str">
        <f>"N"</f>
        <v>N</v>
      </c>
      <c r="S4" t="str">
        <f>"5.00"</f>
        <v>5.00</v>
      </c>
      <c r="T4" t="str">
        <f>"82.40"</f>
        <v>82.40</v>
      </c>
      <c r="U4" t="str">
        <f>"4915.00"</f>
        <v>4915.00</v>
      </c>
      <c r="V4" t="str">
        <f>"4915.00"</f>
        <v>4915.00</v>
      </c>
      <c r="W4" t="str">
        <f t="shared" si="3"/>
        <v>2017</v>
      </c>
      <c r="X4" t="str">
        <f>"2.67"</f>
        <v>2.67</v>
      </c>
      <c r="Y4" t="str">
        <f>"116.87"</f>
        <v>116.87</v>
      </c>
      <c r="Z4" t="str">
        <f>""</f>
        <v/>
      </c>
      <c r="AA4" t="str">
        <f>"6125.00"</f>
        <v>6125.00</v>
      </c>
      <c r="AB4" t="str">
        <f>"Agricultural"</f>
        <v>Agricultural</v>
      </c>
      <c r="AC4" t="str">
        <f t="shared" si="4"/>
        <v>0</v>
      </c>
      <c r="AD4" t="str">
        <f>""</f>
        <v/>
      </c>
      <c r="AE4" t="str">
        <f>""</f>
        <v/>
      </c>
      <c r="AF4" t="str">
        <f>"060"</f>
        <v>060</v>
      </c>
      <c r="AG4" t="str">
        <f t="shared" si="5"/>
        <v>FL</v>
      </c>
      <c r="AH4" t="str">
        <f>"217800.00"</f>
        <v>217800.00</v>
      </c>
      <c r="AI4" t="str">
        <f>"1725.00"</f>
        <v>1725.00</v>
      </c>
      <c r="AJ4" t="str">
        <f>"C55-000-976-7965-8"</f>
        <v>C55-000-976-7965-8</v>
      </c>
      <c r="AK4" t="str">
        <f>"41"</f>
        <v>41</v>
      </c>
      <c r="AL4">
        <v>1</v>
      </c>
      <c r="AM4">
        <v>3</v>
      </c>
      <c r="AN4">
        <v>121.11</v>
      </c>
      <c r="AQ4" t="s">
        <v>431</v>
      </c>
      <c r="AR4" t="s">
        <v>431</v>
      </c>
      <c r="AS4" t="s">
        <v>431</v>
      </c>
      <c r="AU4" t="s">
        <v>396</v>
      </c>
      <c r="AV4">
        <v>2017</v>
      </c>
      <c r="AW4" t="str">
        <f>"04-1N-23-0000-0001-0080 "</f>
        <v xml:space="preserve">04-1N-23-0000-0001-0080 </v>
      </c>
      <c r="AX4">
        <v>18205</v>
      </c>
      <c r="AZ4" t="s">
        <v>413</v>
      </c>
      <c r="BD4" t="s">
        <v>398</v>
      </c>
      <c r="BE4" t="s">
        <v>393</v>
      </c>
      <c r="BF4">
        <v>32046</v>
      </c>
      <c r="BG4" t="s">
        <v>432</v>
      </c>
      <c r="BH4" t="s">
        <v>400</v>
      </c>
      <c r="BI4">
        <v>-82.008079740870897</v>
      </c>
      <c r="BJ4">
        <v>30.5338135768447</v>
      </c>
      <c r="BK4" t="s">
        <v>415</v>
      </c>
      <c r="BM4" t="s">
        <v>414</v>
      </c>
      <c r="BN4" t="s">
        <v>403</v>
      </c>
      <c r="BO4">
        <v>32046</v>
      </c>
      <c r="BP4" t="s">
        <v>404</v>
      </c>
      <c r="BQ4">
        <v>6000</v>
      </c>
      <c r="BR4" t="s">
        <v>433</v>
      </c>
      <c r="BS4">
        <v>7003</v>
      </c>
      <c r="BT4" t="s">
        <v>434</v>
      </c>
      <c r="BW4">
        <v>217800</v>
      </c>
      <c r="BX4" t="s">
        <v>407</v>
      </c>
      <c r="BY4" t="s">
        <v>408</v>
      </c>
      <c r="CD4">
        <v>2017</v>
      </c>
      <c r="CG4">
        <v>6125</v>
      </c>
      <c r="CH4">
        <v>2017</v>
      </c>
      <c r="CI4">
        <v>1725</v>
      </c>
      <c r="CJ4">
        <v>42675</v>
      </c>
      <c r="CK4">
        <v>44400</v>
      </c>
      <c r="CL4">
        <v>2017</v>
      </c>
      <c r="CM4">
        <v>82.4</v>
      </c>
      <c r="CN4" s="1">
        <v>39982</v>
      </c>
      <c r="CV4">
        <v>0</v>
      </c>
      <c r="CZ4" s="1">
        <v>39982</v>
      </c>
      <c r="DA4">
        <v>0</v>
      </c>
      <c r="DD4" t="s">
        <v>398</v>
      </c>
      <c r="DG4">
        <v>4</v>
      </c>
      <c r="DL4">
        <v>50503</v>
      </c>
      <c r="DM4" t="s">
        <v>419</v>
      </c>
      <c r="DO4" t="s">
        <v>435</v>
      </c>
      <c r="DP4">
        <v>0</v>
      </c>
      <c r="DQ4">
        <v>0</v>
      </c>
      <c r="DR4" t="s">
        <v>411</v>
      </c>
      <c r="EP4" t="s">
        <v>421</v>
      </c>
      <c r="EQ4" t="s">
        <v>422</v>
      </c>
      <c r="ER4">
        <v>0</v>
      </c>
      <c r="ES4">
        <v>3</v>
      </c>
      <c r="ET4">
        <v>0</v>
      </c>
      <c r="EU4">
        <v>0</v>
      </c>
      <c r="EV4">
        <v>0</v>
      </c>
      <c r="EW4" s="2">
        <v>43222</v>
      </c>
      <c r="EX4" s="1">
        <v>42879</v>
      </c>
      <c r="EY4">
        <v>2016</v>
      </c>
      <c r="EZ4">
        <v>102.97</v>
      </c>
      <c r="FA4" t="s">
        <v>436</v>
      </c>
      <c r="FB4">
        <v>0.25</v>
      </c>
      <c r="FC4" t="s">
        <v>424</v>
      </c>
      <c r="FD4" t="s">
        <v>425</v>
      </c>
      <c r="FE4" s="1">
        <v>42907</v>
      </c>
      <c r="FF4">
        <v>1</v>
      </c>
      <c r="FG4">
        <v>7336671</v>
      </c>
      <c r="FH4" t="s">
        <v>437</v>
      </c>
      <c r="FJ4" s="1">
        <v>42879</v>
      </c>
      <c r="FK4">
        <v>2016</v>
      </c>
      <c r="FL4">
        <v>102.97</v>
      </c>
      <c r="FM4" t="s">
        <v>436</v>
      </c>
      <c r="FN4">
        <v>0.25</v>
      </c>
      <c r="FO4" t="s">
        <v>424</v>
      </c>
      <c r="FP4" t="s">
        <v>425</v>
      </c>
      <c r="FR4">
        <v>22</v>
      </c>
      <c r="FS4">
        <v>6810837</v>
      </c>
      <c r="FT4" t="s">
        <v>438</v>
      </c>
      <c r="FV4" s="1">
        <v>41052</v>
      </c>
      <c r="FW4">
        <v>2011</v>
      </c>
      <c r="FX4">
        <v>78.98</v>
      </c>
      <c r="FY4" t="s">
        <v>439</v>
      </c>
      <c r="FZ4">
        <v>8.75</v>
      </c>
      <c r="GA4" t="s">
        <v>424</v>
      </c>
      <c r="GB4" t="s">
        <v>425</v>
      </c>
      <c r="GC4" s="1">
        <v>41086</v>
      </c>
      <c r="GD4">
        <v>1</v>
      </c>
      <c r="GE4">
        <v>10125</v>
      </c>
      <c r="GF4" t="s">
        <v>440</v>
      </c>
    </row>
    <row r="5" spans="1:393" x14ac:dyDescent="0.25">
      <c r="A5">
        <v>16485012</v>
      </c>
      <c r="B5">
        <v>4</v>
      </c>
      <c r="C5" t="s">
        <v>393</v>
      </c>
      <c r="D5" t="s">
        <v>394</v>
      </c>
      <c r="F5" t="str">
        <f>"04-1N-23-0000-0003-0090"</f>
        <v>04-1N-23-0000-0003-0090</v>
      </c>
      <c r="H5" t="str">
        <f>"HARTMAN GEORGE ALLEN JR"</f>
        <v>HARTMAN GEORGE ALLEN JR</v>
      </c>
      <c r="I5" t="str">
        <f>"2476 SR 2"</f>
        <v>2476 SR 2</v>
      </c>
      <c r="J5" t="str">
        <f t="shared" si="0"/>
        <v>HILLIARD FL 32046</v>
      </c>
      <c r="K5" t="str">
        <f>"2476 SR 2"</f>
        <v>2476 SR 2</v>
      </c>
      <c r="L5" t="str">
        <f t="shared" si="1"/>
        <v>HILLIARD FL 32046</v>
      </c>
      <c r="M5" t="str">
        <f>"PT GOVT LOTS 7 8 10 &amp; 11 OF SEC 4-1N-23E IN OR 1724/763"</f>
        <v>PT GOVT LOTS 7 8 10 &amp; 11 OF SEC 4-1N-23E IN OR 1724/763</v>
      </c>
      <c r="N5" t="str">
        <f>""</f>
        <v/>
      </c>
      <c r="O5" t="str">
        <f>"19586"</f>
        <v>19586</v>
      </c>
      <c r="P5" t="str">
        <f t="shared" si="2"/>
        <v>2017</v>
      </c>
      <c r="Q5" t="str">
        <f>""</f>
        <v/>
      </c>
      <c r="R5" t="str">
        <f>"N"</f>
        <v>N</v>
      </c>
      <c r="S5" t="str">
        <f>"1.10"</f>
        <v>1.10</v>
      </c>
      <c r="T5" t="str">
        <f>"727.86"</f>
        <v>727.86</v>
      </c>
      <c r="U5" t="str">
        <f>"47293.00"</f>
        <v>47293.00</v>
      </c>
      <c r="V5" t="str">
        <f>"47293.00"</f>
        <v>47293.00</v>
      </c>
      <c r="W5" t="str">
        <f t="shared" si="3"/>
        <v>2017</v>
      </c>
      <c r="X5" t="str">
        <f>"15.33"</f>
        <v>15.33</v>
      </c>
      <c r="Y5" t="str">
        <f>"781.70"</f>
        <v>781.70</v>
      </c>
      <c r="Z5" t="str">
        <f>""</f>
        <v/>
      </c>
      <c r="AA5" t="str">
        <f>"49099.00"</f>
        <v>49099.00</v>
      </c>
      <c r="AB5" t="str">
        <f t="shared" ref="AB5:AB21" si="6">"Residential"</f>
        <v>Residential</v>
      </c>
      <c r="AC5" t="str">
        <f t="shared" si="4"/>
        <v>0</v>
      </c>
      <c r="AD5" t="str">
        <f>"4"</f>
        <v>4</v>
      </c>
      <c r="AE5" t="str">
        <f>"WOOD (INCLUDE STEEL STUDS)"</f>
        <v>WOOD (INCLUDE STEEL STUDS)</v>
      </c>
      <c r="AF5" t="str">
        <f>"002"</f>
        <v>002</v>
      </c>
      <c r="AG5" t="str">
        <f t="shared" si="5"/>
        <v>FL</v>
      </c>
      <c r="AH5" t="str">
        <f>"47916.00"</f>
        <v>47916.00</v>
      </c>
      <c r="AI5" t="str">
        <f>"16500.00"</f>
        <v>16500.00</v>
      </c>
      <c r="AJ5" t="str">
        <f>"C55-000-588-9279-5"</f>
        <v>C55-000-588-9279-5</v>
      </c>
      <c r="AK5" t="str">
        <f>"55"</f>
        <v>55</v>
      </c>
      <c r="AL5">
        <v>1</v>
      </c>
      <c r="AM5">
        <v>4</v>
      </c>
      <c r="AN5">
        <v>819.19</v>
      </c>
      <c r="AQ5" t="s">
        <v>441</v>
      </c>
      <c r="AR5" t="s">
        <v>441</v>
      </c>
      <c r="AS5" t="s">
        <v>441</v>
      </c>
      <c r="AU5" t="s">
        <v>396</v>
      </c>
      <c r="AV5">
        <v>2017</v>
      </c>
      <c r="AW5" t="str">
        <f>"04-1N-23-0000-0003-0090 "</f>
        <v xml:space="preserve">04-1N-23-0000-0003-0090 </v>
      </c>
      <c r="AX5">
        <v>2476</v>
      </c>
      <c r="AZ5" t="s">
        <v>397</v>
      </c>
      <c r="BD5" t="s">
        <v>398</v>
      </c>
      <c r="BE5" t="s">
        <v>393</v>
      </c>
      <c r="BF5">
        <v>32046</v>
      </c>
      <c r="BG5" t="s">
        <v>442</v>
      </c>
      <c r="BH5" t="s">
        <v>400</v>
      </c>
      <c r="BI5">
        <v>-82.007722739701904</v>
      </c>
      <c r="BJ5">
        <v>30.525598375496202</v>
      </c>
      <c r="BK5" t="s">
        <v>443</v>
      </c>
      <c r="BM5" t="s">
        <v>444</v>
      </c>
      <c r="BN5" t="s">
        <v>403</v>
      </c>
      <c r="BO5">
        <v>32046</v>
      </c>
      <c r="BP5" t="s">
        <v>416</v>
      </c>
      <c r="BQ5">
        <v>200</v>
      </c>
      <c r="BR5" t="s">
        <v>405</v>
      </c>
      <c r="BS5">
        <v>1006</v>
      </c>
      <c r="BT5" t="s">
        <v>406</v>
      </c>
      <c r="BW5">
        <v>47916</v>
      </c>
      <c r="BX5" t="s">
        <v>407</v>
      </c>
      <c r="BY5" t="s">
        <v>408</v>
      </c>
      <c r="BZ5">
        <v>4</v>
      </c>
      <c r="CA5">
        <v>2000</v>
      </c>
      <c r="CC5">
        <v>1</v>
      </c>
      <c r="CD5">
        <v>2017</v>
      </c>
      <c r="CE5">
        <v>16500</v>
      </c>
      <c r="CF5">
        <v>32599</v>
      </c>
      <c r="CG5">
        <v>49099</v>
      </c>
      <c r="CH5">
        <v>2017</v>
      </c>
      <c r="CI5">
        <v>16500</v>
      </c>
      <c r="CJ5">
        <v>32599</v>
      </c>
      <c r="CK5">
        <v>49099</v>
      </c>
      <c r="CL5">
        <v>2017</v>
      </c>
      <c r="CM5">
        <v>727.86</v>
      </c>
      <c r="CN5" s="1">
        <v>40588</v>
      </c>
      <c r="CZ5" s="1">
        <v>40588</v>
      </c>
      <c r="DD5" t="s">
        <v>398</v>
      </c>
      <c r="DG5">
        <v>4</v>
      </c>
      <c r="DL5">
        <v>50503</v>
      </c>
      <c r="DM5" t="s">
        <v>419</v>
      </c>
      <c r="DO5" t="s">
        <v>445</v>
      </c>
      <c r="DP5">
        <v>0</v>
      </c>
      <c r="DQ5">
        <v>0</v>
      </c>
      <c r="DR5" t="s">
        <v>411</v>
      </c>
      <c r="DS5" t="b">
        <v>1</v>
      </c>
      <c r="DT5" t="s">
        <v>396</v>
      </c>
      <c r="DV5" t="s">
        <v>446</v>
      </c>
      <c r="DX5">
        <v>-9999</v>
      </c>
      <c r="DZ5" t="s">
        <v>447</v>
      </c>
      <c r="EA5" t="s">
        <v>448</v>
      </c>
      <c r="EB5" t="s">
        <v>449</v>
      </c>
      <c r="EC5">
        <v>20101217</v>
      </c>
      <c r="ED5" t="s">
        <v>450</v>
      </c>
      <c r="EE5">
        <v>17</v>
      </c>
      <c r="EF5">
        <v>0</v>
      </c>
      <c r="EG5">
        <v>0</v>
      </c>
      <c r="EH5" t="s">
        <v>451</v>
      </c>
      <c r="EI5">
        <v>20140731</v>
      </c>
      <c r="EJ5">
        <v>0</v>
      </c>
      <c r="EK5">
        <v>0</v>
      </c>
      <c r="EP5" t="s">
        <v>421</v>
      </c>
      <c r="EQ5" t="s">
        <v>452</v>
      </c>
      <c r="ER5">
        <v>2</v>
      </c>
      <c r="ES5">
        <v>4</v>
      </c>
      <c r="ET5">
        <v>1491.34</v>
      </c>
      <c r="EU5">
        <v>87.07</v>
      </c>
      <c r="EV5">
        <v>1578.41</v>
      </c>
      <c r="EW5" s="2">
        <v>43222</v>
      </c>
      <c r="EX5" s="1">
        <v>42879</v>
      </c>
      <c r="EY5">
        <v>2016</v>
      </c>
      <c r="EZ5">
        <v>745.67</v>
      </c>
      <c r="FA5" t="s">
        <v>453</v>
      </c>
      <c r="FB5">
        <v>0.25</v>
      </c>
      <c r="FC5" t="s">
        <v>424</v>
      </c>
      <c r="FD5" t="s">
        <v>454</v>
      </c>
      <c r="FF5">
        <v>12</v>
      </c>
      <c r="FG5">
        <v>7400234</v>
      </c>
      <c r="FH5" t="s">
        <v>426</v>
      </c>
      <c r="FJ5" s="1">
        <v>42879</v>
      </c>
      <c r="FK5">
        <v>2016</v>
      </c>
      <c r="FL5">
        <v>745.67</v>
      </c>
      <c r="FM5" t="s">
        <v>453</v>
      </c>
      <c r="FN5">
        <v>0.25</v>
      </c>
      <c r="FO5" t="s">
        <v>424</v>
      </c>
      <c r="FP5" t="s">
        <v>454</v>
      </c>
      <c r="FR5">
        <v>12</v>
      </c>
      <c r="FS5">
        <v>7416947</v>
      </c>
      <c r="FT5" t="s">
        <v>455</v>
      </c>
      <c r="FV5" s="1">
        <v>42151</v>
      </c>
      <c r="FW5">
        <v>2014</v>
      </c>
      <c r="FX5">
        <v>656.04</v>
      </c>
      <c r="FY5" t="s">
        <v>456</v>
      </c>
      <c r="FZ5">
        <v>0.25</v>
      </c>
      <c r="GA5" t="s">
        <v>424</v>
      </c>
      <c r="GB5" t="s">
        <v>425</v>
      </c>
      <c r="GC5" s="1">
        <v>42475</v>
      </c>
      <c r="GD5">
        <v>11</v>
      </c>
      <c r="GE5">
        <v>4975594</v>
      </c>
      <c r="GF5" t="s">
        <v>457</v>
      </c>
      <c r="GG5" t="s">
        <v>458</v>
      </c>
      <c r="GH5" s="1">
        <v>42151</v>
      </c>
      <c r="GI5">
        <v>2014</v>
      </c>
      <c r="GJ5">
        <v>656.04</v>
      </c>
      <c r="GK5" t="s">
        <v>456</v>
      </c>
      <c r="GL5">
        <v>0.25</v>
      </c>
      <c r="GM5" t="s">
        <v>424</v>
      </c>
      <c r="GN5" t="s">
        <v>425</v>
      </c>
      <c r="GP5">
        <v>22</v>
      </c>
      <c r="GQ5">
        <v>6527522</v>
      </c>
      <c r="GR5" t="s">
        <v>459</v>
      </c>
      <c r="GS5" t="s">
        <v>458</v>
      </c>
      <c r="GT5" s="1">
        <v>41787</v>
      </c>
      <c r="GU5">
        <v>2013</v>
      </c>
      <c r="GV5">
        <v>614.86</v>
      </c>
      <c r="GW5" t="s">
        <v>460</v>
      </c>
      <c r="GX5">
        <v>0.25</v>
      </c>
      <c r="GY5" t="s">
        <v>424</v>
      </c>
      <c r="GZ5" t="s">
        <v>425</v>
      </c>
      <c r="HB5">
        <v>22</v>
      </c>
      <c r="HC5">
        <v>2407503</v>
      </c>
      <c r="HD5" t="s">
        <v>461</v>
      </c>
      <c r="HE5" t="s">
        <v>458</v>
      </c>
      <c r="HF5" s="1">
        <v>41052</v>
      </c>
      <c r="HG5">
        <v>2011</v>
      </c>
      <c r="HH5">
        <v>887.59</v>
      </c>
      <c r="HI5" t="s">
        <v>462</v>
      </c>
      <c r="HJ5">
        <v>6</v>
      </c>
      <c r="HK5" t="s">
        <v>424</v>
      </c>
      <c r="HL5" t="s">
        <v>425</v>
      </c>
      <c r="HM5" s="1">
        <v>41422</v>
      </c>
      <c r="HN5">
        <v>12</v>
      </c>
      <c r="HO5">
        <v>62</v>
      </c>
      <c r="HP5" t="s">
        <v>463</v>
      </c>
    </row>
    <row r="6" spans="1:393" x14ac:dyDescent="0.25">
      <c r="A6">
        <v>16485013</v>
      </c>
      <c r="B6">
        <v>5</v>
      </c>
      <c r="C6" t="s">
        <v>393</v>
      </c>
      <c r="D6" t="s">
        <v>394</v>
      </c>
      <c r="F6" t="str">
        <f>"04-1N-23-0000-0003-0120"</f>
        <v>04-1N-23-0000-0003-0120</v>
      </c>
      <c r="H6" t="str">
        <f>"FERGUSON ROBERT DALE"</f>
        <v>FERGUSON ROBERT DALE</v>
      </c>
      <c r="I6" t="str">
        <f>"1480 UNCLE CHARLES CIRCLE"</f>
        <v>1480 UNCLE CHARLES CIRCLE</v>
      </c>
      <c r="J6" t="str">
        <f t="shared" si="0"/>
        <v>HILLIARD FL 32046</v>
      </c>
      <c r="K6" t="str">
        <f>"17465 WHEELING TR"</f>
        <v>17465 WHEELING TR</v>
      </c>
      <c r="L6" t="str">
        <f t="shared" si="1"/>
        <v>HILLIARD FL 32046</v>
      </c>
      <c r="M6" t="str">
        <f>"PT GOVT LOT 8 OF SEC 4-1N-23E IN OR 1666/48 {R622208 &amp; R622209}"</f>
        <v>PT GOVT LOT 8 OF SEC 4-1N-23E IN OR 1666/48 {R622208 &amp; R622209}</v>
      </c>
      <c r="N6" t="str">
        <f>""</f>
        <v/>
      </c>
      <c r="O6" t="str">
        <f>"19589"</f>
        <v>19589</v>
      </c>
      <c r="P6" t="str">
        <f t="shared" si="2"/>
        <v>2017</v>
      </c>
      <c r="Q6" t="str">
        <f>""</f>
        <v/>
      </c>
      <c r="R6" t="str">
        <f>"N"</f>
        <v>N</v>
      </c>
      <c r="S6" t="str">
        <f>"6.00"</f>
        <v>6.00</v>
      </c>
      <c r="T6" t="str">
        <f>"577.08"</f>
        <v>577.08</v>
      </c>
      <c r="U6" t="str">
        <f>"38119.00"</f>
        <v>38119.00</v>
      </c>
      <c r="V6" t="str">
        <f>"38119.00"</f>
        <v>38119.00</v>
      </c>
      <c r="W6" t="str">
        <f t="shared" si="3"/>
        <v>2017</v>
      </c>
      <c r="X6" t="str">
        <f>"12.33"</f>
        <v>12.33</v>
      </c>
      <c r="Y6" t="str">
        <f>"626.39"</f>
        <v>626.39</v>
      </c>
      <c r="Z6" t="str">
        <f>""</f>
        <v/>
      </c>
      <c r="AA6" t="str">
        <f>"38119.00"</f>
        <v>38119.00</v>
      </c>
      <c r="AB6" t="str">
        <f t="shared" si="6"/>
        <v>Residential</v>
      </c>
      <c r="AC6" t="str">
        <f t="shared" si="4"/>
        <v>0</v>
      </c>
      <c r="AD6" t="str">
        <f>"4"</f>
        <v>4</v>
      </c>
      <c r="AE6" t="str">
        <f>"WOOD (INCLUDE STEEL STUDS)"</f>
        <v>WOOD (INCLUDE STEEL STUDS)</v>
      </c>
      <c r="AF6" t="str">
        <f>"002"</f>
        <v>002</v>
      </c>
      <c r="AG6" t="str">
        <f t="shared" si="5"/>
        <v>FL</v>
      </c>
      <c r="AH6" t="str">
        <f>"261360.00"</f>
        <v>261360.00</v>
      </c>
      <c r="AI6" t="str">
        <f>"30600.00"</f>
        <v>30600.00</v>
      </c>
      <c r="AJ6" t="str">
        <f>"C55-001-037-4348-0"</f>
        <v>C55-001-037-4348-0</v>
      </c>
      <c r="AK6" t="str">
        <f>"58"</f>
        <v>58</v>
      </c>
      <c r="AL6">
        <v>1</v>
      </c>
      <c r="AM6">
        <v>5</v>
      </c>
      <c r="AN6">
        <v>656.11</v>
      </c>
      <c r="AQ6" t="s">
        <v>464</v>
      </c>
      <c r="AR6" t="s">
        <v>464</v>
      </c>
      <c r="AS6" t="s">
        <v>464</v>
      </c>
      <c r="AU6" t="s">
        <v>396</v>
      </c>
      <c r="AV6">
        <v>2017</v>
      </c>
      <c r="AW6" t="str">
        <f>"04-1N-23-0000-0003-0120 "</f>
        <v xml:space="preserve">04-1N-23-0000-0003-0120 </v>
      </c>
      <c r="AX6">
        <v>17465</v>
      </c>
      <c r="AZ6" t="s">
        <v>465</v>
      </c>
      <c r="BD6" t="s">
        <v>398</v>
      </c>
      <c r="BE6" t="s">
        <v>393</v>
      </c>
      <c r="BF6">
        <v>32046</v>
      </c>
      <c r="BG6" t="s">
        <v>466</v>
      </c>
      <c r="BH6" t="s">
        <v>400</v>
      </c>
      <c r="BI6">
        <v>-82.009168573485098</v>
      </c>
      <c r="BJ6">
        <v>30.526124433043101</v>
      </c>
      <c r="BK6" t="s">
        <v>467</v>
      </c>
      <c r="BM6" t="s">
        <v>468</v>
      </c>
      <c r="BN6" t="s">
        <v>403</v>
      </c>
      <c r="BO6">
        <v>32046</v>
      </c>
      <c r="BP6" t="s">
        <v>404</v>
      </c>
      <c r="BQ6">
        <v>200</v>
      </c>
      <c r="BR6" t="s">
        <v>405</v>
      </c>
      <c r="BS6">
        <v>1006</v>
      </c>
      <c r="BT6" t="s">
        <v>406</v>
      </c>
      <c r="BW6">
        <v>261360</v>
      </c>
      <c r="BX6" t="s">
        <v>407</v>
      </c>
      <c r="BY6" t="s">
        <v>408</v>
      </c>
      <c r="BZ6">
        <v>4</v>
      </c>
      <c r="CA6">
        <v>1970</v>
      </c>
      <c r="CB6">
        <v>1</v>
      </c>
      <c r="CC6">
        <v>2</v>
      </c>
      <c r="CD6">
        <v>2017</v>
      </c>
      <c r="CE6">
        <v>30600</v>
      </c>
      <c r="CF6">
        <v>7519</v>
      </c>
      <c r="CG6">
        <v>38119</v>
      </c>
      <c r="CH6">
        <v>2017</v>
      </c>
      <c r="CI6">
        <v>30600</v>
      </c>
      <c r="CJ6">
        <v>7519</v>
      </c>
      <c r="CK6">
        <v>38119</v>
      </c>
      <c r="CL6">
        <v>2017</v>
      </c>
      <c r="CM6">
        <v>577.08000000000004</v>
      </c>
      <c r="CN6" s="1">
        <v>39199</v>
      </c>
      <c r="CZ6" s="1">
        <v>39199</v>
      </c>
      <c r="DD6" t="s">
        <v>398</v>
      </c>
      <c r="DG6">
        <v>4</v>
      </c>
      <c r="DL6">
        <v>50503</v>
      </c>
      <c r="DM6" t="s">
        <v>419</v>
      </c>
      <c r="DO6" t="s">
        <v>469</v>
      </c>
      <c r="DP6">
        <v>0</v>
      </c>
      <c r="DQ6">
        <v>0</v>
      </c>
      <c r="DR6" t="s">
        <v>411</v>
      </c>
      <c r="DS6" t="b">
        <v>1</v>
      </c>
      <c r="DT6" t="s">
        <v>470</v>
      </c>
      <c r="DU6" t="s">
        <v>471</v>
      </c>
      <c r="DV6" t="s">
        <v>472</v>
      </c>
      <c r="DX6">
        <v>-9999</v>
      </c>
      <c r="DZ6" t="s">
        <v>447</v>
      </c>
      <c r="EA6" t="s">
        <v>448</v>
      </c>
      <c r="EB6" t="s">
        <v>473</v>
      </c>
      <c r="EC6">
        <v>20101217</v>
      </c>
      <c r="ED6" t="s">
        <v>474</v>
      </c>
      <c r="EF6">
        <v>497.2</v>
      </c>
      <c r="EG6">
        <v>497.2</v>
      </c>
      <c r="EI6">
        <v>20160407</v>
      </c>
      <c r="EJ6">
        <v>0</v>
      </c>
      <c r="EK6">
        <v>0</v>
      </c>
      <c r="EP6" t="s">
        <v>421</v>
      </c>
      <c r="EQ6" t="s">
        <v>452</v>
      </c>
      <c r="ER6">
        <v>3</v>
      </c>
      <c r="ES6">
        <v>6</v>
      </c>
      <c r="ET6">
        <v>1964.28</v>
      </c>
      <c r="EU6">
        <v>165.37</v>
      </c>
      <c r="EV6">
        <v>2129.65</v>
      </c>
      <c r="EW6" s="2">
        <v>43222</v>
      </c>
      <c r="EX6" s="1">
        <v>42879</v>
      </c>
      <c r="EY6">
        <v>2016</v>
      </c>
      <c r="EZ6">
        <v>659.42</v>
      </c>
      <c r="FA6" t="s">
        <v>475</v>
      </c>
      <c r="FB6">
        <v>0.25</v>
      </c>
      <c r="FC6" t="s">
        <v>424</v>
      </c>
      <c r="FD6" t="s">
        <v>454</v>
      </c>
      <c r="FF6">
        <v>12</v>
      </c>
      <c r="FG6">
        <v>7400234</v>
      </c>
      <c r="FH6" t="s">
        <v>426</v>
      </c>
      <c r="FJ6" s="1">
        <v>42879</v>
      </c>
      <c r="FK6">
        <v>2016</v>
      </c>
      <c r="FL6">
        <v>659.42</v>
      </c>
      <c r="FM6" t="s">
        <v>475</v>
      </c>
      <c r="FN6">
        <v>0.25</v>
      </c>
      <c r="FO6" t="s">
        <v>424</v>
      </c>
      <c r="FP6" t="s">
        <v>454</v>
      </c>
      <c r="FR6">
        <v>12</v>
      </c>
      <c r="FS6">
        <v>7443171</v>
      </c>
      <c r="FT6" t="s">
        <v>476</v>
      </c>
      <c r="FV6" s="1">
        <v>42515</v>
      </c>
      <c r="FW6">
        <v>2015</v>
      </c>
      <c r="FX6">
        <v>645.44000000000005</v>
      </c>
      <c r="FY6" t="s">
        <v>477</v>
      </c>
      <c r="FZ6">
        <v>6.25</v>
      </c>
      <c r="GA6" t="s">
        <v>424</v>
      </c>
      <c r="GB6" t="s">
        <v>454</v>
      </c>
      <c r="GD6">
        <v>24</v>
      </c>
      <c r="GE6">
        <v>115</v>
      </c>
      <c r="GF6" t="s">
        <v>478</v>
      </c>
      <c r="GH6" s="1">
        <v>42151</v>
      </c>
      <c r="GI6">
        <v>2014</v>
      </c>
      <c r="GJ6">
        <v>573.21</v>
      </c>
      <c r="GK6" t="s">
        <v>479</v>
      </c>
      <c r="GL6">
        <v>0.25</v>
      </c>
      <c r="GM6" t="s">
        <v>424</v>
      </c>
      <c r="GN6" t="s">
        <v>425</v>
      </c>
      <c r="GO6" s="1">
        <v>42775</v>
      </c>
      <c r="GP6">
        <v>21</v>
      </c>
      <c r="GQ6">
        <v>2851116</v>
      </c>
      <c r="GR6" t="s">
        <v>480</v>
      </c>
      <c r="GT6" s="1">
        <v>42151</v>
      </c>
      <c r="GU6">
        <v>2014</v>
      </c>
      <c r="GV6">
        <v>573.21</v>
      </c>
      <c r="GW6" t="s">
        <v>479</v>
      </c>
      <c r="GX6">
        <v>0.25</v>
      </c>
      <c r="GY6" t="s">
        <v>424</v>
      </c>
      <c r="GZ6" t="s">
        <v>425</v>
      </c>
      <c r="HB6">
        <v>22</v>
      </c>
      <c r="HC6">
        <v>4879475</v>
      </c>
      <c r="HD6" t="s">
        <v>481</v>
      </c>
      <c r="HF6" s="1">
        <v>41787</v>
      </c>
      <c r="HG6">
        <v>2013</v>
      </c>
      <c r="HH6">
        <v>791.94</v>
      </c>
      <c r="HI6" t="s">
        <v>482</v>
      </c>
      <c r="HJ6">
        <v>0.25</v>
      </c>
      <c r="HK6" t="s">
        <v>424</v>
      </c>
      <c r="HL6" t="s">
        <v>425</v>
      </c>
      <c r="HM6" s="1">
        <v>41842</v>
      </c>
      <c r="HN6">
        <v>2</v>
      </c>
      <c r="HO6">
        <v>12092</v>
      </c>
      <c r="HP6" t="s">
        <v>483</v>
      </c>
      <c r="HQ6" t="s">
        <v>458</v>
      </c>
      <c r="HR6" s="1">
        <v>41423</v>
      </c>
      <c r="HS6">
        <v>2012</v>
      </c>
      <c r="HT6">
        <v>837.89</v>
      </c>
      <c r="HU6" t="s">
        <v>484</v>
      </c>
      <c r="HV6">
        <v>4.5</v>
      </c>
      <c r="HW6" t="s">
        <v>424</v>
      </c>
      <c r="HX6" t="s">
        <v>425</v>
      </c>
      <c r="HY6" s="1">
        <v>41842</v>
      </c>
      <c r="HZ6">
        <v>14</v>
      </c>
      <c r="IA6">
        <v>15399</v>
      </c>
      <c r="IB6" t="s">
        <v>485</v>
      </c>
      <c r="IC6" t="s">
        <v>458</v>
      </c>
      <c r="ID6" s="1">
        <v>41052</v>
      </c>
      <c r="IE6">
        <v>2011</v>
      </c>
      <c r="IF6">
        <v>1018.45</v>
      </c>
      <c r="IG6" t="s">
        <v>486</v>
      </c>
      <c r="IH6">
        <v>6</v>
      </c>
      <c r="II6" t="s">
        <v>424</v>
      </c>
      <c r="IJ6" t="s">
        <v>425</v>
      </c>
      <c r="IL6">
        <v>22</v>
      </c>
      <c r="IM6">
        <v>1625515</v>
      </c>
      <c r="IN6" t="s">
        <v>487</v>
      </c>
      <c r="IO6" t="s">
        <v>458</v>
      </c>
      <c r="IP6" s="1">
        <v>41052</v>
      </c>
      <c r="IQ6">
        <v>2011</v>
      </c>
      <c r="IR6">
        <v>1018.45</v>
      </c>
      <c r="IS6" t="s">
        <v>486</v>
      </c>
      <c r="IT6">
        <v>6</v>
      </c>
      <c r="IU6" t="s">
        <v>424</v>
      </c>
      <c r="IV6" t="s">
        <v>425</v>
      </c>
      <c r="IX6">
        <v>22</v>
      </c>
      <c r="IY6">
        <v>10579</v>
      </c>
      <c r="IZ6" t="s">
        <v>488</v>
      </c>
      <c r="JA6" t="s">
        <v>458</v>
      </c>
    </row>
    <row r="7" spans="1:393" x14ac:dyDescent="0.25">
      <c r="A7">
        <v>16485014</v>
      </c>
      <c r="B7">
        <v>6</v>
      </c>
      <c r="C7" t="s">
        <v>393</v>
      </c>
      <c r="D7" t="s">
        <v>394</v>
      </c>
      <c r="F7" t="str">
        <f>"04-1N-23-0000-0005-0010"</f>
        <v>04-1N-23-0000-0005-0010</v>
      </c>
      <c r="H7" t="str">
        <f>"TANNER IRIS BRADDOCK"</f>
        <v>TANNER IRIS BRADDOCK</v>
      </c>
      <c r="I7" t="str">
        <f>"2475 STATE ROAD 2"</f>
        <v>2475 STATE ROAD 2</v>
      </c>
      <c r="J7" t="str">
        <f t="shared" si="0"/>
        <v>HILLIARD FL 32046</v>
      </c>
      <c r="K7" t="str">
        <f>"SR 2"</f>
        <v>SR 2</v>
      </c>
      <c r="L7" t="str">
        <f t="shared" si="1"/>
        <v>HILLIARD FL 32046</v>
      </c>
      <c r="M7" t="str">
        <f>"PT OR 328/413 EX R/W OR 535/356 EX 5-5 5-7 5-9 5-11 5-13 5-14 5-24 5-25 5-26 5-27 5-28 &amp; EX 5-29"</f>
        <v>PT OR 328/413 EX R/W OR 535/356 EX 5-5 5-7 5-9 5-11 5-13 5-14 5-24 5-25 5-26 5-27 5-28 &amp; EX 5-29</v>
      </c>
      <c r="N7" t="str">
        <f>""</f>
        <v/>
      </c>
      <c r="O7" t="str">
        <f>"19591"</f>
        <v>19591</v>
      </c>
      <c r="P7" t="str">
        <f t="shared" si="2"/>
        <v>2017</v>
      </c>
      <c r="Q7" t="str">
        <f>""</f>
        <v/>
      </c>
      <c r="R7" t="str">
        <f>"N"</f>
        <v>N</v>
      </c>
      <c r="S7" t="str">
        <f>"11.00"</f>
        <v>11.00</v>
      </c>
      <c r="T7" t="str">
        <f>"457.57"</f>
        <v>457.57</v>
      </c>
      <c r="U7" t="str">
        <f>"18522.00"</f>
        <v>18522.00</v>
      </c>
      <c r="V7" t="str">
        <f>"18522.00"</f>
        <v>18522.00</v>
      </c>
      <c r="W7" t="str">
        <f t="shared" si="3"/>
        <v>2017</v>
      </c>
      <c r="X7" t="str">
        <f>"10.00"</f>
        <v>10.00</v>
      </c>
      <c r="Y7" t="str">
        <f>"503.30"</f>
        <v>503.30</v>
      </c>
      <c r="Z7" t="str">
        <f>""</f>
        <v/>
      </c>
      <c r="AA7" t="str">
        <f>"45375.00"</f>
        <v>45375.00</v>
      </c>
      <c r="AB7" t="str">
        <f t="shared" si="6"/>
        <v>Residential</v>
      </c>
      <c r="AC7" t="str">
        <f t="shared" si="4"/>
        <v>0</v>
      </c>
      <c r="AD7" t="str">
        <f>""</f>
        <v/>
      </c>
      <c r="AE7" t="str">
        <f>""</f>
        <v/>
      </c>
      <c r="AF7" t="str">
        <f>"000"</f>
        <v>000</v>
      </c>
      <c r="AG7" t="str">
        <f t="shared" si="5"/>
        <v>FL</v>
      </c>
      <c r="AH7" t="str">
        <f>"479160.00"</f>
        <v>479160.00</v>
      </c>
      <c r="AI7" t="str">
        <f>"45375.00"</f>
        <v>45375.00</v>
      </c>
      <c r="AJ7" t="str">
        <f>"C55-000-586-4784-3"</f>
        <v>C55-000-586-4784-3</v>
      </c>
      <c r="AK7" t="str">
        <f>"60"</f>
        <v>60</v>
      </c>
      <c r="AL7">
        <v>1</v>
      </c>
      <c r="AM7">
        <v>6</v>
      </c>
      <c r="AN7">
        <v>526.87</v>
      </c>
      <c r="AQ7" t="s">
        <v>489</v>
      </c>
      <c r="AR7" t="s">
        <v>489</v>
      </c>
      <c r="AS7" t="s">
        <v>489</v>
      </c>
      <c r="AU7" t="s">
        <v>396</v>
      </c>
      <c r="AV7">
        <v>2017</v>
      </c>
      <c r="AW7" t="str">
        <f>"04-1N-23-0000-0005-0010 "</f>
        <v xml:space="preserve">04-1N-23-0000-0005-0010 </v>
      </c>
      <c r="AZ7" t="s">
        <v>397</v>
      </c>
      <c r="BD7" t="s">
        <v>398</v>
      </c>
      <c r="BE7" t="s">
        <v>393</v>
      </c>
      <c r="BF7">
        <v>32046</v>
      </c>
      <c r="BG7" t="s">
        <v>397</v>
      </c>
      <c r="BH7" t="s">
        <v>400</v>
      </c>
      <c r="BI7">
        <v>-82.007790589560301</v>
      </c>
      <c r="BJ7">
        <v>30.523040766392601</v>
      </c>
      <c r="BK7" t="s">
        <v>490</v>
      </c>
      <c r="BM7" t="s">
        <v>402</v>
      </c>
      <c r="BN7" t="s">
        <v>403</v>
      </c>
      <c r="BO7">
        <v>32046</v>
      </c>
      <c r="BP7" t="s">
        <v>404</v>
      </c>
      <c r="BQ7">
        <v>0</v>
      </c>
      <c r="BR7" t="s">
        <v>491</v>
      </c>
      <c r="BS7">
        <v>8001</v>
      </c>
      <c r="BT7" t="s">
        <v>492</v>
      </c>
      <c r="BW7">
        <v>479160</v>
      </c>
      <c r="BX7" t="s">
        <v>407</v>
      </c>
      <c r="CD7">
        <v>2017</v>
      </c>
      <c r="CE7">
        <v>45375</v>
      </c>
      <c r="CG7">
        <v>45375</v>
      </c>
      <c r="CH7">
        <v>2017</v>
      </c>
      <c r="CI7">
        <v>45375</v>
      </c>
      <c r="CK7">
        <v>45375</v>
      </c>
      <c r="CL7">
        <v>2017</v>
      </c>
      <c r="CM7">
        <v>457.57</v>
      </c>
      <c r="CN7" s="1">
        <v>41179</v>
      </c>
      <c r="CV7">
        <v>0</v>
      </c>
      <c r="CZ7" s="1">
        <v>41179</v>
      </c>
      <c r="DA7">
        <v>0</v>
      </c>
      <c r="DD7" t="s">
        <v>398</v>
      </c>
      <c r="DG7">
        <v>4</v>
      </c>
      <c r="DL7">
        <v>50503</v>
      </c>
      <c r="DM7" t="s">
        <v>419</v>
      </c>
      <c r="DO7" t="s">
        <v>493</v>
      </c>
      <c r="DP7">
        <v>0</v>
      </c>
      <c r="DQ7">
        <v>0</v>
      </c>
      <c r="DR7" t="s">
        <v>411</v>
      </c>
    </row>
    <row r="8" spans="1:393" x14ac:dyDescent="0.25">
      <c r="A8">
        <v>16485015</v>
      </c>
      <c r="B8">
        <v>7</v>
      </c>
      <c r="C8" t="s">
        <v>393</v>
      </c>
      <c r="D8" t="s">
        <v>394</v>
      </c>
      <c r="F8" t="str">
        <f>"04-1N-23-0000-0005-0080"</f>
        <v>04-1N-23-0000-0005-0080</v>
      </c>
      <c r="H8" t="str">
        <f>"BURNSED JAMES FENTON &amp; BURNSED AARON ELLIS (JT/RS)"</f>
        <v>BURNSED JAMES FENTON &amp; BURNSED AARON ELLIS (JT/RS)</v>
      </c>
      <c r="I8" t="str">
        <f>"17201 OAK HILL RD"</f>
        <v>17201 OAK HILL RD</v>
      </c>
      <c r="J8" t="str">
        <f t="shared" si="0"/>
        <v>HILLIARD FL 32046</v>
      </c>
      <c r="K8" t="str">
        <f>"17201 OAK HILL RD"</f>
        <v>17201 OAK HILL RD</v>
      </c>
      <c r="L8" t="str">
        <f t="shared" si="1"/>
        <v>HILLIARD FL 32046</v>
      </c>
      <c r="M8" t="str">
        <f>"IN OR 1220/1889"</f>
        <v>IN OR 1220/1889</v>
      </c>
      <c r="N8" t="str">
        <f>""</f>
        <v/>
      </c>
      <c r="O8" t="str">
        <f>"19597"</f>
        <v>19597</v>
      </c>
      <c r="P8" t="str">
        <f t="shared" si="2"/>
        <v>2017</v>
      </c>
      <c r="Q8" t="str">
        <f>""</f>
        <v/>
      </c>
      <c r="R8" t="str">
        <f>"N"</f>
        <v>N</v>
      </c>
      <c r="S8" t="str">
        <f>"3.12"</f>
        <v>3.12</v>
      </c>
      <c r="T8" t="str">
        <f>"508.08"</f>
        <v>508.08</v>
      </c>
      <c r="U8" t="str">
        <f>"33562.00"</f>
        <v>33562.00</v>
      </c>
      <c r="V8" t="str">
        <f>"33562.00"</f>
        <v>33562.00</v>
      </c>
      <c r="W8" t="str">
        <f t="shared" si="3"/>
        <v>2017</v>
      </c>
      <c r="X8" t="str">
        <f>"20.00"</f>
        <v>20.00</v>
      </c>
      <c r="Y8" t="str">
        <f>"555.32"</f>
        <v>555.32</v>
      </c>
      <c r="Z8" t="str">
        <f>""</f>
        <v/>
      </c>
      <c r="AA8" t="str">
        <f>"33562.00"</f>
        <v>33562.00</v>
      </c>
      <c r="AB8" t="str">
        <f t="shared" si="6"/>
        <v>Residential</v>
      </c>
      <c r="AC8" t="str">
        <f t="shared" si="4"/>
        <v>0</v>
      </c>
      <c r="AD8" t="str">
        <f>""</f>
        <v/>
      </c>
      <c r="AE8" t="str">
        <f>""</f>
        <v/>
      </c>
      <c r="AF8" t="str">
        <f>"000"</f>
        <v>000</v>
      </c>
      <c r="AG8" t="str">
        <f t="shared" si="5"/>
        <v>FL</v>
      </c>
      <c r="AH8" t="str">
        <f>"135907.00"</f>
        <v>135907.00</v>
      </c>
      <c r="AI8" t="str">
        <f>"24960.00"</f>
        <v>24960.00</v>
      </c>
      <c r="AJ8" t="str">
        <f>"C55-000-586-4790-0"</f>
        <v>C55-000-586-4790-0</v>
      </c>
      <c r="AK8" t="str">
        <f>"66"</f>
        <v>66</v>
      </c>
      <c r="AL8">
        <v>1</v>
      </c>
      <c r="AM8">
        <v>7</v>
      </c>
      <c r="AN8">
        <v>581.49</v>
      </c>
      <c r="AQ8" t="s">
        <v>494</v>
      </c>
      <c r="AR8" t="s">
        <v>494</v>
      </c>
      <c r="AS8" t="s">
        <v>494</v>
      </c>
      <c r="AU8" t="s">
        <v>396</v>
      </c>
      <c r="AV8">
        <v>2017</v>
      </c>
      <c r="AW8" t="str">
        <f>"04-1N-23-0000-0005-0080 "</f>
        <v xml:space="preserve">04-1N-23-0000-0005-0080 </v>
      </c>
      <c r="AX8">
        <v>17201</v>
      </c>
      <c r="AZ8" t="s">
        <v>495</v>
      </c>
      <c r="BA8" t="s">
        <v>496</v>
      </c>
      <c r="BD8" t="s">
        <v>398</v>
      </c>
      <c r="BE8" t="s">
        <v>393</v>
      </c>
      <c r="BF8">
        <v>32046</v>
      </c>
      <c r="BG8" t="s">
        <v>497</v>
      </c>
      <c r="BH8" t="s">
        <v>400</v>
      </c>
      <c r="BI8">
        <v>-82.006195151852594</v>
      </c>
      <c r="BJ8">
        <v>30.5222918634122</v>
      </c>
      <c r="BK8" t="s">
        <v>498</v>
      </c>
      <c r="BL8" t="s">
        <v>499</v>
      </c>
      <c r="BM8" t="s">
        <v>497</v>
      </c>
      <c r="BN8" t="s">
        <v>403</v>
      </c>
      <c r="BO8">
        <v>32046</v>
      </c>
      <c r="BP8" t="s">
        <v>404</v>
      </c>
      <c r="BQ8">
        <v>1</v>
      </c>
      <c r="BR8" t="s">
        <v>491</v>
      </c>
      <c r="BS8">
        <v>8001</v>
      </c>
      <c r="BT8" t="s">
        <v>492</v>
      </c>
      <c r="BW8">
        <v>135907</v>
      </c>
      <c r="BX8" t="s">
        <v>407</v>
      </c>
      <c r="CD8">
        <v>2017</v>
      </c>
      <c r="CE8">
        <v>24960</v>
      </c>
      <c r="CF8">
        <v>8602</v>
      </c>
      <c r="CG8">
        <v>33562</v>
      </c>
      <c r="CH8">
        <v>2017</v>
      </c>
      <c r="CI8">
        <v>24960</v>
      </c>
      <c r="CJ8">
        <v>8602</v>
      </c>
      <c r="CK8">
        <v>33562</v>
      </c>
      <c r="CL8">
        <v>2017</v>
      </c>
      <c r="CM8">
        <v>508.08</v>
      </c>
      <c r="CN8" s="1">
        <v>38085</v>
      </c>
      <c r="CZ8" s="1">
        <v>38085</v>
      </c>
      <c r="DD8" t="s">
        <v>398</v>
      </c>
      <c r="DG8">
        <v>4</v>
      </c>
      <c r="DL8">
        <v>50503</v>
      </c>
      <c r="DM8" t="s">
        <v>419</v>
      </c>
      <c r="DO8" t="s">
        <v>500</v>
      </c>
      <c r="DP8">
        <v>0</v>
      </c>
      <c r="DQ8">
        <v>0</v>
      </c>
      <c r="DR8" t="s">
        <v>411</v>
      </c>
      <c r="DS8" t="b">
        <v>1</v>
      </c>
      <c r="DT8" t="s">
        <v>470</v>
      </c>
      <c r="DU8" t="s">
        <v>471</v>
      </c>
      <c r="DV8" t="s">
        <v>472</v>
      </c>
      <c r="DX8">
        <v>-9999</v>
      </c>
      <c r="DZ8" t="s">
        <v>447</v>
      </c>
      <c r="EA8" t="s">
        <v>448</v>
      </c>
      <c r="EB8" t="s">
        <v>473</v>
      </c>
      <c r="EC8">
        <v>20101217</v>
      </c>
      <c r="ED8" t="s">
        <v>474</v>
      </c>
      <c r="EF8">
        <v>337.6</v>
      </c>
      <c r="EG8">
        <v>337.6</v>
      </c>
      <c r="EI8">
        <v>20160407</v>
      </c>
      <c r="EJ8">
        <v>0</v>
      </c>
      <c r="EK8">
        <v>0</v>
      </c>
      <c r="EP8" t="s">
        <v>421</v>
      </c>
      <c r="EQ8" t="s">
        <v>422</v>
      </c>
      <c r="ER8">
        <v>2</v>
      </c>
      <c r="ES8">
        <v>4</v>
      </c>
      <c r="ET8">
        <v>1099.9100000000001</v>
      </c>
      <c r="EU8">
        <v>203.45</v>
      </c>
      <c r="EV8">
        <v>1303.3599999999999</v>
      </c>
      <c r="EW8" s="2">
        <v>43222</v>
      </c>
      <c r="EX8" s="1">
        <v>42879</v>
      </c>
      <c r="EY8">
        <v>2016</v>
      </c>
      <c r="EZ8">
        <v>545</v>
      </c>
      <c r="FA8" t="s">
        <v>501</v>
      </c>
      <c r="FB8">
        <v>4.75</v>
      </c>
      <c r="FC8" t="s">
        <v>424</v>
      </c>
      <c r="FD8" t="s">
        <v>454</v>
      </c>
      <c r="FF8">
        <v>12</v>
      </c>
      <c r="FG8">
        <v>7336745</v>
      </c>
      <c r="FH8" t="s">
        <v>502</v>
      </c>
      <c r="FJ8" s="1">
        <v>42515</v>
      </c>
      <c r="FK8">
        <v>2015</v>
      </c>
      <c r="FL8">
        <v>554.91</v>
      </c>
      <c r="FM8" t="s">
        <v>503</v>
      </c>
      <c r="FN8">
        <v>14.75</v>
      </c>
      <c r="FO8" t="s">
        <v>424</v>
      </c>
      <c r="FP8" t="s">
        <v>454</v>
      </c>
      <c r="FR8">
        <v>24</v>
      </c>
      <c r="FS8">
        <v>10125</v>
      </c>
      <c r="FT8" t="s">
        <v>440</v>
      </c>
      <c r="FV8" s="1">
        <v>42151</v>
      </c>
      <c r="FW8">
        <v>2014</v>
      </c>
      <c r="FX8">
        <v>533.29999999999995</v>
      </c>
      <c r="FY8" t="s">
        <v>504</v>
      </c>
      <c r="FZ8">
        <v>4.75</v>
      </c>
      <c r="GA8" t="s">
        <v>424</v>
      </c>
      <c r="GB8" t="s">
        <v>425</v>
      </c>
      <c r="GC8" s="1">
        <v>42836</v>
      </c>
      <c r="GD8">
        <v>23</v>
      </c>
      <c r="GE8">
        <v>4975593</v>
      </c>
      <c r="GF8" t="s">
        <v>505</v>
      </c>
      <c r="GH8" s="1">
        <v>41787</v>
      </c>
      <c r="GI8">
        <v>2013</v>
      </c>
      <c r="GJ8">
        <v>508.2</v>
      </c>
      <c r="GK8" t="s">
        <v>506</v>
      </c>
      <c r="GL8">
        <v>9.75</v>
      </c>
      <c r="GM8" t="s">
        <v>424</v>
      </c>
      <c r="GN8" t="s">
        <v>425</v>
      </c>
      <c r="GO8" s="1">
        <v>42086</v>
      </c>
      <c r="GP8">
        <v>10</v>
      </c>
      <c r="GQ8">
        <v>2035919</v>
      </c>
      <c r="GR8" t="s">
        <v>507</v>
      </c>
      <c r="GT8" s="1">
        <v>41423</v>
      </c>
      <c r="GU8">
        <v>2012</v>
      </c>
      <c r="GV8">
        <v>544.64</v>
      </c>
      <c r="GW8" t="s">
        <v>508</v>
      </c>
      <c r="GX8">
        <v>4.5</v>
      </c>
      <c r="GY8" t="s">
        <v>424</v>
      </c>
      <c r="GZ8" t="s">
        <v>425</v>
      </c>
      <c r="HA8" s="1">
        <v>42086</v>
      </c>
      <c r="HB8">
        <v>22</v>
      </c>
      <c r="HC8">
        <v>116</v>
      </c>
      <c r="HD8" t="s">
        <v>509</v>
      </c>
      <c r="HF8" s="1">
        <v>40688</v>
      </c>
      <c r="HG8">
        <v>2010</v>
      </c>
      <c r="HH8">
        <v>666.67</v>
      </c>
      <c r="HI8" t="s">
        <v>510</v>
      </c>
      <c r="HJ8">
        <v>5</v>
      </c>
      <c r="HK8" t="s">
        <v>424</v>
      </c>
      <c r="HL8" t="s">
        <v>425</v>
      </c>
      <c r="HM8" s="1">
        <v>40973</v>
      </c>
      <c r="HN8">
        <v>10</v>
      </c>
      <c r="HO8">
        <v>11287</v>
      </c>
      <c r="HP8" t="s">
        <v>511</v>
      </c>
    </row>
    <row r="9" spans="1:393" x14ac:dyDescent="0.25">
      <c r="A9">
        <v>16485016</v>
      </c>
      <c r="B9">
        <v>8</v>
      </c>
      <c r="C9" t="s">
        <v>393</v>
      </c>
      <c r="D9" t="s">
        <v>394</v>
      </c>
      <c r="F9" t="str">
        <f>"04-1N-23-0000-0005-0090"</f>
        <v>04-1N-23-0000-0005-0090</v>
      </c>
      <c r="H9" t="str">
        <f>"TANNER IRIS BRADDOCK"</f>
        <v>TANNER IRIS BRADDOCK</v>
      </c>
      <c r="I9" t="str">
        <f>"2475 STATE ROAD 2"</f>
        <v>2475 STATE ROAD 2</v>
      </c>
      <c r="J9" t="str">
        <f t="shared" si="0"/>
        <v>HILLIARD FL 32046</v>
      </c>
      <c r="K9" t="str">
        <f>"2475 SR 2"</f>
        <v>2475 SR 2</v>
      </c>
      <c r="L9" t="str">
        <f t="shared" si="1"/>
        <v>HILLIARD FL 32046</v>
      </c>
      <c r="M9" t="str">
        <f>"PT OR 328 PG 413"</f>
        <v>PT OR 328 PG 413</v>
      </c>
      <c r="N9" t="str">
        <f>""</f>
        <v/>
      </c>
      <c r="O9" t="str">
        <f>"19598"</f>
        <v>19598</v>
      </c>
      <c r="P9" t="str">
        <f t="shared" si="2"/>
        <v>2017</v>
      </c>
      <c r="Q9" t="str">
        <f>""</f>
        <v/>
      </c>
      <c r="R9" t="str">
        <f>"Y"</f>
        <v>Y</v>
      </c>
      <c r="S9" t="str">
        <f>"6.59"</f>
        <v>6.59</v>
      </c>
      <c r="T9" t="str">
        <f>"515.84"</f>
        <v>515.84</v>
      </c>
      <c r="U9" t="str">
        <f>"100777.00"</f>
        <v>100777.00</v>
      </c>
      <c r="V9" t="str">
        <f>"100777.00"</f>
        <v>100777.00</v>
      </c>
      <c r="W9" t="str">
        <f t="shared" si="3"/>
        <v>2017</v>
      </c>
      <c r="X9" t="str">
        <f>"12.00"</f>
        <v>12.00</v>
      </c>
      <c r="Y9" t="str">
        <f>"563.32"</f>
        <v>563.32</v>
      </c>
      <c r="Z9" t="str">
        <f>"25000.00"</f>
        <v>25000.00</v>
      </c>
      <c r="AA9" t="str">
        <f>"75777.00"</f>
        <v>75777.00</v>
      </c>
      <c r="AB9" t="str">
        <f t="shared" si="6"/>
        <v>Residential</v>
      </c>
      <c r="AC9" t="str">
        <f t="shared" si="4"/>
        <v>0</v>
      </c>
      <c r="AD9" t="str">
        <f>"4"</f>
        <v>4</v>
      </c>
      <c r="AE9" t="str">
        <f>"WOOD (INCLUDE STEEL STUDS)"</f>
        <v>WOOD (INCLUDE STEEL STUDS)</v>
      </c>
      <c r="AF9" t="str">
        <f>"001"</f>
        <v>001</v>
      </c>
      <c r="AG9" t="str">
        <f t="shared" si="5"/>
        <v>FL</v>
      </c>
      <c r="AH9" t="str">
        <f>"287060.00"</f>
        <v>287060.00</v>
      </c>
      <c r="AI9" t="str">
        <f>"27590.00"</f>
        <v>27590.00</v>
      </c>
      <c r="AJ9" t="str">
        <f>"C55-000-586-4791-8"</f>
        <v>C55-000-586-4791-8</v>
      </c>
      <c r="AK9" t="str">
        <f>"67"</f>
        <v>67</v>
      </c>
      <c r="AL9">
        <v>1</v>
      </c>
      <c r="AM9">
        <v>8</v>
      </c>
      <c r="AN9">
        <v>589.89</v>
      </c>
      <c r="AQ9" t="s">
        <v>512</v>
      </c>
      <c r="AR9" t="s">
        <v>512</v>
      </c>
      <c r="AS9" t="s">
        <v>512</v>
      </c>
      <c r="AU9" t="s">
        <v>396</v>
      </c>
      <c r="AV9">
        <v>2017</v>
      </c>
      <c r="AW9" t="str">
        <f>"04-1N-23-0000-0005-0090 "</f>
        <v xml:space="preserve">04-1N-23-0000-0005-0090 </v>
      </c>
      <c r="AX9">
        <v>2475</v>
      </c>
      <c r="AZ9" t="s">
        <v>397</v>
      </c>
      <c r="BD9" t="s">
        <v>398</v>
      </c>
      <c r="BE9" t="s">
        <v>393</v>
      </c>
      <c r="BF9">
        <v>32046</v>
      </c>
      <c r="BG9" t="s">
        <v>513</v>
      </c>
      <c r="BH9" t="s">
        <v>400</v>
      </c>
      <c r="BI9">
        <v>-82.0071562818449</v>
      </c>
      <c r="BJ9">
        <v>30.5245311504511</v>
      </c>
      <c r="BK9" t="s">
        <v>490</v>
      </c>
      <c r="BM9" t="s">
        <v>402</v>
      </c>
      <c r="BN9" t="s">
        <v>403</v>
      </c>
      <c r="BO9">
        <v>32046</v>
      </c>
      <c r="BP9" t="s">
        <v>416</v>
      </c>
      <c r="BQ9">
        <v>100</v>
      </c>
      <c r="BR9" t="s">
        <v>514</v>
      </c>
      <c r="BS9">
        <v>1001</v>
      </c>
      <c r="BT9" t="s">
        <v>515</v>
      </c>
      <c r="BW9">
        <v>287060</v>
      </c>
      <c r="BX9" t="s">
        <v>407</v>
      </c>
      <c r="BZ9">
        <v>4</v>
      </c>
      <c r="CA9">
        <v>1972</v>
      </c>
      <c r="CB9">
        <v>1</v>
      </c>
      <c r="CC9">
        <v>1</v>
      </c>
      <c r="CD9">
        <v>2017</v>
      </c>
      <c r="CG9">
        <v>100777</v>
      </c>
      <c r="CH9">
        <v>2017</v>
      </c>
      <c r="CI9">
        <v>27590</v>
      </c>
      <c r="CJ9">
        <v>96288</v>
      </c>
      <c r="CK9">
        <v>123878</v>
      </c>
      <c r="CL9">
        <v>2017</v>
      </c>
      <c r="CM9">
        <v>515.84</v>
      </c>
      <c r="DD9" t="s">
        <v>398</v>
      </c>
      <c r="DG9">
        <v>4</v>
      </c>
      <c r="DL9">
        <v>50503</v>
      </c>
      <c r="DM9" t="s">
        <v>419</v>
      </c>
      <c r="DO9" t="s">
        <v>516</v>
      </c>
      <c r="DP9">
        <v>0</v>
      </c>
      <c r="DQ9">
        <v>0</v>
      </c>
      <c r="DR9" t="s">
        <v>411</v>
      </c>
    </row>
    <row r="10" spans="1:393" x14ac:dyDescent="0.25">
      <c r="A10">
        <v>16485017</v>
      </c>
      <c r="B10">
        <v>9</v>
      </c>
      <c r="C10" t="s">
        <v>393</v>
      </c>
      <c r="D10" t="s">
        <v>394</v>
      </c>
      <c r="F10" t="str">
        <f>"04-1N-23-0000-0005-0130"</f>
        <v>04-1N-23-0000-0005-0130</v>
      </c>
      <c r="H10" t="str">
        <f>"TANNER IRIS C &amp; LINDA &amp; WILBUR L RYALS C/O LINDA RYALS"</f>
        <v>TANNER IRIS C &amp; LINDA &amp; WILBUR L RYALS C/O LINDA RYALS</v>
      </c>
      <c r="I10" t="str">
        <f>""</f>
        <v/>
      </c>
      <c r="J10" t="str">
        <f>"HILLIARD FL 32034"</f>
        <v>HILLIARD FL 32034</v>
      </c>
      <c r="K10" t="str">
        <f>"17324 OAK HILL RD"</f>
        <v>17324 OAK HILL RD</v>
      </c>
      <c r="L10" t="str">
        <f t="shared" si="1"/>
        <v>HILLIARD FL 32046</v>
      </c>
      <c r="M10" t="str">
        <f>"IN OR 968/787"</f>
        <v>IN OR 968/787</v>
      </c>
      <c r="N10" t="str">
        <f>""</f>
        <v/>
      </c>
      <c r="O10" t="str">
        <f>"19602"</f>
        <v>19602</v>
      </c>
      <c r="P10" t="str">
        <f t="shared" si="2"/>
        <v>2017</v>
      </c>
      <c r="Q10" t="str">
        <f>""</f>
        <v/>
      </c>
      <c r="R10" t="str">
        <f>"N"</f>
        <v>N</v>
      </c>
      <c r="S10" t="str">
        <f>"2.00"</f>
        <v>2.00</v>
      </c>
      <c r="T10" t="str">
        <f>"980.00"</f>
        <v>980.00</v>
      </c>
      <c r="U10" t="str">
        <f>"62436.00"</f>
        <v>62436.00</v>
      </c>
      <c r="V10" t="str">
        <f>"62436.00"</f>
        <v>62436.00</v>
      </c>
      <c r="W10" t="str">
        <f t="shared" si="3"/>
        <v>2017</v>
      </c>
      <c r="X10" t="str">
        <f>"12.00"</f>
        <v>12.00</v>
      </c>
      <c r="Y10" t="str">
        <f>"1041.40"</f>
        <v>1041.40</v>
      </c>
      <c r="Z10" t="str">
        <f>""</f>
        <v/>
      </c>
      <c r="AA10" t="str">
        <f>"67709.00"</f>
        <v>67709.00</v>
      </c>
      <c r="AB10" t="str">
        <f t="shared" si="6"/>
        <v>Residential</v>
      </c>
      <c r="AC10" t="str">
        <f t="shared" si="4"/>
        <v>0</v>
      </c>
      <c r="AD10" t="str">
        <f>"4"</f>
        <v>4</v>
      </c>
      <c r="AE10" t="str">
        <f>"WOOD (INCLUDE STEEL STUDS)"</f>
        <v>WOOD (INCLUDE STEEL STUDS)</v>
      </c>
      <c r="AF10" t="str">
        <f>"002"</f>
        <v>002</v>
      </c>
      <c r="AG10" t="str">
        <f t="shared" si="5"/>
        <v>FL</v>
      </c>
      <c r="AH10" t="str">
        <f>"87120.00"</f>
        <v>87120.00</v>
      </c>
      <c r="AI10" t="str">
        <f>"24000.00"</f>
        <v>24000.00</v>
      </c>
      <c r="AJ10" t="str">
        <f>"C55-000-586-4795-9"</f>
        <v>C55-000-586-4795-9</v>
      </c>
      <c r="AK10" t="str">
        <f>"71"</f>
        <v>71</v>
      </c>
      <c r="AL10">
        <v>1</v>
      </c>
      <c r="AM10">
        <v>10</v>
      </c>
      <c r="AN10">
        <v>1091.8699999999999</v>
      </c>
      <c r="AQ10" t="s">
        <v>517</v>
      </c>
      <c r="AR10" t="s">
        <v>517</v>
      </c>
      <c r="AS10" t="s">
        <v>517</v>
      </c>
      <c r="AU10" t="s">
        <v>396</v>
      </c>
      <c r="AV10">
        <v>2017</v>
      </c>
      <c r="AW10" t="str">
        <f>"04-1N-23-0000-0005-0130 "</f>
        <v xml:space="preserve">04-1N-23-0000-0005-0130 </v>
      </c>
      <c r="AX10">
        <v>17324</v>
      </c>
      <c r="AZ10" t="s">
        <v>495</v>
      </c>
      <c r="BA10" t="s">
        <v>496</v>
      </c>
      <c r="BD10" t="s">
        <v>398</v>
      </c>
      <c r="BE10" t="s">
        <v>393</v>
      </c>
      <c r="BF10">
        <v>32046</v>
      </c>
      <c r="BG10" t="s">
        <v>518</v>
      </c>
      <c r="BH10" t="s">
        <v>400</v>
      </c>
      <c r="BI10">
        <v>-82.006565353920493</v>
      </c>
      <c r="BJ10">
        <v>30.5234964085146</v>
      </c>
      <c r="BK10" t="s">
        <v>519</v>
      </c>
      <c r="BM10" t="s">
        <v>520</v>
      </c>
      <c r="BN10" t="s">
        <v>403</v>
      </c>
      <c r="BO10">
        <v>32046</v>
      </c>
      <c r="BP10" t="s">
        <v>404</v>
      </c>
      <c r="BQ10">
        <v>200</v>
      </c>
      <c r="BR10" t="s">
        <v>405</v>
      </c>
      <c r="BS10">
        <v>1006</v>
      </c>
      <c r="BT10" t="s">
        <v>406</v>
      </c>
      <c r="BW10">
        <v>87120</v>
      </c>
      <c r="BX10" t="s">
        <v>407</v>
      </c>
      <c r="BY10" t="s">
        <v>408</v>
      </c>
      <c r="BZ10">
        <v>4</v>
      </c>
      <c r="CA10">
        <v>1995</v>
      </c>
      <c r="CC10">
        <v>1</v>
      </c>
      <c r="CD10">
        <v>2017</v>
      </c>
      <c r="CE10">
        <v>24000</v>
      </c>
      <c r="CF10">
        <v>43709</v>
      </c>
      <c r="CG10">
        <v>67709</v>
      </c>
      <c r="CH10">
        <v>2017</v>
      </c>
      <c r="CI10">
        <v>24000</v>
      </c>
      <c r="CJ10">
        <v>43709</v>
      </c>
      <c r="CK10">
        <v>67709</v>
      </c>
      <c r="CL10">
        <v>2017</v>
      </c>
      <c r="CM10">
        <v>980</v>
      </c>
      <c r="CN10" s="1">
        <v>36917</v>
      </c>
      <c r="CO10">
        <v>44300</v>
      </c>
      <c r="CZ10" s="1">
        <v>36917</v>
      </c>
      <c r="DD10" t="s">
        <v>398</v>
      </c>
      <c r="DG10">
        <v>4</v>
      </c>
      <c r="DL10">
        <v>50503</v>
      </c>
      <c r="DM10" t="s">
        <v>419</v>
      </c>
      <c r="DO10" t="s">
        <v>521</v>
      </c>
      <c r="DP10">
        <v>0</v>
      </c>
      <c r="DQ10">
        <v>0</v>
      </c>
      <c r="DR10" t="s">
        <v>411</v>
      </c>
      <c r="DS10" t="b">
        <v>1</v>
      </c>
      <c r="DT10" t="s">
        <v>470</v>
      </c>
      <c r="DU10" t="s">
        <v>471</v>
      </c>
      <c r="DV10" t="s">
        <v>472</v>
      </c>
      <c r="DX10">
        <v>-9999</v>
      </c>
      <c r="DZ10" t="s">
        <v>447</v>
      </c>
      <c r="EA10" t="s">
        <v>448</v>
      </c>
      <c r="EB10" t="s">
        <v>473</v>
      </c>
      <c r="EC10">
        <v>20101217</v>
      </c>
      <c r="ED10" t="s">
        <v>474</v>
      </c>
      <c r="EF10">
        <v>479.2</v>
      </c>
      <c r="EG10">
        <v>479.2</v>
      </c>
      <c r="EI10">
        <v>20160407</v>
      </c>
      <c r="EJ10">
        <v>0</v>
      </c>
      <c r="EK10">
        <v>0</v>
      </c>
      <c r="EP10" t="s">
        <v>421</v>
      </c>
      <c r="EQ10" t="s">
        <v>422</v>
      </c>
      <c r="ER10">
        <v>2</v>
      </c>
      <c r="ES10">
        <v>3</v>
      </c>
      <c r="ET10">
        <v>2017.84</v>
      </c>
      <c r="EU10">
        <v>113.39</v>
      </c>
      <c r="EV10">
        <v>2131.23</v>
      </c>
      <c r="EW10" s="2">
        <v>43222</v>
      </c>
      <c r="EX10" s="1">
        <v>42879</v>
      </c>
      <c r="EY10">
        <v>2016</v>
      </c>
      <c r="EZ10">
        <v>1008.92</v>
      </c>
      <c r="FA10" t="s">
        <v>522</v>
      </c>
      <c r="FB10">
        <v>0.25</v>
      </c>
      <c r="FC10" t="s">
        <v>424</v>
      </c>
      <c r="FD10" t="s">
        <v>454</v>
      </c>
      <c r="FF10">
        <v>12</v>
      </c>
      <c r="FG10">
        <v>7336671</v>
      </c>
      <c r="FH10" t="s">
        <v>437</v>
      </c>
      <c r="FJ10" s="1">
        <v>42879</v>
      </c>
      <c r="FK10">
        <v>2016</v>
      </c>
      <c r="FL10">
        <v>1008.92</v>
      </c>
      <c r="FM10" t="s">
        <v>522</v>
      </c>
      <c r="FN10">
        <v>0.25</v>
      </c>
      <c r="FO10" t="s">
        <v>424</v>
      </c>
      <c r="FP10" t="s">
        <v>454</v>
      </c>
      <c r="FR10">
        <v>12</v>
      </c>
      <c r="FS10">
        <v>5191958</v>
      </c>
      <c r="FT10" t="s">
        <v>523</v>
      </c>
      <c r="FV10" s="1">
        <v>42515</v>
      </c>
      <c r="FW10">
        <v>2015</v>
      </c>
      <c r="FX10">
        <v>981.05</v>
      </c>
      <c r="FY10" t="s">
        <v>524</v>
      </c>
      <c r="FZ10">
        <v>0.25</v>
      </c>
      <c r="GA10" t="s">
        <v>424</v>
      </c>
      <c r="GB10" t="s">
        <v>425</v>
      </c>
      <c r="GC10" s="1">
        <v>43160</v>
      </c>
      <c r="GD10">
        <v>22</v>
      </c>
      <c r="GE10">
        <v>2851116</v>
      </c>
      <c r="GF10" t="s">
        <v>480</v>
      </c>
      <c r="GH10" s="1">
        <v>42515</v>
      </c>
      <c r="GI10">
        <v>2015</v>
      </c>
      <c r="GJ10">
        <v>981.05</v>
      </c>
      <c r="GK10" t="s">
        <v>524</v>
      </c>
      <c r="GL10">
        <v>0.25</v>
      </c>
      <c r="GM10" t="s">
        <v>424</v>
      </c>
      <c r="GN10" t="s">
        <v>425</v>
      </c>
      <c r="GP10">
        <v>22</v>
      </c>
      <c r="GQ10">
        <v>5553958</v>
      </c>
      <c r="GR10" t="s">
        <v>525</v>
      </c>
      <c r="GT10" s="1">
        <v>41052</v>
      </c>
      <c r="GU10">
        <v>2011</v>
      </c>
      <c r="GV10">
        <v>1035.73</v>
      </c>
      <c r="GW10" t="s">
        <v>526</v>
      </c>
      <c r="GX10">
        <v>6</v>
      </c>
      <c r="GY10" t="s">
        <v>424</v>
      </c>
      <c r="GZ10" t="s">
        <v>425</v>
      </c>
      <c r="HA10" s="1">
        <v>41092</v>
      </c>
      <c r="HB10">
        <v>2</v>
      </c>
      <c r="HC10">
        <v>62</v>
      </c>
      <c r="HD10" t="s">
        <v>463</v>
      </c>
    </row>
    <row r="11" spans="1:393" x14ac:dyDescent="0.25">
      <c r="A11">
        <v>16485018</v>
      </c>
      <c r="B11">
        <v>10</v>
      </c>
      <c r="C11" t="s">
        <v>393</v>
      </c>
      <c r="D11" t="s">
        <v>394</v>
      </c>
      <c r="F11" t="str">
        <f>"04-1N-23-0000-0005-0240"</f>
        <v>04-1N-23-0000-0005-0240</v>
      </c>
      <c r="H11" t="str">
        <f>"TANNER IRIS"</f>
        <v>TANNER IRIS</v>
      </c>
      <c r="I11" t="str">
        <f>"2475 STATE ROAD 2"</f>
        <v>2475 STATE ROAD 2</v>
      </c>
      <c r="J11" t="str">
        <f>"HILLIARD FL 32046"</f>
        <v>HILLIARD FL 32046</v>
      </c>
      <c r="K11" t="str">
        <f>"OAK HILL RD"</f>
        <v>OAK HILL RD</v>
      </c>
      <c r="L11" t="str">
        <f t="shared" si="1"/>
        <v>HILLIARD FL 32046</v>
      </c>
      <c r="M11" t="str">
        <f>"IN OR 2097/1746"</f>
        <v>IN OR 2097/1746</v>
      </c>
      <c r="N11" t="str">
        <f>""</f>
        <v/>
      </c>
      <c r="O11" t="str">
        <f>"19613"</f>
        <v>19613</v>
      </c>
      <c r="P11" t="str">
        <f t="shared" si="2"/>
        <v>2017</v>
      </c>
      <c r="Q11" t="str">
        <f>""</f>
        <v/>
      </c>
      <c r="R11" t="str">
        <f>"N"</f>
        <v>N</v>
      </c>
      <c r="S11" t="str">
        <f>"1.00"</f>
        <v>1.00</v>
      </c>
      <c r="T11" t="str">
        <f>"227.09"</f>
        <v>227.09</v>
      </c>
      <c r="U11" t="str">
        <f>"15000.00"</f>
        <v>15000.00</v>
      </c>
      <c r="V11" t="str">
        <f>"15000.00"</f>
        <v>15000.00</v>
      </c>
      <c r="W11" t="str">
        <f t="shared" si="3"/>
        <v>2017</v>
      </c>
      <c r="X11" t="str">
        <f>"17.33"</f>
        <v>17.33</v>
      </c>
      <c r="Y11" t="str">
        <f>"265.90"</f>
        <v>265.90</v>
      </c>
      <c r="Z11" t="str">
        <f>""</f>
        <v/>
      </c>
      <c r="AA11" t="str">
        <f>"15000.00"</f>
        <v>15000.00</v>
      </c>
      <c r="AB11" t="str">
        <f t="shared" si="6"/>
        <v>Residential</v>
      </c>
      <c r="AC11" t="str">
        <f t="shared" si="4"/>
        <v>0</v>
      </c>
      <c r="AD11" t="str">
        <f>""</f>
        <v/>
      </c>
      <c r="AE11" t="str">
        <f>""</f>
        <v/>
      </c>
      <c r="AF11" t="str">
        <f>"000"</f>
        <v>000</v>
      </c>
      <c r="AG11" t="str">
        <f t="shared" si="5"/>
        <v>FL</v>
      </c>
      <c r="AH11" t="str">
        <f>"43560.00"</f>
        <v>43560.00</v>
      </c>
      <c r="AI11" t="str">
        <f>"15000.00"</f>
        <v>15000.00</v>
      </c>
      <c r="AJ11" t="str">
        <f>"C55-001-042-9417-8"</f>
        <v>C55-001-042-9417-8</v>
      </c>
      <c r="AK11" t="str">
        <f>"79"</f>
        <v>79</v>
      </c>
      <c r="AL11">
        <v>1</v>
      </c>
      <c r="AM11">
        <v>13</v>
      </c>
      <c r="AN11">
        <v>277.60000000000002</v>
      </c>
      <c r="AQ11" t="s">
        <v>527</v>
      </c>
      <c r="AR11" t="s">
        <v>527</v>
      </c>
      <c r="AS11" t="s">
        <v>527</v>
      </c>
      <c r="AU11" t="s">
        <v>396</v>
      </c>
      <c r="AV11">
        <v>2017</v>
      </c>
      <c r="AW11" t="str">
        <f>"04-1N-23-0000-0005-0240 "</f>
        <v xml:space="preserve">04-1N-23-0000-0005-0240 </v>
      </c>
      <c r="AZ11" t="s">
        <v>495</v>
      </c>
      <c r="BA11" t="s">
        <v>496</v>
      </c>
      <c r="BD11" t="s">
        <v>398</v>
      </c>
      <c r="BE11" t="s">
        <v>393</v>
      </c>
      <c r="BF11">
        <v>32046</v>
      </c>
      <c r="BG11" t="s">
        <v>528</v>
      </c>
      <c r="BH11" t="s">
        <v>400</v>
      </c>
      <c r="BI11">
        <v>-82.008872857815206</v>
      </c>
      <c r="BJ11">
        <v>30.522030567863599</v>
      </c>
      <c r="BK11" t="s">
        <v>529</v>
      </c>
      <c r="BM11" t="s">
        <v>402</v>
      </c>
      <c r="BN11" t="s">
        <v>403</v>
      </c>
      <c r="BO11">
        <v>32046</v>
      </c>
      <c r="BP11" t="s">
        <v>404</v>
      </c>
      <c r="BQ11">
        <v>0</v>
      </c>
      <c r="BR11" t="s">
        <v>491</v>
      </c>
      <c r="BS11">
        <v>8001</v>
      </c>
      <c r="BT11" t="s">
        <v>492</v>
      </c>
      <c r="BW11">
        <v>43560</v>
      </c>
      <c r="BX11" t="s">
        <v>407</v>
      </c>
      <c r="BY11" t="s">
        <v>408</v>
      </c>
      <c r="CD11">
        <v>2017</v>
      </c>
      <c r="CE11">
        <v>15000</v>
      </c>
      <c r="CG11">
        <v>15000</v>
      </c>
      <c r="CH11">
        <v>2017</v>
      </c>
      <c r="CI11">
        <v>15000</v>
      </c>
      <c r="CK11">
        <v>15000</v>
      </c>
      <c r="CL11">
        <v>2017</v>
      </c>
      <c r="CM11">
        <v>227.09</v>
      </c>
      <c r="CN11" s="1">
        <v>42067</v>
      </c>
      <c r="CZ11" s="1">
        <v>42067</v>
      </c>
      <c r="DD11" t="s">
        <v>398</v>
      </c>
      <c r="DG11">
        <v>4</v>
      </c>
      <c r="DL11">
        <v>50503</v>
      </c>
      <c r="DM11" t="s">
        <v>419</v>
      </c>
      <c r="DO11" t="s">
        <v>530</v>
      </c>
      <c r="DP11">
        <v>0</v>
      </c>
      <c r="DQ11">
        <v>0</v>
      </c>
      <c r="DR11" t="s">
        <v>411</v>
      </c>
      <c r="DS11" t="b">
        <v>1</v>
      </c>
      <c r="DT11" t="s">
        <v>470</v>
      </c>
      <c r="DU11" t="s">
        <v>471</v>
      </c>
      <c r="DV11" t="s">
        <v>472</v>
      </c>
      <c r="DX11">
        <v>-9999</v>
      </c>
      <c r="DZ11" t="s">
        <v>447</v>
      </c>
      <c r="EA11" t="s">
        <v>448</v>
      </c>
      <c r="EB11" t="s">
        <v>473</v>
      </c>
      <c r="EC11">
        <v>20101217</v>
      </c>
      <c r="ED11" t="s">
        <v>474</v>
      </c>
      <c r="EF11">
        <v>101.3</v>
      </c>
      <c r="EG11">
        <v>101.3</v>
      </c>
      <c r="EI11">
        <v>20160407</v>
      </c>
      <c r="EJ11">
        <v>0</v>
      </c>
      <c r="EK11">
        <v>0</v>
      </c>
      <c r="EP11" t="s">
        <v>421</v>
      </c>
      <c r="EQ11" t="s">
        <v>422</v>
      </c>
      <c r="ER11">
        <v>0</v>
      </c>
      <c r="ES11">
        <v>3</v>
      </c>
      <c r="ET11">
        <v>0</v>
      </c>
      <c r="EU11">
        <v>0</v>
      </c>
      <c r="EV11">
        <v>0</v>
      </c>
      <c r="EW11" s="2">
        <v>43222</v>
      </c>
      <c r="EX11" s="1">
        <v>42515</v>
      </c>
      <c r="EY11">
        <v>2015</v>
      </c>
      <c r="EZ11">
        <v>204.56</v>
      </c>
      <c r="FA11" t="s">
        <v>531</v>
      </c>
      <c r="FB11">
        <v>15.25</v>
      </c>
      <c r="FC11" t="s">
        <v>424</v>
      </c>
      <c r="FD11" t="s">
        <v>425</v>
      </c>
      <c r="FE11" s="1">
        <v>42775</v>
      </c>
      <c r="FF11">
        <v>9</v>
      </c>
      <c r="FG11">
        <v>10125</v>
      </c>
      <c r="FH11" t="s">
        <v>440</v>
      </c>
      <c r="FJ11" s="1">
        <v>42151</v>
      </c>
      <c r="FK11">
        <v>2014</v>
      </c>
      <c r="FL11">
        <v>173.96</v>
      </c>
      <c r="FM11" t="s">
        <v>532</v>
      </c>
      <c r="FN11">
        <v>15.75</v>
      </c>
      <c r="FO11" t="s">
        <v>424</v>
      </c>
      <c r="FP11" t="s">
        <v>425</v>
      </c>
      <c r="FQ11" s="1">
        <v>42775</v>
      </c>
      <c r="FR11">
        <v>21</v>
      </c>
      <c r="FS11">
        <v>10125</v>
      </c>
      <c r="FT11" t="s">
        <v>440</v>
      </c>
      <c r="FV11" s="1">
        <v>41787</v>
      </c>
      <c r="FW11">
        <v>2013</v>
      </c>
      <c r="FX11">
        <v>151.43</v>
      </c>
      <c r="FY11" t="s">
        <v>533</v>
      </c>
      <c r="FZ11">
        <v>7</v>
      </c>
      <c r="GA11" t="s">
        <v>424</v>
      </c>
      <c r="GB11" t="s">
        <v>425</v>
      </c>
      <c r="GC11" s="1">
        <v>42459</v>
      </c>
      <c r="GD11">
        <v>22</v>
      </c>
      <c r="GE11">
        <v>10017</v>
      </c>
      <c r="GF11" t="s">
        <v>534</v>
      </c>
    </row>
    <row r="12" spans="1:393" x14ac:dyDescent="0.25">
      <c r="A12">
        <v>16485019</v>
      </c>
      <c r="B12">
        <v>11</v>
      </c>
      <c r="C12" t="s">
        <v>393</v>
      </c>
      <c r="D12" t="s">
        <v>394</v>
      </c>
      <c r="F12" t="str">
        <f>"04-1N-23-0000-0005-0270"</f>
        <v>04-1N-23-0000-0005-0270</v>
      </c>
      <c r="H12" t="str">
        <f>"TANNER IRIS"</f>
        <v>TANNER IRIS</v>
      </c>
      <c r="I12" t="str">
        <f>"2475 STATE ROAD 2"</f>
        <v>2475 STATE ROAD 2</v>
      </c>
      <c r="J12" t="str">
        <f>"HILLIARD FL 32046"</f>
        <v>HILLIARD FL 32046</v>
      </c>
      <c r="K12" t="str">
        <f>"OFF SR 2"</f>
        <v>OFF SR 2</v>
      </c>
      <c r="L12" t="str">
        <f t="shared" si="1"/>
        <v>HILLIARD FL 32046</v>
      </c>
      <c r="M12" t="str">
        <f>"IN OR 2097/1745"</f>
        <v>IN OR 2097/1745</v>
      </c>
      <c r="N12" t="str">
        <f>""</f>
        <v/>
      </c>
      <c r="O12" t="str">
        <f>"19616"</f>
        <v>19616</v>
      </c>
      <c r="P12" t="str">
        <f t="shared" si="2"/>
        <v>2017</v>
      </c>
      <c r="Q12" t="str">
        <f>""</f>
        <v/>
      </c>
      <c r="R12" t="str">
        <f>"N"</f>
        <v>N</v>
      </c>
      <c r="S12" t="str">
        <f>"2.00"</f>
        <v>2.00</v>
      </c>
      <c r="T12" t="str">
        <f>"363.34"</f>
        <v>363.34</v>
      </c>
      <c r="U12" t="str">
        <f>"24000.00"</f>
        <v>24000.00</v>
      </c>
      <c r="V12" t="str">
        <f>"24000.00"</f>
        <v>24000.00</v>
      </c>
      <c r="W12" t="str">
        <f t="shared" si="3"/>
        <v>2017</v>
      </c>
      <c r="X12" t="str">
        <f>"17.33"</f>
        <v>17.33</v>
      </c>
      <c r="Y12" t="str">
        <f>"406.24"</f>
        <v>406.24</v>
      </c>
      <c r="Z12" t="str">
        <f>""</f>
        <v/>
      </c>
      <c r="AA12" t="str">
        <f>"24000.00"</f>
        <v>24000.00</v>
      </c>
      <c r="AB12" t="str">
        <f t="shared" si="6"/>
        <v>Residential</v>
      </c>
      <c r="AC12" t="str">
        <f t="shared" si="4"/>
        <v>0</v>
      </c>
      <c r="AD12" t="str">
        <f>""</f>
        <v/>
      </c>
      <c r="AE12" t="str">
        <f>""</f>
        <v/>
      </c>
      <c r="AF12" t="str">
        <f>"000"</f>
        <v>000</v>
      </c>
      <c r="AG12" t="str">
        <f t="shared" si="5"/>
        <v>FL</v>
      </c>
      <c r="AH12" t="str">
        <f>"87120.00"</f>
        <v>87120.00</v>
      </c>
      <c r="AI12" t="str">
        <f>"24000.00"</f>
        <v>24000.00</v>
      </c>
      <c r="AJ12" t="str">
        <f>"C55-001-047-4990-8"</f>
        <v>C55-001-047-4990-8</v>
      </c>
      <c r="AK12" t="str">
        <f>"82"</f>
        <v>82</v>
      </c>
      <c r="AL12">
        <v>1</v>
      </c>
      <c r="AM12">
        <v>14</v>
      </c>
      <c r="AN12">
        <v>424.95</v>
      </c>
      <c r="AQ12" t="s">
        <v>535</v>
      </c>
      <c r="AR12" t="s">
        <v>535</v>
      </c>
      <c r="AS12" t="s">
        <v>535</v>
      </c>
      <c r="AU12" t="s">
        <v>396</v>
      </c>
      <c r="AV12">
        <v>2017</v>
      </c>
      <c r="AW12" t="str">
        <f>"04-1N-23-0000-0005-0270 "</f>
        <v xml:space="preserve">04-1N-23-0000-0005-0270 </v>
      </c>
      <c r="AZ12" t="s">
        <v>536</v>
      </c>
      <c r="BD12" t="s">
        <v>398</v>
      </c>
      <c r="BE12" t="s">
        <v>393</v>
      </c>
      <c r="BF12">
        <v>32046</v>
      </c>
      <c r="BG12" t="s">
        <v>536</v>
      </c>
      <c r="BH12" t="s">
        <v>400</v>
      </c>
      <c r="BI12">
        <v>-82.008888384701393</v>
      </c>
      <c r="BJ12">
        <v>30.522852857355801</v>
      </c>
      <c r="BK12" t="s">
        <v>529</v>
      </c>
      <c r="BM12" t="s">
        <v>402</v>
      </c>
      <c r="BN12" t="s">
        <v>403</v>
      </c>
      <c r="BO12">
        <v>32046</v>
      </c>
      <c r="BP12" t="s">
        <v>404</v>
      </c>
      <c r="BQ12">
        <v>0</v>
      </c>
      <c r="BR12" t="s">
        <v>491</v>
      </c>
      <c r="BS12">
        <v>8001</v>
      </c>
      <c r="BT12" t="s">
        <v>492</v>
      </c>
      <c r="BW12">
        <v>87120</v>
      </c>
      <c r="BX12" t="s">
        <v>407</v>
      </c>
      <c r="BY12" t="s">
        <v>408</v>
      </c>
      <c r="CD12">
        <v>2017</v>
      </c>
      <c r="CE12">
        <v>24000</v>
      </c>
      <c r="CG12">
        <v>24000</v>
      </c>
      <c r="CH12">
        <v>2017</v>
      </c>
      <c r="CI12">
        <v>24000</v>
      </c>
      <c r="CK12">
        <v>24000</v>
      </c>
      <c r="CL12">
        <v>2017</v>
      </c>
      <c r="CM12">
        <v>363.34</v>
      </c>
      <c r="CN12" s="1">
        <v>40914</v>
      </c>
      <c r="CZ12" s="1">
        <v>40914</v>
      </c>
      <c r="DD12" t="s">
        <v>398</v>
      </c>
      <c r="DG12">
        <v>4</v>
      </c>
      <c r="DL12">
        <v>50503</v>
      </c>
      <c r="DM12" t="s">
        <v>419</v>
      </c>
      <c r="DO12" t="s">
        <v>537</v>
      </c>
      <c r="DP12">
        <v>0</v>
      </c>
      <c r="DQ12">
        <v>0</v>
      </c>
      <c r="DR12" t="s">
        <v>411</v>
      </c>
      <c r="DS12" t="b">
        <v>1</v>
      </c>
      <c r="DT12" t="s">
        <v>396</v>
      </c>
      <c r="DV12" t="s">
        <v>446</v>
      </c>
      <c r="DX12">
        <v>-9999</v>
      </c>
      <c r="DZ12" t="s">
        <v>447</v>
      </c>
      <c r="EA12" t="s">
        <v>448</v>
      </c>
      <c r="EB12" t="s">
        <v>449</v>
      </c>
      <c r="EC12">
        <v>20101217</v>
      </c>
      <c r="ED12" t="s">
        <v>450</v>
      </c>
      <c r="EE12">
        <v>40.5</v>
      </c>
      <c r="EF12">
        <v>0</v>
      </c>
      <c r="EG12">
        <v>0</v>
      </c>
      <c r="EI12">
        <v>20160407</v>
      </c>
      <c r="EJ12">
        <v>0</v>
      </c>
      <c r="EK12">
        <v>0</v>
      </c>
      <c r="EP12" t="s">
        <v>421</v>
      </c>
      <c r="EQ12" t="s">
        <v>422</v>
      </c>
      <c r="ER12">
        <v>0</v>
      </c>
      <c r="ES12">
        <v>3</v>
      </c>
      <c r="ET12">
        <v>0</v>
      </c>
      <c r="EU12">
        <v>0</v>
      </c>
      <c r="EV12">
        <v>0</v>
      </c>
      <c r="EW12" s="2">
        <v>43222</v>
      </c>
      <c r="EX12" s="1">
        <v>42515</v>
      </c>
      <c r="EY12">
        <v>2015</v>
      </c>
      <c r="EZ12">
        <v>387.12</v>
      </c>
      <c r="FA12" t="s">
        <v>538</v>
      </c>
      <c r="FB12">
        <v>6.25</v>
      </c>
      <c r="FC12" t="s">
        <v>424</v>
      </c>
      <c r="FD12" t="s">
        <v>425</v>
      </c>
      <c r="FE12" s="1">
        <v>42775</v>
      </c>
      <c r="FF12">
        <v>9</v>
      </c>
      <c r="FG12">
        <v>7336143</v>
      </c>
      <c r="FH12" t="s">
        <v>539</v>
      </c>
      <c r="FJ12" s="1">
        <v>42151</v>
      </c>
      <c r="FK12">
        <v>2014</v>
      </c>
      <c r="FL12">
        <v>325.92</v>
      </c>
      <c r="FM12" t="s">
        <v>540</v>
      </c>
      <c r="FN12">
        <v>15.5</v>
      </c>
      <c r="FO12" t="s">
        <v>424</v>
      </c>
      <c r="FP12" t="s">
        <v>425</v>
      </c>
      <c r="FQ12" s="1">
        <v>42775</v>
      </c>
      <c r="FR12">
        <v>21</v>
      </c>
      <c r="FS12">
        <v>10125</v>
      </c>
      <c r="FT12" t="s">
        <v>440</v>
      </c>
      <c r="FV12" s="1">
        <v>41787</v>
      </c>
      <c r="FW12">
        <v>2013</v>
      </c>
      <c r="FX12">
        <v>280.83999999999997</v>
      </c>
      <c r="FY12" t="s">
        <v>541</v>
      </c>
      <c r="FZ12">
        <v>12</v>
      </c>
      <c r="GA12" t="s">
        <v>424</v>
      </c>
      <c r="GB12" t="s">
        <v>425</v>
      </c>
      <c r="GC12" s="1">
        <v>42459</v>
      </c>
      <c r="GD12">
        <v>22</v>
      </c>
      <c r="GE12">
        <v>10017</v>
      </c>
      <c r="GF12" t="s">
        <v>534</v>
      </c>
    </row>
    <row r="13" spans="1:393" x14ac:dyDescent="0.25">
      <c r="A13">
        <v>16485020</v>
      </c>
      <c r="B13">
        <v>12</v>
      </c>
      <c r="C13" t="s">
        <v>393</v>
      </c>
      <c r="D13" t="s">
        <v>394</v>
      </c>
      <c r="F13" t="str">
        <f>"04-1N-23-0000-0005-0280"</f>
        <v>04-1N-23-0000-0005-0280</v>
      </c>
      <c r="H13" t="str">
        <f>"TANNER IRIS BRADDOCK"</f>
        <v>TANNER IRIS BRADDOCK</v>
      </c>
      <c r="I13" t="str">
        <f>"2475 STATE ROAD 2"</f>
        <v>2475 STATE ROAD 2</v>
      </c>
      <c r="J13" t="str">
        <f>"HILLIARD FL 32046"</f>
        <v>HILLIARD FL 32046</v>
      </c>
      <c r="K13" t="str">
        <f>"SR 2"</f>
        <v>SR 2</v>
      </c>
      <c r="L13" t="str">
        <f t="shared" si="1"/>
        <v>HILLIARD FL 32046</v>
      </c>
      <c r="M13" t="str">
        <f>"PT OR 328/413 EX R/W OR 535/356"</f>
        <v>PT OR 328/413 EX R/W OR 535/356</v>
      </c>
      <c r="N13" t="str">
        <f>""</f>
        <v/>
      </c>
      <c r="O13" t="str">
        <f>"19617"</f>
        <v>19617</v>
      </c>
      <c r="P13" t="str">
        <f t="shared" si="2"/>
        <v>2017</v>
      </c>
      <c r="Q13" t="str">
        <f>""</f>
        <v/>
      </c>
      <c r="R13" t="str">
        <f>"N"</f>
        <v>N</v>
      </c>
      <c r="S13" t="str">
        <f>"4.20"</f>
        <v>4.20</v>
      </c>
      <c r="T13" t="str">
        <f>"508.66"</f>
        <v>508.66</v>
      </c>
      <c r="U13" t="str">
        <f>"33600.00"</f>
        <v>33600.00</v>
      </c>
      <c r="V13" t="str">
        <f>"33600.00"</f>
        <v>33600.00</v>
      </c>
      <c r="W13" t="str">
        <f t="shared" si="3"/>
        <v>2017</v>
      </c>
      <c r="X13" t="str">
        <f>""</f>
        <v/>
      </c>
      <c r="Y13" t="str">
        <f>"555.92"</f>
        <v>555.92</v>
      </c>
      <c r="Z13" t="str">
        <f>""</f>
        <v/>
      </c>
      <c r="AA13" t="str">
        <f>"33600.00"</f>
        <v>33600.00</v>
      </c>
      <c r="AB13" t="str">
        <f t="shared" si="6"/>
        <v>Residential</v>
      </c>
      <c r="AC13" t="str">
        <f t="shared" si="4"/>
        <v>0</v>
      </c>
      <c r="AD13" t="str">
        <f>""</f>
        <v/>
      </c>
      <c r="AE13" t="str">
        <f>""</f>
        <v/>
      </c>
      <c r="AF13" t="str">
        <f>"000"</f>
        <v>000</v>
      </c>
      <c r="AG13" t="str">
        <f t="shared" si="5"/>
        <v>FL</v>
      </c>
      <c r="AH13" t="str">
        <f>"182952.00"</f>
        <v>182952.00</v>
      </c>
      <c r="AI13" t="str">
        <f>"33600.00"</f>
        <v>33600.00</v>
      </c>
      <c r="AJ13" t="str">
        <f>"C55-001-052-5593-9"</f>
        <v>C55-001-052-5593-9</v>
      </c>
      <c r="AK13" t="str">
        <f>"83"</f>
        <v>83</v>
      </c>
      <c r="AL13">
        <v>1</v>
      </c>
      <c r="AM13">
        <v>15</v>
      </c>
      <c r="AN13">
        <v>582.12</v>
      </c>
      <c r="AQ13" t="s">
        <v>542</v>
      </c>
      <c r="AR13" t="s">
        <v>542</v>
      </c>
      <c r="AS13" t="s">
        <v>542</v>
      </c>
      <c r="AU13" t="s">
        <v>396</v>
      </c>
      <c r="AV13">
        <v>2017</v>
      </c>
      <c r="AW13" t="str">
        <f>"04-1N-23-0000-0005-0280 "</f>
        <v xml:space="preserve">04-1N-23-0000-0005-0280 </v>
      </c>
      <c r="AZ13" t="s">
        <v>397</v>
      </c>
      <c r="BD13" t="s">
        <v>398</v>
      </c>
      <c r="BE13" t="s">
        <v>393</v>
      </c>
      <c r="BF13">
        <v>32046</v>
      </c>
      <c r="BG13" t="s">
        <v>397</v>
      </c>
      <c r="BH13" t="s">
        <v>400</v>
      </c>
      <c r="BI13">
        <v>-82.004738412863006</v>
      </c>
      <c r="BJ13">
        <v>30.524389006029701</v>
      </c>
      <c r="BK13" t="s">
        <v>490</v>
      </c>
      <c r="BM13" t="s">
        <v>402</v>
      </c>
      <c r="BN13" t="s">
        <v>403</v>
      </c>
      <c r="BO13">
        <v>32046</v>
      </c>
      <c r="BP13" t="s">
        <v>404</v>
      </c>
      <c r="BQ13">
        <v>0</v>
      </c>
      <c r="BR13" t="s">
        <v>491</v>
      </c>
      <c r="BS13">
        <v>8001</v>
      </c>
      <c r="BT13" t="s">
        <v>492</v>
      </c>
      <c r="BW13">
        <v>182952</v>
      </c>
      <c r="BX13" t="s">
        <v>407</v>
      </c>
      <c r="CD13">
        <v>2017</v>
      </c>
      <c r="CE13">
        <v>33600</v>
      </c>
      <c r="CG13">
        <v>33600</v>
      </c>
      <c r="CH13">
        <v>2017</v>
      </c>
      <c r="CI13">
        <v>33600</v>
      </c>
      <c r="CK13">
        <v>33600</v>
      </c>
      <c r="CL13">
        <v>2017</v>
      </c>
      <c r="CM13">
        <v>508.66</v>
      </c>
      <c r="CN13" s="1">
        <v>43024</v>
      </c>
      <c r="CO13">
        <v>35000</v>
      </c>
      <c r="CV13">
        <v>0</v>
      </c>
      <c r="CZ13" s="1">
        <v>43024</v>
      </c>
      <c r="DA13">
        <v>0</v>
      </c>
      <c r="DD13" t="s">
        <v>398</v>
      </c>
      <c r="DG13">
        <v>4</v>
      </c>
      <c r="DL13">
        <v>50503</v>
      </c>
      <c r="DM13" t="s">
        <v>419</v>
      </c>
      <c r="DO13" t="s">
        <v>543</v>
      </c>
      <c r="DP13">
        <v>0</v>
      </c>
      <c r="DQ13">
        <v>0</v>
      </c>
      <c r="DR13" t="s">
        <v>411</v>
      </c>
    </row>
    <row r="14" spans="1:393" x14ac:dyDescent="0.25">
      <c r="A14">
        <v>16485021</v>
      </c>
      <c r="B14">
        <v>13</v>
      </c>
      <c r="C14" t="s">
        <v>393</v>
      </c>
      <c r="D14" t="s">
        <v>394</v>
      </c>
      <c r="F14" t="str">
        <f>"05-1N-23-0000-0001-0030"</f>
        <v>05-1N-23-0000-0001-0030</v>
      </c>
      <c r="H14" t="str">
        <f>"BERKE JOSEPH F JR"</f>
        <v>BERKE JOSEPH F JR</v>
      </c>
      <c r="I14" t="str">
        <f>"10435 GEORGE TABOR LANE"</f>
        <v>10435 GEORGE TABOR LANE</v>
      </c>
      <c r="J14" t="str">
        <f>"JACKSONVILLE FL 32218"</f>
        <v>JACKSONVILLE FL 32218</v>
      </c>
      <c r="K14" t="str">
        <f>"16540 OAK HILL RD"</f>
        <v>16540 OAK HILL RD</v>
      </c>
      <c r="L14" t="str">
        <f t="shared" si="1"/>
        <v>HILLIARD FL 32046</v>
      </c>
      <c r="M14" t="str">
        <f>"IN OR 1144/1708 &amp; CASE 42-2009-DR-03490-FJ OR 1821/429"</f>
        <v>IN OR 1144/1708 &amp; CASE 42-2009-DR-03490-FJ OR 1821/429</v>
      </c>
      <c r="N14" t="str">
        <f>""</f>
        <v/>
      </c>
      <c r="O14" t="str">
        <f>"20550"</f>
        <v>20550</v>
      </c>
      <c r="P14" t="str">
        <f t="shared" si="2"/>
        <v>2017</v>
      </c>
      <c r="Q14" t="str">
        <f>""</f>
        <v/>
      </c>
      <c r="R14" t="str">
        <f>"N"</f>
        <v>N</v>
      </c>
      <c r="S14" t="str">
        <f>"15.00"</f>
        <v>15.00</v>
      </c>
      <c r="T14" t="str">
        <f>"1660.28"</f>
        <v>1660.28</v>
      </c>
      <c r="U14" t="str">
        <f>"109671.00"</f>
        <v>109671.00</v>
      </c>
      <c r="V14" t="str">
        <f>"109671.00"</f>
        <v>109671.00</v>
      </c>
      <c r="W14" t="str">
        <f t="shared" si="3"/>
        <v>2017</v>
      </c>
      <c r="X14" t="str">
        <f>""</f>
        <v/>
      </c>
      <c r="Y14" t="str">
        <f>"1742.09"</f>
        <v>1742.09</v>
      </c>
      <c r="Z14" t="str">
        <f>""</f>
        <v/>
      </c>
      <c r="AA14" t="str">
        <f>"109671.00"</f>
        <v>109671.00</v>
      </c>
      <c r="AB14" t="str">
        <f t="shared" si="6"/>
        <v>Residential</v>
      </c>
      <c r="AC14" t="str">
        <f t="shared" si="4"/>
        <v>0</v>
      </c>
      <c r="AD14" t="str">
        <f>"4"</f>
        <v>4</v>
      </c>
      <c r="AE14" t="str">
        <f>"WOOD (INCLUDE STEEL STUDS)"</f>
        <v>WOOD (INCLUDE STEEL STUDS)</v>
      </c>
      <c r="AF14" t="str">
        <f>"001"</f>
        <v>001</v>
      </c>
      <c r="AG14" t="str">
        <f t="shared" si="5"/>
        <v>FL</v>
      </c>
      <c r="AH14" t="str">
        <f>"653400.00"</f>
        <v>653400.00</v>
      </c>
      <c r="AI14" t="str">
        <f>"82500.00"</f>
        <v>82500.00</v>
      </c>
      <c r="AJ14" t="str">
        <f>"C55-000-586-5444-3"</f>
        <v>C55-000-586-5444-3</v>
      </c>
      <c r="AK14" t="str">
        <f>"89"</f>
        <v>89</v>
      </c>
      <c r="AL14">
        <v>1</v>
      </c>
      <c r="AM14">
        <v>16</v>
      </c>
      <c r="AN14">
        <v>1827.59</v>
      </c>
      <c r="AQ14" t="s">
        <v>544</v>
      </c>
      <c r="AR14" t="s">
        <v>544</v>
      </c>
      <c r="AS14" t="s">
        <v>544</v>
      </c>
      <c r="AU14" t="s">
        <v>396</v>
      </c>
      <c r="AV14">
        <v>2017</v>
      </c>
      <c r="AW14" t="str">
        <f>"05-1N-23-0000-0001-0030 "</f>
        <v xml:space="preserve">05-1N-23-0000-0001-0030 </v>
      </c>
      <c r="AX14">
        <v>16540</v>
      </c>
      <c r="AZ14" t="s">
        <v>495</v>
      </c>
      <c r="BA14" t="s">
        <v>496</v>
      </c>
      <c r="BD14" t="s">
        <v>398</v>
      </c>
      <c r="BE14" t="s">
        <v>393</v>
      </c>
      <c r="BF14">
        <v>32046</v>
      </c>
      <c r="BG14" t="s">
        <v>545</v>
      </c>
      <c r="BH14" t="s">
        <v>400</v>
      </c>
      <c r="BI14">
        <v>-82.010829549442803</v>
      </c>
      <c r="BJ14">
        <v>30.5126172070214</v>
      </c>
      <c r="BK14" t="s">
        <v>546</v>
      </c>
      <c r="BM14" t="s">
        <v>547</v>
      </c>
      <c r="BN14" t="s">
        <v>548</v>
      </c>
      <c r="BO14">
        <v>32218</v>
      </c>
      <c r="BP14" t="s">
        <v>404</v>
      </c>
      <c r="BQ14">
        <v>100</v>
      </c>
      <c r="BR14" t="s">
        <v>514</v>
      </c>
      <c r="BS14">
        <v>1001</v>
      </c>
      <c r="BT14" t="s">
        <v>515</v>
      </c>
      <c r="BW14">
        <v>653400</v>
      </c>
      <c r="BX14" t="s">
        <v>407</v>
      </c>
      <c r="BY14" t="s">
        <v>408</v>
      </c>
      <c r="BZ14">
        <v>4</v>
      </c>
      <c r="CA14">
        <v>2004</v>
      </c>
      <c r="CC14">
        <v>1</v>
      </c>
      <c r="CD14">
        <v>2017</v>
      </c>
      <c r="CE14">
        <v>82500</v>
      </c>
      <c r="CF14">
        <v>27171</v>
      </c>
      <c r="CG14">
        <v>109671</v>
      </c>
      <c r="CH14">
        <v>2017</v>
      </c>
      <c r="CI14">
        <v>82500</v>
      </c>
      <c r="CJ14">
        <v>27171</v>
      </c>
      <c r="CK14">
        <v>109671</v>
      </c>
      <c r="CL14">
        <v>2017</v>
      </c>
      <c r="CM14">
        <v>1660.28</v>
      </c>
      <c r="CN14" s="1">
        <v>37784</v>
      </c>
      <c r="CZ14" s="1">
        <v>37784</v>
      </c>
      <c r="DD14" t="s">
        <v>398</v>
      </c>
      <c r="DG14">
        <v>5</v>
      </c>
      <c r="DL14">
        <v>50504</v>
      </c>
      <c r="DM14" t="s">
        <v>549</v>
      </c>
      <c r="DO14" t="s">
        <v>550</v>
      </c>
      <c r="DP14">
        <v>0</v>
      </c>
      <c r="DQ14">
        <v>0</v>
      </c>
      <c r="DR14" t="s">
        <v>411</v>
      </c>
    </row>
    <row r="15" spans="1:393" x14ac:dyDescent="0.25">
      <c r="A15">
        <v>16485022</v>
      </c>
      <c r="B15">
        <v>14</v>
      </c>
      <c r="C15" t="s">
        <v>393</v>
      </c>
      <c r="D15" t="s">
        <v>394</v>
      </c>
      <c r="F15" t="str">
        <f>"12-1N-23-0000-0007-0010"</f>
        <v>12-1N-23-0000-0007-0010</v>
      </c>
      <c r="H15" t="str">
        <f>"GORDON MICHAEL VERNON &amp; GORDON SHEILA T (JT/RS)"</f>
        <v>GORDON MICHAEL VERNON &amp; GORDON SHEILA T (JT/RS)</v>
      </c>
      <c r="I15" t="str">
        <f>"15552 HOWARD RD"</f>
        <v>15552 HOWARD RD</v>
      </c>
      <c r="J15" t="str">
        <f>"BRYCEVILLE FL 32009"</f>
        <v>BRYCEVILLE FL 32009</v>
      </c>
      <c r="K15" t="str">
        <f>"15552 HOWARD RD"</f>
        <v>15552 HOWARD RD</v>
      </c>
      <c r="L15" t="str">
        <f t="shared" ref="L15:L46" si="7">"BRYCEVILLE FL 32009"</f>
        <v>BRYCEVILLE FL 32009</v>
      </c>
      <c r="M15" t="str">
        <f>"PT OF GOVT LOT 8 IN OR 1726/212 1997 SPRI DW/MH"</f>
        <v>PT OF GOVT LOT 8 IN OR 1726/212 1997 SPRI DW/MH</v>
      </c>
      <c r="N15" t="str">
        <f>""</f>
        <v/>
      </c>
      <c r="O15" t="str">
        <f>"27815"</f>
        <v>27815</v>
      </c>
      <c r="P15" t="str">
        <f t="shared" si="2"/>
        <v>2017</v>
      </c>
      <c r="Q15" t="str">
        <f>""</f>
        <v/>
      </c>
      <c r="R15" t="str">
        <f>"Y"</f>
        <v>Y</v>
      </c>
      <c r="S15" t="str">
        <f>"1.00"</f>
        <v>1.00</v>
      </c>
      <c r="T15" t="str">
        <f>"382.98"</f>
        <v>382.98</v>
      </c>
      <c r="U15" t="str">
        <f>"50682.00"</f>
        <v>50682.00</v>
      </c>
      <c r="V15" t="str">
        <f>"50682.00"</f>
        <v>50682.00</v>
      </c>
      <c r="W15" t="str">
        <f t="shared" si="3"/>
        <v>2017</v>
      </c>
      <c r="X15" t="str">
        <f>"21.00"</f>
        <v>21.00</v>
      </c>
      <c r="Y15" t="str">
        <f>"426.47"</f>
        <v>426.47</v>
      </c>
      <c r="Z15" t="str">
        <f>"25000.00"</f>
        <v>25000.00</v>
      </c>
      <c r="AA15" t="str">
        <f>"25682.00"</f>
        <v>25682.00</v>
      </c>
      <c r="AB15" t="str">
        <f t="shared" si="6"/>
        <v>Residential</v>
      </c>
      <c r="AC15" t="str">
        <f t="shared" si="4"/>
        <v>0</v>
      </c>
      <c r="AD15" t="str">
        <f>"4"</f>
        <v>4</v>
      </c>
      <c r="AE15" t="str">
        <f>"WOOD (INCLUDE STEEL STUDS)"</f>
        <v>WOOD (INCLUDE STEEL STUDS)</v>
      </c>
      <c r="AF15" t="str">
        <f>"002"</f>
        <v>002</v>
      </c>
      <c r="AG15" t="str">
        <f t="shared" si="5"/>
        <v>FL</v>
      </c>
      <c r="AH15" t="str">
        <f>"43560.00"</f>
        <v>43560.00</v>
      </c>
      <c r="AI15" t="str">
        <f>"15000.00"</f>
        <v>15000.00</v>
      </c>
      <c r="AJ15" t="str">
        <f>"C55-000-586-9324-3"</f>
        <v>C55-000-586-9324-3</v>
      </c>
      <c r="AK15" t="str">
        <f>"157"</f>
        <v>157</v>
      </c>
      <c r="AL15">
        <v>1</v>
      </c>
      <c r="AM15">
        <v>18</v>
      </c>
      <c r="AN15">
        <v>446.19</v>
      </c>
      <c r="AQ15" t="s">
        <v>551</v>
      </c>
      <c r="AR15" t="s">
        <v>551</v>
      </c>
      <c r="AS15" t="s">
        <v>551</v>
      </c>
      <c r="AU15" t="s">
        <v>396</v>
      </c>
      <c r="AV15">
        <v>2017</v>
      </c>
      <c r="AW15" t="str">
        <f>"12-1N-23-0000-0007-0010 "</f>
        <v xml:space="preserve">12-1N-23-0000-0007-0010 </v>
      </c>
      <c r="AX15">
        <v>15552</v>
      </c>
      <c r="AZ15" t="s">
        <v>552</v>
      </c>
      <c r="BA15" t="s">
        <v>496</v>
      </c>
      <c r="BD15" t="s">
        <v>553</v>
      </c>
      <c r="BE15" t="s">
        <v>393</v>
      </c>
      <c r="BF15">
        <v>32009</v>
      </c>
      <c r="BG15" t="s">
        <v>554</v>
      </c>
      <c r="BH15" t="s">
        <v>555</v>
      </c>
      <c r="BI15">
        <v>-82.007380077477094</v>
      </c>
      <c r="BJ15">
        <v>30.4975696898675</v>
      </c>
      <c r="BK15" t="s">
        <v>556</v>
      </c>
      <c r="BM15" t="s">
        <v>557</v>
      </c>
      <c r="BN15" t="s">
        <v>558</v>
      </c>
      <c r="BO15">
        <v>32009</v>
      </c>
      <c r="BP15" t="s">
        <v>416</v>
      </c>
      <c r="BQ15">
        <v>200</v>
      </c>
      <c r="BR15" t="s">
        <v>405</v>
      </c>
      <c r="BS15">
        <v>1006</v>
      </c>
      <c r="BT15" t="s">
        <v>406</v>
      </c>
      <c r="BW15">
        <v>43560</v>
      </c>
      <c r="BX15" t="s">
        <v>407</v>
      </c>
      <c r="BY15" t="s">
        <v>408</v>
      </c>
      <c r="BZ15">
        <v>4</v>
      </c>
      <c r="CA15">
        <v>1997</v>
      </c>
      <c r="CC15">
        <v>1</v>
      </c>
      <c r="CD15">
        <v>2017</v>
      </c>
      <c r="CG15">
        <v>50682</v>
      </c>
      <c r="CH15">
        <v>2017</v>
      </c>
      <c r="CI15">
        <v>15000</v>
      </c>
      <c r="CJ15">
        <v>48970</v>
      </c>
      <c r="CK15">
        <v>63970</v>
      </c>
      <c r="CL15">
        <v>2017</v>
      </c>
      <c r="CM15">
        <v>382.98</v>
      </c>
      <c r="CN15" s="1">
        <v>40591</v>
      </c>
      <c r="CZ15" s="1">
        <v>40591</v>
      </c>
      <c r="DD15" t="s">
        <v>553</v>
      </c>
      <c r="DF15">
        <v>8</v>
      </c>
      <c r="DG15">
        <v>12</v>
      </c>
      <c r="DL15">
        <v>50504</v>
      </c>
      <c r="DM15" t="s">
        <v>559</v>
      </c>
      <c r="DO15" t="s">
        <v>560</v>
      </c>
      <c r="DP15">
        <v>0</v>
      </c>
      <c r="DQ15">
        <v>0</v>
      </c>
      <c r="DR15" t="s">
        <v>411</v>
      </c>
      <c r="DS15" t="b">
        <v>1</v>
      </c>
      <c r="DT15" t="s">
        <v>470</v>
      </c>
      <c r="DU15" t="s">
        <v>471</v>
      </c>
      <c r="DV15" t="s">
        <v>472</v>
      </c>
      <c r="DX15">
        <v>-9999</v>
      </c>
      <c r="DZ15" t="s">
        <v>447</v>
      </c>
      <c r="EA15" t="s">
        <v>448</v>
      </c>
      <c r="EB15" t="s">
        <v>561</v>
      </c>
      <c r="EC15">
        <v>20101217</v>
      </c>
      <c r="ED15" t="s">
        <v>474</v>
      </c>
      <c r="EF15">
        <v>923.4</v>
      </c>
      <c r="EG15">
        <v>923.4</v>
      </c>
      <c r="EI15">
        <v>20160407</v>
      </c>
      <c r="EJ15">
        <v>0</v>
      </c>
      <c r="EK15">
        <v>0</v>
      </c>
      <c r="EP15" t="s">
        <v>421</v>
      </c>
      <c r="EQ15" t="s">
        <v>422</v>
      </c>
      <c r="ER15">
        <v>2</v>
      </c>
      <c r="ES15">
        <v>8</v>
      </c>
      <c r="ET15">
        <v>872.16</v>
      </c>
      <c r="EU15">
        <v>56.11</v>
      </c>
      <c r="EV15">
        <v>928.27</v>
      </c>
      <c r="EW15" s="2">
        <v>43222</v>
      </c>
      <c r="EX15" s="1">
        <v>42879</v>
      </c>
      <c r="EY15">
        <v>2016</v>
      </c>
      <c r="EZ15">
        <v>436.08</v>
      </c>
      <c r="FA15" t="s">
        <v>562</v>
      </c>
      <c r="FB15">
        <v>0.25</v>
      </c>
      <c r="FC15" t="s">
        <v>424</v>
      </c>
      <c r="FD15" t="s">
        <v>454</v>
      </c>
      <c r="FF15">
        <v>12</v>
      </c>
      <c r="FG15">
        <v>2851116</v>
      </c>
      <c r="FH15" t="s">
        <v>480</v>
      </c>
      <c r="FJ15" s="1">
        <v>42879</v>
      </c>
      <c r="FK15">
        <v>2016</v>
      </c>
      <c r="FL15">
        <v>436.08</v>
      </c>
      <c r="FM15" t="s">
        <v>562</v>
      </c>
      <c r="FN15">
        <v>0.25</v>
      </c>
      <c r="FO15" t="s">
        <v>424</v>
      </c>
      <c r="FP15" t="s">
        <v>454</v>
      </c>
      <c r="FR15">
        <v>12</v>
      </c>
      <c r="FS15">
        <v>5680352</v>
      </c>
      <c r="FT15" t="s">
        <v>563</v>
      </c>
      <c r="FV15" s="1">
        <v>42515</v>
      </c>
      <c r="FW15">
        <v>2015</v>
      </c>
      <c r="FX15">
        <v>457.02</v>
      </c>
      <c r="FY15" t="s">
        <v>564</v>
      </c>
      <c r="FZ15">
        <v>0.25</v>
      </c>
      <c r="GA15" t="s">
        <v>424</v>
      </c>
      <c r="GB15" t="s">
        <v>425</v>
      </c>
      <c r="GC15" s="1">
        <v>43153</v>
      </c>
      <c r="GD15">
        <v>21</v>
      </c>
      <c r="GE15">
        <v>2851116</v>
      </c>
      <c r="GF15" t="s">
        <v>480</v>
      </c>
      <c r="GH15" s="1">
        <v>42515</v>
      </c>
      <c r="GI15">
        <v>2015</v>
      </c>
      <c r="GJ15">
        <v>457.02</v>
      </c>
      <c r="GK15" t="s">
        <v>564</v>
      </c>
      <c r="GL15">
        <v>0.25</v>
      </c>
      <c r="GM15" t="s">
        <v>424</v>
      </c>
      <c r="GN15" t="s">
        <v>425</v>
      </c>
      <c r="GP15">
        <v>22</v>
      </c>
      <c r="GQ15">
        <v>4893663</v>
      </c>
      <c r="GR15" t="s">
        <v>565</v>
      </c>
      <c r="GT15" s="1">
        <v>42151</v>
      </c>
      <c r="GU15">
        <v>2014</v>
      </c>
      <c r="GV15">
        <v>841.99</v>
      </c>
      <c r="GW15" t="s">
        <v>566</v>
      </c>
      <c r="GX15">
        <v>0.25</v>
      </c>
      <c r="GY15" t="s">
        <v>424</v>
      </c>
      <c r="GZ15" t="s">
        <v>425</v>
      </c>
      <c r="HA15" s="1">
        <v>42783</v>
      </c>
      <c r="HB15">
        <v>21</v>
      </c>
      <c r="HC15">
        <v>4975594</v>
      </c>
      <c r="HD15" t="s">
        <v>457</v>
      </c>
      <c r="HF15" s="1">
        <v>42151</v>
      </c>
      <c r="HG15">
        <v>2014</v>
      </c>
      <c r="HH15">
        <v>841.99</v>
      </c>
      <c r="HI15" t="s">
        <v>566</v>
      </c>
      <c r="HJ15">
        <v>0.25</v>
      </c>
      <c r="HK15" t="s">
        <v>424</v>
      </c>
      <c r="HL15" t="s">
        <v>425</v>
      </c>
      <c r="HN15">
        <v>22</v>
      </c>
      <c r="HO15">
        <v>6376860</v>
      </c>
      <c r="HP15" t="s">
        <v>567</v>
      </c>
      <c r="HR15" s="1">
        <v>41787</v>
      </c>
      <c r="HS15">
        <v>2013</v>
      </c>
      <c r="HT15">
        <v>932.67</v>
      </c>
      <c r="HU15" t="s">
        <v>568</v>
      </c>
      <c r="HV15">
        <v>0.25</v>
      </c>
      <c r="HW15" t="s">
        <v>424</v>
      </c>
      <c r="HX15" t="s">
        <v>425</v>
      </c>
      <c r="HY15" s="1">
        <v>42417</v>
      </c>
      <c r="HZ15">
        <v>21</v>
      </c>
      <c r="IA15">
        <v>2407503</v>
      </c>
      <c r="IB15" t="s">
        <v>461</v>
      </c>
      <c r="ID15" s="1">
        <v>41423</v>
      </c>
      <c r="IE15">
        <v>2012</v>
      </c>
      <c r="IF15">
        <v>990.82</v>
      </c>
      <c r="IG15" t="s">
        <v>569</v>
      </c>
      <c r="IH15">
        <v>3.5</v>
      </c>
      <c r="II15" t="s">
        <v>424</v>
      </c>
      <c r="IJ15" t="s">
        <v>425</v>
      </c>
      <c r="IK15" s="1">
        <v>42060</v>
      </c>
      <c r="IL15">
        <v>21</v>
      </c>
      <c r="IM15">
        <v>15399</v>
      </c>
      <c r="IN15" t="s">
        <v>485</v>
      </c>
      <c r="IP15" s="1">
        <v>41052</v>
      </c>
      <c r="IQ15">
        <v>2011</v>
      </c>
      <c r="IR15">
        <v>994.16</v>
      </c>
      <c r="IS15" t="s">
        <v>570</v>
      </c>
      <c r="IT15">
        <v>5.75</v>
      </c>
      <c r="IU15" t="s">
        <v>424</v>
      </c>
      <c r="IV15" t="s">
        <v>425</v>
      </c>
      <c r="IW15" s="1">
        <v>41694</v>
      </c>
      <c r="IX15">
        <v>21</v>
      </c>
      <c r="IY15">
        <v>10125</v>
      </c>
      <c r="IZ15" t="s">
        <v>440</v>
      </c>
      <c r="JB15" s="1">
        <v>40688</v>
      </c>
      <c r="JC15">
        <v>2010</v>
      </c>
      <c r="JD15">
        <v>1007.12</v>
      </c>
      <c r="JE15" t="s">
        <v>571</v>
      </c>
      <c r="JF15">
        <v>5</v>
      </c>
      <c r="JG15" t="s">
        <v>424</v>
      </c>
      <c r="JH15" t="s">
        <v>425</v>
      </c>
      <c r="JI15" s="1">
        <v>41325</v>
      </c>
      <c r="JJ15">
        <v>21</v>
      </c>
      <c r="JK15">
        <v>287</v>
      </c>
      <c r="JL15" t="s">
        <v>572</v>
      </c>
    </row>
    <row r="16" spans="1:393" x14ac:dyDescent="0.25">
      <c r="A16">
        <v>16485023</v>
      </c>
      <c r="B16">
        <v>15</v>
      </c>
      <c r="C16" t="s">
        <v>393</v>
      </c>
      <c r="D16" t="s">
        <v>394</v>
      </c>
      <c r="F16" t="str">
        <f>"12-1N-23-0000-0008-0040"</f>
        <v>12-1N-23-0000-0008-0040</v>
      </c>
      <c r="H16" t="str">
        <f>"SNOWDEN DENISE B"</f>
        <v>SNOWDEN DENISE B</v>
      </c>
      <c r="I16" t="str">
        <f>"15358 HOWARD ROAD"</f>
        <v>15358 HOWARD ROAD</v>
      </c>
      <c r="J16" t="str">
        <f>"BRYCEVILLE FL 32009"</f>
        <v>BRYCEVILLE FL 32009</v>
      </c>
      <c r="K16" t="str">
        <f>"15358 HOWARD RD"</f>
        <v>15358 HOWARD RD</v>
      </c>
      <c r="L16" t="str">
        <f t="shared" si="7"/>
        <v>BRYCEVILLE FL 32009</v>
      </c>
      <c r="M16" t="str">
        <f>"PT OF GOVT LOT 2 IN OR 529 PG 1109 &amp; OR 709/259 ESMT OR 532/624"</f>
        <v>PT OF GOVT LOT 2 IN OR 529 PG 1109 &amp; OR 709/259 ESMT OR 532/624</v>
      </c>
      <c r="N16" t="str">
        <f>""</f>
        <v/>
      </c>
      <c r="O16" t="str">
        <f>"27819"</f>
        <v>27819</v>
      </c>
      <c r="P16" t="str">
        <f t="shared" si="2"/>
        <v>2017</v>
      </c>
      <c r="Q16" t="str">
        <f>""</f>
        <v/>
      </c>
      <c r="R16" t="str">
        <f>"N"</f>
        <v>N</v>
      </c>
      <c r="S16" t="str">
        <f>"1.00"</f>
        <v>1.00</v>
      </c>
      <c r="T16" t="str">
        <f>"720.61"</f>
        <v>720.61</v>
      </c>
      <c r="U16" t="str">
        <f>"42639.00"</f>
        <v>42639.00</v>
      </c>
      <c r="V16" t="str">
        <f>"42639.00"</f>
        <v>42639.00</v>
      </c>
      <c r="W16" t="str">
        <f t="shared" si="3"/>
        <v>2017</v>
      </c>
      <c r="X16" t="str">
        <f>"41.11"</f>
        <v>41.11</v>
      </c>
      <c r="Y16" t="str">
        <f>"774.23"</f>
        <v>774.23</v>
      </c>
      <c r="Z16" t="str">
        <f>""</f>
        <v/>
      </c>
      <c r="AA16" t="str">
        <f>"54024.00"</f>
        <v>54024.00</v>
      </c>
      <c r="AB16" t="str">
        <f t="shared" si="6"/>
        <v>Residential</v>
      </c>
      <c r="AC16" t="str">
        <f t="shared" si="4"/>
        <v>0</v>
      </c>
      <c r="AD16" t="str">
        <f>"4"</f>
        <v>4</v>
      </c>
      <c r="AE16" t="str">
        <f>"WOOD (INCLUDE STEEL STUDS)"</f>
        <v>WOOD (INCLUDE STEEL STUDS)</v>
      </c>
      <c r="AF16" t="str">
        <f>"002"</f>
        <v>002</v>
      </c>
      <c r="AG16" t="str">
        <f t="shared" si="5"/>
        <v>FL</v>
      </c>
      <c r="AH16" t="str">
        <f>"43560.00"</f>
        <v>43560.00</v>
      </c>
      <c r="AI16" t="str">
        <f>"15000.00"</f>
        <v>15000.00</v>
      </c>
      <c r="AJ16" t="str">
        <f>"C55-000-586-9328-4"</f>
        <v>C55-000-586-9328-4</v>
      </c>
      <c r="AK16" t="str">
        <f>"161"</f>
        <v>161</v>
      </c>
      <c r="AL16">
        <v>1</v>
      </c>
      <c r="AM16">
        <v>19</v>
      </c>
      <c r="AN16">
        <v>811.34</v>
      </c>
      <c r="AQ16" t="s">
        <v>573</v>
      </c>
      <c r="AR16" t="s">
        <v>573</v>
      </c>
      <c r="AS16" t="s">
        <v>573</v>
      </c>
      <c r="AU16" t="s">
        <v>396</v>
      </c>
      <c r="AV16">
        <v>2017</v>
      </c>
      <c r="AW16" t="str">
        <f>"12-1N-23-0000-0008-0040 "</f>
        <v xml:space="preserve">12-1N-23-0000-0008-0040 </v>
      </c>
      <c r="AX16">
        <v>15358</v>
      </c>
      <c r="AZ16" t="s">
        <v>552</v>
      </c>
      <c r="BA16" t="s">
        <v>496</v>
      </c>
      <c r="BD16" t="s">
        <v>553</v>
      </c>
      <c r="BE16" t="s">
        <v>393</v>
      </c>
      <c r="BF16">
        <v>32009</v>
      </c>
      <c r="BG16" t="s">
        <v>574</v>
      </c>
      <c r="BH16" t="s">
        <v>555</v>
      </c>
      <c r="BI16">
        <v>-82.007630447973099</v>
      </c>
      <c r="BJ16">
        <v>30.494682405665799</v>
      </c>
      <c r="BK16" t="s">
        <v>575</v>
      </c>
      <c r="BM16" t="s">
        <v>574</v>
      </c>
      <c r="BN16" t="s">
        <v>558</v>
      </c>
      <c r="BO16">
        <v>32009</v>
      </c>
      <c r="BP16" t="s">
        <v>416</v>
      </c>
      <c r="BQ16">
        <v>200</v>
      </c>
      <c r="BR16" t="s">
        <v>405</v>
      </c>
      <c r="BS16">
        <v>1006</v>
      </c>
      <c r="BT16" t="s">
        <v>406</v>
      </c>
      <c r="BW16">
        <v>43560</v>
      </c>
      <c r="BX16" t="s">
        <v>407</v>
      </c>
      <c r="BY16" t="s">
        <v>408</v>
      </c>
      <c r="BZ16">
        <v>4</v>
      </c>
      <c r="CA16">
        <v>1994</v>
      </c>
      <c r="CC16">
        <v>1</v>
      </c>
      <c r="CD16">
        <v>2017</v>
      </c>
      <c r="CE16">
        <v>15000</v>
      </c>
      <c r="CF16">
        <v>39024</v>
      </c>
      <c r="CG16">
        <v>54024</v>
      </c>
      <c r="CH16">
        <v>2017</v>
      </c>
      <c r="CI16">
        <v>15000</v>
      </c>
      <c r="CJ16">
        <v>39024</v>
      </c>
      <c r="CK16">
        <v>54024</v>
      </c>
      <c r="CL16">
        <v>2017</v>
      </c>
      <c r="CM16">
        <v>720.61</v>
      </c>
      <c r="CN16" s="1">
        <v>34529</v>
      </c>
      <c r="CZ16" s="1">
        <v>34529</v>
      </c>
      <c r="DD16" t="s">
        <v>553</v>
      </c>
      <c r="DF16">
        <v>2</v>
      </c>
      <c r="DG16">
        <v>12</v>
      </c>
      <c r="DL16">
        <v>50504</v>
      </c>
      <c r="DM16" t="s">
        <v>559</v>
      </c>
      <c r="DO16" t="s">
        <v>576</v>
      </c>
      <c r="DP16">
        <v>0</v>
      </c>
      <c r="DQ16">
        <v>0</v>
      </c>
      <c r="DR16" t="s">
        <v>411</v>
      </c>
      <c r="DS16" t="b">
        <v>1</v>
      </c>
      <c r="DT16" t="s">
        <v>470</v>
      </c>
      <c r="DU16" t="s">
        <v>471</v>
      </c>
      <c r="DV16" t="s">
        <v>472</v>
      </c>
      <c r="DX16">
        <v>-9999</v>
      </c>
      <c r="DZ16" t="s">
        <v>447</v>
      </c>
      <c r="EA16" t="s">
        <v>448</v>
      </c>
      <c r="EB16" t="s">
        <v>561</v>
      </c>
      <c r="EC16">
        <v>20101217</v>
      </c>
      <c r="ED16" t="s">
        <v>474</v>
      </c>
      <c r="EF16">
        <v>758.7</v>
      </c>
      <c r="EG16">
        <v>758.7</v>
      </c>
      <c r="EI16">
        <v>20160407</v>
      </c>
      <c r="EJ16">
        <v>0</v>
      </c>
      <c r="EK16">
        <v>0</v>
      </c>
      <c r="EP16" t="s">
        <v>421</v>
      </c>
      <c r="EQ16" t="s">
        <v>422</v>
      </c>
      <c r="ER16">
        <v>2</v>
      </c>
      <c r="ES16">
        <v>9</v>
      </c>
      <c r="ET16">
        <v>1341.06</v>
      </c>
      <c r="EU16">
        <v>79.55</v>
      </c>
      <c r="EV16">
        <v>1420.61</v>
      </c>
      <c r="EW16" s="2">
        <v>43222</v>
      </c>
      <c r="EX16" s="1">
        <v>42879</v>
      </c>
      <c r="EY16">
        <v>2016</v>
      </c>
      <c r="EZ16">
        <v>670.53</v>
      </c>
      <c r="FA16" t="s">
        <v>577</v>
      </c>
      <c r="FB16">
        <v>0.25</v>
      </c>
      <c r="FC16" t="s">
        <v>424</v>
      </c>
      <c r="FD16" t="s">
        <v>454</v>
      </c>
      <c r="FF16">
        <v>12</v>
      </c>
      <c r="FG16">
        <v>2851116</v>
      </c>
      <c r="FH16" t="s">
        <v>480</v>
      </c>
      <c r="FJ16" s="1">
        <v>42879</v>
      </c>
      <c r="FK16">
        <v>2016</v>
      </c>
      <c r="FL16">
        <v>670.53</v>
      </c>
      <c r="FM16" t="s">
        <v>577</v>
      </c>
      <c r="FN16">
        <v>0.25</v>
      </c>
      <c r="FO16" t="s">
        <v>424</v>
      </c>
      <c r="FP16" t="s">
        <v>454</v>
      </c>
      <c r="FR16">
        <v>12</v>
      </c>
      <c r="FS16">
        <v>5769847</v>
      </c>
      <c r="FT16" t="s">
        <v>578</v>
      </c>
      <c r="FV16" s="1">
        <v>42515</v>
      </c>
      <c r="FW16">
        <v>2015</v>
      </c>
      <c r="FX16">
        <v>712.44</v>
      </c>
      <c r="FY16" t="s">
        <v>579</v>
      </c>
      <c r="FZ16">
        <v>0.25</v>
      </c>
      <c r="GA16" t="s">
        <v>424</v>
      </c>
      <c r="GB16" t="s">
        <v>425</v>
      </c>
      <c r="GC16" s="1">
        <v>43159</v>
      </c>
      <c r="GD16">
        <v>21</v>
      </c>
      <c r="GE16">
        <v>7045074</v>
      </c>
      <c r="GF16" t="s">
        <v>580</v>
      </c>
      <c r="GH16" s="1">
        <v>42515</v>
      </c>
      <c r="GI16">
        <v>2015</v>
      </c>
      <c r="GJ16">
        <v>712.44</v>
      </c>
      <c r="GK16" t="s">
        <v>579</v>
      </c>
      <c r="GL16">
        <v>0.25</v>
      </c>
      <c r="GM16" t="s">
        <v>424</v>
      </c>
      <c r="GN16" t="s">
        <v>425</v>
      </c>
      <c r="GP16">
        <v>22</v>
      </c>
      <c r="GQ16">
        <v>6418196</v>
      </c>
      <c r="GR16" t="s">
        <v>581</v>
      </c>
      <c r="GT16" s="1">
        <v>42151</v>
      </c>
      <c r="GU16">
        <v>2014</v>
      </c>
      <c r="GV16">
        <v>579.54</v>
      </c>
      <c r="GW16" t="s">
        <v>582</v>
      </c>
      <c r="GX16">
        <v>0.25</v>
      </c>
      <c r="GY16" t="s">
        <v>424</v>
      </c>
      <c r="GZ16" t="s">
        <v>425</v>
      </c>
      <c r="HA16" s="1">
        <v>42794</v>
      </c>
      <c r="HB16">
        <v>21</v>
      </c>
      <c r="HC16">
        <v>2851116</v>
      </c>
      <c r="HD16" t="s">
        <v>480</v>
      </c>
      <c r="HF16" s="1">
        <v>42151</v>
      </c>
      <c r="HG16">
        <v>2014</v>
      </c>
      <c r="HH16">
        <v>579.54</v>
      </c>
      <c r="HI16" t="s">
        <v>582</v>
      </c>
      <c r="HJ16">
        <v>0.25</v>
      </c>
      <c r="HK16" t="s">
        <v>424</v>
      </c>
      <c r="HL16" t="s">
        <v>425</v>
      </c>
      <c r="HN16">
        <v>22</v>
      </c>
      <c r="HO16">
        <v>5072802</v>
      </c>
      <c r="HP16" t="s">
        <v>583</v>
      </c>
      <c r="HR16" s="1">
        <v>41787</v>
      </c>
      <c r="HS16">
        <v>2013</v>
      </c>
      <c r="HT16">
        <v>695.75</v>
      </c>
      <c r="HU16" t="s">
        <v>584</v>
      </c>
      <c r="HV16">
        <v>0.25</v>
      </c>
      <c r="HW16" t="s">
        <v>424</v>
      </c>
      <c r="HX16" t="s">
        <v>425</v>
      </c>
      <c r="HY16" s="1">
        <v>42426</v>
      </c>
      <c r="HZ16">
        <v>21</v>
      </c>
      <c r="IA16">
        <v>2407503</v>
      </c>
      <c r="IB16" t="s">
        <v>461</v>
      </c>
      <c r="ID16" s="1">
        <v>41423</v>
      </c>
      <c r="IE16">
        <v>2012</v>
      </c>
      <c r="IF16">
        <v>742.7</v>
      </c>
      <c r="IG16" t="s">
        <v>585</v>
      </c>
      <c r="IH16">
        <v>4.5</v>
      </c>
      <c r="II16" t="s">
        <v>424</v>
      </c>
      <c r="IJ16" t="s">
        <v>425</v>
      </c>
      <c r="IK16" s="1">
        <v>42061</v>
      </c>
      <c r="IL16">
        <v>21</v>
      </c>
      <c r="IM16">
        <v>15399</v>
      </c>
      <c r="IN16" t="s">
        <v>485</v>
      </c>
      <c r="IP16" s="1">
        <v>41052</v>
      </c>
      <c r="IQ16">
        <v>2011</v>
      </c>
      <c r="IR16">
        <v>390.26</v>
      </c>
      <c r="IS16" t="s">
        <v>586</v>
      </c>
      <c r="IT16">
        <v>6</v>
      </c>
      <c r="IU16" t="s">
        <v>424</v>
      </c>
      <c r="IV16" t="s">
        <v>425</v>
      </c>
      <c r="IW16" s="1">
        <v>41698</v>
      </c>
      <c r="IX16">
        <v>21</v>
      </c>
      <c r="IY16">
        <v>10125</v>
      </c>
      <c r="IZ16" t="s">
        <v>440</v>
      </c>
      <c r="JB16" s="1">
        <v>40688</v>
      </c>
      <c r="JC16">
        <v>2010</v>
      </c>
      <c r="JD16">
        <v>398.06</v>
      </c>
      <c r="JE16" t="s">
        <v>587</v>
      </c>
      <c r="JF16">
        <v>8</v>
      </c>
      <c r="JG16" t="s">
        <v>424</v>
      </c>
      <c r="JH16" t="s">
        <v>425</v>
      </c>
      <c r="JI16" s="1">
        <v>41331</v>
      </c>
      <c r="JJ16">
        <v>21</v>
      </c>
      <c r="JK16">
        <v>15175</v>
      </c>
      <c r="JL16" t="s">
        <v>588</v>
      </c>
      <c r="JN16" s="1">
        <v>40688</v>
      </c>
      <c r="JO16">
        <v>2010</v>
      </c>
      <c r="JP16">
        <v>398.06</v>
      </c>
      <c r="JQ16" t="s">
        <v>587</v>
      </c>
      <c r="JR16">
        <v>8</v>
      </c>
      <c r="JS16" t="s">
        <v>424</v>
      </c>
      <c r="JT16" t="s">
        <v>425</v>
      </c>
      <c r="JV16">
        <v>22</v>
      </c>
      <c r="JW16">
        <v>10548</v>
      </c>
      <c r="JX16" t="s">
        <v>589</v>
      </c>
    </row>
    <row r="17" spans="1:260" x14ac:dyDescent="0.25">
      <c r="A17">
        <v>16485024</v>
      </c>
      <c r="B17">
        <v>16</v>
      </c>
      <c r="C17" t="s">
        <v>393</v>
      </c>
      <c r="D17" t="s">
        <v>394</v>
      </c>
      <c r="F17" t="str">
        <f>"12-1N-23-0000-0009-0010"</f>
        <v>12-1N-23-0000-0009-0010</v>
      </c>
      <c r="H17" t="str">
        <f>"BARBER GLENDA S"</f>
        <v>BARBER GLENDA S</v>
      </c>
      <c r="I17" t="str">
        <f>"15358 HOWARD ROAD"</f>
        <v>15358 HOWARD ROAD</v>
      </c>
      <c r="J17" t="str">
        <f>"BRYCEVILLE FL 32009"</f>
        <v>BRYCEVILLE FL 32009</v>
      </c>
      <c r="K17" t="str">
        <f>"HOWARD RD"</f>
        <v>HOWARD RD</v>
      </c>
      <c r="L17" t="str">
        <f t="shared" si="7"/>
        <v>BRYCEVILLE FL 32009</v>
      </c>
      <c r="M17" t="str">
        <f>"OR 529/1110 &amp; OR 1542/1145 EX 9-3 &amp; 9-4"</f>
        <v>OR 529/1110 &amp; OR 1542/1145 EX 9-3 &amp; 9-4</v>
      </c>
      <c r="N17" t="str">
        <f>""</f>
        <v/>
      </c>
      <c r="O17" t="str">
        <f>"27828"</f>
        <v>27828</v>
      </c>
      <c r="P17" t="str">
        <f t="shared" si="2"/>
        <v>2017</v>
      </c>
      <c r="Q17" t="str">
        <f>""</f>
        <v/>
      </c>
      <c r="R17" t="str">
        <f>"N"</f>
        <v>N</v>
      </c>
      <c r="S17" t="str">
        <f>"0.18"</f>
        <v>0.18</v>
      </c>
      <c r="T17" t="str">
        <f>"36.83"</f>
        <v>36.83</v>
      </c>
      <c r="U17" t="str">
        <f>"2251.00"</f>
        <v>2251.00</v>
      </c>
      <c r="V17" t="str">
        <f>"2251.00"</f>
        <v>2251.00</v>
      </c>
      <c r="W17" t="str">
        <f t="shared" si="3"/>
        <v>2017</v>
      </c>
      <c r="X17" t="str">
        <f>"19.22"</f>
        <v>19.22</v>
      </c>
      <c r="Y17" t="str">
        <f>"69.93"</f>
        <v>69.93</v>
      </c>
      <c r="Z17" t="str">
        <f>""</f>
        <v/>
      </c>
      <c r="AA17" t="str">
        <f>"2670.00"</f>
        <v>2670.00</v>
      </c>
      <c r="AB17" t="str">
        <f t="shared" si="6"/>
        <v>Residential</v>
      </c>
      <c r="AC17" t="str">
        <f t="shared" si="4"/>
        <v>0</v>
      </c>
      <c r="AD17" t="str">
        <f>""</f>
        <v/>
      </c>
      <c r="AE17" t="str">
        <f>""</f>
        <v/>
      </c>
      <c r="AF17" t="str">
        <f>"000"</f>
        <v>000</v>
      </c>
      <c r="AG17" t="str">
        <f t="shared" si="5"/>
        <v>FL</v>
      </c>
      <c r="AH17" t="str">
        <f>"7753.00"</f>
        <v>7753.00</v>
      </c>
      <c r="AI17" t="str">
        <f>"2670.00"</f>
        <v>2670.00</v>
      </c>
      <c r="AJ17" t="str">
        <f>"C55-000-586-9331-8"</f>
        <v>C55-000-586-9331-8</v>
      </c>
      <c r="AK17" t="str">
        <f>"167"</f>
        <v>167</v>
      </c>
      <c r="AL17">
        <v>1</v>
      </c>
      <c r="AM17">
        <v>20</v>
      </c>
      <c r="AN17">
        <v>71.83</v>
      </c>
      <c r="AQ17" t="s">
        <v>590</v>
      </c>
      <c r="AR17" t="s">
        <v>590</v>
      </c>
      <c r="AS17" t="s">
        <v>590</v>
      </c>
      <c r="AU17" t="s">
        <v>396</v>
      </c>
      <c r="AV17">
        <v>2017</v>
      </c>
      <c r="AW17" t="str">
        <f>"12-1N-23-0000-0009-0010 "</f>
        <v xml:space="preserve">12-1N-23-0000-0009-0010 </v>
      </c>
      <c r="AZ17" t="s">
        <v>552</v>
      </c>
      <c r="BA17" t="s">
        <v>496</v>
      </c>
      <c r="BD17" t="s">
        <v>553</v>
      </c>
      <c r="BE17" t="s">
        <v>393</v>
      </c>
      <c r="BF17">
        <v>32009</v>
      </c>
      <c r="BG17" t="s">
        <v>591</v>
      </c>
      <c r="BH17" t="s">
        <v>555</v>
      </c>
      <c r="BI17">
        <v>-82.006952218359501</v>
      </c>
      <c r="BJ17">
        <v>30.494694453798701</v>
      </c>
      <c r="BK17" t="s">
        <v>592</v>
      </c>
      <c r="BM17" t="s">
        <v>593</v>
      </c>
      <c r="BN17" t="s">
        <v>558</v>
      </c>
      <c r="BO17">
        <v>32009</v>
      </c>
      <c r="BP17" t="s">
        <v>404</v>
      </c>
      <c r="BQ17">
        <v>0</v>
      </c>
      <c r="BR17" t="s">
        <v>491</v>
      </c>
      <c r="BS17">
        <v>8001</v>
      </c>
      <c r="BT17" t="s">
        <v>492</v>
      </c>
      <c r="BW17">
        <v>7753</v>
      </c>
      <c r="BX17" t="s">
        <v>407</v>
      </c>
      <c r="BY17" t="s">
        <v>408</v>
      </c>
      <c r="CD17">
        <v>2017</v>
      </c>
      <c r="CE17">
        <v>2670</v>
      </c>
      <c r="CG17">
        <v>2670</v>
      </c>
      <c r="CH17">
        <v>2017</v>
      </c>
      <c r="CI17">
        <v>2670</v>
      </c>
      <c r="CK17">
        <v>2670</v>
      </c>
      <c r="CL17">
        <v>2017</v>
      </c>
      <c r="CM17">
        <v>36.83</v>
      </c>
      <c r="CN17" s="1">
        <v>39443</v>
      </c>
      <c r="CZ17" s="1">
        <v>39443</v>
      </c>
      <c r="DD17" t="s">
        <v>553</v>
      </c>
      <c r="DG17">
        <v>12</v>
      </c>
      <c r="DL17">
        <v>50504</v>
      </c>
      <c r="DM17" t="s">
        <v>559</v>
      </c>
      <c r="DO17" t="s">
        <v>594</v>
      </c>
      <c r="DP17">
        <v>0</v>
      </c>
      <c r="DQ17">
        <v>0</v>
      </c>
      <c r="DR17" t="s">
        <v>411</v>
      </c>
      <c r="DS17" t="b">
        <v>1</v>
      </c>
      <c r="DT17" t="s">
        <v>470</v>
      </c>
      <c r="DU17" t="s">
        <v>471</v>
      </c>
      <c r="DV17" t="s">
        <v>472</v>
      </c>
      <c r="DX17">
        <v>-9999</v>
      </c>
      <c r="DZ17" t="s">
        <v>447</v>
      </c>
      <c r="EA17" t="s">
        <v>448</v>
      </c>
      <c r="EB17" t="s">
        <v>561</v>
      </c>
      <c r="EC17">
        <v>20101217</v>
      </c>
      <c r="ED17" t="s">
        <v>474</v>
      </c>
      <c r="EF17">
        <v>971.4</v>
      </c>
      <c r="EG17">
        <v>971.4</v>
      </c>
      <c r="EI17">
        <v>20160407</v>
      </c>
      <c r="EJ17">
        <v>0</v>
      </c>
      <c r="EK17">
        <v>0</v>
      </c>
      <c r="EP17" t="s">
        <v>595</v>
      </c>
      <c r="EQ17" t="s">
        <v>422</v>
      </c>
      <c r="ER17">
        <v>1</v>
      </c>
      <c r="ES17">
        <v>8</v>
      </c>
      <c r="ET17">
        <v>61.64</v>
      </c>
      <c r="EU17">
        <v>17.350000000000001</v>
      </c>
      <c r="EV17">
        <v>78.989999999999995</v>
      </c>
      <c r="EW17" s="2">
        <v>43222</v>
      </c>
      <c r="EX17" s="1">
        <v>42879</v>
      </c>
      <c r="EY17">
        <v>2016</v>
      </c>
      <c r="EZ17">
        <v>61.64</v>
      </c>
      <c r="FA17" t="s">
        <v>596</v>
      </c>
      <c r="FB17">
        <v>18</v>
      </c>
      <c r="FC17" t="s">
        <v>424</v>
      </c>
      <c r="FD17" t="s">
        <v>454</v>
      </c>
      <c r="FF17">
        <v>12</v>
      </c>
      <c r="FG17">
        <v>10021</v>
      </c>
      <c r="FH17" t="s">
        <v>597</v>
      </c>
      <c r="FJ17" s="1">
        <v>42515</v>
      </c>
      <c r="FK17">
        <v>2015</v>
      </c>
      <c r="FL17">
        <v>55.77</v>
      </c>
      <c r="FM17" t="s">
        <v>598</v>
      </c>
      <c r="FN17">
        <v>14</v>
      </c>
      <c r="FO17" t="s">
        <v>424</v>
      </c>
      <c r="FP17" t="s">
        <v>425</v>
      </c>
      <c r="FQ17" s="1">
        <v>43159</v>
      </c>
      <c r="FR17">
        <v>21</v>
      </c>
      <c r="FS17">
        <v>10017</v>
      </c>
      <c r="FT17" t="s">
        <v>534</v>
      </c>
      <c r="FV17" s="1">
        <v>42515</v>
      </c>
      <c r="FW17">
        <v>2015</v>
      </c>
      <c r="FX17">
        <v>55.77</v>
      </c>
      <c r="FY17" t="s">
        <v>598</v>
      </c>
      <c r="FZ17">
        <v>14</v>
      </c>
      <c r="GA17" t="s">
        <v>424</v>
      </c>
      <c r="GB17" t="s">
        <v>425</v>
      </c>
      <c r="GD17">
        <v>22</v>
      </c>
      <c r="GE17">
        <v>5094022</v>
      </c>
      <c r="GF17" t="s">
        <v>599</v>
      </c>
      <c r="GH17" s="1">
        <v>42151</v>
      </c>
      <c r="GI17">
        <v>2014</v>
      </c>
      <c r="GJ17">
        <v>50.9</v>
      </c>
      <c r="GK17" t="s">
        <v>600</v>
      </c>
      <c r="GL17">
        <v>17.75</v>
      </c>
      <c r="GM17" t="s">
        <v>424</v>
      </c>
      <c r="GN17" t="s">
        <v>425</v>
      </c>
      <c r="GO17" s="1">
        <v>42794</v>
      </c>
      <c r="GP17">
        <v>21</v>
      </c>
      <c r="GQ17">
        <v>6516843</v>
      </c>
      <c r="GR17" t="s">
        <v>601</v>
      </c>
      <c r="GT17" s="1">
        <v>41787</v>
      </c>
      <c r="GU17">
        <v>2013</v>
      </c>
      <c r="GV17">
        <v>47.92</v>
      </c>
      <c r="GW17" t="s">
        <v>602</v>
      </c>
      <c r="GX17">
        <v>18</v>
      </c>
      <c r="GY17" t="s">
        <v>603</v>
      </c>
      <c r="GZ17" t="s">
        <v>425</v>
      </c>
      <c r="HB17">
        <v>22</v>
      </c>
      <c r="HC17">
        <v>9999999</v>
      </c>
      <c r="HD17" t="s">
        <v>604</v>
      </c>
      <c r="HF17" s="1">
        <v>41787</v>
      </c>
      <c r="HG17">
        <v>2013</v>
      </c>
      <c r="HH17">
        <v>56.33</v>
      </c>
      <c r="HI17" t="s">
        <v>602</v>
      </c>
      <c r="HJ17">
        <v>18</v>
      </c>
      <c r="HK17" t="s">
        <v>424</v>
      </c>
      <c r="HL17" t="s">
        <v>425</v>
      </c>
      <c r="HM17" s="1">
        <v>42426</v>
      </c>
      <c r="HN17">
        <v>21</v>
      </c>
      <c r="HO17">
        <v>2101381</v>
      </c>
      <c r="HP17" t="s">
        <v>605</v>
      </c>
      <c r="HR17" s="1">
        <v>41423</v>
      </c>
      <c r="HS17">
        <v>2012</v>
      </c>
      <c r="HT17">
        <v>75.09</v>
      </c>
      <c r="HU17" t="s">
        <v>606</v>
      </c>
      <c r="HV17">
        <v>14.75</v>
      </c>
      <c r="HW17" t="s">
        <v>424</v>
      </c>
      <c r="HX17" t="s">
        <v>425</v>
      </c>
      <c r="HY17" s="1">
        <v>42061</v>
      </c>
      <c r="HZ17">
        <v>21</v>
      </c>
      <c r="IA17">
        <v>2101381</v>
      </c>
      <c r="IB17" t="s">
        <v>605</v>
      </c>
      <c r="ID17" s="1">
        <v>41052</v>
      </c>
      <c r="IE17">
        <v>2011</v>
      </c>
      <c r="IF17">
        <v>73.37</v>
      </c>
      <c r="IG17" t="s">
        <v>607</v>
      </c>
      <c r="IH17">
        <v>18</v>
      </c>
      <c r="II17" t="s">
        <v>424</v>
      </c>
      <c r="IJ17" t="s">
        <v>425</v>
      </c>
      <c r="IK17" s="1">
        <v>41698</v>
      </c>
      <c r="IL17">
        <v>21</v>
      </c>
      <c r="IM17">
        <v>10125</v>
      </c>
      <c r="IN17" t="s">
        <v>440</v>
      </c>
      <c r="IP17" s="1">
        <v>40688</v>
      </c>
      <c r="IQ17">
        <v>2010</v>
      </c>
      <c r="IR17">
        <v>72.239999999999995</v>
      </c>
      <c r="IS17" t="s">
        <v>608</v>
      </c>
      <c r="IT17">
        <v>0.25</v>
      </c>
      <c r="IU17" t="s">
        <v>424</v>
      </c>
      <c r="IV17" t="s">
        <v>425</v>
      </c>
      <c r="IW17" s="1">
        <v>41331</v>
      </c>
      <c r="IX17">
        <v>21</v>
      </c>
      <c r="IY17">
        <v>389</v>
      </c>
      <c r="IZ17" t="s">
        <v>609</v>
      </c>
    </row>
    <row r="18" spans="1:260" x14ac:dyDescent="0.25">
      <c r="A18">
        <v>16485025</v>
      </c>
      <c r="B18">
        <v>17</v>
      </c>
      <c r="C18" t="s">
        <v>393</v>
      </c>
      <c r="D18" t="s">
        <v>394</v>
      </c>
      <c r="F18" t="str">
        <f>"19-1N-23-0000-0006-0010"</f>
        <v>19-1N-23-0000-0006-0010</v>
      </c>
      <c r="H18" t="str">
        <f>"GILL JIMMY LEWIS"</f>
        <v>GILL JIMMY LEWIS</v>
      </c>
      <c r="I18" t="str">
        <f>"14739 COUNTY ROAD 121"</f>
        <v>14739 COUNTY ROAD 121</v>
      </c>
      <c r="J18" t="str">
        <f>"BRYCEVILLE FL 32009"</f>
        <v>BRYCEVILLE FL 32009</v>
      </c>
      <c r="K18" t="str">
        <f>"14739 CR 121"</f>
        <v>14739 CR 121</v>
      </c>
      <c r="L18" t="str">
        <f t="shared" si="7"/>
        <v>BRYCEVILLE FL 32009</v>
      </c>
      <c r="M18" t="str">
        <f>"PT N1/2 OF N1/2 OF SW1/4 OF SW1/4 OF SEC 19-1N-23E BEING ONLY PT LYING E OF SR 121 IN OR 909/1353 {R378491}"</f>
        <v>PT N1/2 OF N1/2 OF SW1/4 OF SW1/4 OF SEC 19-1N-23E BEING ONLY PT LYING E OF SR 121 IN OR 909/1353 {R378491}</v>
      </c>
      <c r="N18" t="str">
        <f>""</f>
        <v/>
      </c>
      <c r="O18" t="str">
        <f>"32536"</f>
        <v>32536</v>
      </c>
      <c r="P18" t="str">
        <f t="shared" si="2"/>
        <v>2017</v>
      </c>
      <c r="Q18" t="str">
        <f>""</f>
        <v/>
      </c>
      <c r="R18" t="str">
        <f>"N"</f>
        <v>N</v>
      </c>
      <c r="S18" t="str">
        <f>"0.61"</f>
        <v>0.61</v>
      </c>
      <c r="T18" t="str">
        <f>"390.92"</f>
        <v>390.92</v>
      </c>
      <c r="U18" t="str">
        <f>"25822.00"</f>
        <v>25822.00</v>
      </c>
      <c r="V18" t="str">
        <f>"25822.00"</f>
        <v>25822.00</v>
      </c>
      <c r="W18" t="str">
        <f t="shared" si="3"/>
        <v>2017</v>
      </c>
      <c r="X18" t="str">
        <f>"19.89"</f>
        <v>19.89</v>
      </c>
      <c r="Y18" t="str">
        <f>"434.65"</f>
        <v>434.65</v>
      </c>
      <c r="Z18" t="str">
        <f>""</f>
        <v/>
      </c>
      <c r="AA18" t="str">
        <f>"25822.00"</f>
        <v>25822.00</v>
      </c>
      <c r="AB18" t="str">
        <f t="shared" si="6"/>
        <v>Residential</v>
      </c>
      <c r="AC18" t="str">
        <f t="shared" si="4"/>
        <v>0</v>
      </c>
      <c r="AD18" t="str">
        <f>"4"</f>
        <v>4</v>
      </c>
      <c r="AE18" t="str">
        <f>"WOOD (INCLUDE STEEL STUDS)"</f>
        <v>WOOD (INCLUDE STEEL STUDS)</v>
      </c>
      <c r="AF18" t="str">
        <f>"002"</f>
        <v>002</v>
      </c>
      <c r="AG18" t="str">
        <f t="shared" si="5"/>
        <v>FL</v>
      </c>
      <c r="AH18" t="str">
        <f>"26571.00"</f>
        <v>26571.00</v>
      </c>
      <c r="AI18" t="str">
        <f>"9150.00"</f>
        <v>9150.00</v>
      </c>
      <c r="AJ18" t="str">
        <f>"C55-000-587-2026-9"</f>
        <v>C55-000-587-2026-9</v>
      </c>
      <c r="AK18" t="str">
        <f>"204"</f>
        <v>204</v>
      </c>
      <c r="AL18">
        <v>1</v>
      </c>
      <c r="AM18">
        <v>21</v>
      </c>
      <c r="AN18">
        <v>454.78</v>
      </c>
      <c r="AQ18" t="s">
        <v>610</v>
      </c>
      <c r="AR18" t="s">
        <v>610</v>
      </c>
      <c r="AS18" t="s">
        <v>610</v>
      </c>
      <c r="AU18" t="s">
        <v>396</v>
      </c>
      <c r="AV18">
        <v>2017</v>
      </c>
      <c r="AW18" t="str">
        <f>"19-1N-23-0000-0006-0010 "</f>
        <v xml:space="preserve">19-1N-23-0000-0006-0010 </v>
      </c>
      <c r="AX18">
        <v>14739</v>
      </c>
      <c r="AZ18" t="s">
        <v>611</v>
      </c>
      <c r="BD18" t="s">
        <v>553</v>
      </c>
      <c r="BE18" t="s">
        <v>393</v>
      </c>
      <c r="BF18">
        <v>32009</v>
      </c>
      <c r="BG18" t="s">
        <v>612</v>
      </c>
      <c r="BH18" t="s">
        <v>555</v>
      </c>
      <c r="BI18">
        <v>-81.998142442495507</v>
      </c>
      <c r="BJ18">
        <v>30.466565697245102</v>
      </c>
      <c r="BK18" t="s">
        <v>613</v>
      </c>
      <c r="BM18" t="s">
        <v>614</v>
      </c>
      <c r="BN18" t="s">
        <v>558</v>
      </c>
      <c r="BO18">
        <v>32009</v>
      </c>
      <c r="BP18" t="s">
        <v>416</v>
      </c>
      <c r="BQ18">
        <v>200</v>
      </c>
      <c r="BR18" t="s">
        <v>405</v>
      </c>
      <c r="BS18">
        <v>1006</v>
      </c>
      <c r="BT18" t="s">
        <v>406</v>
      </c>
      <c r="BW18">
        <v>26571</v>
      </c>
      <c r="BX18" t="s">
        <v>407</v>
      </c>
      <c r="BY18" t="s">
        <v>408</v>
      </c>
      <c r="BZ18">
        <v>4</v>
      </c>
      <c r="CA18">
        <v>1970</v>
      </c>
      <c r="CB18">
        <v>1</v>
      </c>
      <c r="CC18">
        <v>1</v>
      </c>
      <c r="CD18">
        <v>2017</v>
      </c>
      <c r="CE18">
        <v>9150</v>
      </c>
      <c r="CF18">
        <v>16672</v>
      </c>
      <c r="CG18">
        <v>25822</v>
      </c>
      <c r="CH18">
        <v>2017</v>
      </c>
      <c r="CI18">
        <v>9150</v>
      </c>
      <c r="CJ18">
        <v>16672</v>
      </c>
      <c r="CK18">
        <v>25822</v>
      </c>
      <c r="CL18">
        <v>2017</v>
      </c>
      <c r="CM18">
        <v>390.92</v>
      </c>
      <c r="CN18" s="1">
        <v>36494</v>
      </c>
      <c r="CO18">
        <v>11800</v>
      </c>
      <c r="CZ18" s="1">
        <v>36494</v>
      </c>
      <c r="DD18" t="s">
        <v>553</v>
      </c>
      <c r="DG18">
        <v>19</v>
      </c>
      <c r="DL18">
        <v>50504</v>
      </c>
      <c r="DM18" t="s">
        <v>615</v>
      </c>
      <c r="DO18" t="s">
        <v>616</v>
      </c>
      <c r="DP18">
        <v>0</v>
      </c>
      <c r="DQ18">
        <v>0</v>
      </c>
      <c r="DR18" t="s">
        <v>411</v>
      </c>
      <c r="DS18" t="b">
        <v>1</v>
      </c>
      <c r="DT18" t="s">
        <v>470</v>
      </c>
      <c r="DU18" t="s">
        <v>471</v>
      </c>
      <c r="DV18" t="s">
        <v>472</v>
      </c>
      <c r="DX18">
        <v>-9999</v>
      </c>
      <c r="DZ18" t="s">
        <v>447</v>
      </c>
      <c r="EA18" t="s">
        <v>448</v>
      </c>
      <c r="EB18" t="s">
        <v>561</v>
      </c>
      <c r="EC18">
        <v>20101217</v>
      </c>
      <c r="ED18" t="s">
        <v>474</v>
      </c>
      <c r="EF18">
        <v>673.7</v>
      </c>
      <c r="EG18">
        <v>673.7</v>
      </c>
      <c r="EI18">
        <v>20160407</v>
      </c>
      <c r="EJ18">
        <v>0</v>
      </c>
      <c r="EK18">
        <v>0</v>
      </c>
      <c r="EP18" t="s">
        <v>421</v>
      </c>
      <c r="EQ18" t="s">
        <v>422</v>
      </c>
      <c r="ER18">
        <v>1</v>
      </c>
      <c r="ES18">
        <v>7</v>
      </c>
      <c r="ET18">
        <v>433.04</v>
      </c>
      <c r="EU18">
        <v>27.9</v>
      </c>
      <c r="EV18">
        <v>460.94</v>
      </c>
      <c r="EW18" s="2">
        <v>43222</v>
      </c>
      <c r="EX18" s="1">
        <v>42879</v>
      </c>
      <c r="EY18">
        <v>2016</v>
      </c>
      <c r="EZ18">
        <v>433.04</v>
      </c>
      <c r="FA18" t="s">
        <v>617</v>
      </c>
      <c r="FB18">
        <v>4.75</v>
      </c>
      <c r="FC18" t="s">
        <v>424</v>
      </c>
      <c r="FD18" t="s">
        <v>454</v>
      </c>
      <c r="FF18">
        <v>12</v>
      </c>
      <c r="FG18">
        <v>2035919</v>
      </c>
      <c r="FH18" t="s">
        <v>507</v>
      </c>
      <c r="FJ18" s="1">
        <v>42515</v>
      </c>
      <c r="FK18">
        <v>2015</v>
      </c>
      <c r="FL18">
        <v>446</v>
      </c>
      <c r="FM18" t="s">
        <v>618</v>
      </c>
      <c r="FN18">
        <v>6</v>
      </c>
      <c r="FO18" t="s">
        <v>424</v>
      </c>
      <c r="FP18" t="s">
        <v>425</v>
      </c>
      <c r="FQ18" s="1">
        <v>43159</v>
      </c>
      <c r="FR18">
        <v>21</v>
      </c>
      <c r="FS18">
        <v>10017</v>
      </c>
      <c r="FT18" t="s">
        <v>534</v>
      </c>
      <c r="FV18" s="1">
        <v>42515</v>
      </c>
      <c r="FW18">
        <v>2015</v>
      </c>
      <c r="FX18">
        <v>446</v>
      </c>
      <c r="FY18" t="s">
        <v>618</v>
      </c>
      <c r="FZ18">
        <v>6</v>
      </c>
      <c r="GA18" t="s">
        <v>424</v>
      </c>
      <c r="GB18" t="s">
        <v>425</v>
      </c>
      <c r="GD18">
        <v>22</v>
      </c>
      <c r="GE18">
        <v>3040325</v>
      </c>
      <c r="GF18" t="s">
        <v>619</v>
      </c>
      <c r="GH18" s="1">
        <v>42151</v>
      </c>
      <c r="GI18">
        <v>2014</v>
      </c>
      <c r="GJ18">
        <v>416</v>
      </c>
      <c r="GK18" t="s">
        <v>620</v>
      </c>
      <c r="GL18">
        <v>3.75</v>
      </c>
      <c r="GM18" t="s">
        <v>424</v>
      </c>
      <c r="GN18" t="s">
        <v>425</v>
      </c>
      <c r="GO18" s="1">
        <v>42479</v>
      </c>
      <c r="GP18">
        <v>11</v>
      </c>
      <c r="GQ18">
        <v>4975593</v>
      </c>
      <c r="GR18" t="s">
        <v>505</v>
      </c>
      <c r="GT18" s="1">
        <v>41787</v>
      </c>
      <c r="GU18">
        <v>2013</v>
      </c>
      <c r="GV18">
        <v>505.48</v>
      </c>
      <c r="GW18" t="s">
        <v>621</v>
      </c>
      <c r="GX18">
        <v>2.25</v>
      </c>
      <c r="GY18" t="s">
        <v>424</v>
      </c>
      <c r="GZ18" t="s">
        <v>425</v>
      </c>
      <c r="HA18" s="1">
        <v>41915</v>
      </c>
      <c r="HB18">
        <v>5</v>
      </c>
      <c r="HC18">
        <v>15399</v>
      </c>
      <c r="HD18" t="s">
        <v>485</v>
      </c>
      <c r="HF18" s="1">
        <v>41423</v>
      </c>
      <c r="HG18">
        <v>2012</v>
      </c>
      <c r="HH18">
        <v>529.74</v>
      </c>
      <c r="HI18" t="s">
        <v>622</v>
      </c>
      <c r="HJ18">
        <v>4.5</v>
      </c>
      <c r="HK18" t="s">
        <v>424</v>
      </c>
      <c r="HL18" t="s">
        <v>425</v>
      </c>
      <c r="HM18" s="1">
        <v>41915</v>
      </c>
      <c r="HN18">
        <v>17</v>
      </c>
      <c r="HO18">
        <v>15399</v>
      </c>
      <c r="HP18" t="s">
        <v>485</v>
      </c>
      <c r="HR18" s="1">
        <v>41052</v>
      </c>
      <c r="HS18">
        <v>2011</v>
      </c>
      <c r="HT18">
        <v>435.82</v>
      </c>
      <c r="HU18" t="s">
        <v>623</v>
      </c>
      <c r="HV18">
        <v>16</v>
      </c>
      <c r="HW18" t="s">
        <v>424</v>
      </c>
      <c r="HX18" t="s">
        <v>425</v>
      </c>
      <c r="HY18" s="1">
        <v>41684</v>
      </c>
      <c r="HZ18">
        <v>21</v>
      </c>
      <c r="IA18">
        <v>10125</v>
      </c>
      <c r="IB18" t="s">
        <v>440</v>
      </c>
      <c r="ID18" s="1">
        <v>40688</v>
      </c>
      <c r="IE18">
        <v>2010</v>
      </c>
      <c r="IF18">
        <v>462.48</v>
      </c>
      <c r="IG18" t="s">
        <v>624</v>
      </c>
      <c r="IH18">
        <v>7</v>
      </c>
      <c r="II18" t="s">
        <v>424</v>
      </c>
      <c r="IJ18" t="s">
        <v>425</v>
      </c>
      <c r="IK18" s="1">
        <v>41319</v>
      </c>
      <c r="IL18">
        <v>21</v>
      </c>
      <c r="IM18">
        <v>10579</v>
      </c>
      <c r="IN18" t="s">
        <v>488</v>
      </c>
    </row>
    <row r="19" spans="1:260" x14ac:dyDescent="0.25">
      <c r="A19">
        <v>16485026</v>
      </c>
      <c r="B19">
        <v>18</v>
      </c>
      <c r="C19" t="s">
        <v>393</v>
      </c>
      <c r="D19" t="s">
        <v>394</v>
      </c>
      <c r="F19" t="str">
        <f>"19-1N-23-0000-0007-0030"</f>
        <v>19-1N-23-0000-0007-0030</v>
      </c>
      <c r="H19" t="str">
        <f>"JOHNS AUDREY H"</f>
        <v>JOHNS AUDREY H</v>
      </c>
      <c r="I19" t="str">
        <f>"6063 ACRE ROAD"</f>
        <v>6063 ACRE ROAD</v>
      </c>
      <c r="J19" t="str">
        <f>"MACCLENNY FL 32063"</f>
        <v>MACCLENNY FL 32063</v>
      </c>
      <c r="K19" t="str">
        <f>"14621 CR 121"</f>
        <v>14621 CR 121</v>
      </c>
      <c r="L19" t="str">
        <f t="shared" si="7"/>
        <v>BRYCEVILLE FL 32009</v>
      </c>
      <c r="M19" t="str">
        <f>"NI/2 OF S1/4 OF SW1/4 OF SW1/4 EAST OF ROAD 121 IN OR 1336/1231 (EX OR 1948/1047) 1988 PCHTREE DWMH"</f>
        <v>NI/2 OF S1/4 OF SW1/4 OF SW1/4 EAST OF ROAD 121 IN OR 1336/1231 (EX OR 1948/1047) 1988 PCHTREE DWMH</v>
      </c>
      <c r="N19" t="str">
        <f>""</f>
        <v/>
      </c>
      <c r="O19" t="str">
        <f>"32542"</f>
        <v>32542</v>
      </c>
      <c r="P19" t="str">
        <f t="shared" si="2"/>
        <v>2017</v>
      </c>
      <c r="Q19" t="str">
        <f>""</f>
        <v/>
      </c>
      <c r="R19" t="str">
        <f>"N"</f>
        <v>N</v>
      </c>
      <c r="S19" t="str">
        <f>"1.40"</f>
        <v>1.40</v>
      </c>
      <c r="T19" t="str">
        <f>"551.00"</f>
        <v>551.00</v>
      </c>
      <c r="U19" t="str">
        <f>"32214.00"</f>
        <v>32214.00</v>
      </c>
      <c r="V19" t="str">
        <f>"32214.00"</f>
        <v>32214.00</v>
      </c>
      <c r="W19" t="str">
        <f t="shared" si="3"/>
        <v>2017</v>
      </c>
      <c r="X19" t="str">
        <f>"10.86"</f>
        <v>10.86</v>
      </c>
      <c r="Y19" t="str">
        <f>"599.53"</f>
        <v>599.53</v>
      </c>
      <c r="Z19" t="str">
        <f>""</f>
        <v/>
      </c>
      <c r="AA19" t="str">
        <f>"41809.00"</f>
        <v>41809.00</v>
      </c>
      <c r="AB19" t="str">
        <f t="shared" si="6"/>
        <v>Residential</v>
      </c>
      <c r="AC19" t="str">
        <f t="shared" si="4"/>
        <v>0</v>
      </c>
      <c r="AD19" t="str">
        <f>"4"</f>
        <v>4</v>
      </c>
      <c r="AE19" t="str">
        <f>"WOOD (INCLUDE STEEL STUDS)"</f>
        <v>WOOD (INCLUDE STEEL STUDS)</v>
      </c>
      <c r="AF19" t="str">
        <f>"002"</f>
        <v>002</v>
      </c>
      <c r="AG19" t="str">
        <f t="shared" si="5"/>
        <v>FL</v>
      </c>
      <c r="AH19" t="str">
        <f>"60984.00"</f>
        <v>60984.00</v>
      </c>
      <c r="AI19" t="str">
        <f>"21000.00"</f>
        <v>21000.00</v>
      </c>
      <c r="AJ19" t="str">
        <f>"C55-000-587-2032-7"</f>
        <v>C55-000-587-2032-7</v>
      </c>
      <c r="AK19" t="str">
        <f>"210"</f>
        <v>210</v>
      </c>
      <c r="AL19">
        <v>1</v>
      </c>
      <c r="AM19">
        <v>23</v>
      </c>
      <c r="AN19">
        <v>627.91</v>
      </c>
      <c r="AQ19" t="s">
        <v>625</v>
      </c>
      <c r="AR19" t="s">
        <v>625</v>
      </c>
      <c r="AS19" t="s">
        <v>625</v>
      </c>
      <c r="AU19" t="s">
        <v>396</v>
      </c>
      <c r="AV19">
        <v>2017</v>
      </c>
      <c r="AW19" t="str">
        <f>"19-1N-23-0000-0007-0030 "</f>
        <v xml:space="preserve">19-1N-23-0000-0007-0030 </v>
      </c>
      <c r="AX19">
        <v>14621</v>
      </c>
      <c r="AZ19" t="s">
        <v>611</v>
      </c>
      <c r="BD19" t="s">
        <v>553</v>
      </c>
      <c r="BE19" t="s">
        <v>393</v>
      </c>
      <c r="BF19">
        <v>32009</v>
      </c>
      <c r="BG19" t="s">
        <v>626</v>
      </c>
      <c r="BH19" t="s">
        <v>555</v>
      </c>
      <c r="BI19">
        <v>-81.998315576006405</v>
      </c>
      <c r="BJ19">
        <v>30.464669018559601</v>
      </c>
      <c r="BK19" t="s">
        <v>627</v>
      </c>
      <c r="BM19" t="s">
        <v>628</v>
      </c>
      <c r="BN19" t="s">
        <v>629</v>
      </c>
      <c r="BO19">
        <v>32063</v>
      </c>
      <c r="BP19" t="s">
        <v>404</v>
      </c>
      <c r="BQ19">
        <v>200</v>
      </c>
      <c r="BR19" t="s">
        <v>405</v>
      </c>
      <c r="BS19">
        <v>1006</v>
      </c>
      <c r="BT19" t="s">
        <v>406</v>
      </c>
      <c r="BW19">
        <v>60984</v>
      </c>
      <c r="BX19" t="s">
        <v>407</v>
      </c>
      <c r="BY19" t="s">
        <v>408</v>
      </c>
      <c r="BZ19">
        <v>4</v>
      </c>
      <c r="CA19">
        <v>1988</v>
      </c>
      <c r="CB19">
        <v>1</v>
      </c>
      <c r="CC19">
        <v>1</v>
      </c>
      <c r="CD19">
        <v>2017</v>
      </c>
      <c r="CE19">
        <v>21000</v>
      </c>
      <c r="CF19">
        <v>20809</v>
      </c>
      <c r="CG19">
        <v>41809</v>
      </c>
      <c r="CH19">
        <v>2017</v>
      </c>
      <c r="CI19">
        <v>21000</v>
      </c>
      <c r="CJ19">
        <v>20809</v>
      </c>
      <c r="CK19">
        <v>41809</v>
      </c>
      <c r="CL19">
        <v>2017</v>
      </c>
      <c r="CM19">
        <v>551</v>
      </c>
      <c r="CN19" s="1">
        <v>38560</v>
      </c>
      <c r="CV19">
        <v>0</v>
      </c>
      <c r="CZ19" s="1">
        <v>38560</v>
      </c>
      <c r="DA19">
        <v>0</v>
      </c>
      <c r="DD19" t="s">
        <v>553</v>
      </c>
      <c r="DG19">
        <v>19</v>
      </c>
      <c r="DL19">
        <v>50504</v>
      </c>
      <c r="DM19" t="s">
        <v>615</v>
      </c>
      <c r="DO19" t="s">
        <v>630</v>
      </c>
      <c r="DP19">
        <v>0</v>
      </c>
      <c r="DQ19">
        <v>0</v>
      </c>
      <c r="DR19" t="s">
        <v>411</v>
      </c>
      <c r="DS19" t="b">
        <v>1</v>
      </c>
      <c r="DT19" t="s">
        <v>470</v>
      </c>
      <c r="DU19" t="s">
        <v>471</v>
      </c>
      <c r="DV19" t="s">
        <v>472</v>
      </c>
      <c r="DX19">
        <v>-9999</v>
      </c>
      <c r="DZ19" t="s">
        <v>447</v>
      </c>
      <c r="EA19" t="s">
        <v>448</v>
      </c>
      <c r="EB19" t="s">
        <v>561</v>
      </c>
      <c r="EC19">
        <v>20101217</v>
      </c>
      <c r="ED19" t="s">
        <v>474</v>
      </c>
      <c r="EF19">
        <v>625.6</v>
      </c>
      <c r="EG19">
        <v>625.6</v>
      </c>
      <c r="EI19">
        <v>20160407</v>
      </c>
      <c r="EJ19">
        <v>0</v>
      </c>
      <c r="EK19">
        <v>0</v>
      </c>
      <c r="EP19" t="s">
        <v>421</v>
      </c>
      <c r="EQ19" t="s">
        <v>422</v>
      </c>
      <c r="ER19">
        <v>0</v>
      </c>
      <c r="ES19">
        <v>8</v>
      </c>
      <c r="ET19">
        <v>0</v>
      </c>
      <c r="EU19">
        <v>0</v>
      </c>
      <c r="EV19">
        <v>0</v>
      </c>
      <c r="EW19" s="2">
        <v>43222</v>
      </c>
      <c r="EX19" s="1">
        <v>42879</v>
      </c>
      <c r="EY19">
        <v>2016</v>
      </c>
      <c r="EZ19">
        <v>513.19000000000005</v>
      </c>
      <c r="FA19" t="s">
        <v>631</v>
      </c>
      <c r="FB19">
        <v>0.25</v>
      </c>
      <c r="FC19" t="s">
        <v>424</v>
      </c>
      <c r="FD19" t="s">
        <v>425</v>
      </c>
      <c r="FE19" s="1">
        <v>43192</v>
      </c>
      <c r="FF19">
        <v>11</v>
      </c>
      <c r="FG19">
        <v>7400234</v>
      </c>
      <c r="FH19" t="s">
        <v>426</v>
      </c>
      <c r="FJ19" s="1">
        <v>42879</v>
      </c>
      <c r="FK19">
        <v>2016</v>
      </c>
      <c r="FL19">
        <v>513.19000000000005</v>
      </c>
      <c r="FM19" t="s">
        <v>631</v>
      </c>
      <c r="FN19">
        <v>0.25</v>
      </c>
      <c r="FO19" t="s">
        <v>424</v>
      </c>
      <c r="FP19" t="s">
        <v>425</v>
      </c>
      <c r="FR19">
        <v>22</v>
      </c>
      <c r="FS19">
        <v>7534079</v>
      </c>
      <c r="FT19" t="s">
        <v>632</v>
      </c>
      <c r="FV19" s="1">
        <v>42515</v>
      </c>
      <c r="FW19">
        <v>2015</v>
      </c>
      <c r="FX19">
        <v>570.41999999999996</v>
      </c>
      <c r="FY19" t="s">
        <v>633</v>
      </c>
      <c r="FZ19">
        <v>6.25</v>
      </c>
      <c r="GA19" t="s">
        <v>424</v>
      </c>
      <c r="GB19" t="s">
        <v>425</v>
      </c>
      <c r="GC19" s="1">
        <v>42825</v>
      </c>
      <c r="GD19">
        <v>10</v>
      </c>
      <c r="GE19">
        <v>7336143</v>
      </c>
      <c r="GF19" t="s">
        <v>539</v>
      </c>
      <c r="GH19" s="1">
        <v>42151</v>
      </c>
      <c r="GI19">
        <v>2014</v>
      </c>
      <c r="GJ19">
        <v>726.26</v>
      </c>
      <c r="GK19" t="s">
        <v>634</v>
      </c>
      <c r="GL19">
        <v>0.25</v>
      </c>
      <c r="GM19" t="s">
        <v>424</v>
      </c>
      <c r="GN19" t="s">
        <v>425</v>
      </c>
      <c r="GO19" s="1">
        <v>42461</v>
      </c>
      <c r="GP19">
        <v>11</v>
      </c>
      <c r="GQ19">
        <v>4975594</v>
      </c>
      <c r="GR19" t="s">
        <v>457</v>
      </c>
      <c r="GT19" s="1">
        <v>42151</v>
      </c>
      <c r="GU19">
        <v>2014</v>
      </c>
      <c r="GV19">
        <v>726.26</v>
      </c>
      <c r="GW19" t="s">
        <v>634</v>
      </c>
      <c r="GX19">
        <v>0.25</v>
      </c>
      <c r="GY19" t="s">
        <v>424</v>
      </c>
      <c r="GZ19" t="s">
        <v>425</v>
      </c>
      <c r="HB19">
        <v>22</v>
      </c>
      <c r="HC19">
        <v>6280104</v>
      </c>
      <c r="HD19" t="s">
        <v>635</v>
      </c>
      <c r="HF19" s="1">
        <v>41423</v>
      </c>
      <c r="HG19">
        <v>2012</v>
      </c>
      <c r="HH19">
        <v>715.76</v>
      </c>
      <c r="HI19" t="s">
        <v>636</v>
      </c>
      <c r="HJ19">
        <v>4.5</v>
      </c>
      <c r="HK19" t="s">
        <v>424</v>
      </c>
      <c r="HL19" t="s">
        <v>425</v>
      </c>
      <c r="HM19" s="1">
        <v>41683</v>
      </c>
      <c r="HN19">
        <v>9</v>
      </c>
      <c r="HO19">
        <v>15399</v>
      </c>
      <c r="HP19" t="s">
        <v>485</v>
      </c>
      <c r="HR19" s="1">
        <v>41052</v>
      </c>
      <c r="HS19">
        <v>2011</v>
      </c>
      <c r="HT19">
        <v>826.91</v>
      </c>
      <c r="HU19" t="s">
        <v>637</v>
      </c>
      <c r="HV19">
        <v>6</v>
      </c>
      <c r="HW19" t="s">
        <v>424</v>
      </c>
      <c r="HX19" t="s">
        <v>425</v>
      </c>
      <c r="HY19" s="1">
        <v>41514</v>
      </c>
      <c r="HZ19">
        <v>15</v>
      </c>
      <c r="IA19">
        <v>10125</v>
      </c>
      <c r="IB19" t="s">
        <v>440</v>
      </c>
      <c r="ID19" s="1">
        <v>40688</v>
      </c>
      <c r="IE19">
        <v>2010</v>
      </c>
      <c r="IF19">
        <v>859.31</v>
      </c>
      <c r="IG19" t="s">
        <v>638</v>
      </c>
      <c r="IH19">
        <v>5</v>
      </c>
      <c r="II19" t="s">
        <v>424</v>
      </c>
      <c r="IJ19" t="s">
        <v>425</v>
      </c>
      <c r="IK19" s="1">
        <v>40987</v>
      </c>
      <c r="IL19">
        <v>10</v>
      </c>
      <c r="IM19">
        <v>287</v>
      </c>
      <c r="IN19" t="s">
        <v>572</v>
      </c>
    </row>
    <row r="20" spans="1:260" x14ac:dyDescent="0.25">
      <c r="A20">
        <v>16485027</v>
      </c>
      <c r="B20">
        <v>19</v>
      </c>
      <c r="C20" t="s">
        <v>393</v>
      </c>
      <c r="D20" t="s">
        <v>394</v>
      </c>
      <c r="F20" t="str">
        <f>"20-1N-23-0000-0003-0080"</f>
        <v>20-1N-23-0000-0003-0080</v>
      </c>
      <c r="H20" t="str">
        <f>"MUMFORD MELISSA D &amp; HARRY J"</f>
        <v>MUMFORD MELISSA D &amp; HARRY J</v>
      </c>
      <c r="I20" t="str">
        <f>"2527 JIMMY CONNER PLACE"</f>
        <v>2527 JIMMY CONNER PLACE</v>
      </c>
      <c r="J20" t="str">
        <f>"BRYCEVILLE FL 32009"</f>
        <v>BRYCEVILLE FL 32009</v>
      </c>
      <c r="K20" t="str">
        <f>"2527 JIMMY CONNER PL"</f>
        <v>2527 JIMMY CONNER PL</v>
      </c>
      <c r="L20" t="str">
        <f t="shared" si="7"/>
        <v>BRYCEVILLE FL 32009</v>
      </c>
      <c r="M20" t="str">
        <f>"PT OF GOVT LOT 6 IN OR 1441/1365 PARCELS 3-8 &amp; 3-13"</f>
        <v>PT OF GOVT LOT 6 IN OR 1441/1365 PARCELS 3-8 &amp; 3-13</v>
      </c>
      <c r="N20" t="str">
        <f>""</f>
        <v/>
      </c>
      <c r="O20" t="str">
        <f>"33042"</f>
        <v>33042</v>
      </c>
      <c r="P20" t="str">
        <f t="shared" si="2"/>
        <v>2017</v>
      </c>
      <c r="Q20" t="str">
        <f>""</f>
        <v/>
      </c>
      <c r="R20" t="str">
        <f>"Y"</f>
        <v>Y</v>
      </c>
      <c r="S20" t="str">
        <f>"10.27"</f>
        <v>10.27</v>
      </c>
      <c r="T20" t="str">
        <f>"2913.57"</f>
        <v>2913.57</v>
      </c>
      <c r="U20" t="str">
        <f>"231561.00"</f>
        <v>231561.00</v>
      </c>
      <c r="V20" t="str">
        <f>"231561.00"</f>
        <v>231561.00</v>
      </c>
      <c r="W20" t="str">
        <f t="shared" si="3"/>
        <v>2017</v>
      </c>
      <c r="X20" t="str">
        <f>"2.00"</f>
        <v>2.00</v>
      </c>
      <c r="Y20" t="str">
        <f>"3032.98"</f>
        <v>3032.98</v>
      </c>
      <c r="Z20" t="str">
        <f>"25000.00"</f>
        <v>25000.00</v>
      </c>
      <c r="AA20" t="str">
        <f>"206561.00"</f>
        <v>206561.00</v>
      </c>
      <c r="AB20" t="str">
        <f t="shared" si="6"/>
        <v>Residential</v>
      </c>
      <c r="AC20" t="str">
        <f t="shared" si="4"/>
        <v>0</v>
      </c>
      <c r="AD20" t="str">
        <f>"4"</f>
        <v>4</v>
      </c>
      <c r="AE20" t="str">
        <f>"WOOD (INCLUDE STEEL STUDS)"</f>
        <v>WOOD (INCLUDE STEEL STUDS)</v>
      </c>
      <c r="AF20" t="str">
        <f>"001"</f>
        <v>001</v>
      </c>
      <c r="AG20" t="str">
        <f t="shared" si="5"/>
        <v>FL</v>
      </c>
      <c r="AH20" t="str">
        <f>"447361.00"</f>
        <v>447361.00</v>
      </c>
      <c r="AI20" t="str">
        <f>"61620.00"</f>
        <v>61620.00</v>
      </c>
      <c r="AJ20" t="str">
        <f>"C55-000-589-0824-5"</f>
        <v>C55-000-589-0824-5</v>
      </c>
      <c r="AK20" t="str">
        <f>"224"</f>
        <v>224</v>
      </c>
      <c r="AL20">
        <v>1</v>
      </c>
      <c r="AM20">
        <v>24</v>
      </c>
      <c r="AN20">
        <v>3183.03</v>
      </c>
      <c r="AQ20" t="s">
        <v>639</v>
      </c>
      <c r="AR20" t="s">
        <v>639</v>
      </c>
      <c r="AS20" t="s">
        <v>639</v>
      </c>
      <c r="AU20" t="s">
        <v>396</v>
      </c>
      <c r="AV20">
        <v>2017</v>
      </c>
      <c r="AW20" t="str">
        <f>"20-1N-23-0000-0003-0080 "</f>
        <v xml:space="preserve">20-1N-23-0000-0003-0080 </v>
      </c>
      <c r="AX20">
        <v>2527</v>
      </c>
      <c r="AZ20" t="s">
        <v>640</v>
      </c>
      <c r="BA20" t="s">
        <v>641</v>
      </c>
      <c r="BD20" t="s">
        <v>553</v>
      </c>
      <c r="BE20" t="s">
        <v>393</v>
      </c>
      <c r="BF20">
        <v>32009</v>
      </c>
      <c r="BG20" t="s">
        <v>642</v>
      </c>
      <c r="BH20" t="s">
        <v>555</v>
      </c>
      <c r="BI20">
        <v>-82.009689574639395</v>
      </c>
      <c r="BJ20">
        <v>30.472816587582798</v>
      </c>
      <c r="BK20" t="s">
        <v>643</v>
      </c>
      <c r="BL20" t="s">
        <v>644</v>
      </c>
      <c r="BM20" t="s">
        <v>642</v>
      </c>
      <c r="BN20" t="s">
        <v>558</v>
      </c>
      <c r="BO20">
        <v>32009</v>
      </c>
      <c r="BP20" t="s">
        <v>416</v>
      </c>
      <c r="BQ20">
        <v>100</v>
      </c>
      <c r="BR20" t="s">
        <v>514</v>
      </c>
      <c r="BS20">
        <v>1001</v>
      </c>
      <c r="BT20" t="s">
        <v>515</v>
      </c>
      <c r="BW20">
        <v>447361</v>
      </c>
      <c r="BX20" t="s">
        <v>407</v>
      </c>
      <c r="BY20" t="s">
        <v>408</v>
      </c>
      <c r="BZ20">
        <v>4</v>
      </c>
      <c r="CA20">
        <v>2002</v>
      </c>
      <c r="CB20">
        <v>1</v>
      </c>
      <c r="CC20">
        <v>2</v>
      </c>
      <c r="CD20">
        <v>2017</v>
      </c>
      <c r="CG20">
        <v>231561</v>
      </c>
      <c r="CH20">
        <v>2017</v>
      </c>
      <c r="CI20">
        <v>61620</v>
      </c>
      <c r="CJ20">
        <v>244937</v>
      </c>
      <c r="CK20">
        <v>306557</v>
      </c>
      <c r="CL20">
        <v>2017</v>
      </c>
      <c r="CM20">
        <v>2913.57</v>
      </c>
      <c r="CN20" s="1">
        <v>38961</v>
      </c>
      <c r="CZ20" s="1">
        <v>38961</v>
      </c>
      <c r="DD20" t="s">
        <v>553</v>
      </c>
      <c r="DF20">
        <v>6</v>
      </c>
      <c r="DG20">
        <v>20</v>
      </c>
      <c r="DL20">
        <v>50504</v>
      </c>
      <c r="DM20" t="s">
        <v>645</v>
      </c>
      <c r="DO20" t="s">
        <v>646</v>
      </c>
      <c r="DP20">
        <v>0</v>
      </c>
      <c r="DQ20">
        <v>0</v>
      </c>
      <c r="DR20" t="s">
        <v>411</v>
      </c>
      <c r="DS20" t="b">
        <v>1</v>
      </c>
      <c r="DT20" t="s">
        <v>470</v>
      </c>
      <c r="DU20" t="s">
        <v>471</v>
      </c>
      <c r="DV20" t="s">
        <v>472</v>
      </c>
      <c r="DX20">
        <v>-9999</v>
      </c>
      <c r="DZ20" t="s">
        <v>447</v>
      </c>
      <c r="EA20" t="s">
        <v>448</v>
      </c>
      <c r="EB20" t="s">
        <v>561</v>
      </c>
      <c r="EC20">
        <v>20101217</v>
      </c>
      <c r="ED20" t="s">
        <v>474</v>
      </c>
      <c r="EF20">
        <v>663.7</v>
      </c>
      <c r="EG20">
        <v>663.7</v>
      </c>
      <c r="EH20" t="s">
        <v>451</v>
      </c>
      <c r="EI20">
        <v>20140731</v>
      </c>
      <c r="EJ20">
        <v>0</v>
      </c>
      <c r="EK20">
        <v>0</v>
      </c>
      <c r="EP20" t="s">
        <v>421</v>
      </c>
      <c r="EQ20" t="s">
        <v>422</v>
      </c>
      <c r="ER20">
        <v>0</v>
      </c>
      <c r="ES20">
        <v>2</v>
      </c>
      <c r="ET20">
        <v>0</v>
      </c>
      <c r="EU20">
        <v>0</v>
      </c>
      <c r="EV20">
        <v>0</v>
      </c>
      <c r="EW20" s="2">
        <v>43222</v>
      </c>
      <c r="EX20" s="1">
        <v>41787</v>
      </c>
      <c r="EY20">
        <v>2013</v>
      </c>
      <c r="EZ20">
        <v>3057.05</v>
      </c>
      <c r="FA20" t="s">
        <v>647</v>
      </c>
      <c r="FB20">
        <v>0.25</v>
      </c>
      <c r="FC20" t="s">
        <v>424</v>
      </c>
      <c r="FD20" t="s">
        <v>425</v>
      </c>
      <c r="FE20" s="1">
        <v>41823</v>
      </c>
      <c r="FF20">
        <v>2</v>
      </c>
      <c r="FG20">
        <v>2757457</v>
      </c>
      <c r="FH20" t="s">
        <v>648</v>
      </c>
      <c r="FJ20" s="1">
        <v>40688</v>
      </c>
      <c r="FK20">
        <v>2010</v>
      </c>
      <c r="FL20">
        <v>3455.36</v>
      </c>
      <c r="FM20" t="s">
        <v>649</v>
      </c>
      <c r="FN20">
        <v>0.25</v>
      </c>
      <c r="FO20" t="s">
        <v>424</v>
      </c>
      <c r="FP20" t="s">
        <v>425</v>
      </c>
      <c r="FQ20" s="1">
        <v>40723</v>
      </c>
      <c r="FR20">
        <v>1</v>
      </c>
      <c r="FS20">
        <v>11177</v>
      </c>
      <c r="FT20" t="s">
        <v>650</v>
      </c>
    </row>
    <row r="21" spans="1:260" x14ac:dyDescent="0.25">
      <c r="A21">
        <v>16485028</v>
      </c>
      <c r="B21">
        <v>20</v>
      </c>
      <c r="C21" t="s">
        <v>393</v>
      </c>
      <c r="D21" t="s">
        <v>394</v>
      </c>
      <c r="F21" t="str">
        <f>"20-1N-23-0000-0009-0010"</f>
        <v>20-1N-23-0000-0009-0010</v>
      </c>
      <c r="H21" t="str">
        <f>"MUMFORD JAMES &amp; KAITLAN"</f>
        <v>MUMFORD JAMES &amp; KAITLAN</v>
      </c>
      <c r="I21" t="str">
        <f>"13421 PAINTED PONY LN"</f>
        <v>13421 PAINTED PONY LN</v>
      </c>
      <c r="J21" t="str">
        <f>"BRYCEVILLE FL 32009"</f>
        <v>BRYCEVILLE FL 32009</v>
      </c>
      <c r="K21" t="str">
        <f>"13421 FOX TAIL LN"</f>
        <v>13421 FOX TAIL LN</v>
      </c>
      <c r="L21" t="str">
        <f t="shared" si="7"/>
        <v>BRYCEVILLE FL 32009</v>
      </c>
      <c r="M21" t="str">
        <f>"PT GOVT LOT 8 IN OR 2022/1072 BNDRY LINE AGMT OR 1436/869 R673122 &amp; R673123"</f>
        <v>PT GOVT LOT 8 IN OR 2022/1072 BNDRY LINE AGMT OR 1436/869 R673122 &amp; R673123</v>
      </c>
      <c r="N21" t="str">
        <f>""</f>
        <v/>
      </c>
      <c r="O21" t="str">
        <f>"33056"</f>
        <v>33056</v>
      </c>
      <c r="P21" t="str">
        <f t="shared" si="2"/>
        <v>2017</v>
      </c>
      <c r="Q21" t="str">
        <f>""</f>
        <v/>
      </c>
      <c r="R21" t="str">
        <f t="shared" ref="R21:R36" si="8">"N"</f>
        <v>N</v>
      </c>
      <c r="S21" t="str">
        <f>"10.00"</f>
        <v>10.00</v>
      </c>
      <c r="T21" t="str">
        <f>"2176.68"</f>
        <v>2176.68</v>
      </c>
      <c r="U21" t="str">
        <f>"143781.00"</f>
        <v>143781.00</v>
      </c>
      <c r="V21" t="str">
        <f>"143781.00"</f>
        <v>143781.00</v>
      </c>
      <c r="W21" t="str">
        <f t="shared" si="3"/>
        <v>2017</v>
      </c>
      <c r="X21" t="str">
        <f>""</f>
        <v/>
      </c>
      <c r="Y21" t="str">
        <f>"2273.98"</f>
        <v>2273.98</v>
      </c>
      <c r="Z21" t="str">
        <f>""</f>
        <v/>
      </c>
      <c r="AA21" t="str">
        <f>"143781.00"</f>
        <v>143781.00</v>
      </c>
      <c r="AB21" t="str">
        <f t="shared" si="6"/>
        <v>Residential</v>
      </c>
      <c r="AC21" t="str">
        <f t="shared" si="4"/>
        <v>0</v>
      </c>
      <c r="AD21" t="str">
        <f>"4"</f>
        <v>4</v>
      </c>
      <c r="AE21" t="str">
        <f>"WOOD (INCLUDE STEEL STUDS)"</f>
        <v>WOOD (INCLUDE STEEL STUDS)</v>
      </c>
      <c r="AF21" t="str">
        <f>"002"</f>
        <v>002</v>
      </c>
      <c r="AG21" t="str">
        <f t="shared" si="5"/>
        <v>FL</v>
      </c>
      <c r="AH21" t="str">
        <f>"435600.00"</f>
        <v>435600.00</v>
      </c>
      <c r="AI21" t="str">
        <f>"60000.00"</f>
        <v>60000.00</v>
      </c>
      <c r="AJ21" t="str">
        <f>"C55-000-587-2492-3"</f>
        <v>C55-000-587-2492-3</v>
      </c>
      <c r="AK21" t="str">
        <f>"231"</f>
        <v>231</v>
      </c>
      <c r="AL21">
        <v>1</v>
      </c>
      <c r="AM21">
        <v>25</v>
      </c>
      <c r="AN21">
        <v>2386.08</v>
      </c>
      <c r="AQ21" t="s">
        <v>651</v>
      </c>
      <c r="AR21" t="s">
        <v>651</v>
      </c>
      <c r="AS21" t="s">
        <v>651</v>
      </c>
      <c r="AU21" t="s">
        <v>396</v>
      </c>
      <c r="AV21">
        <v>2017</v>
      </c>
      <c r="AW21" t="str">
        <f>"20-1N-23-0000-0009-0010 "</f>
        <v xml:space="preserve">20-1N-23-0000-0009-0010 </v>
      </c>
      <c r="AX21">
        <v>13421</v>
      </c>
      <c r="AZ21" t="s">
        <v>652</v>
      </c>
      <c r="BA21" t="s">
        <v>653</v>
      </c>
      <c r="BD21" t="s">
        <v>553</v>
      </c>
      <c r="BE21" t="s">
        <v>393</v>
      </c>
      <c r="BF21">
        <v>32009</v>
      </c>
      <c r="BG21" t="s">
        <v>654</v>
      </c>
      <c r="BH21" t="s">
        <v>555</v>
      </c>
      <c r="BI21">
        <v>-82.006003592197899</v>
      </c>
      <c r="BJ21">
        <v>30.468703576114699</v>
      </c>
      <c r="BK21" t="s">
        <v>655</v>
      </c>
      <c r="BL21" t="s">
        <v>656</v>
      </c>
      <c r="BM21" t="s">
        <v>654</v>
      </c>
      <c r="BN21" t="s">
        <v>558</v>
      </c>
      <c r="BO21">
        <v>32009</v>
      </c>
      <c r="BP21" t="s">
        <v>416</v>
      </c>
      <c r="BQ21">
        <v>200</v>
      </c>
      <c r="BR21" t="s">
        <v>405</v>
      </c>
      <c r="BS21">
        <v>1006</v>
      </c>
      <c r="BT21" t="s">
        <v>406</v>
      </c>
      <c r="BW21">
        <v>435600</v>
      </c>
      <c r="BX21" t="s">
        <v>407</v>
      </c>
      <c r="BY21" t="s">
        <v>408</v>
      </c>
      <c r="BZ21">
        <v>4</v>
      </c>
      <c r="CA21">
        <v>1997</v>
      </c>
      <c r="CB21">
        <v>1</v>
      </c>
      <c r="CC21">
        <v>1</v>
      </c>
      <c r="CD21">
        <v>2017</v>
      </c>
      <c r="CE21">
        <v>60000</v>
      </c>
      <c r="CF21">
        <v>83781</v>
      </c>
      <c r="CG21">
        <v>143781</v>
      </c>
      <c r="CH21">
        <v>2017</v>
      </c>
      <c r="CI21">
        <v>60000</v>
      </c>
      <c r="CJ21">
        <v>83781</v>
      </c>
      <c r="CK21">
        <v>143781</v>
      </c>
      <c r="CL21">
        <v>2017</v>
      </c>
      <c r="CM21">
        <v>2176.6799999999998</v>
      </c>
      <c r="CN21" s="1">
        <v>42380</v>
      </c>
      <c r="CO21">
        <v>125000</v>
      </c>
      <c r="CV21">
        <v>140000</v>
      </c>
      <c r="CX21" t="s">
        <v>657</v>
      </c>
      <c r="CZ21" s="1">
        <v>42380</v>
      </c>
      <c r="DA21">
        <v>0</v>
      </c>
      <c r="DD21" t="s">
        <v>553</v>
      </c>
      <c r="DF21">
        <v>8</v>
      </c>
      <c r="DG21">
        <v>20</v>
      </c>
      <c r="DL21">
        <v>50504</v>
      </c>
      <c r="DM21" t="s">
        <v>645</v>
      </c>
      <c r="DO21" t="s">
        <v>658</v>
      </c>
      <c r="DP21">
        <v>0</v>
      </c>
      <c r="DQ21">
        <v>0</v>
      </c>
      <c r="DR21" t="s">
        <v>411</v>
      </c>
    </row>
    <row r="22" spans="1:260" x14ac:dyDescent="0.25">
      <c r="A22">
        <v>16485029</v>
      </c>
      <c r="B22">
        <v>21</v>
      </c>
      <c r="C22" t="s">
        <v>393</v>
      </c>
      <c r="D22" t="s">
        <v>394</v>
      </c>
      <c r="F22" t="str">
        <f>"20-1N-23-0000-0009-0030"</f>
        <v>20-1N-23-0000-0009-0030</v>
      </c>
      <c r="H22" t="str">
        <f>"ROBINSON STEPHEN L &amp; DENISE B"</f>
        <v>ROBINSON STEPHEN L &amp; DENISE B</v>
      </c>
      <c r="I22" t="str">
        <f>"2658 PARMENTER RD"</f>
        <v>2658 PARMENTER RD</v>
      </c>
      <c r="J22" t="str">
        <f>"BRYCEVILLE FL 32009"</f>
        <v>BRYCEVILLE FL 32009</v>
      </c>
      <c r="K22" t="str">
        <f>"2668 PARMENTER RD"</f>
        <v>2668 PARMENTER RD</v>
      </c>
      <c r="L22" t="str">
        <f t="shared" si="7"/>
        <v>BRYCEVILLE FL 32009</v>
      </c>
      <c r="M22" t="str">
        <f>"PT OF GOVT LOT 15 OF SEC 20-1N-23E IN OR 2100/1026 (EX PT IN OR 2100/1026 BEING PARAGRAPH 2) &amp; ESMT IN OR 867/1894"</f>
        <v>PT OF GOVT LOT 15 OF SEC 20-1N-23E IN OR 2100/1026 (EX PT IN OR 2100/1026 BEING PARAGRAPH 2) &amp; ESMT IN OR 867/1894</v>
      </c>
      <c r="N22" t="str">
        <f>""</f>
        <v/>
      </c>
      <c r="O22" t="str">
        <f>"57201"</f>
        <v>57201</v>
      </c>
      <c r="P22" t="str">
        <f t="shared" si="2"/>
        <v>2017</v>
      </c>
      <c r="Q22" t="str">
        <f>""</f>
        <v/>
      </c>
      <c r="R22" t="str">
        <f t="shared" si="8"/>
        <v>N</v>
      </c>
      <c r="S22" t="str">
        <f>"10.00"</f>
        <v>10.00</v>
      </c>
      <c r="T22" t="str">
        <f>"811.72"</f>
        <v>811.72</v>
      </c>
      <c r="U22" t="str">
        <f>"53618.00"</f>
        <v>53618.00</v>
      </c>
      <c r="V22" t="str">
        <f>"53618.00"</f>
        <v>53618.00</v>
      </c>
      <c r="W22" t="str">
        <f t="shared" si="3"/>
        <v>2017</v>
      </c>
      <c r="X22" t="str">
        <f>""</f>
        <v/>
      </c>
      <c r="Y22" t="str">
        <f>"868.07"</f>
        <v>868.07</v>
      </c>
      <c r="Z22" t="str">
        <f>""</f>
        <v/>
      </c>
      <c r="AA22" t="str">
        <f>"53618.00"</f>
        <v>53618.00</v>
      </c>
      <c r="AB22" t="str">
        <f>"Agricultural"</f>
        <v>Agricultural</v>
      </c>
      <c r="AC22" t="str">
        <f t="shared" si="4"/>
        <v>0</v>
      </c>
      <c r="AD22" t="str">
        <f>"4"</f>
        <v>4</v>
      </c>
      <c r="AE22" t="str">
        <f>"WOOD (INCLUDE STEEL STUDS)"</f>
        <v>WOOD (INCLUDE STEEL STUDS)</v>
      </c>
      <c r="AF22" t="str">
        <f>"050"</f>
        <v>050</v>
      </c>
      <c r="AG22" t="str">
        <f t="shared" si="5"/>
        <v>FL</v>
      </c>
      <c r="AH22" t="str">
        <f>"435600.00"</f>
        <v>435600.00</v>
      </c>
      <c r="AI22" t="str">
        <f>"26760.00"</f>
        <v>26760.00</v>
      </c>
      <c r="AJ22" t="str">
        <f>"C55-001-096-9521-3"</f>
        <v>C55-001-096-9521-3</v>
      </c>
      <c r="AK22" t="str">
        <f>"233"</f>
        <v>233</v>
      </c>
      <c r="AL22">
        <v>1</v>
      </c>
      <c r="AM22">
        <v>26</v>
      </c>
      <c r="AN22">
        <v>909.87</v>
      </c>
      <c r="AQ22" t="s">
        <v>659</v>
      </c>
      <c r="AR22" t="s">
        <v>659</v>
      </c>
      <c r="AS22" t="s">
        <v>659</v>
      </c>
      <c r="AU22" t="s">
        <v>396</v>
      </c>
      <c r="AV22">
        <v>2017</v>
      </c>
      <c r="AW22" t="str">
        <f>"20-1N-23-0000-0009-0030 "</f>
        <v xml:space="preserve">20-1N-23-0000-0009-0030 </v>
      </c>
      <c r="AX22">
        <v>2668</v>
      </c>
      <c r="AZ22" t="s">
        <v>660</v>
      </c>
      <c r="BA22" t="s">
        <v>496</v>
      </c>
      <c r="BD22" t="s">
        <v>553</v>
      </c>
      <c r="BE22" t="s">
        <v>393</v>
      </c>
      <c r="BF22">
        <v>32009</v>
      </c>
      <c r="BG22" t="s">
        <v>661</v>
      </c>
      <c r="BH22" t="s">
        <v>555</v>
      </c>
      <c r="BK22" t="s">
        <v>662</v>
      </c>
      <c r="BM22" t="s">
        <v>663</v>
      </c>
      <c r="BN22" t="s">
        <v>558</v>
      </c>
      <c r="BO22">
        <v>32009</v>
      </c>
      <c r="BQ22">
        <v>5000</v>
      </c>
      <c r="BR22" t="s">
        <v>664</v>
      </c>
      <c r="BS22">
        <v>7000</v>
      </c>
      <c r="BT22" t="s">
        <v>665</v>
      </c>
      <c r="BW22">
        <v>435600</v>
      </c>
      <c r="BX22" t="s">
        <v>407</v>
      </c>
      <c r="BZ22">
        <v>4</v>
      </c>
      <c r="CA22">
        <v>1990</v>
      </c>
      <c r="CC22">
        <v>1</v>
      </c>
      <c r="CD22">
        <v>2017</v>
      </c>
      <c r="CG22">
        <v>53618</v>
      </c>
      <c r="CH22">
        <v>2017</v>
      </c>
      <c r="CI22">
        <v>26760</v>
      </c>
      <c r="CJ22">
        <v>72098</v>
      </c>
      <c r="CK22">
        <v>98858</v>
      </c>
      <c r="CL22">
        <v>2017</v>
      </c>
      <c r="CM22">
        <v>811.72</v>
      </c>
      <c r="DD22" t="s">
        <v>553</v>
      </c>
      <c r="DM22" t="s">
        <v>645</v>
      </c>
      <c r="DO22" t="s">
        <v>666</v>
      </c>
    </row>
    <row r="23" spans="1:260" x14ac:dyDescent="0.25">
      <c r="A23">
        <v>16485030</v>
      </c>
      <c r="B23">
        <v>22</v>
      </c>
      <c r="C23" t="s">
        <v>393</v>
      </c>
      <c r="D23" t="s">
        <v>394</v>
      </c>
      <c r="F23" t="str">
        <f>"23-1N-23-034D-0003-0000"</f>
        <v>23-1N-23-034D-0003-0000</v>
      </c>
      <c r="H23" t="str">
        <f>"BERNHARDT JOSE M &amp; SARA M"</f>
        <v>BERNHARDT JOSE M &amp; SARA M</v>
      </c>
      <c r="I23" t="str">
        <f>"1870 AUGUSTE ST"</f>
        <v>1870 AUGUSTE ST</v>
      </c>
      <c r="J23" t="str">
        <f>"PORT ALLEN LA 70767"</f>
        <v>PORT ALLEN LA 70767</v>
      </c>
      <c r="K23" t="str">
        <f>"DEEP CREEK DR"</f>
        <v>DEEP CREEK DR</v>
      </c>
      <c r="L23" t="str">
        <f t="shared" si="7"/>
        <v>BRYCEVILLE FL 32009</v>
      </c>
      <c r="M23" t="str">
        <f>"LOT 3 IN OR 1913/342 DEEP CREEK PLANTATION PB 7/239"</f>
        <v>LOT 3 IN OR 1913/342 DEEP CREEK PLANTATION PB 7/239</v>
      </c>
      <c r="N23" t="str">
        <f>""</f>
        <v/>
      </c>
      <c r="O23" t="str">
        <f>"33815"</f>
        <v>33815</v>
      </c>
      <c r="P23" t="str">
        <f t="shared" si="2"/>
        <v>2017</v>
      </c>
      <c r="Q23" t="str">
        <f>""</f>
        <v/>
      </c>
      <c r="R23" t="str">
        <f t="shared" si="8"/>
        <v>N</v>
      </c>
      <c r="S23" t="str">
        <f>"2.44"</f>
        <v>2.44</v>
      </c>
      <c r="T23" t="str">
        <f>"804.07"</f>
        <v>804.07</v>
      </c>
      <c r="U23" t="str">
        <f>"53112.00"</f>
        <v>53112.00</v>
      </c>
      <c r="V23" t="str">
        <f>"53112.00"</f>
        <v>53112.00</v>
      </c>
      <c r="W23" t="str">
        <f t="shared" si="3"/>
        <v>2017</v>
      </c>
      <c r="X23" t="str">
        <f>"14.67"</f>
        <v>14.67</v>
      </c>
      <c r="Y23" t="str">
        <f>"860.19"</f>
        <v>860.19</v>
      </c>
      <c r="Z23" t="str">
        <f>""</f>
        <v/>
      </c>
      <c r="AA23" t="str">
        <f>"53112.00"</f>
        <v>53112.00</v>
      </c>
      <c r="AB23" t="str">
        <f t="shared" ref="AB23:AB45" si="9">"Residential"</f>
        <v>Residential</v>
      </c>
      <c r="AC23" t="str">
        <f t="shared" si="4"/>
        <v>0</v>
      </c>
      <c r="AD23" t="str">
        <f>""</f>
        <v/>
      </c>
      <c r="AE23" t="str">
        <f>""</f>
        <v/>
      </c>
      <c r="AF23" t="str">
        <f t="shared" ref="AF23:AF33" si="10">"000"</f>
        <v>000</v>
      </c>
      <c r="AG23" t="str">
        <f>"LA"</f>
        <v>LA</v>
      </c>
      <c r="AH23" t="str">
        <f>"106286.00"</f>
        <v>106286.00</v>
      </c>
      <c r="AI23" t="str">
        <f>"53112.00"</f>
        <v>53112.00</v>
      </c>
      <c r="AJ23" t="str">
        <f>"C55-000-988-1804-0"</f>
        <v>C55-000-988-1804-0</v>
      </c>
      <c r="AK23" t="str">
        <f>"254"</f>
        <v>254</v>
      </c>
      <c r="AL23">
        <v>1</v>
      </c>
      <c r="AM23">
        <v>27</v>
      </c>
      <c r="AN23">
        <v>901.6</v>
      </c>
      <c r="AQ23" t="s">
        <v>667</v>
      </c>
      <c r="AR23" t="s">
        <v>667</v>
      </c>
      <c r="AS23" t="s">
        <v>667</v>
      </c>
      <c r="AU23" t="s">
        <v>396</v>
      </c>
      <c r="AV23">
        <v>2017</v>
      </c>
      <c r="AW23" t="str">
        <f>"23-1N-23-034D-0003-0000 "</f>
        <v xml:space="preserve">23-1N-23-034D-0003-0000 </v>
      </c>
      <c r="AZ23" t="s">
        <v>668</v>
      </c>
      <c r="BA23" t="s">
        <v>669</v>
      </c>
      <c r="BD23" t="s">
        <v>553</v>
      </c>
      <c r="BE23" t="s">
        <v>393</v>
      </c>
      <c r="BF23">
        <v>32009</v>
      </c>
      <c r="BG23" t="s">
        <v>670</v>
      </c>
      <c r="BH23" t="s">
        <v>555</v>
      </c>
      <c r="BI23">
        <v>-82.007501827262999</v>
      </c>
      <c r="BJ23">
        <v>30.450565620453599</v>
      </c>
      <c r="BK23" t="s">
        <v>671</v>
      </c>
      <c r="BL23" t="s">
        <v>672</v>
      </c>
      <c r="BM23" t="s">
        <v>673</v>
      </c>
      <c r="BN23" t="s">
        <v>674</v>
      </c>
      <c r="BO23">
        <v>70767</v>
      </c>
      <c r="BP23" t="s">
        <v>404</v>
      </c>
      <c r="BQ23">
        <v>0</v>
      </c>
      <c r="BR23" t="s">
        <v>491</v>
      </c>
      <c r="BS23">
        <v>8001</v>
      </c>
      <c r="BT23" t="s">
        <v>492</v>
      </c>
      <c r="BW23">
        <v>106286</v>
      </c>
      <c r="BX23" t="s">
        <v>407</v>
      </c>
      <c r="BY23" t="s">
        <v>408</v>
      </c>
      <c r="CD23">
        <v>2017</v>
      </c>
      <c r="CE23">
        <v>53112</v>
      </c>
      <c r="CG23">
        <v>53112</v>
      </c>
      <c r="CH23">
        <v>2017</v>
      </c>
      <c r="CI23">
        <v>53112</v>
      </c>
      <c r="CK23">
        <v>53112</v>
      </c>
      <c r="CL23">
        <v>2017</v>
      </c>
      <c r="CM23">
        <v>804.07</v>
      </c>
      <c r="CN23" s="1">
        <v>41750</v>
      </c>
      <c r="CO23">
        <v>69900</v>
      </c>
      <c r="CV23">
        <v>55920</v>
      </c>
      <c r="CX23" t="s">
        <v>675</v>
      </c>
      <c r="CZ23" s="1">
        <v>41750</v>
      </c>
      <c r="DA23">
        <v>0</v>
      </c>
      <c r="DD23" t="s">
        <v>553</v>
      </c>
      <c r="DF23">
        <v>3</v>
      </c>
      <c r="DG23">
        <v>23</v>
      </c>
      <c r="DJ23" t="s">
        <v>676</v>
      </c>
      <c r="DL23">
        <v>50504</v>
      </c>
      <c r="DM23" t="s">
        <v>677</v>
      </c>
      <c r="DO23" t="s">
        <v>678</v>
      </c>
      <c r="DP23">
        <v>0</v>
      </c>
      <c r="DQ23">
        <v>0</v>
      </c>
      <c r="DR23" t="s">
        <v>411</v>
      </c>
      <c r="EP23" t="s">
        <v>421</v>
      </c>
      <c r="EQ23" t="s">
        <v>422</v>
      </c>
      <c r="ER23">
        <v>0</v>
      </c>
      <c r="ES23">
        <v>3</v>
      </c>
      <c r="ET23">
        <v>0</v>
      </c>
      <c r="EU23">
        <v>0</v>
      </c>
      <c r="EV23">
        <v>0</v>
      </c>
      <c r="EW23" s="2">
        <v>43222</v>
      </c>
      <c r="EX23" s="1">
        <v>41052</v>
      </c>
      <c r="EY23">
        <v>2011</v>
      </c>
      <c r="EZ23">
        <v>1005.05</v>
      </c>
      <c r="FA23" t="s">
        <v>679</v>
      </c>
      <c r="FB23">
        <v>4.75</v>
      </c>
      <c r="FC23" t="s">
        <v>424</v>
      </c>
      <c r="FD23" t="s">
        <v>425</v>
      </c>
      <c r="FE23" s="1">
        <v>41208</v>
      </c>
      <c r="FF23">
        <v>5</v>
      </c>
      <c r="FG23">
        <v>10125</v>
      </c>
      <c r="FH23" t="s">
        <v>440</v>
      </c>
      <c r="FJ23" s="1">
        <v>40688</v>
      </c>
      <c r="FK23">
        <v>2010</v>
      </c>
      <c r="FL23">
        <v>662.58</v>
      </c>
      <c r="FM23" t="s">
        <v>680</v>
      </c>
      <c r="FN23">
        <v>8.25</v>
      </c>
      <c r="FO23" t="s">
        <v>424</v>
      </c>
      <c r="FP23" t="s">
        <v>425</v>
      </c>
      <c r="FQ23" s="1">
        <v>41208</v>
      </c>
      <c r="FR23">
        <v>17</v>
      </c>
      <c r="FS23">
        <v>15175</v>
      </c>
      <c r="FT23" t="s">
        <v>588</v>
      </c>
      <c r="FV23" s="1">
        <v>40688</v>
      </c>
      <c r="FW23">
        <v>2010</v>
      </c>
      <c r="FX23">
        <v>662.58</v>
      </c>
      <c r="FY23" t="s">
        <v>680</v>
      </c>
      <c r="FZ23">
        <v>8.25</v>
      </c>
      <c r="GA23" t="s">
        <v>424</v>
      </c>
      <c r="GB23" t="s">
        <v>425</v>
      </c>
      <c r="GD23">
        <v>22</v>
      </c>
      <c r="GE23">
        <v>10548</v>
      </c>
      <c r="GF23" t="s">
        <v>589</v>
      </c>
    </row>
    <row r="24" spans="1:260" x14ac:dyDescent="0.25">
      <c r="A24">
        <v>16485031</v>
      </c>
      <c r="B24">
        <v>23</v>
      </c>
      <c r="C24" t="s">
        <v>393</v>
      </c>
      <c r="D24" t="s">
        <v>394</v>
      </c>
      <c r="F24" t="str">
        <f>"23-1N-23-034D-0004-0000"</f>
        <v>23-1N-23-034D-0004-0000</v>
      </c>
      <c r="H24" t="str">
        <f>"FABRIZIO ANTHONY JR &amp; REILLY CAREN (JT/RS)"</f>
        <v>FABRIZIO ANTHONY JR &amp; REILLY CAREN (JT/RS)</v>
      </c>
      <c r="I24" t="str">
        <f>"19 WALNUT GROVE RD"</f>
        <v>19 WALNUT GROVE RD</v>
      </c>
      <c r="J24" t="str">
        <f>"RIDGEFIELD CT 06877"</f>
        <v>RIDGEFIELD CT 06877</v>
      </c>
      <c r="K24" t="str">
        <f>"DEEP CREEK DR"</f>
        <v>DEEP CREEK DR</v>
      </c>
      <c r="L24" t="str">
        <f t="shared" si="7"/>
        <v>BRYCEVILLE FL 32009</v>
      </c>
      <c r="M24" t="str">
        <f>"LOT 4 IN OR 1912/157 DEEP CREEK PLANTATION PB 7/239"</f>
        <v>LOT 4 IN OR 1912/157 DEEP CREEK PLANTATION PB 7/239</v>
      </c>
      <c r="N24" t="str">
        <f>""</f>
        <v/>
      </c>
      <c r="O24" t="str">
        <f>"33816"</f>
        <v>33816</v>
      </c>
      <c r="P24" t="str">
        <f t="shared" si="2"/>
        <v>2017</v>
      </c>
      <c r="Q24" t="str">
        <f>""</f>
        <v/>
      </c>
      <c r="R24" t="str">
        <f t="shared" si="8"/>
        <v>N</v>
      </c>
      <c r="S24" t="str">
        <f>"3.42"</f>
        <v>3.42</v>
      </c>
      <c r="T24" t="str">
        <f>"435.10"</f>
        <v>435.10</v>
      </c>
      <c r="U24" t="str">
        <f>"28740.00"</f>
        <v>28740.00</v>
      </c>
      <c r="V24" t="str">
        <f>"28740.00"</f>
        <v>28740.00</v>
      </c>
      <c r="W24" t="str">
        <f t="shared" si="3"/>
        <v>2017</v>
      </c>
      <c r="X24" t="str">
        <f>"14.67"</f>
        <v>14.67</v>
      </c>
      <c r="Y24" t="str">
        <f>"480.15"</f>
        <v>480.15</v>
      </c>
      <c r="Z24" t="str">
        <f>""</f>
        <v/>
      </c>
      <c r="AA24" t="str">
        <f>"28740.00"</f>
        <v>28740.00</v>
      </c>
      <c r="AB24" t="str">
        <f t="shared" si="9"/>
        <v>Residential</v>
      </c>
      <c r="AC24" t="str">
        <f t="shared" si="4"/>
        <v>0</v>
      </c>
      <c r="AD24" t="str">
        <f>""</f>
        <v/>
      </c>
      <c r="AE24" t="str">
        <f>""</f>
        <v/>
      </c>
      <c r="AF24" t="str">
        <f t="shared" si="10"/>
        <v>000</v>
      </c>
      <c r="AG24" t="str">
        <f>"CT"</f>
        <v>CT</v>
      </c>
      <c r="AH24" t="str">
        <f>"148975.00"</f>
        <v>148975.00</v>
      </c>
      <c r="AI24" t="str">
        <f>"28740.00"</f>
        <v>28740.00</v>
      </c>
      <c r="AJ24" t="str">
        <f>"C55-000-988-1805-7"</f>
        <v>C55-000-988-1805-7</v>
      </c>
      <c r="AK24" t="str">
        <f>"255"</f>
        <v>255</v>
      </c>
      <c r="AL24">
        <v>1</v>
      </c>
      <c r="AM24">
        <v>28</v>
      </c>
      <c r="AN24">
        <v>502.56</v>
      </c>
      <c r="AQ24" t="s">
        <v>681</v>
      </c>
      <c r="AR24" t="s">
        <v>681</v>
      </c>
      <c r="AS24" t="s">
        <v>681</v>
      </c>
      <c r="AU24" t="s">
        <v>396</v>
      </c>
      <c r="AV24">
        <v>2017</v>
      </c>
      <c r="AW24" t="str">
        <f>"23-1N-23-034D-0004-0000 "</f>
        <v xml:space="preserve">23-1N-23-034D-0004-0000 </v>
      </c>
      <c r="AZ24" t="s">
        <v>668</v>
      </c>
      <c r="BA24" t="s">
        <v>669</v>
      </c>
      <c r="BD24" t="s">
        <v>553</v>
      </c>
      <c r="BE24" t="s">
        <v>393</v>
      </c>
      <c r="BF24">
        <v>32009</v>
      </c>
      <c r="BG24" t="s">
        <v>670</v>
      </c>
      <c r="BH24" t="s">
        <v>555</v>
      </c>
      <c r="BI24">
        <v>-82.006839754716097</v>
      </c>
      <c r="BJ24">
        <v>30.451486369101801</v>
      </c>
      <c r="BK24" t="s">
        <v>682</v>
      </c>
      <c r="BM24" t="s">
        <v>683</v>
      </c>
      <c r="BN24" t="s">
        <v>684</v>
      </c>
      <c r="BO24">
        <v>6877</v>
      </c>
      <c r="BP24" t="s">
        <v>404</v>
      </c>
      <c r="BQ24">
        <v>0</v>
      </c>
      <c r="BR24" t="s">
        <v>491</v>
      </c>
      <c r="BS24">
        <v>8001</v>
      </c>
      <c r="BT24" t="s">
        <v>492</v>
      </c>
      <c r="BW24">
        <v>148975</v>
      </c>
      <c r="BX24" t="s">
        <v>407</v>
      </c>
      <c r="BY24" t="s">
        <v>408</v>
      </c>
      <c r="CD24">
        <v>2017</v>
      </c>
      <c r="CE24">
        <v>28740</v>
      </c>
      <c r="CG24">
        <v>28740</v>
      </c>
      <c r="CH24">
        <v>2017</v>
      </c>
      <c r="CI24">
        <v>28740</v>
      </c>
      <c r="CK24">
        <v>28740</v>
      </c>
      <c r="CL24">
        <v>2017</v>
      </c>
      <c r="CM24">
        <v>435.1</v>
      </c>
      <c r="CN24" s="1">
        <v>41743</v>
      </c>
      <c r="CO24">
        <v>34900</v>
      </c>
      <c r="CV24">
        <v>0</v>
      </c>
      <c r="CZ24" s="1">
        <v>41743</v>
      </c>
      <c r="DA24">
        <v>0</v>
      </c>
      <c r="DD24" t="s">
        <v>553</v>
      </c>
      <c r="DF24">
        <v>4</v>
      </c>
      <c r="DG24">
        <v>23</v>
      </c>
      <c r="DJ24" t="s">
        <v>676</v>
      </c>
      <c r="DL24">
        <v>50504</v>
      </c>
      <c r="DM24" t="s">
        <v>677</v>
      </c>
      <c r="DO24" t="s">
        <v>685</v>
      </c>
      <c r="DP24">
        <v>0</v>
      </c>
      <c r="DQ24">
        <v>0</v>
      </c>
      <c r="DR24" t="s">
        <v>411</v>
      </c>
      <c r="EP24" t="s">
        <v>421</v>
      </c>
      <c r="EQ24" t="s">
        <v>422</v>
      </c>
      <c r="ER24">
        <v>1</v>
      </c>
      <c r="ES24">
        <v>3</v>
      </c>
      <c r="ET24">
        <v>504.15</v>
      </c>
      <c r="EU24">
        <v>31.46</v>
      </c>
      <c r="EV24">
        <v>535.61</v>
      </c>
      <c r="EW24" s="2">
        <v>43222</v>
      </c>
      <c r="EX24" s="1">
        <v>42879</v>
      </c>
      <c r="EY24">
        <v>2016</v>
      </c>
      <c r="EZ24">
        <v>504.15</v>
      </c>
      <c r="FA24" t="s">
        <v>686</v>
      </c>
      <c r="FB24">
        <v>4.75</v>
      </c>
      <c r="FC24" t="s">
        <v>424</v>
      </c>
      <c r="FD24" t="s">
        <v>454</v>
      </c>
      <c r="FF24">
        <v>12</v>
      </c>
      <c r="FG24">
        <v>7336745</v>
      </c>
      <c r="FH24" t="s">
        <v>502</v>
      </c>
      <c r="FJ24" s="1">
        <v>41052</v>
      </c>
      <c r="FK24">
        <v>2011</v>
      </c>
      <c r="FL24">
        <v>934.19</v>
      </c>
      <c r="FM24" t="s">
        <v>687</v>
      </c>
      <c r="FN24">
        <v>4.75</v>
      </c>
      <c r="FO24" t="s">
        <v>424</v>
      </c>
      <c r="FP24" t="s">
        <v>425</v>
      </c>
      <c r="FQ24" s="1">
        <v>41208</v>
      </c>
      <c r="FR24">
        <v>5</v>
      </c>
      <c r="FS24">
        <v>10125</v>
      </c>
      <c r="FT24" t="s">
        <v>440</v>
      </c>
      <c r="FV24" s="1">
        <v>40688</v>
      </c>
      <c r="FW24">
        <v>2010</v>
      </c>
      <c r="FX24">
        <v>652.48</v>
      </c>
      <c r="FY24" t="s">
        <v>688</v>
      </c>
      <c r="FZ24">
        <v>8.25</v>
      </c>
      <c r="GA24" t="s">
        <v>424</v>
      </c>
      <c r="GB24" t="s">
        <v>425</v>
      </c>
      <c r="GC24" s="1">
        <v>41208</v>
      </c>
      <c r="GD24">
        <v>17</v>
      </c>
      <c r="GE24">
        <v>15175</v>
      </c>
      <c r="GF24" t="s">
        <v>588</v>
      </c>
      <c r="GH24" s="1">
        <v>40688</v>
      </c>
      <c r="GI24">
        <v>2010</v>
      </c>
      <c r="GJ24">
        <v>652.48</v>
      </c>
      <c r="GK24" t="s">
        <v>688</v>
      </c>
      <c r="GL24">
        <v>8.25</v>
      </c>
      <c r="GM24" t="s">
        <v>424</v>
      </c>
      <c r="GN24" t="s">
        <v>425</v>
      </c>
      <c r="GP24">
        <v>22</v>
      </c>
      <c r="GQ24">
        <v>10548</v>
      </c>
      <c r="GR24" t="s">
        <v>589</v>
      </c>
    </row>
    <row r="25" spans="1:260" x14ac:dyDescent="0.25">
      <c r="A25">
        <v>16485032</v>
      </c>
      <c r="B25">
        <v>24</v>
      </c>
      <c r="C25" t="s">
        <v>393</v>
      </c>
      <c r="D25" t="s">
        <v>394</v>
      </c>
      <c r="F25" t="str">
        <f>"23-1N-23-034D-0013-0000"</f>
        <v>23-1N-23-034D-0013-0000</v>
      </c>
      <c r="H25" t="str">
        <f>"PIAZZA YOLANDE &amp; HODGES TONY A (W&amp;H)"</f>
        <v>PIAZZA YOLANDE &amp; HODGES TONY A (W&amp;H)</v>
      </c>
      <c r="I25" t="str">
        <f>"104 STRONG BRANCH DR"</f>
        <v>104 STRONG BRANCH DR</v>
      </c>
      <c r="J25" t="str">
        <f>"PONTE VEDRA FL 32082"</f>
        <v>PONTE VEDRA FL 32082</v>
      </c>
      <c r="K25" t="str">
        <f>"DEEP CREEK DR"</f>
        <v>DEEP CREEK DR</v>
      </c>
      <c r="L25" t="str">
        <f t="shared" si="7"/>
        <v>BRYCEVILLE FL 32009</v>
      </c>
      <c r="M25" t="str">
        <f>"LOT 13 IN OR 1932/1269 DEEP CREEK PLANTATION PB 7/239"</f>
        <v>LOT 13 IN OR 1932/1269 DEEP CREEK PLANTATION PB 7/239</v>
      </c>
      <c r="N25" t="str">
        <f>""</f>
        <v/>
      </c>
      <c r="O25" t="str">
        <f>"33826"</f>
        <v>33826</v>
      </c>
      <c r="P25" t="str">
        <f t="shared" si="2"/>
        <v>2017</v>
      </c>
      <c r="Q25" t="str">
        <f>""</f>
        <v/>
      </c>
      <c r="R25" t="str">
        <f t="shared" si="8"/>
        <v>N</v>
      </c>
      <c r="S25" t="str">
        <f>"12.45"</f>
        <v>12.45</v>
      </c>
      <c r="T25" t="str">
        <f>"732.64"</f>
        <v>732.64</v>
      </c>
      <c r="U25" t="str">
        <f>"48395.00"</f>
        <v>48395.00</v>
      </c>
      <c r="V25" t="str">
        <f>"48395.00"</f>
        <v>48395.00</v>
      </c>
      <c r="W25" t="str">
        <f t="shared" si="3"/>
        <v>2017</v>
      </c>
      <c r="X25" t="str">
        <f>"12.50"</f>
        <v>12.50</v>
      </c>
      <c r="Y25" t="str">
        <f>"786.62"</f>
        <v>786.62</v>
      </c>
      <c r="Z25" t="str">
        <f>""</f>
        <v/>
      </c>
      <c r="AA25" t="str">
        <f>"48395.00"</f>
        <v>48395.00</v>
      </c>
      <c r="AB25" t="str">
        <f t="shared" si="9"/>
        <v>Residential</v>
      </c>
      <c r="AC25" t="str">
        <f t="shared" si="4"/>
        <v>0</v>
      </c>
      <c r="AD25" t="str">
        <f>""</f>
        <v/>
      </c>
      <c r="AE25" t="str">
        <f>""</f>
        <v/>
      </c>
      <c r="AF25" t="str">
        <f t="shared" si="10"/>
        <v>000</v>
      </c>
      <c r="AG25" t="str">
        <f t="shared" ref="AG25:AG56" si="11">"FL"</f>
        <v>FL</v>
      </c>
      <c r="AH25" t="str">
        <f>"542322.00"</f>
        <v>542322.00</v>
      </c>
      <c r="AI25" t="str">
        <f>"48395.00"</f>
        <v>48395.00</v>
      </c>
      <c r="AJ25" t="str">
        <f>"C55-000-988-1814-9"</f>
        <v>C55-000-988-1814-9</v>
      </c>
      <c r="AK25" t="str">
        <f>"264"</f>
        <v>264</v>
      </c>
      <c r="AL25">
        <v>1</v>
      </c>
      <c r="AM25">
        <v>29</v>
      </c>
      <c r="AN25">
        <v>824.35</v>
      </c>
      <c r="AQ25" t="s">
        <v>689</v>
      </c>
      <c r="AR25" t="s">
        <v>689</v>
      </c>
      <c r="AS25" t="s">
        <v>689</v>
      </c>
      <c r="AU25" t="s">
        <v>396</v>
      </c>
      <c r="AV25">
        <v>2017</v>
      </c>
      <c r="AW25" t="str">
        <f>"23-1N-23-034D-0013-0000 "</f>
        <v xml:space="preserve">23-1N-23-034D-0013-0000 </v>
      </c>
      <c r="AZ25" t="s">
        <v>668</v>
      </c>
      <c r="BA25" t="s">
        <v>669</v>
      </c>
      <c r="BD25" t="s">
        <v>553</v>
      </c>
      <c r="BE25" t="s">
        <v>393</v>
      </c>
      <c r="BF25">
        <v>32009</v>
      </c>
      <c r="BG25" t="s">
        <v>670</v>
      </c>
      <c r="BH25" t="s">
        <v>555</v>
      </c>
      <c r="BI25">
        <v>-82.013780094975402</v>
      </c>
      <c r="BJ25">
        <v>30.453450121436202</v>
      </c>
      <c r="BK25" t="s">
        <v>690</v>
      </c>
      <c r="BM25" t="s">
        <v>691</v>
      </c>
      <c r="BN25" t="s">
        <v>692</v>
      </c>
      <c r="BO25">
        <v>32082</v>
      </c>
      <c r="BP25" t="s">
        <v>404</v>
      </c>
      <c r="BQ25">
        <v>0</v>
      </c>
      <c r="BR25" t="s">
        <v>491</v>
      </c>
      <c r="BS25">
        <v>8001</v>
      </c>
      <c r="BT25" t="s">
        <v>492</v>
      </c>
      <c r="BW25">
        <v>542322</v>
      </c>
      <c r="BX25" t="s">
        <v>407</v>
      </c>
      <c r="BY25" t="s">
        <v>408</v>
      </c>
      <c r="CD25">
        <v>2017</v>
      </c>
      <c r="CE25">
        <v>48395</v>
      </c>
      <c r="CG25">
        <v>48395</v>
      </c>
      <c r="CH25">
        <v>2017</v>
      </c>
      <c r="CI25">
        <v>48395</v>
      </c>
      <c r="CK25">
        <v>48395</v>
      </c>
      <c r="CL25">
        <v>2017</v>
      </c>
      <c r="CM25">
        <v>732.64</v>
      </c>
      <c r="CN25" s="1">
        <v>41866</v>
      </c>
      <c r="CO25">
        <v>59900</v>
      </c>
      <c r="CV25">
        <v>47900</v>
      </c>
      <c r="CX25" t="s">
        <v>693</v>
      </c>
      <c r="CZ25" s="1">
        <v>41866</v>
      </c>
      <c r="DA25">
        <v>0</v>
      </c>
      <c r="DD25" t="s">
        <v>553</v>
      </c>
      <c r="DF25">
        <v>13</v>
      </c>
      <c r="DG25">
        <v>23</v>
      </c>
      <c r="DJ25" t="s">
        <v>676</v>
      </c>
      <c r="DL25">
        <v>50504</v>
      </c>
      <c r="DM25" t="s">
        <v>677</v>
      </c>
      <c r="DO25" t="s">
        <v>694</v>
      </c>
      <c r="DP25">
        <v>0</v>
      </c>
      <c r="DQ25">
        <v>0</v>
      </c>
      <c r="DR25" t="s">
        <v>411</v>
      </c>
      <c r="DS25" t="s">
        <v>695</v>
      </c>
      <c r="EJ25">
        <v>0</v>
      </c>
      <c r="EK25">
        <v>0</v>
      </c>
      <c r="EP25" t="s">
        <v>421</v>
      </c>
      <c r="EQ25" t="s">
        <v>422</v>
      </c>
      <c r="ER25">
        <v>0</v>
      </c>
      <c r="ES25">
        <v>4</v>
      </c>
      <c r="ET25">
        <v>0</v>
      </c>
      <c r="EU25">
        <v>0</v>
      </c>
      <c r="EV25">
        <v>0</v>
      </c>
      <c r="EW25" s="2">
        <v>43222</v>
      </c>
      <c r="EX25" s="1">
        <v>42151</v>
      </c>
      <c r="EY25">
        <v>2014</v>
      </c>
      <c r="EZ25">
        <v>240.63</v>
      </c>
      <c r="FA25" t="s">
        <v>696</v>
      </c>
      <c r="FB25">
        <v>4.75</v>
      </c>
      <c r="FC25" t="s">
        <v>424</v>
      </c>
      <c r="FD25" t="s">
        <v>425</v>
      </c>
      <c r="FE25" s="1">
        <v>42316</v>
      </c>
      <c r="FF25">
        <v>6</v>
      </c>
      <c r="FG25">
        <v>4844951</v>
      </c>
      <c r="FH25" t="s">
        <v>697</v>
      </c>
      <c r="FJ25" s="1">
        <v>41052</v>
      </c>
      <c r="FK25">
        <v>2011</v>
      </c>
      <c r="FL25">
        <v>1235.0899999999999</v>
      </c>
      <c r="FM25" t="s">
        <v>698</v>
      </c>
      <c r="FN25">
        <v>4.75</v>
      </c>
      <c r="FO25" t="s">
        <v>424</v>
      </c>
      <c r="FP25" t="s">
        <v>425</v>
      </c>
      <c r="FQ25" s="1">
        <v>41208</v>
      </c>
      <c r="FR25">
        <v>5</v>
      </c>
      <c r="FS25">
        <v>10125</v>
      </c>
      <c r="FT25" t="s">
        <v>440</v>
      </c>
      <c r="FV25" s="1">
        <v>40688</v>
      </c>
      <c r="FW25">
        <v>2010</v>
      </c>
      <c r="FX25">
        <v>857.02</v>
      </c>
      <c r="FY25" t="s">
        <v>699</v>
      </c>
      <c r="FZ25">
        <v>8.25</v>
      </c>
      <c r="GA25" t="s">
        <v>424</v>
      </c>
      <c r="GB25" t="s">
        <v>425</v>
      </c>
      <c r="GC25" s="1">
        <v>41208</v>
      </c>
      <c r="GD25">
        <v>17</v>
      </c>
      <c r="GE25">
        <v>15175</v>
      </c>
      <c r="GF25" t="s">
        <v>588</v>
      </c>
      <c r="GH25" s="1">
        <v>40688</v>
      </c>
      <c r="GI25">
        <v>2010</v>
      </c>
      <c r="GJ25">
        <v>857.02</v>
      </c>
      <c r="GK25" t="s">
        <v>699</v>
      </c>
      <c r="GL25">
        <v>8.25</v>
      </c>
      <c r="GM25" t="s">
        <v>424</v>
      </c>
      <c r="GN25" t="s">
        <v>425</v>
      </c>
      <c r="GP25">
        <v>22</v>
      </c>
      <c r="GQ25">
        <v>10548</v>
      </c>
      <c r="GR25" t="s">
        <v>589</v>
      </c>
    </row>
    <row r="26" spans="1:260" x14ac:dyDescent="0.25">
      <c r="A26">
        <v>16485033</v>
      </c>
      <c r="B26">
        <v>25</v>
      </c>
      <c r="C26" t="s">
        <v>393</v>
      </c>
      <c r="D26" t="s">
        <v>394</v>
      </c>
      <c r="F26" t="str">
        <f>"23-1N-23-034D-0037-0000"</f>
        <v>23-1N-23-034D-0037-0000</v>
      </c>
      <c r="H26" t="str">
        <f>"MARRERO JOSE R &amp; HERNANDEZ OLGA M (H&amp;W)"</f>
        <v>MARRERO JOSE R &amp; HERNANDEZ OLGA M (H&amp;W)</v>
      </c>
      <c r="I26" t="str">
        <f>"5629 SR 16 WEST"</f>
        <v>5629 SR 16 WEST</v>
      </c>
      <c r="J26" t="str">
        <f>"STARKE FL 32091"</f>
        <v>STARKE FL 32091</v>
      </c>
      <c r="K26" t="str">
        <f>"DUNROVEN DR"</f>
        <v>DUNROVEN DR</v>
      </c>
      <c r="L26" t="str">
        <f t="shared" si="7"/>
        <v>BRYCEVILLE FL 32009</v>
      </c>
      <c r="M26" t="str">
        <f>"PT LOTS 37 87 &amp; 88 IN OR 1957/244 DEEP CREEK PLANTATION PBK 7/239"</f>
        <v>PT LOTS 37 87 &amp; 88 IN OR 1957/244 DEEP CREEK PLANTATION PBK 7/239</v>
      </c>
      <c r="N26" t="str">
        <f>""</f>
        <v/>
      </c>
      <c r="O26" t="str">
        <f>"33850"</f>
        <v>33850</v>
      </c>
      <c r="P26" t="str">
        <f t="shared" si="2"/>
        <v>2017</v>
      </c>
      <c r="Q26" t="str">
        <f>""</f>
        <v/>
      </c>
      <c r="R26" t="str">
        <f t="shared" si="8"/>
        <v>N</v>
      </c>
      <c r="S26" t="str">
        <f>"11.84"</f>
        <v>11.84</v>
      </c>
      <c r="T26" t="str">
        <f>"715.57"</f>
        <v>715.57</v>
      </c>
      <c r="U26" t="str">
        <f>"47267.00"</f>
        <v>47267.00</v>
      </c>
      <c r="V26" t="str">
        <f>"47267.00"</f>
        <v>47267.00</v>
      </c>
      <c r="W26" t="str">
        <f t="shared" si="3"/>
        <v>2017</v>
      </c>
      <c r="X26" t="str">
        <f>"11.50"</f>
        <v>11.50</v>
      </c>
      <c r="Y26" t="str">
        <f>"582.20"</f>
        <v>582.20</v>
      </c>
      <c r="Z26" t="str">
        <f>""</f>
        <v/>
      </c>
      <c r="AA26" t="str">
        <f>"47267.00"</f>
        <v>47267.00</v>
      </c>
      <c r="AB26" t="str">
        <f t="shared" si="9"/>
        <v>Residential</v>
      </c>
      <c r="AC26" t="str">
        <f t="shared" si="4"/>
        <v>0</v>
      </c>
      <c r="AD26" t="str">
        <f>""</f>
        <v/>
      </c>
      <c r="AE26" t="str">
        <f>""</f>
        <v/>
      </c>
      <c r="AF26" t="str">
        <f t="shared" si="10"/>
        <v>000</v>
      </c>
      <c r="AG26" t="str">
        <f t="shared" si="11"/>
        <v>FL</v>
      </c>
      <c r="AH26" t="str">
        <f>"515750.00"</f>
        <v>515750.00</v>
      </c>
      <c r="AI26" t="str">
        <f>"47267.00"</f>
        <v>47267.00</v>
      </c>
      <c r="AJ26" t="str">
        <f>"C55-000-988-1838-8"</f>
        <v>C55-000-988-1838-8</v>
      </c>
      <c r="AK26" t="str">
        <f>"288"</f>
        <v>288</v>
      </c>
      <c r="AL26">
        <v>1</v>
      </c>
      <c r="AM26">
        <v>30</v>
      </c>
      <c r="AN26">
        <v>609.71</v>
      </c>
      <c r="AQ26" t="s">
        <v>700</v>
      </c>
      <c r="AR26" t="s">
        <v>700</v>
      </c>
      <c r="AS26" t="s">
        <v>700</v>
      </c>
      <c r="AU26" t="s">
        <v>396</v>
      </c>
      <c r="AV26">
        <v>2017</v>
      </c>
      <c r="AW26" t="str">
        <f>"23-1N-23-034D-0037-0000 "</f>
        <v xml:space="preserve">23-1N-23-034D-0037-0000 </v>
      </c>
      <c r="AZ26" t="s">
        <v>701</v>
      </c>
      <c r="BA26" t="s">
        <v>669</v>
      </c>
      <c r="BD26" t="s">
        <v>553</v>
      </c>
      <c r="BE26" t="s">
        <v>393</v>
      </c>
      <c r="BF26">
        <v>32009</v>
      </c>
      <c r="BG26" t="s">
        <v>702</v>
      </c>
      <c r="BH26" t="s">
        <v>555</v>
      </c>
      <c r="BI26">
        <v>-82.014725034713095</v>
      </c>
      <c r="BJ26">
        <v>30.4592912810032</v>
      </c>
      <c r="BK26" t="s">
        <v>703</v>
      </c>
      <c r="BL26" t="s">
        <v>704</v>
      </c>
      <c r="BM26" t="s">
        <v>705</v>
      </c>
      <c r="BN26" t="s">
        <v>706</v>
      </c>
      <c r="BO26">
        <v>32091</v>
      </c>
      <c r="BP26" t="s">
        <v>404</v>
      </c>
      <c r="BQ26">
        <v>0</v>
      </c>
      <c r="BR26" t="s">
        <v>491</v>
      </c>
      <c r="BS26">
        <v>8001</v>
      </c>
      <c r="BT26" t="s">
        <v>492</v>
      </c>
      <c r="BW26">
        <v>515750</v>
      </c>
      <c r="BX26" t="s">
        <v>407</v>
      </c>
      <c r="BY26" t="s">
        <v>408</v>
      </c>
      <c r="CD26">
        <v>2017</v>
      </c>
      <c r="CE26">
        <v>47267</v>
      </c>
      <c r="CG26">
        <v>47267</v>
      </c>
      <c r="CH26">
        <v>2017</v>
      </c>
      <c r="CI26">
        <v>47267</v>
      </c>
      <c r="CK26">
        <v>47267</v>
      </c>
      <c r="CL26">
        <v>2017</v>
      </c>
      <c r="CM26">
        <v>715.57</v>
      </c>
      <c r="CN26" s="1">
        <v>41947</v>
      </c>
      <c r="CO26">
        <v>59900</v>
      </c>
      <c r="CV26">
        <v>29900</v>
      </c>
      <c r="CX26" t="s">
        <v>707</v>
      </c>
      <c r="CZ26" s="1">
        <v>41947</v>
      </c>
      <c r="DA26">
        <v>0</v>
      </c>
      <c r="DD26" t="s">
        <v>553</v>
      </c>
      <c r="DG26">
        <v>23</v>
      </c>
      <c r="DJ26" t="s">
        <v>676</v>
      </c>
      <c r="DL26">
        <v>50504</v>
      </c>
      <c r="DM26" t="s">
        <v>677</v>
      </c>
      <c r="DO26" t="s">
        <v>708</v>
      </c>
      <c r="DP26">
        <v>0</v>
      </c>
      <c r="DQ26">
        <v>0</v>
      </c>
      <c r="DR26" t="s">
        <v>411</v>
      </c>
      <c r="EP26" t="s">
        <v>421</v>
      </c>
      <c r="EQ26" t="s">
        <v>422</v>
      </c>
      <c r="ER26">
        <v>0</v>
      </c>
      <c r="ES26">
        <v>4</v>
      </c>
      <c r="ET26">
        <v>0</v>
      </c>
      <c r="EU26">
        <v>0</v>
      </c>
      <c r="EV26">
        <v>0</v>
      </c>
      <c r="EW26" s="2">
        <v>43222</v>
      </c>
      <c r="EX26" s="1">
        <v>42879</v>
      </c>
      <c r="EY26">
        <v>2016</v>
      </c>
      <c r="EZ26">
        <v>811.73</v>
      </c>
      <c r="FA26" t="s">
        <v>709</v>
      </c>
      <c r="FB26">
        <v>0.25</v>
      </c>
      <c r="FC26" t="s">
        <v>424</v>
      </c>
      <c r="FD26" t="s">
        <v>425</v>
      </c>
      <c r="FE26" s="1">
        <v>42930</v>
      </c>
      <c r="FF26">
        <v>2</v>
      </c>
      <c r="FG26">
        <v>2851116</v>
      </c>
      <c r="FH26" t="s">
        <v>480</v>
      </c>
      <c r="FJ26" s="1">
        <v>42879</v>
      </c>
      <c r="FK26">
        <v>2016</v>
      </c>
      <c r="FL26">
        <v>811.73</v>
      </c>
      <c r="FM26" t="s">
        <v>709</v>
      </c>
      <c r="FN26">
        <v>0.25</v>
      </c>
      <c r="FO26" t="s">
        <v>424</v>
      </c>
      <c r="FP26" t="s">
        <v>425</v>
      </c>
      <c r="FR26">
        <v>22</v>
      </c>
      <c r="FS26">
        <v>5007417</v>
      </c>
      <c r="FT26" t="s">
        <v>710</v>
      </c>
      <c r="FV26" s="1">
        <v>41052</v>
      </c>
      <c r="FW26">
        <v>2011</v>
      </c>
      <c r="FX26">
        <v>1505.54</v>
      </c>
      <c r="FY26" t="s">
        <v>711</v>
      </c>
      <c r="FZ26">
        <v>4.75</v>
      </c>
      <c r="GA26" t="s">
        <v>424</v>
      </c>
      <c r="GB26" t="s">
        <v>425</v>
      </c>
      <c r="GC26" s="1">
        <v>41208</v>
      </c>
      <c r="GD26">
        <v>5</v>
      </c>
      <c r="GE26">
        <v>10125</v>
      </c>
      <c r="GF26" t="s">
        <v>440</v>
      </c>
      <c r="GH26" s="1">
        <v>40688</v>
      </c>
      <c r="GI26">
        <v>2010</v>
      </c>
      <c r="GJ26">
        <v>992.99</v>
      </c>
      <c r="GK26" t="s">
        <v>712</v>
      </c>
      <c r="GL26">
        <v>8</v>
      </c>
      <c r="GM26" t="s">
        <v>424</v>
      </c>
      <c r="GN26" t="s">
        <v>425</v>
      </c>
      <c r="GO26" s="1">
        <v>41208</v>
      </c>
      <c r="GP26">
        <v>17</v>
      </c>
      <c r="GQ26">
        <v>10562</v>
      </c>
      <c r="GR26" t="s">
        <v>713</v>
      </c>
    </row>
    <row r="27" spans="1:260" x14ac:dyDescent="0.25">
      <c r="A27">
        <v>16485034</v>
      </c>
      <c r="B27">
        <v>26</v>
      </c>
      <c r="C27" t="s">
        <v>393</v>
      </c>
      <c r="D27" t="s">
        <v>394</v>
      </c>
      <c r="F27" t="str">
        <f>"23-1N-23-034D-0039-0000"</f>
        <v>23-1N-23-034D-0039-0000</v>
      </c>
      <c r="H27" t="str">
        <f>"HERITAGE INVESTMENT CO LLC"</f>
        <v>HERITAGE INVESTMENT CO LLC</v>
      </c>
      <c r="I27" t="str">
        <f>"50 NORTH LAURA STREET SUITE 2850"</f>
        <v>50 NORTH LAURA STREET SUITE 2850</v>
      </c>
      <c r="J27" t="str">
        <f>"JACKSONVILLE FL 32202"</f>
        <v>JACKSONVILLE FL 32202</v>
      </c>
      <c r="K27" t="str">
        <f>"DUNROVEN DR"</f>
        <v>DUNROVEN DR</v>
      </c>
      <c r="L27" t="str">
        <f t="shared" si="7"/>
        <v>BRYCEVILLE FL 32009</v>
      </c>
      <c r="M27" t="str">
        <f>"LOT 39 IN OR 1544/1936 DEEP CREEK PLANTATION PB 7/239"</f>
        <v>LOT 39 IN OR 1544/1936 DEEP CREEK PLANTATION PB 7/239</v>
      </c>
      <c r="N27" t="str">
        <f>""</f>
        <v/>
      </c>
      <c r="O27" t="str">
        <f>"33852"</f>
        <v>33852</v>
      </c>
      <c r="P27" t="str">
        <f t="shared" si="2"/>
        <v>2017</v>
      </c>
      <c r="Q27" t="str">
        <f>""</f>
        <v/>
      </c>
      <c r="R27" t="str">
        <f t="shared" si="8"/>
        <v>N</v>
      </c>
      <c r="S27" t="str">
        <f>"6.15"</f>
        <v>6.15</v>
      </c>
      <c r="T27" t="str">
        <f>"358.77"</f>
        <v>358.77</v>
      </c>
      <c r="U27" t="str">
        <f>"12109.00"</f>
        <v>12109.00</v>
      </c>
      <c r="V27" t="str">
        <f>"12109.00"</f>
        <v>12109.00</v>
      </c>
      <c r="W27" t="str">
        <f t="shared" si="3"/>
        <v>2017</v>
      </c>
      <c r="X27" t="str">
        <f>"8.00"</f>
        <v>8.00</v>
      </c>
      <c r="Y27" t="str">
        <f>"401.53"</f>
        <v>401.53</v>
      </c>
      <c r="Z27" t="str">
        <f>""</f>
        <v/>
      </c>
      <c r="AA27" t="str">
        <f>"38700.00"</f>
        <v>38700.00</v>
      </c>
      <c r="AB27" t="str">
        <f t="shared" si="9"/>
        <v>Residential</v>
      </c>
      <c r="AC27" t="str">
        <f t="shared" si="4"/>
        <v>0</v>
      </c>
      <c r="AD27" t="str">
        <f>""</f>
        <v/>
      </c>
      <c r="AE27" t="str">
        <f>""</f>
        <v/>
      </c>
      <c r="AF27" t="str">
        <f t="shared" si="10"/>
        <v>000</v>
      </c>
      <c r="AG27" t="str">
        <f t="shared" si="11"/>
        <v>FL</v>
      </c>
      <c r="AH27" t="str">
        <f>"267894.00"</f>
        <v>267894.00</v>
      </c>
      <c r="AI27" t="str">
        <f>"38700.00"</f>
        <v>38700.00</v>
      </c>
      <c r="AJ27" t="str">
        <f>"C55-000-988-1840-4"</f>
        <v>C55-000-988-1840-4</v>
      </c>
      <c r="AK27" t="str">
        <f>"290"</f>
        <v>290</v>
      </c>
      <c r="AL27">
        <v>1</v>
      </c>
      <c r="AM27">
        <v>31</v>
      </c>
      <c r="AN27">
        <v>420.01</v>
      </c>
      <c r="AQ27" t="s">
        <v>714</v>
      </c>
      <c r="AR27" t="s">
        <v>714</v>
      </c>
      <c r="AS27" t="s">
        <v>714</v>
      </c>
      <c r="AU27" t="s">
        <v>396</v>
      </c>
      <c r="AV27">
        <v>2017</v>
      </c>
      <c r="AW27" t="str">
        <f>"23-1N-23-034D-0039-0000 "</f>
        <v xml:space="preserve">23-1N-23-034D-0039-0000 </v>
      </c>
      <c r="AZ27" t="s">
        <v>701</v>
      </c>
      <c r="BA27" t="s">
        <v>669</v>
      </c>
      <c r="BD27" t="s">
        <v>553</v>
      </c>
      <c r="BE27" t="s">
        <v>393</v>
      </c>
      <c r="BF27">
        <v>32009</v>
      </c>
      <c r="BG27" t="s">
        <v>702</v>
      </c>
      <c r="BH27" t="s">
        <v>555</v>
      </c>
      <c r="BI27">
        <v>-82.015325495731005</v>
      </c>
      <c r="BJ27">
        <v>30.460979196129301</v>
      </c>
      <c r="BK27" t="s">
        <v>715</v>
      </c>
      <c r="BM27" t="s">
        <v>716</v>
      </c>
      <c r="BN27" t="s">
        <v>548</v>
      </c>
      <c r="BO27">
        <v>32202</v>
      </c>
      <c r="BP27" t="s">
        <v>404</v>
      </c>
      <c r="BQ27">
        <v>0</v>
      </c>
      <c r="BR27" t="s">
        <v>491</v>
      </c>
      <c r="BS27">
        <v>8001</v>
      </c>
      <c r="BT27" t="s">
        <v>492</v>
      </c>
      <c r="BW27">
        <v>267894</v>
      </c>
      <c r="BX27" t="s">
        <v>407</v>
      </c>
      <c r="BY27" t="s">
        <v>408</v>
      </c>
      <c r="CD27">
        <v>2017</v>
      </c>
      <c r="CE27">
        <v>38700</v>
      </c>
      <c r="CG27">
        <v>38700</v>
      </c>
      <c r="CH27">
        <v>2017</v>
      </c>
      <c r="CI27">
        <v>38700</v>
      </c>
      <c r="CK27">
        <v>38700</v>
      </c>
      <c r="CL27">
        <v>2017</v>
      </c>
      <c r="CM27">
        <v>358.77</v>
      </c>
      <c r="CN27" s="1">
        <v>39454</v>
      </c>
      <c r="CO27">
        <v>133600</v>
      </c>
      <c r="CV27">
        <v>126920</v>
      </c>
      <c r="CX27" t="s">
        <v>675</v>
      </c>
      <c r="CZ27" s="1">
        <v>39454</v>
      </c>
      <c r="DA27">
        <v>0</v>
      </c>
      <c r="DD27" t="s">
        <v>553</v>
      </c>
      <c r="DF27">
        <v>39</v>
      </c>
      <c r="DG27">
        <v>23</v>
      </c>
      <c r="DJ27" t="s">
        <v>676</v>
      </c>
      <c r="DL27">
        <v>50504</v>
      </c>
      <c r="DM27" t="s">
        <v>677</v>
      </c>
      <c r="DO27" t="s">
        <v>717</v>
      </c>
      <c r="DP27">
        <v>0</v>
      </c>
      <c r="DQ27">
        <v>0</v>
      </c>
      <c r="DR27" t="s">
        <v>411</v>
      </c>
      <c r="DS27" t="b">
        <v>1</v>
      </c>
      <c r="DT27" t="s">
        <v>470</v>
      </c>
      <c r="DU27" t="s">
        <v>471</v>
      </c>
      <c r="DV27" t="s">
        <v>472</v>
      </c>
      <c r="DX27">
        <v>-9999</v>
      </c>
      <c r="DZ27" t="s">
        <v>447</v>
      </c>
      <c r="EA27" t="s">
        <v>448</v>
      </c>
      <c r="EB27" t="s">
        <v>561</v>
      </c>
      <c r="EC27">
        <v>20101217</v>
      </c>
      <c r="ED27" t="s">
        <v>474</v>
      </c>
      <c r="EF27">
        <v>130.80000000000001</v>
      </c>
      <c r="EG27">
        <v>130.80000000000001</v>
      </c>
      <c r="EI27">
        <v>20160407</v>
      </c>
      <c r="EJ27">
        <v>0</v>
      </c>
      <c r="EK27">
        <v>0</v>
      </c>
      <c r="EP27" t="s">
        <v>421</v>
      </c>
      <c r="EQ27" t="s">
        <v>422</v>
      </c>
      <c r="ER27">
        <v>1</v>
      </c>
      <c r="ES27">
        <v>2</v>
      </c>
      <c r="ET27">
        <v>413.23</v>
      </c>
      <c r="EU27">
        <v>33.11</v>
      </c>
      <c r="EV27">
        <v>446.34</v>
      </c>
      <c r="EW27" s="2">
        <v>43222</v>
      </c>
      <c r="EX27" s="1">
        <v>42879</v>
      </c>
      <c r="EY27">
        <v>2016</v>
      </c>
      <c r="EZ27">
        <v>413.23</v>
      </c>
      <c r="FA27" t="s">
        <v>718</v>
      </c>
      <c r="FB27">
        <v>6.5</v>
      </c>
      <c r="FC27" t="s">
        <v>424</v>
      </c>
      <c r="FD27" t="s">
        <v>454</v>
      </c>
      <c r="FF27">
        <v>12</v>
      </c>
      <c r="FG27">
        <v>10125</v>
      </c>
      <c r="FH27" t="s">
        <v>440</v>
      </c>
      <c r="FJ27" s="1">
        <v>42515</v>
      </c>
      <c r="FK27">
        <v>2015</v>
      </c>
      <c r="FL27">
        <v>414.15</v>
      </c>
      <c r="FM27" t="s">
        <v>719</v>
      </c>
      <c r="FN27">
        <v>5.75</v>
      </c>
      <c r="FO27" t="s">
        <v>424</v>
      </c>
      <c r="FP27" t="s">
        <v>425</v>
      </c>
      <c r="FQ27" s="1">
        <v>42655</v>
      </c>
      <c r="FR27">
        <v>5</v>
      </c>
      <c r="FS27">
        <v>2035919</v>
      </c>
      <c r="FT27" t="s">
        <v>507</v>
      </c>
      <c r="FV27" s="1">
        <v>41787</v>
      </c>
      <c r="FW27">
        <v>2013</v>
      </c>
      <c r="FX27">
        <v>169.16</v>
      </c>
      <c r="FY27" t="s">
        <v>720</v>
      </c>
      <c r="FZ27">
        <v>15.75</v>
      </c>
      <c r="GA27" t="s">
        <v>424</v>
      </c>
      <c r="GB27" t="s">
        <v>425</v>
      </c>
      <c r="GC27" s="1">
        <v>42114</v>
      </c>
      <c r="GD27">
        <v>11</v>
      </c>
      <c r="GE27">
        <v>3039821</v>
      </c>
      <c r="GF27" t="s">
        <v>721</v>
      </c>
    </row>
    <row r="28" spans="1:260" x14ac:dyDescent="0.25">
      <c r="A28">
        <v>16485035</v>
      </c>
      <c r="B28">
        <v>27</v>
      </c>
      <c r="C28" t="s">
        <v>393</v>
      </c>
      <c r="D28" t="s">
        <v>394</v>
      </c>
      <c r="F28" t="str">
        <f>"23-1N-23-034D-0062-0000"</f>
        <v>23-1N-23-034D-0062-0000</v>
      </c>
      <c r="H28" t="str">
        <f>"SCHULZE WALTER W III &amp; SANDRA"</f>
        <v>SCHULZE WALTER W III &amp; SANDRA</v>
      </c>
      <c r="I28" t="str">
        <f>"1400 NE 57TH CT"</f>
        <v>1400 NE 57TH CT</v>
      </c>
      <c r="J28" t="str">
        <f>"FT LAUDERDALE FL 33334"</f>
        <v>FT LAUDERDALE FL 33334</v>
      </c>
      <c r="K28" t="str">
        <f>"DEACON DR"</f>
        <v>DEACON DR</v>
      </c>
      <c r="L28" t="str">
        <f t="shared" si="7"/>
        <v>BRYCEVILLE FL 32009</v>
      </c>
      <c r="M28" t="str">
        <f>"LOT 62 IN OR 1943/1250 DEEP CREEK PLANTATION PB 7/239"</f>
        <v>LOT 62 IN OR 1943/1250 DEEP CREEK PLANTATION PB 7/239</v>
      </c>
      <c r="N28" t="str">
        <f>""</f>
        <v/>
      </c>
      <c r="O28" t="str">
        <f>"33875"</f>
        <v>33875</v>
      </c>
      <c r="P28" t="str">
        <f t="shared" si="2"/>
        <v>2017</v>
      </c>
      <c r="Q28" t="str">
        <f>""</f>
        <v/>
      </c>
      <c r="R28" t="str">
        <f t="shared" si="8"/>
        <v>N</v>
      </c>
      <c r="S28" t="str">
        <f>"8.14"</f>
        <v>8.14</v>
      </c>
      <c r="T28" t="str">
        <f>"642.55"</f>
        <v>642.55</v>
      </c>
      <c r="U28" t="str">
        <f>"42444.00"</f>
        <v>42444.00</v>
      </c>
      <c r="V28" t="str">
        <f>"42444.00"</f>
        <v>42444.00</v>
      </c>
      <c r="W28" t="str">
        <f t="shared" si="3"/>
        <v>2017</v>
      </c>
      <c r="X28" t="str">
        <f>"14.67"</f>
        <v>14.67</v>
      </c>
      <c r="Y28" t="str">
        <f>"693.83"</f>
        <v>693.83</v>
      </c>
      <c r="Z28" t="str">
        <f>""</f>
        <v/>
      </c>
      <c r="AA28" t="str">
        <f>"42444.00"</f>
        <v>42444.00</v>
      </c>
      <c r="AB28" t="str">
        <f t="shared" si="9"/>
        <v>Residential</v>
      </c>
      <c r="AC28" t="str">
        <f t="shared" si="4"/>
        <v>0</v>
      </c>
      <c r="AD28" t="str">
        <f>""</f>
        <v/>
      </c>
      <c r="AE28" t="str">
        <f>""</f>
        <v/>
      </c>
      <c r="AF28" t="str">
        <f t="shared" si="10"/>
        <v>000</v>
      </c>
      <c r="AG28" t="str">
        <f t="shared" si="11"/>
        <v>FL</v>
      </c>
      <c r="AH28" t="str">
        <f>"354578.00"</f>
        <v>354578.00</v>
      </c>
      <c r="AI28" t="str">
        <f>"42444.00"</f>
        <v>42444.00</v>
      </c>
      <c r="AJ28" t="str">
        <f>"C55-000-988-1863-6"</f>
        <v>C55-000-988-1863-6</v>
      </c>
      <c r="AK28" t="str">
        <f>"313"</f>
        <v>313</v>
      </c>
      <c r="AL28">
        <v>1</v>
      </c>
      <c r="AM28">
        <v>33</v>
      </c>
      <c r="AN28">
        <v>726.92</v>
      </c>
      <c r="AQ28" t="s">
        <v>722</v>
      </c>
      <c r="AR28" t="s">
        <v>722</v>
      </c>
      <c r="AS28" t="s">
        <v>722</v>
      </c>
      <c r="AU28" t="s">
        <v>396</v>
      </c>
      <c r="AV28">
        <v>2017</v>
      </c>
      <c r="AW28" t="str">
        <f>"23-1N-23-034D-0062-0000 "</f>
        <v xml:space="preserve">23-1N-23-034D-0062-0000 </v>
      </c>
      <c r="AZ28" t="s">
        <v>723</v>
      </c>
      <c r="BA28" t="s">
        <v>669</v>
      </c>
      <c r="BD28" t="s">
        <v>553</v>
      </c>
      <c r="BE28" t="s">
        <v>393</v>
      </c>
      <c r="BF28">
        <v>32009</v>
      </c>
      <c r="BG28" t="s">
        <v>724</v>
      </c>
      <c r="BH28" t="s">
        <v>555</v>
      </c>
      <c r="BI28">
        <v>-82.007603060571</v>
      </c>
      <c r="BJ28">
        <v>30.469437411325799</v>
      </c>
      <c r="BK28" t="s">
        <v>725</v>
      </c>
      <c r="BL28" t="s">
        <v>726</v>
      </c>
      <c r="BM28" t="s">
        <v>727</v>
      </c>
      <c r="BN28" t="s">
        <v>728</v>
      </c>
      <c r="BO28">
        <v>33334</v>
      </c>
      <c r="BP28" t="s">
        <v>404</v>
      </c>
      <c r="BQ28">
        <v>0</v>
      </c>
      <c r="BR28" t="s">
        <v>491</v>
      </c>
      <c r="BS28">
        <v>8001</v>
      </c>
      <c r="BT28" t="s">
        <v>492</v>
      </c>
      <c r="BW28">
        <v>354578</v>
      </c>
      <c r="BX28" t="s">
        <v>407</v>
      </c>
      <c r="BY28" t="s">
        <v>408</v>
      </c>
      <c r="CD28">
        <v>2017</v>
      </c>
      <c r="CE28">
        <v>42444</v>
      </c>
      <c r="CG28">
        <v>42444</v>
      </c>
      <c r="CH28">
        <v>2017</v>
      </c>
      <c r="CI28">
        <v>42444</v>
      </c>
      <c r="CK28">
        <v>42444</v>
      </c>
      <c r="CL28">
        <v>2017</v>
      </c>
      <c r="CM28">
        <v>642.54999999999995</v>
      </c>
      <c r="CN28" s="1">
        <v>41935</v>
      </c>
      <c r="CO28">
        <v>54900</v>
      </c>
      <c r="CV28">
        <v>43920</v>
      </c>
      <c r="CX28" t="s">
        <v>707</v>
      </c>
      <c r="CZ28" s="1">
        <v>41935</v>
      </c>
      <c r="DA28">
        <v>0</v>
      </c>
      <c r="DD28" t="s">
        <v>553</v>
      </c>
      <c r="DF28">
        <v>62</v>
      </c>
      <c r="DG28">
        <v>23</v>
      </c>
      <c r="DJ28" t="s">
        <v>676</v>
      </c>
      <c r="DM28" t="s">
        <v>677</v>
      </c>
      <c r="DO28" t="s">
        <v>729</v>
      </c>
      <c r="DP28">
        <v>0</v>
      </c>
      <c r="DQ28">
        <v>0</v>
      </c>
      <c r="DR28" t="s">
        <v>411</v>
      </c>
      <c r="EP28" t="s">
        <v>421</v>
      </c>
      <c r="EQ28" t="s">
        <v>422</v>
      </c>
      <c r="ER28">
        <v>0</v>
      </c>
      <c r="ES28">
        <v>3</v>
      </c>
      <c r="ET28">
        <v>0</v>
      </c>
      <c r="EU28">
        <v>0</v>
      </c>
      <c r="EV28">
        <v>0</v>
      </c>
      <c r="EW28" s="2">
        <v>43222</v>
      </c>
      <c r="EX28" s="1">
        <v>41052</v>
      </c>
      <c r="EY28">
        <v>2011</v>
      </c>
      <c r="EZ28">
        <v>478.7</v>
      </c>
      <c r="FA28" t="s">
        <v>730</v>
      </c>
      <c r="FB28">
        <v>4.75</v>
      </c>
      <c r="FC28" t="s">
        <v>424</v>
      </c>
      <c r="FD28" t="s">
        <v>425</v>
      </c>
      <c r="FE28" s="1">
        <v>41208</v>
      </c>
      <c r="FF28">
        <v>5</v>
      </c>
      <c r="FG28">
        <v>10125</v>
      </c>
      <c r="FH28" t="s">
        <v>440</v>
      </c>
      <c r="FJ28" s="1">
        <v>40688</v>
      </c>
      <c r="FK28">
        <v>2010</v>
      </c>
      <c r="FL28">
        <v>563.04</v>
      </c>
      <c r="FM28" t="s">
        <v>731</v>
      </c>
      <c r="FN28">
        <v>8.25</v>
      </c>
      <c r="FO28" t="s">
        <v>424</v>
      </c>
      <c r="FP28" t="s">
        <v>425</v>
      </c>
      <c r="FQ28" s="1">
        <v>41208</v>
      </c>
      <c r="FR28">
        <v>17</v>
      </c>
      <c r="FS28">
        <v>15175</v>
      </c>
      <c r="FT28" t="s">
        <v>588</v>
      </c>
      <c r="FV28" s="1">
        <v>40688</v>
      </c>
      <c r="FW28">
        <v>2010</v>
      </c>
      <c r="FX28">
        <v>563.04</v>
      </c>
      <c r="FY28" t="s">
        <v>731</v>
      </c>
      <c r="FZ28">
        <v>8.25</v>
      </c>
      <c r="GA28" t="s">
        <v>424</v>
      </c>
      <c r="GB28" t="s">
        <v>425</v>
      </c>
      <c r="GD28">
        <v>22</v>
      </c>
      <c r="GE28">
        <v>10548</v>
      </c>
      <c r="GF28" t="s">
        <v>589</v>
      </c>
    </row>
    <row r="29" spans="1:260" x14ac:dyDescent="0.25">
      <c r="A29">
        <v>16485036</v>
      </c>
      <c r="B29">
        <v>28</v>
      </c>
      <c r="C29" t="s">
        <v>393</v>
      </c>
      <c r="D29" t="s">
        <v>394</v>
      </c>
      <c r="F29" t="str">
        <f>"23-1N-23-034D-0069-0000"</f>
        <v>23-1N-23-034D-0069-0000</v>
      </c>
      <c r="H29" t="str">
        <f>"GOLDEN PHILIP G &amp; MCNEILLY REBECCA C (JT/RS)"</f>
        <v>GOLDEN PHILIP G &amp; MCNEILLY REBECCA C (JT/RS)</v>
      </c>
      <c r="I29" t="str">
        <f>"20608 NW STATE ROAD 16"</f>
        <v>20608 NW STATE ROAD 16</v>
      </c>
      <c r="J29" t="str">
        <f>"STARKE FL 32091"</f>
        <v>STARKE FL 32091</v>
      </c>
      <c r="K29" t="str">
        <f>"DEACON DR"</f>
        <v>DEACON DR</v>
      </c>
      <c r="L29" t="str">
        <f t="shared" si="7"/>
        <v>BRYCEVILLE FL 32009</v>
      </c>
      <c r="M29" t="str">
        <f>"LOT 69 IN OR 1910/1126 DEEP CREEK PLANTATION PB 7/239"</f>
        <v>LOT 69 IN OR 1910/1126 DEEP CREEK PLANTATION PB 7/239</v>
      </c>
      <c r="N29" t="str">
        <f>""</f>
        <v/>
      </c>
      <c r="O29" t="str">
        <f>"33882"</f>
        <v>33882</v>
      </c>
      <c r="P29" t="str">
        <f t="shared" si="2"/>
        <v>2017</v>
      </c>
      <c r="Q29" t="str">
        <f>""</f>
        <v/>
      </c>
      <c r="R29" t="str">
        <f t="shared" si="8"/>
        <v>N</v>
      </c>
      <c r="S29" t="str">
        <f>"5.42"</f>
        <v>5.42</v>
      </c>
      <c r="T29" t="str">
        <f>"656.43"</f>
        <v>656.43</v>
      </c>
      <c r="U29" t="str">
        <f>"43360.00"</f>
        <v>43360.00</v>
      </c>
      <c r="V29" t="str">
        <f>"43360.00"</f>
        <v>43360.00</v>
      </c>
      <c r="W29" t="str">
        <f t="shared" si="3"/>
        <v>2017</v>
      </c>
      <c r="X29" t="str">
        <f>"14.67"</f>
        <v>14.67</v>
      </c>
      <c r="Y29" t="str">
        <f>"708.12"</f>
        <v>708.12</v>
      </c>
      <c r="Z29" t="str">
        <f>""</f>
        <v/>
      </c>
      <c r="AA29" t="str">
        <f>"43360.00"</f>
        <v>43360.00</v>
      </c>
      <c r="AB29" t="str">
        <f t="shared" si="9"/>
        <v>Residential</v>
      </c>
      <c r="AC29" t="str">
        <f t="shared" si="4"/>
        <v>0</v>
      </c>
      <c r="AD29" t="str">
        <f>""</f>
        <v/>
      </c>
      <c r="AE29" t="str">
        <f>""</f>
        <v/>
      </c>
      <c r="AF29" t="str">
        <f t="shared" si="10"/>
        <v>000</v>
      </c>
      <c r="AG29" t="str">
        <f t="shared" si="11"/>
        <v>FL</v>
      </c>
      <c r="AH29" t="str">
        <f>"236095.00"</f>
        <v>236095.00</v>
      </c>
      <c r="AI29" t="str">
        <f>"43360.00"</f>
        <v>43360.00</v>
      </c>
      <c r="AJ29" t="str">
        <f>"C55-000-988-1870-1"</f>
        <v>C55-000-988-1870-1</v>
      </c>
      <c r="AK29" t="str">
        <f>"320"</f>
        <v>320</v>
      </c>
      <c r="AL29">
        <v>1</v>
      </c>
      <c r="AM29">
        <v>34</v>
      </c>
      <c r="AN29">
        <v>741.93</v>
      </c>
      <c r="AQ29" t="s">
        <v>732</v>
      </c>
      <c r="AR29" t="s">
        <v>732</v>
      </c>
      <c r="AS29" t="s">
        <v>732</v>
      </c>
      <c r="AU29" t="s">
        <v>396</v>
      </c>
      <c r="AV29">
        <v>2017</v>
      </c>
      <c r="AW29" t="str">
        <f>"23-1N-23-034D-0069-0000 "</f>
        <v xml:space="preserve">23-1N-23-034D-0069-0000 </v>
      </c>
      <c r="AZ29" t="s">
        <v>723</v>
      </c>
      <c r="BA29" t="s">
        <v>669</v>
      </c>
      <c r="BD29" t="s">
        <v>553</v>
      </c>
      <c r="BE29" t="s">
        <v>393</v>
      </c>
      <c r="BF29">
        <v>32009</v>
      </c>
      <c r="BG29" t="s">
        <v>724</v>
      </c>
      <c r="BH29" t="s">
        <v>555</v>
      </c>
      <c r="BI29">
        <v>-82.012158512151501</v>
      </c>
      <c r="BJ29">
        <v>30.465918172096099</v>
      </c>
      <c r="BK29" t="s">
        <v>733</v>
      </c>
      <c r="BM29" t="s">
        <v>734</v>
      </c>
      <c r="BN29" t="s">
        <v>706</v>
      </c>
      <c r="BO29">
        <v>32091</v>
      </c>
      <c r="BP29" t="s">
        <v>404</v>
      </c>
      <c r="BQ29">
        <v>0</v>
      </c>
      <c r="BR29" t="s">
        <v>491</v>
      </c>
      <c r="BS29">
        <v>8001</v>
      </c>
      <c r="BT29" t="s">
        <v>492</v>
      </c>
      <c r="BW29">
        <v>236095</v>
      </c>
      <c r="BX29" t="s">
        <v>407</v>
      </c>
      <c r="BY29" t="s">
        <v>408</v>
      </c>
      <c r="CD29">
        <v>2017</v>
      </c>
      <c r="CE29">
        <v>43360</v>
      </c>
      <c r="CG29">
        <v>43360</v>
      </c>
      <c r="CH29">
        <v>2017</v>
      </c>
      <c r="CI29">
        <v>43360</v>
      </c>
      <c r="CK29">
        <v>43360</v>
      </c>
      <c r="CL29">
        <v>2017</v>
      </c>
      <c r="CM29">
        <v>656.43</v>
      </c>
      <c r="CN29" s="1">
        <v>41732</v>
      </c>
      <c r="CO29">
        <v>59999</v>
      </c>
      <c r="CV29">
        <v>0</v>
      </c>
      <c r="CZ29" s="1">
        <v>41732</v>
      </c>
      <c r="DA29">
        <v>0</v>
      </c>
      <c r="DD29" t="s">
        <v>553</v>
      </c>
      <c r="DF29">
        <v>69</v>
      </c>
      <c r="DG29">
        <v>23</v>
      </c>
      <c r="DJ29" t="s">
        <v>676</v>
      </c>
      <c r="DM29" t="s">
        <v>677</v>
      </c>
      <c r="DO29" t="s">
        <v>735</v>
      </c>
      <c r="DP29">
        <v>0</v>
      </c>
      <c r="DQ29">
        <v>0</v>
      </c>
      <c r="DR29" t="s">
        <v>411</v>
      </c>
      <c r="EP29" t="s">
        <v>421</v>
      </c>
      <c r="EQ29" t="s">
        <v>422</v>
      </c>
      <c r="ER29">
        <v>0</v>
      </c>
      <c r="ES29">
        <v>3</v>
      </c>
      <c r="ET29">
        <v>0</v>
      </c>
      <c r="EU29">
        <v>0</v>
      </c>
      <c r="EV29">
        <v>0</v>
      </c>
      <c r="EW29" s="2">
        <v>43222</v>
      </c>
      <c r="EX29" s="1">
        <v>41052</v>
      </c>
      <c r="EY29">
        <v>2011</v>
      </c>
      <c r="EZ29">
        <v>1097.47</v>
      </c>
      <c r="FA29" t="s">
        <v>736</v>
      </c>
      <c r="FB29">
        <v>4.75</v>
      </c>
      <c r="FC29" t="s">
        <v>424</v>
      </c>
      <c r="FD29" t="s">
        <v>425</v>
      </c>
      <c r="FE29" s="1">
        <v>41208</v>
      </c>
      <c r="FF29">
        <v>5</v>
      </c>
      <c r="FG29">
        <v>10125</v>
      </c>
      <c r="FH29" t="s">
        <v>440</v>
      </c>
      <c r="FJ29" s="1">
        <v>40688</v>
      </c>
      <c r="FK29">
        <v>2010</v>
      </c>
      <c r="FL29">
        <v>836.12</v>
      </c>
      <c r="FM29" t="s">
        <v>737</v>
      </c>
      <c r="FN29">
        <v>8.25</v>
      </c>
      <c r="FO29" t="s">
        <v>424</v>
      </c>
      <c r="FP29" t="s">
        <v>425</v>
      </c>
      <c r="FQ29" s="1">
        <v>41208</v>
      </c>
      <c r="FR29">
        <v>17</v>
      </c>
      <c r="FS29">
        <v>15175</v>
      </c>
      <c r="FT29" t="s">
        <v>588</v>
      </c>
      <c r="FV29" s="1">
        <v>40688</v>
      </c>
      <c r="FW29">
        <v>2010</v>
      </c>
      <c r="FX29">
        <v>836.12</v>
      </c>
      <c r="FY29" t="s">
        <v>737</v>
      </c>
      <c r="FZ29">
        <v>8.25</v>
      </c>
      <c r="GA29" t="s">
        <v>424</v>
      </c>
      <c r="GB29" t="s">
        <v>425</v>
      </c>
      <c r="GD29">
        <v>22</v>
      </c>
      <c r="GE29">
        <v>10548</v>
      </c>
      <c r="GF29" t="s">
        <v>589</v>
      </c>
    </row>
    <row r="30" spans="1:260" x14ac:dyDescent="0.25">
      <c r="A30">
        <v>16485037</v>
      </c>
      <c r="B30">
        <v>29</v>
      </c>
      <c r="C30" t="s">
        <v>393</v>
      </c>
      <c r="D30" t="s">
        <v>394</v>
      </c>
      <c r="F30" t="str">
        <f>"23-1N-23-034D-0082-0000"</f>
        <v>23-1N-23-034D-0082-0000</v>
      </c>
      <c r="H30" t="str">
        <f>"COX GROVER CLEVELAND &amp; EVA M"</f>
        <v>COX GROVER CLEVELAND &amp; EVA M</v>
      </c>
      <c r="I30" t="str">
        <f>"8007 HASTINGS ST"</f>
        <v>8007 HASTINGS ST</v>
      </c>
      <c r="J30" t="str">
        <f>"JACKSONVILLE FL 32220"</f>
        <v>JACKSONVILLE FL 32220</v>
      </c>
      <c r="K30" t="str">
        <f>"DEEP CREEK DR"</f>
        <v>DEEP CREEK DR</v>
      </c>
      <c r="L30" t="str">
        <f t="shared" si="7"/>
        <v>BRYCEVILLE FL 32009</v>
      </c>
      <c r="M30" t="str">
        <f>"LOT 82 IN OR 1926/203 DEEP CREEK PLANTATION PB 7/239"</f>
        <v>LOT 82 IN OR 1926/203 DEEP CREEK PLANTATION PB 7/239</v>
      </c>
      <c r="N30" t="str">
        <f>""</f>
        <v/>
      </c>
      <c r="O30" t="str">
        <f>"33895"</f>
        <v>33895</v>
      </c>
      <c r="P30" t="str">
        <f t="shared" si="2"/>
        <v>2017</v>
      </c>
      <c r="Q30" t="str">
        <f>""</f>
        <v/>
      </c>
      <c r="R30" t="str">
        <f t="shared" si="8"/>
        <v>N</v>
      </c>
      <c r="S30" t="str">
        <f>"5.64"</f>
        <v>5.64</v>
      </c>
      <c r="T30" t="str">
        <f>"561.35"</f>
        <v>561.35</v>
      </c>
      <c r="U30" t="str">
        <f>"37080.00"</f>
        <v>37080.00</v>
      </c>
      <c r="V30" t="str">
        <f>"37080.00"</f>
        <v>37080.00</v>
      </c>
      <c r="W30" t="str">
        <f t="shared" si="3"/>
        <v>2017</v>
      </c>
      <c r="X30" t="str">
        <f>"11.25"</f>
        <v>11.25</v>
      </c>
      <c r="Y30" t="str">
        <f>"610.19"</f>
        <v>610.19</v>
      </c>
      <c r="Z30" t="str">
        <f>""</f>
        <v/>
      </c>
      <c r="AA30" t="str">
        <f>"37080.00"</f>
        <v>37080.00</v>
      </c>
      <c r="AB30" t="str">
        <f t="shared" si="9"/>
        <v>Residential</v>
      </c>
      <c r="AC30" t="str">
        <f t="shared" si="4"/>
        <v>0</v>
      </c>
      <c r="AD30" t="str">
        <f>""</f>
        <v/>
      </c>
      <c r="AE30" t="str">
        <f>""</f>
        <v/>
      </c>
      <c r="AF30" t="str">
        <f t="shared" si="10"/>
        <v>000</v>
      </c>
      <c r="AG30" t="str">
        <f t="shared" si="11"/>
        <v>FL</v>
      </c>
      <c r="AH30" t="str">
        <f>"245678.00"</f>
        <v>245678.00</v>
      </c>
      <c r="AI30" t="str">
        <f>"37080.00"</f>
        <v>37080.00</v>
      </c>
      <c r="AJ30" t="str">
        <f>"C55-000-988-1883-4"</f>
        <v>C55-000-988-1883-4</v>
      </c>
      <c r="AK30" t="str">
        <f>"333"</f>
        <v>333</v>
      </c>
      <c r="AL30">
        <v>1</v>
      </c>
      <c r="AM30">
        <v>35</v>
      </c>
      <c r="AN30">
        <v>639.1</v>
      </c>
      <c r="AQ30" t="s">
        <v>738</v>
      </c>
      <c r="AR30" t="s">
        <v>738</v>
      </c>
      <c r="AS30" t="s">
        <v>738</v>
      </c>
      <c r="AU30" t="s">
        <v>396</v>
      </c>
      <c r="AV30">
        <v>2017</v>
      </c>
      <c r="AW30" t="str">
        <f>"23-1N-23-034D-0082-0000 "</f>
        <v xml:space="preserve">23-1N-23-034D-0082-0000 </v>
      </c>
      <c r="AZ30" t="s">
        <v>668</v>
      </c>
      <c r="BA30" t="s">
        <v>669</v>
      </c>
      <c r="BD30" t="s">
        <v>553</v>
      </c>
      <c r="BE30" t="s">
        <v>393</v>
      </c>
      <c r="BF30">
        <v>32009</v>
      </c>
      <c r="BG30" t="s">
        <v>670</v>
      </c>
      <c r="BH30" t="s">
        <v>555</v>
      </c>
      <c r="BI30">
        <v>-82.016520113931605</v>
      </c>
      <c r="BJ30">
        <v>30.4546593511918</v>
      </c>
      <c r="BK30" t="s">
        <v>739</v>
      </c>
      <c r="BM30" t="s">
        <v>740</v>
      </c>
      <c r="BN30" t="s">
        <v>548</v>
      </c>
      <c r="BO30">
        <v>32220</v>
      </c>
      <c r="BP30" t="s">
        <v>404</v>
      </c>
      <c r="BQ30">
        <v>0</v>
      </c>
      <c r="BR30" t="s">
        <v>491</v>
      </c>
      <c r="BS30">
        <v>8001</v>
      </c>
      <c r="BT30" t="s">
        <v>492</v>
      </c>
      <c r="BW30">
        <v>245678</v>
      </c>
      <c r="BX30" t="s">
        <v>407</v>
      </c>
      <c r="BY30" t="s">
        <v>408</v>
      </c>
      <c r="CD30">
        <v>2017</v>
      </c>
      <c r="CE30">
        <v>37080</v>
      </c>
      <c r="CG30">
        <v>37080</v>
      </c>
      <c r="CH30">
        <v>2017</v>
      </c>
      <c r="CI30">
        <v>37080</v>
      </c>
      <c r="CK30">
        <v>37080</v>
      </c>
      <c r="CL30">
        <v>2017</v>
      </c>
      <c r="CM30">
        <v>561.35</v>
      </c>
      <c r="CN30" s="1">
        <v>41828</v>
      </c>
      <c r="CO30">
        <v>49900</v>
      </c>
      <c r="CV30">
        <v>0</v>
      </c>
      <c r="CZ30" s="1">
        <v>41828</v>
      </c>
      <c r="DA30">
        <v>0</v>
      </c>
      <c r="DD30" t="s">
        <v>553</v>
      </c>
      <c r="DF30">
        <v>82</v>
      </c>
      <c r="DG30">
        <v>23</v>
      </c>
      <c r="DJ30" t="s">
        <v>676</v>
      </c>
      <c r="DM30" t="s">
        <v>677</v>
      </c>
      <c r="DO30" t="s">
        <v>741</v>
      </c>
      <c r="DP30">
        <v>0</v>
      </c>
      <c r="DQ30">
        <v>0</v>
      </c>
      <c r="DR30" t="s">
        <v>411</v>
      </c>
      <c r="DS30" t="b">
        <v>1</v>
      </c>
      <c r="DT30" t="s">
        <v>470</v>
      </c>
      <c r="DU30" t="s">
        <v>471</v>
      </c>
      <c r="DV30" t="s">
        <v>472</v>
      </c>
      <c r="DX30">
        <v>-9999</v>
      </c>
      <c r="DZ30" t="s">
        <v>447</v>
      </c>
      <c r="EA30" t="s">
        <v>448</v>
      </c>
      <c r="EB30" t="s">
        <v>742</v>
      </c>
      <c r="EC30">
        <v>20101217</v>
      </c>
      <c r="ED30" t="s">
        <v>474</v>
      </c>
      <c r="EF30">
        <v>191.4</v>
      </c>
      <c r="EG30">
        <v>191.4</v>
      </c>
      <c r="EI30">
        <v>20160407</v>
      </c>
      <c r="EJ30">
        <v>0</v>
      </c>
      <c r="EK30">
        <v>0</v>
      </c>
      <c r="EP30" t="s">
        <v>421</v>
      </c>
      <c r="EQ30" t="s">
        <v>422</v>
      </c>
      <c r="ER30">
        <v>0</v>
      </c>
      <c r="ES30">
        <v>5</v>
      </c>
      <c r="ET30">
        <v>0</v>
      </c>
      <c r="EU30">
        <v>0</v>
      </c>
      <c r="EV30">
        <v>0</v>
      </c>
      <c r="EW30" s="2">
        <v>43222</v>
      </c>
      <c r="EX30" s="1">
        <v>42879</v>
      </c>
      <c r="EY30">
        <v>2016</v>
      </c>
      <c r="EZ30">
        <v>642.6</v>
      </c>
      <c r="FA30" t="s">
        <v>743</v>
      </c>
      <c r="FB30">
        <v>0.25</v>
      </c>
      <c r="FC30" t="s">
        <v>424</v>
      </c>
      <c r="FD30" t="s">
        <v>425</v>
      </c>
      <c r="FE30" s="1">
        <v>42914</v>
      </c>
      <c r="FF30">
        <v>1</v>
      </c>
      <c r="FG30">
        <v>2851116</v>
      </c>
      <c r="FH30" t="s">
        <v>480</v>
      </c>
      <c r="FJ30" s="1">
        <v>42879</v>
      </c>
      <c r="FK30">
        <v>2016</v>
      </c>
      <c r="FL30">
        <v>642.6</v>
      </c>
      <c r="FM30" t="s">
        <v>743</v>
      </c>
      <c r="FN30">
        <v>0.25</v>
      </c>
      <c r="FO30" t="s">
        <v>424</v>
      </c>
      <c r="FP30" t="s">
        <v>425</v>
      </c>
      <c r="FR30">
        <v>22</v>
      </c>
      <c r="FS30">
        <v>5330156</v>
      </c>
      <c r="FT30" t="s">
        <v>744</v>
      </c>
      <c r="FV30" s="1">
        <v>41052</v>
      </c>
      <c r="FW30">
        <v>2011</v>
      </c>
      <c r="FX30">
        <v>1222.19</v>
      </c>
      <c r="FY30" t="s">
        <v>745</v>
      </c>
      <c r="FZ30">
        <v>4.75</v>
      </c>
      <c r="GA30" t="s">
        <v>424</v>
      </c>
      <c r="GB30" t="s">
        <v>425</v>
      </c>
      <c r="GC30" s="1">
        <v>41208</v>
      </c>
      <c r="GD30">
        <v>5</v>
      </c>
      <c r="GE30">
        <v>10125</v>
      </c>
      <c r="GF30" t="s">
        <v>440</v>
      </c>
      <c r="GH30" s="1">
        <v>40688</v>
      </c>
      <c r="GI30">
        <v>2010</v>
      </c>
      <c r="GJ30">
        <v>858.36</v>
      </c>
      <c r="GK30" t="s">
        <v>746</v>
      </c>
      <c r="GL30">
        <v>8.25</v>
      </c>
      <c r="GM30" t="s">
        <v>424</v>
      </c>
      <c r="GN30" t="s">
        <v>425</v>
      </c>
      <c r="GO30" s="1">
        <v>41208</v>
      </c>
      <c r="GP30">
        <v>17</v>
      </c>
      <c r="GQ30">
        <v>15175</v>
      </c>
      <c r="GR30" t="s">
        <v>588</v>
      </c>
      <c r="GT30" s="1">
        <v>40688</v>
      </c>
      <c r="GU30">
        <v>2010</v>
      </c>
      <c r="GV30">
        <v>858.36</v>
      </c>
      <c r="GW30" t="s">
        <v>746</v>
      </c>
      <c r="GX30">
        <v>8.25</v>
      </c>
      <c r="GY30" t="s">
        <v>424</v>
      </c>
      <c r="GZ30" t="s">
        <v>425</v>
      </c>
      <c r="HB30">
        <v>22</v>
      </c>
      <c r="HC30">
        <v>10548</v>
      </c>
      <c r="HD30" t="s">
        <v>589</v>
      </c>
    </row>
    <row r="31" spans="1:260" x14ac:dyDescent="0.25">
      <c r="A31">
        <v>16485038</v>
      </c>
      <c r="B31">
        <v>30</v>
      </c>
      <c r="C31" t="s">
        <v>393</v>
      </c>
      <c r="D31" t="s">
        <v>394</v>
      </c>
      <c r="F31" t="str">
        <f>"23-1N-23-034D-0083-0000"</f>
        <v>23-1N-23-034D-0083-0000</v>
      </c>
      <c r="H31" t="str">
        <f>"EL-BAHRI ANDRE"</f>
        <v>EL-BAHRI ANDRE</v>
      </c>
      <c r="I31" t="str">
        <f>"3624 BRIDGEWOOD DR"</f>
        <v>3624 BRIDGEWOOD DR</v>
      </c>
      <c r="J31" t="str">
        <f>"JACKSONVILLE FL 32277"</f>
        <v>JACKSONVILLE FL 32277</v>
      </c>
      <c r="K31" t="str">
        <f>"BULLOCK BLUFF RD"</f>
        <v>BULLOCK BLUFF RD</v>
      </c>
      <c r="L31" t="str">
        <f t="shared" si="7"/>
        <v>BRYCEVILLE FL 32009</v>
      </c>
      <c r="M31" t="str">
        <f>"LOT 83 IN OR 1914/1643 DEEP CREEK PLANTATION PB 7/239"</f>
        <v>LOT 83 IN OR 1914/1643 DEEP CREEK PLANTATION PB 7/239</v>
      </c>
      <c r="N31" t="str">
        <f>""</f>
        <v/>
      </c>
      <c r="O31" t="str">
        <f>"33896"</f>
        <v>33896</v>
      </c>
      <c r="P31" t="str">
        <f t="shared" si="2"/>
        <v>2017</v>
      </c>
      <c r="Q31" t="str">
        <f>""</f>
        <v/>
      </c>
      <c r="R31" t="str">
        <f t="shared" si="8"/>
        <v>N</v>
      </c>
      <c r="S31" t="str">
        <f>"7.31"</f>
        <v>7.31</v>
      </c>
      <c r="T31" t="str">
        <f>"799.32"</f>
        <v>799.32</v>
      </c>
      <c r="U31" t="str">
        <f>"52800.00"</f>
        <v>52800.00</v>
      </c>
      <c r="V31" t="str">
        <f>"52800.00"</f>
        <v>52800.00</v>
      </c>
      <c r="W31" t="str">
        <f t="shared" si="3"/>
        <v>2017</v>
      </c>
      <c r="X31" t="str">
        <f>"15.60"</f>
        <v>15.60</v>
      </c>
      <c r="Y31" t="str">
        <f>"855.30"</f>
        <v>855.30</v>
      </c>
      <c r="Z31" t="str">
        <f>""</f>
        <v/>
      </c>
      <c r="AA31" t="str">
        <f>"52800.00"</f>
        <v>52800.00</v>
      </c>
      <c r="AB31" t="str">
        <f t="shared" si="9"/>
        <v>Residential</v>
      </c>
      <c r="AC31" t="str">
        <f t="shared" si="4"/>
        <v>0</v>
      </c>
      <c r="AD31" t="str">
        <f>""</f>
        <v/>
      </c>
      <c r="AE31" t="str">
        <f>""</f>
        <v/>
      </c>
      <c r="AF31" t="str">
        <f t="shared" si="10"/>
        <v>000</v>
      </c>
      <c r="AG31" t="str">
        <f t="shared" si="11"/>
        <v>FL</v>
      </c>
      <c r="AH31" t="str">
        <f>"318423.00"</f>
        <v>318423.00</v>
      </c>
      <c r="AI31" t="str">
        <f>"52800.00"</f>
        <v>52800.00</v>
      </c>
      <c r="AJ31" t="str">
        <f>"C55-000-988-1884-2"</f>
        <v>C55-000-988-1884-2</v>
      </c>
      <c r="AK31" t="str">
        <f>"334"</f>
        <v>334</v>
      </c>
      <c r="AL31">
        <v>1</v>
      </c>
      <c r="AM31">
        <v>36</v>
      </c>
      <c r="AN31">
        <v>896.47</v>
      </c>
      <c r="AQ31" t="s">
        <v>747</v>
      </c>
      <c r="AR31" t="s">
        <v>747</v>
      </c>
      <c r="AS31" t="s">
        <v>747</v>
      </c>
      <c r="AU31" t="s">
        <v>396</v>
      </c>
      <c r="AV31">
        <v>2017</v>
      </c>
      <c r="AW31" t="str">
        <f>"23-1N-23-034D-0083-0000 "</f>
        <v xml:space="preserve">23-1N-23-034D-0083-0000 </v>
      </c>
      <c r="AZ31" t="s">
        <v>748</v>
      </c>
      <c r="BA31" t="s">
        <v>496</v>
      </c>
      <c r="BD31" t="s">
        <v>553</v>
      </c>
      <c r="BE31" t="s">
        <v>393</v>
      </c>
      <c r="BF31">
        <v>32009</v>
      </c>
      <c r="BG31" t="s">
        <v>749</v>
      </c>
      <c r="BH31" t="s">
        <v>555</v>
      </c>
      <c r="BI31">
        <v>-82.017431497594799</v>
      </c>
      <c r="BJ31">
        <v>30.4553114565478</v>
      </c>
      <c r="BK31" t="s">
        <v>750</v>
      </c>
      <c r="BM31" t="s">
        <v>751</v>
      </c>
      <c r="BN31" t="s">
        <v>548</v>
      </c>
      <c r="BO31">
        <v>32277</v>
      </c>
      <c r="BP31" t="s">
        <v>404</v>
      </c>
      <c r="BQ31">
        <v>0</v>
      </c>
      <c r="BR31" t="s">
        <v>491</v>
      </c>
      <c r="BS31">
        <v>8001</v>
      </c>
      <c r="BT31" t="s">
        <v>492</v>
      </c>
      <c r="BW31">
        <v>318423</v>
      </c>
      <c r="BX31" t="s">
        <v>407</v>
      </c>
      <c r="BY31" t="s">
        <v>408</v>
      </c>
      <c r="CD31">
        <v>2017</v>
      </c>
      <c r="CE31">
        <v>52800</v>
      </c>
      <c r="CG31">
        <v>52800</v>
      </c>
      <c r="CH31">
        <v>2017</v>
      </c>
      <c r="CI31">
        <v>52800</v>
      </c>
      <c r="CK31">
        <v>52800</v>
      </c>
      <c r="CL31">
        <v>2017</v>
      </c>
      <c r="CM31">
        <v>799.32</v>
      </c>
      <c r="CN31" s="1">
        <v>41759</v>
      </c>
      <c r="CO31">
        <v>59900</v>
      </c>
      <c r="CV31">
        <v>47920</v>
      </c>
      <c r="CX31" t="s">
        <v>707</v>
      </c>
      <c r="CZ31" s="1">
        <v>41759</v>
      </c>
      <c r="DA31">
        <v>0</v>
      </c>
      <c r="DD31" t="s">
        <v>553</v>
      </c>
      <c r="DF31">
        <v>83</v>
      </c>
      <c r="DG31">
        <v>23</v>
      </c>
      <c r="DJ31" t="s">
        <v>676</v>
      </c>
      <c r="DM31" t="s">
        <v>677</v>
      </c>
      <c r="DO31" t="s">
        <v>752</v>
      </c>
      <c r="DP31">
        <v>0</v>
      </c>
      <c r="DQ31">
        <v>0</v>
      </c>
      <c r="DR31" t="s">
        <v>411</v>
      </c>
      <c r="DS31" t="b">
        <v>1</v>
      </c>
      <c r="DT31" t="s">
        <v>470</v>
      </c>
      <c r="DU31" t="s">
        <v>471</v>
      </c>
      <c r="DV31" t="s">
        <v>472</v>
      </c>
      <c r="DX31">
        <v>-9999</v>
      </c>
      <c r="DZ31" t="s">
        <v>447</v>
      </c>
      <c r="EA31" t="s">
        <v>448</v>
      </c>
      <c r="EB31" t="s">
        <v>742</v>
      </c>
      <c r="EC31">
        <v>20101217</v>
      </c>
      <c r="ED31" t="s">
        <v>474</v>
      </c>
      <c r="EF31">
        <v>373.4</v>
      </c>
      <c r="EG31">
        <v>373.4</v>
      </c>
      <c r="EI31">
        <v>20160407</v>
      </c>
      <c r="EJ31">
        <v>0</v>
      </c>
      <c r="EK31">
        <v>0</v>
      </c>
      <c r="EP31" t="s">
        <v>421</v>
      </c>
      <c r="EQ31" t="s">
        <v>422</v>
      </c>
      <c r="ER31">
        <v>0</v>
      </c>
      <c r="ES31">
        <v>6</v>
      </c>
      <c r="ET31">
        <v>0</v>
      </c>
      <c r="EU31">
        <v>0</v>
      </c>
      <c r="EV31">
        <v>0</v>
      </c>
      <c r="EW31" s="2">
        <v>43222</v>
      </c>
      <c r="EX31" s="1">
        <v>42879</v>
      </c>
      <c r="EY31">
        <v>2016</v>
      </c>
      <c r="EZ31">
        <v>903.58</v>
      </c>
      <c r="FA31" t="s">
        <v>753</v>
      </c>
      <c r="FB31">
        <v>0.25</v>
      </c>
      <c r="FC31" t="s">
        <v>424</v>
      </c>
      <c r="FD31" t="s">
        <v>425</v>
      </c>
      <c r="FE31" s="1">
        <v>43203</v>
      </c>
      <c r="FF31">
        <v>11</v>
      </c>
      <c r="FG31">
        <v>2035919</v>
      </c>
      <c r="FH31" t="s">
        <v>507</v>
      </c>
      <c r="FJ31" s="1">
        <v>42515</v>
      </c>
      <c r="FK31">
        <v>2015</v>
      </c>
      <c r="FL31">
        <v>919.87</v>
      </c>
      <c r="FM31" t="s">
        <v>754</v>
      </c>
      <c r="FN31">
        <v>0.25</v>
      </c>
      <c r="FO31" t="s">
        <v>424</v>
      </c>
      <c r="FP31" t="s">
        <v>425</v>
      </c>
      <c r="FQ31" s="1">
        <v>43203</v>
      </c>
      <c r="FR31">
        <v>23</v>
      </c>
      <c r="FS31">
        <v>2851116</v>
      </c>
      <c r="FT31" t="s">
        <v>480</v>
      </c>
      <c r="FV31" s="1">
        <v>42515</v>
      </c>
      <c r="FW31">
        <v>2015</v>
      </c>
      <c r="FX31">
        <v>919.87</v>
      </c>
      <c r="FY31" t="s">
        <v>754</v>
      </c>
      <c r="FZ31">
        <v>0.25</v>
      </c>
      <c r="GA31" t="s">
        <v>424</v>
      </c>
      <c r="GB31" t="s">
        <v>425</v>
      </c>
      <c r="GD31">
        <v>22</v>
      </c>
      <c r="GE31">
        <v>5469644</v>
      </c>
      <c r="GF31" t="s">
        <v>755</v>
      </c>
      <c r="GH31" s="1">
        <v>41052</v>
      </c>
      <c r="GI31">
        <v>2011</v>
      </c>
      <c r="GJ31">
        <v>1352</v>
      </c>
      <c r="GK31" t="s">
        <v>756</v>
      </c>
      <c r="GL31">
        <v>4.75</v>
      </c>
      <c r="GM31" t="s">
        <v>424</v>
      </c>
      <c r="GN31" t="s">
        <v>425</v>
      </c>
      <c r="GO31" s="1">
        <v>41208</v>
      </c>
      <c r="GP31">
        <v>5</v>
      </c>
      <c r="GQ31">
        <v>10125</v>
      </c>
      <c r="GR31" t="s">
        <v>440</v>
      </c>
      <c r="GT31" s="1">
        <v>40688</v>
      </c>
      <c r="GU31">
        <v>2010</v>
      </c>
      <c r="GV31">
        <v>888.41</v>
      </c>
      <c r="GW31" t="s">
        <v>757</v>
      </c>
      <c r="GX31">
        <v>8.25</v>
      </c>
      <c r="GY31" t="s">
        <v>424</v>
      </c>
      <c r="GZ31" t="s">
        <v>425</v>
      </c>
      <c r="HA31" s="1">
        <v>41208</v>
      </c>
      <c r="HB31">
        <v>17</v>
      </c>
      <c r="HC31">
        <v>15175</v>
      </c>
      <c r="HD31" t="s">
        <v>588</v>
      </c>
      <c r="HF31" s="1">
        <v>40688</v>
      </c>
      <c r="HG31">
        <v>2010</v>
      </c>
      <c r="HH31">
        <v>888.41</v>
      </c>
      <c r="HI31" t="s">
        <v>757</v>
      </c>
      <c r="HJ31">
        <v>8.25</v>
      </c>
      <c r="HK31" t="s">
        <v>424</v>
      </c>
      <c r="HL31" t="s">
        <v>425</v>
      </c>
      <c r="HN31">
        <v>22</v>
      </c>
      <c r="HO31">
        <v>10548</v>
      </c>
      <c r="HP31" t="s">
        <v>589</v>
      </c>
    </row>
    <row r="32" spans="1:260" x14ac:dyDescent="0.25">
      <c r="A32">
        <v>16485039</v>
      </c>
      <c r="B32">
        <v>31</v>
      </c>
      <c r="C32" t="s">
        <v>393</v>
      </c>
      <c r="D32" t="s">
        <v>394</v>
      </c>
      <c r="F32" t="str">
        <f>"23-1N-23-034D-0091-0000"</f>
        <v>23-1N-23-034D-0091-0000</v>
      </c>
      <c r="H32" t="str">
        <f>"MCMILLAN JAMES M &amp; ELLIS MIRIAN FERNANDEZ(JTROS)"</f>
        <v>MCMILLAN JAMES M &amp; ELLIS MIRIAN FERNANDEZ(JTROS)</v>
      </c>
      <c r="I32" t="str">
        <f>"2570 BROWARD RD"</f>
        <v>2570 BROWARD RD</v>
      </c>
      <c r="J32" t="str">
        <f>"JACKSONVILLE FL 32218"</f>
        <v>JACKSONVILLE FL 32218</v>
      </c>
      <c r="K32" t="str">
        <f>"BULLOCK BLUFF RD"</f>
        <v>BULLOCK BLUFF RD</v>
      </c>
      <c r="L32" t="str">
        <f t="shared" si="7"/>
        <v>BRYCEVILLE FL 32009</v>
      </c>
      <c r="M32" t="str">
        <f>"LOTS 90 &amp; 91 IN OR 1926/205 (EX PT IN OR 1921/1289) DEEP CREEK PLANTATION PBK 7/239"</f>
        <v>LOTS 90 &amp; 91 IN OR 1926/205 (EX PT IN OR 1921/1289) DEEP CREEK PLANTATION PBK 7/239</v>
      </c>
      <c r="N32" t="str">
        <f>""</f>
        <v/>
      </c>
      <c r="O32" t="str">
        <f>"33904"</f>
        <v>33904</v>
      </c>
      <c r="P32" t="str">
        <f t="shared" si="2"/>
        <v>2017</v>
      </c>
      <c r="Q32" t="str">
        <f>""</f>
        <v/>
      </c>
      <c r="R32" t="str">
        <f t="shared" si="8"/>
        <v>N</v>
      </c>
      <c r="S32" t="str">
        <f>"5.86"</f>
        <v>5.86</v>
      </c>
      <c r="T32" t="str">
        <f>"818.04"</f>
        <v>818.04</v>
      </c>
      <c r="U32" t="str">
        <f>"54036.00"</f>
        <v>54036.00</v>
      </c>
      <c r="V32" t="str">
        <f>"54036.00"</f>
        <v>54036.00</v>
      </c>
      <c r="W32" t="str">
        <f t="shared" si="3"/>
        <v>2017</v>
      </c>
      <c r="X32" t="str">
        <f>"14.67"</f>
        <v>14.67</v>
      </c>
      <c r="Y32" t="str">
        <f>"874.58"</f>
        <v>874.58</v>
      </c>
      <c r="Z32" t="str">
        <f>""</f>
        <v/>
      </c>
      <c r="AA32" t="str">
        <f>"54036.00"</f>
        <v>54036.00</v>
      </c>
      <c r="AB32" t="str">
        <f t="shared" si="9"/>
        <v>Residential</v>
      </c>
      <c r="AC32" t="str">
        <f t="shared" si="4"/>
        <v>0</v>
      </c>
      <c r="AD32" t="str">
        <f>""</f>
        <v/>
      </c>
      <c r="AE32" t="str">
        <f>""</f>
        <v/>
      </c>
      <c r="AF32" t="str">
        <f t="shared" si="10"/>
        <v>000</v>
      </c>
      <c r="AG32" t="str">
        <f t="shared" si="11"/>
        <v>FL</v>
      </c>
      <c r="AH32" t="str">
        <f>"255261.00"</f>
        <v>255261.00</v>
      </c>
      <c r="AI32" t="str">
        <f>"54036.00"</f>
        <v>54036.00</v>
      </c>
      <c r="AJ32" t="str">
        <f>"C55-000-988-1892-5"</f>
        <v>C55-000-988-1892-5</v>
      </c>
      <c r="AK32" t="str">
        <f>"342"</f>
        <v>342</v>
      </c>
      <c r="AL32">
        <v>1</v>
      </c>
      <c r="AM32">
        <v>37</v>
      </c>
      <c r="AN32">
        <v>916.71</v>
      </c>
      <c r="AQ32" t="s">
        <v>758</v>
      </c>
      <c r="AR32" t="s">
        <v>758</v>
      </c>
      <c r="AS32" t="s">
        <v>758</v>
      </c>
      <c r="AU32" t="s">
        <v>396</v>
      </c>
      <c r="AV32">
        <v>2017</v>
      </c>
      <c r="AW32" t="str">
        <f>"23-1N-23-034D-0091-0000 "</f>
        <v xml:space="preserve">23-1N-23-034D-0091-0000 </v>
      </c>
      <c r="AZ32" t="s">
        <v>748</v>
      </c>
      <c r="BA32" t="s">
        <v>496</v>
      </c>
      <c r="BD32" t="s">
        <v>553</v>
      </c>
      <c r="BE32" t="s">
        <v>393</v>
      </c>
      <c r="BF32">
        <v>32009</v>
      </c>
      <c r="BG32" t="s">
        <v>749</v>
      </c>
      <c r="BH32" t="s">
        <v>555</v>
      </c>
      <c r="BI32">
        <v>-82.019260537608304</v>
      </c>
      <c r="BJ32">
        <v>30.460281000923601</v>
      </c>
      <c r="BK32" t="s">
        <v>759</v>
      </c>
      <c r="BL32" t="s">
        <v>760</v>
      </c>
      <c r="BM32" t="s">
        <v>761</v>
      </c>
      <c r="BN32" t="s">
        <v>548</v>
      </c>
      <c r="BO32">
        <v>32218</v>
      </c>
      <c r="BP32" t="s">
        <v>404</v>
      </c>
      <c r="BQ32">
        <v>0</v>
      </c>
      <c r="BR32" t="s">
        <v>491</v>
      </c>
      <c r="BS32">
        <v>8001</v>
      </c>
      <c r="BT32" t="s">
        <v>492</v>
      </c>
      <c r="BW32">
        <v>255261</v>
      </c>
      <c r="BX32" t="s">
        <v>407</v>
      </c>
      <c r="BY32" t="s">
        <v>408</v>
      </c>
      <c r="CD32">
        <v>2017</v>
      </c>
      <c r="CE32">
        <v>54036</v>
      </c>
      <c r="CG32">
        <v>54036</v>
      </c>
      <c r="CH32">
        <v>2017</v>
      </c>
      <c r="CI32">
        <v>54036</v>
      </c>
      <c r="CK32">
        <v>54036</v>
      </c>
      <c r="CL32">
        <v>2017</v>
      </c>
      <c r="CM32">
        <v>818.04</v>
      </c>
      <c r="CN32" s="1">
        <v>41828</v>
      </c>
      <c r="CO32">
        <v>85000</v>
      </c>
      <c r="CV32">
        <v>0</v>
      </c>
      <c r="CZ32" s="1">
        <v>41828</v>
      </c>
      <c r="DA32">
        <v>0</v>
      </c>
      <c r="DD32" t="s">
        <v>553</v>
      </c>
      <c r="DG32">
        <v>23</v>
      </c>
      <c r="DM32" t="s">
        <v>677</v>
      </c>
      <c r="DO32" t="s">
        <v>762</v>
      </c>
      <c r="DP32">
        <v>0</v>
      </c>
      <c r="DQ32">
        <v>0</v>
      </c>
      <c r="DR32" t="s">
        <v>411</v>
      </c>
      <c r="DS32" t="b">
        <v>1</v>
      </c>
      <c r="DT32" t="s">
        <v>396</v>
      </c>
      <c r="DV32" t="s">
        <v>446</v>
      </c>
      <c r="DX32">
        <v>-9999</v>
      </c>
      <c r="DZ32" t="s">
        <v>447</v>
      </c>
      <c r="EA32" t="s">
        <v>448</v>
      </c>
      <c r="EB32" t="s">
        <v>449</v>
      </c>
      <c r="EC32">
        <v>20101217</v>
      </c>
      <c r="ED32" t="s">
        <v>450</v>
      </c>
      <c r="EE32">
        <v>49.6</v>
      </c>
      <c r="EF32">
        <v>0</v>
      </c>
      <c r="EG32">
        <v>0</v>
      </c>
      <c r="EI32">
        <v>20160407</v>
      </c>
      <c r="EJ32">
        <v>0</v>
      </c>
      <c r="EK32">
        <v>0</v>
      </c>
      <c r="EP32" t="s">
        <v>421</v>
      </c>
      <c r="EQ32" t="s">
        <v>422</v>
      </c>
      <c r="ER32">
        <v>3</v>
      </c>
      <c r="ES32">
        <v>2</v>
      </c>
      <c r="ET32">
        <v>2805.91</v>
      </c>
      <c r="EU32">
        <v>159.05000000000001</v>
      </c>
      <c r="EV32">
        <v>2964.96</v>
      </c>
      <c r="EW32" s="2">
        <v>43222</v>
      </c>
      <c r="EX32" s="1">
        <v>42879</v>
      </c>
      <c r="EY32">
        <v>2016</v>
      </c>
      <c r="EZ32">
        <v>924.11</v>
      </c>
      <c r="FA32" t="s">
        <v>763</v>
      </c>
      <c r="FB32">
        <v>0.25</v>
      </c>
      <c r="FC32" t="s">
        <v>424</v>
      </c>
      <c r="FD32" t="s">
        <v>454</v>
      </c>
      <c r="FF32">
        <v>12</v>
      </c>
      <c r="FG32">
        <v>2035919</v>
      </c>
      <c r="FH32" t="s">
        <v>507</v>
      </c>
      <c r="FJ32" s="1">
        <v>42515</v>
      </c>
      <c r="FK32">
        <v>2015</v>
      </c>
      <c r="FL32">
        <v>940.9</v>
      </c>
      <c r="FM32" t="s">
        <v>764</v>
      </c>
      <c r="FN32">
        <v>0.25</v>
      </c>
      <c r="FO32" t="s">
        <v>424</v>
      </c>
      <c r="FP32" t="s">
        <v>454</v>
      </c>
      <c r="FR32">
        <v>24</v>
      </c>
      <c r="FS32">
        <v>2851116</v>
      </c>
      <c r="FT32" t="s">
        <v>480</v>
      </c>
      <c r="FV32" s="1">
        <v>42515</v>
      </c>
      <c r="FW32">
        <v>2015</v>
      </c>
      <c r="FX32">
        <v>940.9</v>
      </c>
      <c r="FY32" t="s">
        <v>764</v>
      </c>
      <c r="FZ32">
        <v>0.25</v>
      </c>
      <c r="GA32" t="s">
        <v>424</v>
      </c>
      <c r="GB32" t="s">
        <v>454</v>
      </c>
      <c r="GD32">
        <v>24</v>
      </c>
      <c r="GE32">
        <v>5627546</v>
      </c>
      <c r="GF32" t="s">
        <v>765</v>
      </c>
      <c r="GH32" s="1">
        <v>41052</v>
      </c>
      <c r="GI32">
        <v>2011</v>
      </c>
      <c r="GJ32">
        <v>1423.21</v>
      </c>
      <c r="GK32" t="s">
        <v>766</v>
      </c>
      <c r="GL32">
        <v>4.75</v>
      </c>
      <c r="GM32" t="s">
        <v>424</v>
      </c>
      <c r="GN32" t="s">
        <v>425</v>
      </c>
      <c r="GO32" s="1">
        <v>41208</v>
      </c>
      <c r="GP32">
        <v>5</v>
      </c>
      <c r="GQ32">
        <v>10125</v>
      </c>
      <c r="GR32" t="s">
        <v>440</v>
      </c>
      <c r="GT32" s="1">
        <v>40688</v>
      </c>
      <c r="GU32">
        <v>2010</v>
      </c>
      <c r="GV32">
        <v>818.78</v>
      </c>
      <c r="GW32" t="s">
        <v>767</v>
      </c>
      <c r="GX32">
        <v>8</v>
      </c>
      <c r="GY32" t="s">
        <v>424</v>
      </c>
      <c r="GZ32" t="s">
        <v>425</v>
      </c>
      <c r="HA32" s="1">
        <v>41208</v>
      </c>
      <c r="HB32">
        <v>17</v>
      </c>
      <c r="HC32">
        <v>10562</v>
      </c>
      <c r="HD32" t="s">
        <v>713</v>
      </c>
    </row>
    <row r="33" spans="1:308" x14ac:dyDescent="0.25">
      <c r="A33">
        <v>16485040</v>
      </c>
      <c r="B33">
        <v>32</v>
      </c>
      <c r="C33" t="s">
        <v>393</v>
      </c>
      <c r="D33" t="s">
        <v>394</v>
      </c>
      <c r="F33" t="str">
        <f>"23-1N-23-034D-0094-0000"</f>
        <v>23-1N-23-034D-0094-0000</v>
      </c>
      <c r="H33" t="str">
        <f>"HOWARD NATASCHA FIEGE &amp; JAMES"</f>
        <v>HOWARD NATASCHA FIEGE &amp; JAMES</v>
      </c>
      <c r="I33" t="str">
        <f>"13541 VALBUENA CT"</f>
        <v>13541 VALBUENA CT</v>
      </c>
      <c r="J33" t="str">
        <f>"JACKSONVILLE FL 32224"</f>
        <v>JACKSONVILLE FL 32224</v>
      </c>
      <c r="K33" t="str">
        <f>"BULLOCK BLUFF RD"</f>
        <v>BULLOCK BLUFF RD</v>
      </c>
      <c r="L33" t="str">
        <f t="shared" si="7"/>
        <v>BRYCEVILLE FL 32009</v>
      </c>
      <c r="M33" t="str">
        <f>"LOT 94 IN OR 1936/254 DEEP CREEK PLANTATION PB 7/239"</f>
        <v>LOT 94 IN OR 1936/254 DEEP CREEK PLANTATION PB 7/239</v>
      </c>
      <c r="N33" t="str">
        <f>""</f>
        <v/>
      </c>
      <c r="O33" t="str">
        <f>"33907"</f>
        <v>33907</v>
      </c>
      <c r="P33" t="str">
        <f t="shared" si="2"/>
        <v>2017</v>
      </c>
      <c r="Q33" t="str">
        <f>""</f>
        <v/>
      </c>
      <c r="R33" t="str">
        <f t="shared" si="8"/>
        <v>N</v>
      </c>
      <c r="S33" t="str">
        <f>"7.56"</f>
        <v>7.56</v>
      </c>
      <c r="T33" t="str">
        <f>"881.18"</f>
        <v>881.18</v>
      </c>
      <c r="U33" t="str">
        <f>"58206.00"</f>
        <v>58206.00</v>
      </c>
      <c r="V33" t="str">
        <f>"58206.00"</f>
        <v>58206.00</v>
      </c>
      <c r="W33" t="str">
        <f t="shared" si="3"/>
        <v>2017</v>
      </c>
      <c r="X33" t="str">
        <f>"13.50"</f>
        <v>13.50</v>
      </c>
      <c r="Y33" t="str">
        <f>"939.62"</f>
        <v>939.62</v>
      </c>
      <c r="Z33" t="str">
        <f>""</f>
        <v/>
      </c>
      <c r="AA33" t="str">
        <f>"58206.00"</f>
        <v>58206.00</v>
      </c>
      <c r="AB33" t="str">
        <f t="shared" si="9"/>
        <v>Residential</v>
      </c>
      <c r="AC33" t="str">
        <f t="shared" si="4"/>
        <v>0</v>
      </c>
      <c r="AD33" t="str">
        <f>""</f>
        <v/>
      </c>
      <c r="AE33" t="str">
        <f>""</f>
        <v/>
      </c>
      <c r="AF33" t="str">
        <f t="shared" si="10"/>
        <v>000</v>
      </c>
      <c r="AG33" t="str">
        <f t="shared" si="11"/>
        <v>FL</v>
      </c>
      <c r="AH33" t="str">
        <f>"329313.00"</f>
        <v>329313.00</v>
      </c>
      <c r="AI33" t="str">
        <f>"58206.00"</f>
        <v>58206.00</v>
      </c>
      <c r="AJ33" t="str">
        <f>"C55-000-988-1895-8"</f>
        <v>C55-000-988-1895-8</v>
      </c>
      <c r="AK33" t="str">
        <f>"345"</f>
        <v>345</v>
      </c>
      <c r="AL33">
        <v>1</v>
      </c>
      <c r="AM33">
        <v>38</v>
      </c>
      <c r="AN33">
        <v>985</v>
      </c>
      <c r="AQ33" t="s">
        <v>768</v>
      </c>
      <c r="AR33" t="s">
        <v>768</v>
      </c>
      <c r="AS33" t="s">
        <v>768</v>
      </c>
      <c r="AU33" t="s">
        <v>396</v>
      </c>
      <c r="AV33">
        <v>2017</v>
      </c>
      <c r="AW33" t="str">
        <f>"23-1N-23-034D-0094-0000 "</f>
        <v xml:space="preserve">23-1N-23-034D-0094-0000 </v>
      </c>
      <c r="AZ33" t="s">
        <v>748</v>
      </c>
      <c r="BA33" t="s">
        <v>496</v>
      </c>
      <c r="BD33" t="s">
        <v>553</v>
      </c>
      <c r="BE33" t="s">
        <v>393</v>
      </c>
      <c r="BF33">
        <v>32009</v>
      </c>
      <c r="BG33" t="s">
        <v>749</v>
      </c>
      <c r="BH33" t="s">
        <v>555</v>
      </c>
      <c r="BI33">
        <v>-82.020121026108797</v>
      </c>
      <c r="BJ33">
        <v>30.458091908383501</v>
      </c>
      <c r="BK33" t="s">
        <v>769</v>
      </c>
      <c r="BM33" t="s">
        <v>770</v>
      </c>
      <c r="BN33" t="s">
        <v>548</v>
      </c>
      <c r="BO33">
        <v>32224</v>
      </c>
      <c r="BP33" t="s">
        <v>404</v>
      </c>
      <c r="BQ33">
        <v>0</v>
      </c>
      <c r="BR33" t="s">
        <v>491</v>
      </c>
      <c r="BS33">
        <v>8001</v>
      </c>
      <c r="BT33" t="s">
        <v>492</v>
      </c>
      <c r="BW33">
        <v>329313</v>
      </c>
      <c r="BX33" t="s">
        <v>407</v>
      </c>
      <c r="BY33" t="s">
        <v>408</v>
      </c>
      <c r="CD33">
        <v>2017</v>
      </c>
      <c r="CE33">
        <v>58206</v>
      </c>
      <c r="CG33">
        <v>58206</v>
      </c>
      <c r="CH33">
        <v>2017</v>
      </c>
      <c r="CI33">
        <v>58206</v>
      </c>
      <c r="CK33">
        <v>58206</v>
      </c>
      <c r="CL33">
        <v>2017</v>
      </c>
      <c r="CM33">
        <v>881.18</v>
      </c>
      <c r="CN33" s="1">
        <v>41890</v>
      </c>
      <c r="CO33">
        <v>59900</v>
      </c>
      <c r="CV33">
        <v>39900</v>
      </c>
      <c r="CX33" t="s">
        <v>675</v>
      </c>
      <c r="CZ33" s="1">
        <v>41890</v>
      </c>
      <c r="DA33">
        <v>0</v>
      </c>
      <c r="DD33" t="s">
        <v>553</v>
      </c>
      <c r="DF33">
        <v>94</v>
      </c>
      <c r="DG33">
        <v>23</v>
      </c>
      <c r="DJ33" t="s">
        <v>676</v>
      </c>
      <c r="DM33" t="s">
        <v>677</v>
      </c>
      <c r="DO33" t="s">
        <v>771</v>
      </c>
      <c r="DP33">
        <v>0</v>
      </c>
      <c r="DQ33">
        <v>0</v>
      </c>
      <c r="DR33" t="s">
        <v>411</v>
      </c>
      <c r="DS33" t="b">
        <v>1</v>
      </c>
      <c r="DT33" t="s">
        <v>396</v>
      </c>
      <c r="DV33" t="s">
        <v>446</v>
      </c>
      <c r="DX33">
        <v>-9999</v>
      </c>
      <c r="DZ33" t="s">
        <v>447</v>
      </c>
      <c r="EA33" t="s">
        <v>448</v>
      </c>
      <c r="EB33" t="s">
        <v>449</v>
      </c>
      <c r="EC33">
        <v>20101217</v>
      </c>
      <c r="ED33" t="s">
        <v>450</v>
      </c>
      <c r="EE33">
        <v>49.8</v>
      </c>
      <c r="EF33">
        <v>0</v>
      </c>
      <c r="EG33">
        <v>0</v>
      </c>
      <c r="EI33">
        <v>20160407</v>
      </c>
      <c r="EJ33">
        <v>0</v>
      </c>
      <c r="EK33">
        <v>0</v>
      </c>
      <c r="EP33" t="s">
        <v>421</v>
      </c>
      <c r="EQ33" t="s">
        <v>422</v>
      </c>
      <c r="ER33">
        <v>0</v>
      </c>
      <c r="ES33">
        <v>4</v>
      </c>
      <c r="ET33">
        <v>0</v>
      </c>
      <c r="EU33">
        <v>0</v>
      </c>
      <c r="EV33">
        <v>0</v>
      </c>
      <c r="EW33" s="2">
        <v>43222</v>
      </c>
      <c r="EX33" s="1">
        <v>42515</v>
      </c>
      <c r="EY33">
        <v>2015</v>
      </c>
      <c r="EZ33">
        <v>1011.81</v>
      </c>
      <c r="FA33" t="s">
        <v>772</v>
      </c>
      <c r="FB33">
        <v>0.25</v>
      </c>
      <c r="FC33" t="s">
        <v>424</v>
      </c>
      <c r="FD33" t="s">
        <v>425</v>
      </c>
      <c r="FE33" s="1">
        <v>42824</v>
      </c>
      <c r="FF33">
        <v>10</v>
      </c>
      <c r="FG33">
        <v>2851116</v>
      </c>
      <c r="FH33" t="s">
        <v>480</v>
      </c>
      <c r="FJ33" s="1">
        <v>42515</v>
      </c>
      <c r="FK33">
        <v>2015</v>
      </c>
      <c r="FL33">
        <v>1011.81</v>
      </c>
      <c r="FM33" t="s">
        <v>772</v>
      </c>
      <c r="FN33">
        <v>0.25</v>
      </c>
      <c r="FO33" t="s">
        <v>424</v>
      </c>
      <c r="FP33" t="s">
        <v>425</v>
      </c>
      <c r="FR33">
        <v>22</v>
      </c>
      <c r="FS33">
        <v>5744875</v>
      </c>
      <c r="FT33" t="s">
        <v>773</v>
      </c>
      <c r="FV33" s="1">
        <v>41052</v>
      </c>
      <c r="FW33">
        <v>2011</v>
      </c>
      <c r="FX33">
        <v>1448.22</v>
      </c>
      <c r="FY33" t="s">
        <v>774</v>
      </c>
      <c r="FZ33">
        <v>4.75</v>
      </c>
      <c r="GA33" t="s">
        <v>424</v>
      </c>
      <c r="GB33" t="s">
        <v>425</v>
      </c>
      <c r="GC33" s="1">
        <v>41208</v>
      </c>
      <c r="GD33">
        <v>5</v>
      </c>
      <c r="GE33">
        <v>10125</v>
      </c>
      <c r="GF33" t="s">
        <v>440</v>
      </c>
      <c r="GH33" s="1">
        <v>40688</v>
      </c>
      <c r="GI33">
        <v>2010</v>
      </c>
      <c r="GJ33">
        <v>913.93</v>
      </c>
      <c r="GK33" t="s">
        <v>775</v>
      </c>
      <c r="GL33">
        <v>10</v>
      </c>
      <c r="GM33" t="s">
        <v>424</v>
      </c>
      <c r="GN33" t="s">
        <v>425</v>
      </c>
      <c r="GO33" s="1">
        <v>41208</v>
      </c>
      <c r="GP33">
        <v>17</v>
      </c>
      <c r="GQ33">
        <v>375</v>
      </c>
      <c r="GR33" t="s">
        <v>776</v>
      </c>
    </row>
    <row r="34" spans="1:308" x14ac:dyDescent="0.25">
      <c r="A34">
        <v>16485041</v>
      </c>
      <c r="B34">
        <v>33</v>
      </c>
      <c r="C34" t="s">
        <v>393</v>
      </c>
      <c r="D34" t="s">
        <v>394</v>
      </c>
      <c r="F34" t="str">
        <f>"24-1N-23-0000-0001-0060"</f>
        <v>24-1N-23-0000-0001-0060</v>
      </c>
      <c r="H34" t="str">
        <f>"HAMMOND HOLDINGS OF JACKSONVILLE LLC"</f>
        <v>HAMMOND HOLDINGS OF JACKSONVILLE LLC</v>
      </c>
      <c r="I34" t="str">
        <f>"665 DAY AVE"</f>
        <v>665 DAY AVE</v>
      </c>
      <c r="J34" t="str">
        <f>"JACKSONVILLE FL 32205"</f>
        <v>JACKSONVILLE FL 32205</v>
      </c>
      <c r="K34" t="str">
        <f>"3783 HAMP HICKS RD"</f>
        <v>3783 HAMP HICKS RD</v>
      </c>
      <c r="L34" t="str">
        <f t="shared" si="7"/>
        <v>BRYCEVILLE FL 32009</v>
      </c>
      <c r="M34" t="str">
        <f>"PT OF NE1/4 1997 HERI DW/MH IN OR 1986/721 EX 1-15 &amp; 1-16"</f>
        <v>PT OF NE1/4 1997 HERI DW/MH IN OR 1986/721 EX 1-15 &amp; 1-16</v>
      </c>
      <c r="N34" t="str">
        <f>""</f>
        <v/>
      </c>
      <c r="O34" t="str">
        <f>"34312"</f>
        <v>34312</v>
      </c>
      <c r="P34" t="str">
        <f t="shared" si="2"/>
        <v>2017</v>
      </c>
      <c r="Q34" t="str">
        <f>""</f>
        <v/>
      </c>
      <c r="R34" t="str">
        <f t="shared" si="8"/>
        <v>N</v>
      </c>
      <c r="S34" t="str">
        <f>"3.00"</f>
        <v>3.00</v>
      </c>
      <c r="T34" t="str">
        <f>"943.43"</f>
        <v>943.43</v>
      </c>
      <c r="U34" t="str">
        <f>"59637.00"</f>
        <v>59637.00</v>
      </c>
      <c r="V34" t="str">
        <f>"59637.00"</f>
        <v>59637.00</v>
      </c>
      <c r="W34" t="str">
        <f t="shared" si="3"/>
        <v>2017</v>
      </c>
      <c r="X34" t="str">
        <f>"18.25"</f>
        <v>18.25</v>
      </c>
      <c r="Y34" t="str">
        <f>"1003.73"</f>
        <v>1003.73</v>
      </c>
      <c r="Z34" t="str">
        <f>""</f>
        <v/>
      </c>
      <c r="AA34" t="str">
        <f>"65788.00"</f>
        <v>65788.00</v>
      </c>
      <c r="AB34" t="str">
        <f t="shared" si="9"/>
        <v>Residential</v>
      </c>
      <c r="AC34" t="str">
        <f t="shared" si="4"/>
        <v>0</v>
      </c>
      <c r="AD34" t="str">
        <f>"4"</f>
        <v>4</v>
      </c>
      <c r="AE34" t="str">
        <f>"WOOD (INCLUDE STEEL STUDS)"</f>
        <v>WOOD (INCLUDE STEEL STUDS)</v>
      </c>
      <c r="AF34" t="str">
        <f>"002"</f>
        <v>002</v>
      </c>
      <c r="AG34" t="str">
        <f t="shared" si="11"/>
        <v>FL</v>
      </c>
      <c r="AH34" t="str">
        <f>"130680.00"</f>
        <v>130680.00</v>
      </c>
      <c r="AI34" t="str">
        <f>"24000.00"</f>
        <v>24000.00</v>
      </c>
      <c r="AJ34" t="str">
        <f>"C55-000-587-3406-2"</f>
        <v>C55-000-587-3406-2</v>
      </c>
      <c r="AK34" t="str">
        <f>"366"</f>
        <v>366</v>
      </c>
      <c r="AL34">
        <v>1</v>
      </c>
      <c r="AM34">
        <v>39</v>
      </c>
      <c r="AN34">
        <v>1052.3699999999999</v>
      </c>
      <c r="AQ34" t="s">
        <v>777</v>
      </c>
      <c r="AR34" t="s">
        <v>777</v>
      </c>
      <c r="AS34" t="s">
        <v>777</v>
      </c>
      <c r="AU34" t="s">
        <v>396</v>
      </c>
      <c r="AV34">
        <v>2017</v>
      </c>
      <c r="AW34" t="str">
        <f>"24-1N-23-0000-0001-0060 "</f>
        <v xml:space="preserve">24-1N-23-0000-0001-0060 </v>
      </c>
      <c r="AX34">
        <v>3783</v>
      </c>
      <c r="AZ34" t="s">
        <v>778</v>
      </c>
      <c r="BA34" t="s">
        <v>496</v>
      </c>
      <c r="BD34" t="s">
        <v>553</v>
      </c>
      <c r="BE34" t="s">
        <v>393</v>
      </c>
      <c r="BF34">
        <v>32009</v>
      </c>
      <c r="BG34" t="s">
        <v>779</v>
      </c>
      <c r="BH34" t="s">
        <v>555</v>
      </c>
      <c r="BI34">
        <v>-81.990088533592896</v>
      </c>
      <c r="BJ34">
        <v>30.459459137720099</v>
      </c>
      <c r="BK34" t="s">
        <v>780</v>
      </c>
      <c r="BM34" t="s">
        <v>781</v>
      </c>
      <c r="BN34" t="s">
        <v>548</v>
      </c>
      <c r="BO34">
        <v>32205</v>
      </c>
      <c r="BP34" t="s">
        <v>404</v>
      </c>
      <c r="BQ34">
        <v>200</v>
      </c>
      <c r="BR34" t="s">
        <v>405</v>
      </c>
      <c r="BS34">
        <v>1006</v>
      </c>
      <c r="BT34" t="s">
        <v>406</v>
      </c>
      <c r="BW34">
        <v>130680</v>
      </c>
      <c r="BX34" t="s">
        <v>407</v>
      </c>
      <c r="BY34" t="s">
        <v>408</v>
      </c>
      <c r="BZ34">
        <v>4</v>
      </c>
      <c r="CA34">
        <v>1996</v>
      </c>
      <c r="CB34">
        <v>1</v>
      </c>
      <c r="CC34">
        <v>1</v>
      </c>
      <c r="CD34">
        <v>2017</v>
      </c>
      <c r="CE34">
        <v>24000</v>
      </c>
      <c r="CF34">
        <v>41788</v>
      </c>
      <c r="CG34">
        <v>65788</v>
      </c>
      <c r="CH34">
        <v>2017</v>
      </c>
      <c r="CI34">
        <v>24000</v>
      </c>
      <c r="CJ34">
        <v>41788</v>
      </c>
      <c r="CK34">
        <v>65788</v>
      </c>
      <c r="CL34">
        <v>2017</v>
      </c>
      <c r="CM34">
        <v>943.43</v>
      </c>
      <c r="CN34" s="1">
        <v>42174</v>
      </c>
      <c r="CO34">
        <v>55000</v>
      </c>
      <c r="CV34">
        <v>47591</v>
      </c>
      <c r="CX34" t="s">
        <v>707</v>
      </c>
      <c r="CZ34" s="1">
        <v>42174</v>
      </c>
      <c r="DA34">
        <v>0</v>
      </c>
      <c r="DD34" t="s">
        <v>553</v>
      </c>
      <c r="DG34">
        <v>24</v>
      </c>
      <c r="DL34">
        <v>50504</v>
      </c>
      <c r="DM34" t="s">
        <v>782</v>
      </c>
      <c r="DO34" t="s">
        <v>783</v>
      </c>
      <c r="DP34">
        <v>0</v>
      </c>
      <c r="DQ34">
        <v>0</v>
      </c>
      <c r="DR34" t="s">
        <v>411</v>
      </c>
      <c r="DS34" t="b">
        <v>1</v>
      </c>
      <c r="DT34" t="s">
        <v>470</v>
      </c>
      <c r="DU34" t="s">
        <v>471</v>
      </c>
      <c r="DV34" t="s">
        <v>472</v>
      </c>
      <c r="DX34">
        <v>-9999</v>
      </c>
      <c r="DZ34" t="s">
        <v>447</v>
      </c>
      <c r="EA34" t="s">
        <v>448</v>
      </c>
      <c r="EB34" t="s">
        <v>742</v>
      </c>
      <c r="EC34">
        <v>20101217</v>
      </c>
      <c r="ED34" t="s">
        <v>474</v>
      </c>
      <c r="EF34">
        <v>596.70000000000005</v>
      </c>
      <c r="EG34">
        <v>596.70000000000005</v>
      </c>
      <c r="EI34">
        <v>20160407</v>
      </c>
      <c r="EJ34">
        <v>0</v>
      </c>
      <c r="EK34">
        <v>0</v>
      </c>
      <c r="EP34" t="s">
        <v>421</v>
      </c>
      <c r="EQ34" t="s">
        <v>422</v>
      </c>
      <c r="ER34">
        <v>4</v>
      </c>
      <c r="ES34">
        <v>6</v>
      </c>
      <c r="ET34">
        <v>3764.18</v>
      </c>
      <c r="EU34">
        <v>213.21</v>
      </c>
      <c r="EV34">
        <v>3977.39</v>
      </c>
      <c r="EW34" s="2">
        <v>43222</v>
      </c>
      <c r="EX34" s="1">
        <v>42879</v>
      </c>
      <c r="EY34">
        <v>2016</v>
      </c>
      <c r="EZ34">
        <v>927.07</v>
      </c>
      <c r="FA34" t="s">
        <v>784</v>
      </c>
      <c r="FB34">
        <v>0.25</v>
      </c>
      <c r="FC34" t="s">
        <v>424</v>
      </c>
      <c r="FD34" t="s">
        <v>454</v>
      </c>
      <c r="FF34">
        <v>12</v>
      </c>
      <c r="FG34">
        <v>7400234</v>
      </c>
      <c r="FH34" t="s">
        <v>426</v>
      </c>
      <c r="FJ34" s="1">
        <v>42879</v>
      </c>
      <c r="FK34">
        <v>2016</v>
      </c>
      <c r="FL34">
        <v>927.07</v>
      </c>
      <c r="FM34" t="s">
        <v>784</v>
      </c>
      <c r="FN34">
        <v>0.25</v>
      </c>
      <c r="FO34" t="s">
        <v>424</v>
      </c>
      <c r="FP34" t="s">
        <v>454</v>
      </c>
      <c r="FR34">
        <v>12</v>
      </c>
      <c r="FS34">
        <v>7572628</v>
      </c>
      <c r="FT34" t="s">
        <v>785</v>
      </c>
      <c r="FV34" s="1">
        <v>42515</v>
      </c>
      <c r="FW34">
        <v>2015</v>
      </c>
      <c r="FX34">
        <v>955.02</v>
      </c>
      <c r="FY34" t="s">
        <v>786</v>
      </c>
      <c r="FZ34">
        <v>0.25</v>
      </c>
      <c r="GA34" t="s">
        <v>424</v>
      </c>
      <c r="GB34" t="s">
        <v>454</v>
      </c>
      <c r="GD34">
        <v>24</v>
      </c>
      <c r="GE34">
        <v>11289</v>
      </c>
      <c r="GF34" t="s">
        <v>787</v>
      </c>
      <c r="GH34" s="1">
        <v>42515</v>
      </c>
      <c r="GI34">
        <v>2015</v>
      </c>
      <c r="GJ34">
        <v>955.02</v>
      </c>
      <c r="GK34" t="s">
        <v>786</v>
      </c>
      <c r="GL34">
        <v>0.25</v>
      </c>
      <c r="GM34" t="s">
        <v>424</v>
      </c>
      <c r="GN34" t="s">
        <v>454</v>
      </c>
      <c r="GP34">
        <v>24</v>
      </c>
      <c r="GQ34">
        <v>7202219</v>
      </c>
      <c r="GR34" t="s">
        <v>788</v>
      </c>
      <c r="GT34" s="1">
        <v>42151</v>
      </c>
      <c r="GU34">
        <v>2014</v>
      </c>
      <c r="GV34">
        <v>838.19</v>
      </c>
      <c r="GW34" t="s">
        <v>789</v>
      </c>
      <c r="GX34">
        <v>4.75</v>
      </c>
      <c r="GY34" t="s">
        <v>424</v>
      </c>
      <c r="GZ34" t="s">
        <v>425</v>
      </c>
      <c r="HA34" s="1">
        <v>42178</v>
      </c>
      <c r="HB34">
        <v>1</v>
      </c>
      <c r="HC34">
        <v>4975593</v>
      </c>
      <c r="HD34" t="s">
        <v>505</v>
      </c>
      <c r="HF34" s="1">
        <v>41787</v>
      </c>
      <c r="HG34">
        <v>2013</v>
      </c>
      <c r="HH34">
        <v>920.57</v>
      </c>
      <c r="HI34" t="s">
        <v>790</v>
      </c>
      <c r="HJ34">
        <v>9.75</v>
      </c>
      <c r="HK34" t="s">
        <v>424</v>
      </c>
      <c r="HL34" t="s">
        <v>425</v>
      </c>
      <c r="HM34" s="1">
        <v>42178</v>
      </c>
      <c r="HN34">
        <v>13</v>
      </c>
      <c r="HO34">
        <v>2035919</v>
      </c>
      <c r="HP34" t="s">
        <v>507</v>
      </c>
      <c r="HR34" s="1">
        <v>41423</v>
      </c>
      <c r="HS34">
        <v>2012</v>
      </c>
      <c r="HT34">
        <v>1115.96</v>
      </c>
      <c r="HU34" t="s">
        <v>791</v>
      </c>
      <c r="HV34">
        <v>0.25</v>
      </c>
      <c r="HW34" t="s">
        <v>424</v>
      </c>
      <c r="HX34" t="s">
        <v>425</v>
      </c>
      <c r="HY34" s="1">
        <v>42178</v>
      </c>
      <c r="HZ34">
        <v>25</v>
      </c>
      <c r="IA34">
        <v>606981</v>
      </c>
      <c r="IB34" t="s">
        <v>792</v>
      </c>
      <c r="ID34" s="1">
        <v>41052</v>
      </c>
      <c r="IE34">
        <v>2011</v>
      </c>
      <c r="IF34">
        <v>1172.75</v>
      </c>
      <c r="IG34" t="s">
        <v>793</v>
      </c>
      <c r="IH34">
        <v>5.25</v>
      </c>
      <c r="II34" t="s">
        <v>424</v>
      </c>
      <c r="IJ34" t="s">
        <v>425</v>
      </c>
      <c r="IK34" s="1">
        <v>42061</v>
      </c>
      <c r="IL34">
        <v>33</v>
      </c>
      <c r="IM34">
        <v>10125</v>
      </c>
      <c r="IN34" t="s">
        <v>440</v>
      </c>
      <c r="IP34" s="1">
        <v>40688</v>
      </c>
      <c r="IQ34">
        <v>2010</v>
      </c>
      <c r="IR34">
        <v>610.24</v>
      </c>
      <c r="IS34" t="s">
        <v>794</v>
      </c>
      <c r="IT34">
        <v>8</v>
      </c>
      <c r="IU34" t="s">
        <v>424</v>
      </c>
      <c r="IV34" t="s">
        <v>425</v>
      </c>
      <c r="IW34" s="1">
        <v>41319</v>
      </c>
      <c r="IX34">
        <v>21</v>
      </c>
      <c r="IY34">
        <v>15175</v>
      </c>
      <c r="IZ34" t="s">
        <v>588</v>
      </c>
      <c r="JB34" s="1">
        <v>40688</v>
      </c>
      <c r="JC34">
        <v>2010</v>
      </c>
      <c r="JD34">
        <v>610.24</v>
      </c>
      <c r="JE34" t="s">
        <v>794</v>
      </c>
      <c r="JF34">
        <v>8</v>
      </c>
      <c r="JG34" t="s">
        <v>424</v>
      </c>
      <c r="JH34" t="s">
        <v>425</v>
      </c>
      <c r="JJ34">
        <v>22</v>
      </c>
      <c r="JK34">
        <v>10548</v>
      </c>
      <c r="JL34" t="s">
        <v>589</v>
      </c>
    </row>
    <row r="35" spans="1:308" x14ac:dyDescent="0.25">
      <c r="A35">
        <v>16485042</v>
      </c>
      <c r="B35">
        <v>34</v>
      </c>
      <c r="C35" t="s">
        <v>393</v>
      </c>
      <c r="D35" t="s">
        <v>394</v>
      </c>
      <c r="F35" t="str">
        <f>"24-1N-23-0000-0001-0130"</f>
        <v>24-1N-23-0000-0001-0130</v>
      </c>
      <c r="H35" t="str">
        <f>"STARR FRANKLIN P &amp; LINDA J"</f>
        <v>STARR FRANKLIN P &amp; LINDA J</v>
      </c>
      <c r="I35" t="str">
        <f>"3439 HAMP HICKS"</f>
        <v>3439 HAMP HICKS</v>
      </c>
      <c r="J35" t="str">
        <f t="shared" ref="J35:J42" si="12">"BRYCEVILLE FL 32009"</f>
        <v>BRYCEVILLE FL 32009</v>
      </c>
      <c r="K35" t="str">
        <f>"3991 HAMP HICKS RD"</f>
        <v>3991 HAMP HICKS RD</v>
      </c>
      <c r="L35" t="str">
        <f t="shared" si="7"/>
        <v>BRYCEVILLE FL 32009</v>
      </c>
      <c r="M35" t="str">
        <f>"PT OF NE1/4 R583655 IN OR 1650/1455 ESMT OR 1324/295"</f>
        <v>PT OF NE1/4 R583655 IN OR 1650/1455 ESMT OR 1324/295</v>
      </c>
      <c r="N35" t="str">
        <f>""</f>
        <v/>
      </c>
      <c r="O35" t="str">
        <f>"34319"</f>
        <v>34319</v>
      </c>
      <c r="P35" t="str">
        <f t="shared" si="2"/>
        <v>2017</v>
      </c>
      <c r="Q35" t="str">
        <f>""</f>
        <v/>
      </c>
      <c r="R35" t="str">
        <f t="shared" si="8"/>
        <v>N</v>
      </c>
      <c r="S35" t="str">
        <f>"5.02"</f>
        <v>5.02</v>
      </c>
      <c r="T35" t="str">
        <f>"721.51"</f>
        <v>721.51</v>
      </c>
      <c r="U35" t="str">
        <f>"47660.00"</f>
        <v>47660.00</v>
      </c>
      <c r="V35" t="str">
        <f>"47660.00"</f>
        <v>47660.00</v>
      </c>
      <c r="W35" t="str">
        <f t="shared" si="3"/>
        <v>2017</v>
      </c>
      <c r="X35" t="str">
        <f>"4.00"</f>
        <v>4.00</v>
      </c>
      <c r="Y35" t="str">
        <f>"775.16"</f>
        <v>775.16</v>
      </c>
      <c r="Z35" t="str">
        <f>""</f>
        <v/>
      </c>
      <c r="AA35" t="str">
        <f>"47660.00"</f>
        <v>47660.00</v>
      </c>
      <c r="AB35" t="str">
        <f t="shared" si="9"/>
        <v>Residential</v>
      </c>
      <c r="AC35" t="str">
        <f t="shared" si="4"/>
        <v>0</v>
      </c>
      <c r="AD35" t="str">
        <f>""</f>
        <v/>
      </c>
      <c r="AE35" t="str">
        <f>""</f>
        <v/>
      </c>
      <c r="AF35" t="str">
        <f>"000"</f>
        <v>000</v>
      </c>
      <c r="AG35" t="str">
        <f t="shared" si="11"/>
        <v>FL</v>
      </c>
      <c r="AH35" t="str">
        <f>"218671.00"</f>
        <v>218671.00</v>
      </c>
      <c r="AI35" t="str">
        <f>"40160.00"</f>
        <v>40160.00</v>
      </c>
      <c r="AJ35" t="str">
        <f>"C55-000-587-3413-8"</f>
        <v>C55-000-587-3413-8</v>
      </c>
      <c r="AK35" t="str">
        <f>"372"</f>
        <v>372</v>
      </c>
      <c r="AL35">
        <v>1</v>
      </c>
      <c r="AM35">
        <v>40</v>
      </c>
      <c r="AN35">
        <v>812.32</v>
      </c>
      <c r="AQ35" t="s">
        <v>795</v>
      </c>
      <c r="AR35" t="s">
        <v>795</v>
      </c>
      <c r="AS35" t="s">
        <v>795</v>
      </c>
      <c r="AU35" t="s">
        <v>396</v>
      </c>
      <c r="AV35">
        <v>2017</v>
      </c>
      <c r="AW35" t="str">
        <f>"24-1N-23-0000-0001-0130 "</f>
        <v xml:space="preserve">24-1N-23-0000-0001-0130 </v>
      </c>
      <c r="AX35">
        <v>3991</v>
      </c>
      <c r="AZ35" t="s">
        <v>778</v>
      </c>
      <c r="BA35" t="s">
        <v>496</v>
      </c>
      <c r="BD35" t="s">
        <v>553</v>
      </c>
      <c r="BE35" t="s">
        <v>393</v>
      </c>
      <c r="BF35">
        <v>32009</v>
      </c>
      <c r="BG35" t="s">
        <v>796</v>
      </c>
      <c r="BH35" t="s">
        <v>555</v>
      </c>
      <c r="BI35">
        <v>-81.992000056938195</v>
      </c>
      <c r="BJ35">
        <v>30.461963363907699</v>
      </c>
      <c r="BK35" t="s">
        <v>797</v>
      </c>
      <c r="BM35" t="s">
        <v>798</v>
      </c>
      <c r="BN35" t="s">
        <v>558</v>
      </c>
      <c r="BO35">
        <v>32009</v>
      </c>
      <c r="BP35" t="s">
        <v>404</v>
      </c>
      <c r="BQ35">
        <v>1</v>
      </c>
      <c r="BR35" t="s">
        <v>491</v>
      </c>
      <c r="BS35">
        <v>8001</v>
      </c>
      <c r="BT35" t="s">
        <v>492</v>
      </c>
      <c r="BW35">
        <v>218671</v>
      </c>
      <c r="BX35" t="s">
        <v>407</v>
      </c>
      <c r="CD35">
        <v>2017</v>
      </c>
      <c r="CE35">
        <v>40160</v>
      </c>
      <c r="CF35">
        <v>7500</v>
      </c>
      <c r="CG35">
        <v>47660</v>
      </c>
      <c r="CH35">
        <v>2017</v>
      </c>
      <c r="CI35">
        <v>40160</v>
      </c>
      <c r="CJ35">
        <v>7500</v>
      </c>
      <c r="CK35">
        <v>47660</v>
      </c>
      <c r="CL35">
        <v>2017</v>
      </c>
      <c r="CM35">
        <v>721.51</v>
      </c>
      <c r="CN35" s="1">
        <v>40148</v>
      </c>
      <c r="CO35">
        <v>80000</v>
      </c>
      <c r="CV35">
        <v>78000</v>
      </c>
      <c r="CX35" t="s">
        <v>707</v>
      </c>
      <c r="CZ35" s="1">
        <v>40148</v>
      </c>
      <c r="DA35">
        <v>0</v>
      </c>
      <c r="DD35" t="s">
        <v>553</v>
      </c>
      <c r="DG35">
        <v>24</v>
      </c>
      <c r="DL35">
        <v>50504</v>
      </c>
      <c r="DM35" t="s">
        <v>782</v>
      </c>
      <c r="DO35" t="s">
        <v>799</v>
      </c>
      <c r="DP35">
        <v>0</v>
      </c>
      <c r="DQ35">
        <v>0</v>
      </c>
      <c r="DR35" t="s">
        <v>411</v>
      </c>
      <c r="DS35" t="b">
        <v>1</v>
      </c>
      <c r="DT35" t="s">
        <v>470</v>
      </c>
      <c r="DU35" t="s">
        <v>471</v>
      </c>
      <c r="DV35" t="s">
        <v>472</v>
      </c>
      <c r="DX35">
        <v>-9999</v>
      </c>
      <c r="DZ35" t="s">
        <v>447</v>
      </c>
      <c r="EA35" t="s">
        <v>448</v>
      </c>
      <c r="EB35" t="s">
        <v>561</v>
      </c>
      <c r="EC35">
        <v>20101217</v>
      </c>
      <c r="ED35" t="s">
        <v>474</v>
      </c>
      <c r="EF35">
        <v>37.6</v>
      </c>
      <c r="EG35">
        <v>37.6</v>
      </c>
      <c r="EI35">
        <v>20160407</v>
      </c>
      <c r="EJ35">
        <v>0</v>
      </c>
      <c r="EK35">
        <v>0</v>
      </c>
      <c r="EP35" t="s">
        <v>421</v>
      </c>
      <c r="EQ35" t="s">
        <v>422</v>
      </c>
      <c r="ER35">
        <v>0</v>
      </c>
      <c r="ES35">
        <v>1</v>
      </c>
      <c r="ET35">
        <v>0</v>
      </c>
      <c r="EU35">
        <v>0</v>
      </c>
      <c r="EV35">
        <v>0</v>
      </c>
      <c r="EW35" s="2">
        <v>43222</v>
      </c>
      <c r="EX35" s="1">
        <v>40688</v>
      </c>
      <c r="EY35">
        <v>2010</v>
      </c>
      <c r="EZ35">
        <v>980.08</v>
      </c>
      <c r="FA35" t="s">
        <v>800</v>
      </c>
      <c r="FB35">
        <v>7.25</v>
      </c>
      <c r="FC35" t="s">
        <v>424</v>
      </c>
      <c r="FD35" t="s">
        <v>425</v>
      </c>
      <c r="FE35" s="1">
        <v>40809</v>
      </c>
      <c r="FF35">
        <v>4</v>
      </c>
      <c r="FG35">
        <v>116</v>
      </c>
      <c r="FH35" t="s">
        <v>509</v>
      </c>
    </row>
    <row r="36" spans="1:308" x14ac:dyDescent="0.25">
      <c r="A36">
        <v>16485043</v>
      </c>
      <c r="B36">
        <v>35</v>
      </c>
      <c r="C36" t="s">
        <v>393</v>
      </c>
      <c r="D36" t="s">
        <v>394</v>
      </c>
      <c r="F36" t="str">
        <f>"24-1N-23-0000-0001-0180"</f>
        <v>24-1N-23-0000-0001-0180</v>
      </c>
      <c r="H36" t="str">
        <f>"PORTER JOHN C II"</f>
        <v>PORTER JOHN C II</v>
      </c>
      <c r="I36" t="str">
        <f>"3342 STARDUST ROAD"</f>
        <v>3342 STARDUST ROAD</v>
      </c>
      <c r="J36" t="str">
        <f t="shared" si="12"/>
        <v>BRYCEVILLE FL 32009</v>
      </c>
      <c r="K36" t="str">
        <f>"3342 STARDUST RD"</f>
        <v>3342 STARDUST RD</v>
      </c>
      <c r="L36" t="str">
        <f t="shared" si="7"/>
        <v>BRYCEVILLE FL 32009</v>
      </c>
      <c r="M36" t="str">
        <f>"PT OF NE1/4 IN OR 974/167"</f>
        <v>PT OF NE1/4 IN OR 974/167</v>
      </c>
      <c r="N36" t="str">
        <f>""</f>
        <v/>
      </c>
      <c r="O36" t="str">
        <f>"34324"</f>
        <v>34324</v>
      </c>
      <c r="P36" t="str">
        <f t="shared" si="2"/>
        <v>2017</v>
      </c>
      <c r="Q36" t="str">
        <f>""</f>
        <v/>
      </c>
      <c r="R36" t="str">
        <f t="shared" si="8"/>
        <v>N</v>
      </c>
      <c r="S36" t="str">
        <f>"2.50"</f>
        <v>2.50</v>
      </c>
      <c r="T36" t="str">
        <f>"1320.41"</f>
        <v>1320.41</v>
      </c>
      <c r="U36" t="str">
        <f>"87220.00"</f>
        <v>87220.00</v>
      </c>
      <c r="V36" t="str">
        <f>"87220.00"</f>
        <v>87220.00</v>
      </c>
      <c r="W36" t="str">
        <f t="shared" si="3"/>
        <v>2017</v>
      </c>
      <c r="X36" t="str">
        <f>"7.80"</f>
        <v>7.80</v>
      </c>
      <c r="Y36" t="str">
        <f>"1392.02"</f>
        <v>1392.02</v>
      </c>
      <c r="Z36" t="str">
        <f>""</f>
        <v/>
      </c>
      <c r="AA36" t="str">
        <f>"87220.00"</f>
        <v>87220.00</v>
      </c>
      <c r="AB36" t="str">
        <f t="shared" si="9"/>
        <v>Residential</v>
      </c>
      <c r="AC36" t="str">
        <f t="shared" si="4"/>
        <v>0</v>
      </c>
      <c r="AD36" t="str">
        <f>"3"</f>
        <v>3</v>
      </c>
      <c r="AE36" t="str">
        <f>"MASONRY"</f>
        <v>MASONRY</v>
      </c>
      <c r="AF36" t="str">
        <f>"002"</f>
        <v>002</v>
      </c>
      <c r="AG36" t="str">
        <f t="shared" si="11"/>
        <v>FL</v>
      </c>
      <c r="AH36" t="str">
        <f>"108900.00"</f>
        <v>108900.00</v>
      </c>
      <c r="AI36" t="str">
        <f>"30000.00"</f>
        <v>30000.00</v>
      </c>
      <c r="AJ36" t="str">
        <f>"C55-000-587-3418-7"</f>
        <v>C55-000-587-3418-7</v>
      </c>
      <c r="AK36" t="str">
        <f>"377"</f>
        <v>377</v>
      </c>
      <c r="AL36">
        <v>1</v>
      </c>
      <c r="AM36">
        <v>41</v>
      </c>
      <c r="AN36">
        <v>1460.02</v>
      </c>
      <c r="AQ36" t="s">
        <v>801</v>
      </c>
      <c r="AR36" t="s">
        <v>801</v>
      </c>
      <c r="AS36" t="s">
        <v>801</v>
      </c>
      <c r="AU36" t="s">
        <v>396</v>
      </c>
      <c r="AV36">
        <v>2017</v>
      </c>
      <c r="AW36" t="str">
        <f>"24-1N-23-0000-0001-0180 "</f>
        <v xml:space="preserve">24-1N-23-0000-0001-0180 </v>
      </c>
      <c r="AX36">
        <v>3342</v>
      </c>
      <c r="AZ36" t="s">
        <v>802</v>
      </c>
      <c r="BA36" t="s">
        <v>496</v>
      </c>
      <c r="BD36" t="s">
        <v>553</v>
      </c>
      <c r="BE36" t="s">
        <v>393</v>
      </c>
      <c r="BF36">
        <v>32009</v>
      </c>
      <c r="BG36" t="s">
        <v>803</v>
      </c>
      <c r="BH36" t="s">
        <v>555</v>
      </c>
      <c r="BI36">
        <v>-81.992452239283395</v>
      </c>
      <c r="BJ36">
        <v>30.459733459557899</v>
      </c>
      <c r="BK36" t="s">
        <v>804</v>
      </c>
      <c r="BM36" t="s">
        <v>805</v>
      </c>
      <c r="BN36" t="s">
        <v>558</v>
      </c>
      <c r="BO36">
        <v>32009</v>
      </c>
      <c r="BP36" t="s">
        <v>416</v>
      </c>
      <c r="BQ36">
        <v>200</v>
      </c>
      <c r="BR36" t="s">
        <v>405</v>
      </c>
      <c r="BS36">
        <v>1006</v>
      </c>
      <c r="BT36" t="s">
        <v>406</v>
      </c>
      <c r="BW36">
        <v>108900</v>
      </c>
      <c r="BX36" t="s">
        <v>407</v>
      </c>
      <c r="BY36" t="s">
        <v>408</v>
      </c>
      <c r="BZ36">
        <v>3</v>
      </c>
      <c r="CA36">
        <v>2000</v>
      </c>
      <c r="CC36">
        <v>1</v>
      </c>
      <c r="CD36">
        <v>2017</v>
      </c>
      <c r="CE36">
        <v>30000</v>
      </c>
      <c r="CF36">
        <v>57220</v>
      </c>
      <c r="CG36">
        <v>87220</v>
      </c>
      <c r="CH36">
        <v>2017</v>
      </c>
      <c r="CI36">
        <v>30000</v>
      </c>
      <c r="CJ36">
        <v>57220</v>
      </c>
      <c r="CK36">
        <v>87220</v>
      </c>
      <c r="CL36">
        <v>2017</v>
      </c>
      <c r="CM36">
        <v>1320.41</v>
      </c>
      <c r="CN36" s="1">
        <v>36957</v>
      </c>
      <c r="CO36">
        <v>15000</v>
      </c>
      <c r="CZ36" s="1">
        <v>36957</v>
      </c>
      <c r="DD36" t="s">
        <v>553</v>
      </c>
      <c r="DG36">
        <v>24</v>
      </c>
      <c r="DL36">
        <v>50504</v>
      </c>
      <c r="DM36" t="s">
        <v>782</v>
      </c>
      <c r="DO36" t="s">
        <v>806</v>
      </c>
      <c r="DP36">
        <v>0</v>
      </c>
      <c r="DQ36">
        <v>0</v>
      </c>
      <c r="DR36" t="s">
        <v>411</v>
      </c>
      <c r="DS36" t="b">
        <v>1</v>
      </c>
      <c r="DT36" t="s">
        <v>396</v>
      </c>
      <c r="DV36" t="s">
        <v>446</v>
      </c>
      <c r="DX36">
        <v>-9999</v>
      </c>
      <c r="DZ36" t="s">
        <v>447</v>
      </c>
      <c r="EA36" t="s">
        <v>448</v>
      </c>
      <c r="EB36" t="s">
        <v>449</v>
      </c>
      <c r="EC36">
        <v>20101217</v>
      </c>
      <c r="ED36" t="s">
        <v>450</v>
      </c>
      <c r="EE36">
        <v>45.3</v>
      </c>
      <c r="EF36">
        <v>0</v>
      </c>
      <c r="EG36">
        <v>0</v>
      </c>
      <c r="EI36">
        <v>20160407</v>
      </c>
      <c r="EJ36">
        <v>0</v>
      </c>
      <c r="EK36">
        <v>0</v>
      </c>
      <c r="EP36" t="s">
        <v>421</v>
      </c>
      <c r="EQ36" t="s">
        <v>422</v>
      </c>
      <c r="ER36">
        <v>0</v>
      </c>
      <c r="ES36">
        <v>4</v>
      </c>
      <c r="ET36">
        <v>0</v>
      </c>
      <c r="EU36">
        <v>0</v>
      </c>
      <c r="EV36">
        <v>0</v>
      </c>
      <c r="EW36" s="2">
        <v>43222</v>
      </c>
      <c r="EX36" s="1">
        <v>42515</v>
      </c>
      <c r="EY36">
        <v>2015</v>
      </c>
      <c r="EZ36">
        <v>1362.49</v>
      </c>
      <c r="FA36" t="s">
        <v>807</v>
      </c>
      <c r="FB36">
        <v>0.25</v>
      </c>
      <c r="FC36" t="s">
        <v>424</v>
      </c>
      <c r="FD36" t="s">
        <v>425</v>
      </c>
      <c r="FE36" s="1">
        <v>42670</v>
      </c>
      <c r="FF36">
        <v>5</v>
      </c>
      <c r="FG36">
        <v>7045074</v>
      </c>
      <c r="FH36" t="s">
        <v>580</v>
      </c>
      <c r="FJ36" s="1">
        <v>42515</v>
      </c>
      <c r="FK36">
        <v>2015</v>
      </c>
      <c r="FL36">
        <v>1362.49</v>
      </c>
      <c r="FM36" t="s">
        <v>807</v>
      </c>
      <c r="FN36">
        <v>0.25</v>
      </c>
      <c r="FO36" t="s">
        <v>424</v>
      </c>
      <c r="FP36" t="s">
        <v>425</v>
      </c>
      <c r="FR36">
        <v>22</v>
      </c>
      <c r="FS36">
        <v>6596668</v>
      </c>
      <c r="FT36" t="s">
        <v>808</v>
      </c>
      <c r="FV36" s="1">
        <v>41787</v>
      </c>
      <c r="FW36">
        <v>2013</v>
      </c>
      <c r="FX36">
        <v>701.11</v>
      </c>
      <c r="FY36" t="s">
        <v>809</v>
      </c>
      <c r="FZ36">
        <v>0.25</v>
      </c>
      <c r="GA36" t="s">
        <v>424</v>
      </c>
      <c r="GB36" t="s">
        <v>425</v>
      </c>
      <c r="GC36" s="1">
        <v>42121</v>
      </c>
      <c r="GD36">
        <v>11</v>
      </c>
      <c r="GE36">
        <v>2101385</v>
      </c>
      <c r="GF36" t="s">
        <v>810</v>
      </c>
      <c r="GH36" s="1">
        <v>41052</v>
      </c>
      <c r="GI36">
        <v>2011</v>
      </c>
      <c r="GJ36">
        <v>869.18</v>
      </c>
      <c r="GK36" t="s">
        <v>811</v>
      </c>
      <c r="GL36">
        <v>5.75</v>
      </c>
      <c r="GM36" t="s">
        <v>424</v>
      </c>
      <c r="GN36" t="s">
        <v>425</v>
      </c>
      <c r="GO36" s="1">
        <v>41163</v>
      </c>
      <c r="GP36">
        <v>4</v>
      </c>
      <c r="GQ36">
        <v>10125</v>
      </c>
      <c r="GR36" t="s">
        <v>440</v>
      </c>
    </row>
    <row r="37" spans="1:308" x14ac:dyDescent="0.25">
      <c r="A37">
        <v>16485044</v>
      </c>
      <c r="B37">
        <v>36</v>
      </c>
      <c r="C37" t="s">
        <v>393</v>
      </c>
      <c r="D37" t="s">
        <v>394</v>
      </c>
      <c r="F37" t="str">
        <f>"24-1N-23-0000-0001-0190"</f>
        <v>24-1N-23-0000-0001-0190</v>
      </c>
      <c r="H37" t="str">
        <f>"GAMBRELL ROBERT J"</f>
        <v>GAMBRELL ROBERT J</v>
      </c>
      <c r="I37" t="str">
        <f>"3330 STAR DUST ROAD"</f>
        <v>3330 STAR DUST ROAD</v>
      </c>
      <c r="J37" t="str">
        <f t="shared" si="12"/>
        <v>BRYCEVILLE FL 32009</v>
      </c>
      <c r="K37" t="str">
        <f>"3330 STARDUST RD"</f>
        <v>3330 STARDUST RD</v>
      </c>
      <c r="L37" t="str">
        <f t="shared" si="7"/>
        <v>BRYCEVILLE FL 32009</v>
      </c>
      <c r="M37" t="str">
        <f>"PT OF NE1/4 IN OR 1027/1737 2001 PION DW/MH"</f>
        <v>PT OF NE1/4 IN OR 1027/1737 2001 PION DW/MH</v>
      </c>
      <c r="N37" t="str">
        <f>""</f>
        <v/>
      </c>
      <c r="O37" t="str">
        <f>"34325"</f>
        <v>34325</v>
      </c>
      <c r="P37" t="str">
        <f t="shared" si="2"/>
        <v>2017</v>
      </c>
      <c r="Q37" t="str">
        <f>""</f>
        <v/>
      </c>
      <c r="R37" t="str">
        <f>"Y"</f>
        <v>Y</v>
      </c>
      <c r="S37" t="str">
        <f>"2.00"</f>
        <v>2.00</v>
      </c>
      <c r="T37" t="str">
        <f>"377.15"</f>
        <v>377.15</v>
      </c>
      <c r="U37" t="str">
        <f>"49913.00"</f>
        <v>49913.00</v>
      </c>
      <c r="V37" t="str">
        <f>"49913.00"</f>
        <v>49913.00</v>
      </c>
      <c r="W37" t="str">
        <f t="shared" si="3"/>
        <v>2017</v>
      </c>
      <c r="X37" t="str">
        <f>"18.00"</f>
        <v>18.00</v>
      </c>
      <c r="Y37" t="str">
        <f>"420.46"</f>
        <v>420.46</v>
      </c>
      <c r="Z37" t="str">
        <f>"25000.00"</f>
        <v>25000.00</v>
      </c>
      <c r="AA37" t="str">
        <f>"24913.00"</f>
        <v>24913.00</v>
      </c>
      <c r="AB37" t="str">
        <f t="shared" si="9"/>
        <v>Residential</v>
      </c>
      <c r="AC37" t="str">
        <f t="shared" si="4"/>
        <v>0</v>
      </c>
      <c r="AD37" t="str">
        <f>"4"</f>
        <v>4</v>
      </c>
      <c r="AE37" t="str">
        <f>"WOOD (INCLUDE STEEL STUDS)"</f>
        <v>WOOD (INCLUDE STEEL STUDS)</v>
      </c>
      <c r="AF37" t="str">
        <f>"002"</f>
        <v>002</v>
      </c>
      <c r="AG37" t="str">
        <f t="shared" si="11"/>
        <v>FL</v>
      </c>
      <c r="AH37" t="str">
        <f>"87120.00"</f>
        <v>87120.00</v>
      </c>
      <c r="AI37" t="str">
        <f>"20400.00"</f>
        <v>20400.00</v>
      </c>
      <c r="AJ37" t="str">
        <f>"C55-000-587-3419-5"</f>
        <v>C55-000-587-3419-5</v>
      </c>
      <c r="AK37" t="str">
        <f>"378"</f>
        <v>378</v>
      </c>
      <c r="AL37">
        <v>1</v>
      </c>
      <c r="AM37">
        <v>42</v>
      </c>
      <c r="AN37">
        <v>439.88</v>
      </c>
      <c r="AQ37" t="s">
        <v>812</v>
      </c>
      <c r="AR37" t="s">
        <v>812</v>
      </c>
      <c r="AS37" t="s">
        <v>812</v>
      </c>
      <c r="AU37" t="s">
        <v>396</v>
      </c>
      <c r="AV37">
        <v>2017</v>
      </c>
      <c r="AW37" t="str">
        <f>"24-1N-23-0000-0001-0190 "</f>
        <v xml:space="preserve">24-1N-23-0000-0001-0190 </v>
      </c>
      <c r="AX37">
        <v>3330</v>
      </c>
      <c r="AZ37" t="s">
        <v>802</v>
      </c>
      <c r="BA37" t="s">
        <v>496</v>
      </c>
      <c r="BD37" t="s">
        <v>553</v>
      </c>
      <c r="BE37" t="s">
        <v>393</v>
      </c>
      <c r="BF37">
        <v>32009</v>
      </c>
      <c r="BG37" t="s">
        <v>813</v>
      </c>
      <c r="BH37" t="s">
        <v>555</v>
      </c>
      <c r="BI37">
        <v>-81.991134832688303</v>
      </c>
      <c r="BJ37">
        <v>30.459425673738199</v>
      </c>
      <c r="BK37" t="s">
        <v>814</v>
      </c>
      <c r="BM37" t="s">
        <v>813</v>
      </c>
      <c r="BN37" t="s">
        <v>558</v>
      </c>
      <c r="BO37">
        <v>32009</v>
      </c>
      <c r="BP37" t="s">
        <v>416</v>
      </c>
      <c r="BQ37">
        <v>200</v>
      </c>
      <c r="BR37" t="s">
        <v>405</v>
      </c>
      <c r="BS37">
        <v>1006</v>
      </c>
      <c r="BT37" t="s">
        <v>406</v>
      </c>
      <c r="BW37">
        <v>87120</v>
      </c>
      <c r="BX37" t="s">
        <v>407</v>
      </c>
      <c r="BY37" t="s">
        <v>408</v>
      </c>
      <c r="BZ37">
        <v>4</v>
      </c>
      <c r="CA37">
        <v>2001</v>
      </c>
      <c r="CB37">
        <v>1</v>
      </c>
      <c r="CC37">
        <v>1</v>
      </c>
      <c r="CD37">
        <v>2017</v>
      </c>
      <c r="CG37">
        <v>49913</v>
      </c>
      <c r="CH37">
        <v>2017</v>
      </c>
      <c r="CI37">
        <v>20400</v>
      </c>
      <c r="CJ37">
        <v>41398</v>
      </c>
      <c r="CK37">
        <v>61798</v>
      </c>
      <c r="CL37">
        <v>2017</v>
      </c>
      <c r="CM37">
        <v>377.15</v>
      </c>
      <c r="CN37" s="1">
        <v>37256</v>
      </c>
      <c r="CO37">
        <v>27900</v>
      </c>
      <c r="CZ37" s="1">
        <v>37256</v>
      </c>
      <c r="DD37" t="s">
        <v>553</v>
      </c>
      <c r="DG37">
        <v>24</v>
      </c>
      <c r="DL37">
        <v>50504</v>
      </c>
      <c r="DM37" t="s">
        <v>782</v>
      </c>
      <c r="DO37" t="s">
        <v>815</v>
      </c>
      <c r="DP37">
        <v>0</v>
      </c>
      <c r="DQ37">
        <v>0</v>
      </c>
      <c r="DR37" t="s">
        <v>411</v>
      </c>
      <c r="DS37" t="b">
        <v>1</v>
      </c>
      <c r="DT37" t="s">
        <v>470</v>
      </c>
      <c r="DU37" t="s">
        <v>471</v>
      </c>
      <c r="DV37" t="s">
        <v>472</v>
      </c>
      <c r="DX37">
        <v>-9999</v>
      </c>
      <c r="DZ37" t="s">
        <v>447</v>
      </c>
      <c r="EA37" t="s">
        <v>448</v>
      </c>
      <c r="EB37" t="s">
        <v>742</v>
      </c>
      <c r="EC37">
        <v>20101217</v>
      </c>
      <c r="ED37" t="s">
        <v>474</v>
      </c>
      <c r="EF37">
        <v>370.9</v>
      </c>
      <c r="EG37">
        <v>370.9</v>
      </c>
      <c r="EI37">
        <v>20160407</v>
      </c>
      <c r="EJ37">
        <v>0</v>
      </c>
      <c r="EK37">
        <v>0</v>
      </c>
      <c r="EP37" t="s">
        <v>421</v>
      </c>
      <c r="EQ37" t="s">
        <v>422</v>
      </c>
      <c r="ER37">
        <v>2</v>
      </c>
      <c r="ES37">
        <v>11</v>
      </c>
      <c r="ET37">
        <v>847.1</v>
      </c>
      <c r="EU37">
        <v>54.86</v>
      </c>
      <c r="EV37">
        <v>901.96</v>
      </c>
      <c r="EW37" s="2">
        <v>43222</v>
      </c>
      <c r="EX37" s="1">
        <v>42879</v>
      </c>
      <c r="EY37">
        <v>2016</v>
      </c>
      <c r="EZ37">
        <v>423.55</v>
      </c>
      <c r="FA37" t="s">
        <v>816</v>
      </c>
      <c r="FB37">
        <v>0.25</v>
      </c>
      <c r="FC37" t="s">
        <v>424</v>
      </c>
      <c r="FD37" t="s">
        <v>454</v>
      </c>
      <c r="FF37">
        <v>12</v>
      </c>
      <c r="FG37">
        <v>2851116</v>
      </c>
      <c r="FH37" t="s">
        <v>480</v>
      </c>
      <c r="FJ37" s="1">
        <v>42879</v>
      </c>
      <c r="FK37">
        <v>2016</v>
      </c>
      <c r="FL37">
        <v>423.55</v>
      </c>
      <c r="FM37" t="s">
        <v>816</v>
      </c>
      <c r="FN37">
        <v>0.25</v>
      </c>
      <c r="FO37" t="s">
        <v>424</v>
      </c>
      <c r="FP37" t="s">
        <v>454</v>
      </c>
      <c r="FR37">
        <v>12</v>
      </c>
      <c r="FS37">
        <v>5287147</v>
      </c>
      <c r="FT37" t="s">
        <v>817</v>
      </c>
      <c r="FV37" s="1">
        <v>42515</v>
      </c>
      <c r="FW37">
        <v>2015</v>
      </c>
      <c r="FX37">
        <v>462.62</v>
      </c>
      <c r="FY37" t="s">
        <v>818</v>
      </c>
      <c r="FZ37">
        <v>0.25</v>
      </c>
      <c r="GA37" t="s">
        <v>424</v>
      </c>
      <c r="GB37" t="s">
        <v>425</v>
      </c>
      <c r="GC37" s="1">
        <v>42769</v>
      </c>
      <c r="GD37">
        <v>9</v>
      </c>
      <c r="GE37">
        <v>2851116</v>
      </c>
      <c r="GF37" t="s">
        <v>480</v>
      </c>
      <c r="GH37" s="1">
        <v>42515</v>
      </c>
      <c r="GI37">
        <v>2015</v>
      </c>
      <c r="GJ37">
        <v>462.62</v>
      </c>
      <c r="GK37" t="s">
        <v>818</v>
      </c>
      <c r="GL37">
        <v>0.25</v>
      </c>
      <c r="GM37" t="s">
        <v>424</v>
      </c>
      <c r="GN37" t="s">
        <v>425</v>
      </c>
      <c r="GP37">
        <v>22</v>
      </c>
      <c r="GQ37">
        <v>5039380</v>
      </c>
      <c r="GR37" t="s">
        <v>819</v>
      </c>
      <c r="GT37" s="1">
        <v>42151</v>
      </c>
      <c r="GU37">
        <v>2014</v>
      </c>
      <c r="GV37">
        <v>462.78</v>
      </c>
      <c r="GW37" t="s">
        <v>820</v>
      </c>
      <c r="GX37">
        <v>0.25</v>
      </c>
      <c r="GY37" t="s">
        <v>424</v>
      </c>
      <c r="GZ37" t="s">
        <v>425</v>
      </c>
      <c r="HB37">
        <v>22</v>
      </c>
      <c r="HC37">
        <v>15399</v>
      </c>
      <c r="HD37" t="s">
        <v>485</v>
      </c>
      <c r="HF37" s="1">
        <v>42151</v>
      </c>
      <c r="HG37">
        <v>2014</v>
      </c>
      <c r="HH37">
        <v>462.78</v>
      </c>
      <c r="HI37" t="s">
        <v>820</v>
      </c>
      <c r="HJ37">
        <v>0.25</v>
      </c>
      <c r="HK37" t="s">
        <v>424</v>
      </c>
      <c r="HL37" t="s">
        <v>425</v>
      </c>
      <c r="HN37">
        <v>22</v>
      </c>
      <c r="HO37">
        <v>7045023</v>
      </c>
      <c r="HP37" t="s">
        <v>821</v>
      </c>
      <c r="HR37" s="1">
        <v>42151</v>
      </c>
      <c r="HS37">
        <v>2014</v>
      </c>
      <c r="HT37">
        <v>462.78</v>
      </c>
      <c r="HU37" t="s">
        <v>820</v>
      </c>
      <c r="HV37">
        <v>0.25</v>
      </c>
      <c r="HW37" t="s">
        <v>424</v>
      </c>
      <c r="HX37" t="s">
        <v>425</v>
      </c>
      <c r="HZ37">
        <v>22</v>
      </c>
      <c r="IA37">
        <v>7336692</v>
      </c>
      <c r="IB37" t="s">
        <v>822</v>
      </c>
      <c r="ID37" s="1">
        <v>42151</v>
      </c>
      <c r="IE37">
        <v>2014</v>
      </c>
      <c r="IF37">
        <v>462.78</v>
      </c>
      <c r="IG37" t="s">
        <v>820</v>
      </c>
      <c r="IH37">
        <v>0.25</v>
      </c>
      <c r="II37" t="s">
        <v>424</v>
      </c>
      <c r="IJ37" t="s">
        <v>425</v>
      </c>
      <c r="IK37" s="1">
        <v>42769</v>
      </c>
      <c r="IL37">
        <v>21</v>
      </c>
      <c r="IM37">
        <v>7336698</v>
      </c>
      <c r="IN37" t="s">
        <v>823</v>
      </c>
      <c r="IP37" s="1">
        <v>41787</v>
      </c>
      <c r="IQ37">
        <v>2013</v>
      </c>
      <c r="IR37">
        <v>444.56</v>
      </c>
      <c r="IS37" t="s">
        <v>824</v>
      </c>
      <c r="IT37">
        <v>2.25</v>
      </c>
      <c r="IU37" t="s">
        <v>424</v>
      </c>
      <c r="IV37" t="s">
        <v>425</v>
      </c>
      <c r="IW37" s="1">
        <v>42410</v>
      </c>
      <c r="IX37">
        <v>21</v>
      </c>
      <c r="IY37">
        <v>15399</v>
      </c>
      <c r="IZ37" t="s">
        <v>485</v>
      </c>
      <c r="JB37" s="1">
        <v>41423</v>
      </c>
      <c r="JC37">
        <v>2012</v>
      </c>
      <c r="JD37">
        <v>452.11</v>
      </c>
      <c r="JE37" t="s">
        <v>825</v>
      </c>
      <c r="JF37">
        <v>3.5</v>
      </c>
      <c r="JG37" t="s">
        <v>424</v>
      </c>
      <c r="JH37" t="s">
        <v>425</v>
      </c>
      <c r="JJ37">
        <v>22</v>
      </c>
      <c r="JK37">
        <v>15399</v>
      </c>
      <c r="JL37" t="s">
        <v>485</v>
      </c>
      <c r="JN37" s="1">
        <v>41423</v>
      </c>
      <c r="JO37">
        <v>2012</v>
      </c>
      <c r="JP37">
        <v>452.11</v>
      </c>
      <c r="JQ37" t="s">
        <v>825</v>
      </c>
      <c r="JR37">
        <v>3.5</v>
      </c>
      <c r="JS37" t="s">
        <v>424</v>
      </c>
      <c r="JT37" t="s">
        <v>425</v>
      </c>
      <c r="JU37" s="1">
        <v>42410</v>
      </c>
      <c r="JV37">
        <v>33</v>
      </c>
      <c r="JW37">
        <v>13027</v>
      </c>
      <c r="JX37" t="s">
        <v>826</v>
      </c>
      <c r="JZ37" s="1">
        <v>41052</v>
      </c>
      <c r="KA37">
        <v>2011</v>
      </c>
      <c r="KB37">
        <v>602.32000000000005</v>
      </c>
      <c r="KC37" t="s">
        <v>827</v>
      </c>
      <c r="KD37">
        <v>5.75</v>
      </c>
      <c r="KE37" t="s">
        <v>424</v>
      </c>
      <c r="KF37" t="s">
        <v>425</v>
      </c>
      <c r="KG37" s="1">
        <v>41680</v>
      </c>
      <c r="KH37">
        <v>21</v>
      </c>
      <c r="KI37">
        <v>10125</v>
      </c>
      <c r="KJ37" t="s">
        <v>440</v>
      </c>
      <c r="KL37" s="1">
        <v>40688</v>
      </c>
      <c r="KM37">
        <v>2010</v>
      </c>
      <c r="KN37">
        <v>614.54999999999995</v>
      </c>
      <c r="KO37" t="s">
        <v>828</v>
      </c>
      <c r="KP37">
        <v>5</v>
      </c>
      <c r="KQ37" t="s">
        <v>424</v>
      </c>
      <c r="KR37" t="s">
        <v>425</v>
      </c>
      <c r="KS37" s="1">
        <v>41333</v>
      </c>
      <c r="KT37">
        <v>21</v>
      </c>
      <c r="KU37">
        <v>287</v>
      </c>
      <c r="KV37" t="s">
        <v>572</v>
      </c>
    </row>
    <row r="38" spans="1:308" x14ac:dyDescent="0.25">
      <c r="A38">
        <v>16485045</v>
      </c>
      <c r="B38">
        <v>37</v>
      </c>
      <c r="C38" t="s">
        <v>393</v>
      </c>
      <c r="D38" t="s">
        <v>394</v>
      </c>
      <c r="F38" t="str">
        <f>"04-1S-23-0000-0007-0010"</f>
        <v>04-1S-23-0000-0007-0010</v>
      </c>
      <c r="H38" t="str">
        <f>"HYGEMA DAVID P &amp; SHARON L"</f>
        <v>HYGEMA DAVID P &amp; SHARON L</v>
      </c>
      <c r="I38" t="str">
        <f>"2187 KINARD ROAD"</f>
        <v>2187 KINARD ROAD</v>
      </c>
      <c r="J38" t="str">
        <f t="shared" si="12"/>
        <v>BRYCEVILLE FL 32009</v>
      </c>
      <c r="K38" t="str">
        <f>"2187 KINARD RD"</f>
        <v>2187 KINARD RD</v>
      </c>
      <c r="L38" t="str">
        <f t="shared" si="7"/>
        <v>BRYCEVILLE FL 32009</v>
      </c>
      <c r="M38" t="str">
        <f>"PT OF SW1/4 2003 MERIT DW/MH IN OR 1806/1014 EX 7-4"</f>
        <v>PT OF SW1/4 2003 MERIT DW/MH IN OR 1806/1014 EX 7-4</v>
      </c>
      <c r="N38" t="str">
        <f>""</f>
        <v/>
      </c>
      <c r="O38" t="str">
        <f>"19947"</f>
        <v>19947</v>
      </c>
      <c r="P38" t="str">
        <f t="shared" si="2"/>
        <v>2017</v>
      </c>
      <c r="Q38" t="str">
        <f>""</f>
        <v/>
      </c>
      <c r="R38" t="str">
        <f>"Y"</f>
        <v>Y</v>
      </c>
      <c r="S38" t="str">
        <f>"1.15"</f>
        <v>1.15</v>
      </c>
      <c r="T38" t="str">
        <f>"502.39"</f>
        <v>502.39</v>
      </c>
      <c r="U38" t="str">
        <f>"68780.00"</f>
        <v>68780.00</v>
      </c>
      <c r="V38" t="str">
        <f>"68780.00"</f>
        <v>68780.00</v>
      </c>
      <c r="W38" t="str">
        <f t="shared" si="3"/>
        <v>2017</v>
      </c>
      <c r="X38" t="str">
        <f>"7.50"</f>
        <v>7.50</v>
      </c>
      <c r="Y38" t="str">
        <f>"549.46"</f>
        <v>549.46</v>
      </c>
      <c r="Z38" t="str">
        <f>"25000.00"</f>
        <v>25000.00</v>
      </c>
      <c r="AA38" t="str">
        <f>"43780.00"</f>
        <v>43780.00</v>
      </c>
      <c r="AB38" t="str">
        <f t="shared" si="9"/>
        <v>Residential</v>
      </c>
      <c r="AC38" t="str">
        <f t="shared" si="4"/>
        <v>0</v>
      </c>
      <c r="AD38" t="str">
        <f>"4"</f>
        <v>4</v>
      </c>
      <c r="AE38" t="str">
        <f>"WOOD (INCLUDE STEEL STUDS)"</f>
        <v>WOOD (INCLUDE STEEL STUDS)</v>
      </c>
      <c r="AF38" t="str">
        <f>"002"</f>
        <v>002</v>
      </c>
      <c r="AG38" t="str">
        <f t="shared" si="11"/>
        <v>FL</v>
      </c>
      <c r="AH38" t="str">
        <f>"50094.00"</f>
        <v>50094.00</v>
      </c>
      <c r="AI38" t="str">
        <f>"17250.00"</f>
        <v>17250.00</v>
      </c>
      <c r="AJ38" t="str">
        <f>"C55-000-586-5089-6"</f>
        <v>C55-000-586-5089-6</v>
      </c>
      <c r="AK38" t="str">
        <f>"2593"</f>
        <v>2593</v>
      </c>
      <c r="AL38">
        <v>1</v>
      </c>
      <c r="AM38">
        <v>43</v>
      </c>
      <c r="AN38">
        <v>575.33000000000004</v>
      </c>
      <c r="AQ38" t="s">
        <v>829</v>
      </c>
      <c r="AR38" t="s">
        <v>829</v>
      </c>
      <c r="AS38" t="s">
        <v>829</v>
      </c>
      <c r="AU38" t="s">
        <v>396</v>
      </c>
      <c r="AV38">
        <v>2017</v>
      </c>
      <c r="AW38" t="str">
        <f>"04-1S-23-0000-0007-0010 "</f>
        <v xml:space="preserve">04-1S-23-0000-0007-0010 </v>
      </c>
      <c r="AX38">
        <v>2187</v>
      </c>
      <c r="AZ38" t="s">
        <v>830</v>
      </c>
      <c r="BA38" t="s">
        <v>496</v>
      </c>
      <c r="BD38" t="s">
        <v>553</v>
      </c>
      <c r="BE38" t="s">
        <v>393</v>
      </c>
      <c r="BF38">
        <v>32009</v>
      </c>
      <c r="BG38" t="s">
        <v>831</v>
      </c>
      <c r="BH38" t="s">
        <v>555</v>
      </c>
      <c r="BI38">
        <v>-82.014584022388107</v>
      </c>
      <c r="BJ38">
        <v>30.440572427932601</v>
      </c>
      <c r="BK38" t="s">
        <v>832</v>
      </c>
      <c r="BM38" t="s">
        <v>833</v>
      </c>
      <c r="BN38" t="s">
        <v>558</v>
      </c>
      <c r="BO38">
        <v>32009</v>
      </c>
      <c r="BP38" t="s">
        <v>416</v>
      </c>
      <c r="BQ38">
        <v>200</v>
      </c>
      <c r="BR38" t="s">
        <v>405</v>
      </c>
      <c r="BS38">
        <v>1006</v>
      </c>
      <c r="BT38" t="s">
        <v>406</v>
      </c>
      <c r="BW38">
        <v>50094</v>
      </c>
      <c r="BX38" t="s">
        <v>407</v>
      </c>
      <c r="BY38" t="s">
        <v>408</v>
      </c>
      <c r="BZ38">
        <v>4</v>
      </c>
      <c r="CA38">
        <v>2002</v>
      </c>
      <c r="CB38">
        <v>1</v>
      </c>
      <c r="CC38">
        <v>1</v>
      </c>
      <c r="CD38">
        <v>2017</v>
      </c>
      <c r="CG38">
        <v>68780</v>
      </c>
      <c r="CH38">
        <v>2017</v>
      </c>
      <c r="CI38">
        <v>17250</v>
      </c>
      <c r="CJ38">
        <v>69368</v>
      </c>
      <c r="CK38">
        <v>86618</v>
      </c>
      <c r="CL38">
        <v>2017</v>
      </c>
      <c r="CM38">
        <v>502.39</v>
      </c>
      <c r="CN38" s="1">
        <v>40085</v>
      </c>
      <c r="CO38">
        <v>95000</v>
      </c>
      <c r="CV38">
        <v>93000</v>
      </c>
      <c r="CX38" t="s">
        <v>707</v>
      </c>
      <c r="CZ38" s="1">
        <v>40085</v>
      </c>
      <c r="DA38">
        <v>0</v>
      </c>
      <c r="DD38" t="s">
        <v>553</v>
      </c>
      <c r="DG38">
        <v>4</v>
      </c>
      <c r="DL38">
        <v>50504</v>
      </c>
      <c r="DM38" t="s">
        <v>834</v>
      </c>
      <c r="DO38" t="s">
        <v>835</v>
      </c>
      <c r="DP38">
        <v>0</v>
      </c>
      <c r="DQ38">
        <v>0</v>
      </c>
      <c r="DR38" t="s">
        <v>411</v>
      </c>
      <c r="DS38" t="b">
        <v>1</v>
      </c>
      <c r="DT38" t="s">
        <v>470</v>
      </c>
      <c r="DU38" t="s">
        <v>471</v>
      </c>
      <c r="DV38" t="s">
        <v>472</v>
      </c>
      <c r="DX38">
        <v>-9999</v>
      </c>
      <c r="DZ38" t="s">
        <v>447</v>
      </c>
      <c r="EA38" t="s">
        <v>448</v>
      </c>
      <c r="EB38" t="s">
        <v>742</v>
      </c>
      <c r="EC38">
        <v>20101217</v>
      </c>
      <c r="ED38" t="s">
        <v>474</v>
      </c>
      <c r="EF38">
        <v>520.70000000000005</v>
      </c>
      <c r="EG38">
        <v>520.70000000000005</v>
      </c>
      <c r="EI38">
        <v>20160407</v>
      </c>
      <c r="EJ38">
        <v>0</v>
      </c>
      <c r="EK38">
        <v>0</v>
      </c>
      <c r="EP38" t="s">
        <v>421</v>
      </c>
      <c r="EQ38" t="s">
        <v>422</v>
      </c>
      <c r="ER38">
        <v>0</v>
      </c>
      <c r="ES38">
        <v>2</v>
      </c>
      <c r="ET38">
        <v>0</v>
      </c>
      <c r="EU38">
        <v>0</v>
      </c>
      <c r="EV38">
        <v>0</v>
      </c>
      <c r="EW38" s="2">
        <v>43222</v>
      </c>
      <c r="EX38" s="1">
        <v>41423</v>
      </c>
      <c r="EY38">
        <v>2012</v>
      </c>
      <c r="EZ38">
        <v>637.79999999999995</v>
      </c>
      <c r="FA38" t="s">
        <v>836</v>
      </c>
      <c r="FB38">
        <v>3.5</v>
      </c>
      <c r="FC38" t="s">
        <v>424</v>
      </c>
      <c r="FD38" t="s">
        <v>425</v>
      </c>
      <c r="FE38" s="1">
        <v>41771</v>
      </c>
      <c r="FF38">
        <v>12</v>
      </c>
      <c r="FG38">
        <v>15399</v>
      </c>
      <c r="FH38" t="s">
        <v>485</v>
      </c>
      <c r="FJ38" s="1">
        <v>41052</v>
      </c>
      <c r="FK38">
        <v>2011</v>
      </c>
      <c r="FL38">
        <v>976.96</v>
      </c>
      <c r="FM38" t="s">
        <v>837</v>
      </c>
      <c r="FN38">
        <v>5.75</v>
      </c>
      <c r="FO38" t="s">
        <v>424</v>
      </c>
      <c r="FP38" t="s">
        <v>425</v>
      </c>
      <c r="FQ38" s="1">
        <v>41127</v>
      </c>
      <c r="FR38">
        <v>3</v>
      </c>
      <c r="FS38">
        <v>12407</v>
      </c>
      <c r="FT38" t="s">
        <v>838</v>
      </c>
    </row>
    <row r="39" spans="1:308" x14ac:dyDescent="0.25">
      <c r="A39">
        <v>16485046</v>
      </c>
      <c r="B39">
        <v>38</v>
      </c>
      <c r="C39" t="s">
        <v>393</v>
      </c>
      <c r="D39" t="s">
        <v>394</v>
      </c>
      <c r="F39" t="str">
        <f>"04-1S-23-0000-0007-0020"</f>
        <v>04-1S-23-0000-0007-0020</v>
      </c>
      <c r="H39" t="str">
        <f>"MARTIN ROBERT RYAN &amp; KIRKPATRICK BARBARA E"</f>
        <v>MARTIN ROBERT RYAN &amp; KIRKPATRICK BARBARA E</v>
      </c>
      <c r="I39" t="str">
        <f>"2191 KINARD ROAD"</f>
        <v>2191 KINARD ROAD</v>
      </c>
      <c r="J39" t="str">
        <f t="shared" si="12"/>
        <v>BRYCEVILLE FL 32009</v>
      </c>
      <c r="K39" t="str">
        <f>"2191 KINARD RD"</f>
        <v>2191 KINARD RD</v>
      </c>
      <c r="L39" t="str">
        <f t="shared" si="7"/>
        <v>BRYCEVILLE FL 32009</v>
      </c>
      <c r="M39" t="str">
        <f>"PT OF SW1/4 2002 KING DW IN OR 1543/793 EX 7-3"</f>
        <v>PT OF SW1/4 2002 KING DW IN OR 1543/793 EX 7-3</v>
      </c>
      <c r="N39" t="str">
        <f>""</f>
        <v/>
      </c>
      <c r="O39" t="str">
        <f>"19948"</f>
        <v>19948</v>
      </c>
      <c r="P39" t="str">
        <f t="shared" si="2"/>
        <v>2017</v>
      </c>
      <c r="Q39" t="str">
        <f>""</f>
        <v/>
      </c>
      <c r="R39" t="str">
        <f>"Y"</f>
        <v>Y</v>
      </c>
      <c r="S39" t="str">
        <f>"1.01"</f>
        <v>1.01</v>
      </c>
      <c r="T39" t="str">
        <f>"936.52"</f>
        <v>936.52</v>
      </c>
      <c r="U39" t="str">
        <f>"86862.00"</f>
        <v>86862.00</v>
      </c>
      <c r="V39" t="str">
        <f>"86862.00"</f>
        <v>86862.00</v>
      </c>
      <c r="W39" t="str">
        <f t="shared" si="3"/>
        <v>2017</v>
      </c>
      <c r="X39" t="str">
        <f>"17.00"</f>
        <v>17.00</v>
      </c>
      <c r="Y39" t="str">
        <f>"996.62"</f>
        <v>996.62</v>
      </c>
      <c r="Z39" t="str">
        <f>"25000.00"</f>
        <v>25000.00</v>
      </c>
      <c r="AA39" t="str">
        <f>"61862.00"</f>
        <v>61862.00</v>
      </c>
      <c r="AB39" t="str">
        <f t="shared" si="9"/>
        <v>Residential</v>
      </c>
      <c r="AC39" t="str">
        <f t="shared" si="4"/>
        <v>0</v>
      </c>
      <c r="AD39" t="str">
        <f>"4"</f>
        <v>4</v>
      </c>
      <c r="AE39" t="str">
        <f>"WOOD (INCLUDE STEEL STUDS)"</f>
        <v>WOOD (INCLUDE STEEL STUDS)</v>
      </c>
      <c r="AF39" t="str">
        <f>"002"</f>
        <v>002</v>
      </c>
      <c r="AG39" t="str">
        <f t="shared" si="11"/>
        <v>FL</v>
      </c>
      <c r="AH39" t="str">
        <f>"43995.00"</f>
        <v>43995.00</v>
      </c>
      <c r="AI39" t="str">
        <f>"15150.00"</f>
        <v>15150.00</v>
      </c>
      <c r="AJ39" t="str">
        <f>"C55-000-586-5090-4"</f>
        <v>C55-000-586-5090-4</v>
      </c>
      <c r="AK39" t="str">
        <f>"2594"</f>
        <v>2594</v>
      </c>
      <c r="AL39">
        <v>1</v>
      </c>
      <c r="AM39">
        <v>44</v>
      </c>
      <c r="AN39">
        <v>1044.8499999999999</v>
      </c>
      <c r="AQ39" t="s">
        <v>839</v>
      </c>
      <c r="AR39" t="s">
        <v>839</v>
      </c>
      <c r="AS39" t="s">
        <v>839</v>
      </c>
      <c r="AU39" t="s">
        <v>396</v>
      </c>
      <c r="AV39">
        <v>2017</v>
      </c>
      <c r="AW39" t="str">
        <f>"04-1S-23-0000-0007-0020 "</f>
        <v xml:space="preserve">04-1S-23-0000-0007-0020 </v>
      </c>
      <c r="AX39">
        <v>2191</v>
      </c>
      <c r="AZ39" t="s">
        <v>830</v>
      </c>
      <c r="BA39" t="s">
        <v>496</v>
      </c>
      <c r="BD39" t="s">
        <v>553</v>
      </c>
      <c r="BE39" t="s">
        <v>393</v>
      </c>
      <c r="BF39">
        <v>32009</v>
      </c>
      <c r="BG39" t="s">
        <v>840</v>
      </c>
      <c r="BH39" t="s">
        <v>555</v>
      </c>
      <c r="BI39">
        <v>-82.014988474807396</v>
      </c>
      <c r="BJ39">
        <v>30.440579632326301</v>
      </c>
      <c r="BK39" t="s">
        <v>841</v>
      </c>
      <c r="BM39" t="s">
        <v>842</v>
      </c>
      <c r="BN39" t="s">
        <v>558</v>
      </c>
      <c r="BO39">
        <v>32009</v>
      </c>
      <c r="BP39" t="s">
        <v>416</v>
      </c>
      <c r="BQ39">
        <v>200</v>
      </c>
      <c r="BR39" t="s">
        <v>405</v>
      </c>
      <c r="BS39">
        <v>1006</v>
      </c>
      <c r="BT39" t="s">
        <v>406</v>
      </c>
      <c r="BW39">
        <v>43995</v>
      </c>
      <c r="BX39" t="s">
        <v>407</v>
      </c>
      <c r="BY39" t="s">
        <v>408</v>
      </c>
      <c r="BZ39">
        <v>4</v>
      </c>
      <c r="CA39">
        <v>2013</v>
      </c>
      <c r="CB39">
        <v>1</v>
      </c>
      <c r="CC39">
        <v>1</v>
      </c>
      <c r="CD39">
        <v>2017</v>
      </c>
      <c r="CG39">
        <v>86862</v>
      </c>
      <c r="CH39">
        <v>2017</v>
      </c>
      <c r="CI39">
        <v>15150</v>
      </c>
      <c r="CJ39">
        <v>74460</v>
      </c>
      <c r="CK39">
        <v>89610</v>
      </c>
      <c r="CL39">
        <v>2017</v>
      </c>
      <c r="CM39">
        <v>936.52</v>
      </c>
      <c r="CN39" s="1">
        <v>38804</v>
      </c>
      <c r="CO39">
        <v>88200</v>
      </c>
      <c r="CV39">
        <v>0</v>
      </c>
      <c r="CZ39" s="1">
        <v>38804</v>
      </c>
      <c r="DA39">
        <v>0</v>
      </c>
      <c r="DD39" t="s">
        <v>553</v>
      </c>
      <c r="DG39">
        <v>4</v>
      </c>
      <c r="DL39">
        <v>50504</v>
      </c>
      <c r="DM39" t="s">
        <v>834</v>
      </c>
      <c r="DO39" t="s">
        <v>843</v>
      </c>
      <c r="DP39">
        <v>0</v>
      </c>
      <c r="DQ39">
        <v>0</v>
      </c>
      <c r="DR39" t="s">
        <v>411</v>
      </c>
      <c r="DS39" t="b">
        <v>1</v>
      </c>
      <c r="DT39" t="s">
        <v>470</v>
      </c>
      <c r="DU39" t="s">
        <v>471</v>
      </c>
      <c r="DV39" t="s">
        <v>472</v>
      </c>
      <c r="DX39">
        <v>-9999</v>
      </c>
      <c r="DZ39" t="s">
        <v>447</v>
      </c>
      <c r="EA39" t="s">
        <v>448</v>
      </c>
      <c r="EB39" t="s">
        <v>742</v>
      </c>
      <c r="EC39">
        <v>20101217</v>
      </c>
      <c r="ED39" t="s">
        <v>474</v>
      </c>
      <c r="EF39">
        <v>393.5</v>
      </c>
      <c r="EG39">
        <v>393.5</v>
      </c>
      <c r="EI39">
        <v>20160407</v>
      </c>
      <c r="EJ39">
        <v>0</v>
      </c>
      <c r="EK39">
        <v>0</v>
      </c>
      <c r="EP39" t="s">
        <v>421</v>
      </c>
      <c r="EQ39" t="s">
        <v>422</v>
      </c>
      <c r="ER39">
        <v>4</v>
      </c>
      <c r="ES39">
        <v>5</v>
      </c>
      <c r="ET39">
        <v>4027.84</v>
      </c>
      <c r="EU39">
        <v>226.39</v>
      </c>
      <c r="EV39">
        <v>4254.2299999999996</v>
      </c>
      <c r="EW39" s="2">
        <v>43222</v>
      </c>
      <c r="EX39" s="1">
        <v>42879</v>
      </c>
      <c r="EY39">
        <v>2016</v>
      </c>
      <c r="EZ39">
        <v>1007.18</v>
      </c>
      <c r="FA39" t="s">
        <v>844</v>
      </c>
      <c r="FB39">
        <v>0.25</v>
      </c>
      <c r="FC39" t="s">
        <v>424</v>
      </c>
      <c r="FD39" t="s">
        <v>454</v>
      </c>
      <c r="FF39">
        <v>12</v>
      </c>
      <c r="FG39">
        <v>7400234</v>
      </c>
      <c r="FH39" t="s">
        <v>426</v>
      </c>
      <c r="FJ39" s="1">
        <v>42879</v>
      </c>
      <c r="FK39">
        <v>2016</v>
      </c>
      <c r="FL39">
        <v>1007.18</v>
      </c>
      <c r="FM39" t="s">
        <v>844</v>
      </c>
      <c r="FN39">
        <v>0.25</v>
      </c>
      <c r="FO39" t="s">
        <v>424</v>
      </c>
      <c r="FP39" t="s">
        <v>454</v>
      </c>
      <c r="FR39">
        <v>12</v>
      </c>
      <c r="FS39">
        <v>7530704</v>
      </c>
      <c r="FT39" t="s">
        <v>845</v>
      </c>
      <c r="FV39" s="1">
        <v>42515</v>
      </c>
      <c r="FW39">
        <v>2015</v>
      </c>
      <c r="FX39">
        <v>1006.74</v>
      </c>
      <c r="FY39" t="s">
        <v>846</v>
      </c>
      <c r="FZ39">
        <v>0.25</v>
      </c>
      <c r="GA39" t="s">
        <v>424</v>
      </c>
      <c r="GB39" t="s">
        <v>454</v>
      </c>
      <c r="GD39">
        <v>24</v>
      </c>
      <c r="GE39">
        <v>2851116</v>
      </c>
      <c r="GF39" t="s">
        <v>480</v>
      </c>
      <c r="GH39" s="1">
        <v>42515</v>
      </c>
      <c r="GI39">
        <v>2015</v>
      </c>
      <c r="GJ39">
        <v>1006.74</v>
      </c>
      <c r="GK39" t="s">
        <v>846</v>
      </c>
      <c r="GL39">
        <v>0.25</v>
      </c>
      <c r="GM39" t="s">
        <v>424</v>
      </c>
      <c r="GN39" t="s">
        <v>454</v>
      </c>
      <c r="GP39">
        <v>24</v>
      </c>
      <c r="GQ39">
        <v>4949885</v>
      </c>
      <c r="GR39" t="s">
        <v>847</v>
      </c>
      <c r="GT39" s="1">
        <v>42151</v>
      </c>
      <c r="GU39">
        <v>2014</v>
      </c>
      <c r="GV39">
        <v>820.6</v>
      </c>
      <c r="GW39" t="s">
        <v>848</v>
      </c>
      <c r="GX39">
        <v>0.25</v>
      </c>
      <c r="GY39" t="s">
        <v>424</v>
      </c>
      <c r="GZ39" t="s">
        <v>425</v>
      </c>
      <c r="HA39" s="1">
        <v>42906</v>
      </c>
      <c r="HB39">
        <v>25</v>
      </c>
      <c r="HC39">
        <v>2851116</v>
      </c>
      <c r="HD39" t="s">
        <v>480</v>
      </c>
      <c r="HF39" s="1">
        <v>42151</v>
      </c>
      <c r="HG39">
        <v>2014</v>
      </c>
      <c r="HH39">
        <v>820.6</v>
      </c>
      <c r="HI39" t="s">
        <v>848</v>
      </c>
      <c r="HJ39">
        <v>0.25</v>
      </c>
      <c r="HK39" t="s">
        <v>424</v>
      </c>
      <c r="HL39" t="s">
        <v>425</v>
      </c>
      <c r="HN39">
        <v>22</v>
      </c>
      <c r="HO39">
        <v>4935709</v>
      </c>
      <c r="HP39" t="s">
        <v>849</v>
      </c>
      <c r="HR39" s="1">
        <v>41423</v>
      </c>
      <c r="HS39">
        <v>2012</v>
      </c>
      <c r="HT39">
        <v>573</v>
      </c>
      <c r="HU39" t="s">
        <v>850</v>
      </c>
      <c r="HV39">
        <v>3.5</v>
      </c>
      <c r="HW39" t="s">
        <v>424</v>
      </c>
      <c r="HX39" t="s">
        <v>425</v>
      </c>
      <c r="HY39" s="1">
        <v>41760</v>
      </c>
      <c r="HZ39">
        <v>12</v>
      </c>
      <c r="IA39">
        <v>15399</v>
      </c>
      <c r="IB39" t="s">
        <v>485</v>
      </c>
      <c r="ID39" s="1">
        <v>41052</v>
      </c>
      <c r="IE39">
        <v>2011</v>
      </c>
      <c r="IF39">
        <v>832.63</v>
      </c>
      <c r="IG39" t="s">
        <v>851</v>
      </c>
      <c r="IH39">
        <v>6.25</v>
      </c>
      <c r="II39" t="s">
        <v>424</v>
      </c>
      <c r="IJ39" t="s">
        <v>425</v>
      </c>
      <c r="IK39" s="1">
        <v>41409</v>
      </c>
      <c r="IL39">
        <v>12</v>
      </c>
      <c r="IM39">
        <v>1109</v>
      </c>
      <c r="IN39" t="s">
        <v>852</v>
      </c>
      <c r="IP39" s="1">
        <v>40688</v>
      </c>
      <c r="IQ39">
        <v>2010</v>
      </c>
      <c r="IR39">
        <v>880.08</v>
      </c>
      <c r="IS39" t="s">
        <v>853</v>
      </c>
      <c r="IT39">
        <v>5</v>
      </c>
      <c r="IU39" t="s">
        <v>424</v>
      </c>
      <c r="IV39" t="s">
        <v>425</v>
      </c>
      <c r="IW39" s="1">
        <v>41409</v>
      </c>
      <c r="IX39">
        <v>24</v>
      </c>
      <c r="IY39">
        <v>287</v>
      </c>
      <c r="IZ39" t="s">
        <v>572</v>
      </c>
    </row>
    <row r="40" spans="1:308" x14ac:dyDescent="0.25">
      <c r="A40">
        <v>16485047</v>
      </c>
      <c r="B40">
        <v>39</v>
      </c>
      <c r="C40" t="s">
        <v>393</v>
      </c>
      <c r="D40" t="s">
        <v>394</v>
      </c>
      <c r="F40" t="str">
        <f>"04-1S-23-0000-0009-0210"</f>
        <v>04-1S-23-0000-0009-0210</v>
      </c>
      <c r="H40" t="str">
        <f>"RAULERSON STEPHEN M &amp; DOROTHY"</f>
        <v>RAULERSON STEPHEN M &amp; DOROTHY</v>
      </c>
      <c r="I40" t="str">
        <f>"2662 EASTWOOD DRIVE"</f>
        <v>2662 EASTWOOD DRIVE</v>
      </c>
      <c r="J40" t="str">
        <f t="shared" si="12"/>
        <v>BRYCEVILLE FL 32009</v>
      </c>
      <c r="K40" t="str">
        <f>"2662 EASTWOOD DR"</f>
        <v>2662 EASTWOOD DR</v>
      </c>
      <c r="L40" t="str">
        <f t="shared" si="7"/>
        <v>BRYCEVILLE FL 32009</v>
      </c>
      <c r="M40" t="str">
        <f>"IN OR 393 PG 71"</f>
        <v>IN OR 393 PG 71</v>
      </c>
      <c r="N40" t="str">
        <f>""</f>
        <v/>
      </c>
      <c r="O40" t="str">
        <f>"19976"</f>
        <v>19976</v>
      </c>
      <c r="P40" t="str">
        <f t="shared" si="2"/>
        <v>2017</v>
      </c>
      <c r="Q40" t="str">
        <f>""</f>
        <v/>
      </c>
      <c r="R40" t="str">
        <f>"Y"</f>
        <v>Y</v>
      </c>
      <c r="S40" t="str">
        <f>"4.00"</f>
        <v>4.00</v>
      </c>
      <c r="T40" t="str">
        <f>"2413.21"</f>
        <v>2413.21</v>
      </c>
      <c r="U40" t="str">
        <f>"198511.00"</f>
        <v>198511.00</v>
      </c>
      <c r="V40" t="str">
        <f>"198511.00"</f>
        <v>198511.00</v>
      </c>
      <c r="W40" t="str">
        <f t="shared" si="3"/>
        <v>2017</v>
      </c>
      <c r="X40" t="str">
        <f>""</f>
        <v/>
      </c>
      <c r="Y40" t="str">
        <f>"660.16"</f>
        <v>660.16</v>
      </c>
      <c r="Z40" t="str">
        <f>"25000.00"</f>
        <v>25000.00</v>
      </c>
      <c r="AA40" t="str">
        <f>"173511.00"</f>
        <v>173511.00</v>
      </c>
      <c r="AB40" t="str">
        <f t="shared" si="9"/>
        <v>Residential</v>
      </c>
      <c r="AC40" t="str">
        <f t="shared" si="4"/>
        <v>0</v>
      </c>
      <c r="AD40" t="str">
        <f>"4"</f>
        <v>4</v>
      </c>
      <c r="AE40" t="str">
        <f>"WOOD (INCLUDE STEEL STUDS)"</f>
        <v>WOOD (INCLUDE STEEL STUDS)</v>
      </c>
      <c r="AF40" t="str">
        <f>"001"</f>
        <v>001</v>
      </c>
      <c r="AG40" t="str">
        <f t="shared" si="11"/>
        <v>FL</v>
      </c>
      <c r="AH40" t="str">
        <f>"174240.00"</f>
        <v>174240.00</v>
      </c>
      <c r="AI40" t="str">
        <f>"32000.00"</f>
        <v>32000.00</v>
      </c>
      <c r="AJ40" t="str">
        <f>"C55-000-586-5116-7"</f>
        <v>C55-000-586-5116-7</v>
      </c>
      <c r="AK40" t="str">
        <f>"2620"</f>
        <v>2620</v>
      </c>
      <c r="AL40">
        <v>1</v>
      </c>
      <c r="AM40">
        <v>45</v>
      </c>
      <c r="AN40">
        <v>691.57</v>
      </c>
      <c r="AQ40" t="s">
        <v>854</v>
      </c>
      <c r="AR40" t="s">
        <v>854</v>
      </c>
      <c r="AS40" t="s">
        <v>854</v>
      </c>
      <c r="AU40" t="s">
        <v>396</v>
      </c>
      <c r="AV40">
        <v>2017</v>
      </c>
      <c r="AW40" t="str">
        <f>"04-1S-23-0000-0009-0210 "</f>
        <v xml:space="preserve">04-1S-23-0000-0009-0210 </v>
      </c>
      <c r="AX40">
        <v>2662</v>
      </c>
      <c r="AZ40" t="s">
        <v>855</v>
      </c>
      <c r="BA40" t="s">
        <v>669</v>
      </c>
      <c r="BD40" t="s">
        <v>553</v>
      </c>
      <c r="BE40" t="s">
        <v>393</v>
      </c>
      <c r="BF40">
        <v>32009</v>
      </c>
      <c r="BG40" t="s">
        <v>856</v>
      </c>
      <c r="BH40" t="s">
        <v>555</v>
      </c>
      <c r="BI40">
        <v>-82.006276682168902</v>
      </c>
      <c r="BJ40">
        <v>30.4400995524799</v>
      </c>
      <c r="BK40" t="s">
        <v>857</v>
      </c>
      <c r="BL40" t="s">
        <v>858</v>
      </c>
      <c r="BM40" t="s">
        <v>856</v>
      </c>
      <c r="BN40" t="s">
        <v>558</v>
      </c>
      <c r="BO40">
        <v>32009</v>
      </c>
      <c r="BP40" t="s">
        <v>416</v>
      </c>
      <c r="BQ40">
        <v>100</v>
      </c>
      <c r="BR40" t="s">
        <v>514</v>
      </c>
      <c r="BS40">
        <v>1001</v>
      </c>
      <c r="BT40" t="s">
        <v>515</v>
      </c>
      <c r="BW40">
        <v>174240</v>
      </c>
      <c r="BX40" t="s">
        <v>407</v>
      </c>
      <c r="BY40" t="s">
        <v>408</v>
      </c>
      <c r="BZ40">
        <v>4</v>
      </c>
      <c r="CA40">
        <v>1989</v>
      </c>
      <c r="CB40">
        <v>1</v>
      </c>
      <c r="CC40">
        <v>2</v>
      </c>
      <c r="CD40">
        <v>2017</v>
      </c>
      <c r="CG40">
        <v>198511</v>
      </c>
      <c r="CH40">
        <v>2017</v>
      </c>
      <c r="CI40">
        <v>32000</v>
      </c>
      <c r="CJ40">
        <v>220388</v>
      </c>
      <c r="CK40">
        <v>252388</v>
      </c>
      <c r="CL40">
        <v>2017</v>
      </c>
      <c r="CM40">
        <v>2413.21</v>
      </c>
      <c r="CN40" s="1">
        <v>30468</v>
      </c>
      <c r="CO40">
        <v>3778</v>
      </c>
      <c r="CZ40" s="1">
        <v>30468</v>
      </c>
      <c r="DD40" t="s">
        <v>553</v>
      </c>
      <c r="DG40">
        <v>4</v>
      </c>
      <c r="DL40">
        <v>50504</v>
      </c>
      <c r="DM40" t="s">
        <v>834</v>
      </c>
      <c r="DO40" t="s">
        <v>859</v>
      </c>
      <c r="DP40">
        <v>0</v>
      </c>
      <c r="DQ40">
        <v>0</v>
      </c>
      <c r="DR40" t="s">
        <v>411</v>
      </c>
    </row>
    <row r="41" spans="1:308" x14ac:dyDescent="0.25">
      <c r="A41">
        <v>16485048</v>
      </c>
      <c r="B41">
        <v>40</v>
      </c>
      <c r="C41" t="s">
        <v>393</v>
      </c>
      <c r="D41" t="s">
        <v>394</v>
      </c>
      <c r="F41" t="str">
        <f>"04-1S-23-0000-0009-0260"</f>
        <v>04-1S-23-0000-0009-0260</v>
      </c>
      <c r="H41" t="str">
        <f>"COLEMAN JACOB"</f>
        <v>COLEMAN JACOB</v>
      </c>
      <c r="I41" t="str">
        <f>"3009 EASTWOOD DR"</f>
        <v>3009 EASTWOOD DR</v>
      </c>
      <c r="J41" t="str">
        <f t="shared" si="12"/>
        <v>BRYCEVILLE FL 32009</v>
      </c>
      <c r="K41" t="str">
        <f>"3009 EASTWOOD DR"</f>
        <v>3009 EASTWOOD DR</v>
      </c>
      <c r="L41" t="str">
        <f t="shared" si="7"/>
        <v>BRYCEVILLE FL 32009</v>
      </c>
      <c r="M41" t="str">
        <f>"IN OR 1880/96 ESMT IN OR 446/745 1973 PEACHTREE DW/MH"</f>
        <v>IN OR 1880/96 ESMT IN OR 446/745 1973 PEACHTREE DW/MH</v>
      </c>
      <c r="N41" t="str">
        <f>""</f>
        <v/>
      </c>
      <c r="O41" t="str">
        <f>"19981"</f>
        <v>19981</v>
      </c>
      <c r="P41" t="str">
        <f t="shared" si="2"/>
        <v>2017</v>
      </c>
      <c r="Q41" t="str">
        <f>""</f>
        <v/>
      </c>
      <c r="R41" t="str">
        <f>"N"</f>
        <v>N</v>
      </c>
      <c r="S41" t="str">
        <f>"2.80"</f>
        <v>2.80</v>
      </c>
      <c r="T41" t="str">
        <f>"712.03"</f>
        <v>712.03</v>
      </c>
      <c r="U41" t="str">
        <f>"47033.00"</f>
        <v>47033.00</v>
      </c>
      <c r="V41" t="str">
        <f>"47033.00"</f>
        <v>47033.00</v>
      </c>
      <c r="W41" t="str">
        <f t="shared" si="3"/>
        <v>2017</v>
      </c>
      <c r="X41" t="str">
        <f>""</f>
        <v/>
      </c>
      <c r="Y41" t="str">
        <f>"765.39"</f>
        <v>765.39</v>
      </c>
      <c r="Z41" t="str">
        <f>""</f>
        <v/>
      </c>
      <c r="AA41" t="str">
        <f>"47033.00"</f>
        <v>47033.00</v>
      </c>
      <c r="AB41" t="str">
        <f t="shared" si="9"/>
        <v>Residential</v>
      </c>
      <c r="AC41" t="str">
        <f t="shared" si="4"/>
        <v>0</v>
      </c>
      <c r="AD41" t="str">
        <f>"4"</f>
        <v>4</v>
      </c>
      <c r="AE41" t="str">
        <f>"WOOD (INCLUDE STEEL STUDS)"</f>
        <v>WOOD (INCLUDE STEEL STUDS)</v>
      </c>
      <c r="AF41" t="str">
        <f>"002"</f>
        <v>002</v>
      </c>
      <c r="AG41" t="str">
        <f t="shared" si="11"/>
        <v>FL</v>
      </c>
      <c r="AH41" t="str">
        <f>"121968.00"</f>
        <v>121968.00</v>
      </c>
      <c r="AI41" t="str">
        <f>"26880.00"</f>
        <v>26880.00</v>
      </c>
      <c r="AJ41" t="str">
        <f>"C55-000-586-5121-7"</f>
        <v>C55-000-586-5121-7</v>
      </c>
      <c r="AK41" t="str">
        <f>"2625"</f>
        <v>2625</v>
      </c>
      <c r="AL41">
        <v>1</v>
      </c>
      <c r="AM41">
        <v>46</v>
      </c>
      <c r="AN41">
        <v>802.06</v>
      </c>
      <c r="AQ41" t="s">
        <v>860</v>
      </c>
      <c r="AR41" t="s">
        <v>860</v>
      </c>
      <c r="AS41" t="s">
        <v>860</v>
      </c>
      <c r="AU41" t="s">
        <v>396</v>
      </c>
      <c r="AV41">
        <v>2017</v>
      </c>
      <c r="AW41" t="str">
        <f>"04-1S-23-0000-0009-0260 "</f>
        <v xml:space="preserve">04-1S-23-0000-0009-0260 </v>
      </c>
      <c r="AX41">
        <v>3009</v>
      </c>
      <c r="AZ41" t="s">
        <v>855</v>
      </c>
      <c r="BA41" t="s">
        <v>669</v>
      </c>
      <c r="BD41" t="s">
        <v>553</v>
      </c>
      <c r="BE41" t="s">
        <v>393</v>
      </c>
      <c r="BF41">
        <v>32009</v>
      </c>
      <c r="BG41" t="s">
        <v>861</v>
      </c>
      <c r="BH41" t="s">
        <v>555</v>
      </c>
      <c r="BI41">
        <v>-82.004050518827697</v>
      </c>
      <c r="BJ41">
        <v>30.434952521660399</v>
      </c>
      <c r="BK41" t="s">
        <v>862</v>
      </c>
      <c r="BM41" t="s">
        <v>861</v>
      </c>
      <c r="BN41" t="s">
        <v>558</v>
      </c>
      <c r="BO41">
        <v>32009</v>
      </c>
      <c r="BP41" t="s">
        <v>416</v>
      </c>
      <c r="BQ41">
        <v>200</v>
      </c>
      <c r="BR41" t="s">
        <v>405</v>
      </c>
      <c r="BS41">
        <v>1006</v>
      </c>
      <c r="BT41" t="s">
        <v>406</v>
      </c>
      <c r="BW41">
        <v>121968</v>
      </c>
      <c r="BX41" t="s">
        <v>407</v>
      </c>
      <c r="BY41" t="s">
        <v>408</v>
      </c>
      <c r="BZ41">
        <v>4</v>
      </c>
      <c r="CA41">
        <v>1973</v>
      </c>
      <c r="CB41">
        <v>1</v>
      </c>
      <c r="CC41">
        <v>1</v>
      </c>
      <c r="CD41">
        <v>2017</v>
      </c>
      <c r="CE41">
        <v>26880</v>
      </c>
      <c r="CF41">
        <v>20153</v>
      </c>
      <c r="CG41">
        <v>47033</v>
      </c>
      <c r="CH41">
        <v>2017</v>
      </c>
      <c r="CI41">
        <v>26880</v>
      </c>
      <c r="CJ41">
        <v>20153</v>
      </c>
      <c r="CK41">
        <v>47033</v>
      </c>
      <c r="CL41">
        <v>2017</v>
      </c>
      <c r="CM41">
        <v>712.03</v>
      </c>
      <c r="CN41" s="1">
        <v>41536</v>
      </c>
      <c r="CO41">
        <v>45000</v>
      </c>
      <c r="CV41">
        <v>0</v>
      </c>
      <c r="CZ41" s="1">
        <v>41536</v>
      </c>
      <c r="DA41">
        <v>0</v>
      </c>
      <c r="DD41" t="s">
        <v>553</v>
      </c>
      <c r="DG41">
        <v>4</v>
      </c>
      <c r="DL41">
        <v>50504</v>
      </c>
      <c r="DM41" t="s">
        <v>834</v>
      </c>
      <c r="DO41" t="s">
        <v>863</v>
      </c>
      <c r="DP41">
        <v>0</v>
      </c>
      <c r="DQ41">
        <v>0</v>
      </c>
      <c r="DR41" t="s">
        <v>411</v>
      </c>
    </row>
    <row r="42" spans="1:308" x14ac:dyDescent="0.25">
      <c r="A42">
        <v>16485049</v>
      </c>
      <c r="B42">
        <v>41</v>
      </c>
      <c r="C42" t="s">
        <v>393</v>
      </c>
      <c r="D42" t="s">
        <v>394</v>
      </c>
      <c r="F42" t="str">
        <f>"07-1S-23-0000-0001-0030"</f>
        <v>07-1S-23-0000-0001-0030</v>
      </c>
      <c r="H42" t="str">
        <f>"BRYANT GLENN R SR &amp; TERESA T"</f>
        <v>BRYANT GLENN R SR &amp; TERESA T</v>
      </c>
      <c r="I42" t="str">
        <f>"1060 BRIE WAY"</f>
        <v>1060 BRIE WAY</v>
      </c>
      <c r="J42" t="str">
        <f t="shared" si="12"/>
        <v>BRYCEVILLE FL 32009</v>
      </c>
      <c r="K42" t="str">
        <f>"BRIE WAY"</f>
        <v>BRIE WAY</v>
      </c>
      <c r="L42" t="str">
        <f t="shared" si="7"/>
        <v>BRYCEVILLE FL 32009</v>
      </c>
      <c r="M42" t="str">
        <f>"PT OR 658 PG 540"</f>
        <v>PT OR 658 PG 540</v>
      </c>
      <c r="N42" t="str">
        <f>""</f>
        <v/>
      </c>
      <c r="O42" t="str">
        <f>"22391"</f>
        <v>22391</v>
      </c>
      <c r="P42" t="str">
        <f t="shared" si="2"/>
        <v>2017</v>
      </c>
      <c r="Q42" t="str">
        <f>""</f>
        <v/>
      </c>
      <c r="R42" t="str">
        <f>"N"</f>
        <v>N</v>
      </c>
      <c r="S42" t="str">
        <f>"1.00"</f>
        <v>1.00</v>
      </c>
      <c r="T42" t="str">
        <f>"127.02"</f>
        <v>127.02</v>
      </c>
      <c r="U42" t="str">
        <f>"7920.00"</f>
        <v>7920.00</v>
      </c>
      <c r="V42" t="str">
        <f>"7920.00"</f>
        <v>7920.00</v>
      </c>
      <c r="W42" t="str">
        <f t="shared" si="3"/>
        <v>2017</v>
      </c>
      <c r="X42" t="str">
        <f>""</f>
        <v/>
      </c>
      <c r="Y42" t="str">
        <f>"162.83"</f>
        <v>162.83</v>
      </c>
      <c r="Z42" t="str">
        <f>""</f>
        <v/>
      </c>
      <c r="AA42" t="str">
        <f>"9000.00"</f>
        <v>9000.00</v>
      </c>
      <c r="AB42" t="str">
        <f t="shared" si="9"/>
        <v>Residential</v>
      </c>
      <c r="AC42" t="str">
        <f t="shared" si="4"/>
        <v>0</v>
      </c>
      <c r="AD42" t="str">
        <f>""</f>
        <v/>
      </c>
      <c r="AE42" t="str">
        <f>""</f>
        <v/>
      </c>
      <c r="AF42" t="str">
        <f>"000"</f>
        <v>000</v>
      </c>
      <c r="AG42" t="str">
        <f t="shared" si="11"/>
        <v>FL</v>
      </c>
      <c r="AH42" t="str">
        <f>"43560.00"</f>
        <v>43560.00</v>
      </c>
      <c r="AI42" t="str">
        <f>"9000.00"</f>
        <v>9000.00</v>
      </c>
      <c r="AJ42" t="str">
        <f>"C55-000-586-6804-7"</f>
        <v>C55-000-586-6804-7</v>
      </c>
      <c r="AK42" t="str">
        <f>"2686"</f>
        <v>2686</v>
      </c>
      <c r="AL42">
        <v>1</v>
      </c>
      <c r="AM42">
        <v>47</v>
      </c>
      <c r="AN42">
        <v>169.37</v>
      </c>
      <c r="AQ42" t="s">
        <v>864</v>
      </c>
      <c r="AR42" t="s">
        <v>864</v>
      </c>
      <c r="AS42" t="s">
        <v>864</v>
      </c>
      <c r="AU42" t="s">
        <v>396</v>
      </c>
      <c r="AV42">
        <v>2017</v>
      </c>
      <c r="AW42" t="str">
        <f>"07-1S-23-0000-0001-0030 "</f>
        <v xml:space="preserve">07-1S-23-0000-0001-0030 </v>
      </c>
      <c r="AZ42" t="s">
        <v>865</v>
      </c>
      <c r="BA42" t="s">
        <v>866</v>
      </c>
      <c r="BD42" t="s">
        <v>553</v>
      </c>
      <c r="BE42" t="s">
        <v>393</v>
      </c>
      <c r="BF42">
        <v>32009</v>
      </c>
      <c r="BG42" t="s">
        <v>867</v>
      </c>
      <c r="BH42" t="s">
        <v>555</v>
      </c>
      <c r="BI42">
        <v>-82.034651118336299</v>
      </c>
      <c r="BJ42">
        <v>30.429891908043999</v>
      </c>
      <c r="BK42" t="s">
        <v>868</v>
      </c>
      <c r="BM42" t="s">
        <v>869</v>
      </c>
      <c r="BN42" t="s">
        <v>558</v>
      </c>
      <c r="BO42">
        <v>32009</v>
      </c>
      <c r="BP42" t="s">
        <v>404</v>
      </c>
      <c r="BQ42">
        <v>0</v>
      </c>
      <c r="BR42" t="s">
        <v>491</v>
      </c>
      <c r="BS42">
        <v>8001</v>
      </c>
      <c r="BT42" t="s">
        <v>492</v>
      </c>
      <c r="BW42">
        <v>43560</v>
      </c>
      <c r="BX42" t="s">
        <v>407</v>
      </c>
      <c r="BY42" t="s">
        <v>408</v>
      </c>
      <c r="CD42">
        <v>2017</v>
      </c>
      <c r="CE42">
        <v>9000</v>
      </c>
      <c r="CG42">
        <v>9000</v>
      </c>
      <c r="CH42">
        <v>2017</v>
      </c>
      <c r="CI42">
        <v>9000</v>
      </c>
      <c r="CK42">
        <v>9000</v>
      </c>
      <c r="CL42">
        <v>2017</v>
      </c>
      <c r="CM42">
        <v>127.02</v>
      </c>
      <c r="CN42" s="1">
        <v>33738</v>
      </c>
      <c r="CO42">
        <v>7000</v>
      </c>
      <c r="CZ42" s="1">
        <v>33738</v>
      </c>
      <c r="DD42" t="s">
        <v>553</v>
      </c>
      <c r="DG42">
        <v>7</v>
      </c>
      <c r="DL42">
        <v>50504</v>
      </c>
      <c r="DM42" t="s">
        <v>870</v>
      </c>
      <c r="DO42" t="s">
        <v>871</v>
      </c>
      <c r="DP42">
        <v>0</v>
      </c>
      <c r="DQ42">
        <v>0</v>
      </c>
      <c r="DR42" t="s">
        <v>411</v>
      </c>
    </row>
    <row r="43" spans="1:308" x14ac:dyDescent="0.25">
      <c r="A43">
        <v>16485050</v>
      </c>
      <c r="B43">
        <v>42</v>
      </c>
      <c r="C43" t="s">
        <v>393</v>
      </c>
      <c r="D43" t="s">
        <v>394</v>
      </c>
      <c r="F43" t="str">
        <f>"08-1S-23-0000-0001-0020"</f>
        <v>08-1S-23-0000-0001-0020</v>
      </c>
      <c r="H43" t="str">
        <f>"AGUILERA ADAM &amp; BECKERS AMANDA"</f>
        <v>AGUILERA ADAM &amp; BECKERS AMANDA</v>
      </c>
      <c r="I43" t="str">
        <f>"108 JUPITER LN"</f>
        <v>108 JUPITER LN</v>
      </c>
      <c r="J43" t="str">
        <f>"ORANGE PARK FL 32073"</f>
        <v>ORANGE PARK FL 32073</v>
      </c>
      <c r="K43" t="str">
        <f>"1848 DB HICKS RD"</f>
        <v>1848 DB HICKS RD</v>
      </c>
      <c r="L43" t="str">
        <f t="shared" si="7"/>
        <v>BRYCEVILLE FL 32009</v>
      </c>
      <c r="M43" t="str">
        <f>"PT OF S1/2 OF NE1/4 OF NE1/4 IN OR 2044/802"</f>
        <v>PT OF S1/2 OF NE1/4 OF NE1/4 IN OR 2044/802</v>
      </c>
      <c r="N43" t="str">
        <f>""</f>
        <v/>
      </c>
      <c r="O43" t="str">
        <f>"22795"</f>
        <v>22795</v>
      </c>
      <c r="P43" t="str">
        <f t="shared" si="2"/>
        <v>2017</v>
      </c>
      <c r="Q43" t="str">
        <f>""</f>
        <v/>
      </c>
      <c r="R43" t="str">
        <f>"N"</f>
        <v>N</v>
      </c>
      <c r="S43" t="str">
        <f>"4.61"</f>
        <v>4.61</v>
      </c>
      <c r="T43" t="str">
        <f>"1476.58"</f>
        <v>1476.58</v>
      </c>
      <c r="U43" t="str">
        <f>"97536.00"</f>
        <v>97536.00</v>
      </c>
      <c r="V43" t="str">
        <f>"97536.00"</f>
        <v>97536.00</v>
      </c>
      <c r="W43" t="str">
        <f t="shared" si="3"/>
        <v>2017</v>
      </c>
      <c r="X43" t="str">
        <f>"12.25"</f>
        <v>12.25</v>
      </c>
      <c r="Y43" t="str">
        <f>"1552.88"</f>
        <v>1552.88</v>
      </c>
      <c r="Z43" t="str">
        <f>""</f>
        <v/>
      </c>
      <c r="AA43" t="str">
        <f>"97536.00"</f>
        <v>97536.00</v>
      </c>
      <c r="AB43" t="str">
        <f t="shared" si="9"/>
        <v>Residential</v>
      </c>
      <c r="AC43" t="str">
        <f t="shared" si="4"/>
        <v>0</v>
      </c>
      <c r="AD43" t="str">
        <f>"4"</f>
        <v>4</v>
      </c>
      <c r="AE43" t="str">
        <f>"WOOD (INCLUDE STEEL STUDS)"</f>
        <v>WOOD (INCLUDE STEEL STUDS)</v>
      </c>
      <c r="AF43" t="str">
        <f>"001"</f>
        <v>001</v>
      </c>
      <c r="AG43" t="str">
        <f t="shared" si="11"/>
        <v>FL</v>
      </c>
      <c r="AH43" t="str">
        <f>"200811.00"</f>
        <v>200811.00</v>
      </c>
      <c r="AI43" t="str">
        <f>"36880.00"</f>
        <v>36880.00</v>
      </c>
      <c r="AJ43" t="str">
        <f>"C55-000-586-7006-8"</f>
        <v>C55-000-586-7006-8</v>
      </c>
      <c r="AK43" t="str">
        <f>"2694"</f>
        <v>2694</v>
      </c>
      <c r="AL43">
        <v>1</v>
      </c>
      <c r="AM43">
        <v>48</v>
      </c>
      <c r="AN43">
        <v>1628.92</v>
      </c>
      <c r="AQ43" t="s">
        <v>872</v>
      </c>
      <c r="AR43" t="s">
        <v>872</v>
      </c>
      <c r="AS43" t="s">
        <v>872</v>
      </c>
      <c r="AU43" t="s">
        <v>396</v>
      </c>
      <c r="AV43">
        <v>2017</v>
      </c>
      <c r="AW43" t="str">
        <f>"08-1S-23-0000-0001-0020 "</f>
        <v xml:space="preserve">08-1S-23-0000-0001-0020 </v>
      </c>
      <c r="AX43">
        <v>1848</v>
      </c>
      <c r="AZ43" t="s">
        <v>873</v>
      </c>
      <c r="BA43" t="s">
        <v>496</v>
      </c>
      <c r="BD43" t="s">
        <v>553</v>
      </c>
      <c r="BE43" t="s">
        <v>393</v>
      </c>
      <c r="BF43">
        <v>32009</v>
      </c>
      <c r="BG43" t="s">
        <v>874</v>
      </c>
      <c r="BH43" t="s">
        <v>555</v>
      </c>
      <c r="BI43">
        <v>-82.019297655973702</v>
      </c>
      <c r="BJ43">
        <v>30.430807302347301</v>
      </c>
      <c r="BK43" t="s">
        <v>875</v>
      </c>
      <c r="BL43" t="s">
        <v>876</v>
      </c>
      <c r="BM43" t="s">
        <v>877</v>
      </c>
      <c r="BN43" t="s">
        <v>878</v>
      </c>
      <c r="BO43">
        <v>32073</v>
      </c>
      <c r="BP43" t="s">
        <v>404</v>
      </c>
      <c r="BQ43">
        <v>100</v>
      </c>
      <c r="BR43" t="s">
        <v>514</v>
      </c>
      <c r="BS43">
        <v>1001</v>
      </c>
      <c r="BT43" t="s">
        <v>515</v>
      </c>
      <c r="BW43">
        <v>200811</v>
      </c>
      <c r="BX43" t="s">
        <v>407</v>
      </c>
      <c r="BY43" t="s">
        <v>408</v>
      </c>
      <c r="BZ43">
        <v>4</v>
      </c>
      <c r="CA43">
        <v>1971</v>
      </c>
      <c r="CB43">
        <v>2</v>
      </c>
      <c r="CC43">
        <v>1</v>
      </c>
      <c r="CD43">
        <v>2017</v>
      </c>
      <c r="CE43">
        <v>36880</v>
      </c>
      <c r="CF43">
        <v>60656</v>
      </c>
      <c r="CG43">
        <v>97536</v>
      </c>
      <c r="CH43">
        <v>2017</v>
      </c>
      <c r="CI43">
        <v>36880</v>
      </c>
      <c r="CJ43">
        <v>60656</v>
      </c>
      <c r="CK43">
        <v>97536</v>
      </c>
      <c r="CL43">
        <v>2017</v>
      </c>
      <c r="CM43">
        <v>1476.58</v>
      </c>
      <c r="CN43" s="1">
        <v>42499</v>
      </c>
      <c r="CO43">
        <v>40900</v>
      </c>
      <c r="CV43">
        <v>36885</v>
      </c>
      <c r="CX43" t="s">
        <v>707</v>
      </c>
      <c r="CZ43" s="1">
        <v>42499</v>
      </c>
      <c r="DA43">
        <v>0</v>
      </c>
      <c r="DD43" t="s">
        <v>553</v>
      </c>
      <c r="DG43">
        <v>8</v>
      </c>
      <c r="DL43">
        <v>50504</v>
      </c>
      <c r="DM43" t="s">
        <v>879</v>
      </c>
      <c r="DO43" t="s">
        <v>880</v>
      </c>
      <c r="DP43">
        <v>0</v>
      </c>
      <c r="DQ43">
        <v>0</v>
      </c>
      <c r="DR43" t="s">
        <v>411</v>
      </c>
      <c r="DS43" t="b">
        <v>1</v>
      </c>
      <c r="DT43" t="s">
        <v>470</v>
      </c>
      <c r="DU43" t="s">
        <v>471</v>
      </c>
      <c r="DV43" t="s">
        <v>472</v>
      </c>
      <c r="DX43">
        <v>-9999</v>
      </c>
      <c r="DZ43" t="s">
        <v>447</v>
      </c>
      <c r="EA43" t="s">
        <v>448</v>
      </c>
      <c r="EB43" t="s">
        <v>881</v>
      </c>
      <c r="EC43">
        <v>20101217</v>
      </c>
      <c r="ED43" t="s">
        <v>474</v>
      </c>
      <c r="EF43">
        <v>146.19999999999999</v>
      </c>
      <c r="EG43">
        <v>146.19999999999999</v>
      </c>
      <c r="EH43" t="s">
        <v>451</v>
      </c>
      <c r="EI43">
        <v>20140731</v>
      </c>
      <c r="EJ43">
        <v>0</v>
      </c>
      <c r="EK43">
        <v>0</v>
      </c>
      <c r="EP43" t="s">
        <v>421</v>
      </c>
      <c r="EQ43" t="s">
        <v>452</v>
      </c>
      <c r="ER43">
        <v>2</v>
      </c>
      <c r="ES43">
        <v>7</v>
      </c>
      <c r="ET43">
        <v>3306</v>
      </c>
      <c r="EU43">
        <v>177.8</v>
      </c>
      <c r="EV43">
        <v>3483.8</v>
      </c>
      <c r="EW43" s="2">
        <v>43222</v>
      </c>
      <c r="EX43" s="1">
        <v>42879</v>
      </c>
      <c r="EY43">
        <v>2016</v>
      </c>
      <c r="EZ43">
        <v>1653</v>
      </c>
      <c r="FA43" t="s">
        <v>882</v>
      </c>
      <c r="FB43">
        <v>0.25</v>
      </c>
      <c r="FC43" t="s">
        <v>424</v>
      </c>
      <c r="FD43" t="s">
        <v>454</v>
      </c>
      <c r="FF43">
        <v>12</v>
      </c>
      <c r="FG43">
        <v>2851116</v>
      </c>
      <c r="FH43" t="s">
        <v>480</v>
      </c>
      <c r="FJ43" s="1">
        <v>42879</v>
      </c>
      <c r="FK43">
        <v>2016</v>
      </c>
      <c r="FL43">
        <v>1653</v>
      </c>
      <c r="FM43" t="s">
        <v>882</v>
      </c>
      <c r="FN43">
        <v>0.25</v>
      </c>
      <c r="FO43" t="s">
        <v>424</v>
      </c>
      <c r="FP43" t="s">
        <v>454</v>
      </c>
      <c r="FR43">
        <v>12</v>
      </c>
      <c r="FS43">
        <v>5364958</v>
      </c>
      <c r="FT43" t="s">
        <v>883</v>
      </c>
      <c r="FV43" s="1">
        <v>42151</v>
      </c>
      <c r="FW43">
        <v>2014</v>
      </c>
      <c r="FX43">
        <v>1618.28</v>
      </c>
      <c r="FY43" t="s">
        <v>884</v>
      </c>
      <c r="FZ43">
        <v>0.25</v>
      </c>
      <c r="GA43" t="s">
        <v>424</v>
      </c>
      <c r="GB43" t="s">
        <v>425</v>
      </c>
      <c r="GC43" s="1">
        <v>42479</v>
      </c>
      <c r="GD43">
        <v>11</v>
      </c>
      <c r="GE43">
        <v>4975594</v>
      </c>
      <c r="GF43" t="s">
        <v>457</v>
      </c>
      <c r="GH43" s="1">
        <v>42151</v>
      </c>
      <c r="GI43">
        <v>2014</v>
      </c>
      <c r="GJ43">
        <v>1618.28</v>
      </c>
      <c r="GK43" t="s">
        <v>884</v>
      </c>
      <c r="GL43">
        <v>0.25</v>
      </c>
      <c r="GM43" t="s">
        <v>424</v>
      </c>
      <c r="GN43" t="s">
        <v>425</v>
      </c>
      <c r="GP43">
        <v>22</v>
      </c>
      <c r="GQ43">
        <v>6439279</v>
      </c>
      <c r="GR43" t="s">
        <v>885</v>
      </c>
      <c r="GT43" s="1">
        <v>41787</v>
      </c>
      <c r="GU43">
        <v>2013</v>
      </c>
      <c r="GV43">
        <v>1471.92</v>
      </c>
      <c r="GW43" t="s">
        <v>886</v>
      </c>
      <c r="GX43">
        <v>0.25</v>
      </c>
      <c r="GY43" t="s">
        <v>424</v>
      </c>
      <c r="GZ43" t="s">
        <v>425</v>
      </c>
      <c r="HA43" s="1">
        <v>42479</v>
      </c>
      <c r="HB43">
        <v>23</v>
      </c>
      <c r="HC43">
        <v>2851116</v>
      </c>
      <c r="HD43" t="s">
        <v>480</v>
      </c>
      <c r="HF43" s="1">
        <v>41052</v>
      </c>
      <c r="HG43">
        <v>2011</v>
      </c>
      <c r="HH43">
        <v>1613.52</v>
      </c>
      <c r="HI43" t="s">
        <v>887</v>
      </c>
      <c r="HJ43">
        <v>0.25</v>
      </c>
      <c r="HK43" t="s">
        <v>424</v>
      </c>
      <c r="HL43" t="s">
        <v>425</v>
      </c>
      <c r="HM43" s="1">
        <v>41400</v>
      </c>
      <c r="HN43">
        <v>12</v>
      </c>
      <c r="HO43">
        <v>13104</v>
      </c>
      <c r="HP43" t="s">
        <v>888</v>
      </c>
      <c r="HQ43" t="s">
        <v>458</v>
      </c>
      <c r="HR43" s="1">
        <v>41052</v>
      </c>
      <c r="HS43">
        <v>2011</v>
      </c>
      <c r="HT43">
        <v>1613.52</v>
      </c>
      <c r="HU43" t="s">
        <v>887</v>
      </c>
      <c r="HV43">
        <v>0.25</v>
      </c>
      <c r="HW43" t="s">
        <v>424</v>
      </c>
      <c r="HX43" t="s">
        <v>425</v>
      </c>
      <c r="HZ43">
        <v>22</v>
      </c>
      <c r="IA43">
        <v>13682</v>
      </c>
      <c r="IB43" t="s">
        <v>889</v>
      </c>
      <c r="IC43" t="s">
        <v>458</v>
      </c>
      <c r="ID43" s="1">
        <v>40688</v>
      </c>
      <c r="IE43">
        <v>2010</v>
      </c>
      <c r="IF43">
        <v>1700.54</v>
      </c>
      <c r="IG43" t="s">
        <v>890</v>
      </c>
      <c r="IH43">
        <v>0.25</v>
      </c>
      <c r="II43" t="s">
        <v>424</v>
      </c>
      <c r="IJ43" t="s">
        <v>425</v>
      </c>
      <c r="IL43">
        <v>22</v>
      </c>
      <c r="IM43">
        <v>15259</v>
      </c>
      <c r="IN43" t="s">
        <v>891</v>
      </c>
      <c r="IO43" t="s">
        <v>458</v>
      </c>
      <c r="IP43" s="1">
        <v>40688</v>
      </c>
      <c r="IQ43">
        <v>2010</v>
      </c>
      <c r="IR43">
        <v>1700.54</v>
      </c>
      <c r="IS43" t="s">
        <v>890</v>
      </c>
      <c r="IT43">
        <v>0.25</v>
      </c>
      <c r="IU43" t="s">
        <v>424</v>
      </c>
      <c r="IV43" t="s">
        <v>425</v>
      </c>
      <c r="IX43">
        <v>22</v>
      </c>
      <c r="IY43">
        <v>10506</v>
      </c>
      <c r="IZ43" t="s">
        <v>892</v>
      </c>
      <c r="JA43" t="s">
        <v>458</v>
      </c>
    </row>
    <row r="44" spans="1:308" x14ac:dyDescent="0.25">
      <c r="A44">
        <v>16485051</v>
      </c>
      <c r="B44">
        <v>43</v>
      </c>
      <c r="C44" t="s">
        <v>393</v>
      </c>
      <c r="D44" t="s">
        <v>394</v>
      </c>
      <c r="F44" t="str">
        <f>"08-1S-23-0000-0001-0050"</f>
        <v>08-1S-23-0000-0001-0050</v>
      </c>
      <c r="H44" t="str">
        <f>"WILSON GARY M"</f>
        <v>WILSON GARY M</v>
      </c>
      <c r="I44" t="str">
        <f>"1682 PALTO PLACE"</f>
        <v>1682 PALTO PLACE</v>
      </c>
      <c r="J44" t="str">
        <f>"BRYCEVILLE FL 32009"</f>
        <v>BRYCEVILLE FL 32009</v>
      </c>
      <c r="K44" t="str">
        <f>"1682 PALTO PL"</f>
        <v>1682 PALTO PL</v>
      </c>
      <c r="L44" t="str">
        <f t="shared" si="7"/>
        <v>BRYCEVILLE FL 32009</v>
      </c>
      <c r="M44" t="str">
        <f>"IN OR 478 PG 485"</f>
        <v>IN OR 478 PG 485</v>
      </c>
      <c r="N44" t="str">
        <f>""</f>
        <v/>
      </c>
      <c r="O44" t="str">
        <f>"22798"</f>
        <v>22798</v>
      </c>
      <c r="P44" t="str">
        <f t="shared" si="2"/>
        <v>2017</v>
      </c>
      <c r="Q44" t="str">
        <f>""</f>
        <v/>
      </c>
      <c r="R44" t="str">
        <f>"Y"</f>
        <v>Y</v>
      </c>
      <c r="S44" t="str">
        <f>"3.00"</f>
        <v>3.00</v>
      </c>
      <c r="T44" t="str">
        <f>"1617.27"</f>
        <v>1617.27</v>
      </c>
      <c r="U44" t="str">
        <f>"145934.00"</f>
        <v>145934.00</v>
      </c>
      <c r="V44" t="str">
        <f>"145934.00"</f>
        <v>145934.00</v>
      </c>
      <c r="W44" t="str">
        <f t="shared" si="3"/>
        <v>2017</v>
      </c>
      <c r="X44" t="str">
        <f>"9.00"</f>
        <v>9.00</v>
      </c>
      <c r="Y44" t="str">
        <f>"1697.79"</f>
        <v>1697.79</v>
      </c>
      <c r="Z44" t="str">
        <f>"25000.00"</f>
        <v>25000.00</v>
      </c>
      <c r="AA44" t="str">
        <f>"120934.00"</f>
        <v>120934.00</v>
      </c>
      <c r="AB44" t="str">
        <f t="shared" si="9"/>
        <v>Residential</v>
      </c>
      <c r="AC44" t="str">
        <f t="shared" si="4"/>
        <v>0</v>
      </c>
      <c r="AD44" t="str">
        <f>"4"</f>
        <v>4</v>
      </c>
      <c r="AE44" t="str">
        <f>"WOOD (INCLUDE STEEL STUDS)"</f>
        <v>WOOD (INCLUDE STEEL STUDS)</v>
      </c>
      <c r="AF44" t="str">
        <f>"001"</f>
        <v>001</v>
      </c>
      <c r="AG44" t="str">
        <f t="shared" si="11"/>
        <v>FL</v>
      </c>
      <c r="AH44" t="str">
        <f>"130680.00"</f>
        <v>130680.00</v>
      </c>
      <c r="AI44" t="str">
        <f>"24000.00"</f>
        <v>24000.00</v>
      </c>
      <c r="AJ44" t="str">
        <f>"C55-000-586-7009-2"</f>
        <v>C55-000-586-7009-2</v>
      </c>
      <c r="AK44" t="str">
        <f>"2696"</f>
        <v>2696</v>
      </c>
      <c r="AL44">
        <v>1</v>
      </c>
      <c r="AM44">
        <v>49</v>
      </c>
      <c r="AN44">
        <v>1781.08</v>
      </c>
      <c r="AQ44" t="s">
        <v>893</v>
      </c>
      <c r="AR44" t="s">
        <v>893</v>
      </c>
      <c r="AS44" t="s">
        <v>893</v>
      </c>
      <c r="AU44" t="s">
        <v>396</v>
      </c>
      <c r="AV44">
        <v>2017</v>
      </c>
      <c r="AW44" t="str">
        <f>"08-1S-23-0000-0001-0050 "</f>
        <v xml:space="preserve">08-1S-23-0000-0001-0050 </v>
      </c>
      <c r="AX44">
        <v>1682</v>
      </c>
      <c r="AZ44" t="s">
        <v>894</v>
      </c>
      <c r="BA44" t="s">
        <v>641</v>
      </c>
      <c r="BD44" t="s">
        <v>553</v>
      </c>
      <c r="BE44" t="s">
        <v>393</v>
      </c>
      <c r="BF44">
        <v>32009</v>
      </c>
      <c r="BG44" t="s">
        <v>895</v>
      </c>
      <c r="BH44" t="s">
        <v>555</v>
      </c>
      <c r="BI44">
        <v>-82.021270342512906</v>
      </c>
      <c r="BJ44">
        <v>30.433394332787199</v>
      </c>
      <c r="BK44" t="s">
        <v>896</v>
      </c>
      <c r="BM44" t="s">
        <v>897</v>
      </c>
      <c r="BN44" t="s">
        <v>558</v>
      </c>
      <c r="BO44">
        <v>32009</v>
      </c>
      <c r="BP44" t="s">
        <v>416</v>
      </c>
      <c r="BQ44">
        <v>100</v>
      </c>
      <c r="BR44" t="s">
        <v>514</v>
      </c>
      <c r="BS44">
        <v>1001</v>
      </c>
      <c r="BT44" t="s">
        <v>515</v>
      </c>
      <c r="BW44">
        <v>130680</v>
      </c>
      <c r="BX44" t="s">
        <v>407</v>
      </c>
      <c r="BY44" t="s">
        <v>408</v>
      </c>
      <c r="BZ44">
        <v>4</v>
      </c>
      <c r="CA44">
        <v>1995</v>
      </c>
      <c r="CB44">
        <v>1</v>
      </c>
      <c r="CC44">
        <v>1</v>
      </c>
      <c r="CD44">
        <v>2017</v>
      </c>
      <c r="CG44">
        <v>145934</v>
      </c>
      <c r="CH44">
        <v>2017</v>
      </c>
      <c r="CI44">
        <v>24000</v>
      </c>
      <c r="CJ44">
        <v>135722</v>
      </c>
      <c r="CK44">
        <v>159722</v>
      </c>
      <c r="CL44">
        <v>2017</v>
      </c>
      <c r="CM44">
        <v>1617.27</v>
      </c>
      <c r="CN44" s="1">
        <v>31413</v>
      </c>
      <c r="CO44">
        <v>8500</v>
      </c>
      <c r="CZ44" s="1">
        <v>31413</v>
      </c>
      <c r="DD44" t="s">
        <v>553</v>
      </c>
      <c r="DG44">
        <v>8</v>
      </c>
      <c r="DL44">
        <v>50504</v>
      </c>
      <c r="DM44" t="s">
        <v>879</v>
      </c>
      <c r="DO44" t="s">
        <v>898</v>
      </c>
      <c r="DP44">
        <v>0</v>
      </c>
      <c r="DQ44">
        <v>0</v>
      </c>
      <c r="DR44" t="s">
        <v>411</v>
      </c>
      <c r="DS44" t="b">
        <v>1</v>
      </c>
      <c r="DT44" t="s">
        <v>470</v>
      </c>
      <c r="DU44" t="s">
        <v>471</v>
      </c>
      <c r="DV44" t="s">
        <v>472</v>
      </c>
      <c r="DX44">
        <v>-9999</v>
      </c>
      <c r="DZ44" t="s">
        <v>447</v>
      </c>
      <c r="EA44" t="s">
        <v>448</v>
      </c>
      <c r="EB44" t="s">
        <v>742</v>
      </c>
      <c r="EC44">
        <v>20101217</v>
      </c>
      <c r="ED44" t="s">
        <v>474</v>
      </c>
      <c r="EF44">
        <v>332.2</v>
      </c>
      <c r="EG44">
        <v>332.2</v>
      </c>
      <c r="EI44">
        <v>20160407</v>
      </c>
      <c r="EJ44">
        <v>0</v>
      </c>
      <c r="EK44">
        <v>0</v>
      </c>
      <c r="EP44" t="s">
        <v>421</v>
      </c>
      <c r="EQ44" t="s">
        <v>422</v>
      </c>
      <c r="ER44">
        <v>0</v>
      </c>
      <c r="ES44">
        <v>6</v>
      </c>
      <c r="ET44">
        <v>0</v>
      </c>
      <c r="EU44">
        <v>0</v>
      </c>
      <c r="EV44">
        <v>0</v>
      </c>
      <c r="EW44" s="2">
        <v>43222</v>
      </c>
      <c r="EX44" s="1">
        <v>42879</v>
      </c>
      <c r="EY44">
        <v>2016</v>
      </c>
      <c r="EZ44">
        <v>1753.54</v>
      </c>
      <c r="FA44" t="s">
        <v>899</v>
      </c>
      <c r="FB44">
        <v>0.25</v>
      </c>
      <c r="FC44" t="s">
        <v>424</v>
      </c>
      <c r="FD44" t="s">
        <v>425</v>
      </c>
      <c r="FE44" s="1">
        <v>43068</v>
      </c>
      <c r="FF44">
        <v>6</v>
      </c>
      <c r="FG44">
        <v>5857474</v>
      </c>
      <c r="FH44" t="s">
        <v>900</v>
      </c>
      <c r="FJ44" s="1">
        <v>42879</v>
      </c>
      <c r="FK44">
        <v>2016</v>
      </c>
      <c r="FL44">
        <v>1753.54</v>
      </c>
      <c r="FM44" t="s">
        <v>899</v>
      </c>
      <c r="FN44">
        <v>0.25</v>
      </c>
      <c r="FO44" t="s">
        <v>424</v>
      </c>
      <c r="FP44" t="s">
        <v>425</v>
      </c>
      <c r="FR44">
        <v>22</v>
      </c>
      <c r="FS44">
        <v>6266914</v>
      </c>
      <c r="FT44" t="s">
        <v>901</v>
      </c>
      <c r="FV44" s="1">
        <v>42515</v>
      </c>
      <c r="FW44">
        <v>2015</v>
      </c>
      <c r="FX44">
        <v>1778.81</v>
      </c>
      <c r="FY44" t="s">
        <v>902</v>
      </c>
      <c r="FZ44">
        <v>0.25</v>
      </c>
      <c r="GA44" t="s">
        <v>424</v>
      </c>
      <c r="GB44" t="s">
        <v>425</v>
      </c>
      <c r="GC44" s="1">
        <v>43068</v>
      </c>
      <c r="GD44">
        <v>18</v>
      </c>
      <c r="GE44">
        <v>11289</v>
      </c>
      <c r="GF44" t="s">
        <v>787</v>
      </c>
      <c r="GH44" s="1">
        <v>42515</v>
      </c>
      <c r="GI44">
        <v>2015</v>
      </c>
      <c r="GJ44">
        <v>1778.81</v>
      </c>
      <c r="GK44" t="s">
        <v>902</v>
      </c>
      <c r="GL44">
        <v>0.25</v>
      </c>
      <c r="GM44" t="s">
        <v>424</v>
      </c>
      <c r="GN44" t="s">
        <v>425</v>
      </c>
      <c r="GP44">
        <v>22</v>
      </c>
      <c r="GQ44">
        <v>7172776</v>
      </c>
      <c r="GR44" t="s">
        <v>903</v>
      </c>
      <c r="GT44" s="1">
        <v>42151</v>
      </c>
      <c r="GU44">
        <v>2014</v>
      </c>
      <c r="GV44">
        <v>1769.19</v>
      </c>
      <c r="GW44" t="s">
        <v>904</v>
      </c>
      <c r="GX44">
        <v>0.25</v>
      </c>
      <c r="GY44" t="s">
        <v>424</v>
      </c>
      <c r="GZ44" t="s">
        <v>425</v>
      </c>
      <c r="HA44" s="1">
        <v>42451</v>
      </c>
      <c r="HB44">
        <v>10</v>
      </c>
      <c r="HC44">
        <v>4975594</v>
      </c>
      <c r="HD44" t="s">
        <v>457</v>
      </c>
      <c r="HF44" s="1">
        <v>42151</v>
      </c>
      <c r="HG44">
        <v>2014</v>
      </c>
      <c r="HH44">
        <v>1769.19</v>
      </c>
      <c r="HI44" t="s">
        <v>904</v>
      </c>
      <c r="HJ44">
        <v>0.25</v>
      </c>
      <c r="HK44" t="s">
        <v>424</v>
      </c>
      <c r="HL44" t="s">
        <v>425</v>
      </c>
      <c r="HN44">
        <v>22</v>
      </c>
      <c r="HO44">
        <v>6656412</v>
      </c>
      <c r="HP44" t="s">
        <v>905</v>
      </c>
    </row>
    <row r="45" spans="1:308" x14ac:dyDescent="0.25">
      <c r="A45">
        <v>16485052</v>
      </c>
      <c r="B45">
        <v>44</v>
      </c>
      <c r="C45" t="s">
        <v>393</v>
      </c>
      <c r="D45" t="s">
        <v>394</v>
      </c>
      <c r="F45" t="str">
        <f>"08-1S-23-0000-0001-0080"</f>
        <v>08-1S-23-0000-0001-0080</v>
      </c>
      <c r="H45" t="str">
        <f>"WILKINSON LUCIA ROSE MARIE"</f>
        <v>WILKINSON LUCIA ROSE MARIE</v>
      </c>
      <c r="I45" t="str">
        <f>"1776 D B HICKS ROAD"</f>
        <v>1776 D B HICKS ROAD</v>
      </c>
      <c r="J45" t="str">
        <f>"BRYCEVILLE FL 32009"</f>
        <v>BRYCEVILLE FL 32009</v>
      </c>
      <c r="K45" t="str">
        <f>"1776 DB HICKS RD"</f>
        <v>1776 DB HICKS RD</v>
      </c>
      <c r="L45" t="str">
        <f t="shared" si="7"/>
        <v>BRYCEVILLE FL 32009</v>
      </c>
      <c r="M45" t="str">
        <f>"PT OF S1/2 OF NE1/4 OF NE1/4 OR 339/58 &amp; OR 353/261 &amp; 262 PARCELS 1-8 &amp; 1-9"</f>
        <v>PT OF S1/2 OF NE1/4 OF NE1/4 OR 339/58 &amp; OR 353/261 &amp; 262 PARCELS 1-8 &amp; 1-9</v>
      </c>
      <c r="N45" t="str">
        <f>""</f>
        <v/>
      </c>
      <c r="O45" t="str">
        <f>"22800"</f>
        <v>22800</v>
      </c>
      <c r="P45" t="str">
        <f t="shared" si="2"/>
        <v>2017</v>
      </c>
      <c r="Q45" t="str">
        <f>""</f>
        <v/>
      </c>
      <c r="R45" t="str">
        <f>"Y"</f>
        <v>Y</v>
      </c>
      <c r="S45" t="str">
        <f>"7.62"</f>
        <v>7.62</v>
      </c>
      <c r="T45" t="str">
        <f>"1613.76"</f>
        <v>1613.76</v>
      </c>
      <c r="U45" t="str">
        <f>"145702.00"</f>
        <v>145702.00</v>
      </c>
      <c r="V45" t="str">
        <f>"145702.00"</f>
        <v>145702.00</v>
      </c>
      <c r="W45" t="str">
        <f t="shared" si="3"/>
        <v>2017</v>
      </c>
      <c r="X45" t="str">
        <f>"8.67"</f>
        <v>8.67</v>
      </c>
      <c r="Y45" t="str">
        <f>"1694.17"</f>
        <v>1694.17</v>
      </c>
      <c r="Z45" t="str">
        <f>"25000.00"</f>
        <v>25000.00</v>
      </c>
      <c r="AA45" t="str">
        <f>"120702.00"</f>
        <v>120702.00</v>
      </c>
      <c r="AB45" t="str">
        <f t="shared" si="9"/>
        <v>Residential</v>
      </c>
      <c r="AC45" t="str">
        <f t="shared" si="4"/>
        <v>0</v>
      </c>
      <c r="AD45" t="str">
        <f>"4"</f>
        <v>4</v>
      </c>
      <c r="AE45" t="str">
        <f>"WOOD (INCLUDE STEEL STUDS)"</f>
        <v>WOOD (INCLUDE STEEL STUDS)</v>
      </c>
      <c r="AF45" t="str">
        <f>"001"</f>
        <v>001</v>
      </c>
      <c r="AG45" t="str">
        <f t="shared" si="11"/>
        <v>FL</v>
      </c>
      <c r="AH45" t="str">
        <f>"331927.00"</f>
        <v>331927.00</v>
      </c>
      <c r="AI45" t="str">
        <f>"45720.00"</f>
        <v>45720.00</v>
      </c>
      <c r="AJ45" t="str">
        <f>"C55-000-586-7011-8"</f>
        <v>C55-000-586-7011-8</v>
      </c>
      <c r="AK45" t="str">
        <f>"2698"</f>
        <v>2698</v>
      </c>
      <c r="AL45">
        <v>1</v>
      </c>
      <c r="AM45">
        <v>50</v>
      </c>
      <c r="AN45">
        <v>1777.28</v>
      </c>
      <c r="AQ45" t="s">
        <v>906</v>
      </c>
      <c r="AR45" t="s">
        <v>906</v>
      </c>
      <c r="AS45" t="s">
        <v>906</v>
      </c>
      <c r="AU45" t="s">
        <v>396</v>
      </c>
      <c r="AV45">
        <v>2017</v>
      </c>
      <c r="AW45" t="str">
        <f>"08-1S-23-0000-0001-0080 "</f>
        <v xml:space="preserve">08-1S-23-0000-0001-0080 </v>
      </c>
      <c r="AX45">
        <v>1776</v>
      </c>
      <c r="AZ45" t="s">
        <v>873</v>
      </c>
      <c r="BA45" t="s">
        <v>496</v>
      </c>
      <c r="BD45" t="s">
        <v>553</v>
      </c>
      <c r="BE45" t="s">
        <v>393</v>
      </c>
      <c r="BF45">
        <v>32009</v>
      </c>
      <c r="BG45" t="s">
        <v>907</v>
      </c>
      <c r="BH45" t="s">
        <v>555</v>
      </c>
      <c r="BI45">
        <v>-82.020976197538204</v>
      </c>
      <c r="BJ45">
        <v>30.4311394652796</v>
      </c>
      <c r="BK45" t="s">
        <v>908</v>
      </c>
      <c r="BM45" t="s">
        <v>909</v>
      </c>
      <c r="BN45" t="s">
        <v>558</v>
      </c>
      <c r="BO45">
        <v>32009</v>
      </c>
      <c r="BP45" t="s">
        <v>416</v>
      </c>
      <c r="BQ45">
        <v>100</v>
      </c>
      <c r="BR45" t="s">
        <v>514</v>
      </c>
      <c r="BS45">
        <v>1001</v>
      </c>
      <c r="BT45" t="s">
        <v>515</v>
      </c>
      <c r="BW45">
        <v>331927</v>
      </c>
      <c r="BX45" t="s">
        <v>407</v>
      </c>
      <c r="BY45" t="s">
        <v>408</v>
      </c>
      <c r="BZ45">
        <v>4</v>
      </c>
      <c r="CA45">
        <v>1985</v>
      </c>
      <c r="CB45">
        <v>1</v>
      </c>
      <c r="CC45">
        <v>1</v>
      </c>
      <c r="CD45">
        <v>2017</v>
      </c>
      <c r="CG45">
        <v>145702</v>
      </c>
      <c r="CH45">
        <v>2017</v>
      </c>
      <c r="CI45">
        <v>45720</v>
      </c>
      <c r="CJ45">
        <v>143843</v>
      </c>
      <c r="CK45">
        <v>189563</v>
      </c>
      <c r="CL45">
        <v>2017</v>
      </c>
      <c r="CM45">
        <v>1613.76</v>
      </c>
      <c r="CN45" s="1">
        <v>29738</v>
      </c>
      <c r="CO45">
        <v>1000</v>
      </c>
      <c r="CZ45" s="1">
        <v>29738</v>
      </c>
      <c r="DD45" t="s">
        <v>553</v>
      </c>
      <c r="DG45">
        <v>8</v>
      </c>
      <c r="DL45">
        <v>50504</v>
      </c>
      <c r="DM45" t="s">
        <v>879</v>
      </c>
      <c r="DO45" t="s">
        <v>910</v>
      </c>
      <c r="DP45">
        <v>0</v>
      </c>
      <c r="DQ45">
        <v>0</v>
      </c>
      <c r="DR45" t="s">
        <v>411</v>
      </c>
      <c r="DS45" t="b">
        <v>1</v>
      </c>
      <c r="DT45" t="s">
        <v>470</v>
      </c>
      <c r="DU45" t="s">
        <v>471</v>
      </c>
      <c r="DV45" t="s">
        <v>472</v>
      </c>
      <c r="DX45">
        <v>-9999</v>
      </c>
      <c r="DZ45" t="s">
        <v>447</v>
      </c>
      <c r="EA45" t="s">
        <v>448</v>
      </c>
      <c r="EB45" t="s">
        <v>881</v>
      </c>
      <c r="EC45">
        <v>20101217</v>
      </c>
      <c r="ED45" t="s">
        <v>474</v>
      </c>
      <c r="EF45">
        <v>12.4</v>
      </c>
      <c r="EG45">
        <v>12.4</v>
      </c>
      <c r="EH45" t="s">
        <v>451</v>
      </c>
      <c r="EI45">
        <v>20140731</v>
      </c>
      <c r="EJ45">
        <v>0</v>
      </c>
      <c r="EK45">
        <v>0</v>
      </c>
      <c r="EP45" t="s">
        <v>421</v>
      </c>
      <c r="EQ45" t="s">
        <v>422</v>
      </c>
      <c r="ER45">
        <v>0</v>
      </c>
      <c r="ES45">
        <v>9</v>
      </c>
      <c r="ET45">
        <v>0</v>
      </c>
      <c r="EU45">
        <v>0</v>
      </c>
      <c r="EV45">
        <v>0</v>
      </c>
      <c r="EW45" s="2">
        <v>43222</v>
      </c>
      <c r="EX45" s="1">
        <v>42879</v>
      </c>
      <c r="EY45">
        <v>2016</v>
      </c>
      <c r="EZ45">
        <v>1749.79</v>
      </c>
      <c r="FA45" t="s">
        <v>911</v>
      </c>
      <c r="FB45">
        <v>0.25</v>
      </c>
      <c r="FC45" t="s">
        <v>424</v>
      </c>
      <c r="FD45" t="s">
        <v>425</v>
      </c>
      <c r="FE45" s="1">
        <v>42901</v>
      </c>
      <c r="FF45">
        <v>1</v>
      </c>
      <c r="FG45">
        <v>11289</v>
      </c>
      <c r="FH45" t="s">
        <v>787</v>
      </c>
      <c r="FJ45" s="1">
        <v>42879</v>
      </c>
      <c r="FK45">
        <v>2016</v>
      </c>
      <c r="FL45">
        <v>1749.79</v>
      </c>
      <c r="FM45" t="s">
        <v>911</v>
      </c>
      <c r="FN45">
        <v>0.25</v>
      </c>
      <c r="FO45" t="s">
        <v>424</v>
      </c>
      <c r="FP45" t="s">
        <v>425</v>
      </c>
      <c r="FR45">
        <v>22</v>
      </c>
      <c r="FS45">
        <v>7315659</v>
      </c>
      <c r="FT45" t="s">
        <v>912</v>
      </c>
      <c r="FV45" s="1">
        <v>42151</v>
      </c>
      <c r="FW45">
        <v>2014</v>
      </c>
      <c r="FX45">
        <v>1765.37</v>
      </c>
      <c r="FY45" t="s">
        <v>913</v>
      </c>
      <c r="FZ45">
        <v>0.25</v>
      </c>
      <c r="GA45" t="s">
        <v>424</v>
      </c>
      <c r="GB45" t="s">
        <v>425</v>
      </c>
      <c r="GC45" s="1">
        <v>42208</v>
      </c>
      <c r="GD45">
        <v>2</v>
      </c>
      <c r="GE45">
        <v>4975594</v>
      </c>
      <c r="GF45" t="s">
        <v>457</v>
      </c>
      <c r="GH45" s="1">
        <v>42151</v>
      </c>
      <c r="GI45">
        <v>2014</v>
      </c>
      <c r="GJ45">
        <v>1765.37</v>
      </c>
      <c r="GK45" t="s">
        <v>913</v>
      </c>
      <c r="GL45">
        <v>0.25</v>
      </c>
      <c r="GM45" t="s">
        <v>424</v>
      </c>
      <c r="GN45" t="s">
        <v>425</v>
      </c>
      <c r="GP45">
        <v>22</v>
      </c>
      <c r="GQ45">
        <v>6501251</v>
      </c>
      <c r="GR45" t="s">
        <v>914</v>
      </c>
      <c r="GT45" s="1">
        <v>41787</v>
      </c>
      <c r="GU45">
        <v>2013</v>
      </c>
      <c r="GV45">
        <v>1652.83</v>
      </c>
      <c r="GW45" t="s">
        <v>915</v>
      </c>
      <c r="GX45">
        <v>0.25</v>
      </c>
      <c r="GY45" t="s">
        <v>424</v>
      </c>
      <c r="GZ45" t="s">
        <v>425</v>
      </c>
      <c r="HA45" s="1">
        <v>42184</v>
      </c>
      <c r="HB45">
        <v>13</v>
      </c>
      <c r="HC45">
        <v>2662137</v>
      </c>
      <c r="HD45" t="s">
        <v>916</v>
      </c>
      <c r="HF45" s="1">
        <v>41423</v>
      </c>
      <c r="HG45">
        <v>2012</v>
      </c>
      <c r="HH45">
        <v>1637.77</v>
      </c>
      <c r="HI45" t="s">
        <v>917</v>
      </c>
      <c r="HJ45">
        <v>0.25</v>
      </c>
      <c r="HK45" t="s">
        <v>424</v>
      </c>
      <c r="HL45" t="s">
        <v>425</v>
      </c>
      <c r="HN45">
        <v>22</v>
      </c>
      <c r="HO45">
        <v>11303</v>
      </c>
      <c r="HP45" t="s">
        <v>918</v>
      </c>
      <c r="HR45" s="1">
        <v>41423</v>
      </c>
      <c r="HS45">
        <v>2012</v>
      </c>
      <c r="HT45">
        <v>1637.77</v>
      </c>
      <c r="HU45" t="s">
        <v>917</v>
      </c>
      <c r="HV45">
        <v>0.25</v>
      </c>
      <c r="HW45" t="s">
        <v>424</v>
      </c>
      <c r="HX45" t="s">
        <v>425</v>
      </c>
      <c r="HY45" s="1">
        <v>42026</v>
      </c>
      <c r="HZ45">
        <v>20</v>
      </c>
      <c r="IA45">
        <v>4844956</v>
      </c>
      <c r="IB45" t="s">
        <v>919</v>
      </c>
      <c r="ID45" s="1">
        <v>41052</v>
      </c>
      <c r="IE45">
        <v>2011</v>
      </c>
      <c r="IF45">
        <v>1595.53</v>
      </c>
      <c r="IG45" t="s">
        <v>920</v>
      </c>
      <c r="IH45">
        <v>0.25</v>
      </c>
      <c r="II45" t="s">
        <v>424</v>
      </c>
      <c r="IJ45" t="s">
        <v>425</v>
      </c>
      <c r="IK45" s="1">
        <v>41302</v>
      </c>
      <c r="IL45">
        <v>8</v>
      </c>
      <c r="IM45">
        <v>14091</v>
      </c>
      <c r="IN45" t="s">
        <v>921</v>
      </c>
      <c r="IP45" s="1">
        <v>40688</v>
      </c>
      <c r="IQ45">
        <v>2010</v>
      </c>
      <c r="IR45">
        <v>1536.57</v>
      </c>
      <c r="IS45" t="s">
        <v>922</v>
      </c>
      <c r="IT45">
        <v>0.25</v>
      </c>
      <c r="IU45" t="s">
        <v>424</v>
      </c>
      <c r="IV45" t="s">
        <v>425</v>
      </c>
      <c r="IW45" s="1">
        <v>40938</v>
      </c>
      <c r="IX45">
        <v>8</v>
      </c>
      <c r="IY45">
        <v>11289</v>
      </c>
      <c r="IZ45" t="s">
        <v>787</v>
      </c>
    </row>
    <row r="46" spans="1:308" x14ac:dyDescent="0.25">
      <c r="A46">
        <v>16485053</v>
      </c>
      <c r="B46">
        <v>45</v>
      </c>
      <c r="C46" t="s">
        <v>393</v>
      </c>
      <c r="D46" t="s">
        <v>394</v>
      </c>
      <c r="F46" t="str">
        <f>"08-1S-23-0000-0002-0020"</f>
        <v>08-1S-23-0000-0002-0020</v>
      </c>
      <c r="H46" t="str">
        <f>"HRABEL WM F"</f>
        <v>HRABEL WM F</v>
      </c>
      <c r="I46" t="str">
        <f>"36002 RUSTIC ACRES WAY"</f>
        <v>36002 RUSTIC ACRES WAY</v>
      </c>
      <c r="J46" t="str">
        <f>"CALLAHAN FL 32011"</f>
        <v>CALLAHAN FL 32011</v>
      </c>
      <c r="K46" t="str">
        <f>"1505 WILLS LN"</f>
        <v>1505 WILLS LN</v>
      </c>
      <c r="L46" t="str">
        <f t="shared" si="7"/>
        <v>BRYCEVILLE FL 32009</v>
      </c>
      <c r="M46" t="str">
        <f>"PT OF W 1/2 OF NE 1/4 IN OR 143 PG 171"</f>
        <v>PT OF W 1/2 OF NE 1/4 IN OR 143 PG 171</v>
      </c>
      <c r="N46" t="str">
        <f>""</f>
        <v/>
      </c>
      <c r="O46" t="str">
        <f>"22806"</f>
        <v>22806</v>
      </c>
      <c r="P46" t="str">
        <f t="shared" si="2"/>
        <v>2017</v>
      </c>
      <c r="Q46" t="str">
        <f>""</f>
        <v/>
      </c>
      <c r="R46" t="str">
        <f>"N"</f>
        <v>N</v>
      </c>
      <c r="S46" t="str">
        <f>"15.90"</f>
        <v>15.90</v>
      </c>
      <c r="T46" t="str">
        <f>"1887.63"</f>
        <v>1887.63</v>
      </c>
      <c r="U46" t="str">
        <f>"124688.00"</f>
        <v>124688.00</v>
      </c>
      <c r="V46" t="str">
        <f>"124688.00"</f>
        <v>124688.00</v>
      </c>
      <c r="W46" t="str">
        <f t="shared" si="3"/>
        <v>2017</v>
      </c>
      <c r="X46" t="str">
        <f>"5.00"</f>
        <v>5.00</v>
      </c>
      <c r="Y46" t="str">
        <f>"1976.26"</f>
        <v>1976.26</v>
      </c>
      <c r="Z46" t="str">
        <f>""</f>
        <v/>
      </c>
      <c r="AA46" t="str">
        <f>"124688.00"</f>
        <v>124688.00</v>
      </c>
      <c r="AB46" t="str">
        <f>"Agricultural"</f>
        <v>Agricultural</v>
      </c>
      <c r="AC46" t="str">
        <f t="shared" si="4"/>
        <v>0</v>
      </c>
      <c r="AD46" t="str">
        <f>"4"</f>
        <v>4</v>
      </c>
      <c r="AE46" t="str">
        <f>"WOOD (INCLUDE STEEL STUDS)"</f>
        <v>WOOD (INCLUDE STEEL STUDS)</v>
      </c>
      <c r="AF46" t="str">
        <f>"050"</f>
        <v>050</v>
      </c>
      <c r="AG46" t="str">
        <f t="shared" si="11"/>
        <v>FL</v>
      </c>
      <c r="AH46" t="str">
        <f>"692604.00"</f>
        <v>692604.00</v>
      </c>
      <c r="AI46" t="str">
        <f>"19118.00"</f>
        <v>19118.00</v>
      </c>
      <c r="AJ46" t="str">
        <f>"C55-000-586-7017-5"</f>
        <v>C55-000-586-7017-5</v>
      </c>
      <c r="AK46" t="str">
        <f>"2704"</f>
        <v>2704</v>
      </c>
      <c r="AL46">
        <v>1</v>
      </c>
      <c r="AM46">
        <v>52</v>
      </c>
      <c r="AN46">
        <v>2073.4699999999998</v>
      </c>
      <c r="AQ46" t="s">
        <v>923</v>
      </c>
      <c r="AR46" t="s">
        <v>923</v>
      </c>
      <c r="AS46" t="s">
        <v>923</v>
      </c>
      <c r="AU46" t="s">
        <v>396</v>
      </c>
      <c r="AV46">
        <v>2017</v>
      </c>
      <c r="AW46" t="str">
        <f>"08-1S-23-0000-0002-0020 "</f>
        <v xml:space="preserve">08-1S-23-0000-0002-0020 </v>
      </c>
      <c r="AX46">
        <v>1505</v>
      </c>
      <c r="AZ46" t="s">
        <v>924</v>
      </c>
      <c r="BA46" t="s">
        <v>653</v>
      </c>
      <c r="BD46" t="s">
        <v>553</v>
      </c>
      <c r="BE46" t="s">
        <v>393</v>
      </c>
      <c r="BF46">
        <v>32009</v>
      </c>
      <c r="BG46" t="s">
        <v>925</v>
      </c>
      <c r="BH46" t="s">
        <v>555</v>
      </c>
      <c r="BI46">
        <v>-82.024889408529205</v>
      </c>
      <c r="BJ46">
        <v>30.428545435502802</v>
      </c>
      <c r="BK46" t="s">
        <v>926</v>
      </c>
      <c r="BM46" t="s">
        <v>927</v>
      </c>
      <c r="BN46" t="s">
        <v>928</v>
      </c>
      <c r="BO46">
        <v>32011</v>
      </c>
      <c r="BP46" t="s">
        <v>404</v>
      </c>
      <c r="BQ46">
        <v>5000</v>
      </c>
      <c r="BR46" t="s">
        <v>664</v>
      </c>
      <c r="BS46">
        <v>7000</v>
      </c>
      <c r="BT46" t="s">
        <v>665</v>
      </c>
      <c r="BW46">
        <v>692604</v>
      </c>
      <c r="BX46" t="s">
        <v>407</v>
      </c>
      <c r="BY46" t="s">
        <v>408</v>
      </c>
      <c r="BZ46">
        <v>4</v>
      </c>
      <c r="CA46">
        <v>1975</v>
      </c>
      <c r="CB46">
        <v>1</v>
      </c>
      <c r="CC46">
        <v>1</v>
      </c>
      <c r="CD46">
        <v>2017</v>
      </c>
      <c r="CG46">
        <v>124688</v>
      </c>
      <c r="CH46">
        <v>2017</v>
      </c>
      <c r="CI46">
        <v>19118</v>
      </c>
      <c r="CJ46">
        <v>188902</v>
      </c>
      <c r="CK46">
        <v>208020</v>
      </c>
      <c r="CL46">
        <v>2017</v>
      </c>
      <c r="CM46">
        <v>1887.63</v>
      </c>
      <c r="CN46" s="1">
        <v>25934</v>
      </c>
      <c r="CO46">
        <v>91500</v>
      </c>
      <c r="CZ46" s="1">
        <v>25934</v>
      </c>
      <c r="DD46" t="s">
        <v>553</v>
      </c>
      <c r="DG46">
        <v>8</v>
      </c>
      <c r="DL46">
        <v>50504</v>
      </c>
      <c r="DM46" t="s">
        <v>879</v>
      </c>
      <c r="DO46" t="s">
        <v>929</v>
      </c>
      <c r="DP46">
        <v>0</v>
      </c>
      <c r="DQ46">
        <v>0</v>
      </c>
      <c r="DR46" t="s">
        <v>411</v>
      </c>
      <c r="EP46" t="s">
        <v>421</v>
      </c>
      <c r="EQ46" t="s">
        <v>422</v>
      </c>
      <c r="ER46">
        <v>0</v>
      </c>
      <c r="ES46">
        <v>2</v>
      </c>
      <c r="ET46">
        <v>0</v>
      </c>
      <c r="EU46">
        <v>0</v>
      </c>
      <c r="EV46">
        <v>0</v>
      </c>
      <c r="EW46" s="2">
        <v>43222</v>
      </c>
      <c r="EX46" s="1">
        <v>42879</v>
      </c>
      <c r="EY46">
        <v>2016</v>
      </c>
      <c r="EZ46">
        <v>304.73</v>
      </c>
      <c r="FA46" t="s">
        <v>930</v>
      </c>
      <c r="FB46">
        <v>0.25</v>
      </c>
      <c r="FC46" t="s">
        <v>424</v>
      </c>
      <c r="FD46" t="s">
        <v>425</v>
      </c>
      <c r="FE46" s="1">
        <v>43032</v>
      </c>
      <c r="FF46">
        <v>5</v>
      </c>
      <c r="FG46">
        <v>7336671</v>
      </c>
      <c r="FH46" t="s">
        <v>437</v>
      </c>
      <c r="FJ46" s="1">
        <v>42879</v>
      </c>
      <c r="FK46">
        <v>2016</v>
      </c>
      <c r="FL46">
        <v>304.73</v>
      </c>
      <c r="FM46" t="s">
        <v>930</v>
      </c>
      <c r="FN46">
        <v>0.25</v>
      </c>
      <c r="FO46" t="s">
        <v>424</v>
      </c>
      <c r="FP46" t="s">
        <v>425</v>
      </c>
      <c r="FR46">
        <v>22</v>
      </c>
      <c r="FS46">
        <v>6755910</v>
      </c>
      <c r="FT46" t="s">
        <v>931</v>
      </c>
    </row>
    <row r="47" spans="1:308" x14ac:dyDescent="0.25">
      <c r="A47">
        <v>16485054</v>
      </c>
      <c r="B47">
        <v>46</v>
      </c>
      <c r="C47" t="s">
        <v>393</v>
      </c>
      <c r="D47" t="s">
        <v>394</v>
      </c>
      <c r="F47" t="str">
        <f>"08-1S-23-0000-0006-0180"</f>
        <v>08-1S-23-0000-0006-0180</v>
      </c>
      <c r="H47" t="str">
        <f>"BARNES REBECCA E &amp; BARNES DAVID C ET AL"</f>
        <v>BARNES REBECCA E &amp; BARNES DAVID C ET AL</v>
      </c>
      <c r="I47" t="str">
        <f>"4242 RENDALE DRIVE"</f>
        <v>4242 RENDALE DRIVE</v>
      </c>
      <c r="J47" t="str">
        <f>"JACKSONVILLE FL 32210"</f>
        <v>JACKSONVILLE FL 32210</v>
      </c>
      <c r="K47" t="str">
        <f>"CORTEZ RD"</f>
        <v>CORTEZ RD</v>
      </c>
      <c r="L47" t="str">
        <f t="shared" ref="L47:L69" si="13">"BRYCEVILLE FL 32009"</f>
        <v>BRYCEVILLE FL 32009</v>
      </c>
      <c r="M47" t="str">
        <f>"IN OR 1036/1746 &amp; OR 2112/1727 ESMT OR 1038/1954"</f>
        <v>IN OR 1036/1746 &amp; OR 2112/1727 ESMT OR 1038/1954</v>
      </c>
      <c r="N47" t="str">
        <f>""</f>
        <v/>
      </c>
      <c r="O47" t="str">
        <f>"22868"</f>
        <v>22868</v>
      </c>
      <c r="P47" t="str">
        <f t="shared" si="2"/>
        <v>2017</v>
      </c>
      <c r="Q47" t="str">
        <f>""</f>
        <v/>
      </c>
      <c r="R47" t="str">
        <f>"N"</f>
        <v>N</v>
      </c>
      <c r="S47" t="str">
        <f>"1.72"</f>
        <v>1.72</v>
      </c>
      <c r="T47" t="str">
        <f>"36.41"</f>
        <v>36.41</v>
      </c>
      <c r="U47" t="str">
        <f>"2270.00"</f>
        <v>2270.00</v>
      </c>
      <c r="V47" t="str">
        <f>"2270.00"</f>
        <v>2270.00</v>
      </c>
      <c r="W47" t="str">
        <f t="shared" si="3"/>
        <v>2017</v>
      </c>
      <c r="X47" t="str">
        <f>"7.00"</f>
        <v>7.00</v>
      </c>
      <c r="Y47" t="str">
        <f>"69.50"</f>
        <v>69.50</v>
      </c>
      <c r="Z47" t="str">
        <f>""</f>
        <v/>
      </c>
      <c r="AA47" t="str">
        <f>"2580.00"</f>
        <v>2580.00</v>
      </c>
      <c r="AB47" t="str">
        <f t="shared" ref="AB47:AB64" si="14">"Residential"</f>
        <v>Residential</v>
      </c>
      <c r="AC47" t="str">
        <f t="shared" si="4"/>
        <v>0</v>
      </c>
      <c r="AD47" t="str">
        <f>""</f>
        <v/>
      </c>
      <c r="AE47" t="str">
        <f>""</f>
        <v/>
      </c>
      <c r="AF47" t="str">
        <f>"000"</f>
        <v>000</v>
      </c>
      <c r="AG47" t="str">
        <f t="shared" si="11"/>
        <v>FL</v>
      </c>
      <c r="AH47" t="str">
        <f>"74923.00"</f>
        <v>74923.00</v>
      </c>
      <c r="AI47" t="str">
        <f>"2580.00"</f>
        <v>2580.00</v>
      </c>
      <c r="AJ47" t="str">
        <f>"C55-000-586-7077-9"</f>
        <v>C55-000-586-7077-9</v>
      </c>
      <c r="AK47" t="str">
        <f>"2765"</f>
        <v>2765</v>
      </c>
      <c r="AL47">
        <v>1</v>
      </c>
      <c r="AM47">
        <v>55</v>
      </c>
      <c r="AN47">
        <v>71.38</v>
      </c>
      <c r="AQ47" t="s">
        <v>932</v>
      </c>
      <c r="AR47" t="s">
        <v>932</v>
      </c>
      <c r="AS47" t="s">
        <v>932</v>
      </c>
      <c r="AU47" t="s">
        <v>396</v>
      </c>
      <c r="AV47">
        <v>2017</v>
      </c>
      <c r="AW47" t="str">
        <f>"08-1S-23-0000-0006-0180 "</f>
        <v xml:space="preserve">08-1S-23-0000-0006-0180 </v>
      </c>
      <c r="AZ47" t="s">
        <v>933</v>
      </c>
      <c r="BA47" t="s">
        <v>496</v>
      </c>
      <c r="BD47" t="s">
        <v>553</v>
      </c>
      <c r="BE47" t="s">
        <v>393</v>
      </c>
      <c r="BF47">
        <v>32009</v>
      </c>
      <c r="BG47" t="s">
        <v>934</v>
      </c>
      <c r="BH47" t="s">
        <v>555</v>
      </c>
      <c r="BI47">
        <v>-82.032809935724799</v>
      </c>
      <c r="BJ47">
        <v>30.4209799498691</v>
      </c>
      <c r="BK47" t="s">
        <v>935</v>
      </c>
      <c r="BM47" t="s">
        <v>936</v>
      </c>
      <c r="BN47" t="s">
        <v>548</v>
      </c>
      <c r="BO47">
        <v>32210</v>
      </c>
      <c r="BP47" t="s">
        <v>404</v>
      </c>
      <c r="BQ47">
        <v>0</v>
      </c>
      <c r="BR47" t="s">
        <v>491</v>
      </c>
      <c r="BS47">
        <v>8001</v>
      </c>
      <c r="BT47" t="s">
        <v>492</v>
      </c>
      <c r="BW47">
        <v>74923</v>
      </c>
      <c r="BX47" t="s">
        <v>407</v>
      </c>
      <c r="CD47">
        <v>2017</v>
      </c>
      <c r="CE47">
        <v>2580</v>
      </c>
      <c r="CG47">
        <v>2580</v>
      </c>
      <c r="CH47">
        <v>2017</v>
      </c>
      <c r="CI47">
        <v>2580</v>
      </c>
      <c r="CK47">
        <v>2580</v>
      </c>
      <c r="CL47">
        <v>2017</v>
      </c>
      <c r="CM47">
        <v>36.409999999999997</v>
      </c>
      <c r="CN47" s="1">
        <v>37299</v>
      </c>
      <c r="CZ47" s="1">
        <v>37299</v>
      </c>
      <c r="DD47" t="s">
        <v>553</v>
      </c>
      <c r="DG47">
        <v>8</v>
      </c>
      <c r="DL47">
        <v>50504</v>
      </c>
      <c r="DM47" t="s">
        <v>879</v>
      </c>
      <c r="DO47" t="s">
        <v>937</v>
      </c>
      <c r="DP47">
        <v>0</v>
      </c>
      <c r="DQ47">
        <v>0</v>
      </c>
      <c r="DR47" t="s">
        <v>411</v>
      </c>
      <c r="DS47" t="b">
        <v>1</v>
      </c>
      <c r="DT47" t="s">
        <v>470</v>
      </c>
      <c r="DU47" t="s">
        <v>471</v>
      </c>
      <c r="DV47" t="s">
        <v>472</v>
      </c>
      <c r="DX47">
        <v>-9999</v>
      </c>
      <c r="DZ47" t="s">
        <v>447</v>
      </c>
      <c r="EA47" t="s">
        <v>448</v>
      </c>
      <c r="EB47" t="s">
        <v>742</v>
      </c>
      <c r="EC47">
        <v>20101217</v>
      </c>
      <c r="ED47" t="s">
        <v>474</v>
      </c>
      <c r="EF47">
        <v>217.2</v>
      </c>
      <c r="EG47">
        <v>217.2</v>
      </c>
      <c r="EI47">
        <v>20160407</v>
      </c>
      <c r="EJ47">
        <v>0</v>
      </c>
      <c r="EK47">
        <v>0</v>
      </c>
      <c r="EP47" t="s">
        <v>595</v>
      </c>
      <c r="EQ47" t="s">
        <v>422</v>
      </c>
      <c r="ER47">
        <v>8</v>
      </c>
      <c r="ES47">
        <v>0</v>
      </c>
      <c r="ET47">
        <v>437.56</v>
      </c>
      <c r="EU47">
        <v>338.33</v>
      </c>
      <c r="EV47">
        <v>775.89</v>
      </c>
      <c r="EW47" s="2">
        <v>43222</v>
      </c>
      <c r="EX47" s="1">
        <v>42879</v>
      </c>
      <c r="EY47">
        <v>2016</v>
      </c>
      <c r="EZ47">
        <v>61.27</v>
      </c>
      <c r="FA47" t="s">
        <v>938</v>
      </c>
      <c r="FB47">
        <v>18</v>
      </c>
      <c r="FC47" t="s">
        <v>424</v>
      </c>
      <c r="FD47" t="s">
        <v>454</v>
      </c>
      <c r="FF47">
        <v>12</v>
      </c>
      <c r="FG47">
        <v>10125</v>
      </c>
      <c r="FH47" t="s">
        <v>440</v>
      </c>
      <c r="FJ47" s="1">
        <v>42515</v>
      </c>
      <c r="FK47">
        <v>2015</v>
      </c>
      <c r="FL47">
        <v>55.5</v>
      </c>
      <c r="FM47" t="s">
        <v>939</v>
      </c>
      <c r="FN47">
        <v>18</v>
      </c>
      <c r="FO47" t="s">
        <v>424</v>
      </c>
      <c r="FP47" t="s">
        <v>454</v>
      </c>
      <c r="FR47">
        <v>24</v>
      </c>
      <c r="FS47">
        <v>10125</v>
      </c>
      <c r="FT47" t="s">
        <v>440</v>
      </c>
      <c r="FV47" s="1">
        <v>42151</v>
      </c>
      <c r="FW47">
        <v>2014</v>
      </c>
      <c r="FX47">
        <v>51.4</v>
      </c>
      <c r="FY47" t="s">
        <v>940</v>
      </c>
      <c r="FZ47">
        <v>18</v>
      </c>
      <c r="GA47" t="s">
        <v>424</v>
      </c>
      <c r="GB47" t="s">
        <v>454</v>
      </c>
      <c r="GD47">
        <v>36</v>
      </c>
      <c r="GE47">
        <v>6516843</v>
      </c>
      <c r="GF47" t="s">
        <v>601</v>
      </c>
      <c r="GH47" s="1">
        <v>41787</v>
      </c>
      <c r="GI47">
        <v>2013</v>
      </c>
      <c r="GJ47">
        <v>49.81</v>
      </c>
      <c r="GK47" t="s">
        <v>941</v>
      </c>
      <c r="GL47">
        <v>18</v>
      </c>
      <c r="GM47" t="s">
        <v>603</v>
      </c>
      <c r="GN47" t="s">
        <v>454</v>
      </c>
      <c r="GP47">
        <v>48</v>
      </c>
      <c r="GQ47">
        <v>9999999</v>
      </c>
      <c r="GR47" t="s">
        <v>604</v>
      </c>
      <c r="GT47" s="1">
        <v>41423</v>
      </c>
      <c r="GU47">
        <v>2012</v>
      </c>
      <c r="GV47">
        <v>54.4</v>
      </c>
      <c r="GW47" t="s">
        <v>942</v>
      </c>
      <c r="GX47">
        <v>17</v>
      </c>
      <c r="GY47" t="s">
        <v>424</v>
      </c>
      <c r="GZ47" t="s">
        <v>454</v>
      </c>
      <c r="HB47">
        <v>60</v>
      </c>
      <c r="HC47">
        <v>10628</v>
      </c>
      <c r="HD47" t="s">
        <v>943</v>
      </c>
      <c r="HF47" s="1">
        <v>41052</v>
      </c>
      <c r="HG47">
        <v>2011</v>
      </c>
      <c r="HH47">
        <v>52.7</v>
      </c>
      <c r="HI47" t="s">
        <v>944</v>
      </c>
      <c r="HJ47">
        <v>18</v>
      </c>
      <c r="HK47" t="s">
        <v>424</v>
      </c>
      <c r="HL47" t="s">
        <v>454</v>
      </c>
      <c r="HN47">
        <v>72</v>
      </c>
      <c r="HO47">
        <v>10125</v>
      </c>
      <c r="HP47" t="s">
        <v>440</v>
      </c>
      <c r="HR47" s="1">
        <v>40688</v>
      </c>
      <c r="HS47">
        <v>2010</v>
      </c>
      <c r="HT47">
        <v>56.24</v>
      </c>
      <c r="HU47" t="s">
        <v>945</v>
      </c>
      <c r="HV47">
        <v>11.5</v>
      </c>
      <c r="HW47" t="s">
        <v>424</v>
      </c>
      <c r="HX47" t="s">
        <v>454</v>
      </c>
      <c r="HZ47">
        <v>84</v>
      </c>
      <c r="IA47">
        <v>375</v>
      </c>
      <c r="IB47" t="s">
        <v>776</v>
      </c>
      <c r="ID47" s="1">
        <v>40688</v>
      </c>
      <c r="IE47">
        <v>2010</v>
      </c>
      <c r="IF47">
        <v>56.24</v>
      </c>
      <c r="IG47" t="s">
        <v>945</v>
      </c>
      <c r="IH47">
        <v>11.5</v>
      </c>
      <c r="II47" t="s">
        <v>424</v>
      </c>
      <c r="IJ47" t="s">
        <v>454</v>
      </c>
      <c r="IL47">
        <v>84</v>
      </c>
      <c r="IM47">
        <v>105</v>
      </c>
      <c r="IN47" t="s">
        <v>946</v>
      </c>
    </row>
    <row r="48" spans="1:308" x14ac:dyDescent="0.25">
      <c r="A48">
        <v>16485055</v>
      </c>
      <c r="B48">
        <v>47</v>
      </c>
      <c r="C48" t="s">
        <v>393</v>
      </c>
      <c r="D48" t="s">
        <v>394</v>
      </c>
      <c r="F48" t="str">
        <f>"08-1S-23-0000-0006-0250"</f>
        <v>08-1S-23-0000-0006-0250</v>
      </c>
      <c r="H48" t="str">
        <f>"PERRY JUSTIN O"</f>
        <v>PERRY JUSTIN O</v>
      </c>
      <c r="I48" t="str">
        <f>"10190 BUCKS WAY"</f>
        <v>10190 BUCKS WAY</v>
      </c>
      <c r="J48" t="str">
        <f>"BRYCEVILLE FL 32009"</f>
        <v>BRYCEVILLE FL 32009</v>
      </c>
      <c r="K48" t="str">
        <f>"OFF BUCKS WAY"</f>
        <v>OFF BUCKS WAY</v>
      </c>
      <c r="L48" t="str">
        <f t="shared" si="13"/>
        <v>BRYCEVILLE FL 32009</v>
      </c>
      <c r="M48" t="str">
        <f>"PT OF S1/2 OF SW1/4 IN OR 1671/882"</f>
        <v>PT OF S1/2 OF SW1/4 IN OR 1671/882</v>
      </c>
      <c r="N48" t="str">
        <f>""</f>
        <v/>
      </c>
      <c r="O48" t="str">
        <f>"22875"</f>
        <v>22875</v>
      </c>
      <c r="P48" t="str">
        <f t="shared" si="2"/>
        <v>2017</v>
      </c>
      <c r="Q48" t="str">
        <f>""</f>
        <v/>
      </c>
      <c r="R48" t="str">
        <f>"N"</f>
        <v>N</v>
      </c>
      <c r="S48" t="str">
        <f>"1.00"</f>
        <v>1.00</v>
      </c>
      <c r="T48" t="str">
        <f>"199.00"</f>
        <v>199.00</v>
      </c>
      <c r="U48" t="str">
        <f>"11713.00"</f>
        <v>11713.00</v>
      </c>
      <c r="V48" t="str">
        <f>"11713.00"</f>
        <v>11713.00</v>
      </c>
      <c r="W48" t="str">
        <f t="shared" si="3"/>
        <v>2017</v>
      </c>
      <c r="X48" t="str">
        <f>"19.43"</f>
        <v>19.43</v>
      </c>
      <c r="Y48" t="str">
        <f>"236.97"</f>
        <v>236.97</v>
      </c>
      <c r="Z48" t="str">
        <f>""</f>
        <v/>
      </c>
      <c r="AA48" t="str">
        <f>"15000.00"</f>
        <v>15000.00</v>
      </c>
      <c r="AB48" t="str">
        <f t="shared" si="14"/>
        <v>Residential</v>
      </c>
      <c r="AC48" t="str">
        <f t="shared" si="4"/>
        <v>0</v>
      </c>
      <c r="AD48" t="str">
        <f>""</f>
        <v/>
      </c>
      <c r="AE48" t="str">
        <f>""</f>
        <v/>
      </c>
      <c r="AF48" t="str">
        <f>"000"</f>
        <v>000</v>
      </c>
      <c r="AG48" t="str">
        <f t="shared" si="11"/>
        <v>FL</v>
      </c>
      <c r="AH48" t="str">
        <f>"43560.00"</f>
        <v>43560.00</v>
      </c>
      <c r="AI48" t="str">
        <f>"15000.00"</f>
        <v>15000.00</v>
      </c>
      <c r="AJ48" t="str">
        <f>"C55-001-037-7945-0"</f>
        <v>C55-001-037-7945-0</v>
      </c>
      <c r="AK48" t="str">
        <f>"2771"</f>
        <v>2771</v>
      </c>
      <c r="AL48">
        <v>1</v>
      </c>
      <c r="AM48">
        <v>56</v>
      </c>
      <c r="AN48">
        <v>247.22</v>
      </c>
      <c r="AQ48" t="s">
        <v>947</v>
      </c>
      <c r="AR48" t="s">
        <v>947</v>
      </c>
      <c r="AS48" t="s">
        <v>947</v>
      </c>
      <c r="AU48" t="s">
        <v>396</v>
      </c>
      <c r="AV48">
        <v>2017</v>
      </c>
      <c r="AW48" t="str">
        <f>"08-1S-23-0000-0006-0250 "</f>
        <v xml:space="preserve">08-1S-23-0000-0006-0250 </v>
      </c>
      <c r="AZ48" t="s">
        <v>948</v>
      </c>
      <c r="BA48" t="s">
        <v>866</v>
      </c>
      <c r="BD48" t="s">
        <v>553</v>
      </c>
      <c r="BE48" t="s">
        <v>393</v>
      </c>
      <c r="BF48">
        <v>32009</v>
      </c>
      <c r="BG48" t="s">
        <v>949</v>
      </c>
      <c r="BH48" t="s">
        <v>555</v>
      </c>
      <c r="BI48">
        <v>-82.028533529025694</v>
      </c>
      <c r="BJ48">
        <v>30.420931780225601</v>
      </c>
      <c r="BK48" t="s">
        <v>950</v>
      </c>
      <c r="BM48" t="s">
        <v>951</v>
      </c>
      <c r="BN48" t="s">
        <v>558</v>
      </c>
      <c r="BO48">
        <v>32009</v>
      </c>
      <c r="BP48" t="s">
        <v>404</v>
      </c>
      <c r="BQ48">
        <v>0</v>
      </c>
      <c r="BR48" t="s">
        <v>491</v>
      </c>
      <c r="BS48">
        <v>8001</v>
      </c>
      <c r="BT48" t="s">
        <v>492</v>
      </c>
      <c r="BW48">
        <v>43560</v>
      </c>
      <c r="BX48" t="s">
        <v>407</v>
      </c>
      <c r="BY48" t="s">
        <v>408</v>
      </c>
      <c r="CD48">
        <v>2017</v>
      </c>
      <c r="CE48">
        <v>15000</v>
      </c>
      <c r="CG48">
        <v>15000</v>
      </c>
      <c r="CH48">
        <v>2017</v>
      </c>
      <c r="CI48">
        <v>15000</v>
      </c>
      <c r="CK48">
        <v>15000</v>
      </c>
      <c r="CL48">
        <v>2017</v>
      </c>
      <c r="CM48">
        <v>199</v>
      </c>
      <c r="CN48" s="1">
        <v>40281</v>
      </c>
      <c r="CZ48" s="1">
        <v>40281</v>
      </c>
      <c r="DD48" t="s">
        <v>553</v>
      </c>
      <c r="DG48">
        <v>8</v>
      </c>
      <c r="DL48">
        <v>50504</v>
      </c>
      <c r="DM48" t="s">
        <v>879</v>
      </c>
      <c r="DO48" t="s">
        <v>952</v>
      </c>
      <c r="DP48">
        <v>0</v>
      </c>
      <c r="DQ48">
        <v>0</v>
      </c>
      <c r="DR48" t="s">
        <v>411</v>
      </c>
      <c r="DS48" t="b">
        <v>1</v>
      </c>
      <c r="DT48" t="s">
        <v>470</v>
      </c>
      <c r="DU48" t="s">
        <v>471</v>
      </c>
      <c r="DV48" t="s">
        <v>472</v>
      </c>
      <c r="DX48">
        <v>-9999</v>
      </c>
      <c r="DZ48" t="s">
        <v>447</v>
      </c>
      <c r="EA48" t="s">
        <v>448</v>
      </c>
      <c r="EB48" t="s">
        <v>742</v>
      </c>
      <c r="EC48">
        <v>20101217</v>
      </c>
      <c r="ED48" t="s">
        <v>474</v>
      </c>
      <c r="EF48">
        <v>829.4</v>
      </c>
      <c r="EG48">
        <v>829.4</v>
      </c>
      <c r="EI48">
        <v>20160407</v>
      </c>
      <c r="EJ48">
        <v>0</v>
      </c>
      <c r="EK48">
        <v>0</v>
      </c>
      <c r="EP48" t="s">
        <v>421</v>
      </c>
      <c r="EQ48" t="s">
        <v>422</v>
      </c>
      <c r="ER48">
        <v>0</v>
      </c>
      <c r="ES48">
        <v>8</v>
      </c>
      <c r="ET48">
        <v>0</v>
      </c>
      <c r="EU48">
        <v>0</v>
      </c>
      <c r="EV48">
        <v>0</v>
      </c>
      <c r="EW48" s="2">
        <v>43222</v>
      </c>
      <c r="EX48" s="1">
        <v>42879</v>
      </c>
      <c r="EY48">
        <v>2016</v>
      </c>
      <c r="EZ48">
        <v>213.72</v>
      </c>
      <c r="FA48" t="s">
        <v>953</v>
      </c>
      <c r="FB48">
        <v>6.5</v>
      </c>
      <c r="FC48" t="s">
        <v>424</v>
      </c>
      <c r="FD48" t="s">
        <v>425</v>
      </c>
      <c r="FE48" s="1">
        <v>43157</v>
      </c>
      <c r="FF48">
        <v>9</v>
      </c>
      <c r="FG48">
        <v>10125</v>
      </c>
      <c r="FH48" t="s">
        <v>440</v>
      </c>
      <c r="FJ48" s="1">
        <v>42515</v>
      </c>
      <c r="FK48">
        <v>2015</v>
      </c>
      <c r="FL48">
        <v>204.56</v>
      </c>
      <c r="FM48" t="s">
        <v>954</v>
      </c>
      <c r="FN48">
        <v>14.75</v>
      </c>
      <c r="FO48" t="s">
        <v>424</v>
      </c>
      <c r="FP48" t="s">
        <v>425</v>
      </c>
      <c r="FQ48" s="1">
        <v>43157</v>
      </c>
      <c r="FR48">
        <v>21</v>
      </c>
      <c r="FS48">
        <v>13139</v>
      </c>
      <c r="FT48" t="s">
        <v>955</v>
      </c>
      <c r="FV48" s="1">
        <v>42151</v>
      </c>
      <c r="FW48">
        <v>2014</v>
      </c>
      <c r="FX48">
        <v>173.96</v>
      </c>
      <c r="FY48" t="s">
        <v>956</v>
      </c>
      <c r="FZ48">
        <v>15.75</v>
      </c>
      <c r="GA48" t="s">
        <v>424</v>
      </c>
      <c r="GB48" t="s">
        <v>425</v>
      </c>
      <c r="GC48" s="1">
        <v>42809</v>
      </c>
      <c r="GD48">
        <v>22</v>
      </c>
      <c r="GE48">
        <v>10125</v>
      </c>
      <c r="GF48" t="s">
        <v>440</v>
      </c>
      <c r="GH48" s="1">
        <v>41787</v>
      </c>
      <c r="GI48">
        <v>2013</v>
      </c>
      <c r="GJ48">
        <v>151.43</v>
      </c>
      <c r="GK48" t="s">
        <v>957</v>
      </c>
      <c r="GL48">
        <v>15.75</v>
      </c>
      <c r="GM48" t="s">
        <v>424</v>
      </c>
      <c r="GN48" t="s">
        <v>425</v>
      </c>
      <c r="GO48" s="1">
        <v>42429</v>
      </c>
      <c r="GP48">
        <v>21</v>
      </c>
      <c r="GQ48">
        <v>4695392</v>
      </c>
      <c r="GR48" t="s">
        <v>958</v>
      </c>
      <c r="GT48" s="1">
        <v>41423</v>
      </c>
      <c r="GU48">
        <v>2012</v>
      </c>
      <c r="GV48">
        <v>163.29</v>
      </c>
      <c r="GW48" t="s">
        <v>959</v>
      </c>
      <c r="GX48">
        <v>6.25</v>
      </c>
      <c r="GY48" t="s">
        <v>424</v>
      </c>
      <c r="GZ48" t="s">
        <v>425</v>
      </c>
      <c r="HA48" s="1">
        <v>42047</v>
      </c>
      <c r="HB48">
        <v>21</v>
      </c>
      <c r="HC48">
        <v>2101381</v>
      </c>
      <c r="HD48" t="s">
        <v>605</v>
      </c>
      <c r="HF48" s="1">
        <v>41052</v>
      </c>
      <c r="HG48">
        <v>2011</v>
      </c>
      <c r="HH48">
        <v>182.75</v>
      </c>
      <c r="HI48" t="s">
        <v>960</v>
      </c>
      <c r="HJ48">
        <v>16.25</v>
      </c>
      <c r="HK48" t="s">
        <v>424</v>
      </c>
      <c r="HL48" t="s">
        <v>425</v>
      </c>
      <c r="HM48" s="1">
        <v>41698</v>
      </c>
      <c r="HN48">
        <v>21</v>
      </c>
      <c r="HO48">
        <v>10125</v>
      </c>
      <c r="HP48" t="s">
        <v>440</v>
      </c>
      <c r="HR48" s="1">
        <v>40688</v>
      </c>
      <c r="HS48">
        <v>2010</v>
      </c>
      <c r="HT48">
        <v>264.37</v>
      </c>
      <c r="HU48" t="s">
        <v>961</v>
      </c>
      <c r="HV48">
        <v>8.25</v>
      </c>
      <c r="HW48" t="s">
        <v>424</v>
      </c>
      <c r="HX48" t="s">
        <v>425</v>
      </c>
      <c r="HY48" s="1">
        <v>41333</v>
      </c>
      <c r="HZ48">
        <v>21</v>
      </c>
      <c r="IA48">
        <v>15175</v>
      </c>
      <c r="IB48" t="s">
        <v>588</v>
      </c>
      <c r="ID48" s="1">
        <v>40688</v>
      </c>
      <c r="IE48">
        <v>2010</v>
      </c>
      <c r="IF48">
        <v>264.37</v>
      </c>
      <c r="IG48" t="s">
        <v>961</v>
      </c>
      <c r="IH48">
        <v>8.25</v>
      </c>
      <c r="II48" t="s">
        <v>424</v>
      </c>
      <c r="IJ48" t="s">
        <v>425</v>
      </c>
      <c r="IL48">
        <v>22</v>
      </c>
      <c r="IM48">
        <v>10548</v>
      </c>
      <c r="IN48" t="s">
        <v>589</v>
      </c>
    </row>
    <row r="49" spans="1:284" x14ac:dyDescent="0.25">
      <c r="A49">
        <v>16485056</v>
      </c>
      <c r="B49">
        <v>48</v>
      </c>
      <c r="C49" t="s">
        <v>393</v>
      </c>
      <c r="D49" t="s">
        <v>394</v>
      </c>
      <c r="F49" t="str">
        <f>"08-1S-23-1830-0009-0000"</f>
        <v>08-1S-23-1830-0009-0000</v>
      </c>
      <c r="H49" t="str">
        <f>"CLANTON PATRICIA"</f>
        <v>CLANTON PATRICIA</v>
      </c>
      <c r="I49" t="str">
        <f>"11514 CR 121"</f>
        <v>11514 CR 121</v>
      </c>
      <c r="J49" t="str">
        <f>"BRYCEVILLE FL 32009"</f>
        <v>BRYCEVILLE FL 32009</v>
      </c>
      <c r="K49" t="str">
        <f>"11514 CR 121"</f>
        <v>11514 CR 121</v>
      </c>
      <c r="L49" t="str">
        <f t="shared" si="13"/>
        <v>BRYCEVILLE FL 32009</v>
      </c>
      <c r="M49" t="str">
        <f>"LOT 9 OR 672 PG 1518 RIVERSIDE ESTATES 1 PB 5/171"</f>
        <v>LOT 9 OR 672 PG 1518 RIVERSIDE ESTATES 1 PB 5/171</v>
      </c>
      <c r="N49" t="str">
        <f>""</f>
        <v/>
      </c>
      <c r="O49" t="str">
        <f>"22884"</f>
        <v>22884</v>
      </c>
      <c r="P49" t="str">
        <f t="shared" si="2"/>
        <v>2017</v>
      </c>
      <c r="Q49" t="str">
        <f>""</f>
        <v/>
      </c>
      <c r="R49" t="str">
        <f>"Y"</f>
        <v>Y</v>
      </c>
      <c r="S49" t="str">
        <f>"3.34"</f>
        <v>3.34</v>
      </c>
      <c r="T49" t="str">
        <f>"616.74"</f>
        <v>616.74</v>
      </c>
      <c r="U49" t="str">
        <f>"107046.00"</f>
        <v>107046.00</v>
      </c>
      <c r="V49" t="str">
        <f>"107046.00"</f>
        <v>107046.00</v>
      </c>
      <c r="W49" t="str">
        <f t="shared" si="3"/>
        <v>2017</v>
      </c>
      <c r="X49" t="str">
        <f>"16.57"</f>
        <v>16.57</v>
      </c>
      <c r="Y49" t="str">
        <f>"667.24"</f>
        <v>667.24</v>
      </c>
      <c r="Z49" t="str">
        <f>"25000.00"</f>
        <v>25000.00</v>
      </c>
      <c r="AA49" t="str">
        <f>"82046.00"</f>
        <v>82046.00</v>
      </c>
      <c r="AB49" t="str">
        <f t="shared" si="14"/>
        <v>Residential</v>
      </c>
      <c r="AC49" t="str">
        <f t="shared" si="4"/>
        <v>0</v>
      </c>
      <c r="AD49" t="str">
        <f>"4"</f>
        <v>4</v>
      </c>
      <c r="AE49" t="str">
        <f>"WOOD (INCLUDE STEEL STUDS)"</f>
        <v>WOOD (INCLUDE STEEL STUDS)</v>
      </c>
      <c r="AF49" t="str">
        <f>"001"</f>
        <v>001</v>
      </c>
      <c r="AG49" t="str">
        <f t="shared" si="11"/>
        <v>FL</v>
      </c>
      <c r="AH49" t="str">
        <f>"145490.00"</f>
        <v>145490.00</v>
      </c>
      <c r="AI49" t="str">
        <f>"26720.00"</f>
        <v>26720.00</v>
      </c>
      <c r="AJ49" t="str">
        <f>"C55-000-586-7084-5"</f>
        <v>C55-000-586-7084-5</v>
      </c>
      <c r="AK49" t="str">
        <f>"2779"</f>
        <v>2779</v>
      </c>
      <c r="AL49">
        <v>1</v>
      </c>
      <c r="AM49">
        <v>57</v>
      </c>
      <c r="AN49">
        <v>699</v>
      </c>
      <c r="AQ49" t="s">
        <v>962</v>
      </c>
      <c r="AR49" t="s">
        <v>962</v>
      </c>
      <c r="AS49" t="s">
        <v>962</v>
      </c>
      <c r="AU49" t="s">
        <v>396</v>
      </c>
      <c r="AV49">
        <v>2017</v>
      </c>
      <c r="AW49" t="str">
        <f>"08-1S-23-1830-0009-0000 "</f>
        <v xml:space="preserve">08-1S-23-1830-0009-0000 </v>
      </c>
      <c r="AX49">
        <v>11514</v>
      </c>
      <c r="AZ49" t="s">
        <v>611</v>
      </c>
      <c r="BD49" t="s">
        <v>553</v>
      </c>
      <c r="BE49" t="s">
        <v>393</v>
      </c>
      <c r="BF49">
        <v>32009</v>
      </c>
      <c r="BG49" t="s">
        <v>963</v>
      </c>
      <c r="BH49" t="s">
        <v>555</v>
      </c>
      <c r="BI49">
        <v>-82.023106115141999</v>
      </c>
      <c r="BJ49">
        <v>30.426196159826102</v>
      </c>
      <c r="BK49" t="s">
        <v>964</v>
      </c>
      <c r="BM49" t="s">
        <v>965</v>
      </c>
      <c r="BN49" t="s">
        <v>558</v>
      </c>
      <c r="BO49">
        <v>32009</v>
      </c>
      <c r="BP49" t="s">
        <v>416</v>
      </c>
      <c r="BQ49">
        <v>100</v>
      </c>
      <c r="BR49" t="s">
        <v>514</v>
      </c>
      <c r="BS49">
        <v>1001</v>
      </c>
      <c r="BT49" t="s">
        <v>515</v>
      </c>
      <c r="BW49">
        <v>145490</v>
      </c>
      <c r="BX49" t="s">
        <v>407</v>
      </c>
      <c r="BY49" t="s">
        <v>408</v>
      </c>
      <c r="BZ49">
        <v>4</v>
      </c>
      <c r="CA49">
        <v>1994</v>
      </c>
      <c r="CB49">
        <v>1</v>
      </c>
      <c r="CC49">
        <v>1</v>
      </c>
      <c r="CD49">
        <v>2017</v>
      </c>
      <c r="CG49">
        <v>107046</v>
      </c>
      <c r="CH49">
        <v>2017</v>
      </c>
      <c r="CI49">
        <v>26720</v>
      </c>
      <c r="CJ49">
        <v>91916</v>
      </c>
      <c r="CK49">
        <v>118636</v>
      </c>
      <c r="CL49">
        <v>2017</v>
      </c>
      <c r="CM49">
        <v>616.74</v>
      </c>
      <c r="CN49" s="1">
        <v>33967</v>
      </c>
      <c r="CO49">
        <v>24000</v>
      </c>
      <c r="CZ49" s="1">
        <v>33967</v>
      </c>
      <c r="DD49" t="s">
        <v>553</v>
      </c>
      <c r="DF49">
        <v>9</v>
      </c>
      <c r="DG49">
        <v>8</v>
      </c>
      <c r="DJ49" t="s">
        <v>966</v>
      </c>
      <c r="DL49">
        <v>50504</v>
      </c>
      <c r="DM49" t="s">
        <v>879</v>
      </c>
      <c r="DO49" t="s">
        <v>967</v>
      </c>
      <c r="DP49">
        <v>0</v>
      </c>
      <c r="DQ49">
        <v>0</v>
      </c>
      <c r="DR49" t="s">
        <v>411</v>
      </c>
      <c r="DS49" t="b">
        <v>1</v>
      </c>
      <c r="DT49" t="s">
        <v>396</v>
      </c>
      <c r="DV49" t="s">
        <v>446</v>
      </c>
      <c r="DX49">
        <v>-9999</v>
      </c>
      <c r="DZ49" t="s">
        <v>447</v>
      </c>
      <c r="EA49" t="s">
        <v>448</v>
      </c>
      <c r="EB49" t="s">
        <v>449</v>
      </c>
      <c r="EC49">
        <v>20101217</v>
      </c>
      <c r="ED49" t="s">
        <v>450</v>
      </c>
      <c r="EE49">
        <v>51.3</v>
      </c>
      <c r="EF49">
        <v>0</v>
      </c>
      <c r="EG49">
        <v>0</v>
      </c>
      <c r="EI49">
        <v>20160407</v>
      </c>
      <c r="EJ49">
        <v>0</v>
      </c>
      <c r="EK49">
        <v>0</v>
      </c>
      <c r="EP49" t="s">
        <v>421</v>
      </c>
      <c r="EQ49" t="s">
        <v>422</v>
      </c>
      <c r="ER49">
        <v>2</v>
      </c>
      <c r="ES49">
        <v>9</v>
      </c>
      <c r="ET49">
        <v>1351.68</v>
      </c>
      <c r="EU49">
        <v>80.08</v>
      </c>
      <c r="EV49">
        <v>1431.76</v>
      </c>
      <c r="EW49" s="2">
        <v>43222</v>
      </c>
      <c r="EX49" s="1">
        <v>42879</v>
      </c>
      <c r="EY49">
        <v>2016</v>
      </c>
      <c r="EZ49">
        <v>675.84</v>
      </c>
      <c r="FA49" t="s">
        <v>968</v>
      </c>
      <c r="FB49">
        <v>0.25</v>
      </c>
      <c r="FC49" t="s">
        <v>424</v>
      </c>
      <c r="FD49" t="s">
        <v>454</v>
      </c>
      <c r="FF49">
        <v>12</v>
      </c>
      <c r="FG49">
        <v>5857474</v>
      </c>
      <c r="FH49" t="s">
        <v>900</v>
      </c>
      <c r="FJ49" s="1">
        <v>42879</v>
      </c>
      <c r="FK49">
        <v>2016</v>
      </c>
      <c r="FL49">
        <v>675.84</v>
      </c>
      <c r="FM49" t="s">
        <v>968</v>
      </c>
      <c r="FN49">
        <v>0.25</v>
      </c>
      <c r="FO49" t="s">
        <v>424</v>
      </c>
      <c r="FP49" t="s">
        <v>454</v>
      </c>
      <c r="FR49">
        <v>12</v>
      </c>
      <c r="FS49">
        <v>6620684</v>
      </c>
      <c r="FT49" t="s">
        <v>969</v>
      </c>
      <c r="FV49" s="1">
        <v>42515</v>
      </c>
      <c r="FW49">
        <v>2015</v>
      </c>
      <c r="FX49">
        <v>690.25</v>
      </c>
      <c r="FY49" t="s">
        <v>970</v>
      </c>
      <c r="FZ49">
        <v>0.25</v>
      </c>
      <c r="GA49" t="s">
        <v>424</v>
      </c>
      <c r="GB49" t="s">
        <v>425</v>
      </c>
      <c r="GC49" s="1">
        <v>43188</v>
      </c>
      <c r="GD49">
        <v>22</v>
      </c>
      <c r="GE49">
        <v>7336671</v>
      </c>
      <c r="GF49" t="s">
        <v>437</v>
      </c>
      <c r="GH49" s="1">
        <v>42515</v>
      </c>
      <c r="GI49">
        <v>2015</v>
      </c>
      <c r="GJ49">
        <v>690.25</v>
      </c>
      <c r="GK49" t="s">
        <v>970</v>
      </c>
      <c r="GL49">
        <v>0.25</v>
      </c>
      <c r="GM49" t="s">
        <v>424</v>
      </c>
      <c r="GN49" t="s">
        <v>425</v>
      </c>
      <c r="GP49">
        <v>22</v>
      </c>
      <c r="GQ49">
        <v>6740070</v>
      </c>
      <c r="GR49" t="s">
        <v>971</v>
      </c>
      <c r="GT49" s="1">
        <v>42151</v>
      </c>
      <c r="GU49">
        <v>2014</v>
      </c>
      <c r="GV49">
        <v>767.94</v>
      </c>
      <c r="GW49" t="s">
        <v>972</v>
      </c>
      <c r="GX49">
        <v>0.25</v>
      </c>
      <c r="GY49" t="s">
        <v>424</v>
      </c>
      <c r="GZ49" t="s">
        <v>425</v>
      </c>
      <c r="HA49" s="1">
        <v>42380</v>
      </c>
      <c r="HB49">
        <v>8</v>
      </c>
      <c r="HC49">
        <v>2851116</v>
      </c>
      <c r="HD49" t="s">
        <v>480</v>
      </c>
      <c r="HF49" s="1">
        <v>42151</v>
      </c>
      <c r="HG49">
        <v>2014</v>
      </c>
      <c r="HH49">
        <v>767.94</v>
      </c>
      <c r="HI49" t="s">
        <v>972</v>
      </c>
      <c r="HJ49">
        <v>0.25</v>
      </c>
      <c r="HK49" t="s">
        <v>424</v>
      </c>
      <c r="HL49" t="s">
        <v>425</v>
      </c>
      <c r="HN49">
        <v>22</v>
      </c>
      <c r="HO49">
        <v>5036574</v>
      </c>
      <c r="HP49" t="s">
        <v>973</v>
      </c>
      <c r="HR49" s="1">
        <v>41787</v>
      </c>
      <c r="HS49">
        <v>2013</v>
      </c>
      <c r="HT49">
        <v>1139.25</v>
      </c>
      <c r="HU49" t="s">
        <v>974</v>
      </c>
      <c r="HV49">
        <v>0.25</v>
      </c>
      <c r="HW49" t="s">
        <v>424</v>
      </c>
      <c r="HX49" t="s">
        <v>425</v>
      </c>
      <c r="HY49" s="1">
        <v>42380</v>
      </c>
      <c r="HZ49">
        <v>20</v>
      </c>
      <c r="IA49">
        <v>2851116</v>
      </c>
      <c r="IB49" t="s">
        <v>480</v>
      </c>
      <c r="ID49" s="1">
        <v>41423</v>
      </c>
      <c r="IE49">
        <v>2012</v>
      </c>
      <c r="IF49">
        <v>1127.8399999999999</v>
      </c>
      <c r="IG49" t="s">
        <v>975</v>
      </c>
      <c r="IH49">
        <v>0.25</v>
      </c>
      <c r="II49" t="s">
        <v>424</v>
      </c>
      <c r="IJ49" t="s">
        <v>425</v>
      </c>
      <c r="IK49" s="1">
        <v>42087</v>
      </c>
      <c r="IL49">
        <v>22</v>
      </c>
      <c r="IM49">
        <v>15259</v>
      </c>
      <c r="IN49" t="s">
        <v>891</v>
      </c>
      <c r="IP49" s="1">
        <v>41052</v>
      </c>
      <c r="IQ49">
        <v>2011</v>
      </c>
      <c r="IR49">
        <v>1094.22</v>
      </c>
      <c r="IS49" t="s">
        <v>976</v>
      </c>
      <c r="IT49">
        <v>0.25</v>
      </c>
      <c r="IU49" t="s">
        <v>424</v>
      </c>
      <c r="IV49" t="s">
        <v>425</v>
      </c>
      <c r="IW49" s="1">
        <v>41729</v>
      </c>
      <c r="IX49">
        <v>22</v>
      </c>
      <c r="IY49">
        <v>13104</v>
      </c>
      <c r="IZ49" t="s">
        <v>888</v>
      </c>
      <c r="JB49" s="1">
        <v>41052</v>
      </c>
      <c r="JC49">
        <v>2011</v>
      </c>
      <c r="JD49">
        <v>1094.22</v>
      </c>
      <c r="JE49" t="s">
        <v>976</v>
      </c>
      <c r="JF49">
        <v>0.25</v>
      </c>
      <c r="JG49" t="s">
        <v>424</v>
      </c>
      <c r="JH49" t="s">
        <v>425</v>
      </c>
      <c r="JJ49">
        <v>22</v>
      </c>
      <c r="JK49">
        <v>13681</v>
      </c>
      <c r="JL49" t="s">
        <v>977</v>
      </c>
      <c r="JN49" s="1">
        <v>40688</v>
      </c>
      <c r="JO49">
        <v>2010</v>
      </c>
      <c r="JP49">
        <v>1137.27</v>
      </c>
      <c r="JQ49" t="s">
        <v>978</v>
      </c>
      <c r="JR49">
        <v>0.25</v>
      </c>
      <c r="JS49" t="s">
        <v>424</v>
      </c>
      <c r="JT49" t="s">
        <v>425</v>
      </c>
      <c r="JU49" s="1">
        <v>41327</v>
      </c>
      <c r="JV49">
        <v>21</v>
      </c>
      <c r="JW49">
        <v>11289</v>
      </c>
      <c r="JX49" t="s">
        <v>787</v>
      </c>
    </row>
    <row r="50" spans="1:284" x14ac:dyDescent="0.25">
      <c r="A50">
        <v>16485057</v>
      </c>
      <c r="B50">
        <v>49</v>
      </c>
      <c r="C50" t="s">
        <v>393</v>
      </c>
      <c r="D50" t="s">
        <v>394</v>
      </c>
      <c r="F50" t="str">
        <f>"08-1S-23-1830-0015-0000"</f>
        <v>08-1S-23-1830-0015-0000</v>
      </c>
      <c r="H50" t="str">
        <f>"HUBBARD SHARON"</f>
        <v>HUBBARD SHARON</v>
      </c>
      <c r="I50" t="str">
        <f>"11837 CR 121"</f>
        <v>11837 CR 121</v>
      </c>
      <c r="J50" t="str">
        <f>"BRYCEVILLE FL 32009"</f>
        <v>BRYCEVILLE FL 32009</v>
      </c>
      <c r="K50" t="str">
        <f>"11837 CR 121"</f>
        <v>11837 CR 121</v>
      </c>
      <c r="L50" t="str">
        <f t="shared" si="13"/>
        <v>BRYCEVILLE FL 32009</v>
      </c>
      <c r="M50" t="str">
        <f>"LOT 15 IN OR 1801/1731 R787737 &amp; R787738 RIVERSIDE ESTATES 1 PB 5/171"</f>
        <v>LOT 15 IN OR 1801/1731 R787737 &amp; R787738 RIVERSIDE ESTATES 1 PB 5/171</v>
      </c>
      <c r="N50" t="str">
        <f>""</f>
        <v/>
      </c>
      <c r="O50" t="str">
        <f>"22891"</f>
        <v>22891</v>
      </c>
      <c r="P50" t="str">
        <f t="shared" si="2"/>
        <v>2017</v>
      </c>
      <c r="Q50" t="str">
        <f>""</f>
        <v/>
      </c>
      <c r="R50" t="str">
        <f>"N"</f>
        <v>N</v>
      </c>
      <c r="S50" t="str">
        <f>"2.53"</f>
        <v>2.53</v>
      </c>
      <c r="T50" t="str">
        <f>"1462.17"</f>
        <v>1462.17</v>
      </c>
      <c r="U50" t="str">
        <f>"96585.00"</f>
        <v>96585.00</v>
      </c>
      <c r="V50" t="str">
        <f>"96585.00"</f>
        <v>96585.00</v>
      </c>
      <c r="W50" t="str">
        <f t="shared" si="3"/>
        <v>2017</v>
      </c>
      <c r="X50" t="str">
        <f>"2.00"</f>
        <v>2.00</v>
      </c>
      <c r="Y50" t="str">
        <f>"1538.04"</f>
        <v>1538.04</v>
      </c>
      <c r="Z50" t="str">
        <f>""</f>
        <v/>
      </c>
      <c r="AA50" t="str">
        <f>"96585.00"</f>
        <v>96585.00</v>
      </c>
      <c r="AB50" t="str">
        <f t="shared" si="14"/>
        <v>Residential</v>
      </c>
      <c r="AC50" t="str">
        <f t="shared" si="4"/>
        <v>0</v>
      </c>
      <c r="AD50" t="str">
        <f>"4"</f>
        <v>4</v>
      </c>
      <c r="AE50" t="str">
        <f>"WOOD (INCLUDE STEEL STUDS)"</f>
        <v>WOOD (INCLUDE STEEL STUDS)</v>
      </c>
      <c r="AF50" t="str">
        <f>"002"</f>
        <v>002</v>
      </c>
      <c r="AG50" t="str">
        <f t="shared" si="11"/>
        <v>FL</v>
      </c>
      <c r="AH50" t="str">
        <f>"110206.00"</f>
        <v>110206.00</v>
      </c>
      <c r="AI50" t="str">
        <f>"30360.00"</f>
        <v>30360.00</v>
      </c>
      <c r="AJ50" t="str">
        <f>"C55-000-586-7090-2"</f>
        <v>C55-000-586-7090-2</v>
      </c>
      <c r="AK50" t="str">
        <f>"2786"</f>
        <v>2786</v>
      </c>
      <c r="AL50">
        <v>1</v>
      </c>
      <c r="AM50">
        <v>58</v>
      </c>
      <c r="AN50">
        <v>1613.34</v>
      </c>
      <c r="AQ50" t="s">
        <v>979</v>
      </c>
      <c r="AR50" t="s">
        <v>979</v>
      </c>
      <c r="AS50" t="s">
        <v>979</v>
      </c>
      <c r="AU50" t="s">
        <v>396</v>
      </c>
      <c r="AV50">
        <v>2017</v>
      </c>
      <c r="AW50" t="str">
        <f>"08-1S-23-1830-0015-0000 "</f>
        <v xml:space="preserve">08-1S-23-1830-0015-0000 </v>
      </c>
      <c r="AX50">
        <v>11837</v>
      </c>
      <c r="AZ50" t="s">
        <v>611</v>
      </c>
      <c r="BD50" t="s">
        <v>553</v>
      </c>
      <c r="BE50" t="s">
        <v>393</v>
      </c>
      <c r="BF50">
        <v>32009</v>
      </c>
      <c r="BG50" t="s">
        <v>980</v>
      </c>
      <c r="BH50" t="s">
        <v>555</v>
      </c>
      <c r="BI50">
        <v>-82.018349964981894</v>
      </c>
      <c r="BJ50">
        <v>30.429083377233201</v>
      </c>
      <c r="BK50" t="s">
        <v>981</v>
      </c>
      <c r="BM50" t="s">
        <v>982</v>
      </c>
      <c r="BN50" t="s">
        <v>558</v>
      </c>
      <c r="BO50">
        <v>32009</v>
      </c>
      <c r="BP50" t="s">
        <v>416</v>
      </c>
      <c r="BQ50">
        <v>200</v>
      </c>
      <c r="BR50" t="s">
        <v>405</v>
      </c>
      <c r="BS50">
        <v>1006</v>
      </c>
      <c r="BT50" t="s">
        <v>406</v>
      </c>
      <c r="BW50">
        <v>110206</v>
      </c>
      <c r="BX50" t="s">
        <v>407</v>
      </c>
      <c r="BY50" t="s">
        <v>408</v>
      </c>
      <c r="BZ50">
        <v>4</v>
      </c>
      <c r="CA50">
        <v>1995</v>
      </c>
      <c r="CB50">
        <v>1</v>
      </c>
      <c r="CC50">
        <v>1</v>
      </c>
      <c r="CD50">
        <v>2017</v>
      </c>
      <c r="CE50">
        <v>30360</v>
      </c>
      <c r="CF50">
        <v>66225</v>
      </c>
      <c r="CG50">
        <v>96585</v>
      </c>
      <c r="CH50">
        <v>2017</v>
      </c>
      <c r="CI50">
        <v>30360</v>
      </c>
      <c r="CJ50">
        <v>66225</v>
      </c>
      <c r="CK50">
        <v>96585</v>
      </c>
      <c r="CL50">
        <v>2017</v>
      </c>
      <c r="CM50">
        <v>1462.17</v>
      </c>
      <c r="CN50" s="1">
        <v>41101</v>
      </c>
      <c r="CO50">
        <v>44000</v>
      </c>
      <c r="CV50">
        <v>0</v>
      </c>
      <c r="CZ50" s="1">
        <v>41101</v>
      </c>
      <c r="DA50">
        <v>0</v>
      </c>
      <c r="DD50" t="s">
        <v>553</v>
      </c>
      <c r="DF50">
        <v>15</v>
      </c>
      <c r="DG50">
        <v>8</v>
      </c>
      <c r="DL50">
        <v>50504</v>
      </c>
      <c r="DM50" t="s">
        <v>879</v>
      </c>
      <c r="DO50" t="s">
        <v>983</v>
      </c>
      <c r="DP50">
        <v>0</v>
      </c>
      <c r="DQ50">
        <v>0</v>
      </c>
      <c r="DR50" t="s">
        <v>411</v>
      </c>
      <c r="DS50" t="b">
        <v>1</v>
      </c>
      <c r="DT50" t="s">
        <v>470</v>
      </c>
      <c r="DU50" t="s">
        <v>471</v>
      </c>
      <c r="DV50" t="s">
        <v>472</v>
      </c>
      <c r="DX50">
        <v>-9999</v>
      </c>
      <c r="DZ50" t="s">
        <v>447</v>
      </c>
      <c r="EA50" t="s">
        <v>448</v>
      </c>
      <c r="EB50" t="s">
        <v>881</v>
      </c>
      <c r="EC50">
        <v>20101217</v>
      </c>
      <c r="ED50" t="s">
        <v>474</v>
      </c>
      <c r="EF50">
        <v>181.3</v>
      </c>
      <c r="EG50">
        <v>181.3</v>
      </c>
      <c r="EI50">
        <v>20160407</v>
      </c>
      <c r="EJ50">
        <v>0</v>
      </c>
      <c r="EK50">
        <v>0</v>
      </c>
      <c r="EP50" t="s">
        <v>421</v>
      </c>
      <c r="EQ50" t="s">
        <v>422</v>
      </c>
      <c r="ER50">
        <v>0</v>
      </c>
      <c r="ES50">
        <v>2</v>
      </c>
      <c r="ET50">
        <v>0</v>
      </c>
      <c r="EU50">
        <v>0</v>
      </c>
      <c r="EV50">
        <v>0</v>
      </c>
      <c r="EW50" s="2">
        <v>43222</v>
      </c>
      <c r="EX50" s="1">
        <v>42515</v>
      </c>
      <c r="EY50">
        <v>2015</v>
      </c>
      <c r="EZ50">
        <v>1458.45</v>
      </c>
      <c r="FA50" t="s">
        <v>984</v>
      </c>
      <c r="FB50">
        <v>0.25</v>
      </c>
      <c r="FC50" t="s">
        <v>424</v>
      </c>
      <c r="FD50" t="s">
        <v>425</v>
      </c>
      <c r="FE50" s="1">
        <v>42564</v>
      </c>
      <c r="FF50">
        <v>2</v>
      </c>
      <c r="FG50">
        <v>7045074</v>
      </c>
      <c r="FH50" t="s">
        <v>580</v>
      </c>
      <c r="FJ50" s="1">
        <v>42515</v>
      </c>
      <c r="FK50">
        <v>2015</v>
      </c>
      <c r="FL50">
        <v>1458.45</v>
      </c>
      <c r="FM50" t="s">
        <v>984</v>
      </c>
      <c r="FN50">
        <v>0.25</v>
      </c>
      <c r="FO50" t="s">
        <v>424</v>
      </c>
      <c r="FP50" t="s">
        <v>425</v>
      </c>
      <c r="FR50">
        <v>22</v>
      </c>
      <c r="FS50">
        <v>6471603</v>
      </c>
      <c r="FT50" t="s">
        <v>985</v>
      </c>
    </row>
    <row r="51" spans="1:284" x14ac:dyDescent="0.25">
      <c r="A51">
        <v>16485058</v>
      </c>
      <c r="B51">
        <v>50</v>
      </c>
      <c r="C51" t="s">
        <v>393</v>
      </c>
      <c r="D51" t="s">
        <v>394</v>
      </c>
      <c r="F51" t="str">
        <f>"08-1S-23-1830-0017-0000"</f>
        <v>08-1S-23-1830-0017-0000</v>
      </c>
      <c r="H51" t="str">
        <f>"COMBS CATHERINE &amp; SLAY WILLIAM RAY (JT/RS)"</f>
        <v>COMBS CATHERINE &amp; SLAY WILLIAM RAY (JT/RS)</v>
      </c>
      <c r="I51" t="str">
        <f>"11761 CR 121"</f>
        <v>11761 CR 121</v>
      </c>
      <c r="J51" t="str">
        <f>"BRYCEVILLE FL 32009"</f>
        <v>BRYCEVILLE FL 32009</v>
      </c>
      <c r="K51" t="str">
        <f>"11761 CR 121"</f>
        <v>11761 CR 121</v>
      </c>
      <c r="L51" t="str">
        <f t="shared" si="13"/>
        <v>BRYCEVILLE FL 32009</v>
      </c>
      <c r="M51" t="str">
        <f>"LOT 17 IN OR 1077/526 &amp; OR 1556/1189 RIVERSIDE ESTATES 1 PB 5/171"</f>
        <v>LOT 17 IN OR 1077/526 &amp; OR 1556/1189 RIVERSIDE ESTATES 1 PB 5/171</v>
      </c>
      <c r="N51" t="str">
        <f>""</f>
        <v/>
      </c>
      <c r="O51" t="str">
        <f>"22893"</f>
        <v>22893</v>
      </c>
      <c r="P51" t="str">
        <f t="shared" si="2"/>
        <v>2017</v>
      </c>
      <c r="Q51" t="str">
        <f>""</f>
        <v/>
      </c>
      <c r="R51" t="str">
        <f>"Y"</f>
        <v>Y</v>
      </c>
      <c r="S51" t="str">
        <f>"2.00"</f>
        <v>2.00</v>
      </c>
      <c r="T51" t="str">
        <f>"437.40"</f>
        <v>437.40</v>
      </c>
      <c r="U51" t="str">
        <f>"58930.00"</f>
        <v>58930.00</v>
      </c>
      <c r="V51" t="str">
        <f>"58930.00"</f>
        <v>58930.00</v>
      </c>
      <c r="W51" t="str">
        <f t="shared" si="3"/>
        <v>2017</v>
      </c>
      <c r="X51" t="str">
        <f>"9.00"</f>
        <v>9.00</v>
      </c>
      <c r="Y51" t="str">
        <f>"482.52"</f>
        <v>482.52</v>
      </c>
      <c r="Z51" t="str">
        <f>"25000.00"</f>
        <v>25000.00</v>
      </c>
      <c r="AA51" t="str">
        <f>"33930.00"</f>
        <v>33930.00</v>
      </c>
      <c r="AB51" t="str">
        <f t="shared" si="14"/>
        <v>Residential</v>
      </c>
      <c r="AC51" t="str">
        <f t="shared" si="4"/>
        <v>0</v>
      </c>
      <c r="AD51" t="str">
        <f>"4"</f>
        <v>4</v>
      </c>
      <c r="AE51" t="str">
        <f>"WOOD (INCLUDE STEEL STUDS)"</f>
        <v>WOOD (INCLUDE STEEL STUDS)</v>
      </c>
      <c r="AF51" t="str">
        <f>"001"</f>
        <v>001</v>
      </c>
      <c r="AG51" t="str">
        <f t="shared" si="11"/>
        <v>FL</v>
      </c>
      <c r="AH51" t="str">
        <f>"87120.00"</f>
        <v>87120.00</v>
      </c>
      <c r="AI51" t="str">
        <f>"24000.00"</f>
        <v>24000.00</v>
      </c>
      <c r="AJ51" t="str">
        <f>"C55-000-586-7092-8"</f>
        <v>C55-000-586-7092-8</v>
      </c>
      <c r="AK51" t="str">
        <f>"2788"</f>
        <v>2788</v>
      </c>
      <c r="AL51">
        <v>1</v>
      </c>
      <c r="AM51">
        <v>59</v>
      </c>
      <c r="AN51">
        <v>505.05</v>
      </c>
      <c r="AQ51" t="s">
        <v>986</v>
      </c>
      <c r="AR51" t="s">
        <v>986</v>
      </c>
      <c r="AS51" t="s">
        <v>986</v>
      </c>
      <c r="AU51" t="s">
        <v>396</v>
      </c>
      <c r="AV51">
        <v>2017</v>
      </c>
      <c r="AW51" t="str">
        <f>"08-1S-23-1830-0017-0000 "</f>
        <v xml:space="preserve">08-1S-23-1830-0017-0000 </v>
      </c>
      <c r="AX51">
        <v>11761</v>
      </c>
      <c r="AZ51" t="s">
        <v>611</v>
      </c>
      <c r="BD51" t="s">
        <v>553</v>
      </c>
      <c r="BE51" t="s">
        <v>393</v>
      </c>
      <c r="BF51">
        <v>32009</v>
      </c>
      <c r="BG51" t="s">
        <v>987</v>
      </c>
      <c r="BH51" t="s">
        <v>555</v>
      </c>
      <c r="BI51">
        <v>-82.018966068002399</v>
      </c>
      <c r="BJ51">
        <v>30.428331750381702</v>
      </c>
      <c r="BK51" t="s">
        <v>988</v>
      </c>
      <c r="BM51" t="s">
        <v>987</v>
      </c>
      <c r="BN51" t="s">
        <v>558</v>
      </c>
      <c r="BO51">
        <v>32009</v>
      </c>
      <c r="BP51" t="s">
        <v>416</v>
      </c>
      <c r="BQ51">
        <v>100</v>
      </c>
      <c r="BR51" t="s">
        <v>514</v>
      </c>
      <c r="BS51">
        <v>1001</v>
      </c>
      <c r="BT51" t="s">
        <v>515</v>
      </c>
      <c r="BW51">
        <v>87120</v>
      </c>
      <c r="BX51" t="s">
        <v>407</v>
      </c>
      <c r="BY51" t="s">
        <v>408</v>
      </c>
      <c r="BZ51">
        <v>4</v>
      </c>
      <c r="CA51">
        <v>1975</v>
      </c>
      <c r="CC51">
        <v>1</v>
      </c>
      <c r="CD51">
        <v>2017</v>
      </c>
      <c r="CG51">
        <v>58930</v>
      </c>
      <c r="CH51">
        <v>2017</v>
      </c>
      <c r="CI51">
        <v>24000</v>
      </c>
      <c r="CJ51">
        <v>46324</v>
      </c>
      <c r="CK51">
        <v>70324</v>
      </c>
      <c r="CL51">
        <v>2017</v>
      </c>
      <c r="CM51">
        <v>437.4</v>
      </c>
      <c r="CN51" s="1">
        <v>39526</v>
      </c>
      <c r="CZ51" s="1">
        <v>39526</v>
      </c>
      <c r="DD51" t="s">
        <v>553</v>
      </c>
      <c r="DF51">
        <v>17</v>
      </c>
      <c r="DG51">
        <v>8</v>
      </c>
      <c r="DJ51" t="s">
        <v>966</v>
      </c>
      <c r="DL51">
        <v>50504</v>
      </c>
      <c r="DM51" t="s">
        <v>879</v>
      </c>
      <c r="DO51" t="s">
        <v>989</v>
      </c>
      <c r="DP51">
        <v>0</v>
      </c>
      <c r="DQ51">
        <v>0</v>
      </c>
      <c r="DR51" t="s">
        <v>411</v>
      </c>
      <c r="EP51" t="s">
        <v>421</v>
      </c>
      <c r="EQ51" t="s">
        <v>422</v>
      </c>
      <c r="ER51">
        <v>2</v>
      </c>
      <c r="ES51">
        <v>4</v>
      </c>
      <c r="ET51">
        <v>997.56</v>
      </c>
      <c r="EU51">
        <v>62.38</v>
      </c>
      <c r="EV51">
        <v>1059.94</v>
      </c>
      <c r="EW51" s="2">
        <v>43222</v>
      </c>
      <c r="EX51" s="1">
        <v>42879</v>
      </c>
      <c r="EY51">
        <v>2016</v>
      </c>
      <c r="EZ51">
        <v>498.78</v>
      </c>
      <c r="FA51" t="s">
        <v>990</v>
      </c>
      <c r="FB51">
        <v>0.25</v>
      </c>
      <c r="FC51" t="s">
        <v>424</v>
      </c>
      <c r="FD51" t="s">
        <v>454</v>
      </c>
      <c r="FF51">
        <v>12</v>
      </c>
      <c r="FG51">
        <v>11289</v>
      </c>
      <c r="FH51" t="s">
        <v>787</v>
      </c>
      <c r="FJ51" s="1">
        <v>42879</v>
      </c>
      <c r="FK51">
        <v>2016</v>
      </c>
      <c r="FL51">
        <v>498.78</v>
      </c>
      <c r="FM51" t="s">
        <v>990</v>
      </c>
      <c r="FN51">
        <v>0.25</v>
      </c>
      <c r="FO51" t="s">
        <v>424</v>
      </c>
      <c r="FP51" t="s">
        <v>454</v>
      </c>
      <c r="FR51">
        <v>12</v>
      </c>
      <c r="FS51">
        <v>7296733</v>
      </c>
      <c r="FT51" t="s">
        <v>991</v>
      </c>
      <c r="FV51" s="1">
        <v>41787</v>
      </c>
      <c r="FW51">
        <v>2013</v>
      </c>
      <c r="FX51">
        <v>458.67</v>
      </c>
      <c r="FY51" t="s">
        <v>992</v>
      </c>
      <c r="FZ51">
        <v>0.25</v>
      </c>
      <c r="GA51" t="s">
        <v>424</v>
      </c>
      <c r="GB51" t="s">
        <v>425</v>
      </c>
      <c r="GC51" s="1">
        <v>42053</v>
      </c>
      <c r="GD51">
        <v>9</v>
      </c>
      <c r="GE51">
        <v>2101382</v>
      </c>
      <c r="GF51" t="s">
        <v>993</v>
      </c>
      <c r="GH51" s="1">
        <v>41423</v>
      </c>
      <c r="GI51">
        <v>2012</v>
      </c>
      <c r="GJ51">
        <v>534.4</v>
      </c>
      <c r="GK51" t="s">
        <v>994</v>
      </c>
      <c r="GL51">
        <v>0.25</v>
      </c>
      <c r="GM51" t="s">
        <v>424</v>
      </c>
      <c r="GN51" t="s">
        <v>425</v>
      </c>
      <c r="GO51" s="1">
        <v>41688</v>
      </c>
      <c r="GP51">
        <v>9</v>
      </c>
      <c r="GQ51">
        <v>2101382</v>
      </c>
      <c r="GR51" t="s">
        <v>993</v>
      </c>
      <c r="GT51" s="1">
        <v>41052</v>
      </c>
      <c r="GU51">
        <v>2011</v>
      </c>
      <c r="GV51">
        <v>434.9</v>
      </c>
      <c r="GW51" t="s">
        <v>995</v>
      </c>
      <c r="GX51">
        <v>6.25</v>
      </c>
      <c r="GY51" t="s">
        <v>424</v>
      </c>
      <c r="GZ51" t="s">
        <v>425</v>
      </c>
      <c r="HA51" s="1">
        <v>41317</v>
      </c>
      <c r="HB51">
        <v>9</v>
      </c>
      <c r="HC51">
        <v>375</v>
      </c>
      <c r="HD51" t="s">
        <v>776</v>
      </c>
      <c r="HF51" s="1">
        <v>40688</v>
      </c>
      <c r="HG51">
        <v>2010</v>
      </c>
      <c r="HH51">
        <v>520.53</v>
      </c>
      <c r="HI51" t="s">
        <v>996</v>
      </c>
      <c r="HJ51">
        <v>8.75</v>
      </c>
      <c r="HK51" t="s">
        <v>424</v>
      </c>
      <c r="HL51" t="s">
        <v>425</v>
      </c>
      <c r="HM51" s="1">
        <v>40948</v>
      </c>
      <c r="HN51">
        <v>9</v>
      </c>
      <c r="HO51">
        <v>116</v>
      </c>
      <c r="HP51" t="s">
        <v>509</v>
      </c>
    </row>
    <row r="52" spans="1:284" x14ac:dyDescent="0.25">
      <c r="A52">
        <v>16485059</v>
      </c>
      <c r="B52">
        <v>51</v>
      </c>
      <c r="C52" t="s">
        <v>393</v>
      </c>
      <c r="D52" t="s">
        <v>394</v>
      </c>
      <c r="F52" t="str">
        <f>"08-1S-23-1830-0038-0000"</f>
        <v>08-1S-23-1830-0038-0000</v>
      </c>
      <c r="H52" t="str">
        <f>"KEITH THOMAS"</f>
        <v>KEITH THOMAS</v>
      </c>
      <c r="I52" t="str">
        <f>"11003 COUNTY ROAD 121"</f>
        <v>11003 COUNTY ROAD 121</v>
      </c>
      <c r="J52" t="str">
        <f>"BRYCEVILLE FL 32009"</f>
        <v>BRYCEVILLE FL 32009</v>
      </c>
      <c r="K52" t="str">
        <f>"11003 CR 121"</f>
        <v>11003 CR 121</v>
      </c>
      <c r="L52" t="str">
        <f t="shared" si="13"/>
        <v>BRYCEVILLE FL 32009</v>
      </c>
      <c r="M52" t="str">
        <f>"LOT 38 2002 FTWD DW/MH IN OR 1077/40 RIVERSIDE ESTATES 1 PB 5/171"</f>
        <v>LOT 38 2002 FTWD DW/MH IN OR 1077/40 RIVERSIDE ESTATES 1 PB 5/171</v>
      </c>
      <c r="N52" t="str">
        <f>""</f>
        <v/>
      </c>
      <c r="O52" t="str">
        <f>"22912"</f>
        <v>22912</v>
      </c>
      <c r="P52" t="str">
        <f t="shared" si="2"/>
        <v>2017</v>
      </c>
      <c r="Q52" t="str">
        <f>""</f>
        <v/>
      </c>
      <c r="R52" t="str">
        <f>"Y"</f>
        <v>Y</v>
      </c>
      <c r="S52" t="str">
        <f>"2.00"</f>
        <v>2.00</v>
      </c>
      <c r="T52" t="str">
        <f>"432.71"</f>
        <v>432.71</v>
      </c>
      <c r="U52" t="str">
        <f>"58219.00"</f>
        <v>58219.00</v>
      </c>
      <c r="V52" t="str">
        <f>"58219.00"</f>
        <v>58219.00</v>
      </c>
      <c r="W52" t="str">
        <f t="shared" si="3"/>
        <v>2017</v>
      </c>
      <c r="X52" t="str">
        <f>""</f>
        <v/>
      </c>
      <c r="Y52" t="str">
        <f>"477.69"</f>
        <v>477.69</v>
      </c>
      <c r="Z52" t="str">
        <f>"25000.00"</f>
        <v>25000.00</v>
      </c>
      <c r="AA52" t="str">
        <f>"33219.00"</f>
        <v>33219.00</v>
      </c>
      <c r="AB52" t="str">
        <f t="shared" si="14"/>
        <v>Residential</v>
      </c>
      <c r="AC52" t="str">
        <f t="shared" si="4"/>
        <v>0</v>
      </c>
      <c r="AD52" t="str">
        <f>"4"</f>
        <v>4</v>
      </c>
      <c r="AE52" t="str">
        <f>"WOOD (INCLUDE STEEL STUDS)"</f>
        <v>WOOD (INCLUDE STEEL STUDS)</v>
      </c>
      <c r="AF52" t="str">
        <f>"002"</f>
        <v>002</v>
      </c>
      <c r="AG52" t="str">
        <f t="shared" si="11"/>
        <v>FL</v>
      </c>
      <c r="AH52" t="str">
        <f>"87120.00"</f>
        <v>87120.00</v>
      </c>
      <c r="AI52" t="str">
        <f>"24000.00"</f>
        <v>24000.00</v>
      </c>
      <c r="AJ52" t="str">
        <f>"C55-000-586-7111-6"</f>
        <v>C55-000-586-7111-6</v>
      </c>
      <c r="AK52" t="str">
        <f>"2807"</f>
        <v>2807</v>
      </c>
      <c r="AL52">
        <v>1</v>
      </c>
      <c r="AM52">
        <v>61</v>
      </c>
      <c r="AN52">
        <v>499.97</v>
      </c>
      <c r="AQ52" t="s">
        <v>997</v>
      </c>
      <c r="AR52" t="s">
        <v>997</v>
      </c>
      <c r="AS52" t="s">
        <v>997</v>
      </c>
      <c r="AU52" t="s">
        <v>396</v>
      </c>
      <c r="AV52">
        <v>2017</v>
      </c>
      <c r="AW52" t="str">
        <f>"08-1S-23-1830-0038-0000 "</f>
        <v xml:space="preserve">08-1S-23-1830-0038-0000 </v>
      </c>
      <c r="AX52">
        <v>11003</v>
      </c>
      <c r="AZ52" t="s">
        <v>611</v>
      </c>
      <c r="BD52" t="s">
        <v>553</v>
      </c>
      <c r="BE52" t="s">
        <v>393</v>
      </c>
      <c r="BF52">
        <v>32009</v>
      </c>
      <c r="BG52" t="s">
        <v>998</v>
      </c>
      <c r="BH52" t="s">
        <v>555</v>
      </c>
      <c r="BI52">
        <v>-82.024767135473795</v>
      </c>
      <c r="BJ52">
        <v>30.419066091247899</v>
      </c>
      <c r="BK52" t="s">
        <v>999</v>
      </c>
      <c r="BM52" t="s">
        <v>1000</v>
      </c>
      <c r="BN52" t="s">
        <v>558</v>
      </c>
      <c r="BO52">
        <v>32009</v>
      </c>
      <c r="BP52" t="s">
        <v>416</v>
      </c>
      <c r="BQ52">
        <v>200</v>
      </c>
      <c r="BR52" t="s">
        <v>405</v>
      </c>
      <c r="BS52">
        <v>1006</v>
      </c>
      <c r="BT52" t="s">
        <v>406</v>
      </c>
      <c r="BW52">
        <v>87120</v>
      </c>
      <c r="BX52" t="s">
        <v>407</v>
      </c>
      <c r="BY52" t="s">
        <v>408</v>
      </c>
      <c r="BZ52">
        <v>4</v>
      </c>
      <c r="CA52">
        <v>2002</v>
      </c>
      <c r="CB52">
        <v>1</v>
      </c>
      <c r="CC52">
        <v>1</v>
      </c>
      <c r="CD52">
        <v>2017</v>
      </c>
      <c r="CG52">
        <v>58219</v>
      </c>
      <c r="CH52">
        <v>2017</v>
      </c>
      <c r="CI52">
        <v>24000</v>
      </c>
      <c r="CJ52">
        <v>43589</v>
      </c>
      <c r="CK52">
        <v>67589</v>
      </c>
      <c r="CL52">
        <v>2017</v>
      </c>
      <c r="CM52">
        <v>432.71</v>
      </c>
      <c r="CN52" s="1">
        <v>37494</v>
      </c>
      <c r="CO52">
        <v>18000</v>
      </c>
      <c r="CV52">
        <v>93800</v>
      </c>
      <c r="CZ52" s="1">
        <v>37494</v>
      </c>
      <c r="DA52">
        <v>0</v>
      </c>
      <c r="DD52" t="s">
        <v>553</v>
      </c>
      <c r="DF52">
        <v>38</v>
      </c>
      <c r="DG52">
        <v>8</v>
      </c>
      <c r="DJ52" t="s">
        <v>966</v>
      </c>
      <c r="DL52">
        <v>50504</v>
      </c>
      <c r="DM52" t="s">
        <v>879</v>
      </c>
      <c r="DO52" t="s">
        <v>1001</v>
      </c>
      <c r="DP52">
        <v>0</v>
      </c>
      <c r="DQ52">
        <v>0</v>
      </c>
      <c r="DR52" t="s">
        <v>411</v>
      </c>
      <c r="DS52" t="b">
        <v>1</v>
      </c>
      <c r="DT52" t="s">
        <v>396</v>
      </c>
      <c r="DV52" t="s">
        <v>446</v>
      </c>
      <c r="DX52">
        <v>-9999</v>
      </c>
      <c r="DZ52" t="s">
        <v>447</v>
      </c>
      <c r="EA52" t="s">
        <v>448</v>
      </c>
      <c r="EB52" t="s">
        <v>449</v>
      </c>
      <c r="EC52">
        <v>20101217</v>
      </c>
      <c r="ED52" t="s">
        <v>450</v>
      </c>
      <c r="EE52">
        <v>52.2</v>
      </c>
      <c r="EF52">
        <v>0</v>
      </c>
      <c r="EG52">
        <v>0</v>
      </c>
      <c r="EI52">
        <v>20160407</v>
      </c>
      <c r="EJ52">
        <v>0</v>
      </c>
      <c r="EK52">
        <v>0</v>
      </c>
    </row>
    <row r="53" spans="1:284" x14ac:dyDescent="0.25">
      <c r="A53">
        <v>16485060</v>
      </c>
      <c r="B53">
        <v>52</v>
      </c>
      <c r="C53" t="s">
        <v>393</v>
      </c>
      <c r="D53" t="s">
        <v>394</v>
      </c>
      <c r="F53" t="str">
        <f>"08-1S-23-1830-0055-0000"</f>
        <v>08-1S-23-1830-0055-0000</v>
      </c>
      <c r="H53" t="str">
        <f t="shared" ref="H53:H58" si="15">"VAUGHN WEYMAN E &amp; THERESA A"</f>
        <v>VAUGHN WEYMAN E &amp; THERESA A</v>
      </c>
      <c r="I53" t="str">
        <f t="shared" ref="I53:I58" si="16">"15451 WEST BEAVER STREET"</f>
        <v>15451 WEST BEAVER STREET</v>
      </c>
      <c r="J53" t="str">
        <f t="shared" ref="J53:J58" si="17">"BALDWIN FL 32234"</f>
        <v>BALDWIN FL 32234</v>
      </c>
      <c r="K53" t="str">
        <f t="shared" ref="K53:K58" si="18">"CR 119"</f>
        <v>CR 119</v>
      </c>
      <c r="L53" t="str">
        <f t="shared" si="13"/>
        <v>BRYCEVILLE FL 32009</v>
      </c>
      <c r="M53" t="str">
        <f>"LOT 55 PT OR 759/674 RIVERSIDE ESTATES 1 PB 5/171"</f>
        <v>LOT 55 PT OR 759/674 RIVERSIDE ESTATES 1 PB 5/171</v>
      </c>
      <c r="N53" t="str">
        <f>""</f>
        <v/>
      </c>
      <c r="O53" t="str">
        <f>"22929"</f>
        <v>22929</v>
      </c>
      <c r="P53" t="str">
        <f t="shared" si="2"/>
        <v>2017</v>
      </c>
      <c r="Q53" t="str">
        <f>""</f>
        <v/>
      </c>
      <c r="R53" t="str">
        <f t="shared" ref="R53:R59" si="19">"N"</f>
        <v>N</v>
      </c>
      <c r="S53" t="str">
        <f>"2.65"</f>
        <v>2.65</v>
      </c>
      <c r="T53" t="str">
        <f>"240.71"</f>
        <v>240.71</v>
      </c>
      <c r="U53" t="str">
        <f>"15900.00"</f>
        <v>15900.00</v>
      </c>
      <c r="V53" t="str">
        <f>"15900.00"</f>
        <v>15900.00</v>
      </c>
      <c r="W53" t="str">
        <f t="shared" si="3"/>
        <v>2017</v>
      </c>
      <c r="X53" t="str">
        <f>"10.00"</f>
        <v>10.00</v>
      </c>
      <c r="Y53" t="str">
        <f>"279.93"</f>
        <v>279.93</v>
      </c>
      <c r="Z53" t="str">
        <f>""</f>
        <v/>
      </c>
      <c r="AA53" t="str">
        <f>"15900.00"</f>
        <v>15900.00</v>
      </c>
      <c r="AB53" t="str">
        <f t="shared" si="14"/>
        <v>Residential</v>
      </c>
      <c r="AC53" t="str">
        <f t="shared" si="4"/>
        <v>0</v>
      </c>
      <c r="AD53" t="str">
        <f>""</f>
        <v/>
      </c>
      <c r="AE53" t="str">
        <f>""</f>
        <v/>
      </c>
      <c r="AF53" t="str">
        <f t="shared" ref="AF53:AF58" si="20">"000"</f>
        <v>000</v>
      </c>
      <c r="AG53" t="str">
        <f t="shared" si="11"/>
        <v>FL</v>
      </c>
      <c r="AH53" t="str">
        <f>"115434.00"</f>
        <v>115434.00</v>
      </c>
      <c r="AI53" t="str">
        <f>"15900.00"</f>
        <v>15900.00</v>
      </c>
      <c r="AJ53" t="str">
        <f>"C55-000-586-7128-0"</f>
        <v>C55-000-586-7128-0</v>
      </c>
      <c r="AK53" t="str">
        <f>"2824"</f>
        <v>2824</v>
      </c>
      <c r="AL53">
        <v>1</v>
      </c>
      <c r="AM53">
        <v>63</v>
      </c>
      <c r="AN53">
        <v>292.33</v>
      </c>
      <c r="AQ53" t="s">
        <v>1002</v>
      </c>
      <c r="AR53" t="s">
        <v>1002</v>
      </c>
      <c r="AS53" t="s">
        <v>1002</v>
      </c>
      <c r="AU53" t="s">
        <v>396</v>
      </c>
      <c r="AV53">
        <v>2017</v>
      </c>
      <c r="AW53" t="str">
        <f>"08-1S-23-1830-0055-0000 "</f>
        <v xml:space="preserve">08-1S-23-1830-0055-0000 </v>
      </c>
      <c r="AZ53" t="s">
        <v>1003</v>
      </c>
      <c r="BD53" t="s">
        <v>553</v>
      </c>
      <c r="BE53" t="s">
        <v>393</v>
      </c>
      <c r="BF53">
        <v>32009</v>
      </c>
      <c r="BG53" t="s">
        <v>1003</v>
      </c>
      <c r="BH53" t="s">
        <v>555</v>
      </c>
      <c r="BI53">
        <v>-82.027018239063096</v>
      </c>
      <c r="BJ53">
        <v>30.411434729266102</v>
      </c>
      <c r="BK53" t="s">
        <v>1004</v>
      </c>
      <c r="BM53" t="s">
        <v>1005</v>
      </c>
      <c r="BN53" t="s">
        <v>1006</v>
      </c>
      <c r="BO53">
        <v>32234</v>
      </c>
      <c r="BP53" t="s">
        <v>404</v>
      </c>
      <c r="BQ53">
        <v>0</v>
      </c>
      <c r="BR53" t="s">
        <v>491</v>
      </c>
      <c r="BS53">
        <v>8001</v>
      </c>
      <c r="BT53" t="s">
        <v>492</v>
      </c>
      <c r="BW53">
        <v>115434</v>
      </c>
      <c r="BX53" t="s">
        <v>407</v>
      </c>
      <c r="BY53" t="s">
        <v>408</v>
      </c>
      <c r="CD53">
        <v>2017</v>
      </c>
      <c r="CE53">
        <v>15900</v>
      </c>
      <c r="CG53">
        <v>15900</v>
      </c>
      <c r="CH53">
        <v>2017</v>
      </c>
      <c r="CI53">
        <v>15900</v>
      </c>
      <c r="CK53">
        <v>15900</v>
      </c>
      <c r="CL53">
        <v>2017</v>
      </c>
      <c r="CM53">
        <v>240.71</v>
      </c>
      <c r="CN53" s="1">
        <v>35194</v>
      </c>
      <c r="CO53">
        <v>19500</v>
      </c>
      <c r="CZ53" s="1">
        <v>35194</v>
      </c>
      <c r="DD53" t="s">
        <v>553</v>
      </c>
      <c r="DF53">
        <v>55</v>
      </c>
      <c r="DG53">
        <v>8</v>
      </c>
      <c r="DJ53" t="s">
        <v>1007</v>
      </c>
      <c r="DL53">
        <v>50504</v>
      </c>
      <c r="DM53" t="s">
        <v>879</v>
      </c>
      <c r="DO53" t="s">
        <v>1008</v>
      </c>
      <c r="DP53">
        <v>0</v>
      </c>
      <c r="DQ53">
        <v>0</v>
      </c>
      <c r="DR53" t="s">
        <v>411</v>
      </c>
      <c r="DS53" t="s">
        <v>695</v>
      </c>
      <c r="EJ53">
        <v>0</v>
      </c>
      <c r="EK53">
        <v>0</v>
      </c>
      <c r="EP53" t="s">
        <v>421</v>
      </c>
      <c r="EQ53" t="s">
        <v>422</v>
      </c>
      <c r="ER53">
        <v>1</v>
      </c>
      <c r="ES53">
        <v>2</v>
      </c>
      <c r="ET53">
        <v>290.97000000000003</v>
      </c>
      <c r="EU53">
        <v>22.25</v>
      </c>
      <c r="EV53">
        <v>313.22000000000003</v>
      </c>
      <c r="EW53" s="2">
        <v>43222</v>
      </c>
      <c r="EX53" s="1">
        <v>42879</v>
      </c>
      <c r="EY53">
        <v>2016</v>
      </c>
      <c r="EZ53">
        <v>290.97000000000003</v>
      </c>
      <c r="FA53" t="s">
        <v>1009</v>
      </c>
      <c r="FB53">
        <v>5.5</v>
      </c>
      <c r="FC53" t="s">
        <v>424</v>
      </c>
      <c r="FD53" t="s">
        <v>454</v>
      </c>
      <c r="FF53">
        <v>12</v>
      </c>
      <c r="FG53">
        <v>10125</v>
      </c>
      <c r="FH53" t="s">
        <v>440</v>
      </c>
      <c r="FJ53" s="1">
        <v>42151</v>
      </c>
      <c r="FK53">
        <v>2014</v>
      </c>
      <c r="FL53">
        <v>248.45</v>
      </c>
      <c r="FM53" t="s">
        <v>1010</v>
      </c>
      <c r="FN53">
        <v>5.5</v>
      </c>
      <c r="FO53" t="s">
        <v>424</v>
      </c>
      <c r="FP53" t="s">
        <v>425</v>
      </c>
      <c r="FQ53" s="1">
        <v>42461</v>
      </c>
      <c r="FR53">
        <v>11</v>
      </c>
      <c r="FS53">
        <v>10125</v>
      </c>
      <c r="FT53" t="s">
        <v>440</v>
      </c>
      <c r="FV53" s="1">
        <v>40688</v>
      </c>
      <c r="FW53">
        <v>2010</v>
      </c>
      <c r="FX53">
        <v>264.37</v>
      </c>
      <c r="FY53" t="s">
        <v>1011</v>
      </c>
      <c r="FZ53">
        <v>8.25</v>
      </c>
      <c r="GA53" t="s">
        <v>424</v>
      </c>
      <c r="GB53" t="s">
        <v>425</v>
      </c>
      <c r="GC53" s="1">
        <v>40968</v>
      </c>
      <c r="GD53">
        <v>9</v>
      </c>
      <c r="GE53">
        <v>10548</v>
      </c>
      <c r="GF53" t="s">
        <v>589</v>
      </c>
    </row>
    <row r="54" spans="1:284" x14ac:dyDescent="0.25">
      <c r="A54">
        <v>16485061</v>
      </c>
      <c r="B54">
        <v>53</v>
      </c>
      <c r="C54" t="s">
        <v>393</v>
      </c>
      <c r="D54" t="s">
        <v>394</v>
      </c>
      <c r="F54" t="str">
        <f>"08-1S-23-1830-0056-0000"</f>
        <v>08-1S-23-1830-0056-0000</v>
      </c>
      <c r="H54" t="str">
        <f t="shared" si="15"/>
        <v>VAUGHN WEYMAN E &amp; THERESA A</v>
      </c>
      <c r="I54" t="str">
        <f t="shared" si="16"/>
        <v>15451 WEST BEAVER STREET</v>
      </c>
      <c r="J54" t="str">
        <f t="shared" si="17"/>
        <v>BALDWIN FL 32234</v>
      </c>
      <c r="K54" t="str">
        <f t="shared" si="18"/>
        <v>CR 119</v>
      </c>
      <c r="L54" t="str">
        <f t="shared" si="13"/>
        <v>BRYCEVILLE FL 32009</v>
      </c>
      <c r="M54" t="str">
        <f>"LOT 56 PT OR 759/674 RIVERSIDE ESTATES 1 PB 5/171"</f>
        <v>LOT 56 PT OR 759/674 RIVERSIDE ESTATES 1 PB 5/171</v>
      </c>
      <c r="N54" t="str">
        <f>""</f>
        <v/>
      </c>
      <c r="O54" t="str">
        <f>"22930"</f>
        <v>22930</v>
      </c>
      <c r="P54" t="str">
        <f t="shared" si="2"/>
        <v>2017</v>
      </c>
      <c r="Q54" t="str">
        <f>""</f>
        <v/>
      </c>
      <c r="R54" t="str">
        <f t="shared" si="19"/>
        <v>N</v>
      </c>
      <c r="S54" t="str">
        <f t="shared" ref="S54:S59" si="21">"2.00"</f>
        <v>2.00</v>
      </c>
      <c r="T54" t="str">
        <f>"283.40"</f>
        <v>283.40</v>
      </c>
      <c r="U54" t="str">
        <f t="shared" ref="U54:V57" si="22">"14641.00"</f>
        <v>14641.00</v>
      </c>
      <c r="V54" t="str">
        <f t="shared" si="22"/>
        <v>14641.00</v>
      </c>
      <c r="W54" t="str">
        <f t="shared" si="3"/>
        <v>2017</v>
      </c>
      <c r="X54" t="str">
        <f>"10.00"</f>
        <v>10.00</v>
      </c>
      <c r="Y54" t="str">
        <f>"323.90"</f>
        <v>323.90</v>
      </c>
      <c r="Z54" t="str">
        <f>""</f>
        <v/>
      </c>
      <c r="AA54" t="str">
        <f>"24000.00"</f>
        <v>24000.00</v>
      </c>
      <c r="AB54" t="str">
        <f t="shared" si="14"/>
        <v>Residential</v>
      </c>
      <c r="AC54" t="str">
        <f t="shared" si="4"/>
        <v>0</v>
      </c>
      <c r="AD54" t="str">
        <f>""</f>
        <v/>
      </c>
      <c r="AE54" t="str">
        <f>""</f>
        <v/>
      </c>
      <c r="AF54" t="str">
        <f t="shared" si="20"/>
        <v>000</v>
      </c>
      <c r="AG54" t="str">
        <f t="shared" si="11"/>
        <v>FL</v>
      </c>
      <c r="AH54" t="str">
        <f t="shared" ref="AH54:AH59" si="23">"87120.00"</f>
        <v>87120.00</v>
      </c>
      <c r="AI54" t="str">
        <f>"24000.00"</f>
        <v>24000.00</v>
      </c>
      <c r="AJ54" t="str">
        <f>"C55-000-586-7129-8"</f>
        <v>C55-000-586-7129-8</v>
      </c>
      <c r="AK54" t="str">
        <f>"2825"</f>
        <v>2825</v>
      </c>
      <c r="AL54">
        <v>1</v>
      </c>
      <c r="AM54">
        <v>64</v>
      </c>
      <c r="AN54">
        <v>338.5</v>
      </c>
      <c r="AQ54" t="s">
        <v>1012</v>
      </c>
      <c r="AR54" t="s">
        <v>1012</v>
      </c>
      <c r="AS54" t="s">
        <v>1012</v>
      </c>
      <c r="AU54" t="s">
        <v>396</v>
      </c>
      <c r="AV54">
        <v>2017</v>
      </c>
      <c r="AW54" t="str">
        <f>"08-1S-23-1830-0056-0000 "</f>
        <v xml:space="preserve">08-1S-23-1830-0056-0000 </v>
      </c>
      <c r="AZ54" t="s">
        <v>1003</v>
      </c>
      <c r="BD54" t="s">
        <v>553</v>
      </c>
      <c r="BE54" t="s">
        <v>393</v>
      </c>
      <c r="BF54">
        <v>32009</v>
      </c>
      <c r="BG54" t="s">
        <v>1003</v>
      </c>
      <c r="BH54" t="s">
        <v>555</v>
      </c>
      <c r="BI54">
        <v>-82.026530932728704</v>
      </c>
      <c r="BJ54">
        <v>30.4110923220295</v>
      </c>
      <c r="BK54" t="s">
        <v>1004</v>
      </c>
      <c r="BM54" t="s">
        <v>1005</v>
      </c>
      <c r="BN54" t="s">
        <v>1006</v>
      </c>
      <c r="BO54">
        <v>32234</v>
      </c>
      <c r="BP54" t="s">
        <v>404</v>
      </c>
      <c r="BQ54">
        <v>0</v>
      </c>
      <c r="BR54" t="s">
        <v>491</v>
      </c>
      <c r="BS54">
        <v>8001</v>
      </c>
      <c r="BT54" t="s">
        <v>492</v>
      </c>
      <c r="BW54">
        <v>87120</v>
      </c>
      <c r="BX54" t="s">
        <v>407</v>
      </c>
      <c r="BY54" t="s">
        <v>408</v>
      </c>
      <c r="CD54">
        <v>2017</v>
      </c>
      <c r="CE54">
        <v>24000</v>
      </c>
      <c r="CG54">
        <v>24000</v>
      </c>
      <c r="CH54">
        <v>2017</v>
      </c>
      <c r="CI54">
        <v>24000</v>
      </c>
      <c r="CK54">
        <v>24000</v>
      </c>
      <c r="CL54">
        <v>2017</v>
      </c>
      <c r="CM54">
        <v>283.39999999999998</v>
      </c>
      <c r="CN54" s="1">
        <v>35194</v>
      </c>
      <c r="CO54">
        <v>19500</v>
      </c>
      <c r="CZ54" s="1">
        <v>35194</v>
      </c>
      <c r="DD54" t="s">
        <v>553</v>
      </c>
      <c r="DF54">
        <v>56</v>
      </c>
      <c r="DG54">
        <v>8</v>
      </c>
      <c r="DJ54" t="s">
        <v>966</v>
      </c>
      <c r="DL54">
        <v>50504</v>
      </c>
      <c r="DM54" t="s">
        <v>879</v>
      </c>
      <c r="DO54" t="s">
        <v>1013</v>
      </c>
      <c r="DP54">
        <v>0</v>
      </c>
      <c r="DQ54">
        <v>0</v>
      </c>
      <c r="DR54" t="s">
        <v>411</v>
      </c>
      <c r="DS54" t="s">
        <v>695</v>
      </c>
      <c r="EJ54">
        <v>0</v>
      </c>
      <c r="EK54">
        <v>0</v>
      </c>
      <c r="EP54" t="s">
        <v>421</v>
      </c>
      <c r="EQ54" t="s">
        <v>422</v>
      </c>
      <c r="ER54">
        <v>1</v>
      </c>
      <c r="ES54">
        <v>2</v>
      </c>
      <c r="ET54">
        <v>326.52</v>
      </c>
      <c r="EU54">
        <v>23.39</v>
      </c>
      <c r="EV54">
        <v>349.91</v>
      </c>
      <c r="EW54" s="2">
        <v>43222</v>
      </c>
      <c r="EX54" s="1">
        <v>42879</v>
      </c>
      <c r="EY54">
        <v>2016</v>
      </c>
      <c r="EZ54">
        <v>326.52</v>
      </c>
      <c r="FA54" t="s">
        <v>1014</v>
      </c>
      <c r="FB54">
        <v>5.25</v>
      </c>
      <c r="FC54" t="s">
        <v>424</v>
      </c>
      <c r="FD54" t="s">
        <v>454</v>
      </c>
      <c r="FF54">
        <v>12</v>
      </c>
      <c r="FG54">
        <v>10125</v>
      </c>
      <c r="FH54" t="s">
        <v>440</v>
      </c>
      <c r="FJ54" s="1">
        <v>42151</v>
      </c>
      <c r="FK54">
        <v>2014</v>
      </c>
      <c r="FL54">
        <v>280.24</v>
      </c>
      <c r="FM54" t="s">
        <v>1015</v>
      </c>
      <c r="FN54">
        <v>4.75</v>
      </c>
      <c r="FO54" t="s">
        <v>424</v>
      </c>
      <c r="FP54" t="s">
        <v>425</v>
      </c>
      <c r="FQ54" s="1">
        <v>42461</v>
      </c>
      <c r="FR54">
        <v>11</v>
      </c>
      <c r="FS54">
        <v>115</v>
      </c>
      <c r="FT54" t="s">
        <v>478</v>
      </c>
      <c r="FV54" s="1">
        <v>40688</v>
      </c>
      <c r="FW54">
        <v>2010</v>
      </c>
      <c r="FX54">
        <v>264.37</v>
      </c>
      <c r="FY54" t="s">
        <v>1016</v>
      </c>
      <c r="FZ54">
        <v>8.25</v>
      </c>
      <c r="GA54" t="s">
        <v>424</v>
      </c>
      <c r="GB54" t="s">
        <v>425</v>
      </c>
      <c r="GC54" s="1">
        <v>40968</v>
      </c>
      <c r="GD54">
        <v>9</v>
      </c>
      <c r="GE54">
        <v>10548</v>
      </c>
      <c r="GF54" t="s">
        <v>589</v>
      </c>
    </row>
    <row r="55" spans="1:284" x14ac:dyDescent="0.25">
      <c r="A55">
        <v>16485062</v>
      </c>
      <c r="B55">
        <v>54</v>
      </c>
      <c r="C55" t="s">
        <v>393</v>
      </c>
      <c r="D55" t="s">
        <v>394</v>
      </c>
      <c r="F55" t="str">
        <f>"08-1S-23-1830-0057-0000"</f>
        <v>08-1S-23-1830-0057-0000</v>
      </c>
      <c r="H55" t="str">
        <f t="shared" si="15"/>
        <v>VAUGHN WEYMAN E &amp; THERESA A</v>
      </c>
      <c r="I55" t="str">
        <f t="shared" si="16"/>
        <v>15451 WEST BEAVER STREET</v>
      </c>
      <c r="J55" t="str">
        <f t="shared" si="17"/>
        <v>BALDWIN FL 32234</v>
      </c>
      <c r="K55" t="str">
        <f t="shared" si="18"/>
        <v>CR 119</v>
      </c>
      <c r="L55" t="str">
        <f t="shared" si="13"/>
        <v>BRYCEVILLE FL 32009</v>
      </c>
      <c r="M55" t="str">
        <f>"LOT 57 PT OR 759/674 RIVERSIDE ESTATES 1 PB 5/171"</f>
        <v>LOT 57 PT OR 759/674 RIVERSIDE ESTATES 1 PB 5/171</v>
      </c>
      <c r="N55" t="str">
        <f>""</f>
        <v/>
      </c>
      <c r="O55" t="str">
        <f>"22931"</f>
        <v>22931</v>
      </c>
      <c r="P55" t="str">
        <f t="shared" si="2"/>
        <v>2017</v>
      </c>
      <c r="Q55" t="str">
        <f>""</f>
        <v/>
      </c>
      <c r="R55" t="str">
        <f t="shared" si="19"/>
        <v>N</v>
      </c>
      <c r="S55" t="str">
        <f t="shared" si="21"/>
        <v>2.00</v>
      </c>
      <c r="T55" t="str">
        <f>"283.40"</f>
        <v>283.40</v>
      </c>
      <c r="U55" t="str">
        <f t="shared" si="22"/>
        <v>14641.00</v>
      </c>
      <c r="V55" t="str">
        <f t="shared" si="22"/>
        <v>14641.00</v>
      </c>
      <c r="W55" t="str">
        <f t="shared" si="3"/>
        <v>2017</v>
      </c>
      <c r="X55" t="str">
        <f>"10.00"</f>
        <v>10.00</v>
      </c>
      <c r="Y55" t="str">
        <f>"323.90"</f>
        <v>323.90</v>
      </c>
      <c r="Z55" t="str">
        <f>""</f>
        <v/>
      </c>
      <c r="AA55" t="str">
        <f>"24000.00"</f>
        <v>24000.00</v>
      </c>
      <c r="AB55" t="str">
        <f t="shared" si="14"/>
        <v>Residential</v>
      </c>
      <c r="AC55" t="str">
        <f t="shared" si="4"/>
        <v>0</v>
      </c>
      <c r="AD55" t="str">
        <f>""</f>
        <v/>
      </c>
      <c r="AE55" t="str">
        <f>""</f>
        <v/>
      </c>
      <c r="AF55" t="str">
        <f t="shared" si="20"/>
        <v>000</v>
      </c>
      <c r="AG55" t="str">
        <f t="shared" si="11"/>
        <v>FL</v>
      </c>
      <c r="AH55" t="str">
        <f t="shared" si="23"/>
        <v>87120.00</v>
      </c>
      <c r="AI55" t="str">
        <f>"24000.00"</f>
        <v>24000.00</v>
      </c>
      <c r="AJ55" t="str">
        <f>"C55-000-586-7130-6"</f>
        <v>C55-000-586-7130-6</v>
      </c>
      <c r="AK55" t="str">
        <f>"2826"</f>
        <v>2826</v>
      </c>
      <c r="AL55">
        <v>1</v>
      </c>
      <c r="AM55">
        <v>65</v>
      </c>
      <c r="AN55">
        <v>338.5</v>
      </c>
      <c r="AQ55" t="s">
        <v>1017</v>
      </c>
      <c r="AR55" t="s">
        <v>1017</v>
      </c>
      <c r="AS55" t="s">
        <v>1017</v>
      </c>
      <c r="AU55" t="s">
        <v>396</v>
      </c>
      <c r="AV55">
        <v>2017</v>
      </c>
      <c r="AW55" t="str">
        <f>"08-1S-23-1830-0057-0000 "</f>
        <v xml:space="preserve">08-1S-23-1830-0057-0000 </v>
      </c>
      <c r="AZ55" t="s">
        <v>1003</v>
      </c>
      <c r="BD55" t="s">
        <v>553</v>
      </c>
      <c r="BE55" t="s">
        <v>393</v>
      </c>
      <c r="BF55">
        <v>32009</v>
      </c>
      <c r="BG55" t="s">
        <v>1003</v>
      </c>
      <c r="BH55" t="s">
        <v>555</v>
      </c>
      <c r="BI55">
        <v>-82.026168044635298</v>
      </c>
      <c r="BJ55">
        <v>30.4108255983605</v>
      </c>
      <c r="BK55" t="s">
        <v>1004</v>
      </c>
      <c r="BM55" t="s">
        <v>1005</v>
      </c>
      <c r="BN55" t="s">
        <v>1006</v>
      </c>
      <c r="BO55">
        <v>32234</v>
      </c>
      <c r="BP55" t="s">
        <v>404</v>
      </c>
      <c r="BQ55">
        <v>0</v>
      </c>
      <c r="BR55" t="s">
        <v>491</v>
      </c>
      <c r="BS55">
        <v>8001</v>
      </c>
      <c r="BT55" t="s">
        <v>492</v>
      </c>
      <c r="BW55">
        <v>87120</v>
      </c>
      <c r="BX55" t="s">
        <v>407</v>
      </c>
      <c r="BY55" t="s">
        <v>408</v>
      </c>
      <c r="CD55">
        <v>2017</v>
      </c>
      <c r="CE55">
        <v>24000</v>
      </c>
      <c r="CG55">
        <v>24000</v>
      </c>
      <c r="CH55">
        <v>2017</v>
      </c>
      <c r="CI55">
        <v>24000</v>
      </c>
      <c r="CK55">
        <v>24000</v>
      </c>
      <c r="CL55">
        <v>2017</v>
      </c>
      <c r="CM55">
        <v>283.39999999999998</v>
      </c>
      <c r="CN55" s="1">
        <v>35194</v>
      </c>
      <c r="CO55">
        <v>19500</v>
      </c>
      <c r="CZ55" s="1">
        <v>35194</v>
      </c>
      <c r="DD55" t="s">
        <v>553</v>
      </c>
      <c r="DF55">
        <v>57</v>
      </c>
      <c r="DG55">
        <v>8</v>
      </c>
      <c r="DJ55" t="s">
        <v>966</v>
      </c>
      <c r="DL55">
        <v>50504</v>
      </c>
      <c r="DM55" t="s">
        <v>879</v>
      </c>
      <c r="DO55" t="s">
        <v>1018</v>
      </c>
      <c r="DP55">
        <v>0</v>
      </c>
      <c r="DQ55">
        <v>0</v>
      </c>
      <c r="DR55" t="s">
        <v>411</v>
      </c>
      <c r="EP55" t="s">
        <v>421</v>
      </c>
      <c r="EQ55" t="s">
        <v>422</v>
      </c>
      <c r="ER55">
        <v>1</v>
      </c>
      <c r="ES55">
        <v>2</v>
      </c>
      <c r="ET55">
        <v>326.52</v>
      </c>
      <c r="EU55">
        <v>23.39</v>
      </c>
      <c r="EV55">
        <v>349.91</v>
      </c>
      <c r="EW55" s="2">
        <v>43222</v>
      </c>
      <c r="EX55" s="1">
        <v>42879</v>
      </c>
      <c r="EY55">
        <v>2016</v>
      </c>
      <c r="EZ55">
        <v>326.52</v>
      </c>
      <c r="FA55" t="s">
        <v>1019</v>
      </c>
      <c r="FB55">
        <v>5.25</v>
      </c>
      <c r="FC55" t="s">
        <v>424</v>
      </c>
      <c r="FD55" t="s">
        <v>454</v>
      </c>
      <c r="FF55">
        <v>12</v>
      </c>
      <c r="FG55">
        <v>10125</v>
      </c>
      <c r="FH55" t="s">
        <v>440</v>
      </c>
      <c r="FJ55" s="1">
        <v>41787</v>
      </c>
      <c r="FK55">
        <v>2013</v>
      </c>
      <c r="FL55">
        <v>183.77</v>
      </c>
      <c r="FM55" t="s">
        <v>1020</v>
      </c>
      <c r="FN55">
        <v>13.25</v>
      </c>
      <c r="FO55" t="s">
        <v>424</v>
      </c>
      <c r="FP55" t="s">
        <v>425</v>
      </c>
      <c r="FQ55" s="1">
        <v>42114</v>
      </c>
      <c r="FR55">
        <v>11</v>
      </c>
      <c r="FS55">
        <v>2035919</v>
      </c>
      <c r="FT55" t="s">
        <v>507</v>
      </c>
      <c r="FV55" s="1">
        <v>40688</v>
      </c>
      <c r="FW55">
        <v>2010</v>
      </c>
      <c r="FX55">
        <v>264.37</v>
      </c>
      <c r="FY55" t="s">
        <v>1021</v>
      </c>
      <c r="FZ55">
        <v>8.25</v>
      </c>
      <c r="GA55" t="s">
        <v>424</v>
      </c>
      <c r="GB55" t="s">
        <v>425</v>
      </c>
      <c r="GC55" s="1">
        <v>40968</v>
      </c>
      <c r="GD55">
        <v>9</v>
      </c>
      <c r="GE55">
        <v>10548</v>
      </c>
      <c r="GF55" t="s">
        <v>589</v>
      </c>
    </row>
    <row r="56" spans="1:284" x14ac:dyDescent="0.25">
      <c r="A56">
        <v>16485063</v>
      </c>
      <c r="B56">
        <v>55</v>
      </c>
      <c r="C56" t="s">
        <v>393</v>
      </c>
      <c r="D56" t="s">
        <v>394</v>
      </c>
      <c r="F56" t="str">
        <f>"08-1S-23-1830-0058-0000"</f>
        <v>08-1S-23-1830-0058-0000</v>
      </c>
      <c r="H56" t="str">
        <f t="shared" si="15"/>
        <v>VAUGHN WEYMAN E &amp; THERESA A</v>
      </c>
      <c r="I56" t="str">
        <f t="shared" si="16"/>
        <v>15451 WEST BEAVER STREET</v>
      </c>
      <c r="J56" t="str">
        <f t="shared" si="17"/>
        <v>BALDWIN FL 32234</v>
      </c>
      <c r="K56" t="str">
        <f t="shared" si="18"/>
        <v>CR 119</v>
      </c>
      <c r="L56" t="str">
        <f t="shared" si="13"/>
        <v>BRYCEVILLE FL 32009</v>
      </c>
      <c r="M56" t="str">
        <f>"LOT 58 PT OR 759/674 RIVERSIDE ESTATES 1 PB 5/171"</f>
        <v>LOT 58 PT OR 759/674 RIVERSIDE ESTATES 1 PB 5/171</v>
      </c>
      <c r="N56" t="str">
        <f>""</f>
        <v/>
      </c>
      <c r="O56" t="str">
        <f>"22932"</f>
        <v>22932</v>
      </c>
      <c r="P56" t="str">
        <f t="shared" si="2"/>
        <v>2017</v>
      </c>
      <c r="Q56" t="str">
        <f>""</f>
        <v/>
      </c>
      <c r="R56" t="str">
        <f t="shared" si="19"/>
        <v>N</v>
      </c>
      <c r="S56" t="str">
        <f t="shared" si="21"/>
        <v>2.00</v>
      </c>
      <c r="T56" t="str">
        <f>"283.40"</f>
        <v>283.40</v>
      </c>
      <c r="U56" t="str">
        <f t="shared" si="22"/>
        <v>14641.00</v>
      </c>
      <c r="V56" t="str">
        <f t="shared" si="22"/>
        <v>14641.00</v>
      </c>
      <c r="W56" t="str">
        <f t="shared" si="3"/>
        <v>2017</v>
      </c>
      <c r="X56" t="str">
        <f>"10.00"</f>
        <v>10.00</v>
      </c>
      <c r="Y56" t="str">
        <f>"323.90"</f>
        <v>323.90</v>
      </c>
      <c r="Z56" t="str">
        <f>""</f>
        <v/>
      </c>
      <c r="AA56" t="str">
        <f>"24000.00"</f>
        <v>24000.00</v>
      </c>
      <c r="AB56" t="str">
        <f t="shared" si="14"/>
        <v>Residential</v>
      </c>
      <c r="AC56" t="str">
        <f t="shared" si="4"/>
        <v>0</v>
      </c>
      <c r="AD56" t="str">
        <f>""</f>
        <v/>
      </c>
      <c r="AE56" t="str">
        <f>""</f>
        <v/>
      </c>
      <c r="AF56" t="str">
        <f t="shared" si="20"/>
        <v>000</v>
      </c>
      <c r="AG56" t="str">
        <f t="shared" si="11"/>
        <v>FL</v>
      </c>
      <c r="AH56" t="str">
        <f t="shared" si="23"/>
        <v>87120.00</v>
      </c>
      <c r="AI56" t="str">
        <f>"24000.00"</f>
        <v>24000.00</v>
      </c>
      <c r="AJ56" t="str">
        <f>"C55-000-586-7131-4"</f>
        <v>C55-000-586-7131-4</v>
      </c>
      <c r="AK56" t="str">
        <f>"2827"</f>
        <v>2827</v>
      </c>
      <c r="AL56">
        <v>1</v>
      </c>
      <c r="AM56">
        <v>66</v>
      </c>
      <c r="AN56">
        <v>338.5</v>
      </c>
      <c r="AQ56" t="s">
        <v>1022</v>
      </c>
      <c r="AR56" t="s">
        <v>1022</v>
      </c>
      <c r="AS56" t="s">
        <v>1022</v>
      </c>
      <c r="AU56" t="s">
        <v>396</v>
      </c>
      <c r="AV56">
        <v>2017</v>
      </c>
      <c r="AW56" t="str">
        <f>"08-1S-23-1830-0058-0000 "</f>
        <v xml:space="preserve">08-1S-23-1830-0058-0000 </v>
      </c>
      <c r="AZ56" t="s">
        <v>1003</v>
      </c>
      <c r="BD56" t="s">
        <v>553</v>
      </c>
      <c r="BE56" t="s">
        <v>393</v>
      </c>
      <c r="BF56">
        <v>32009</v>
      </c>
      <c r="BG56" t="s">
        <v>1003</v>
      </c>
      <c r="BH56" t="s">
        <v>555</v>
      </c>
      <c r="BI56">
        <v>-82.025805162682104</v>
      </c>
      <c r="BJ56">
        <v>30.4105588775715</v>
      </c>
      <c r="BK56" t="s">
        <v>1004</v>
      </c>
      <c r="BM56" t="s">
        <v>1005</v>
      </c>
      <c r="BN56" t="s">
        <v>1006</v>
      </c>
      <c r="BO56">
        <v>32234</v>
      </c>
      <c r="BP56" t="s">
        <v>404</v>
      </c>
      <c r="BQ56">
        <v>0</v>
      </c>
      <c r="BR56" t="s">
        <v>491</v>
      </c>
      <c r="BS56">
        <v>8001</v>
      </c>
      <c r="BT56" t="s">
        <v>492</v>
      </c>
      <c r="BW56">
        <v>87120</v>
      </c>
      <c r="BX56" t="s">
        <v>407</v>
      </c>
      <c r="BY56" t="s">
        <v>408</v>
      </c>
      <c r="CD56">
        <v>2017</v>
      </c>
      <c r="CE56">
        <v>24000</v>
      </c>
      <c r="CG56">
        <v>24000</v>
      </c>
      <c r="CH56">
        <v>2017</v>
      </c>
      <c r="CI56">
        <v>24000</v>
      </c>
      <c r="CK56">
        <v>24000</v>
      </c>
      <c r="CL56">
        <v>2017</v>
      </c>
      <c r="CM56">
        <v>283.39999999999998</v>
      </c>
      <c r="CN56" s="1">
        <v>35194</v>
      </c>
      <c r="CO56">
        <v>19500</v>
      </c>
      <c r="CZ56" s="1">
        <v>35194</v>
      </c>
      <c r="DD56" t="s">
        <v>553</v>
      </c>
      <c r="DF56">
        <v>58</v>
      </c>
      <c r="DG56">
        <v>8</v>
      </c>
      <c r="DJ56" t="s">
        <v>966</v>
      </c>
      <c r="DL56">
        <v>50504</v>
      </c>
      <c r="DM56" t="s">
        <v>879</v>
      </c>
      <c r="DO56" t="s">
        <v>1023</v>
      </c>
      <c r="DP56">
        <v>0</v>
      </c>
      <c r="DQ56">
        <v>0</v>
      </c>
      <c r="DR56" t="s">
        <v>411</v>
      </c>
      <c r="EP56" t="s">
        <v>421</v>
      </c>
      <c r="EQ56" t="s">
        <v>422</v>
      </c>
      <c r="ER56">
        <v>1</v>
      </c>
      <c r="ES56">
        <v>2</v>
      </c>
      <c r="ET56">
        <v>326.52</v>
      </c>
      <c r="EU56">
        <v>23.39</v>
      </c>
      <c r="EV56">
        <v>349.91</v>
      </c>
      <c r="EW56" s="2">
        <v>43222</v>
      </c>
      <c r="EX56" s="1">
        <v>42879</v>
      </c>
      <c r="EY56">
        <v>2016</v>
      </c>
      <c r="EZ56">
        <v>326.52</v>
      </c>
      <c r="FA56" t="s">
        <v>1024</v>
      </c>
      <c r="FB56">
        <v>5.25</v>
      </c>
      <c r="FC56" t="s">
        <v>424</v>
      </c>
      <c r="FD56" t="s">
        <v>454</v>
      </c>
      <c r="FF56">
        <v>12</v>
      </c>
      <c r="FG56">
        <v>10125</v>
      </c>
      <c r="FH56" t="s">
        <v>440</v>
      </c>
      <c r="FJ56" s="1">
        <v>41787</v>
      </c>
      <c r="FK56">
        <v>2013</v>
      </c>
      <c r="FL56">
        <v>183.77</v>
      </c>
      <c r="FM56" t="s">
        <v>1025</v>
      </c>
      <c r="FN56">
        <v>13.25</v>
      </c>
      <c r="FO56" t="s">
        <v>424</v>
      </c>
      <c r="FP56" t="s">
        <v>425</v>
      </c>
      <c r="FQ56" s="1">
        <v>42114</v>
      </c>
      <c r="FR56">
        <v>11</v>
      </c>
      <c r="FS56">
        <v>2035919</v>
      </c>
      <c r="FT56" t="s">
        <v>507</v>
      </c>
      <c r="FV56" s="1">
        <v>40688</v>
      </c>
      <c r="FW56">
        <v>2010</v>
      </c>
      <c r="FX56">
        <v>264.37</v>
      </c>
      <c r="FY56" t="s">
        <v>1026</v>
      </c>
      <c r="FZ56">
        <v>8.25</v>
      </c>
      <c r="GA56" t="s">
        <v>424</v>
      </c>
      <c r="GB56" t="s">
        <v>425</v>
      </c>
      <c r="GC56" s="1">
        <v>40968</v>
      </c>
      <c r="GD56">
        <v>9</v>
      </c>
      <c r="GE56">
        <v>10548</v>
      </c>
      <c r="GF56" t="s">
        <v>589</v>
      </c>
    </row>
    <row r="57" spans="1:284" x14ac:dyDescent="0.25">
      <c r="A57">
        <v>16485064</v>
      </c>
      <c r="B57">
        <v>56</v>
      </c>
      <c r="C57" t="s">
        <v>393</v>
      </c>
      <c r="D57" t="s">
        <v>394</v>
      </c>
      <c r="F57" t="str">
        <f>"08-1S-23-1830-0059-0000"</f>
        <v>08-1S-23-1830-0059-0000</v>
      </c>
      <c r="H57" t="str">
        <f t="shared" si="15"/>
        <v>VAUGHN WEYMAN E &amp; THERESA A</v>
      </c>
      <c r="I57" t="str">
        <f t="shared" si="16"/>
        <v>15451 WEST BEAVER STREET</v>
      </c>
      <c r="J57" t="str">
        <f t="shared" si="17"/>
        <v>BALDWIN FL 32234</v>
      </c>
      <c r="K57" t="str">
        <f t="shared" si="18"/>
        <v>CR 119</v>
      </c>
      <c r="L57" t="str">
        <f t="shared" si="13"/>
        <v>BRYCEVILLE FL 32009</v>
      </c>
      <c r="M57" t="str">
        <f>"LOT 59 PT OR 759/674 RIVERSIDE ESTATES 1 PB 5/171"</f>
        <v>LOT 59 PT OR 759/674 RIVERSIDE ESTATES 1 PB 5/171</v>
      </c>
      <c r="N57" t="str">
        <f>""</f>
        <v/>
      </c>
      <c r="O57" t="str">
        <f>"22933"</f>
        <v>22933</v>
      </c>
      <c r="P57" t="str">
        <f t="shared" si="2"/>
        <v>2017</v>
      </c>
      <c r="Q57" t="str">
        <f>""</f>
        <v/>
      </c>
      <c r="R57" t="str">
        <f t="shared" si="19"/>
        <v>N</v>
      </c>
      <c r="S57" t="str">
        <f t="shared" si="21"/>
        <v>2.00</v>
      </c>
      <c r="T57" t="str">
        <f>"283.40"</f>
        <v>283.40</v>
      </c>
      <c r="U57" t="str">
        <f t="shared" si="22"/>
        <v>14641.00</v>
      </c>
      <c r="V57" t="str">
        <f t="shared" si="22"/>
        <v>14641.00</v>
      </c>
      <c r="W57" t="str">
        <f t="shared" si="3"/>
        <v>2017</v>
      </c>
      <c r="X57" t="str">
        <f>"10.33"</f>
        <v>10.33</v>
      </c>
      <c r="Y57" t="str">
        <f>"323.90"</f>
        <v>323.90</v>
      </c>
      <c r="Z57" t="str">
        <f>""</f>
        <v/>
      </c>
      <c r="AA57" t="str">
        <f>"24000.00"</f>
        <v>24000.00</v>
      </c>
      <c r="AB57" t="str">
        <f t="shared" si="14"/>
        <v>Residential</v>
      </c>
      <c r="AC57" t="str">
        <f t="shared" si="4"/>
        <v>0</v>
      </c>
      <c r="AD57" t="str">
        <f>""</f>
        <v/>
      </c>
      <c r="AE57" t="str">
        <f>""</f>
        <v/>
      </c>
      <c r="AF57" t="str">
        <f t="shared" si="20"/>
        <v>000</v>
      </c>
      <c r="AG57" t="str">
        <f t="shared" ref="AG57:AG83" si="24">"FL"</f>
        <v>FL</v>
      </c>
      <c r="AH57" t="str">
        <f t="shared" si="23"/>
        <v>87120.00</v>
      </c>
      <c r="AI57" t="str">
        <f>"24000.00"</f>
        <v>24000.00</v>
      </c>
      <c r="AJ57" t="str">
        <f>"C55-000-586-7132-2"</f>
        <v>C55-000-586-7132-2</v>
      </c>
      <c r="AK57" t="str">
        <f>"2828"</f>
        <v>2828</v>
      </c>
      <c r="AL57">
        <v>1</v>
      </c>
      <c r="AM57">
        <v>67</v>
      </c>
      <c r="AN57">
        <v>338.5</v>
      </c>
      <c r="AQ57" t="s">
        <v>1027</v>
      </c>
      <c r="AR57" t="s">
        <v>1027</v>
      </c>
      <c r="AS57" t="s">
        <v>1027</v>
      </c>
      <c r="AU57" t="s">
        <v>396</v>
      </c>
      <c r="AV57">
        <v>2017</v>
      </c>
      <c r="AW57" t="str">
        <f>"08-1S-23-1830-0059-0000 "</f>
        <v xml:space="preserve">08-1S-23-1830-0059-0000 </v>
      </c>
      <c r="AZ57" t="s">
        <v>1003</v>
      </c>
      <c r="BD57" t="s">
        <v>553</v>
      </c>
      <c r="BE57" t="s">
        <v>393</v>
      </c>
      <c r="BF57">
        <v>32009</v>
      </c>
      <c r="BG57" t="s">
        <v>1003</v>
      </c>
      <c r="BH57" t="s">
        <v>555</v>
      </c>
      <c r="BI57">
        <v>-82.025442296769398</v>
      </c>
      <c r="BJ57">
        <v>30.410292149000998</v>
      </c>
      <c r="BK57" t="s">
        <v>1004</v>
      </c>
      <c r="BM57" t="s">
        <v>1005</v>
      </c>
      <c r="BN57" t="s">
        <v>1006</v>
      </c>
      <c r="BO57">
        <v>32234</v>
      </c>
      <c r="BP57" t="s">
        <v>404</v>
      </c>
      <c r="BQ57">
        <v>0</v>
      </c>
      <c r="BR57" t="s">
        <v>491</v>
      </c>
      <c r="BS57">
        <v>8001</v>
      </c>
      <c r="BT57" t="s">
        <v>492</v>
      </c>
      <c r="BW57">
        <v>87120</v>
      </c>
      <c r="BX57" t="s">
        <v>407</v>
      </c>
      <c r="BY57" t="s">
        <v>408</v>
      </c>
      <c r="CD57">
        <v>2017</v>
      </c>
      <c r="CE57">
        <v>24000</v>
      </c>
      <c r="CG57">
        <v>24000</v>
      </c>
      <c r="CH57">
        <v>2017</v>
      </c>
      <c r="CI57">
        <v>24000</v>
      </c>
      <c r="CK57">
        <v>24000</v>
      </c>
      <c r="CL57">
        <v>2017</v>
      </c>
      <c r="CM57">
        <v>283.39999999999998</v>
      </c>
      <c r="CN57" s="1">
        <v>35194</v>
      </c>
      <c r="CO57">
        <v>19500</v>
      </c>
      <c r="CZ57" s="1">
        <v>35194</v>
      </c>
      <c r="DD57" t="s">
        <v>553</v>
      </c>
      <c r="DF57">
        <v>59</v>
      </c>
      <c r="DG57">
        <v>8</v>
      </c>
      <c r="DJ57" t="s">
        <v>966</v>
      </c>
      <c r="DL57">
        <v>50504</v>
      </c>
      <c r="DM57" t="s">
        <v>879</v>
      </c>
      <c r="DO57" t="s">
        <v>1028</v>
      </c>
      <c r="DP57">
        <v>0</v>
      </c>
      <c r="DQ57">
        <v>0</v>
      </c>
      <c r="DR57" t="s">
        <v>411</v>
      </c>
      <c r="DS57" t="s">
        <v>695</v>
      </c>
      <c r="EJ57">
        <v>0</v>
      </c>
      <c r="EK57">
        <v>0</v>
      </c>
      <c r="EP57" t="s">
        <v>421</v>
      </c>
      <c r="EQ57" t="s">
        <v>422</v>
      </c>
      <c r="ER57">
        <v>1</v>
      </c>
      <c r="ES57">
        <v>3</v>
      </c>
      <c r="ET57">
        <v>326.52</v>
      </c>
      <c r="EU57">
        <v>23.39</v>
      </c>
      <c r="EV57">
        <v>349.91</v>
      </c>
      <c r="EW57" s="2">
        <v>43222</v>
      </c>
      <c r="EX57" s="1">
        <v>42879</v>
      </c>
      <c r="EY57">
        <v>2016</v>
      </c>
      <c r="EZ57">
        <v>326.52</v>
      </c>
      <c r="FA57" t="s">
        <v>1029</v>
      </c>
      <c r="FB57">
        <v>5.25</v>
      </c>
      <c r="FC57" t="s">
        <v>424</v>
      </c>
      <c r="FD57" t="s">
        <v>454</v>
      </c>
      <c r="FF57">
        <v>12</v>
      </c>
      <c r="FG57">
        <v>10125</v>
      </c>
      <c r="FH57" t="s">
        <v>440</v>
      </c>
      <c r="FJ57" s="1">
        <v>42151</v>
      </c>
      <c r="FK57">
        <v>2014</v>
      </c>
      <c r="FL57">
        <v>280.24</v>
      </c>
      <c r="FM57" t="s">
        <v>1030</v>
      </c>
      <c r="FN57">
        <v>15.5</v>
      </c>
      <c r="FO57" t="s">
        <v>424</v>
      </c>
      <c r="FP57" t="s">
        <v>425</v>
      </c>
      <c r="FQ57" s="1">
        <v>42461</v>
      </c>
      <c r="FR57">
        <v>11</v>
      </c>
      <c r="FS57">
        <v>10125</v>
      </c>
      <c r="FT57" t="s">
        <v>440</v>
      </c>
      <c r="FV57" s="1">
        <v>41787</v>
      </c>
      <c r="FW57">
        <v>2013</v>
      </c>
      <c r="FX57">
        <v>183.77</v>
      </c>
      <c r="FY57" t="s">
        <v>1031</v>
      </c>
      <c r="FZ57">
        <v>15.25</v>
      </c>
      <c r="GA57" t="s">
        <v>424</v>
      </c>
      <c r="GB57" t="s">
        <v>425</v>
      </c>
      <c r="GC57" s="1">
        <v>42114</v>
      </c>
      <c r="GD57">
        <v>11</v>
      </c>
      <c r="GE57">
        <v>12259</v>
      </c>
      <c r="GF57" t="s">
        <v>1032</v>
      </c>
      <c r="GH57" s="1">
        <v>40688</v>
      </c>
      <c r="GI57">
        <v>2010</v>
      </c>
      <c r="GJ57">
        <v>264.37</v>
      </c>
      <c r="GK57" t="s">
        <v>1033</v>
      </c>
      <c r="GL57">
        <v>8.25</v>
      </c>
      <c r="GM57" t="s">
        <v>424</v>
      </c>
      <c r="GN57" t="s">
        <v>425</v>
      </c>
      <c r="GO57" s="1">
        <v>40968</v>
      </c>
      <c r="GP57">
        <v>9</v>
      </c>
      <c r="GQ57">
        <v>10548</v>
      </c>
      <c r="GR57" t="s">
        <v>589</v>
      </c>
    </row>
    <row r="58" spans="1:284" x14ac:dyDescent="0.25">
      <c r="A58">
        <v>16485065</v>
      </c>
      <c r="B58">
        <v>57</v>
      </c>
      <c r="C58" t="s">
        <v>393</v>
      </c>
      <c r="D58" t="s">
        <v>394</v>
      </c>
      <c r="F58" t="str">
        <f>"08-1S-23-1830-0060-0000"</f>
        <v>08-1S-23-1830-0060-0000</v>
      </c>
      <c r="H58" t="str">
        <f t="shared" si="15"/>
        <v>VAUGHN WEYMAN E &amp; THERESA A</v>
      </c>
      <c r="I58" t="str">
        <f t="shared" si="16"/>
        <v>15451 WEST BEAVER STREET</v>
      </c>
      <c r="J58" t="str">
        <f t="shared" si="17"/>
        <v>BALDWIN FL 32234</v>
      </c>
      <c r="K58" t="str">
        <f t="shared" si="18"/>
        <v>CR 119</v>
      </c>
      <c r="L58" t="str">
        <f t="shared" si="13"/>
        <v>BRYCEVILLE FL 32009</v>
      </c>
      <c r="M58" t="str">
        <f>"LOT 60 PT OR 759/674 RIVERSIDE ESTATES 1 PB 5/171"</f>
        <v>LOT 60 PT OR 759/674 RIVERSIDE ESTATES 1 PB 5/171</v>
      </c>
      <c r="N58" t="str">
        <f>""</f>
        <v/>
      </c>
      <c r="O58" t="str">
        <f>"22934"</f>
        <v>22934</v>
      </c>
      <c r="P58" t="str">
        <f t="shared" si="2"/>
        <v>2017</v>
      </c>
      <c r="Q58" t="str">
        <f>""</f>
        <v/>
      </c>
      <c r="R58" t="str">
        <f t="shared" si="19"/>
        <v>N</v>
      </c>
      <c r="S58" t="str">
        <f t="shared" si="21"/>
        <v>2.00</v>
      </c>
      <c r="T58" t="str">
        <f>"181.66"</f>
        <v>181.66</v>
      </c>
      <c r="U58" t="str">
        <f>"12000.00"</f>
        <v>12000.00</v>
      </c>
      <c r="V58" t="str">
        <f>"12000.00"</f>
        <v>12000.00</v>
      </c>
      <c r="W58" t="str">
        <f t="shared" si="3"/>
        <v>2017</v>
      </c>
      <c r="X58" t="str">
        <f>"10.33"</f>
        <v>10.33</v>
      </c>
      <c r="Y58" t="str">
        <f>"219.11"</f>
        <v>219.11</v>
      </c>
      <c r="Z58" t="str">
        <f>""</f>
        <v/>
      </c>
      <c r="AA58" t="str">
        <f>"12000.00"</f>
        <v>12000.00</v>
      </c>
      <c r="AB58" t="str">
        <f t="shared" si="14"/>
        <v>Residential</v>
      </c>
      <c r="AC58" t="str">
        <f t="shared" si="4"/>
        <v>0</v>
      </c>
      <c r="AD58" t="str">
        <f>""</f>
        <v/>
      </c>
      <c r="AE58" t="str">
        <f>""</f>
        <v/>
      </c>
      <c r="AF58" t="str">
        <f t="shared" si="20"/>
        <v>000</v>
      </c>
      <c r="AG58" t="str">
        <f t="shared" si="24"/>
        <v>FL</v>
      </c>
      <c r="AH58" t="str">
        <f t="shared" si="23"/>
        <v>87120.00</v>
      </c>
      <c r="AI58" t="str">
        <f>"12000.00"</f>
        <v>12000.00</v>
      </c>
      <c r="AJ58" t="str">
        <f>"C55-000-586-7133-0"</f>
        <v>C55-000-586-7133-0</v>
      </c>
      <c r="AK58" t="str">
        <f>"2829"</f>
        <v>2829</v>
      </c>
      <c r="AL58">
        <v>1</v>
      </c>
      <c r="AM58">
        <v>68</v>
      </c>
      <c r="AN58">
        <v>228.47</v>
      </c>
      <c r="AQ58" t="s">
        <v>1034</v>
      </c>
      <c r="AR58" t="s">
        <v>1034</v>
      </c>
      <c r="AS58" t="s">
        <v>1034</v>
      </c>
      <c r="AU58" t="s">
        <v>396</v>
      </c>
      <c r="AV58">
        <v>2017</v>
      </c>
      <c r="AW58" t="str">
        <f>"08-1S-23-1830-0060-0000 "</f>
        <v xml:space="preserve">08-1S-23-1830-0060-0000 </v>
      </c>
      <c r="AZ58" t="s">
        <v>1003</v>
      </c>
      <c r="BD58" t="s">
        <v>553</v>
      </c>
      <c r="BE58" t="s">
        <v>393</v>
      </c>
      <c r="BF58">
        <v>32009</v>
      </c>
      <c r="BG58" t="s">
        <v>1003</v>
      </c>
      <c r="BH58" t="s">
        <v>555</v>
      </c>
      <c r="BI58">
        <v>-82.025079410887997</v>
      </c>
      <c r="BJ58">
        <v>30.410025433169</v>
      </c>
      <c r="BK58" t="s">
        <v>1004</v>
      </c>
      <c r="BM58" t="s">
        <v>1005</v>
      </c>
      <c r="BN58" t="s">
        <v>1006</v>
      </c>
      <c r="BO58">
        <v>32234</v>
      </c>
      <c r="BP58" t="s">
        <v>404</v>
      </c>
      <c r="BQ58">
        <v>0</v>
      </c>
      <c r="BR58" t="s">
        <v>491</v>
      </c>
      <c r="BS58">
        <v>8001</v>
      </c>
      <c r="BT58" t="s">
        <v>492</v>
      </c>
      <c r="BW58">
        <v>87120</v>
      </c>
      <c r="BX58" t="s">
        <v>407</v>
      </c>
      <c r="BY58" t="s">
        <v>408</v>
      </c>
      <c r="CD58">
        <v>2017</v>
      </c>
      <c r="CE58">
        <v>12000</v>
      </c>
      <c r="CG58">
        <v>12000</v>
      </c>
      <c r="CH58">
        <v>2017</v>
      </c>
      <c r="CI58">
        <v>12000</v>
      </c>
      <c r="CK58">
        <v>12000</v>
      </c>
      <c r="CL58">
        <v>2017</v>
      </c>
      <c r="CM58">
        <v>181.66</v>
      </c>
      <c r="CN58" s="1">
        <v>35194</v>
      </c>
      <c r="CO58">
        <v>19500</v>
      </c>
      <c r="CZ58" s="1">
        <v>35194</v>
      </c>
      <c r="DD58" t="s">
        <v>553</v>
      </c>
      <c r="DF58">
        <v>60</v>
      </c>
      <c r="DG58">
        <v>8</v>
      </c>
      <c r="DJ58" t="s">
        <v>1007</v>
      </c>
      <c r="DL58">
        <v>50504</v>
      </c>
      <c r="DM58" t="s">
        <v>879</v>
      </c>
      <c r="DO58" t="s">
        <v>1035</v>
      </c>
      <c r="DP58">
        <v>0</v>
      </c>
      <c r="DQ58">
        <v>0</v>
      </c>
      <c r="DR58" t="s">
        <v>411</v>
      </c>
      <c r="DS58" t="s">
        <v>695</v>
      </c>
      <c r="EJ58">
        <v>0</v>
      </c>
      <c r="EK58">
        <v>0</v>
      </c>
      <c r="EP58" t="s">
        <v>421</v>
      </c>
      <c r="EQ58" t="s">
        <v>422</v>
      </c>
      <c r="ER58">
        <v>1</v>
      </c>
      <c r="ES58">
        <v>3</v>
      </c>
      <c r="ET58">
        <v>226.22</v>
      </c>
      <c r="EU58">
        <v>18.690000000000001</v>
      </c>
      <c r="EV58">
        <v>244.91</v>
      </c>
      <c r="EW58" s="2">
        <v>43222</v>
      </c>
      <c r="EX58" s="1">
        <v>42879</v>
      </c>
      <c r="EY58">
        <v>2016</v>
      </c>
      <c r="EZ58">
        <v>226.22</v>
      </c>
      <c r="FA58" t="s">
        <v>1036</v>
      </c>
      <c r="FB58">
        <v>5.5</v>
      </c>
      <c r="FC58" t="s">
        <v>424</v>
      </c>
      <c r="FD58" t="s">
        <v>454</v>
      </c>
      <c r="FF58">
        <v>12</v>
      </c>
      <c r="FG58">
        <v>10125</v>
      </c>
      <c r="FH58" t="s">
        <v>440</v>
      </c>
      <c r="FJ58" s="1">
        <v>42151</v>
      </c>
      <c r="FK58">
        <v>2014</v>
      </c>
      <c r="FL58">
        <v>192.91</v>
      </c>
      <c r="FM58" t="s">
        <v>1037</v>
      </c>
      <c r="FN58">
        <v>4.75</v>
      </c>
      <c r="FO58" t="s">
        <v>424</v>
      </c>
      <c r="FP58" t="s">
        <v>425</v>
      </c>
      <c r="FQ58" s="1">
        <v>42461</v>
      </c>
      <c r="FR58">
        <v>11</v>
      </c>
      <c r="FS58">
        <v>4975593</v>
      </c>
      <c r="FT58" t="s">
        <v>505</v>
      </c>
      <c r="FV58" s="1">
        <v>41787</v>
      </c>
      <c r="FW58">
        <v>2013</v>
      </c>
      <c r="FX58">
        <v>183.77</v>
      </c>
      <c r="FY58" t="s">
        <v>1038</v>
      </c>
      <c r="FZ58">
        <v>13.25</v>
      </c>
      <c r="GA58" t="s">
        <v>424</v>
      </c>
      <c r="GB58" t="s">
        <v>425</v>
      </c>
      <c r="GC58" s="1">
        <v>42114</v>
      </c>
      <c r="GD58">
        <v>11</v>
      </c>
      <c r="GE58">
        <v>2035919</v>
      </c>
      <c r="GF58" t="s">
        <v>507</v>
      </c>
      <c r="GH58" s="1">
        <v>40688</v>
      </c>
      <c r="GI58">
        <v>2010</v>
      </c>
      <c r="GJ58">
        <v>264.37</v>
      </c>
      <c r="GK58" t="s">
        <v>1039</v>
      </c>
      <c r="GL58">
        <v>8.25</v>
      </c>
      <c r="GM58" t="s">
        <v>424</v>
      </c>
      <c r="GN58" t="s">
        <v>425</v>
      </c>
      <c r="GO58" s="1">
        <v>40968</v>
      </c>
      <c r="GP58">
        <v>9</v>
      </c>
      <c r="GQ58">
        <v>10548</v>
      </c>
      <c r="GR58" t="s">
        <v>589</v>
      </c>
    </row>
    <row r="59" spans="1:284" x14ac:dyDescent="0.25">
      <c r="A59">
        <v>16485066</v>
      </c>
      <c r="B59">
        <v>58</v>
      </c>
      <c r="C59" t="s">
        <v>393</v>
      </c>
      <c r="D59" t="s">
        <v>394</v>
      </c>
      <c r="F59" t="str">
        <f>"08-1S-23-1830-0066-0000"</f>
        <v>08-1S-23-1830-0066-0000</v>
      </c>
      <c r="H59" t="str">
        <f>"WILSON GARY M &amp; PAMELA T"</f>
        <v>WILSON GARY M &amp; PAMELA T</v>
      </c>
      <c r="I59" t="str">
        <f>"1682 PALTO PLACE"</f>
        <v>1682 PALTO PLACE</v>
      </c>
      <c r="J59" t="str">
        <f>"BRYCEVILLE FL 32009"</f>
        <v>BRYCEVILLE FL 32009</v>
      </c>
      <c r="K59" t="str">
        <f>"1680 CR 119"</f>
        <v>1680 CR 119</v>
      </c>
      <c r="L59" t="str">
        <f t="shared" si="13"/>
        <v>BRYCEVILLE FL 32009</v>
      </c>
      <c r="M59" t="str">
        <f>"LOT 66 R407739 IN OR 1199/1774 RIVERSIDE ESTATES 1 PB 5/171"</f>
        <v>LOT 66 R407739 IN OR 1199/1774 RIVERSIDE ESTATES 1 PB 5/171</v>
      </c>
      <c r="N59" t="str">
        <f>""</f>
        <v/>
      </c>
      <c r="O59" t="str">
        <f>"22939"</f>
        <v>22939</v>
      </c>
      <c r="P59" t="str">
        <f t="shared" si="2"/>
        <v>2017</v>
      </c>
      <c r="Q59" t="str">
        <f>""</f>
        <v/>
      </c>
      <c r="R59" t="str">
        <f t="shared" si="19"/>
        <v>N</v>
      </c>
      <c r="S59" t="str">
        <f t="shared" si="21"/>
        <v>2.00</v>
      </c>
      <c r="T59" t="str">
        <f>"527.32"</f>
        <v>527.32</v>
      </c>
      <c r="U59" t="str">
        <f>"34833.00"</f>
        <v>34833.00</v>
      </c>
      <c r="V59" t="str">
        <f>"34833.00"</f>
        <v>34833.00</v>
      </c>
      <c r="W59" t="str">
        <f t="shared" si="3"/>
        <v>2017</v>
      </c>
      <c r="X59" t="str">
        <f>"5.50"</f>
        <v>5.50</v>
      </c>
      <c r="Y59" t="str">
        <f>"575.14"</f>
        <v>575.14</v>
      </c>
      <c r="Z59" t="str">
        <f>""</f>
        <v/>
      </c>
      <c r="AA59" t="str">
        <f>"34833.00"</f>
        <v>34833.00</v>
      </c>
      <c r="AB59" t="str">
        <f t="shared" si="14"/>
        <v>Residential</v>
      </c>
      <c r="AC59" t="str">
        <f t="shared" si="4"/>
        <v>0</v>
      </c>
      <c r="AD59" t="str">
        <f>"4"</f>
        <v>4</v>
      </c>
      <c r="AE59" t="str">
        <f>"WOOD (INCLUDE STEEL STUDS)"</f>
        <v>WOOD (INCLUDE STEEL STUDS)</v>
      </c>
      <c r="AF59" t="str">
        <f>"002"</f>
        <v>002</v>
      </c>
      <c r="AG59" t="str">
        <f t="shared" si="24"/>
        <v>FL</v>
      </c>
      <c r="AH59" t="str">
        <f t="shared" si="23"/>
        <v>87120.00</v>
      </c>
      <c r="AI59" t="str">
        <f>"24000.00"</f>
        <v>24000.00</v>
      </c>
      <c r="AJ59" t="str">
        <f>"C55-000-586-7138-9"</f>
        <v>C55-000-586-7138-9</v>
      </c>
      <c r="AK59" t="str">
        <f>"2834"</f>
        <v>2834</v>
      </c>
      <c r="AL59">
        <v>1</v>
      </c>
      <c r="AM59">
        <v>69</v>
      </c>
      <c r="AN59">
        <v>602.29999999999995</v>
      </c>
      <c r="AQ59" t="s">
        <v>1040</v>
      </c>
      <c r="AR59" t="s">
        <v>1040</v>
      </c>
      <c r="AS59" t="s">
        <v>1040</v>
      </c>
      <c r="AU59" t="s">
        <v>396</v>
      </c>
      <c r="AV59">
        <v>2017</v>
      </c>
      <c r="AW59" t="str">
        <f>"08-1S-23-1830-0066-0000 "</f>
        <v xml:space="preserve">08-1S-23-1830-0066-0000 </v>
      </c>
      <c r="AX59">
        <v>1680</v>
      </c>
      <c r="AZ59" t="s">
        <v>1003</v>
      </c>
      <c r="BD59" t="s">
        <v>553</v>
      </c>
      <c r="BE59" t="s">
        <v>393</v>
      </c>
      <c r="BF59">
        <v>32009</v>
      </c>
      <c r="BG59" t="s">
        <v>1041</v>
      </c>
      <c r="BH59" t="s">
        <v>555</v>
      </c>
      <c r="BI59">
        <v>-82.022515136457201</v>
      </c>
      <c r="BJ59">
        <v>30.4081405592195</v>
      </c>
      <c r="BK59" t="s">
        <v>1042</v>
      </c>
      <c r="BM59" t="s">
        <v>897</v>
      </c>
      <c r="BN59" t="s">
        <v>558</v>
      </c>
      <c r="BO59">
        <v>32009</v>
      </c>
      <c r="BP59" t="s">
        <v>404</v>
      </c>
      <c r="BQ59">
        <v>200</v>
      </c>
      <c r="BR59" t="s">
        <v>405</v>
      </c>
      <c r="BS59">
        <v>1006</v>
      </c>
      <c r="BT59" t="s">
        <v>406</v>
      </c>
      <c r="BW59">
        <v>87120</v>
      </c>
      <c r="BX59" t="s">
        <v>407</v>
      </c>
      <c r="BY59" t="s">
        <v>408</v>
      </c>
      <c r="BZ59">
        <v>4</v>
      </c>
      <c r="CA59">
        <v>1987</v>
      </c>
      <c r="CB59">
        <v>1</v>
      </c>
      <c r="CC59">
        <v>1</v>
      </c>
      <c r="CD59">
        <v>2017</v>
      </c>
      <c r="CE59">
        <v>24000</v>
      </c>
      <c r="CF59">
        <v>10833</v>
      </c>
      <c r="CG59">
        <v>34833</v>
      </c>
      <c r="CH59">
        <v>2017</v>
      </c>
      <c r="CI59">
        <v>24000</v>
      </c>
      <c r="CJ59">
        <v>10833</v>
      </c>
      <c r="CK59">
        <v>34833</v>
      </c>
      <c r="CL59">
        <v>2017</v>
      </c>
      <c r="CM59">
        <v>527.32000000000005</v>
      </c>
      <c r="CN59" s="1">
        <v>37993</v>
      </c>
      <c r="CO59">
        <v>61500</v>
      </c>
      <c r="CV59">
        <v>52637</v>
      </c>
      <c r="CX59" t="s">
        <v>675</v>
      </c>
      <c r="CZ59" s="1">
        <v>37993</v>
      </c>
      <c r="DA59">
        <v>0</v>
      </c>
      <c r="DD59" t="s">
        <v>553</v>
      </c>
      <c r="DF59">
        <v>66</v>
      </c>
      <c r="DG59">
        <v>8</v>
      </c>
      <c r="DJ59" t="s">
        <v>1007</v>
      </c>
      <c r="DL59">
        <v>50504</v>
      </c>
      <c r="DM59" t="s">
        <v>879</v>
      </c>
      <c r="DO59" t="s">
        <v>1043</v>
      </c>
      <c r="DP59">
        <v>0</v>
      </c>
      <c r="DQ59">
        <v>0</v>
      </c>
      <c r="DR59" t="s">
        <v>411</v>
      </c>
      <c r="EP59" t="s">
        <v>421</v>
      </c>
      <c r="EQ59" t="s">
        <v>422</v>
      </c>
      <c r="ER59">
        <v>2</v>
      </c>
      <c r="ES59">
        <v>0</v>
      </c>
      <c r="ET59">
        <v>1106</v>
      </c>
      <c r="EU59">
        <v>67.8</v>
      </c>
      <c r="EV59">
        <v>1173.8</v>
      </c>
      <c r="EW59" s="2">
        <v>43222</v>
      </c>
      <c r="EX59" s="1">
        <v>42879</v>
      </c>
      <c r="EY59">
        <v>2016</v>
      </c>
      <c r="EZ59">
        <v>553</v>
      </c>
      <c r="FA59" t="s">
        <v>1044</v>
      </c>
      <c r="FB59">
        <v>0.25</v>
      </c>
      <c r="FC59" t="s">
        <v>424</v>
      </c>
      <c r="FD59" t="s">
        <v>454</v>
      </c>
      <c r="FF59">
        <v>12</v>
      </c>
      <c r="FG59">
        <v>2851116</v>
      </c>
      <c r="FH59" t="s">
        <v>480</v>
      </c>
      <c r="FJ59" s="1">
        <v>42879</v>
      </c>
      <c r="FK59">
        <v>2016</v>
      </c>
      <c r="FL59">
        <v>553</v>
      </c>
      <c r="FM59" t="s">
        <v>1044</v>
      </c>
      <c r="FN59">
        <v>0.25</v>
      </c>
      <c r="FO59" t="s">
        <v>424</v>
      </c>
      <c r="FP59" t="s">
        <v>454</v>
      </c>
      <c r="FR59">
        <v>12</v>
      </c>
      <c r="FS59">
        <v>5242034</v>
      </c>
      <c r="FT59" t="s">
        <v>1045</v>
      </c>
    </row>
    <row r="60" spans="1:284" x14ac:dyDescent="0.25">
      <c r="A60">
        <v>16485067</v>
      </c>
      <c r="B60">
        <v>59</v>
      </c>
      <c r="C60" t="s">
        <v>393</v>
      </c>
      <c r="D60" t="s">
        <v>394</v>
      </c>
      <c r="F60" t="str">
        <f>"08-1S-23-1830-0073-0000"</f>
        <v>08-1S-23-1830-0073-0000</v>
      </c>
      <c r="H60" t="str">
        <f>"MEEKS WALTER C JR EST C/O LEONA MEEKS"</f>
        <v>MEEKS WALTER C JR EST C/O LEONA MEEKS</v>
      </c>
      <c r="I60" t="str">
        <f>"P O BOX 335"</f>
        <v>P O BOX 335</v>
      </c>
      <c r="J60" t="str">
        <f>"BRYCEVILLE FL 32009"</f>
        <v>BRYCEVILLE FL 32009</v>
      </c>
      <c r="K60" t="str">
        <f>"2250 CR 119"</f>
        <v>2250 CR 119</v>
      </c>
      <c r="L60" t="str">
        <f t="shared" si="13"/>
        <v>BRYCEVILLE FL 32009</v>
      </c>
      <c r="M60" t="str">
        <f>"LOT 73 IN OR 1671/696 R672769 &amp; R672770 RIVERSIDE ESTATES 1 PB 5/171"</f>
        <v>LOT 73 IN OR 1671/696 R672769 &amp; R672770 RIVERSIDE ESTATES 1 PB 5/171</v>
      </c>
      <c r="N60" t="str">
        <f>""</f>
        <v/>
      </c>
      <c r="O60" t="str">
        <f>"22946"</f>
        <v>22946</v>
      </c>
      <c r="P60" t="str">
        <f t="shared" si="2"/>
        <v>2017</v>
      </c>
      <c r="Q60" t="str">
        <f>""</f>
        <v/>
      </c>
      <c r="R60" t="str">
        <f>"Y"</f>
        <v>Y</v>
      </c>
      <c r="S60" t="str">
        <f>"2.18"</f>
        <v>2.18</v>
      </c>
      <c r="T60" t="str">
        <f>"467.96"</f>
        <v>467.96</v>
      </c>
      <c r="U60" t="str">
        <f>"63561.00"</f>
        <v>63561.00</v>
      </c>
      <c r="V60" t="str">
        <f>"63561.00"</f>
        <v>63561.00</v>
      </c>
      <c r="W60" t="str">
        <f t="shared" si="3"/>
        <v>2017</v>
      </c>
      <c r="X60" t="str">
        <f>""</f>
        <v/>
      </c>
      <c r="Y60" t="str">
        <f>"514.00"</f>
        <v>514.00</v>
      </c>
      <c r="Z60" t="str">
        <f>"25000.00"</f>
        <v>25000.00</v>
      </c>
      <c r="AA60" t="str">
        <f>"38561.00"</f>
        <v>38561.00</v>
      </c>
      <c r="AB60" t="str">
        <f t="shared" si="14"/>
        <v>Residential</v>
      </c>
      <c r="AC60" t="str">
        <f t="shared" si="4"/>
        <v>0</v>
      </c>
      <c r="AD60" t="str">
        <f>"4"</f>
        <v>4</v>
      </c>
      <c r="AE60" t="str">
        <f>"WOOD (INCLUDE STEEL STUDS)"</f>
        <v>WOOD (INCLUDE STEEL STUDS)</v>
      </c>
      <c r="AF60" t="str">
        <f>"002"</f>
        <v>002</v>
      </c>
      <c r="AG60" t="str">
        <f t="shared" si="24"/>
        <v>FL</v>
      </c>
      <c r="AH60" t="str">
        <f>"94960.00"</f>
        <v>94960.00</v>
      </c>
      <c r="AI60" t="str">
        <f>"26160.00"</f>
        <v>26160.00</v>
      </c>
      <c r="AJ60" t="str">
        <f>"C55-000-586-7145-4"</f>
        <v>C55-000-586-7145-4</v>
      </c>
      <c r="AK60" t="str">
        <f>"2841"</f>
        <v>2841</v>
      </c>
      <c r="AL60">
        <v>1</v>
      </c>
      <c r="AM60">
        <v>70</v>
      </c>
      <c r="AN60">
        <v>538.1</v>
      </c>
      <c r="AQ60" t="s">
        <v>1046</v>
      </c>
      <c r="AR60" t="s">
        <v>1046</v>
      </c>
      <c r="AS60" t="s">
        <v>1046</v>
      </c>
      <c r="AU60" t="s">
        <v>396</v>
      </c>
      <c r="AV60">
        <v>2017</v>
      </c>
      <c r="AW60" t="str">
        <f>"08-1S-23-1830-0073-0000 "</f>
        <v xml:space="preserve">08-1S-23-1830-0073-0000 </v>
      </c>
      <c r="AX60">
        <v>2250</v>
      </c>
      <c r="AZ60" t="s">
        <v>1003</v>
      </c>
      <c r="BD60" t="s">
        <v>553</v>
      </c>
      <c r="BE60" t="s">
        <v>393</v>
      </c>
      <c r="BF60">
        <v>32009</v>
      </c>
      <c r="BG60" t="s">
        <v>1047</v>
      </c>
      <c r="BH60" t="s">
        <v>555</v>
      </c>
      <c r="BI60">
        <v>-82.014498065244595</v>
      </c>
      <c r="BJ60">
        <v>30.4041760515018</v>
      </c>
      <c r="BK60" t="s">
        <v>1048</v>
      </c>
      <c r="BL60" t="s">
        <v>1049</v>
      </c>
      <c r="BM60" t="s">
        <v>1050</v>
      </c>
      <c r="BN60" t="s">
        <v>558</v>
      </c>
      <c r="BO60">
        <v>32009</v>
      </c>
      <c r="BP60" t="s">
        <v>404</v>
      </c>
      <c r="BQ60">
        <v>200</v>
      </c>
      <c r="BR60" t="s">
        <v>405</v>
      </c>
      <c r="BS60">
        <v>1006</v>
      </c>
      <c r="BT60" t="s">
        <v>406</v>
      </c>
      <c r="BW60">
        <v>94960</v>
      </c>
      <c r="BX60" t="s">
        <v>407</v>
      </c>
      <c r="BY60" t="s">
        <v>408</v>
      </c>
      <c r="BZ60">
        <v>4</v>
      </c>
      <c r="CA60">
        <v>1997</v>
      </c>
      <c r="CB60">
        <v>1</v>
      </c>
      <c r="CC60">
        <v>1</v>
      </c>
      <c r="CD60">
        <v>2017</v>
      </c>
      <c r="CG60">
        <v>63561</v>
      </c>
      <c r="CH60">
        <v>2017</v>
      </c>
      <c r="CI60">
        <v>26160</v>
      </c>
      <c r="CJ60">
        <v>48344</v>
      </c>
      <c r="CK60">
        <v>74504</v>
      </c>
      <c r="CL60">
        <v>2017</v>
      </c>
      <c r="CM60">
        <v>467.96</v>
      </c>
      <c r="CN60" s="1">
        <v>40280</v>
      </c>
      <c r="CZ60" s="1">
        <v>40280</v>
      </c>
      <c r="DD60" t="s">
        <v>553</v>
      </c>
      <c r="DF60">
        <v>73</v>
      </c>
      <c r="DG60">
        <v>8</v>
      </c>
      <c r="DL60">
        <v>50504</v>
      </c>
      <c r="DM60" t="s">
        <v>879</v>
      </c>
      <c r="DO60" t="s">
        <v>1051</v>
      </c>
      <c r="DP60">
        <v>0</v>
      </c>
      <c r="DQ60">
        <v>0</v>
      </c>
      <c r="DR60" t="s">
        <v>411</v>
      </c>
      <c r="EP60" t="s">
        <v>421</v>
      </c>
      <c r="EQ60" t="s">
        <v>422</v>
      </c>
      <c r="ER60">
        <v>2</v>
      </c>
      <c r="ES60">
        <v>0</v>
      </c>
      <c r="ET60">
        <v>1053.78</v>
      </c>
      <c r="EU60">
        <v>65.19</v>
      </c>
      <c r="EV60">
        <v>1118.97</v>
      </c>
      <c r="EW60" s="2">
        <v>43222</v>
      </c>
      <c r="EX60" s="1">
        <v>42879</v>
      </c>
      <c r="EY60">
        <v>2016</v>
      </c>
      <c r="EZ60">
        <v>526.89</v>
      </c>
      <c r="FA60" t="s">
        <v>1052</v>
      </c>
      <c r="FB60">
        <v>0.25</v>
      </c>
      <c r="FC60" t="s">
        <v>424</v>
      </c>
      <c r="FD60" t="s">
        <v>454</v>
      </c>
      <c r="FF60">
        <v>12</v>
      </c>
      <c r="FG60">
        <v>7336671</v>
      </c>
      <c r="FH60" t="s">
        <v>437</v>
      </c>
      <c r="FJ60" s="1">
        <v>42879</v>
      </c>
      <c r="FK60">
        <v>2016</v>
      </c>
      <c r="FL60">
        <v>526.89</v>
      </c>
      <c r="FM60" t="s">
        <v>1052</v>
      </c>
      <c r="FN60">
        <v>0.25</v>
      </c>
      <c r="FO60" t="s">
        <v>424</v>
      </c>
      <c r="FP60" t="s">
        <v>454</v>
      </c>
      <c r="FR60">
        <v>12</v>
      </c>
      <c r="FS60">
        <v>5135705</v>
      </c>
      <c r="FT60" t="s">
        <v>1053</v>
      </c>
    </row>
    <row r="61" spans="1:284" x14ac:dyDescent="0.25">
      <c r="A61">
        <v>16485068</v>
      </c>
      <c r="B61">
        <v>60</v>
      </c>
      <c r="C61" t="s">
        <v>393</v>
      </c>
      <c r="D61" t="s">
        <v>394</v>
      </c>
      <c r="F61" t="str">
        <f>"08-1S-23-1830-0074-0000"</f>
        <v>08-1S-23-1830-0074-0000</v>
      </c>
      <c r="H61" t="str">
        <f>"SISLEY JASON WILLIAM"</f>
        <v>SISLEY JASON WILLIAM</v>
      </c>
      <c r="I61" t="str">
        <f>"2286 CR 119"</f>
        <v>2286 CR 119</v>
      </c>
      <c r="J61" t="str">
        <f>"BRYCEVILLE FL 32009"</f>
        <v>BRYCEVILLE FL 32009</v>
      </c>
      <c r="K61" t="str">
        <f>"2286 CR 119"</f>
        <v>2286 CR 119</v>
      </c>
      <c r="L61" t="str">
        <f t="shared" si="13"/>
        <v>BRYCEVILLE FL 32009</v>
      </c>
      <c r="M61" t="str">
        <f>"PT OF LOT 74 IN OR 1710/1678 (EX S-1 &amp; OR 1969/1859) RIVERSIDE ESTATES 1 PB 5/171"</f>
        <v>PT OF LOT 74 IN OR 1710/1678 (EX S-1 &amp; OR 1969/1859) RIVERSIDE ESTATES 1 PB 5/171</v>
      </c>
      <c r="N61" t="str">
        <f>""</f>
        <v/>
      </c>
      <c r="O61" t="str">
        <f>"22947"</f>
        <v>22947</v>
      </c>
      <c r="P61" t="str">
        <f t="shared" si="2"/>
        <v>2017</v>
      </c>
      <c r="Q61" t="str">
        <f>""</f>
        <v/>
      </c>
      <c r="R61" t="str">
        <f>"Y"</f>
        <v>Y</v>
      </c>
      <c r="S61" t="str">
        <f>"1.18"</f>
        <v>1.18</v>
      </c>
      <c r="T61" t="str">
        <f>"851.12"</f>
        <v>851.12</v>
      </c>
      <c r="U61" t="str">
        <f>"95325.00"</f>
        <v>95325.00</v>
      </c>
      <c r="V61" t="str">
        <f>"95325.00"</f>
        <v>95325.00</v>
      </c>
      <c r="W61" t="str">
        <f t="shared" si="3"/>
        <v>2017</v>
      </c>
      <c r="X61" t="str">
        <f>"11.50"</f>
        <v>11.50</v>
      </c>
      <c r="Y61" t="str">
        <f>"908.65"</f>
        <v>908.65</v>
      </c>
      <c r="Z61" t="str">
        <f>"25000.00"</f>
        <v>25000.00</v>
      </c>
      <c r="AA61" t="str">
        <f>"70325.00"</f>
        <v>70325.00</v>
      </c>
      <c r="AB61" t="str">
        <f t="shared" si="14"/>
        <v>Residential</v>
      </c>
      <c r="AC61" t="str">
        <f t="shared" si="4"/>
        <v>0</v>
      </c>
      <c r="AD61" t="str">
        <f>"4"</f>
        <v>4</v>
      </c>
      <c r="AE61" t="str">
        <f>"WOOD (INCLUDE STEEL STUDS)"</f>
        <v>WOOD (INCLUDE STEEL STUDS)</v>
      </c>
      <c r="AF61" t="str">
        <f>"001"</f>
        <v>001</v>
      </c>
      <c r="AG61" t="str">
        <f t="shared" si="24"/>
        <v>FL</v>
      </c>
      <c r="AH61" t="str">
        <f>"51531.00"</f>
        <v>51531.00</v>
      </c>
      <c r="AI61" t="str">
        <f>"17745.00"</f>
        <v>17745.00</v>
      </c>
      <c r="AJ61" t="str">
        <f>"C55-000-586-7146-2"</f>
        <v>C55-000-586-7146-2</v>
      </c>
      <c r="AK61" t="str">
        <f>"2842"</f>
        <v>2842</v>
      </c>
      <c r="AL61">
        <v>1</v>
      </c>
      <c r="AM61">
        <v>71</v>
      </c>
      <c r="AN61">
        <v>952.48</v>
      </c>
      <c r="AQ61" t="s">
        <v>1054</v>
      </c>
      <c r="AR61" t="s">
        <v>1054</v>
      </c>
      <c r="AS61" t="s">
        <v>1054</v>
      </c>
      <c r="AU61" t="s">
        <v>396</v>
      </c>
      <c r="AV61">
        <v>2017</v>
      </c>
      <c r="AW61" t="str">
        <f>"08-1S-23-1830-0074-0000 "</f>
        <v xml:space="preserve">08-1S-23-1830-0074-0000 </v>
      </c>
      <c r="AX61">
        <v>2286</v>
      </c>
      <c r="AZ61" t="s">
        <v>1003</v>
      </c>
      <c r="BD61" t="s">
        <v>553</v>
      </c>
      <c r="BE61" t="s">
        <v>393</v>
      </c>
      <c r="BF61">
        <v>32009</v>
      </c>
      <c r="BG61" t="s">
        <v>1055</v>
      </c>
      <c r="BH61" t="s">
        <v>555</v>
      </c>
      <c r="BI61">
        <v>-82.014262045337105</v>
      </c>
      <c r="BJ61">
        <v>30.403687199384599</v>
      </c>
      <c r="BK61" t="s">
        <v>1056</v>
      </c>
      <c r="BM61" t="s">
        <v>1055</v>
      </c>
      <c r="BN61" t="s">
        <v>558</v>
      </c>
      <c r="BO61">
        <v>32009</v>
      </c>
      <c r="BP61" t="s">
        <v>416</v>
      </c>
      <c r="BQ61">
        <v>100</v>
      </c>
      <c r="BR61" t="s">
        <v>514</v>
      </c>
      <c r="BS61">
        <v>1001</v>
      </c>
      <c r="BT61" t="s">
        <v>515</v>
      </c>
      <c r="BW61">
        <v>51531</v>
      </c>
      <c r="BX61" t="s">
        <v>407</v>
      </c>
      <c r="BY61" t="s">
        <v>408</v>
      </c>
      <c r="BZ61">
        <v>4</v>
      </c>
      <c r="CA61">
        <v>1998</v>
      </c>
      <c r="CB61">
        <v>1</v>
      </c>
      <c r="CC61">
        <v>1</v>
      </c>
      <c r="CD61">
        <v>2017</v>
      </c>
      <c r="CG61">
        <v>95325</v>
      </c>
      <c r="CH61">
        <v>2017</v>
      </c>
      <c r="CI61">
        <v>17745</v>
      </c>
      <c r="CJ61">
        <v>87756</v>
      </c>
      <c r="CK61">
        <v>105501</v>
      </c>
      <c r="CL61">
        <v>2017</v>
      </c>
      <c r="CM61">
        <v>851.12</v>
      </c>
      <c r="CN61" s="1">
        <v>42088</v>
      </c>
      <c r="CO61">
        <v>3000</v>
      </c>
      <c r="CV61">
        <v>0</v>
      </c>
      <c r="CZ61" s="1">
        <v>42088</v>
      </c>
      <c r="DA61">
        <v>0</v>
      </c>
      <c r="DD61" t="s">
        <v>553</v>
      </c>
      <c r="DF61">
        <v>74</v>
      </c>
      <c r="DG61">
        <v>21</v>
      </c>
      <c r="DJ61" t="s">
        <v>966</v>
      </c>
      <c r="DL61">
        <v>50504</v>
      </c>
      <c r="DM61" t="s">
        <v>1057</v>
      </c>
      <c r="DO61" t="s">
        <v>1058</v>
      </c>
      <c r="DP61">
        <v>0</v>
      </c>
      <c r="DQ61">
        <v>0</v>
      </c>
      <c r="DR61" t="s">
        <v>411</v>
      </c>
      <c r="DS61" t="b">
        <v>1</v>
      </c>
      <c r="DT61" t="s">
        <v>470</v>
      </c>
      <c r="DU61" t="s">
        <v>471</v>
      </c>
      <c r="DV61" t="s">
        <v>472</v>
      </c>
      <c r="DX61">
        <v>-9999</v>
      </c>
      <c r="DZ61" t="s">
        <v>447</v>
      </c>
      <c r="EA61" t="s">
        <v>448</v>
      </c>
      <c r="EB61" t="s">
        <v>742</v>
      </c>
      <c r="EC61">
        <v>20101217</v>
      </c>
      <c r="ED61" t="s">
        <v>474</v>
      </c>
      <c r="EF61">
        <v>619.20000000000005</v>
      </c>
      <c r="EG61">
        <v>619.20000000000005</v>
      </c>
      <c r="EI61">
        <v>20160407</v>
      </c>
      <c r="EJ61">
        <v>0</v>
      </c>
      <c r="EK61">
        <v>0</v>
      </c>
      <c r="EP61" t="s">
        <v>421</v>
      </c>
      <c r="EQ61" t="s">
        <v>422</v>
      </c>
      <c r="ER61">
        <v>2</v>
      </c>
      <c r="ES61">
        <v>3</v>
      </c>
      <c r="ET61">
        <v>1861.26</v>
      </c>
      <c r="EU61">
        <v>105.56</v>
      </c>
      <c r="EV61">
        <v>1966.82</v>
      </c>
      <c r="EW61" s="2">
        <v>43222</v>
      </c>
      <c r="EX61" s="1">
        <v>42879</v>
      </c>
      <c r="EY61">
        <v>2016</v>
      </c>
      <c r="EZ61">
        <v>930.63</v>
      </c>
      <c r="FA61" t="s">
        <v>1059</v>
      </c>
      <c r="FB61">
        <v>0.25</v>
      </c>
      <c r="FC61" t="s">
        <v>424</v>
      </c>
      <c r="FD61" t="s">
        <v>454</v>
      </c>
      <c r="FF61">
        <v>12</v>
      </c>
      <c r="FG61">
        <v>5856195</v>
      </c>
      <c r="FH61" t="s">
        <v>1060</v>
      </c>
      <c r="FJ61" s="1">
        <v>42879</v>
      </c>
      <c r="FK61">
        <v>2016</v>
      </c>
      <c r="FL61">
        <v>930.63</v>
      </c>
      <c r="FM61" t="s">
        <v>1059</v>
      </c>
      <c r="FN61">
        <v>0.25</v>
      </c>
      <c r="FO61" t="s">
        <v>424</v>
      </c>
      <c r="FP61" t="s">
        <v>454</v>
      </c>
      <c r="FR61">
        <v>12</v>
      </c>
      <c r="FS61">
        <v>5823790</v>
      </c>
      <c r="FT61" t="s">
        <v>1061</v>
      </c>
      <c r="FV61" s="1">
        <v>42515</v>
      </c>
      <c r="FW61">
        <v>2015</v>
      </c>
      <c r="FX61">
        <v>941.77</v>
      </c>
      <c r="FY61" t="s">
        <v>1062</v>
      </c>
      <c r="FZ61">
        <v>0.25</v>
      </c>
      <c r="GA61" t="s">
        <v>424</v>
      </c>
      <c r="GB61" t="s">
        <v>425</v>
      </c>
      <c r="GC61" s="1">
        <v>43147</v>
      </c>
      <c r="GD61">
        <v>21</v>
      </c>
      <c r="GE61">
        <v>11289</v>
      </c>
      <c r="GF61" t="s">
        <v>787</v>
      </c>
      <c r="GH61" s="1">
        <v>42515</v>
      </c>
      <c r="GI61">
        <v>2015</v>
      </c>
      <c r="GJ61">
        <v>941.77</v>
      </c>
      <c r="GK61" t="s">
        <v>1062</v>
      </c>
      <c r="GL61">
        <v>0.25</v>
      </c>
      <c r="GM61" t="s">
        <v>424</v>
      </c>
      <c r="GN61" t="s">
        <v>425</v>
      </c>
      <c r="GP61">
        <v>22</v>
      </c>
      <c r="GQ61">
        <v>7293429</v>
      </c>
      <c r="GR61" t="s">
        <v>1063</v>
      </c>
      <c r="GT61" s="1">
        <v>41787</v>
      </c>
      <c r="GU61">
        <v>2013</v>
      </c>
      <c r="GV61">
        <v>878.1</v>
      </c>
      <c r="GW61" t="s">
        <v>1064</v>
      </c>
      <c r="GX61">
        <v>0.25</v>
      </c>
      <c r="GY61" t="s">
        <v>424</v>
      </c>
      <c r="GZ61" t="s">
        <v>425</v>
      </c>
      <c r="HA61" s="1">
        <v>41838</v>
      </c>
      <c r="HB61">
        <v>2</v>
      </c>
      <c r="HC61">
        <v>2407503</v>
      </c>
      <c r="HD61" t="s">
        <v>461</v>
      </c>
    </row>
    <row r="62" spans="1:284" x14ac:dyDescent="0.25">
      <c r="A62">
        <v>16485069</v>
      </c>
      <c r="B62">
        <v>61</v>
      </c>
      <c r="C62" t="s">
        <v>393</v>
      </c>
      <c r="D62" t="s">
        <v>394</v>
      </c>
      <c r="F62" t="str">
        <f>"08-1S-23-1830-0094-0000"</f>
        <v>08-1S-23-1830-0094-0000</v>
      </c>
      <c r="H62" t="str">
        <f>"GILBERT ALICE FAYE &amp; EARL E"</f>
        <v>GILBERT ALICE FAYE &amp; EARL E</v>
      </c>
      <c r="I62" t="str">
        <f>"3118 DALEHURST DR WEST"</f>
        <v>3118 DALEHURST DR WEST</v>
      </c>
      <c r="J62" t="str">
        <f>"JACKSONVILLE FL 32277"</f>
        <v>JACKSONVILLE FL 32277</v>
      </c>
      <c r="K62" t="str">
        <f>"1719 CR 119"</f>
        <v>1719 CR 119</v>
      </c>
      <c r="L62" t="str">
        <f t="shared" si="13"/>
        <v>BRYCEVILLE FL 32009</v>
      </c>
      <c r="M62" t="str">
        <f>"LOT 94 IN OR 1781/111 (EX ESMT IN OR 1781/112) RIVERSIDE ESTATES 1 PBK 5/171"</f>
        <v>LOT 94 IN OR 1781/111 (EX ESMT IN OR 1781/112) RIVERSIDE ESTATES 1 PBK 5/171</v>
      </c>
      <c r="N62" t="str">
        <f>""</f>
        <v/>
      </c>
      <c r="O62" t="str">
        <f>"22967"</f>
        <v>22967</v>
      </c>
      <c r="P62" t="str">
        <f t="shared" si="2"/>
        <v>2017</v>
      </c>
      <c r="Q62" t="str">
        <f>""</f>
        <v/>
      </c>
      <c r="R62" t="str">
        <f>"N"</f>
        <v>N</v>
      </c>
      <c r="S62" t="str">
        <f>"2.00"</f>
        <v>2.00</v>
      </c>
      <c r="T62" t="str">
        <f>"363.34"</f>
        <v>363.34</v>
      </c>
      <c r="U62" t="str">
        <f>"24000.00"</f>
        <v>24000.00</v>
      </c>
      <c r="V62" t="str">
        <f>"24000.00"</f>
        <v>24000.00</v>
      </c>
      <c r="W62" t="str">
        <f t="shared" si="3"/>
        <v>2017</v>
      </c>
      <c r="X62" t="str">
        <f>""</f>
        <v/>
      </c>
      <c r="Y62" t="str">
        <f>"406.24"</f>
        <v>406.24</v>
      </c>
      <c r="Z62" t="str">
        <f>""</f>
        <v/>
      </c>
      <c r="AA62" t="str">
        <f>"24000.00"</f>
        <v>24000.00</v>
      </c>
      <c r="AB62" t="str">
        <f t="shared" si="14"/>
        <v>Residential</v>
      </c>
      <c r="AC62" t="str">
        <f t="shared" si="4"/>
        <v>0</v>
      </c>
      <c r="AD62" t="str">
        <f>""</f>
        <v/>
      </c>
      <c r="AE62" t="str">
        <f>""</f>
        <v/>
      </c>
      <c r="AF62" t="str">
        <f>"000"</f>
        <v>000</v>
      </c>
      <c r="AG62" t="str">
        <f t="shared" si="24"/>
        <v>FL</v>
      </c>
      <c r="AH62" t="str">
        <f>"87120.00"</f>
        <v>87120.00</v>
      </c>
      <c r="AI62" t="str">
        <f>"24000.00"</f>
        <v>24000.00</v>
      </c>
      <c r="AJ62" t="str">
        <f>"C55-000-586-7164-5"</f>
        <v>C55-000-586-7164-5</v>
      </c>
      <c r="AK62" t="str">
        <f>"2862"</f>
        <v>2862</v>
      </c>
      <c r="AL62">
        <v>1</v>
      </c>
      <c r="AM62">
        <v>72</v>
      </c>
      <c r="AN62">
        <v>424.95</v>
      </c>
      <c r="AQ62" t="s">
        <v>1065</v>
      </c>
      <c r="AR62" t="s">
        <v>1065</v>
      </c>
      <c r="AS62" t="s">
        <v>1065</v>
      </c>
      <c r="AU62" t="s">
        <v>396</v>
      </c>
      <c r="AV62">
        <v>2017</v>
      </c>
      <c r="AW62" t="str">
        <f>"08-1S-23-1830-0094-0000 "</f>
        <v xml:space="preserve">08-1S-23-1830-0094-0000 </v>
      </c>
      <c r="AX62">
        <v>1719</v>
      </c>
      <c r="AZ62" t="s">
        <v>1003</v>
      </c>
      <c r="BD62" t="s">
        <v>553</v>
      </c>
      <c r="BE62" t="s">
        <v>393</v>
      </c>
      <c r="BF62">
        <v>32009</v>
      </c>
      <c r="BG62" t="s">
        <v>1066</v>
      </c>
      <c r="BH62" t="s">
        <v>555</v>
      </c>
      <c r="BI62">
        <v>-82.023551396429994</v>
      </c>
      <c r="BJ62">
        <v>30.4064438256313</v>
      </c>
      <c r="BK62" t="s">
        <v>1067</v>
      </c>
      <c r="BL62" t="s">
        <v>1068</v>
      </c>
      <c r="BM62" t="s">
        <v>1069</v>
      </c>
      <c r="BN62" t="s">
        <v>548</v>
      </c>
      <c r="BO62">
        <v>32277</v>
      </c>
      <c r="BP62" t="s">
        <v>404</v>
      </c>
      <c r="BQ62">
        <v>0</v>
      </c>
      <c r="BR62" t="s">
        <v>491</v>
      </c>
      <c r="BS62">
        <v>8001</v>
      </c>
      <c r="BT62" t="s">
        <v>492</v>
      </c>
      <c r="BW62">
        <v>87120</v>
      </c>
      <c r="BX62" t="s">
        <v>407</v>
      </c>
      <c r="BY62" t="s">
        <v>408</v>
      </c>
      <c r="CD62">
        <v>2017</v>
      </c>
      <c r="CE62">
        <v>24000</v>
      </c>
      <c r="CG62">
        <v>24000</v>
      </c>
      <c r="CH62">
        <v>2017</v>
      </c>
      <c r="CI62">
        <v>24000</v>
      </c>
      <c r="CK62">
        <v>24000</v>
      </c>
      <c r="CL62">
        <v>2017</v>
      </c>
      <c r="CM62">
        <v>363.34</v>
      </c>
      <c r="CN62" s="1">
        <v>40969</v>
      </c>
      <c r="CZ62" s="1">
        <v>40969</v>
      </c>
      <c r="DD62" t="s">
        <v>553</v>
      </c>
      <c r="DF62">
        <v>94</v>
      </c>
      <c r="DG62">
        <v>8</v>
      </c>
      <c r="DJ62" t="s">
        <v>966</v>
      </c>
      <c r="DL62">
        <v>50504</v>
      </c>
      <c r="DM62" t="s">
        <v>879</v>
      </c>
      <c r="DO62" t="s">
        <v>1070</v>
      </c>
      <c r="DP62">
        <v>0</v>
      </c>
      <c r="DQ62">
        <v>0</v>
      </c>
      <c r="DR62" t="s">
        <v>411</v>
      </c>
    </row>
    <row r="63" spans="1:284" x14ac:dyDescent="0.25">
      <c r="A63">
        <v>16485070</v>
      </c>
      <c r="B63">
        <v>62</v>
      </c>
      <c r="C63" t="s">
        <v>393</v>
      </c>
      <c r="D63" t="s">
        <v>394</v>
      </c>
      <c r="F63" t="str">
        <f>"08-1S-23-1830-0097-0000"</f>
        <v>08-1S-23-1830-0097-0000</v>
      </c>
      <c r="H63" t="str">
        <f>"THOMAS RALPH M &amp; BEVERLY J"</f>
        <v>THOMAS RALPH M &amp; BEVERLY J</v>
      </c>
      <c r="I63" t="str">
        <f>"1647 CR 119"</f>
        <v>1647 CR 119</v>
      </c>
      <c r="J63" t="str">
        <f>"BRYCEVILLE FL 32009"</f>
        <v>BRYCEVILLE FL 32009</v>
      </c>
      <c r="K63" t="str">
        <f>"1647 CR 119"</f>
        <v>1647 CR 119</v>
      </c>
      <c r="L63" t="str">
        <f t="shared" si="13"/>
        <v>BRYCEVILLE FL 32009</v>
      </c>
      <c r="M63" t="str">
        <f>"LOTS 97 &amp; 98 2001 FTWD DW/MH IN OR 798/1564 &amp; OR 1055/619 RIVERSIDE ESTATES 1 PB 5/171"</f>
        <v>LOTS 97 &amp; 98 2001 FTWD DW/MH IN OR 798/1564 &amp; OR 1055/619 RIVERSIDE ESTATES 1 PB 5/171</v>
      </c>
      <c r="N63" t="str">
        <f>""</f>
        <v/>
      </c>
      <c r="O63" t="str">
        <f>"22970"</f>
        <v>22970</v>
      </c>
      <c r="P63" t="str">
        <f t="shared" si="2"/>
        <v>2017</v>
      </c>
      <c r="Q63" t="str">
        <f>""</f>
        <v/>
      </c>
      <c r="R63" t="str">
        <f>"Y"</f>
        <v>Y</v>
      </c>
      <c r="S63" t="str">
        <f>"4.68"</f>
        <v>4.68</v>
      </c>
      <c r="T63" t="str">
        <f>"501.41"</f>
        <v>501.41</v>
      </c>
      <c r="U63" t="str">
        <f>"68632.00"</f>
        <v>68632.00</v>
      </c>
      <c r="V63" t="str">
        <f>"68632.00"</f>
        <v>68632.00</v>
      </c>
      <c r="W63" t="str">
        <f t="shared" si="3"/>
        <v>2017</v>
      </c>
      <c r="X63" t="str">
        <f>"28.45"</f>
        <v>28.45</v>
      </c>
      <c r="Y63" t="str">
        <f>"548.45"</f>
        <v>548.45</v>
      </c>
      <c r="Z63" t="str">
        <f>"25000.00"</f>
        <v>25000.00</v>
      </c>
      <c r="AA63" t="str">
        <f>"43632.00"</f>
        <v>43632.00</v>
      </c>
      <c r="AB63" t="str">
        <f t="shared" si="14"/>
        <v>Residential</v>
      </c>
      <c r="AC63" t="str">
        <f t="shared" si="4"/>
        <v>0</v>
      </c>
      <c r="AD63" t="str">
        <f t="shared" ref="AD63:AD74" si="25">"4"</f>
        <v>4</v>
      </c>
      <c r="AE63" t="str">
        <f t="shared" ref="AE63:AE74" si="26">"WOOD (INCLUDE STEEL STUDS)"</f>
        <v>WOOD (INCLUDE STEEL STUDS)</v>
      </c>
      <c r="AF63" t="str">
        <f>"002"</f>
        <v>002</v>
      </c>
      <c r="AG63" t="str">
        <f t="shared" si="24"/>
        <v>FL</v>
      </c>
      <c r="AH63" t="str">
        <f>"203860.00"</f>
        <v>203860.00</v>
      </c>
      <c r="AI63" t="str">
        <f>"37440.00"</f>
        <v>37440.00</v>
      </c>
      <c r="AJ63" t="str">
        <f>"C55-000-586-7167-8"</f>
        <v>C55-000-586-7167-8</v>
      </c>
      <c r="AK63" t="str">
        <f>"2865"</f>
        <v>2865</v>
      </c>
      <c r="AL63">
        <v>1</v>
      </c>
      <c r="AM63">
        <v>73</v>
      </c>
      <c r="AN63">
        <v>574.27</v>
      </c>
      <c r="AQ63" t="s">
        <v>1071</v>
      </c>
      <c r="AR63" t="s">
        <v>1071</v>
      </c>
      <c r="AS63" t="s">
        <v>1071</v>
      </c>
      <c r="AU63" t="s">
        <v>396</v>
      </c>
      <c r="AV63">
        <v>2017</v>
      </c>
      <c r="AW63" t="str">
        <f>"08-1S-23-1830-0097-0000 "</f>
        <v xml:space="preserve">08-1S-23-1830-0097-0000 </v>
      </c>
      <c r="AX63">
        <v>1647</v>
      </c>
      <c r="AZ63" t="s">
        <v>1003</v>
      </c>
      <c r="BD63" t="s">
        <v>553</v>
      </c>
      <c r="BE63" t="s">
        <v>393</v>
      </c>
      <c r="BF63">
        <v>32009</v>
      </c>
      <c r="BG63" t="s">
        <v>1072</v>
      </c>
      <c r="BH63" t="s">
        <v>555</v>
      </c>
      <c r="BI63">
        <v>-82.024882020658296</v>
      </c>
      <c r="BJ63">
        <v>30.407421207594599</v>
      </c>
      <c r="BK63" t="s">
        <v>1073</v>
      </c>
      <c r="BM63" t="s">
        <v>1072</v>
      </c>
      <c r="BN63" t="s">
        <v>558</v>
      </c>
      <c r="BO63">
        <v>32009</v>
      </c>
      <c r="BP63" t="s">
        <v>416</v>
      </c>
      <c r="BQ63">
        <v>200</v>
      </c>
      <c r="BR63" t="s">
        <v>405</v>
      </c>
      <c r="BS63">
        <v>1006</v>
      </c>
      <c r="BT63" t="s">
        <v>406</v>
      </c>
      <c r="BW63">
        <v>203860</v>
      </c>
      <c r="BX63" t="s">
        <v>407</v>
      </c>
      <c r="BY63" t="s">
        <v>408</v>
      </c>
      <c r="BZ63">
        <v>4</v>
      </c>
      <c r="CA63">
        <v>2001</v>
      </c>
      <c r="CB63">
        <v>1</v>
      </c>
      <c r="CC63">
        <v>2</v>
      </c>
      <c r="CD63">
        <v>2017</v>
      </c>
      <c r="CG63">
        <v>68632</v>
      </c>
      <c r="CH63">
        <v>2017</v>
      </c>
      <c r="CI63">
        <v>37440</v>
      </c>
      <c r="CJ63">
        <v>45216</v>
      </c>
      <c r="CK63">
        <v>82656</v>
      </c>
      <c r="CL63">
        <v>2017</v>
      </c>
      <c r="CM63">
        <v>501.41</v>
      </c>
      <c r="CN63" s="1">
        <v>37389</v>
      </c>
      <c r="CO63">
        <v>35500</v>
      </c>
      <c r="CV63">
        <v>0</v>
      </c>
      <c r="CZ63" s="1">
        <v>37389</v>
      </c>
      <c r="DA63">
        <v>0</v>
      </c>
      <c r="DD63" t="s">
        <v>553</v>
      </c>
      <c r="DG63">
        <v>8</v>
      </c>
      <c r="DL63">
        <v>50504</v>
      </c>
      <c r="DM63" t="s">
        <v>879</v>
      </c>
      <c r="DO63" t="s">
        <v>1074</v>
      </c>
      <c r="DP63">
        <v>0</v>
      </c>
      <c r="DQ63">
        <v>0</v>
      </c>
      <c r="DR63" t="s">
        <v>411</v>
      </c>
      <c r="DS63" t="b">
        <v>1</v>
      </c>
      <c r="DT63" t="s">
        <v>470</v>
      </c>
      <c r="DU63" t="s">
        <v>471</v>
      </c>
      <c r="DV63" t="s">
        <v>472</v>
      </c>
      <c r="DX63">
        <v>-9999</v>
      </c>
      <c r="DZ63" t="s">
        <v>447</v>
      </c>
      <c r="EA63" t="s">
        <v>448</v>
      </c>
      <c r="EB63" t="s">
        <v>742</v>
      </c>
      <c r="EC63">
        <v>20101217</v>
      </c>
      <c r="ED63" t="s">
        <v>474</v>
      </c>
      <c r="EF63">
        <v>1211.3</v>
      </c>
      <c r="EG63">
        <v>1211.3</v>
      </c>
      <c r="EI63">
        <v>20160407</v>
      </c>
      <c r="EJ63">
        <v>0</v>
      </c>
      <c r="EK63">
        <v>0</v>
      </c>
      <c r="EP63" t="s">
        <v>421</v>
      </c>
      <c r="EQ63" t="s">
        <v>422</v>
      </c>
      <c r="ER63">
        <v>3</v>
      </c>
      <c r="ES63">
        <v>6</v>
      </c>
      <c r="ET63">
        <v>1713.91</v>
      </c>
      <c r="EU63">
        <v>104.45</v>
      </c>
      <c r="EV63">
        <v>1818.36</v>
      </c>
      <c r="EW63" s="2">
        <v>43222</v>
      </c>
      <c r="EX63" s="1">
        <v>42879</v>
      </c>
      <c r="EY63">
        <v>2016</v>
      </c>
      <c r="EZ63">
        <v>568.58000000000004</v>
      </c>
      <c r="FA63" t="s">
        <v>1075</v>
      </c>
      <c r="FB63">
        <v>0.25</v>
      </c>
      <c r="FC63" t="s">
        <v>424</v>
      </c>
      <c r="FD63" t="s">
        <v>454</v>
      </c>
      <c r="FF63">
        <v>12</v>
      </c>
      <c r="FG63">
        <v>7400234</v>
      </c>
      <c r="FH63" t="s">
        <v>426</v>
      </c>
      <c r="FJ63" s="1">
        <v>42879</v>
      </c>
      <c r="FK63">
        <v>2016</v>
      </c>
      <c r="FL63">
        <v>568.58000000000004</v>
      </c>
      <c r="FM63" t="s">
        <v>1075</v>
      </c>
      <c r="FN63">
        <v>0.25</v>
      </c>
      <c r="FO63" t="s">
        <v>424</v>
      </c>
      <c r="FP63" t="s">
        <v>454</v>
      </c>
      <c r="FR63">
        <v>12</v>
      </c>
      <c r="FS63">
        <v>7455875</v>
      </c>
      <c r="FT63" t="s">
        <v>1076</v>
      </c>
      <c r="FV63" s="1">
        <v>42515</v>
      </c>
      <c r="FW63">
        <v>2015</v>
      </c>
      <c r="FX63">
        <v>576.75</v>
      </c>
      <c r="FY63" t="s">
        <v>1077</v>
      </c>
      <c r="FZ63">
        <v>0.25</v>
      </c>
      <c r="GA63" t="s">
        <v>424</v>
      </c>
      <c r="GB63" t="s">
        <v>454</v>
      </c>
      <c r="GD63">
        <v>24</v>
      </c>
      <c r="GE63">
        <v>305</v>
      </c>
      <c r="GF63" t="s">
        <v>1078</v>
      </c>
      <c r="GH63" s="1">
        <v>42151</v>
      </c>
      <c r="GI63">
        <v>2014</v>
      </c>
      <c r="GJ63">
        <v>575.9</v>
      </c>
      <c r="GK63" t="s">
        <v>1079</v>
      </c>
      <c r="GL63">
        <v>4.75</v>
      </c>
      <c r="GM63" t="s">
        <v>424</v>
      </c>
      <c r="GN63" t="s">
        <v>425</v>
      </c>
      <c r="GO63" s="1">
        <v>42824</v>
      </c>
      <c r="GP63">
        <v>22</v>
      </c>
      <c r="GQ63">
        <v>4975593</v>
      </c>
      <c r="GR63" t="s">
        <v>505</v>
      </c>
      <c r="GT63" s="1">
        <v>41787</v>
      </c>
      <c r="GU63">
        <v>2013</v>
      </c>
      <c r="GV63">
        <v>547.76</v>
      </c>
      <c r="GW63" t="s">
        <v>1080</v>
      </c>
      <c r="GX63">
        <v>3</v>
      </c>
      <c r="GY63" t="s">
        <v>424</v>
      </c>
      <c r="GZ63" t="s">
        <v>425</v>
      </c>
      <c r="HA63" s="1">
        <v>42446</v>
      </c>
      <c r="HB63">
        <v>22</v>
      </c>
      <c r="HC63">
        <v>116</v>
      </c>
      <c r="HD63" t="s">
        <v>509</v>
      </c>
      <c r="HF63" s="1">
        <v>41423</v>
      </c>
      <c r="HG63">
        <v>2012</v>
      </c>
      <c r="HH63">
        <v>740.96</v>
      </c>
      <c r="HI63" t="s">
        <v>1081</v>
      </c>
      <c r="HJ63">
        <v>3.5</v>
      </c>
      <c r="HK63" t="s">
        <v>424</v>
      </c>
      <c r="HL63" t="s">
        <v>425</v>
      </c>
      <c r="HN63">
        <v>22</v>
      </c>
      <c r="HO63">
        <v>15399</v>
      </c>
      <c r="HP63" t="s">
        <v>485</v>
      </c>
      <c r="HR63" s="1">
        <v>41423</v>
      </c>
      <c r="HS63">
        <v>2012</v>
      </c>
      <c r="HT63">
        <v>740.96</v>
      </c>
      <c r="HU63" t="s">
        <v>1081</v>
      </c>
      <c r="HV63">
        <v>3.5</v>
      </c>
      <c r="HW63" t="s">
        <v>424</v>
      </c>
      <c r="HX63" t="s">
        <v>425</v>
      </c>
      <c r="HY63" s="1">
        <v>42103</v>
      </c>
      <c r="HZ63">
        <v>23</v>
      </c>
      <c r="IA63">
        <v>13027</v>
      </c>
      <c r="IB63" t="s">
        <v>826</v>
      </c>
      <c r="ID63" s="1">
        <v>41052</v>
      </c>
      <c r="IE63">
        <v>2011</v>
      </c>
      <c r="IF63">
        <v>943.26</v>
      </c>
      <c r="IG63" t="s">
        <v>1082</v>
      </c>
      <c r="IH63">
        <v>6</v>
      </c>
      <c r="II63" t="s">
        <v>424</v>
      </c>
      <c r="IJ63" t="s">
        <v>425</v>
      </c>
      <c r="IK63" s="1">
        <v>43185</v>
      </c>
      <c r="IL63">
        <v>70</v>
      </c>
      <c r="IM63">
        <v>318</v>
      </c>
      <c r="IN63" t="s">
        <v>1083</v>
      </c>
      <c r="IP63" s="1">
        <v>40688</v>
      </c>
      <c r="IQ63">
        <v>2010</v>
      </c>
      <c r="IR63">
        <v>1015.91</v>
      </c>
      <c r="IS63" t="s">
        <v>1084</v>
      </c>
      <c r="IT63">
        <v>5</v>
      </c>
      <c r="IU63" t="s">
        <v>424</v>
      </c>
      <c r="IV63" t="s">
        <v>425</v>
      </c>
      <c r="IW63" s="1">
        <v>42061</v>
      </c>
      <c r="IX63">
        <v>45</v>
      </c>
      <c r="IY63">
        <v>287</v>
      </c>
      <c r="IZ63" t="s">
        <v>572</v>
      </c>
    </row>
    <row r="64" spans="1:284" x14ac:dyDescent="0.25">
      <c r="A64">
        <v>16485071</v>
      </c>
      <c r="B64">
        <v>63</v>
      </c>
      <c r="C64" t="s">
        <v>393</v>
      </c>
      <c r="D64" t="s">
        <v>394</v>
      </c>
      <c r="F64" t="str">
        <f>"08-1S-23-1830-0113-0000"</f>
        <v>08-1S-23-1830-0113-0000</v>
      </c>
      <c r="H64" t="str">
        <f>"BARNCORD PATRICIA"</f>
        <v>BARNCORD PATRICIA</v>
      </c>
      <c r="I64" t="str">
        <f>"5124 MARLENE AVE"</f>
        <v>5124 MARLENE AVE</v>
      </c>
      <c r="J64" t="str">
        <f>"JACKSONVILLE FL 32210"</f>
        <v>JACKSONVILLE FL 32210</v>
      </c>
      <c r="K64" t="str">
        <f>"10033 CR 121"</f>
        <v>10033 CR 121</v>
      </c>
      <c r="L64" t="str">
        <f t="shared" si="13"/>
        <v>BRYCEVILLE FL 32009</v>
      </c>
      <c r="M64" t="str">
        <f>"LOT 113 R622097 IN OR 715/321 RIVERSIDE ESTATES 1 PB 5/171"</f>
        <v>LOT 113 R622097 IN OR 715/321 RIVERSIDE ESTATES 1 PB 5/171</v>
      </c>
      <c r="N64" t="str">
        <f>""</f>
        <v/>
      </c>
      <c r="O64" t="str">
        <f>"22983"</f>
        <v>22983</v>
      </c>
      <c r="P64" t="str">
        <f t="shared" si="2"/>
        <v>2017</v>
      </c>
      <c r="Q64" t="str">
        <f>""</f>
        <v/>
      </c>
      <c r="R64" t="str">
        <f>"N"</f>
        <v>N</v>
      </c>
      <c r="S64" t="str">
        <f>"5.00"</f>
        <v>5.00</v>
      </c>
      <c r="T64" t="str">
        <f>"1077.64"</f>
        <v>1077.64</v>
      </c>
      <c r="U64" t="str">
        <f>"71184.00"</f>
        <v>71184.00</v>
      </c>
      <c r="V64" t="str">
        <f>"71184.00"</f>
        <v>71184.00</v>
      </c>
      <c r="W64" t="str">
        <f t="shared" si="3"/>
        <v>2017</v>
      </c>
      <c r="X64" t="str">
        <f>""</f>
        <v/>
      </c>
      <c r="Y64" t="str">
        <f>"1141.97"</f>
        <v>1141.97</v>
      </c>
      <c r="Z64" t="str">
        <f>""</f>
        <v/>
      </c>
      <c r="AA64" t="str">
        <f>"71184.00"</f>
        <v>71184.00</v>
      </c>
      <c r="AB64" t="str">
        <f t="shared" si="14"/>
        <v>Residential</v>
      </c>
      <c r="AC64" t="str">
        <f t="shared" si="4"/>
        <v>0</v>
      </c>
      <c r="AD64" t="str">
        <f t="shared" si="25"/>
        <v>4</v>
      </c>
      <c r="AE64" t="str">
        <f t="shared" si="26"/>
        <v>WOOD (INCLUDE STEEL STUDS)</v>
      </c>
      <c r="AF64" t="str">
        <f>"002"</f>
        <v>002</v>
      </c>
      <c r="AG64" t="str">
        <f t="shared" si="24"/>
        <v>FL</v>
      </c>
      <c r="AH64" t="str">
        <f>"217800.00"</f>
        <v>217800.00</v>
      </c>
      <c r="AI64" t="str">
        <f>"40000.00"</f>
        <v>40000.00</v>
      </c>
      <c r="AJ64" t="str">
        <f>"C55-000-586-7180-1"</f>
        <v>C55-000-586-7180-1</v>
      </c>
      <c r="AK64" t="str">
        <f>"2877"</f>
        <v>2877</v>
      </c>
      <c r="AL64">
        <v>1</v>
      </c>
      <c r="AM64">
        <v>74</v>
      </c>
      <c r="AN64">
        <v>1197.47</v>
      </c>
      <c r="AQ64" t="s">
        <v>1085</v>
      </c>
      <c r="AR64" t="s">
        <v>1085</v>
      </c>
      <c r="AS64" t="s">
        <v>1085</v>
      </c>
      <c r="AU64" t="s">
        <v>396</v>
      </c>
      <c r="AV64">
        <v>2017</v>
      </c>
      <c r="AW64" t="str">
        <f>"08-1S-23-1830-0113-0000 "</f>
        <v xml:space="preserve">08-1S-23-1830-0113-0000 </v>
      </c>
      <c r="AX64">
        <v>10033</v>
      </c>
      <c r="AZ64" t="s">
        <v>611</v>
      </c>
      <c r="BD64" t="s">
        <v>553</v>
      </c>
      <c r="BE64" t="s">
        <v>393</v>
      </c>
      <c r="BF64">
        <v>32009</v>
      </c>
      <c r="BG64" t="s">
        <v>1086</v>
      </c>
      <c r="BH64" t="s">
        <v>555</v>
      </c>
      <c r="BI64">
        <v>-82.030457240725994</v>
      </c>
      <c r="BJ64">
        <v>30.405577094542</v>
      </c>
      <c r="BK64" t="s">
        <v>1087</v>
      </c>
      <c r="BM64" t="s">
        <v>1088</v>
      </c>
      <c r="BN64" t="s">
        <v>548</v>
      </c>
      <c r="BO64">
        <v>32210</v>
      </c>
      <c r="BP64" t="s">
        <v>404</v>
      </c>
      <c r="BQ64">
        <v>200</v>
      </c>
      <c r="BR64" t="s">
        <v>405</v>
      </c>
      <c r="BS64">
        <v>1006</v>
      </c>
      <c r="BT64" t="s">
        <v>406</v>
      </c>
      <c r="BW64">
        <v>217800</v>
      </c>
      <c r="BX64" t="s">
        <v>407</v>
      </c>
      <c r="BY64" t="s">
        <v>408</v>
      </c>
      <c r="BZ64">
        <v>4</v>
      </c>
      <c r="CA64">
        <v>1995</v>
      </c>
      <c r="CB64">
        <v>1</v>
      </c>
      <c r="CC64">
        <v>1</v>
      </c>
      <c r="CD64">
        <v>2017</v>
      </c>
      <c r="CE64">
        <v>40000</v>
      </c>
      <c r="CF64">
        <v>31184</v>
      </c>
      <c r="CG64">
        <v>71184</v>
      </c>
      <c r="CH64">
        <v>2017</v>
      </c>
      <c r="CI64">
        <v>40000</v>
      </c>
      <c r="CJ64">
        <v>31184</v>
      </c>
      <c r="CK64">
        <v>71184</v>
      </c>
      <c r="CL64">
        <v>2017</v>
      </c>
      <c r="CM64">
        <v>1077.6400000000001</v>
      </c>
      <c r="CN64" s="1">
        <v>41705</v>
      </c>
      <c r="CZ64" s="1">
        <v>41705</v>
      </c>
      <c r="DD64" t="s">
        <v>553</v>
      </c>
      <c r="DF64">
        <v>113</v>
      </c>
      <c r="DG64">
        <v>8</v>
      </c>
      <c r="DJ64" t="s">
        <v>1007</v>
      </c>
      <c r="DL64">
        <v>50504</v>
      </c>
      <c r="DM64" t="s">
        <v>879</v>
      </c>
      <c r="DO64" t="s">
        <v>1089</v>
      </c>
      <c r="DP64">
        <v>0</v>
      </c>
      <c r="DQ64">
        <v>0</v>
      </c>
      <c r="DR64" t="s">
        <v>411</v>
      </c>
      <c r="EP64" t="s">
        <v>421</v>
      </c>
      <c r="EQ64" t="s">
        <v>422</v>
      </c>
      <c r="ER64">
        <v>2</v>
      </c>
      <c r="ES64">
        <v>0</v>
      </c>
      <c r="ET64">
        <v>2303.7600000000002</v>
      </c>
      <c r="EU64">
        <v>127.69</v>
      </c>
      <c r="EV64">
        <v>2431.4499999999998</v>
      </c>
      <c r="EW64" s="2">
        <v>43222</v>
      </c>
      <c r="EX64" s="1">
        <v>42879</v>
      </c>
      <c r="EY64">
        <v>2016</v>
      </c>
      <c r="EZ64">
        <v>1151.8800000000001</v>
      </c>
      <c r="FA64" t="s">
        <v>1090</v>
      </c>
      <c r="FB64">
        <v>0.25</v>
      </c>
      <c r="FC64" t="s">
        <v>424</v>
      </c>
      <c r="FD64" t="s">
        <v>454</v>
      </c>
      <c r="FF64">
        <v>12</v>
      </c>
      <c r="FG64">
        <v>2851116</v>
      </c>
      <c r="FH64" t="s">
        <v>480</v>
      </c>
      <c r="FJ64" s="1">
        <v>42879</v>
      </c>
      <c r="FK64">
        <v>2016</v>
      </c>
      <c r="FL64">
        <v>1151.8800000000001</v>
      </c>
      <c r="FM64" t="s">
        <v>1090</v>
      </c>
      <c r="FN64">
        <v>0.25</v>
      </c>
      <c r="FO64" t="s">
        <v>424</v>
      </c>
      <c r="FP64" t="s">
        <v>454</v>
      </c>
      <c r="FR64">
        <v>12</v>
      </c>
      <c r="FS64">
        <v>4909085</v>
      </c>
      <c r="FT64" t="s">
        <v>1091</v>
      </c>
    </row>
    <row r="65" spans="1:284" x14ac:dyDescent="0.25">
      <c r="A65">
        <v>16485072</v>
      </c>
      <c r="B65">
        <v>64</v>
      </c>
      <c r="C65" t="s">
        <v>393</v>
      </c>
      <c r="D65" t="s">
        <v>394</v>
      </c>
      <c r="F65" t="str">
        <f>"17-1S-23-0000-0003-0000"</f>
        <v>17-1S-23-0000-0003-0000</v>
      </c>
      <c r="H65" t="str">
        <f>"WIGHTMAN MARK &amp; JANNETTE"</f>
        <v>WIGHTMAN MARK &amp; JANNETTE</v>
      </c>
      <c r="I65" t="str">
        <f>"8549 WALDEN RD"</f>
        <v>8549 WALDEN RD</v>
      </c>
      <c r="J65" t="str">
        <f>"JACKSONVILLE FL 32244"</f>
        <v>JACKSONVILLE FL 32244</v>
      </c>
      <c r="K65" t="str">
        <f>"9823 SIERRA GATEWAY"</f>
        <v>9823 SIERRA GATEWAY</v>
      </c>
      <c r="L65" t="str">
        <f t="shared" si="13"/>
        <v>BRYCEVILLE FL 32009</v>
      </c>
      <c r="M65" t="str">
        <f>"PT OF NW1/4 IN OR 2118/29 EX 3-14 3-15 &amp; 3-16 EX ESMT OR 1127/880 EX ESMT PT OR 1513/961"</f>
        <v>PT OF NW1/4 IN OR 2118/29 EX 3-14 3-15 &amp; 3-16 EX ESMT OR 1127/880 EX ESMT PT OR 1513/961</v>
      </c>
      <c r="N65" t="str">
        <f>""</f>
        <v/>
      </c>
      <c r="O65" t="str">
        <f>"31774"</f>
        <v>31774</v>
      </c>
      <c r="P65" t="str">
        <f t="shared" si="2"/>
        <v>2017</v>
      </c>
      <c r="Q65" t="str">
        <f>""</f>
        <v/>
      </c>
      <c r="R65" t="str">
        <f>"N"</f>
        <v>N</v>
      </c>
      <c r="S65" t="str">
        <f>"45.63"</f>
        <v>45.63</v>
      </c>
      <c r="T65" t="str">
        <f>"1674.31"</f>
        <v>1674.31</v>
      </c>
      <c r="U65" t="str">
        <f>"110597.00"</f>
        <v>110597.00</v>
      </c>
      <c r="V65" t="str">
        <f>"110597.00"</f>
        <v>110597.00</v>
      </c>
      <c r="W65" t="str">
        <f t="shared" si="3"/>
        <v>2017</v>
      </c>
      <c r="X65" t="str">
        <f>"2.00"</f>
        <v>2.00</v>
      </c>
      <c r="Y65" t="str">
        <f>"1756.54"</f>
        <v>1756.54</v>
      </c>
      <c r="Z65" t="str">
        <f>""</f>
        <v/>
      </c>
      <c r="AA65" t="str">
        <f>"110597.00"</f>
        <v>110597.00</v>
      </c>
      <c r="AB65" t="str">
        <f>"Agricultural"</f>
        <v>Agricultural</v>
      </c>
      <c r="AC65" t="str">
        <f t="shared" si="4"/>
        <v>0</v>
      </c>
      <c r="AD65" t="str">
        <f t="shared" si="25"/>
        <v>4</v>
      </c>
      <c r="AE65" t="str">
        <f t="shared" si="26"/>
        <v>WOOD (INCLUDE STEEL STUDS)</v>
      </c>
      <c r="AF65" t="str">
        <f>"050"</f>
        <v>050</v>
      </c>
      <c r="AG65" t="str">
        <f t="shared" si="24"/>
        <v>FL</v>
      </c>
      <c r="AH65" t="str">
        <f>"1987642.00"</f>
        <v>1987642.00</v>
      </c>
      <c r="AI65" t="str">
        <f>"43240.00"</f>
        <v>43240.00</v>
      </c>
      <c r="AJ65" t="str">
        <f>"C55-000-587-1389-2"</f>
        <v>C55-000-587-1389-2</v>
      </c>
      <c r="AK65" t="str">
        <f>"2906"</f>
        <v>2906</v>
      </c>
      <c r="AL65">
        <v>1</v>
      </c>
      <c r="AM65">
        <v>75</v>
      </c>
      <c r="AN65">
        <v>1842.77</v>
      </c>
      <c r="AQ65" t="s">
        <v>1092</v>
      </c>
      <c r="AR65" t="s">
        <v>1092</v>
      </c>
      <c r="AS65" t="s">
        <v>1092</v>
      </c>
      <c r="AU65" t="s">
        <v>396</v>
      </c>
      <c r="AV65">
        <v>2017</v>
      </c>
      <c r="AW65" t="str">
        <f>"17-1S-23-0000-0003-0000 "</f>
        <v xml:space="preserve">17-1S-23-0000-0003-0000 </v>
      </c>
      <c r="AX65">
        <v>9823</v>
      </c>
      <c r="AZ65" t="s">
        <v>1093</v>
      </c>
      <c r="BD65" t="s">
        <v>553</v>
      </c>
      <c r="BE65" t="s">
        <v>393</v>
      </c>
      <c r="BF65">
        <v>32009</v>
      </c>
      <c r="BG65" t="s">
        <v>1094</v>
      </c>
      <c r="BH65" t="s">
        <v>555</v>
      </c>
      <c r="BI65">
        <v>-82.031102530398002</v>
      </c>
      <c r="BJ65">
        <v>30.415788677143698</v>
      </c>
      <c r="BK65" t="s">
        <v>1095</v>
      </c>
      <c r="BL65" t="s">
        <v>1096</v>
      </c>
      <c r="BM65" t="s">
        <v>1097</v>
      </c>
      <c r="BN65" t="s">
        <v>548</v>
      </c>
      <c r="BO65">
        <v>32244</v>
      </c>
      <c r="BP65" t="s">
        <v>404</v>
      </c>
      <c r="BQ65">
        <v>5000</v>
      </c>
      <c r="BR65" t="s">
        <v>664</v>
      </c>
      <c r="BS65">
        <v>7000</v>
      </c>
      <c r="BT65" t="s">
        <v>665</v>
      </c>
      <c r="BW65">
        <v>1987642</v>
      </c>
      <c r="BX65" t="s">
        <v>407</v>
      </c>
      <c r="BY65" t="s">
        <v>408</v>
      </c>
      <c r="BZ65">
        <v>4</v>
      </c>
      <c r="CA65">
        <v>1963</v>
      </c>
      <c r="CB65">
        <v>1</v>
      </c>
      <c r="CC65">
        <v>2</v>
      </c>
      <c r="CD65">
        <v>2017</v>
      </c>
      <c r="CG65">
        <v>110597</v>
      </c>
      <c r="CH65">
        <v>2017</v>
      </c>
      <c r="CI65">
        <v>43240</v>
      </c>
      <c r="CJ65">
        <v>213822</v>
      </c>
      <c r="CK65">
        <v>257062</v>
      </c>
      <c r="CL65">
        <v>2017</v>
      </c>
      <c r="CM65">
        <v>1674.31</v>
      </c>
      <c r="CN65" s="1">
        <v>42859</v>
      </c>
      <c r="CO65">
        <v>210000</v>
      </c>
      <c r="CV65">
        <v>60000</v>
      </c>
      <c r="CX65" t="s">
        <v>707</v>
      </c>
      <c r="CZ65" s="1">
        <v>42859</v>
      </c>
      <c r="DA65">
        <v>0</v>
      </c>
      <c r="DD65" t="s">
        <v>553</v>
      </c>
      <c r="DG65">
        <v>17</v>
      </c>
      <c r="DL65">
        <v>50504</v>
      </c>
      <c r="DM65" t="s">
        <v>1098</v>
      </c>
      <c r="DO65" t="s">
        <v>1099</v>
      </c>
      <c r="DP65">
        <v>0</v>
      </c>
      <c r="DQ65">
        <v>0</v>
      </c>
      <c r="DR65" t="s">
        <v>411</v>
      </c>
      <c r="EP65" t="s">
        <v>421</v>
      </c>
      <c r="EQ65" t="s">
        <v>422</v>
      </c>
      <c r="ER65">
        <v>0</v>
      </c>
      <c r="ES65">
        <v>1</v>
      </c>
      <c r="ET65">
        <v>0</v>
      </c>
      <c r="EU65">
        <v>0</v>
      </c>
      <c r="EV65">
        <v>0</v>
      </c>
      <c r="EW65" s="2">
        <v>43222</v>
      </c>
      <c r="EX65" s="1">
        <v>41052</v>
      </c>
      <c r="EY65">
        <v>2011</v>
      </c>
      <c r="EZ65">
        <v>2707.21</v>
      </c>
      <c r="FA65" t="s">
        <v>1100</v>
      </c>
      <c r="FB65">
        <v>0.25</v>
      </c>
      <c r="FC65" t="s">
        <v>424</v>
      </c>
      <c r="FD65" t="s">
        <v>425</v>
      </c>
      <c r="FE65" s="1">
        <v>41093</v>
      </c>
      <c r="FF65">
        <v>2</v>
      </c>
      <c r="FG65">
        <v>13528</v>
      </c>
      <c r="FH65" t="s">
        <v>1101</v>
      </c>
    </row>
    <row r="66" spans="1:284" x14ac:dyDescent="0.25">
      <c r="A66">
        <v>16485073</v>
      </c>
      <c r="B66">
        <v>65</v>
      </c>
      <c r="C66" t="s">
        <v>393</v>
      </c>
      <c r="D66" t="s">
        <v>394</v>
      </c>
      <c r="F66" t="str">
        <f>"17-1S-23-0000-0003-0030"</f>
        <v>17-1S-23-0000-0003-0030</v>
      </c>
      <c r="H66" t="str">
        <f>"BRANNAN RONNIE &amp; BRANNAN RONALD (JT/RS)"</f>
        <v>BRANNAN RONNIE &amp; BRANNAN RONALD (JT/RS)</v>
      </c>
      <c r="I66" t="str">
        <f>"1032 SIERRA WOODS RD"</f>
        <v>1032 SIERRA WOODS RD</v>
      </c>
      <c r="J66" t="str">
        <f>"BRYCEVILLE FL 32009"</f>
        <v>BRYCEVILLE FL 32009</v>
      </c>
      <c r="K66" t="str">
        <f>"1032 SIERRA WOODS RD"</f>
        <v>1032 SIERRA WOODS RD</v>
      </c>
      <c r="L66" t="str">
        <f t="shared" si="13"/>
        <v>BRYCEVILLE FL 32009</v>
      </c>
      <c r="M66" t="str">
        <f>"PT OF NW1/4 IN OR 2065/991 ESMT IN OR 233/552"</f>
        <v>PT OF NW1/4 IN OR 2065/991 ESMT IN OR 233/552</v>
      </c>
      <c r="N66" t="str">
        <f>""</f>
        <v/>
      </c>
      <c r="O66" t="str">
        <f>"31777"</f>
        <v>31777</v>
      </c>
      <c r="P66" t="str">
        <f t="shared" ref="P66:P129" si="27">"2017"</f>
        <v>2017</v>
      </c>
      <c r="Q66" t="str">
        <f>""</f>
        <v/>
      </c>
      <c r="R66" t="str">
        <f>"N"</f>
        <v>N</v>
      </c>
      <c r="S66" t="str">
        <f>"10.50"</f>
        <v>10.50</v>
      </c>
      <c r="T66" t="str">
        <f>"2855.84"</f>
        <v>2855.84</v>
      </c>
      <c r="U66" t="str">
        <f>"188643.00"</f>
        <v>188643.00</v>
      </c>
      <c r="V66" t="str">
        <f>"188643.00"</f>
        <v>188643.00</v>
      </c>
      <c r="W66" t="str">
        <f t="shared" ref="W66:W129" si="28">"2017"</f>
        <v>2017</v>
      </c>
      <c r="X66" t="str">
        <f>"6.00"</f>
        <v>6.00</v>
      </c>
      <c r="Y66" t="str">
        <f>"2973.52"</f>
        <v>2973.52</v>
      </c>
      <c r="Z66" t="str">
        <f>""</f>
        <v/>
      </c>
      <c r="AA66" t="str">
        <f>"188643.00"</f>
        <v>188643.00</v>
      </c>
      <c r="AB66" t="str">
        <f t="shared" ref="AB66:AB76" si="29">"Residential"</f>
        <v>Residential</v>
      </c>
      <c r="AC66" t="str">
        <f t="shared" ref="AC66:AC129" si="30">"0"</f>
        <v>0</v>
      </c>
      <c r="AD66" t="str">
        <f t="shared" si="25"/>
        <v>4</v>
      </c>
      <c r="AE66" t="str">
        <f t="shared" si="26"/>
        <v>WOOD (INCLUDE STEEL STUDS)</v>
      </c>
      <c r="AF66" t="str">
        <f>"001"</f>
        <v>001</v>
      </c>
      <c r="AG66" t="str">
        <f t="shared" si="24"/>
        <v>FL</v>
      </c>
      <c r="AH66" t="str">
        <f>"457380.00"</f>
        <v>457380.00</v>
      </c>
      <c r="AI66" t="str">
        <f>"63000.00"</f>
        <v>63000.00</v>
      </c>
      <c r="AJ66" t="str">
        <f>"C55-000-587-1392-6"</f>
        <v>C55-000-587-1392-6</v>
      </c>
      <c r="AK66" t="str">
        <f>"2909"</f>
        <v>2909</v>
      </c>
      <c r="AL66">
        <v>1</v>
      </c>
      <c r="AM66">
        <v>76</v>
      </c>
      <c r="AN66">
        <v>3120.6</v>
      </c>
      <c r="AQ66" t="s">
        <v>1102</v>
      </c>
      <c r="AR66" t="s">
        <v>1102</v>
      </c>
      <c r="AS66" t="s">
        <v>1102</v>
      </c>
      <c r="AU66" t="s">
        <v>396</v>
      </c>
      <c r="AV66">
        <v>2017</v>
      </c>
      <c r="AW66" t="str">
        <f>"17-1S-23-0000-0003-0030 "</f>
        <v xml:space="preserve">17-1S-23-0000-0003-0030 </v>
      </c>
      <c r="AX66">
        <v>1032</v>
      </c>
      <c r="AZ66" t="s">
        <v>1103</v>
      </c>
      <c r="BA66" t="s">
        <v>496</v>
      </c>
      <c r="BD66" t="s">
        <v>553</v>
      </c>
      <c r="BE66" t="s">
        <v>393</v>
      </c>
      <c r="BF66">
        <v>32009</v>
      </c>
      <c r="BG66" t="s">
        <v>1104</v>
      </c>
      <c r="BH66" t="s">
        <v>555</v>
      </c>
      <c r="BI66">
        <v>-82.031736668025303</v>
      </c>
      <c r="BJ66">
        <v>30.4134671778009</v>
      </c>
      <c r="BK66" t="s">
        <v>1105</v>
      </c>
      <c r="BL66" t="s">
        <v>1106</v>
      </c>
      <c r="BM66" t="s">
        <v>1104</v>
      </c>
      <c r="BN66" t="s">
        <v>558</v>
      </c>
      <c r="BO66">
        <v>32009</v>
      </c>
      <c r="BP66" t="s">
        <v>416</v>
      </c>
      <c r="BQ66">
        <v>100</v>
      </c>
      <c r="BR66" t="s">
        <v>514</v>
      </c>
      <c r="BS66">
        <v>1001</v>
      </c>
      <c r="BT66" t="s">
        <v>515</v>
      </c>
      <c r="BW66">
        <v>457380</v>
      </c>
      <c r="BX66" t="s">
        <v>407</v>
      </c>
      <c r="BY66" t="s">
        <v>408</v>
      </c>
      <c r="BZ66">
        <v>4</v>
      </c>
      <c r="CA66">
        <v>1974</v>
      </c>
      <c r="CB66">
        <v>1</v>
      </c>
      <c r="CC66">
        <v>1</v>
      </c>
      <c r="CD66">
        <v>2017</v>
      </c>
      <c r="CE66">
        <v>63000</v>
      </c>
      <c r="CF66">
        <v>125643</v>
      </c>
      <c r="CG66">
        <v>188643</v>
      </c>
      <c r="CH66">
        <v>2017</v>
      </c>
      <c r="CI66">
        <v>63000</v>
      </c>
      <c r="CJ66">
        <v>125643</v>
      </c>
      <c r="CK66">
        <v>188643</v>
      </c>
      <c r="CL66">
        <v>2017</v>
      </c>
      <c r="CM66">
        <v>2855.84</v>
      </c>
      <c r="CN66" s="1">
        <v>42599</v>
      </c>
      <c r="CO66">
        <v>127100</v>
      </c>
      <c r="CV66">
        <v>0</v>
      </c>
      <c r="CZ66" s="1">
        <v>42599</v>
      </c>
      <c r="DA66">
        <v>0</v>
      </c>
      <c r="DD66" t="s">
        <v>553</v>
      </c>
      <c r="DG66">
        <v>17</v>
      </c>
      <c r="DL66">
        <v>50504</v>
      </c>
      <c r="DM66" t="s">
        <v>1098</v>
      </c>
      <c r="DO66" t="s">
        <v>1107</v>
      </c>
      <c r="DP66">
        <v>0</v>
      </c>
      <c r="DQ66">
        <v>0</v>
      </c>
      <c r="DR66" t="s">
        <v>411</v>
      </c>
      <c r="EP66" t="s">
        <v>421</v>
      </c>
      <c r="EQ66" t="s">
        <v>422</v>
      </c>
      <c r="ER66">
        <v>0</v>
      </c>
      <c r="ES66">
        <v>2</v>
      </c>
      <c r="ET66">
        <v>0</v>
      </c>
      <c r="EU66">
        <v>0</v>
      </c>
      <c r="EV66">
        <v>0</v>
      </c>
      <c r="EW66" s="2">
        <v>43222</v>
      </c>
      <c r="EX66" s="1">
        <v>42879</v>
      </c>
      <c r="EY66">
        <v>2016</v>
      </c>
      <c r="EZ66">
        <v>3061.79</v>
      </c>
      <c r="FA66" t="s">
        <v>1108</v>
      </c>
      <c r="FB66">
        <v>0.25</v>
      </c>
      <c r="FC66" t="s">
        <v>424</v>
      </c>
      <c r="FD66" t="s">
        <v>425</v>
      </c>
      <c r="FE66" s="1">
        <v>43068</v>
      </c>
      <c r="FF66">
        <v>6</v>
      </c>
      <c r="FG66">
        <v>2851116</v>
      </c>
      <c r="FH66" t="s">
        <v>480</v>
      </c>
      <c r="FJ66" s="1">
        <v>42879</v>
      </c>
      <c r="FK66">
        <v>2016</v>
      </c>
      <c r="FL66">
        <v>3061.79</v>
      </c>
      <c r="FM66" t="s">
        <v>1108</v>
      </c>
      <c r="FN66">
        <v>0.25</v>
      </c>
      <c r="FO66" t="s">
        <v>424</v>
      </c>
      <c r="FP66" t="s">
        <v>425</v>
      </c>
      <c r="FR66">
        <v>22</v>
      </c>
      <c r="FS66">
        <v>5033092</v>
      </c>
      <c r="FT66" t="s">
        <v>1109</v>
      </c>
    </row>
    <row r="67" spans="1:284" x14ac:dyDescent="0.25">
      <c r="A67">
        <v>16485074</v>
      </c>
      <c r="B67">
        <v>66</v>
      </c>
      <c r="C67" t="s">
        <v>393</v>
      </c>
      <c r="D67" t="s">
        <v>394</v>
      </c>
      <c r="F67" t="str">
        <f>"17-1S-23-0270-0004-0000"</f>
        <v>17-1S-23-0270-0004-0000</v>
      </c>
      <c r="H67" t="str">
        <f>"EDENFIELD CLAYTON A"</f>
        <v>EDENFIELD CLAYTON A</v>
      </c>
      <c r="I67" t="str">
        <f>"1328 COUNTRYSIDE ACRES AV"</f>
        <v>1328 COUNTRYSIDE ACRES AV</v>
      </c>
      <c r="J67" t="str">
        <f>"BRYCEVILLE FL 32009"</f>
        <v>BRYCEVILLE FL 32009</v>
      </c>
      <c r="K67" t="str">
        <f>"1328 COUNTRYSIDE ACRES AVE"</f>
        <v>1328 COUNTRYSIDE ACRES AVE</v>
      </c>
      <c r="L67" t="str">
        <f t="shared" si="13"/>
        <v>BRYCEVILLE FL 32009</v>
      </c>
      <c r="M67" t="str">
        <f>"LOT 4 IN OR 832/1609 R672986 &amp; R672987 &amp; R672988 COUNTRYSIDE ACRES PB 5/287"</f>
        <v>LOT 4 IN OR 832/1609 R672986 &amp; R672987 &amp; R672988 COUNTRYSIDE ACRES PB 5/287</v>
      </c>
      <c r="N67" t="str">
        <f>""</f>
        <v/>
      </c>
      <c r="O67" t="str">
        <f>"31800"</f>
        <v>31800</v>
      </c>
      <c r="P67" t="str">
        <f t="shared" si="27"/>
        <v>2017</v>
      </c>
      <c r="Q67" t="str">
        <f>""</f>
        <v/>
      </c>
      <c r="R67" t="str">
        <f>"Y"</f>
        <v>Y</v>
      </c>
      <c r="S67" t="str">
        <f>"1.68"</f>
        <v>1.68</v>
      </c>
      <c r="T67" t="str">
        <f>"429.76"</f>
        <v>429.76</v>
      </c>
      <c r="U67" t="str">
        <f>"57772.00"</f>
        <v>57772.00</v>
      </c>
      <c r="V67" t="str">
        <f>"57772.00"</f>
        <v>57772.00</v>
      </c>
      <c r="W67" t="str">
        <f t="shared" si="28"/>
        <v>2017</v>
      </c>
      <c r="X67" t="str">
        <f>"31.17"</f>
        <v>31.17</v>
      </c>
      <c r="Y67" t="str">
        <f>"474.65"</f>
        <v>474.65</v>
      </c>
      <c r="Z67" t="str">
        <f>"25000.00"</f>
        <v>25000.00</v>
      </c>
      <c r="AA67" t="str">
        <f>"32772.00"</f>
        <v>32772.00</v>
      </c>
      <c r="AB67" t="str">
        <f t="shared" si="29"/>
        <v>Residential</v>
      </c>
      <c r="AC67" t="str">
        <f t="shared" si="30"/>
        <v>0</v>
      </c>
      <c r="AD67" t="str">
        <f t="shared" si="25"/>
        <v>4</v>
      </c>
      <c r="AE67" t="str">
        <f t="shared" si="26"/>
        <v>WOOD (INCLUDE STEEL STUDS)</v>
      </c>
      <c r="AF67" t="str">
        <f>"002"</f>
        <v>002</v>
      </c>
      <c r="AG67" t="str">
        <f t="shared" si="24"/>
        <v>FL</v>
      </c>
      <c r="AH67" t="str">
        <f>"73180.00"</f>
        <v>73180.00</v>
      </c>
      <c r="AI67" t="str">
        <f>"25200.00"</f>
        <v>25200.00</v>
      </c>
      <c r="AJ67" t="str">
        <f>"C55-000-587-1410-6"</f>
        <v>C55-000-587-1410-6</v>
      </c>
      <c r="AK67" t="str">
        <f>"2931"</f>
        <v>2931</v>
      </c>
      <c r="AL67">
        <v>1</v>
      </c>
      <c r="AM67">
        <v>77</v>
      </c>
      <c r="AN67">
        <v>496.78</v>
      </c>
      <c r="AQ67" t="s">
        <v>1110</v>
      </c>
      <c r="AR67" t="s">
        <v>1110</v>
      </c>
      <c r="AS67" t="s">
        <v>1110</v>
      </c>
      <c r="AU67" t="s">
        <v>396</v>
      </c>
      <c r="AV67">
        <v>2017</v>
      </c>
      <c r="AW67" t="str">
        <f>"17-1S-23-0270-0004-0000 "</f>
        <v xml:space="preserve">17-1S-23-0270-0004-0000 </v>
      </c>
      <c r="AX67">
        <v>1328</v>
      </c>
      <c r="AZ67" t="s">
        <v>1111</v>
      </c>
      <c r="BA67" t="s">
        <v>1112</v>
      </c>
      <c r="BD67" t="s">
        <v>553</v>
      </c>
      <c r="BE67" t="s">
        <v>393</v>
      </c>
      <c r="BF67">
        <v>32009</v>
      </c>
      <c r="BG67" t="s">
        <v>1113</v>
      </c>
      <c r="BH67" t="s">
        <v>555</v>
      </c>
      <c r="BI67">
        <v>-82.027488249915606</v>
      </c>
      <c r="BJ67">
        <v>30.407343123027101</v>
      </c>
      <c r="BK67" t="s">
        <v>1114</v>
      </c>
      <c r="BM67" t="s">
        <v>1113</v>
      </c>
      <c r="BN67" t="s">
        <v>558</v>
      </c>
      <c r="BO67">
        <v>32009</v>
      </c>
      <c r="BP67" t="s">
        <v>416</v>
      </c>
      <c r="BQ67">
        <v>200</v>
      </c>
      <c r="BR67" t="s">
        <v>405</v>
      </c>
      <c r="BS67">
        <v>1006</v>
      </c>
      <c r="BT67" t="s">
        <v>406</v>
      </c>
      <c r="BW67">
        <v>73180</v>
      </c>
      <c r="BX67" t="s">
        <v>407</v>
      </c>
      <c r="BY67" t="s">
        <v>408</v>
      </c>
      <c r="BZ67">
        <v>4</v>
      </c>
      <c r="CA67">
        <v>1998</v>
      </c>
      <c r="CB67">
        <v>1</v>
      </c>
      <c r="CC67">
        <v>1</v>
      </c>
      <c r="CD67">
        <v>2017</v>
      </c>
      <c r="CG67">
        <v>57772</v>
      </c>
      <c r="CH67">
        <v>2017</v>
      </c>
      <c r="CI67">
        <v>25200</v>
      </c>
      <c r="CJ67">
        <v>46993</v>
      </c>
      <c r="CK67">
        <v>72193</v>
      </c>
      <c r="CL67">
        <v>2017</v>
      </c>
      <c r="CM67">
        <v>429.76</v>
      </c>
      <c r="CN67" s="1">
        <v>35921</v>
      </c>
      <c r="CO67">
        <v>16000</v>
      </c>
      <c r="CZ67" s="1">
        <v>35921</v>
      </c>
      <c r="DD67" t="s">
        <v>553</v>
      </c>
      <c r="DF67">
        <v>4</v>
      </c>
      <c r="DG67">
        <v>17</v>
      </c>
      <c r="DL67">
        <v>50504</v>
      </c>
      <c r="DM67" t="s">
        <v>1098</v>
      </c>
      <c r="DO67" t="s">
        <v>1115</v>
      </c>
      <c r="DP67">
        <v>0</v>
      </c>
      <c r="DQ67">
        <v>0</v>
      </c>
      <c r="DR67" t="s">
        <v>411</v>
      </c>
      <c r="EP67" t="s">
        <v>421</v>
      </c>
      <c r="EQ67" t="s">
        <v>452</v>
      </c>
      <c r="ER67">
        <v>2</v>
      </c>
      <c r="ES67">
        <v>3</v>
      </c>
      <c r="ET67">
        <v>980.88</v>
      </c>
      <c r="EU67">
        <v>61.54</v>
      </c>
      <c r="EV67">
        <v>1042.42</v>
      </c>
      <c r="EW67" s="2">
        <v>43222</v>
      </c>
      <c r="EX67" s="1">
        <v>42879</v>
      </c>
      <c r="EY67">
        <v>2016</v>
      </c>
      <c r="EZ67">
        <v>490.44</v>
      </c>
      <c r="FA67" t="s">
        <v>1116</v>
      </c>
      <c r="FB67">
        <v>0.25</v>
      </c>
      <c r="FC67" t="s">
        <v>424</v>
      </c>
      <c r="FD67" t="s">
        <v>454</v>
      </c>
      <c r="FF67">
        <v>12</v>
      </c>
      <c r="FG67">
        <v>11289</v>
      </c>
      <c r="FH67" t="s">
        <v>787</v>
      </c>
      <c r="FJ67" s="1">
        <v>42879</v>
      </c>
      <c r="FK67">
        <v>2016</v>
      </c>
      <c r="FL67">
        <v>490.44</v>
      </c>
      <c r="FM67" t="s">
        <v>1116</v>
      </c>
      <c r="FN67">
        <v>0.25</v>
      </c>
      <c r="FO67" t="s">
        <v>424</v>
      </c>
      <c r="FP67" t="s">
        <v>454</v>
      </c>
      <c r="FR67">
        <v>12</v>
      </c>
      <c r="FS67">
        <v>7241495</v>
      </c>
      <c r="FT67" t="s">
        <v>1117</v>
      </c>
      <c r="FV67" s="1">
        <v>41787</v>
      </c>
      <c r="FW67">
        <v>2013</v>
      </c>
      <c r="FX67">
        <v>510.26</v>
      </c>
      <c r="FY67" t="s">
        <v>1118</v>
      </c>
      <c r="FZ67">
        <v>0.25</v>
      </c>
      <c r="GA67" t="s">
        <v>424</v>
      </c>
      <c r="GB67" t="s">
        <v>425</v>
      </c>
      <c r="GD67">
        <v>22</v>
      </c>
      <c r="GE67">
        <v>2407503</v>
      </c>
      <c r="GF67" t="s">
        <v>461</v>
      </c>
      <c r="GG67" t="s">
        <v>458</v>
      </c>
      <c r="GH67" s="1">
        <v>41052</v>
      </c>
      <c r="GI67">
        <v>2011</v>
      </c>
      <c r="GJ67">
        <v>570.61</v>
      </c>
      <c r="GK67" t="s">
        <v>1119</v>
      </c>
      <c r="GL67">
        <v>6</v>
      </c>
      <c r="GM67" t="s">
        <v>424</v>
      </c>
      <c r="GN67" t="s">
        <v>425</v>
      </c>
      <c r="GO67" s="1">
        <v>41694</v>
      </c>
      <c r="GP67">
        <v>21</v>
      </c>
      <c r="GQ67">
        <v>10125</v>
      </c>
      <c r="GR67" t="s">
        <v>440</v>
      </c>
      <c r="GT67" s="1">
        <v>40688</v>
      </c>
      <c r="GU67">
        <v>2010</v>
      </c>
      <c r="GV67">
        <v>619.5</v>
      </c>
      <c r="GW67" t="s">
        <v>1120</v>
      </c>
      <c r="GX67">
        <v>8</v>
      </c>
      <c r="GY67" t="s">
        <v>424</v>
      </c>
      <c r="GZ67" t="s">
        <v>425</v>
      </c>
      <c r="HA67" s="1">
        <v>40960</v>
      </c>
      <c r="HB67">
        <v>9</v>
      </c>
      <c r="HC67">
        <v>10548</v>
      </c>
      <c r="HD67" t="s">
        <v>589</v>
      </c>
    </row>
    <row r="68" spans="1:284" x14ac:dyDescent="0.25">
      <c r="A68">
        <v>16485075</v>
      </c>
      <c r="B68">
        <v>67</v>
      </c>
      <c r="C68" t="s">
        <v>393</v>
      </c>
      <c r="D68" t="s">
        <v>394</v>
      </c>
      <c r="F68" t="str">
        <f>"17-1S-23-0270-0011-0000"</f>
        <v>17-1S-23-0270-0011-0000</v>
      </c>
      <c r="H68" t="str">
        <f>"GORDON JEAN &amp; FAYE GILBERT"</f>
        <v>GORDON JEAN &amp; FAYE GILBERT</v>
      </c>
      <c r="I68" t="str">
        <f>"6796 COUNTY ROAD 119"</f>
        <v>6796 COUNTY ROAD 119</v>
      </c>
      <c r="J68" t="str">
        <f>"BRYCEVILLE FL 32009"</f>
        <v>BRYCEVILLE FL 32009</v>
      </c>
      <c r="K68" t="str">
        <f>"1540 COUNTRYSIDE ACRES AV"</f>
        <v>1540 COUNTRYSIDE ACRES AV</v>
      </c>
      <c r="L68" t="str">
        <f t="shared" si="13"/>
        <v>BRYCEVILLE FL 32009</v>
      </c>
      <c r="M68" t="str">
        <f>"LOT 11 IN OR 927/1024 COUNTRYSIDE ACRES PB 5/287"</f>
        <v>LOT 11 IN OR 927/1024 COUNTRYSIDE ACRES PB 5/287</v>
      </c>
      <c r="N68" t="str">
        <f>""</f>
        <v/>
      </c>
      <c r="O68" t="str">
        <f>"31807"</f>
        <v>31807</v>
      </c>
      <c r="P68" t="str">
        <f t="shared" si="27"/>
        <v>2017</v>
      </c>
      <c r="Q68" t="str">
        <f>""</f>
        <v/>
      </c>
      <c r="R68" t="str">
        <f>"N"</f>
        <v>N</v>
      </c>
      <c r="S68" t="str">
        <f>"1.98"</f>
        <v>1.98</v>
      </c>
      <c r="T68" t="str">
        <f>"1220.09"</f>
        <v>1220.09</v>
      </c>
      <c r="U68" t="str">
        <f>"76674.00"</f>
        <v>76674.00</v>
      </c>
      <c r="V68" t="str">
        <f>"76674.00"</f>
        <v>76674.00</v>
      </c>
      <c r="W68" t="str">
        <f t="shared" si="28"/>
        <v>2017</v>
      </c>
      <c r="X68" t="str">
        <f>"18.67"</f>
        <v>18.67</v>
      </c>
      <c r="Y68" t="str">
        <f>"1288.69"</f>
        <v>1288.69</v>
      </c>
      <c r="Z68" t="str">
        <f>""</f>
        <v/>
      </c>
      <c r="AA68" t="str">
        <f>"85666.00"</f>
        <v>85666.00</v>
      </c>
      <c r="AB68" t="str">
        <f t="shared" si="29"/>
        <v>Residential</v>
      </c>
      <c r="AC68" t="str">
        <f t="shared" si="30"/>
        <v>0</v>
      </c>
      <c r="AD68" t="str">
        <f t="shared" si="25"/>
        <v>4</v>
      </c>
      <c r="AE68" t="str">
        <f t="shared" si="26"/>
        <v>WOOD (INCLUDE STEEL STUDS)</v>
      </c>
      <c r="AF68" t="str">
        <f>"002"</f>
        <v>002</v>
      </c>
      <c r="AG68" t="str">
        <f t="shared" si="24"/>
        <v>FL</v>
      </c>
      <c r="AH68" t="str">
        <f>"86248.00"</f>
        <v>86248.00</v>
      </c>
      <c r="AI68" t="str">
        <f>"29700.00"</f>
        <v>29700.00</v>
      </c>
      <c r="AJ68" t="str">
        <f>"C55-000-587-1417-1"</f>
        <v>C55-000-587-1417-1</v>
      </c>
      <c r="AK68" t="str">
        <f>"2938"</f>
        <v>2938</v>
      </c>
      <c r="AL68">
        <v>1</v>
      </c>
      <c r="AM68">
        <v>78</v>
      </c>
      <c r="AN68">
        <v>1351.52</v>
      </c>
      <c r="AQ68" t="s">
        <v>1121</v>
      </c>
      <c r="AR68" t="s">
        <v>1121</v>
      </c>
      <c r="AS68" t="s">
        <v>1121</v>
      </c>
      <c r="AU68" t="s">
        <v>396</v>
      </c>
      <c r="AV68">
        <v>2017</v>
      </c>
      <c r="AW68" t="str">
        <f>"17-1S-23-0270-0011-0000 "</f>
        <v xml:space="preserve">17-1S-23-0270-0011-0000 </v>
      </c>
      <c r="AX68">
        <v>1540</v>
      </c>
      <c r="AZ68" t="s">
        <v>1111</v>
      </c>
      <c r="BA68" t="s">
        <v>1122</v>
      </c>
      <c r="BD68" t="s">
        <v>553</v>
      </c>
      <c r="BE68" t="s">
        <v>393</v>
      </c>
      <c r="BF68">
        <v>32009</v>
      </c>
      <c r="BG68" t="s">
        <v>1123</v>
      </c>
      <c r="BH68" t="s">
        <v>555</v>
      </c>
      <c r="BI68">
        <v>-82.025077585021805</v>
      </c>
      <c r="BJ68">
        <v>30.4055428107939</v>
      </c>
      <c r="BK68" t="s">
        <v>1124</v>
      </c>
      <c r="BM68" t="s">
        <v>1125</v>
      </c>
      <c r="BN68" t="s">
        <v>558</v>
      </c>
      <c r="BO68">
        <v>32009</v>
      </c>
      <c r="BP68" t="s">
        <v>404</v>
      </c>
      <c r="BQ68">
        <v>200</v>
      </c>
      <c r="BR68" t="s">
        <v>405</v>
      </c>
      <c r="BS68">
        <v>1006</v>
      </c>
      <c r="BT68" t="s">
        <v>406</v>
      </c>
      <c r="BW68">
        <v>86248</v>
      </c>
      <c r="BX68" t="s">
        <v>407</v>
      </c>
      <c r="BY68" t="s">
        <v>408</v>
      </c>
      <c r="BZ68">
        <v>4</v>
      </c>
      <c r="CA68">
        <v>1998</v>
      </c>
      <c r="CC68">
        <v>1</v>
      </c>
      <c r="CD68">
        <v>2017</v>
      </c>
      <c r="CE68">
        <v>29700</v>
      </c>
      <c r="CF68">
        <v>55966</v>
      </c>
      <c r="CG68">
        <v>85666</v>
      </c>
      <c r="CH68">
        <v>2017</v>
      </c>
      <c r="CI68">
        <v>29700</v>
      </c>
      <c r="CJ68">
        <v>55966</v>
      </c>
      <c r="CK68">
        <v>85666</v>
      </c>
      <c r="CL68">
        <v>2017</v>
      </c>
      <c r="CM68">
        <v>1220.0899999999999</v>
      </c>
      <c r="CN68" s="1">
        <v>36622</v>
      </c>
      <c r="CO68">
        <v>14000</v>
      </c>
      <c r="CV68">
        <v>0</v>
      </c>
      <c r="CZ68" s="1">
        <v>36622</v>
      </c>
      <c r="DA68">
        <v>0</v>
      </c>
      <c r="DD68" t="s">
        <v>553</v>
      </c>
      <c r="DF68">
        <v>11</v>
      </c>
      <c r="DG68">
        <v>17</v>
      </c>
      <c r="DJ68" t="s">
        <v>1111</v>
      </c>
      <c r="DL68">
        <v>50504</v>
      </c>
      <c r="DM68" t="s">
        <v>1098</v>
      </c>
      <c r="DO68" t="s">
        <v>1126</v>
      </c>
      <c r="DP68">
        <v>0</v>
      </c>
      <c r="DQ68">
        <v>0</v>
      </c>
      <c r="DR68" t="s">
        <v>411</v>
      </c>
      <c r="DS68" t="b">
        <v>1</v>
      </c>
      <c r="DT68" t="s">
        <v>470</v>
      </c>
      <c r="DU68" t="s">
        <v>471</v>
      </c>
      <c r="DV68" t="s">
        <v>472</v>
      </c>
      <c r="DX68">
        <v>-9999</v>
      </c>
      <c r="DZ68" t="s">
        <v>447</v>
      </c>
      <c r="EA68" t="s">
        <v>448</v>
      </c>
      <c r="EB68" t="s">
        <v>742</v>
      </c>
      <c r="EC68">
        <v>20101217</v>
      </c>
      <c r="ED68" t="s">
        <v>474</v>
      </c>
      <c r="EF68">
        <v>1062.4000000000001</v>
      </c>
      <c r="EG68">
        <v>1062.4000000000001</v>
      </c>
      <c r="EI68">
        <v>20160407</v>
      </c>
      <c r="EJ68">
        <v>0</v>
      </c>
      <c r="EK68">
        <v>0</v>
      </c>
      <c r="EP68" t="s">
        <v>421</v>
      </c>
      <c r="EQ68" t="s">
        <v>422</v>
      </c>
      <c r="ER68">
        <v>2</v>
      </c>
      <c r="ES68">
        <v>7</v>
      </c>
      <c r="ET68">
        <v>2368.44</v>
      </c>
      <c r="EU68">
        <v>130.91999999999999</v>
      </c>
      <c r="EV68">
        <v>2499.36</v>
      </c>
      <c r="EW68" s="2">
        <v>43222</v>
      </c>
      <c r="EX68" s="1">
        <v>42879</v>
      </c>
      <c r="EY68">
        <v>2016</v>
      </c>
      <c r="EZ68">
        <v>1184.22</v>
      </c>
      <c r="FA68" t="s">
        <v>1127</v>
      </c>
      <c r="FB68">
        <v>0.25</v>
      </c>
      <c r="FC68" t="s">
        <v>424</v>
      </c>
      <c r="FD68" t="s">
        <v>454</v>
      </c>
      <c r="FF68">
        <v>12</v>
      </c>
      <c r="FG68">
        <v>2851116</v>
      </c>
      <c r="FH68" t="s">
        <v>480</v>
      </c>
      <c r="FJ68" s="1">
        <v>42879</v>
      </c>
      <c r="FK68">
        <v>2016</v>
      </c>
      <c r="FL68">
        <v>1184.22</v>
      </c>
      <c r="FM68" t="s">
        <v>1127</v>
      </c>
      <c r="FN68">
        <v>0.25</v>
      </c>
      <c r="FO68" t="s">
        <v>424</v>
      </c>
      <c r="FP68" t="s">
        <v>454</v>
      </c>
      <c r="FR68">
        <v>12</v>
      </c>
      <c r="FS68">
        <v>4955108</v>
      </c>
      <c r="FT68" t="s">
        <v>1128</v>
      </c>
      <c r="FV68" s="1">
        <v>42515</v>
      </c>
      <c r="FW68">
        <v>2015</v>
      </c>
      <c r="FX68">
        <v>1168.32</v>
      </c>
      <c r="FY68" t="s">
        <v>1129</v>
      </c>
      <c r="FZ68">
        <v>0.25</v>
      </c>
      <c r="GA68" t="s">
        <v>424</v>
      </c>
      <c r="GB68" t="s">
        <v>425</v>
      </c>
      <c r="GC68" s="1">
        <v>43046</v>
      </c>
      <c r="GD68">
        <v>18</v>
      </c>
      <c r="GE68">
        <v>2851116</v>
      </c>
      <c r="GF68" t="s">
        <v>480</v>
      </c>
      <c r="GH68" s="1">
        <v>42515</v>
      </c>
      <c r="GI68">
        <v>2015</v>
      </c>
      <c r="GJ68">
        <v>1168.32</v>
      </c>
      <c r="GK68" t="s">
        <v>1129</v>
      </c>
      <c r="GL68">
        <v>0.25</v>
      </c>
      <c r="GM68" t="s">
        <v>424</v>
      </c>
      <c r="GN68" t="s">
        <v>425</v>
      </c>
      <c r="GP68">
        <v>22</v>
      </c>
      <c r="GQ68">
        <v>4881055</v>
      </c>
      <c r="GR68" t="s">
        <v>1130</v>
      </c>
      <c r="GT68" s="1">
        <v>42151</v>
      </c>
      <c r="GU68">
        <v>2014</v>
      </c>
      <c r="GV68">
        <v>446.15</v>
      </c>
      <c r="GW68" t="s">
        <v>1131</v>
      </c>
      <c r="GX68">
        <v>4.25</v>
      </c>
      <c r="GY68" t="s">
        <v>424</v>
      </c>
      <c r="GZ68" t="s">
        <v>425</v>
      </c>
      <c r="HA68" s="1">
        <v>42713</v>
      </c>
      <c r="HB68">
        <v>19</v>
      </c>
      <c r="HC68">
        <v>115</v>
      </c>
      <c r="HD68" t="s">
        <v>478</v>
      </c>
      <c r="HF68" s="1">
        <v>41787</v>
      </c>
      <c r="HG68">
        <v>2013</v>
      </c>
      <c r="HH68">
        <v>382.28</v>
      </c>
      <c r="HI68" t="s">
        <v>1132</v>
      </c>
      <c r="HJ68">
        <v>9.75</v>
      </c>
      <c r="HK68" t="s">
        <v>424</v>
      </c>
      <c r="HL68" t="s">
        <v>425</v>
      </c>
      <c r="HM68" s="1">
        <v>42398</v>
      </c>
      <c r="HN68">
        <v>20</v>
      </c>
      <c r="HO68">
        <v>2035919</v>
      </c>
      <c r="HP68" t="s">
        <v>507</v>
      </c>
      <c r="HR68" s="1">
        <v>41423</v>
      </c>
      <c r="HS68">
        <v>2012</v>
      </c>
      <c r="HT68">
        <v>483.83</v>
      </c>
      <c r="HU68" t="s">
        <v>1133</v>
      </c>
      <c r="HV68">
        <v>4.75</v>
      </c>
      <c r="HW68" t="s">
        <v>424</v>
      </c>
      <c r="HX68" t="s">
        <v>425</v>
      </c>
      <c r="HY68" s="1">
        <v>42055</v>
      </c>
      <c r="HZ68">
        <v>21</v>
      </c>
      <c r="IA68">
        <v>15407</v>
      </c>
      <c r="IB68" t="s">
        <v>1134</v>
      </c>
      <c r="ID68" s="1">
        <v>41052</v>
      </c>
      <c r="IE68">
        <v>2011</v>
      </c>
      <c r="IF68">
        <v>441.07</v>
      </c>
      <c r="IG68" t="s">
        <v>1135</v>
      </c>
      <c r="IH68">
        <v>6</v>
      </c>
      <c r="II68" t="s">
        <v>424</v>
      </c>
      <c r="IJ68" t="s">
        <v>425</v>
      </c>
      <c r="IK68" s="1">
        <v>41730</v>
      </c>
      <c r="IL68">
        <v>23</v>
      </c>
      <c r="IM68">
        <v>10125</v>
      </c>
      <c r="IN68" t="s">
        <v>440</v>
      </c>
      <c r="IP68" s="1">
        <v>40688</v>
      </c>
      <c r="IQ68">
        <v>2010</v>
      </c>
      <c r="IR68">
        <v>526.78</v>
      </c>
      <c r="IS68" t="s">
        <v>1136</v>
      </c>
      <c r="IT68">
        <v>10</v>
      </c>
      <c r="IU68" t="s">
        <v>424</v>
      </c>
      <c r="IV68" t="s">
        <v>425</v>
      </c>
      <c r="IW68" s="1">
        <v>41365</v>
      </c>
      <c r="IX68">
        <v>23</v>
      </c>
      <c r="IY68">
        <v>11135</v>
      </c>
      <c r="IZ68" t="s">
        <v>1137</v>
      </c>
    </row>
    <row r="69" spans="1:284" x14ac:dyDescent="0.25">
      <c r="A69">
        <v>16485076</v>
      </c>
      <c r="B69">
        <v>68</v>
      </c>
      <c r="C69" t="s">
        <v>393</v>
      </c>
      <c r="D69" t="s">
        <v>394</v>
      </c>
      <c r="F69" t="str">
        <f>"17-1S-23-0270-0012-0000"</f>
        <v>17-1S-23-0270-0012-0000</v>
      </c>
      <c r="H69" t="str">
        <f>"SHROWDER JAMES WADE &amp; MCKINNON SUZANNE (H&amp;W)"</f>
        <v>SHROWDER JAMES WADE &amp; MCKINNON SUZANNE (H&amp;W)</v>
      </c>
      <c r="I69" t="str">
        <f>"1582 COUNTRYSIDE ACRES AVE"</f>
        <v>1582 COUNTRYSIDE ACRES AVE</v>
      </c>
      <c r="J69" t="str">
        <f>"BRYCEVILLE FL 32009"</f>
        <v>BRYCEVILLE FL 32009</v>
      </c>
      <c r="K69" t="str">
        <f>"1582 COUNTRYSIDE ACRES AVE"</f>
        <v>1582 COUNTRYSIDE ACRES AVE</v>
      </c>
      <c r="L69" t="str">
        <f t="shared" si="13"/>
        <v>BRYCEVILLE FL 32009</v>
      </c>
      <c r="M69" t="str">
        <f>"LOT 12 IN OR 701 PG 1478 R788173 &amp; R788174 CONSERVATION ESMT OR 729/723 COUNTRYSIDE ACRES PB 5/287"</f>
        <v>LOT 12 IN OR 701 PG 1478 R788173 &amp; R788174 CONSERVATION ESMT OR 729/723 COUNTRYSIDE ACRES PB 5/287</v>
      </c>
      <c r="N69" t="str">
        <f>""</f>
        <v/>
      </c>
      <c r="O69" t="str">
        <f>"31808"</f>
        <v>31808</v>
      </c>
      <c r="P69" t="str">
        <f t="shared" si="27"/>
        <v>2017</v>
      </c>
      <c r="Q69" t="str">
        <f>""</f>
        <v/>
      </c>
      <c r="R69" t="str">
        <f>"Y"</f>
        <v>Y</v>
      </c>
      <c r="S69" t="str">
        <f>"3.01"</f>
        <v>3.01</v>
      </c>
      <c r="T69" t="str">
        <f>"451.80"</f>
        <v>451.80</v>
      </c>
      <c r="U69" t="str">
        <f>"61113.00"</f>
        <v>61113.00</v>
      </c>
      <c r="V69" t="str">
        <f>"61113.00"</f>
        <v>61113.00</v>
      </c>
      <c r="W69" t="str">
        <f t="shared" si="28"/>
        <v>2017</v>
      </c>
      <c r="X69" t="str">
        <f>"17.64"</f>
        <v>17.64</v>
      </c>
      <c r="Y69" t="str">
        <f>"497.35"</f>
        <v>497.35</v>
      </c>
      <c r="Z69" t="str">
        <f>"25000.00"</f>
        <v>25000.00</v>
      </c>
      <c r="AA69" t="str">
        <f>"36113.00"</f>
        <v>36113.00</v>
      </c>
      <c r="AB69" t="str">
        <f t="shared" si="29"/>
        <v>Residential</v>
      </c>
      <c r="AC69" t="str">
        <f t="shared" si="30"/>
        <v>0</v>
      </c>
      <c r="AD69" t="str">
        <f t="shared" si="25"/>
        <v>4</v>
      </c>
      <c r="AE69" t="str">
        <f t="shared" si="26"/>
        <v>WOOD (INCLUDE STEEL STUDS)</v>
      </c>
      <c r="AF69" t="str">
        <f>"002"</f>
        <v>002</v>
      </c>
      <c r="AG69" t="str">
        <f t="shared" si="24"/>
        <v>FL</v>
      </c>
      <c r="AH69" t="str">
        <f>"131115.00"</f>
        <v>131115.00</v>
      </c>
      <c r="AI69" t="str">
        <f>"24080.00"</f>
        <v>24080.00</v>
      </c>
      <c r="AJ69" t="str">
        <f>"C55-000-587-1418-9"</f>
        <v>C55-000-587-1418-9</v>
      </c>
      <c r="AK69" t="str">
        <f>"2939"</f>
        <v>2939</v>
      </c>
      <c r="AL69">
        <v>1</v>
      </c>
      <c r="AM69">
        <v>79</v>
      </c>
      <c r="AN69">
        <v>520.62</v>
      </c>
      <c r="AQ69" t="s">
        <v>1138</v>
      </c>
      <c r="AR69" t="s">
        <v>1138</v>
      </c>
      <c r="AS69" t="s">
        <v>1138</v>
      </c>
      <c r="AU69" t="s">
        <v>396</v>
      </c>
      <c r="AV69">
        <v>2017</v>
      </c>
      <c r="AW69" t="str">
        <f>"17-1S-23-0270-0012-0000 "</f>
        <v xml:space="preserve">17-1S-23-0270-0012-0000 </v>
      </c>
      <c r="AX69">
        <v>1582</v>
      </c>
      <c r="AZ69" t="s">
        <v>1111</v>
      </c>
      <c r="BA69" t="s">
        <v>1112</v>
      </c>
      <c r="BD69" t="s">
        <v>553</v>
      </c>
      <c r="BE69" t="s">
        <v>393</v>
      </c>
      <c r="BF69">
        <v>32009</v>
      </c>
      <c r="BG69" t="s">
        <v>1139</v>
      </c>
      <c r="BH69" t="s">
        <v>555</v>
      </c>
      <c r="BI69">
        <v>-82.024433959729905</v>
      </c>
      <c r="BJ69">
        <v>30.405013604424301</v>
      </c>
      <c r="BK69" t="s">
        <v>1140</v>
      </c>
      <c r="BL69" t="s">
        <v>1141</v>
      </c>
      <c r="BM69" t="s">
        <v>1139</v>
      </c>
      <c r="BN69" t="s">
        <v>558</v>
      </c>
      <c r="BO69">
        <v>32009</v>
      </c>
      <c r="BP69" t="s">
        <v>416</v>
      </c>
      <c r="BQ69">
        <v>200</v>
      </c>
      <c r="BR69" t="s">
        <v>405</v>
      </c>
      <c r="BS69">
        <v>1006</v>
      </c>
      <c r="BT69" t="s">
        <v>406</v>
      </c>
      <c r="BW69">
        <v>131115</v>
      </c>
      <c r="BX69" t="s">
        <v>407</v>
      </c>
      <c r="BY69" t="s">
        <v>408</v>
      </c>
      <c r="BZ69">
        <v>4</v>
      </c>
      <c r="CA69">
        <v>1994</v>
      </c>
      <c r="CB69">
        <v>1</v>
      </c>
      <c r="CC69">
        <v>1</v>
      </c>
      <c r="CD69">
        <v>2017</v>
      </c>
      <c r="CG69">
        <v>61113</v>
      </c>
      <c r="CH69">
        <v>2017</v>
      </c>
      <c r="CI69">
        <v>24080</v>
      </c>
      <c r="CJ69">
        <v>43743</v>
      </c>
      <c r="CK69">
        <v>67823</v>
      </c>
      <c r="CL69">
        <v>2017</v>
      </c>
      <c r="CM69">
        <v>451.8</v>
      </c>
      <c r="CN69" s="1">
        <v>34429</v>
      </c>
      <c r="CO69">
        <v>16500</v>
      </c>
      <c r="CZ69" s="1">
        <v>34429</v>
      </c>
      <c r="DD69" t="s">
        <v>553</v>
      </c>
      <c r="DF69">
        <v>12</v>
      </c>
      <c r="DG69">
        <v>17</v>
      </c>
      <c r="DL69">
        <v>50504</v>
      </c>
      <c r="DM69" t="s">
        <v>1098</v>
      </c>
      <c r="DO69" t="s">
        <v>1142</v>
      </c>
      <c r="DP69">
        <v>0</v>
      </c>
      <c r="DQ69">
        <v>0</v>
      </c>
      <c r="DR69" t="s">
        <v>411</v>
      </c>
      <c r="DS69" t="b">
        <v>1</v>
      </c>
      <c r="DT69" t="s">
        <v>470</v>
      </c>
      <c r="DU69" t="s">
        <v>471</v>
      </c>
      <c r="DV69" t="s">
        <v>472</v>
      </c>
      <c r="DX69">
        <v>-9999</v>
      </c>
      <c r="DZ69" t="s">
        <v>447</v>
      </c>
      <c r="EA69" t="s">
        <v>448</v>
      </c>
      <c r="EB69" t="s">
        <v>742</v>
      </c>
      <c r="EC69">
        <v>20101217</v>
      </c>
      <c r="ED69" t="s">
        <v>474</v>
      </c>
      <c r="EF69">
        <v>1209.0999999999999</v>
      </c>
      <c r="EG69">
        <v>1209.0999999999999</v>
      </c>
      <c r="EI69">
        <v>20160407</v>
      </c>
      <c r="EJ69">
        <v>0</v>
      </c>
      <c r="EK69">
        <v>0</v>
      </c>
      <c r="EP69" t="s">
        <v>421</v>
      </c>
      <c r="EQ69" t="s">
        <v>452</v>
      </c>
      <c r="ER69">
        <v>0</v>
      </c>
      <c r="ES69">
        <v>11</v>
      </c>
      <c r="ET69">
        <v>0</v>
      </c>
      <c r="EU69">
        <v>0</v>
      </c>
      <c r="EV69">
        <v>0</v>
      </c>
      <c r="EW69" s="2">
        <v>43222</v>
      </c>
      <c r="EX69" s="1">
        <v>42879</v>
      </c>
      <c r="EY69">
        <v>2016</v>
      </c>
      <c r="EZ69">
        <v>514.47</v>
      </c>
      <c r="FA69" t="s">
        <v>1143</v>
      </c>
      <c r="FB69">
        <v>0.25</v>
      </c>
      <c r="FC69" t="s">
        <v>424</v>
      </c>
      <c r="FD69" t="s">
        <v>425</v>
      </c>
      <c r="FE69" s="1">
        <v>42914</v>
      </c>
      <c r="FF69">
        <v>1</v>
      </c>
      <c r="FG69">
        <v>7400234</v>
      </c>
      <c r="FH69" t="s">
        <v>426</v>
      </c>
      <c r="FI69" t="s">
        <v>458</v>
      </c>
      <c r="FJ69" s="1">
        <v>42879</v>
      </c>
      <c r="FK69">
        <v>2016</v>
      </c>
      <c r="FL69">
        <v>514.47</v>
      </c>
      <c r="FM69" t="s">
        <v>1143</v>
      </c>
      <c r="FN69">
        <v>0.25</v>
      </c>
      <c r="FO69" t="s">
        <v>424</v>
      </c>
      <c r="FP69" t="s">
        <v>425</v>
      </c>
      <c r="FR69">
        <v>22</v>
      </c>
      <c r="FS69">
        <v>7434621</v>
      </c>
      <c r="FT69" t="s">
        <v>1144</v>
      </c>
      <c r="FU69" t="s">
        <v>458</v>
      </c>
      <c r="FV69" s="1">
        <v>42515</v>
      </c>
      <c r="FW69">
        <v>2015</v>
      </c>
      <c r="FX69">
        <v>520.16999999999996</v>
      </c>
      <c r="FY69" t="s">
        <v>1145</v>
      </c>
      <c r="FZ69">
        <v>0.25</v>
      </c>
      <c r="GA69" t="s">
        <v>424</v>
      </c>
      <c r="GB69" t="s">
        <v>425</v>
      </c>
      <c r="GC69" s="1">
        <v>42914</v>
      </c>
      <c r="GD69">
        <v>13</v>
      </c>
      <c r="GE69">
        <v>7045074</v>
      </c>
      <c r="GF69" t="s">
        <v>580</v>
      </c>
      <c r="GG69" t="s">
        <v>458</v>
      </c>
      <c r="GH69" s="1">
        <v>42515</v>
      </c>
      <c r="GI69">
        <v>2015</v>
      </c>
      <c r="GJ69">
        <v>520.16999999999996</v>
      </c>
      <c r="GK69" t="s">
        <v>1145</v>
      </c>
      <c r="GL69">
        <v>0.25</v>
      </c>
      <c r="GM69" t="s">
        <v>424</v>
      </c>
      <c r="GN69" t="s">
        <v>425</v>
      </c>
      <c r="GP69">
        <v>22</v>
      </c>
      <c r="GQ69">
        <v>6619049</v>
      </c>
      <c r="GR69" t="s">
        <v>1146</v>
      </c>
      <c r="GS69" t="s">
        <v>458</v>
      </c>
      <c r="GT69" s="1">
        <v>42151</v>
      </c>
      <c r="GU69">
        <v>2014</v>
      </c>
      <c r="GV69">
        <v>519.27</v>
      </c>
      <c r="GW69" t="s">
        <v>1147</v>
      </c>
      <c r="GX69">
        <v>0.25</v>
      </c>
      <c r="GY69" t="s">
        <v>424</v>
      </c>
      <c r="GZ69" t="s">
        <v>425</v>
      </c>
      <c r="HB69">
        <v>22</v>
      </c>
      <c r="HC69">
        <v>4975594</v>
      </c>
      <c r="HD69" t="s">
        <v>457</v>
      </c>
      <c r="HE69" t="s">
        <v>458</v>
      </c>
      <c r="HF69" s="1">
        <v>42151</v>
      </c>
      <c r="HG69">
        <v>2014</v>
      </c>
      <c r="HH69">
        <v>519.27</v>
      </c>
      <c r="HI69" t="s">
        <v>1147</v>
      </c>
      <c r="HJ69">
        <v>0.25</v>
      </c>
      <c r="HK69" t="s">
        <v>424</v>
      </c>
      <c r="HL69" t="s">
        <v>425</v>
      </c>
      <c r="HN69">
        <v>22</v>
      </c>
      <c r="HO69">
        <v>6286579</v>
      </c>
      <c r="HP69" t="s">
        <v>1148</v>
      </c>
      <c r="HQ69" t="s">
        <v>458</v>
      </c>
      <c r="HR69" s="1">
        <v>41787</v>
      </c>
      <c r="HS69">
        <v>2013</v>
      </c>
      <c r="HT69">
        <v>577.49</v>
      </c>
      <c r="HU69" t="s">
        <v>1149</v>
      </c>
      <c r="HV69">
        <v>0.25</v>
      </c>
      <c r="HW69" t="s">
        <v>424</v>
      </c>
      <c r="HX69" t="s">
        <v>425</v>
      </c>
      <c r="HY69" s="1">
        <v>42417</v>
      </c>
      <c r="HZ69">
        <v>21</v>
      </c>
      <c r="IA69">
        <v>2407503</v>
      </c>
      <c r="IB69" t="s">
        <v>461</v>
      </c>
      <c r="ID69" s="1">
        <v>41423</v>
      </c>
      <c r="IE69">
        <v>2012</v>
      </c>
      <c r="IF69">
        <v>593.91999999999996</v>
      </c>
      <c r="IG69" t="s">
        <v>1150</v>
      </c>
      <c r="IH69">
        <v>3.5</v>
      </c>
      <c r="II69" t="s">
        <v>424</v>
      </c>
      <c r="IJ69" t="s">
        <v>425</v>
      </c>
      <c r="IL69">
        <v>22</v>
      </c>
      <c r="IM69">
        <v>15399</v>
      </c>
      <c r="IN69" t="s">
        <v>485</v>
      </c>
      <c r="IP69" s="1">
        <v>41423</v>
      </c>
      <c r="IQ69">
        <v>2012</v>
      </c>
      <c r="IR69">
        <v>593.91999999999996</v>
      </c>
      <c r="IS69" t="s">
        <v>1150</v>
      </c>
      <c r="IT69">
        <v>3.5</v>
      </c>
      <c r="IU69" t="s">
        <v>424</v>
      </c>
      <c r="IV69" t="s">
        <v>425</v>
      </c>
      <c r="IW69" s="1">
        <v>42090</v>
      </c>
      <c r="IX69">
        <v>22</v>
      </c>
      <c r="IY69">
        <v>13027</v>
      </c>
      <c r="IZ69" t="s">
        <v>826</v>
      </c>
      <c r="JB69" s="1">
        <v>41052</v>
      </c>
      <c r="JC69">
        <v>2011</v>
      </c>
      <c r="JD69">
        <v>543.58000000000004</v>
      </c>
      <c r="JE69" t="s">
        <v>1151</v>
      </c>
      <c r="JF69">
        <v>6</v>
      </c>
      <c r="JG69" t="s">
        <v>424</v>
      </c>
      <c r="JH69" t="s">
        <v>425</v>
      </c>
      <c r="JI69" s="1">
        <v>41712</v>
      </c>
      <c r="JJ69">
        <v>22</v>
      </c>
      <c r="JK69">
        <v>10125</v>
      </c>
      <c r="JL69" t="s">
        <v>440</v>
      </c>
      <c r="JN69" s="1">
        <v>40688</v>
      </c>
      <c r="JO69">
        <v>2010</v>
      </c>
      <c r="JP69">
        <v>584.30999999999995</v>
      </c>
      <c r="JQ69" t="s">
        <v>1152</v>
      </c>
      <c r="JR69">
        <v>5</v>
      </c>
      <c r="JS69" t="s">
        <v>424</v>
      </c>
      <c r="JT69" t="s">
        <v>425</v>
      </c>
      <c r="JU69" s="1">
        <v>41417</v>
      </c>
      <c r="JV69">
        <v>24</v>
      </c>
      <c r="JW69">
        <v>287</v>
      </c>
      <c r="JX69" t="s">
        <v>572</v>
      </c>
    </row>
    <row r="70" spans="1:284" x14ac:dyDescent="0.25">
      <c r="A70">
        <v>16485077</v>
      </c>
      <c r="B70">
        <v>69</v>
      </c>
      <c r="C70" t="s">
        <v>393</v>
      </c>
      <c r="D70" t="s">
        <v>394</v>
      </c>
      <c r="F70" t="str">
        <f>"19-1S-23-0000-0005-0050"</f>
        <v>19-1S-23-0000-0005-0050</v>
      </c>
      <c r="H70" t="str">
        <f>"MEEKS-JOHNSON SARA MELANIE"</f>
        <v>MEEKS-JOHNSON SARA MELANIE</v>
      </c>
      <c r="I70" t="str">
        <f>"631 PEACELILY LANE"</f>
        <v>631 PEACELILY LANE</v>
      </c>
      <c r="J70" t="str">
        <f>"BRYCEVILLE FL 32009"</f>
        <v>BRYCEVILLE FL 32009</v>
      </c>
      <c r="K70" t="str">
        <f>"631 PEACE LILY LN"</f>
        <v>631 PEACE LILY LN</v>
      </c>
      <c r="L70" t="str">
        <f>"OUTSIDE COUNTY FL 32009"</f>
        <v>OUTSIDE COUNTY FL 32009</v>
      </c>
      <c r="M70" t="str">
        <f>"PT OF GOVT LOT 3 IN OR 681 PG 179"</f>
        <v>PT OF GOVT LOT 3 IN OR 681 PG 179</v>
      </c>
      <c r="N70" t="str">
        <f>""</f>
        <v/>
      </c>
      <c r="O70" t="str">
        <f>"32581"</f>
        <v>32581</v>
      </c>
      <c r="P70" t="str">
        <f t="shared" si="27"/>
        <v>2017</v>
      </c>
      <c r="Q70" t="str">
        <f>""</f>
        <v/>
      </c>
      <c r="R70" t="str">
        <f>"Y"</f>
        <v>Y</v>
      </c>
      <c r="S70" t="str">
        <f>"1.03"</f>
        <v>1.03</v>
      </c>
      <c r="T70" t="str">
        <f>"1117.19"</f>
        <v>1117.19</v>
      </c>
      <c r="U70" t="str">
        <f>"112901.00"</f>
        <v>112901.00</v>
      </c>
      <c r="V70" t="str">
        <f>"112901.00"</f>
        <v>112901.00</v>
      </c>
      <c r="W70" t="str">
        <f t="shared" si="28"/>
        <v>2017</v>
      </c>
      <c r="X70" t="str">
        <f>"10.50"</f>
        <v>10.50</v>
      </c>
      <c r="Y70" t="str">
        <f>"1182.71"</f>
        <v>1182.71</v>
      </c>
      <c r="Z70" t="str">
        <f>"25000.00"</f>
        <v>25000.00</v>
      </c>
      <c r="AA70" t="str">
        <f>"87901.00"</f>
        <v>87901.00</v>
      </c>
      <c r="AB70" t="str">
        <f t="shared" si="29"/>
        <v>Residential</v>
      </c>
      <c r="AC70" t="str">
        <f t="shared" si="30"/>
        <v>0</v>
      </c>
      <c r="AD70" t="str">
        <f t="shared" si="25"/>
        <v>4</v>
      </c>
      <c r="AE70" t="str">
        <f t="shared" si="26"/>
        <v>WOOD (INCLUDE STEEL STUDS)</v>
      </c>
      <c r="AF70" t="str">
        <f>"001"</f>
        <v>001</v>
      </c>
      <c r="AG70" t="str">
        <f t="shared" si="24"/>
        <v>FL</v>
      </c>
      <c r="AH70" t="str">
        <f>"44866.00"</f>
        <v>44866.00</v>
      </c>
      <c r="AI70" t="str">
        <f>"15450.00"</f>
        <v>15450.00</v>
      </c>
      <c r="AJ70" t="str">
        <f>"C55-000-587-2067-3"</f>
        <v>C55-000-587-2067-3</v>
      </c>
      <c r="AK70" t="str">
        <f>"3002"</f>
        <v>3002</v>
      </c>
      <c r="AL70">
        <v>1</v>
      </c>
      <c r="AM70">
        <v>80</v>
      </c>
      <c r="AN70">
        <v>1240.25</v>
      </c>
      <c r="AQ70" t="s">
        <v>1153</v>
      </c>
      <c r="AR70" t="s">
        <v>1153</v>
      </c>
      <c r="AS70" t="s">
        <v>1153</v>
      </c>
      <c r="AU70" t="s">
        <v>396</v>
      </c>
      <c r="AV70">
        <v>2017</v>
      </c>
      <c r="AW70" t="str">
        <f>"19-1S-23-0000-0005-0050 "</f>
        <v xml:space="preserve">19-1S-23-0000-0005-0050 </v>
      </c>
      <c r="AX70">
        <v>631</v>
      </c>
      <c r="AZ70" t="s">
        <v>1154</v>
      </c>
      <c r="BA70" t="s">
        <v>653</v>
      </c>
      <c r="BD70" t="s">
        <v>1155</v>
      </c>
      <c r="BE70" t="s">
        <v>393</v>
      </c>
      <c r="BF70">
        <v>32009</v>
      </c>
      <c r="BG70" t="s">
        <v>1156</v>
      </c>
      <c r="BH70" t="s">
        <v>1157</v>
      </c>
      <c r="BI70">
        <v>-82.039213443737395</v>
      </c>
      <c r="BJ70">
        <v>30.3939350165771</v>
      </c>
      <c r="BK70" t="s">
        <v>1158</v>
      </c>
      <c r="BM70" t="s">
        <v>1156</v>
      </c>
      <c r="BN70" t="s">
        <v>558</v>
      </c>
      <c r="BO70">
        <v>32009</v>
      </c>
      <c r="BP70" t="s">
        <v>416</v>
      </c>
      <c r="BQ70">
        <v>100</v>
      </c>
      <c r="BR70" t="s">
        <v>514</v>
      </c>
      <c r="BS70">
        <v>1001</v>
      </c>
      <c r="BT70" t="s">
        <v>515</v>
      </c>
      <c r="BW70">
        <v>44866</v>
      </c>
      <c r="BX70" t="s">
        <v>407</v>
      </c>
      <c r="BY70" t="s">
        <v>408</v>
      </c>
      <c r="BZ70">
        <v>4</v>
      </c>
      <c r="CA70">
        <v>1993</v>
      </c>
      <c r="CB70">
        <v>2</v>
      </c>
      <c r="CC70">
        <v>1</v>
      </c>
      <c r="CD70">
        <v>2017</v>
      </c>
      <c r="CG70">
        <v>112901</v>
      </c>
      <c r="CH70">
        <v>2017</v>
      </c>
      <c r="CI70">
        <v>15450</v>
      </c>
      <c r="CJ70">
        <v>118306</v>
      </c>
      <c r="CK70">
        <v>133756</v>
      </c>
      <c r="CL70">
        <v>2017</v>
      </c>
      <c r="CM70">
        <v>1117.19</v>
      </c>
      <c r="CN70" s="1">
        <v>34107</v>
      </c>
      <c r="CZ70" s="1">
        <v>34107</v>
      </c>
      <c r="DD70" t="s">
        <v>1155</v>
      </c>
      <c r="DF70">
        <v>3</v>
      </c>
      <c r="DG70">
        <v>19</v>
      </c>
      <c r="DL70">
        <v>50504</v>
      </c>
      <c r="DM70" t="s">
        <v>1159</v>
      </c>
      <c r="DO70" t="s">
        <v>1160</v>
      </c>
      <c r="DP70">
        <v>0</v>
      </c>
      <c r="DQ70">
        <v>0</v>
      </c>
      <c r="DR70" t="s">
        <v>411</v>
      </c>
      <c r="DS70" t="b">
        <v>1</v>
      </c>
      <c r="DT70" t="s">
        <v>470</v>
      </c>
      <c r="DU70" t="s">
        <v>471</v>
      </c>
      <c r="DV70" t="s">
        <v>472</v>
      </c>
      <c r="DX70">
        <v>-9999</v>
      </c>
      <c r="DZ70" t="s">
        <v>447</v>
      </c>
      <c r="EA70" t="s">
        <v>448</v>
      </c>
      <c r="EB70" t="s">
        <v>742</v>
      </c>
      <c r="EC70">
        <v>20101217</v>
      </c>
      <c r="ED70" t="s">
        <v>474</v>
      </c>
      <c r="EF70">
        <v>41.5</v>
      </c>
      <c r="EG70">
        <v>41.5</v>
      </c>
      <c r="EI70">
        <v>20160407</v>
      </c>
      <c r="EJ70">
        <v>0</v>
      </c>
      <c r="EK70">
        <v>0</v>
      </c>
      <c r="EP70" t="s">
        <v>421</v>
      </c>
      <c r="EQ70" t="s">
        <v>422</v>
      </c>
      <c r="ER70">
        <v>0</v>
      </c>
      <c r="ES70">
        <v>6</v>
      </c>
      <c r="ET70">
        <v>0</v>
      </c>
      <c r="EU70">
        <v>0</v>
      </c>
      <c r="EV70">
        <v>0</v>
      </c>
      <c r="EW70" s="2">
        <v>43222</v>
      </c>
      <c r="EX70" s="1">
        <v>42515</v>
      </c>
      <c r="EY70">
        <v>2015</v>
      </c>
      <c r="EZ70">
        <v>1249.25</v>
      </c>
      <c r="FA70" t="s">
        <v>1161</v>
      </c>
      <c r="FB70">
        <v>0.25</v>
      </c>
      <c r="FC70" t="s">
        <v>424</v>
      </c>
      <c r="FD70" t="s">
        <v>425</v>
      </c>
      <c r="FE70" s="1">
        <v>42663</v>
      </c>
      <c r="FF70">
        <v>5</v>
      </c>
      <c r="FG70">
        <v>7045074</v>
      </c>
      <c r="FH70" t="s">
        <v>580</v>
      </c>
      <c r="FJ70" s="1">
        <v>42515</v>
      </c>
      <c r="FK70">
        <v>2015</v>
      </c>
      <c r="FL70">
        <v>1249.25</v>
      </c>
      <c r="FM70" t="s">
        <v>1161</v>
      </c>
      <c r="FN70">
        <v>0.25</v>
      </c>
      <c r="FO70" t="s">
        <v>424</v>
      </c>
      <c r="FP70" t="s">
        <v>425</v>
      </c>
      <c r="FR70">
        <v>22</v>
      </c>
      <c r="FS70">
        <v>6467159</v>
      </c>
      <c r="FT70" t="s">
        <v>1162</v>
      </c>
      <c r="FV70" s="1">
        <v>42151</v>
      </c>
      <c r="FW70">
        <v>2014</v>
      </c>
      <c r="FX70">
        <v>1241.17</v>
      </c>
      <c r="FY70" t="s">
        <v>1163</v>
      </c>
      <c r="FZ70">
        <v>0.25</v>
      </c>
      <c r="GA70" t="s">
        <v>424</v>
      </c>
      <c r="GB70" t="s">
        <v>425</v>
      </c>
      <c r="GC70" s="1">
        <v>42663</v>
      </c>
      <c r="GD70">
        <v>17</v>
      </c>
      <c r="GE70">
        <v>4975594</v>
      </c>
      <c r="GF70" t="s">
        <v>457</v>
      </c>
      <c r="GH70" s="1">
        <v>42151</v>
      </c>
      <c r="GI70">
        <v>2014</v>
      </c>
      <c r="GJ70">
        <v>1241.17</v>
      </c>
      <c r="GK70" t="s">
        <v>1163</v>
      </c>
      <c r="GL70">
        <v>0.25</v>
      </c>
      <c r="GM70" t="s">
        <v>424</v>
      </c>
      <c r="GN70" t="s">
        <v>425</v>
      </c>
      <c r="GP70">
        <v>22</v>
      </c>
      <c r="GQ70">
        <v>6209854</v>
      </c>
      <c r="GR70" t="s">
        <v>1164</v>
      </c>
      <c r="GT70" s="1">
        <v>41423</v>
      </c>
      <c r="GU70">
        <v>2012</v>
      </c>
      <c r="GV70">
        <v>1200.82</v>
      </c>
      <c r="GW70" t="s">
        <v>1165</v>
      </c>
      <c r="GX70">
        <v>0.25</v>
      </c>
      <c r="GY70" t="s">
        <v>424</v>
      </c>
      <c r="GZ70" t="s">
        <v>425</v>
      </c>
      <c r="HA70" s="1">
        <v>41775</v>
      </c>
      <c r="HB70">
        <v>12</v>
      </c>
      <c r="HC70">
        <v>11303</v>
      </c>
      <c r="HD70" t="s">
        <v>918</v>
      </c>
      <c r="HF70" s="1">
        <v>40688</v>
      </c>
      <c r="HG70">
        <v>2010</v>
      </c>
      <c r="HH70">
        <v>1332.69</v>
      </c>
      <c r="HI70" t="s">
        <v>1166</v>
      </c>
      <c r="HJ70">
        <v>0.25</v>
      </c>
      <c r="HK70" t="s">
        <v>424</v>
      </c>
      <c r="HL70" t="s">
        <v>425</v>
      </c>
      <c r="HM70" s="1">
        <v>41015</v>
      </c>
      <c r="HN70">
        <v>11</v>
      </c>
      <c r="HO70">
        <v>11177</v>
      </c>
      <c r="HP70" t="s">
        <v>650</v>
      </c>
    </row>
    <row r="71" spans="1:284" x14ac:dyDescent="0.25">
      <c r="A71">
        <v>16485078</v>
      </c>
      <c r="B71">
        <v>70</v>
      </c>
      <c r="C71" t="s">
        <v>393</v>
      </c>
      <c r="D71" t="s">
        <v>394</v>
      </c>
      <c r="F71" t="str">
        <f>"33-1S-23-0000-0003-0000"</f>
        <v>33-1S-23-0000-0003-0000</v>
      </c>
      <c r="H71" t="str">
        <f>"8035 WILDCAT LAND TRUST"</f>
        <v>8035 WILDCAT LAND TRUST</v>
      </c>
      <c r="I71" t="str">
        <f>"3658 BLUEBERRY LN"</f>
        <v>3658 BLUEBERRY LN</v>
      </c>
      <c r="J71" t="str">
        <f>"HILLIARD FL 32046"</f>
        <v>HILLIARD FL 32046</v>
      </c>
      <c r="K71" t="str">
        <f>"8035 WILDCAT WAY"</f>
        <v>8035 WILDCAT WAY</v>
      </c>
      <c r="L71" t="str">
        <f>"BRYCEVILLE FL 32009"</f>
        <v>BRYCEVILLE FL 32009</v>
      </c>
      <c r="M71" t="str">
        <f>"PT GOVT LOT 4 OF SEC 33-1S-23E &amp; PT GOVT LOT 1 OF SEC 32-1S-23E IN OR 2042/107 {R567580}"</f>
        <v>PT GOVT LOT 4 OF SEC 33-1S-23E &amp; PT GOVT LOT 1 OF SEC 32-1S-23E IN OR 2042/107 {R567580}</v>
      </c>
      <c r="N71" t="str">
        <f>""</f>
        <v/>
      </c>
      <c r="O71" t="str">
        <f>"40833"</f>
        <v>40833</v>
      </c>
      <c r="P71" t="str">
        <f t="shared" si="27"/>
        <v>2017</v>
      </c>
      <c r="Q71" t="str">
        <f>""</f>
        <v/>
      </c>
      <c r="R71" t="str">
        <f>"N"</f>
        <v>N</v>
      </c>
      <c r="S71" t="str">
        <f>"3.00"</f>
        <v>3.00</v>
      </c>
      <c r="T71" t="str">
        <f>"1214.36"</f>
        <v>1214.36</v>
      </c>
      <c r="U71" t="str">
        <f>"80215.00"</f>
        <v>80215.00</v>
      </c>
      <c r="V71" t="str">
        <f>"80215.00"</f>
        <v>80215.00</v>
      </c>
      <c r="W71" t="str">
        <f t="shared" si="28"/>
        <v>2017</v>
      </c>
      <c r="X71" t="str">
        <f>"16.75"</f>
        <v>16.75</v>
      </c>
      <c r="Y71" t="str">
        <f>"1282.79"</f>
        <v>1282.79</v>
      </c>
      <c r="Z71" t="str">
        <f>""</f>
        <v/>
      </c>
      <c r="AA71" t="str">
        <f>"80215.00"</f>
        <v>80215.00</v>
      </c>
      <c r="AB71" t="str">
        <f t="shared" si="29"/>
        <v>Residential</v>
      </c>
      <c r="AC71" t="str">
        <f t="shared" si="30"/>
        <v>0</v>
      </c>
      <c r="AD71" t="str">
        <f t="shared" si="25"/>
        <v>4</v>
      </c>
      <c r="AE71" t="str">
        <f t="shared" si="26"/>
        <v>WOOD (INCLUDE STEEL STUDS)</v>
      </c>
      <c r="AF71" t="str">
        <f>"001"</f>
        <v>001</v>
      </c>
      <c r="AG71" t="str">
        <f t="shared" si="24"/>
        <v>FL</v>
      </c>
      <c r="AH71" t="str">
        <f>"130680.00"</f>
        <v>130680.00</v>
      </c>
      <c r="AI71" t="str">
        <f>"24000.00"</f>
        <v>24000.00</v>
      </c>
      <c r="AJ71" t="str">
        <f>"C55-000-587-7224-5"</f>
        <v>C55-000-587-7224-5</v>
      </c>
      <c r="AK71" t="str">
        <f>"3137"</f>
        <v>3137</v>
      </c>
      <c r="AL71">
        <v>1</v>
      </c>
      <c r="AM71">
        <v>81</v>
      </c>
      <c r="AN71">
        <v>1345.33</v>
      </c>
      <c r="AQ71" t="s">
        <v>1167</v>
      </c>
      <c r="AR71" t="s">
        <v>1167</v>
      </c>
      <c r="AS71" t="s">
        <v>1167</v>
      </c>
      <c r="AU71" t="s">
        <v>396</v>
      </c>
      <c r="AV71">
        <v>2017</v>
      </c>
      <c r="AW71" t="str">
        <f>"33-1S-23-0000-0003-0000 "</f>
        <v xml:space="preserve">33-1S-23-0000-0003-0000 </v>
      </c>
      <c r="AX71">
        <v>8035</v>
      </c>
      <c r="AZ71" t="s">
        <v>1168</v>
      </c>
      <c r="BA71" t="s">
        <v>866</v>
      </c>
      <c r="BD71" t="s">
        <v>553</v>
      </c>
      <c r="BE71" t="s">
        <v>393</v>
      </c>
      <c r="BF71">
        <v>32009</v>
      </c>
      <c r="BG71" t="s">
        <v>1169</v>
      </c>
      <c r="BH71" t="s">
        <v>555</v>
      </c>
      <c r="BI71">
        <v>-82.015760580489101</v>
      </c>
      <c r="BJ71">
        <v>30.371943988416401</v>
      </c>
      <c r="BK71" t="s">
        <v>1170</v>
      </c>
      <c r="BM71" t="s">
        <v>1171</v>
      </c>
      <c r="BN71" t="s">
        <v>403</v>
      </c>
      <c r="BO71">
        <v>32046</v>
      </c>
      <c r="BP71" t="s">
        <v>404</v>
      </c>
      <c r="BQ71">
        <v>100</v>
      </c>
      <c r="BR71" t="s">
        <v>514</v>
      </c>
      <c r="BS71">
        <v>1001</v>
      </c>
      <c r="BT71" t="s">
        <v>515</v>
      </c>
      <c r="BW71">
        <v>130680</v>
      </c>
      <c r="BX71" t="s">
        <v>407</v>
      </c>
      <c r="BY71" t="s">
        <v>408</v>
      </c>
      <c r="BZ71">
        <v>4</v>
      </c>
      <c r="CA71">
        <v>1960</v>
      </c>
      <c r="CB71">
        <v>1</v>
      </c>
      <c r="CC71">
        <v>2</v>
      </c>
      <c r="CD71">
        <v>2017</v>
      </c>
      <c r="CE71">
        <v>24000</v>
      </c>
      <c r="CF71">
        <v>56215</v>
      </c>
      <c r="CG71">
        <v>80215</v>
      </c>
      <c r="CH71">
        <v>2017</v>
      </c>
      <c r="CI71">
        <v>24000</v>
      </c>
      <c r="CJ71">
        <v>56215</v>
      </c>
      <c r="CK71">
        <v>80215</v>
      </c>
      <c r="CL71">
        <v>2017</v>
      </c>
      <c r="CM71">
        <v>1214.3599999999999</v>
      </c>
      <c r="CN71" s="1">
        <v>42486</v>
      </c>
      <c r="CO71">
        <v>35000</v>
      </c>
      <c r="CV71">
        <v>0</v>
      </c>
      <c r="CZ71" s="1">
        <v>42486</v>
      </c>
      <c r="DA71">
        <v>0</v>
      </c>
      <c r="DD71" t="s">
        <v>553</v>
      </c>
      <c r="DF71">
        <v>4</v>
      </c>
      <c r="DG71">
        <v>33</v>
      </c>
      <c r="DL71">
        <v>50504</v>
      </c>
      <c r="DM71" t="s">
        <v>1172</v>
      </c>
      <c r="DO71" t="s">
        <v>1173</v>
      </c>
      <c r="DP71">
        <v>0</v>
      </c>
      <c r="DQ71">
        <v>2</v>
      </c>
      <c r="DR71" t="s">
        <v>1174</v>
      </c>
      <c r="DS71" t="b">
        <v>1</v>
      </c>
      <c r="DT71" t="s">
        <v>396</v>
      </c>
      <c r="DV71" t="s">
        <v>446</v>
      </c>
      <c r="DX71">
        <v>-9999</v>
      </c>
      <c r="DZ71" t="s">
        <v>447</v>
      </c>
      <c r="EA71" t="s">
        <v>448</v>
      </c>
      <c r="EB71" t="s">
        <v>449</v>
      </c>
      <c r="EC71">
        <v>20101217</v>
      </c>
      <c r="ED71" t="s">
        <v>450</v>
      </c>
      <c r="EE71">
        <v>59.3</v>
      </c>
      <c r="EF71">
        <v>0</v>
      </c>
      <c r="EG71">
        <v>0</v>
      </c>
      <c r="EI71">
        <v>20160407</v>
      </c>
      <c r="EJ71">
        <v>0</v>
      </c>
      <c r="EK71">
        <v>0</v>
      </c>
      <c r="EP71" t="s">
        <v>421</v>
      </c>
      <c r="EQ71" t="s">
        <v>452</v>
      </c>
      <c r="ER71">
        <v>2</v>
      </c>
      <c r="ES71">
        <v>7</v>
      </c>
      <c r="ET71">
        <v>2721.08</v>
      </c>
      <c r="EU71">
        <v>148.55000000000001</v>
      </c>
      <c r="EV71">
        <v>2869.63</v>
      </c>
      <c r="EW71" s="2">
        <v>43222</v>
      </c>
      <c r="EX71" s="1">
        <v>42879</v>
      </c>
      <c r="EY71">
        <v>2016</v>
      </c>
      <c r="EZ71">
        <v>1360.54</v>
      </c>
      <c r="FA71" t="s">
        <v>1175</v>
      </c>
      <c r="FB71">
        <v>0.25</v>
      </c>
      <c r="FC71" t="s">
        <v>424</v>
      </c>
      <c r="FD71" t="s">
        <v>454</v>
      </c>
      <c r="FF71">
        <v>12</v>
      </c>
      <c r="FG71">
        <v>7400234</v>
      </c>
      <c r="FH71" t="s">
        <v>426</v>
      </c>
      <c r="FJ71" s="1">
        <v>42879</v>
      </c>
      <c r="FK71">
        <v>2016</v>
      </c>
      <c r="FL71">
        <v>1360.54</v>
      </c>
      <c r="FM71" t="s">
        <v>1175</v>
      </c>
      <c r="FN71">
        <v>0.25</v>
      </c>
      <c r="FO71" t="s">
        <v>424</v>
      </c>
      <c r="FP71" t="s">
        <v>454</v>
      </c>
      <c r="FR71">
        <v>12</v>
      </c>
      <c r="FS71">
        <v>7548296</v>
      </c>
      <c r="FT71" t="s">
        <v>1176</v>
      </c>
      <c r="FV71" s="1">
        <v>42515</v>
      </c>
      <c r="FW71">
        <v>2015</v>
      </c>
      <c r="FX71">
        <v>1390.97</v>
      </c>
      <c r="FY71" t="s">
        <v>1177</v>
      </c>
      <c r="FZ71">
        <v>0.25</v>
      </c>
      <c r="GA71" t="s">
        <v>424</v>
      </c>
      <c r="GB71" t="s">
        <v>425</v>
      </c>
      <c r="GC71" s="1">
        <v>43188</v>
      </c>
      <c r="GD71">
        <v>22</v>
      </c>
      <c r="GE71">
        <v>11289</v>
      </c>
      <c r="GF71" t="s">
        <v>787</v>
      </c>
      <c r="GH71" s="1">
        <v>42515</v>
      </c>
      <c r="GI71">
        <v>2015</v>
      </c>
      <c r="GJ71">
        <v>1390.97</v>
      </c>
      <c r="GK71" t="s">
        <v>1177</v>
      </c>
      <c r="GL71">
        <v>0.25</v>
      </c>
      <c r="GM71" t="s">
        <v>424</v>
      </c>
      <c r="GN71" t="s">
        <v>425</v>
      </c>
      <c r="GP71">
        <v>22</v>
      </c>
      <c r="GQ71">
        <v>7179246</v>
      </c>
      <c r="GR71" t="s">
        <v>1178</v>
      </c>
      <c r="GT71" s="1">
        <v>41423</v>
      </c>
      <c r="GU71">
        <v>2012</v>
      </c>
      <c r="GV71">
        <v>1543.71</v>
      </c>
      <c r="GW71" t="s">
        <v>1179</v>
      </c>
      <c r="GX71">
        <v>0.25</v>
      </c>
      <c r="GY71" t="s">
        <v>424</v>
      </c>
      <c r="GZ71" t="s">
        <v>425</v>
      </c>
      <c r="HA71" s="1">
        <v>41761</v>
      </c>
      <c r="HB71">
        <v>12</v>
      </c>
      <c r="HC71">
        <v>15398</v>
      </c>
      <c r="HD71" t="s">
        <v>1180</v>
      </c>
      <c r="HE71" t="s">
        <v>458</v>
      </c>
      <c r="HF71" s="1">
        <v>41052</v>
      </c>
      <c r="HG71">
        <v>2011</v>
      </c>
      <c r="HH71">
        <v>1594.58</v>
      </c>
      <c r="HI71" t="s">
        <v>1181</v>
      </c>
      <c r="HJ71">
        <v>0.25</v>
      </c>
      <c r="HK71" t="s">
        <v>424</v>
      </c>
      <c r="HL71" t="s">
        <v>425</v>
      </c>
      <c r="HN71">
        <v>22</v>
      </c>
      <c r="HO71">
        <v>13104</v>
      </c>
      <c r="HP71" t="s">
        <v>888</v>
      </c>
      <c r="HQ71" t="s">
        <v>458</v>
      </c>
      <c r="HR71" s="1">
        <v>41052</v>
      </c>
      <c r="HS71">
        <v>2011</v>
      </c>
      <c r="HT71">
        <v>1594.58</v>
      </c>
      <c r="HU71" t="s">
        <v>1181</v>
      </c>
      <c r="HV71">
        <v>0.25</v>
      </c>
      <c r="HW71" t="s">
        <v>424</v>
      </c>
      <c r="HX71" t="s">
        <v>425</v>
      </c>
      <c r="HZ71">
        <v>22</v>
      </c>
      <c r="IA71">
        <v>13740</v>
      </c>
      <c r="IB71" t="s">
        <v>1182</v>
      </c>
      <c r="IC71" t="s">
        <v>458</v>
      </c>
      <c r="ID71" s="1">
        <v>41052</v>
      </c>
      <c r="IE71">
        <v>2010</v>
      </c>
      <c r="IF71">
        <v>2941.23</v>
      </c>
      <c r="IG71" t="s">
        <v>1183</v>
      </c>
      <c r="IH71">
        <v>0.25</v>
      </c>
      <c r="II71" t="s">
        <v>424</v>
      </c>
      <c r="IJ71" t="s">
        <v>425</v>
      </c>
      <c r="IL71">
        <v>22</v>
      </c>
      <c r="IM71">
        <v>13104</v>
      </c>
      <c r="IN71" t="s">
        <v>888</v>
      </c>
      <c r="IO71" t="s">
        <v>458</v>
      </c>
      <c r="IP71" s="1">
        <v>41052</v>
      </c>
      <c r="IQ71">
        <v>2010</v>
      </c>
      <c r="IR71">
        <v>2941.23</v>
      </c>
      <c r="IS71" t="s">
        <v>1183</v>
      </c>
      <c r="IT71">
        <v>0.25</v>
      </c>
      <c r="IU71" t="s">
        <v>424</v>
      </c>
      <c r="IV71" t="s">
        <v>425</v>
      </c>
      <c r="IX71">
        <v>22</v>
      </c>
      <c r="IY71">
        <v>13725</v>
      </c>
      <c r="IZ71" t="s">
        <v>1184</v>
      </c>
      <c r="JA71" t="s">
        <v>458</v>
      </c>
    </row>
    <row r="72" spans="1:284" x14ac:dyDescent="0.25">
      <c r="A72">
        <v>16485079</v>
      </c>
      <c r="B72">
        <v>71</v>
      </c>
      <c r="C72" t="s">
        <v>393</v>
      </c>
      <c r="D72" t="s">
        <v>394</v>
      </c>
      <c r="F72" t="str">
        <f>"33-1S-23-0000-0005-0010"</f>
        <v>33-1S-23-0000-0005-0010</v>
      </c>
      <c r="H72" t="str">
        <f>"MANSER JACK"</f>
        <v>MANSER JACK</v>
      </c>
      <c r="I72" t="str">
        <f>"6654 COUNTY ROAD 121"</f>
        <v>6654 COUNTY ROAD 121</v>
      </c>
      <c r="J72" t="str">
        <f>"BRYCEVILLE FL 32009"</f>
        <v>BRYCEVILLE FL 32009</v>
      </c>
      <c r="K72" t="str">
        <f>"6654 CR 121"</f>
        <v>6654 CR 121</v>
      </c>
      <c r="L72" t="str">
        <f>"BRYCEVILLE FL 32009"</f>
        <v>BRYCEVILLE FL 32009</v>
      </c>
      <c r="M72" t="str">
        <f>"IN OR 896/1470 MH/ID GAFLR7523712WE"</f>
        <v>IN OR 896/1470 MH/ID GAFLR7523712WE</v>
      </c>
      <c r="N72" t="str">
        <f>""</f>
        <v/>
      </c>
      <c r="O72" t="str">
        <f>"40849"</f>
        <v>40849</v>
      </c>
      <c r="P72" t="str">
        <f t="shared" si="27"/>
        <v>2017</v>
      </c>
      <c r="Q72" t="str">
        <f>""</f>
        <v/>
      </c>
      <c r="R72" t="str">
        <f>"Y"</f>
        <v>Y</v>
      </c>
      <c r="S72" t="str">
        <f>"1.82"</f>
        <v>1.82</v>
      </c>
      <c r="T72" t="str">
        <f>"235.51"</f>
        <v>235.51</v>
      </c>
      <c r="U72" t="str">
        <f>"40557.00"</f>
        <v>40557.00</v>
      </c>
      <c r="V72" t="str">
        <f>"40557.00"</f>
        <v>40557.00</v>
      </c>
      <c r="W72" t="str">
        <f t="shared" si="28"/>
        <v>2017</v>
      </c>
      <c r="X72" t="str">
        <f>"21.00"</f>
        <v>21.00</v>
      </c>
      <c r="Y72" t="str">
        <f>"274.58"</f>
        <v>274.58</v>
      </c>
      <c r="Z72" t="str">
        <f>"25000.00"</f>
        <v>25000.00</v>
      </c>
      <c r="AA72" t="str">
        <f>"15557.00"</f>
        <v>15557.00</v>
      </c>
      <c r="AB72" t="str">
        <f t="shared" si="29"/>
        <v>Residential</v>
      </c>
      <c r="AC72" t="str">
        <f t="shared" si="30"/>
        <v>0</v>
      </c>
      <c r="AD72" t="str">
        <f t="shared" si="25"/>
        <v>4</v>
      </c>
      <c r="AE72" t="str">
        <f t="shared" si="26"/>
        <v>WOOD (INCLUDE STEEL STUDS)</v>
      </c>
      <c r="AF72" t="str">
        <f>"002"</f>
        <v>002</v>
      </c>
      <c r="AG72" t="str">
        <f t="shared" si="24"/>
        <v>FL</v>
      </c>
      <c r="AH72" t="str">
        <f>"79279.00"</f>
        <v>79279.00</v>
      </c>
      <c r="AI72" t="str">
        <f>"27300.00"</f>
        <v>27300.00</v>
      </c>
      <c r="AJ72" t="str">
        <f>"C55-000-587-7239-3"</f>
        <v>C55-000-587-7239-3</v>
      </c>
      <c r="AK72" t="str">
        <f>"3152"</f>
        <v>3152</v>
      </c>
      <c r="AL72">
        <v>1</v>
      </c>
      <c r="AM72">
        <v>82</v>
      </c>
      <c r="AN72">
        <v>286.70999999999998</v>
      </c>
      <c r="AQ72" t="s">
        <v>1185</v>
      </c>
      <c r="AR72" t="s">
        <v>1185</v>
      </c>
      <c r="AS72" t="s">
        <v>1185</v>
      </c>
      <c r="AU72" t="s">
        <v>396</v>
      </c>
      <c r="AV72">
        <v>2017</v>
      </c>
      <c r="AW72" t="str">
        <f>"33-1S-23-0000-0005-0010 "</f>
        <v xml:space="preserve">33-1S-23-0000-0005-0010 </v>
      </c>
      <c r="AX72">
        <v>6654</v>
      </c>
      <c r="AZ72" t="s">
        <v>611</v>
      </c>
      <c r="BD72" t="s">
        <v>553</v>
      </c>
      <c r="BE72" t="s">
        <v>393</v>
      </c>
      <c r="BF72">
        <v>32009</v>
      </c>
      <c r="BG72" t="s">
        <v>1186</v>
      </c>
      <c r="BH72" t="s">
        <v>555</v>
      </c>
      <c r="BI72">
        <v>-82.011613480408599</v>
      </c>
      <c r="BJ72">
        <v>30.3628443020669</v>
      </c>
      <c r="BK72" t="s">
        <v>1187</v>
      </c>
      <c r="BM72" t="s">
        <v>1188</v>
      </c>
      <c r="BN72" t="s">
        <v>558</v>
      </c>
      <c r="BO72">
        <v>32009</v>
      </c>
      <c r="BP72" t="s">
        <v>416</v>
      </c>
      <c r="BQ72">
        <v>200</v>
      </c>
      <c r="BR72" t="s">
        <v>405</v>
      </c>
      <c r="BS72">
        <v>1006</v>
      </c>
      <c r="BT72" t="s">
        <v>406</v>
      </c>
      <c r="BW72">
        <v>79279</v>
      </c>
      <c r="BX72" t="s">
        <v>407</v>
      </c>
      <c r="BY72" t="s">
        <v>408</v>
      </c>
      <c r="BZ72">
        <v>4</v>
      </c>
      <c r="CA72">
        <v>1994</v>
      </c>
      <c r="CB72">
        <v>1</v>
      </c>
      <c r="CC72">
        <v>1</v>
      </c>
      <c r="CD72">
        <v>2017</v>
      </c>
      <c r="CG72">
        <v>40557</v>
      </c>
      <c r="CH72">
        <v>2017</v>
      </c>
      <c r="CI72">
        <v>27300</v>
      </c>
      <c r="CJ72">
        <v>32388</v>
      </c>
      <c r="CK72">
        <v>59688</v>
      </c>
      <c r="CL72">
        <v>2017</v>
      </c>
      <c r="CM72">
        <v>235.51</v>
      </c>
      <c r="CN72" s="1">
        <v>36397</v>
      </c>
      <c r="CO72">
        <v>49900</v>
      </c>
      <c r="CZ72" s="1">
        <v>36397</v>
      </c>
      <c r="DD72" t="s">
        <v>553</v>
      </c>
      <c r="DG72">
        <v>33</v>
      </c>
      <c r="DL72">
        <v>50504</v>
      </c>
      <c r="DM72" t="s">
        <v>1172</v>
      </c>
      <c r="DO72" t="s">
        <v>1189</v>
      </c>
      <c r="DP72">
        <v>0</v>
      </c>
      <c r="DQ72">
        <v>0</v>
      </c>
      <c r="DR72" t="s">
        <v>411</v>
      </c>
      <c r="DS72" t="b">
        <v>1</v>
      </c>
      <c r="DT72" t="s">
        <v>470</v>
      </c>
      <c r="DU72" t="s">
        <v>471</v>
      </c>
      <c r="DV72" t="s">
        <v>472</v>
      </c>
      <c r="DX72">
        <v>-9999</v>
      </c>
      <c r="DZ72" t="s">
        <v>447</v>
      </c>
      <c r="EA72" t="s">
        <v>448</v>
      </c>
      <c r="EB72" t="s">
        <v>1190</v>
      </c>
      <c r="EC72">
        <v>20101217</v>
      </c>
      <c r="ED72" t="s">
        <v>474</v>
      </c>
      <c r="EF72">
        <v>1294.7</v>
      </c>
      <c r="EG72">
        <v>1294.7</v>
      </c>
      <c r="EH72" t="s">
        <v>451</v>
      </c>
      <c r="EI72">
        <v>20140731</v>
      </c>
      <c r="EJ72">
        <v>1</v>
      </c>
      <c r="EK72">
        <v>0</v>
      </c>
      <c r="EP72" t="s">
        <v>421</v>
      </c>
      <c r="EQ72" t="s">
        <v>422</v>
      </c>
      <c r="ER72">
        <v>0</v>
      </c>
      <c r="ES72">
        <v>4</v>
      </c>
      <c r="ET72">
        <v>0</v>
      </c>
      <c r="EU72">
        <v>0</v>
      </c>
      <c r="EV72">
        <v>0</v>
      </c>
      <c r="EW72" s="2">
        <v>43222</v>
      </c>
      <c r="EX72" s="1">
        <v>42151</v>
      </c>
      <c r="EY72">
        <v>2014</v>
      </c>
      <c r="EZ72">
        <v>266.18</v>
      </c>
      <c r="FA72" t="s">
        <v>1191</v>
      </c>
      <c r="FB72">
        <v>0.25</v>
      </c>
      <c r="FC72" t="s">
        <v>424</v>
      </c>
      <c r="FD72" t="s">
        <v>425</v>
      </c>
      <c r="FE72" s="1">
        <v>42416</v>
      </c>
      <c r="FF72">
        <v>9</v>
      </c>
      <c r="FG72">
        <v>4975593</v>
      </c>
      <c r="FH72" t="s">
        <v>505</v>
      </c>
      <c r="FJ72" s="1">
        <v>41787</v>
      </c>
      <c r="FK72">
        <v>2013</v>
      </c>
      <c r="FL72">
        <v>366.54</v>
      </c>
      <c r="FM72" t="s">
        <v>1192</v>
      </c>
      <c r="FN72">
        <v>2.25</v>
      </c>
      <c r="FO72" t="s">
        <v>424</v>
      </c>
      <c r="FP72" t="s">
        <v>425</v>
      </c>
      <c r="FQ72" s="1">
        <v>42416</v>
      </c>
      <c r="FR72">
        <v>21</v>
      </c>
      <c r="FS72">
        <v>15399</v>
      </c>
      <c r="FT72" t="s">
        <v>485</v>
      </c>
      <c r="FV72" s="1">
        <v>41423</v>
      </c>
      <c r="FW72">
        <v>2012</v>
      </c>
      <c r="FX72">
        <v>426.32</v>
      </c>
      <c r="FY72" t="s">
        <v>1193</v>
      </c>
      <c r="FZ72">
        <v>4.5</v>
      </c>
      <c r="GA72" t="s">
        <v>424</v>
      </c>
      <c r="GB72" t="s">
        <v>425</v>
      </c>
      <c r="GD72">
        <v>22</v>
      </c>
      <c r="GE72">
        <v>15399</v>
      </c>
      <c r="GF72" t="s">
        <v>485</v>
      </c>
      <c r="GH72" s="1">
        <v>41423</v>
      </c>
      <c r="GI72">
        <v>2012</v>
      </c>
      <c r="GJ72">
        <v>426.32</v>
      </c>
      <c r="GK72" t="s">
        <v>1193</v>
      </c>
      <c r="GL72">
        <v>4.5</v>
      </c>
      <c r="GM72" t="s">
        <v>424</v>
      </c>
      <c r="GN72" t="s">
        <v>425</v>
      </c>
      <c r="GO72" s="1">
        <v>42416</v>
      </c>
      <c r="GP72">
        <v>33</v>
      </c>
      <c r="GQ72">
        <v>13027</v>
      </c>
      <c r="GR72" t="s">
        <v>826</v>
      </c>
    </row>
    <row r="73" spans="1:284" x14ac:dyDescent="0.25">
      <c r="A73">
        <v>16485080</v>
      </c>
      <c r="B73">
        <v>72</v>
      </c>
      <c r="C73" t="s">
        <v>393</v>
      </c>
      <c r="D73" t="s">
        <v>394</v>
      </c>
      <c r="F73" t="str">
        <f>"37-1S-23-0000-0006-0020"</f>
        <v>37-1S-23-0000-0006-0020</v>
      </c>
      <c r="H73" t="str">
        <f>"LAMPRECHT FRED WILLIAM"</f>
        <v>LAMPRECHT FRED WILLIAM</v>
      </c>
      <c r="I73" t="str">
        <f>"6914 COUNTY ROAD 121"</f>
        <v>6914 COUNTY ROAD 121</v>
      </c>
      <c r="J73" t="str">
        <f>"BRYCEVILLE FL 32009"</f>
        <v>BRYCEVILLE FL 32009</v>
      </c>
      <c r="K73" t="str">
        <f>"6914 CR 121"</f>
        <v>6914 CR 121</v>
      </c>
      <c r="L73" t="str">
        <f>"BRYCEVILLE FL 32009"</f>
        <v>BRYCEVILLE FL 32009</v>
      </c>
      <c r="M73" t="str">
        <f>"IN OR 654 PG 961 R497699 &amp; R497700 TEMP ESMT OR 895/755"</f>
        <v>IN OR 654 PG 961 R497699 &amp; R497700 TEMP ESMT OR 895/755</v>
      </c>
      <c r="N73" t="str">
        <f>""</f>
        <v/>
      </c>
      <c r="O73" t="str">
        <f>"43381"</f>
        <v>43381</v>
      </c>
      <c r="P73" t="str">
        <f t="shared" si="27"/>
        <v>2017</v>
      </c>
      <c r="Q73" t="str">
        <f>""</f>
        <v/>
      </c>
      <c r="R73" t="str">
        <f>"Y"</f>
        <v>Y</v>
      </c>
      <c r="S73" t="str">
        <f>"3.90"</f>
        <v>3.90</v>
      </c>
      <c r="T73" t="str">
        <f>"263.63"</f>
        <v>263.63</v>
      </c>
      <c r="U73" t="str">
        <f>"42414.00"</f>
        <v>42414.00</v>
      </c>
      <c r="V73" t="str">
        <f>"42414.00"</f>
        <v>42414.00</v>
      </c>
      <c r="W73" t="str">
        <f t="shared" si="28"/>
        <v>2017</v>
      </c>
      <c r="X73" t="str">
        <f>"6.40"</f>
        <v>6.40</v>
      </c>
      <c r="Y73" t="str">
        <f>"303.54"</f>
        <v>303.54</v>
      </c>
      <c r="Z73" t="str">
        <f>"25000.00"</f>
        <v>25000.00</v>
      </c>
      <c r="AA73" t="str">
        <f>"17414.00"</f>
        <v>17414.00</v>
      </c>
      <c r="AB73" t="str">
        <f t="shared" si="29"/>
        <v>Residential</v>
      </c>
      <c r="AC73" t="str">
        <f t="shared" si="30"/>
        <v>0</v>
      </c>
      <c r="AD73" t="str">
        <f t="shared" si="25"/>
        <v>4</v>
      </c>
      <c r="AE73" t="str">
        <f t="shared" si="26"/>
        <v>WOOD (INCLUDE STEEL STUDS)</v>
      </c>
      <c r="AF73" t="str">
        <f>"002"</f>
        <v>002</v>
      </c>
      <c r="AG73" t="str">
        <f t="shared" si="24"/>
        <v>FL</v>
      </c>
      <c r="AH73" t="str">
        <f>"169884.00"</f>
        <v>169884.00</v>
      </c>
      <c r="AI73" t="str">
        <f>"24960.00"</f>
        <v>24960.00</v>
      </c>
      <c r="AJ73" t="str">
        <f>"C55-000-587-9289-6"</f>
        <v>C55-000-587-9289-6</v>
      </c>
      <c r="AK73" t="str">
        <f>"3174"</f>
        <v>3174</v>
      </c>
      <c r="AL73">
        <v>1</v>
      </c>
      <c r="AM73">
        <v>83</v>
      </c>
      <c r="AN73">
        <v>317.12</v>
      </c>
      <c r="AQ73" t="s">
        <v>1194</v>
      </c>
      <c r="AR73" t="s">
        <v>1194</v>
      </c>
      <c r="AS73" t="s">
        <v>1194</v>
      </c>
      <c r="AU73" t="s">
        <v>396</v>
      </c>
      <c r="AV73">
        <v>2017</v>
      </c>
      <c r="AW73" t="str">
        <f>"37-1S-23-0000-0006-0020 "</f>
        <v xml:space="preserve">37-1S-23-0000-0006-0020 </v>
      </c>
      <c r="AX73">
        <v>6914</v>
      </c>
      <c r="AZ73" t="s">
        <v>611</v>
      </c>
      <c r="BD73" t="s">
        <v>553</v>
      </c>
      <c r="BE73" t="s">
        <v>393</v>
      </c>
      <c r="BF73">
        <v>32009</v>
      </c>
      <c r="BG73" t="s">
        <v>1195</v>
      </c>
      <c r="BH73" t="s">
        <v>555</v>
      </c>
      <c r="BI73">
        <v>-82.016121879902101</v>
      </c>
      <c r="BJ73">
        <v>30.367425978185899</v>
      </c>
      <c r="BK73" t="s">
        <v>1196</v>
      </c>
      <c r="BM73" t="s">
        <v>1197</v>
      </c>
      <c r="BN73" t="s">
        <v>558</v>
      </c>
      <c r="BO73">
        <v>32009</v>
      </c>
      <c r="BP73" t="s">
        <v>416</v>
      </c>
      <c r="BQ73">
        <v>200</v>
      </c>
      <c r="BR73" t="s">
        <v>405</v>
      </c>
      <c r="BS73">
        <v>1006</v>
      </c>
      <c r="BT73" t="s">
        <v>406</v>
      </c>
      <c r="BW73">
        <v>169884</v>
      </c>
      <c r="BX73" t="s">
        <v>407</v>
      </c>
      <c r="BY73" t="s">
        <v>408</v>
      </c>
      <c r="BZ73">
        <v>4</v>
      </c>
      <c r="CA73">
        <v>1992</v>
      </c>
      <c r="CB73">
        <v>1</v>
      </c>
      <c r="CC73">
        <v>1</v>
      </c>
      <c r="CD73">
        <v>2017</v>
      </c>
      <c r="CG73">
        <v>42414</v>
      </c>
      <c r="CH73">
        <v>2017</v>
      </c>
      <c r="CI73">
        <v>24960</v>
      </c>
      <c r="CJ73">
        <v>31285</v>
      </c>
      <c r="CK73">
        <v>56245</v>
      </c>
      <c r="CL73">
        <v>2017</v>
      </c>
      <c r="CM73">
        <v>263.63</v>
      </c>
      <c r="CN73" s="1">
        <v>33707</v>
      </c>
      <c r="CO73">
        <v>10500</v>
      </c>
      <c r="CZ73" s="1">
        <v>33707</v>
      </c>
      <c r="DD73" t="s">
        <v>553</v>
      </c>
      <c r="DG73">
        <v>37</v>
      </c>
      <c r="DL73">
        <v>50504</v>
      </c>
      <c r="DM73" t="s">
        <v>1198</v>
      </c>
      <c r="DO73" t="s">
        <v>1199</v>
      </c>
      <c r="DP73">
        <v>0</v>
      </c>
      <c r="DQ73">
        <v>0</v>
      </c>
      <c r="DR73" t="s">
        <v>411</v>
      </c>
      <c r="EP73" t="s">
        <v>595</v>
      </c>
      <c r="EQ73" t="s">
        <v>422</v>
      </c>
      <c r="ER73">
        <v>0</v>
      </c>
      <c r="ES73">
        <v>5</v>
      </c>
      <c r="ET73">
        <v>0</v>
      </c>
      <c r="EU73">
        <v>0</v>
      </c>
      <c r="EV73">
        <v>0</v>
      </c>
      <c r="EW73" s="2">
        <v>43222</v>
      </c>
      <c r="EX73" s="1">
        <v>42879</v>
      </c>
      <c r="EY73">
        <v>2016</v>
      </c>
      <c r="EZ73">
        <v>302.14</v>
      </c>
      <c r="FA73" t="s">
        <v>1200</v>
      </c>
      <c r="FB73">
        <v>0.25</v>
      </c>
      <c r="FC73" t="s">
        <v>424</v>
      </c>
      <c r="FD73" t="s">
        <v>425</v>
      </c>
      <c r="FE73" s="1">
        <v>43104</v>
      </c>
      <c r="FF73">
        <v>8</v>
      </c>
      <c r="FG73">
        <v>2851116</v>
      </c>
      <c r="FH73" t="s">
        <v>480</v>
      </c>
      <c r="FJ73" s="1">
        <v>42879</v>
      </c>
      <c r="FK73">
        <v>2016</v>
      </c>
      <c r="FL73">
        <v>302.14</v>
      </c>
      <c r="FM73" t="s">
        <v>1200</v>
      </c>
      <c r="FN73">
        <v>0.25</v>
      </c>
      <c r="FO73" t="s">
        <v>424</v>
      </c>
      <c r="FP73" t="s">
        <v>425</v>
      </c>
      <c r="FR73">
        <v>22</v>
      </c>
      <c r="FS73">
        <v>5355818</v>
      </c>
      <c r="FT73" t="s">
        <v>1201</v>
      </c>
      <c r="FV73" s="1">
        <v>41787</v>
      </c>
      <c r="FW73">
        <v>2013</v>
      </c>
      <c r="FX73">
        <v>271.7</v>
      </c>
      <c r="FY73" t="s">
        <v>1202</v>
      </c>
      <c r="FZ73">
        <v>0.25</v>
      </c>
      <c r="GA73" t="s">
        <v>424</v>
      </c>
      <c r="GB73" t="s">
        <v>425</v>
      </c>
      <c r="GC73" s="1">
        <v>42118</v>
      </c>
      <c r="GD73">
        <v>11</v>
      </c>
      <c r="GE73">
        <v>2101382</v>
      </c>
      <c r="GF73" t="s">
        <v>993</v>
      </c>
      <c r="GH73" s="1">
        <v>41423</v>
      </c>
      <c r="GI73">
        <v>2012</v>
      </c>
      <c r="GJ73">
        <v>317.39</v>
      </c>
      <c r="GK73" t="s">
        <v>1203</v>
      </c>
      <c r="GL73">
        <v>4.5</v>
      </c>
      <c r="GM73" t="s">
        <v>424</v>
      </c>
      <c r="GN73" t="s">
        <v>425</v>
      </c>
      <c r="GO73" s="1">
        <v>41438</v>
      </c>
      <c r="GP73">
        <v>1</v>
      </c>
      <c r="GQ73">
        <v>15407</v>
      </c>
      <c r="GR73" t="s">
        <v>1134</v>
      </c>
      <c r="GT73" s="1">
        <v>41052</v>
      </c>
      <c r="GU73">
        <v>2011</v>
      </c>
      <c r="GV73">
        <v>239.17</v>
      </c>
      <c r="GW73" t="s">
        <v>1204</v>
      </c>
      <c r="GX73">
        <v>18</v>
      </c>
      <c r="GY73" t="s">
        <v>603</v>
      </c>
      <c r="GZ73" t="s">
        <v>425</v>
      </c>
      <c r="HA73" s="1">
        <v>41121</v>
      </c>
      <c r="HB73">
        <v>2</v>
      </c>
      <c r="HC73">
        <v>9999999</v>
      </c>
      <c r="HD73" t="s">
        <v>604</v>
      </c>
    </row>
    <row r="74" spans="1:284" x14ac:dyDescent="0.25">
      <c r="A74">
        <v>16485081</v>
      </c>
      <c r="B74">
        <v>73</v>
      </c>
      <c r="C74" t="s">
        <v>393</v>
      </c>
      <c r="D74" t="s">
        <v>394</v>
      </c>
      <c r="F74" t="str">
        <f>"02-2N-23-0000-0002-0000"</f>
        <v>02-2N-23-0000-0002-0000</v>
      </c>
      <c r="H74" t="str">
        <f>"MCDANIEL LONNIE J &amp; KIMBERLY L"</f>
        <v>MCDANIEL LONNIE J &amp; KIMBERLY L</v>
      </c>
      <c r="I74" t="str">
        <f>"4489 CR 108"</f>
        <v>4489 CR 108</v>
      </c>
      <c r="J74" t="str">
        <f>"HILLIARD FL 32046"</f>
        <v>HILLIARD FL 32046</v>
      </c>
      <c r="K74" t="str">
        <f>"4489 CR 108"</f>
        <v>4489 CR 108</v>
      </c>
      <c r="L74" t="str">
        <f t="shared" ref="L74:L102" si="31">"HILLIARD FL 32046"</f>
        <v>HILLIARD FL 32046</v>
      </c>
      <c r="M74" t="str">
        <f>"PT SW1/4 OF NE1/4 OF SEC 2-2N-23E &amp; PT LOTS 25 26 27 28 &amp; 36 IN OR 1627/966 &amp; OR 1627/969 CORNWALL SURVEY OF SEC 2-2N-23E S/D PBK O/31"</f>
        <v>PT SW1/4 OF NE1/4 OF SEC 2-2N-23E &amp; PT LOTS 25 26 27 28 &amp; 36 IN OR 1627/966 &amp; OR 1627/969 CORNWALL SURVEY OF SEC 2-2N-23E S/D PBK O/31</v>
      </c>
      <c r="N74" t="str">
        <f>""</f>
        <v/>
      </c>
      <c r="O74" t="str">
        <f>"17819"</f>
        <v>17819</v>
      </c>
      <c r="P74" t="str">
        <f t="shared" si="27"/>
        <v>2017</v>
      </c>
      <c r="Q74" t="str">
        <f>""</f>
        <v/>
      </c>
      <c r="R74" t="str">
        <f>"N"</f>
        <v>N</v>
      </c>
      <c r="S74" t="str">
        <f>"17.27"</f>
        <v>17.27</v>
      </c>
      <c r="T74" t="str">
        <f>"3483.06"</f>
        <v>3483.06</v>
      </c>
      <c r="U74" t="str">
        <f>"230075.00"</f>
        <v>230075.00</v>
      </c>
      <c r="V74" t="str">
        <f>"230075.00"</f>
        <v>230075.00</v>
      </c>
      <c r="W74" t="str">
        <f t="shared" si="28"/>
        <v>2017</v>
      </c>
      <c r="X74" t="str">
        <f>"10.67"</f>
        <v>10.67</v>
      </c>
      <c r="Y74" t="str">
        <f>"3619.55"</f>
        <v>3619.55</v>
      </c>
      <c r="Z74" t="str">
        <f>""</f>
        <v/>
      </c>
      <c r="AA74" t="str">
        <f>"230075.00"</f>
        <v>230075.00</v>
      </c>
      <c r="AB74" t="str">
        <f t="shared" si="29"/>
        <v>Residential</v>
      </c>
      <c r="AC74" t="str">
        <f t="shared" si="30"/>
        <v>0</v>
      </c>
      <c r="AD74" t="str">
        <f t="shared" si="25"/>
        <v>4</v>
      </c>
      <c r="AE74" t="str">
        <f t="shared" si="26"/>
        <v>WOOD (INCLUDE STEEL STUDS)</v>
      </c>
      <c r="AF74" t="str">
        <f>"001"</f>
        <v>001</v>
      </c>
      <c r="AG74" t="str">
        <f t="shared" si="24"/>
        <v>FL</v>
      </c>
      <c r="AH74" t="str">
        <f>"752281.00"</f>
        <v>752281.00</v>
      </c>
      <c r="AI74" t="str">
        <f>"77715.00"</f>
        <v>77715.00</v>
      </c>
      <c r="AJ74" t="str">
        <f>"C55-000-586-3795-0"</f>
        <v>C55-000-586-3795-0</v>
      </c>
      <c r="AK74" t="str">
        <f>"389"</f>
        <v>389</v>
      </c>
      <c r="AL74">
        <v>1</v>
      </c>
      <c r="AM74">
        <v>84</v>
      </c>
      <c r="AN74">
        <v>3798.93</v>
      </c>
      <c r="AQ74" t="s">
        <v>1205</v>
      </c>
      <c r="AR74" t="s">
        <v>1205</v>
      </c>
      <c r="AS74" t="s">
        <v>1205</v>
      </c>
      <c r="AU74" t="s">
        <v>396</v>
      </c>
      <c r="AV74">
        <v>2017</v>
      </c>
      <c r="AW74" t="str">
        <f>"02-2N-23-0000-0002-0000 "</f>
        <v xml:space="preserve">02-2N-23-0000-0002-0000 </v>
      </c>
      <c r="AX74">
        <v>4489</v>
      </c>
      <c r="AZ74" t="s">
        <v>1206</v>
      </c>
      <c r="BD74" t="s">
        <v>398</v>
      </c>
      <c r="BE74" t="s">
        <v>393</v>
      </c>
      <c r="BF74">
        <v>32046</v>
      </c>
      <c r="BG74" t="s">
        <v>1207</v>
      </c>
      <c r="BH74" t="s">
        <v>400</v>
      </c>
      <c r="BI74">
        <v>-81.981407566548398</v>
      </c>
      <c r="BJ74">
        <v>30.6194342813329</v>
      </c>
      <c r="BK74" t="s">
        <v>1208</v>
      </c>
      <c r="BL74" t="s">
        <v>1209</v>
      </c>
      <c r="BM74" t="s">
        <v>1210</v>
      </c>
      <c r="BN74" t="s">
        <v>403</v>
      </c>
      <c r="BO74">
        <v>32046</v>
      </c>
      <c r="BP74" t="s">
        <v>416</v>
      </c>
      <c r="BQ74">
        <v>100</v>
      </c>
      <c r="BR74" t="s">
        <v>514</v>
      </c>
      <c r="BS74">
        <v>1001</v>
      </c>
      <c r="BT74" t="s">
        <v>515</v>
      </c>
      <c r="BW74">
        <v>752281</v>
      </c>
      <c r="BX74" t="s">
        <v>407</v>
      </c>
      <c r="BY74" t="s">
        <v>408</v>
      </c>
      <c r="BZ74">
        <v>4</v>
      </c>
      <c r="CA74">
        <v>1975</v>
      </c>
      <c r="CB74">
        <v>2</v>
      </c>
      <c r="CC74">
        <v>1</v>
      </c>
      <c r="CD74">
        <v>2017</v>
      </c>
      <c r="CE74">
        <v>77715</v>
      </c>
      <c r="CF74">
        <v>152360</v>
      </c>
      <c r="CG74">
        <v>230075</v>
      </c>
      <c r="CH74">
        <v>2017</v>
      </c>
      <c r="CI74">
        <v>77715</v>
      </c>
      <c r="CJ74">
        <v>152360</v>
      </c>
      <c r="CK74">
        <v>230075</v>
      </c>
      <c r="CL74">
        <v>2017</v>
      </c>
      <c r="CM74">
        <v>3483.06</v>
      </c>
      <c r="CN74" s="1">
        <v>39995</v>
      </c>
      <c r="CO74">
        <v>170000</v>
      </c>
      <c r="CV74">
        <v>136000</v>
      </c>
      <c r="CX74" t="s">
        <v>675</v>
      </c>
      <c r="CZ74" s="1">
        <v>39995</v>
      </c>
      <c r="DA74">
        <v>0</v>
      </c>
      <c r="DD74" t="s">
        <v>398</v>
      </c>
      <c r="DG74">
        <v>2</v>
      </c>
      <c r="DL74">
        <v>50400</v>
      </c>
      <c r="DM74" t="s">
        <v>1211</v>
      </c>
      <c r="DO74" t="s">
        <v>1212</v>
      </c>
      <c r="DP74">
        <v>0</v>
      </c>
      <c r="DQ74">
        <v>0</v>
      </c>
      <c r="DR74" t="s">
        <v>411</v>
      </c>
      <c r="DS74" t="b">
        <v>1</v>
      </c>
      <c r="DT74" t="s">
        <v>396</v>
      </c>
      <c r="DV74" t="s">
        <v>446</v>
      </c>
      <c r="DX74">
        <v>-9999</v>
      </c>
      <c r="DZ74" t="s">
        <v>447</v>
      </c>
      <c r="EA74" t="s">
        <v>448</v>
      </c>
      <c r="EB74" t="s">
        <v>449</v>
      </c>
      <c r="EC74">
        <v>20101217</v>
      </c>
      <c r="ED74" t="s">
        <v>450</v>
      </c>
      <c r="EE74">
        <v>25.8</v>
      </c>
      <c r="EF74">
        <v>0</v>
      </c>
      <c r="EG74">
        <v>0</v>
      </c>
      <c r="EI74">
        <v>20160407</v>
      </c>
      <c r="EJ74">
        <v>0</v>
      </c>
      <c r="EK74">
        <v>0</v>
      </c>
      <c r="EP74" t="s">
        <v>421</v>
      </c>
      <c r="EQ74" t="s">
        <v>422</v>
      </c>
      <c r="ER74">
        <v>0</v>
      </c>
      <c r="ES74">
        <v>4</v>
      </c>
      <c r="ET74">
        <v>0</v>
      </c>
      <c r="EU74">
        <v>0</v>
      </c>
      <c r="EV74">
        <v>0</v>
      </c>
      <c r="EW74" s="2">
        <v>43222</v>
      </c>
      <c r="EX74" s="1">
        <v>42879</v>
      </c>
      <c r="EY74">
        <v>2016</v>
      </c>
      <c r="EZ74">
        <v>3818.5</v>
      </c>
      <c r="FA74" t="s">
        <v>1213</v>
      </c>
      <c r="FB74">
        <v>0.25</v>
      </c>
      <c r="FC74" t="s">
        <v>424</v>
      </c>
      <c r="FD74" t="s">
        <v>425</v>
      </c>
      <c r="FE74" s="1">
        <v>43018</v>
      </c>
      <c r="FF74">
        <v>5</v>
      </c>
      <c r="FG74">
        <v>7400234</v>
      </c>
      <c r="FH74" t="s">
        <v>426</v>
      </c>
      <c r="FJ74" s="1">
        <v>42879</v>
      </c>
      <c r="FK74">
        <v>2016</v>
      </c>
      <c r="FL74">
        <v>3818.5</v>
      </c>
      <c r="FM74" t="s">
        <v>1213</v>
      </c>
      <c r="FN74">
        <v>0.25</v>
      </c>
      <c r="FO74" t="s">
        <v>424</v>
      </c>
      <c r="FP74" t="s">
        <v>425</v>
      </c>
      <c r="FR74">
        <v>22</v>
      </c>
      <c r="FS74">
        <v>7457955</v>
      </c>
      <c r="FT74" t="s">
        <v>1214</v>
      </c>
      <c r="FV74" s="1">
        <v>42515</v>
      </c>
      <c r="FW74">
        <v>2015</v>
      </c>
      <c r="FX74">
        <v>3916.68</v>
      </c>
      <c r="FY74" t="s">
        <v>1215</v>
      </c>
      <c r="FZ74">
        <v>0.25</v>
      </c>
      <c r="GA74" t="s">
        <v>424</v>
      </c>
      <c r="GB74" t="s">
        <v>425</v>
      </c>
      <c r="GC74" s="1">
        <v>43018</v>
      </c>
      <c r="GD74">
        <v>17</v>
      </c>
      <c r="GE74">
        <v>7045074</v>
      </c>
      <c r="GF74" t="s">
        <v>580</v>
      </c>
      <c r="GH74" s="1">
        <v>42515</v>
      </c>
      <c r="GI74">
        <v>2015</v>
      </c>
      <c r="GJ74">
        <v>3916.68</v>
      </c>
      <c r="GK74" t="s">
        <v>1215</v>
      </c>
      <c r="GL74">
        <v>0.25</v>
      </c>
      <c r="GM74" t="s">
        <v>424</v>
      </c>
      <c r="GN74" t="s">
        <v>425</v>
      </c>
      <c r="GP74">
        <v>22</v>
      </c>
      <c r="GQ74">
        <v>6649478</v>
      </c>
      <c r="GR74" t="s">
        <v>1216</v>
      </c>
    </row>
    <row r="75" spans="1:284" x14ac:dyDescent="0.25">
      <c r="A75">
        <v>16485082</v>
      </c>
      <c r="B75">
        <v>74</v>
      </c>
      <c r="C75" t="s">
        <v>393</v>
      </c>
      <c r="D75" t="s">
        <v>394</v>
      </c>
      <c r="F75" t="str">
        <f>"02-2N-23-0000-0005-0030"</f>
        <v>02-2N-23-0000-0005-0030</v>
      </c>
      <c r="H75" t="str">
        <f>"AFSHAR JAMES"</f>
        <v>AFSHAR JAMES</v>
      </c>
      <c r="I75" t="str">
        <f>"400 MERAVAN CT"</f>
        <v>400 MERAVAN CT</v>
      </c>
      <c r="J75" t="str">
        <f>"PALM HARBOR FL 34683"</f>
        <v>PALM HARBOR FL 34683</v>
      </c>
      <c r="K75" t="str">
        <f>"SMITH RD"</f>
        <v>SMITH RD</v>
      </c>
      <c r="L75" t="str">
        <f t="shared" si="31"/>
        <v>HILLIARD FL 32046</v>
      </c>
      <c r="M75" t="str">
        <f>"PT OF NW1/4 OF SW1/4 IN OR 645/588"</f>
        <v>PT OF NW1/4 OF SW1/4 IN OR 645/588</v>
      </c>
      <c r="N75" t="str">
        <f>""</f>
        <v/>
      </c>
      <c r="O75" t="str">
        <f>"17831"</f>
        <v>17831</v>
      </c>
      <c r="P75" t="str">
        <f t="shared" si="27"/>
        <v>2017</v>
      </c>
      <c r="Q75" t="str">
        <f>""</f>
        <v/>
      </c>
      <c r="R75" t="str">
        <f>"N"</f>
        <v>N</v>
      </c>
      <c r="S75" t="str">
        <f>"3.88"</f>
        <v>3.88</v>
      </c>
      <c r="T75" t="str">
        <f>"469.91"</f>
        <v>469.91</v>
      </c>
      <c r="U75" t="str">
        <f>"31040.00"</f>
        <v>31040.00</v>
      </c>
      <c r="V75" t="str">
        <f>"31040.00"</f>
        <v>31040.00</v>
      </c>
      <c r="W75" t="str">
        <f t="shared" si="28"/>
        <v>2017</v>
      </c>
      <c r="X75" t="str">
        <f>"8.20"</f>
        <v>8.20</v>
      </c>
      <c r="Y75" t="str">
        <f>"516.01"</f>
        <v>516.01</v>
      </c>
      <c r="Z75" t="str">
        <f>""</f>
        <v/>
      </c>
      <c r="AA75" t="str">
        <f>"31040.00"</f>
        <v>31040.00</v>
      </c>
      <c r="AB75" t="str">
        <f t="shared" si="29"/>
        <v>Residential</v>
      </c>
      <c r="AC75" t="str">
        <f t="shared" si="30"/>
        <v>0</v>
      </c>
      <c r="AD75" t="str">
        <f>""</f>
        <v/>
      </c>
      <c r="AE75" t="str">
        <f>""</f>
        <v/>
      </c>
      <c r="AF75" t="str">
        <f>"000"</f>
        <v>000</v>
      </c>
      <c r="AG75" t="str">
        <f t="shared" si="24"/>
        <v>FL</v>
      </c>
      <c r="AH75" t="str">
        <f>"169012.00"</f>
        <v>169012.00</v>
      </c>
      <c r="AI75" t="str">
        <f>"31040.00"</f>
        <v>31040.00</v>
      </c>
      <c r="AJ75" t="str">
        <f>"C55-000-586-3802-4"</f>
        <v>C55-000-586-3802-4</v>
      </c>
      <c r="AK75" t="str">
        <f>"401"</f>
        <v>401</v>
      </c>
      <c r="AL75">
        <v>1</v>
      </c>
      <c r="AM75">
        <v>86</v>
      </c>
      <c r="AN75">
        <v>540.21</v>
      </c>
      <c r="AQ75" t="s">
        <v>1217</v>
      </c>
      <c r="AR75" t="s">
        <v>1217</v>
      </c>
      <c r="AS75" t="s">
        <v>1217</v>
      </c>
      <c r="AU75" t="s">
        <v>396</v>
      </c>
      <c r="AV75">
        <v>2017</v>
      </c>
      <c r="AW75" t="str">
        <f>"02-2N-23-0000-0005-0030 "</f>
        <v xml:space="preserve">02-2N-23-0000-0005-0030 </v>
      </c>
      <c r="AZ75" t="s">
        <v>1218</v>
      </c>
      <c r="BA75" t="s">
        <v>496</v>
      </c>
      <c r="BD75" t="s">
        <v>398</v>
      </c>
      <c r="BE75" t="s">
        <v>393</v>
      </c>
      <c r="BF75">
        <v>32046</v>
      </c>
      <c r="BG75" t="s">
        <v>1219</v>
      </c>
      <c r="BH75" t="s">
        <v>400</v>
      </c>
      <c r="BI75">
        <v>-81.986680377685204</v>
      </c>
      <c r="BJ75">
        <v>30.616761163970601</v>
      </c>
      <c r="BK75" t="s">
        <v>1220</v>
      </c>
      <c r="BM75" t="s">
        <v>1221</v>
      </c>
      <c r="BN75" t="s">
        <v>1222</v>
      </c>
      <c r="BO75">
        <v>34683</v>
      </c>
      <c r="BP75" t="s">
        <v>404</v>
      </c>
      <c r="BQ75">
        <v>0</v>
      </c>
      <c r="BR75" t="s">
        <v>491</v>
      </c>
      <c r="BS75">
        <v>8001</v>
      </c>
      <c r="BT75" t="s">
        <v>492</v>
      </c>
      <c r="BW75">
        <v>169012</v>
      </c>
      <c r="BX75" t="s">
        <v>407</v>
      </c>
      <c r="BY75" t="s">
        <v>408</v>
      </c>
      <c r="CD75">
        <v>2017</v>
      </c>
      <c r="CE75">
        <v>31040</v>
      </c>
      <c r="CG75">
        <v>31040</v>
      </c>
      <c r="CH75">
        <v>2017</v>
      </c>
      <c r="CI75">
        <v>31040</v>
      </c>
      <c r="CK75">
        <v>31040</v>
      </c>
      <c r="CL75">
        <v>2017</v>
      </c>
      <c r="CM75">
        <v>469.91</v>
      </c>
      <c r="CN75" s="1">
        <v>33603</v>
      </c>
      <c r="CO75">
        <v>4700</v>
      </c>
      <c r="CZ75" s="1">
        <v>33603</v>
      </c>
      <c r="DD75" t="s">
        <v>398</v>
      </c>
      <c r="DG75">
        <v>2</v>
      </c>
      <c r="DL75">
        <v>50400</v>
      </c>
      <c r="DM75" t="s">
        <v>1211</v>
      </c>
      <c r="DO75" t="s">
        <v>1223</v>
      </c>
      <c r="DP75">
        <v>0</v>
      </c>
      <c r="DQ75">
        <v>0</v>
      </c>
      <c r="DR75" t="s">
        <v>411</v>
      </c>
      <c r="DS75" t="b">
        <v>1</v>
      </c>
      <c r="DT75" t="s">
        <v>470</v>
      </c>
      <c r="DU75" t="s">
        <v>471</v>
      </c>
      <c r="DV75" t="s">
        <v>472</v>
      </c>
      <c r="DX75">
        <v>-9999</v>
      </c>
      <c r="DZ75" t="s">
        <v>447</v>
      </c>
      <c r="EA75" t="s">
        <v>448</v>
      </c>
      <c r="EB75" t="s">
        <v>1224</v>
      </c>
      <c r="EC75">
        <v>20101217</v>
      </c>
      <c r="ED75" t="s">
        <v>474</v>
      </c>
      <c r="EF75">
        <v>1397.2</v>
      </c>
      <c r="EG75">
        <v>1397.2</v>
      </c>
      <c r="EI75">
        <v>20160407</v>
      </c>
      <c r="EJ75">
        <v>0</v>
      </c>
      <c r="EK75">
        <v>0</v>
      </c>
      <c r="EP75" t="s">
        <v>421</v>
      </c>
      <c r="EQ75" t="s">
        <v>422</v>
      </c>
      <c r="ER75">
        <v>1</v>
      </c>
      <c r="ES75">
        <v>5</v>
      </c>
      <c r="ET75">
        <v>542.32000000000005</v>
      </c>
      <c r="EU75">
        <v>33.369999999999997</v>
      </c>
      <c r="EV75">
        <v>575.69000000000005</v>
      </c>
      <c r="EW75" s="2">
        <v>43222</v>
      </c>
      <c r="EX75" s="1">
        <v>42879</v>
      </c>
      <c r="EY75">
        <v>2016</v>
      </c>
      <c r="EZ75">
        <v>542.32000000000005</v>
      </c>
      <c r="FA75" t="s">
        <v>1225</v>
      </c>
      <c r="FB75">
        <v>4.5</v>
      </c>
      <c r="FC75" t="s">
        <v>424</v>
      </c>
      <c r="FD75" t="s">
        <v>454</v>
      </c>
      <c r="FF75">
        <v>12</v>
      </c>
      <c r="FG75">
        <v>7336745</v>
      </c>
      <c r="FH75" t="s">
        <v>502</v>
      </c>
      <c r="FJ75" s="1">
        <v>42515</v>
      </c>
      <c r="FK75">
        <v>2015</v>
      </c>
      <c r="FL75">
        <v>549.84</v>
      </c>
      <c r="FM75" t="s">
        <v>1226</v>
      </c>
      <c r="FN75">
        <v>14.75</v>
      </c>
      <c r="FO75" t="s">
        <v>424</v>
      </c>
      <c r="FP75" t="s">
        <v>425</v>
      </c>
      <c r="FQ75" s="1">
        <v>42541</v>
      </c>
      <c r="FR75">
        <v>1</v>
      </c>
      <c r="FS75">
        <v>10125</v>
      </c>
      <c r="FT75" t="s">
        <v>440</v>
      </c>
      <c r="FV75" s="1">
        <v>42151</v>
      </c>
      <c r="FW75">
        <v>2014</v>
      </c>
      <c r="FX75">
        <v>519.36</v>
      </c>
      <c r="FY75" t="s">
        <v>1227</v>
      </c>
      <c r="FZ75">
        <v>4.75</v>
      </c>
      <c r="GA75" t="s">
        <v>424</v>
      </c>
      <c r="GB75" t="s">
        <v>425</v>
      </c>
      <c r="GC75" s="1">
        <v>42541</v>
      </c>
      <c r="GD75">
        <v>13</v>
      </c>
      <c r="GE75">
        <v>115</v>
      </c>
      <c r="GF75" t="s">
        <v>478</v>
      </c>
      <c r="GH75" s="1">
        <v>41787</v>
      </c>
      <c r="GI75">
        <v>2013</v>
      </c>
      <c r="GJ75">
        <v>492.76</v>
      </c>
      <c r="GK75" t="s">
        <v>1228</v>
      </c>
      <c r="GL75">
        <v>0.25</v>
      </c>
      <c r="GM75" t="s">
        <v>424</v>
      </c>
      <c r="GN75" t="s">
        <v>425</v>
      </c>
      <c r="GO75" s="1">
        <v>42116</v>
      </c>
      <c r="GP75">
        <v>11</v>
      </c>
      <c r="GQ75">
        <v>2101385</v>
      </c>
      <c r="GR75" t="s">
        <v>810</v>
      </c>
      <c r="GT75" s="1">
        <v>41423</v>
      </c>
      <c r="GU75">
        <v>2012</v>
      </c>
      <c r="GV75">
        <v>533.6</v>
      </c>
      <c r="GW75" t="s">
        <v>1229</v>
      </c>
      <c r="GX75">
        <v>4.5</v>
      </c>
      <c r="GY75" t="s">
        <v>424</v>
      </c>
      <c r="GZ75" t="s">
        <v>425</v>
      </c>
      <c r="HA75" s="1">
        <v>41477</v>
      </c>
      <c r="HB75">
        <v>2</v>
      </c>
      <c r="HC75">
        <v>11340</v>
      </c>
      <c r="HD75" t="s">
        <v>1230</v>
      </c>
      <c r="HF75" s="1">
        <v>41052</v>
      </c>
      <c r="HG75">
        <v>2011</v>
      </c>
      <c r="HH75">
        <v>625.08000000000004</v>
      </c>
      <c r="HI75" t="s">
        <v>1231</v>
      </c>
      <c r="HJ75">
        <v>6.75</v>
      </c>
      <c r="HK75" t="s">
        <v>424</v>
      </c>
      <c r="HL75" t="s">
        <v>425</v>
      </c>
      <c r="HM75" s="1">
        <v>41477</v>
      </c>
      <c r="HN75">
        <v>14</v>
      </c>
      <c r="HO75">
        <v>10125</v>
      </c>
      <c r="HP75" t="s">
        <v>440</v>
      </c>
    </row>
    <row r="76" spans="1:284" x14ac:dyDescent="0.25">
      <c r="A76">
        <v>16485083</v>
      </c>
      <c r="B76">
        <v>75</v>
      </c>
      <c r="C76" t="s">
        <v>393</v>
      </c>
      <c r="D76" t="s">
        <v>394</v>
      </c>
      <c r="F76" t="str">
        <f>"03-2N-23-0000-0005-0040"</f>
        <v>03-2N-23-0000-0005-0040</v>
      </c>
      <c r="H76" t="str">
        <f>"ADAMS MARY RETHA L/E MARK WESLEY ADAMS"</f>
        <v>ADAMS MARY RETHA L/E MARK WESLEY ADAMS</v>
      </c>
      <c r="I76" t="str">
        <f>"24892 CR 121"</f>
        <v>24892 CR 121</v>
      </c>
      <c r="J76" t="str">
        <f t="shared" ref="J76:J82" si="32">"HILLIARD FL 32046"</f>
        <v>HILLIARD FL 32046</v>
      </c>
      <c r="K76" t="str">
        <f>"CR 121"</f>
        <v>CR 121</v>
      </c>
      <c r="L76" t="str">
        <f t="shared" si="31"/>
        <v>HILLIARD FL 32046</v>
      </c>
      <c r="M76" t="str">
        <f>"PT OF E 1/2 OF SW 1/4 OR 171/303 &amp; L/E PT OR 706/411 EX PT OF OR 216/448 EX 5-6 &amp; 5-7 EX R/W OR 246/635"</f>
        <v>PT OF E 1/2 OF SW 1/4 OR 171/303 &amp; L/E PT OR 706/411 EX PT OF OR 216/448 EX 5-6 &amp; 5-7 EX R/W OR 246/635</v>
      </c>
      <c r="N76" t="str">
        <f>""</f>
        <v/>
      </c>
      <c r="O76" t="str">
        <f>"18906"</f>
        <v>18906</v>
      </c>
      <c r="P76" t="str">
        <f t="shared" si="27"/>
        <v>2017</v>
      </c>
      <c r="Q76" t="str">
        <f>""</f>
        <v/>
      </c>
      <c r="R76" t="str">
        <f>"N"</f>
        <v>N</v>
      </c>
      <c r="S76" t="str">
        <f>"1.30"</f>
        <v>1.30</v>
      </c>
      <c r="T76" t="str">
        <f>"275.23"</f>
        <v>275.23</v>
      </c>
      <c r="U76" t="str">
        <f>"17160.00"</f>
        <v>17160.00</v>
      </c>
      <c r="V76" t="str">
        <f>"17160.00"</f>
        <v>17160.00</v>
      </c>
      <c r="W76" t="str">
        <f t="shared" si="28"/>
        <v>2017</v>
      </c>
      <c r="X76" t="str">
        <f>"2.00"</f>
        <v>2.00</v>
      </c>
      <c r="Y76" t="str">
        <f>"315.49"</f>
        <v>315.49</v>
      </c>
      <c r="Z76" t="str">
        <f>""</f>
        <v/>
      </c>
      <c r="AA76" t="str">
        <f>"19500.00"</f>
        <v>19500.00</v>
      </c>
      <c r="AB76" t="str">
        <f t="shared" si="29"/>
        <v>Residential</v>
      </c>
      <c r="AC76" t="str">
        <f t="shared" si="30"/>
        <v>0</v>
      </c>
      <c r="AD76" t="str">
        <f>""</f>
        <v/>
      </c>
      <c r="AE76" t="str">
        <f>""</f>
        <v/>
      </c>
      <c r="AF76" t="str">
        <f>"000"</f>
        <v>000</v>
      </c>
      <c r="AG76" t="str">
        <f t="shared" si="24"/>
        <v>FL</v>
      </c>
      <c r="AH76" t="str">
        <f>"56628.00"</f>
        <v>56628.00</v>
      </c>
      <c r="AI76" t="str">
        <f>"19500.00"</f>
        <v>19500.00</v>
      </c>
      <c r="AJ76" t="str">
        <f>"C55-000-586-4391-7"</f>
        <v>C55-000-586-4391-7</v>
      </c>
      <c r="AK76" t="str">
        <f>"465"</f>
        <v>465</v>
      </c>
      <c r="AL76">
        <v>1</v>
      </c>
      <c r="AM76">
        <v>87</v>
      </c>
      <c r="AN76">
        <v>329.66</v>
      </c>
      <c r="AQ76" t="s">
        <v>1232</v>
      </c>
      <c r="AR76" t="s">
        <v>1232</v>
      </c>
      <c r="AS76" t="s">
        <v>1232</v>
      </c>
      <c r="AU76" t="s">
        <v>396</v>
      </c>
      <c r="AV76">
        <v>2017</v>
      </c>
      <c r="AW76" t="str">
        <f>"03-2N-23-0000-0005-0040 "</f>
        <v xml:space="preserve">03-2N-23-0000-0005-0040 </v>
      </c>
      <c r="AZ76" t="s">
        <v>611</v>
      </c>
      <c r="BD76" t="s">
        <v>398</v>
      </c>
      <c r="BE76" t="s">
        <v>393</v>
      </c>
      <c r="BF76">
        <v>32046</v>
      </c>
      <c r="BG76" t="s">
        <v>611</v>
      </c>
      <c r="BH76" t="s">
        <v>400</v>
      </c>
      <c r="BI76">
        <v>-82.002124383578007</v>
      </c>
      <c r="BJ76">
        <v>30.614193212669999</v>
      </c>
      <c r="BK76" t="s">
        <v>1233</v>
      </c>
      <c r="BM76" t="s">
        <v>1234</v>
      </c>
      <c r="BN76" t="s">
        <v>403</v>
      </c>
      <c r="BO76">
        <v>32046</v>
      </c>
      <c r="BP76" t="s">
        <v>404</v>
      </c>
      <c r="BQ76">
        <v>0</v>
      </c>
      <c r="BR76" t="s">
        <v>491</v>
      </c>
      <c r="BS76">
        <v>8001</v>
      </c>
      <c r="BT76" t="s">
        <v>492</v>
      </c>
      <c r="BW76">
        <v>56628</v>
      </c>
      <c r="BX76" t="s">
        <v>407</v>
      </c>
      <c r="BY76" t="s">
        <v>408</v>
      </c>
      <c r="CD76">
        <v>2017</v>
      </c>
      <c r="CE76">
        <v>19500</v>
      </c>
      <c r="CG76">
        <v>19500</v>
      </c>
      <c r="CH76">
        <v>2017</v>
      </c>
      <c r="CI76">
        <v>19500</v>
      </c>
      <c r="CK76">
        <v>19500</v>
      </c>
      <c r="CL76">
        <v>2017</v>
      </c>
      <c r="CM76">
        <v>275.23</v>
      </c>
      <c r="CN76" s="1">
        <v>34488</v>
      </c>
      <c r="CZ76" s="1">
        <v>34488</v>
      </c>
      <c r="DD76" t="s">
        <v>398</v>
      </c>
      <c r="DG76">
        <v>3</v>
      </c>
      <c r="DL76">
        <v>50400</v>
      </c>
      <c r="DM76" t="s">
        <v>1235</v>
      </c>
      <c r="DO76" t="s">
        <v>1236</v>
      </c>
      <c r="DP76">
        <v>0</v>
      </c>
      <c r="DQ76">
        <v>0</v>
      </c>
      <c r="DR76" t="s">
        <v>411</v>
      </c>
      <c r="EP76" t="s">
        <v>421</v>
      </c>
      <c r="EQ76" t="s">
        <v>422</v>
      </c>
      <c r="ER76">
        <v>0</v>
      </c>
      <c r="ES76">
        <v>2</v>
      </c>
      <c r="ET76">
        <v>0</v>
      </c>
      <c r="EU76">
        <v>0</v>
      </c>
      <c r="EV76">
        <v>0</v>
      </c>
      <c r="EW76" s="2">
        <v>43222</v>
      </c>
      <c r="EX76" s="1">
        <v>42879</v>
      </c>
      <c r="EY76">
        <v>2016</v>
      </c>
      <c r="EZ76">
        <v>285.99</v>
      </c>
      <c r="FA76" t="s">
        <v>1237</v>
      </c>
      <c r="FB76">
        <v>5</v>
      </c>
      <c r="FC76" t="s">
        <v>424</v>
      </c>
      <c r="FD76" t="s">
        <v>425</v>
      </c>
      <c r="FE76" s="1">
        <v>42975</v>
      </c>
      <c r="FF76">
        <v>3</v>
      </c>
      <c r="FG76">
        <v>10125</v>
      </c>
      <c r="FH76" t="s">
        <v>440</v>
      </c>
      <c r="FJ76" s="1">
        <v>40688</v>
      </c>
      <c r="FK76">
        <v>2010</v>
      </c>
      <c r="FL76">
        <v>339.77</v>
      </c>
      <c r="FM76" t="s">
        <v>1238</v>
      </c>
      <c r="FN76">
        <v>8.25</v>
      </c>
      <c r="FO76" t="s">
        <v>424</v>
      </c>
      <c r="FP76" t="s">
        <v>425</v>
      </c>
      <c r="FQ76" s="1">
        <v>40697</v>
      </c>
      <c r="FR76">
        <v>1</v>
      </c>
      <c r="FS76">
        <v>10548</v>
      </c>
      <c r="FT76" t="s">
        <v>589</v>
      </c>
    </row>
    <row r="77" spans="1:284" x14ac:dyDescent="0.25">
      <c r="A77">
        <v>16485084</v>
      </c>
      <c r="B77">
        <v>76</v>
      </c>
      <c r="C77" t="s">
        <v>393</v>
      </c>
      <c r="D77" t="s">
        <v>394</v>
      </c>
      <c r="F77" t="str">
        <f>"03-2N-23-0000-0007-0000"</f>
        <v>03-2N-23-0000-0007-0000</v>
      </c>
      <c r="H77" t="str">
        <f>"ADAMS MARY RETHA L/E MARK WESLEY ADAMS"</f>
        <v>ADAMS MARY RETHA L/E MARK WESLEY ADAMS</v>
      </c>
      <c r="I77" t="str">
        <f>"24892 CR 121"</f>
        <v>24892 CR 121</v>
      </c>
      <c r="J77" t="str">
        <f t="shared" si="32"/>
        <v>HILLIARD FL 32046</v>
      </c>
      <c r="K77" t="str">
        <f>"24892 CR 121"</f>
        <v>24892 CR 121</v>
      </c>
      <c r="L77" t="str">
        <f t="shared" si="31"/>
        <v>HILLIARD FL 32046</v>
      </c>
      <c r="M77" t="str">
        <f>"PT OF N1/2 OF SW1/4 PT OR 706/411 (EX OR 258/556 &amp; EX R/W OR 246/641 &amp; EX PARS 5-4 7-1 7-2 7-4 7-5 7-6 7-7 7-8 7-9 &amp; PAR 8)"</f>
        <v>PT OF N1/2 OF SW1/4 PT OR 706/411 (EX OR 258/556 &amp; EX R/W OR 246/641 &amp; EX PARS 5-4 7-1 7-2 7-4 7-5 7-6 7-7 7-8 7-9 &amp; PAR 8)</v>
      </c>
      <c r="N77" t="str">
        <f>""</f>
        <v/>
      </c>
      <c r="O77" t="str">
        <f>"18922"</f>
        <v>18922</v>
      </c>
      <c r="P77" t="str">
        <f t="shared" si="27"/>
        <v>2017</v>
      </c>
      <c r="Q77" t="str">
        <f>""</f>
        <v/>
      </c>
      <c r="R77" t="str">
        <f>"Y"</f>
        <v>Y</v>
      </c>
      <c r="S77" t="str">
        <f>"16.04"</f>
        <v>16.04</v>
      </c>
      <c r="T77" t="str">
        <f>"368.57"</f>
        <v>368.57</v>
      </c>
      <c r="U77" t="str">
        <f>"49346.00"</f>
        <v>49346.00</v>
      </c>
      <c r="V77" t="str">
        <f>"49346.00"</f>
        <v>49346.00</v>
      </c>
      <c r="W77" t="str">
        <f t="shared" si="28"/>
        <v>2017</v>
      </c>
      <c r="X77" t="str">
        <f>"3.00"</f>
        <v>3.00</v>
      </c>
      <c r="Y77" t="str">
        <f>"411.63"</f>
        <v>411.63</v>
      </c>
      <c r="Z77" t="str">
        <f>"25000.00"</f>
        <v>25000.00</v>
      </c>
      <c r="AA77" t="str">
        <f>"24346.00"</f>
        <v>24346.00</v>
      </c>
      <c r="AB77" t="str">
        <f>"Agricultural"</f>
        <v>Agricultural</v>
      </c>
      <c r="AC77" t="str">
        <f t="shared" si="30"/>
        <v>0</v>
      </c>
      <c r="AD77" t="str">
        <f>"4"</f>
        <v>4</v>
      </c>
      <c r="AE77" t="str">
        <f>"WOOD (INCLUDE STEEL STUDS)"</f>
        <v>WOOD (INCLUDE STEEL STUDS)</v>
      </c>
      <c r="AF77" t="str">
        <f>"059"</f>
        <v>059</v>
      </c>
      <c r="AG77" t="str">
        <f t="shared" si="24"/>
        <v>FL</v>
      </c>
      <c r="AH77" t="str">
        <f>"698702.00"</f>
        <v>698702.00</v>
      </c>
      <c r="AI77" t="str">
        <f>"20511.00"</f>
        <v>20511.00</v>
      </c>
      <c r="AJ77" t="str">
        <f>"C55-000-586-4404-8"</f>
        <v>C55-000-586-4404-8</v>
      </c>
      <c r="AK77" t="str">
        <f>"479"</f>
        <v>479</v>
      </c>
      <c r="AL77">
        <v>1</v>
      </c>
      <c r="AM77">
        <v>88</v>
      </c>
      <c r="AN77">
        <v>430.61</v>
      </c>
      <c r="AQ77" t="s">
        <v>1239</v>
      </c>
      <c r="AR77" t="s">
        <v>1239</v>
      </c>
      <c r="AS77" t="s">
        <v>1239</v>
      </c>
      <c r="AU77" t="s">
        <v>396</v>
      </c>
      <c r="AV77">
        <v>2017</v>
      </c>
      <c r="AW77" t="str">
        <f>"03-2N-23-0000-0007-0000 "</f>
        <v xml:space="preserve">03-2N-23-0000-0007-0000 </v>
      </c>
      <c r="AX77">
        <v>24892</v>
      </c>
      <c r="AZ77" t="s">
        <v>611</v>
      </c>
      <c r="BD77" t="s">
        <v>398</v>
      </c>
      <c r="BE77" t="s">
        <v>393</v>
      </c>
      <c r="BF77">
        <v>32046</v>
      </c>
      <c r="BG77" t="s">
        <v>1240</v>
      </c>
      <c r="BH77" t="s">
        <v>400</v>
      </c>
      <c r="BI77">
        <v>-82.004368226874703</v>
      </c>
      <c r="BJ77">
        <v>30.6141324221696</v>
      </c>
      <c r="BK77" t="s">
        <v>1233</v>
      </c>
      <c r="BM77" t="s">
        <v>1234</v>
      </c>
      <c r="BN77" t="s">
        <v>403</v>
      </c>
      <c r="BO77">
        <v>32046</v>
      </c>
      <c r="BP77" t="s">
        <v>416</v>
      </c>
      <c r="BQ77">
        <v>5902</v>
      </c>
      <c r="BR77" t="s">
        <v>1241</v>
      </c>
      <c r="BS77">
        <v>7009</v>
      </c>
      <c r="BT77" t="s">
        <v>418</v>
      </c>
      <c r="BW77">
        <v>698702</v>
      </c>
      <c r="BX77" t="s">
        <v>407</v>
      </c>
      <c r="BY77" t="s">
        <v>408</v>
      </c>
      <c r="BZ77">
        <v>4</v>
      </c>
      <c r="CA77">
        <v>1948</v>
      </c>
      <c r="CB77">
        <v>1</v>
      </c>
      <c r="CC77">
        <v>1</v>
      </c>
      <c r="CD77">
        <v>2017</v>
      </c>
      <c r="CG77">
        <v>49346</v>
      </c>
      <c r="CH77">
        <v>2017</v>
      </c>
      <c r="CI77">
        <v>20511</v>
      </c>
      <c r="CJ77">
        <v>115229</v>
      </c>
      <c r="CK77">
        <v>135740</v>
      </c>
      <c r="CL77">
        <v>2017</v>
      </c>
      <c r="CM77">
        <v>368.57</v>
      </c>
      <c r="CN77" s="1">
        <v>34488</v>
      </c>
      <c r="CZ77" s="1">
        <v>34488</v>
      </c>
      <c r="DD77" t="s">
        <v>398</v>
      </c>
      <c r="DG77">
        <v>3</v>
      </c>
      <c r="DL77">
        <v>50400</v>
      </c>
      <c r="DM77" t="s">
        <v>1235</v>
      </c>
      <c r="DO77" t="s">
        <v>1242</v>
      </c>
      <c r="DP77">
        <v>0</v>
      </c>
      <c r="DQ77">
        <v>0</v>
      </c>
      <c r="DR77" t="s">
        <v>411</v>
      </c>
      <c r="EP77" t="s">
        <v>421</v>
      </c>
      <c r="EQ77" t="s">
        <v>422</v>
      </c>
      <c r="ER77">
        <v>0</v>
      </c>
      <c r="ES77">
        <v>2</v>
      </c>
      <c r="ET77">
        <v>0</v>
      </c>
      <c r="EU77">
        <v>0</v>
      </c>
      <c r="EV77">
        <v>0</v>
      </c>
      <c r="EW77" s="2">
        <v>43222</v>
      </c>
      <c r="EX77" s="1">
        <v>42879</v>
      </c>
      <c r="EY77">
        <v>2016</v>
      </c>
      <c r="EZ77">
        <v>407.57</v>
      </c>
      <c r="FA77" t="s">
        <v>1243</v>
      </c>
      <c r="FB77">
        <v>0.25</v>
      </c>
      <c r="FC77" t="s">
        <v>424</v>
      </c>
      <c r="FD77" t="s">
        <v>425</v>
      </c>
      <c r="FE77" s="1">
        <v>42975</v>
      </c>
      <c r="FF77">
        <v>3</v>
      </c>
      <c r="FG77">
        <v>5857474</v>
      </c>
      <c r="FH77" t="s">
        <v>900</v>
      </c>
      <c r="FJ77" s="1">
        <v>42879</v>
      </c>
      <c r="FK77">
        <v>2016</v>
      </c>
      <c r="FL77">
        <v>407.57</v>
      </c>
      <c r="FM77" t="s">
        <v>1243</v>
      </c>
      <c r="FN77">
        <v>0.25</v>
      </c>
      <c r="FO77" t="s">
        <v>424</v>
      </c>
      <c r="FP77" t="s">
        <v>425</v>
      </c>
      <c r="FR77">
        <v>22</v>
      </c>
      <c r="FS77">
        <v>6481284</v>
      </c>
      <c r="FT77" t="s">
        <v>1244</v>
      </c>
    </row>
    <row r="78" spans="1:284" x14ac:dyDescent="0.25">
      <c r="A78">
        <v>16485085</v>
      </c>
      <c r="B78">
        <v>77</v>
      </c>
      <c r="C78" t="s">
        <v>393</v>
      </c>
      <c r="D78" t="s">
        <v>394</v>
      </c>
      <c r="F78" t="str">
        <f>"03-2N-23-0000-0007-0030"</f>
        <v>03-2N-23-0000-0007-0030</v>
      </c>
      <c r="H78" t="str">
        <f>"ADAMS MARK WESLEY"</f>
        <v>ADAMS MARK WESLEY</v>
      </c>
      <c r="I78" t="str">
        <f>"24892 CR 121"</f>
        <v>24892 CR 121</v>
      </c>
      <c r="J78" t="str">
        <f t="shared" si="32"/>
        <v>HILLIARD FL 32046</v>
      </c>
      <c r="K78" t="str">
        <f>"CR 121"</f>
        <v>CR 121</v>
      </c>
      <c r="L78" t="str">
        <f t="shared" si="31"/>
        <v>HILLIARD FL 32046</v>
      </c>
      <c r="M78" t="str">
        <f>"PT NW1/4 OF SW1/4 OF SEC 3-2N-23E IN OR 2100/1223 BEING PARCEL 2"</f>
        <v>PT NW1/4 OF SW1/4 OF SEC 3-2N-23E IN OR 2100/1223 BEING PARCEL 2</v>
      </c>
      <c r="N78" t="str">
        <f>""</f>
        <v/>
      </c>
      <c r="O78" t="str">
        <f>"18925"</f>
        <v>18925</v>
      </c>
      <c r="P78" t="str">
        <f t="shared" si="27"/>
        <v>2017</v>
      </c>
      <c r="Q78" t="str">
        <f>""</f>
        <v/>
      </c>
      <c r="R78" t="str">
        <f>"N"</f>
        <v>N</v>
      </c>
      <c r="S78" t="str">
        <f>"1.83"</f>
        <v>1.83</v>
      </c>
      <c r="T78" t="str">
        <f>"47.01"</f>
        <v>47.01</v>
      </c>
      <c r="U78" t="str">
        <f>"3105.00"</f>
        <v>3105.00</v>
      </c>
      <c r="V78" t="str">
        <f>"3105.00"</f>
        <v>3105.00</v>
      </c>
      <c r="W78" t="str">
        <f t="shared" si="28"/>
        <v>2017</v>
      </c>
      <c r="X78" t="str">
        <f>"7.00"</f>
        <v>7.00</v>
      </c>
      <c r="Y78" t="str">
        <f>"80.42"</f>
        <v>80.42</v>
      </c>
      <c r="Z78" t="str">
        <f>""</f>
        <v/>
      </c>
      <c r="AA78" t="str">
        <f>"3105.00"</f>
        <v>3105.00</v>
      </c>
      <c r="AB78" t="str">
        <f>"Agricultural"</f>
        <v>Agricultural</v>
      </c>
      <c r="AC78" t="str">
        <f t="shared" si="30"/>
        <v>0</v>
      </c>
      <c r="AD78" t="str">
        <f>""</f>
        <v/>
      </c>
      <c r="AE78" t="str">
        <f>""</f>
        <v/>
      </c>
      <c r="AF78" t="str">
        <f>"056"</f>
        <v>056</v>
      </c>
      <c r="AG78" t="str">
        <f t="shared" si="24"/>
        <v>FL</v>
      </c>
      <c r="AH78" t="str">
        <f>"79714.00"</f>
        <v>79714.00</v>
      </c>
      <c r="AI78" t="str">
        <f>"530.00"</f>
        <v>530.00</v>
      </c>
      <c r="AJ78" t="str">
        <f>"C55-000-586-4407-1"</f>
        <v>C55-000-586-4407-1</v>
      </c>
      <c r="AK78" t="str">
        <f>"482"</f>
        <v>482</v>
      </c>
      <c r="AL78">
        <v>1</v>
      </c>
      <c r="AM78">
        <v>89</v>
      </c>
      <c r="AN78">
        <v>82.84</v>
      </c>
      <c r="AQ78" t="s">
        <v>1245</v>
      </c>
      <c r="AR78" t="s">
        <v>1245</v>
      </c>
      <c r="AS78" t="s">
        <v>1245</v>
      </c>
      <c r="AU78" t="s">
        <v>396</v>
      </c>
      <c r="AV78">
        <v>2017</v>
      </c>
      <c r="AW78" t="str">
        <f>"03-2N-23-0000-0007-0030 "</f>
        <v xml:space="preserve">03-2N-23-0000-0007-0030 </v>
      </c>
      <c r="AZ78" t="s">
        <v>611</v>
      </c>
      <c r="BD78" t="s">
        <v>398</v>
      </c>
      <c r="BE78" t="s">
        <v>393</v>
      </c>
      <c r="BF78">
        <v>32046</v>
      </c>
      <c r="BG78" t="s">
        <v>611</v>
      </c>
      <c r="BH78" t="s">
        <v>400</v>
      </c>
      <c r="BI78">
        <v>-82.004199894142502</v>
      </c>
      <c r="BJ78">
        <v>30.6155757181768</v>
      </c>
      <c r="BK78" t="s">
        <v>1246</v>
      </c>
      <c r="BM78" t="s">
        <v>1240</v>
      </c>
      <c r="BN78" t="s">
        <v>403</v>
      </c>
      <c r="BO78">
        <v>32046</v>
      </c>
      <c r="BP78" t="s">
        <v>404</v>
      </c>
      <c r="BQ78">
        <v>5600</v>
      </c>
      <c r="BR78" t="s">
        <v>417</v>
      </c>
      <c r="BS78">
        <v>7009</v>
      </c>
      <c r="BT78" t="s">
        <v>418</v>
      </c>
      <c r="BW78">
        <v>79714</v>
      </c>
      <c r="BX78" t="s">
        <v>407</v>
      </c>
      <c r="BY78" t="s">
        <v>408</v>
      </c>
      <c r="CD78">
        <v>2017</v>
      </c>
      <c r="CG78">
        <v>3105</v>
      </c>
      <c r="CH78">
        <v>2017</v>
      </c>
      <c r="CI78">
        <v>530</v>
      </c>
      <c r="CJ78">
        <v>29495</v>
      </c>
      <c r="CK78">
        <v>30025</v>
      </c>
      <c r="CL78">
        <v>2017</v>
      </c>
      <c r="CM78">
        <v>47.01</v>
      </c>
      <c r="CN78" s="1">
        <v>42779</v>
      </c>
      <c r="CO78">
        <v>27000</v>
      </c>
      <c r="CV78">
        <v>0</v>
      </c>
      <c r="CZ78" s="1">
        <v>42779</v>
      </c>
      <c r="DA78">
        <v>0</v>
      </c>
      <c r="DD78" t="s">
        <v>398</v>
      </c>
      <c r="DG78">
        <v>3</v>
      </c>
      <c r="DL78">
        <v>50400</v>
      </c>
      <c r="DM78" t="s">
        <v>1235</v>
      </c>
      <c r="DO78" t="s">
        <v>1247</v>
      </c>
      <c r="DP78">
        <v>0</v>
      </c>
      <c r="DQ78">
        <v>0</v>
      </c>
      <c r="DR78" t="s">
        <v>411</v>
      </c>
      <c r="EP78" t="s">
        <v>421</v>
      </c>
      <c r="EQ78" t="s">
        <v>422</v>
      </c>
      <c r="ER78">
        <v>0</v>
      </c>
      <c r="ES78">
        <v>1</v>
      </c>
      <c r="ET78">
        <v>0</v>
      </c>
      <c r="EU78">
        <v>0</v>
      </c>
      <c r="EV78">
        <v>0</v>
      </c>
      <c r="EW78" s="2">
        <v>43222</v>
      </c>
      <c r="EX78" s="1">
        <v>42879</v>
      </c>
      <c r="EY78">
        <v>2016</v>
      </c>
      <c r="EZ78">
        <v>84.36</v>
      </c>
      <c r="FA78" t="s">
        <v>1248</v>
      </c>
      <c r="FB78">
        <v>9.75</v>
      </c>
      <c r="FC78" t="s">
        <v>424</v>
      </c>
      <c r="FD78" t="s">
        <v>425</v>
      </c>
      <c r="FE78" s="1">
        <v>43098</v>
      </c>
      <c r="FF78">
        <v>7</v>
      </c>
      <c r="FG78">
        <v>10021</v>
      </c>
      <c r="FH78" t="s">
        <v>597</v>
      </c>
    </row>
    <row r="79" spans="1:284" x14ac:dyDescent="0.25">
      <c r="A79">
        <v>16485086</v>
      </c>
      <c r="B79">
        <v>78</v>
      </c>
      <c r="C79" t="s">
        <v>393</v>
      </c>
      <c r="D79" t="s">
        <v>394</v>
      </c>
      <c r="F79" t="str">
        <f>"03-2N-23-0000-0007-0050"</f>
        <v>03-2N-23-0000-0007-0050</v>
      </c>
      <c r="H79" t="str">
        <f>"FOURNIER LORAINE L/E"</f>
        <v>FOURNIER LORAINE L/E</v>
      </c>
      <c r="I79" t="str">
        <f>"25014 CR 121"</f>
        <v>25014 CR 121</v>
      </c>
      <c r="J79" t="str">
        <f t="shared" si="32"/>
        <v>HILLIARD FL 32046</v>
      </c>
      <c r="K79" t="str">
        <f>"25014 CR 121"</f>
        <v>25014 CR 121</v>
      </c>
      <c r="L79" t="str">
        <f t="shared" si="31"/>
        <v>HILLIARD FL 32046</v>
      </c>
      <c r="M79" t="str">
        <f>"PT NW1/4 OF SW1/4 OF SEC 3-2N-23E IN OR 2038/1719 (EX PT IN OR 2059/446) {R583240 &amp; R583241}"</f>
        <v>PT NW1/4 OF SW1/4 OF SEC 3-2N-23E IN OR 2038/1719 (EX PT IN OR 2059/446) {R583240 &amp; R583241}</v>
      </c>
      <c r="N79" t="str">
        <f>""</f>
        <v/>
      </c>
      <c r="O79" t="str">
        <f>"18927"</f>
        <v>18927</v>
      </c>
      <c r="P79" t="str">
        <f t="shared" si="27"/>
        <v>2017</v>
      </c>
      <c r="Q79" t="str">
        <f>""</f>
        <v/>
      </c>
      <c r="R79" t="str">
        <f>"Y"</f>
        <v>Y</v>
      </c>
      <c r="S79" t="str">
        <f>"1.80"</f>
        <v>1.80</v>
      </c>
      <c r="T79" t="str">
        <f>"351.45"</f>
        <v>351.45</v>
      </c>
      <c r="U79" t="str">
        <f>"48215.00"</f>
        <v>48215.00</v>
      </c>
      <c r="V79" t="str">
        <f>"48215.00"</f>
        <v>48215.00</v>
      </c>
      <c r="W79" t="str">
        <f t="shared" si="28"/>
        <v>2017</v>
      </c>
      <c r="X79" t="str">
        <f>""</f>
        <v/>
      </c>
      <c r="Y79" t="str">
        <f>"393.99"</f>
        <v>393.99</v>
      </c>
      <c r="Z79" t="str">
        <f>"25000.00"</f>
        <v>25000.00</v>
      </c>
      <c r="AA79" t="str">
        <f>"23215.00"</f>
        <v>23215.00</v>
      </c>
      <c r="AB79" t="str">
        <f>"Residential"</f>
        <v>Residential</v>
      </c>
      <c r="AC79" t="str">
        <f t="shared" si="30"/>
        <v>0</v>
      </c>
      <c r="AD79" t="str">
        <f>"4"</f>
        <v>4</v>
      </c>
      <c r="AE79" t="str">
        <f>"WOOD (INCLUDE STEEL STUDS)"</f>
        <v>WOOD (INCLUDE STEEL STUDS)</v>
      </c>
      <c r="AF79" t="str">
        <f>"002"</f>
        <v>002</v>
      </c>
      <c r="AG79" t="str">
        <f t="shared" si="24"/>
        <v>FL</v>
      </c>
      <c r="AH79" t="str">
        <f>"78408.00"</f>
        <v>78408.00</v>
      </c>
      <c r="AI79" t="str">
        <f>"27000.00"</f>
        <v>27000.00</v>
      </c>
      <c r="AJ79" t="str">
        <f>"C55-000-586-4409-7"</f>
        <v>C55-000-586-4409-7</v>
      </c>
      <c r="AK79" t="str">
        <f>"484"</f>
        <v>484</v>
      </c>
      <c r="AL79">
        <v>1</v>
      </c>
      <c r="AM79">
        <v>90</v>
      </c>
      <c r="AN79">
        <v>412.09</v>
      </c>
      <c r="AQ79" t="s">
        <v>1249</v>
      </c>
      <c r="AR79" t="s">
        <v>1249</v>
      </c>
      <c r="AS79" t="s">
        <v>1249</v>
      </c>
      <c r="AU79" t="s">
        <v>396</v>
      </c>
      <c r="AV79">
        <v>2017</v>
      </c>
      <c r="AW79" t="str">
        <f>"03-2N-23-0000-0007-0050 "</f>
        <v xml:space="preserve">03-2N-23-0000-0007-0050 </v>
      </c>
      <c r="AX79">
        <v>25014</v>
      </c>
      <c r="AZ79" t="s">
        <v>611</v>
      </c>
      <c r="BD79" t="s">
        <v>398</v>
      </c>
      <c r="BE79" t="s">
        <v>393</v>
      </c>
      <c r="BF79">
        <v>32046</v>
      </c>
      <c r="BG79" t="s">
        <v>1250</v>
      </c>
      <c r="BH79" t="s">
        <v>400</v>
      </c>
      <c r="BI79">
        <v>-82.003840335048494</v>
      </c>
      <c r="BJ79">
        <v>30.616393647603299</v>
      </c>
      <c r="BK79" t="s">
        <v>1251</v>
      </c>
      <c r="BM79" t="s">
        <v>1250</v>
      </c>
      <c r="BN79" t="s">
        <v>403</v>
      </c>
      <c r="BO79">
        <v>32046</v>
      </c>
      <c r="BP79" t="s">
        <v>416</v>
      </c>
      <c r="BQ79">
        <v>200</v>
      </c>
      <c r="BR79" t="s">
        <v>405</v>
      </c>
      <c r="BS79">
        <v>1006</v>
      </c>
      <c r="BT79" t="s">
        <v>406</v>
      </c>
      <c r="BW79">
        <v>217800</v>
      </c>
      <c r="BX79" t="s">
        <v>407</v>
      </c>
      <c r="BY79" t="s">
        <v>408</v>
      </c>
      <c r="BZ79">
        <v>4</v>
      </c>
      <c r="CA79">
        <v>1993</v>
      </c>
      <c r="CB79">
        <v>1</v>
      </c>
      <c r="CC79">
        <v>1</v>
      </c>
      <c r="CD79">
        <v>2017</v>
      </c>
      <c r="CE79">
        <v>27000</v>
      </c>
      <c r="CF79">
        <v>21215</v>
      </c>
      <c r="CG79">
        <v>48215</v>
      </c>
      <c r="CH79">
        <v>2017</v>
      </c>
      <c r="CI79">
        <v>27000</v>
      </c>
      <c r="CJ79">
        <v>21215</v>
      </c>
      <c r="CK79">
        <v>48215</v>
      </c>
      <c r="CL79">
        <v>2017</v>
      </c>
      <c r="CM79">
        <v>351.45</v>
      </c>
      <c r="CN79" s="1">
        <v>42394</v>
      </c>
      <c r="CZ79" s="1">
        <v>42394</v>
      </c>
      <c r="DD79" t="s">
        <v>398</v>
      </c>
      <c r="DG79">
        <v>3</v>
      </c>
      <c r="DL79">
        <v>50400</v>
      </c>
      <c r="DM79" t="s">
        <v>1235</v>
      </c>
      <c r="DO79" t="s">
        <v>1252</v>
      </c>
      <c r="DP79">
        <v>0</v>
      </c>
      <c r="DQ79">
        <v>0</v>
      </c>
      <c r="DR79" t="s">
        <v>411</v>
      </c>
      <c r="EP79" t="s">
        <v>421</v>
      </c>
      <c r="EQ79" t="s">
        <v>422</v>
      </c>
      <c r="ER79">
        <v>2</v>
      </c>
      <c r="ES79">
        <v>0</v>
      </c>
      <c r="ET79">
        <v>1160.68</v>
      </c>
      <c r="EU79">
        <v>70.53</v>
      </c>
      <c r="EV79">
        <v>1231.21</v>
      </c>
      <c r="EW79" s="2">
        <v>43222</v>
      </c>
      <c r="EX79" s="1">
        <v>42879</v>
      </c>
      <c r="EY79">
        <v>2016</v>
      </c>
      <c r="EZ79">
        <v>580.34</v>
      </c>
      <c r="FA79" t="s">
        <v>1253</v>
      </c>
      <c r="FB79">
        <v>0.25</v>
      </c>
      <c r="FC79" t="s">
        <v>424</v>
      </c>
      <c r="FD79" t="s">
        <v>454</v>
      </c>
      <c r="FF79">
        <v>12</v>
      </c>
      <c r="FG79">
        <v>2851116</v>
      </c>
      <c r="FH79" t="s">
        <v>480</v>
      </c>
      <c r="FJ79" s="1">
        <v>42879</v>
      </c>
      <c r="FK79">
        <v>2016</v>
      </c>
      <c r="FL79">
        <v>580.34</v>
      </c>
      <c r="FM79" t="s">
        <v>1253</v>
      </c>
      <c r="FN79">
        <v>0.25</v>
      </c>
      <c r="FO79" t="s">
        <v>424</v>
      </c>
      <c r="FP79" t="s">
        <v>454</v>
      </c>
      <c r="FR79">
        <v>12</v>
      </c>
      <c r="FS79">
        <v>4973733</v>
      </c>
      <c r="FT79" t="s">
        <v>1254</v>
      </c>
    </row>
    <row r="80" spans="1:284" x14ac:dyDescent="0.25">
      <c r="A80">
        <v>16485087</v>
      </c>
      <c r="B80">
        <v>79</v>
      </c>
      <c r="C80" t="s">
        <v>393</v>
      </c>
      <c r="D80" t="s">
        <v>394</v>
      </c>
      <c r="F80" t="str">
        <f>"03-2N-23-0000-0007-0060"</f>
        <v>03-2N-23-0000-0007-0060</v>
      </c>
      <c r="H80" t="str">
        <f>"ADAMS MARK WESLEY"</f>
        <v>ADAMS MARK WESLEY</v>
      </c>
      <c r="I80" t="str">
        <f>"24892 CR 121"</f>
        <v>24892 CR 121</v>
      </c>
      <c r="J80" t="str">
        <f t="shared" si="32"/>
        <v>HILLIARD FL 32046</v>
      </c>
      <c r="K80" t="str">
        <f>"CR 121"</f>
        <v>CR 121</v>
      </c>
      <c r="L80" t="str">
        <f t="shared" si="31"/>
        <v>HILLIARD FL 32046</v>
      </c>
      <c r="M80" t="str">
        <f>"PT NW1/4 OF SW1/4 OF SEC 3-2N-23E IN OR 2100/1223 BEING PARCEL 1"</f>
        <v>PT NW1/4 OF SW1/4 OF SEC 3-2N-23E IN OR 2100/1223 BEING PARCEL 1</v>
      </c>
      <c r="N80" t="str">
        <f>""</f>
        <v/>
      </c>
      <c r="O80" t="str">
        <f>"18928"</f>
        <v>18928</v>
      </c>
      <c r="P80" t="str">
        <f t="shared" si="27"/>
        <v>2017</v>
      </c>
      <c r="Q80" t="str">
        <f>""</f>
        <v/>
      </c>
      <c r="R80" t="str">
        <f>"N"</f>
        <v>N</v>
      </c>
      <c r="S80" t="str">
        <f>"3.96"</f>
        <v>3.96</v>
      </c>
      <c r="T80" t="str">
        <f>"17.38"</f>
        <v>17.38</v>
      </c>
      <c r="U80" t="str">
        <f>"1148.00"</f>
        <v>1148.00</v>
      </c>
      <c r="V80" t="str">
        <f>"1148.00"</f>
        <v>1148.00</v>
      </c>
      <c r="W80" t="str">
        <f t="shared" si="28"/>
        <v>2017</v>
      </c>
      <c r="X80" t="str">
        <f>"7.00"</f>
        <v>7.00</v>
      </c>
      <c r="Y80" t="str">
        <f>"49.90"</f>
        <v>49.90</v>
      </c>
      <c r="Z80" t="str">
        <f>""</f>
        <v/>
      </c>
      <c r="AA80" t="str">
        <f>"1148.00"</f>
        <v>1148.00</v>
      </c>
      <c r="AB80" t="str">
        <f>"Agricultural"</f>
        <v>Agricultural</v>
      </c>
      <c r="AC80" t="str">
        <f t="shared" si="30"/>
        <v>0</v>
      </c>
      <c r="AD80" t="str">
        <f>""</f>
        <v/>
      </c>
      <c r="AE80" t="str">
        <f>""</f>
        <v/>
      </c>
      <c r="AF80" t="str">
        <f>"056"</f>
        <v>056</v>
      </c>
      <c r="AG80" t="str">
        <f t="shared" si="24"/>
        <v>FL</v>
      </c>
      <c r="AH80" t="str">
        <f>"172497.00"</f>
        <v>172497.00</v>
      </c>
      <c r="AI80" t="str">
        <f>"1148.00"</f>
        <v>1148.00</v>
      </c>
      <c r="AJ80" t="str">
        <f>"C55-000-586-4410-5"</f>
        <v>C55-000-586-4410-5</v>
      </c>
      <c r="AK80" t="str">
        <f>"485"</f>
        <v>485</v>
      </c>
      <c r="AL80">
        <v>1</v>
      </c>
      <c r="AM80">
        <v>91</v>
      </c>
      <c r="AN80">
        <v>50.8</v>
      </c>
      <c r="AQ80" t="s">
        <v>1255</v>
      </c>
      <c r="AR80" t="s">
        <v>1255</v>
      </c>
      <c r="AS80" t="s">
        <v>1255</v>
      </c>
      <c r="AU80" t="s">
        <v>396</v>
      </c>
      <c r="AV80">
        <v>2017</v>
      </c>
      <c r="AW80" t="str">
        <f>"03-2N-23-0000-0007-0060 "</f>
        <v xml:space="preserve">03-2N-23-0000-0007-0060 </v>
      </c>
      <c r="AZ80" t="s">
        <v>611</v>
      </c>
      <c r="BD80" t="s">
        <v>398</v>
      </c>
      <c r="BE80" t="s">
        <v>393</v>
      </c>
      <c r="BF80">
        <v>32046</v>
      </c>
      <c r="BG80" t="s">
        <v>611</v>
      </c>
      <c r="BH80" t="s">
        <v>400</v>
      </c>
      <c r="BI80">
        <v>-82.005832803409106</v>
      </c>
      <c r="BJ80">
        <v>30.615558144409899</v>
      </c>
      <c r="BK80" t="s">
        <v>1246</v>
      </c>
      <c r="BM80" t="s">
        <v>1240</v>
      </c>
      <c r="BN80" t="s">
        <v>403</v>
      </c>
      <c r="BO80">
        <v>32046</v>
      </c>
      <c r="BP80" t="s">
        <v>404</v>
      </c>
      <c r="BQ80">
        <v>5600</v>
      </c>
      <c r="BR80" t="s">
        <v>417</v>
      </c>
      <c r="BS80">
        <v>7009</v>
      </c>
      <c r="BT80" t="s">
        <v>418</v>
      </c>
      <c r="BW80">
        <v>93654</v>
      </c>
      <c r="BX80" t="s">
        <v>407</v>
      </c>
      <c r="BY80" t="s">
        <v>408</v>
      </c>
      <c r="CD80">
        <v>2017</v>
      </c>
      <c r="CG80">
        <v>1148</v>
      </c>
      <c r="CH80">
        <v>2017</v>
      </c>
      <c r="CI80">
        <v>1148</v>
      </c>
      <c r="CJ80">
        <v>46372</v>
      </c>
      <c r="CK80">
        <v>47520</v>
      </c>
      <c r="CL80">
        <v>2017</v>
      </c>
      <c r="CM80">
        <v>17.38</v>
      </c>
      <c r="CN80" s="1">
        <v>42779</v>
      </c>
      <c r="CO80">
        <v>27000</v>
      </c>
      <c r="CV80">
        <v>0</v>
      </c>
      <c r="CZ80" s="1">
        <v>42779</v>
      </c>
      <c r="DA80">
        <v>0</v>
      </c>
      <c r="DD80" t="s">
        <v>398</v>
      </c>
      <c r="DG80">
        <v>3</v>
      </c>
      <c r="DL80">
        <v>50400</v>
      </c>
      <c r="DM80" t="s">
        <v>1235</v>
      </c>
      <c r="DO80" t="s">
        <v>1256</v>
      </c>
      <c r="DP80">
        <v>0</v>
      </c>
      <c r="DQ80">
        <v>0</v>
      </c>
      <c r="DR80" t="s">
        <v>411</v>
      </c>
      <c r="EP80" t="s">
        <v>421</v>
      </c>
      <c r="EQ80" t="s">
        <v>422</v>
      </c>
      <c r="ER80">
        <v>0</v>
      </c>
      <c r="ES80">
        <v>1</v>
      </c>
      <c r="ET80">
        <v>0</v>
      </c>
      <c r="EU80">
        <v>0</v>
      </c>
      <c r="EV80">
        <v>0</v>
      </c>
      <c r="EW80" s="2">
        <v>43222</v>
      </c>
      <c r="EX80" s="1">
        <v>42879</v>
      </c>
      <c r="EY80">
        <v>2016</v>
      </c>
      <c r="EZ80">
        <v>36.64</v>
      </c>
      <c r="FA80" t="s">
        <v>1257</v>
      </c>
      <c r="FB80">
        <v>13.75</v>
      </c>
      <c r="FC80" t="s">
        <v>424</v>
      </c>
      <c r="FD80" t="s">
        <v>425</v>
      </c>
      <c r="FE80" s="1">
        <v>43098</v>
      </c>
      <c r="FF80">
        <v>7</v>
      </c>
      <c r="FG80">
        <v>10125</v>
      </c>
      <c r="FH80" t="s">
        <v>440</v>
      </c>
    </row>
    <row r="81" spans="1:284" x14ac:dyDescent="0.25">
      <c r="A81">
        <v>16485088</v>
      </c>
      <c r="B81">
        <v>80</v>
      </c>
      <c r="C81" t="s">
        <v>393</v>
      </c>
      <c r="D81" t="s">
        <v>394</v>
      </c>
      <c r="F81" t="str">
        <f>"03-2N-23-0000-0007-0080"</f>
        <v>03-2N-23-0000-0007-0080</v>
      </c>
      <c r="H81" t="str">
        <f>"ADAMS MARK WESLEY"</f>
        <v>ADAMS MARK WESLEY</v>
      </c>
      <c r="I81" t="str">
        <f>"24892 COUNTY ROAD 121"</f>
        <v>24892 COUNTY ROAD 121</v>
      </c>
      <c r="J81" t="str">
        <f t="shared" si="32"/>
        <v>HILLIARD FL 32046</v>
      </c>
      <c r="K81" t="str">
        <f>"CR 121"</f>
        <v>CR 121</v>
      </c>
      <c r="L81" t="str">
        <f t="shared" si="31"/>
        <v>HILLIARD FL 32046</v>
      </c>
      <c r="M81" t="str">
        <f>"PT OR 706/411 &amp; PT OR 890/775 1D/2X"</f>
        <v>PT OR 706/411 &amp; PT OR 890/775 1D/2X</v>
      </c>
      <c r="N81" t="str">
        <f>""</f>
        <v/>
      </c>
      <c r="O81" t="str">
        <f>"18930"</f>
        <v>18930</v>
      </c>
      <c r="P81" t="str">
        <f t="shared" si="27"/>
        <v>2017</v>
      </c>
      <c r="Q81" t="str">
        <f>""</f>
        <v/>
      </c>
      <c r="R81" t="str">
        <f>"N"</f>
        <v>N</v>
      </c>
      <c r="S81" t="str">
        <f>"4.00"</f>
        <v>4.00</v>
      </c>
      <c r="T81" t="str">
        <f>"484.44"</f>
        <v>484.44</v>
      </c>
      <c r="U81" t="str">
        <f>"32000.00"</f>
        <v>32000.00</v>
      </c>
      <c r="V81" t="str">
        <f>"32000.00"</f>
        <v>32000.00</v>
      </c>
      <c r="W81" t="str">
        <f t="shared" si="28"/>
        <v>2017</v>
      </c>
      <c r="X81" t="str">
        <f>"2.50"</f>
        <v>2.50</v>
      </c>
      <c r="Y81" t="str">
        <f>"530.97"</f>
        <v>530.97</v>
      </c>
      <c r="Z81" t="str">
        <f>""</f>
        <v/>
      </c>
      <c r="AA81" t="str">
        <f>"32000.00"</f>
        <v>32000.00</v>
      </c>
      <c r="AB81" t="str">
        <f>"Residential"</f>
        <v>Residential</v>
      </c>
      <c r="AC81" t="str">
        <f t="shared" si="30"/>
        <v>0</v>
      </c>
      <c r="AD81" t="str">
        <f>""</f>
        <v/>
      </c>
      <c r="AE81" t="str">
        <f>""</f>
        <v/>
      </c>
      <c r="AF81" t="str">
        <f>"000"</f>
        <v>000</v>
      </c>
      <c r="AG81" t="str">
        <f t="shared" si="24"/>
        <v>FL</v>
      </c>
      <c r="AH81" t="str">
        <f>"174240.00"</f>
        <v>174240.00</v>
      </c>
      <c r="AI81" t="str">
        <f>"32000.00"</f>
        <v>32000.00</v>
      </c>
      <c r="AJ81" t="str">
        <f>"C55-000-586-4412-1"</f>
        <v>C55-000-586-4412-1</v>
      </c>
      <c r="AK81" t="str">
        <f>"487"</f>
        <v>487</v>
      </c>
      <c r="AL81">
        <v>1</v>
      </c>
      <c r="AM81">
        <v>92</v>
      </c>
      <c r="AN81">
        <v>555.91999999999996</v>
      </c>
      <c r="AQ81" t="s">
        <v>1258</v>
      </c>
      <c r="AR81" t="s">
        <v>1258</v>
      </c>
      <c r="AS81" t="s">
        <v>1258</v>
      </c>
      <c r="AU81" t="s">
        <v>396</v>
      </c>
      <c r="AV81">
        <v>2017</v>
      </c>
      <c r="AW81" t="str">
        <f>"03-2N-23-0000-0007-0080 "</f>
        <v xml:space="preserve">03-2N-23-0000-0007-0080 </v>
      </c>
      <c r="AZ81" t="s">
        <v>611</v>
      </c>
      <c r="BD81" t="s">
        <v>398</v>
      </c>
      <c r="BE81" t="s">
        <v>393</v>
      </c>
      <c r="BF81">
        <v>32046</v>
      </c>
      <c r="BG81" t="s">
        <v>611</v>
      </c>
      <c r="BH81" t="s">
        <v>400</v>
      </c>
      <c r="BI81">
        <v>-82.005841286328106</v>
      </c>
      <c r="BJ81">
        <v>30.614785665515999</v>
      </c>
      <c r="BK81" t="s">
        <v>1246</v>
      </c>
      <c r="BM81" t="s">
        <v>1259</v>
      </c>
      <c r="BN81" t="s">
        <v>403</v>
      </c>
      <c r="BO81">
        <v>32046</v>
      </c>
      <c r="BP81" t="s">
        <v>404</v>
      </c>
      <c r="BQ81">
        <v>0</v>
      </c>
      <c r="BR81" t="s">
        <v>491</v>
      </c>
      <c r="BS81">
        <v>8001</v>
      </c>
      <c r="BT81" t="s">
        <v>492</v>
      </c>
      <c r="BW81">
        <v>174240</v>
      </c>
      <c r="BX81" t="s">
        <v>407</v>
      </c>
      <c r="BY81" t="s">
        <v>408</v>
      </c>
      <c r="CD81">
        <v>2017</v>
      </c>
      <c r="CE81">
        <v>32000</v>
      </c>
      <c r="CG81">
        <v>32000</v>
      </c>
      <c r="CH81">
        <v>2017</v>
      </c>
      <c r="CI81">
        <v>32000</v>
      </c>
      <c r="CK81">
        <v>32000</v>
      </c>
      <c r="CL81">
        <v>2017</v>
      </c>
      <c r="CM81">
        <v>484.44</v>
      </c>
      <c r="CN81" s="1">
        <v>36349</v>
      </c>
      <c r="CZ81" s="1">
        <v>36349</v>
      </c>
      <c r="DD81" t="s">
        <v>398</v>
      </c>
      <c r="DG81">
        <v>3</v>
      </c>
      <c r="DL81">
        <v>50400</v>
      </c>
      <c r="DM81" t="s">
        <v>1235</v>
      </c>
      <c r="DO81" t="s">
        <v>1260</v>
      </c>
      <c r="DP81">
        <v>0</v>
      </c>
      <c r="DQ81">
        <v>0</v>
      </c>
      <c r="DR81" t="s">
        <v>411</v>
      </c>
      <c r="DS81" t="b">
        <v>1</v>
      </c>
      <c r="DT81" t="s">
        <v>470</v>
      </c>
      <c r="DU81" t="s">
        <v>471</v>
      </c>
      <c r="DV81" t="s">
        <v>472</v>
      </c>
      <c r="DX81">
        <v>-9999</v>
      </c>
      <c r="DZ81" t="s">
        <v>447</v>
      </c>
      <c r="EA81" t="s">
        <v>448</v>
      </c>
      <c r="EB81" t="s">
        <v>1261</v>
      </c>
      <c r="EC81">
        <v>20101217</v>
      </c>
      <c r="ED81" t="s">
        <v>474</v>
      </c>
      <c r="EF81">
        <v>2043</v>
      </c>
      <c r="EG81">
        <v>2043</v>
      </c>
      <c r="EI81">
        <v>20160407</v>
      </c>
      <c r="EJ81">
        <v>0</v>
      </c>
      <c r="EK81">
        <v>0</v>
      </c>
      <c r="EP81" t="s">
        <v>421</v>
      </c>
      <c r="EQ81" t="s">
        <v>422</v>
      </c>
      <c r="ER81">
        <v>0</v>
      </c>
      <c r="ES81">
        <v>4</v>
      </c>
      <c r="ET81">
        <v>0</v>
      </c>
      <c r="EU81">
        <v>0</v>
      </c>
      <c r="EV81">
        <v>0</v>
      </c>
      <c r="EW81" s="2">
        <v>43222</v>
      </c>
      <c r="EX81" s="1">
        <v>42879</v>
      </c>
      <c r="EY81">
        <v>2016</v>
      </c>
      <c r="EZ81">
        <v>558.26</v>
      </c>
      <c r="FA81" t="s">
        <v>1262</v>
      </c>
      <c r="FB81">
        <v>4.75</v>
      </c>
      <c r="FC81" t="s">
        <v>424</v>
      </c>
      <c r="FD81" t="s">
        <v>425</v>
      </c>
      <c r="FE81" s="1">
        <v>42975</v>
      </c>
      <c r="FF81">
        <v>3</v>
      </c>
      <c r="FG81">
        <v>7336745</v>
      </c>
      <c r="FH81" t="s">
        <v>502</v>
      </c>
      <c r="FJ81" s="1">
        <v>42515</v>
      </c>
      <c r="FK81">
        <v>2015</v>
      </c>
      <c r="FL81">
        <v>566.15</v>
      </c>
      <c r="FM81" t="s">
        <v>1263</v>
      </c>
      <c r="FN81">
        <v>0.25</v>
      </c>
      <c r="FO81" t="s">
        <v>424</v>
      </c>
      <c r="FP81" t="s">
        <v>425</v>
      </c>
      <c r="FQ81" s="1">
        <v>42620</v>
      </c>
      <c r="FR81">
        <v>4</v>
      </c>
      <c r="FS81">
        <v>7336143</v>
      </c>
      <c r="FT81" t="s">
        <v>539</v>
      </c>
      <c r="FV81" s="1">
        <v>41787</v>
      </c>
      <c r="FW81">
        <v>2013</v>
      </c>
      <c r="FX81">
        <v>507.32</v>
      </c>
      <c r="FY81" t="s">
        <v>1264</v>
      </c>
      <c r="FZ81">
        <v>0.25</v>
      </c>
      <c r="GA81" t="s">
        <v>424</v>
      </c>
      <c r="GB81" t="s">
        <v>425</v>
      </c>
      <c r="GC81" s="1">
        <v>41838</v>
      </c>
      <c r="GD81">
        <v>2</v>
      </c>
      <c r="GE81">
        <v>11340</v>
      </c>
      <c r="GF81" t="s">
        <v>1230</v>
      </c>
      <c r="GH81" s="1">
        <v>40688</v>
      </c>
      <c r="GI81">
        <v>2010</v>
      </c>
      <c r="GJ81">
        <v>716.79</v>
      </c>
      <c r="GK81" t="s">
        <v>1265</v>
      </c>
      <c r="GL81">
        <v>7.75</v>
      </c>
      <c r="GM81" t="s">
        <v>424</v>
      </c>
      <c r="GN81" t="s">
        <v>425</v>
      </c>
      <c r="GO81" s="1">
        <v>40697</v>
      </c>
      <c r="GP81">
        <v>1</v>
      </c>
      <c r="GQ81">
        <v>116</v>
      </c>
      <c r="GR81" t="s">
        <v>509</v>
      </c>
    </row>
    <row r="82" spans="1:284" x14ac:dyDescent="0.25">
      <c r="A82">
        <v>16485089</v>
      </c>
      <c r="B82">
        <v>81</v>
      </c>
      <c r="C82" t="s">
        <v>393</v>
      </c>
      <c r="D82" t="s">
        <v>394</v>
      </c>
      <c r="F82" t="str">
        <f>"09-2N-23-0000-0002-0000"</f>
        <v>09-2N-23-0000-0002-0000</v>
      </c>
      <c r="H82" t="str">
        <f>"HARRIS SHERRI SIKES"</f>
        <v>HARRIS SHERRI SIKES</v>
      </c>
      <c r="I82" t="str">
        <f>"2496 SIKES DRIVE"</f>
        <v>2496 SIKES DRIVE</v>
      </c>
      <c r="J82" t="str">
        <f t="shared" si="32"/>
        <v>HILLIARD FL 32046</v>
      </c>
      <c r="K82" t="str">
        <f>"2496 SIKES DR"</f>
        <v>2496 SIKES DR</v>
      </c>
      <c r="L82" t="str">
        <f t="shared" si="31"/>
        <v>HILLIARD FL 32046</v>
      </c>
      <c r="M82" t="str">
        <f>"IN OR 1490/561 EX ESMT OR 679/1144 EX 2-1 &amp; 2-2 ESMT PT OR 1462/1572"</f>
        <v>IN OR 1490/561 EX ESMT OR 679/1144 EX 2-1 &amp; 2-2 ESMT PT OR 1462/1572</v>
      </c>
      <c r="N82" t="str">
        <f>""</f>
        <v/>
      </c>
      <c r="O82" t="str">
        <f>"24789"</f>
        <v>24789</v>
      </c>
      <c r="P82" t="str">
        <f t="shared" si="27"/>
        <v>2017</v>
      </c>
      <c r="Q82" t="str">
        <f>""</f>
        <v/>
      </c>
      <c r="R82" t="str">
        <f>"Y"</f>
        <v>Y</v>
      </c>
      <c r="S82" t="str">
        <f>"14.00"</f>
        <v>14.00</v>
      </c>
      <c r="T82" t="str">
        <f>"1417.11"</f>
        <v>1417.11</v>
      </c>
      <c r="U82" t="str">
        <f>"132123.00"</f>
        <v>132123.00</v>
      </c>
      <c r="V82" t="str">
        <f>"132123.00"</f>
        <v>132123.00</v>
      </c>
      <c r="W82" t="str">
        <f t="shared" si="28"/>
        <v>2017</v>
      </c>
      <c r="X82" t="str">
        <f>"5.67"</f>
        <v>5.67</v>
      </c>
      <c r="Y82" t="str">
        <f>"1491.62"</f>
        <v>1491.62</v>
      </c>
      <c r="Z82" t="str">
        <f>"25000.00"</f>
        <v>25000.00</v>
      </c>
      <c r="AA82" t="str">
        <f>"108473.00"</f>
        <v>108473.00</v>
      </c>
      <c r="AB82" t="str">
        <f>"Agricultural"</f>
        <v>Agricultural</v>
      </c>
      <c r="AC82" t="str">
        <f t="shared" si="30"/>
        <v>0</v>
      </c>
      <c r="AD82" t="str">
        <f>"4"</f>
        <v>4</v>
      </c>
      <c r="AE82" t="str">
        <f>"WOOD (INCLUDE STEEL STUDS)"</f>
        <v>WOOD (INCLUDE STEEL STUDS)</v>
      </c>
      <c r="AF82" t="str">
        <f>"050"</f>
        <v>050</v>
      </c>
      <c r="AG82" t="str">
        <f t="shared" si="24"/>
        <v>FL</v>
      </c>
      <c r="AH82" t="str">
        <f>"609840.00"</f>
        <v>609840.00</v>
      </c>
      <c r="AI82" t="str">
        <f>"19050.00"</f>
        <v>19050.00</v>
      </c>
      <c r="AJ82" t="str">
        <f>"C55-000-586-8358-2"</f>
        <v>C55-000-586-8358-2</v>
      </c>
      <c r="AK82" t="str">
        <f>"526"</f>
        <v>526</v>
      </c>
      <c r="AL82">
        <v>1</v>
      </c>
      <c r="AM82">
        <v>94</v>
      </c>
      <c r="AN82">
        <v>1564.6</v>
      </c>
      <c r="AQ82" t="s">
        <v>1266</v>
      </c>
      <c r="AR82" t="s">
        <v>1266</v>
      </c>
      <c r="AS82" t="s">
        <v>1266</v>
      </c>
      <c r="AU82" t="s">
        <v>396</v>
      </c>
      <c r="AV82">
        <v>2017</v>
      </c>
      <c r="AW82" t="str">
        <f>"09-2N-23-0000-0002-0000 "</f>
        <v xml:space="preserve">09-2N-23-0000-0002-0000 </v>
      </c>
      <c r="AX82">
        <v>2496</v>
      </c>
      <c r="AZ82" t="s">
        <v>1267</v>
      </c>
      <c r="BA82" t="s">
        <v>669</v>
      </c>
      <c r="BD82" t="s">
        <v>398</v>
      </c>
      <c r="BE82" t="s">
        <v>393</v>
      </c>
      <c r="BF82">
        <v>32046</v>
      </c>
      <c r="BG82" t="s">
        <v>1268</v>
      </c>
      <c r="BH82" t="s">
        <v>400</v>
      </c>
      <c r="BI82">
        <v>-82.007246063546205</v>
      </c>
      <c r="BJ82">
        <v>30.600874917901301</v>
      </c>
      <c r="BK82" t="s">
        <v>1269</v>
      </c>
      <c r="BM82" t="s">
        <v>1270</v>
      </c>
      <c r="BN82" t="s">
        <v>403</v>
      </c>
      <c r="BO82">
        <v>32046</v>
      </c>
      <c r="BP82" t="s">
        <v>416</v>
      </c>
      <c r="BQ82">
        <v>5000</v>
      </c>
      <c r="BR82" t="s">
        <v>664</v>
      </c>
      <c r="BS82">
        <v>7000</v>
      </c>
      <c r="BT82" t="s">
        <v>665</v>
      </c>
      <c r="BW82">
        <v>609840</v>
      </c>
      <c r="BX82" t="s">
        <v>407</v>
      </c>
      <c r="BY82" t="s">
        <v>408</v>
      </c>
      <c r="BZ82">
        <v>4</v>
      </c>
      <c r="CA82">
        <v>1971</v>
      </c>
      <c r="CB82">
        <v>1</v>
      </c>
      <c r="CC82">
        <v>1</v>
      </c>
      <c r="CD82">
        <v>2017</v>
      </c>
      <c r="CG82">
        <v>133473</v>
      </c>
      <c r="CH82">
        <v>2017</v>
      </c>
      <c r="CI82">
        <v>19050</v>
      </c>
      <c r="CJ82">
        <v>192303</v>
      </c>
      <c r="CK82">
        <v>211353</v>
      </c>
      <c r="CL82">
        <v>2017</v>
      </c>
      <c r="CM82">
        <v>1417.11</v>
      </c>
      <c r="CN82" s="1">
        <v>39176</v>
      </c>
      <c r="CZ82" s="1">
        <v>39176</v>
      </c>
      <c r="DD82" t="s">
        <v>398</v>
      </c>
      <c r="DG82">
        <v>9</v>
      </c>
      <c r="DL82">
        <v>50503</v>
      </c>
      <c r="DM82" t="s">
        <v>1271</v>
      </c>
      <c r="DO82" t="s">
        <v>1272</v>
      </c>
      <c r="DP82">
        <v>0</v>
      </c>
      <c r="DQ82">
        <v>0</v>
      </c>
      <c r="DR82" t="s">
        <v>411</v>
      </c>
      <c r="EP82" t="s">
        <v>421</v>
      </c>
      <c r="EQ82" t="s">
        <v>422</v>
      </c>
      <c r="ER82">
        <v>0</v>
      </c>
      <c r="ES82">
        <v>3</v>
      </c>
      <c r="ET82">
        <v>0</v>
      </c>
      <c r="EU82">
        <v>0</v>
      </c>
      <c r="EV82">
        <v>0</v>
      </c>
      <c r="EW82" s="2">
        <v>43222</v>
      </c>
      <c r="EX82" s="1">
        <v>41787</v>
      </c>
      <c r="EY82">
        <v>2013</v>
      </c>
      <c r="EZ82">
        <v>1459.25</v>
      </c>
      <c r="FA82" t="s">
        <v>1273</v>
      </c>
      <c r="FB82">
        <v>0.25</v>
      </c>
      <c r="FC82" t="s">
        <v>424</v>
      </c>
      <c r="FD82" t="s">
        <v>425</v>
      </c>
      <c r="FE82" s="1">
        <v>41815</v>
      </c>
      <c r="FF82">
        <v>1</v>
      </c>
      <c r="FG82">
        <v>2757457</v>
      </c>
      <c r="FH82" t="s">
        <v>648</v>
      </c>
      <c r="FJ82" s="1">
        <v>41052</v>
      </c>
      <c r="FK82">
        <v>2011</v>
      </c>
      <c r="FL82">
        <v>1561.21</v>
      </c>
      <c r="FM82" t="s">
        <v>1274</v>
      </c>
      <c r="FN82">
        <v>0.25</v>
      </c>
      <c r="FO82" t="s">
        <v>424</v>
      </c>
      <c r="FP82" t="s">
        <v>425</v>
      </c>
      <c r="FQ82" s="1">
        <v>41250</v>
      </c>
      <c r="FR82">
        <v>7</v>
      </c>
      <c r="FS82">
        <v>12407</v>
      </c>
      <c r="FT82" t="s">
        <v>838</v>
      </c>
      <c r="FV82" s="1">
        <v>40688</v>
      </c>
      <c r="FW82">
        <v>2010</v>
      </c>
      <c r="FX82">
        <v>2234.7199999999998</v>
      </c>
      <c r="FY82" t="s">
        <v>1275</v>
      </c>
      <c r="FZ82">
        <v>0.25</v>
      </c>
      <c r="GA82" t="s">
        <v>424</v>
      </c>
      <c r="GB82" t="s">
        <v>425</v>
      </c>
      <c r="GC82" s="1">
        <v>40961</v>
      </c>
      <c r="GD82">
        <v>9</v>
      </c>
      <c r="GE82">
        <v>11287</v>
      </c>
      <c r="GF82" t="s">
        <v>511</v>
      </c>
    </row>
    <row r="83" spans="1:284" x14ac:dyDescent="0.25">
      <c r="A83">
        <v>16485090</v>
      </c>
      <c r="B83">
        <v>82</v>
      </c>
      <c r="C83" t="s">
        <v>393</v>
      </c>
      <c r="D83" t="s">
        <v>394</v>
      </c>
      <c r="F83" t="str">
        <f>"09-2N-23-0000-0003-0000"</f>
        <v>09-2N-23-0000-0003-0000</v>
      </c>
      <c r="H83" t="str">
        <f>"DEGARMO KEEGHAN"</f>
        <v>DEGARMO KEEGHAN</v>
      </c>
      <c r="I83" t="str">
        <f>"13241 LIAHONA LN"</f>
        <v>13241 LIAHONA LN</v>
      </c>
      <c r="J83" t="str">
        <f>"JACKSONVILLE FL 32225"</f>
        <v>JACKSONVILLE FL 32225</v>
      </c>
      <c r="K83" t="str">
        <f>"SIKES DR"</f>
        <v>SIKES DR</v>
      </c>
      <c r="L83" t="str">
        <f t="shared" si="31"/>
        <v>HILLIARD FL 32046</v>
      </c>
      <c r="M83" t="str">
        <f>"IN OR 1889/1240"</f>
        <v>IN OR 1889/1240</v>
      </c>
      <c r="N83" t="str">
        <f>""</f>
        <v/>
      </c>
      <c r="O83" t="str">
        <f>"24792"</f>
        <v>24792</v>
      </c>
      <c r="P83" t="str">
        <f t="shared" si="27"/>
        <v>2017</v>
      </c>
      <c r="Q83" t="str">
        <f>""</f>
        <v/>
      </c>
      <c r="R83" t="str">
        <f>"N"</f>
        <v>N</v>
      </c>
      <c r="S83" t="str">
        <f>"174.00"</f>
        <v>174.00</v>
      </c>
      <c r="T83" t="str">
        <f>"981.34"</f>
        <v>981.34</v>
      </c>
      <c r="U83" t="str">
        <f>"64683.00"</f>
        <v>64683.00</v>
      </c>
      <c r="V83" t="str">
        <f>"64683.00"</f>
        <v>64683.00</v>
      </c>
      <c r="W83" t="str">
        <f t="shared" si="28"/>
        <v>2017</v>
      </c>
      <c r="X83" t="str">
        <f>"9.88"</f>
        <v>9.88</v>
      </c>
      <c r="Y83" t="str">
        <f>"1042.78"</f>
        <v>1042.78</v>
      </c>
      <c r="Z83" t="str">
        <f>""</f>
        <v/>
      </c>
      <c r="AA83" t="str">
        <f>"65004.00"</f>
        <v>65004.00</v>
      </c>
      <c r="AB83" t="str">
        <f>"Agricultural"</f>
        <v>Agricultural</v>
      </c>
      <c r="AC83" t="str">
        <f t="shared" si="30"/>
        <v>0</v>
      </c>
      <c r="AD83" t="str">
        <f>""</f>
        <v/>
      </c>
      <c r="AE83" t="str">
        <f>""</f>
        <v/>
      </c>
      <c r="AF83" t="str">
        <f>"059"</f>
        <v>059</v>
      </c>
      <c r="AG83" t="str">
        <f t="shared" si="24"/>
        <v>FL</v>
      </c>
      <c r="AH83" t="str">
        <f>"7579440.00"</f>
        <v>7579440.00</v>
      </c>
      <c r="AI83" t="str">
        <f>"55668.00"</f>
        <v>55668.00</v>
      </c>
      <c r="AJ83" t="str">
        <f>"C55-000-586-8360-8"</f>
        <v>C55-000-586-8360-8</v>
      </c>
      <c r="AK83" t="str">
        <f>"529"</f>
        <v>529</v>
      </c>
      <c r="AL83">
        <v>1</v>
      </c>
      <c r="AM83">
        <v>95</v>
      </c>
      <c r="AN83">
        <v>1093.32</v>
      </c>
      <c r="AQ83" t="s">
        <v>1276</v>
      </c>
      <c r="AR83" t="s">
        <v>1276</v>
      </c>
      <c r="AS83" t="s">
        <v>1276</v>
      </c>
      <c r="AU83" t="s">
        <v>396</v>
      </c>
      <c r="AV83">
        <v>2017</v>
      </c>
      <c r="AW83" t="str">
        <f>"09-2N-23-0000-0003-0000 "</f>
        <v xml:space="preserve">09-2N-23-0000-0003-0000 </v>
      </c>
      <c r="AZ83" t="s">
        <v>1267</v>
      </c>
      <c r="BA83" t="s">
        <v>669</v>
      </c>
      <c r="BD83" t="s">
        <v>398</v>
      </c>
      <c r="BE83" t="s">
        <v>393</v>
      </c>
      <c r="BF83">
        <v>32046</v>
      </c>
      <c r="BG83" t="s">
        <v>1277</v>
      </c>
      <c r="BH83" t="s">
        <v>400</v>
      </c>
      <c r="BI83">
        <v>-82.017065467102896</v>
      </c>
      <c r="BJ83">
        <v>30.605334139282402</v>
      </c>
      <c r="BK83" t="s">
        <v>1278</v>
      </c>
      <c r="BM83" t="s">
        <v>1279</v>
      </c>
      <c r="BN83" t="s">
        <v>548</v>
      </c>
      <c r="BO83">
        <v>32225</v>
      </c>
      <c r="BP83" t="s">
        <v>404</v>
      </c>
      <c r="BQ83">
        <v>5902</v>
      </c>
      <c r="BR83" t="s">
        <v>1241</v>
      </c>
      <c r="BS83">
        <v>7009</v>
      </c>
      <c r="BT83" t="s">
        <v>418</v>
      </c>
      <c r="BW83">
        <v>7579440</v>
      </c>
      <c r="BX83" t="s">
        <v>407</v>
      </c>
      <c r="BY83" t="s">
        <v>408</v>
      </c>
      <c r="CD83">
        <v>2017</v>
      </c>
      <c r="CG83">
        <v>65004</v>
      </c>
      <c r="CH83">
        <v>2017</v>
      </c>
      <c r="CI83">
        <v>55668</v>
      </c>
      <c r="CJ83">
        <v>280068</v>
      </c>
      <c r="CK83">
        <v>335736</v>
      </c>
      <c r="CL83">
        <v>2017</v>
      </c>
      <c r="CM83">
        <v>981.34</v>
      </c>
      <c r="CN83" s="1">
        <v>41592</v>
      </c>
      <c r="CZ83" s="1">
        <v>41592</v>
      </c>
      <c r="DD83" t="s">
        <v>398</v>
      </c>
      <c r="DG83">
        <v>9</v>
      </c>
      <c r="DL83">
        <v>50503</v>
      </c>
      <c r="DM83" t="s">
        <v>1271</v>
      </c>
      <c r="DO83" t="s">
        <v>1280</v>
      </c>
      <c r="DP83">
        <v>0</v>
      </c>
      <c r="DQ83">
        <v>0</v>
      </c>
      <c r="DR83" t="s">
        <v>411</v>
      </c>
      <c r="DS83" t="b">
        <v>1</v>
      </c>
      <c r="DT83" t="s">
        <v>396</v>
      </c>
      <c r="DV83" t="s">
        <v>446</v>
      </c>
      <c r="DX83">
        <v>-9999</v>
      </c>
      <c r="DZ83" t="s">
        <v>447</v>
      </c>
      <c r="EA83" t="s">
        <v>448</v>
      </c>
      <c r="EB83" t="s">
        <v>449</v>
      </c>
      <c r="EC83">
        <v>20101217</v>
      </c>
      <c r="ED83" t="s">
        <v>450</v>
      </c>
      <c r="EE83">
        <v>29.5</v>
      </c>
      <c r="EF83">
        <v>0</v>
      </c>
      <c r="EG83">
        <v>0</v>
      </c>
      <c r="EI83">
        <v>20160407</v>
      </c>
      <c r="EJ83">
        <v>0</v>
      </c>
      <c r="EK83">
        <v>0</v>
      </c>
      <c r="EP83" t="s">
        <v>421</v>
      </c>
      <c r="EQ83" t="s">
        <v>422</v>
      </c>
      <c r="ER83">
        <v>0</v>
      </c>
      <c r="ES83">
        <v>6</v>
      </c>
      <c r="ET83">
        <v>0</v>
      </c>
      <c r="EU83">
        <v>0</v>
      </c>
      <c r="EV83">
        <v>0</v>
      </c>
      <c r="EW83" s="2">
        <v>43222</v>
      </c>
      <c r="EX83" s="1">
        <v>42515</v>
      </c>
      <c r="EY83">
        <v>2015</v>
      </c>
      <c r="EZ83">
        <v>987.87</v>
      </c>
      <c r="FA83" t="s">
        <v>1281</v>
      </c>
      <c r="FB83">
        <v>0.25</v>
      </c>
      <c r="FC83" t="s">
        <v>424</v>
      </c>
      <c r="FD83" t="s">
        <v>425</v>
      </c>
      <c r="FE83" s="1">
        <v>42773</v>
      </c>
      <c r="FF83">
        <v>9</v>
      </c>
      <c r="FG83">
        <v>7045074</v>
      </c>
      <c r="FH83" t="s">
        <v>580</v>
      </c>
      <c r="FJ83" s="1">
        <v>42515</v>
      </c>
      <c r="FK83">
        <v>2015</v>
      </c>
      <c r="FL83">
        <v>987.87</v>
      </c>
      <c r="FM83" t="s">
        <v>1281</v>
      </c>
      <c r="FN83">
        <v>0.25</v>
      </c>
      <c r="FO83" t="s">
        <v>424</v>
      </c>
      <c r="FP83" t="s">
        <v>425</v>
      </c>
      <c r="FR83">
        <v>22</v>
      </c>
      <c r="FS83">
        <v>6505252</v>
      </c>
      <c r="FT83" t="s">
        <v>1282</v>
      </c>
      <c r="FV83" s="1">
        <v>42151</v>
      </c>
      <c r="FW83">
        <v>2014</v>
      </c>
      <c r="FX83">
        <v>949.98</v>
      </c>
      <c r="FY83" t="s">
        <v>1283</v>
      </c>
      <c r="FZ83">
        <v>0.25</v>
      </c>
      <c r="GA83" t="s">
        <v>424</v>
      </c>
      <c r="GB83" t="s">
        <v>425</v>
      </c>
      <c r="GC83" s="1">
        <v>42773</v>
      </c>
      <c r="GD83">
        <v>21</v>
      </c>
      <c r="GE83">
        <v>2101382</v>
      </c>
      <c r="GF83" t="s">
        <v>993</v>
      </c>
      <c r="GH83" s="1">
        <v>42151</v>
      </c>
      <c r="GI83">
        <v>2014</v>
      </c>
      <c r="GJ83">
        <v>949.98</v>
      </c>
      <c r="GK83" t="s">
        <v>1283</v>
      </c>
      <c r="GL83">
        <v>0.25</v>
      </c>
      <c r="GM83" t="s">
        <v>424</v>
      </c>
      <c r="GN83" t="s">
        <v>425</v>
      </c>
      <c r="GP83">
        <v>22</v>
      </c>
      <c r="GQ83">
        <v>5633096</v>
      </c>
      <c r="GR83" t="s">
        <v>1284</v>
      </c>
      <c r="GT83" s="1">
        <v>41423</v>
      </c>
      <c r="GU83">
        <v>2012</v>
      </c>
      <c r="GV83">
        <v>890.4</v>
      </c>
      <c r="GW83" t="s">
        <v>1285</v>
      </c>
      <c r="GX83">
        <v>3.25</v>
      </c>
      <c r="GY83" t="s">
        <v>424</v>
      </c>
      <c r="GZ83" t="s">
        <v>425</v>
      </c>
      <c r="HA83" s="1">
        <v>41614</v>
      </c>
      <c r="HB83">
        <v>7</v>
      </c>
      <c r="HC83">
        <v>606977</v>
      </c>
      <c r="HD83" t="s">
        <v>1286</v>
      </c>
      <c r="HF83" s="1">
        <v>40688</v>
      </c>
      <c r="HG83">
        <v>2010</v>
      </c>
      <c r="HH83">
        <v>905.63</v>
      </c>
      <c r="HI83" t="s">
        <v>1287</v>
      </c>
      <c r="HJ83">
        <v>6.5</v>
      </c>
      <c r="HK83" t="s">
        <v>424</v>
      </c>
      <c r="HL83" t="s">
        <v>425</v>
      </c>
      <c r="HM83" s="1">
        <v>40896</v>
      </c>
      <c r="HN83">
        <v>7</v>
      </c>
      <c r="HO83">
        <v>10579</v>
      </c>
      <c r="HP83" t="s">
        <v>488</v>
      </c>
    </row>
    <row r="84" spans="1:284" x14ac:dyDescent="0.25">
      <c r="A84">
        <v>16485091</v>
      </c>
      <c r="B84">
        <v>83</v>
      </c>
      <c r="C84" t="s">
        <v>393</v>
      </c>
      <c r="D84" t="s">
        <v>394</v>
      </c>
      <c r="F84" t="str">
        <f>"09-2N-23-0000-0005-0000"</f>
        <v>09-2N-23-0000-0005-0000</v>
      </c>
      <c r="H84" t="str">
        <f>"MANGES HARRY E"</f>
        <v>MANGES HARRY E</v>
      </c>
      <c r="I84" t="str">
        <f>"2303 SLIPPERY ROCK CIRCLE"</f>
        <v>2303 SLIPPERY ROCK CIRCLE</v>
      </c>
      <c r="J84" t="str">
        <f>"BLACKSHEAR GA 31516"</f>
        <v>BLACKSHEAR GA 31516</v>
      </c>
      <c r="K84" t="str">
        <f>"RUBY LN"</f>
        <v>RUBY LN</v>
      </c>
      <c r="L84" t="str">
        <f t="shared" si="31"/>
        <v>HILLIARD FL 32046</v>
      </c>
      <c r="M84" t="str">
        <f>"PARCEL 5 (EX 5-2 THRU 5-6) IN PT OF OR 287 PG 261"</f>
        <v>PARCEL 5 (EX 5-2 THRU 5-6) IN PT OF OR 287 PG 261</v>
      </c>
      <c r="N84" t="str">
        <f>""</f>
        <v/>
      </c>
      <c r="O84" t="str">
        <f>"24798"</f>
        <v>24798</v>
      </c>
      <c r="P84" t="str">
        <f t="shared" si="27"/>
        <v>2017</v>
      </c>
      <c r="Q84" t="str">
        <f>""</f>
        <v/>
      </c>
      <c r="R84" t="str">
        <f>"N"</f>
        <v>N</v>
      </c>
      <c r="S84" t="str">
        <f>"0.79"</f>
        <v>0.79</v>
      </c>
      <c r="T84" t="str">
        <f>"35.89"</f>
        <v>35.89</v>
      </c>
      <c r="U84" t="str">
        <f>"2370.00"</f>
        <v>2370.00</v>
      </c>
      <c r="V84" t="str">
        <f>"2370.00"</f>
        <v>2370.00</v>
      </c>
      <c r="W84" t="str">
        <f t="shared" si="28"/>
        <v>2017</v>
      </c>
      <c r="X84" t="str">
        <f>"19.70"</f>
        <v>19.70</v>
      </c>
      <c r="Y84" t="str">
        <f>"68.97"</f>
        <v>68.97</v>
      </c>
      <c r="Z84" t="str">
        <f>""</f>
        <v/>
      </c>
      <c r="AA84" t="str">
        <f>"2370.00"</f>
        <v>2370.00</v>
      </c>
      <c r="AB84" t="str">
        <f>"Residential"</f>
        <v>Residential</v>
      </c>
      <c r="AC84" t="str">
        <f t="shared" si="30"/>
        <v>0</v>
      </c>
      <c r="AD84" t="str">
        <f>""</f>
        <v/>
      </c>
      <c r="AE84" t="str">
        <f>""</f>
        <v/>
      </c>
      <c r="AF84" t="str">
        <f>"000"</f>
        <v>000</v>
      </c>
      <c r="AG84" t="str">
        <f>"GA"</f>
        <v>GA</v>
      </c>
      <c r="AH84" t="str">
        <f>"34412.00"</f>
        <v>34412.00</v>
      </c>
      <c r="AI84" t="str">
        <f>"2370.00"</f>
        <v>2370.00</v>
      </c>
      <c r="AJ84" t="str">
        <f>"C55-000-586-8362-4"</f>
        <v>C55-000-586-8362-4</v>
      </c>
      <c r="AK84" t="str">
        <f>"537"</f>
        <v>537</v>
      </c>
      <c r="AL84">
        <v>1</v>
      </c>
      <c r="AM84">
        <v>96</v>
      </c>
      <c r="AN84">
        <v>70.819999999999993</v>
      </c>
      <c r="AQ84" t="s">
        <v>1288</v>
      </c>
      <c r="AR84" t="s">
        <v>1288</v>
      </c>
      <c r="AS84" t="s">
        <v>1288</v>
      </c>
      <c r="AU84" t="s">
        <v>396</v>
      </c>
      <c r="AV84">
        <v>2017</v>
      </c>
      <c r="AW84" t="str">
        <f>"09-2N-23-0000-0005-0000 "</f>
        <v xml:space="preserve">09-2N-23-0000-0005-0000 </v>
      </c>
      <c r="AZ84" t="s">
        <v>1289</v>
      </c>
      <c r="BA84" t="s">
        <v>653</v>
      </c>
      <c r="BD84" t="s">
        <v>398</v>
      </c>
      <c r="BE84" t="s">
        <v>393</v>
      </c>
      <c r="BF84">
        <v>32046</v>
      </c>
      <c r="BG84" t="s">
        <v>1290</v>
      </c>
      <c r="BH84" t="s">
        <v>400</v>
      </c>
      <c r="BI84">
        <v>-82.0060262085468</v>
      </c>
      <c r="BJ84">
        <v>30.595187521772999</v>
      </c>
      <c r="BK84" t="s">
        <v>1291</v>
      </c>
      <c r="BM84" t="s">
        <v>1292</v>
      </c>
      <c r="BN84" t="s">
        <v>1293</v>
      </c>
      <c r="BO84">
        <v>31516</v>
      </c>
      <c r="BP84" t="s">
        <v>404</v>
      </c>
      <c r="BQ84">
        <v>0</v>
      </c>
      <c r="BR84" t="s">
        <v>491</v>
      </c>
      <c r="BS84">
        <v>8001</v>
      </c>
      <c r="BT84" t="s">
        <v>492</v>
      </c>
      <c r="BW84">
        <v>34412</v>
      </c>
      <c r="BX84" t="s">
        <v>407</v>
      </c>
      <c r="BY84" t="s">
        <v>408</v>
      </c>
      <c r="CD84">
        <v>2017</v>
      </c>
      <c r="CE84">
        <v>2370</v>
      </c>
      <c r="CG84">
        <v>2370</v>
      </c>
      <c r="CH84">
        <v>2017</v>
      </c>
      <c r="CI84">
        <v>2370</v>
      </c>
      <c r="CK84">
        <v>2370</v>
      </c>
      <c r="CL84">
        <v>2017</v>
      </c>
      <c r="CM84">
        <v>35.89</v>
      </c>
      <c r="CN84" s="1">
        <v>28915</v>
      </c>
      <c r="CO84">
        <v>165000</v>
      </c>
      <c r="CZ84" s="1">
        <v>28915</v>
      </c>
      <c r="DD84" t="s">
        <v>398</v>
      </c>
      <c r="DG84">
        <v>9</v>
      </c>
      <c r="DL84">
        <v>50503</v>
      </c>
      <c r="DM84" t="s">
        <v>1271</v>
      </c>
      <c r="DO84" t="s">
        <v>1294</v>
      </c>
      <c r="DP84">
        <v>0</v>
      </c>
      <c r="DQ84">
        <v>0</v>
      </c>
      <c r="DR84" t="s">
        <v>411</v>
      </c>
      <c r="DS84" t="b">
        <v>1</v>
      </c>
      <c r="DT84" t="s">
        <v>470</v>
      </c>
      <c r="DU84" t="s">
        <v>471</v>
      </c>
      <c r="DV84" t="s">
        <v>472</v>
      </c>
      <c r="DX84">
        <v>-9999</v>
      </c>
      <c r="DZ84" t="s">
        <v>447</v>
      </c>
      <c r="EA84" t="s">
        <v>448</v>
      </c>
      <c r="EB84" t="s">
        <v>1295</v>
      </c>
      <c r="EC84">
        <v>20101217</v>
      </c>
      <c r="ED84" t="s">
        <v>474</v>
      </c>
      <c r="EF84">
        <v>744.5</v>
      </c>
      <c r="EG84">
        <v>744.5</v>
      </c>
      <c r="EI84">
        <v>20160407</v>
      </c>
      <c r="EJ84">
        <v>0</v>
      </c>
      <c r="EK84">
        <v>0</v>
      </c>
      <c r="EP84" t="s">
        <v>421</v>
      </c>
      <c r="EQ84" t="s">
        <v>422</v>
      </c>
      <c r="ER84">
        <v>1</v>
      </c>
      <c r="ES84">
        <v>6</v>
      </c>
      <c r="ET84">
        <v>184.38</v>
      </c>
      <c r="EU84">
        <v>32.99</v>
      </c>
      <c r="EV84">
        <v>217.37</v>
      </c>
      <c r="EW84" s="2">
        <v>43222</v>
      </c>
      <c r="EX84" s="1">
        <v>42879</v>
      </c>
      <c r="EY84">
        <v>2016</v>
      </c>
      <c r="EZ84">
        <v>184.38</v>
      </c>
      <c r="FA84" t="s">
        <v>1296</v>
      </c>
      <c r="FB84">
        <v>14.5</v>
      </c>
      <c r="FC84" t="s">
        <v>424</v>
      </c>
      <c r="FD84" t="s">
        <v>454</v>
      </c>
      <c r="FF84">
        <v>12</v>
      </c>
      <c r="FG84">
        <v>10021</v>
      </c>
      <c r="FH84" t="s">
        <v>597</v>
      </c>
      <c r="FJ84" s="1">
        <v>42515</v>
      </c>
      <c r="FK84">
        <v>2015</v>
      </c>
      <c r="FL84">
        <v>175.9</v>
      </c>
      <c r="FM84" t="s">
        <v>1297</v>
      </c>
      <c r="FN84">
        <v>17.5</v>
      </c>
      <c r="FO84" t="s">
        <v>424</v>
      </c>
      <c r="FP84" t="s">
        <v>425</v>
      </c>
      <c r="FQ84" s="1">
        <v>43187</v>
      </c>
      <c r="FR84">
        <v>22</v>
      </c>
      <c r="FS84">
        <v>2035919</v>
      </c>
      <c r="FT84" t="s">
        <v>507</v>
      </c>
      <c r="FV84" s="1">
        <v>42151</v>
      </c>
      <c r="FW84">
        <v>2014</v>
      </c>
      <c r="FX84">
        <v>157.03</v>
      </c>
      <c r="FY84" t="s">
        <v>1298</v>
      </c>
      <c r="FZ84">
        <v>17.75</v>
      </c>
      <c r="GA84" t="s">
        <v>424</v>
      </c>
      <c r="GB84" t="s">
        <v>425</v>
      </c>
      <c r="GC84" s="1">
        <v>42787</v>
      </c>
      <c r="GD84">
        <v>21</v>
      </c>
      <c r="GE84">
        <v>10125</v>
      </c>
      <c r="GF84" t="s">
        <v>440</v>
      </c>
      <c r="GH84" s="1">
        <v>41787</v>
      </c>
      <c r="GI84">
        <v>2013</v>
      </c>
      <c r="GJ84">
        <v>149.81</v>
      </c>
      <c r="GK84" t="s">
        <v>1299</v>
      </c>
      <c r="GL84">
        <v>15.75</v>
      </c>
      <c r="GM84" t="s">
        <v>424</v>
      </c>
      <c r="GN84" t="s">
        <v>425</v>
      </c>
      <c r="GO84" s="1">
        <v>42453</v>
      </c>
      <c r="GP84">
        <v>22</v>
      </c>
      <c r="GQ84">
        <v>4695392</v>
      </c>
      <c r="GR84" t="s">
        <v>958</v>
      </c>
      <c r="GT84" s="1">
        <v>41423</v>
      </c>
      <c r="GU84">
        <v>2012</v>
      </c>
      <c r="GV84">
        <v>170.82</v>
      </c>
      <c r="GW84" t="s">
        <v>1300</v>
      </c>
      <c r="GX84">
        <v>16.75</v>
      </c>
      <c r="GY84" t="s">
        <v>424</v>
      </c>
      <c r="GZ84" t="s">
        <v>425</v>
      </c>
      <c r="HA84" s="1">
        <v>42059</v>
      </c>
      <c r="HB84">
        <v>21</v>
      </c>
      <c r="HC84">
        <v>11154</v>
      </c>
      <c r="HD84" t="s">
        <v>1301</v>
      </c>
      <c r="HF84" s="1">
        <v>41052</v>
      </c>
      <c r="HG84">
        <v>2011</v>
      </c>
      <c r="HH84">
        <v>191.73</v>
      </c>
      <c r="HI84" t="s">
        <v>1302</v>
      </c>
      <c r="HJ84">
        <v>16.25</v>
      </c>
      <c r="HK84" t="s">
        <v>424</v>
      </c>
      <c r="HL84" t="s">
        <v>425</v>
      </c>
      <c r="HM84" s="1">
        <v>41690</v>
      </c>
      <c r="HN84">
        <v>21</v>
      </c>
      <c r="HO84">
        <v>10125</v>
      </c>
      <c r="HP84" t="s">
        <v>440</v>
      </c>
      <c r="HR84" s="1">
        <v>40688</v>
      </c>
      <c r="HS84">
        <v>2010</v>
      </c>
      <c r="HT84">
        <v>211.58</v>
      </c>
      <c r="HU84" t="s">
        <v>1303</v>
      </c>
      <c r="HV84">
        <v>11.5</v>
      </c>
      <c r="HW84" t="s">
        <v>424</v>
      </c>
      <c r="HX84" t="s">
        <v>425</v>
      </c>
      <c r="HY84" s="1">
        <v>41332</v>
      </c>
      <c r="HZ84">
        <v>21</v>
      </c>
      <c r="IA84">
        <v>105</v>
      </c>
      <c r="IB84" t="s">
        <v>946</v>
      </c>
    </row>
    <row r="85" spans="1:284" x14ac:dyDescent="0.25">
      <c r="A85">
        <v>16485092</v>
      </c>
      <c r="B85">
        <v>84</v>
      </c>
      <c r="C85" t="s">
        <v>393</v>
      </c>
      <c r="D85" t="s">
        <v>394</v>
      </c>
      <c r="F85" t="str">
        <f>"10-2N-23-0000-0003-0010"</f>
        <v>10-2N-23-0000-0003-0010</v>
      </c>
      <c r="H85" t="str">
        <f>"CANADAY ARTHUR L &amp; CANADY REGINALD &amp; KENNETH EST"</f>
        <v>CANADAY ARTHUR L &amp; CANADY REGINALD &amp; KENNETH EST</v>
      </c>
      <c r="I85" t="str">
        <f>"3364 JESSIE RD"</f>
        <v>3364 JESSIE RD</v>
      </c>
      <c r="J85" t="str">
        <f>"HILLIARD FL 32046"</f>
        <v>HILLIARD FL 32046</v>
      </c>
      <c r="K85" t="str">
        <f>"3364 JESSIE RD"</f>
        <v>3364 JESSIE RD</v>
      </c>
      <c r="L85" t="str">
        <f t="shared" si="31"/>
        <v>HILLIARD FL 32046</v>
      </c>
      <c r="M85" t="str">
        <f>"IN OR 1073/1943 EX ESMT PT OR 762/756"</f>
        <v>IN OR 1073/1943 EX ESMT PT OR 762/756</v>
      </c>
      <c r="N85" t="str">
        <f>""</f>
        <v/>
      </c>
      <c r="O85" t="str">
        <f>"25785"</f>
        <v>25785</v>
      </c>
      <c r="P85" t="str">
        <f t="shared" si="27"/>
        <v>2017</v>
      </c>
      <c r="Q85" t="str">
        <f>""</f>
        <v/>
      </c>
      <c r="R85" t="str">
        <f>"Y"</f>
        <v>Y</v>
      </c>
      <c r="S85" t="str">
        <f>"5.00"</f>
        <v>5.00</v>
      </c>
      <c r="T85" t="str">
        <f>"1282.28"</f>
        <v>1282.28</v>
      </c>
      <c r="U85" t="str">
        <f>"123806.00"</f>
        <v>123806.00</v>
      </c>
      <c r="V85" t="str">
        <f>"123806.00"</f>
        <v>123806.00</v>
      </c>
      <c r="W85" t="str">
        <f t="shared" si="28"/>
        <v>2017</v>
      </c>
      <c r="X85" t="str">
        <f>""</f>
        <v/>
      </c>
      <c r="Y85" t="str">
        <f>"1352.75"</f>
        <v>1352.75</v>
      </c>
      <c r="Z85" t="str">
        <f>"25000.00"</f>
        <v>25000.00</v>
      </c>
      <c r="AA85" t="str">
        <f>"98806.00"</f>
        <v>98806.00</v>
      </c>
      <c r="AB85" t="str">
        <f>"Residential"</f>
        <v>Residential</v>
      </c>
      <c r="AC85" t="str">
        <f t="shared" si="30"/>
        <v>0</v>
      </c>
      <c r="AD85" t="str">
        <f>"4"</f>
        <v>4</v>
      </c>
      <c r="AE85" t="str">
        <f>"WOOD (INCLUDE STEEL STUDS)"</f>
        <v>WOOD (INCLUDE STEEL STUDS)</v>
      </c>
      <c r="AF85" t="str">
        <f>"001"</f>
        <v>001</v>
      </c>
      <c r="AG85" t="str">
        <f t="shared" ref="AG85:AG101" si="33">"FL"</f>
        <v>FL</v>
      </c>
      <c r="AH85" t="str">
        <f>"217800.00"</f>
        <v>217800.00</v>
      </c>
      <c r="AI85" t="str">
        <f>"40000.00"</f>
        <v>40000.00</v>
      </c>
      <c r="AJ85" t="str">
        <f>"C55-000-586-8799-7"</f>
        <v>C55-000-586-8799-7</v>
      </c>
      <c r="AK85" t="str">
        <f>"547"</f>
        <v>547</v>
      </c>
      <c r="AL85">
        <v>1</v>
      </c>
      <c r="AM85">
        <v>97</v>
      </c>
      <c r="AN85">
        <v>1418.79</v>
      </c>
      <c r="AQ85" t="s">
        <v>1304</v>
      </c>
      <c r="AR85" t="s">
        <v>1304</v>
      </c>
      <c r="AS85" t="s">
        <v>1304</v>
      </c>
      <c r="AU85" t="s">
        <v>396</v>
      </c>
      <c r="AV85">
        <v>2017</v>
      </c>
      <c r="AW85" t="str">
        <f>"10-2N-23-0000-0003-0010 "</f>
        <v xml:space="preserve">10-2N-23-0000-0003-0010 </v>
      </c>
      <c r="AX85">
        <v>3364</v>
      </c>
      <c r="AZ85" t="s">
        <v>1305</v>
      </c>
      <c r="BA85" t="s">
        <v>496</v>
      </c>
      <c r="BD85" t="s">
        <v>398</v>
      </c>
      <c r="BE85" t="s">
        <v>393</v>
      </c>
      <c r="BF85">
        <v>32046</v>
      </c>
      <c r="BG85" t="s">
        <v>1306</v>
      </c>
      <c r="BH85" t="s">
        <v>400</v>
      </c>
      <c r="BI85">
        <v>-81.995369999614297</v>
      </c>
      <c r="BJ85">
        <v>30.603490095053701</v>
      </c>
      <c r="BK85" t="s">
        <v>1307</v>
      </c>
      <c r="BL85" t="s">
        <v>1308</v>
      </c>
      <c r="BM85" t="s">
        <v>1306</v>
      </c>
      <c r="BN85" t="s">
        <v>403</v>
      </c>
      <c r="BO85">
        <v>32046</v>
      </c>
      <c r="BP85" t="s">
        <v>416</v>
      </c>
      <c r="BQ85">
        <v>100</v>
      </c>
      <c r="BR85" t="s">
        <v>514</v>
      </c>
      <c r="BS85">
        <v>1001</v>
      </c>
      <c r="BT85" t="s">
        <v>515</v>
      </c>
      <c r="BW85">
        <v>217800</v>
      </c>
      <c r="BX85" t="s">
        <v>407</v>
      </c>
      <c r="BY85" t="s">
        <v>408</v>
      </c>
      <c r="BZ85">
        <v>4</v>
      </c>
      <c r="CA85">
        <v>1983</v>
      </c>
      <c r="CB85">
        <v>1</v>
      </c>
      <c r="CC85">
        <v>1</v>
      </c>
      <c r="CD85">
        <v>2017</v>
      </c>
      <c r="CE85">
        <v>40000</v>
      </c>
      <c r="CF85">
        <v>83806</v>
      </c>
      <c r="CG85">
        <v>123806</v>
      </c>
      <c r="CH85">
        <v>2017</v>
      </c>
      <c r="CI85">
        <v>40000</v>
      </c>
      <c r="CJ85">
        <v>83806</v>
      </c>
      <c r="CK85">
        <v>123806</v>
      </c>
      <c r="CL85">
        <v>2017</v>
      </c>
      <c r="CM85">
        <v>1282.28</v>
      </c>
      <c r="CN85" s="1">
        <v>37477</v>
      </c>
      <c r="CZ85" s="1">
        <v>37477</v>
      </c>
      <c r="DD85" t="s">
        <v>398</v>
      </c>
      <c r="DG85">
        <v>10</v>
      </c>
      <c r="DL85">
        <v>50400</v>
      </c>
      <c r="DM85" t="s">
        <v>1309</v>
      </c>
      <c r="DO85" t="s">
        <v>1310</v>
      </c>
      <c r="DP85">
        <v>0</v>
      </c>
      <c r="DQ85">
        <v>0</v>
      </c>
      <c r="DR85" t="s">
        <v>411</v>
      </c>
      <c r="EP85" t="s">
        <v>421</v>
      </c>
      <c r="EQ85" t="s">
        <v>422</v>
      </c>
      <c r="ER85">
        <v>2</v>
      </c>
      <c r="ES85">
        <v>0</v>
      </c>
      <c r="ET85">
        <v>1010.04</v>
      </c>
      <c r="EU85">
        <v>63</v>
      </c>
      <c r="EV85">
        <v>1073.04</v>
      </c>
      <c r="EW85" s="2">
        <v>43222</v>
      </c>
      <c r="EX85" s="1">
        <v>42879</v>
      </c>
      <c r="EY85">
        <v>2016</v>
      </c>
      <c r="EZ85">
        <v>505.02</v>
      </c>
      <c r="FA85" t="s">
        <v>1311</v>
      </c>
      <c r="FB85">
        <v>0.25</v>
      </c>
      <c r="FC85" t="s">
        <v>424</v>
      </c>
      <c r="FD85" t="s">
        <v>454</v>
      </c>
      <c r="FF85">
        <v>12</v>
      </c>
      <c r="FG85">
        <v>11289</v>
      </c>
      <c r="FH85" t="s">
        <v>787</v>
      </c>
      <c r="FJ85" s="1">
        <v>42879</v>
      </c>
      <c r="FK85">
        <v>2016</v>
      </c>
      <c r="FL85">
        <v>505.02</v>
      </c>
      <c r="FM85" t="s">
        <v>1311</v>
      </c>
      <c r="FN85">
        <v>0.25</v>
      </c>
      <c r="FO85" t="s">
        <v>424</v>
      </c>
      <c r="FP85" t="s">
        <v>454</v>
      </c>
      <c r="FR85">
        <v>12</v>
      </c>
      <c r="FS85">
        <v>7310717</v>
      </c>
      <c r="FT85" t="s">
        <v>1312</v>
      </c>
    </row>
    <row r="86" spans="1:284" x14ac:dyDescent="0.25">
      <c r="A86">
        <v>16485093</v>
      </c>
      <c r="B86">
        <v>85</v>
      </c>
      <c r="C86" t="s">
        <v>393</v>
      </c>
      <c r="D86" t="s">
        <v>394</v>
      </c>
      <c r="F86" t="str">
        <f>"10-2N-23-0000-0007-0000"</f>
        <v>10-2N-23-0000-0007-0000</v>
      </c>
      <c r="H86" t="str">
        <f>"DYAL KENNETH MYRON"</f>
        <v>DYAL KENNETH MYRON</v>
      </c>
      <c r="I86" t="str">
        <f>"24355 COUNTY ROAD 121"</f>
        <v>24355 COUNTY ROAD 121</v>
      </c>
      <c r="J86" t="str">
        <f>"HILLIARD FL 32046"</f>
        <v>HILLIARD FL 32046</v>
      </c>
      <c r="K86" t="str">
        <f>"24355 CR 121"</f>
        <v>24355 CR 121</v>
      </c>
      <c r="L86" t="str">
        <f t="shared" si="31"/>
        <v>HILLIARD FL 32046</v>
      </c>
      <c r="M86" t="str">
        <f>"PT OF N1/2 OF NW1/4 CASE 13-CP-135 OR 1861/1488 EX R/W OR 246/647 ESMT PT OR 1818/787"</f>
        <v>PT OF N1/2 OF NW1/4 CASE 13-CP-135 OR 1861/1488 EX R/W OR 246/647 ESMT PT OR 1818/787</v>
      </c>
      <c r="N86" t="str">
        <f>""</f>
        <v/>
      </c>
      <c r="O86" t="str">
        <f>"25791"</f>
        <v>25791</v>
      </c>
      <c r="P86" t="str">
        <f t="shared" si="27"/>
        <v>2017</v>
      </c>
      <c r="Q86" t="str">
        <f>""</f>
        <v/>
      </c>
      <c r="R86" t="str">
        <f>"N"</f>
        <v>N</v>
      </c>
      <c r="S86" t="str">
        <f>"5.00"</f>
        <v>5.00</v>
      </c>
      <c r="T86" t="str">
        <f>"1860.77"</f>
        <v>1860.77</v>
      </c>
      <c r="U86" t="str">
        <f>"122915.00"</f>
        <v>122915.00</v>
      </c>
      <c r="V86" t="str">
        <f>"122915.00"</f>
        <v>122915.00</v>
      </c>
      <c r="W86" t="str">
        <f t="shared" si="28"/>
        <v>2017</v>
      </c>
      <c r="X86" t="str">
        <f>"16.00"</f>
        <v>16.00</v>
      </c>
      <c r="Y86" t="str">
        <f>"1948.59"</f>
        <v>1948.59</v>
      </c>
      <c r="Z86" t="str">
        <f>""</f>
        <v/>
      </c>
      <c r="AA86" t="str">
        <f>"122915.00"</f>
        <v>122915.00</v>
      </c>
      <c r="AB86" t="str">
        <f>"Residential"</f>
        <v>Residential</v>
      </c>
      <c r="AC86" t="str">
        <f t="shared" si="30"/>
        <v>0</v>
      </c>
      <c r="AD86" t="str">
        <f>"4"</f>
        <v>4</v>
      </c>
      <c r="AE86" t="str">
        <f>"WOOD (INCLUDE STEEL STUDS)"</f>
        <v>WOOD (INCLUDE STEEL STUDS)</v>
      </c>
      <c r="AF86" t="str">
        <f>"001"</f>
        <v>001</v>
      </c>
      <c r="AG86" t="str">
        <f t="shared" si="33"/>
        <v>FL</v>
      </c>
      <c r="AH86" t="str">
        <f>"217800.00"</f>
        <v>217800.00</v>
      </c>
      <c r="AI86" t="str">
        <f>"40000.00"</f>
        <v>40000.00</v>
      </c>
      <c r="AJ86" t="str">
        <f>"C55-000-586-8804-5"</f>
        <v>C55-000-586-8804-5</v>
      </c>
      <c r="AK86" t="str">
        <f>"553"</f>
        <v>553</v>
      </c>
      <c r="AL86">
        <v>1</v>
      </c>
      <c r="AM86">
        <v>98</v>
      </c>
      <c r="AN86">
        <v>2044.42</v>
      </c>
      <c r="AQ86" t="s">
        <v>1313</v>
      </c>
      <c r="AR86" t="s">
        <v>1313</v>
      </c>
      <c r="AS86" t="s">
        <v>1313</v>
      </c>
      <c r="AU86" t="s">
        <v>396</v>
      </c>
      <c r="AV86">
        <v>2017</v>
      </c>
      <c r="AW86" t="str">
        <f>"10-2N-23-0000-0007-0000 "</f>
        <v xml:space="preserve">10-2N-23-0000-0007-0000 </v>
      </c>
      <c r="AX86">
        <v>24355</v>
      </c>
      <c r="AZ86" t="s">
        <v>611</v>
      </c>
      <c r="BD86" t="s">
        <v>398</v>
      </c>
      <c r="BE86" t="s">
        <v>393</v>
      </c>
      <c r="BF86">
        <v>32046</v>
      </c>
      <c r="BG86" t="s">
        <v>1314</v>
      </c>
      <c r="BH86" t="s">
        <v>400</v>
      </c>
      <c r="BI86">
        <v>-81.998469964839103</v>
      </c>
      <c r="BJ86">
        <v>30.608588598958701</v>
      </c>
      <c r="BK86" t="s">
        <v>1315</v>
      </c>
      <c r="BM86" t="s">
        <v>1316</v>
      </c>
      <c r="BN86" t="s">
        <v>403</v>
      </c>
      <c r="BO86">
        <v>32046</v>
      </c>
      <c r="BP86" t="s">
        <v>416</v>
      </c>
      <c r="BQ86">
        <v>100</v>
      </c>
      <c r="BR86" t="s">
        <v>514</v>
      </c>
      <c r="BS86">
        <v>1001</v>
      </c>
      <c r="BT86" t="s">
        <v>515</v>
      </c>
      <c r="BW86">
        <v>217800</v>
      </c>
      <c r="BX86" t="s">
        <v>407</v>
      </c>
      <c r="BY86" t="s">
        <v>408</v>
      </c>
      <c r="BZ86">
        <v>4</v>
      </c>
      <c r="CA86">
        <v>1960</v>
      </c>
      <c r="CB86">
        <v>1</v>
      </c>
      <c r="CC86">
        <v>1</v>
      </c>
      <c r="CD86">
        <v>2017</v>
      </c>
      <c r="CE86">
        <v>40000</v>
      </c>
      <c r="CF86">
        <v>82915</v>
      </c>
      <c r="CG86">
        <v>122915</v>
      </c>
      <c r="CH86">
        <v>2017</v>
      </c>
      <c r="CI86">
        <v>40000</v>
      </c>
      <c r="CJ86">
        <v>82915</v>
      </c>
      <c r="CK86">
        <v>122915</v>
      </c>
      <c r="CL86">
        <v>2017</v>
      </c>
      <c r="CM86">
        <v>1860.77</v>
      </c>
      <c r="DD86" t="s">
        <v>398</v>
      </c>
      <c r="DG86">
        <v>10</v>
      </c>
      <c r="DL86">
        <v>50400</v>
      </c>
      <c r="DM86" t="s">
        <v>1309</v>
      </c>
      <c r="DO86" t="s">
        <v>1317</v>
      </c>
      <c r="DP86">
        <v>0</v>
      </c>
      <c r="DQ86">
        <v>0</v>
      </c>
      <c r="DR86" t="s">
        <v>411</v>
      </c>
      <c r="DS86" t="b">
        <v>1</v>
      </c>
      <c r="DT86" t="s">
        <v>470</v>
      </c>
      <c r="DU86" t="s">
        <v>471</v>
      </c>
      <c r="DV86" t="s">
        <v>472</v>
      </c>
      <c r="DX86">
        <v>-9999</v>
      </c>
      <c r="DZ86" t="s">
        <v>447</v>
      </c>
      <c r="EA86" t="s">
        <v>448</v>
      </c>
      <c r="EB86" t="s">
        <v>1261</v>
      </c>
      <c r="EC86">
        <v>20101217</v>
      </c>
      <c r="ED86" t="s">
        <v>474</v>
      </c>
      <c r="EF86">
        <v>1967.3</v>
      </c>
      <c r="EG86">
        <v>1967.3</v>
      </c>
      <c r="EI86">
        <v>20160407</v>
      </c>
      <c r="EJ86">
        <v>0</v>
      </c>
      <c r="EK86">
        <v>0</v>
      </c>
      <c r="EP86" t="s">
        <v>421</v>
      </c>
      <c r="EQ86" t="s">
        <v>422</v>
      </c>
      <c r="ER86">
        <v>2</v>
      </c>
      <c r="ES86">
        <v>6</v>
      </c>
      <c r="ET86">
        <v>4146.42</v>
      </c>
      <c r="EU86">
        <v>219.82</v>
      </c>
      <c r="EV86">
        <v>4366.24</v>
      </c>
      <c r="EW86" s="2">
        <v>43222</v>
      </c>
      <c r="EX86" s="1">
        <v>42879</v>
      </c>
      <c r="EY86">
        <v>2016</v>
      </c>
      <c r="EZ86">
        <v>2073.21</v>
      </c>
      <c r="FA86" t="s">
        <v>1318</v>
      </c>
      <c r="FB86">
        <v>0.25</v>
      </c>
      <c r="FC86" t="s">
        <v>424</v>
      </c>
      <c r="FD86" t="s">
        <v>454</v>
      </c>
      <c r="FF86">
        <v>12</v>
      </c>
      <c r="FG86">
        <v>7336671</v>
      </c>
      <c r="FH86" t="s">
        <v>437</v>
      </c>
      <c r="FJ86" s="1">
        <v>42879</v>
      </c>
      <c r="FK86">
        <v>2016</v>
      </c>
      <c r="FL86">
        <v>2073.21</v>
      </c>
      <c r="FM86" t="s">
        <v>1318</v>
      </c>
      <c r="FN86">
        <v>0.25</v>
      </c>
      <c r="FO86" t="s">
        <v>424</v>
      </c>
      <c r="FP86" t="s">
        <v>454</v>
      </c>
      <c r="FR86">
        <v>12</v>
      </c>
      <c r="FS86">
        <v>5147305</v>
      </c>
      <c r="FT86" t="s">
        <v>1319</v>
      </c>
      <c r="FV86" s="1">
        <v>42515</v>
      </c>
      <c r="FW86">
        <v>2015</v>
      </c>
      <c r="FX86">
        <v>2123.64</v>
      </c>
      <c r="FY86" t="s">
        <v>1320</v>
      </c>
      <c r="FZ86">
        <v>0.25</v>
      </c>
      <c r="GA86" t="s">
        <v>424</v>
      </c>
      <c r="GB86" t="s">
        <v>425</v>
      </c>
      <c r="GC86" s="1">
        <v>43158</v>
      </c>
      <c r="GD86">
        <v>21</v>
      </c>
      <c r="GE86">
        <v>11289</v>
      </c>
      <c r="GF86" t="s">
        <v>787</v>
      </c>
      <c r="GH86" s="1">
        <v>42515</v>
      </c>
      <c r="GI86">
        <v>2015</v>
      </c>
      <c r="GJ86">
        <v>2123.64</v>
      </c>
      <c r="GK86" t="s">
        <v>1320</v>
      </c>
      <c r="GL86">
        <v>0.25</v>
      </c>
      <c r="GM86" t="s">
        <v>424</v>
      </c>
      <c r="GN86" t="s">
        <v>425</v>
      </c>
      <c r="GP86">
        <v>22</v>
      </c>
      <c r="GQ86">
        <v>7109965</v>
      </c>
      <c r="GR86" t="s">
        <v>1321</v>
      </c>
      <c r="GT86" s="1">
        <v>42151</v>
      </c>
      <c r="GU86">
        <v>2014</v>
      </c>
      <c r="GV86">
        <v>1971.43</v>
      </c>
      <c r="GW86" t="s">
        <v>1322</v>
      </c>
      <c r="GX86">
        <v>0.25</v>
      </c>
      <c r="GY86" t="s">
        <v>424</v>
      </c>
      <c r="GZ86" t="s">
        <v>425</v>
      </c>
      <c r="HA86" s="1">
        <v>42787</v>
      </c>
      <c r="HB86">
        <v>21</v>
      </c>
      <c r="HC86">
        <v>4844984</v>
      </c>
      <c r="HD86" t="s">
        <v>1323</v>
      </c>
      <c r="HF86" s="1">
        <v>42151</v>
      </c>
      <c r="HG86">
        <v>2014</v>
      </c>
      <c r="HH86">
        <v>1971.43</v>
      </c>
      <c r="HI86" t="s">
        <v>1322</v>
      </c>
      <c r="HJ86">
        <v>0.25</v>
      </c>
      <c r="HK86" t="s">
        <v>424</v>
      </c>
      <c r="HL86" t="s">
        <v>425</v>
      </c>
      <c r="HN86">
        <v>22</v>
      </c>
      <c r="HO86">
        <v>5822819</v>
      </c>
      <c r="HP86" t="s">
        <v>1324</v>
      </c>
      <c r="HR86" s="1">
        <v>41787</v>
      </c>
      <c r="HS86">
        <v>2013</v>
      </c>
      <c r="HT86">
        <v>1785.86</v>
      </c>
      <c r="HU86" t="s">
        <v>1325</v>
      </c>
      <c r="HV86">
        <v>0.25</v>
      </c>
      <c r="HW86" t="s">
        <v>424</v>
      </c>
      <c r="HX86" t="s">
        <v>425</v>
      </c>
      <c r="HY86" s="1">
        <v>42412</v>
      </c>
      <c r="HZ86">
        <v>21</v>
      </c>
      <c r="IA86">
        <v>2407503</v>
      </c>
      <c r="IB86" t="s">
        <v>461</v>
      </c>
      <c r="ID86" s="1">
        <v>40688</v>
      </c>
      <c r="IE86">
        <v>2010</v>
      </c>
      <c r="IF86">
        <v>647.44000000000005</v>
      </c>
      <c r="IG86" t="s">
        <v>1326</v>
      </c>
      <c r="IH86">
        <v>0.25</v>
      </c>
      <c r="II86" t="s">
        <v>424</v>
      </c>
      <c r="IJ86" t="s">
        <v>425</v>
      </c>
      <c r="IK86" s="1">
        <v>40718</v>
      </c>
      <c r="IL86">
        <v>1</v>
      </c>
      <c r="IM86">
        <v>11177</v>
      </c>
      <c r="IN86" t="s">
        <v>650</v>
      </c>
    </row>
    <row r="87" spans="1:284" x14ac:dyDescent="0.25">
      <c r="A87">
        <v>16485094</v>
      </c>
      <c r="B87">
        <v>86</v>
      </c>
      <c r="C87" t="s">
        <v>393</v>
      </c>
      <c r="D87" t="s">
        <v>394</v>
      </c>
      <c r="F87" t="str">
        <f>"10-2N-23-0000-0008-0000"</f>
        <v>10-2N-23-0000-0008-0000</v>
      </c>
      <c r="H87" t="str">
        <f>"DYAL KENNETH"</f>
        <v>DYAL KENNETH</v>
      </c>
      <c r="I87" t="str">
        <f>"24355 COUNTY ROAD 121"</f>
        <v>24355 COUNTY ROAD 121</v>
      </c>
      <c r="J87" t="str">
        <f>"HILLIARD FL 32046"</f>
        <v>HILLIARD FL 32046</v>
      </c>
      <c r="K87" t="str">
        <f>"CR 121"</f>
        <v>CR 121</v>
      </c>
      <c r="L87" t="str">
        <f t="shared" si="31"/>
        <v>HILLIARD FL 32046</v>
      </c>
      <c r="M87" t="str">
        <f>"PT N1/2 OF NW1/4 OF SEC 10-2N-23E IN OR 1316/1595 (EX PT IN OR 1319/1073 &amp; ESMT IN OR 1939/383)"</f>
        <v>PT N1/2 OF NW1/4 OF SEC 10-2N-23E IN OR 1316/1595 (EX PT IN OR 1319/1073 &amp; ESMT IN OR 1939/383)</v>
      </c>
      <c r="N87" t="str">
        <f>""</f>
        <v/>
      </c>
      <c r="O87" t="str">
        <f>"25792"</f>
        <v>25792</v>
      </c>
      <c r="P87" t="str">
        <f t="shared" si="27"/>
        <v>2017</v>
      </c>
      <c r="Q87" t="str">
        <f>""</f>
        <v/>
      </c>
      <c r="R87" t="str">
        <f>"N"</f>
        <v>N</v>
      </c>
      <c r="S87" t="str">
        <f>"13.72"</f>
        <v>13.72</v>
      </c>
      <c r="T87" t="str">
        <f>"1142.37"</f>
        <v>1142.37</v>
      </c>
      <c r="U87" t="str">
        <f>"75460.00"</f>
        <v>75460.00</v>
      </c>
      <c r="V87" t="str">
        <f>"75460.00"</f>
        <v>75460.00</v>
      </c>
      <c r="W87" t="str">
        <f t="shared" si="28"/>
        <v>2017</v>
      </c>
      <c r="X87" t="str">
        <f>"16.00"</f>
        <v>16.00</v>
      </c>
      <c r="Y87" t="str">
        <f>"1208.64"</f>
        <v>1208.64</v>
      </c>
      <c r="Z87" t="str">
        <f>""</f>
        <v/>
      </c>
      <c r="AA87" t="str">
        <f>"75460.00"</f>
        <v>75460.00</v>
      </c>
      <c r="AB87" t="str">
        <f>"Residential"</f>
        <v>Residential</v>
      </c>
      <c r="AC87" t="str">
        <f t="shared" si="30"/>
        <v>0</v>
      </c>
      <c r="AD87" t="str">
        <f>""</f>
        <v/>
      </c>
      <c r="AE87" t="str">
        <f>""</f>
        <v/>
      </c>
      <c r="AF87" t="str">
        <f>"000"</f>
        <v>000</v>
      </c>
      <c r="AG87" t="str">
        <f t="shared" si="33"/>
        <v>FL</v>
      </c>
      <c r="AH87" t="str">
        <f>"597643.00"</f>
        <v>597643.00</v>
      </c>
      <c r="AI87" t="str">
        <f>"75460.00"</f>
        <v>75460.00</v>
      </c>
      <c r="AJ87" t="str">
        <f>"C55-000-586-8805-2"</f>
        <v>C55-000-586-8805-2</v>
      </c>
      <c r="AK87" t="str">
        <f>"554"</f>
        <v>554</v>
      </c>
      <c r="AL87">
        <v>1</v>
      </c>
      <c r="AM87">
        <v>99</v>
      </c>
      <c r="AN87">
        <v>1267.47</v>
      </c>
      <c r="AQ87" t="s">
        <v>1327</v>
      </c>
      <c r="AR87" t="s">
        <v>1327</v>
      </c>
      <c r="AS87" t="s">
        <v>1327</v>
      </c>
      <c r="AU87" t="s">
        <v>396</v>
      </c>
      <c r="AV87">
        <v>2017</v>
      </c>
      <c r="AW87" t="str">
        <f>"10-2N-23-0000-0008-0000 "</f>
        <v xml:space="preserve">10-2N-23-0000-0008-0000 </v>
      </c>
      <c r="AZ87" t="s">
        <v>611</v>
      </c>
      <c r="BD87" t="s">
        <v>398</v>
      </c>
      <c r="BE87" t="s">
        <v>393</v>
      </c>
      <c r="BF87">
        <v>32046</v>
      </c>
      <c r="BG87" t="s">
        <v>611</v>
      </c>
      <c r="BH87" t="s">
        <v>400</v>
      </c>
      <c r="BI87">
        <v>-82.005338168167199</v>
      </c>
      <c r="BJ87">
        <v>30.608137231011199</v>
      </c>
      <c r="BK87" t="s">
        <v>1328</v>
      </c>
      <c r="BM87" t="s">
        <v>1316</v>
      </c>
      <c r="BN87" t="s">
        <v>403</v>
      </c>
      <c r="BO87">
        <v>32046</v>
      </c>
      <c r="BP87" t="s">
        <v>404</v>
      </c>
      <c r="BQ87">
        <v>0</v>
      </c>
      <c r="BR87" t="s">
        <v>491</v>
      </c>
      <c r="BS87">
        <v>8001</v>
      </c>
      <c r="BT87" t="s">
        <v>492</v>
      </c>
      <c r="BW87">
        <v>597643</v>
      </c>
      <c r="BX87" t="s">
        <v>407</v>
      </c>
      <c r="BY87" t="s">
        <v>408</v>
      </c>
      <c r="CD87">
        <v>2017</v>
      </c>
      <c r="CE87">
        <v>75460</v>
      </c>
      <c r="CG87">
        <v>75460</v>
      </c>
      <c r="CH87">
        <v>2017</v>
      </c>
      <c r="CI87">
        <v>75460</v>
      </c>
      <c r="CK87">
        <v>75460</v>
      </c>
      <c r="CL87">
        <v>2017</v>
      </c>
      <c r="CM87">
        <v>1142.3699999999999</v>
      </c>
      <c r="CN87" s="1">
        <v>37489</v>
      </c>
      <c r="CV87">
        <v>0</v>
      </c>
      <c r="CZ87" s="1">
        <v>37489</v>
      </c>
      <c r="DA87">
        <v>0</v>
      </c>
      <c r="DD87" t="s">
        <v>398</v>
      </c>
      <c r="DG87">
        <v>10</v>
      </c>
      <c r="DL87">
        <v>50400</v>
      </c>
      <c r="DM87" t="s">
        <v>1309</v>
      </c>
      <c r="DO87" t="s">
        <v>1329</v>
      </c>
      <c r="DP87">
        <v>0</v>
      </c>
      <c r="DQ87">
        <v>0</v>
      </c>
      <c r="DR87" t="s">
        <v>411</v>
      </c>
      <c r="DS87" t="b">
        <v>1</v>
      </c>
      <c r="DT87" t="s">
        <v>396</v>
      </c>
      <c r="DV87" t="s">
        <v>446</v>
      </c>
      <c r="DX87">
        <v>-9999</v>
      </c>
      <c r="DZ87" t="s">
        <v>447</v>
      </c>
      <c r="EA87" t="s">
        <v>448</v>
      </c>
      <c r="EB87" t="s">
        <v>449</v>
      </c>
      <c r="EC87">
        <v>20101217</v>
      </c>
      <c r="ED87" t="s">
        <v>450</v>
      </c>
      <c r="EE87">
        <v>28.8</v>
      </c>
      <c r="EF87">
        <v>0</v>
      </c>
      <c r="EG87">
        <v>0</v>
      </c>
      <c r="EI87">
        <v>20160407</v>
      </c>
      <c r="EJ87">
        <v>0</v>
      </c>
      <c r="EK87">
        <v>0</v>
      </c>
      <c r="EP87" t="s">
        <v>421</v>
      </c>
      <c r="EQ87" t="s">
        <v>422</v>
      </c>
      <c r="ER87">
        <v>2</v>
      </c>
      <c r="ES87">
        <v>5</v>
      </c>
      <c r="ET87">
        <v>2559.58</v>
      </c>
      <c r="EU87">
        <v>140.47999999999999</v>
      </c>
      <c r="EV87">
        <v>2700.06</v>
      </c>
      <c r="EW87" s="2">
        <v>43222</v>
      </c>
      <c r="EX87" s="1">
        <v>42879</v>
      </c>
      <c r="EY87">
        <v>2016</v>
      </c>
      <c r="EZ87">
        <v>1279.79</v>
      </c>
      <c r="FA87" t="s">
        <v>1330</v>
      </c>
      <c r="FB87">
        <v>0.25</v>
      </c>
      <c r="FC87" t="s">
        <v>424</v>
      </c>
      <c r="FD87" t="s">
        <v>454</v>
      </c>
      <c r="FF87">
        <v>12</v>
      </c>
      <c r="FG87">
        <v>7400234</v>
      </c>
      <c r="FH87" t="s">
        <v>426</v>
      </c>
      <c r="FJ87" s="1">
        <v>42879</v>
      </c>
      <c r="FK87">
        <v>2016</v>
      </c>
      <c r="FL87">
        <v>1279.79</v>
      </c>
      <c r="FM87" t="s">
        <v>1330</v>
      </c>
      <c r="FN87">
        <v>0.25</v>
      </c>
      <c r="FO87" t="s">
        <v>424</v>
      </c>
      <c r="FP87" t="s">
        <v>454</v>
      </c>
      <c r="FR87">
        <v>12</v>
      </c>
      <c r="FS87">
        <v>7479003</v>
      </c>
      <c r="FT87" t="s">
        <v>1331</v>
      </c>
      <c r="FV87" s="1">
        <v>42515</v>
      </c>
      <c r="FW87">
        <v>2015</v>
      </c>
      <c r="FX87">
        <v>1305.22</v>
      </c>
      <c r="FY87" t="s">
        <v>1332</v>
      </c>
      <c r="FZ87">
        <v>0.25</v>
      </c>
      <c r="GA87" t="s">
        <v>424</v>
      </c>
      <c r="GB87" t="s">
        <v>425</v>
      </c>
      <c r="GC87" s="1">
        <v>43158</v>
      </c>
      <c r="GD87">
        <v>21</v>
      </c>
      <c r="GE87">
        <v>2035919</v>
      </c>
      <c r="GF87" t="s">
        <v>507</v>
      </c>
      <c r="GH87" s="1">
        <v>42151</v>
      </c>
      <c r="GI87">
        <v>2014</v>
      </c>
      <c r="GJ87">
        <v>1194.46</v>
      </c>
      <c r="GK87" t="s">
        <v>1333</v>
      </c>
      <c r="GL87">
        <v>3.25</v>
      </c>
      <c r="GM87" t="s">
        <v>424</v>
      </c>
      <c r="GN87" t="s">
        <v>425</v>
      </c>
      <c r="GO87" s="1">
        <v>42787</v>
      </c>
      <c r="GP87">
        <v>21</v>
      </c>
      <c r="GQ87">
        <v>4975593</v>
      </c>
      <c r="GR87" t="s">
        <v>505</v>
      </c>
      <c r="GT87" s="1">
        <v>41787</v>
      </c>
      <c r="GU87">
        <v>2013</v>
      </c>
      <c r="GV87">
        <v>1131.76</v>
      </c>
      <c r="GW87" t="s">
        <v>1334</v>
      </c>
      <c r="GX87">
        <v>0.25</v>
      </c>
      <c r="GY87" t="s">
        <v>424</v>
      </c>
      <c r="GZ87" t="s">
        <v>425</v>
      </c>
      <c r="HB87">
        <v>22</v>
      </c>
      <c r="HC87">
        <v>15259</v>
      </c>
      <c r="HD87" t="s">
        <v>891</v>
      </c>
      <c r="HF87" s="1">
        <v>41787</v>
      </c>
      <c r="HG87">
        <v>2013</v>
      </c>
      <c r="HH87">
        <v>1131.76</v>
      </c>
      <c r="HI87" t="s">
        <v>1334</v>
      </c>
      <c r="HJ87">
        <v>0.25</v>
      </c>
      <c r="HK87" t="s">
        <v>424</v>
      </c>
      <c r="HL87" t="s">
        <v>425</v>
      </c>
      <c r="HM87" s="1">
        <v>42412</v>
      </c>
      <c r="HN87">
        <v>21</v>
      </c>
      <c r="HO87">
        <v>7045049</v>
      </c>
      <c r="HP87" t="s">
        <v>1335</v>
      </c>
      <c r="HR87" s="1">
        <v>40688</v>
      </c>
      <c r="HS87">
        <v>2010</v>
      </c>
      <c r="HT87">
        <v>1564.92</v>
      </c>
      <c r="HU87" t="s">
        <v>1336</v>
      </c>
      <c r="HV87">
        <v>7.25</v>
      </c>
      <c r="HW87" t="s">
        <v>424</v>
      </c>
      <c r="HX87" t="s">
        <v>425</v>
      </c>
      <c r="HY87" s="1">
        <v>40718</v>
      </c>
      <c r="HZ87">
        <v>1</v>
      </c>
      <c r="IA87">
        <v>116</v>
      </c>
      <c r="IB87" t="s">
        <v>509</v>
      </c>
    </row>
    <row r="88" spans="1:284" x14ac:dyDescent="0.25">
      <c r="A88">
        <v>16485095</v>
      </c>
      <c r="B88">
        <v>87</v>
      </c>
      <c r="C88" t="s">
        <v>393</v>
      </c>
      <c r="D88" t="s">
        <v>394</v>
      </c>
      <c r="F88" t="str">
        <f>"10-2N-23-0000-0008-0060"</f>
        <v>10-2N-23-0000-0008-0060</v>
      </c>
      <c r="H88" t="str">
        <f>"DYAL KENNETH M"</f>
        <v>DYAL KENNETH M</v>
      </c>
      <c r="I88" t="str">
        <f>"24412 CR 121"</f>
        <v>24412 CR 121</v>
      </c>
      <c r="J88" t="str">
        <f>"HILLIARD FL 32046"</f>
        <v>HILLIARD FL 32046</v>
      </c>
      <c r="K88" t="str">
        <f>"ROY SIKES RD"</f>
        <v>ROY SIKES RD</v>
      </c>
      <c r="L88" t="str">
        <f t="shared" si="31"/>
        <v>HILLIARD FL 32046</v>
      </c>
      <c r="M88" t="str">
        <f>"PT N1/2 OF NW1/4 OF SEC 10-2N-23E IN OR 1319/1073"</f>
        <v>PT N1/2 OF NW1/4 OF SEC 10-2N-23E IN OR 1319/1073</v>
      </c>
      <c r="N88" t="str">
        <f>""</f>
        <v/>
      </c>
      <c r="O88" t="str">
        <f>"25798"</f>
        <v>25798</v>
      </c>
      <c r="P88" t="str">
        <f t="shared" si="27"/>
        <v>2017</v>
      </c>
      <c r="Q88" t="str">
        <f>""</f>
        <v/>
      </c>
      <c r="R88" t="str">
        <f>"N"</f>
        <v>N</v>
      </c>
      <c r="S88" t="str">
        <f>"2.00"</f>
        <v>2.00</v>
      </c>
      <c r="T88" t="str">
        <f>"290.66"</f>
        <v>290.66</v>
      </c>
      <c r="U88" t="str">
        <f>"19200.00"</f>
        <v>19200.00</v>
      </c>
      <c r="V88" t="str">
        <f>"19200.00"</f>
        <v>19200.00</v>
      </c>
      <c r="W88" t="str">
        <f t="shared" si="28"/>
        <v>2017</v>
      </c>
      <c r="X88" t="str">
        <f>"16.00"</f>
        <v>16.00</v>
      </c>
      <c r="Y88" t="str">
        <f>"331.38"</f>
        <v>331.38</v>
      </c>
      <c r="Z88" t="str">
        <f>""</f>
        <v/>
      </c>
      <c r="AA88" t="str">
        <f>"19200.00"</f>
        <v>19200.00</v>
      </c>
      <c r="AB88" t="str">
        <f>"Residential"</f>
        <v>Residential</v>
      </c>
      <c r="AC88" t="str">
        <f t="shared" si="30"/>
        <v>0</v>
      </c>
      <c r="AD88" t="str">
        <f>""</f>
        <v/>
      </c>
      <c r="AE88" t="str">
        <f>""</f>
        <v/>
      </c>
      <c r="AF88" t="str">
        <f>"000"</f>
        <v>000</v>
      </c>
      <c r="AG88" t="str">
        <f t="shared" si="33"/>
        <v>FL</v>
      </c>
      <c r="AH88" t="str">
        <f>"87120.00"</f>
        <v>87120.00</v>
      </c>
      <c r="AI88" t="str">
        <f>"19200.00"</f>
        <v>19200.00</v>
      </c>
      <c r="AJ88" t="str">
        <f>"C55-000-589-0592-8"</f>
        <v>C55-000-589-0592-8</v>
      </c>
      <c r="AK88" t="str">
        <f>"558"</f>
        <v>558</v>
      </c>
      <c r="AL88">
        <v>1</v>
      </c>
      <c r="AM88">
        <v>100</v>
      </c>
      <c r="AN88">
        <v>346.35</v>
      </c>
      <c r="AQ88" t="s">
        <v>1337</v>
      </c>
      <c r="AR88" t="s">
        <v>1337</v>
      </c>
      <c r="AS88" t="s">
        <v>1337</v>
      </c>
      <c r="AU88" t="s">
        <v>396</v>
      </c>
      <c r="AV88">
        <v>2017</v>
      </c>
      <c r="AW88" t="str">
        <f>"10-2N-23-0000-0008-0060 "</f>
        <v xml:space="preserve">10-2N-23-0000-0008-0060 </v>
      </c>
      <c r="AZ88" t="s">
        <v>1338</v>
      </c>
      <c r="BA88" t="s">
        <v>496</v>
      </c>
      <c r="BD88" t="s">
        <v>398</v>
      </c>
      <c r="BE88" t="s">
        <v>393</v>
      </c>
      <c r="BF88">
        <v>32046</v>
      </c>
      <c r="BG88" t="s">
        <v>1339</v>
      </c>
      <c r="BH88" t="s">
        <v>400</v>
      </c>
      <c r="BI88">
        <v>-82.006273245709806</v>
      </c>
      <c r="BJ88">
        <v>30.609020715735699</v>
      </c>
      <c r="BK88" t="s">
        <v>1340</v>
      </c>
      <c r="BM88" t="s">
        <v>1341</v>
      </c>
      <c r="BN88" t="s">
        <v>403</v>
      </c>
      <c r="BO88">
        <v>32046</v>
      </c>
      <c r="BP88" t="s">
        <v>404</v>
      </c>
      <c r="BQ88">
        <v>0</v>
      </c>
      <c r="BR88" t="s">
        <v>491</v>
      </c>
      <c r="BS88">
        <v>8001</v>
      </c>
      <c r="BT88" t="s">
        <v>492</v>
      </c>
      <c r="BW88">
        <v>87120</v>
      </c>
      <c r="BX88" t="s">
        <v>407</v>
      </c>
      <c r="BY88" t="s">
        <v>408</v>
      </c>
      <c r="CD88">
        <v>2017</v>
      </c>
      <c r="CE88">
        <v>19200</v>
      </c>
      <c r="CG88">
        <v>19200</v>
      </c>
      <c r="CH88">
        <v>2017</v>
      </c>
      <c r="CI88">
        <v>19200</v>
      </c>
      <c r="CK88">
        <v>19200</v>
      </c>
      <c r="CL88">
        <v>2017</v>
      </c>
      <c r="CM88">
        <v>290.66000000000003</v>
      </c>
      <c r="CN88" s="1">
        <v>38495</v>
      </c>
      <c r="CZ88" s="1">
        <v>38495</v>
      </c>
      <c r="DD88" t="s">
        <v>398</v>
      </c>
      <c r="DG88">
        <v>10</v>
      </c>
      <c r="DL88">
        <v>50400</v>
      </c>
      <c r="DM88" t="s">
        <v>1309</v>
      </c>
      <c r="DO88" t="s">
        <v>1342</v>
      </c>
      <c r="DP88">
        <v>0</v>
      </c>
      <c r="DQ88">
        <v>0</v>
      </c>
      <c r="DR88" t="s">
        <v>411</v>
      </c>
      <c r="DS88" t="b">
        <v>1</v>
      </c>
      <c r="DT88" t="s">
        <v>470</v>
      </c>
      <c r="DU88" t="s">
        <v>471</v>
      </c>
      <c r="DV88" t="s">
        <v>472</v>
      </c>
      <c r="DX88">
        <v>-9999</v>
      </c>
      <c r="DZ88" t="s">
        <v>447</v>
      </c>
      <c r="EA88" t="s">
        <v>448</v>
      </c>
      <c r="EB88" t="s">
        <v>1261</v>
      </c>
      <c r="EC88">
        <v>20101217</v>
      </c>
      <c r="ED88" t="s">
        <v>474</v>
      </c>
      <c r="EF88">
        <v>144.30000000000001</v>
      </c>
      <c r="EG88">
        <v>144.30000000000001</v>
      </c>
      <c r="EI88">
        <v>20160407</v>
      </c>
      <c r="EJ88">
        <v>0</v>
      </c>
      <c r="EK88">
        <v>0</v>
      </c>
      <c r="EP88" t="s">
        <v>421</v>
      </c>
      <c r="EQ88" t="s">
        <v>422</v>
      </c>
      <c r="ER88">
        <v>1</v>
      </c>
      <c r="ES88">
        <v>4</v>
      </c>
      <c r="ET88">
        <v>338.27</v>
      </c>
      <c r="EU88">
        <v>28.24</v>
      </c>
      <c r="EV88">
        <v>366.51</v>
      </c>
      <c r="EW88" s="2">
        <v>43222</v>
      </c>
      <c r="EX88" s="1">
        <v>42879</v>
      </c>
      <c r="EY88">
        <v>2016</v>
      </c>
      <c r="EZ88">
        <v>338.27</v>
      </c>
      <c r="FA88" t="s">
        <v>1343</v>
      </c>
      <c r="FB88">
        <v>6.5</v>
      </c>
      <c r="FC88" t="s">
        <v>424</v>
      </c>
      <c r="FD88" t="s">
        <v>454</v>
      </c>
      <c r="FF88">
        <v>12</v>
      </c>
      <c r="FG88">
        <v>10125</v>
      </c>
      <c r="FH88" t="s">
        <v>440</v>
      </c>
      <c r="FJ88" s="1">
        <v>42515</v>
      </c>
      <c r="FK88">
        <v>2015</v>
      </c>
      <c r="FL88">
        <v>325.51</v>
      </c>
      <c r="FM88" t="s">
        <v>1344</v>
      </c>
      <c r="FN88">
        <v>6</v>
      </c>
      <c r="FO88" t="s">
        <v>424</v>
      </c>
      <c r="FP88" t="s">
        <v>425</v>
      </c>
      <c r="FQ88" s="1">
        <v>43158</v>
      </c>
      <c r="FR88">
        <v>21</v>
      </c>
      <c r="FS88">
        <v>13139</v>
      </c>
      <c r="FT88" t="s">
        <v>955</v>
      </c>
      <c r="FV88" s="1">
        <v>42151</v>
      </c>
      <c r="FW88">
        <v>2014</v>
      </c>
      <c r="FX88">
        <v>281.77999999999997</v>
      </c>
      <c r="FY88" t="s">
        <v>1345</v>
      </c>
      <c r="FZ88">
        <v>9.5</v>
      </c>
      <c r="GA88" t="s">
        <v>424</v>
      </c>
      <c r="GB88" t="s">
        <v>425</v>
      </c>
      <c r="GC88" s="1">
        <v>42787</v>
      </c>
      <c r="GD88">
        <v>21</v>
      </c>
      <c r="GE88">
        <v>10125</v>
      </c>
      <c r="GF88" t="s">
        <v>440</v>
      </c>
      <c r="GH88" s="1">
        <v>41787</v>
      </c>
      <c r="GI88">
        <v>2013</v>
      </c>
      <c r="GJ88">
        <v>254.95</v>
      </c>
      <c r="GK88" t="s">
        <v>1346</v>
      </c>
      <c r="GL88">
        <v>15.75</v>
      </c>
      <c r="GM88" t="s">
        <v>424</v>
      </c>
      <c r="GN88" t="s">
        <v>425</v>
      </c>
      <c r="GO88" s="1">
        <v>42412</v>
      </c>
      <c r="GP88">
        <v>21</v>
      </c>
      <c r="GQ88">
        <v>3039821</v>
      </c>
      <c r="GR88" t="s">
        <v>721</v>
      </c>
      <c r="GT88" s="1">
        <v>40688</v>
      </c>
      <c r="GU88">
        <v>2010</v>
      </c>
      <c r="GV88">
        <v>334.73</v>
      </c>
      <c r="GW88" t="s">
        <v>1347</v>
      </c>
      <c r="GX88">
        <v>8.25</v>
      </c>
      <c r="GY88" t="s">
        <v>424</v>
      </c>
      <c r="GZ88" t="s">
        <v>425</v>
      </c>
      <c r="HA88" s="1">
        <v>40718</v>
      </c>
      <c r="HB88">
        <v>1</v>
      </c>
      <c r="HC88">
        <v>10548</v>
      </c>
      <c r="HD88" t="s">
        <v>589</v>
      </c>
    </row>
    <row r="89" spans="1:284" x14ac:dyDescent="0.25">
      <c r="A89">
        <v>16485096</v>
      </c>
      <c r="B89">
        <v>88</v>
      </c>
      <c r="C89" t="s">
        <v>393</v>
      </c>
      <c r="D89" t="s">
        <v>394</v>
      </c>
      <c r="F89" t="str">
        <f>"10-2N-23-0000-0013-0000"</f>
        <v>10-2N-23-0000-0013-0000</v>
      </c>
      <c r="H89" t="str">
        <f>"CARROLL WOODROW W &amp; CARROLL CHARLES WILSON (JT/RS)"</f>
        <v>CARROLL WOODROW W &amp; CARROLL CHARLES WILSON (JT/RS)</v>
      </c>
      <c r="I89" t="str">
        <f>"25012 WILSON CARROLL LANE"</f>
        <v>25012 WILSON CARROLL LANE</v>
      </c>
      <c r="J89" t="str">
        <f>"HILLIARD FL 32046"</f>
        <v>HILLIARD FL 32046</v>
      </c>
      <c r="K89" t="str">
        <f>"25012 WILSON CARROLL LN"</f>
        <v>25012 WILSON CARROLL LN</v>
      </c>
      <c r="L89" t="str">
        <f t="shared" si="31"/>
        <v>HILLIARD FL 32046</v>
      </c>
      <c r="M89" t="str">
        <f>"IN OR 1605/369 EX 13-2 13-6 &amp; 13-7"</f>
        <v>IN OR 1605/369 EX 13-2 13-6 &amp; 13-7</v>
      </c>
      <c r="N89" t="str">
        <f>""</f>
        <v/>
      </c>
      <c r="O89" t="str">
        <f>"25813"</f>
        <v>25813</v>
      </c>
      <c r="P89" t="str">
        <f t="shared" si="27"/>
        <v>2017</v>
      </c>
      <c r="Q89" t="str">
        <f>""</f>
        <v/>
      </c>
      <c r="R89" t="str">
        <f>"Y"</f>
        <v>Y</v>
      </c>
      <c r="S89" t="str">
        <f>"7.19"</f>
        <v>7.19</v>
      </c>
      <c r="T89" t="str">
        <f>"368.84"</f>
        <v>368.84</v>
      </c>
      <c r="U89" t="str">
        <f>"49864.00"</f>
        <v>49864.00</v>
      </c>
      <c r="V89" t="str">
        <f>"49864.00"</f>
        <v>49864.00</v>
      </c>
      <c r="W89" t="str">
        <f t="shared" si="28"/>
        <v>2017</v>
      </c>
      <c r="X89" t="str">
        <f>""</f>
        <v/>
      </c>
      <c r="Y89" t="str">
        <f>"411.91"</f>
        <v>411.91</v>
      </c>
      <c r="Z89" t="str">
        <f>"25500.00"</f>
        <v>25500.00</v>
      </c>
      <c r="AA89" t="str">
        <f>"24364.00"</f>
        <v>24364.00</v>
      </c>
      <c r="AB89" t="str">
        <f>"Agricultural"</f>
        <v>Agricultural</v>
      </c>
      <c r="AC89" t="str">
        <f t="shared" si="30"/>
        <v>0</v>
      </c>
      <c r="AD89" t="str">
        <f>"4"</f>
        <v>4</v>
      </c>
      <c r="AE89" t="str">
        <f>"WOOD (INCLUDE STEEL STUDS)"</f>
        <v>WOOD (INCLUDE STEEL STUDS)</v>
      </c>
      <c r="AF89" t="str">
        <f>"055"</f>
        <v>055</v>
      </c>
      <c r="AG89" t="str">
        <f t="shared" si="33"/>
        <v>FL</v>
      </c>
      <c r="AH89" t="str">
        <f>"313196.00"</f>
        <v>313196.00</v>
      </c>
      <c r="AI89" t="str">
        <f>"17667.00"</f>
        <v>17667.00</v>
      </c>
      <c r="AJ89" t="str">
        <f>"C55-000-586-8819-3"</f>
        <v>C55-000-586-8819-3</v>
      </c>
      <c r="AK89" t="str">
        <f>"572"</f>
        <v>572</v>
      </c>
      <c r="AL89">
        <v>1</v>
      </c>
      <c r="AM89">
        <v>102</v>
      </c>
      <c r="AN89">
        <v>430.91</v>
      </c>
      <c r="AQ89" t="s">
        <v>1348</v>
      </c>
      <c r="AR89" t="s">
        <v>1348</v>
      </c>
      <c r="AS89" t="s">
        <v>1348</v>
      </c>
      <c r="AU89" t="s">
        <v>396</v>
      </c>
      <c r="AV89">
        <v>2017</v>
      </c>
      <c r="AW89" t="str">
        <f>"10-2N-23-0000-0013-0000 "</f>
        <v xml:space="preserve">10-2N-23-0000-0013-0000 </v>
      </c>
      <c r="AX89">
        <v>25012</v>
      </c>
      <c r="AZ89" t="s">
        <v>1349</v>
      </c>
      <c r="BA89" t="s">
        <v>653</v>
      </c>
      <c r="BD89" t="s">
        <v>398</v>
      </c>
      <c r="BE89" t="s">
        <v>393</v>
      </c>
      <c r="BF89">
        <v>32046</v>
      </c>
      <c r="BG89" t="s">
        <v>1350</v>
      </c>
      <c r="BH89" t="s">
        <v>400</v>
      </c>
      <c r="BI89">
        <v>-82.0008085848782</v>
      </c>
      <c r="BJ89">
        <v>30.602941355389898</v>
      </c>
      <c r="BK89" t="s">
        <v>1351</v>
      </c>
      <c r="BL89" t="s">
        <v>1352</v>
      </c>
      <c r="BM89" t="s">
        <v>1350</v>
      </c>
      <c r="BN89" t="s">
        <v>403</v>
      </c>
      <c r="BO89">
        <v>32046</v>
      </c>
      <c r="BP89" t="s">
        <v>416</v>
      </c>
      <c r="BQ89">
        <v>5500</v>
      </c>
      <c r="BR89" t="s">
        <v>1353</v>
      </c>
      <c r="BS89">
        <v>7009</v>
      </c>
      <c r="BT89" t="s">
        <v>418</v>
      </c>
      <c r="BW89">
        <v>313196</v>
      </c>
      <c r="BX89" t="s">
        <v>407</v>
      </c>
      <c r="BY89" t="s">
        <v>408</v>
      </c>
      <c r="BZ89">
        <v>4</v>
      </c>
      <c r="CA89">
        <v>1966</v>
      </c>
      <c r="CB89">
        <v>1</v>
      </c>
      <c r="CC89">
        <v>1</v>
      </c>
      <c r="CD89">
        <v>2017</v>
      </c>
      <c r="CG89">
        <v>49864</v>
      </c>
      <c r="CH89">
        <v>2017</v>
      </c>
      <c r="CI89">
        <v>17667</v>
      </c>
      <c r="CJ89">
        <v>90530</v>
      </c>
      <c r="CK89">
        <v>108197</v>
      </c>
      <c r="CL89">
        <v>2017</v>
      </c>
      <c r="CM89">
        <v>368.84</v>
      </c>
      <c r="CN89" s="1">
        <v>39814</v>
      </c>
      <c r="CZ89" s="1">
        <v>39814</v>
      </c>
      <c r="DD89" t="s">
        <v>398</v>
      </c>
      <c r="DG89">
        <v>10</v>
      </c>
      <c r="DL89">
        <v>50400</v>
      </c>
      <c r="DM89" t="s">
        <v>1309</v>
      </c>
      <c r="DO89" t="s">
        <v>1354</v>
      </c>
      <c r="DP89">
        <v>0</v>
      </c>
      <c r="DQ89">
        <v>0</v>
      </c>
      <c r="DR89" t="s">
        <v>411</v>
      </c>
    </row>
    <row r="90" spans="1:284" x14ac:dyDescent="0.25">
      <c r="A90">
        <v>16485097</v>
      </c>
      <c r="B90">
        <v>89</v>
      </c>
      <c r="C90" t="s">
        <v>393</v>
      </c>
      <c r="D90" t="s">
        <v>394</v>
      </c>
      <c r="F90" t="str">
        <f>"10-2N-23-0000-0015-0020"</f>
        <v>10-2N-23-0000-0015-0020</v>
      </c>
      <c r="H90" t="str">
        <f>"ANDERSON JOSEPH M &amp; BILLIE JO"</f>
        <v>ANDERSON JOSEPH M &amp; BILLIE JO</v>
      </c>
      <c r="I90" t="str">
        <f>"PO BOX 1878"</f>
        <v>PO BOX 1878</v>
      </c>
      <c r="J90" t="str">
        <f>"CALLAHAN FL 32011"</f>
        <v>CALLAHAN FL 32011</v>
      </c>
      <c r="K90" t="str">
        <f>"2744 SIKES DR"</f>
        <v>2744 SIKES DR</v>
      </c>
      <c r="L90" t="str">
        <f t="shared" si="31"/>
        <v>HILLIARD FL 32046</v>
      </c>
      <c r="M90" t="str">
        <f>"PT OF SW1/4 PT OR 1264/170 EX 15-19"</f>
        <v>PT OF SW1/4 PT OR 1264/170 EX 15-19</v>
      </c>
      <c r="N90" t="str">
        <f>""</f>
        <v/>
      </c>
      <c r="O90" t="str">
        <f>"25825"</f>
        <v>25825</v>
      </c>
      <c r="P90" t="str">
        <f t="shared" si="27"/>
        <v>2017</v>
      </c>
      <c r="Q90" t="str">
        <f>""</f>
        <v/>
      </c>
      <c r="R90" t="str">
        <f>"N"</f>
        <v>N</v>
      </c>
      <c r="S90" t="str">
        <f>"7.92"</f>
        <v>7.92</v>
      </c>
      <c r="T90" t="str">
        <f>"1034.87"</f>
        <v>1034.87</v>
      </c>
      <c r="U90" t="str">
        <f>"68359.00"</f>
        <v>68359.00</v>
      </c>
      <c r="V90" t="str">
        <f>"68359.00"</f>
        <v>68359.00</v>
      </c>
      <c r="W90" t="str">
        <f t="shared" si="28"/>
        <v>2017</v>
      </c>
      <c r="X90" t="str">
        <f>"10.50"</f>
        <v>10.50</v>
      </c>
      <c r="Y90" t="str">
        <f>"799.22"</f>
        <v>799.22</v>
      </c>
      <c r="Z90" t="str">
        <f>""</f>
        <v/>
      </c>
      <c r="AA90" t="str">
        <f>"68359.00"</f>
        <v>68359.00</v>
      </c>
      <c r="AB90" t="str">
        <f>"Residential"</f>
        <v>Residential</v>
      </c>
      <c r="AC90" t="str">
        <f t="shared" si="30"/>
        <v>0</v>
      </c>
      <c r="AD90" t="str">
        <f>"4"</f>
        <v>4</v>
      </c>
      <c r="AE90" t="str">
        <f>"WOOD (INCLUDE STEEL STUDS)"</f>
        <v>WOOD (INCLUDE STEEL STUDS)</v>
      </c>
      <c r="AF90" t="str">
        <f>"002"</f>
        <v>002</v>
      </c>
      <c r="AG90" t="str">
        <f t="shared" si="33"/>
        <v>FL</v>
      </c>
      <c r="AH90" t="str">
        <f>"344995.00"</f>
        <v>344995.00</v>
      </c>
      <c r="AI90" t="str">
        <f>"47520.00"</f>
        <v>47520.00</v>
      </c>
      <c r="AJ90" t="str">
        <f>"C55-000-586-8828-4"</f>
        <v>C55-000-586-8828-4</v>
      </c>
      <c r="AK90" t="str">
        <f>"584"</f>
        <v>584</v>
      </c>
      <c r="AL90">
        <v>1</v>
      </c>
      <c r="AM90">
        <v>103</v>
      </c>
      <c r="AN90">
        <v>837.58</v>
      </c>
      <c r="AQ90" t="s">
        <v>1355</v>
      </c>
      <c r="AR90" t="s">
        <v>1355</v>
      </c>
      <c r="AS90" t="s">
        <v>1355</v>
      </c>
      <c r="AU90" t="s">
        <v>396</v>
      </c>
      <c r="AV90">
        <v>2017</v>
      </c>
      <c r="AW90" t="str">
        <f>"10-2N-23-0000-0015-0020 "</f>
        <v xml:space="preserve">10-2N-23-0000-0015-0020 </v>
      </c>
      <c r="AX90">
        <v>2744</v>
      </c>
      <c r="AZ90" t="s">
        <v>1267</v>
      </c>
      <c r="BA90" t="s">
        <v>669</v>
      </c>
      <c r="BD90" t="s">
        <v>398</v>
      </c>
      <c r="BE90" t="s">
        <v>393</v>
      </c>
      <c r="BF90">
        <v>32046</v>
      </c>
      <c r="BG90" t="s">
        <v>1356</v>
      </c>
      <c r="BH90" t="s">
        <v>400</v>
      </c>
      <c r="BI90">
        <v>-82.002273028834793</v>
      </c>
      <c r="BJ90">
        <v>30.599629232214198</v>
      </c>
      <c r="BK90" t="s">
        <v>1357</v>
      </c>
      <c r="BL90" t="s">
        <v>1358</v>
      </c>
      <c r="BM90" t="s">
        <v>1359</v>
      </c>
      <c r="BN90" t="s">
        <v>928</v>
      </c>
      <c r="BO90">
        <v>32011</v>
      </c>
      <c r="BP90" t="s">
        <v>404</v>
      </c>
      <c r="BQ90">
        <v>200</v>
      </c>
      <c r="BR90" t="s">
        <v>405</v>
      </c>
      <c r="BS90">
        <v>1006</v>
      </c>
      <c r="BT90" t="s">
        <v>406</v>
      </c>
      <c r="BW90">
        <v>344995</v>
      </c>
      <c r="BX90" t="s">
        <v>407</v>
      </c>
      <c r="BZ90">
        <v>4</v>
      </c>
      <c r="CA90">
        <v>1990</v>
      </c>
      <c r="CC90">
        <v>1</v>
      </c>
      <c r="CD90">
        <v>2017</v>
      </c>
      <c r="CE90">
        <v>47520</v>
      </c>
      <c r="CF90">
        <v>20839</v>
      </c>
      <c r="CG90">
        <v>68359</v>
      </c>
      <c r="CH90">
        <v>2017</v>
      </c>
      <c r="CI90">
        <v>47520</v>
      </c>
      <c r="CJ90">
        <v>20839</v>
      </c>
      <c r="CK90">
        <v>68359</v>
      </c>
      <c r="CL90">
        <v>2017</v>
      </c>
      <c r="CM90">
        <v>1034.8699999999999</v>
      </c>
      <c r="CN90" s="1">
        <v>38266</v>
      </c>
      <c r="CO90">
        <v>96900</v>
      </c>
      <c r="CZ90" s="1">
        <v>38266</v>
      </c>
      <c r="DD90" t="s">
        <v>398</v>
      </c>
      <c r="DG90">
        <v>10</v>
      </c>
      <c r="DL90">
        <v>50503</v>
      </c>
      <c r="DM90" t="s">
        <v>1309</v>
      </c>
      <c r="DO90" t="s">
        <v>1360</v>
      </c>
      <c r="DP90">
        <v>0</v>
      </c>
      <c r="DQ90">
        <v>0</v>
      </c>
      <c r="DR90" t="s">
        <v>411</v>
      </c>
      <c r="EP90" t="s">
        <v>421</v>
      </c>
      <c r="EQ90" t="s">
        <v>422</v>
      </c>
      <c r="ER90">
        <v>0</v>
      </c>
      <c r="ES90">
        <v>1</v>
      </c>
      <c r="ET90">
        <v>0</v>
      </c>
      <c r="EU90">
        <v>0</v>
      </c>
      <c r="EV90">
        <v>0</v>
      </c>
      <c r="EW90" s="2">
        <v>43222</v>
      </c>
      <c r="EX90" s="1">
        <v>40688</v>
      </c>
      <c r="EY90">
        <v>2010</v>
      </c>
      <c r="EZ90">
        <v>1447.51</v>
      </c>
      <c r="FA90" t="s">
        <v>1361</v>
      </c>
      <c r="FB90">
        <v>7.75</v>
      </c>
      <c r="FC90" t="s">
        <v>424</v>
      </c>
      <c r="FD90" t="s">
        <v>425</v>
      </c>
      <c r="FE90" s="1">
        <v>40997</v>
      </c>
      <c r="FF90">
        <v>10</v>
      </c>
      <c r="FG90">
        <v>116</v>
      </c>
      <c r="FH90" t="s">
        <v>509</v>
      </c>
    </row>
    <row r="91" spans="1:284" x14ac:dyDescent="0.25">
      <c r="A91">
        <v>16485098</v>
      </c>
      <c r="B91">
        <v>90</v>
      </c>
      <c r="C91" t="s">
        <v>393</v>
      </c>
      <c r="D91" t="s">
        <v>394</v>
      </c>
      <c r="F91" t="str">
        <f>"11-2N-23-0000-0005-0020"</f>
        <v>11-2N-23-0000-0005-0020</v>
      </c>
      <c r="H91" t="str">
        <f>"REID JUSTIN SCOT &amp; KRISTEN L"</f>
        <v>REID JUSTIN SCOT &amp; KRISTEN L</v>
      </c>
      <c r="I91" t="str">
        <f>"3307 RIVER RD"</f>
        <v>3307 RIVER RD</v>
      </c>
      <c r="J91" t="str">
        <f>"HILLIARD FL 32046"</f>
        <v>HILLIARD FL 32046</v>
      </c>
      <c r="K91" t="str">
        <f>"23356 SMITH RD N"</f>
        <v>23356 SMITH RD N</v>
      </c>
      <c r="L91" t="str">
        <f t="shared" si="31"/>
        <v>HILLIARD FL 32046</v>
      </c>
      <c r="M91" t="str">
        <f>"PT GOVT LOTS 3 &amp; 4 OF SEC 11-2N-23E IN OR 1909/1815"</f>
        <v>PT GOVT LOTS 3 &amp; 4 OF SEC 11-2N-23E IN OR 1909/1815</v>
      </c>
      <c r="N91" t="str">
        <f>""</f>
        <v/>
      </c>
      <c r="O91" t="str">
        <f>"26475"</f>
        <v>26475</v>
      </c>
      <c r="P91" t="str">
        <f t="shared" si="27"/>
        <v>2017</v>
      </c>
      <c r="Q91" t="str">
        <f>""</f>
        <v/>
      </c>
      <c r="R91" t="str">
        <f>"N"</f>
        <v>N</v>
      </c>
      <c r="S91" t="str">
        <f>"3.30"</f>
        <v>3.30</v>
      </c>
      <c r="T91" t="str">
        <f>"1331.03"</f>
        <v>1331.03</v>
      </c>
      <c r="U91" t="str">
        <f>"87921.00"</f>
        <v>87921.00</v>
      </c>
      <c r="V91" t="str">
        <f>"87921.00"</f>
        <v>87921.00</v>
      </c>
      <c r="W91" t="str">
        <f t="shared" si="28"/>
        <v>2017</v>
      </c>
      <c r="X91" t="str">
        <f>""</f>
        <v/>
      </c>
      <c r="Y91" t="str">
        <f>"1402.96"</f>
        <v>1402.96</v>
      </c>
      <c r="Z91" t="str">
        <f>""</f>
        <v/>
      </c>
      <c r="AA91" t="str">
        <f>"87921.00"</f>
        <v>87921.00</v>
      </c>
      <c r="AB91" t="str">
        <f>"Residential"</f>
        <v>Residential</v>
      </c>
      <c r="AC91" t="str">
        <f t="shared" si="30"/>
        <v>0</v>
      </c>
      <c r="AD91" t="str">
        <f>"4"</f>
        <v>4</v>
      </c>
      <c r="AE91" t="str">
        <f>"WOOD (INCLUDE STEEL STUDS)"</f>
        <v>WOOD (INCLUDE STEEL STUDS)</v>
      </c>
      <c r="AF91" t="str">
        <f>"002"</f>
        <v>002</v>
      </c>
      <c r="AG91" t="str">
        <f t="shared" si="33"/>
        <v>FL</v>
      </c>
      <c r="AH91" t="str">
        <f>"143748.00"</f>
        <v>143748.00</v>
      </c>
      <c r="AI91" t="str">
        <f>"30400.00"</f>
        <v>30400.00</v>
      </c>
      <c r="AJ91" t="str">
        <f>"C55-001-059-8820-8"</f>
        <v>C55-001-059-8820-8</v>
      </c>
      <c r="AK91" t="str">
        <f>"636"</f>
        <v>636</v>
      </c>
      <c r="AL91">
        <v>1</v>
      </c>
      <c r="AM91">
        <v>104</v>
      </c>
      <c r="AN91">
        <v>1471.51</v>
      </c>
      <c r="AQ91" t="s">
        <v>1362</v>
      </c>
      <c r="AR91" t="s">
        <v>1362</v>
      </c>
      <c r="AS91" t="s">
        <v>1362</v>
      </c>
      <c r="AU91" t="s">
        <v>396</v>
      </c>
      <c r="AV91">
        <v>2017</v>
      </c>
      <c r="AW91" t="str">
        <f>"11-2N-23-0000-0005-0020 "</f>
        <v xml:space="preserve">11-2N-23-0000-0005-0020 </v>
      </c>
      <c r="AX91">
        <v>23356</v>
      </c>
      <c r="AZ91" t="s">
        <v>1218</v>
      </c>
      <c r="BA91" t="s">
        <v>496</v>
      </c>
      <c r="BB91" t="s">
        <v>404</v>
      </c>
      <c r="BD91" t="s">
        <v>398</v>
      </c>
      <c r="BE91" t="s">
        <v>393</v>
      </c>
      <c r="BF91">
        <v>32046</v>
      </c>
      <c r="BG91" t="s">
        <v>1363</v>
      </c>
      <c r="BH91" t="s">
        <v>400</v>
      </c>
      <c r="BI91">
        <v>-81.985062575868696</v>
      </c>
      <c r="BJ91">
        <v>30.609224119170701</v>
      </c>
      <c r="BK91" t="s">
        <v>1364</v>
      </c>
      <c r="BM91" t="s">
        <v>1365</v>
      </c>
      <c r="BN91" t="s">
        <v>403</v>
      </c>
      <c r="BO91">
        <v>32046</v>
      </c>
      <c r="BP91" t="s">
        <v>404</v>
      </c>
      <c r="BQ91">
        <v>200</v>
      </c>
      <c r="BR91" t="s">
        <v>405</v>
      </c>
      <c r="BS91">
        <v>1006</v>
      </c>
      <c r="BT91" t="s">
        <v>406</v>
      </c>
      <c r="BW91">
        <v>143748</v>
      </c>
      <c r="BX91" t="s">
        <v>407</v>
      </c>
      <c r="BZ91">
        <v>4</v>
      </c>
      <c r="CA91">
        <v>1999</v>
      </c>
      <c r="CC91">
        <v>1</v>
      </c>
      <c r="CD91">
        <v>2017</v>
      </c>
      <c r="CE91">
        <v>30400</v>
      </c>
      <c r="CF91">
        <v>57521</v>
      </c>
      <c r="CG91">
        <v>87921</v>
      </c>
      <c r="CH91">
        <v>2017</v>
      </c>
      <c r="CI91">
        <v>30400</v>
      </c>
      <c r="CJ91">
        <v>57521</v>
      </c>
      <c r="CK91">
        <v>87921</v>
      </c>
      <c r="CL91">
        <v>2017</v>
      </c>
      <c r="CM91">
        <v>1331.03</v>
      </c>
      <c r="CN91" s="1">
        <v>41723</v>
      </c>
      <c r="CZ91" s="1">
        <v>41723</v>
      </c>
      <c r="DD91" t="s">
        <v>398</v>
      </c>
      <c r="DG91">
        <v>11</v>
      </c>
      <c r="DL91">
        <v>50400</v>
      </c>
      <c r="DM91" t="s">
        <v>1366</v>
      </c>
      <c r="DO91" t="s">
        <v>1367</v>
      </c>
      <c r="DP91">
        <v>0</v>
      </c>
      <c r="DQ91">
        <v>0</v>
      </c>
      <c r="DR91" t="s">
        <v>411</v>
      </c>
    </row>
    <row r="92" spans="1:284" x14ac:dyDescent="0.25">
      <c r="A92">
        <v>16485099</v>
      </c>
      <c r="B92">
        <v>91</v>
      </c>
      <c r="C92" t="s">
        <v>393</v>
      </c>
      <c r="D92" t="s">
        <v>394</v>
      </c>
      <c r="F92" t="str">
        <f>"13-2N-23-0000-0002-0000"</f>
        <v>13-2N-23-0000-0002-0000</v>
      </c>
      <c r="H92" t="str">
        <f>"RNHJ HOLDINGS INC"</f>
        <v>RNHJ HOLDINGS INC</v>
      </c>
      <c r="I92" t="str">
        <f>"PO BOX 455"</f>
        <v>PO BOX 455</v>
      </c>
      <c r="J92" t="str">
        <f>"CALLAHAN FL 32011"</f>
        <v>CALLAHAN FL 32011</v>
      </c>
      <c r="K92" t="str">
        <f>"RIVER RD"</f>
        <v>RIVER RD</v>
      </c>
      <c r="L92" t="str">
        <f t="shared" si="31"/>
        <v>HILLIARD FL 32046</v>
      </c>
      <c r="M92" t="str">
        <f>"S1/2 OF S1/2 IN OR 1551/825 ESMT OR 1434/470"</f>
        <v>S1/2 OF S1/2 IN OR 1551/825 ESMT OR 1434/470</v>
      </c>
      <c r="N92" t="str">
        <f>""</f>
        <v/>
      </c>
      <c r="O92" t="str">
        <f>"29159"</f>
        <v>29159</v>
      </c>
      <c r="P92" t="str">
        <f t="shared" si="27"/>
        <v>2017</v>
      </c>
      <c r="Q92" t="str">
        <f>""</f>
        <v/>
      </c>
      <c r="R92" t="str">
        <f>"N"</f>
        <v>N</v>
      </c>
      <c r="S92" t="str">
        <f>"160.00"</f>
        <v>160.00</v>
      </c>
      <c r="T92" t="str">
        <f>"685.04"</f>
        <v>685.04</v>
      </c>
      <c r="U92" t="str">
        <f>"45250.00"</f>
        <v>45250.00</v>
      </c>
      <c r="V92" t="str">
        <f>"45250.00"</f>
        <v>45250.00</v>
      </c>
      <c r="W92" t="str">
        <f t="shared" si="28"/>
        <v>2017</v>
      </c>
      <c r="X92" t="str">
        <f>"26.00"</f>
        <v>26.00</v>
      </c>
      <c r="Y92" t="str">
        <f>"737.59"</f>
        <v>737.59</v>
      </c>
      <c r="Z92" t="str">
        <f>""</f>
        <v/>
      </c>
      <c r="AA92" t="str">
        <f>"45250.00"</f>
        <v>45250.00</v>
      </c>
      <c r="AB92" t="str">
        <f>"Agricultural"</f>
        <v>Agricultural</v>
      </c>
      <c r="AC92" t="str">
        <f t="shared" si="30"/>
        <v>0</v>
      </c>
      <c r="AD92" t="str">
        <f>""</f>
        <v/>
      </c>
      <c r="AE92" t="str">
        <f>""</f>
        <v/>
      </c>
      <c r="AF92" t="str">
        <f>"056"</f>
        <v>056</v>
      </c>
      <c r="AG92" t="str">
        <f t="shared" si="33"/>
        <v>FL</v>
      </c>
      <c r="AH92" t="str">
        <f>"6969600.00"</f>
        <v>6969600.00</v>
      </c>
      <c r="AI92" t="str">
        <f>"45250.00"</f>
        <v>45250.00</v>
      </c>
      <c r="AJ92" t="str">
        <f>"C55-000-586-9857-2"</f>
        <v>C55-000-586-9857-2</v>
      </c>
      <c r="AK92" t="str">
        <f>"646"</f>
        <v>646</v>
      </c>
      <c r="AL92">
        <v>1</v>
      </c>
      <c r="AM92">
        <v>105</v>
      </c>
      <c r="AN92">
        <v>772.87</v>
      </c>
      <c r="AQ92" t="s">
        <v>1368</v>
      </c>
      <c r="AR92" t="s">
        <v>1368</v>
      </c>
      <c r="AS92" t="s">
        <v>1368</v>
      </c>
      <c r="AU92" t="s">
        <v>396</v>
      </c>
      <c r="AV92">
        <v>2017</v>
      </c>
      <c r="AW92" t="str">
        <f>"13-2N-23-0000-0002-0000 "</f>
        <v xml:space="preserve">13-2N-23-0000-0002-0000 </v>
      </c>
      <c r="AZ92" t="s">
        <v>1369</v>
      </c>
      <c r="BA92" t="s">
        <v>496</v>
      </c>
      <c r="BD92" t="s">
        <v>398</v>
      </c>
      <c r="BE92" t="s">
        <v>393</v>
      </c>
      <c r="BF92">
        <v>32046</v>
      </c>
      <c r="BG92" t="s">
        <v>1370</v>
      </c>
      <c r="BH92" t="s">
        <v>400</v>
      </c>
      <c r="BI92">
        <v>-81.961658305489706</v>
      </c>
      <c r="BJ92">
        <v>30.5831086527187</v>
      </c>
      <c r="BK92" t="s">
        <v>1371</v>
      </c>
      <c r="BM92" t="s">
        <v>1372</v>
      </c>
      <c r="BN92" t="s">
        <v>928</v>
      </c>
      <c r="BO92">
        <v>32011</v>
      </c>
      <c r="BP92" t="s">
        <v>404</v>
      </c>
      <c r="BQ92">
        <v>5600</v>
      </c>
      <c r="BR92" t="s">
        <v>417</v>
      </c>
      <c r="BS92">
        <v>7009</v>
      </c>
      <c r="BT92" t="s">
        <v>418</v>
      </c>
      <c r="BW92">
        <v>6969600</v>
      </c>
      <c r="BX92" t="s">
        <v>407</v>
      </c>
      <c r="BY92" t="s">
        <v>408</v>
      </c>
      <c r="CD92">
        <v>2017</v>
      </c>
      <c r="CG92">
        <v>45250</v>
      </c>
      <c r="CH92">
        <v>2017</v>
      </c>
      <c r="CI92">
        <v>45250</v>
      </c>
      <c r="CJ92">
        <v>242750</v>
      </c>
      <c r="CK92">
        <v>288000</v>
      </c>
      <c r="CL92">
        <v>2017</v>
      </c>
      <c r="CM92">
        <v>685.04</v>
      </c>
      <c r="CN92" s="1">
        <v>39497</v>
      </c>
      <c r="CO92">
        <v>75000</v>
      </c>
      <c r="CV92">
        <v>0</v>
      </c>
      <c r="CZ92" s="1">
        <v>39497</v>
      </c>
      <c r="DA92">
        <v>0</v>
      </c>
      <c r="DD92" t="s">
        <v>398</v>
      </c>
      <c r="DG92">
        <v>13</v>
      </c>
      <c r="DM92" t="s">
        <v>1373</v>
      </c>
      <c r="DO92" t="s">
        <v>1374</v>
      </c>
      <c r="DP92">
        <v>0</v>
      </c>
      <c r="DQ92">
        <v>0</v>
      </c>
      <c r="DR92" t="s">
        <v>411</v>
      </c>
      <c r="EP92" t="s">
        <v>421</v>
      </c>
      <c r="EQ92" t="s">
        <v>422</v>
      </c>
      <c r="ER92">
        <v>2</v>
      </c>
      <c r="ES92">
        <v>4</v>
      </c>
      <c r="ET92">
        <v>1422.02</v>
      </c>
      <c r="EU92">
        <v>83.6</v>
      </c>
      <c r="EV92">
        <v>1505.62</v>
      </c>
      <c r="EW92" s="2">
        <v>43222</v>
      </c>
      <c r="EX92" s="1">
        <v>42879</v>
      </c>
      <c r="EY92">
        <v>2016</v>
      </c>
      <c r="EZ92">
        <v>711.01</v>
      </c>
      <c r="FA92" t="s">
        <v>1375</v>
      </c>
      <c r="FB92">
        <v>0.25</v>
      </c>
      <c r="FC92" t="s">
        <v>424</v>
      </c>
      <c r="FD92" t="s">
        <v>454</v>
      </c>
      <c r="FF92">
        <v>12</v>
      </c>
      <c r="FG92">
        <v>7336671</v>
      </c>
      <c r="FH92" t="s">
        <v>437</v>
      </c>
      <c r="FJ92" s="1">
        <v>42879</v>
      </c>
      <c r="FK92">
        <v>2016</v>
      </c>
      <c r="FL92">
        <v>711.01</v>
      </c>
      <c r="FM92" t="s">
        <v>1375</v>
      </c>
      <c r="FN92">
        <v>0.25</v>
      </c>
      <c r="FO92" t="s">
        <v>424</v>
      </c>
      <c r="FP92" t="s">
        <v>454</v>
      </c>
      <c r="FR92">
        <v>12</v>
      </c>
      <c r="FS92">
        <v>5161016</v>
      </c>
      <c r="FT92" t="s">
        <v>1376</v>
      </c>
      <c r="FV92" s="1">
        <v>41787</v>
      </c>
      <c r="FW92">
        <v>2013</v>
      </c>
      <c r="FX92">
        <v>592.27</v>
      </c>
      <c r="FY92" t="s">
        <v>1377</v>
      </c>
      <c r="FZ92">
        <v>3.75</v>
      </c>
      <c r="GA92" t="s">
        <v>424</v>
      </c>
      <c r="GB92" t="s">
        <v>425</v>
      </c>
      <c r="GC92" s="1">
        <v>42202</v>
      </c>
      <c r="GD92">
        <v>14</v>
      </c>
      <c r="GE92">
        <v>116</v>
      </c>
      <c r="GF92" t="s">
        <v>509</v>
      </c>
      <c r="GH92" s="1">
        <v>41423</v>
      </c>
      <c r="GI92">
        <v>2012</v>
      </c>
      <c r="GJ92">
        <v>399.13</v>
      </c>
      <c r="GK92" t="s">
        <v>1378</v>
      </c>
      <c r="GL92">
        <v>4.75</v>
      </c>
      <c r="GM92" t="s">
        <v>424</v>
      </c>
      <c r="GN92" t="s">
        <v>425</v>
      </c>
      <c r="GO92" s="1">
        <v>42202</v>
      </c>
      <c r="GP92">
        <v>26</v>
      </c>
      <c r="GQ92">
        <v>1127</v>
      </c>
      <c r="GR92" t="s">
        <v>1379</v>
      </c>
      <c r="GT92" s="1">
        <v>41423</v>
      </c>
      <c r="GU92">
        <v>2012</v>
      </c>
      <c r="GV92">
        <v>399.13</v>
      </c>
      <c r="GW92" t="s">
        <v>1378</v>
      </c>
      <c r="GX92">
        <v>4.75</v>
      </c>
      <c r="GY92" t="s">
        <v>424</v>
      </c>
      <c r="GZ92" t="s">
        <v>425</v>
      </c>
      <c r="HB92">
        <v>22</v>
      </c>
      <c r="HC92">
        <v>2035919</v>
      </c>
      <c r="HD92" t="s">
        <v>507</v>
      </c>
      <c r="HF92" s="1">
        <v>41052</v>
      </c>
      <c r="HG92">
        <v>2011</v>
      </c>
      <c r="HH92">
        <v>397.73</v>
      </c>
      <c r="HI92" t="s">
        <v>1380</v>
      </c>
      <c r="HJ92">
        <v>5</v>
      </c>
      <c r="HK92" t="s">
        <v>424</v>
      </c>
      <c r="HL92" t="s">
        <v>425</v>
      </c>
      <c r="HM92" s="1">
        <v>42202</v>
      </c>
      <c r="HN92">
        <v>38</v>
      </c>
      <c r="HO92">
        <v>10125</v>
      </c>
      <c r="HP92" t="s">
        <v>440</v>
      </c>
    </row>
    <row r="93" spans="1:284" x14ac:dyDescent="0.25">
      <c r="A93">
        <v>16485100</v>
      </c>
      <c r="B93">
        <v>92</v>
      </c>
      <c r="C93" t="s">
        <v>393</v>
      </c>
      <c r="D93" t="s">
        <v>394</v>
      </c>
      <c r="F93" t="str">
        <f>"15-2N-23-0000-0005-0270"</f>
        <v>15-2N-23-0000-0005-0270</v>
      </c>
      <c r="H93" t="str">
        <f>"WHITFIELD MARIE I CACERES"</f>
        <v>WHITFIELD MARIE I CACERES</v>
      </c>
      <c r="I93" t="str">
        <f>"23291 COUNTY ROAD 121"</f>
        <v>23291 COUNTY ROAD 121</v>
      </c>
      <c r="J93" t="str">
        <f>"HILLIARD FL 32046"</f>
        <v>HILLIARD FL 32046</v>
      </c>
      <c r="K93" t="str">
        <f>"23291 CR 121"</f>
        <v>23291 CR 121</v>
      </c>
      <c r="L93" t="str">
        <f t="shared" si="31"/>
        <v>HILLIARD FL 32046</v>
      </c>
      <c r="M93" t="str">
        <f>"PT OF E1/2 OF NW1/4 IN OR 469 PG 33"</f>
        <v>PT OF E1/2 OF NW1/4 IN OR 469 PG 33</v>
      </c>
      <c r="N93" t="str">
        <f>""</f>
        <v/>
      </c>
      <c r="O93" t="str">
        <f>"30495"</f>
        <v>30495</v>
      </c>
      <c r="P93" t="str">
        <f t="shared" si="27"/>
        <v>2017</v>
      </c>
      <c r="Q93" t="str">
        <f>""</f>
        <v/>
      </c>
      <c r="R93" t="str">
        <f>"Y"</f>
        <v>Y</v>
      </c>
      <c r="S93" t="str">
        <f>"8.43"</f>
        <v>8.43</v>
      </c>
      <c r="T93" t="str">
        <f>"1602.43"</f>
        <v>1602.43</v>
      </c>
      <c r="U93" t="str">
        <f>"144953.00"</f>
        <v>144953.00</v>
      </c>
      <c r="V93" t="str">
        <f>"144953.00"</f>
        <v>144953.00</v>
      </c>
      <c r="W93" t="str">
        <f t="shared" si="28"/>
        <v>2017</v>
      </c>
      <c r="X93" t="str">
        <f>""</f>
        <v/>
      </c>
      <c r="Y93" t="str">
        <f>"1682.50"</f>
        <v>1682.50</v>
      </c>
      <c r="Z93" t="str">
        <f>"25000.00"</f>
        <v>25000.00</v>
      </c>
      <c r="AA93" t="str">
        <f>"119953.00"</f>
        <v>119953.00</v>
      </c>
      <c r="AB93" t="str">
        <f t="shared" ref="AB93:AB109" si="34">"Residential"</f>
        <v>Residential</v>
      </c>
      <c r="AC93" t="str">
        <f t="shared" si="30"/>
        <v>0</v>
      </c>
      <c r="AD93" t="str">
        <f>"4"</f>
        <v>4</v>
      </c>
      <c r="AE93" t="str">
        <f>"WOOD (INCLUDE STEEL STUDS)"</f>
        <v>WOOD (INCLUDE STEEL STUDS)</v>
      </c>
      <c r="AF93" t="str">
        <f>"001"</f>
        <v>001</v>
      </c>
      <c r="AG93" t="str">
        <f t="shared" si="33"/>
        <v>FL</v>
      </c>
      <c r="AH93" t="str">
        <f>"367210.00"</f>
        <v>367210.00</v>
      </c>
      <c r="AI93" t="str">
        <f>"50580.00"</f>
        <v>50580.00</v>
      </c>
      <c r="AJ93" t="str">
        <f>"C55-000-587-0471-9"</f>
        <v>C55-000-587-0471-9</v>
      </c>
      <c r="AK93" t="str">
        <f>"676"</f>
        <v>676</v>
      </c>
      <c r="AL93">
        <v>1</v>
      </c>
      <c r="AM93">
        <v>106</v>
      </c>
      <c r="AN93">
        <v>1765.03</v>
      </c>
      <c r="AQ93" t="s">
        <v>1381</v>
      </c>
      <c r="AR93" t="s">
        <v>1381</v>
      </c>
      <c r="AS93" t="s">
        <v>1381</v>
      </c>
      <c r="AU93" t="s">
        <v>396</v>
      </c>
      <c r="AV93">
        <v>2017</v>
      </c>
      <c r="AW93" t="str">
        <f>"15-2N-23-0000-0005-0270 "</f>
        <v xml:space="preserve">15-2N-23-0000-0005-0270 </v>
      </c>
      <c r="AX93">
        <v>23291</v>
      </c>
      <c r="AZ93" t="s">
        <v>611</v>
      </c>
      <c r="BD93" t="s">
        <v>398</v>
      </c>
      <c r="BE93" t="s">
        <v>393</v>
      </c>
      <c r="BF93">
        <v>32046</v>
      </c>
      <c r="BG93" t="s">
        <v>1382</v>
      </c>
      <c r="BH93" t="s">
        <v>400</v>
      </c>
      <c r="BI93">
        <v>-81.998647722302493</v>
      </c>
      <c r="BJ93">
        <v>30.591944051154599</v>
      </c>
      <c r="BK93" t="s">
        <v>1383</v>
      </c>
      <c r="BM93" t="s">
        <v>1384</v>
      </c>
      <c r="BN93" t="s">
        <v>403</v>
      </c>
      <c r="BO93">
        <v>32046</v>
      </c>
      <c r="BP93" t="s">
        <v>416</v>
      </c>
      <c r="BQ93">
        <v>100</v>
      </c>
      <c r="BR93" t="s">
        <v>514</v>
      </c>
      <c r="BS93">
        <v>1001</v>
      </c>
      <c r="BT93" t="s">
        <v>515</v>
      </c>
      <c r="BW93">
        <v>367210</v>
      </c>
      <c r="BX93" t="s">
        <v>407</v>
      </c>
      <c r="BY93" t="s">
        <v>408</v>
      </c>
      <c r="BZ93">
        <v>4</v>
      </c>
      <c r="CA93">
        <v>1971</v>
      </c>
      <c r="CB93">
        <v>2</v>
      </c>
      <c r="CC93">
        <v>1</v>
      </c>
      <c r="CD93">
        <v>2017</v>
      </c>
      <c r="CG93">
        <v>144953</v>
      </c>
      <c r="CH93">
        <v>2017</v>
      </c>
      <c r="CI93">
        <v>50580</v>
      </c>
      <c r="CJ93">
        <v>118173</v>
      </c>
      <c r="CK93">
        <v>168753</v>
      </c>
      <c r="CL93">
        <v>2017</v>
      </c>
      <c r="CM93">
        <v>1602.43</v>
      </c>
      <c r="CN93" s="1">
        <v>30011</v>
      </c>
      <c r="CO93">
        <v>60000</v>
      </c>
      <c r="CZ93" s="1">
        <v>30011</v>
      </c>
      <c r="DD93" t="s">
        <v>398</v>
      </c>
      <c r="DG93">
        <v>15</v>
      </c>
      <c r="DL93">
        <v>50503</v>
      </c>
      <c r="DM93" t="s">
        <v>1385</v>
      </c>
      <c r="DO93" t="s">
        <v>1386</v>
      </c>
      <c r="DP93">
        <v>0</v>
      </c>
      <c r="DQ93">
        <v>1</v>
      </c>
      <c r="DR93" t="s">
        <v>411</v>
      </c>
      <c r="DS93" t="b">
        <v>1</v>
      </c>
      <c r="DT93" t="s">
        <v>470</v>
      </c>
      <c r="DU93" t="s">
        <v>471</v>
      </c>
      <c r="DV93" t="s">
        <v>472</v>
      </c>
      <c r="DX93">
        <v>-9999</v>
      </c>
      <c r="DZ93" t="s">
        <v>447</v>
      </c>
      <c r="EA93" t="s">
        <v>448</v>
      </c>
      <c r="EB93" t="s">
        <v>1295</v>
      </c>
      <c r="EC93">
        <v>20101217</v>
      </c>
      <c r="ED93" t="s">
        <v>474</v>
      </c>
      <c r="EF93">
        <v>589.29999999999995</v>
      </c>
      <c r="EG93">
        <v>589.29999999999995</v>
      </c>
      <c r="EI93">
        <v>20160407</v>
      </c>
      <c r="EJ93">
        <v>0</v>
      </c>
      <c r="EK93">
        <v>0</v>
      </c>
      <c r="EP93" t="s">
        <v>421</v>
      </c>
      <c r="EQ93" t="s">
        <v>422</v>
      </c>
      <c r="ER93">
        <v>4</v>
      </c>
      <c r="ES93">
        <v>0</v>
      </c>
      <c r="ET93">
        <v>7000.44</v>
      </c>
      <c r="EU93">
        <v>375.02</v>
      </c>
      <c r="EV93">
        <v>7375.46</v>
      </c>
      <c r="EW93" s="2">
        <v>43222</v>
      </c>
      <c r="EX93" s="1">
        <v>42879</v>
      </c>
      <c r="EY93">
        <v>2016</v>
      </c>
      <c r="EZ93">
        <v>1737.61</v>
      </c>
      <c r="FA93" t="s">
        <v>1387</v>
      </c>
      <c r="FB93">
        <v>0.25</v>
      </c>
      <c r="FC93" t="s">
        <v>424</v>
      </c>
      <c r="FD93" t="s">
        <v>454</v>
      </c>
      <c r="FF93">
        <v>12</v>
      </c>
      <c r="FG93">
        <v>11289</v>
      </c>
      <c r="FH93" t="s">
        <v>787</v>
      </c>
      <c r="FJ93" s="1">
        <v>42879</v>
      </c>
      <c r="FK93">
        <v>2016</v>
      </c>
      <c r="FL93">
        <v>1737.61</v>
      </c>
      <c r="FM93" t="s">
        <v>1387</v>
      </c>
      <c r="FN93">
        <v>0.25</v>
      </c>
      <c r="FO93" t="s">
        <v>424</v>
      </c>
      <c r="FP93" t="s">
        <v>454</v>
      </c>
      <c r="FR93">
        <v>12</v>
      </c>
      <c r="FS93">
        <v>7081759</v>
      </c>
      <c r="FT93" t="s">
        <v>1388</v>
      </c>
      <c r="FV93" s="1">
        <v>42515</v>
      </c>
      <c r="FW93">
        <v>2015</v>
      </c>
      <c r="FX93">
        <v>1762.61</v>
      </c>
      <c r="FY93" t="s">
        <v>1389</v>
      </c>
      <c r="FZ93">
        <v>0.25</v>
      </c>
      <c r="GA93" t="s">
        <v>424</v>
      </c>
      <c r="GB93" t="s">
        <v>454</v>
      </c>
      <c r="GD93">
        <v>24</v>
      </c>
      <c r="GE93">
        <v>5916895</v>
      </c>
      <c r="GF93" t="s">
        <v>1390</v>
      </c>
      <c r="GH93" s="1">
        <v>42515</v>
      </c>
      <c r="GI93">
        <v>2015</v>
      </c>
      <c r="GJ93">
        <v>1762.61</v>
      </c>
      <c r="GK93" t="s">
        <v>1389</v>
      </c>
      <c r="GL93">
        <v>0.25</v>
      </c>
      <c r="GM93" t="s">
        <v>424</v>
      </c>
      <c r="GN93" t="s">
        <v>454</v>
      </c>
      <c r="GP93">
        <v>24</v>
      </c>
      <c r="GQ93">
        <v>5811287</v>
      </c>
      <c r="GR93" t="s">
        <v>1391</v>
      </c>
    </row>
    <row r="94" spans="1:284" x14ac:dyDescent="0.25">
      <c r="A94">
        <v>16485101</v>
      </c>
      <c r="B94">
        <v>93</v>
      </c>
      <c r="C94" t="s">
        <v>393</v>
      </c>
      <c r="D94" t="s">
        <v>394</v>
      </c>
      <c r="F94" t="str">
        <f>"15-2N-23-0000-0006-0020"</f>
        <v>15-2N-23-0000-0006-0020</v>
      </c>
      <c r="H94" t="str">
        <f>"CASTLEBERRY MARVIN C JR &amp; CASTLEBERRY KENNA C EST (M/S)"</f>
        <v>CASTLEBERRY MARVIN C JR &amp; CASTLEBERRY KENNA C EST (M/S)</v>
      </c>
      <c r="I94" t="str">
        <f>"22090 CREWS RD"</f>
        <v>22090 CREWS RD</v>
      </c>
      <c r="J94" t="str">
        <f>"HILLIARD FL 32046"</f>
        <v>HILLIARD FL 32046</v>
      </c>
      <c r="K94" t="str">
        <f>"22090 CREWS RD"</f>
        <v>22090 CREWS RD</v>
      </c>
      <c r="L94" t="str">
        <f t="shared" si="31"/>
        <v>HILLIARD FL 32046</v>
      </c>
      <c r="M94" t="str">
        <f>"IN OR 680/711 R673246 PARCELS 6-2 &amp; 6-7 ESMT OR 1634/1949"</f>
        <v>IN OR 680/711 R673246 PARCELS 6-2 &amp; 6-7 ESMT OR 1634/1949</v>
      </c>
      <c r="N94" t="str">
        <f>""</f>
        <v/>
      </c>
      <c r="O94" t="str">
        <f>"30502"</f>
        <v>30502</v>
      </c>
      <c r="P94" t="str">
        <f t="shared" si="27"/>
        <v>2017</v>
      </c>
      <c r="Q94" t="str">
        <f>""</f>
        <v/>
      </c>
      <c r="R94" t="str">
        <f>"Y"</f>
        <v>Y</v>
      </c>
      <c r="S94" t="str">
        <f>"4.14"</f>
        <v>4.14</v>
      </c>
      <c r="T94" t="str">
        <f>"329.36"</f>
        <v>329.36</v>
      </c>
      <c r="U94" t="str">
        <f>"41586.00"</f>
        <v>41586.00</v>
      </c>
      <c r="V94" t="str">
        <f>"41586.00"</f>
        <v>41586.00</v>
      </c>
      <c r="W94" t="str">
        <f t="shared" si="28"/>
        <v>2017</v>
      </c>
      <c r="X94" t="str">
        <f>"17.14"</f>
        <v>17.14</v>
      </c>
      <c r="Y94" t="str">
        <f>"371.24"</f>
        <v>371.24</v>
      </c>
      <c r="Z94" t="str">
        <f>"19831.00"</f>
        <v>19831.00</v>
      </c>
      <c r="AA94" t="str">
        <f>"21755.00"</f>
        <v>21755.00</v>
      </c>
      <c r="AB94" t="str">
        <f t="shared" si="34"/>
        <v>Residential</v>
      </c>
      <c r="AC94" t="str">
        <f t="shared" si="30"/>
        <v>0</v>
      </c>
      <c r="AD94" t="str">
        <f>"4"</f>
        <v>4</v>
      </c>
      <c r="AE94" t="str">
        <f>"WOOD (INCLUDE STEEL STUDS)"</f>
        <v>WOOD (INCLUDE STEEL STUDS)</v>
      </c>
      <c r="AF94" t="str">
        <f>"002"</f>
        <v>002</v>
      </c>
      <c r="AG94" t="str">
        <f t="shared" si="33"/>
        <v>FL</v>
      </c>
      <c r="AH94" t="str">
        <f>"180338.00"</f>
        <v>180338.00</v>
      </c>
      <c r="AI94" t="str">
        <f>"33120.00"</f>
        <v>33120.00</v>
      </c>
      <c r="AJ94" t="str">
        <f>"C55-000-587-0474-3"</f>
        <v>C55-000-587-0474-3</v>
      </c>
      <c r="AK94" t="str">
        <f>"681"</f>
        <v>681</v>
      </c>
      <c r="AL94">
        <v>1</v>
      </c>
      <c r="AM94">
        <v>107</v>
      </c>
      <c r="AN94">
        <v>388.2</v>
      </c>
      <c r="AQ94" t="s">
        <v>1392</v>
      </c>
      <c r="AR94" t="s">
        <v>1392</v>
      </c>
      <c r="AS94" t="s">
        <v>1392</v>
      </c>
      <c r="AU94" t="s">
        <v>396</v>
      </c>
      <c r="AV94">
        <v>2017</v>
      </c>
      <c r="AW94" t="str">
        <f>"15-2N-23-0000-0006-0020 "</f>
        <v xml:space="preserve">15-2N-23-0000-0006-0020 </v>
      </c>
      <c r="AX94">
        <v>22090</v>
      </c>
      <c r="AZ94" t="s">
        <v>1393</v>
      </c>
      <c r="BA94" t="s">
        <v>496</v>
      </c>
      <c r="BD94" t="s">
        <v>398</v>
      </c>
      <c r="BE94" t="s">
        <v>393</v>
      </c>
      <c r="BF94">
        <v>32046</v>
      </c>
      <c r="BG94" t="s">
        <v>1394</v>
      </c>
      <c r="BH94" t="s">
        <v>400</v>
      </c>
      <c r="BI94">
        <v>-82.002907067135496</v>
      </c>
      <c r="BJ94">
        <v>30.591352562859701</v>
      </c>
      <c r="BK94" t="s">
        <v>1395</v>
      </c>
      <c r="BM94" t="s">
        <v>1394</v>
      </c>
      <c r="BN94" t="s">
        <v>403</v>
      </c>
      <c r="BO94">
        <v>32046</v>
      </c>
      <c r="BP94" t="s">
        <v>416</v>
      </c>
      <c r="BQ94">
        <v>200</v>
      </c>
      <c r="BR94" t="s">
        <v>405</v>
      </c>
      <c r="BS94">
        <v>1006</v>
      </c>
      <c r="BT94" t="s">
        <v>406</v>
      </c>
      <c r="BW94">
        <v>180338</v>
      </c>
      <c r="BX94" t="s">
        <v>407</v>
      </c>
      <c r="BY94" t="s">
        <v>408</v>
      </c>
      <c r="BZ94">
        <v>4</v>
      </c>
      <c r="CA94">
        <v>1983</v>
      </c>
      <c r="CB94">
        <v>1</v>
      </c>
      <c r="CC94">
        <v>1</v>
      </c>
      <c r="CD94">
        <v>2017</v>
      </c>
      <c r="CG94">
        <v>41586</v>
      </c>
      <c r="CH94">
        <v>2017</v>
      </c>
      <c r="CI94">
        <v>33120</v>
      </c>
      <c r="CJ94">
        <v>10392</v>
      </c>
      <c r="CK94">
        <v>43512</v>
      </c>
      <c r="CL94">
        <v>2017</v>
      </c>
      <c r="CM94">
        <v>329.36</v>
      </c>
      <c r="CN94" s="1">
        <v>34095</v>
      </c>
      <c r="CO94">
        <v>40000</v>
      </c>
      <c r="CZ94" s="1">
        <v>34095</v>
      </c>
      <c r="DD94" t="s">
        <v>398</v>
      </c>
      <c r="DG94">
        <v>15</v>
      </c>
      <c r="DL94">
        <v>50503</v>
      </c>
      <c r="DM94" t="s">
        <v>1385</v>
      </c>
      <c r="DO94" t="s">
        <v>1396</v>
      </c>
      <c r="DP94">
        <v>0</v>
      </c>
      <c r="DQ94">
        <v>0</v>
      </c>
      <c r="DR94" t="s">
        <v>411</v>
      </c>
      <c r="DS94" t="b">
        <v>1</v>
      </c>
      <c r="DT94" t="s">
        <v>470</v>
      </c>
      <c r="DU94" t="s">
        <v>471</v>
      </c>
      <c r="DV94" t="s">
        <v>472</v>
      </c>
      <c r="DX94">
        <v>-9999</v>
      </c>
      <c r="DZ94" t="s">
        <v>447</v>
      </c>
      <c r="EA94" t="s">
        <v>448</v>
      </c>
      <c r="EB94" t="s">
        <v>1295</v>
      </c>
      <c r="EC94">
        <v>20101217</v>
      </c>
      <c r="ED94" t="s">
        <v>474</v>
      </c>
      <c r="EF94">
        <v>648.1</v>
      </c>
      <c r="EG94">
        <v>648.1</v>
      </c>
      <c r="EI94">
        <v>20160407</v>
      </c>
      <c r="EJ94">
        <v>0</v>
      </c>
      <c r="EK94">
        <v>0</v>
      </c>
      <c r="EP94" t="s">
        <v>421</v>
      </c>
      <c r="EQ94" t="s">
        <v>422</v>
      </c>
      <c r="ER94">
        <v>2</v>
      </c>
      <c r="ES94">
        <v>8</v>
      </c>
      <c r="ET94">
        <v>776.46</v>
      </c>
      <c r="EU94">
        <v>51.32</v>
      </c>
      <c r="EV94">
        <v>827.78</v>
      </c>
      <c r="EW94" s="2">
        <v>43222</v>
      </c>
      <c r="EX94" s="1">
        <v>42879</v>
      </c>
      <c r="EY94">
        <v>2016</v>
      </c>
      <c r="EZ94">
        <v>388.23</v>
      </c>
      <c r="FA94" t="s">
        <v>1397</v>
      </c>
      <c r="FB94">
        <v>0.25</v>
      </c>
      <c r="FC94" t="s">
        <v>424</v>
      </c>
      <c r="FD94" t="s">
        <v>454</v>
      </c>
      <c r="FF94">
        <v>12</v>
      </c>
      <c r="FG94">
        <v>2851116</v>
      </c>
      <c r="FH94" t="s">
        <v>480</v>
      </c>
      <c r="FJ94" s="1">
        <v>42879</v>
      </c>
      <c r="FK94">
        <v>2016</v>
      </c>
      <c r="FL94">
        <v>388.23</v>
      </c>
      <c r="FM94" t="s">
        <v>1397</v>
      </c>
      <c r="FN94">
        <v>0.25</v>
      </c>
      <c r="FO94" t="s">
        <v>424</v>
      </c>
      <c r="FP94" t="s">
        <v>454</v>
      </c>
      <c r="FR94">
        <v>12</v>
      </c>
      <c r="FS94">
        <v>5040309</v>
      </c>
      <c r="FT94" t="s">
        <v>1398</v>
      </c>
      <c r="FV94" s="1">
        <v>42515</v>
      </c>
      <c r="FW94">
        <v>2015</v>
      </c>
      <c r="FX94">
        <v>385.44</v>
      </c>
      <c r="FY94" t="s">
        <v>1399</v>
      </c>
      <c r="FZ94">
        <v>0.25</v>
      </c>
      <c r="GA94" t="s">
        <v>424</v>
      </c>
      <c r="GB94" t="s">
        <v>425</v>
      </c>
      <c r="GC94" s="1">
        <v>43152</v>
      </c>
      <c r="GD94">
        <v>21</v>
      </c>
      <c r="GE94">
        <v>2851116</v>
      </c>
      <c r="GF94" t="s">
        <v>480</v>
      </c>
      <c r="GH94" s="1">
        <v>42515</v>
      </c>
      <c r="GI94">
        <v>2015</v>
      </c>
      <c r="GJ94">
        <v>385.44</v>
      </c>
      <c r="GK94" t="s">
        <v>1399</v>
      </c>
      <c r="GL94">
        <v>0.25</v>
      </c>
      <c r="GM94" t="s">
        <v>424</v>
      </c>
      <c r="GN94" t="s">
        <v>425</v>
      </c>
      <c r="GP94">
        <v>22</v>
      </c>
      <c r="GQ94">
        <v>5674922</v>
      </c>
      <c r="GR94" t="s">
        <v>1400</v>
      </c>
      <c r="GT94" s="1">
        <v>42151</v>
      </c>
      <c r="GU94">
        <v>2014</v>
      </c>
      <c r="GV94">
        <v>349.03</v>
      </c>
      <c r="GW94" t="s">
        <v>1401</v>
      </c>
      <c r="GX94">
        <v>0.25</v>
      </c>
      <c r="GY94" t="s">
        <v>424</v>
      </c>
      <c r="GZ94" t="s">
        <v>425</v>
      </c>
      <c r="HA94" s="1">
        <v>42769</v>
      </c>
      <c r="HB94">
        <v>21</v>
      </c>
      <c r="HC94">
        <v>2851116</v>
      </c>
      <c r="HD94" t="s">
        <v>480</v>
      </c>
      <c r="HF94" s="1">
        <v>42151</v>
      </c>
      <c r="HG94">
        <v>2014</v>
      </c>
      <c r="HH94">
        <v>349.03</v>
      </c>
      <c r="HI94" t="s">
        <v>1401</v>
      </c>
      <c r="HJ94">
        <v>0.25</v>
      </c>
      <c r="HK94" t="s">
        <v>424</v>
      </c>
      <c r="HL94" t="s">
        <v>425</v>
      </c>
      <c r="HN94">
        <v>22</v>
      </c>
      <c r="HO94">
        <v>5086378</v>
      </c>
      <c r="HP94" t="s">
        <v>1402</v>
      </c>
      <c r="HR94" s="1">
        <v>41787</v>
      </c>
      <c r="HS94">
        <v>2013</v>
      </c>
      <c r="HT94">
        <v>369.89</v>
      </c>
      <c r="HU94" t="s">
        <v>1403</v>
      </c>
      <c r="HV94">
        <v>2.25</v>
      </c>
      <c r="HW94" t="s">
        <v>424</v>
      </c>
      <c r="HX94" t="s">
        <v>425</v>
      </c>
      <c r="HY94" s="1">
        <v>42416</v>
      </c>
      <c r="HZ94">
        <v>21</v>
      </c>
      <c r="IA94">
        <v>15399</v>
      </c>
      <c r="IB94" t="s">
        <v>485</v>
      </c>
      <c r="ID94" s="1">
        <v>41423</v>
      </c>
      <c r="IE94">
        <v>2012</v>
      </c>
      <c r="IF94">
        <v>401.72</v>
      </c>
      <c r="IG94" t="s">
        <v>1404</v>
      </c>
      <c r="IH94">
        <v>4.75</v>
      </c>
      <c r="II94" t="s">
        <v>424</v>
      </c>
      <c r="IJ94" t="s">
        <v>425</v>
      </c>
      <c r="IK94" s="1">
        <v>42041</v>
      </c>
      <c r="IL94">
        <v>21</v>
      </c>
      <c r="IM94">
        <v>15407</v>
      </c>
      <c r="IN94" t="s">
        <v>1134</v>
      </c>
      <c r="IP94" s="1">
        <v>41052</v>
      </c>
      <c r="IQ94">
        <v>2011</v>
      </c>
      <c r="IR94">
        <v>461.01</v>
      </c>
      <c r="IS94" t="s">
        <v>1405</v>
      </c>
      <c r="IT94">
        <v>6</v>
      </c>
      <c r="IU94" t="s">
        <v>424</v>
      </c>
      <c r="IV94" t="s">
        <v>425</v>
      </c>
      <c r="IW94" s="1">
        <v>41680</v>
      </c>
      <c r="IX94">
        <v>21</v>
      </c>
      <c r="IY94">
        <v>10125</v>
      </c>
      <c r="IZ94" t="s">
        <v>440</v>
      </c>
      <c r="JB94" s="1">
        <v>40688</v>
      </c>
      <c r="JC94">
        <v>2010</v>
      </c>
      <c r="JD94">
        <v>499.01</v>
      </c>
      <c r="JE94" t="s">
        <v>1406</v>
      </c>
      <c r="JF94">
        <v>5</v>
      </c>
      <c r="JG94" t="s">
        <v>424</v>
      </c>
      <c r="JH94" t="s">
        <v>425</v>
      </c>
      <c r="JI94" s="1">
        <v>40949</v>
      </c>
      <c r="JJ94">
        <v>9</v>
      </c>
      <c r="JK94">
        <v>287</v>
      </c>
      <c r="JL94" t="s">
        <v>572</v>
      </c>
    </row>
    <row r="95" spans="1:284" x14ac:dyDescent="0.25">
      <c r="A95">
        <v>16485102</v>
      </c>
      <c r="B95">
        <v>94</v>
      </c>
      <c r="C95" t="s">
        <v>393</v>
      </c>
      <c r="D95" t="s">
        <v>394</v>
      </c>
      <c r="F95" t="str">
        <f>"15-2N-23-0000-0006-0040"</f>
        <v>15-2N-23-0000-0006-0040</v>
      </c>
      <c r="H95" t="str">
        <f>"BURNSED JAMES F &amp; CHERYL O"</f>
        <v>BURNSED JAMES F &amp; CHERYL O</v>
      </c>
      <c r="I95" t="str">
        <f>"2562 FOLLY LANE"</f>
        <v>2562 FOLLY LANE</v>
      </c>
      <c r="J95" t="str">
        <f>"HILLIARD FL 32046"</f>
        <v>HILLIARD FL 32046</v>
      </c>
      <c r="K95" t="str">
        <f>"2638 FOLLY LN"</f>
        <v>2638 FOLLY LN</v>
      </c>
      <c r="L95" t="str">
        <f t="shared" si="31"/>
        <v>HILLIARD FL 32046</v>
      </c>
      <c r="M95" t="str">
        <f>"PT OF OR 578 PG 921"</f>
        <v>PT OF OR 578 PG 921</v>
      </c>
      <c r="N95" t="str">
        <f>""</f>
        <v/>
      </c>
      <c r="O95" t="str">
        <f>"30504"</f>
        <v>30504</v>
      </c>
      <c r="P95" t="str">
        <f t="shared" si="27"/>
        <v>2017</v>
      </c>
      <c r="Q95" t="str">
        <f>""</f>
        <v/>
      </c>
      <c r="R95" t="str">
        <f>"N"</f>
        <v>N</v>
      </c>
      <c r="S95" t="str">
        <f>"1.33"</f>
        <v>1.33</v>
      </c>
      <c r="T95" t="str">
        <f>"357.32"</f>
        <v>357.32</v>
      </c>
      <c r="U95" t="str">
        <f>"20429.00"</f>
        <v>20429.00</v>
      </c>
      <c r="V95" t="str">
        <f>"20429.00"</f>
        <v>20429.00</v>
      </c>
      <c r="W95" t="str">
        <f t="shared" si="28"/>
        <v>2017</v>
      </c>
      <c r="X95" t="str">
        <f>"11.83"</f>
        <v>11.83</v>
      </c>
      <c r="Y95" t="str">
        <f>"400.04"</f>
        <v>400.04</v>
      </c>
      <c r="Z95" t="str">
        <f>""</f>
        <v/>
      </c>
      <c r="AA95" t="str">
        <f>"27713.00"</f>
        <v>27713.00</v>
      </c>
      <c r="AB95" t="str">
        <f t="shared" si="34"/>
        <v>Residential</v>
      </c>
      <c r="AC95" t="str">
        <f t="shared" si="30"/>
        <v>0</v>
      </c>
      <c r="AD95" t="str">
        <f>""</f>
        <v/>
      </c>
      <c r="AE95" t="str">
        <f>""</f>
        <v/>
      </c>
      <c r="AF95" t="str">
        <f>"000"</f>
        <v>000</v>
      </c>
      <c r="AG95" t="str">
        <f t="shared" si="33"/>
        <v>FL</v>
      </c>
      <c r="AH95" t="str">
        <f>"57934.00"</f>
        <v>57934.00</v>
      </c>
      <c r="AI95" t="str">
        <f>"19950.00"</f>
        <v>19950.00</v>
      </c>
      <c r="AJ95" t="str">
        <f>"C55-000-587-0476-8"</f>
        <v>C55-000-587-0476-8</v>
      </c>
      <c r="AK95" t="str">
        <f>"683"</f>
        <v>683</v>
      </c>
      <c r="AL95">
        <v>1</v>
      </c>
      <c r="AM95">
        <v>108</v>
      </c>
      <c r="AN95">
        <v>418.44</v>
      </c>
      <c r="AQ95" t="s">
        <v>1407</v>
      </c>
      <c r="AR95" t="s">
        <v>1407</v>
      </c>
      <c r="AS95" t="s">
        <v>1407</v>
      </c>
      <c r="AU95" t="s">
        <v>396</v>
      </c>
      <c r="AV95">
        <v>2017</v>
      </c>
      <c r="AW95" t="str">
        <f>"15-2N-23-0000-0006-0040 "</f>
        <v xml:space="preserve">15-2N-23-0000-0006-0040 </v>
      </c>
      <c r="AX95">
        <v>2638</v>
      </c>
      <c r="AZ95" t="s">
        <v>1408</v>
      </c>
      <c r="BA95" t="s">
        <v>653</v>
      </c>
      <c r="BD95" t="s">
        <v>398</v>
      </c>
      <c r="BE95" t="s">
        <v>393</v>
      </c>
      <c r="BF95">
        <v>32046</v>
      </c>
      <c r="BG95" t="s">
        <v>1409</v>
      </c>
      <c r="BH95" t="s">
        <v>400</v>
      </c>
      <c r="BI95">
        <v>-82.0053719671116</v>
      </c>
      <c r="BJ95">
        <v>30.592115811257301</v>
      </c>
      <c r="BK95" t="s">
        <v>1410</v>
      </c>
      <c r="BL95" t="s">
        <v>1411</v>
      </c>
      <c r="BM95" t="s">
        <v>1412</v>
      </c>
      <c r="BN95" t="s">
        <v>403</v>
      </c>
      <c r="BO95">
        <v>32046</v>
      </c>
      <c r="BP95" t="s">
        <v>404</v>
      </c>
      <c r="BQ95">
        <v>1</v>
      </c>
      <c r="BR95" t="s">
        <v>491</v>
      </c>
      <c r="BS95">
        <v>8001</v>
      </c>
      <c r="BT95" t="s">
        <v>492</v>
      </c>
      <c r="BW95">
        <v>57934</v>
      </c>
      <c r="BX95" t="s">
        <v>407</v>
      </c>
      <c r="BY95" t="s">
        <v>408</v>
      </c>
      <c r="CD95">
        <v>2017</v>
      </c>
      <c r="CE95">
        <v>19950</v>
      </c>
      <c r="CF95">
        <v>7763</v>
      </c>
      <c r="CG95">
        <v>27713</v>
      </c>
      <c r="CH95">
        <v>2017</v>
      </c>
      <c r="CI95">
        <v>19950</v>
      </c>
      <c r="CJ95">
        <v>7763</v>
      </c>
      <c r="CK95">
        <v>27713</v>
      </c>
      <c r="CL95">
        <v>2017</v>
      </c>
      <c r="CM95">
        <v>357.32</v>
      </c>
      <c r="CN95" s="1">
        <v>32762</v>
      </c>
      <c r="CO95">
        <v>18000</v>
      </c>
      <c r="CZ95" s="1">
        <v>32762</v>
      </c>
      <c r="DD95" t="s">
        <v>398</v>
      </c>
      <c r="DG95">
        <v>15</v>
      </c>
      <c r="DL95">
        <v>50503</v>
      </c>
      <c r="DM95" t="s">
        <v>1385</v>
      </c>
      <c r="DO95" t="s">
        <v>1413</v>
      </c>
      <c r="DP95">
        <v>0</v>
      </c>
      <c r="DQ95">
        <v>0</v>
      </c>
      <c r="DR95" t="s">
        <v>411</v>
      </c>
      <c r="DS95" t="b">
        <v>1</v>
      </c>
      <c r="DT95" t="s">
        <v>470</v>
      </c>
      <c r="DU95" t="s">
        <v>471</v>
      </c>
      <c r="DV95" t="s">
        <v>472</v>
      </c>
      <c r="DX95">
        <v>-9999</v>
      </c>
      <c r="DZ95" t="s">
        <v>447</v>
      </c>
      <c r="EA95" t="s">
        <v>448</v>
      </c>
      <c r="EB95" t="s">
        <v>1295</v>
      </c>
      <c r="EC95">
        <v>20101217</v>
      </c>
      <c r="ED95" t="s">
        <v>474</v>
      </c>
      <c r="EF95">
        <v>747.4</v>
      </c>
      <c r="EG95">
        <v>747.4</v>
      </c>
      <c r="EI95">
        <v>20160407</v>
      </c>
      <c r="EJ95">
        <v>0</v>
      </c>
      <c r="EK95">
        <v>0</v>
      </c>
      <c r="EP95" t="s">
        <v>421</v>
      </c>
      <c r="EQ95" t="s">
        <v>422</v>
      </c>
      <c r="ER95">
        <v>4</v>
      </c>
      <c r="ES95">
        <v>4</v>
      </c>
      <c r="ET95">
        <v>1328.43</v>
      </c>
      <c r="EU95">
        <v>150.94</v>
      </c>
      <c r="EV95">
        <v>1479.37</v>
      </c>
      <c r="EW95" s="2">
        <v>43222</v>
      </c>
      <c r="EX95" s="1">
        <v>42879</v>
      </c>
      <c r="EY95">
        <v>2016</v>
      </c>
      <c r="EZ95">
        <v>335.32</v>
      </c>
      <c r="FA95" t="s">
        <v>1414</v>
      </c>
      <c r="FB95">
        <v>14</v>
      </c>
      <c r="FC95" t="s">
        <v>424</v>
      </c>
      <c r="FD95" t="s">
        <v>454</v>
      </c>
      <c r="FF95">
        <v>12</v>
      </c>
      <c r="FG95">
        <v>10125</v>
      </c>
      <c r="FH95" t="s">
        <v>440</v>
      </c>
      <c r="FJ95" s="1">
        <v>42515</v>
      </c>
      <c r="FK95">
        <v>2015</v>
      </c>
      <c r="FL95">
        <v>337.97</v>
      </c>
      <c r="FM95" t="s">
        <v>1415</v>
      </c>
      <c r="FN95">
        <v>0.25</v>
      </c>
      <c r="FO95" t="s">
        <v>424</v>
      </c>
      <c r="FP95" t="s">
        <v>454</v>
      </c>
      <c r="FR95">
        <v>24</v>
      </c>
      <c r="FS95">
        <v>7336671</v>
      </c>
      <c r="FT95" t="s">
        <v>437</v>
      </c>
      <c r="FV95" s="1">
        <v>42515</v>
      </c>
      <c r="FW95">
        <v>2015</v>
      </c>
      <c r="FX95">
        <v>337.97</v>
      </c>
      <c r="FY95" t="s">
        <v>1415</v>
      </c>
      <c r="FZ95">
        <v>0.25</v>
      </c>
      <c r="GA95" t="s">
        <v>424</v>
      </c>
      <c r="GB95" t="s">
        <v>454</v>
      </c>
      <c r="GD95">
        <v>24</v>
      </c>
      <c r="GE95">
        <v>7020980</v>
      </c>
      <c r="GF95" t="s">
        <v>1416</v>
      </c>
      <c r="GH95" s="1">
        <v>42151</v>
      </c>
      <c r="GI95">
        <v>2014</v>
      </c>
      <c r="GJ95">
        <v>317.17</v>
      </c>
      <c r="GK95" t="s">
        <v>1417</v>
      </c>
      <c r="GL95">
        <v>4.75</v>
      </c>
      <c r="GM95" t="s">
        <v>424</v>
      </c>
      <c r="GN95" t="s">
        <v>454</v>
      </c>
      <c r="GP95">
        <v>36</v>
      </c>
      <c r="GQ95">
        <v>115</v>
      </c>
      <c r="GR95" t="s">
        <v>478</v>
      </c>
      <c r="GT95" s="1">
        <v>41787</v>
      </c>
      <c r="GU95">
        <v>2013</v>
      </c>
      <c r="GV95">
        <v>323.35000000000002</v>
      </c>
      <c r="GW95" t="s">
        <v>1418</v>
      </c>
      <c r="GX95">
        <v>12</v>
      </c>
      <c r="GY95" t="s">
        <v>424</v>
      </c>
      <c r="GZ95" t="s">
        <v>425</v>
      </c>
      <c r="HA95" s="1">
        <v>41879</v>
      </c>
      <c r="HB95">
        <v>3</v>
      </c>
      <c r="HC95">
        <v>10125</v>
      </c>
      <c r="HD95" t="s">
        <v>440</v>
      </c>
      <c r="HF95" s="1">
        <v>41423</v>
      </c>
      <c r="HG95">
        <v>2012</v>
      </c>
      <c r="HH95">
        <v>360.38</v>
      </c>
      <c r="HI95" t="s">
        <v>1419</v>
      </c>
      <c r="HJ95">
        <v>5.75</v>
      </c>
      <c r="HK95" t="s">
        <v>424</v>
      </c>
      <c r="HL95" t="s">
        <v>425</v>
      </c>
      <c r="HM95" s="1">
        <v>41789</v>
      </c>
      <c r="HN95">
        <v>12</v>
      </c>
      <c r="HO95">
        <v>2101381</v>
      </c>
      <c r="HP95" t="s">
        <v>605</v>
      </c>
      <c r="HR95" s="1">
        <v>41052</v>
      </c>
      <c r="HS95">
        <v>2011</v>
      </c>
      <c r="HT95">
        <v>404.04</v>
      </c>
      <c r="HU95" t="s">
        <v>1420</v>
      </c>
      <c r="HV95">
        <v>6</v>
      </c>
      <c r="HW95" t="s">
        <v>424</v>
      </c>
      <c r="HX95" t="s">
        <v>425</v>
      </c>
      <c r="HY95" s="1">
        <v>41729</v>
      </c>
      <c r="HZ95">
        <v>22</v>
      </c>
      <c r="IA95">
        <v>10125</v>
      </c>
      <c r="IB95" t="s">
        <v>440</v>
      </c>
      <c r="ID95" s="1">
        <v>40688</v>
      </c>
      <c r="IE95">
        <v>2010</v>
      </c>
      <c r="IF95">
        <v>439.66</v>
      </c>
      <c r="IG95" t="s">
        <v>1421</v>
      </c>
      <c r="IH95">
        <v>0.25</v>
      </c>
      <c r="II95" t="s">
        <v>424</v>
      </c>
      <c r="IJ95" t="s">
        <v>425</v>
      </c>
      <c r="IK95" s="1">
        <v>41696</v>
      </c>
      <c r="IL95">
        <v>33</v>
      </c>
      <c r="IM95">
        <v>11338</v>
      </c>
      <c r="IN95" t="s">
        <v>1422</v>
      </c>
    </row>
    <row r="96" spans="1:284" x14ac:dyDescent="0.25">
      <c r="A96">
        <v>16485103</v>
      </c>
      <c r="B96">
        <v>95</v>
      </c>
      <c r="C96" t="s">
        <v>393</v>
      </c>
      <c r="D96" t="s">
        <v>394</v>
      </c>
      <c r="F96" t="str">
        <f>"15-2N-23-0000-0006-0080"</f>
        <v>15-2N-23-0000-0006-0080</v>
      </c>
      <c r="H96" t="str">
        <f>"CASTLEBERRY MARVIN C"</f>
        <v>CASTLEBERRY MARVIN C</v>
      </c>
      <c r="I96" t="str">
        <f>"2691 FOLLY LANE"</f>
        <v>2691 FOLLY LANE</v>
      </c>
      <c r="J96" t="str">
        <f>"HILLIARD FL 32046"</f>
        <v>HILLIARD FL 32046</v>
      </c>
      <c r="K96" t="str">
        <f>"2691 FOLLY LN"</f>
        <v>2691 FOLLY LN</v>
      </c>
      <c r="L96" t="str">
        <f t="shared" si="31"/>
        <v>HILLIARD FL 32046</v>
      </c>
      <c r="M96" t="str">
        <f>"PT OR 835/1051 ESMT OR 1715/774"</f>
        <v>PT OR 835/1051 ESMT OR 1715/774</v>
      </c>
      <c r="N96" t="str">
        <f>""</f>
        <v/>
      </c>
      <c r="O96" t="str">
        <f>"30507"</f>
        <v>30507</v>
      </c>
      <c r="P96" t="str">
        <f t="shared" si="27"/>
        <v>2017</v>
      </c>
      <c r="Q96" t="str">
        <f>""</f>
        <v/>
      </c>
      <c r="R96" t="str">
        <f>"Y"</f>
        <v>Y</v>
      </c>
      <c r="S96" t="str">
        <f>"4.14"</f>
        <v>4.14</v>
      </c>
      <c r="T96" t="str">
        <f>"972.77"</f>
        <v>972.77</v>
      </c>
      <c r="U96" t="str">
        <f>"103860.00"</f>
        <v>103860.00</v>
      </c>
      <c r="V96" t="str">
        <f>"103860.00"</f>
        <v>103860.00</v>
      </c>
      <c r="W96" t="str">
        <f t="shared" si="28"/>
        <v>2017</v>
      </c>
      <c r="X96" t="str">
        <f>"20.83"</f>
        <v>20.83</v>
      </c>
      <c r="Y96" t="str">
        <f>"1033.95"</f>
        <v>1033.95</v>
      </c>
      <c r="Z96" t="str">
        <f>"25500.00"</f>
        <v>25500.00</v>
      </c>
      <c r="AA96" t="str">
        <f>"78360.00"</f>
        <v>78360.00</v>
      </c>
      <c r="AB96" t="str">
        <f t="shared" si="34"/>
        <v>Residential</v>
      </c>
      <c r="AC96" t="str">
        <f t="shared" si="30"/>
        <v>0</v>
      </c>
      <c r="AD96" t="str">
        <f>"4"</f>
        <v>4</v>
      </c>
      <c r="AE96" t="str">
        <f>"WOOD (INCLUDE STEEL STUDS)"</f>
        <v>WOOD (INCLUDE STEEL STUDS)</v>
      </c>
      <c r="AF96" t="str">
        <f>"001"</f>
        <v>001</v>
      </c>
      <c r="AG96" t="str">
        <f t="shared" si="33"/>
        <v>FL</v>
      </c>
      <c r="AH96" t="str">
        <f>"180338.00"</f>
        <v>180338.00</v>
      </c>
      <c r="AI96" t="str">
        <f>"33120.00"</f>
        <v>33120.00</v>
      </c>
      <c r="AJ96" t="str">
        <f>"C55-000-587-0479-2"</f>
        <v>C55-000-587-0479-2</v>
      </c>
      <c r="AK96" t="str">
        <f>"686"</f>
        <v>686</v>
      </c>
      <c r="AL96">
        <v>1</v>
      </c>
      <c r="AM96">
        <v>109</v>
      </c>
      <c r="AN96">
        <v>1084.05</v>
      </c>
      <c r="AQ96" t="s">
        <v>1423</v>
      </c>
      <c r="AR96" t="s">
        <v>1423</v>
      </c>
      <c r="AS96" t="s">
        <v>1423</v>
      </c>
      <c r="AU96" t="s">
        <v>396</v>
      </c>
      <c r="AV96">
        <v>2017</v>
      </c>
      <c r="AW96" t="str">
        <f>"15-2N-23-0000-0006-0080 "</f>
        <v xml:space="preserve">15-2N-23-0000-0006-0080 </v>
      </c>
      <c r="AX96">
        <v>2691</v>
      </c>
      <c r="AZ96" t="s">
        <v>1408</v>
      </c>
      <c r="BA96" t="s">
        <v>653</v>
      </c>
      <c r="BD96" t="s">
        <v>398</v>
      </c>
      <c r="BE96" t="s">
        <v>393</v>
      </c>
      <c r="BF96">
        <v>32046</v>
      </c>
      <c r="BG96" t="s">
        <v>1424</v>
      </c>
      <c r="BH96" t="s">
        <v>400</v>
      </c>
      <c r="BI96">
        <v>-82.004808366336505</v>
      </c>
      <c r="BJ96">
        <v>30.591339542258201</v>
      </c>
      <c r="BK96" t="s">
        <v>1425</v>
      </c>
      <c r="BM96" t="s">
        <v>1424</v>
      </c>
      <c r="BN96" t="s">
        <v>403</v>
      </c>
      <c r="BO96">
        <v>32046</v>
      </c>
      <c r="BP96" t="s">
        <v>416</v>
      </c>
      <c r="BQ96">
        <v>100</v>
      </c>
      <c r="BR96" t="s">
        <v>514</v>
      </c>
      <c r="BS96">
        <v>1001</v>
      </c>
      <c r="BT96" t="s">
        <v>515</v>
      </c>
      <c r="BW96">
        <v>180338</v>
      </c>
      <c r="BX96" t="s">
        <v>407</v>
      </c>
      <c r="BY96" t="s">
        <v>408</v>
      </c>
      <c r="BZ96">
        <v>4</v>
      </c>
      <c r="CA96">
        <v>1950</v>
      </c>
      <c r="CB96">
        <v>1</v>
      </c>
      <c r="CC96">
        <v>1</v>
      </c>
      <c r="CD96">
        <v>2017</v>
      </c>
      <c r="CG96">
        <v>103860</v>
      </c>
      <c r="CH96">
        <v>2017</v>
      </c>
      <c r="CI96">
        <v>33120</v>
      </c>
      <c r="CJ96">
        <v>86624</v>
      </c>
      <c r="CK96">
        <v>119744</v>
      </c>
      <c r="CL96">
        <v>2017</v>
      </c>
      <c r="CM96">
        <v>972.77</v>
      </c>
      <c r="CN96" s="1">
        <v>35944</v>
      </c>
      <c r="CO96">
        <v>62000</v>
      </c>
      <c r="CZ96" s="1">
        <v>35944</v>
      </c>
      <c r="DD96" t="s">
        <v>398</v>
      </c>
      <c r="DG96">
        <v>15</v>
      </c>
      <c r="DL96">
        <v>50503</v>
      </c>
      <c r="DM96" t="s">
        <v>1385</v>
      </c>
      <c r="DO96" t="s">
        <v>1426</v>
      </c>
      <c r="DP96">
        <v>0</v>
      </c>
      <c r="DQ96">
        <v>0</v>
      </c>
      <c r="DR96" t="s">
        <v>411</v>
      </c>
      <c r="DS96" t="b">
        <v>1</v>
      </c>
      <c r="DT96" t="s">
        <v>470</v>
      </c>
      <c r="DU96" t="s">
        <v>471</v>
      </c>
      <c r="DV96" t="s">
        <v>472</v>
      </c>
      <c r="DX96">
        <v>-9999</v>
      </c>
      <c r="DZ96" t="s">
        <v>447</v>
      </c>
      <c r="EA96" t="s">
        <v>448</v>
      </c>
      <c r="EB96" t="s">
        <v>1295</v>
      </c>
      <c r="EC96">
        <v>20101217</v>
      </c>
      <c r="ED96" t="s">
        <v>474</v>
      </c>
      <c r="EF96">
        <v>581.79999999999995</v>
      </c>
      <c r="EG96">
        <v>581.79999999999995</v>
      </c>
      <c r="EI96">
        <v>20160407</v>
      </c>
      <c r="EJ96">
        <v>0</v>
      </c>
      <c r="EK96">
        <v>0</v>
      </c>
      <c r="EP96" t="s">
        <v>421</v>
      </c>
      <c r="EQ96" t="s">
        <v>422</v>
      </c>
      <c r="ER96">
        <v>2</v>
      </c>
      <c r="ES96">
        <v>9</v>
      </c>
      <c r="ET96">
        <v>2122.2399999999998</v>
      </c>
      <c r="EU96">
        <v>118.61</v>
      </c>
      <c r="EV96">
        <v>2240.85</v>
      </c>
      <c r="EW96" s="2">
        <v>43222</v>
      </c>
      <c r="EX96" s="1">
        <v>42879</v>
      </c>
      <c r="EY96">
        <v>2016</v>
      </c>
      <c r="EZ96">
        <v>1061.1199999999999</v>
      </c>
      <c r="FA96" t="s">
        <v>1427</v>
      </c>
      <c r="FB96">
        <v>0.25</v>
      </c>
      <c r="FC96" t="s">
        <v>424</v>
      </c>
      <c r="FD96" t="s">
        <v>454</v>
      </c>
      <c r="FF96">
        <v>12</v>
      </c>
      <c r="FG96">
        <v>7336671</v>
      </c>
      <c r="FH96" t="s">
        <v>437</v>
      </c>
      <c r="FJ96" s="1">
        <v>42879</v>
      </c>
      <c r="FK96">
        <v>2016</v>
      </c>
      <c r="FL96">
        <v>1061.1199999999999</v>
      </c>
      <c r="FM96" t="s">
        <v>1427</v>
      </c>
      <c r="FN96">
        <v>0.25</v>
      </c>
      <c r="FO96" t="s">
        <v>424</v>
      </c>
      <c r="FP96" t="s">
        <v>454</v>
      </c>
      <c r="FR96">
        <v>12</v>
      </c>
      <c r="FS96">
        <v>6784940</v>
      </c>
      <c r="FT96" t="s">
        <v>1428</v>
      </c>
      <c r="FV96" s="1">
        <v>42515</v>
      </c>
      <c r="FW96">
        <v>2015</v>
      </c>
      <c r="FX96">
        <v>1074.45</v>
      </c>
      <c r="FY96" t="s">
        <v>1429</v>
      </c>
      <c r="FZ96">
        <v>0.25</v>
      </c>
      <c r="GA96" t="s">
        <v>424</v>
      </c>
      <c r="GB96" t="s">
        <v>425</v>
      </c>
      <c r="GC96" s="1">
        <v>43147</v>
      </c>
      <c r="GD96">
        <v>21</v>
      </c>
      <c r="GE96">
        <v>2851116</v>
      </c>
      <c r="GF96" t="s">
        <v>480</v>
      </c>
      <c r="GH96" s="1">
        <v>42515</v>
      </c>
      <c r="GI96">
        <v>2015</v>
      </c>
      <c r="GJ96">
        <v>1074.45</v>
      </c>
      <c r="GK96" t="s">
        <v>1429</v>
      </c>
      <c r="GL96">
        <v>0.25</v>
      </c>
      <c r="GM96" t="s">
        <v>424</v>
      </c>
      <c r="GN96" t="s">
        <v>425</v>
      </c>
      <c r="GP96">
        <v>22</v>
      </c>
      <c r="GQ96">
        <v>5577508</v>
      </c>
      <c r="GR96" t="s">
        <v>1430</v>
      </c>
      <c r="GT96" s="1">
        <v>42151</v>
      </c>
      <c r="GU96">
        <v>2014</v>
      </c>
      <c r="GV96">
        <v>1066.8</v>
      </c>
      <c r="GW96" t="s">
        <v>1431</v>
      </c>
      <c r="GX96">
        <v>0.25</v>
      </c>
      <c r="GY96" t="s">
        <v>424</v>
      </c>
      <c r="GZ96" t="s">
        <v>425</v>
      </c>
      <c r="HA96" s="1">
        <v>42745</v>
      </c>
      <c r="HB96">
        <v>20</v>
      </c>
      <c r="HC96">
        <v>2851116</v>
      </c>
      <c r="HD96" t="s">
        <v>480</v>
      </c>
      <c r="HF96" s="1">
        <v>42151</v>
      </c>
      <c r="HG96">
        <v>2014</v>
      </c>
      <c r="HH96">
        <v>1066.8</v>
      </c>
      <c r="HI96" t="s">
        <v>1431</v>
      </c>
      <c r="HJ96">
        <v>0.25</v>
      </c>
      <c r="HK96" t="s">
        <v>424</v>
      </c>
      <c r="HL96" t="s">
        <v>425</v>
      </c>
      <c r="HN96">
        <v>22</v>
      </c>
      <c r="HO96">
        <v>5014753</v>
      </c>
      <c r="HP96" t="s">
        <v>1432</v>
      </c>
      <c r="HR96" s="1">
        <v>41787</v>
      </c>
      <c r="HS96">
        <v>2013</v>
      </c>
      <c r="HT96">
        <v>1001.26</v>
      </c>
      <c r="HU96" t="s">
        <v>1433</v>
      </c>
      <c r="HV96">
        <v>0.25</v>
      </c>
      <c r="HW96" t="s">
        <v>424</v>
      </c>
      <c r="HX96" t="s">
        <v>425</v>
      </c>
      <c r="HY96" s="1">
        <v>42419</v>
      </c>
      <c r="HZ96">
        <v>21</v>
      </c>
      <c r="IA96">
        <v>2851116</v>
      </c>
      <c r="IB96" t="s">
        <v>480</v>
      </c>
      <c r="ID96" s="1">
        <v>41423</v>
      </c>
      <c r="IE96">
        <v>2012</v>
      </c>
      <c r="IF96">
        <v>997.16</v>
      </c>
      <c r="IG96" t="s">
        <v>1434</v>
      </c>
      <c r="IH96">
        <v>0.25</v>
      </c>
      <c r="II96" t="s">
        <v>424</v>
      </c>
      <c r="IJ96" t="s">
        <v>425</v>
      </c>
      <c r="IK96" s="1">
        <v>42047</v>
      </c>
      <c r="IL96">
        <v>21</v>
      </c>
      <c r="IM96">
        <v>15970</v>
      </c>
      <c r="IN96" t="s">
        <v>1435</v>
      </c>
      <c r="IP96" s="1">
        <v>41052</v>
      </c>
      <c r="IQ96">
        <v>2011</v>
      </c>
      <c r="IR96">
        <v>962.69</v>
      </c>
      <c r="IS96" t="s">
        <v>1436</v>
      </c>
      <c r="IT96">
        <v>0.25</v>
      </c>
      <c r="IU96" t="s">
        <v>424</v>
      </c>
      <c r="IV96" t="s">
        <v>425</v>
      </c>
      <c r="IW96" s="1">
        <v>41697</v>
      </c>
      <c r="IX96">
        <v>21</v>
      </c>
      <c r="IY96">
        <v>13104</v>
      </c>
      <c r="IZ96" t="s">
        <v>888</v>
      </c>
      <c r="JB96" s="1">
        <v>41052</v>
      </c>
      <c r="JC96">
        <v>2011</v>
      </c>
      <c r="JD96">
        <v>962.69</v>
      </c>
      <c r="JE96" t="s">
        <v>1436</v>
      </c>
      <c r="JF96">
        <v>0.25</v>
      </c>
      <c r="JG96" t="s">
        <v>424</v>
      </c>
      <c r="JH96" t="s">
        <v>425</v>
      </c>
      <c r="JJ96">
        <v>22</v>
      </c>
      <c r="JK96">
        <v>13710</v>
      </c>
      <c r="JL96" t="s">
        <v>1437</v>
      </c>
      <c r="JN96" s="1">
        <v>40688</v>
      </c>
      <c r="JO96">
        <v>2010</v>
      </c>
      <c r="JP96">
        <v>942.4</v>
      </c>
      <c r="JQ96" t="s">
        <v>1438</v>
      </c>
      <c r="JR96">
        <v>0.25</v>
      </c>
      <c r="JS96" t="s">
        <v>424</v>
      </c>
      <c r="JT96" t="s">
        <v>425</v>
      </c>
      <c r="JU96" s="1">
        <v>41324</v>
      </c>
      <c r="JV96">
        <v>21</v>
      </c>
      <c r="JW96">
        <v>11177</v>
      </c>
      <c r="JX96" t="s">
        <v>650</v>
      </c>
    </row>
    <row r="97" spans="1:260" x14ac:dyDescent="0.25">
      <c r="A97">
        <v>16485104</v>
      </c>
      <c r="B97">
        <v>96</v>
      </c>
      <c r="C97" t="s">
        <v>393</v>
      </c>
      <c r="D97" t="s">
        <v>394</v>
      </c>
      <c r="F97" t="str">
        <f>"15-2N-23-0000-0006-0100"</f>
        <v>15-2N-23-0000-0006-0100</v>
      </c>
      <c r="H97" t="str">
        <f>"BEAUDRY ROBERT &amp; DONNA E"</f>
        <v>BEAUDRY ROBERT &amp; DONNA E</v>
      </c>
      <c r="I97" t="str">
        <f>"PO BOX 113"</f>
        <v>PO BOX 113</v>
      </c>
      <c r="J97" t="str">
        <f>"CALLAHAN FL 32011"</f>
        <v>CALLAHAN FL 32011</v>
      </c>
      <c r="K97" t="str">
        <f>"22246 CREWS RD"</f>
        <v>22246 CREWS RD</v>
      </c>
      <c r="L97" t="str">
        <f t="shared" si="31"/>
        <v>HILLIARD FL 32046</v>
      </c>
      <c r="M97" t="str">
        <f>"PT OR 781/1513 R787786 &amp; R787787"</f>
        <v>PT OR 781/1513 R787786 &amp; R787787</v>
      </c>
      <c r="N97" t="str">
        <f>""</f>
        <v/>
      </c>
      <c r="O97" t="str">
        <f>"30509"</f>
        <v>30509</v>
      </c>
      <c r="P97" t="str">
        <f t="shared" si="27"/>
        <v>2017</v>
      </c>
      <c r="Q97" t="str">
        <f>""</f>
        <v/>
      </c>
      <c r="R97" t="str">
        <f>"Y"</f>
        <v>Y</v>
      </c>
      <c r="S97" t="str">
        <f>"5.84"</f>
        <v>5.84</v>
      </c>
      <c r="T97" t="str">
        <f>"1103.98"</f>
        <v>1103.98</v>
      </c>
      <c r="U97" t="str">
        <f>"112028.00"</f>
        <v>112028.00</v>
      </c>
      <c r="V97" t="str">
        <f>"112028.00"</f>
        <v>112028.00</v>
      </c>
      <c r="W97" t="str">
        <f t="shared" si="28"/>
        <v>2017</v>
      </c>
      <c r="X97" t="str">
        <f>"23.50"</f>
        <v>23.50</v>
      </c>
      <c r="Y97" t="str">
        <f>"1169.10"</f>
        <v>1169.10</v>
      </c>
      <c r="Z97" t="str">
        <f>"25000.00"</f>
        <v>25000.00</v>
      </c>
      <c r="AA97" t="str">
        <f>"87028.00"</f>
        <v>87028.00</v>
      </c>
      <c r="AB97" t="str">
        <f t="shared" si="34"/>
        <v>Residential</v>
      </c>
      <c r="AC97" t="str">
        <f t="shared" si="30"/>
        <v>0</v>
      </c>
      <c r="AD97" t="str">
        <f>"4"</f>
        <v>4</v>
      </c>
      <c r="AE97" t="str">
        <f>"WOOD (INCLUDE STEEL STUDS)"</f>
        <v>WOOD (INCLUDE STEEL STUDS)</v>
      </c>
      <c r="AF97" t="str">
        <f>"002"</f>
        <v>002</v>
      </c>
      <c r="AG97" t="str">
        <f t="shared" si="33"/>
        <v>FL</v>
      </c>
      <c r="AH97" t="str">
        <f>"254390.00"</f>
        <v>254390.00</v>
      </c>
      <c r="AI97" t="str">
        <f>"46720.00"</f>
        <v>46720.00</v>
      </c>
      <c r="AJ97" t="str">
        <f>"C55-000-587-0480-0"</f>
        <v>C55-000-587-0480-0</v>
      </c>
      <c r="AK97" t="str">
        <f>"687"</f>
        <v>687</v>
      </c>
      <c r="AL97">
        <v>1</v>
      </c>
      <c r="AM97">
        <v>110</v>
      </c>
      <c r="AN97">
        <v>1225.96</v>
      </c>
      <c r="AQ97" t="s">
        <v>1439</v>
      </c>
      <c r="AR97" t="s">
        <v>1439</v>
      </c>
      <c r="AS97" t="s">
        <v>1439</v>
      </c>
      <c r="AU97" t="s">
        <v>396</v>
      </c>
      <c r="AV97">
        <v>2017</v>
      </c>
      <c r="AW97" t="str">
        <f>"15-2N-23-0000-0006-0100 "</f>
        <v xml:space="preserve">15-2N-23-0000-0006-0100 </v>
      </c>
      <c r="AX97">
        <v>22246</v>
      </c>
      <c r="AZ97" t="s">
        <v>1393</v>
      </c>
      <c r="BA97" t="s">
        <v>496</v>
      </c>
      <c r="BD97" t="s">
        <v>398</v>
      </c>
      <c r="BE97" t="s">
        <v>393</v>
      </c>
      <c r="BF97">
        <v>32046</v>
      </c>
      <c r="BG97" t="s">
        <v>1440</v>
      </c>
      <c r="BH97" t="s">
        <v>400</v>
      </c>
      <c r="BI97">
        <v>-82.004152321158898</v>
      </c>
      <c r="BJ97">
        <v>30.592900644398298</v>
      </c>
      <c r="BK97" t="s">
        <v>1441</v>
      </c>
      <c r="BL97" t="s">
        <v>1442</v>
      </c>
      <c r="BM97" t="s">
        <v>1443</v>
      </c>
      <c r="BN97" t="s">
        <v>928</v>
      </c>
      <c r="BO97">
        <v>32011</v>
      </c>
      <c r="BP97" t="s">
        <v>404</v>
      </c>
      <c r="BQ97">
        <v>200</v>
      </c>
      <c r="BR97" t="s">
        <v>405</v>
      </c>
      <c r="BS97">
        <v>1006</v>
      </c>
      <c r="BT97" t="s">
        <v>406</v>
      </c>
      <c r="BW97">
        <v>254390</v>
      </c>
      <c r="BX97" t="s">
        <v>407</v>
      </c>
      <c r="BZ97">
        <v>4</v>
      </c>
      <c r="CA97">
        <v>1999</v>
      </c>
      <c r="CB97">
        <v>1</v>
      </c>
      <c r="CC97">
        <v>1</v>
      </c>
      <c r="CD97">
        <v>2017</v>
      </c>
      <c r="CG97">
        <v>112028</v>
      </c>
      <c r="CH97">
        <v>2017</v>
      </c>
      <c r="CI97">
        <v>46720</v>
      </c>
      <c r="CJ97">
        <v>72882</v>
      </c>
      <c r="CK97">
        <v>119602</v>
      </c>
      <c r="CL97">
        <v>2017</v>
      </c>
      <c r="CM97">
        <v>1103.98</v>
      </c>
      <c r="CN97" s="1">
        <v>35439</v>
      </c>
      <c r="CO97">
        <v>42000</v>
      </c>
      <c r="CZ97" s="1">
        <v>35439</v>
      </c>
      <c r="DD97" t="s">
        <v>398</v>
      </c>
      <c r="DG97">
        <v>15</v>
      </c>
      <c r="DL97">
        <v>50503</v>
      </c>
      <c r="DM97" t="s">
        <v>1385</v>
      </c>
      <c r="DO97" t="s">
        <v>1444</v>
      </c>
      <c r="DP97">
        <v>0</v>
      </c>
      <c r="DQ97">
        <v>0</v>
      </c>
      <c r="DR97" t="s">
        <v>411</v>
      </c>
      <c r="DS97" t="b">
        <v>1</v>
      </c>
      <c r="DT97" t="s">
        <v>470</v>
      </c>
      <c r="DU97" t="s">
        <v>471</v>
      </c>
      <c r="DV97" t="s">
        <v>472</v>
      </c>
      <c r="DX97">
        <v>-9999</v>
      </c>
      <c r="DZ97" t="s">
        <v>447</v>
      </c>
      <c r="EA97" t="s">
        <v>448</v>
      </c>
      <c r="EB97" t="s">
        <v>1295</v>
      </c>
      <c r="EC97">
        <v>20101217</v>
      </c>
      <c r="ED97" t="s">
        <v>474</v>
      </c>
      <c r="EF97">
        <v>1165.3</v>
      </c>
      <c r="EG97">
        <v>1165.3</v>
      </c>
      <c r="EH97" t="s">
        <v>451</v>
      </c>
      <c r="EI97">
        <v>20140731</v>
      </c>
      <c r="EJ97">
        <v>0</v>
      </c>
      <c r="EK97">
        <v>0</v>
      </c>
      <c r="EP97" t="s">
        <v>421</v>
      </c>
      <c r="EQ97" t="s">
        <v>422</v>
      </c>
      <c r="ER97">
        <v>2</v>
      </c>
      <c r="ES97">
        <v>6</v>
      </c>
      <c r="ET97">
        <v>2404.46</v>
      </c>
      <c r="EU97">
        <v>132.72</v>
      </c>
      <c r="EV97">
        <v>2537.1799999999998</v>
      </c>
      <c r="EW97" s="2">
        <v>43222</v>
      </c>
      <c r="EX97" s="1">
        <v>42879</v>
      </c>
      <c r="EY97">
        <v>2016</v>
      </c>
      <c r="EZ97">
        <v>1202.23</v>
      </c>
      <c r="FA97" t="s">
        <v>1445</v>
      </c>
      <c r="FB97">
        <v>0.25</v>
      </c>
      <c r="FC97" t="s">
        <v>424</v>
      </c>
      <c r="FD97" t="s">
        <v>454</v>
      </c>
      <c r="FF97">
        <v>12</v>
      </c>
      <c r="FG97">
        <v>2851116</v>
      </c>
      <c r="FH97" t="s">
        <v>480</v>
      </c>
      <c r="FJ97" s="1">
        <v>42879</v>
      </c>
      <c r="FK97">
        <v>2016</v>
      </c>
      <c r="FL97">
        <v>1202.23</v>
      </c>
      <c r="FM97" t="s">
        <v>1445</v>
      </c>
      <c r="FN97">
        <v>0.25</v>
      </c>
      <c r="FO97" t="s">
        <v>424</v>
      </c>
      <c r="FP97" t="s">
        <v>454</v>
      </c>
      <c r="FR97">
        <v>12</v>
      </c>
      <c r="FS97">
        <v>5403795</v>
      </c>
      <c r="FT97" t="s">
        <v>1446</v>
      </c>
      <c r="FV97" s="1">
        <v>42151</v>
      </c>
      <c r="FW97">
        <v>2014</v>
      </c>
      <c r="FX97">
        <v>1228.17</v>
      </c>
      <c r="FY97" t="s">
        <v>1447</v>
      </c>
      <c r="FZ97">
        <v>0.25</v>
      </c>
      <c r="GA97" t="s">
        <v>424</v>
      </c>
      <c r="GB97" t="s">
        <v>425</v>
      </c>
      <c r="GC97" s="1">
        <v>42235</v>
      </c>
      <c r="GD97">
        <v>3</v>
      </c>
      <c r="GE97">
        <v>2851116</v>
      </c>
      <c r="GF97" t="s">
        <v>480</v>
      </c>
      <c r="GH97" s="1">
        <v>42151</v>
      </c>
      <c r="GI97">
        <v>2014</v>
      </c>
      <c r="GJ97">
        <v>1228.17</v>
      </c>
      <c r="GK97" t="s">
        <v>1447</v>
      </c>
      <c r="GL97">
        <v>0.25</v>
      </c>
      <c r="GM97" t="s">
        <v>424</v>
      </c>
      <c r="GN97" t="s">
        <v>425</v>
      </c>
      <c r="GP97">
        <v>22</v>
      </c>
      <c r="GQ97">
        <v>5094935</v>
      </c>
      <c r="GR97" t="s">
        <v>1448</v>
      </c>
      <c r="GT97" s="1">
        <v>41787</v>
      </c>
      <c r="GU97">
        <v>2013</v>
      </c>
      <c r="GV97">
        <v>1259.71</v>
      </c>
      <c r="GW97" t="s">
        <v>1449</v>
      </c>
      <c r="GX97">
        <v>0.25</v>
      </c>
      <c r="GY97" t="s">
        <v>424</v>
      </c>
      <c r="GZ97" t="s">
        <v>425</v>
      </c>
      <c r="HA97" s="1">
        <v>41858</v>
      </c>
      <c r="HB97">
        <v>3</v>
      </c>
      <c r="HC97">
        <v>2407503</v>
      </c>
      <c r="HD97" t="s">
        <v>461</v>
      </c>
      <c r="HF97" s="1">
        <v>41423</v>
      </c>
      <c r="HG97">
        <v>2012</v>
      </c>
      <c r="HH97">
        <v>1347.32</v>
      </c>
      <c r="HI97" t="s">
        <v>1450</v>
      </c>
      <c r="HJ97">
        <v>0.25</v>
      </c>
      <c r="HK97" t="s">
        <v>424</v>
      </c>
      <c r="HL97" t="s">
        <v>425</v>
      </c>
      <c r="HM97" s="1">
        <v>41547</v>
      </c>
      <c r="HN97">
        <v>4</v>
      </c>
      <c r="HO97">
        <v>1155951</v>
      </c>
      <c r="HP97" t="s">
        <v>1451</v>
      </c>
      <c r="HR97" s="1">
        <v>41052</v>
      </c>
      <c r="HS97">
        <v>2011</v>
      </c>
      <c r="HT97">
        <v>1431.84</v>
      </c>
      <c r="HU97" t="s">
        <v>1452</v>
      </c>
      <c r="HV97">
        <v>5.75</v>
      </c>
      <c r="HW97" t="s">
        <v>424</v>
      </c>
      <c r="HX97" t="s">
        <v>425</v>
      </c>
      <c r="HY97" s="1">
        <v>41547</v>
      </c>
      <c r="HZ97">
        <v>16</v>
      </c>
      <c r="IA97">
        <v>10125</v>
      </c>
      <c r="IB97" t="s">
        <v>440</v>
      </c>
      <c r="ID97" s="1">
        <v>40688</v>
      </c>
      <c r="IE97">
        <v>2010</v>
      </c>
      <c r="IF97">
        <v>1554.48</v>
      </c>
      <c r="IG97" t="s">
        <v>1453</v>
      </c>
      <c r="IH97">
        <v>5</v>
      </c>
      <c r="II97" t="s">
        <v>424</v>
      </c>
      <c r="IJ97" t="s">
        <v>425</v>
      </c>
      <c r="IK97" s="1">
        <v>41379</v>
      </c>
      <c r="IL97">
        <v>23</v>
      </c>
      <c r="IM97">
        <v>287</v>
      </c>
      <c r="IN97" t="s">
        <v>572</v>
      </c>
    </row>
    <row r="98" spans="1:260" x14ac:dyDescent="0.25">
      <c r="A98">
        <v>16485105</v>
      </c>
      <c r="B98">
        <v>97</v>
      </c>
      <c r="C98" t="s">
        <v>393</v>
      </c>
      <c r="D98" t="s">
        <v>394</v>
      </c>
      <c r="F98" t="str">
        <f>"15-2N-23-0000-0006-0120"</f>
        <v>15-2N-23-0000-0006-0120</v>
      </c>
      <c r="H98" t="str">
        <f>"WALKER JASON M &amp; CHRISTY M"</f>
        <v>WALKER JASON M &amp; CHRISTY M</v>
      </c>
      <c r="I98" t="str">
        <f>"22342 CREWS ROAD"</f>
        <v>22342 CREWS ROAD</v>
      </c>
      <c r="J98" t="str">
        <f>"HILLIARD FL 32046"</f>
        <v>HILLIARD FL 32046</v>
      </c>
      <c r="K98" t="str">
        <f>"22330 CREWS RD"</f>
        <v>22330 CREWS RD</v>
      </c>
      <c r="L98" t="str">
        <f t="shared" si="31"/>
        <v>HILLIARD FL 32046</v>
      </c>
      <c r="M98" t="str">
        <f>"PT OF NW1/4 OF NW1/4 IN OR 1654/773"</f>
        <v>PT OF NW1/4 OF NW1/4 IN OR 1654/773</v>
      </c>
      <c r="N98" t="str">
        <f>""</f>
        <v/>
      </c>
      <c r="O98" t="str">
        <f>"30511"</f>
        <v>30511</v>
      </c>
      <c r="P98" t="str">
        <f t="shared" si="27"/>
        <v>2017</v>
      </c>
      <c r="Q98" t="str">
        <f>""</f>
        <v/>
      </c>
      <c r="R98" t="str">
        <f t="shared" ref="R98:R110" si="35">"N"</f>
        <v>N</v>
      </c>
      <c r="S98" t="str">
        <f>"1.26"</f>
        <v>1.26</v>
      </c>
      <c r="T98" t="str">
        <f>"339.54"</f>
        <v>339.54</v>
      </c>
      <c r="U98" t="str">
        <f>"19360.00"</f>
        <v>19360.00</v>
      </c>
      <c r="V98" t="str">
        <f>"19360.00"</f>
        <v>19360.00</v>
      </c>
      <c r="W98" t="str">
        <f t="shared" si="28"/>
        <v>2017</v>
      </c>
      <c r="X98" t="str">
        <f>""</f>
        <v/>
      </c>
      <c r="Y98" t="str">
        <f>"381.73"</f>
        <v>381.73</v>
      </c>
      <c r="Z98" t="str">
        <f>""</f>
        <v/>
      </c>
      <c r="AA98" t="str">
        <f>"26400.00"</f>
        <v>26400.00</v>
      </c>
      <c r="AB98" t="str">
        <f t="shared" si="34"/>
        <v>Residential</v>
      </c>
      <c r="AC98" t="str">
        <f t="shared" si="30"/>
        <v>0</v>
      </c>
      <c r="AD98" t="str">
        <f>""</f>
        <v/>
      </c>
      <c r="AE98" t="str">
        <f>""</f>
        <v/>
      </c>
      <c r="AF98" t="str">
        <f>"000"</f>
        <v>000</v>
      </c>
      <c r="AG98" t="str">
        <f t="shared" si="33"/>
        <v>FL</v>
      </c>
      <c r="AH98" t="str">
        <f>"54885.00"</f>
        <v>54885.00</v>
      </c>
      <c r="AI98" t="str">
        <f>"18900.00"</f>
        <v>18900.00</v>
      </c>
      <c r="AJ98" t="str">
        <f>"C55-001-024-9381-4"</f>
        <v>C55-001-024-9381-4</v>
      </c>
      <c r="AK98" t="str">
        <f>"689"</f>
        <v>689</v>
      </c>
      <c r="AL98">
        <v>1</v>
      </c>
      <c r="AM98">
        <v>111</v>
      </c>
      <c r="AN98">
        <v>399.22</v>
      </c>
      <c r="AQ98" t="s">
        <v>1454</v>
      </c>
      <c r="AR98" t="s">
        <v>1454</v>
      </c>
      <c r="AS98" t="s">
        <v>1454</v>
      </c>
      <c r="AU98" t="s">
        <v>396</v>
      </c>
      <c r="AV98">
        <v>2017</v>
      </c>
      <c r="AW98" t="str">
        <f>"15-2N-23-0000-0006-0120 "</f>
        <v xml:space="preserve">15-2N-23-0000-0006-0120 </v>
      </c>
      <c r="AX98">
        <v>22330</v>
      </c>
      <c r="AZ98" t="s">
        <v>1393</v>
      </c>
      <c r="BA98" t="s">
        <v>496</v>
      </c>
      <c r="BD98" t="s">
        <v>398</v>
      </c>
      <c r="BE98" t="s">
        <v>393</v>
      </c>
      <c r="BF98">
        <v>32046</v>
      </c>
      <c r="BG98" t="s">
        <v>1455</v>
      </c>
      <c r="BH98" t="s">
        <v>400</v>
      </c>
      <c r="BI98">
        <v>-82.003752672492197</v>
      </c>
      <c r="BJ98">
        <v>30.593790285244001</v>
      </c>
      <c r="BK98" t="s">
        <v>1456</v>
      </c>
      <c r="BM98" t="s">
        <v>1457</v>
      </c>
      <c r="BN98" t="s">
        <v>403</v>
      </c>
      <c r="BO98">
        <v>32046</v>
      </c>
      <c r="BP98" t="s">
        <v>404</v>
      </c>
      <c r="BQ98">
        <v>1</v>
      </c>
      <c r="BR98" t="s">
        <v>491</v>
      </c>
      <c r="BS98">
        <v>8001</v>
      </c>
      <c r="BT98" t="s">
        <v>492</v>
      </c>
      <c r="BW98">
        <v>54885</v>
      </c>
      <c r="BX98" t="s">
        <v>407</v>
      </c>
      <c r="BY98" t="s">
        <v>408</v>
      </c>
      <c r="CD98">
        <v>2017</v>
      </c>
      <c r="CE98">
        <v>18900</v>
      </c>
      <c r="CF98">
        <v>7500</v>
      </c>
      <c r="CG98">
        <v>26400</v>
      </c>
      <c r="CH98">
        <v>2017</v>
      </c>
      <c r="CI98">
        <v>18900</v>
      </c>
      <c r="CJ98">
        <v>7500</v>
      </c>
      <c r="CK98">
        <v>26400</v>
      </c>
      <c r="CL98">
        <v>2017</v>
      </c>
      <c r="CM98">
        <v>339.54</v>
      </c>
      <c r="CN98" s="1">
        <v>40152</v>
      </c>
      <c r="CZ98" s="1">
        <v>40152</v>
      </c>
      <c r="DD98" t="s">
        <v>398</v>
      </c>
      <c r="DG98">
        <v>15</v>
      </c>
      <c r="DL98">
        <v>50503</v>
      </c>
      <c r="DM98" t="s">
        <v>1385</v>
      </c>
      <c r="DO98" t="s">
        <v>1458</v>
      </c>
      <c r="DP98">
        <v>0</v>
      </c>
      <c r="DQ98">
        <v>0</v>
      </c>
      <c r="DR98" t="s">
        <v>411</v>
      </c>
    </row>
    <row r="99" spans="1:260" x14ac:dyDescent="0.25">
      <c r="A99">
        <v>16485106</v>
      </c>
      <c r="B99">
        <v>98</v>
      </c>
      <c r="C99" t="s">
        <v>393</v>
      </c>
      <c r="D99" t="s">
        <v>394</v>
      </c>
      <c r="F99" t="str">
        <f>"15-2N-23-0000-0007-0000"</f>
        <v>15-2N-23-0000-0007-0000</v>
      </c>
      <c r="H99" t="str">
        <f>"NAYLOR GREGORY R &amp; ELIZABETH D"</f>
        <v>NAYLOR GREGORY R &amp; ELIZABETH D</v>
      </c>
      <c r="I99" t="str">
        <f>"21964 CREWS RD"</f>
        <v>21964 CREWS RD</v>
      </c>
      <c r="J99" t="str">
        <f>"HILLIARD FL 32046"</f>
        <v>HILLIARD FL 32046</v>
      </c>
      <c r="K99" t="str">
        <f>"21964 CREWS RD"</f>
        <v>21964 CREWS RD</v>
      </c>
      <c r="L99" t="str">
        <f t="shared" si="31"/>
        <v>HILLIARD FL 32046</v>
      </c>
      <c r="M99" t="str">
        <f>"SW1/4 OF NW1/4 IN OR 2128/1635 2003 REGE DW"</f>
        <v>SW1/4 OF NW1/4 IN OR 2128/1635 2003 REGE DW</v>
      </c>
      <c r="N99" t="str">
        <f>""</f>
        <v/>
      </c>
      <c r="O99" t="str">
        <f>"30512"</f>
        <v>30512</v>
      </c>
      <c r="P99" t="str">
        <f t="shared" si="27"/>
        <v>2017</v>
      </c>
      <c r="Q99" t="str">
        <f>""</f>
        <v/>
      </c>
      <c r="R99" t="str">
        <f t="shared" si="35"/>
        <v>N</v>
      </c>
      <c r="S99" t="str">
        <f>"2.00"</f>
        <v>2.00</v>
      </c>
      <c r="T99" t="str">
        <f>"853.31"</f>
        <v>853.31</v>
      </c>
      <c r="U99" t="str">
        <f>"56366.00"</f>
        <v>56366.00</v>
      </c>
      <c r="V99" t="str">
        <f>"56366.00"</f>
        <v>56366.00</v>
      </c>
      <c r="W99" t="str">
        <f t="shared" si="28"/>
        <v>2017</v>
      </c>
      <c r="X99" t="str">
        <f>"3.00"</f>
        <v>3.00</v>
      </c>
      <c r="Y99" t="str">
        <f>"910.91"</f>
        <v>910.91</v>
      </c>
      <c r="Z99" t="str">
        <f>""</f>
        <v/>
      </c>
      <c r="AA99" t="str">
        <f>"56366.00"</f>
        <v>56366.00</v>
      </c>
      <c r="AB99" t="str">
        <f t="shared" si="34"/>
        <v>Residential</v>
      </c>
      <c r="AC99" t="str">
        <f t="shared" si="30"/>
        <v>0</v>
      </c>
      <c r="AD99" t="str">
        <f>"4"</f>
        <v>4</v>
      </c>
      <c r="AE99" t="str">
        <f>"WOOD (INCLUDE STEEL STUDS)"</f>
        <v>WOOD (INCLUDE STEEL STUDS)</v>
      </c>
      <c r="AF99" t="str">
        <f>"002"</f>
        <v>002</v>
      </c>
      <c r="AG99" t="str">
        <f t="shared" si="33"/>
        <v>FL</v>
      </c>
      <c r="AH99" t="str">
        <f>"87120.00"</f>
        <v>87120.00</v>
      </c>
      <c r="AI99" t="str">
        <f>"20400.00"</f>
        <v>20400.00</v>
      </c>
      <c r="AJ99" t="str">
        <f>"C55-000-587-0482-6"</f>
        <v>C55-000-587-0482-6</v>
      </c>
      <c r="AK99" t="str">
        <f>"690"</f>
        <v>690</v>
      </c>
      <c r="AL99">
        <v>1</v>
      </c>
      <c r="AM99">
        <v>112</v>
      </c>
      <c r="AN99">
        <v>954.86</v>
      </c>
      <c r="AQ99" t="s">
        <v>1459</v>
      </c>
      <c r="AR99" t="s">
        <v>1459</v>
      </c>
      <c r="AS99" t="s">
        <v>1459</v>
      </c>
      <c r="AU99" t="s">
        <v>396</v>
      </c>
      <c r="AV99">
        <v>2017</v>
      </c>
      <c r="AW99" t="str">
        <f>"15-2N-23-0000-0007-0000 "</f>
        <v xml:space="preserve">15-2N-23-0000-0007-0000 </v>
      </c>
      <c r="AX99">
        <v>21964</v>
      </c>
      <c r="AZ99" t="s">
        <v>1393</v>
      </c>
      <c r="BA99" t="s">
        <v>496</v>
      </c>
      <c r="BD99" t="s">
        <v>398</v>
      </c>
      <c r="BE99" t="s">
        <v>393</v>
      </c>
      <c r="BF99">
        <v>32046</v>
      </c>
      <c r="BG99" t="s">
        <v>1460</v>
      </c>
      <c r="BH99" t="s">
        <v>400</v>
      </c>
      <c r="BI99">
        <v>-82.0029016482614</v>
      </c>
      <c r="BJ99">
        <v>30.5893460007123</v>
      </c>
      <c r="BK99" t="s">
        <v>1461</v>
      </c>
      <c r="BM99" t="s">
        <v>1460</v>
      </c>
      <c r="BN99" t="s">
        <v>403</v>
      </c>
      <c r="BO99">
        <v>32046</v>
      </c>
      <c r="BP99" t="s">
        <v>416</v>
      </c>
      <c r="BQ99">
        <v>200</v>
      </c>
      <c r="BR99" t="s">
        <v>405</v>
      </c>
      <c r="BS99">
        <v>1006</v>
      </c>
      <c r="BT99" t="s">
        <v>406</v>
      </c>
      <c r="BW99">
        <v>87120</v>
      </c>
      <c r="BX99" t="s">
        <v>407</v>
      </c>
      <c r="BY99" t="s">
        <v>408</v>
      </c>
      <c r="BZ99">
        <v>4</v>
      </c>
      <c r="CA99">
        <v>2003</v>
      </c>
      <c r="CB99">
        <v>1</v>
      </c>
      <c r="CC99">
        <v>1</v>
      </c>
      <c r="CD99">
        <v>2017</v>
      </c>
      <c r="CE99">
        <v>20400</v>
      </c>
      <c r="CF99">
        <v>35966</v>
      </c>
      <c r="CG99">
        <v>56366</v>
      </c>
      <c r="CH99">
        <v>2017</v>
      </c>
      <c r="CI99">
        <v>20400</v>
      </c>
      <c r="CJ99">
        <v>35966</v>
      </c>
      <c r="CK99">
        <v>56366</v>
      </c>
      <c r="CL99">
        <v>2017</v>
      </c>
      <c r="CM99">
        <v>853.31</v>
      </c>
      <c r="CN99" s="1">
        <v>42909</v>
      </c>
      <c r="CO99">
        <v>55500</v>
      </c>
      <c r="CV99">
        <v>0</v>
      </c>
      <c r="CZ99" s="1">
        <v>42909</v>
      </c>
      <c r="DA99">
        <v>0</v>
      </c>
      <c r="DD99" t="s">
        <v>398</v>
      </c>
      <c r="DG99">
        <v>15</v>
      </c>
      <c r="DL99">
        <v>50503</v>
      </c>
      <c r="DM99" t="s">
        <v>1385</v>
      </c>
      <c r="DO99" t="s">
        <v>1462</v>
      </c>
      <c r="DP99">
        <v>0</v>
      </c>
      <c r="DQ99">
        <v>0</v>
      </c>
      <c r="DR99" t="s">
        <v>411</v>
      </c>
      <c r="EP99" t="s">
        <v>421</v>
      </c>
      <c r="EQ99" t="s">
        <v>422</v>
      </c>
      <c r="ER99">
        <v>0</v>
      </c>
      <c r="ES99">
        <v>1</v>
      </c>
      <c r="ET99">
        <v>0</v>
      </c>
      <c r="EU99">
        <v>0</v>
      </c>
      <c r="EV99">
        <v>0</v>
      </c>
      <c r="EW99" s="2">
        <v>43222</v>
      </c>
      <c r="EX99" s="1">
        <v>41423</v>
      </c>
      <c r="EY99">
        <v>2012</v>
      </c>
      <c r="EZ99">
        <v>937.27</v>
      </c>
      <c r="FA99" t="s">
        <v>1463</v>
      </c>
      <c r="FB99">
        <v>3.5</v>
      </c>
      <c r="FC99" t="s">
        <v>424</v>
      </c>
      <c r="FD99" t="s">
        <v>425</v>
      </c>
      <c r="FE99" s="1">
        <v>41512</v>
      </c>
      <c r="FF99">
        <v>3</v>
      </c>
      <c r="FG99">
        <v>15399</v>
      </c>
      <c r="FH99" t="s">
        <v>485</v>
      </c>
    </row>
    <row r="100" spans="1:260" x14ac:dyDescent="0.25">
      <c r="A100">
        <v>16485107</v>
      </c>
      <c r="B100">
        <v>99</v>
      </c>
      <c r="C100" t="s">
        <v>393</v>
      </c>
      <c r="D100" t="s">
        <v>394</v>
      </c>
      <c r="F100" t="str">
        <f>"15-2N-23-0000-0008-0000"</f>
        <v>15-2N-23-0000-0008-0000</v>
      </c>
      <c r="H100" t="str">
        <f>"MILLIKIN PATRICIA A"</f>
        <v>MILLIKIN PATRICIA A</v>
      </c>
      <c r="I100" t="str">
        <f>"22928 CR 121"</f>
        <v>22928 CR 121</v>
      </c>
      <c r="J100" t="str">
        <f>"HILLIARD FL 32046"</f>
        <v>HILLIARD FL 32046</v>
      </c>
      <c r="K100" t="str">
        <f>"22870 CR 121"</f>
        <v>22870 CR 121</v>
      </c>
      <c r="L100" t="str">
        <f t="shared" si="31"/>
        <v>HILLIARD FL 32046</v>
      </c>
      <c r="M100" t="str">
        <f>"SW1/4 (EX 8-10) CASE 45-2011-CP-000289 PT OR 1876/1861"</f>
        <v>SW1/4 (EX 8-10) CASE 45-2011-CP-000289 PT OR 1876/1861</v>
      </c>
      <c r="N100" t="str">
        <f>""</f>
        <v/>
      </c>
      <c r="O100" t="str">
        <f>"30523"</f>
        <v>30523</v>
      </c>
      <c r="P100" t="str">
        <f t="shared" si="27"/>
        <v>2017</v>
      </c>
      <c r="Q100" t="str">
        <f>""</f>
        <v/>
      </c>
      <c r="R100" t="str">
        <f t="shared" si="35"/>
        <v>N</v>
      </c>
      <c r="S100" t="str">
        <f>"0.95"</f>
        <v>0.95</v>
      </c>
      <c r="T100" t="str">
        <f>"556.80"</f>
        <v>556.80</v>
      </c>
      <c r="U100" t="str">
        <f>"36780.00"</f>
        <v>36780.00</v>
      </c>
      <c r="V100" t="str">
        <f>"36780.00"</f>
        <v>36780.00</v>
      </c>
      <c r="W100" t="str">
        <f t="shared" si="28"/>
        <v>2017</v>
      </c>
      <c r="X100" t="str">
        <f>"8.25"</f>
        <v>8.25</v>
      </c>
      <c r="Y100" t="str">
        <f>"605.50"</f>
        <v>605.50</v>
      </c>
      <c r="Z100" t="str">
        <f>""</f>
        <v/>
      </c>
      <c r="AA100" t="str">
        <f>"36780.00"</f>
        <v>36780.00</v>
      </c>
      <c r="AB100" t="str">
        <f t="shared" si="34"/>
        <v>Residential</v>
      </c>
      <c r="AC100" t="str">
        <f t="shared" si="30"/>
        <v>0</v>
      </c>
      <c r="AD100" t="str">
        <f>"3"</f>
        <v>3</v>
      </c>
      <c r="AE100" t="str">
        <f>"MASONRY"</f>
        <v>MASONRY</v>
      </c>
      <c r="AF100" t="str">
        <f>"001"</f>
        <v>001</v>
      </c>
      <c r="AG100" t="str">
        <f t="shared" si="33"/>
        <v>FL</v>
      </c>
      <c r="AH100" t="str">
        <f>"41382.00"</f>
        <v>41382.00</v>
      </c>
      <c r="AI100" t="str">
        <f>"14250.00"</f>
        <v>14250.00</v>
      </c>
      <c r="AJ100" t="str">
        <f>"C55-000-587-0492-5"</f>
        <v>C55-000-587-0492-5</v>
      </c>
      <c r="AK100" t="str">
        <f>"701"</f>
        <v>701</v>
      </c>
      <c r="AL100">
        <v>1</v>
      </c>
      <c r="AM100">
        <v>113</v>
      </c>
      <c r="AN100">
        <v>634.17999999999995</v>
      </c>
      <c r="AQ100" t="s">
        <v>1464</v>
      </c>
      <c r="AR100" t="s">
        <v>1464</v>
      </c>
      <c r="AS100" t="s">
        <v>1464</v>
      </c>
      <c r="AU100" t="s">
        <v>396</v>
      </c>
      <c r="AV100">
        <v>2017</v>
      </c>
      <c r="AW100" t="str">
        <f>"15-2N-23-0000-0008-0000 "</f>
        <v xml:space="preserve">15-2N-23-0000-0008-0000 </v>
      </c>
      <c r="AX100">
        <v>22870</v>
      </c>
      <c r="AZ100" t="s">
        <v>611</v>
      </c>
      <c r="BD100" t="s">
        <v>398</v>
      </c>
      <c r="BE100" t="s">
        <v>393</v>
      </c>
      <c r="BF100">
        <v>32046</v>
      </c>
      <c r="BG100" t="s">
        <v>1465</v>
      </c>
      <c r="BH100" t="s">
        <v>400</v>
      </c>
      <c r="BI100">
        <v>-81.999849822274399</v>
      </c>
      <c r="BJ100">
        <v>30.5870270201758</v>
      </c>
      <c r="BK100" t="s">
        <v>1466</v>
      </c>
      <c r="BM100" t="s">
        <v>1467</v>
      </c>
      <c r="BN100" t="s">
        <v>403</v>
      </c>
      <c r="BO100">
        <v>32046</v>
      </c>
      <c r="BP100" t="s">
        <v>404</v>
      </c>
      <c r="BQ100">
        <v>100</v>
      </c>
      <c r="BR100" t="s">
        <v>514</v>
      </c>
      <c r="BS100">
        <v>1001</v>
      </c>
      <c r="BT100" t="s">
        <v>515</v>
      </c>
      <c r="BW100">
        <v>41382</v>
      </c>
      <c r="BX100" t="s">
        <v>407</v>
      </c>
      <c r="BY100" t="s">
        <v>408</v>
      </c>
      <c r="BZ100">
        <v>3</v>
      </c>
      <c r="CA100">
        <v>1966</v>
      </c>
      <c r="CB100">
        <v>1</v>
      </c>
      <c r="CC100">
        <v>1</v>
      </c>
      <c r="CD100">
        <v>2017</v>
      </c>
      <c r="CE100">
        <v>14250</v>
      </c>
      <c r="CF100">
        <v>22530</v>
      </c>
      <c r="CG100">
        <v>36780</v>
      </c>
      <c r="CH100">
        <v>2017</v>
      </c>
      <c r="CI100">
        <v>14250</v>
      </c>
      <c r="CJ100">
        <v>22530</v>
      </c>
      <c r="CK100">
        <v>36780</v>
      </c>
      <c r="CL100">
        <v>2017</v>
      </c>
      <c r="CM100">
        <v>556.79999999999995</v>
      </c>
      <c r="DD100" t="s">
        <v>398</v>
      </c>
      <c r="DG100">
        <v>15</v>
      </c>
      <c r="DL100">
        <v>50503</v>
      </c>
      <c r="DM100" t="s">
        <v>1385</v>
      </c>
      <c r="DO100" t="s">
        <v>1468</v>
      </c>
      <c r="DP100">
        <v>0</v>
      </c>
      <c r="DQ100">
        <v>6</v>
      </c>
      <c r="DR100" t="s">
        <v>1174</v>
      </c>
      <c r="EP100" t="s">
        <v>421</v>
      </c>
      <c r="EQ100" t="s">
        <v>422</v>
      </c>
      <c r="ER100">
        <v>0</v>
      </c>
      <c r="ES100">
        <v>4</v>
      </c>
      <c r="ET100">
        <v>0</v>
      </c>
      <c r="EU100">
        <v>0</v>
      </c>
      <c r="EV100">
        <v>0</v>
      </c>
      <c r="EW100" s="2">
        <v>43222</v>
      </c>
      <c r="EX100" s="1">
        <v>41423</v>
      </c>
      <c r="EY100">
        <v>2012</v>
      </c>
      <c r="EZ100">
        <v>663.57</v>
      </c>
      <c r="FA100" t="s">
        <v>1469</v>
      </c>
      <c r="FB100">
        <v>3.5</v>
      </c>
      <c r="FC100" t="s">
        <v>424</v>
      </c>
      <c r="FD100" t="s">
        <v>425</v>
      </c>
      <c r="FE100" s="1">
        <v>41694</v>
      </c>
      <c r="FF100">
        <v>9</v>
      </c>
      <c r="FG100">
        <v>15399</v>
      </c>
      <c r="FH100" t="s">
        <v>485</v>
      </c>
      <c r="FJ100" s="1">
        <v>41052</v>
      </c>
      <c r="FK100">
        <v>2011</v>
      </c>
      <c r="FL100">
        <v>997.02</v>
      </c>
      <c r="FM100" t="s">
        <v>1470</v>
      </c>
      <c r="FN100">
        <v>0.25</v>
      </c>
      <c r="FO100" t="s">
        <v>424</v>
      </c>
      <c r="FP100" t="s">
        <v>425</v>
      </c>
      <c r="FQ100" s="1">
        <v>41331</v>
      </c>
      <c r="FR100">
        <v>9</v>
      </c>
      <c r="FS100">
        <v>13297</v>
      </c>
      <c r="FT100" t="s">
        <v>1471</v>
      </c>
      <c r="FV100" s="1">
        <v>41052</v>
      </c>
      <c r="FW100">
        <v>2011</v>
      </c>
      <c r="FX100">
        <v>997.02</v>
      </c>
      <c r="FY100" t="s">
        <v>1470</v>
      </c>
      <c r="FZ100">
        <v>0.25</v>
      </c>
      <c r="GA100" t="s">
        <v>424</v>
      </c>
      <c r="GB100" t="s">
        <v>425</v>
      </c>
      <c r="GD100">
        <v>22</v>
      </c>
      <c r="GE100">
        <v>13635</v>
      </c>
      <c r="GF100" t="s">
        <v>1472</v>
      </c>
      <c r="GH100" s="1">
        <v>40688</v>
      </c>
      <c r="GI100">
        <v>2010</v>
      </c>
      <c r="GJ100">
        <v>1046.47</v>
      </c>
      <c r="GK100" t="s">
        <v>1473</v>
      </c>
      <c r="GL100">
        <v>0.25</v>
      </c>
      <c r="GM100" t="s">
        <v>424</v>
      </c>
      <c r="GN100" t="s">
        <v>425</v>
      </c>
      <c r="GO100" s="1">
        <v>40868</v>
      </c>
      <c r="GP100">
        <v>6</v>
      </c>
      <c r="GQ100">
        <v>11287</v>
      </c>
      <c r="GR100" t="s">
        <v>511</v>
      </c>
    </row>
    <row r="101" spans="1:260" x14ac:dyDescent="0.25">
      <c r="A101">
        <v>16485108</v>
      </c>
      <c r="B101">
        <v>100</v>
      </c>
      <c r="C101" t="s">
        <v>393</v>
      </c>
      <c r="D101" t="s">
        <v>394</v>
      </c>
      <c r="F101" t="str">
        <f>"15-2N-23-0000-0008-0100"</f>
        <v>15-2N-23-0000-0008-0100</v>
      </c>
      <c r="H101" t="str">
        <f>"ROWELL DAPHNE M"</f>
        <v>ROWELL DAPHNE M</v>
      </c>
      <c r="I101" t="str">
        <f>"22864 CR 121"</f>
        <v>22864 CR 121</v>
      </c>
      <c r="J101" t="str">
        <f>"HILLIARD FL 32046"</f>
        <v>HILLIARD FL 32046</v>
      </c>
      <c r="K101" t="str">
        <f>"22866 CR 121"</f>
        <v>22866 CR 121</v>
      </c>
      <c r="L101" t="str">
        <f t="shared" si="31"/>
        <v>HILLIARD FL 32046</v>
      </c>
      <c r="M101" t="str">
        <f>"CASE 45-2011-CP-000289 PT OR 1876/1861"</f>
        <v>CASE 45-2011-CP-000289 PT OR 1876/1861</v>
      </c>
      <c r="N101" t="str">
        <f>""</f>
        <v/>
      </c>
      <c r="O101" t="str">
        <f>"30531"</f>
        <v>30531</v>
      </c>
      <c r="P101" t="str">
        <f t="shared" si="27"/>
        <v>2017</v>
      </c>
      <c r="Q101" t="str">
        <f>""</f>
        <v/>
      </c>
      <c r="R101" t="str">
        <f t="shared" si="35"/>
        <v>N</v>
      </c>
      <c r="S101" t="str">
        <f>"0.99"</f>
        <v>0.99</v>
      </c>
      <c r="T101" t="str">
        <f>"322.04"</f>
        <v>322.04</v>
      </c>
      <c r="U101" t="str">
        <f>"19668.00"</f>
        <v>19668.00</v>
      </c>
      <c r="V101" t="str">
        <f>"19668.00"</f>
        <v>19668.00</v>
      </c>
      <c r="W101" t="str">
        <f t="shared" si="28"/>
        <v>2017</v>
      </c>
      <c r="X101" t="str">
        <f>"6.00"</f>
        <v>6.00</v>
      </c>
      <c r="Y101" t="str">
        <f>"363.70"</f>
        <v>363.70</v>
      </c>
      <c r="Z101" t="str">
        <f>""</f>
        <v/>
      </c>
      <c r="AA101" t="str">
        <f>"23350.00"</f>
        <v>23350.00</v>
      </c>
      <c r="AB101" t="str">
        <f t="shared" si="34"/>
        <v>Residential</v>
      </c>
      <c r="AC101" t="str">
        <f t="shared" si="30"/>
        <v>0</v>
      </c>
      <c r="AD101" t="str">
        <f>""</f>
        <v/>
      </c>
      <c r="AE101" t="str">
        <f>""</f>
        <v/>
      </c>
      <c r="AF101" t="str">
        <f>"000"</f>
        <v>000</v>
      </c>
      <c r="AG101" t="str">
        <f t="shared" si="33"/>
        <v>FL</v>
      </c>
      <c r="AH101" t="str">
        <f>"43124.00"</f>
        <v>43124.00</v>
      </c>
      <c r="AI101" t="str">
        <f>"14850.00"</f>
        <v>14850.00</v>
      </c>
      <c r="AJ101" t="str">
        <f>"C55-001-042-9440-0"</f>
        <v>C55-001-042-9440-0</v>
      </c>
      <c r="AK101" t="str">
        <f>"709"</f>
        <v>709</v>
      </c>
      <c r="AL101">
        <v>1</v>
      </c>
      <c r="AM101">
        <v>114</v>
      </c>
      <c r="AN101">
        <v>380.29</v>
      </c>
      <c r="AQ101" t="s">
        <v>1474</v>
      </c>
      <c r="AR101" t="s">
        <v>1474</v>
      </c>
      <c r="AS101" t="s">
        <v>1474</v>
      </c>
      <c r="AU101" t="s">
        <v>396</v>
      </c>
      <c r="AV101">
        <v>2017</v>
      </c>
      <c r="AW101" t="str">
        <f>"15-2N-23-0000-0008-0100 "</f>
        <v xml:space="preserve">15-2N-23-0000-0008-0100 </v>
      </c>
      <c r="AX101">
        <v>22866</v>
      </c>
      <c r="AZ101" t="s">
        <v>611</v>
      </c>
      <c r="BD101" t="s">
        <v>398</v>
      </c>
      <c r="BE101" t="s">
        <v>393</v>
      </c>
      <c r="BF101">
        <v>32046</v>
      </c>
      <c r="BG101" t="s">
        <v>1475</v>
      </c>
      <c r="BH101" t="s">
        <v>400</v>
      </c>
      <c r="BI101">
        <v>-81.999870487651705</v>
      </c>
      <c r="BJ101">
        <v>30.586665562169198</v>
      </c>
      <c r="BK101" t="s">
        <v>1476</v>
      </c>
      <c r="BM101" t="s">
        <v>1477</v>
      </c>
      <c r="BN101" t="s">
        <v>403</v>
      </c>
      <c r="BO101">
        <v>32046</v>
      </c>
      <c r="BP101" t="s">
        <v>404</v>
      </c>
      <c r="BQ101">
        <v>1</v>
      </c>
      <c r="BR101" t="s">
        <v>491</v>
      </c>
      <c r="BS101">
        <v>8001</v>
      </c>
      <c r="BT101" t="s">
        <v>492</v>
      </c>
      <c r="BW101">
        <v>43124</v>
      </c>
      <c r="BX101" t="s">
        <v>407</v>
      </c>
      <c r="BY101" t="s">
        <v>408</v>
      </c>
      <c r="CD101">
        <v>2017</v>
      </c>
      <c r="CE101">
        <v>14850</v>
      </c>
      <c r="CF101">
        <v>8500</v>
      </c>
      <c r="CG101">
        <v>23350</v>
      </c>
      <c r="CH101">
        <v>2017</v>
      </c>
      <c r="CI101">
        <v>14850</v>
      </c>
      <c r="CJ101">
        <v>8500</v>
      </c>
      <c r="CK101">
        <v>23350</v>
      </c>
      <c r="CL101">
        <v>2017</v>
      </c>
      <c r="CM101">
        <v>322.04000000000002</v>
      </c>
      <c r="DD101" t="s">
        <v>398</v>
      </c>
      <c r="DG101">
        <v>15</v>
      </c>
      <c r="DL101">
        <v>50503</v>
      </c>
      <c r="DM101" t="s">
        <v>1385</v>
      </c>
      <c r="DO101" t="s">
        <v>1478</v>
      </c>
      <c r="DP101">
        <v>0</v>
      </c>
      <c r="DQ101">
        <v>6</v>
      </c>
      <c r="DR101" t="s">
        <v>1479</v>
      </c>
      <c r="DS101" t="b">
        <v>1</v>
      </c>
      <c r="DT101" t="s">
        <v>470</v>
      </c>
      <c r="DU101" t="s">
        <v>471</v>
      </c>
      <c r="DV101" t="s">
        <v>472</v>
      </c>
      <c r="DX101">
        <v>-9999</v>
      </c>
      <c r="DZ101" t="s">
        <v>447</v>
      </c>
      <c r="EA101" t="s">
        <v>448</v>
      </c>
      <c r="EB101" t="s">
        <v>1295</v>
      </c>
      <c r="EC101">
        <v>20101217</v>
      </c>
      <c r="ED101" t="s">
        <v>474</v>
      </c>
      <c r="EF101">
        <v>845.3</v>
      </c>
      <c r="EG101">
        <v>845.3</v>
      </c>
      <c r="EI101">
        <v>20160407</v>
      </c>
      <c r="EJ101">
        <v>0</v>
      </c>
      <c r="EK101">
        <v>0</v>
      </c>
      <c r="EP101" t="s">
        <v>421</v>
      </c>
      <c r="EQ101" t="s">
        <v>422</v>
      </c>
      <c r="ER101">
        <v>0</v>
      </c>
      <c r="ES101">
        <v>1</v>
      </c>
      <c r="ET101">
        <v>0</v>
      </c>
      <c r="EU101">
        <v>0</v>
      </c>
      <c r="EV101">
        <v>0</v>
      </c>
      <c r="EW101" s="2">
        <v>43222</v>
      </c>
      <c r="EX101" s="1">
        <v>42515</v>
      </c>
      <c r="EY101">
        <v>2015</v>
      </c>
      <c r="EZ101">
        <v>322.45</v>
      </c>
      <c r="FA101" t="s">
        <v>1480</v>
      </c>
      <c r="FB101">
        <v>15.25</v>
      </c>
      <c r="FC101" t="s">
        <v>424</v>
      </c>
      <c r="FD101" t="s">
        <v>425</v>
      </c>
      <c r="FE101" s="1">
        <v>42701</v>
      </c>
      <c r="FF101">
        <v>6</v>
      </c>
      <c r="FG101">
        <v>7336143</v>
      </c>
      <c r="FH101" t="s">
        <v>539</v>
      </c>
    </row>
    <row r="102" spans="1:260" x14ac:dyDescent="0.25">
      <c r="A102">
        <v>16485109</v>
      </c>
      <c r="B102">
        <v>101</v>
      </c>
      <c r="C102" t="s">
        <v>393</v>
      </c>
      <c r="D102" t="s">
        <v>394</v>
      </c>
      <c r="F102" t="str">
        <f>"15-2N-23-0000-0009-0110"</f>
        <v>15-2N-23-0000-0009-0110</v>
      </c>
      <c r="H102" t="str">
        <f>"WILSON DAVID"</f>
        <v>WILSON DAVID</v>
      </c>
      <c r="I102" t="str">
        <f>"646 N BROAD ST"</f>
        <v>646 N BROAD ST</v>
      </c>
      <c r="J102" t="str">
        <f>"GROVE CITY PA 16217"</f>
        <v>GROVE CITY PA 16217</v>
      </c>
      <c r="K102" t="str">
        <f>"22717 CR 121"</f>
        <v>22717 CR 121</v>
      </c>
      <c r="L102" t="str">
        <f t="shared" si="31"/>
        <v>HILLIARD FL 32046</v>
      </c>
      <c r="M102" t="str">
        <f>"PT OF SW1/4 OF SEC 15-2N-23E IN OR 1775/1181 {R583776 &amp; R583777}"</f>
        <v>PT OF SW1/4 OF SEC 15-2N-23E IN OR 1775/1181 {R583776 &amp; R583777}</v>
      </c>
      <c r="N102" t="str">
        <f>""</f>
        <v/>
      </c>
      <c r="O102" t="str">
        <f>"30545"</f>
        <v>30545</v>
      </c>
      <c r="P102" t="str">
        <f t="shared" si="27"/>
        <v>2017</v>
      </c>
      <c r="Q102" t="str">
        <f>""</f>
        <v/>
      </c>
      <c r="R102" t="str">
        <f t="shared" si="35"/>
        <v>N</v>
      </c>
      <c r="S102" t="str">
        <f>"1.00"</f>
        <v>1.00</v>
      </c>
      <c r="T102" t="str">
        <f>"368.44"</f>
        <v>368.44</v>
      </c>
      <c r="U102" t="str">
        <f>"24337.00"</f>
        <v>24337.00</v>
      </c>
      <c r="V102" t="str">
        <f>"24337.00"</f>
        <v>24337.00</v>
      </c>
      <c r="W102" t="str">
        <f t="shared" si="28"/>
        <v>2017</v>
      </c>
      <c r="X102" t="str">
        <f>"23.00"</f>
        <v>23.00</v>
      </c>
      <c r="Y102" t="str">
        <f>"411.49"</f>
        <v>411.49</v>
      </c>
      <c r="Z102" t="str">
        <f>""</f>
        <v/>
      </c>
      <c r="AA102" t="str">
        <f>"24337.00"</f>
        <v>24337.00</v>
      </c>
      <c r="AB102" t="str">
        <f t="shared" si="34"/>
        <v>Residential</v>
      </c>
      <c r="AC102" t="str">
        <f t="shared" si="30"/>
        <v>0</v>
      </c>
      <c r="AD102" t="str">
        <f>"4"</f>
        <v>4</v>
      </c>
      <c r="AE102" t="str">
        <f>"WOOD (INCLUDE STEEL STUDS)"</f>
        <v>WOOD (INCLUDE STEEL STUDS)</v>
      </c>
      <c r="AF102" t="str">
        <f>"002"</f>
        <v>002</v>
      </c>
      <c r="AG102" t="str">
        <f>"PA"</f>
        <v>PA</v>
      </c>
      <c r="AH102" t="str">
        <f>"43560.00"</f>
        <v>43560.00</v>
      </c>
      <c r="AI102" t="str">
        <f>"15000.00"</f>
        <v>15000.00</v>
      </c>
      <c r="AJ102" t="str">
        <f>"C55-000-587-0511-2"</f>
        <v>C55-000-587-0511-2</v>
      </c>
      <c r="AK102" t="str">
        <f>"722"</f>
        <v>722</v>
      </c>
      <c r="AL102">
        <v>1</v>
      </c>
      <c r="AM102">
        <v>116</v>
      </c>
      <c r="AN102">
        <v>430.46</v>
      </c>
      <c r="AQ102" t="s">
        <v>1481</v>
      </c>
      <c r="AR102" t="s">
        <v>1481</v>
      </c>
      <c r="AS102" t="s">
        <v>1481</v>
      </c>
      <c r="AU102" t="s">
        <v>396</v>
      </c>
      <c r="AV102">
        <v>2017</v>
      </c>
      <c r="AW102" t="str">
        <f>"15-2N-23-0000-0009-0110 "</f>
        <v xml:space="preserve">15-2N-23-0000-0009-0110 </v>
      </c>
      <c r="AX102">
        <v>22717</v>
      </c>
      <c r="AZ102" t="s">
        <v>611</v>
      </c>
      <c r="BD102" t="s">
        <v>398</v>
      </c>
      <c r="BE102" t="s">
        <v>393</v>
      </c>
      <c r="BF102">
        <v>32046</v>
      </c>
      <c r="BG102" t="s">
        <v>1482</v>
      </c>
      <c r="BH102" t="s">
        <v>400</v>
      </c>
      <c r="BI102">
        <v>-81.997803123316402</v>
      </c>
      <c r="BJ102">
        <v>30.5843485717518</v>
      </c>
      <c r="BK102" t="s">
        <v>1483</v>
      </c>
      <c r="BM102" t="s">
        <v>1484</v>
      </c>
      <c r="BN102" t="s">
        <v>1485</v>
      </c>
      <c r="BO102">
        <v>16217</v>
      </c>
      <c r="BP102" t="s">
        <v>404</v>
      </c>
      <c r="BQ102">
        <v>200</v>
      </c>
      <c r="BR102" t="s">
        <v>405</v>
      </c>
      <c r="BS102">
        <v>1006</v>
      </c>
      <c r="BT102" t="s">
        <v>406</v>
      </c>
      <c r="BW102">
        <v>43560</v>
      </c>
      <c r="BX102" t="s">
        <v>407</v>
      </c>
      <c r="BY102" t="s">
        <v>408</v>
      </c>
      <c r="BZ102">
        <v>4</v>
      </c>
      <c r="CA102">
        <v>1992</v>
      </c>
      <c r="CB102">
        <v>1</v>
      </c>
      <c r="CC102">
        <v>1</v>
      </c>
      <c r="CD102">
        <v>2017</v>
      </c>
      <c r="CE102">
        <v>15000</v>
      </c>
      <c r="CF102">
        <v>9337</v>
      </c>
      <c r="CG102">
        <v>24337</v>
      </c>
      <c r="CH102">
        <v>2017</v>
      </c>
      <c r="CI102">
        <v>15000</v>
      </c>
      <c r="CJ102">
        <v>9337</v>
      </c>
      <c r="CK102">
        <v>24337</v>
      </c>
      <c r="CL102">
        <v>2017</v>
      </c>
      <c r="CM102">
        <v>368.44</v>
      </c>
      <c r="CN102" s="1">
        <v>40931</v>
      </c>
      <c r="CO102">
        <v>18000</v>
      </c>
      <c r="CZ102" s="1">
        <v>40931</v>
      </c>
      <c r="DD102" t="s">
        <v>398</v>
      </c>
      <c r="DG102">
        <v>15</v>
      </c>
      <c r="DL102">
        <v>50503</v>
      </c>
      <c r="DM102" t="s">
        <v>1385</v>
      </c>
      <c r="DO102" t="s">
        <v>1486</v>
      </c>
      <c r="DP102">
        <v>0</v>
      </c>
      <c r="DQ102">
        <v>0</v>
      </c>
      <c r="DR102" t="s">
        <v>411</v>
      </c>
      <c r="DS102" t="b">
        <v>1</v>
      </c>
      <c r="DT102" t="s">
        <v>470</v>
      </c>
      <c r="DU102" t="s">
        <v>471</v>
      </c>
      <c r="DV102" t="s">
        <v>472</v>
      </c>
      <c r="DX102">
        <v>-9999</v>
      </c>
      <c r="DZ102" t="s">
        <v>447</v>
      </c>
      <c r="EA102" t="s">
        <v>448</v>
      </c>
      <c r="EB102" t="s">
        <v>1295</v>
      </c>
      <c r="EC102">
        <v>20101217</v>
      </c>
      <c r="ED102" t="s">
        <v>474</v>
      </c>
      <c r="EF102">
        <v>881.6</v>
      </c>
      <c r="EG102">
        <v>881.6</v>
      </c>
      <c r="EH102" t="s">
        <v>451</v>
      </c>
      <c r="EI102">
        <v>20140731</v>
      </c>
      <c r="EJ102">
        <v>0</v>
      </c>
      <c r="EK102">
        <v>2</v>
      </c>
      <c r="EP102" t="s">
        <v>421</v>
      </c>
      <c r="EQ102" t="s">
        <v>452</v>
      </c>
      <c r="ER102">
        <v>1</v>
      </c>
      <c r="ES102">
        <v>5</v>
      </c>
      <c r="ET102">
        <v>465.27</v>
      </c>
      <c r="EU102">
        <v>29.51</v>
      </c>
      <c r="EV102">
        <v>494.78</v>
      </c>
      <c r="EW102" s="2">
        <v>43222</v>
      </c>
      <c r="EX102" s="1">
        <v>42879</v>
      </c>
      <c r="EY102">
        <v>2016</v>
      </c>
      <c r="EZ102">
        <v>465.27</v>
      </c>
      <c r="FA102" t="s">
        <v>1487</v>
      </c>
      <c r="FB102">
        <v>4.75</v>
      </c>
      <c r="FC102" t="s">
        <v>424</v>
      </c>
      <c r="FD102" t="s">
        <v>454</v>
      </c>
      <c r="FF102">
        <v>12</v>
      </c>
      <c r="FG102">
        <v>2035919</v>
      </c>
      <c r="FH102" t="s">
        <v>507</v>
      </c>
      <c r="FJ102" s="1">
        <v>42151</v>
      </c>
      <c r="FK102">
        <v>2014</v>
      </c>
      <c r="FL102">
        <v>455.35</v>
      </c>
      <c r="FM102" t="s">
        <v>1488</v>
      </c>
      <c r="FN102">
        <v>4</v>
      </c>
      <c r="FO102" t="s">
        <v>424</v>
      </c>
      <c r="FP102" t="s">
        <v>425</v>
      </c>
      <c r="FQ102" s="1">
        <v>42475</v>
      </c>
      <c r="FR102">
        <v>11</v>
      </c>
      <c r="FS102">
        <v>15399</v>
      </c>
      <c r="FT102" t="s">
        <v>485</v>
      </c>
      <c r="FU102" t="s">
        <v>458</v>
      </c>
      <c r="FV102" s="1">
        <v>42151</v>
      </c>
      <c r="FW102">
        <v>2014</v>
      </c>
      <c r="FX102">
        <v>455.35</v>
      </c>
      <c r="FY102" t="s">
        <v>1488</v>
      </c>
      <c r="FZ102">
        <v>4</v>
      </c>
      <c r="GA102" t="s">
        <v>424</v>
      </c>
      <c r="GB102" t="s">
        <v>425</v>
      </c>
      <c r="GD102">
        <v>22</v>
      </c>
      <c r="GE102">
        <v>7045019</v>
      </c>
      <c r="GF102" t="s">
        <v>1489</v>
      </c>
      <c r="GG102" t="s">
        <v>458</v>
      </c>
      <c r="GH102" s="1">
        <v>41787</v>
      </c>
      <c r="GI102">
        <v>2013</v>
      </c>
      <c r="GJ102">
        <v>585.13</v>
      </c>
      <c r="GK102" t="s">
        <v>1490</v>
      </c>
      <c r="GL102">
        <v>0.25</v>
      </c>
      <c r="GM102" t="s">
        <v>424</v>
      </c>
      <c r="GN102" t="s">
        <v>425</v>
      </c>
      <c r="GP102">
        <v>22</v>
      </c>
      <c r="GQ102">
        <v>2407503</v>
      </c>
      <c r="GR102" t="s">
        <v>461</v>
      </c>
      <c r="GS102" t="s">
        <v>458</v>
      </c>
      <c r="GT102" s="1">
        <v>41423</v>
      </c>
      <c r="GU102">
        <v>2012</v>
      </c>
      <c r="GV102">
        <v>630.29999999999995</v>
      </c>
      <c r="GW102" t="s">
        <v>1491</v>
      </c>
      <c r="GX102">
        <v>4.5</v>
      </c>
      <c r="GY102" t="s">
        <v>424</v>
      </c>
      <c r="GZ102" t="s">
        <v>425</v>
      </c>
      <c r="HB102">
        <v>22</v>
      </c>
      <c r="HC102">
        <v>15399</v>
      </c>
      <c r="HD102" t="s">
        <v>485</v>
      </c>
      <c r="HE102" t="s">
        <v>458</v>
      </c>
      <c r="HF102" s="1">
        <v>41423</v>
      </c>
      <c r="HG102">
        <v>2012</v>
      </c>
      <c r="HH102">
        <v>630.29999999999995</v>
      </c>
      <c r="HI102" t="s">
        <v>1491</v>
      </c>
      <c r="HJ102">
        <v>4.5</v>
      </c>
      <c r="HK102" t="s">
        <v>424</v>
      </c>
      <c r="HL102" t="s">
        <v>425</v>
      </c>
      <c r="HM102" s="1">
        <v>42475</v>
      </c>
      <c r="HN102">
        <v>35</v>
      </c>
      <c r="HO102">
        <v>13027</v>
      </c>
      <c r="HP102" t="s">
        <v>826</v>
      </c>
      <c r="HQ102" t="s">
        <v>458</v>
      </c>
    </row>
    <row r="103" spans="1:260" x14ac:dyDescent="0.25">
      <c r="A103">
        <v>16485110</v>
      </c>
      <c r="B103">
        <v>102</v>
      </c>
      <c r="C103" t="s">
        <v>393</v>
      </c>
      <c r="D103" t="s">
        <v>394</v>
      </c>
      <c r="F103" t="str">
        <f>"16-2N-23-0000-0001-0110"</f>
        <v>16-2N-23-0000-0001-0110</v>
      </c>
      <c r="H103" t="str">
        <f>"CASTLEBERRY MARVIN C"</f>
        <v>CASTLEBERRY MARVIN C</v>
      </c>
      <c r="I103" t="str">
        <f>"2691 FOLLY LANE"</f>
        <v>2691 FOLLY LANE</v>
      </c>
      <c r="J103" t="str">
        <f>"HILLIARD FL 32046"</f>
        <v>HILLIARD FL 32046</v>
      </c>
      <c r="K103" t="str">
        <f>"2691 FOLLY LN"</f>
        <v>2691 FOLLY LN</v>
      </c>
      <c r="L103" t="str">
        <f>"HILLIARD FL 32034"</f>
        <v>HILLIARD FL 32034</v>
      </c>
      <c r="M103" t="str">
        <f>"PT OR 835/1051"</f>
        <v>PT OR 835/1051</v>
      </c>
      <c r="N103" t="str">
        <f>""</f>
        <v/>
      </c>
      <c r="O103" t="str">
        <f>"31335"</f>
        <v>31335</v>
      </c>
      <c r="P103" t="str">
        <f t="shared" si="27"/>
        <v>2017</v>
      </c>
      <c r="Q103" t="str">
        <f>""</f>
        <v/>
      </c>
      <c r="R103" t="str">
        <f t="shared" si="35"/>
        <v>N</v>
      </c>
      <c r="S103" t="str">
        <f>"0.86"</f>
        <v>0.86</v>
      </c>
      <c r="T103" t="str">
        <f>"182.07"</f>
        <v>182.07</v>
      </c>
      <c r="U103" t="str">
        <f>"11352.00"</f>
        <v>11352.00</v>
      </c>
      <c r="V103" t="str">
        <f>"11352.00"</f>
        <v>11352.00</v>
      </c>
      <c r="W103" t="str">
        <f t="shared" si="28"/>
        <v>2017</v>
      </c>
      <c r="X103" t="str">
        <f>"17.00"</f>
        <v>17.00</v>
      </c>
      <c r="Y103" t="str">
        <f>"219.53"</f>
        <v>219.53</v>
      </c>
      <c r="Z103" t="str">
        <f>""</f>
        <v/>
      </c>
      <c r="AA103" t="str">
        <f>"12900.00"</f>
        <v>12900.00</v>
      </c>
      <c r="AB103" t="str">
        <f t="shared" si="34"/>
        <v>Residential</v>
      </c>
      <c r="AC103" t="str">
        <f t="shared" si="30"/>
        <v>0</v>
      </c>
      <c r="AD103" t="str">
        <f>""</f>
        <v/>
      </c>
      <c r="AE103" t="str">
        <f>""</f>
        <v/>
      </c>
      <c r="AF103" t="str">
        <f>"000"</f>
        <v>000</v>
      </c>
      <c r="AG103" t="str">
        <f>"FL"</f>
        <v>FL</v>
      </c>
      <c r="AH103" t="str">
        <f>"37461.00"</f>
        <v>37461.00</v>
      </c>
      <c r="AI103" t="str">
        <f>"12900.00"</f>
        <v>12900.00</v>
      </c>
      <c r="AJ103" t="str">
        <f>"C55-000-587-1086-4"</f>
        <v>C55-000-587-1086-4</v>
      </c>
      <c r="AK103" t="str">
        <f>"749"</f>
        <v>749</v>
      </c>
      <c r="AL103">
        <v>1</v>
      </c>
      <c r="AM103">
        <v>117</v>
      </c>
      <c r="AN103">
        <v>228.91</v>
      </c>
      <c r="AQ103" t="s">
        <v>1492</v>
      </c>
      <c r="AR103" t="s">
        <v>1492</v>
      </c>
      <c r="AS103" t="s">
        <v>1492</v>
      </c>
      <c r="AU103" t="s">
        <v>396</v>
      </c>
      <c r="AV103">
        <v>2017</v>
      </c>
      <c r="AW103" t="str">
        <f>"16-2N-23-0000-0001-0110 "</f>
        <v xml:space="preserve">16-2N-23-0000-0001-0110 </v>
      </c>
      <c r="AX103">
        <v>2691</v>
      </c>
      <c r="AZ103" t="s">
        <v>1408</v>
      </c>
      <c r="BA103" t="s">
        <v>653</v>
      </c>
      <c r="BD103" t="s">
        <v>398</v>
      </c>
      <c r="BE103" t="s">
        <v>393</v>
      </c>
      <c r="BF103">
        <v>32034</v>
      </c>
      <c r="BG103" t="s">
        <v>1424</v>
      </c>
      <c r="BH103" t="s">
        <v>1493</v>
      </c>
      <c r="BI103">
        <v>-82.005927114262803</v>
      </c>
      <c r="BJ103">
        <v>30.591333241293899</v>
      </c>
      <c r="BK103" t="s">
        <v>1425</v>
      </c>
      <c r="BM103" t="s">
        <v>1424</v>
      </c>
      <c r="BN103" t="s">
        <v>403</v>
      </c>
      <c r="BO103">
        <v>32046</v>
      </c>
      <c r="BP103" t="s">
        <v>404</v>
      </c>
      <c r="BQ103">
        <v>0</v>
      </c>
      <c r="BR103" t="s">
        <v>491</v>
      </c>
      <c r="BS103">
        <v>8001</v>
      </c>
      <c r="BT103" t="s">
        <v>492</v>
      </c>
      <c r="BW103">
        <v>37461</v>
      </c>
      <c r="BX103" t="s">
        <v>407</v>
      </c>
      <c r="BY103" t="s">
        <v>408</v>
      </c>
      <c r="CD103">
        <v>2017</v>
      </c>
      <c r="CE103">
        <v>12900</v>
      </c>
      <c r="CG103">
        <v>12900</v>
      </c>
      <c r="CH103">
        <v>2017</v>
      </c>
      <c r="CI103">
        <v>12900</v>
      </c>
      <c r="CK103">
        <v>12900</v>
      </c>
      <c r="CL103">
        <v>2017</v>
      </c>
      <c r="CM103">
        <v>182.07</v>
      </c>
      <c r="CN103" s="1">
        <v>35944</v>
      </c>
      <c r="CO103">
        <v>62000</v>
      </c>
      <c r="CZ103" s="1">
        <v>35944</v>
      </c>
      <c r="DD103" t="s">
        <v>398</v>
      </c>
      <c r="DG103">
        <v>16</v>
      </c>
      <c r="DL103">
        <v>50503</v>
      </c>
      <c r="DM103" t="s">
        <v>1494</v>
      </c>
      <c r="DO103" t="s">
        <v>1495</v>
      </c>
      <c r="DP103">
        <v>0</v>
      </c>
      <c r="DQ103">
        <v>0</v>
      </c>
      <c r="DR103" t="s">
        <v>411</v>
      </c>
      <c r="DS103" t="b">
        <v>1</v>
      </c>
      <c r="DT103" t="s">
        <v>470</v>
      </c>
      <c r="DU103" t="s">
        <v>471</v>
      </c>
      <c r="DV103" t="s">
        <v>472</v>
      </c>
      <c r="DX103">
        <v>-9999</v>
      </c>
      <c r="DZ103" t="s">
        <v>447</v>
      </c>
      <c r="EA103" t="s">
        <v>448</v>
      </c>
      <c r="EB103" t="s">
        <v>1295</v>
      </c>
      <c r="EC103">
        <v>20101217</v>
      </c>
      <c r="ED103" t="s">
        <v>474</v>
      </c>
      <c r="EF103">
        <v>584.6</v>
      </c>
      <c r="EG103">
        <v>584.6</v>
      </c>
      <c r="EH103" t="s">
        <v>451</v>
      </c>
      <c r="EI103">
        <v>20140731</v>
      </c>
      <c r="EJ103">
        <v>0</v>
      </c>
      <c r="EK103">
        <v>0</v>
      </c>
      <c r="EP103" t="s">
        <v>421</v>
      </c>
      <c r="EQ103" t="s">
        <v>452</v>
      </c>
      <c r="ER103">
        <v>1</v>
      </c>
      <c r="ES103">
        <v>6</v>
      </c>
      <c r="ET103">
        <v>198.34</v>
      </c>
      <c r="EU103">
        <v>35.01</v>
      </c>
      <c r="EV103">
        <v>233.35</v>
      </c>
      <c r="EW103" s="2">
        <v>43222</v>
      </c>
      <c r="EX103" s="1">
        <v>42879</v>
      </c>
      <c r="EY103">
        <v>2016</v>
      </c>
      <c r="EZ103">
        <v>198.34</v>
      </c>
      <c r="FA103" t="s">
        <v>1496</v>
      </c>
      <c r="FB103">
        <v>14.5</v>
      </c>
      <c r="FC103" t="s">
        <v>424</v>
      </c>
      <c r="FD103" t="s">
        <v>454</v>
      </c>
      <c r="FF103">
        <v>12</v>
      </c>
      <c r="FG103">
        <v>10021</v>
      </c>
      <c r="FH103" t="s">
        <v>597</v>
      </c>
      <c r="FJ103" s="1">
        <v>42151</v>
      </c>
      <c r="FK103">
        <v>2014</v>
      </c>
      <c r="FL103">
        <v>175.81</v>
      </c>
      <c r="FM103" t="s">
        <v>1497</v>
      </c>
      <c r="FN103">
        <v>18</v>
      </c>
      <c r="FO103" t="s">
        <v>424</v>
      </c>
      <c r="FP103" t="s">
        <v>425</v>
      </c>
      <c r="FQ103" s="1">
        <v>42338</v>
      </c>
      <c r="FR103">
        <v>6</v>
      </c>
      <c r="FS103">
        <v>10125</v>
      </c>
      <c r="FT103" t="s">
        <v>440</v>
      </c>
      <c r="FU103" t="s">
        <v>458</v>
      </c>
      <c r="FV103" s="1">
        <v>41787</v>
      </c>
      <c r="FW103">
        <v>2013</v>
      </c>
      <c r="FX103">
        <v>161.13</v>
      </c>
      <c r="FY103" t="s">
        <v>1498</v>
      </c>
      <c r="FZ103">
        <v>15.75</v>
      </c>
      <c r="GA103" t="s">
        <v>424</v>
      </c>
      <c r="GB103" t="s">
        <v>425</v>
      </c>
      <c r="GC103" s="1">
        <v>42338</v>
      </c>
      <c r="GD103">
        <v>18</v>
      </c>
      <c r="GE103">
        <v>4695392</v>
      </c>
      <c r="GF103" t="s">
        <v>958</v>
      </c>
      <c r="GG103" t="s">
        <v>458</v>
      </c>
      <c r="GH103" s="1">
        <v>41423</v>
      </c>
      <c r="GI103">
        <v>2012</v>
      </c>
      <c r="GJ103">
        <v>183.99</v>
      </c>
      <c r="GK103" t="s">
        <v>1499</v>
      </c>
      <c r="GL103">
        <v>6.25</v>
      </c>
      <c r="GM103" t="s">
        <v>424</v>
      </c>
      <c r="GN103" t="s">
        <v>425</v>
      </c>
      <c r="GP103">
        <v>22</v>
      </c>
      <c r="GQ103">
        <v>2101381</v>
      </c>
      <c r="GR103" t="s">
        <v>605</v>
      </c>
      <c r="GS103" t="s">
        <v>458</v>
      </c>
      <c r="GT103" s="1">
        <v>41052</v>
      </c>
      <c r="GU103">
        <v>2011</v>
      </c>
      <c r="GV103">
        <v>207.5</v>
      </c>
      <c r="GW103" t="s">
        <v>1500</v>
      </c>
      <c r="GX103">
        <v>16</v>
      </c>
      <c r="GY103" t="s">
        <v>424</v>
      </c>
      <c r="GZ103" t="s">
        <v>425</v>
      </c>
      <c r="HA103" s="1">
        <v>41697</v>
      </c>
      <c r="HB103">
        <v>21</v>
      </c>
      <c r="HC103">
        <v>10125</v>
      </c>
      <c r="HD103" t="s">
        <v>440</v>
      </c>
      <c r="HF103" s="1">
        <v>40688</v>
      </c>
      <c r="HG103">
        <v>2010</v>
      </c>
      <c r="HH103">
        <v>229.17</v>
      </c>
      <c r="HI103" t="s">
        <v>1501</v>
      </c>
      <c r="HJ103">
        <v>8.25</v>
      </c>
      <c r="HK103" t="s">
        <v>424</v>
      </c>
      <c r="HL103" t="s">
        <v>425</v>
      </c>
      <c r="HM103" s="1">
        <v>41324</v>
      </c>
      <c r="HN103">
        <v>21</v>
      </c>
      <c r="HO103">
        <v>15175</v>
      </c>
      <c r="HP103" t="s">
        <v>588</v>
      </c>
      <c r="HR103" s="1">
        <v>40688</v>
      </c>
      <c r="HS103">
        <v>2010</v>
      </c>
      <c r="HT103">
        <v>229.17</v>
      </c>
      <c r="HU103" t="s">
        <v>1501</v>
      </c>
      <c r="HV103">
        <v>8.25</v>
      </c>
      <c r="HW103" t="s">
        <v>424</v>
      </c>
      <c r="HX103" t="s">
        <v>425</v>
      </c>
      <c r="HZ103">
        <v>22</v>
      </c>
      <c r="IA103">
        <v>10548</v>
      </c>
      <c r="IB103" t="s">
        <v>589</v>
      </c>
    </row>
    <row r="104" spans="1:260" x14ac:dyDescent="0.25">
      <c r="A104">
        <v>16485111</v>
      </c>
      <c r="B104">
        <v>103</v>
      </c>
      <c r="C104" t="s">
        <v>393</v>
      </c>
      <c r="D104" t="s">
        <v>394</v>
      </c>
      <c r="F104" t="str">
        <f>"16-2N-23-0000-0001-0130"</f>
        <v>16-2N-23-0000-0001-0130</v>
      </c>
      <c r="H104" t="str">
        <f>"BEAUDRY ROBERT &amp; DONNA E"</f>
        <v>BEAUDRY ROBERT &amp; DONNA E</v>
      </c>
      <c r="I104" t="str">
        <f>"PO BOX 113"</f>
        <v>PO BOX 113</v>
      </c>
      <c r="J104" t="str">
        <f>"CALLAHAN FL 32011"</f>
        <v>CALLAHAN FL 32011</v>
      </c>
      <c r="K104" t="str">
        <f>"2595 CHOLERTON LN"</f>
        <v>2595 CHOLERTON LN</v>
      </c>
      <c r="L104" t="str">
        <f t="shared" ref="L104:L138" si="36">"HILLIARD FL 32046"</f>
        <v>HILLIARD FL 32046</v>
      </c>
      <c r="M104" t="str">
        <f>"PT OR 781 PG 1513"</f>
        <v>PT OR 781 PG 1513</v>
      </c>
      <c r="N104" t="str">
        <f>""</f>
        <v/>
      </c>
      <c r="O104" t="str">
        <f>"31337"</f>
        <v>31337</v>
      </c>
      <c r="P104" t="str">
        <f t="shared" si="27"/>
        <v>2017</v>
      </c>
      <c r="Q104" t="str">
        <f>""</f>
        <v/>
      </c>
      <c r="R104" t="str">
        <f t="shared" si="35"/>
        <v>N</v>
      </c>
      <c r="S104" t="str">
        <f>"1.60"</f>
        <v>1.60</v>
      </c>
      <c r="T104" t="str">
        <f>"999.06"</f>
        <v>999.06</v>
      </c>
      <c r="U104" t="str">
        <f>"63703.00"</f>
        <v>63703.00</v>
      </c>
      <c r="V104" t="str">
        <f>"63703.00"</f>
        <v>63703.00</v>
      </c>
      <c r="W104" t="str">
        <f t="shared" si="28"/>
        <v>2017</v>
      </c>
      <c r="X104" t="str">
        <f>"13.00"</f>
        <v>13.00</v>
      </c>
      <c r="Y104" t="str">
        <f>"1061.03"</f>
        <v>1061.03</v>
      </c>
      <c r="Z104" t="str">
        <f>""</f>
        <v/>
      </c>
      <c r="AA104" t="str">
        <f>"68957.00"</f>
        <v>68957.00</v>
      </c>
      <c r="AB104" t="str">
        <f t="shared" si="34"/>
        <v>Residential</v>
      </c>
      <c r="AC104" t="str">
        <f t="shared" si="30"/>
        <v>0</v>
      </c>
      <c r="AD104" t="str">
        <f>"4"</f>
        <v>4</v>
      </c>
      <c r="AE104" t="str">
        <f>"WOOD (INCLUDE STEEL STUDS)"</f>
        <v>WOOD (INCLUDE STEEL STUDS)</v>
      </c>
      <c r="AF104" t="str">
        <f>"002"</f>
        <v>002</v>
      </c>
      <c r="AG104" t="str">
        <f>"FL"</f>
        <v>FL</v>
      </c>
      <c r="AH104" t="str">
        <f>"69696.00"</f>
        <v>69696.00</v>
      </c>
      <c r="AI104" t="str">
        <f>"24000.00"</f>
        <v>24000.00</v>
      </c>
      <c r="AJ104" t="str">
        <f>"C55-000-587-1088-0"</f>
        <v>C55-000-587-1088-0</v>
      </c>
      <c r="AK104" t="str">
        <f>"751"</f>
        <v>751</v>
      </c>
      <c r="AL104">
        <v>1</v>
      </c>
      <c r="AM104">
        <v>118</v>
      </c>
      <c r="AN104">
        <v>1112.48</v>
      </c>
      <c r="AQ104" t="s">
        <v>1502</v>
      </c>
      <c r="AR104" t="s">
        <v>1502</v>
      </c>
      <c r="AS104" t="s">
        <v>1502</v>
      </c>
      <c r="AU104" t="s">
        <v>396</v>
      </c>
      <c r="AV104">
        <v>2017</v>
      </c>
      <c r="AW104" t="str">
        <f>"16-2N-23-0000-0001-0130 "</f>
        <v xml:space="preserve">16-2N-23-0000-0001-0130 </v>
      </c>
      <c r="AX104">
        <v>2595</v>
      </c>
      <c r="AZ104" t="s">
        <v>1503</v>
      </c>
      <c r="BA104" t="s">
        <v>653</v>
      </c>
      <c r="BD104" t="s">
        <v>398</v>
      </c>
      <c r="BE104" t="s">
        <v>393</v>
      </c>
      <c r="BF104">
        <v>32046</v>
      </c>
      <c r="BG104" t="s">
        <v>1504</v>
      </c>
      <c r="BH104" t="s">
        <v>400</v>
      </c>
      <c r="BI104">
        <v>-82.006286383887797</v>
      </c>
      <c r="BJ104">
        <v>30.592754967186099</v>
      </c>
      <c r="BK104" t="s">
        <v>1441</v>
      </c>
      <c r="BL104" t="s">
        <v>1442</v>
      </c>
      <c r="BM104" t="s">
        <v>1443</v>
      </c>
      <c r="BN104" t="s">
        <v>928</v>
      </c>
      <c r="BO104">
        <v>32011</v>
      </c>
      <c r="BP104" t="s">
        <v>404</v>
      </c>
      <c r="BQ104">
        <v>200</v>
      </c>
      <c r="BR104" t="s">
        <v>405</v>
      </c>
      <c r="BS104">
        <v>1006</v>
      </c>
      <c r="BT104" t="s">
        <v>406</v>
      </c>
      <c r="BW104">
        <v>69696</v>
      </c>
      <c r="BX104" t="s">
        <v>407</v>
      </c>
      <c r="BZ104">
        <v>4</v>
      </c>
      <c r="CA104">
        <v>2010</v>
      </c>
      <c r="CC104">
        <v>1</v>
      </c>
      <c r="CD104">
        <v>2017</v>
      </c>
      <c r="CE104">
        <v>24000</v>
      </c>
      <c r="CF104">
        <v>44957</v>
      </c>
      <c r="CG104">
        <v>68957</v>
      </c>
      <c r="CH104">
        <v>2017</v>
      </c>
      <c r="CI104">
        <v>24000</v>
      </c>
      <c r="CJ104">
        <v>44957</v>
      </c>
      <c r="CK104">
        <v>68957</v>
      </c>
      <c r="CL104">
        <v>2017</v>
      </c>
      <c r="CM104">
        <v>999.06</v>
      </c>
      <c r="CN104" s="1">
        <v>35439</v>
      </c>
      <c r="CO104">
        <v>42000</v>
      </c>
      <c r="CZ104" s="1">
        <v>35439</v>
      </c>
      <c r="DD104" t="s">
        <v>398</v>
      </c>
      <c r="DG104">
        <v>16</v>
      </c>
      <c r="DL104">
        <v>50503</v>
      </c>
      <c r="DM104" t="s">
        <v>1494</v>
      </c>
      <c r="DO104" t="s">
        <v>1505</v>
      </c>
      <c r="DP104">
        <v>0</v>
      </c>
      <c r="DQ104">
        <v>0</v>
      </c>
      <c r="DR104" t="s">
        <v>411</v>
      </c>
      <c r="DS104" t="b">
        <v>1</v>
      </c>
      <c r="DT104" t="s">
        <v>470</v>
      </c>
      <c r="DU104" t="s">
        <v>471</v>
      </c>
      <c r="DV104" t="s">
        <v>472</v>
      </c>
      <c r="DX104">
        <v>-9999</v>
      </c>
      <c r="DZ104" t="s">
        <v>447</v>
      </c>
      <c r="EA104" t="s">
        <v>448</v>
      </c>
      <c r="EB104" t="s">
        <v>1295</v>
      </c>
      <c r="EC104">
        <v>20101217</v>
      </c>
      <c r="ED104" t="s">
        <v>474</v>
      </c>
      <c r="EF104">
        <v>759.6</v>
      </c>
      <c r="EG104">
        <v>759.6</v>
      </c>
      <c r="EI104">
        <v>20160407</v>
      </c>
      <c r="EJ104">
        <v>0</v>
      </c>
      <c r="EK104">
        <v>0</v>
      </c>
      <c r="EP104" t="s">
        <v>421</v>
      </c>
      <c r="EQ104" t="s">
        <v>452</v>
      </c>
      <c r="ER104">
        <v>0</v>
      </c>
      <c r="ES104">
        <v>9</v>
      </c>
      <c r="ET104">
        <v>0</v>
      </c>
      <c r="EU104">
        <v>0</v>
      </c>
      <c r="EV104">
        <v>0</v>
      </c>
      <c r="EW104" s="2">
        <v>43222</v>
      </c>
      <c r="EX104" s="1">
        <v>42515</v>
      </c>
      <c r="EY104">
        <v>2015</v>
      </c>
      <c r="EZ104">
        <v>1002.46</v>
      </c>
      <c r="FA104" t="s">
        <v>1506</v>
      </c>
      <c r="FB104">
        <v>0.25</v>
      </c>
      <c r="FC104" t="s">
        <v>424</v>
      </c>
      <c r="FD104" t="s">
        <v>425</v>
      </c>
      <c r="FE104" s="1">
        <v>42836</v>
      </c>
      <c r="FF104">
        <v>11</v>
      </c>
      <c r="FG104">
        <v>11289</v>
      </c>
      <c r="FH104" t="s">
        <v>787</v>
      </c>
      <c r="FI104" t="s">
        <v>458</v>
      </c>
      <c r="FJ104" s="1">
        <v>42515</v>
      </c>
      <c r="FK104">
        <v>2015</v>
      </c>
      <c r="FL104">
        <v>1002.46</v>
      </c>
      <c r="FM104" t="s">
        <v>1506</v>
      </c>
      <c r="FN104">
        <v>0.25</v>
      </c>
      <c r="FO104" t="s">
        <v>424</v>
      </c>
      <c r="FP104" t="s">
        <v>425</v>
      </c>
      <c r="FR104">
        <v>22</v>
      </c>
      <c r="FS104">
        <v>5204373</v>
      </c>
      <c r="FT104" t="s">
        <v>1507</v>
      </c>
      <c r="FU104" t="s">
        <v>458</v>
      </c>
      <c r="FV104" s="1">
        <v>42151</v>
      </c>
      <c r="FW104">
        <v>2014</v>
      </c>
      <c r="FX104">
        <v>840</v>
      </c>
      <c r="FY104" t="s">
        <v>1508</v>
      </c>
      <c r="FZ104">
        <v>0.25</v>
      </c>
      <c r="GA104" t="s">
        <v>424</v>
      </c>
      <c r="GB104" t="s">
        <v>425</v>
      </c>
      <c r="GD104">
        <v>22</v>
      </c>
      <c r="GE104">
        <v>2101382</v>
      </c>
      <c r="GF104" t="s">
        <v>993</v>
      </c>
      <c r="GG104" t="s">
        <v>458</v>
      </c>
      <c r="GH104" s="1">
        <v>42151</v>
      </c>
      <c r="GI104">
        <v>2014</v>
      </c>
      <c r="GJ104">
        <v>840</v>
      </c>
      <c r="GK104" t="s">
        <v>1508</v>
      </c>
      <c r="GL104">
        <v>0.25</v>
      </c>
      <c r="GM104" t="s">
        <v>424</v>
      </c>
      <c r="GN104" t="s">
        <v>425</v>
      </c>
      <c r="GP104">
        <v>22</v>
      </c>
      <c r="GQ104">
        <v>5519555</v>
      </c>
      <c r="GR104" t="s">
        <v>1509</v>
      </c>
      <c r="GS104" t="s">
        <v>458</v>
      </c>
      <c r="GT104" s="1">
        <v>41787</v>
      </c>
      <c r="GU104">
        <v>2013</v>
      </c>
      <c r="GV104">
        <v>808.18</v>
      </c>
      <c r="GW104" t="s">
        <v>1510</v>
      </c>
      <c r="GX104">
        <v>0.25</v>
      </c>
      <c r="GY104" t="s">
        <v>424</v>
      </c>
      <c r="GZ104" t="s">
        <v>425</v>
      </c>
      <c r="HA104" s="1">
        <v>41858</v>
      </c>
      <c r="HB104">
        <v>3</v>
      </c>
      <c r="HC104">
        <v>2407503</v>
      </c>
      <c r="HD104" t="s">
        <v>461</v>
      </c>
      <c r="HF104" s="1">
        <v>41423</v>
      </c>
      <c r="HG104">
        <v>2012</v>
      </c>
      <c r="HH104">
        <v>968.25</v>
      </c>
      <c r="HI104" t="s">
        <v>1511</v>
      </c>
      <c r="HJ104">
        <v>3.5</v>
      </c>
      <c r="HK104" t="s">
        <v>424</v>
      </c>
      <c r="HL104" t="s">
        <v>425</v>
      </c>
      <c r="HM104" s="1">
        <v>41547</v>
      </c>
      <c r="HN104">
        <v>4</v>
      </c>
      <c r="HO104">
        <v>15399</v>
      </c>
      <c r="HP104" t="s">
        <v>485</v>
      </c>
      <c r="HR104" s="1">
        <v>41052</v>
      </c>
      <c r="HS104">
        <v>2011</v>
      </c>
      <c r="HT104">
        <v>1166.74</v>
      </c>
      <c r="HU104" t="s">
        <v>1512</v>
      </c>
      <c r="HV104">
        <v>6</v>
      </c>
      <c r="HW104" t="s">
        <v>424</v>
      </c>
      <c r="HX104" t="s">
        <v>425</v>
      </c>
      <c r="HY104" s="1">
        <v>41547</v>
      </c>
      <c r="HZ104">
        <v>16</v>
      </c>
      <c r="IA104">
        <v>10125</v>
      </c>
      <c r="IB104" t="s">
        <v>440</v>
      </c>
      <c r="ID104" s="1">
        <v>40688</v>
      </c>
      <c r="IE104">
        <v>2010</v>
      </c>
      <c r="IF104">
        <v>415.19</v>
      </c>
      <c r="IG104" t="s">
        <v>1513</v>
      </c>
      <c r="IH104">
        <v>8.25</v>
      </c>
      <c r="II104" t="s">
        <v>424</v>
      </c>
      <c r="IJ104" t="s">
        <v>425</v>
      </c>
      <c r="IK104" s="1">
        <v>41379</v>
      </c>
      <c r="IL104">
        <v>23</v>
      </c>
      <c r="IM104">
        <v>15175</v>
      </c>
      <c r="IN104" t="s">
        <v>588</v>
      </c>
      <c r="IP104" s="1">
        <v>40688</v>
      </c>
      <c r="IQ104">
        <v>2010</v>
      </c>
      <c r="IR104">
        <v>415.19</v>
      </c>
      <c r="IS104" t="s">
        <v>1513</v>
      </c>
      <c r="IT104">
        <v>8.25</v>
      </c>
      <c r="IU104" t="s">
        <v>424</v>
      </c>
      <c r="IV104" t="s">
        <v>425</v>
      </c>
      <c r="IX104">
        <v>22</v>
      </c>
      <c r="IY104">
        <v>10548</v>
      </c>
      <c r="IZ104" t="s">
        <v>589</v>
      </c>
    </row>
    <row r="105" spans="1:260" x14ac:dyDescent="0.25">
      <c r="A105">
        <v>16485112</v>
      </c>
      <c r="B105">
        <v>104</v>
      </c>
      <c r="C105" t="s">
        <v>393</v>
      </c>
      <c r="D105" t="s">
        <v>394</v>
      </c>
      <c r="F105" t="str">
        <f>"16-2N-23-0000-0001-0160"</f>
        <v>16-2N-23-0000-0001-0160</v>
      </c>
      <c r="H105" t="str">
        <f>"MASTERS RALPH R SR &amp; DIANE M"</f>
        <v>MASTERS RALPH R SR &amp; DIANE M</v>
      </c>
      <c r="I105" t="str">
        <f>"2496 CHOLERTON LN"</f>
        <v>2496 CHOLERTON LN</v>
      </c>
      <c r="J105" t="str">
        <f>"HILLIARD FL 32046"</f>
        <v>HILLIARD FL 32046</v>
      </c>
      <c r="K105" t="str">
        <f>"2449 CHOLERTON LN"</f>
        <v>2449 CHOLERTON LN</v>
      </c>
      <c r="L105" t="str">
        <f t="shared" si="36"/>
        <v>HILLIARD FL 32046</v>
      </c>
      <c r="M105" t="str">
        <f>"PT GOVT LOT 1 IN SEC 16-2N-23E IN OR 2010/1483"</f>
        <v>PT GOVT LOT 1 IN SEC 16-2N-23E IN OR 2010/1483</v>
      </c>
      <c r="N105" t="str">
        <f>""</f>
        <v/>
      </c>
      <c r="O105" t="str">
        <f>"56172"</f>
        <v>56172</v>
      </c>
      <c r="P105" t="str">
        <f t="shared" si="27"/>
        <v>2017</v>
      </c>
      <c r="Q105" t="str">
        <f>""</f>
        <v/>
      </c>
      <c r="R105" t="str">
        <f t="shared" si="35"/>
        <v>N</v>
      </c>
      <c r="S105" t="str">
        <f>"4.67"</f>
        <v>4.67</v>
      </c>
      <c r="T105" t="str">
        <f>"1866.36"</f>
        <v>1866.36</v>
      </c>
      <c r="U105" t="str">
        <f>"123283.00"</f>
        <v>123283.00</v>
      </c>
      <c r="V105" t="str">
        <f>"123283.00"</f>
        <v>123283.00</v>
      </c>
      <c r="W105" t="str">
        <f t="shared" si="28"/>
        <v>2017</v>
      </c>
      <c r="X105" t="str">
        <f>""</f>
        <v/>
      </c>
      <c r="Y105" t="str">
        <f>"1954.35"</f>
        <v>1954.35</v>
      </c>
      <c r="Z105" t="str">
        <f>""</f>
        <v/>
      </c>
      <c r="AA105" t="str">
        <f>"123283.00"</f>
        <v>123283.00</v>
      </c>
      <c r="AB105" t="str">
        <f t="shared" si="34"/>
        <v>Residential</v>
      </c>
      <c r="AC105" t="str">
        <f t="shared" si="30"/>
        <v>0</v>
      </c>
      <c r="AD105" t="str">
        <f>"4"</f>
        <v>4</v>
      </c>
      <c r="AE105" t="str">
        <f>"WOOD (INCLUDE STEEL STUDS)"</f>
        <v>WOOD (INCLUDE STEEL STUDS)</v>
      </c>
      <c r="AF105" t="str">
        <f>"002"</f>
        <v>002</v>
      </c>
      <c r="AG105" t="str">
        <f>"FL"</f>
        <v>FL</v>
      </c>
      <c r="AH105" t="str">
        <f>"203425.00"</f>
        <v>203425.00</v>
      </c>
      <c r="AI105" t="str">
        <f>"29888.00"</f>
        <v>29888.00</v>
      </c>
      <c r="AJ105" t="str">
        <f>"C55-001-076-3391-9"</f>
        <v>C55-001-076-3391-9</v>
      </c>
      <c r="AK105" t="str">
        <f>"754"</f>
        <v>754</v>
      </c>
      <c r="AL105">
        <v>1</v>
      </c>
      <c r="AM105">
        <v>119</v>
      </c>
      <c r="AN105">
        <v>2050.4699999999998</v>
      </c>
      <c r="AQ105" t="s">
        <v>1514</v>
      </c>
      <c r="AR105" t="s">
        <v>1514</v>
      </c>
      <c r="AS105" t="s">
        <v>1514</v>
      </c>
      <c r="AU105" t="s">
        <v>396</v>
      </c>
      <c r="AV105">
        <v>2017</v>
      </c>
      <c r="AW105" t="str">
        <f>"16-2N-23-0000-0001-0160 "</f>
        <v xml:space="preserve">16-2N-23-0000-0001-0160 </v>
      </c>
      <c r="AX105">
        <v>2449</v>
      </c>
      <c r="AZ105" t="s">
        <v>1503</v>
      </c>
      <c r="BA105" t="s">
        <v>653</v>
      </c>
      <c r="BD105" t="s">
        <v>398</v>
      </c>
      <c r="BE105" t="s">
        <v>393</v>
      </c>
      <c r="BF105">
        <v>32046</v>
      </c>
      <c r="BG105" t="s">
        <v>1515</v>
      </c>
      <c r="BH105" t="s">
        <v>400</v>
      </c>
      <c r="BI105">
        <v>-82.008380439032905</v>
      </c>
      <c r="BJ105">
        <v>30.591792618350901</v>
      </c>
      <c r="BK105" t="s">
        <v>1516</v>
      </c>
      <c r="BL105" t="s">
        <v>1517</v>
      </c>
      <c r="BM105" t="s">
        <v>1518</v>
      </c>
      <c r="BN105" t="s">
        <v>403</v>
      </c>
      <c r="BO105">
        <v>32046</v>
      </c>
      <c r="BP105" t="s">
        <v>404</v>
      </c>
      <c r="BQ105">
        <v>200</v>
      </c>
      <c r="BR105" t="s">
        <v>405</v>
      </c>
      <c r="BS105">
        <v>1006</v>
      </c>
      <c r="BT105" t="s">
        <v>406</v>
      </c>
      <c r="BW105">
        <v>203425</v>
      </c>
      <c r="BX105" t="s">
        <v>407</v>
      </c>
      <c r="BY105" t="s">
        <v>408</v>
      </c>
      <c r="BZ105">
        <v>4</v>
      </c>
      <c r="CA105">
        <v>2013</v>
      </c>
      <c r="CC105">
        <v>1</v>
      </c>
      <c r="CD105">
        <v>2017</v>
      </c>
      <c r="CE105">
        <v>29888</v>
      </c>
      <c r="CF105">
        <v>93395</v>
      </c>
      <c r="CG105">
        <v>123283</v>
      </c>
      <c r="CH105">
        <v>2017</v>
      </c>
      <c r="CI105">
        <v>29888</v>
      </c>
      <c r="CJ105">
        <v>93395</v>
      </c>
      <c r="CK105">
        <v>123283</v>
      </c>
      <c r="CL105">
        <v>2017</v>
      </c>
      <c r="CM105">
        <v>1866.36</v>
      </c>
      <c r="CN105" s="1">
        <v>42299</v>
      </c>
      <c r="CZ105" s="1">
        <v>42299</v>
      </c>
      <c r="DD105" t="s">
        <v>398</v>
      </c>
      <c r="DG105">
        <v>16</v>
      </c>
      <c r="DL105">
        <v>50503</v>
      </c>
      <c r="DM105" t="s">
        <v>1494</v>
      </c>
      <c r="DO105" t="s">
        <v>1519</v>
      </c>
      <c r="DP105">
        <v>0</v>
      </c>
      <c r="DQ105">
        <v>1</v>
      </c>
      <c r="DR105" t="s">
        <v>411</v>
      </c>
      <c r="EP105" t="s">
        <v>421</v>
      </c>
      <c r="EQ105" t="s">
        <v>422</v>
      </c>
      <c r="ER105">
        <v>1</v>
      </c>
      <c r="ES105">
        <v>0</v>
      </c>
      <c r="ET105">
        <v>606.22</v>
      </c>
      <c r="EU105">
        <v>36.56</v>
      </c>
      <c r="EV105">
        <v>642.78</v>
      </c>
      <c r="EW105" s="2">
        <v>43222</v>
      </c>
      <c r="EX105" s="1">
        <v>42879</v>
      </c>
      <c r="EY105">
        <v>2016</v>
      </c>
      <c r="EZ105">
        <v>606.22</v>
      </c>
      <c r="FA105" t="s">
        <v>1520</v>
      </c>
      <c r="FB105">
        <v>0.25</v>
      </c>
      <c r="FC105" t="s">
        <v>424</v>
      </c>
      <c r="FD105" t="s">
        <v>454</v>
      </c>
      <c r="FF105">
        <v>12</v>
      </c>
      <c r="FG105">
        <v>7336143</v>
      </c>
      <c r="FH105" t="s">
        <v>539</v>
      </c>
    </row>
    <row r="106" spans="1:260" x14ac:dyDescent="0.25">
      <c r="A106">
        <v>16485113</v>
      </c>
      <c r="B106">
        <v>105</v>
      </c>
      <c r="C106" t="s">
        <v>393</v>
      </c>
      <c r="D106" t="s">
        <v>394</v>
      </c>
      <c r="F106" t="str">
        <f>"16-2N-23-1850-0001-0000"</f>
        <v>16-2N-23-1850-0001-0000</v>
      </c>
      <c r="H106" t="str">
        <f>"MANGES HARRY E"</f>
        <v>MANGES HARRY E</v>
      </c>
      <c r="I106" t="str">
        <f>"2303 SLIPPERY ROCK CIRCLE"</f>
        <v>2303 SLIPPERY ROCK CIRCLE</v>
      </c>
      <c r="J106" t="str">
        <f>"BLACKSHEAR GA 31516"</f>
        <v>BLACKSHEAR GA 31516</v>
      </c>
      <c r="K106" t="str">
        <f>"CHOLERTON LN"</f>
        <v>CHOLERTON LN</v>
      </c>
      <c r="L106" t="str">
        <f t="shared" si="36"/>
        <v>HILLIARD FL 32046</v>
      </c>
      <c r="M106" t="str">
        <f>"LOT 1 ESMT PT OR 1433/701 RIVER COUNTRY ESTATES PB 6/170"</f>
        <v>LOT 1 ESMT PT OR 1433/701 RIVER COUNTRY ESTATES PB 6/170</v>
      </c>
      <c r="N106" t="str">
        <f>""</f>
        <v/>
      </c>
      <c r="O106" t="str">
        <f>"31347"</f>
        <v>31347</v>
      </c>
      <c r="P106" t="str">
        <f t="shared" si="27"/>
        <v>2017</v>
      </c>
      <c r="Q106" t="str">
        <f>""</f>
        <v/>
      </c>
      <c r="R106" t="str">
        <f t="shared" si="35"/>
        <v>N</v>
      </c>
      <c r="S106" t="str">
        <f>"4.06"</f>
        <v>4.06</v>
      </c>
      <c r="T106" t="str">
        <f>"491.72"</f>
        <v>491.72</v>
      </c>
      <c r="U106" t="str">
        <f>"32480.00"</f>
        <v>32480.00</v>
      </c>
      <c r="V106" t="str">
        <f>"32480.00"</f>
        <v>32480.00</v>
      </c>
      <c r="W106" t="str">
        <f t="shared" si="28"/>
        <v>2017</v>
      </c>
      <c r="X106" t="str">
        <f>"19.70"</f>
        <v>19.70</v>
      </c>
      <c r="Y106" t="str">
        <f>"538.47"</f>
        <v>538.47</v>
      </c>
      <c r="Z106" t="str">
        <f>""</f>
        <v/>
      </c>
      <c r="AA106" t="str">
        <f>"32480.00"</f>
        <v>32480.00</v>
      </c>
      <c r="AB106" t="str">
        <f t="shared" si="34"/>
        <v>Residential</v>
      </c>
      <c r="AC106" t="str">
        <f t="shared" si="30"/>
        <v>0</v>
      </c>
      <c r="AD106" t="str">
        <f>""</f>
        <v/>
      </c>
      <c r="AE106" t="str">
        <f>""</f>
        <v/>
      </c>
      <c r="AF106" t="str">
        <f>"000"</f>
        <v>000</v>
      </c>
      <c r="AG106" t="str">
        <f>"GA"</f>
        <v>GA</v>
      </c>
      <c r="AH106" t="str">
        <f>"176853.00"</f>
        <v>176853.00</v>
      </c>
      <c r="AI106" t="str">
        <f>"32480.00"</f>
        <v>32480.00</v>
      </c>
      <c r="AJ106" t="str">
        <f>"C55-000-587-1096-3"</f>
        <v>C55-000-587-1096-3</v>
      </c>
      <c r="AK106" t="str">
        <f>"761"</f>
        <v>761</v>
      </c>
      <c r="AL106">
        <v>1</v>
      </c>
      <c r="AM106">
        <v>121</v>
      </c>
      <c r="AN106">
        <v>563.79</v>
      </c>
      <c r="AQ106" t="s">
        <v>1521</v>
      </c>
      <c r="AR106" t="s">
        <v>1521</v>
      </c>
      <c r="AS106" t="s">
        <v>1521</v>
      </c>
      <c r="AU106" t="s">
        <v>396</v>
      </c>
      <c r="AV106">
        <v>2017</v>
      </c>
      <c r="AW106" t="str">
        <f>"16-2N-23-1850-0001-0000 "</f>
        <v xml:space="preserve">16-2N-23-1850-0001-0000 </v>
      </c>
      <c r="AZ106" t="s">
        <v>1503</v>
      </c>
      <c r="BA106" t="s">
        <v>653</v>
      </c>
      <c r="BD106" t="s">
        <v>398</v>
      </c>
      <c r="BE106" t="s">
        <v>393</v>
      </c>
      <c r="BF106">
        <v>32046</v>
      </c>
      <c r="BG106" t="s">
        <v>1522</v>
      </c>
      <c r="BH106" t="s">
        <v>400</v>
      </c>
      <c r="BI106">
        <v>-82.010737438259596</v>
      </c>
      <c r="BJ106">
        <v>30.591125549783001</v>
      </c>
      <c r="BK106" t="s">
        <v>1291</v>
      </c>
      <c r="BM106" t="s">
        <v>1292</v>
      </c>
      <c r="BN106" t="s">
        <v>1293</v>
      </c>
      <c r="BO106">
        <v>31516</v>
      </c>
      <c r="BP106" t="s">
        <v>404</v>
      </c>
      <c r="BQ106">
        <v>0</v>
      </c>
      <c r="BR106" t="s">
        <v>491</v>
      </c>
      <c r="BS106">
        <v>8001</v>
      </c>
      <c r="BT106" t="s">
        <v>492</v>
      </c>
      <c r="BW106">
        <v>176853</v>
      </c>
      <c r="BX106" t="s">
        <v>407</v>
      </c>
      <c r="CD106">
        <v>2017</v>
      </c>
      <c r="CE106">
        <v>32480</v>
      </c>
      <c r="CG106">
        <v>32480</v>
      </c>
      <c r="CH106">
        <v>2017</v>
      </c>
      <c r="CI106">
        <v>32480</v>
      </c>
      <c r="CK106">
        <v>32480</v>
      </c>
      <c r="CL106">
        <v>2017</v>
      </c>
      <c r="CM106">
        <v>491.72</v>
      </c>
      <c r="DD106" t="s">
        <v>398</v>
      </c>
      <c r="DF106">
        <v>1</v>
      </c>
      <c r="DG106">
        <v>16</v>
      </c>
      <c r="DJ106" t="s">
        <v>1523</v>
      </c>
      <c r="DM106" t="s">
        <v>1494</v>
      </c>
      <c r="DO106" t="s">
        <v>1524</v>
      </c>
      <c r="DP106">
        <v>0</v>
      </c>
      <c r="DQ106">
        <v>1</v>
      </c>
      <c r="DR106" t="s">
        <v>1479</v>
      </c>
      <c r="DS106" t="b">
        <v>1</v>
      </c>
      <c r="DT106" t="s">
        <v>396</v>
      </c>
      <c r="DV106" t="s">
        <v>446</v>
      </c>
      <c r="DX106">
        <v>-9999</v>
      </c>
      <c r="DZ106" t="s">
        <v>447</v>
      </c>
      <c r="EA106" t="s">
        <v>448</v>
      </c>
      <c r="EB106" t="s">
        <v>449</v>
      </c>
      <c r="EC106">
        <v>20101217</v>
      </c>
      <c r="ED106" t="s">
        <v>450</v>
      </c>
      <c r="EE106">
        <v>30.8</v>
      </c>
      <c r="EF106">
        <v>0</v>
      </c>
      <c r="EG106">
        <v>0</v>
      </c>
      <c r="EI106">
        <v>20160407</v>
      </c>
      <c r="EJ106">
        <v>0</v>
      </c>
      <c r="EK106">
        <v>0</v>
      </c>
      <c r="EP106" t="s">
        <v>421</v>
      </c>
      <c r="EQ106" t="s">
        <v>422</v>
      </c>
      <c r="ER106">
        <v>1</v>
      </c>
      <c r="ES106">
        <v>6</v>
      </c>
      <c r="ET106">
        <v>566.24</v>
      </c>
      <c r="EU106">
        <v>34.56</v>
      </c>
      <c r="EV106">
        <v>600.79999999999995</v>
      </c>
      <c r="EW106" s="2">
        <v>43222</v>
      </c>
      <c r="EX106" s="1">
        <v>42879</v>
      </c>
      <c r="EY106">
        <v>2016</v>
      </c>
      <c r="EZ106">
        <v>566.24</v>
      </c>
      <c r="FA106" t="s">
        <v>1525</v>
      </c>
      <c r="FB106">
        <v>4.75</v>
      </c>
      <c r="FC106" t="s">
        <v>424</v>
      </c>
      <c r="FD106" t="s">
        <v>454</v>
      </c>
      <c r="FF106">
        <v>12</v>
      </c>
      <c r="FG106">
        <v>7336745</v>
      </c>
      <c r="FH106" t="s">
        <v>502</v>
      </c>
      <c r="FJ106" s="1">
        <v>42515</v>
      </c>
      <c r="FK106">
        <v>2015</v>
      </c>
      <c r="FL106">
        <v>574.33000000000004</v>
      </c>
      <c r="FM106" t="s">
        <v>1526</v>
      </c>
      <c r="FN106">
        <v>14.75</v>
      </c>
      <c r="FO106" t="s">
        <v>424</v>
      </c>
      <c r="FP106" t="s">
        <v>425</v>
      </c>
      <c r="FQ106" s="1">
        <v>43187</v>
      </c>
      <c r="FR106">
        <v>22</v>
      </c>
      <c r="FS106">
        <v>10125</v>
      </c>
      <c r="FT106" t="s">
        <v>440</v>
      </c>
      <c r="FV106" s="1">
        <v>42151</v>
      </c>
      <c r="FW106">
        <v>2014</v>
      </c>
      <c r="FX106">
        <v>542.42999999999995</v>
      </c>
      <c r="FY106" t="s">
        <v>1527</v>
      </c>
      <c r="FZ106">
        <v>4.75</v>
      </c>
      <c r="GA106" t="s">
        <v>424</v>
      </c>
      <c r="GB106" t="s">
        <v>425</v>
      </c>
      <c r="GC106" s="1">
        <v>42787</v>
      </c>
      <c r="GD106">
        <v>21</v>
      </c>
      <c r="GE106">
        <v>4975593</v>
      </c>
      <c r="GF106" t="s">
        <v>505</v>
      </c>
      <c r="GH106" s="1">
        <v>41787</v>
      </c>
      <c r="GI106">
        <v>2013</v>
      </c>
      <c r="GJ106">
        <v>514.6</v>
      </c>
      <c r="GK106" t="s">
        <v>1528</v>
      </c>
      <c r="GL106">
        <v>3</v>
      </c>
      <c r="GM106" t="s">
        <v>424</v>
      </c>
      <c r="GN106" t="s">
        <v>425</v>
      </c>
      <c r="GO106" s="1">
        <v>42453</v>
      </c>
      <c r="GP106">
        <v>22</v>
      </c>
      <c r="GQ106">
        <v>116</v>
      </c>
      <c r="GR106" t="s">
        <v>509</v>
      </c>
      <c r="GT106" s="1">
        <v>41423</v>
      </c>
      <c r="GU106">
        <v>2012</v>
      </c>
      <c r="GV106">
        <v>519.08000000000004</v>
      </c>
      <c r="GW106" t="s">
        <v>1529</v>
      </c>
      <c r="GX106">
        <v>4.75</v>
      </c>
      <c r="GY106" t="s">
        <v>424</v>
      </c>
      <c r="GZ106" t="s">
        <v>425</v>
      </c>
      <c r="HA106" s="1">
        <v>42059</v>
      </c>
      <c r="HB106">
        <v>21</v>
      </c>
      <c r="HC106">
        <v>15407</v>
      </c>
      <c r="HD106" t="s">
        <v>1134</v>
      </c>
      <c r="HF106" s="1">
        <v>41052</v>
      </c>
      <c r="HG106">
        <v>2011</v>
      </c>
      <c r="HH106">
        <v>607.74</v>
      </c>
      <c r="HI106" t="s">
        <v>1530</v>
      </c>
      <c r="HJ106">
        <v>5</v>
      </c>
      <c r="HK106" t="s">
        <v>424</v>
      </c>
      <c r="HL106" t="s">
        <v>425</v>
      </c>
      <c r="HM106" s="1">
        <v>41690</v>
      </c>
      <c r="HN106">
        <v>21</v>
      </c>
      <c r="HO106">
        <v>10125</v>
      </c>
      <c r="HP106" t="s">
        <v>440</v>
      </c>
      <c r="HR106" s="1">
        <v>40688</v>
      </c>
      <c r="HS106">
        <v>2010</v>
      </c>
      <c r="HT106">
        <v>676.35</v>
      </c>
      <c r="HU106" t="s">
        <v>1531</v>
      </c>
      <c r="HV106">
        <v>9</v>
      </c>
      <c r="HW106" t="s">
        <v>424</v>
      </c>
      <c r="HX106" t="s">
        <v>425</v>
      </c>
      <c r="HY106" s="1">
        <v>41332</v>
      </c>
      <c r="HZ106">
        <v>21</v>
      </c>
      <c r="IA106">
        <v>62</v>
      </c>
      <c r="IB106" t="s">
        <v>463</v>
      </c>
    </row>
    <row r="107" spans="1:260" x14ac:dyDescent="0.25">
      <c r="A107">
        <v>16485114</v>
      </c>
      <c r="B107">
        <v>106</v>
      </c>
      <c r="C107" t="s">
        <v>393</v>
      </c>
      <c r="D107" t="s">
        <v>394</v>
      </c>
      <c r="F107" t="str">
        <f>"16-2N-23-1850-0002-0000"</f>
        <v>16-2N-23-1850-0002-0000</v>
      </c>
      <c r="H107" t="str">
        <f>"MANGES HARRY E"</f>
        <v>MANGES HARRY E</v>
      </c>
      <c r="I107" t="str">
        <f>"2303 SLIPPERY ROCK CIRCLE"</f>
        <v>2303 SLIPPERY ROCK CIRCLE</v>
      </c>
      <c r="J107" t="str">
        <f>"BLACKSHEAR GA 31516"</f>
        <v>BLACKSHEAR GA 31516</v>
      </c>
      <c r="K107" t="str">
        <f>"CHOLERTON LN"</f>
        <v>CHOLERTON LN</v>
      </c>
      <c r="L107" t="str">
        <f t="shared" si="36"/>
        <v>HILLIARD FL 32046</v>
      </c>
      <c r="M107" t="str">
        <f>"LOT 2 ESMT PT OR 1433/701 RIVER COUNTRY ESTATES PB 6/170"</f>
        <v>LOT 2 ESMT PT OR 1433/701 RIVER COUNTRY ESTATES PB 6/170</v>
      </c>
      <c r="N107" t="str">
        <f>""</f>
        <v/>
      </c>
      <c r="O107" t="str">
        <f>"31348"</f>
        <v>31348</v>
      </c>
      <c r="P107" t="str">
        <f t="shared" si="27"/>
        <v>2017</v>
      </c>
      <c r="Q107" t="str">
        <f>""</f>
        <v/>
      </c>
      <c r="R107" t="str">
        <f t="shared" si="35"/>
        <v>N</v>
      </c>
      <c r="S107" t="str">
        <f>"4.03"</f>
        <v>4.03</v>
      </c>
      <c r="T107" t="str">
        <f>"488.07"</f>
        <v>488.07</v>
      </c>
      <c r="U107" t="str">
        <f>"32240.00"</f>
        <v>32240.00</v>
      </c>
      <c r="V107" t="str">
        <f>"32240.00"</f>
        <v>32240.00</v>
      </c>
      <c r="W107" t="str">
        <f t="shared" si="28"/>
        <v>2017</v>
      </c>
      <c r="X107" t="str">
        <f>"19.70"</f>
        <v>19.70</v>
      </c>
      <c r="Y107" t="str">
        <f>"534.71"</f>
        <v>534.71</v>
      </c>
      <c r="Z107" t="str">
        <f>""</f>
        <v/>
      </c>
      <c r="AA107" t="str">
        <f>"32240.00"</f>
        <v>32240.00</v>
      </c>
      <c r="AB107" t="str">
        <f t="shared" si="34"/>
        <v>Residential</v>
      </c>
      <c r="AC107" t="str">
        <f t="shared" si="30"/>
        <v>0</v>
      </c>
      <c r="AD107" t="str">
        <f>""</f>
        <v/>
      </c>
      <c r="AE107" t="str">
        <f>""</f>
        <v/>
      </c>
      <c r="AF107" t="str">
        <f>"000"</f>
        <v>000</v>
      </c>
      <c r="AG107" t="str">
        <f>"GA"</f>
        <v>GA</v>
      </c>
      <c r="AH107" t="str">
        <f>"175546.00"</f>
        <v>175546.00</v>
      </c>
      <c r="AI107" t="str">
        <f>"32240.00"</f>
        <v>32240.00</v>
      </c>
      <c r="AJ107" t="str">
        <f>"C55-000-587-1097-1"</f>
        <v>C55-000-587-1097-1</v>
      </c>
      <c r="AK107" t="str">
        <f>"762"</f>
        <v>762</v>
      </c>
      <c r="AL107">
        <v>1</v>
      </c>
      <c r="AM107">
        <v>122</v>
      </c>
      <c r="AN107">
        <v>559.85</v>
      </c>
      <c r="AQ107" t="s">
        <v>1532</v>
      </c>
      <c r="AR107" t="s">
        <v>1532</v>
      </c>
      <c r="AS107" t="s">
        <v>1532</v>
      </c>
      <c r="AU107" t="s">
        <v>396</v>
      </c>
      <c r="AV107">
        <v>2017</v>
      </c>
      <c r="AW107" t="str">
        <f>"16-2N-23-1850-0002-0000 "</f>
        <v xml:space="preserve">16-2N-23-1850-0002-0000 </v>
      </c>
      <c r="AZ107" t="s">
        <v>1503</v>
      </c>
      <c r="BA107" t="s">
        <v>653</v>
      </c>
      <c r="BD107" t="s">
        <v>398</v>
      </c>
      <c r="BE107" t="s">
        <v>393</v>
      </c>
      <c r="BF107">
        <v>32046</v>
      </c>
      <c r="BG107" t="s">
        <v>1522</v>
      </c>
      <c r="BH107" t="s">
        <v>400</v>
      </c>
      <c r="BI107">
        <v>-82.010675668863797</v>
      </c>
      <c r="BJ107">
        <v>30.5916369934858</v>
      </c>
      <c r="BK107" t="s">
        <v>1291</v>
      </c>
      <c r="BM107" t="s">
        <v>1292</v>
      </c>
      <c r="BN107" t="s">
        <v>1293</v>
      </c>
      <c r="BO107">
        <v>31516</v>
      </c>
      <c r="BP107" t="s">
        <v>404</v>
      </c>
      <c r="BQ107">
        <v>0</v>
      </c>
      <c r="BR107" t="s">
        <v>491</v>
      </c>
      <c r="BS107">
        <v>8001</v>
      </c>
      <c r="BT107" t="s">
        <v>492</v>
      </c>
      <c r="BW107">
        <v>175546</v>
      </c>
      <c r="BX107" t="s">
        <v>407</v>
      </c>
      <c r="CD107">
        <v>2017</v>
      </c>
      <c r="CE107">
        <v>32240</v>
      </c>
      <c r="CG107">
        <v>32240</v>
      </c>
      <c r="CH107">
        <v>2017</v>
      </c>
      <c r="CI107">
        <v>32240</v>
      </c>
      <c r="CK107">
        <v>32240</v>
      </c>
      <c r="CL107">
        <v>2017</v>
      </c>
      <c r="CM107">
        <v>488.07</v>
      </c>
      <c r="DD107" t="s">
        <v>398</v>
      </c>
      <c r="DF107">
        <v>2</v>
      </c>
      <c r="DG107">
        <v>16</v>
      </c>
      <c r="DJ107" t="s">
        <v>1523</v>
      </c>
      <c r="DM107" t="s">
        <v>1494</v>
      </c>
      <c r="DO107" t="s">
        <v>1533</v>
      </c>
      <c r="DP107">
        <v>0</v>
      </c>
      <c r="DQ107">
        <v>1</v>
      </c>
      <c r="DR107" t="s">
        <v>411</v>
      </c>
      <c r="DS107" t="b">
        <v>1</v>
      </c>
      <c r="DT107" t="s">
        <v>396</v>
      </c>
      <c r="DV107" t="s">
        <v>446</v>
      </c>
      <c r="DX107">
        <v>-9999</v>
      </c>
      <c r="DZ107" t="s">
        <v>447</v>
      </c>
      <c r="EA107" t="s">
        <v>448</v>
      </c>
      <c r="EB107" t="s">
        <v>449</v>
      </c>
      <c r="EC107">
        <v>20101217</v>
      </c>
      <c r="ED107" t="s">
        <v>450</v>
      </c>
      <c r="EE107">
        <v>30.7</v>
      </c>
      <c r="EF107">
        <v>0</v>
      </c>
      <c r="EG107">
        <v>0</v>
      </c>
      <c r="EI107">
        <v>20160407</v>
      </c>
      <c r="EJ107">
        <v>0</v>
      </c>
      <c r="EK107">
        <v>0</v>
      </c>
      <c r="EP107" t="s">
        <v>421</v>
      </c>
      <c r="EQ107" t="s">
        <v>422</v>
      </c>
      <c r="ER107">
        <v>1</v>
      </c>
      <c r="ES107">
        <v>6</v>
      </c>
      <c r="ET107">
        <v>562.25</v>
      </c>
      <c r="EU107">
        <v>34.36</v>
      </c>
      <c r="EV107">
        <v>596.61</v>
      </c>
      <c r="EW107" s="2">
        <v>43222</v>
      </c>
      <c r="EX107" s="1">
        <v>42879</v>
      </c>
      <c r="EY107">
        <v>2016</v>
      </c>
      <c r="EZ107">
        <v>562.25</v>
      </c>
      <c r="FA107" t="s">
        <v>1534</v>
      </c>
      <c r="FB107">
        <v>4.75</v>
      </c>
      <c r="FC107" t="s">
        <v>424</v>
      </c>
      <c r="FD107" t="s">
        <v>454</v>
      </c>
      <c r="FF107">
        <v>12</v>
      </c>
      <c r="FG107">
        <v>7336745</v>
      </c>
      <c r="FH107" t="s">
        <v>502</v>
      </c>
      <c r="FJ107" s="1">
        <v>42515</v>
      </c>
      <c r="FK107">
        <v>2015</v>
      </c>
      <c r="FL107">
        <v>570.25</v>
      </c>
      <c r="FM107" t="s">
        <v>1535</v>
      </c>
      <c r="FN107">
        <v>14.75</v>
      </c>
      <c r="FO107" t="s">
        <v>424</v>
      </c>
      <c r="FP107" t="s">
        <v>425</v>
      </c>
      <c r="FQ107" s="1">
        <v>43187</v>
      </c>
      <c r="FR107">
        <v>22</v>
      </c>
      <c r="FS107">
        <v>10125</v>
      </c>
      <c r="FT107" t="s">
        <v>440</v>
      </c>
      <c r="FV107" s="1">
        <v>42151</v>
      </c>
      <c r="FW107">
        <v>2014</v>
      </c>
      <c r="FX107">
        <v>538.58000000000004</v>
      </c>
      <c r="FY107" t="s">
        <v>1536</v>
      </c>
      <c r="FZ107">
        <v>5</v>
      </c>
      <c r="GA107" t="s">
        <v>424</v>
      </c>
      <c r="GB107" t="s">
        <v>425</v>
      </c>
      <c r="GC107" s="1">
        <v>42787</v>
      </c>
      <c r="GD107">
        <v>21</v>
      </c>
      <c r="GE107">
        <v>10125</v>
      </c>
      <c r="GF107" t="s">
        <v>440</v>
      </c>
      <c r="GH107" s="1">
        <v>41787</v>
      </c>
      <c r="GI107">
        <v>2013</v>
      </c>
      <c r="GJ107">
        <v>510.94</v>
      </c>
      <c r="GK107" t="s">
        <v>1537</v>
      </c>
      <c r="GL107">
        <v>12</v>
      </c>
      <c r="GM107" t="s">
        <v>424</v>
      </c>
      <c r="GN107" t="s">
        <v>425</v>
      </c>
      <c r="GO107" s="1">
        <v>42453</v>
      </c>
      <c r="GP107">
        <v>22</v>
      </c>
      <c r="GQ107">
        <v>10125</v>
      </c>
      <c r="GR107" t="s">
        <v>440</v>
      </c>
      <c r="GT107" s="1">
        <v>41423</v>
      </c>
      <c r="GU107">
        <v>2012</v>
      </c>
      <c r="GV107">
        <v>515.42999999999995</v>
      </c>
      <c r="GW107" t="s">
        <v>1538</v>
      </c>
      <c r="GX107">
        <v>4.75</v>
      </c>
      <c r="GY107" t="s">
        <v>424</v>
      </c>
      <c r="GZ107" t="s">
        <v>425</v>
      </c>
      <c r="HA107" s="1">
        <v>42059</v>
      </c>
      <c r="HB107">
        <v>21</v>
      </c>
      <c r="HC107">
        <v>15407</v>
      </c>
      <c r="HD107" t="s">
        <v>1134</v>
      </c>
      <c r="HF107" s="1">
        <v>41052</v>
      </c>
      <c r="HG107">
        <v>2011</v>
      </c>
      <c r="HH107">
        <v>603.38</v>
      </c>
      <c r="HI107" t="s">
        <v>1539</v>
      </c>
      <c r="HJ107">
        <v>5</v>
      </c>
      <c r="HK107" t="s">
        <v>424</v>
      </c>
      <c r="HL107" t="s">
        <v>425</v>
      </c>
      <c r="HM107" s="1">
        <v>41690</v>
      </c>
      <c r="HN107">
        <v>21</v>
      </c>
      <c r="HO107">
        <v>10125</v>
      </c>
      <c r="HP107" t="s">
        <v>440</v>
      </c>
      <c r="HR107" s="1">
        <v>40688</v>
      </c>
      <c r="HS107">
        <v>2010</v>
      </c>
      <c r="HT107">
        <v>671.43</v>
      </c>
      <c r="HU107" t="s">
        <v>1540</v>
      </c>
      <c r="HV107">
        <v>9</v>
      </c>
      <c r="HW107" t="s">
        <v>424</v>
      </c>
      <c r="HX107" t="s">
        <v>425</v>
      </c>
      <c r="HY107" s="1">
        <v>41332</v>
      </c>
      <c r="HZ107">
        <v>21</v>
      </c>
      <c r="IA107">
        <v>62</v>
      </c>
      <c r="IB107" t="s">
        <v>463</v>
      </c>
    </row>
    <row r="108" spans="1:260" x14ac:dyDescent="0.25">
      <c r="A108">
        <v>16485115</v>
      </c>
      <c r="B108">
        <v>107</v>
      </c>
      <c r="C108" t="s">
        <v>393</v>
      </c>
      <c r="D108" t="s">
        <v>394</v>
      </c>
      <c r="F108" t="str">
        <f>"16-2N-23-1850-0003-0000"</f>
        <v>16-2N-23-1850-0003-0000</v>
      </c>
      <c r="H108" t="str">
        <f>"MANGES HARRY E"</f>
        <v>MANGES HARRY E</v>
      </c>
      <c r="I108" t="str">
        <f>"2303 SLIPPERY ROCK CIRCLE"</f>
        <v>2303 SLIPPERY ROCK CIRCLE</v>
      </c>
      <c r="J108" t="str">
        <f>"BLACKSHEAR GA 31516"</f>
        <v>BLACKSHEAR GA 31516</v>
      </c>
      <c r="K108" t="str">
        <f>"CHOLERTON LN"</f>
        <v>CHOLERTON LN</v>
      </c>
      <c r="L108" t="str">
        <f t="shared" si="36"/>
        <v>HILLIARD FL 32046</v>
      </c>
      <c r="M108" t="str">
        <f>"LOT 3 ESMT PT OR 1433/701 RIVER COUNTRY ESTATES PB 6/170"</f>
        <v>LOT 3 ESMT PT OR 1433/701 RIVER COUNTRY ESTATES PB 6/170</v>
      </c>
      <c r="N108" t="str">
        <f>""</f>
        <v/>
      </c>
      <c r="O108" t="str">
        <f>"31349"</f>
        <v>31349</v>
      </c>
      <c r="P108" t="str">
        <f t="shared" si="27"/>
        <v>2017</v>
      </c>
      <c r="Q108" t="str">
        <f>""</f>
        <v/>
      </c>
      <c r="R108" t="str">
        <f t="shared" si="35"/>
        <v>N</v>
      </c>
      <c r="S108" t="str">
        <f>"4.29"</f>
        <v>4.29</v>
      </c>
      <c r="T108" t="str">
        <f>"519.56"</f>
        <v>519.56</v>
      </c>
      <c r="U108" t="str">
        <f>"34320.00"</f>
        <v>34320.00</v>
      </c>
      <c r="V108" t="str">
        <f>"34320.00"</f>
        <v>34320.00</v>
      </c>
      <c r="W108" t="str">
        <f t="shared" si="28"/>
        <v>2017</v>
      </c>
      <c r="X108" t="str">
        <f>"19.70"</f>
        <v>19.70</v>
      </c>
      <c r="Y108" t="str">
        <f>"567.15"</f>
        <v>567.15</v>
      </c>
      <c r="Z108" t="str">
        <f>""</f>
        <v/>
      </c>
      <c r="AA108" t="str">
        <f>"34320.00"</f>
        <v>34320.00</v>
      </c>
      <c r="AB108" t="str">
        <f t="shared" si="34"/>
        <v>Residential</v>
      </c>
      <c r="AC108" t="str">
        <f t="shared" si="30"/>
        <v>0</v>
      </c>
      <c r="AD108" t="str">
        <f>""</f>
        <v/>
      </c>
      <c r="AE108" t="str">
        <f>""</f>
        <v/>
      </c>
      <c r="AF108" t="str">
        <f>"000"</f>
        <v>000</v>
      </c>
      <c r="AG108" t="str">
        <f>"GA"</f>
        <v>GA</v>
      </c>
      <c r="AH108" t="str">
        <f>"186872.00"</f>
        <v>186872.00</v>
      </c>
      <c r="AI108" t="str">
        <f>"34320.00"</f>
        <v>34320.00</v>
      </c>
      <c r="AJ108" t="str">
        <f>"C55-000-587-1098-9"</f>
        <v>C55-000-587-1098-9</v>
      </c>
      <c r="AK108" t="str">
        <f>"763"</f>
        <v>763</v>
      </c>
      <c r="AL108">
        <v>1</v>
      </c>
      <c r="AM108">
        <v>123</v>
      </c>
      <c r="AN108">
        <v>593.91</v>
      </c>
      <c r="AQ108" t="s">
        <v>1541</v>
      </c>
      <c r="AR108" t="s">
        <v>1541</v>
      </c>
      <c r="AS108" t="s">
        <v>1541</v>
      </c>
      <c r="AU108" t="s">
        <v>396</v>
      </c>
      <c r="AV108">
        <v>2017</v>
      </c>
      <c r="AW108" t="str">
        <f>"16-2N-23-1850-0003-0000 "</f>
        <v xml:space="preserve">16-2N-23-1850-0003-0000 </v>
      </c>
      <c r="AZ108" t="s">
        <v>1503</v>
      </c>
      <c r="BA108" t="s">
        <v>653</v>
      </c>
      <c r="BD108" t="s">
        <v>398</v>
      </c>
      <c r="BE108" t="s">
        <v>393</v>
      </c>
      <c r="BF108">
        <v>32046</v>
      </c>
      <c r="BG108" t="s">
        <v>1522</v>
      </c>
      <c r="BH108" t="s">
        <v>400</v>
      </c>
      <c r="BI108">
        <v>-82.0105570053055</v>
      </c>
      <c r="BJ108">
        <v>30.592150411271</v>
      </c>
      <c r="BK108" t="s">
        <v>1291</v>
      </c>
      <c r="BM108" t="s">
        <v>1292</v>
      </c>
      <c r="BN108" t="s">
        <v>1293</v>
      </c>
      <c r="BO108">
        <v>31516</v>
      </c>
      <c r="BP108" t="s">
        <v>404</v>
      </c>
      <c r="BQ108">
        <v>0</v>
      </c>
      <c r="BR108" t="s">
        <v>491</v>
      </c>
      <c r="BS108">
        <v>8001</v>
      </c>
      <c r="BT108" t="s">
        <v>492</v>
      </c>
      <c r="BW108">
        <v>186872</v>
      </c>
      <c r="BX108" t="s">
        <v>407</v>
      </c>
      <c r="CD108">
        <v>2017</v>
      </c>
      <c r="CE108">
        <v>34320</v>
      </c>
      <c r="CG108">
        <v>34320</v>
      </c>
      <c r="CH108">
        <v>2017</v>
      </c>
      <c r="CI108">
        <v>34320</v>
      </c>
      <c r="CK108">
        <v>34320</v>
      </c>
      <c r="CL108">
        <v>2017</v>
      </c>
      <c r="CM108">
        <v>519.55999999999995</v>
      </c>
      <c r="DD108" t="s">
        <v>398</v>
      </c>
      <c r="DF108">
        <v>3</v>
      </c>
      <c r="DG108">
        <v>16</v>
      </c>
      <c r="DJ108" t="s">
        <v>1523</v>
      </c>
      <c r="DM108" t="s">
        <v>1494</v>
      </c>
      <c r="DO108" t="s">
        <v>1542</v>
      </c>
      <c r="DP108">
        <v>0</v>
      </c>
      <c r="DQ108">
        <v>1</v>
      </c>
      <c r="DR108" t="s">
        <v>411</v>
      </c>
      <c r="DS108" t="b">
        <v>1</v>
      </c>
      <c r="DT108" t="s">
        <v>396</v>
      </c>
      <c r="DV108" t="s">
        <v>446</v>
      </c>
      <c r="DX108">
        <v>-9999</v>
      </c>
      <c r="DZ108" t="s">
        <v>447</v>
      </c>
      <c r="EA108" t="s">
        <v>448</v>
      </c>
      <c r="EB108" t="s">
        <v>449</v>
      </c>
      <c r="EC108">
        <v>20101217</v>
      </c>
      <c r="ED108" t="s">
        <v>450</v>
      </c>
      <c r="EE108">
        <v>30.6</v>
      </c>
      <c r="EF108">
        <v>0</v>
      </c>
      <c r="EG108">
        <v>0</v>
      </c>
      <c r="EI108">
        <v>20160407</v>
      </c>
      <c r="EJ108">
        <v>0</v>
      </c>
      <c r="EK108">
        <v>0</v>
      </c>
      <c r="EP108" t="s">
        <v>421</v>
      </c>
      <c r="EQ108" t="s">
        <v>422</v>
      </c>
      <c r="ER108">
        <v>1</v>
      </c>
      <c r="ES108">
        <v>7</v>
      </c>
      <c r="ET108">
        <v>596.78</v>
      </c>
      <c r="EU108">
        <v>36.090000000000003</v>
      </c>
      <c r="EV108">
        <v>632.87</v>
      </c>
      <c r="EW108" s="2">
        <v>43222</v>
      </c>
      <c r="EX108" s="1">
        <v>42879</v>
      </c>
      <c r="EY108">
        <v>2016</v>
      </c>
      <c r="EZ108">
        <v>596.78</v>
      </c>
      <c r="FA108" t="s">
        <v>1543</v>
      </c>
      <c r="FB108">
        <v>4.75</v>
      </c>
      <c r="FC108" t="s">
        <v>424</v>
      </c>
      <c r="FD108" t="s">
        <v>454</v>
      </c>
      <c r="FF108">
        <v>12</v>
      </c>
      <c r="FG108">
        <v>7336745</v>
      </c>
      <c r="FH108" t="s">
        <v>502</v>
      </c>
      <c r="FJ108" s="1">
        <v>42515</v>
      </c>
      <c r="FK108">
        <v>2015</v>
      </c>
      <c r="FL108">
        <v>605.61</v>
      </c>
      <c r="FM108" t="s">
        <v>1544</v>
      </c>
      <c r="FN108">
        <v>14.75</v>
      </c>
      <c r="FO108" t="s">
        <v>424</v>
      </c>
      <c r="FP108" t="s">
        <v>425</v>
      </c>
      <c r="FQ108" s="1">
        <v>43187</v>
      </c>
      <c r="FR108">
        <v>22</v>
      </c>
      <c r="FS108">
        <v>10125</v>
      </c>
      <c r="FT108" t="s">
        <v>440</v>
      </c>
      <c r="FV108" s="1">
        <v>42151</v>
      </c>
      <c r="FW108">
        <v>2014</v>
      </c>
      <c r="FX108">
        <v>571.9</v>
      </c>
      <c r="FY108" t="s">
        <v>1545</v>
      </c>
      <c r="FZ108">
        <v>4.25</v>
      </c>
      <c r="GA108" t="s">
        <v>424</v>
      </c>
      <c r="GB108" t="s">
        <v>425</v>
      </c>
      <c r="GC108" s="1">
        <v>42787</v>
      </c>
      <c r="GD108">
        <v>21</v>
      </c>
      <c r="GE108">
        <v>115</v>
      </c>
      <c r="GF108" t="s">
        <v>478</v>
      </c>
      <c r="GH108" s="1">
        <v>41787</v>
      </c>
      <c r="GI108">
        <v>2013</v>
      </c>
      <c r="GJ108">
        <v>542.5</v>
      </c>
      <c r="GK108" t="s">
        <v>1546</v>
      </c>
      <c r="GL108">
        <v>9.75</v>
      </c>
      <c r="GM108" t="s">
        <v>424</v>
      </c>
      <c r="GN108" t="s">
        <v>425</v>
      </c>
      <c r="GO108" s="1">
        <v>42453</v>
      </c>
      <c r="GP108">
        <v>22</v>
      </c>
      <c r="GQ108">
        <v>2035919</v>
      </c>
      <c r="GR108" t="s">
        <v>507</v>
      </c>
      <c r="GT108" s="1">
        <v>41423</v>
      </c>
      <c r="GU108">
        <v>2012</v>
      </c>
      <c r="GV108">
        <v>547.24</v>
      </c>
      <c r="GW108" t="s">
        <v>1547</v>
      </c>
      <c r="GX108">
        <v>4.75</v>
      </c>
      <c r="GY108" t="s">
        <v>424</v>
      </c>
      <c r="GZ108" t="s">
        <v>425</v>
      </c>
      <c r="HA108" s="1">
        <v>42059</v>
      </c>
      <c r="HB108">
        <v>21</v>
      </c>
      <c r="HC108">
        <v>15407</v>
      </c>
      <c r="HD108" t="s">
        <v>1134</v>
      </c>
      <c r="HF108" s="1">
        <v>41052</v>
      </c>
      <c r="HG108">
        <v>2011</v>
      </c>
      <c r="HH108">
        <v>641.38</v>
      </c>
      <c r="HI108" t="s">
        <v>1548</v>
      </c>
      <c r="HJ108">
        <v>5</v>
      </c>
      <c r="HK108" t="s">
        <v>424</v>
      </c>
      <c r="HL108" t="s">
        <v>425</v>
      </c>
      <c r="HM108" s="1">
        <v>41690</v>
      </c>
      <c r="HN108">
        <v>21</v>
      </c>
      <c r="HO108">
        <v>1625515</v>
      </c>
      <c r="HP108" t="s">
        <v>487</v>
      </c>
      <c r="HR108" s="1">
        <v>41052</v>
      </c>
      <c r="HS108">
        <v>2011</v>
      </c>
      <c r="HT108">
        <v>641.38</v>
      </c>
      <c r="HU108" t="s">
        <v>1548</v>
      </c>
      <c r="HV108">
        <v>5</v>
      </c>
      <c r="HW108" t="s">
        <v>424</v>
      </c>
      <c r="HX108" t="s">
        <v>425</v>
      </c>
      <c r="HZ108">
        <v>22</v>
      </c>
      <c r="IA108">
        <v>10579</v>
      </c>
      <c r="IB108" t="s">
        <v>488</v>
      </c>
      <c r="ID108" s="1">
        <v>40688</v>
      </c>
      <c r="IE108">
        <v>2010</v>
      </c>
      <c r="IF108">
        <v>713.91</v>
      </c>
      <c r="IG108" t="s">
        <v>1549</v>
      </c>
      <c r="IH108">
        <v>9</v>
      </c>
      <c r="II108" t="s">
        <v>424</v>
      </c>
      <c r="IJ108" t="s">
        <v>425</v>
      </c>
      <c r="IK108" s="1">
        <v>41332</v>
      </c>
      <c r="IL108">
        <v>21</v>
      </c>
      <c r="IM108">
        <v>62</v>
      </c>
      <c r="IN108" t="s">
        <v>463</v>
      </c>
    </row>
    <row r="109" spans="1:260" x14ac:dyDescent="0.25">
      <c r="A109">
        <v>16485116</v>
      </c>
      <c r="B109">
        <v>108</v>
      </c>
      <c r="C109" t="s">
        <v>393</v>
      </c>
      <c r="D109" t="s">
        <v>394</v>
      </c>
      <c r="F109" t="str">
        <f>"16-2N-23-1850-0004-0000"</f>
        <v>16-2N-23-1850-0004-0000</v>
      </c>
      <c r="H109" t="str">
        <f>"MANGES HARRY E"</f>
        <v>MANGES HARRY E</v>
      </c>
      <c r="I109" t="str">
        <f>"2303 SLIPPERY ROCK CIRCLE"</f>
        <v>2303 SLIPPERY ROCK CIRCLE</v>
      </c>
      <c r="J109" t="str">
        <f>"BLACKSHEAR GA 31516"</f>
        <v>BLACKSHEAR GA 31516</v>
      </c>
      <c r="K109" t="str">
        <f>"CHOLERTON LN"</f>
        <v>CHOLERTON LN</v>
      </c>
      <c r="L109" t="str">
        <f t="shared" si="36"/>
        <v>HILLIARD FL 32046</v>
      </c>
      <c r="M109" t="str">
        <f>"LOT 4 ESMT PT OR 1433/701 RIVER COUNTRY ESTATES PB 6/170"</f>
        <v>LOT 4 ESMT PT OR 1433/701 RIVER COUNTRY ESTATES PB 6/170</v>
      </c>
      <c r="N109" t="str">
        <f>""</f>
        <v/>
      </c>
      <c r="O109" t="str">
        <f>"31350"</f>
        <v>31350</v>
      </c>
      <c r="P109" t="str">
        <f t="shared" si="27"/>
        <v>2017</v>
      </c>
      <c r="Q109" t="str">
        <f>""</f>
        <v/>
      </c>
      <c r="R109" t="str">
        <f t="shared" si="35"/>
        <v>N</v>
      </c>
      <c r="S109" t="str">
        <f>"5.00"</f>
        <v>5.00</v>
      </c>
      <c r="T109" t="str">
        <f>"605.56"</f>
        <v>605.56</v>
      </c>
      <c r="U109" t="str">
        <f>"40000.00"</f>
        <v>40000.00</v>
      </c>
      <c r="V109" t="str">
        <f>"40000.00"</f>
        <v>40000.00</v>
      </c>
      <c r="W109" t="str">
        <f t="shared" si="28"/>
        <v>2017</v>
      </c>
      <c r="X109" t="str">
        <f>"19.70"</f>
        <v>19.70</v>
      </c>
      <c r="Y109" t="str">
        <f>"655.73"</f>
        <v>655.73</v>
      </c>
      <c r="Z109" t="str">
        <f>""</f>
        <v/>
      </c>
      <c r="AA109" t="str">
        <f>"40000.00"</f>
        <v>40000.00</v>
      </c>
      <c r="AB109" t="str">
        <f t="shared" si="34"/>
        <v>Residential</v>
      </c>
      <c r="AC109" t="str">
        <f t="shared" si="30"/>
        <v>0</v>
      </c>
      <c r="AD109" t="str">
        <f>""</f>
        <v/>
      </c>
      <c r="AE109" t="str">
        <f>""</f>
        <v/>
      </c>
      <c r="AF109" t="str">
        <f>"000"</f>
        <v>000</v>
      </c>
      <c r="AG109" t="str">
        <f>"GA"</f>
        <v>GA</v>
      </c>
      <c r="AH109" t="str">
        <f>"217800.00"</f>
        <v>217800.00</v>
      </c>
      <c r="AI109" t="str">
        <f>"40000.00"</f>
        <v>40000.00</v>
      </c>
      <c r="AJ109" t="str">
        <f>"C55-000-587-1099-7"</f>
        <v>C55-000-587-1099-7</v>
      </c>
      <c r="AK109" t="str">
        <f>"764"</f>
        <v>764</v>
      </c>
      <c r="AL109">
        <v>1</v>
      </c>
      <c r="AM109">
        <v>124</v>
      </c>
      <c r="AN109">
        <v>686.92</v>
      </c>
      <c r="AQ109" t="s">
        <v>1550</v>
      </c>
      <c r="AR109" t="s">
        <v>1550</v>
      </c>
      <c r="AS109" t="s">
        <v>1550</v>
      </c>
      <c r="AU109" t="s">
        <v>396</v>
      </c>
      <c r="AV109">
        <v>2017</v>
      </c>
      <c r="AW109" t="str">
        <f>"16-2N-23-1850-0004-0000 "</f>
        <v xml:space="preserve">16-2N-23-1850-0004-0000 </v>
      </c>
      <c r="AZ109" t="s">
        <v>1503</v>
      </c>
      <c r="BA109" t="s">
        <v>653</v>
      </c>
      <c r="BD109" t="s">
        <v>398</v>
      </c>
      <c r="BE109" t="s">
        <v>393</v>
      </c>
      <c r="BF109">
        <v>32046</v>
      </c>
      <c r="BG109" t="s">
        <v>1522</v>
      </c>
      <c r="BH109" t="s">
        <v>400</v>
      </c>
      <c r="BI109">
        <v>-82.0107360801086</v>
      </c>
      <c r="BJ109">
        <v>30.5926616978537</v>
      </c>
      <c r="BK109" t="s">
        <v>1291</v>
      </c>
      <c r="BM109" t="s">
        <v>1292</v>
      </c>
      <c r="BN109" t="s">
        <v>1293</v>
      </c>
      <c r="BO109">
        <v>31516</v>
      </c>
      <c r="BP109" t="s">
        <v>404</v>
      </c>
      <c r="BQ109">
        <v>0</v>
      </c>
      <c r="BR109" t="s">
        <v>491</v>
      </c>
      <c r="BS109">
        <v>8001</v>
      </c>
      <c r="BT109" t="s">
        <v>492</v>
      </c>
      <c r="BW109">
        <v>217800</v>
      </c>
      <c r="BX109" t="s">
        <v>407</v>
      </c>
      <c r="CD109">
        <v>2017</v>
      </c>
      <c r="CE109">
        <v>40000</v>
      </c>
      <c r="CG109">
        <v>40000</v>
      </c>
      <c r="CH109">
        <v>2017</v>
      </c>
      <c r="CI109">
        <v>40000</v>
      </c>
      <c r="CK109">
        <v>40000</v>
      </c>
      <c r="CL109">
        <v>2017</v>
      </c>
      <c r="CM109">
        <v>605.55999999999995</v>
      </c>
      <c r="DD109" t="s">
        <v>398</v>
      </c>
      <c r="DF109">
        <v>4</v>
      </c>
      <c r="DG109">
        <v>16</v>
      </c>
      <c r="DJ109" t="s">
        <v>1523</v>
      </c>
      <c r="DM109" t="s">
        <v>1494</v>
      </c>
      <c r="DO109" t="s">
        <v>1551</v>
      </c>
      <c r="DP109">
        <v>0</v>
      </c>
      <c r="DQ109">
        <v>1</v>
      </c>
      <c r="DR109" t="s">
        <v>411</v>
      </c>
      <c r="DS109" t="b">
        <v>1</v>
      </c>
      <c r="DT109" t="s">
        <v>396</v>
      </c>
      <c r="DV109" t="s">
        <v>446</v>
      </c>
      <c r="DX109">
        <v>-9999</v>
      </c>
      <c r="DZ109" t="s">
        <v>447</v>
      </c>
      <c r="EA109" t="s">
        <v>448</v>
      </c>
      <c r="EB109" t="s">
        <v>449</v>
      </c>
      <c r="EC109">
        <v>20101217</v>
      </c>
      <c r="ED109" t="s">
        <v>450</v>
      </c>
      <c r="EE109">
        <v>30.6</v>
      </c>
      <c r="EF109">
        <v>0</v>
      </c>
      <c r="EG109">
        <v>0</v>
      </c>
      <c r="EI109">
        <v>20160407</v>
      </c>
      <c r="EJ109">
        <v>0</v>
      </c>
      <c r="EK109">
        <v>0</v>
      </c>
      <c r="EP109" t="s">
        <v>421</v>
      </c>
      <c r="EQ109" t="s">
        <v>422</v>
      </c>
      <c r="ER109">
        <v>1</v>
      </c>
      <c r="ES109">
        <v>7</v>
      </c>
      <c r="ET109">
        <v>691.08</v>
      </c>
      <c r="EU109">
        <v>40.799999999999997</v>
      </c>
      <c r="EV109">
        <v>731.88</v>
      </c>
      <c r="EW109" s="2">
        <v>43222</v>
      </c>
      <c r="EX109" s="1">
        <v>42879</v>
      </c>
      <c r="EY109">
        <v>2016</v>
      </c>
      <c r="EZ109">
        <v>691.08</v>
      </c>
      <c r="FA109" t="s">
        <v>1552</v>
      </c>
      <c r="FB109">
        <v>4.75</v>
      </c>
      <c r="FC109" t="s">
        <v>424</v>
      </c>
      <c r="FD109" t="s">
        <v>454</v>
      </c>
      <c r="FF109">
        <v>12</v>
      </c>
      <c r="FG109">
        <v>7336745</v>
      </c>
      <c r="FH109" t="s">
        <v>502</v>
      </c>
      <c r="FJ109" s="1">
        <v>42515</v>
      </c>
      <c r="FK109">
        <v>2015</v>
      </c>
      <c r="FL109">
        <v>702.21</v>
      </c>
      <c r="FM109" t="s">
        <v>1553</v>
      </c>
      <c r="FN109">
        <v>6.25</v>
      </c>
      <c r="FO109" t="s">
        <v>424</v>
      </c>
      <c r="FP109" t="s">
        <v>425</v>
      </c>
      <c r="FQ109" s="1">
        <v>43187</v>
      </c>
      <c r="FR109">
        <v>22</v>
      </c>
      <c r="FS109">
        <v>2035919</v>
      </c>
      <c r="FT109" t="s">
        <v>507</v>
      </c>
      <c r="FV109" s="1">
        <v>42151</v>
      </c>
      <c r="FW109">
        <v>2014</v>
      </c>
      <c r="FX109">
        <v>662.92</v>
      </c>
      <c r="FY109" t="s">
        <v>1554</v>
      </c>
      <c r="FZ109">
        <v>4.75</v>
      </c>
      <c r="GA109" t="s">
        <v>424</v>
      </c>
      <c r="GB109" t="s">
        <v>425</v>
      </c>
      <c r="GC109" s="1">
        <v>42787</v>
      </c>
      <c r="GD109">
        <v>21</v>
      </c>
      <c r="GE109">
        <v>4975593</v>
      </c>
      <c r="GF109" t="s">
        <v>505</v>
      </c>
      <c r="GH109" s="1">
        <v>41787</v>
      </c>
      <c r="GI109">
        <v>2013</v>
      </c>
      <c r="GJ109">
        <v>628.64</v>
      </c>
      <c r="GK109" t="s">
        <v>1555</v>
      </c>
      <c r="GL109">
        <v>9.75</v>
      </c>
      <c r="GM109" t="s">
        <v>424</v>
      </c>
      <c r="GN109" t="s">
        <v>425</v>
      </c>
      <c r="GO109" s="1">
        <v>42453</v>
      </c>
      <c r="GP109">
        <v>22</v>
      </c>
      <c r="GQ109">
        <v>2035919</v>
      </c>
      <c r="GR109" t="s">
        <v>507</v>
      </c>
      <c r="GT109" s="1">
        <v>41423</v>
      </c>
      <c r="GU109">
        <v>2012</v>
      </c>
      <c r="GV109">
        <v>634.17999999999995</v>
      </c>
      <c r="GW109" t="s">
        <v>1556</v>
      </c>
      <c r="GX109">
        <v>4.75</v>
      </c>
      <c r="GY109" t="s">
        <v>424</v>
      </c>
      <c r="GZ109" t="s">
        <v>425</v>
      </c>
      <c r="HA109" s="1">
        <v>42059</v>
      </c>
      <c r="HB109">
        <v>21</v>
      </c>
      <c r="HC109">
        <v>15407</v>
      </c>
      <c r="HD109" t="s">
        <v>1134</v>
      </c>
      <c r="HF109" s="1">
        <v>41052</v>
      </c>
      <c r="HG109">
        <v>2011</v>
      </c>
      <c r="HH109">
        <v>745.22</v>
      </c>
      <c r="HI109" t="s">
        <v>1557</v>
      </c>
      <c r="HJ109">
        <v>5</v>
      </c>
      <c r="HK109" t="s">
        <v>424</v>
      </c>
      <c r="HL109" t="s">
        <v>425</v>
      </c>
      <c r="HM109" s="1">
        <v>41690</v>
      </c>
      <c r="HN109">
        <v>21</v>
      </c>
      <c r="HO109">
        <v>1625515</v>
      </c>
      <c r="HP109" t="s">
        <v>487</v>
      </c>
      <c r="HR109" s="1">
        <v>41052</v>
      </c>
      <c r="HS109">
        <v>2011</v>
      </c>
      <c r="HT109">
        <v>745.22</v>
      </c>
      <c r="HU109" t="s">
        <v>1557</v>
      </c>
      <c r="HV109">
        <v>5</v>
      </c>
      <c r="HW109" t="s">
        <v>424</v>
      </c>
      <c r="HX109" t="s">
        <v>425</v>
      </c>
      <c r="HZ109">
        <v>22</v>
      </c>
      <c r="IA109">
        <v>10579</v>
      </c>
      <c r="IB109" t="s">
        <v>488</v>
      </c>
      <c r="ID109" s="1">
        <v>40688</v>
      </c>
      <c r="IE109">
        <v>2010</v>
      </c>
      <c r="IF109">
        <v>829.92</v>
      </c>
      <c r="IG109" t="s">
        <v>1558</v>
      </c>
      <c r="IH109">
        <v>9</v>
      </c>
      <c r="II109" t="s">
        <v>424</v>
      </c>
      <c r="IJ109" t="s">
        <v>425</v>
      </c>
      <c r="IK109" s="1">
        <v>41332</v>
      </c>
      <c r="IL109">
        <v>21</v>
      </c>
      <c r="IM109">
        <v>62</v>
      </c>
      <c r="IN109" t="s">
        <v>463</v>
      </c>
    </row>
    <row r="110" spans="1:260" x14ac:dyDescent="0.25">
      <c r="A110">
        <v>16485117</v>
      </c>
      <c r="B110">
        <v>109</v>
      </c>
      <c r="C110" t="s">
        <v>393</v>
      </c>
      <c r="D110" t="s">
        <v>394</v>
      </c>
      <c r="F110" t="str">
        <f>"22-2N-23-0000-0002-0000"</f>
        <v>22-2N-23-0000-0002-0000</v>
      </c>
      <c r="H110" t="str">
        <f>"CONNER RICHARD"</f>
        <v>CONNER RICHARD</v>
      </c>
      <c r="I110" t="str">
        <f>"14456 RUTH LN"</f>
        <v>14456 RUTH LN</v>
      </c>
      <c r="J110" t="str">
        <f>"HILLIARD FL 32046"</f>
        <v>HILLIARD FL 32046</v>
      </c>
      <c r="K110" t="str">
        <f>"21967 CR 121"</f>
        <v>21967 CR 121</v>
      </c>
      <c r="L110" t="str">
        <f t="shared" si="36"/>
        <v>HILLIARD FL 32046</v>
      </c>
      <c r="M110" t="str">
        <f>"S1/2 OF NE1/4 &amp; N1/2 OF SE1/4 OR 678/1848 LESS R/W (EX PAR 3 2-1 THRU 2-6 &amp; 2-10 EX 2-14 &amp; 2-15 &amp; EX OR 2033/754)"</f>
        <v>S1/2 OF NE1/4 &amp; N1/2 OF SE1/4 OR 678/1848 LESS R/W (EX PAR 3 2-1 THRU 2-6 &amp; 2-10 EX 2-14 &amp; 2-15 &amp; EX OR 2033/754)</v>
      </c>
      <c r="N110" t="str">
        <f>""</f>
        <v/>
      </c>
      <c r="O110" t="str">
        <f>"33600"</f>
        <v>33600</v>
      </c>
      <c r="P110" t="str">
        <f t="shared" si="27"/>
        <v>2017</v>
      </c>
      <c r="Q110" t="str">
        <f>""</f>
        <v/>
      </c>
      <c r="R110" t="str">
        <f t="shared" si="35"/>
        <v>N</v>
      </c>
      <c r="S110" t="str">
        <f>"82.99"</f>
        <v>82.99</v>
      </c>
      <c r="T110" t="str">
        <f>"621.66"</f>
        <v>621.66</v>
      </c>
      <c r="U110" t="str">
        <f>"41064.00"</f>
        <v>41064.00</v>
      </c>
      <c r="V110" t="str">
        <f>"41064.00"</f>
        <v>41064.00</v>
      </c>
      <c r="W110" t="str">
        <f t="shared" si="28"/>
        <v>2017</v>
      </c>
      <c r="X110" t="str">
        <f>"1.00"</f>
        <v>1.00</v>
      </c>
      <c r="Y110" t="str">
        <f>"672.31"</f>
        <v>672.31</v>
      </c>
      <c r="Z110" t="str">
        <f>""</f>
        <v/>
      </c>
      <c r="AA110" t="str">
        <f>"41064.00"</f>
        <v>41064.00</v>
      </c>
      <c r="AB110" t="str">
        <f>"Agricultural"</f>
        <v>Agricultural</v>
      </c>
      <c r="AC110" t="str">
        <f t="shared" si="30"/>
        <v>0</v>
      </c>
      <c r="AD110" t="str">
        <f>""</f>
        <v/>
      </c>
      <c r="AE110" t="str">
        <f>""</f>
        <v/>
      </c>
      <c r="AF110" t="str">
        <f>"069"</f>
        <v>069</v>
      </c>
      <c r="AG110" t="str">
        <f t="shared" ref="AG110:AG141" si="37">"FL"</f>
        <v>FL</v>
      </c>
      <c r="AH110" t="str">
        <f>"3615044.00"</f>
        <v>3615044.00</v>
      </c>
      <c r="AI110" t="str">
        <f>"26607.00"</f>
        <v>26607.00</v>
      </c>
      <c r="AJ110" t="str">
        <f>"C55-000-587-2956-7"</f>
        <v>C55-000-587-2956-7</v>
      </c>
      <c r="AK110" t="str">
        <f>"781"</f>
        <v>781</v>
      </c>
      <c r="AL110">
        <v>1</v>
      </c>
      <c r="AM110">
        <v>125</v>
      </c>
      <c r="AN110">
        <v>704.33</v>
      </c>
      <c r="AQ110" t="s">
        <v>1559</v>
      </c>
      <c r="AR110" t="s">
        <v>1559</v>
      </c>
      <c r="AS110" t="s">
        <v>1559</v>
      </c>
      <c r="AU110" t="s">
        <v>396</v>
      </c>
      <c r="AV110">
        <v>2017</v>
      </c>
      <c r="AW110" t="str">
        <f>"22-2N-23-0000-0002-0000 "</f>
        <v xml:space="preserve">22-2N-23-0000-0002-0000 </v>
      </c>
      <c r="AX110">
        <v>21967</v>
      </c>
      <c r="AZ110" t="s">
        <v>611</v>
      </c>
      <c r="BD110" t="s">
        <v>398</v>
      </c>
      <c r="BE110" t="s">
        <v>393</v>
      </c>
      <c r="BF110">
        <v>32046</v>
      </c>
      <c r="BG110" t="s">
        <v>1560</v>
      </c>
      <c r="BH110" t="s">
        <v>400</v>
      </c>
      <c r="BI110">
        <v>-81.991903097198303</v>
      </c>
      <c r="BJ110">
        <v>30.574162823469901</v>
      </c>
      <c r="BK110" t="s">
        <v>1561</v>
      </c>
      <c r="BL110" t="s">
        <v>1562</v>
      </c>
      <c r="BM110" t="s">
        <v>1563</v>
      </c>
      <c r="BN110" t="s">
        <v>403</v>
      </c>
      <c r="BO110">
        <v>32046</v>
      </c>
      <c r="BP110" t="s">
        <v>404</v>
      </c>
      <c r="BQ110">
        <v>6900</v>
      </c>
      <c r="BR110" t="s">
        <v>1564</v>
      </c>
      <c r="BS110">
        <v>7017</v>
      </c>
      <c r="BT110" t="s">
        <v>1565</v>
      </c>
      <c r="BW110">
        <v>3615044</v>
      </c>
      <c r="BX110" t="s">
        <v>407</v>
      </c>
      <c r="BY110" t="s">
        <v>408</v>
      </c>
      <c r="CD110">
        <v>2017</v>
      </c>
      <c r="CG110">
        <v>41064</v>
      </c>
      <c r="CH110">
        <v>2017</v>
      </c>
      <c r="CI110">
        <v>26607</v>
      </c>
      <c r="CJ110">
        <v>236820</v>
      </c>
      <c r="CK110">
        <v>263427</v>
      </c>
      <c r="CL110">
        <v>2017</v>
      </c>
      <c r="CM110">
        <v>621.66</v>
      </c>
      <c r="CN110" s="1">
        <v>38476</v>
      </c>
      <c r="CO110">
        <v>60000</v>
      </c>
      <c r="CV110">
        <v>48000</v>
      </c>
      <c r="CX110" t="s">
        <v>693</v>
      </c>
      <c r="CZ110" s="1">
        <v>38476</v>
      </c>
      <c r="DA110">
        <v>0</v>
      </c>
      <c r="DD110" t="s">
        <v>398</v>
      </c>
      <c r="DG110">
        <v>22</v>
      </c>
      <c r="DL110">
        <v>50503</v>
      </c>
      <c r="DM110" t="s">
        <v>1566</v>
      </c>
      <c r="DO110" t="s">
        <v>1567</v>
      </c>
      <c r="DP110">
        <v>0</v>
      </c>
      <c r="DQ110">
        <v>0</v>
      </c>
      <c r="DR110" t="s">
        <v>411</v>
      </c>
    </row>
    <row r="111" spans="1:260" x14ac:dyDescent="0.25">
      <c r="A111">
        <v>16485118</v>
      </c>
      <c r="B111">
        <v>110</v>
      </c>
      <c r="C111" t="s">
        <v>393</v>
      </c>
      <c r="D111" t="s">
        <v>394</v>
      </c>
      <c r="F111" t="str">
        <f>"23-2N-23-0000-0001-0050"</f>
        <v>23-2N-23-0000-0001-0050</v>
      </c>
      <c r="H111" t="str">
        <f>"ASHLEY CHRISTOPHER S &amp; SHANNON"</f>
        <v>ASHLEY CHRISTOPHER S &amp; SHANNON</v>
      </c>
      <c r="I111" t="str">
        <f>"4548 RIVER ROAD"</f>
        <v>4548 RIVER ROAD</v>
      </c>
      <c r="J111" t="str">
        <f>"HILLIARD FL 32046"</f>
        <v>HILLIARD FL 32046</v>
      </c>
      <c r="K111" t="str">
        <f>"4548 RIVER RD"</f>
        <v>4548 RIVER RD</v>
      </c>
      <c r="L111" t="str">
        <f t="shared" si="36"/>
        <v>HILLIARD FL 32046</v>
      </c>
      <c r="M111" t="str">
        <f>"PT OF NE1/4 IN OR 1727/1046 PARCELS 1-5 &amp; 2-6 1983 DW/MH CHAR"</f>
        <v>PT OF NE1/4 IN OR 1727/1046 PARCELS 1-5 &amp; 2-6 1983 DW/MH CHAR</v>
      </c>
      <c r="N111" t="str">
        <f>""</f>
        <v/>
      </c>
      <c r="O111" t="str">
        <f>"34003"</f>
        <v>34003</v>
      </c>
      <c r="P111" t="str">
        <f t="shared" si="27"/>
        <v>2017</v>
      </c>
      <c r="Q111" t="str">
        <f>""</f>
        <v/>
      </c>
      <c r="R111" t="str">
        <f>"Y"</f>
        <v>Y</v>
      </c>
      <c r="S111" t="str">
        <f>"10.64"</f>
        <v>10.64</v>
      </c>
      <c r="T111" t="str">
        <f>"805.43"</f>
        <v>805.43</v>
      </c>
      <c r="U111" t="str">
        <f>"92307.00"</f>
        <v>92307.00</v>
      </c>
      <c r="V111" t="str">
        <f>"92307.00"</f>
        <v>92307.00</v>
      </c>
      <c r="W111" t="str">
        <f t="shared" si="28"/>
        <v>2017</v>
      </c>
      <c r="X111" t="str">
        <f>"2.00"</f>
        <v>2.00</v>
      </c>
      <c r="Y111" t="str">
        <f>"861.59"</f>
        <v>861.59</v>
      </c>
      <c r="Z111" t="str">
        <f>"25000.00"</f>
        <v>25000.00</v>
      </c>
      <c r="AA111" t="str">
        <f>"67307.00"</f>
        <v>67307.00</v>
      </c>
      <c r="AB111" t="str">
        <f>"Residential"</f>
        <v>Residential</v>
      </c>
      <c r="AC111" t="str">
        <f t="shared" si="30"/>
        <v>0</v>
      </c>
      <c r="AD111" t="str">
        <f>"4"</f>
        <v>4</v>
      </c>
      <c r="AE111" t="str">
        <f>"WOOD (INCLUDE STEEL STUDS)"</f>
        <v>WOOD (INCLUDE STEEL STUDS)</v>
      </c>
      <c r="AF111" t="str">
        <f>"002"</f>
        <v>002</v>
      </c>
      <c r="AG111" t="str">
        <f t="shared" si="37"/>
        <v>FL</v>
      </c>
      <c r="AH111" t="str">
        <f>"463478.00"</f>
        <v>463478.00</v>
      </c>
      <c r="AI111" t="str">
        <f>"63840.00"</f>
        <v>63840.00</v>
      </c>
      <c r="AJ111" t="str">
        <f>"C55-000-587-3159-7"</f>
        <v>C55-000-587-3159-7</v>
      </c>
      <c r="AK111" t="str">
        <f>"821"</f>
        <v>821</v>
      </c>
      <c r="AL111">
        <v>1</v>
      </c>
      <c r="AM111">
        <v>126</v>
      </c>
      <c r="AN111">
        <v>903.07</v>
      </c>
      <c r="AQ111" t="s">
        <v>1568</v>
      </c>
      <c r="AR111" t="s">
        <v>1568</v>
      </c>
      <c r="AS111" t="s">
        <v>1568</v>
      </c>
      <c r="AU111" t="s">
        <v>396</v>
      </c>
      <c r="AV111">
        <v>2017</v>
      </c>
      <c r="AW111" t="str">
        <f>"23-2N-23-0000-0001-0050 "</f>
        <v xml:space="preserve">23-2N-23-0000-0001-0050 </v>
      </c>
      <c r="AX111">
        <v>4548</v>
      </c>
      <c r="AZ111" t="s">
        <v>1369</v>
      </c>
      <c r="BA111" t="s">
        <v>496</v>
      </c>
      <c r="BD111" t="s">
        <v>398</v>
      </c>
      <c r="BE111" t="s">
        <v>393</v>
      </c>
      <c r="BF111">
        <v>32046</v>
      </c>
      <c r="BG111" t="s">
        <v>1569</v>
      </c>
      <c r="BH111" t="s">
        <v>400</v>
      </c>
      <c r="BI111">
        <v>-81.974604134847894</v>
      </c>
      <c r="BJ111">
        <v>30.579177390143201</v>
      </c>
      <c r="BK111" t="s">
        <v>1570</v>
      </c>
      <c r="BM111" t="s">
        <v>1571</v>
      </c>
      <c r="BN111" t="s">
        <v>403</v>
      </c>
      <c r="BO111">
        <v>32046</v>
      </c>
      <c r="BP111" t="s">
        <v>416</v>
      </c>
      <c r="BQ111">
        <v>200</v>
      </c>
      <c r="BR111" t="s">
        <v>405</v>
      </c>
      <c r="BS111">
        <v>1006</v>
      </c>
      <c r="BT111" t="s">
        <v>406</v>
      </c>
      <c r="BW111">
        <v>463478</v>
      </c>
      <c r="BX111" t="s">
        <v>407</v>
      </c>
      <c r="BY111" t="s">
        <v>408</v>
      </c>
      <c r="BZ111">
        <v>4</v>
      </c>
      <c r="CA111">
        <v>1983</v>
      </c>
      <c r="CB111">
        <v>1</v>
      </c>
      <c r="CC111">
        <v>1</v>
      </c>
      <c r="CD111">
        <v>2017</v>
      </c>
      <c r="CG111">
        <v>92307</v>
      </c>
      <c r="CH111">
        <v>2017</v>
      </c>
      <c r="CI111">
        <v>63840</v>
      </c>
      <c r="CJ111">
        <v>40167</v>
      </c>
      <c r="CK111">
        <v>104007</v>
      </c>
      <c r="CL111">
        <v>2017</v>
      </c>
      <c r="CM111">
        <v>805.43</v>
      </c>
      <c r="CN111" s="1">
        <v>40606</v>
      </c>
      <c r="CO111">
        <v>155000</v>
      </c>
      <c r="CV111">
        <v>92000</v>
      </c>
      <c r="CX111" t="s">
        <v>657</v>
      </c>
      <c r="CZ111" s="1">
        <v>40606</v>
      </c>
      <c r="DA111">
        <v>0</v>
      </c>
      <c r="DD111" t="s">
        <v>398</v>
      </c>
      <c r="DG111">
        <v>23</v>
      </c>
      <c r="DL111">
        <v>50503</v>
      </c>
      <c r="DM111" t="s">
        <v>1572</v>
      </c>
      <c r="DO111" t="s">
        <v>1573</v>
      </c>
      <c r="DP111">
        <v>0</v>
      </c>
      <c r="DQ111">
        <v>0</v>
      </c>
      <c r="DR111" t="s">
        <v>411</v>
      </c>
      <c r="DS111" t="b">
        <v>1</v>
      </c>
      <c r="DT111" t="s">
        <v>396</v>
      </c>
      <c r="DV111" t="s">
        <v>446</v>
      </c>
      <c r="DX111">
        <v>-9999</v>
      </c>
      <c r="DZ111" t="s">
        <v>447</v>
      </c>
      <c r="EA111" t="s">
        <v>448</v>
      </c>
      <c r="EB111" t="s">
        <v>449</v>
      </c>
      <c r="EC111">
        <v>20101217</v>
      </c>
      <c r="ED111" t="s">
        <v>450</v>
      </c>
      <c r="EE111">
        <v>28.7</v>
      </c>
      <c r="EF111">
        <v>0</v>
      </c>
      <c r="EG111">
        <v>0</v>
      </c>
      <c r="EI111">
        <v>20160407</v>
      </c>
      <c r="EJ111">
        <v>0</v>
      </c>
      <c r="EK111">
        <v>0</v>
      </c>
      <c r="EP111" t="s">
        <v>421</v>
      </c>
      <c r="EQ111" t="s">
        <v>422</v>
      </c>
      <c r="ER111">
        <v>0</v>
      </c>
      <c r="ES111">
        <v>4</v>
      </c>
      <c r="ET111">
        <v>0</v>
      </c>
      <c r="EU111">
        <v>0</v>
      </c>
      <c r="EV111">
        <v>0</v>
      </c>
      <c r="EW111" s="2">
        <v>43222</v>
      </c>
      <c r="EX111" s="1">
        <v>42515</v>
      </c>
      <c r="EY111">
        <v>2015</v>
      </c>
      <c r="EZ111">
        <v>891.87</v>
      </c>
      <c r="FA111" t="s">
        <v>1574</v>
      </c>
      <c r="FB111">
        <v>0.25</v>
      </c>
      <c r="FC111" t="s">
        <v>424</v>
      </c>
      <c r="FD111" t="s">
        <v>425</v>
      </c>
      <c r="FE111" s="1">
        <v>42532</v>
      </c>
      <c r="FF111">
        <v>1</v>
      </c>
      <c r="FG111">
        <v>11289</v>
      </c>
      <c r="FH111" t="s">
        <v>787</v>
      </c>
      <c r="FJ111" s="1">
        <v>42515</v>
      </c>
      <c r="FK111">
        <v>2015</v>
      </c>
      <c r="FL111">
        <v>891.87</v>
      </c>
      <c r="FM111" t="s">
        <v>1574</v>
      </c>
      <c r="FN111">
        <v>0.25</v>
      </c>
      <c r="FO111" t="s">
        <v>424</v>
      </c>
      <c r="FP111" t="s">
        <v>425</v>
      </c>
      <c r="FR111">
        <v>22</v>
      </c>
      <c r="FS111">
        <v>5107985</v>
      </c>
      <c r="FT111" t="s">
        <v>1575</v>
      </c>
      <c r="FV111" s="1">
        <v>41423</v>
      </c>
      <c r="FW111">
        <v>2012</v>
      </c>
      <c r="FX111">
        <v>1094.28</v>
      </c>
      <c r="FY111" t="s">
        <v>1576</v>
      </c>
      <c r="FZ111">
        <v>0.25</v>
      </c>
      <c r="GA111" t="s">
        <v>424</v>
      </c>
      <c r="GB111" t="s">
        <v>425</v>
      </c>
      <c r="GC111" s="1">
        <v>41442</v>
      </c>
      <c r="GD111">
        <v>1</v>
      </c>
      <c r="GE111">
        <v>13528</v>
      </c>
      <c r="GF111" t="s">
        <v>1101</v>
      </c>
      <c r="GH111" s="1">
        <v>41052</v>
      </c>
      <c r="GI111">
        <v>2011</v>
      </c>
      <c r="GJ111">
        <v>517.24</v>
      </c>
      <c r="GK111" t="s">
        <v>1577</v>
      </c>
      <c r="GL111">
        <v>0.25</v>
      </c>
      <c r="GM111" t="s">
        <v>424</v>
      </c>
      <c r="GN111" t="s">
        <v>425</v>
      </c>
      <c r="GO111" s="1">
        <v>41162</v>
      </c>
      <c r="GP111">
        <v>4</v>
      </c>
      <c r="GQ111">
        <v>13940</v>
      </c>
      <c r="GR111" t="s">
        <v>1578</v>
      </c>
    </row>
    <row r="112" spans="1:260" x14ac:dyDescent="0.25">
      <c r="A112">
        <v>16485119</v>
      </c>
      <c r="B112">
        <v>111</v>
      </c>
      <c r="C112" t="s">
        <v>393</v>
      </c>
      <c r="D112" t="s">
        <v>394</v>
      </c>
      <c r="F112" t="str">
        <f>"23-2N-23-1803-0005-0010"</f>
        <v>23-2N-23-1803-0005-0010</v>
      </c>
      <c r="H112" t="str">
        <f>"HORNE CRAIG L &amp; LYDIA R"</f>
        <v>HORNE CRAIG L &amp; LYDIA R</v>
      </c>
      <c r="I112" t="str">
        <f>"4357 RIVER ROAD"</f>
        <v>4357 RIVER ROAD</v>
      </c>
      <c r="J112" t="str">
        <f>"HILLIARD FL 32046"</f>
        <v>HILLIARD FL 32046</v>
      </c>
      <c r="K112" t="str">
        <f>"4359 RIVER RD"</f>
        <v>4359 RIVER RD</v>
      </c>
      <c r="L112" t="str">
        <f t="shared" si="36"/>
        <v>HILLIARD FL 32046</v>
      </c>
      <c r="M112" t="str">
        <f>"PT OF LOT 5 (S-1) IN OR 1523/851 RANDY ACRES PB 5/242"</f>
        <v>PT OF LOT 5 (S-1) IN OR 1523/851 RANDY ACRES PB 5/242</v>
      </c>
      <c r="N112" t="str">
        <f>""</f>
        <v/>
      </c>
      <c r="O112" t="str">
        <f>"34083"</f>
        <v>34083</v>
      </c>
      <c r="P112" t="str">
        <f t="shared" si="27"/>
        <v>2017</v>
      </c>
      <c r="Q112" t="str">
        <f>""</f>
        <v/>
      </c>
      <c r="R112" t="str">
        <f t="shared" ref="R112:R128" si="38">"N"</f>
        <v>N</v>
      </c>
      <c r="S112" t="str">
        <f>"0.25"</f>
        <v>0.25</v>
      </c>
      <c r="T112" t="str">
        <f>"93.28"</f>
        <v>93.28</v>
      </c>
      <c r="U112" t="str">
        <f>"6144.00"</f>
        <v>6144.00</v>
      </c>
      <c r="V112" t="str">
        <f>"6144.00"</f>
        <v>6144.00</v>
      </c>
      <c r="W112" t="str">
        <f t="shared" si="28"/>
        <v>2017</v>
      </c>
      <c r="X112" t="str">
        <f>""</f>
        <v/>
      </c>
      <c r="Y112" t="str">
        <f>"128.08"</f>
        <v>128.08</v>
      </c>
      <c r="Z112" t="str">
        <f>""</f>
        <v/>
      </c>
      <c r="AA112" t="str">
        <f>"6183.00"</f>
        <v>6183.00</v>
      </c>
      <c r="AB112" t="str">
        <f>"Residential"</f>
        <v>Residential</v>
      </c>
      <c r="AC112" t="str">
        <f t="shared" si="30"/>
        <v>0</v>
      </c>
      <c r="AD112" t="str">
        <f>""</f>
        <v/>
      </c>
      <c r="AE112" t="str">
        <f>""</f>
        <v/>
      </c>
      <c r="AF112" t="str">
        <f>"000"</f>
        <v>000</v>
      </c>
      <c r="AG112" t="str">
        <f t="shared" si="37"/>
        <v>FL</v>
      </c>
      <c r="AH112" t="str">
        <f>"10890.00"</f>
        <v>10890.00</v>
      </c>
      <c r="AI112" t="str">
        <f>"3750.00"</f>
        <v>3750.00</v>
      </c>
      <c r="AJ112" t="str">
        <f>"C55-001-011-3246-2"</f>
        <v>C55-001-011-3246-2</v>
      </c>
      <c r="AK112" t="str">
        <f>"894"</f>
        <v>894</v>
      </c>
      <c r="AL112">
        <v>1</v>
      </c>
      <c r="AM112">
        <v>128</v>
      </c>
      <c r="AN112">
        <v>132.88</v>
      </c>
      <c r="AQ112" t="s">
        <v>1579</v>
      </c>
      <c r="AR112" t="s">
        <v>1579</v>
      </c>
      <c r="AS112" t="s">
        <v>1579</v>
      </c>
      <c r="AU112" t="s">
        <v>396</v>
      </c>
      <c r="AV112">
        <v>2017</v>
      </c>
      <c r="AW112" t="str">
        <f>"23-2N-23-1803-0005-0010 "</f>
        <v xml:space="preserve">23-2N-23-1803-0005-0010 </v>
      </c>
      <c r="AX112">
        <v>4359</v>
      </c>
      <c r="AZ112" t="s">
        <v>1369</v>
      </c>
      <c r="BA112" t="s">
        <v>496</v>
      </c>
      <c r="BD112" t="s">
        <v>398</v>
      </c>
      <c r="BE112" t="s">
        <v>393</v>
      </c>
      <c r="BF112">
        <v>32046</v>
      </c>
      <c r="BG112" t="s">
        <v>1580</v>
      </c>
      <c r="BH112" t="s">
        <v>400</v>
      </c>
      <c r="BI112">
        <v>-81.979286039595493</v>
      </c>
      <c r="BJ112">
        <v>30.578951226009799</v>
      </c>
      <c r="BK112" t="s">
        <v>1581</v>
      </c>
      <c r="BM112" t="s">
        <v>1582</v>
      </c>
      <c r="BN112" t="s">
        <v>403</v>
      </c>
      <c r="BO112">
        <v>32046</v>
      </c>
      <c r="BP112" t="s">
        <v>404</v>
      </c>
      <c r="BQ112">
        <v>1</v>
      </c>
      <c r="BR112" t="s">
        <v>491</v>
      </c>
      <c r="BS112">
        <v>8001</v>
      </c>
      <c r="BT112" t="s">
        <v>492</v>
      </c>
      <c r="BW112">
        <v>10890</v>
      </c>
      <c r="BX112" t="s">
        <v>407</v>
      </c>
      <c r="BY112" t="s">
        <v>408</v>
      </c>
      <c r="CD112">
        <v>2017</v>
      </c>
      <c r="CE112">
        <v>3750</v>
      </c>
      <c r="CF112">
        <v>2433</v>
      </c>
      <c r="CG112">
        <v>6183</v>
      </c>
      <c r="CH112">
        <v>2017</v>
      </c>
      <c r="CI112">
        <v>3750</v>
      </c>
      <c r="CJ112">
        <v>2433</v>
      </c>
      <c r="CK112">
        <v>6183</v>
      </c>
      <c r="CL112">
        <v>2017</v>
      </c>
      <c r="CM112">
        <v>93.28</v>
      </c>
      <c r="CN112" s="1">
        <v>39330</v>
      </c>
      <c r="CZ112" s="1">
        <v>39330</v>
      </c>
      <c r="DD112" t="s">
        <v>398</v>
      </c>
      <c r="DF112">
        <v>5</v>
      </c>
      <c r="DG112">
        <v>23</v>
      </c>
      <c r="DL112">
        <v>50503</v>
      </c>
      <c r="DM112" t="s">
        <v>1572</v>
      </c>
      <c r="DO112" t="s">
        <v>1583</v>
      </c>
      <c r="DP112">
        <v>0</v>
      </c>
      <c r="DQ112">
        <v>0</v>
      </c>
      <c r="DR112" t="s">
        <v>411</v>
      </c>
      <c r="DS112" t="b">
        <v>1</v>
      </c>
      <c r="DT112" t="s">
        <v>396</v>
      </c>
      <c r="DV112" t="s">
        <v>446</v>
      </c>
      <c r="DX112">
        <v>-9999</v>
      </c>
      <c r="DZ112" t="s">
        <v>447</v>
      </c>
      <c r="EA112" t="s">
        <v>448</v>
      </c>
      <c r="EB112" t="s">
        <v>449</v>
      </c>
      <c r="EC112">
        <v>20101217</v>
      </c>
      <c r="ED112" t="s">
        <v>450</v>
      </c>
      <c r="EE112">
        <v>17</v>
      </c>
      <c r="EF112">
        <v>0</v>
      </c>
      <c r="EG112">
        <v>0</v>
      </c>
      <c r="EH112" t="s">
        <v>451</v>
      </c>
      <c r="EI112">
        <v>20140731</v>
      </c>
      <c r="EJ112">
        <v>0</v>
      </c>
      <c r="EK112">
        <v>0</v>
      </c>
    </row>
    <row r="113" spans="1:248" x14ac:dyDescent="0.25">
      <c r="A113">
        <v>16485120</v>
      </c>
      <c r="B113">
        <v>112</v>
      </c>
      <c r="C113" t="s">
        <v>393</v>
      </c>
      <c r="D113" t="s">
        <v>394</v>
      </c>
      <c r="F113" t="str">
        <f>"25-2N-23-0000-0002-0010"</f>
        <v>25-2N-23-0000-0002-0010</v>
      </c>
      <c r="H113" t="str">
        <f>"TARRIS BOB TRUSTEE OF BOJU TRUST 6134"</f>
        <v>TARRIS BOB TRUSTEE OF BOJU TRUST 6134</v>
      </c>
      <c r="I113" t="str">
        <f>"PO BOX 7441"</f>
        <v>PO BOX 7441</v>
      </c>
      <c r="J113" t="str">
        <f>"JACKSONVILLE FL 32238"</f>
        <v>JACKSONVILLE FL 32238</v>
      </c>
      <c r="K113" t="str">
        <f>"6134 RIVER RD"</f>
        <v>6134 RIVER RD</v>
      </c>
      <c r="L113" t="str">
        <f t="shared" si="36"/>
        <v>HILLIARD FL 32046</v>
      </c>
      <c r="M113" t="str">
        <f>"IN OR 1059/996"</f>
        <v>IN OR 1059/996</v>
      </c>
      <c r="N113" t="str">
        <f>""</f>
        <v/>
      </c>
      <c r="O113" t="str">
        <f>"34930"</f>
        <v>34930</v>
      </c>
      <c r="P113" t="str">
        <f t="shared" si="27"/>
        <v>2017</v>
      </c>
      <c r="Q113" t="str">
        <f>""</f>
        <v/>
      </c>
      <c r="R113" t="str">
        <f t="shared" si="38"/>
        <v>N</v>
      </c>
      <c r="S113" t="str">
        <f>"1.00"</f>
        <v>1.00</v>
      </c>
      <c r="T113" t="str">
        <f>"663.21"</f>
        <v>663.21</v>
      </c>
      <c r="U113" t="str">
        <f>"42365.00"</f>
        <v>42365.00</v>
      </c>
      <c r="V113" t="str">
        <f>"42365.00"</f>
        <v>42365.00</v>
      </c>
      <c r="W113" t="str">
        <f t="shared" si="28"/>
        <v>2017</v>
      </c>
      <c r="X113" t="str">
        <f>"8.40"</f>
        <v>8.40</v>
      </c>
      <c r="Y113" t="str">
        <f>"715.11"</f>
        <v>715.11</v>
      </c>
      <c r="Z113" t="str">
        <f>""</f>
        <v/>
      </c>
      <c r="AA113" t="str">
        <f>"45678.00"</f>
        <v>45678.00</v>
      </c>
      <c r="AB113" t="str">
        <f>"Residential"</f>
        <v>Residential</v>
      </c>
      <c r="AC113" t="str">
        <f t="shared" si="30"/>
        <v>0</v>
      </c>
      <c r="AD113" t="str">
        <f>"4"</f>
        <v>4</v>
      </c>
      <c r="AE113" t="str">
        <f>"WOOD (INCLUDE STEEL STUDS)"</f>
        <v>WOOD (INCLUDE STEEL STUDS)</v>
      </c>
      <c r="AF113" t="str">
        <f>"002"</f>
        <v>002</v>
      </c>
      <c r="AG113" t="str">
        <f t="shared" si="37"/>
        <v>FL</v>
      </c>
      <c r="AH113" t="str">
        <f>"43560.00"</f>
        <v>43560.00</v>
      </c>
      <c r="AI113" t="str">
        <f>"15000.00"</f>
        <v>15000.00</v>
      </c>
      <c r="AJ113" t="str">
        <f>"C55-000-587-3867-5"</f>
        <v>C55-000-587-3867-5</v>
      </c>
      <c r="AK113" t="str">
        <f>"941"</f>
        <v>941</v>
      </c>
      <c r="AL113">
        <v>1</v>
      </c>
      <c r="AM113">
        <v>129</v>
      </c>
      <c r="AN113">
        <v>749.27</v>
      </c>
      <c r="AQ113" t="s">
        <v>1584</v>
      </c>
      <c r="AR113" t="s">
        <v>1584</v>
      </c>
      <c r="AS113" t="s">
        <v>1584</v>
      </c>
      <c r="AU113" t="s">
        <v>396</v>
      </c>
      <c r="AV113">
        <v>2017</v>
      </c>
      <c r="AW113" t="str">
        <f>"25-2N-23-0000-0002-0010 "</f>
        <v xml:space="preserve">25-2N-23-0000-0002-0010 </v>
      </c>
      <c r="AX113">
        <v>6134</v>
      </c>
      <c r="AZ113" t="s">
        <v>1369</v>
      </c>
      <c r="BA113" t="s">
        <v>496</v>
      </c>
      <c r="BD113" t="s">
        <v>398</v>
      </c>
      <c r="BE113" t="s">
        <v>393</v>
      </c>
      <c r="BF113">
        <v>32046</v>
      </c>
      <c r="BG113" t="s">
        <v>1585</v>
      </c>
      <c r="BH113" t="s">
        <v>400</v>
      </c>
      <c r="BI113">
        <v>-81.957265953813206</v>
      </c>
      <c r="BJ113">
        <v>30.565102144478502</v>
      </c>
      <c r="BK113" t="s">
        <v>1586</v>
      </c>
      <c r="BM113" t="s">
        <v>1587</v>
      </c>
      <c r="BN113" t="s">
        <v>548</v>
      </c>
      <c r="BO113">
        <v>32238</v>
      </c>
      <c r="BP113" t="s">
        <v>404</v>
      </c>
      <c r="BQ113">
        <v>200</v>
      </c>
      <c r="BR113" t="s">
        <v>405</v>
      </c>
      <c r="BS113">
        <v>1006</v>
      </c>
      <c r="BT113" t="s">
        <v>406</v>
      </c>
      <c r="BW113">
        <v>43560</v>
      </c>
      <c r="BX113" t="s">
        <v>407</v>
      </c>
      <c r="BY113" t="s">
        <v>408</v>
      </c>
      <c r="BZ113">
        <v>4</v>
      </c>
      <c r="CA113">
        <v>1999</v>
      </c>
      <c r="CC113">
        <v>1</v>
      </c>
      <c r="CD113">
        <v>2017</v>
      </c>
      <c r="CE113">
        <v>15000</v>
      </c>
      <c r="CF113">
        <v>30678</v>
      </c>
      <c r="CG113">
        <v>45678</v>
      </c>
      <c r="CH113">
        <v>2017</v>
      </c>
      <c r="CI113">
        <v>15000</v>
      </c>
      <c r="CJ113">
        <v>30678</v>
      </c>
      <c r="CK113">
        <v>45678</v>
      </c>
      <c r="CL113">
        <v>2017</v>
      </c>
      <c r="CM113">
        <v>663.21</v>
      </c>
      <c r="CN113" s="1">
        <v>37410</v>
      </c>
      <c r="CO113">
        <v>30000</v>
      </c>
      <c r="CV113">
        <v>26000</v>
      </c>
      <c r="CZ113" s="1">
        <v>37410</v>
      </c>
      <c r="DA113">
        <v>0</v>
      </c>
      <c r="DD113" t="s">
        <v>398</v>
      </c>
      <c r="DG113">
        <v>25</v>
      </c>
      <c r="DL113">
        <v>50503</v>
      </c>
      <c r="DM113" t="s">
        <v>1588</v>
      </c>
      <c r="DO113" t="s">
        <v>1589</v>
      </c>
      <c r="DP113">
        <v>0</v>
      </c>
      <c r="DQ113">
        <v>0</v>
      </c>
      <c r="DR113" t="s">
        <v>411</v>
      </c>
      <c r="DS113" t="b">
        <v>1</v>
      </c>
      <c r="DT113" t="s">
        <v>470</v>
      </c>
      <c r="DU113" t="s">
        <v>471</v>
      </c>
      <c r="DV113" t="s">
        <v>472</v>
      </c>
      <c r="DX113">
        <v>-9999</v>
      </c>
      <c r="DZ113" t="s">
        <v>447</v>
      </c>
      <c r="EA113" t="s">
        <v>448</v>
      </c>
      <c r="EB113" t="s">
        <v>1590</v>
      </c>
      <c r="EC113">
        <v>20101217</v>
      </c>
      <c r="ED113" t="s">
        <v>474</v>
      </c>
      <c r="EF113">
        <v>623.20000000000005</v>
      </c>
      <c r="EG113">
        <v>623.20000000000005</v>
      </c>
      <c r="EI113">
        <v>20160407</v>
      </c>
      <c r="EJ113">
        <v>0</v>
      </c>
      <c r="EK113">
        <v>0</v>
      </c>
      <c r="EP113" t="s">
        <v>421</v>
      </c>
      <c r="EQ113" t="s">
        <v>422</v>
      </c>
      <c r="ER113">
        <v>2</v>
      </c>
      <c r="ES113">
        <v>4</v>
      </c>
      <c r="ET113">
        <v>1333.88</v>
      </c>
      <c r="EU113">
        <v>79.19</v>
      </c>
      <c r="EV113">
        <v>1413.07</v>
      </c>
      <c r="EW113" s="2">
        <v>43222</v>
      </c>
      <c r="EX113" s="1">
        <v>42879</v>
      </c>
      <c r="EY113">
        <v>2016</v>
      </c>
      <c r="EZ113">
        <v>666.94</v>
      </c>
      <c r="FA113" t="s">
        <v>1591</v>
      </c>
      <c r="FB113">
        <v>0.25</v>
      </c>
      <c r="FC113" t="s">
        <v>424</v>
      </c>
      <c r="FD113" t="s">
        <v>454</v>
      </c>
      <c r="FF113">
        <v>12</v>
      </c>
      <c r="FG113">
        <v>2851116</v>
      </c>
      <c r="FH113" t="s">
        <v>480</v>
      </c>
      <c r="FJ113" s="1">
        <v>42879</v>
      </c>
      <c r="FK113">
        <v>2016</v>
      </c>
      <c r="FL113">
        <v>666.94</v>
      </c>
      <c r="FM113" t="s">
        <v>1591</v>
      </c>
      <c r="FN113">
        <v>0.25</v>
      </c>
      <c r="FO113" t="s">
        <v>424</v>
      </c>
      <c r="FP113" t="s">
        <v>454</v>
      </c>
      <c r="FR113">
        <v>12</v>
      </c>
      <c r="FS113">
        <v>5428642</v>
      </c>
      <c r="FT113" t="s">
        <v>1592</v>
      </c>
      <c r="FV113" s="1">
        <v>42515</v>
      </c>
      <c r="FW113">
        <v>2015</v>
      </c>
      <c r="FX113">
        <v>629.22</v>
      </c>
      <c r="FY113" t="s">
        <v>1593</v>
      </c>
      <c r="FZ113">
        <v>0.25</v>
      </c>
      <c r="GA113" t="s">
        <v>424</v>
      </c>
      <c r="GB113" t="s">
        <v>425</v>
      </c>
      <c r="GC113" s="1">
        <v>42710</v>
      </c>
      <c r="GD113">
        <v>7</v>
      </c>
      <c r="GE113">
        <v>2851116</v>
      </c>
      <c r="GF113" t="s">
        <v>480</v>
      </c>
      <c r="GH113" s="1">
        <v>42515</v>
      </c>
      <c r="GI113">
        <v>2015</v>
      </c>
      <c r="GJ113">
        <v>629.22</v>
      </c>
      <c r="GK113" t="s">
        <v>1593</v>
      </c>
      <c r="GL113">
        <v>0.25</v>
      </c>
      <c r="GM113" t="s">
        <v>424</v>
      </c>
      <c r="GN113" t="s">
        <v>425</v>
      </c>
      <c r="GP113">
        <v>22</v>
      </c>
      <c r="GQ113">
        <v>5597997</v>
      </c>
      <c r="GR113" t="s">
        <v>1594</v>
      </c>
      <c r="GT113" s="1">
        <v>41052</v>
      </c>
      <c r="GU113">
        <v>2011</v>
      </c>
      <c r="GV113">
        <v>451.49</v>
      </c>
      <c r="GW113" t="s">
        <v>1595</v>
      </c>
      <c r="GX113">
        <v>5.75</v>
      </c>
      <c r="GY113" t="s">
        <v>424</v>
      </c>
      <c r="GZ113" t="s">
        <v>425</v>
      </c>
      <c r="HA113" s="1">
        <v>41085</v>
      </c>
      <c r="HB113">
        <v>1</v>
      </c>
      <c r="HC113">
        <v>10125</v>
      </c>
      <c r="HD113" t="s">
        <v>440</v>
      </c>
      <c r="HF113" s="1">
        <v>40688</v>
      </c>
      <c r="HG113">
        <v>2010</v>
      </c>
      <c r="HH113">
        <v>524.1</v>
      </c>
      <c r="HI113" t="s">
        <v>1596</v>
      </c>
      <c r="HJ113">
        <v>0.25</v>
      </c>
      <c r="HK113" t="s">
        <v>424</v>
      </c>
      <c r="HL113" t="s">
        <v>425</v>
      </c>
      <c r="HM113" s="1">
        <v>40864</v>
      </c>
      <c r="HN113">
        <v>6</v>
      </c>
      <c r="HO113">
        <v>11338</v>
      </c>
      <c r="HP113" t="s">
        <v>1422</v>
      </c>
    </row>
    <row r="114" spans="1:248" x14ac:dyDescent="0.25">
      <c r="A114">
        <v>16485121</v>
      </c>
      <c r="B114">
        <v>113</v>
      </c>
      <c r="C114" t="s">
        <v>393</v>
      </c>
      <c r="D114" t="s">
        <v>394</v>
      </c>
      <c r="F114" t="str">
        <f>"26-2N-23-0000-0002-0000"</f>
        <v>26-2N-23-0000-0002-0000</v>
      </c>
      <c r="H114" t="str">
        <f>"RNHJ HOLDINGS INC"</f>
        <v>RNHJ HOLDINGS INC</v>
      </c>
      <c r="I114" t="str">
        <f>"PO BOX 455"</f>
        <v>PO BOX 455</v>
      </c>
      <c r="J114" t="str">
        <f>"CALLAHAN FL 32011"</f>
        <v>CALLAHAN FL 32011</v>
      </c>
      <c r="K114" t="str">
        <f>"4413 ROWE CUTOFF RD"</f>
        <v>4413 ROWE CUTOFF RD</v>
      </c>
      <c r="L114" t="str">
        <f t="shared" si="36"/>
        <v>HILLIARD FL 32046</v>
      </c>
      <c r="M114" t="str">
        <f>"PT OF NE1/4 IN OR 1551/865 &amp; PARCELS 1-3 &amp; 3-7 &amp; PT OR 1551/823 PARCEL 2"</f>
        <v>PT OF NE1/4 IN OR 1551/865 &amp; PARCELS 1-3 &amp; 3-7 &amp; PT OR 1551/823 PARCEL 2</v>
      </c>
      <c r="N114" t="str">
        <f>""</f>
        <v/>
      </c>
      <c r="O114" t="str">
        <f>"35967"</f>
        <v>35967</v>
      </c>
      <c r="P114" t="str">
        <f t="shared" si="27"/>
        <v>2017</v>
      </c>
      <c r="Q114" t="str">
        <f>""</f>
        <v/>
      </c>
      <c r="R114" t="str">
        <f t="shared" si="38"/>
        <v>N</v>
      </c>
      <c r="S114" t="str">
        <f>"35.96"</f>
        <v>35.96</v>
      </c>
      <c r="T114" t="str">
        <f>"2503.03"</f>
        <v>2503.03</v>
      </c>
      <c r="U114" t="str">
        <f>"165339.00"</f>
        <v>165339.00</v>
      </c>
      <c r="V114" t="str">
        <f>"165339.00"</f>
        <v>165339.00</v>
      </c>
      <c r="W114" t="str">
        <f t="shared" si="28"/>
        <v>2017</v>
      </c>
      <c r="X114" t="str">
        <f>"17.00"</f>
        <v>17.00</v>
      </c>
      <c r="Y114" t="str">
        <f>"2610.12"</f>
        <v>2610.12</v>
      </c>
      <c r="Z114" t="str">
        <f>""</f>
        <v/>
      </c>
      <c r="AA114" t="str">
        <f>"165339.00"</f>
        <v>165339.00</v>
      </c>
      <c r="AB114" t="str">
        <f>"Agricultural"</f>
        <v>Agricultural</v>
      </c>
      <c r="AC114" t="str">
        <f t="shared" si="30"/>
        <v>0</v>
      </c>
      <c r="AD114" t="str">
        <f>"4"</f>
        <v>4</v>
      </c>
      <c r="AE114" t="str">
        <f>"WOOD (INCLUDE STEEL STUDS)"</f>
        <v>WOOD (INCLUDE STEEL STUDS)</v>
      </c>
      <c r="AF114" t="str">
        <f>"050"</f>
        <v>050</v>
      </c>
      <c r="AG114" t="str">
        <f t="shared" si="37"/>
        <v>FL</v>
      </c>
      <c r="AH114" t="str">
        <f>"1566417.00"</f>
        <v>1566417.00</v>
      </c>
      <c r="AI114" t="str">
        <f>"32804.00"</f>
        <v>32804.00</v>
      </c>
      <c r="AJ114" t="str">
        <f>"C55-000-587-4455-8"</f>
        <v>C55-000-587-4455-8</v>
      </c>
      <c r="AK114" t="str">
        <f>"954"</f>
        <v>954</v>
      </c>
      <c r="AL114">
        <v>1</v>
      </c>
      <c r="AM114">
        <v>130</v>
      </c>
      <c r="AN114">
        <v>2739.03</v>
      </c>
      <c r="AQ114" t="s">
        <v>1597</v>
      </c>
      <c r="AR114" t="s">
        <v>1597</v>
      </c>
      <c r="AS114" t="s">
        <v>1597</v>
      </c>
      <c r="AU114" t="s">
        <v>396</v>
      </c>
      <c r="AV114">
        <v>2017</v>
      </c>
      <c r="AW114" t="str">
        <f>"26-2N-23-0000-0002-0000 "</f>
        <v xml:space="preserve">26-2N-23-0000-0002-0000 </v>
      </c>
      <c r="AX114">
        <v>4413</v>
      </c>
      <c r="AZ114" t="s">
        <v>1598</v>
      </c>
      <c r="BA114" t="s">
        <v>496</v>
      </c>
      <c r="BD114" t="s">
        <v>398</v>
      </c>
      <c r="BE114" t="s">
        <v>393</v>
      </c>
      <c r="BF114">
        <v>32046</v>
      </c>
      <c r="BG114" t="s">
        <v>1599</v>
      </c>
      <c r="BH114" t="s">
        <v>400</v>
      </c>
      <c r="BI114">
        <v>-81.976618900862704</v>
      </c>
      <c r="BJ114">
        <v>30.563863494030599</v>
      </c>
      <c r="BK114" t="s">
        <v>1371</v>
      </c>
      <c r="BM114" t="s">
        <v>1372</v>
      </c>
      <c r="BN114" t="s">
        <v>928</v>
      </c>
      <c r="BO114">
        <v>32011</v>
      </c>
      <c r="BP114" t="s">
        <v>404</v>
      </c>
      <c r="BQ114">
        <v>5000</v>
      </c>
      <c r="BR114" t="s">
        <v>664</v>
      </c>
      <c r="BS114">
        <v>7000</v>
      </c>
      <c r="BT114" t="s">
        <v>665</v>
      </c>
      <c r="BW114">
        <v>1449676</v>
      </c>
      <c r="BX114" t="s">
        <v>407</v>
      </c>
      <c r="BY114" t="s">
        <v>408</v>
      </c>
      <c r="BZ114">
        <v>4</v>
      </c>
      <c r="CA114">
        <v>1979</v>
      </c>
      <c r="CB114">
        <v>1</v>
      </c>
      <c r="CC114">
        <v>1</v>
      </c>
      <c r="CD114">
        <v>2017</v>
      </c>
      <c r="CG114">
        <v>165339</v>
      </c>
      <c r="CH114">
        <v>2017</v>
      </c>
      <c r="CI114">
        <v>32804</v>
      </c>
      <c r="CJ114">
        <v>230927</v>
      </c>
      <c r="CK114">
        <v>263731</v>
      </c>
      <c r="CL114">
        <v>2017</v>
      </c>
      <c r="CM114">
        <v>2503.0300000000002</v>
      </c>
      <c r="CN114" s="1">
        <v>39497</v>
      </c>
      <c r="CO114">
        <v>50000</v>
      </c>
      <c r="CV114">
        <v>0</v>
      </c>
      <c r="CZ114" s="1">
        <v>39497</v>
      </c>
      <c r="DA114">
        <v>0</v>
      </c>
      <c r="DD114" t="s">
        <v>398</v>
      </c>
      <c r="DG114">
        <v>26</v>
      </c>
      <c r="DL114">
        <v>50503</v>
      </c>
      <c r="DM114" t="s">
        <v>1600</v>
      </c>
      <c r="DO114" t="s">
        <v>1601</v>
      </c>
      <c r="DP114">
        <v>0</v>
      </c>
      <c r="DQ114">
        <v>0</v>
      </c>
      <c r="DR114" t="s">
        <v>411</v>
      </c>
      <c r="DS114" t="b">
        <v>1</v>
      </c>
      <c r="DT114" t="s">
        <v>396</v>
      </c>
      <c r="DV114" t="s">
        <v>446</v>
      </c>
      <c r="DX114">
        <v>-9999</v>
      </c>
      <c r="DZ114" t="s">
        <v>447</v>
      </c>
      <c r="EA114" t="s">
        <v>448</v>
      </c>
      <c r="EB114" t="s">
        <v>449</v>
      </c>
      <c r="EC114">
        <v>20101217</v>
      </c>
      <c r="ED114" t="s">
        <v>450</v>
      </c>
      <c r="EE114">
        <v>17</v>
      </c>
      <c r="EF114">
        <v>0</v>
      </c>
      <c r="EG114">
        <v>0</v>
      </c>
      <c r="EH114" t="s">
        <v>451</v>
      </c>
      <c r="EI114">
        <v>20140731</v>
      </c>
      <c r="EJ114">
        <v>0</v>
      </c>
      <c r="EK114">
        <v>0</v>
      </c>
      <c r="EP114" t="s">
        <v>421</v>
      </c>
      <c r="EQ114" t="s">
        <v>422</v>
      </c>
      <c r="ER114">
        <v>2</v>
      </c>
      <c r="ES114">
        <v>5</v>
      </c>
      <c r="ET114">
        <v>5247.46</v>
      </c>
      <c r="EU114">
        <v>274.87</v>
      </c>
      <c r="EV114">
        <v>5522.33</v>
      </c>
      <c r="EW114" s="2">
        <v>43222</v>
      </c>
      <c r="EX114" s="1">
        <v>42879</v>
      </c>
      <c r="EY114">
        <v>2016</v>
      </c>
      <c r="EZ114">
        <v>2623.73</v>
      </c>
      <c r="FA114" t="s">
        <v>1602</v>
      </c>
      <c r="FB114">
        <v>0.25</v>
      </c>
      <c r="FC114" t="s">
        <v>424</v>
      </c>
      <c r="FD114" t="s">
        <v>454</v>
      </c>
      <c r="FF114">
        <v>12</v>
      </c>
      <c r="FG114">
        <v>5857474</v>
      </c>
      <c r="FH114" t="s">
        <v>900</v>
      </c>
      <c r="FJ114" s="1">
        <v>42879</v>
      </c>
      <c r="FK114">
        <v>2016</v>
      </c>
      <c r="FL114">
        <v>2623.73</v>
      </c>
      <c r="FM114" t="s">
        <v>1602</v>
      </c>
      <c r="FN114">
        <v>0.25</v>
      </c>
      <c r="FO114" t="s">
        <v>424</v>
      </c>
      <c r="FP114" t="s">
        <v>454</v>
      </c>
      <c r="FR114">
        <v>12</v>
      </c>
      <c r="FS114">
        <v>6611090</v>
      </c>
      <c r="FT114" t="s">
        <v>1603</v>
      </c>
      <c r="FV114" s="1">
        <v>42151</v>
      </c>
      <c r="FW114">
        <v>2013</v>
      </c>
      <c r="FX114">
        <v>2693.6</v>
      </c>
      <c r="FY114" t="s">
        <v>1604</v>
      </c>
      <c r="FZ114">
        <v>0.25</v>
      </c>
      <c r="GA114" t="s">
        <v>424</v>
      </c>
      <c r="GB114" t="s">
        <v>425</v>
      </c>
      <c r="GC114" s="1">
        <v>42202</v>
      </c>
      <c r="GD114">
        <v>2</v>
      </c>
      <c r="GE114">
        <v>4975594</v>
      </c>
      <c r="GF114" t="s">
        <v>457</v>
      </c>
      <c r="GH114" s="1">
        <v>42151</v>
      </c>
      <c r="GI114">
        <v>2013</v>
      </c>
      <c r="GJ114">
        <v>2693.6</v>
      </c>
      <c r="GK114" t="s">
        <v>1604</v>
      </c>
      <c r="GL114">
        <v>0.25</v>
      </c>
      <c r="GM114" t="s">
        <v>424</v>
      </c>
      <c r="GN114" t="s">
        <v>425</v>
      </c>
      <c r="GP114">
        <v>22</v>
      </c>
      <c r="GQ114">
        <v>6217239</v>
      </c>
      <c r="GR114" t="s">
        <v>1605</v>
      </c>
      <c r="GT114" s="1">
        <v>41423</v>
      </c>
      <c r="GU114">
        <v>2012</v>
      </c>
      <c r="GV114">
        <v>2287.0700000000002</v>
      </c>
      <c r="GW114" t="s">
        <v>1606</v>
      </c>
      <c r="GX114">
        <v>0.25</v>
      </c>
      <c r="GY114" t="s">
        <v>424</v>
      </c>
      <c r="GZ114" t="s">
        <v>425</v>
      </c>
      <c r="HA114" s="1">
        <v>42202</v>
      </c>
      <c r="HB114">
        <v>26</v>
      </c>
      <c r="HC114">
        <v>436</v>
      </c>
      <c r="HD114" t="s">
        <v>1607</v>
      </c>
      <c r="HF114" s="1">
        <v>41052</v>
      </c>
      <c r="HG114">
        <v>2011</v>
      </c>
      <c r="HH114">
        <v>2374.3000000000002</v>
      </c>
      <c r="HI114" t="s">
        <v>1608</v>
      </c>
      <c r="HJ114">
        <v>0.25</v>
      </c>
      <c r="HK114" t="s">
        <v>424</v>
      </c>
      <c r="HL114" t="s">
        <v>425</v>
      </c>
      <c r="HM114" s="1">
        <v>41758</v>
      </c>
      <c r="HN114">
        <v>23</v>
      </c>
      <c r="HO114">
        <v>12092</v>
      </c>
      <c r="HP114" t="s">
        <v>483</v>
      </c>
      <c r="HR114" s="1">
        <v>41052</v>
      </c>
      <c r="HS114">
        <v>2011</v>
      </c>
      <c r="HT114">
        <v>2374.3000000000002</v>
      </c>
      <c r="HU114" t="s">
        <v>1608</v>
      </c>
      <c r="HV114">
        <v>0.25</v>
      </c>
      <c r="HW114" t="s">
        <v>424</v>
      </c>
      <c r="HX114" t="s">
        <v>425</v>
      </c>
      <c r="HZ114">
        <v>22</v>
      </c>
      <c r="IA114">
        <v>13241</v>
      </c>
      <c r="IB114" t="s">
        <v>1609</v>
      </c>
    </row>
    <row r="115" spans="1:248" x14ac:dyDescent="0.25">
      <c r="A115">
        <v>16485122</v>
      </c>
      <c r="B115">
        <v>114</v>
      </c>
      <c r="C115" t="s">
        <v>393</v>
      </c>
      <c r="D115" t="s">
        <v>394</v>
      </c>
      <c r="F115" t="str">
        <f>"26-2N-23-0000-0002-0010"</f>
        <v>26-2N-23-0000-0002-0010</v>
      </c>
      <c r="H115" t="str">
        <f>"RNHJ HOLDINGS INC"</f>
        <v>RNHJ HOLDINGS INC</v>
      </c>
      <c r="I115" t="str">
        <f>"PO BOX 455"</f>
        <v>PO BOX 455</v>
      </c>
      <c r="J115" t="str">
        <f>"CALLAHAN FL 32011"</f>
        <v>CALLAHAN FL 32011</v>
      </c>
      <c r="K115" t="str">
        <f>"OFF ROWE CUT-OFF RD"</f>
        <v>OFF ROWE CUT-OFF RD</v>
      </c>
      <c r="L115" t="str">
        <f t="shared" si="36"/>
        <v>HILLIARD FL 32046</v>
      </c>
      <c r="M115" t="str">
        <f>"PARCEL 2-1 NW1/4 OF NE1/4 PT OR 1551/823"</f>
        <v>PARCEL 2-1 NW1/4 OF NE1/4 PT OR 1551/823</v>
      </c>
      <c r="N115" t="str">
        <f>""</f>
        <v/>
      </c>
      <c r="O115" t="str">
        <f>"35968"</f>
        <v>35968</v>
      </c>
      <c r="P115" t="str">
        <f t="shared" si="27"/>
        <v>2017</v>
      </c>
      <c r="Q115" t="str">
        <f>""</f>
        <v/>
      </c>
      <c r="R115" t="str">
        <f t="shared" si="38"/>
        <v>N</v>
      </c>
      <c r="S115" t="str">
        <f>"6.77"</f>
        <v>6.77</v>
      </c>
      <c r="T115" t="str">
        <f>"66.61"</f>
        <v>66.61</v>
      </c>
      <c r="U115" t="str">
        <f>"4400.00"</f>
        <v>4400.00</v>
      </c>
      <c r="V115" t="str">
        <f>"4400.00"</f>
        <v>4400.00</v>
      </c>
      <c r="W115" t="str">
        <f t="shared" si="28"/>
        <v>2017</v>
      </c>
      <c r="X115" t="str">
        <f>"21.00"</f>
        <v>21.00</v>
      </c>
      <c r="Y115" t="str">
        <f>"100.61"</f>
        <v>100.61</v>
      </c>
      <c r="Z115" t="str">
        <f>""</f>
        <v/>
      </c>
      <c r="AA115" t="str">
        <f>"4400.00"</f>
        <v>4400.00</v>
      </c>
      <c r="AB115" t="str">
        <f>"Agricultural"</f>
        <v>Agricultural</v>
      </c>
      <c r="AC115" t="str">
        <f t="shared" si="30"/>
        <v>0</v>
      </c>
      <c r="AD115" t="str">
        <f>""</f>
        <v/>
      </c>
      <c r="AE115" t="str">
        <f>""</f>
        <v/>
      </c>
      <c r="AF115" t="str">
        <f>"054"</f>
        <v>054</v>
      </c>
      <c r="AG115" t="str">
        <f t="shared" si="37"/>
        <v>FL</v>
      </c>
      <c r="AH115" t="str">
        <f>"294901.00"</f>
        <v>294901.00</v>
      </c>
      <c r="AI115" t="str">
        <f>"4400.00"</f>
        <v>4400.00</v>
      </c>
      <c r="AJ115" t="str">
        <f>"C55-001-055-4826-7"</f>
        <v>C55-001-055-4826-7</v>
      </c>
      <c r="AK115" t="str">
        <f>"955"</f>
        <v>955</v>
      </c>
      <c r="AL115">
        <v>1</v>
      </c>
      <c r="AM115">
        <v>131</v>
      </c>
      <c r="AN115">
        <v>104.04</v>
      </c>
      <c r="AQ115" t="s">
        <v>1610</v>
      </c>
      <c r="AR115" t="s">
        <v>1610</v>
      </c>
      <c r="AS115" t="s">
        <v>1610</v>
      </c>
      <c r="AU115" t="s">
        <v>396</v>
      </c>
      <c r="AV115">
        <v>2017</v>
      </c>
      <c r="AW115" t="str">
        <f>"26-2N-23-0000-0002-0010 "</f>
        <v xml:space="preserve">26-2N-23-0000-0002-0010 </v>
      </c>
      <c r="AZ115" t="s">
        <v>1611</v>
      </c>
      <c r="BA115" t="s">
        <v>496</v>
      </c>
      <c r="BD115" t="s">
        <v>398</v>
      </c>
      <c r="BE115" t="s">
        <v>393</v>
      </c>
      <c r="BF115">
        <v>32046</v>
      </c>
      <c r="BG115" t="s">
        <v>1612</v>
      </c>
      <c r="BH115" t="s">
        <v>400</v>
      </c>
      <c r="BI115">
        <v>-81.975671004507404</v>
      </c>
      <c r="BJ115">
        <v>30.565772036838901</v>
      </c>
      <c r="BK115" t="s">
        <v>1371</v>
      </c>
      <c r="BM115" t="s">
        <v>1372</v>
      </c>
      <c r="BN115" t="s">
        <v>928</v>
      </c>
      <c r="BO115">
        <v>32011</v>
      </c>
      <c r="BP115" t="s">
        <v>404</v>
      </c>
      <c r="BQ115">
        <v>5400</v>
      </c>
      <c r="BR115" t="s">
        <v>1613</v>
      </c>
      <c r="BS115">
        <v>7009</v>
      </c>
      <c r="BT115" t="s">
        <v>418</v>
      </c>
      <c r="BW115">
        <v>294901</v>
      </c>
      <c r="BX115" t="s">
        <v>407</v>
      </c>
      <c r="CD115">
        <v>2017</v>
      </c>
      <c r="CG115">
        <v>4400</v>
      </c>
      <c r="CH115">
        <v>2017</v>
      </c>
      <c r="CI115">
        <v>4400</v>
      </c>
      <c r="CJ115">
        <v>36220</v>
      </c>
      <c r="CK115">
        <v>40620</v>
      </c>
      <c r="CL115">
        <v>2017</v>
      </c>
      <c r="CM115">
        <v>66.61</v>
      </c>
      <c r="CN115" s="1">
        <v>39447</v>
      </c>
      <c r="CO115">
        <v>50000</v>
      </c>
      <c r="CZ115" s="1">
        <v>39447</v>
      </c>
      <c r="DD115" t="s">
        <v>398</v>
      </c>
      <c r="DG115">
        <v>26</v>
      </c>
      <c r="DI115" t="s">
        <v>1614</v>
      </c>
      <c r="DL115">
        <v>50503</v>
      </c>
      <c r="DM115" t="s">
        <v>1600</v>
      </c>
      <c r="DO115" t="s">
        <v>1615</v>
      </c>
      <c r="DP115">
        <v>0</v>
      </c>
      <c r="DQ115">
        <v>0</v>
      </c>
      <c r="DR115" t="s">
        <v>411</v>
      </c>
      <c r="DS115" t="b">
        <v>1</v>
      </c>
      <c r="DT115" t="s">
        <v>470</v>
      </c>
      <c r="DU115" t="s">
        <v>471</v>
      </c>
      <c r="DV115" t="s">
        <v>472</v>
      </c>
      <c r="DX115">
        <v>-9999</v>
      </c>
      <c r="DZ115" t="s">
        <v>447</v>
      </c>
      <c r="EA115" t="s">
        <v>448</v>
      </c>
      <c r="EB115" t="s">
        <v>1295</v>
      </c>
      <c r="EC115">
        <v>20101217</v>
      </c>
      <c r="ED115" t="s">
        <v>474</v>
      </c>
      <c r="EF115">
        <v>603.1</v>
      </c>
      <c r="EG115">
        <v>603.1</v>
      </c>
      <c r="EI115">
        <v>20160407</v>
      </c>
      <c r="EJ115">
        <v>0</v>
      </c>
      <c r="EK115">
        <v>0</v>
      </c>
      <c r="EP115" t="s">
        <v>421</v>
      </c>
      <c r="EQ115" t="s">
        <v>422</v>
      </c>
      <c r="ER115">
        <v>2</v>
      </c>
      <c r="ES115">
        <v>1</v>
      </c>
      <c r="ET115">
        <v>185.53</v>
      </c>
      <c r="EU115">
        <v>50.4</v>
      </c>
      <c r="EV115">
        <v>235.93</v>
      </c>
      <c r="EW115" s="2">
        <v>43222</v>
      </c>
      <c r="EX115" s="1">
        <v>42879</v>
      </c>
      <c r="EY115">
        <v>2016</v>
      </c>
      <c r="EZ115">
        <v>94.44</v>
      </c>
      <c r="FA115" t="s">
        <v>1616</v>
      </c>
      <c r="FB115">
        <v>9.75</v>
      </c>
      <c r="FC115" t="s">
        <v>424</v>
      </c>
      <c r="FD115" t="s">
        <v>454</v>
      </c>
      <c r="FF115">
        <v>12</v>
      </c>
      <c r="FG115">
        <v>10021</v>
      </c>
      <c r="FH115" t="s">
        <v>597</v>
      </c>
      <c r="FJ115" s="1">
        <v>42515</v>
      </c>
      <c r="FK115">
        <v>2015</v>
      </c>
      <c r="FL115">
        <v>91.09</v>
      </c>
      <c r="FM115" t="s">
        <v>1617</v>
      </c>
      <c r="FN115">
        <v>15.75</v>
      </c>
      <c r="FO115" t="s">
        <v>424</v>
      </c>
      <c r="FP115" t="s">
        <v>454</v>
      </c>
      <c r="FR115">
        <v>24</v>
      </c>
      <c r="FS115">
        <v>10125</v>
      </c>
      <c r="FT115" t="s">
        <v>440</v>
      </c>
      <c r="FV115" s="1">
        <v>42151</v>
      </c>
      <c r="FW115">
        <v>2014</v>
      </c>
      <c r="FX115">
        <v>89.1</v>
      </c>
      <c r="FY115" t="s">
        <v>1618</v>
      </c>
      <c r="FZ115">
        <v>14.75</v>
      </c>
      <c r="GA115" t="s">
        <v>424</v>
      </c>
      <c r="GB115" t="s">
        <v>425</v>
      </c>
      <c r="GC115" s="1">
        <v>42793</v>
      </c>
      <c r="GD115">
        <v>21</v>
      </c>
      <c r="GE115">
        <v>115</v>
      </c>
      <c r="GF115" t="s">
        <v>478</v>
      </c>
    </row>
    <row r="116" spans="1:248" x14ac:dyDescent="0.25">
      <c r="A116">
        <v>16485123</v>
      </c>
      <c r="B116">
        <v>115</v>
      </c>
      <c r="C116" t="s">
        <v>393</v>
      </c>
      <c r="D116" t="s">
        <v>394</v>
      </c>
      <c r="F116" t="str">
        <f>"26-2N-23-0000-0005-0020"</f>
        <v>26-2N-23-0000-0005-0020</v>
      </c>
      <c r="H116" t="str">
        <f>"CONNER GERALD DALE EST"</f>
        <v>CONNER GERALD DALE EST</v>
      </c>
      <c r="I116" t="str">
        <f>"3800 CONNER COLLINS RD"</f>
        <v>3800 CONNER COLLINS RD</v>
      </c>
      <c r="J116" t="str">
        <f>"HILLIARD FL 32046"</f>
        <v>HILLIARD FL 32046</v>
      </c>
      <c r="K116" t="str">
        <f>"4000 HASSELL LN"</f>
        <v>4000 HASSELL LN</v>
      </c>
      <c r="L116" t="str">
        <f t="shared" si="36"/>
        <v>HILLIARD FL 32046</v>
      </c>
      <c r="M116" t="str">
        <f>"SE1/4 OF NW1/4 IN OR 2090/60"</f>
        <v>SE1/4 OF NW1/4 IN OR 2090/60</v>
      </c>
      <c r="N116" t="str">
        <f>""</f>
        <v/>
      </c>
      <c r="O116" t="str">
        <f>"35980"</f>
        <v>35980</v>
      </c>
      <c r="P116" t="str">
        <f t="shared" si="27"/>
        <v>2017</v>
      </c>
      <c r="Q116" t="str">
        <f>""</f>
        <v/>
      </c>
      <c r="R116" t="str">
        <f t="shared" si="38"/>
        <v>N</v>
      </c>
      <c r="S116" t="str">
        <f>"43.06"</f>
        <v>43.06</v>
      </c>
      <c r="T116" t="str">
        <f>"2326.98"</f>
        <v>2326.98</v>
      </c>
      <c r="U116" t="str">
        <f>"153710.00"</f>
        <v>153710.00</v>
      </c>
      <c r="V116" t="str">
        <f>"153710.00"</f>
        <v>153710.00</v>
      </c>
      <c r="W116" t="str">
        <f t="shared" si="28"/>
        <v>2017</v>
      </c>
      <c r="X116" t="str">
        <f>""</f>
        <v/>
      </c>
      <c r="Y116" t="str">
        <f>"2428.79"</f>
        <v>2428.79</v>
      </c>
      <c r="Z116" t="str">
        <f>""</f>
        <v/>
      </c>
      <c r="AA116" t="str">
        <f>"153710.00"</f>
        <v>153710.00</v>
      </c>
      <c r="AB116" t="str">
        <f>"Residential"</f>
        <v>Residential</v>
      </c>
      <c r="AC116" t="str">
        <f t="shared" si="30"/>
        <v>0</v>
      </c>
      <c r="AD116" t="str">
        <f>""</f>
        <v/>
      </c>
      <c r="AE116" t="str">
        <f>""</f>
        <v/>
      </c>
      <c r="AF116" t="str">
        <f>"000"</f>
        <v>000</v>
      </c>
      <c r="AG116" t="str">
        <f t="shared" si="37"/>
        <v>FL</v>
      </c>
      <c r="AH116" t="str">
        <f>"1875693.00"</f>
        <v>1875693.00</v>
      </c>
      <c r="AI116" t="str">
        <f>"150710.00"</f>
        <v>150710.00</v>
      </c>
      <c r="AJ116" t="str">
        <f>"C55-000-587-4464-0"</f>
        <v>C55-000-587-4464-0</v>
      </c>
      <c r="AK116" t="str">
        <f>"966"</f>
        <v>966</v>
      </c>
      <c r="AL116">
        <v>1</v>
      </c>
      <c r="AM116">
        <v>132</v>
      </c>
      <c r="AN116">
        <v>2548.63</v>
      </c>
      <c r="AQ116" t="s">
        <v>1619</v>
      </c>
      <c r="AR116" t="s">
        <v>1619</v>
      </c>
      <c r="AS116" t="s">
        <v>1619</v>
      </c>
      <c r="AU116" t="s">
        <v>396</v>
      </c>
      <c r="AV116">
        <v>2017</v>
      </c>
      <c r="AW116" t="str">
        <f>"26-2N-23-0000-0005-0020 "</f>
        <v xml:space="preserve">26-2N-23-0000-0005-0020 </v>
      </c>
      <c r="AX116">
        <v>4000</v>
      </c>
      <c r="AZ116" t="s">
        <v>1620</v>
      </c>
      <c r="BA116" t="s">
        <v>653</v>
      </c>
      <c r="BD116" t="s">
        <v>398</v>
      </c>
      <c r="BE116" t="s">
        <v>393</v>
      </c>
      <c r="BF116">
        <v>32046</v>
      </c>
      <c r="BG116" t="s">
        <v>1621</v>
      </c>
      <c r="BH116" t="s">
        <v>400</v>
      </c>
      <c r="BI116">
        <v>-81.980985767680906</v>
      </c>
      <c r="BJ116">
        <v>30.560555430408101</v>
      </c>
      <c r="BK116" t="s">
        <v>1622</v>
      </c>
      <c r="BM116" t="s">
        <v>1623</v>
      </c>
      <c r="BN116" t="s">
        <v>403</v>
      </c>
      <c r="BO116">
        <v>32046</v>
      </c>
      <c r="BP116" t="s">
        <v>404</v>
      </c>
      <c r="BQ116">
        <v>1</v>
      </c>
      <c r="BR116" t="s">
        <v>491</v>
      </c>
      <c r="BS116">
        <v>8001</v>
      </c>
      <c r="BT116" t="s">
        <v>492</v>
      </c>
      <c r="BW116">
        <v>1875693</v>
      </c>
      <c r="BX116" t="s">
        <v>407</v>
      </c>
      <c r="BY116" t="s">
        <v>408</v>
      </c>
      <c r="CD116">
        <v>2017</v>
      </c>
      <c r="CE116">
        <v>150710</v>
      </c>
      <c r="CF116">
        <v>3000</v>
      </c>
      <c r="CG116">
        <v>153710</v>
      </c>
      <c r="CH116">
        <v>2017</v>
      </c>
      <c r="CI116">
        <v>150710</v>
      </c>
      <c r="CJ116">
        <v>3000</v>
      </c>
      <c r="CK116">
        <v>153710</v>
      </c>
      <c r="CL116">
        <v>2017</v>
      </c>
      <c r="CM116">
        <v>2326.98</v>
      </c>
      <c r="CN116" s="1">
        <v>41974</v>
      </c>
      <c r="CZ116" s="1">
        <v>41974</v>
      </c>
      <c r="DD116" t="s">
        <v>398</v>
      </c>
      <c r="DG116">
        <v>26</v>
      </c>
      <c r="DL116">
        <v>50503</v>
      </c>
      <c r="DM116" t="s">
        <v>1600</v>
      </c>
      <c r="DO116" t="s">
        <v>1624</v>
      </c>
      <c r="DP116">
        <v>0</v>
      </c>
      <c r="DQ116">
        <v>0</v>
      </c>
      <c r="DR116" t="s">
        <v>411</v>
      </c>
    </row>
    <row r="117" spans="1:248" x14ac:dyDescent="0.25">
      <c r="A117">
        <v>16485124</v>
      </c>
      <c r="B117">
        <v>116</v>
      </c>
      <c r="C117" t="s">
        <v>393</v>
      </c>
      <c r="D117" t="s">
        <v>394</v>
      </c>
      <c r="F117" t="str">
        <f>"26-2N-23-0000-0005-0150"</f>
        <v>26-2N-23-0000-0005-0150</v>
      </c>
      <c r="H117" t="str">
        <f>"CONNER GERALD DALE EST"</f>
        <v>CONNER GERALD DALE EST</v>
      </c>
      <c r="I117" t="str">
        <f>"3800 CONNER COLLINS RD"</f>
        <v>3800 CONNER COLLINS RD</v>
      </c>
      <c r="J117" t="str">
        <f>"HILLIARD FL 32046"</f>
        <v>HILLIARD FL 32046</v>
      </c>
      <c r="K117" t="str">
        <f>"CONNER COLLINS RD"</f>
        <v>CONNER COLLINS RD</v>
      </c>
      <c r="L117" t="str">
        <f t="shared" si="36"/>
        <v>HILLIARD FL 32046</v>
      </c>
      <c r="M117" t="str">
        <f>"NE1/4 OF SW1/4 PT OR 648/438 ESMT OR 554/858"</f>
        <v>NE1/4 OF SW1/4 PT OR 648/438 ESMT OR 554/858</v>
      </c>
      <c r="N117" t="str">
        <f>""</f>
        <v/>
      </c>
      <c r="O117" t="str">
        <f>"57389"</f>
        <v>57389</v>
      </c>
      <c r="P117" t="str">
        <f t="shared" si="27"/>
        <v>2017</v>
      </c>
      <c r="Q117" t="str">
        <f>""</f>
        <v/>
      </c>
      <c r="R117" t="str">
        <f t="shared" si="38"/>
        <v>N</v>
      </c>
      <c r="S117" t="str">
        <f>"40.00"</f>
        <v>40.00</v>
      </c>
      <c r="T117" t="str">
        <f>"239.79"</f>
        <v>239.79</v>
      </c>
      <c r="U117" t="str">
        <f>"15840.00"</f>
        <v>15840.00</v>
      </c>
      <c r="V117" t="str">
        <f>"15840.00"</f>
        <v>15840.00</v>
      </c>
      <c r="W117" t="str">
        <f t="shared" si="28"/>
        <v>2017</v>
      </c>
      <c r="X117" t="str">
        <f>""</f>
        <v/>
      </c>
      <c r="Y117" t="str">
        <f>"278.98"</f>
        <v>278.98</v>
      </c>
      <c r="Z117" t="str">
        <f>""</f>
        <v/>
      </c>
      <c r="AA117" t="str">
        <f>"15840.00"</f>
        <v>15840.00</v>
      </c>
      <c r="AB117" t="str">
        <f>"Agricultural"</f>
        <v>Agricultural</v>
      </c>
      <c r="AC117" t="str">
        <f t="shared" si="30"/>
        <v>0</v>
      </c>
      <c r="AD117" t="str">
        <f>""</f>
        <v/>
      </c>
      <c r="AE117" t="str">
        <f>""</f>
        <v/>
      </c>
      <c r="AF117" t="str">
        <f>"056"</f>
        <v>056</v>
      </c>
      <c r="AG117" t="str">
        <f t="shared" si="37"/>
        <v>FL</v>
      </c>
      <c r="AH117" t="str">
        <f>"1742400.00"</f>
        <v>1742400.00</v>
      </c>
      <c r="AI117" t="str">
        <f>"9800.00"</f>
        <v>9800.00</v>
      </c>
      <c r="AJ117" t="str">
        <f>"C55-001-092-8137-8"</f>
        <v>C55-001-092-8137-8</v>
      </c>
      <c r="AK117" t="str">
        <f>"978"</f>
        <v>978</v>
      </c>
      <c r="AL117">
        <v>1</v>
      </c>
      <c r="AM117">
        <v>133</v>
      </c>
      <c r="AN117">
        <v>291.33</v>
      </c>
      <c r="AQ117" t="s">
        <v>1625</v>
      </c>
      <c r="AR117" t="s">
        <v>1625</v>
      </c>
      <c r="AS117" t="s">
        <v>1625</v>
      </c>
      <c r="AU117" t="s">
        <v>396</v>
      </c>
      <c r="AV117">
        <v>2017</v>
      </c>
      <c r="AW117" t="str">
        <f>"26-2N-23-0000-0005-0150 "</f>
        <v xml:space="preserve">26-2N-23-0000-0005-0150 </v>
      </c>
      <c r="AZ117" t="s">
        <v>1626</v>
      </c>
      <c r="BA117" t="s">
        <v>496</v>
      </c>
      <c r="BD117" t="s">
        <v>398</v>
      </c>
      <c r="BE117" t="s">
        <v>393</v>
      </c>
      <c r="BF117">
        <v>32046</v>
      </c>
      <c r="BG117" t="s">
        <v>1627</v>
      </c>
      <c r="BH117" t="s">
        <v>400</v>
      </c>
      <c r="BK117" t="s">
        <v>1622</v>
      </c>
      <c r="BM117" t="s">
        <v>1623</v>
      </c>
      <c r="BN117" t="s">
        <v>403</v>
      </c>
      <c r="BO117">
        <v>32046</v>
      </c>
      <c r="BQ117">
        <v>5600</v>
      </c>
      <c r="BR117" t="s">
        <v>417</v>
      </c>
      <c r="BS117">
        <v>7009</v>
      </c>
      <c r="BT117" t="s">
        <v>418</v>
      </c>
      <c r="BW117">
        <v>1742400</v>
      </c>
      <c r="BX117" t="s">
        <v>407</v>
      </c>
      <c r="CD117">
        <v>2017</v>
      </c>
      <c r="CG117">
        <v>15840</v>
      </c>
      <c r="CH117">
        <v>2017</v>
      </c>
      <c r="CI117">
        <v>9800</v>
      </c>
      <c r="CJ117">
        <v>136240</v>
      </c>
      <c r="CK117">
        <v>146040</v>
      </c>
      <c r="CL117">
        <v>2017</v>
      </c>
      <c r="CM117">
        <v>239.79</v>
      </c>
      <c r="DD117" t="s">
        <v>398</v>
      </c>
      <c r="DM117" t="s">
        <v>1600</v>
      </c>
      <c r="DO117" t="s">
        <v>1628</v>
      </c>
    </row>
    <row r="118" spans="1:248" x14ac:dyDescent="0.25">
      <c r="A118">
        <v>16485125</v>
      </c>
      <c r="B118">
        <v>117</v>
      </c>
      <c r="C118" t="s">
        <v>393</v>
      </c>
      <c r="D118" t="s">
        <v>394</v>
      </c>
      <c r="F118" t="str">
        <f>"27-2N-23-0000-0001-0000"</f>
        <v>27-2N-23-0000-0001-0000</v>
      </c>
      <c r="H118" t="str">
        <f>"NASSAU TIMBER &amp; LAND HOLDINGS LLC"</f>
        <v>NASSAU TIMBER &amp; LAND HOLDINGS LLC</v>
      </c>
      <c r="I118" t="str">
        <f>"PO BOX 1694"</f>
        <v>PO BOX 1694</v>
      </c>
      <c r="J118" t="str">
        <f>"CALLAHAN FL 32011"</f>
        <v>CALLAHAN FL 32011</v>
      </c>
      <c r="K118" t="str">
        <f>"CR 121"</f>
        <v>CR 121</v>
      </c>
      <c r="L118" t="str">
        <f t="shared" si="36"/>
        <v>HILLIARD FL 32046</v>
      </c>
      <c r="M118" t="str">
        <f>"PT GOVT LOT 1 &amp; PT OF E1/2 OF SEC 27-2N-23E LYING WEST OF COUNTY ROAD 121 IN OR 2051/12 (EX OR 2085/1432)"</f>
        <v>PT GOVT LOT 1 &amp; PT OF E1/2 OF SEC 27-2N-23E LYING WEST OF COUNTY ROAD 121 IN OR 2051/12 (EX OR 2085/1432)</v>
      </c>
      <c r="N118" t="str">
        <f>""</f>
        <v/>
      </c>
      <c r="O118" t="str">
        <f>"36970"</f>
        <v>36970</v>
      </c>
      <c r="P118" t="str">
        <f t="shared" si="27"/>
        <v>2017</v>
      </c>
      <c r="Q118" t="str">
        <f>""</f>
        <v/>
      </c>
      <c r="R118" t="str">
        <f t="shared" si="38"/>
        <v>N</v>
      </c>
      <c r="S118" t="str">
        <f>"20.85"</f>
        <v>20.85</v>
      </c>
      <c r="T118" t="str">
        <f>"1420.40"</f>
        <v>1420.40</v>
      </c>
      <c r="U118" t="str">
        <f>"93825.00"</f>
        <v>93825.00</v>
      </c>
      <c r="V118" t="str">
        <f>"93825.00"</f>
        <v>93825.00</v>
      </c>
      <c r="W118" t="str">
        <f t="shared" si="28"/>
        <v>2017</v>
      </c>
      <c r="X118" t="str">
        <f>""</f>
        <v/>
      </c>
      <c r="Y118" t="str">
        <f>"1495.01"</f>
        <v>1495.01</v>
      </c>
      <c r="Z118" t="str">
        <f>""</f>
        <v/>
      </c>
      <c r="AA118" t="str">
        <f>"93825.00"</f>
        <v>93825.00</v>
      </c>
      <c r="AB118" t="str">
        <f t="shared" ref="AB118:AB132" si="39">"Residential"</f>
        <v>Residential</v>
      </c>
      <c r="AC118" t="str">
        <f t="shared" si="30"/>
        <v>0</v>
      </c>
      <c r="AD118" t="str">
        <f>""</f>
        <v/>
      </c>
      <c r="AE118" t="str">
        <f>""</f>
        <v/>
      </c>
      <c r="AF118" t="str">
        <f t="shared" ref="AF118:AF123" si="40">"000"</f>
        <v>000</v>
      </c>
      <c r="AG118" t="str">
        <f t="shared" si="37"/>
        <v>FL</v>
      </c>
      <c r="AH118" t="str">
        <f>"908226.00"</f>
        <v>908226.00</v>
      </c>
      <c r="AI118" t="str">
        <f>"93825.00"</f>
        <v>93825.00</v>
      </c>
      <c r="AJ118" t="str">
        <f>"C55-000-587-4711-4"</f>
        <v>C55-000-587-4711-4</v>
      </c>
      <c r="AK118" t="str">
        <f>"979"</f>
        <v>979</v>
      </c>
      <c r="AL118">
        <v>1</v>
      </c>
      <c r="AM118">
        <v>134</v>
      </c>
      <c r="AN118">
        <v>1568.16</v>
      </c>
      <c r="AQ118" t="s">
        <v>1629</v>
      </c>
      <c r="AR118" t="s">
        <v>1629</v>
      </c>
      <c r="AS118" t="s">
        <v>1629</v>
      </c>
      <c r="AU118" t="s">
        <v>396</v>
      </c>
      <c r="AV118">
        <v>2017</v>
      </c>
      <c r="AW118" t="str">
        <f>"27-2N-23-0000-0001-0000 "</f>
        <v xml:space="preserve">27-2N-23-0000-0001-0000 </v>
      </c>
      <c r="AZ118" t="s">
        <v>611</v>
      </c>
      <c r="BD118" t="s">
        <v>398</v>
      </c>
      <c r="BE118" t="s">
        <v>393</v>
      </c>
      <c r="BF118">
        <v>32046</v>
      </c>
      <c r="BG118" t="s">
        <v>611</v>
      </c>
      <c r="BH118" t="s">
        <v>400</v>
      </c>
      <c r="BI118">
        <v>-81.995467494354401</v>
      </c>
      <c r="BJ118">
        <v>30.5639405388517</v>
      </c>
      <c r="BK118" t="s">
        <v>1630</v>
      </c>
      <c r="BM118" t="s">
        <v>1631</v>
      </c>
      <c r="BN118" t="s">
        <v>928</v>
      </c>
      <c r="BO118">
        <v>32011</v>
      </c>
      <c r="BP118" t="s">
        <v>404</v>
      </c>
      <c r="BQ118">
        <v>0</v>
      </c>
      <c r="BR118" t="s">
        <v>491</v>
      </c>
      <c r="BS118">
        <v>8001</v>
      </c>
      <c r="BT118" t="s">
        <v>492</v>
      </c>
      <c r="BW118">
        <v>3712183</v>
      </c>
      <c r="BX118" t="s">
        <v>407</v>
      </c>
      <c r="BY118" t="s">
        <v>408</v>
      </c>
      <c r="CD118">
        <v>2017</v>
      </c>
      <c r="CE118">
        <v>93825</v>
      </c>
      <c r="CG118">
        <v>93825</v>
      </c>
      <c r="CH118">
        <v>2017</v>
      </c>
      <c r="CI118">
        <v>93825</v>
      </c>
      <c r="CK118">
        <v>93825</v>
      </c>
      <c r="CL118">
        <v>2017</v>
      </c>
      <c r="CM118">
        <v>1420.4</v>
      </c>
      <c r="CN118" s="1">
        <v>42528</v>
      </c>
      <c r="CO118">
        <v>142975</v>
      </c>
      <c r="CV118">
        <v>0</v>
      </c>
      <c r="CZ118" s="1">
        <v>42528</v>
      </c>
      <c r="DA118">
        <v>0</v>
      </c>
      <c r="DD118" t="s">
        <v>398</v>
      </c>
      <c r="DF118">
        <v>1</v>
      </c>
      <c r="DG118">
        <v>27</v>
      </c>
      <c r="DM118" t="s">
        <v>1632</v>
      </c>
      <c r="DO118" t="s">
        <v>1633</v>
      </c>
      <c r="DP118">
        <v>0</v>
      </c>
      <c r="DQ118">
        <v>0</v>
      </c>
      <c r="DR118" t="s">
        <v>411</v>
      </c>
    </row>
    <row r="119" spans="1:248" x14ac:dyDescent="0.25">
      <c r="A119">
        <v>16485126</v>
      </c>
      <c r="B119">
        <v>118</v>
      </c>
      <c r="C119" t="s">
        <v>393</v>
      </c>
      <c r="D119" t="s">
        <v>394</v>
      </c>
      <c r="F119" t="str">
        <f>"27-2N-23-0000-0001-0070"</f>
        <v>27-2N-23-0000-0001-0070</v>
      </c>
      <c r="H119" t="str">
        <f>"OCEANS EIGHT CREATIVE GROUP LLC"</f>
        <v>OCEANS EIGHT CREATIVE GROUP LLC</v>
      </c>
      <c r="I119" t="str">
        <f>"450027 OLD DIXIE HWY"</f>
        <v>450027 OLD DIXIE HWY</v>
      </c>
      <c r="J119" t="str">
        <f>"CALLAHAN FL 32011"</f>
        <v>CALLAHAN FL 32011</v>
      </c>
      <c r="K119" t="str">
        <f>"CR 121"</f>
        <v>CR 121</v>
      </c>
      <c r="L119" t="str">
        <f t="shared" si="36"/>
        <v>HILLIARD FL 32046</v>
      </c>
      <c r="M119" t="str">
        <f>"PT OF SW1/4 OF SE1/4 OF SEC 27-2N-23E IN OR 2031/1666"</f>
        <v>PT OF SW1/4 OF SE1/4 OF SEC 27-2N-23E IN OR 2031/1666</v>
      </c>
      <c r="N119" t="str">
        <f>""</f>
        <v/>
      </c>
      <c r="O119" t="str">
        <f>"36977"</f>
        <v>36977</v>
      </c>
      <c r="P119" t="str">
        <f t="shared" si="27"/>
        <v>2017</v>
      </c>
      <c r="Q119" t="str">
        <f>""</f>
        <v/>
      </c>
      <c r="R119" t="str">
        <f t="shared" si="38"/>
        <v>N</v>
      </c>
      <c r="S119" t="str">
        <f>"7.86"</f>
        <v>7.86</v>
      </c>
      <c r="T119" t="str">
        <f>"713.96"</f>
        <v>713.96</v>
      </c>
      <c r="U119" t="str">
        <f>"47160.00"</f>
        <v>47160.00</v>
      </c>
      <c r="V119" t="str">
        <f>"47160.00"</f>
        <v>47160.00</v>
      </c>
      <c r="W119" t="str">
        <f t="shared" si="28"/>
        <v>2017</v>
      </c>
      <c r="X119" t="str">
        <f>""</f>
        <v/>
      </c>
      <c r="Y119" t="str">
        <f>"767.38"</f>
        <v>767.38</v>
      </c>
      <c r="Z119" t="str">
        <f>""</f>
        <v/>
      </c>
      <c r="AA119" t="str">
        <f>"47160.00"</f>
        <v>47160.00</v>
      </c>
      <c r="AB119" t="str">
        <f t="shared" si="39"/>
        <v>Residential</v>
      </c>
      <c r="AC119" t="str">
        <f t="shared" si="30"/>
        <v>0</v>
      </c>
      <c r="AD119" t="str">
        <f>""</f>
        <v/>
      </c>
      <c r="AE119" t="str">
        <f>""</f>
        <v/>
      </c>
      <c r="AF119" t="str">
        <f t="shared" si="40"/>
        <v>000</v>
      </c>
      <c r="AG119" t="str">
        <f t="shared" si="37"/>
        <v>FL</v>
      </c>
      <c r="AH119" t="str">
        <f>"342381.00"</f>
        <v>342381.00</v>
      </c>
      <c r="AI119" t="str">
        <f>"47160.00"</f>
        <v>47160.00</v>
      </c>
      <c r="AJ119" t="str">
        <f>"C55-000-589-0352-7"</f>
        <v>C55-000-589-0352-7</v>
      </c>
      <c r="AK119" t="str">
        <f>"986"</f>
        <v>986</v>
      </c>
      <c r="AL119">
        <v>1</v>
      </c>
      <c r="AM119">
        <v>135</v>
      </c>
      <c r="AN119">
        <v>804.15</v>
      </c>
      <c r="AQ119" t="s">
        <v>1634</v>
      </c>
      <c r="AR119" t="s">
        <v>1634</v>
      </c>
      <c r="AS119" t="s">
        <v>1634</v>
      </c>
      <c r="AU119" t="s">
        <v>396</v>
      </c>
      <c r="AV119">
        <v>2017</v>
      </c>
      <c r="AW119" t="str">
        <f>"27-2N-23-0000-0001-0070 "</f>
        <v xml:space="preserve">27-2N-23-0000-0001-0070 </v>
      </c>
      <c r="AZ119" t="s">
        <v>611</v>
      </c>
      <c r="BD119" t="s">
        <v>398</v>
      </c>
      <c r="BE119" t="s">
        <v>393</v>
      </c>
      <c r="BF119">
        <v>32046</v>
      </c>
      <c r="BG119" t="s">
        <v>611</v>
      </c>
      <c r="BH119" t="s">
        <v>400</v>
      </c>
      <c r="BI119">
        <v>-81.992884013659605</v>
      </c>
      <c r="BJ119">
        <v>30.5520327594351</v>
      </c>
      <c r="BK119" t="s">
        <v>1635</v>
      </c>
      <c r="BM119" t="s">
        <v>1636</v>
      </c>
      <c r="BN119" t="s">
        <v>928</v>
      </c>
      <c r="BO119">
        <v>32011</v>
      </c>
      <c r="BP119" t="s">
        <v>404</v>
      </c>
      <c r="BQ119">
        <v>0</v>
      </c>
      <c r="BR119" t="s">
        <v>491</v>
      </c>
      <c r="BS119">
        <v>8001</v>
      </c>
      <c r="BT119" t="s">
        <v>492</v>
      </c>
      <c r="BW119">
        <v>342381</v>
      </c>
      <c r="BX119" t="s">
        <v>407</v>
      </c>
      <c r="CD119">
        <v>2017</v>
      </c>
      <c r="CE119">
        <v>47160</v>
      </c>
      <c r="CG119">
        <v>47160</v>
      </c>
      <c r="CH119">
        <v>2017</v>
      </c>
      <c r="CI119">
        <v>47160</v>
      </c>
      <c r="CK119">
        <v>47160</v>
      </c>
      <c r="CL119">
        <v>2017</v>
      </c>
      <c r="CM119">
        <v>713.96</v>
      </c>
      <c r="CN119" s="1">
        <v>42402</v>
      </c>
      <c r="CO119">
        <v>32000</v>
      </c>
      <c r="CV119">
        <v>0</v>
      </c>
      <c r="CZ119" s="1">
        <v>42402</v>
      </c>
      <c r="DA119">
        <v>0</v>
      </c>
      <c r="DD119" t="s">
        <v>398</v>
      </c>
      <c r="DG119">
        <v>27</v>
      </c>
      <c r="DL119">
        <v>50503</v>
      </c>
      <c r="DM119" t="s">
        <v>1632</v>
      </c>
      <c r="DO119" t="s">
        <v>1637</v>
      </c>
      <c r="DP119">
        <v>0</v>
      </c>
      <c r="DQ119">
        <v>0</v>
      </c>
      <c r="DR119" t="s">
        <v>411</v>
      </c>
    </row>
    <row r="120" spans="1:248" x14ac:dyDescent="0.25">
      <c r="A120">
        <v>16485127</v>
      </c>
      <c r="B120">
        <v>119</v>
      </c>
      <c r="C120" t="s">
        <v>393</v>
      </c>
      <c r="D120" t="s">
        <v>394</v>
      </c>
      <c r="F120" t="str">
        <f>"27-2N-23-0000-0001-0130"</f>
        <v>27-2N-23-0000-0001-0130</v>
      </c>
      <c r="H120" t="str">
        <f>"OCEANS EIGHT CREATIVE GROUP LLC"</f>
        <v>OCEANS EIGHT CREATIVE GROUP LLC</v>
      </c>
      <c r="I120" t="str">
        <f>"PO BOX 8918"</f>
        <v>PO BOX 8918</v>
      </c>
      <c r="J120" t="str">
        <f>"JACKSONVILLE FL 32239"</f>
        <v>JACKSONVILLE FL 32239</v>
      </c>
      <c r="K120" t="str">
        <f>"CR 121"</f>
        <v>CR 121</v>
      </c>
      <c r="L120" t="str">
        <f t="shared" si="36"/>
        <v>HILLIARD FL 32046</v>
      </c>
      <c r="M120" t="str">
        <f>"PT OF SW1/4 OF NE1/4 &amp; PT OF NW1/4 OF SE1/4 &amp; PT OF SW1/4 OF SE1/4 OF SEC 27-2N-23E IN OR 1723/1783 BEING PT OF PAR 16 &amp; PT OF ABND R/W IN OR 1999/1497 BEING ONLY PARTS LYING S OF HENRY LEE RD &amp; N OF R/W IN OR 2036/1895 (EX PT IN OR 352/575 OR 354/742 OR"</f>
        <v>PT OF SW1/4 OF NE1/4 &amp; PT OF NW1/4 OF SE1/4 &amp; PT OF SW1/4 OF SE1/4 OF SEC 27-2N-23E IN OR 1723/1783 BEING PT OF PAR 16 &amp; PT OF ABND R/W IN OR 1999/1497 BEING ONLY PARTS LYING S OF HENRY LEE RD &amp; N OF R/W IN OR 2036/1895 (EX PT IN OR 352/575 OR 354/742 OR</v>
      </c>
      <c r="N120" t="str">
        <f>""</f>
        <v/>
      </c>
      <c r="O120" t="str">
        <f>"56241"</f>
        <v>56241</v>
      </c>
      <c r="P120" t="str">
        <f t="shared" si="27"/>
        <v>2017</v>
      </c>
      <c r="Q120" t="str">
        <f>""</f>
        <v/>
      </c>
      <c r="R120" t="str">
        <f t="shared" si="38"/>
        <v>N</v>
      </c>
      <c r="S120" t="str">
        <f>"33.25"</f>
        <v>33.25</v>
      </c>
      <c r="T120" t="str">
        <f>"1761.77"</f>
        <v>1761.77</v>
      </c>
      <c r="U120" t="str">
        <f>"116375.00"</f>
        <v>116375.00</v>
      </c>
      <c r="V120" t="str">
        <f>"116375.00"</f>
        <v>116375.00</v>
      </c>
      <c r="W120" t="str">
        <f t="shared" si="28"/>
        <v>2017</v>
      </c>
      <c r="X120" t="str">
        <f>""</f>
        <v/>
      </c>
      <c r="Y120" t="str">
        <f>"1846.62"</f>
        <v>1846.62</v>
      </c>
      <c r="Z120" t="str">
        <f>""</f>
        <v/>
      </c>
      <c r="AA120" t="str">
        <f>"116375.00"</f>
        <v>116375.00</v>
      </c>
      <c r="AB120" t="str">
        <f t="shared" si="39"/>
        <v>Residential</v>
      </c>
      <c r="AC120" t="str">
        <f t="shared" si="30"/>
        <v>0</v>
      </c>
      <c r="AD120" t="str">
        <f>""</f>
        <v/>
      </c>
      <c r="AE120" t="str">
        <f>""</f>
        <v/>
      </c>
      <c r="AF120" t="str">
        <f t="shared" si="40"/>
        <v>000</v>
      </c>
      <c r="AG120" t="str">
        <f t="shared" si="37"/>
        <v>FL</v>
      </c>
      <c r="AH120" t="str">
        <f>"1448370.00"</f>
        <v>1448370.00</v>
      </c>
      <c r="AI120" t="str">
        <f>"116375.00"</f>
        <v>116375.00</v>
      </c>
      <c r="AJ120" t="str">
        <f>"C55-001-080-5043-6"</f>
        <v>C55-001-080-5043-6</v>
      </c>
      <c r="AK120" t="str">
        <f>"991"</f>
        <v>991</v>
      </c>
      <c r="AL120">
        <v>1</v>
      </c>
      <c r="AM120">
        <v>136</v>
      </c>
      <c r="AN120">
        <v>1937.35</v>
      </c>
      <c r="AQ120" t="s">
        <v>1638</v>
      </c>
      <c r="AR120" t="s">
        <v>1638</v>
      </c>
      <c r="AS120" t="s">
        <v>1638</v>
      </c>
      <c r="AU120" t="s">
        <v>396</v>
      </c>
      <c r="AV120">
        <v>2017</v>
      </c>
      <c r="AW120" t="str">
        <f>"27-2N-23-0000-0001-0130 "</f>
        <v xml:space="preserve">27-2N-23-0000-0001-0130 </v>
      </c>
      <c r="AZ120" t="s">
        <v>611</v>
      </c>
      <c r="BD120" t="s">
        <v>398</v>
      </c>
      <c r="BE120" t="s">
        <v>393</v>
      </c>
      <c r="BF120">
        <v>32046</v>
      </c>
      <c r="BG120" t="s">
        <v>611</v>
      </c>
      <c r="BH120" t="s">
        <v>400</v>
      </c>
      <c r="BI120">
        <v>-81.994191240744897</v>
      </c>
      <c r="BJ120">
        <v>30.5587210835204</v>
      </c>
      <c r="BK120" t="s">
        <v>1639</v>
      </c>
      <c r="BM120" t="s">
        <v>1640</v>
      </c>
      <c r="BN120" t="s">
        <v>548</v>
      </c>
      <c r="BO120">
        <v>32239</v>
      </c>
      <c r="BP120" t="s">
        <v>404</v>
      </c>
      <c r="BQ120">
        <v>0</v>
      </c>
      <c r="BR120" t="s">
        <v>491</v>
      </c>
      <c r="BS120">
        <v>8001</v>
      </c>
      <c r="BT120" t="s">
        <v>492</v>
      </c>
      <c r="BW120">
        <v>1883970</v>
      </c>
      <c r="BX120" t="s">
        <v>407</v>
      </c>
      <c r="CD120">
        <v>2017</v>
      </c>
      <c r="CE120">
        <v>116375</v>
      </c>
      <c r="CG120">
        <v>116375</v>
      </c>
      <c r="CH120">
        <v>2017</v>
      </c>
      <c r="CI120">
        <v>116375</v>
      </c>
      <c r="CK120">
        <v>116375</v>
      </c>
      <c r="CL120">
        <v>2017</v>
      </c>
      <c r="CM120">
        <v>1761.77</v>
      </c>
      <c r="CN120" s="1">
        <v>42459</v>
      </c>
      <c r="CO120">
        <v>147900</v>
      </c>
      <c r="CZ120" s="1">
        <v>42459</v>
      </c>
      <c r="DD120" t="s">
        <v>398</v>
      </c>
      <c r="DG120">
        <v>27</v>
      </c>
      <c r="DL120">
        <v>50503</v>
      </c>
      <c r="DM120" t="s">
        <v>1632</v>
      </c>
      <c r="DO120" t="s">
        <v>1641</v>
      </c>
      <c r="DP120">
        <v>0</v>
      </c>
      <c r="DQ120">
        <v>0</v>
      </c>
      <c r="DR120" t="s">
        <v>411</v>
      </c>
    </row>
    <row r="121" spans="1:248" x14ac:dyDescent="0.25">
      <c r="A121">
        <v>16485128</v>
      </c>
      <c r="B121">
        <v>120</v>
      </c>
      <c r="C121" t="s">
        <v>393</v>
      </c>
      <c r="D121" t="s">
        <v>394</v>
      </c>
      <c r="F121" t="str">
        <f>"27-2N-23-0000-0001-0190"</f>
        <v>27-2N-23-0000-0001-0190</v>
      </c>
      <c r="H121" t="str">
        <f>"OCEANS EIGHT CREATIVE GROUP LLC"</f>
        <v>OCEANS EIGHT CREATIVE GROUP LLC</v>
      </c>
      <c r="I121" t="str">
        <f>"PO BOX 8918"</f>
        <v>PO BOX 8918</v>
      </c>
      <c r="J121" t="str">
        <f>"JACKSONVILLE FL 32239"</f>
        <v>JACKSONVILLE FL 32239</v>
      </c>
      <c r="K121" t="str">
        <f>"HENRY LEE RD"</f>
        <v>HENRY LEE RD</v>
      </c>
      <c r="L121" t="str">
        <f t="shared" si="36"/>
        <v>HILLIARD FL 32046</v>
      </c>
      <c r="M121" t="str">
        <f>"PT GOVT LOT 1 &amp; PT OF E1/2 OF SEC 27-2N-23E LYING WEST OF COUNTY ROAD 121 IN OR 2051/7 (EX OR 2085/1645)"</f>
        <v>PT GOVT LOT 1 &amp; PT OF E1/2 OF SEC 27-2N-23E LYING WEST OF COUNTY ROAD 121 IN OR 2051/7 (EX OR 2085/1645)</v>
      </c>
      <c r="N121" t="str">
        <f>""</f>
        <v/>
      </c>
      <c r="O121" t="str">
        <f>"57394"</f>
        <v>57394</v>
      </c>
      <c r="P121" t="str">
        <f t="shared" si="27"/>
        <v>2017</v>
      </c>
      <c r="Q121" t="str">
        <f>""</f>
        <v/>
      </c>
      <c r="R121" t="str">
        <f t="shared" si="38"/>
        <v>N</v>
      </c>
      <c r="S121" t="str">
        <f>"30.89"</f>
        <v>30.89</v>
      </c>
      <c r="T121" t="str">
        <f>"2104.36"</f>
        <v>2104.36</v>
      </c>
      <c r="U121" t="str">
        <f>"139005.00"</f>
        <v>139005.00</v>
      </c>
      <c r="V121" t="str">
        <f>"139005.00"</f>
        <v>139005.00</v>
      </c>
      <c r="W121" t="str">
        <f t="shared" si="28"/>
        <v>2017</v>
      </c>
      <c r="X121" t="str">
        <f>""</f>
        <v/>
      </c>
      <c r="Y121" t="str">
        <f>"2199.49"</f>
        <v>2199.49</v>
      </c>
      <c r="Z121" t="str">
        <f>""</f>
        <v/>
      </c>
      <c r="AA121" t="str">
        <f>"139005.00"</f>
        <v>139005.00</v>
      </c>
      <c r="AB121" t="str">
        <f t="shared" si="39"/>
        <v>Residential</v>
      </c>
      <c r="AC121" t="str">
        <f t="shared" si="30"/>
        <v>0</v>
      </c>
      <c r="AD121" t="str">
        <f>""</f>
        <v/>
      </c>
      <c r="AE121" t="str">
        <f>""</f>
        <v/>
      </c>
      <c r="AF121" t="str">
        <f t="shared" si="40"/>
        <v>000</v>
      </c>
      <c r="AG121" t="str">
        <f t="shared" si="37"/>
        <v>FL</v>
      </c>
      <c r="AH121" t="str">
        <f>"1345568.00"</f>
        <v>1345568.00</v>
      </c>
      <c r="AI121" t="str">
        <f>"139005.00"</f>
        <v>139005.00</v>
      </c>
      <c r="AJ121" t="str">
        <f>"C55-001-092-8142-8"</f>
        <v>C55-001-092-8142-8</v>
      </c>
      <c r="AK121" t="str">
        <f>"997"</f>
        <v>997</v>
      </c>
      <c r="AL121">
        <v>1</v>
      </c>
      <c r="AM121">
        <v>137</v>
      </c>
      <c r="AN121">
        <v>2307.86</v>
      </c>
      <c r="AQ121" t="s">
        <v>1642</v>
      </c>
      <c r="AR121" t="s">
        <v>1642</v>
      </c>
      <c r="AS121" t="s">
        <v>1642</v>
      </c>
      <c r="AU121" t="s">
        <v>396</v>
      </c>
      <c r="AV121">
        <v>2017</v>
      </c>
      <c r="AW121" t="str">
        <f>"27-2N-23-0000-0001-0190 "</f>
        <v xml:space="preserve">27-2N-23-0000-0001-0190 </v>
      </c>
      <c r="AZ121" t="s">
        <v>1643</v>
      </c>
      <c r="BA121" t="s">
        <v>496</v>
      </c>
      <c r="BD121" t="s">
        <v>398</v>
      </c>
      <c r="BE121" t="s">
        <v>393</v>
      </c>
      <c r="BF121">
        <v>32046</v>
      </c>
      <c r="BG121" t="s">
        <v>1644</v>
      </c>
      <c r="BH121" t="s">
        <v>400</v>
      </c>
      <c r="BK121" t="s">
        <v>1645</v>
      </c>
      <c r="BM121" t="s">
        <v>1646</v>
      </c>
      <c r="BN121" t="s">
        <v>548</v>
      </c>
      <c r="BO121">
        <v>32239</v>
      </c>
      <c r="BQ121">
        <v>0</v>
      </c>
      <c r="BR121" t="s">
        <v>491</v>
      </c>
      <c r="BS121">
        <v>8001</v>
      </c>
      <c r="BT121" t="s">
        <v>492</v>
      </c>
      <c r="BW121">
        <v>1345568</v>
      </c>
      <c r="BX121" t="s">
        <v>407</v>
      </c>
      <c r="CD121">
        <v>2017</v>
      </c>
      <c r="CE121">
        <v>139005</v>
      </c>
      <c r="CG121">
        <v>139005</v>
      </c>
      <c r="CH121">
        <v>2017</v>
      </c>
      <c r="CI121">
        <v>139005</v>
      </c>
      <c r="CK121">
        <v>139005</v>
      </c>
      <c r="CL121">
        <v>2017</v>
      </c>
      <c r="CM121">
        <v>2104.36</v>
      </c>
      <c r="DD121" t="s">
        <v>398</v>
      </c>
      <c r="DM121" t="s">
        <v>1632</v>
      </c>
      <c r="DO121" t="s">
        <v>1647</v>
      </c>
    </row>
    <row r="122" spans="1:248" x14ac:dyDescent="0.25">
      <c r="A122">
        <v>16485129</v>
      </c>
      <c r="B122">
        <v>121</v>
      </c>
      <c r="C122" t="s">
        <v>393</v>
      </c>
      <c r="D122" t="s">
        <v>394</v>
      </c>
      <c r="F122" t="str">
        <f>"27-2N-23-0000-0001-0210"</f>
        <v>27-2N-23-0000-0001-0210</v>
      </c>
      <c r="H122" t="str">
        <f>"OCEANS EIGHT CREATIVE GROUP LLC"</f>
        <v>OCEANS EIGHT CREATIVE GROUP LLC</v>
      </c>
      <c r="I122" t="str">
        <f>"PO BOX 8918"</f>
        <v>PO BOX 8918</v>
      </c>
      <c r="J122" t="str">
        <f>"JACKSONVILLE FL 32239"</f>
        <v>JACKSONVILLE FL 32239</v>
      </c>
      <c r="K122" t="str">
        <f>"HENRY LEE RD"</f>
        <v>HENRY LEE RD</v>
      </c>
      <c r="L122" t="str">
        <f t="shared" si="36"/>
        <v>HILLIARD FL 32046</v>
      </c>
      <c r="M122" t="str">
        <f>"PT GOVT LOT 1 &amp; PT OF E1/2 OF SEC 27-2N-23E LYING WEST OF COUNTY RD 121 IN OR 2085/1645"</f>
        <v>PT GOVT LOT 1 &amp; PT OF E1/2 OF SEC 27-2N-23E LYING WEST OF COUNTY RD 121 IN OR 2085/1645</v>
      </c>
      <c r="N122" t="str">
        <f>""</f>
        <v/>
      </c>
      <c r="O122" t="str">
        <f>"57396"</f>
        <v>57396</v>
      </c>
      <c r="P122" t="str">
        <f t="shared" si="27"/>
        <v>2017</v>
      </c>
      <c r="Q122" t="str">
        <f>""</f>
        <v/>
      </c>
      <c r="R122" t="str">
        <f t="shared" si="38"/>
        <v>N</v>
      </c>
      <c r="S122" t="str">
        <f>"10.00"</f>
        <v>10.00</v>
      </c>
      <c r="T122" t="str">
        <f>"908.32"</f>
        <v>908.32</v>
      </c>
      <c r="U122" t="str">
        <f>"60000.00"</f>
        <v>60000.00</v>
      </c>
      <c r="V122" t="str">
        <f>"60000.00"</f>
        <v>60000.00</v>
      </c>
      <c r="W122" t="str">
        <f t="shared" si="28"/>
        <v>2017</v>
      </c>
      <c r="X122" t="str">
        <f>""</f>
        <v/>
      </c>
      <c r="Y122" t="str">
        <f>"967.57"</f>
        <v>967.57</v>
      </c>
      <c r="Z122" t="str">
        <f>""</f>
        <v/>
      </c>
      <c r="AA122" t="str">
        <f>"60000.00"</f>
        <v>60000.00</v>
      </c>
      <c r="AB122" t="str">
        <f t="shared" si="39"/>
        <v>Residential</v>
      </c>
      <c r="AC122" t="str">
        <f t="shared" si="30"/>
        <v>0</v>
      </c>
      <c r="AD122" t="str">
        <f>""</f>
        <v/>
      </c>
      <c r="AE122" t="str">
        <f>""</f>
        <v/>
      </c>
      <c r="AF122" t="str">
        <f t="shared" si="40"/>
        <v>000</v>
      </c>
      <c r="AG122" t="str">
        <f t="shared" si="37"/>
        <v>FL</v>
      </c>
      <c r="AH122" t="str">
        <f>"435600.00"</f>
        <v>435600.00</v>
      </c>
      <c r="AI122" t="str">
        <f>"60000.00"</f>
        <v>60000.00</v>
      </c>
      <c r="AJ122" t="str">
        <f>"C55-001-092-8144-4"</f>
        <v>C55-001-092-8144-4</v>
      </c>
      <c r="AK122" t="str">
        <f>"999"</f>
        <v>999</v>
      </c>
      <c r="AL122">
        <v>1</v>
      </c>
      <c r="AM122">
        <v>138</v>
      </c>
      <c r="AN122">
        <v>1014.35</v>
      </c>
      <c r="AQ122" t="s">
        <v>1648</v>
      </c>
      <c r="AR122" t="s">
        <v>1648</v>
      </c>
      <c r="AS122" t="s">
        <v>1648</v>
      </c>
      <c r="AU122" t="s">
        <v>396</v>
      </c>
      <c r="AV122">
        <v>2017</v>
      </c>
      <c r="AW122" t="str">
        <f>"27-2N-23-0000-0001-0210 "</f>
        <v xml:space="preserve">27-2N-23-0000-0001-0210 </v>
      </c>
      <c r="AZ122" t="s">
        <v>1643</v>
      </c>
      <c r="BA122" t="s">
        <v>496</v>
      </c>
      <c r="BD122" t="s">
        <v>398</v>
      </c>
      <c r="BE122" t="s">
        <v>393</v>
      </c>
      <c r="BF122">
        <v>32046</v>
      </c>
      <c r="BG122" t="s">
        <v>1644</v>
      </c>
      <c r="BH122" t="s">
        <v>400</v>
      </c>
      <c r="BK122" t="s">
        <v>1645</v>
      </c>
      <c r="BM122" t="s">
        <v>1646</v>
      </c>
      <c r="BN122" t="s">
        <v>548</v>
      </c>
      <c r="BO122">
        <v>32239</v>
      </c>
      <c r="BQ122">
        <v>0</v>
      </c>
      <c r="BR122" t="s">
        <v>491</v>
      </c>
      <c r="BS122">
        <v>8001</v>
      </c>
      <c r="BT122" t="s">
        <v>492</v>
      </c>
      <c r="BW122">
        <v>435600</v>
      </c>
      <c r="BX122" t="s">
        <v>407</v>
      </c>
      <c r="CD122">
        <v>2017</v>
      </c>
      <c r="CE122">
        <v>60000</v>
      </c>
      <c r="CG122">
        <v>60000</v>
      </c>
      <c r="CH122">
        <v>2017</v>
      </c>
      <c r="CI122">
        <v>60000</v>
      </c>
      <c r="CK122">
        <v>60000</v>
      </c>
      <c r="CL122">
        <v>2017</v>
      </c>
      <c r="CM122">
        <v>908.32</v>
      </c>
      <c r="DD122" t="s">
        <v>398</v>
      </c>
      <c r="DM122" t="s">
        <v>1632</v>
      </c>
      <c r="DO122" t="s">
        <v>1647</v>
      </c>
    </row>
    <row r="123" spans="1:248" x14ac:dyDescent="0.25">
      <c r="A123">
        <v>16485130</v>
      </c>
      <c r="B123">
        <v>122</v>
      </c>
      <c r="C123" t="s">
        <v>393</v>
      </c>
      <c r="D123" t="s">
        <v>394</v>
      </c>
      <c r="F123" t="str">
        <f>"27-2N-23-0000-0001-0220"</f>
        <v>27-2N-23-0000-0001-0220</v>
      </c>
      <c r="H123" t="str">
        <f>"NASSAU TIMBER &amp; LAND HOLDINGS LLC"</f>
        <v>NASSAU TIMBER &amp; LAND HOLDINGS LLC</v>
      </c>
      <c r="I123" t="str">
        <f>"PO BOX 1694"</f>
        <v>PO BOX 1694</v>
      </c>
      <c r="J123" t="str">
        <f>"CALLAHAN FL 32011"</f>
        <v>CALLAHAN FL 32011</v>
      </c>
      <c r="K123" t="str">
        <f>"CR 121"</f>
        <v>CR 121</v>
      </c>
      <c r="L123" t="str">
        <f t="shared" si="36"/>
        <v>HILLIARD FL 32046</v>
      </c>
      <c r="M123" t="str">
        <f>"PT GOVT LOT 1 &amp; PT OF E1/2 OF SEC 27-2N-23E LYING WEST OF COUNTY RD 121 IN OR 2085/1432"</f>
        <v>PT GOVT LOT 1 &amp; PT OF E1/2 OF SEC 27-2N-23E LYING WEST OF COUNTY RD 121 IN OR 2085/1432</v>
      </c>
      <c r="N123" t="str">
        <f>""</f>
        <v/>
      </c>
      <c r="O123" t="str">
        <f>"57397"</f>
        <v>57397</v>
      </c>
      <c r="P123" t="str">
        <f t="shared" si="27"/>
        <v>2017</v>
      </c>
      <c r="Q123" t="str">
        <f>""</f>
        <v/>
      </c>
      <c r="R123" t="str">
        <f t="shared" si="38"/>
        <v>N</v>
      </c>
      <c r="S123" t="str">
        <f>"20.00"</f>
        <v>20.00</v>
      </c>
      <c r="T123" t="str">
        <f>"1362.50"</f>
        <v>1362.50</v>
      </c>
      <c r="U123" t="str">
        <f>"90000.00"</f>
        <v>90000.00</v>
      </c>
      <c r="V123" t="str">
        <f>"90000.00"</f>
        <v>90000.00</v>
      </c>
      <c r="W123" t="str">
        <f t="shared" si="28"/>
        <v>2017</v>
      </c>
      <c r="X123" t="str">
        <f>""</f>
        <v/>
      </c>
      <c r="Y123" t="str">
        <f>"1435.38"</f>
        <v>1435.38</v>
      </c>
      <c r="Z123" t="str">
        <f>""</f>
        <v/>
      </c>
      <c r="AA123" t="str">
        <f>"90000.00"</f>
        <v>90000.00</v>
      </c>
      <c r="AB123" t="str">
        <f t="shared" si="39"/>
        <v>Residential</v>
      </c>
      <c r="AC123" t="str">
        <f t="shared" si="30"/>
        <v>0</v>
      </c>
      <c r="AD123" t="str">
        <f>""</f>
        <v/>
      </c>
      <c r="AE123" t="str">
        <f>""</f>
        <v/>
      </c>
      <c r="AF123" t="str">
        <f t="shared" si="40"/>
        <v>000</v>
      </c>
      <c r="AG123" t="str">
        <f t="shared" si="37"/>
        <v>FL</v>
      </c>
      <c r="AH123" t="str">
        <f>"871200.00"</f>
        <v>871200.00</v>
      </c>
      <c r="AI123" t="str">
        <f>"90000.00"</f>
        <v>90000.00</v>
      </c>
      <c r="AJ123" t="str">
        <f>"C55-001-092-8145-1"</f>
        <v>C55-001-092-8145-1</v>
      </c>
      <c r="AK123" t="str">
        <f>"1000"</f>
        <v>1000</v>
      </c>
      <c r="AL123">
        <v>1</v>
      </c>
      <c r="AM123">
        <v>139</v>
      </c>
      <c r="AN123">
        <v>1505.55</v>
      </c>
      <c r="AQ123" t="s">
        <v>1649</v>
      </c>
      <c r="AR123" t="s">
        <v>1649</v>
      </c>
      <c r="AS123" t="s">
        <v>1649</v>
      </c>
      <c r="AU123" t="s">
        <v>396</v>
      </c>
      <c r="AV123">
        <v>2017</v>
      </c>
      <c r="AW123" t="str">
        <f>"27-2N-23-0000-0001-0220 "</f>
        <v xml:space="preserve">27-2N-23-0000-0001-0220 </v>
      </c>
      <c r="AZ123" t="s">
        <v>611</v>
      </c>
      <c r="BD123" t="s">
        <v>398</v>
      </c>
      <c r="BE123" t="s">
        <v>393</v>
      </c>
      <c r="BF123">
        <v>32046</v>
      </c>
      <c r="BG123" t="s">
        <v>611</v>
      </c>
      <c r="BH123" t="s">
        <v>400</v>
      </c>
      <c r="BK123" t="s">
        <v>1630</v>
      </c>
      <c r="BM123" t="s">
        <v>1631</v>
      </c>
      <c r="BN123" t="s">
        <v>928</v>
      </c>
      <c r="BO123">
        <v>32011</v>
      </c>
      <c r="BQ123">
        <v>0</v>
      </c>
      <c r="BR123" t="s">
        <v>491</v>
      </c>
      <c r="BS123">
        <v>8001</v>
      </c>
      <c r="BT123" t="s">
        <v>492</v>
      </c>
      <c r="BW123">
        <v>871200</v>
      </c>
      <c r="BX123" t="s">
        <v>407</v>
      </c>
      <c r="CD123">
        <v>2017</v>
      </c>
      <c r="CE123">
        <v>90000</v>
      </c>
      <c r="CG123">
        <v>90000</v>
      </c>
      <c r="CH123">
        <v>2017</v>
      </c>
      <c r="CI123">
        <v>90000</v>
      </c>
      <c r="CK123">
        <v>90000</v>
      </c>
      <c r="CL123">
        <v>2017</v>
      </c>
      <c r="CM123">
        <v>1362.5</v>
      </c>
      <c r="DD123" t="s">
        <v>398</v>
      </c>
      <c r="DM123" t="s">
        <v>1632</v>
      </c>
      <c r="DO123" t="s">
        <v>1647</v>
      </c>
    </row>
    <row r="124" spans="1:248" x14ac:dyDescent="0.25">
      <c r="A124">
        <v>16485131</v>
      </c>
      <c r="B124">
        <v>123</v>
      </c>
      <c r="C124" t="s">
        <v>393</v>
      </c>
      <c r="D124" t="s">
        <v>394</v>
      </c>
      <c r="F124" t="str">
        <f>"27-2N-23-0000-0005-0100"</f>
        <v>27-2N-23-0000-0005-0100</v>
      </c>
      <c r="H124" t="str">
        <f>"SHOTT KELLY LYNN &amp; CHRISTOPHER"</f>
        <v>SHOTT KELLY LYNN &amp; CHRISTOPHER</v>
      </c>
      <c r="I124" t="str">
        <f>"20106 JAGUAR DR"</f>
        <v>20106 JAGUAR DR</v>
      </c>
      <c r="J124" t="str">
        <f>"HILLIARD FL 32046"</f>
        <v>HILLIARD FL 32046</v>
      </c>
      <c r="K124" t="str">
        <f>"20106 JAGUAR DR"</f>
        <v>20106 JAGUAR DR</v>
      </c>
      <c r="L124" t="str">
        <f t="shared" si="36"/>
        <v>HILLIARD FL 32046</v>
      </c>
      <c r="M124" t="str">
        <f>"PT OF SEC 27-2N-23E IN OR 2054/375"</f>
        <v>PT OF SEC 27-2N-23E IN OR 2054/375</v>
      </c>
      <c r="N124" t="str">
        <f>""</f>
        <v/>
      </c>
      <c r="O124" t="str">
        <f>"56759"</f>
        <v>56759</v>
      </c>
      <c r="P124" t="str">
        <f t="shared" si="27"/>
        <v>2017</v>
      </c>
      <c r="Q124" t="str">
        <f>""</f>
        <v/>
      </c>
      <c r="R124" t="str">
        <f t="shared" si="38"/>
        <v>N</v>
      </c>
      <c r="S124" t="str">
        <f>"1.28"</f>
        <v>1.28</v>
      </c>
      <c r="T124" t="str">
        <f>"763.00"</f>
        <v>763.00</v>
      </c>
      <c r="U124" t="str">
        <f>"50400.00"</f>
        <v>50400.00</v>
      </c>
      <c r="V124" t="str">
        <f>"50400.00"</f>
        <v>50400.00</v>
      </c>
      <c r="W124" t="str">
        <f t="shared" si="28"/>
        <v>2017</v>
      </c>
      <c r="X124" t="str">
        <f>""</f>
        <v/>
      </c>
      <c r="Y124" t="str">
        <f>"817.89"</f>
        <v>817.89</v>
      </c>
      <c r="Z124" t="str">
        <f>""</f>
        <v/>
      </c>
      <c r="AA124" t="str">
        <f>"50400.00"</f>
        <v>50400.00</v>
      </c>
      <c r="AB124" t="str">
        <f t="shared" si="39"/>
        <v>Residential</v>
      </c>
      <c r="AC124" t="str">
        <f t="shared" si="30"/>
        <v>0</v>
      </c>
      <c r="AD124" t="str">
        <f t="shared" ref="AD124:AD132" si="41">"4"</f>
        <v>4</v>
      </c>
      <c r="AE124" t="str">
        <f t="shared" ref="AE124:AE132" si="42">"WOOD (INCLUDE STEEL STUDS)"</f>
        <v>WOOD (INCLUDE STEEL STUDS)</v>
      </c>
      <c r="AF124" t="str">
        <f t="shared" ref="AF124:AF129" si="43">"002"</f>
        <v>002</v>
      </c>
      <c r="AG124" t="str">
        <f t="shared" si="37"/>
        <v>FL</v>
      </c>
      <c r="AH124" t="str">
        <f>"55931.00"</f>
        <v>55931.00</v>
      </c>
      <c r="AI124" t="str">
        <f>"19260.00"</f>
        <v>19260.00</v>
      </c>
      <c r="AJ124" t="str">
        <f>"C55-001-092-8150-1"</f>
        <v>C55-001-092-8150-1</v>
      </c>
      <c r="AK124" t="str">
        <f>"1025"</f>
        <v>1025</v>
      </c>
      <c r="AL124">
        <v>1</v>
      </c>
      <c r="AM124">
        <v>143</v>
      </c>
      <c r="AN124">
        <v>857.18</v>
      </c>
      <c r="AQ124" t="s">
        <v>1650</v>
      </c>
      <c r="AR124" t="s">
        <v>1650</v>
      </c>
      <c r="AS124" t="s">
        <v>1650</v>
      </c>
      <c r="AU124" t="s">
        <v>396</v>
      </c>
      <c r="AV124">
        <v>2017</v>
      </c>
      <c r="AW124" t="str">
        <f>"27-2N-23-0000-0005-0100 "</f>
        <v xml:space="preserve">27-2N-23-0000-0005-0100 </v>
      </c>
      <c r="AX124">
        <v>20106</v>
      </c>
      <c r="AZ124" t="s">
        <v>1651</v>
      </c>
      <c r="BA124" t="s">
        <v>669</v>
      </c>
      <c r="BD124" t="s">
        <v>398</v>
      </c>
      <c r="BE124" t="s">
        <v>393</v>
      </c>
      <c r="BF124">
        <v>32046</v>
      </c>
      <c r="BG124" t="s">
        <v>1652</v>
      </c>
      <c r="BH124" t="s">
        <v>400</v>
      </c>
      <c r="BK124" t="s">
        <v>1653</v>
      </c>
      <c r="BM124" t="s">
        <v>1652</v>
      </c>
      <c r="BN124" t="s">
        <v>403</v>
      </c>
      <c r="BO124">
        <v>32046</v>
      </c>
      <c r="BQ124">
        <v>200</v>
      </c>
      <c r="BR124" t="s">
        <v>405</v>
      </c>
      <c r="BS124">
        <v>1006</v>
      </c>
      <c r="BT124" t="s">
        <v>406</v>
      </c>
      <c r="BW124">
        <v>55931</v>
      </c>
      <c r="BX124" t="s">
        <v>407</v>
      </c>
      <c r="BZ124">
        <v>4</v>
      </c>
      <c r="CA124">
        <v>1986</v>
      </c>
      <c r="CC124">
        <v>1</v>
      </c>
      <c r="CD124">
        <v>2017</v>
      </c>
      <c r="CE124">
        <v>19260</v>
      </c>
      <c r="CF124">
        <v>31140</v>
      </c>
      <c r="CG124">
        <v>50400</v>
      </c>
      <c r="CH124">
        <v>2017</v>
      </c>
      <c r="CI124">
        <v>19260</v>
      </c>
      <c r="CJ124">
        <v>31140</v>
      </c>
      <c r="CK124">
        <v>50400</v>
      </c>
      <c r="CL124">
        <v>2017</v>
      </c>
      <c r="CM124">
        <v>763</v>
      </c>
      <c r="DD124" t="s">
        <v>398</v>
      </c>
      <c r="DM124" t="s">
        <v>1632</v>
      </c>
      <c r="DO124" t="s">
        <v>1654</v>
      </c>
    </row>
    <row r="125" spans="1:248" x14ac:dyDescent="0.25">
      <c r="A125">
        <v>16485132</v>
      </c>
      <c r="B125">
        <v>124</v>
      </c>
      <c r="C125" t="s">
        <v>393</v>
      </c>
      <c r="D125" t="s">
        <v>394</v>
      </c>
      <c r="F125" t="str">
        <f>"27-2N-23-0000-0006-0020"</f>
        <v>27-2N-23-0000-0006-0020</v>
      </c>
      <c r="H125" t="str">
        <f>"MUMFORD MELISSA D &amp; HARRY J"</f>
        <v>MUMFORD MELISSA D &amp; HARRY J</v>
      </c>
      <c r="I125" t="str">
        <f>"2527 JIMMY CONNER PLACE"</f>
        <v>2527 JIMMY CONNER PLACE</v>
      </c>
      <c r="J125" t="str">
        <f>"BRYCEVILLE FL 32009"</f>
        <v>BRYCEVILLE FL 32009</v>
      </c>
      <c r="K125" t="str">
        <f>"2974 JANE LN"</f>
        <v>2974 JANE LN</v>
      </c>
      <c r="L125" t="str">
        <f t="shared" si="36"/>
        <v>HILLIARD FL 32046</v>
      </c>
      <c r="M125" t="str">
        <f>"PT OF NE1/4 OF SW1/4 IN OR 1549/245 R673879 &amp; R673880 EX 6-3 6-6 &amp; 6-7"</f>
        <v>PT OF NE1/4 OF SW1/4 IN OR 1549/245 R673879 &amp; R673880 EX 6-3 6-6 &amp; 6-7</v>
      </c>
      <c r="N125" t="str">
        <f>""</f>
        <v/>
      </c>
      <c r="O125" t="str">
        <f>"37004"</f>
        <v>37004</v>
      </c>
      <c r="P125" t="str">
        <f t="shared" si="27"/>
        <v>2017</v>
      </c>
      <c r="Q125" t="str">
        <f>""</f>
        <v/>
      </c>
      <c r="R125" t="str">
        <f t="shared" si="38"/>
        <v>N</v>
      </c>
      <c r="S125" t="str">
        <f>"4.20"</f>
        <v>4.20</v>
      </c>
      <c r="T125" t="str">
        <f>"822.11"</f>
        <v>822.11</v>
      </c>
      <c r="U125" t="str">
        <f>"53868.00"</f>
        <v>53868.00</v>
      </c>
      <c r="V125" t="str">
        <f>"53868.00"</f>
        <v>53868.00</v>
      </c>
      <c r="W125" t="str">
        <f t="shared" si="28"/>
        <v>2017</v>
      </c>
      <c r="X125" t="str">
        <f>"12.50"</f>
        <v>12.50</v>
      </c>
      <c r="Y125" t="str">
        <f>"878.77"</f>
        <v>878.77</v>
      </c>
      <c r="Z125" t="str">
        <f>""</f>
        <v/>
      </c>
      <c r="AA125" t="str">
        <f>"54871.00"</f>
        <v>54871.00</v>
      </c>
      <c r="AB125" t="str">
        <f t="shared" si="39"/>
        <v>Residential</v>
      </c>
      <c r="AC125" t="str">
        <f t="shared" si="30"/>
        <v>0</v>
      </c>
      <c r="AD125" t="str">
        <f t="shared" si="41"/>
        <v>4</v>
      </c>
      <c r="AE125" t="str">
        <f t="shared" si="42"/>
        <v>WOOD (INCLUDE STEEL STUDS)</v>
      </c>
      <c r="AF125" t="str">
        <f t="shared" si="43"/>
        <v>002</v>
      </c>
      <c r="AG125" t="str">
        <f t="shared" si="37"/>
        <v>FL</v>
      </c>
      <c r="AH125" t="str">
        <f>"182952.00"</f>
        <v>182952.00</v>
      </c>
      <c r="AI125" t="str">
        <f>"33600.00"</f>
        <v>33600.00</v>
      </c>
      <c r="AJ125" t="str">
        <f>"C55-000-587-4739-5"</f>
        <v>C55-000-587-4739-5</v>
      </c>
      <c r="AK125" t="str">
        <f>"1029"</f>
        <v>1029</v>
      </c>
      <c r="AL125">
        <v>1</v>
      </c>
      <c r="AM125">
        <v>144</v>
      </c>
      <c r="AN125">
        <v>921.11</v>
      </c>
      <c r="AQ125" t="s">
        <v>1655</v>
      </c>
      <c r="AR125" t="s">
        <v>1655</v>
      </c>
      <c r="AS125" t="s">
        <v>1655</v>
      </c>
      <c r="AU125" t="s">
        <v>396</v>
      </c>
      <c r="AV125">
        <v>2017</v>
      </c>
      <c r="AW125" t="str">
        <f>"27-2N-23-0000-0006-0020 "</f>
        <v xml:space="preserve">27-2N-23-0000-0006-0020 </v>
      </c>
      <c r="AX125">
        <v>2974</v>
      </c>
      <c r="AZ125" t="s">
        <v>1656</v>
      </c>
      <c r="BA125" t="s">
        <v>653</v>
      </c>
      <c r="BD125" t="s">
        <v>398</v>
      </c>
      <c r="BE125" t="s">
        <v>393</v>
      </c>
      <c r="BF125">
        <v>32046</v>
      </c>
      <c r="BG125" t="s">
        <v>1657</v>
      </c>
      <c r="BH125" t="s">
        <v>400</v>
      </c>
      <c r="BI125">
        <v>-81.999789423856399</v>
      </c>
      <c r="BJ125">
        <v>30.555889972521499</v>
      </c>
      <c r="BK125" t="s">
        <v>1658</v>
      </c>
      <c r="BL125" t="s">
        <v>1659</v>
      </c>
      <c r="BM125" t="s">
        <v>642</v>
      </c>
      <c r="BN125" t="s">
        <v>558</v>
      </c>
      <c r="BO125">
        <v>32009</v>
      </c>
      <c r="BP125" t="s">
        <v>404</v>
      </c>
      <c r="BQ125">
        <v>200</v>
      </c>
      <c r="BR125" t="s">
        <v>405</v>
      </c>
      <c r="BS125">
        <v>1006</v>
      </c>
      <c r="BT125" t="s">
        <v>406</v>
      </c>
      <c r="BW125">
        <v>182952</v>
      </c>
      <c r="BX125" t="s">
        <v>407</v>
      </c>
      <c r="BY125" t="s">
        <v>408</v>
      </c>
      <c r="BZ125">
        <v>4</v>
      </c>
      <c r="CA125">
        <v>1986</v>
      </c>
      <c r="CB125">
        <v>1</v>
      </c>
      <c r="CC125">
        <v>1</v>
      </c>
      <c r="CD125">
        <v>2017</v>
      </c>
      <c r="CE125">
        <v>33600</v>
      </c>
      <c r="CF125">
        <v>21271</v>
      </c>
      <c r="CG125">
        <v>54871</v>
      </c>
      <c r="CH125">
        <v>2017</v>
      </c>
      <c r="CI125">
        <v>33600</v>
      </c>
      <c r="CJ125">
        <v>21271</v>
      </c>
      <c r="CK125">
        <v>54871</v>
      </c>
      <c r="CL125">
        <v>2017</v>
      </c>
      <c r="CM125">
        <v>822.11</v>
      </c>
      <c r="CN125" s="1">
        <v>39479</v>
      </c>
      <c r="CO125">
        <v>60000</v>
      </c>
      <c r="CV125">
        <v>0</v>
      </c>
      <c r="CZ125" s="1">
        <v>39479</v>
      </c>
      <c r="DA125">
        <v>0</v>
      </c>
      <c r="DD125" t="s">
        <v>398</v>
      </c>
      <c r="DG125">
        <v>27</v>
      </c>
      <c r="DL125">
        <v>50503</v>
      </c>
      <c r="DM125" t="s">
        <v>1632</v>
      </c>
      <c r="DO125" t="s">
        <v>1660</v>
      </c>
      <c r="DP125">
        <v>0</v>
      </c>
      <c r="DQ125">
        <v>0</v>
      </c>
      <c r="DR125" t="s">
        <v>411</v>
      </c>
      <c r="DS125" t="b">
        <v>1</v>
      </c>
      <c r="DT125" t="s">
        <v>470</v>
      </c>
      <c r="DU125" t="s">
        <v>471</v>
      </c>
      <c r="DV125" t="s">
        <v>472</v>
      </c>
      <c r="DX125">
        <v>-9999</v>
      </c>
      <c r="DZ125" t="s">
        <v>447</v>
      </c>
      <c r="EA125" t="s">
        <v>448</v>
      </c>
      <c r="EB125" t="s">
        <v>1661</v>
      </c>
      <c r="EC125">
        <v>20101217</v>
      </c>
      <c r="ED125" t="s">
        <v>474</v>
      </c>
      <c r="EF125">
        <v>1274.5</v>
      </c>
      <c r="EG125">
        <v>1274.5</v>
      </c>
      <c r="EI125">
        <v>20160407</v>
      </c>
      <c r="EJ125">
        <v>0</v>
      </c>
      <c r="EK125">
        <v>0</v>
      </c>
      <c r="EP125" t="s">
        <v>421</v>
      </c>
      <c r="EQ125" t="s">
        <v>422</v>
      </c>
      <c r="ER125">
        <v>0</v>
      </c>
      <c r="ES125">
        <v>8</v>
      </c>
      <c r="ET125">
        <v>0</v>
      </c>
      <c r="EU125">
        <v>0</v>
      </c>
      <c r="EV125">
        <v>0</v>
      </c>
      <c r="EW125" s="2">
        <v>43222</v>
      </c>
      <c r="EX125" s="1">
        <v>42515</v>
      </c>
      <c r="EY125">
        <v>2015</v>
      </c>
      <c r="EZ125">
        <v>895.8</v>
      </c>
      <c r="FA125" t="s">
        <v>1662</v>
      </c>
      <c r="FB125">
        <v>0.25</v>
      </c>
      <c r="FC125" t="s">
        <v>424</v>
      </c>
      <c r="FD125" t="s">
        <v>425</v>
      </c>
      <c r="FE125" s="1">
        <v>42894</v>
      </c>
      <c r="FF125">
        <v>13</v>
      </c>
      <c r="FG125">
        <v>2851116</v>
      </c>
      <c r="FH125" t="s">
        <v>480</v>
      </c>
      <c r="FJ125" s="1">
        <v>42515</v>
      </c>
      <c r="FK125">
        <v>2015</v>
      </c>
      <c r="FL125">
        <v>895.8</v>
      </c>
      <c r="FM125" t="s">
        <v>1662</v>
      </c>
      <c r="FN125">
        <v>0.25</v>
      </c>
      <c r="FO125" t="s">
        <v>424</v>
      </c>
      <c r="FP125" t="s">
        <v>425</v>
      </c>
      <c r="FR125">
        <v>22</v>
      </c>
      <c r="FS125">
        <v>5533752</v>
      </c>
      <c r="FT125" t="s">
        <v>1663</v>
      </c>
      <c r="FV125" s="1">
        <v>42151</v>
      </c>
      <c r="FW125">
        <v>2014</v>
      </c>
      <c r="FX125">
        <v>778.17</v>
      </c>
      <c r="FY125" t="s">
        <v>1664</v>
      </c>
      <c r="FZ125">
        <v>0.25</v>
      </c>
      <c r="GA125" t="s">
        <v>424</v>
      </c>
      <c r="GB125" t="s">
        <v>425</v>
      </c>
      <c r="GC125" s="1">
        <v>42780</v>
      </c>
      <c r="GD125">
        <v>21</v>
      </c>
      <c r="GE125">
        <v>2851116</v>
      </c>
      <c r="GF125" t="s">
        <v>480</v>
      </c>
      <c r="GH125" s="1">
        <v>42151</v>
      </c>
      <c r="GI125">
        <v>2014</v>
      </c>
      <c r="GJ125">
        <v>778.17</v>
      </c>
      <c r="GK125" t="s">
        <v>1664</v>
      </c>
      <c r="GL125">
        <v>0.25</v>
      </c>
      <c r="GM125" t="s">
        <v>424</v>
      </c>
      <c r="GN125" t="s">
        <v>425</v>
      </c>
      <c r="GP125">
        <v>22</v>
      </c>
      <c r="GQ125">
        <v>4966224</v>
      </c>
      <c r="GR125" t="s">
        <v>1665</v>
      </c>
      <c r="GT125" s="1">
        <v>41787</v>
      </c>
      <c r="GU125">
        <v>2013</v>
      </c>
      <c r="GV125">
        <v>856</v>
      </c>
      <c r="GW125" t="s">
        <v>1666</v>
      </c>
      <c r="GX125">
        <v>0.25</v>
      </c>
      <c r="GY125" t="s">
        <v>424</v>
      </c>
      <c r="GZ125" t="s">
        <v>425</v>
      </c>
      <c r="HA125" s="1">
        <v>41823</v>
      </c>
      <c r="HB125">
        <v>2</v>
      </c>
      <c r="HC125">
        <v>2407503</v>
      </c>
      <c r="HD125" t="s">
        <v>461</v>
      </c>
      <c r="HF125" s="1">
        <v>41423</v>
      </c>
      <c r="HG125">
        <v>2012</v>
      </c>
      <c r="HH125">
        <v>985.65</v>
      </c>
      <c r="HI125" t="s">
        <v>1667</v>
      </c>
      <c r="HJ125">
        <v>3.5</v>
      </c>
      <c r="HK125" t="s">
        <v>424</v>
      </c>
      <c r="HL125" t="s">
        <v>425</v>
      </c>
      <c r="HM125" s="1">
        <v>41663</v>
      </c>
      <c r="HN125">
        <v>8</v>
      </c>
      <c r="HO125">
        <v>15399</v>
      </c>
      <c r="HP125" t="s">
        <v>485</v>
      </c>
      <c r="HR125" s="1">
        <v>41052</v>
      </c>
      <c r="HS125">
        <v>2011</v>
      </c>
      <c r="HT125">
        <v>1148.92</v>
      </c>
      <c r="HU125" t="s">
        <v>1668</v>
      </c>
      <c r="HV125">
        <v>5.25</v>
      </c>
      <c r="HW125" t="s">
        <v>424</v>
      </c>
      <c r="HX125" t="s">
        <v>425</v>
      </c>
      <c r="HY125" s="1">
        <v>41662</v>
      </c>
      <c r="HZ125">
        <v>20</v>
      </c>
      <c r="IA125">
        <v>10125</v>
      </c>
      <c r="IB125" t="s">
        <v>440</v>
      </c>
      <c r="ID125" s="1">
        <v>40688</v>
      </c>
      <c r="IE125">
        <v>2010</v>
      </c>
      <c r="IF125">
        <v>1222.8399999999999</v>
      </c>
      <c r="IG125" t="s">
        <v>1669</v>
      </c>
      <c r="IH125">
        <v>5</v>
      </c>
      <c r="II125" t="s">
        <v>424</v>
      </c>
      <c r="IJ125" t="s">
        <v>425</v>
      </c>
      <c r="IK125" s="1">
        <v>41180</v>
      </c>
      <c r="IL125">
        <v>16</v>
      </c>
      <c r="IM125">
        <v>287</v>
      </c>
      <c r="IN125" t="s">
        <v>572</v>
      </c>
    </row>
    <row r="126" spans="1:248" x14ac:dyDescent="0.25">
      <c r="A126">
        <v>16485133</v>
      </c>
      <c r="B126">
        <v>125</v>
      </c>
      <c r="C126" t="s">
        <v>393</v>
      </c>
      <c r="D126" t="s">
        <v>394</v>
      </c>
      <c r="F126" t="str">
        <f>"27-2N-23-0000-0007-0060"</f>
        <v>27-2N-23-0000-0007-0060</v>
      </c>
      <c r="H126" t="str">
        <f>"CONLEY DARRELL S JR &amp; CRYSTAL"</f>
        <v>CONLEY DARRELL S JR &amp; CRYSTAL</v>
      </c>
      <c r="I126" t="str">
        <f>"3458 BARBARA LN"</f>
        <v>3458 BARBARA LN</v>
      </c>
      <c r="J126" t="str">
        <f t="shared" ref="J126:J135" si="44">"HILLIARD FL 32046"</f>
        <v>HILLIARD FL 32046</v>
      </c>
      <c r="K126" t="str">
        <f>"3458 BARBARA LN"</f>
        <v>3458 BARBARA LN</v>
      </c>
      <c r="L126" t="str">
        <f t="shared" si="36"/>
        <v>HILLIARD FL 32046</v>
      </c>
      <c r="M126" t="str">
        <f>"IN OR 1734/248 R583709 (EX R/W &amp; EX 7-18 &amp; 7-19)"</f>
        <v>IN OR 1734/248 R583709 (EX R/W &amp; EX 7-18 &amp; 7-19)</v>
      </c>
      <c r="N126" t="str">
        <f>""</f>
        <v/>
      </c>
      <c r="O126" t="str">
        <f>"37019"</f>
        <v>37019</v>
      </c>
      <c r="P126" t="str">
        <f t="shared" si="27"/>
        <v>2017</v>
      </c>
      <c r="Q126" t="str">
        <f>""</f>
        <v/>
      </c>
      <c r="R126" t="str">
        <f t="shared" si="38"/>
        <v>N</v>
      </c>
      <c r="S126" t="str">
        <f>"1.34"</f>
        <v>1.34</v>
      </c>
      <c r="T126" t="str">
        <f>"405.75"</f>
        <v>405.75</v>
      </c>
      <c r="U126" t="str">
        <f>"26056.00"</f>
        <v>26056.00</v>
      </c>
      <c r="V126" t="str">
        <f>"26056.00"</f>
        <v>26056.00</v>
      </c>
      <c r="W126" t="str">
        <f t="shared" si="28"/>
        <v>2017</v>
      </c>
      <c r="X126" t="str">
        <f>"14.14"</f>
        <v>14.14</v>
      </c>
      <c r="Y126" t="str">
        <f>"449.92"</f>
        <v>449.92</v>
      </c>
      <c r="Z126" t="str">
        <f>""</f>
        <v/>
      </c>
      <c r="AA126" t="str">
        <f>"27768.00"</f>
        <v>27768.00</v>
      </c>
      <c r="AB126" t="str">
        <f t="shared" si="39"/>
        <v>Residential</v>
      </c>
      <c r="AC126" t="str">
        <f t="shared" si="30"/>
        <v>0</v>
      </c>
      <c r="AD126" t="str">
        <f t="shared" si="41"/>
        <v>4</v>
      </c>
      <c r="AE126" t="str">
        <f t="shared" si="42"/>
        <v>WOOD (INCLUDE STEEL STUDS)</v>
      </c>
      <c r="AF126" t="str">
        <f t="shared" si="43"/>
        <v>002</v>
      </c>
      <c r="AG126" t="str">
        <f t="shared" si="37"/>
        <v>FL</v>
      </c>
      <c r="AH126" t="str">
        <f>"58370.00"</f>
        <v>58370.00</v>
      </c>
      <c r="AI126" t="str">
        <f>"20100.00"</f>
        <v>20100.00</v>
      </c>
      <c r="AJ126" t="str">
        <f>"C55-000-587-4752-8"</f>
        <v>C55-000-587-4752-8</v>
      </c>
      <c r="AK126" t="str">
        <f>"1043"</f>
        <v>1043</v>
      </c>
      <c r="AL126">
        <v>1</v>
      </c>
      <c r="AM126">
        <v>145</v>
      </c>
      <c r="AN126">
        <v>470.82</v>
      </c>
      <c r="AQ126" t="s">
        <v>1670</v>
      </c>
      <c r="AR126" t="s">
        <v>1670</v>
      </c>
      <c r="AS126" t="s">
        <v>1670</v>
      </c>
      <c r="AU126" t="s">
        <v>396</v>
      </c>
      <c r="AV126">
        <v>2017</v>
      </c>
      <c r="AW126" t="str">
        <f>"27-2N-23-0000-0007-0060 "</f>
        <v xml:space="preserve">27-2N-23-0000-0007-0060 </v>
      </c>
      <c r="AX126">
        <v>3458</v>
      </c>
      <c r="AZ126" t="s">
        <v>1671</v>
      </c>
      <c r="BA126" t="s">
        <v>653</v>
      </c>
      <c r="BD126" t="s">
        <v>398</v>
      </c>
      <c r="BE126" t="s">
        <v>393</v>
      </c>
      <c r="BF126">
        <v>32046</v>
      </c>
      <c r="BG126" t="s">
        <v>1672</v>
      </c>
      <c r="BH126" t="s">
        <v>400</v>
      </c>
      <c r="BI126">
        <v>-81.996729534912205</v>
      </c>
      <c r="BJ126">
        <v>30.551961214226001</v>
      </c>
      <c r="BK126" t="s">
        <v>1673</v>
      </c>
      <c r="BM126" t="s">
        <v>1672</v>
      </c>
      <c r="BN126" t="s">
        <v>403</v>
      </c>
      <c r="BO126">
        <v>32046</v>
      </c>
      <c r="BP126" t="s">
        <v>416</v>
      </c>
      <c r="BQ126">
        <v>200</v>
      </c>
      <c r="BR126" t="s">
        <v>405</v>
      </c>
      <c r="BS126">
        <v>1006</v>
      </c>
      <c r="BT126" t="s">
        <v>406</v>
      </c>
      <c r="BW126">
        <v>58370</v>
      </c>
      <c r="BX126" t="s">
        <v>407</v>
      </c>
      <c r="BY126" t="s">
        <v>408</v>
      </c>
      <c r="BZ126">
        <v>4</v>
      </c>
      <c r="CA126">
        <v>1967</v>
      </c>
      <c r="CB126">
        <v>1</v>
      </c>
      <c r="CC126">
        <v>1</v>
      </c>
      <c r="CD126">
        <v>2017</v>
      </c>
      <c r="CE126">
        <v>20100</v>
      </c>
      <c r="CF126">
        <v>7668</v>
      </c>
      <c r="CG126">
        <v>27768</v>
      </c>
      <c r="CH126">
        <v>2017</v>
      </c>
      <c r="CI126">
        <v>20100</v>
      </c>
      <c r="CJ126">
        <v>7668</v>
      </c>
      <c r="CK126">
        <v>27768</v>
      </c>
      <c r="CL126">
        <v>2017</v>
      </c>
      <c r="CM126">
        <v>405.75</v>
      </c>
      <c r="CN126" s="1">
        <v>40651</v>
      </c>
      <c r="CO126">
        <v>15000</v>
      </c>
      <c r="CV126">
        <v>13500</v>
      </c>
      <c r="CX126" t="s">
        <v>707</v>
      </c>
      <c r="CZ126" s="1">
        <v>40651</v>
      </c>
      <c r="DA126">
        <v>0</v>
      </c>
      <c r="DD126" t="s">
        <v>398</v>
      </c>
      <c r="DG126">
        <v>27</v>
      </c>
      <c r="DL126">
        <v>50503</v>
      </c>
      <c r="DM126" t="s">
        <v>1632</v>
      </c>
      <c r="DO126" t="s">
        <v>1674</v>
      </c>
      <c r="DP126">
        <v>0</v>
      </c>
      <c r="DQ126">
        <v>0</v>
      </c>
      <c r="DR126" t="s">
        <v>411</v>
      </c>
      <c r="DS126" t="b">
        <v>1</v>
      </c>
      <c r="DT126" t="s">
        <v>470</v>
      </c>
      <c r="DU126" t="s">
        <v>471</v>
      </c>
      <c r="DV126" t="s">
        <v>472</v>
      </c>
      <c r="DX126">
        <v>-9999</v>
      </c>
      <c r="DZ126" t="s">
        <v>447</v>
      </c>
      <c r="EA126" t="s">
        <v>448</v>
      </c>
      <c r="EB126" t="s">
        <v>1661</v>
      </c>
      <c r="EC126">
        <v>20101217</v>
      </c>
      <c r="ED126" t="s">
        <v>474</v>
      </c>
      <c r="EF126">
        <v>1864.4</v>
      </c>
      <c r="EG126">
        <v>1864.4</v>
      </c>
      <c r="EI126">
        <v>20160407</v>
      </c>
      <c r="EJ126">
        <v>0</v>
      </c>
      <c r="EK126">
        <v>0</v>
      </c>
      <c r="EP126" t="s">
        <v>421</v>
      </c>
      <c r="EQ126" t="s">
        <v>422</v>
      </c>
      <c r="ER126">
        <v>0</v>
      </c>
      <c r="ES126">
        <v>7</v>
      </c>
      <c r="ET126">
        <v>0</v>
      </c>
      <c r="EU126">
        <v>0</v>
      </c>
      <c r="EV126">
        <v>0</v>
      </c>
      <c r="EW126" s="2">
        <v>43222</v>
      </c>
      <c r="EX126" s="1">
        <v>42879</v>
      </c>
      <c r="EY126">
        <v>2016</v>
      </c>
      <c r="EZ126">
        <v>420.69</v>
      </c>
      <c r="FA126" t="s">
        <v>1675</v>
      </c>
      <c r="FB126">
        <v>5.5</v>
      </c>
      <c r="FC126" t="s">
        <v>424</v>
      </c>
      <c r="FD126" t="s">
        <v>425</v>
      </c>
      <c r="FE126" s="1">
        <v>43166</v>
      </c>
      <c r="FF126">
        <v>10</v>
      </c>
      <c r="FG126">
        <v>10125</v>
      </c>
      <c r="FH126" t="s">
        <v>440</v>
      </c>
      <c r="FJ126" s="1">
        <v>42515</v>
      </c>
      <c r="FK126">
        <v>2015</v>
      </c>
      <c r="FL126">
        <v>405.31</v>
      </c>
      <c r="FM126" t="s">
        <v>1676</v>
      </c>
      <c r="FN126">
        <v>6.25</v>
      </c>
      <c r="FO126" t="s">
        <v>424</v>
      </c>
      <c r="FP126" t="s">
        <v>425</v>
      </c>
      <c r="FQ126" s="1">
        <v>42788</v>
      </c>
      <c r="FR126">
        <v>9</v>
      </c>
      <c r="FS126">
        <v>7336143</v>
      </c>
      <c r="FT126" t="s">
        <v>539</v>
      </c>
      <c r="FV126" s="1">
        <v>42151</v>
      </c>
      <c r="FW126">
        <v>2014</v>
      </c>
      <c r="FX126">
        <v>356.58</v>
      </c>
      <c r="FY126" t="s">
        <v>1677</v>
      </c>
      <c r="FZ126">
        <v>4</v>
      </c>
      <c r="GA126" t="s">
        <v>424</v>
      </c>
      <c r="GB126" t="s">
        <v>425</v>
      </c>
      <c r="GC126" s="1">
        <v>42412</v>
      </c>
      <c r="GD126">
        <v>9</v>
      </c>
      <c r="GE126">
        <v>15399</v>
      </c>
      <c r="GF126" t="s">
        <v>485</v>
      </c>
      <c r="GH126" s="1">
        <v>42151</v>
      </c>
      <c r="GI126">
        <v>2014</v>
      </c>
      <c r="GJ126">
        <v>356.58</v>
      </c>
      <c r="GK126" t="s">
        <v>1677</v>
      </c>
      <c r="GL126">
        <v>4</v>
      </c>
      <c r="GM126" t="s">
        <v>424</v>
      </c>
      <c r="GN126" t="s">
        <v>425</v>
      </c>
      <c r="GP126">
        <v>22</v>
      </c>
      <c r="GQ126">
        <v>7045018</v>
      </c>
      <c r="GR126" t="s">
        <v>1678</v>
      </c>
      <c r="GT126" s="1">
        <v>41787</v>
      </c>
      <c r="GU126">
        <v>2013</v>
      </c>
      <c r="GV126">
        <v>364.76</v>
      </c>
      <c r="GW126" t="s">
        <v>1679</v>
      </c>
      <c r="GX126">
        <v>2.25</v>
      </c>
      <c r="GY126" t="s">
        <v>424</v>
      </c>
      <c r="GZ126" t="s">
        <v>425</v>
      </c>
      <c r="HA126" s="1">
        <v>42412</v>
      </c>
      <c r="HB126">
        <v>21</v>
      </c>
      <c r="HC126">
        <v>15399</v>
      </c>
      <c r="HD126" t="s">
        <v>485</v>
      </c>
      <c r="HF126" s="1">
        <v>41423</v>
      </c>
      <c r="HG126">
        <v>2012</v>
      </c>
      <c r="HH126">
        <v>398.68</v>
      </c>
      <c r="HI126" t="s">
        <v>1680</v>
      </c>
      <c r="HJ126">
        <v>4.5</v>
      </c>
      <c r="HK126" t="s">
        <v>424</v>
      </c>
      <c r="HL126" t="s">
        <v>425</v>
      </c>
      <c r="HM126" s="1">
        <v>42044</v>
      </c>
      <c r="HN126">
        <v>21</v>
      </c>
      <c r="HO126">
        <v>15399</v>
      </c>
      <c r="HP126" t="s">
        <v>485</v>
      </c>
      <c r="HR126" s="1">
        <v>41052</v>
      </c>
      <c r="HS126">
        <v>2011</v>
      </c>
      <c r="HT126">
        <v>470.97</v>
      </c>
      <c r="HU126" t="s">
        <v>1681</v>
      </c>
      <c r="HV126">
        <v>5.75</v>
      </c>
      <c r="HW126" t="s">
        <v>424</v>
      </c>
      <c r="HX126" t="s">
        <v>425</v>
      </c>
      <c r="HY126" s="1">
        <v>41688</v>
      </c>
      <c r="HZ126">
        <v>21</v>
      </c>
      <c r="IA126">
        <v>10125</v>
      </c>
      <c r="IB126" t="s">
        <v>440</v>
      </c>
    </row>
    <row r="127" spans="1:248" x14ac:dyDescent="0.25">
      <c r="A127">
        <v>16485134</v>
      </c>
      <c r="B127">
        <v>126</v>
      </c>
      <c r="C127" t="s">
        <v>393</v>
      </c>
      <c r="D127" t="s">
        <v>394</v>
      </c>
      <c r="F127" t="str">
        <f>"27-2N-23-0000-0007-0180"</f>
        <v>27-2N-23-0000-0007-0180</v>
      </c>
      <c r="H127" t="str">
        <f>"RODRIGUEZ NOWELL D &amp; KIMBER N"</f>
        <v>RODRIGUEZ NOWELL D &amp; KIMBER N</v>
      </c>
      <c r="I127" t="str">
        <f>"27210 KRISTIE CIRCLE S"</f>
        <v>27210 KRISTIE CIRCLE S</v>
      </c>
      <c r="J127" t="str">
        <f t="shared" si="44"/>
        <v>HILLIARD FL 32046</v>
      </c>
      <c r="K127" t="str">
        <f>"19295 ASHCRAFT LN"</f>
        <v>19295 ASHCRAFT LN</v>
      </c>
      <c r="L127" t="str">
        <f t="shared" si="36"/>
        <v>HILLIARD FL 32046</v>
      </c>
      <c r="M127" t="str">
        <f>"IN OR 1872/849 EX 7-20 1982 NOBI SW/MH"</f>
        <v>IN OR 1872/849 EX 7-20 1982 NOBI SW/MH</v>
      </c>
      <c r="N127" t="str">
        <f>""</f>
        <v/>
      </c>
      <c r="O127" t="str">
        <f>"37031"</f>
        <v>37031</v>
      </c>
      <c r="P127" t="str">
        <f t="shared" si="27"/>
        <v>2017</v>
      </c>
      <c r="Q127" t="str">
        <f>""</f>
        <v/>
      </c>
      <c r="R127" t="str">
        <f t="shared" si="38"/>
        <v>N</v>
      </c>
      <c r="S127" t="str">
        <f>"1.03"</f>
        <v>1.03</v>
      </c>
      <c r="T127" t="str">
        <f>"354.12"</f>
        <v>354.12</v>
      </c>
      <c r="U127" t="str">
        <f>"21626.00"</f>
        <v>21626.00</v>
      </c>
      <c r="V127" t="str">
        <f>"21626.00"</f>
        <v>21626.00</v>
      </c>
      <c r="W127" t="str">
        <f t="shared" si="28"/>
        <v>2017</v>
      </c>
      <c r="X127" t="str">
        <f>"14.00"</f>
        <v>14.00</v>
      </c>
      <c r="Y127" t="str">
        <f>"396.74"</f>
        <v>396.74</v>
      </c>
      <c r="Z127" t="str">
        <f>""</f>
        <v/>
      </c>
      <c r="AA127" t="str">
        <f>"25678.00"</f>
        <v>25678.00</v>
      </c>
      <c r="AB127" t="str">
        <f t="shared" si="39"/>
        <v>Residential</v>
      </c>
      <c r="AC127" t="str">
        <f t="shared" si="30"/>
        <v>0</v>
      </c>
      <c r="AD127" t="str">
        <f t="shared" si="41"/>
        <v>4</v>
      </c>
      <c r="AE127" t="str">
        <f t="shared" si="42"/>
        <v>WOOD (INCLUDE STEEL STUDS)</v>
      </c>
      <c r="AF127" t="str">
        <f t="shared" si="43"/>
        <v>002</v>
      </c>
      <c r="AG127" t="str">
        <f t="shared" si="37"/>
        <v>FL</v>
      </c>
      <c r="AH127" t="str">
        <f>"44866.00"</f>
        <v>44866.00</v>
      </c>
      <c r="AI127" t="str">
        <f>"15450.00"</f>
        <v>15450.00</v>
      </c>
      <c r="AJ127" t="str">
        <f>"C55-000-587-4764-3"</f>
        <v>C55-000-587-4764-3</v>
      </c>
      <c r="AK127" t="str">
        <f>"1055"</f>
        <v>1055</v>
      </c>
      <c r="AL127">
        <v>1</v>
      </c>
      <c r="AM127">
        <v>146</v>
      </c>
      <c r="AN127">
        <v>414.98</v>
      </c>
      <c r="AQ127" t="s">
        <v>1682</v>
      </c>
      <c r="AR127" t="s">
        <v>1682</v>
      </c>
      <c r="AS127" t="s">
        <v>1682</v>
      </c>
      <c r="AU127" t="s">
        <v>396</v>
      </c>
      <c r="AV127">
        <v>2017</v>
      </c>
      <c r="AW127" t="str">
        <f>"27-2N-23-0000-0007-0180 "</f>
        <v xml:space="preserve">27-2N-23-0000-0007-0180 </v>
      </c>
      <c r="AX127">
        <v>19295</v>
      </c>
      <c r="AZ127" t="s">
        <v>1683</v>
      </c>
      <c r="BA127" t="s">
        <v>653</v>
      </c>
      <c r="BD127" t="s">
        <v>398</v>
      </c>
      <c r="BE127" t="s">
        <v>393</v>
      </c>
      <c r="BF127">
        <v>32046</v>
      </c>
      <c r="BG127" t="s">
        <v>1684</v>
      </c>
      <c r="BH127" t="s">
        <v>400</v>
      </c>
      <c r="BI127">
        <v>-81.996748550210299</v>
      </c>
      <c r="BJ127">
        <v>30.5527985670875</v>
      </c>
      <c r="BK127" t="s">
        <v>1685</v>
      </c>
      <c r="BL127" t="s">
        <v>1686</v>
      </c>
      <c r="BM127" t="s">
        <v>1687</v>
      </c>
      <c r="BN127" t="s">
        <v>403</v>
      </c>
      <c r="BO127">
        <v>32046</v>
      </c>
      <c r="BP127" t="s">
        <v>404</v>
      </c>
      <c r="BQ127">
        <v>200</v>
      </c>
      <c r="BR127" t="s">
        <v>405</v>
      </c>
      <c r="BS127">
        <v>1006</v>
      </c>
      <c r="BT127" t="s">
        <v>406</v>
      </c>
      <c r="BW127">
        <v>44866</v>
      </c>
      <c r="BX127" t="s">
        <v>407</v>
      </c>
      <c r="BZ127">
        <v>4</v>
      </c>
      <c r="CA127">
        <v>1982</v>
      </c>
      <c r="CB127">
        <v>1</v>
      </c>
      <c r="CC127">
        <v>1</v>
      </c>
      <c r="CD127">
        <v>2017</v>
      </c>
      <c r="CE127">
        <v>15450</v>
      </c>
      <c r="CF127">
        <v>10228</v>
      </c>
      <c r="CG127">
        <v>25678</v>
      </c>
      <c r="CH127">
        <v>2017</v>
      </c>
      <c r="CI127">
        <v>15450</v>
      </c>
      <c r="CJ127">
        <v>10228</v>
      </c>
      <c r="CK127">
        <v>25678</v>
      </c>
      <c r="CL127">
        <v>2017</v>
      </c>
      <c r="CM127">
        <v>354.12</v>
      </c>
      <c r="CN127" s="1">
        <v>41499</v>
      </c>
      <c r="CO127">
        <v>10000</v>
      </c>
      <c r="CV127">
        <v>0</v>
      </c>
      <c r="CZ127" s="1">
        <v>41499</v>
      </c>
      <c r="DA127">
        <v>0</v>
      </c>
      <c r="DD127" t="s">
        <v>398</v>
      </c>
      <c r="DG127">
        <v>27</v>
      </c>
      <c r="DL127">
        <v>50503</v>
      </c>
      <c r="DM127" t="s">
        <v>1632</v>
      </c>
      <c r="DO127" t="s">
        <v>1688</v>
      </c>
      <c r="DP127">
        <v>0</v>
      </c>
      <c r="DQ127">
        <v>0</v>
      </c>
      <c r="DR127" t="s">
        <v>411</v>
      </c>
      <c r="DS127" t="b">
        <v>1</v>
      </c>
      <c r="DT127" t="s">
        <v>470</v>
      </c>
      <c r="DU127" t="s">
        <v>471</v>
      </c>
      <c r="DV127" t="s">
        <v>472</v>
      </c>
      <c r="DX127">
        <v>-9999</v>
      </c>
      <c r="DZ127" t="s">
        <v>447</v>
      </c>
      <c r="EA127" t="s">
        <v>448</v>
      </c>
      <c r="EB127" t="s">
        <v>1661</v>
      </c>
      <c r="EC127">
        <v>20101217</v>
      </c>
      <c r="ED127" t="s">
        <v>474</v>
      </c>
      <c r="EF127">
        <v>1652.1</v>
      </c>
      <c r="EG127">
        <v>1652.1</v>
      </c>
      <c r="EI127">
        <v>20160407</v>
      </c>
      <c r="EJ127">
        <v>0</v>
      </c>
      <c r="EK127">
        <v>0</v>
      </c>
      <c r="EP127" t="s">
        <v>421</v>
      </c>
      <c r="EQ127" t="s">
        <v>452</v>
      </c>
      <c r="ER127">
        <v>0</v>
      </c>
      <c r="ES127">
        <v>3</v>
      </c>
      <c r="ET127">
        <v>0</v>
      </c>
      <c r="EU127">
        <v>0</v>
      </c>
      <c r="EV127">
        <v>0</v>
      </c>
      <c r="EW127" s="2">
        <v>43222</v>
      </c>
      <c r="EX127" s="1">
        <v>42515</v>
      </c>
      <c r="EY127">
        <v>2015</v>
      </c>
      <c r="EZ127">
        <v>362.77</v>
      </c>
      <c r="FA127" t="s">
        <v>1689</v>
      </c>
      <c r="FB127">
        <v>6.25</v>
      </c>
      <c r="FC127" t="s">
        <v>424</v>
      </c>
      <c r="FD127" t="s">
        <v>425</v>
      </c>
      <c r="FE127" s="1">
        <v>42817</v>
      </c>
      <c r="FF127">
        <v>10</v>
      </c>
      <c r="FG127">
        <v>7336143</v>
      </c>
      <c r="FH127" t="s">
        <v>539</v>
      </c>
      <c r="FJ127" s="1">
        <v>41052</v>
      </c>
      <c r="FK127">
        <v>2011</v>
      </c>
      <c r="FL127">
        <v>499.6</v>
      </c>
      <c r="FM127" t="s">
        <v>1690</v>
      </c>
      <c r="FN127">
        <v>14.75</v>
      </c>
      <c r="FO127" t="s">
        <v>424</v>
      </c>
      <c r="FP127" t="s">
        <v>425</v>
      </c>
      <c r="FQ127" s="1">
        <v>41345</v>
      </c>
      <c r="FR127">
        <v>10</v>
      </c>
      <c r="FS127">
        <v>10125</v>
      </c>
      <c r="FT127" t="s">
        <v>440</v>
      </c>
      <c r="FU127" t="s">
        <v>458</v>
      </c>
      <c r="FV127" s="1">
        <v>40688</v>
      </c>
      <c r="FW127">
        <v>2010</v>
      </c>
      <c r="FX127">
        <v>523.13</v>
      </c>
      <c r="FY127" t="s">
        <v>1691</v>
      </c>
      <c r="FZ127">
        <v>7</v>
      </c>
      <c r="GA127" t="s">
        <v>424</v>
      </c>
      <c r="GB127" t="s">
        <v>425</v>
      </c>
      <c r="GC127" s="1">
        <v>41345</v>
      </c>
      <c r="GD127">
        <v>22</v>
      </c>
      <c r="GE127">
        <v>10579</v>
      </c>
      <c r="GF127" t="s">
        <v>488</v>
      </c>
      <c r="GG127" t="s">
        <v>458</v>
      </c>
    </row>
    <row r="128" spans="1:248" x14ac:dyDescent="0.25">
      <c r="A128">
        <v>16485135</v>
      </c>
      <c r="B128">
        <v>127</v>
      </c>
      <c r="C128" t="s">
        <v>393</v>
      </c>
      <c r="D128" t="s">
        <v>394</v>
      </c>
      <c r="F128" t="str">
        <f>"27-2N-23-0000-0009-0000"</f>
        <v>27-2N-23-0000-0009-0000</v>
      </c>
      <c r="H128" t="str">
        <f>"RING STEVEN CHARLES"</f>
        <v>RING STEVEN CHARLES</v>
      </c>
      <c r="I128" t="str">
        <f>"20362 CR 121"</f>
        <v>20362 CR 121</v>
      </c>
      <c r="J128" t="str">
        <f t="shared" si="44"/>
        <v>HILLIARD FL 32046</v>
      </c>
      <c r="K128" t="str">
        <f>"20362 CR 121"</f>
        <v>20362 CR 121</v>
      </c>
      <c r="L128" t="str">
        <f t="shared" si="36"/>
        <v>HILLIARD FL 32046</v>
      </c>
      <c r="M128" t="str">
        <f>"PARCEL 9 IN SEC 27-2N-23E &amp; PARCEL 1-9 IN SEC 34-2N-23E IN OR 2058/100"</f>
        <v>PARCEL 9 IN SEC 27-2N-23E &amp; PARCEL 1-9 IN SEC 34-2N-23E IN OR 2058/100</v>
      </c>
      <c r="N128" t="str">
        <f>""</f>
        <v/>
      </c>
      <c r="O128" t="str">
        <f>"37037"</f>
        <v>37037</v>
      </c>
      <c r="P128" t="str">
        <f t="shared" si="27"/>
        <v>2017</v>
      </c>
      <c r="Q128" t="str">
        <f>""</f>
        <v/>
      </c>
      <c r="R128" t="str">
        <f t="shared" si="38"/>
        <v>N</v>
      </c>
      <c r="S128" t="str">
        <f>"2.12"</f>
        <v>2.12</v>
      </c>
      <c r="T128" t="str">
        <f>"1075.06"</f>
        <v>1075.06</v>
      </c>
      <c r="U128" t="str">
        <f>"71014.00"</f>
        <v>71014.00</v>
      </c>
      <c r="V128" t="str">
        <f>"71014.00"</f>
        <v>71014.00</v>
      </c>
      <c r="W128" t="str">
        <f t="shared" si="28"/>
        <v>2017</v>
      </c>
      <c r="X128" t="str">
        <f>"1.00"</f>
        <v>1.00</v>
      </c>
      <c r="Y128" t="str">
        <f>"1139.31"</f>
        <v>1139.31</v>
      </c>
      <c r="Z128" t="str">
        <f>""</f>
        <v/>
      </c>
      <c r="AA128" t="str">
        <f>"71014.00"</f>
        <v>71014.00</v>
      </c>
      <c r="AB128" t="str">
        <f t="shared" si="39"/>
        <v>Residential</v>
      </c>
      <c r="AC128" t="str">
        <f t="shared" si="30"/>
        <v>0</v>
      </c>
      <c r="AD128" t="str">
        <f t="shared" si="41"/>
        <v>4</v>
      </c>
      <c r="AE128" t="str">
        <f t="shared" si="42"/>
        <v>WOOD (INCLUDE STEEL STUDS)</v>
      </c>
      <c r="AF128" t="str">
        <f t="shared" si="43"/>
        <v>002</v>
      </c>
      <c r="AG128" t="str">
        <f t="shared" si="37"/>
        <v>FL</v>
      </c>
      <c r="AH128" t="str">
        <f>"92347.00"</f>
        <v>92347.00</v>
      </c>
      <c r="AI128" t="str">
        <f>"25440.00"</f>
        <v>25440.00</v>
      </c>
      <c r="AJ128" t="str">
        <f>"C55-000-587-4768-4"</f>
        <v>C55-000-587-4768-4</v>
      </c>
      <c r="AK128" t="str">
        <f>"1061"</f>
        <v>1061</v>
      </c>
      <c r="AL128">
        <v>1</v>
      </c>
      <c r="AM128">
        <v>147</v>
      </c>
      <c r="AN128">
        <v>1194.68</v>
      </c>
      <c r="AQ128" t="s">
        <v>1692</v>
      </c>
      <c r="AR128" t="s">
        <v>1692</v>
      </c>
      <c r="AS128" t="s">
        <v>1692</v>
      </c>
      <c r="AU128" t="s">
        <v>396</v>
      </c>
      <c r="AV128">
        <v>2017</v>
      </c>
      <c r="AW128" t="str">
        <f>"27-2N-23-0000-0009-0000 "</f>
        <v xml:space="preserve">27-2N-23-0000-0009-0000 </v>
      </c>
      <c r="AX128">
        <v>20362</v>
      </c>
      <c r="AZ128" t="s">
        <v>611</v>
      </c>
      <c r="BD128" t="s">
        <v>398</v>
      </c>
      <c r="BE128" t="s">
        <v>393</v>
      </c>
      <c r="BF128">
        <v>32046</v>
      </c>
      <c r="BG128" t="s">
        <v>1693</v>
      </c>
      <c r="BH128" t="s">
        <v>400</v>
      </c>
      <c r="BI128">
        <v>-81.991138038653304</v>
      </c>
      <c r="BJ128">
        <v>30.551566152895099</v>
      </c>
      <c r="BK128" t="s">
        <v>1694</v>
      </c>
      <c r="BM128" t="s">
        <v>1693</v>
      </c>
      <c r="BN128" t="s">
        <v>403</v>
      </c>
      <c r="BO128">
        <v>32046</v>
      </c>
      <c r="BP128" t="s">
        <v>404</v>
      </c>
      <c r="BQ128">
        <v>200</v>
      </c>
      <c r="BR128" t="s">
        <v>405</v>
      </c>
      <c r="BS128">
        <v>1006</v>
      </c>
      <c r="BT128" t="s">
        <v>406</v>
      </c>
      <c r="BW128">
        <v>92347</v>
      </c>
      <c r="BX128" t="s">
        <v>407</v>
      </c>
      <c r="BY128" t="s">
        <v>408</v>
      </c>
      <c r="BZ128">
        <v>4</v>
      </c>
      <c r="CA128">
        <v>2014</v>
      </c>
      <c r="CC128">
        <v>1</v>
      </c>
      <c r="CD128">
        <v>2017</v>
      </c>
      <c r="CE128">
        <v>25440</v>
      </c>
      <c r="CF128">
        <v>45574</v>
      </c>
      <c r="CG128">
        <v>71014</v>
      </c>
      <c r="CH128">
        <v>2017</v>
      </c>
      <c r="CI128">
        <v>25440</v>
      </c>
      <c r="CJ128">
        <v>45574</v>
      </c>
      <c r="CK128">
        <v>71014</v>
      </c>
      <c r="CL128">
        <v>2017</v>
      </c>
      <c r="CM128">
        <v>1075.06</v>
      </c>
      <c r="CN128" s="1">
        <v>42564</v>
      </c>
      <c r="CO128">
        <v>71100</v>
      </c>
      <c r="CV128">
        <v>0</v>
      </c>
      <c r="CZ128" s="1">
        <v>42564</v>
      </c>
      <c r="DA128">
        <v>0</v>
      </c>
      <c r="DD128" t="s">
        <v>398</v>
      </c>
      <c r="DG128">
        <v>27</v>
      </c>
      <c r="DL128">
        <v>50503</v>
      </c>
      <c r="DM128" t="s">
        <v>1632</v>
      </c>
      <c r="DO128" t="s">
        <v>1695</v>
      </c>
      <c r="DP128">
        <v>0</v>
      </c>
      <c r="DQ128">
        <v>0</v>
      </c>
      <c r="DR128" t="s">
        <v>411</v>
      </c>
      <c r="EP128" t="s">
        <v>421</v>
      </c>
      <c r="EQ128" t="s">
        <v>422</v>
      </c>
      <c r="ER128">
        <v>0</v>
      </c>
      <c r="ES128">
        <v>2</v>
      </c>
      <c r="ET128">
        <v>0</v>
      </c>
      <c r="EU128">
        <v>0</v>
      </c>
      <c r="EV128">
        <v>0</v>
      </c>
      <c r="EW128" s="2">
        <v>43222</v>
      </c>
      <c r="EX128" s="1">
        <v>42879</v>
      </c>
      <c r="EY128">
        <v>2016</v>
      </c>
      <c r="EZ128">
        <v>1145.1300000000001</v>
      </c>
      <c r="FA128" t="s">
        <v>1696</v>
      </c>
      <c r="FB128">
        <v>0.25</v>
      </c>
      <c r="FC128" t="s">
        <v>424</v>
      </c>
      <c r="FD128" t="s">
        <v>425</v>
      </c>
      <c r="FE128" s="1">
        <v>42908</v>
      </c>
      <c r="FF128">
        <v>1</v>
      </c>
      <c r="FG128">
        <v>2851116</v>
      </c>
      <c r="FH128" t="s">
        <v>480</v>
      </c>
      <c r="FJ128" s="1">
        <v>42879</v>
      </c>
      <c r="FK128">
        <v>2016</v>
      </c>
      <c r="FL128">
        <v>1145.1300000000001</v>
      </c>
      <c r="FM128" t="s">
        <v>1696</v>
      </c>
      <c r="FN128">
        <v>0.25</v>
      </c>
      <c r="FO128" t="s">
        <v>424</v>
      </c>
      <c r="FP128" t="s">
        <v>425</v>
      </c>
      <c r="FR128">
        <v>22</v>
      </c>
      <c r="FS128">
        <v>5685545</v>
      </c>
      <c r="FT128" t="s">
        <v>1697</v>
      </c>
    </row>
    <row r="129" spans="1:296" x14ac:dyDescent="0.25">
      <c r="A129">
        <v>16485136</v>
      </c>
      <c r="B129">
        <v>128</v>
      </c>
      <c r="C129" t="s">
        <v>393</v>
      </c>
      <c r="D129" t="s">
        <v>394</v>
      </c>
      <c r="F129" t="str">
        <f>"27-2N-23-0000-0009-0040"</f>
        <v>27-2N-23-0000-0009-0040</v>
      </c>
      <c r="H129" t="str">
        <f>"CLEMONS KELLY G &amp; EVELYN L"</f>
        <v>CLEMONS KELLY G &amp; EVELYN L</v>
      </c>
      <c r="I129" t="str">
        <f>"20460 CR 121"</f>
        <v>20460 CR 121</v>
      </c>
      <c r="J129" t="str">
        <f t="shared" si="44"/>
        <v>HILLIARD FL 32046</v>
      </c>
      <c r="K129" t="str">
        <f>"20460 CR 121"</f>
        <v>20460 CR 121</v>
      </c>
      <c r="L129" t="str">
        <f t="shared" si="36"/>
        <v>HILLIARD FL 32046</v>
      </c>
      <c r="M129" t="str">
        <f>"SE1/4 OF SE1/4 IN OR 664 PG 392 R567543 &amp; R567544"</f>
        <v>SE1/4 OF SE1/4 IN OR 664 PG 392 R567543 &amp; R567544</v>
      </c>
      <c r="N129" t="str">
        <f>""</f>
        <v/>
      </c>
      <c r="O129" t="str">
        <f>"37041"</f>
        <v>37041</v>
      </c>
      <c r="P129" t="str">
        <f t="shared" si="27"/>
        <v>2017</v>
      </c>
      <c r="Q129" t="str">
        <f>""</f>
        <v/>
      </c>
      <c r="R129" t="str">
        <f>"Y"</f>
        <v>Y</v>
      </c>
      <c r="S129" t="str">
        <f>"2.30"</f>
        <v>2.30</v>
      </c>
      <c r="T129" t="str">
        <f>"388.20"</f>
        <v>388.20</v>
      </c>
      <c r="U129" t="str">
        <f>"51473.00"</f>
        <v>51473.00</v>
      </c>
      <c r="V129" t="str">
        <f>"51473.00"</f>
        <v>51473.00</v>
      </c>
      <c r="W129" t="str">
        <f t="shared" si="28"/>
        <v>2017</v>
      </c>
      <c r="X129" t="str">
        <f>"11.00"</f>
        <v>11.00</v>
      </c>
      <c r="Y129" t="str">
        <f>"431.85"</f>
        <v>431.85</v>
      </c>
      <c r="Z129" t="str">
        <f>"25000.00"</f>
        <v>25000.00</v>
      </c>
      <c r="AA129" t="str">
        <f>"26473.00"</f>
        <v>26473.00</v>
      </c>
      <c r="AB129" t="str">
        <f t="shared" si="39"/>
        <v>Residential</v>
      </c>
      <c r="AC129" t="str">
        <f t="shared" si="30"/>
        <v>0</v>
      </c>
      <c r="AD129" t="str">
        <f t="shared" si="41"/>
        <v>4</v>
      </c>
      <c r="AE129" t="str">
        <f t="shared" si="42"/>
        <v>WOOD (INCLUDE STEEL STUDS)</v>
      </c>
      <c r="AF129" t="str">
        <f t="shared" si="43"/>
        <v>002</v>
      </c>
      <c r="AG129" t="str">
        <f t="shared" si="37"/>
        <v>FL</v>
      </c>
      <c r="AH129" t="str">
        <f>"100188.00"</f>
        <v>100188.00</v>
      </c>
      <c r="AI129" t="str">
        <f>"27600.00"</f>
        <v>27600.00</v>
      </c>
      <c r="AJ129" t="str">
        <f>"C55-000-587-4772-6"</f>
        <v>C55-000-587-4772-6</v>
      </c>
      <c r="AK129" t="str">
        <f>"1065"</f>
        <v>1065</v>
      </c>
      <c r="AL129">
        <v>1</v>
      </c>
      <c r="AM129">
        <v>148</v>
      </c>
      <c r="AN129">
        <v>451.84</v>
      </c>
      <c r="AQ129" t="s">
        <v>1698</v>
      </c>
      <c r="AR129" t="s">
        <v>1698</v>
      </c>
      <c r="AS129" t="s">
        <v>1698</v>
      </c>
      <c r="AU129" t="s">
        <v>396</v>
      </c>
      <c r="AV129">
        <v>2017</v>
      </c>
      <c r="AW129" t="str">
        <f>"27-2N-23-0000-0009-0040 "</f>
        <v xml:space="preserve">27-2N-23-0000-0009-0040 </v>
      </c>
      <c r="AX129">
        <v>20460</v>
      </c>
      <c r="AZ129" t="s">
        <v>611</v>
      </c>
      <c r="BD129" t="s">
        <v>398</v>
      </c>
      <c r="BE129" t="s">
        <v>393</v>
      </c>
      <c r="BF129">
        <v>32046</v>
      </c>
      <c r="BG129" t="s">
        <v>1699</v>
      </c>
      <c r="BH129" t="s">
        <v>400</v>
      </c>
      <c r="BI129">
        <v>-81.991480002482504</v>
      </c>
      <c r="BJ129">
        <v>30.552594269899</v>
      </c>
      <c r="BK129" t="s">
        <v>1700</v>
      </c>
      <c r="BL129" t="s">
        <v>1701</v>
      </c>
      <c r="BM129" t="s">
        <v>1702</v>
      </c>
      <c r="BN129" t="s">
        <v>403</v>
      </c>
      <c r="BO129">
        <v>32046</v>
      </c>
      <c r="BP129" t="s">
        <v>416</v>
      </c>
      <c r="BQ129">
        <v>200</v>
      </c>
      <c r="BR129" t="s">
        <v>405</v>
      </c>
      <c r="BS129">
        <v>1006</v>
      </c>
      <c r="BT129" t="s">
        <v>406</v>
      </c>
      <c r="BW129">
        <v>100188</v>
      </c>
      <c r="BX129" t="s">
        <v>407</v>
      </c>
      <c r="BY129" t="s">
        <v>408</v>
      </c>
      <c r="BZ129">
        <v>4</v>
      </c>
      <c r="CA129">
        <v>1992</v>
      </c>
      <c r="CB129">
        <v>1</v>
      </c>
      <c r="CC129">
        <v>1</v>
      </c>
      <c r="CD129">
        <v>2017</v>
      </c>
      <c r="CG129">
        <v>51473</v>
      </c>
      <c r="CH129">
        <v>2017</v>
      </c>
      <c r="CI129">
        <v>27600</v>
      </c>
      <c r="CJ129">
        <v>37349</v>
      </c>
      <c r="CK129">
        <v>64949</v>
      </c>
      <c r="CL129">
        <v>2017</v>
      </c>
      <c r="CM129">
        <v>388.2</v>
      </c>
      <c r="CN129" s="1">
        <v>33816</v>
      </c>
      <c r="CZ129" s="1">
        <v>33816</v>
      </c>
      <c r="DD129" t="s">
        <v>398</v>
      </c>
      <c r="DG129">
        <v>27</v>
      </c>
      <c r="DL129">
        <v>50503</v>
      </c>
      <c r="DM129" t="s">
        <v>1632</v>
      </c>
      <c r="DO129" t="s">
        <v>1703</v>
      </c>
      <c r="DP129">
        <v>0</v>
      </c>
      <c r="DQ129">
        <v>0</v>
      </c>
      <c r="DR129" t="s">
        <v>411</v>
      </c>
      <c r="EP129" t="s">
        <v>421</v>
      </c>
      <c r="EQ129" t="s">
        <v>422</v>
      </c>
      <c r="ER129">
        <v>2</v>
      </c>
      <c r="ES129">
        <v>1</v>
      </c>
      <c r="ET129">
        <v>890.2</v>
      </c>
      <c r="EU129">
        <v>57.01</v>
      </c>
      <c r="EV129">
        <v>947.21</v>
      </c>
      <c r="EW129" s="2">
        <v>43222</v>
      </c>
      <c r="EX129" s="1">
        <v>42879</v>
      </c>
      <c r="EY129">
        <v>2016</v>
      </c>
      <c r="EZ129">
        <v>445.1</v>
      </c>
      <c r="FA129" t="s">
        <v>1704</v>
      </c>
      <c r="FB129">
        <v>0.25</v>
      </c>
      <c r="FC129" t="s">
        <v>424</v>
      </c>
      <c r="FD129" t="s">
        <v>454</v>
      </c>
      <c r="FF129">
        <v>12</v>
      </c>
      <c r="FG129">
        <v>2851116</v>
      </c>
      <c r="FH129" t="s">
        <v>480</v>
      </c>
      <c r="FJ129" s="1">
        <v>42879</v>
      </c>
      <c r="FK129">
        <v>2016</v>
      </c>
      <c r="FL129">
        <v>445.1</v>
      </c>
      <c r="FM129" t="s">
        <v>1704</v>
      </c>
      <c r="FN129">
        <v>0.25</v>
      </c>
      <c r="FO129" t="s">
        <v>424</v>
      </c>
      <c r="FP129" t="s">
        <v>454</v>
      </c>
      <c r="FR129">
        <v>12</v>
      </c>
      <c r="FS129">
        <v>5679579</v>
      </c>
      <c r="FT129" t="s">
        <v>1705</v>
      </c>
      <c r="FV129" s="1">
        <v>41787</v>
      </c>
      <c r="FW129">
        <v>2013</v>
      </c>
      <c r="FX129">
        <v>493.78</v>
      </c>
      <c r="FY129" t="s">
        <v>1706</v>
      </c>
      <c r="FZ129">
        <v>0.25</v>
      </c>
      <c r="GA129" t="s">
        <v>424</v>
      </c>
      <c r="GB129" t="s">
        <v>425</v>
      </c>
      <c r="GC129" s="1">
        <v>42117</v>
      </c>
      <c r="GD129">
        <v>11</v>
      </c>
      <c r="GE129">
        <v>4844940</v>
      </c>
      <c r="GF129" t="s">
        <v>1707</v>
      </c>
    </row>
    <row r="130" spans="1:296" x14ac:dyDescent="0.25">
      <c r="A130">
        <v>16485137</v>
      </c>
      <c r="B130">
        <v>129</v>
      </c>
      <c r="C130" t="s">
        <v>393</v>
      </c>
      <c r="D130" t="s">
        <v>394</v>
      </c>
      <c r="F130" t="str">
        <f>"28-2N-23-0000-0003-0010"</f>
        <v>28-2N-23-0000-0003-0010</v>
      </c>
      <c r="H130" t="str">
        <f>"CREWS RHONDA M &amp; JOHN G"</f>
        <v>CREWS RHONDA M &amp; JOHN G</v>
      </c>
      <c r="I130" t="str">
        <f>"19288 SCENIC RIVER DRIVE"</f>
        <v>19288 SCENIC RIVER DRIVE</v>
      </c>
      <c r="J130" t="str">
        <f t="shared" si="44"/>
        <v>HILLIARD FL 32046</v>
      </c>
      <c r="K130" t="str">
        <f>"19288 SCENIC RIVER DR"</f>
        <v>19288 SCENIC RIVER DR</v>
      </c>
      <c r="L130" t="str">
        <f t="shared" si="36"/>
        <v>HILLIARD FL 32046</v>
      </c>
      <c r="M130" t="str">
        <f>"PT OF SE1/4 OF SE1/4 IN OR 1595/1630"</f>
        <v>PT OF SE1/4 OF SE1/4 IN OR 1595/1630</v>
      </c>
      <c r="N130" t="str">
        <f>""</f>
        <v/>
      </c>
      <c r="O130" t="str">
        <f>"38025"</f>
        <v>38025</v>
      </c>
      <c r="P130" t="str">
        <f t="shared" ref="P130:P193" si="45">"2017"</f>
        <v>2017</v>
      </c>
      <c r="Q130" t="str">
        <f>""</f>
        <v/>
      </c>
      <c r="R130" t="str">
        <f>"Y"</f>
        <v>Y</v>
      </c>
      <c r="S130" t="str">
        <f>"1.00"</f>
        <v>1.00</v>
      </c>
      <c r="T130" t="str">
        <f>"540.34"</f>
        <v>540.34</v>
      </c>
      <c r="U130" t="str">
        <f>"74531.00"</f>
        <v>74531.00</v>
      </c>
      <c r="V130" t="str">
        <f>"74531.00"</f>
        <v>74531.00</v>
      </c>
      <c r="W130" t="str">
        <f t="shared" ref="W130:W193" si="46">"2017"</f>
        <v>2017</v>
      </c>
      <c r="X130" t="str">
        <f>"18.75"</f>
        <v>18.75</v>
      </c>
      <c r="Y130" t="str">
        <f>"588.55"</f>
        <v>588.55</v>
      </c>
      <c r="Z130" t="str">
        <f>"25000.00"</f>
        <v>25000.00</v>
      </c>
      <c r="AA130" t="str">
        <f>"49531.00"</f>
        <v>49531.00</v>
      </c>
      <c r="AB130" t="str">
        <f t="shared" si="39"/>
        <v>Residential</v>
      </c>
      <c r="AC130" t="str">
        <f t="shared" ref="AC130:AC193" si="47">"0"</f>
        <v>0</v>
      </c>
      <c r="AD130" t="str">
        <f t="shared" si="41"/>
        <v>4</v>
      </c>
      <c r="AE130" t="str">
        <f t="shared" si="42"/>
        <v>WOOD (INCLUDE STEEL STUDS)</v>
      </c>
      <c r="AF130" t="str">
        <f>"001"</f>
        <v>001</v>
      </c>
      <c r="AG130" t="str">
        <f t="shared" si="37"/>
        <v>FL</v>
      </c>
      <c r="AH130" t="str">
        <f>"43560.00"</f>
        <v>43560.00</v>
      </c>
      <c r="AI130" t="str">
        <f>"15000.00"</f>
        <v>15000.00</v>
      </c>
      <c r="AJ130" t="str">
        <f>"C55-000-587-5192-6"</f>
        <v>C55-000-587-5192-6</v>
      </c>
      <c r="AK130" t="str">
        <f>"1081"</f>
        <v>1081</v>
      </c>
      <c r="AL130">
        <v>1</v>
      </c>
      <c r="AM130">
        <v>149</v>
      </c>
      <c r="AN130">
        <v>616.38</v>
      </c>
      <c r="AQ130" t="s">
        <v>1708</v>
      </c>
      <c r="AR130" t="s">
        <v>1708</v>
      </c>
      <c r="AS130" t="s">
        <v>1708</v>
      </c>
      <c r="AU130" t="s">
        <v>396</v>
      </c>
      <c r="AV130">
        <v>2017</v>
      </c>
      <c r="AW130" t="str">
        <f>"28-2N-23-0000-0003-0010 "</f>
        <v xml:space="preserve">28-2N-23-0000-0003-0010 </v>
      </c>
      <c r="AX130">
        <v>19288</v>
      </c>
      <c r="AZ130" t="s">
        <v>1709</v>
      </c>
      <c r="BA130" t="s">
        <v>669</v>
      </c>
      <c r="BD130" t="s">
        <v>398</v>
      </c>
      <c r="BE130" t="s">
        <v>393</v>
      </c>
      <c r="BF130">
        <v>32046</v>
      </c>
      <c r="BG130" t="s">
        <v>1710</v>
      </c>
      <c r="BH130" t="s">
        <v>400</v>
      </c>
      <c r="BI130">
        <v>-82.006221733001595</v>
      </c>
      <c r="BJ130">
        <v>30.5521199595536</v>
      </c>
      <c r="BK130" t="s">
        <v>1711</v>
      </c>
      <c r="BM130" t="s">
        <v>1712</v>
      </c>
      <c r="BN130" t="s">
        <v>403</v>
      </c>
      <c r="BO130">
        <v>32046</v>
      </c>
      <c r="BP130" t="s">
        <v>416</v>
      </c>
      <c r="BQ130">
        <v>100</v>
      </c>
      <c r="BR130" t="s">
        <v>514</v>
      </c>
      <c r="BS130">
        <v>1001</v>
      </c>
      <c r="BT130" t="s">
        <v>515</v>
      </c>
      <c r="BW130">
        <v>43560</v>
      </c>
      <c r="BX130" t="s">
        <v>407</v>
      </c>
      <c r="BY130" t="s">
        <v>408</v>
      </c>
      <c r="BZ130">
        <v>4</v>
      </c>
      <c r="CA130">
        <v>1979</v>
      </c>
      <c r="CB130">
        <v>1</v>
      </c>
      <c r="CC130">
        <v>1</v>
      </c>
      <c r="CD130">
        <v>2017</v>
      </c>
      <c r="CG130">
        <v>74531</v>
      </c>
      <c r="CH130">
        <v>2017</v>
      </c>
      <c r="CI130">
        <v>15000</v>
      </c>
      <c r="CJ130">
        <v>72711</v>
      </c>
      <c r="CK130">
        <v>87711</v>
      </c>
      <c r="CL130">
        <v>2017</v>
      </c>
      <c r="CM130">
        <v>540.34</v>
      </c>
      <c r="CN130" s="1">
        <v>39786</v>
      </c>
      <c r="CV130">
        <v>0</v>
      </c>
      <c r="CZ130" s="1">
        <v>39786</v>
      </c>
      <c r="DA130">
        <v>0</v>
      </c>
      <c r="DD130" t="s">
        <v>398</v>
      </c>
      <c r="DG130">
        <v>28</v>
      </c>
      <c r="DL130">
        <v>50503</v>
      </c>
      <c r="DM130" t="s">
        <v>1713</v>
      </c>
      <c r="DO130" t="s">
        <v>1714</v>
      </c>
      <c r="DP130">
        <v>0</v>
      </c>
      <c r="DQ130">
        <v>0</v>
      </c>
      <c r="DR130" t="s">
        <v>411</v>
      </c>
      <c r="EP130" t="s">
        <v>421</v>
      </c>
      <c r="EQ130" t="s">
        <v>452</v>
      </c>
      <c r="ER130">
        <v>2</v>
      </c>
      <c r="ES130">
        <v>6</v>
      </c>
      <c r="ET130">
        <v>1222.08</v>
      </c>
      <c r="EU130">
        <v>73.599999999999994</v>
      </c>
      <c r="EV130">
        <v>1295.68</v>
      </c>
      <c r="EW130" s="2">
        <v>43222</v>
      </c>
      <c r="EX130" s="1">
        <v>42879</v>
      </c>
      <c r="EY130">
        <v>2016</v>
      </c>
      <c r="EZ130">
        <v>611.04</v>
      </c>
      <c r="FA130" t="s">
        <v>1715</v>
      </c>
      <c r="FB130">
        <v>0.25</v>
      </c>
      <c r="FC130" t="s">
        <v>424</v>
      </c>
      <c r="FD130" t="s">
        <v>454</v>
      </c>
      <c r="FF130">
        <v>12</v>
      </c>
      <c r="FG130">
        <v>5856195</v>
      </c>
      <c r="FH130" t="s">
        <v>1060</v>
      </c>
      <c r="FJ130" s="1">
        <v>42879</v>
      </c>
      <c r="FK130">
        <v>2016</v>
      </c>
      <c r="FL130">
        <v>611.04</v>
      </c>
      <c r="FM130" t="s">
        <v>1715</v>
      </c>
      <c r="FN130">
        <v>0.25</v>
      </c>
      <c r="FO130" t="s">
        <v>424</v>
      </c>
      <c r="FP130" t="s">
        <v>454</v>
      </c>
      <c r="FR130">
        <v>12</v>
      </c>
      <c r="FS130">
        <v>6004849</v>
      </c>
      <c r="FT130" t="s">
        <v>1716</v>
      </c>
      <c r="FV130" s="1">
        <v>41787</v>
      </c>
      <c r="FW130">
        <v>2013</v>
      </c>
      <c r="FX130">
        <v>592.4</v>
      </c>
      <c r="FY130" t="s">
        <v>1717</v>
      </c>
      <c r="FZ130">
        <v>0.25</v>
      </c>
      <c r="GA130" t="s">
        <v>424</v>
      </c>
      <c r="GB130" t="s">
        <v>425</v>
      </c>
      <c r="GC130" s="1">
        <v>42107</v>
      </c>
      <c r="GD130">
        <v>11</v>
      </c>
      <c r="GE130">
        <v>2101382</v>
      </c>
      <c r="GF130" t="s">
        <v>993</v>
      </c>
      <c r="GG130" t="s">
        <v>458</v>
      </c>
      <c r="GH130" s="1">
        <v>41423</v>
      </c>
      <c r="GI130">
        <v>2012</v>
      </c>
      <c r="GJ130">
        <v>617.21</v>
      </c>
      <c r="GK130" t="s">
        <v>1718</v>
      </c>
      <c r="GL130">
        <v>0.25</v>
      </c>
      <c r="GM130" t="s">
        <v>424</v>
      </c>
      <c r="GN130" t="s">
        <v>425</v>
      </c>
      <c r="GP130">
        <v>22</v>
      </c>
      <c r="GQ130">
        <v>11289</v>
      </c>
      <c r="GR130" t="s">
        <v>787</v>
      </c>
      <c r="GS130" t="s">
        <v>458</v>
      </c>
      <c r="GT130" s="1">
        <v>41423</v>
      </c>
      <c r="GU130">
        <v>2012</v>
      </c>
      <c r="GV130">
        <v>617.21</v>
      </c>
      <c r="GW130" t="s">
        <v>1718</v>
      </c>
      <c r="GX130">
        <v>0.25</v>
      </c>
      <c r="GY130" t="s">
        <v>424</v>
      </c>
      <c r="GZ130" t="s">
        <v>425</v>
      </c>
      <c r="HB130">
        <v>22</v>
      </c>
      <c r="HC130">
        <v>4844954</v>
      </c>
      <c r="HD130" t="s">
        <v>1719</v>
      </c>
      <c r="HE130" t="s">
        <v>458</v>
      </c>
      <c r="HF130" s="1">
        <v>41052</v>
      </c>
      <c r="HG130">
        <v>2011</v>
      </c>
      <c r="HH130">
        <v>644.75</v>
      </c>
      <c r="HI130" t="s">
        <v>1720</v>
      </c>
      <c r="HJ130">
        <v>0.25</v>
      </c>
      <c r="HK130" t="s">
        <v>424</v>
      </c>
      <c r="HL130" t="s">
        <v>425</v>
      </c>
      <c r="HM130" s="1">
        <v>41697</v>
      </c>
      <c r="HN130">
        <v>21</v>
      </c>
      <c r="HO130">
        <v>13104</v>
      </c>
      <c r="HP130" t="s">
        <v>888</v>
      </c>
      <c r="HR130" s="1">
        <v>41052</v>
      </c>
      <c r="HS130">
        <v>2011</v>
      </c>
      <c r="HT130">
        <v>644.75</v>
      </c>
      <c r="HU130" t="s">
        <v>1720</v>
      </c>
      <c r="HV130">
        <v>0.25</v>
      </c>
      <c r="HW130" t="s">
        <v>424</v>
      </c>
      <c r="HX130" t="s">
        <v>425</v>
      </c>
      <c r="HZ130">
        <v>22</v>
      </c>
      <c r="IA130">
        <v>13730</v>
      </c>
      <c r="IB130" t="s">
        <v>1721</v>
      </c>
      <c r="ID130" s="1">
        <v>40688</v>
      </c>
      <c r="IE130">
        <v>2010</v>
      </c>
      <c r="IF130">
        <v>678.09</v>
      </c>
      <c r="IG130" t="s">
        <v>1722</v>
      </c>
      <c r="IH130">
        <v>0.25</v>
      </c>
      <c r="II130" t="s">
        <v>424</v>
      </c>
      <c r="IJ130" t="s">
        <v>425</v>
      </c>
      <c r="IK130" s="1">
        <v>41282</v>
      </c>
      <c r="IL130">
        <v>20</v>
      </c>
      <c r="IM130">
        <v>11141</v>
      </c>
      <c r="IN130" t="s">
        <v>1723</v>
      </c>
    </row>
    <row r="131" spans="1:296" x14ac:dyDescent="0.25">
      <c r="A131">
        <v>16485138</v>
      </c>
      <c r="B131">
        <v>130</v>
      </c>
      <c r="C131" t="s">
        <v>393</v>
      </c>
      <c r="D131" t="s">
        <v>394</v>
      </c>
      <c r="F131" t="str">
        <f>"33-2N-23-0000-0001-0010"</f>
        <v>33-2N-23-0000-0001-0010</v>
      </c>
      <c r="H131" t="str">
        <f>"PENDERGRASS SANDRA J &amp; JOHN M"</f>
        <v>PENDERGRASS SANDRA J &amp; JOHN M</v>
      </c>
      <c r="I131" t="str">
        <f>"2892 BARBARA LANE"</f>
        <v>2892 BARBARA LANE</v>
      </c>
      <c r="J131" t="str">
        <f t="shared" si="44"/>
        <v>HILLIARD FL 32046</v>
      </c>
      <c r="K131" t="str">
        <f>"2892 BARBARA LN"</f>
        <v>2892 BARBARA LN</v>
      </c>
      <c r="L131" t="str">
        <f t="shared" si="36"/>
        <v>HILLIARD FL 32046</v>
      </c>
      <c r="M131" t="str">
        <f>"PT OF E1/2 OF NE1/4 IN OR 1240/1139"</f>
        <v>PT OF E1/2 OF NE1/4 IN OR 1240/1139</v>
      </c>
      <c r="N131" t="str">
        <f>""</f>
        <v/>
      </c>
      <c r="O131" t="str">
        <f>"40855"</f>
        <v>40855</v>
      </c>
      <c r="P131" t="str">
        <f t="shared" si="45"/>
        <v>2017</v>
      </c>
      <c r="Q131" t="str">
        <f>""</f>
        <v/>
      </c>
      <c r="R131" t="str">
        <f>"Y"</f>
        <v>Y</v>
      </c>
      <c r="S131" t="str">
        <f>"4.70"</f>
        <v>4.70</v>
      </c>
      <c r="T131" t="str">
        <f>"518.34"</f>
        <v>518.34</v>
      </c>
      <c r="U131" t="str">
        <f>"71197.00"</f>
        <v>71197.00</v>
      </c>
      <c r="V131" t="str">
        <f>"71197.00"</f>
        <v>71197.00</v>
      </c>
      <c r="W131" t="str">
        <f t="shared" si="46"/>
        <v>2017</v>
      </c>
      <c r="X131" t="str">
        <f>"10.30"</f>
        <v>10.30</v>
      </c>
      <c r="Y131" t="str">
        <f>"565.89"</f>
        <v>565.89</v>
      </c>
      <c r="Z131" t="str">
        <f>"25000.00"</f>
        <v>25000.00</v>
      </c>
      <c r="AA131" t="str">
        <f>"46197.00"</f>
        <v>46197.00</v>
      </c>
      <c r="AB131" t="str">
        <f t="shared" si="39"/>
        <v>Residential</v>
      </c>
      <c r="AC131" t="str">
        <f t="shared" si="47"/>
        <v>0</v>
      </c>
      <c r="AD131" t="str">
        <f t="shared" si="41"/>
        <v>4</v>
      </c>
      <c r="AE131" t="str">
        <f t="shared" si="42"/>
        <v>WOOD (INCLUDE STEEL STUDS)</v>
      </c>
      <c r="AF131" t="str">
        <f>"001"</f>
        <v>001</v>
      </c>
      <c r="AG131" t="str">
        <f t="shared" si="37"/>
        <v>FL</v>
      </c>
      <c r="AH131" t="str">
        <f>"204732.00"</f>
        <v>204732.00</v>
      </c>
      <c r="AI131" t="str">
        <f>"37600.00"</f>
        <v>37600.00</v>
      </c>
      <c r="AJ131" t="str">
        <f>"C55-000-587-7244-3"</f>
        <v>C55-000-587-7244-3</v>
      </c>
      <c r="AK131" t="str">
        <f>"1088"</f>
        <v>1088</v>
      </c>
      <c r="AL131">
        <v>1</v>
      </c>
      <c r="AM131">
        <v>150</v>
      </c>
      <c r="AN131">
        <v>592.58000000000004</v>
      </c>
      <c r="AQ131" t="s">
        <v>1724</v>
      </c>
      <c r="AR131" t="s">
        <v>1724</v>
      </c>
      <c r="AS131" t="s">
        <v>1724</v>
      </c>
      <c r="AU131" t="s">
        <v>396</v>
      </c>
      <c r="AV131">
        <v>2017</v>
      </c>
      <c r="AW131" t="str">
        <f>"33-2N-23-0000-0001-0010 "</f>
        <v xml:space="preserve">33-2N-23-0000-0001-0010 </v>
      </c>
      <c r="AX131">
        <v>2892</v>
      </c>
      <c r="AZ131" t="s">
        <v>1671</v>
      </c>
      <c r="BA131" t="s">
        <v>653</v>
      </c>
      <c r="BD131" t="s">
        <v>398</v>
      </c>
      <c r="BE131" t="s">
        <v>393</v>
      </c>
      <c r="BF131">
        <v>32046</v>
      </c>
      <c r="BG131" t="s">
        <v>1725</v>
      </c>
      <c r="BH131" t="s">
        <v>400</v>
      </c>
      <c r="BI131">
        <v>-82.006980414991602</v>
      </c>
      <c r="BJ131">
        <v>30.550156265444102</v>
      </c>
      <c r="BK131" t="s">
        <v>1726</v>
      </c>
      <c r="BL131" t="s">
        <v>1727</v>
      </c>
      <c r="BM131" t="s">
        <v>1725</v>
      </c>
      <c r="BN131" t="s">
        <v>403</v>
      </c>
      <c r="BO131">
        <v>32046</v>
      </c>
      <c r="BP131" t="s">
        <v>416</v>
      </c>
      <c r="BQ131">
        <v>100</v>
      </c>
      <c r="BR131" t="s">
        <v>514</v>
      </c>
      <c r="BS131">
        <v>1001</v>
      </c>
      <c r="BT131" t="s">
        <v>515</v>
      </c>
      <c r="BW131">
        <v>204732</v>
      </c>
      <c r="BX131" t="s">
        <v>407</v>
      </c>
      <c r="BY131" t="s">
        <v>408</v>
      </c>
      <c r="BZ131">
        <v>4</v>
      </c>
      <c r="CA131">
        <v>2005</v>
      </c>
      <c r="CB131">
        <v>1</v>
      </c>
      <c r="CC131">
        <v>1</v>
      </c>
      <c r="CD131">
        <v>2017</v>
      </c>
      <c r="CG131">
        <v>71197</v>
      </c>
      <c r="CH131">
        <v>2017</v>
      </c>
      <c r="CI131">
        <v>37600</v>
      </c>
      <c r="CJ131">
        <v>42374</v>
      </c>
      <c r="CK131">
        <v>79974</v>
      </c>
      <c r="CL131">
        <v>2017</v>
      </c>
      <c r="CM131">
        <v>518.34</v>
      </c>
      <c r="CN131" s="1">
        <v>38162</v>
      </c>
      <c r="CZ131" s="1">
        <v>38162</v>
      </c>
      <c r="DD131" t="s">
        <v>398</v>
      </c>
      <c r="DG131">
        <v>33</v>
      </c>
      <c r="DL131">
        <v>50503</v>
      </c>
      <c r="DM131" t="s">
        <v>1728</v>
      </c>
      <c r="DO131" t="s">
        <v>1729</v>
      </c>
      <c r="DP131">
        <v>0</v>
      </c>
      <c r="DQ131">
        <v>0</v>
      </c>
      <c r="DR131" t="s">
        <v>411</v>
      </c>
      <c r="DS131" t="b">
        <v>1</v>
      </c>
      <c r="DT131" t="s">
        <v>396</v>
      </c>
      <c r="DV131" t="s">
        <v>446</v>
      </c>
      <c r="DX131">
        <v>-9999</v>
      </c>
      <c r="DZ131" t="s">
        <v>447</v>
      </c>
      <c r="EA131" t="s">
        <v>448</v>
      </c>
      <c r="EB131" t="s">
        <v>449</v>
      </c>
      <c r="EC131">
        <v>20101217</v>
      </c>
      <c r="ED131" t="s">
        <v>450</v>
      </c>
      <c r="EE131">
        <v>35.700000000000003</v>
      </c>
      <c r="EF131">
        <v>0</v>
      </c>
      <c r="EG131">
        <v>0</v>
      </c>
      <c r="EI131">
        <v>20160407</v>
      </c>
      <c r="EJ131">
        <v>0</v>
      </c>
      <c r="EK131">
        <v>0</v>
      </c>
      <c r="EP131" t="s">
        <v>421</v>
      </c>
      <c r="EQ131" t="s">
        <v>422</v>
      </c>
      <c r="ER131">
        <v>2</v>
      </c>
      <c r="ES131">
        <v>9</v>
      </c>
      <c r="ET131">
        <v>1174.1199999999999</v>
      </c>
      <c r="EU131">
        <v>71.209999999999994</v>
      </c>
      <c r="EV131">
        <v>1245.33</v>
      </c>
      <c r="EW131" s="2">
        <v>43222</v>
      </c>
      <c r="EX131" s="1">
        <v>42879</v>
      </c>
      <c r="EY131">
        <v>2016</v>
      </c>
      <c r="EZ131">
        <v>587.05999999999995</v>
      </c>
      <c r="FA131" t="s">
        <v>1730</v>
      </c>
      <c r="FB131">
        <v>0.25</v>
      </c>
      <c r="FC131" t="s">
        <v>424</v>
      </c>
      <c r="FD131" t="s">
        <v>454</v>
      </c>
      <c r="FF131">
        <v>12</v>
      </c>
      <c r="FG131">
        <v>7336753</v>
      </c>
      <c r="FH131" t="s">
        <v>1731</v>
      </c>
      <c r="FJ131" s="1">
        <v>42879</v>
      </c>
      <c r="FK131">
        <v>2016</v>
      </c>
      <c r="FL131">
        <v>587.05999999999995</v>
      </c>
      <c r="FM131" t="s">
        <v>1730</v>
      </c>
      <c r="FN131">
        <v>0.25</v>
      </c>
      <c r="FO131" t="s">
        <v>424</v>
      </c>
      <c r="FP131" t="s">
        <v>454</v>
      </c>
      <c r="FR131">
        <v>12</v>
      </c>
      <c r="FS131">
        <v>7385831</v>
      </c>
      <c r="FT131" t="s">
        <v>1732</v>
      </c>
      <c r="FV131" s="1">
        <v>42515</v>
      </c>
      <c r="FW131">
        <v>2015</v>
      </c>
      <c r="FX131">
        <v>596.04</v>
      </c>
      <c r="FY131" t="s">
        <v>1733</v>
      </c>
      <c r="FZ131">
        <v>0.25</v>
      </c>
      <c r="GA131" t="s">
        <v>424</v>
      </c>
      <c r="GB131" t="s">
        <v>425</v>
      </c>
      <c r="GC131" s="1">
        <v>42927</v>
      </c>
      <c r="GD131">
        <v>14</v>
      </c>
      <c r="GE131">
        <v>5916895</v>
      </c>
      <c r="GF131" t="s">
        <v>1390</v>
      </c>
      <c r="GH131" s="1">
        <v>42515</v>
      </c>
      <c r="GI131">
        <v>2015</v>
      </c>
      <c r="GJ131">
        <v>596.04</v>
      </c>
      <c r="GK131" t="s">
        <v>1733</v>
      </c>
      <c r="GL131">
        <v>0.25</v>
      </c>
      <c r="GM131" t="s">
        <v>424</v>
      </c>
      <c r="GN131" t="s">
        <v>425</v>
      </c>
      <c r="GP131">
        <v>22</v>
      </c>
      <c r="GQ131">
        <v>6045907</v>
      </c>
      <c r="GR131" t="s">
        <v>1734</v>
      </c>
      <c r="GT131" s="1">
        <v>42151</v>
      </c>
      <c r="GU131">
        <v>2014</v>
      </c>
      <c r="GV131">
        <v>595.21</v>
      </c>
      <c r="GW131" t="s">
        <v>1735</v>
      </c>
      <c r="GX131">
        <v>0.25</v>
      </c>
      <c r="GY131" t="s">
        <v>424</v>
      </c>
      <c r="GZ131" t="s">
        <v>425</v>
      </c>
      <c r="HA131" s="1">
        <v>42746</v>
      </c>
      <c r="HB131">
        <v>20</v>
      </c>
      <c r="HC131">
        <v>4975594</v>
      </c>
      <c r="HD131" t="s">
        <v>457</v>
      </c>
      <c r="HF131" s="1">
        <v>42151</v>
      </c>
      <c r="HG131">
        <v>2014</v>
      </c>
      <c r="HH131">
        <v>595.21</v>
      </c>
      <c r="HI131" t="s">
        <v>1735</v>
      </c>
      <c r="HJ131">
        <v>0.25</v>
      </c>
      <c r="HK131" t="s">
        <v>424</v>
      </c>
      <c r="HL131" t="s">
        <v>425</v>
      </c>
      <c r="HN131">
        <v>22</v>
      </c>
      <c r="HO131">
        <v>6585187</v>
      </c>
      <c r="HP131" t="s">
        <v>1736</v>
      </c>
      <c r="HR131" s="1">
        <v>41787</v>
      </c>
      <c r="HS131">
        <v>2013</v>
      </c>
      <c r="HT131">
        <v>567.16999999999996</v>
      </c>
      <c r="HU131" t="s">
        <v>1737</v>
      </c>
      <c r="HV131">
        <v>0.25</v>
      </c>
      <c r="HW131" t="s">
        <v>424</v>
      </c>
      <c r="HX131" t="s">
        <v>425</v>
      </c>
      <c r="HY131" s="1">
        <v>42144</v>
      </c>
      <c r="HZ131">
        <v>12</v>
      </c>
      <c r="IA131">
        <v>2407503</v>
      </c>
      <c r="IB131" t="s">
        <v>461</v>
      </c>
      <c r="ID131" s="1">
        <v>41423</v>
      </c>
      <c r="IE131">
        <v>2012</v>
      </c>
      <c r="IF131">
        <v>566.51</v>
      </c>
      <c r="IG131" t="s">
        <v>1738</v>
      </c>
      <c r="IH131">
        <v>0.25</v>
      </c>
      <c r="II131" t="s">
        <v>424</v>
      </c>
      <c r="IJ131" t="s">
        <v>425</v>
      </c>
      <c r="IK131" s="1">
        <v>41947</v>
      </c>
      <c r="IL131">
        <v>18</v>
      </c>
      <c r="IM131">
        <v>2101382</v>
      </c>
      <c r="IN131" t="s">
        <v>993</v>
      </c>
      <c r="IP131" s="1">
        <v>41052</v>
      </c>
      <c r="IQ131">
        <v>2011</v>
      </c>
      <c r="IR131">
        <v>554.05999999999995</v>
      </c>
      <c r="IS131" t="s">
        <v>1739</v>
      </c>
      <c r="IT131">
        <v>0.25</v>
      </c>
      <c r="IU131" t="s">
        <v>424</v>
      </c>
      <c r="IV131" t="s">
        <v>425</v>
      </c>
      <c r="IW131" s="1">
        <v>41575</v>
      </c>
      <c r="IX131">
        <v>17</v>
      </c>
      <c r="IY131">
        <v>13368</v>
      </c>
      <c r="IZ131" t="s">
        <v>1740</v>
      </c>
      <c r="JB131" s="1">
        <v>41052</v>
      </c>
      <c r="JC131">
        <v>2011</v>
      </c>
      <c r="JD131">
        <v>554.05999999999995</v>
      </c>
      <c r="JE131" t="s">
        <v>1739</v>
      </c>
      <c r="JF131">
        <v>0.25</v>
      </c>
      <c r="JG131" t="s">
        <v>424</v>
      </c>
      <c r="JH131" t="s">
        <v>425</v>
      </c>
      <c r="JJ131">
        <v>22</v>
      </c>
      <c r="JK131">
        <v>14335</v>
      </c>
      <c r="JL131" t="s">
        <v>1741</v>
      </c>
      <c r="JN131" s="1">
        <v>40688</v>
      </c>
      <c r="JO131">
        <v>2010</v>
      </c>
      <c r="JP131">
        <v>547.29</v>
      </c>
      <c r="JQ131" t="s">
        <v>1742</v>
      </c>
      <c r="JR131">
        <v>0.25</v>
      </c>
      <c r="JS131" t="s">
        <v>424</v>
      </c>
      <c r="JT131" t="s">
        <v>425</v>
      </c>
      <c r="JU131" s="1">
        <v>40876</v>
      </c>
      <c r="JV131">
        <v>6</v>
      </c>
      <c r="JW131">
        <v>11177</v>
      </c>
      <c r="JX131" t="s">
        <v>650</v>
      </c>
    </row>
    <row r="132" spans="1:296" x14ac:dyDescent="0.25">
      <c r="A132">
        <v>16485139</v>
      </c>
      <c r="B132">
        <v>131</v>
      </c>
      <c r="C132" t="s">
        <v>393</v>
      </c>
      <c r="D132" t="s">
        <v>394</v>
      </c>
      <c r="F132" t="str">
        <f>"34-2N-23-0000-0001-0080"</f>
        <v>34-2N-23-0000-0001-0080</v>
      </c>
      <c r="H132" t="str">
        <f>"RING STEVEN C &amp; SANDRA S"</f>
        <v>RING STEVEN C &amp; SANDRA S</v>
      </c>
      <c r="I132" t="str">
        <f>"20346 CR 121"</f>
        <v>20346 CR 121</v>
      </c>
      <c r="J132" t="str">
        <f t="shared" si="44"/>
        <v>HILLIARD FL 32046</v>
      </c>
      <c r="K132" t="str">
        <f>"20346 CR 121"</f>
        <v>20346 CR 121</v>
      </c>
      <c r="L132" t="str">
        <f t="shared" si="36"/>
        <v>HILLIARD FL 32046</v>
      </c>
      <c r="M132" t="str">
        <f>"PT SEC 34-2N-23E RECD IN OR 1966/572"</f>
        <v>PT SEC 34-2N-23E RECD IN OR 1966/572</v>
      </c>
      <c r="N132" t="str">
        <f>""</f>
        <v/>
      </c>
      <c r="O132" t="str">
        <f>"41202"</f>
        <v>41202</v>
      </c>
      <c r="P132" t="str">
        <f t="shared" si="45"/>
        <v>2017</v>
      </c>
      <c r="Q132" t="str">
        <f>""</f>
        <v/>
      </c>
      <c r="R132" t="str">
        <f t="shared" ref="R132:R140" si="48">"N"</f>
        <v>N</v>
      </c>
      <c r="S132" t="str">
        <f>"1.38"</f>
        <v>1.38</v>
      </c>
      <c r="T132" t="str">
        <f>"749.46"</f>
        <v>749.46</v>
      </c>
      <c r="U132" t="str">
        <f>"44591.00"</f>
        <v>44591.00</v>
      </c>
      <c r="V132" t="str">
        <f>"44591.00"</f>
        <v>44591.00</v>
      </c>
      <c r="W132" t="str">
        <f t="shared" si="46"/>
        <v>2017</v>
      </c>
      <c r="X132" t="str">
        <f>"1.00"</f>
        <v>1.00</v>
      </c>
      <c r="Y132" t="str">
        <f>"803.94"</f>
        <v>803.94</v>
      </c>
      <c r="Z132" t="str">
        <f>""</f>
        <v/>
      </c>
      <c r="AA132" t="str">
        <f>"55866.00"</f>
        <v>55866.00</v>
      </c>
      <c r="AB132" t="str">
        <f t="shared" si="39"/>
        <v>Residential</v>
      </c>
      <c r="AC132" t="str">
        <f t="shared" si="47"/>
        <v>0</v>
      </c>
      <c r="AD132" t="str">
        <f t="shared" si="41"/>
        <v>4</v>
      </c>
      <c r="AE132" t="str">
        <f t="shared" si="42"/>
        <v>WOOD (INCLUDE STEEL STUDS)</v>
      </c>
      <c r="AF132" t="str">
        <f>"002"</f>
        <v>002</v>
      </c>
      <c r="AG132" t="str">
        <f t="shared" si="37"/>
        <v>FL</v>
      </c>
      <c r="AH132" t="str">
        <f>"60112.00"</f>
        <v>60112.00</v>
      </c>
      <c r="AI132" t="str">
        <f>"20700.00"</f>
        <v>20700.00</v>
      </c>
      <c r="AJ132" t="str">
        <f>"C55-000-587-7488-6"</f>
        <v>C55-000-587-7488-6</v>
      </c>
      <c r="AK132" t="str">
        <f>"1124"</f>
        <v>1124</v>
      </c>
      <c r="AL132">
        <v>1</v>
      </c>
      <c r="AM132">
        <v>152</v>
      </c>
      <c r="AN132">
        <v>842.54</v>
      </c>
      <c r="AQ132" t="s">
        <v>1743</v>
      </c>
      <c r="AR132" t="s">
        <v>1743</v>
      </c>
      <c r="AS132" t="s">
        <v>1743</v>
      </c>
      <c r="AU132" t="s">
        <v>396</v>
      </c>
      <c r="AV132">
        <v>2017</v>
      </c>
      <c r="AW132" t="str">
        <f>"34-2N-23-0000-0001-0080 "</f>
        <v xml:space="preserve">34-2N-23-0000-0001-0080 </v>
      </c>
      <c r="AX132">
        <v>20346</v>
      </c>
      <c r="AZ132" t="s">
        <v>611</v>
      </c>
      <c r="BD132" t="s">
        <v>398</v>
      </c>
      <c r="BE132" t="s">
        <v>393</v>
      </c>
      <c r="BF132">
        <v>32046</v>
      </c>
      <c r="BG132" t="s">
        <v>1744</v>
      </c>
      <c r="BH132" t="s">
        <v>400</v>
      </c>
      <c r="BI132">
        <v>-81.990931997157801</v>
      </c>
      <c r="BJ132">
        <v>30.550938323386902</v>
      </c>
      <c r="BK132" t="s">
        <v>1745</v>
      </c>
      <c r="BM132" t="s">
        <v>1744</v>
      </c>
      <c r="BN132" t="s">
        <v>403</v>
      </c>
      <c r="BO132">
        <v>32046</v>
      </c>
      <c r="BP132" t="s">
        <v>416</v>
      </c>
      <c r="BQ132">
        <v>200</v>
      </c>
      <c r="BR132" t="s">
        <v>405</v>
      </c>
      <c r="BS132">
        <v>1006</v>
      </c>
      <c r="BT132" t="s">
        <v>406</v>
      </c>
      <c r="BW132">
        <v>60112</v>
      </c>
      <c r="BX132" t="s">
        <v>407</v>
      </c>
      <c r="BZ132">
        <v>4</v>
      </c>
      <c r="CA132">
        <v>2001</v>
      </c>
      <c r="CC132">
        <v>1</v>
      </c>
      <c r="CD132">
        <v>2017</v>
      </c>
      <c r="CE132">
        <v>20700</v>
      </c>
      <c r="CF132">
        <v>35166</v>
      </c>
      <c r="CG132">
        <v>55866</v>
      </c>
      <c r="CH132">
        <v>2017</v>
      </c>
      <c r="CI132">
        <v>20700</v>
      </c>
      <c r="CJ132">
        <v>35166</v>
      </c>
      <c r="CK132">
        <v>55866</v>
      </c>
      <c r="CL132">
        <v>2017</v>
      </c>
      <c r="CM132">
        <v>749.46</v>
      </c>
      <c r="CN132" s="1">
        <v>42069</v>
      </c>
      <c r="CO132">
        <v>65000</v>
      </c>
      <c r="CV132">
        <v>61000</v>
      </c>
      <c r="CX132" t="s">
        <v>707</v>
      </c>
      <c r="CZ132" s="1">
        <v>42069</v>
      </c>
      <c r="DA132">
        <v>0</v>
      </c>
      <c r="DD132" t="s">
        <v>398</v>
      </c>
      <c r="DG132">
        <v>34</v>
      </c>
      <c r="DL132">
        <v>50503</v>
      </c>
      <c r="DM132" t="s">
        <v>1746</v>
      </c>
      <c r="DO132" t="s">
        <v>1747</v>
      </c>
      <c r="DP132">
        <v>0</v>
      </c>
      <c r="DQ132">
        <v>0</v>
      </c>
      <c r="DR132" t="s">
        <v>411</v>
      </c>
      <c r="DS132" t="b">
        <v>1</v>
      </c>
      <c r="DT132" t="s">
        <v>470</v>
      </c>
      <c r="DU132" t="s">
        <v>471</v>
      </c>
      <c r="DV132" t="s">
        <v>472</v>
      </c>
      <c r="DX132">
        <v>-9999</v>
      </c>
      <c r="DZ132" t="s">
        <v>447</v>
      </c>
      <c r="EA132" t="s">
        <v>448</v>
      </c>
      <c r="EB132" t="s">
        <v>1661</v>
      </c>
      <c r="EC132">
        <v>20101217</v>
      </c>
      <c r="ED132" t="s">
        <v>474</v>
      </c>
      <c r="EF132">
        <v>668.6</v>
      </c>
      <c r="EG132">
        <v>668.6</v>
      </c>
      <c r="EI132">
        <v>20160407</v>
      </c>
      <c r="EJ132">
        <v>0</v>
      </c>
      <c r="EK132">
        <v>0</v>
      </c>
      <c r="EP132" t="s">
        <v>421</v>
      </c>
      <c r="EQ132" t="s">
        <v>422</v>
      </c>
      <c r="ER132">
        <v>0</v>
      </c>
      <c r="ES132">
        <v>2</v>
      </c>
      <c r="ET132">
        <v>0</v>
      </c>
      <c r="EU132">
        <v>0</v>
      </c>
      <c r="EV132">
        <v>0</v>
      </c>
      <c r="EW132" s="2">
        <v>43222</v>
      </c>
      <c r="EX132" s="1">
        <v>42879</v>
      </c>
      <c r="EY132">
        <v>2016</v>
      </c>
      <c r="EZ132">
        <v>699.99</v>
      </c>
      <c r="FA132" t="s">
        <v>1748</v>
      </c>
      <c r="FB132">
        <v>0.25</v>
      </c>
      <c r="FC132" t="s">
        <v>424</v>
      </c>
      <c r="FD132" t="s">
        <v>425</v>
      </c>
      <c r="FE132" s="1">
        <v>42908</v>
      </c>
      <c r="FF132">
        <v>1</v>
      </c>
      <c r="FG132">
        <v>7400234</v>
      </c>
      <c r="FH132" t="s">
        <v>426</v>
      </c>
      <c r="FJ132" s="1">
        <v>42879</v>
      </c>
      <c r="FK132">
        <v>2016</v>
      </c>
      <c r="FL132">
        <v>699.99</v>
      </c>
      <c r="FM132" t="s">
        <v>1748</v>
      </c>
      <c r="FN132">
        <v>0.25</v>
      </c>
      <c r="FO132" t="s">
        <v>424</v>
      </c>
      <c r="FP132" t="s">
        <v>425</v>
      </c>
      <c r="FR132">
        <v>22</v>
      </c>
      <c r="FS132">
        <v>7446971</v>
      </c>
      <c r="FT132" t="s">
        <v>1749</v>
      </c>
    </row>
    <row r="133" spans="1:296" x14ac:dyDescent="0.25">
      <c r="A133">
        <v>16485140</v>
      </c>
      <c r="B133">
        <v>132</v>
      </c>
      <c r="C133" t="s">
        <v>393</v>
      </c>
      <c r="D133" t="s">
        <v>394</v>
      </c>
      <c r="F133" t="str">
        <f>"34-2N-23-0000-0002-0060"</f>
        <v>34-2N-23-0000-0002-0060</v>
      </c>
      <c r="H133" t="str">
        <f>"MCLENDON LUTHER S III &amp; SUSAN"</f>
        <v>MCLENDON LUTHER S III &amp; SUSAN</v>
      </c>
      <c r="I133" t="str">
        <f>"18401 CONNER ROAD"</f>
        <v>18401 CONNER ROAD</v>
      </c>
      <c r="J133" t="str">
        <f t="shared" si="44"/>
        <v>HILLIARD FL 32046</v>
      </c>
      <c r="K133" t="str">
        <f>"CR 121"</f>
        <v>CR 121</v>
      </c>
      <c r="L133" t="str">
        <f t="shared" si="36"/>
        <v>HILLIARD FL 32046</v>
      </c>
      <c r="M133" t="str">
        <f>"IN OR 1726/1495"</f>
        <v>IN OR 1726/1495</v>
      </c>
      <c r="N133" t="str">
        <f>""</f>
        <v/>
      </c>
      <c r="O133" t="str">
        <f>"41214"</f>
        <v>41214</v>
      </c>
      <c r="P133" t="str">
        <f t="shared" si="45"/>
        <v>2017</v>
      </c>
      <c r="Q133" t="str">
        <f>""</f>
        <v/>
      </c>
      <c r="R133" t="str">
        <f t="shared" si="48"/>
        <v>N</v>
      </c>
      <c r="S133" t="str">
        <f>"1.62"</f>
        <v>1.62</v>
      </c>
      <c r="T133" t="str">
        <f>"8.44"</f>
        <v>8.44</v>
      </c>
      <c r="U133" t="str">
        <f>"558.00"</f>
        <v>558.00</v>
      </c>
      <c r="V133" t="str">
        <f>"558.00"</f>
        <v>558.00</v>
      </c>
      <c r="W133" t="str">
        <f t="shared" si="46"/>
        <v>2017</v>
      </c>
      <c r="X133" t="str">
        <f>"16.50"</f>
        <v>16.50</v>
      </c>
      <c r="Y133" t="str">
        <f>"40.69"</f>
        <v>40.69</v>
      </c>
      <c r="Z133" t="str">
        <f>""</f>
        <v/>
      </c>
      <c r="AA133" t="str">
        <f>"558.00"</f>
        <v>558.00</v>
      </c>
      <c r="AB133" t="str">
        <f>"Agricultural"</f>
        <v>Agricultural</v>
      </c>
      <c r="AC133" t="str">
        <f t="shared" si="47"/>
        <v>0</v>
      </c>
      <c r="AD133" t="str">
        <f>""</f>
        <v/>
      </c>
      <c r="AE133" t="str">
        <f>""</f>
        <v/>
      </c>
      <c r="AF133" t="str">
        <f>"060"</f>
        <v>060</v>
      </c>
      <c r="AG133" t="str">
        <f t="shared" si="37"/>
        <v>FL</v>
      </c>
      <c r="AH133" t="str">
        <f>"70567.00"</f>
        <v>70567.00</v>
      </c>
      <c r="AI133" t="str">
        <f>"558.00"</f>
        <v>558.00</v>
      </c>
      <c r="AJ133" t="str">
        <f>"C55-001-038-9279-0"</f>
        <v>C55-001-038-9279-0</v>
      </c>
      <c r="AK133" t="str">
        <f>"1132"</f>
        <v>1132</v>
      </c>
      <c r="AL133">
        <v>1</v>
      </c>
      <c r="AM133">
        <v>153</v>
      </c>
      <c r="AN133">
        <v>41.12</v>
      </c>
      <c r="AQ133" t="s">
        <v>1750</v>
      </c>
      <c r="AR133" t="s">
        <v>1750</v>
      </c>
      <c r="AS133" t="s">
        <v>1750</v>
      </c>
      <c r="AU133" t="s">
        <v>396</v>
      </c>
      <c r="AV133">
        <v>2017</v>
      </c>
      <c r="AW133" t="str">
        <f>"34-2N-23-0000-0002-0060 "</f>
        <v xml:space="preserve">34-2N-23-0000-0002-0060 </v>
      </c>
      <c r="AZ133" t="s">
        <v>611</v>
      </c>
      <c r="BD133" t="s">
        <v>398</v>
      </c>
      <c r="BE133" t="s">
        <v>393</v>
      </c>
      <c r="BF133">
        <v>32046</v>
      </c>
      <c r="BG133" t="s">
        <v>611</v>
      </c>
      <c r="BH133" t="s">
        <v>400</v>
      </c>
      <c r="BI133">
        <v>-81.996651323368596</v>
      </c>
      <c r="BJ133">
        <v>30.539921391833001</v>
      </c>
      <c r="BK133" t="s">
        <v>1751</v>
      </c>
      <c r="BL133" t="s">
        <v>1752</v>
      </c>
      <c r="BM133" t="s">
        <v>1753</v>
      </c>
      <c r="BN133" t="s">
        <v>403</v>
      </c>
      <c r="BO133">
        <v>32046</v>
      </c>
      <c r="BP133" t="s">
        <v>404</v>
      </c>
      <c r="BQ133">
        <v>6000</v>
      </c>
      <c r="BR133" t="s">
        <v>433</v>
      </c>
      <c r="BS133">
        <v>7003</v>
      </c>
      <c r="BT133" t="s">
        <v>434</v>
      </c>
      <c r="BW133">
        <v>70567</v>
      </c>
      <c r="BX133" t="s">
        <v>407</v>
      </c>
      <c r="BY133" t="s">
        <v>408</v>
      </c>
      <c r="CD133">
        <v>2017</v>
      </c>
      <c r="CG133">
        <v>558</v>
      </c>
      <c r="CH133">
        <v>2017</v>
      </c>
      <c r="CI133">
        <v>558</v>
      </c>
      <c r="CJ133">
        <v>23742</v>
      </c>
      <c r="CK133">
        <v>24300</v>
      </c>
      <c r="CL133">
        <v>2017</v>
      </c>
      <c r="CM133">
        <v>8.44</v>
      </c>
      <c r="CN133" s="1">
        <v>40599</v>
      </c>
      <c r="CZ133" s="1">
        <v>40599</v>
      </c>
      <c r="DD133" t="s">
        <v>398</v>
      </c>
      <c r="DG133">
        <v>34</v>
      </c>
      <c r="DL133">
        <v>50503</v>
      </c>
      <c r="DM133" t="s">
        <v>1746</v>
      </c>
      <c r="DO133" t="s">
        <v>1754</v>
      </c>
      <c r="DP133">
        <v>0</v>
      </c>
      <c r="DQ133">
        <v>0</v>
      </c>
      <c r="DR133" t="s">
        <v>411</v>
      </c>
      <c r="DS133" t="b">
        <v>1</v>
      </c>
      <c r="DT133" t="s">
        <v>470</v>
      </c>
      <c r="DU133" t="s">
        <v>471</v>
      </c>
      <c r="DV133" t="s">
        <v>472</v>
      </c>
      <c r="DX133">
        <v>-9999</v>
      </c>
      <c r="DZ133" t="s">
        <v>447</v>
      </c>
      <c r="EA133" t="s">
        <v>448</v>
      </c>
      <c r="EB133" t="s">
        <v>473</v>
      </c>
      <c r="EC133">
        <v>20101217</v>
      </c>
      <c r="ED133" t="s">
        <v>474</v>
      </c>
      <c r="EF133">
        <v>353.9</v>
      </c>
      <c r="EG133">
        <v>353.9</v>
      </c>
      <c r="EI133">
        <v>20160407</v>
      </c>
      <c r="EJ133">
        <v>0</v>
      </c>
      <c r="EK133">
        <v>0</v>
      </c>
      <c r="EP133" t="s">
        <v>595</v>
      </c>
      <c r="EQ133" t="s">
        <v>422</v>
      </c>
      <c r="ER133">
        <v>1</v>
      </c>
      <c r="ES133">
        <v>3</v>
      </c>
      <c r="ET133">
        <v>36</v>
      </c>
      <c r="EU133">
        <v>12.73</v>
      </c>
      <c r="EV133">
        <v>48.73</v>
      </c>
      <c r="EW133" s="2">
        <v>43222</v>
      </c>
      <c r="EX133" s="1">
        <v>42879</v>
      </c>
      <c r="EY133">
        <v>2016</v>
      </c>
      <c r="EZ133">
        <v>36</v>
      </c>
      <c r="FA133" t="s">
        <v>1755</v>
      </c>
      <c r="FB133">
        <v>18</v>
      </c>
      <c r="FC133" t="s">
        <v>424</v>
      </c>
      <c r="FD133" t="s">
        <v>454</v>
      </c>
      <c r="FF133">
        <v>12</v>
      </c>
      <c r="FG133">
        <v>10125</v>
      </c>
      <c r="FH133" t="s">
        <v>440</v>
      </c>
      <c r="FJ133" s="1">
        <v>42515</v>
      </c>
      <c r="FK133">
        <v>2015</v>
      </c>
      <c r="FL133">
        <v>31.65</v>
      </c>
      <c r="FM133" t="s">
        <v>1756</v>
      </c>
      <c r="FN133">
        <v>18</v>
      </c>
      <c r="FO133" t="s">
        <v>424</v>
      </c>
      <c r="FP133" t="s">
        <v>425</v>
      </c>
      <c r="FQ133" s="1">
        <v>43174</v>
      </c>
      <c r="FR133">
        <v>22</v>
      </c>
      <c r="FS133">
        <v>10125</v>
      </c>
      <c r="FT133" t="s">
        <v>440</v>
      </c>
      <c r="FV133" s="1">
        <v>41787</v>
      </c>
      <c r="FW133">
        <v>2013</v>
      </c>
      <c r="FX133">
        <v>29.79</v>
      </c>
      <c r="FY133" t="s">
        <v>1757</v>
      </c>
      <c r="FZ133">
        <v>18</v>
      </c>
      <c r="GA133" t="s">
        <v>603</v>
      </c>
      <c r="GB133" t="s">
        <v>425</v>
      </c>
      <c r="GD133">
        <v>22</v>
      </c>
      <c r="GE133">
        <v>9999999</v>
      </c>
      <c r="GF133" t="s">
        <v>604</v>
      </c>
      <c r="GH133" s="1">
        <v>41787</v>
      </c>
      <c r="GI133">
        <v>2013</v>
      </c>
      <c r="GJ133">
        <v>37.380000000000003</v>
      </c>
      <c r="GK133" t="s">
        <v>1757</v>
      </c>
      <c r="GL133">
        <v>18</v>
      </c>
      <c r="GM133" t="s">
        <v>424</v>
      </c>
      <c r="GN133" t="s">
        <v>425</v>
      </c>
      <c r="GO133" s="1">
        <v>42114</v>
      </c>
      <c r="GP133">
        <v>11</v>
      </c>
      <c r="GQ133">
        <v>2101381</v>
      </c>
      <c r="GR133" t="s">
        <v>605</v>
      </c>
    </row>
    <row r="134" spans="1:296" x14ac:dyDescent="0.25">
      <c r="A134">
        <v>16485141</v>
      </c>
      <c r="B134">
        <v>133</v>
      </c>
      <c r="C134" t="s">
        <v>393</v>
      </c>
      <c r="D134" t="s">
        <v>394</v>
      </c>
      <c r="F134" t="str">
        <f>"34-2N-23-0000-0002-0080"</f>
        <v>34-2N-23-0000-0002-0080</v>
      </c>
      <c r="H134" t="str">
        <f>"MCLENDON LUTHER S III &amp; SUSAN"</f>
        <v>MCLENDON LUTHER S III &amp; SUSAN</v>
      </c>
      <c r="I134" t="str">
        <f>"18401 CONNER RD"</f>
        <v>18401 CONNER RD</v>
      </c>
      <c r="J134" t="str">
        <f t="shared" si="44"/>
        <v>HILLIARD FL 32046</v>
      </c>
      <c r="K134" t="str">
        <f>"CONNER RD"</f>
        <v>CONNER RD</v>
      </c>
      <c r="L134" t="str">
        <f t="shared" si="36"/>
        <v>HILLIARD FL 32046</v>
      </c>
      <c r="M134" t="str">
        <f>"PT S1/2 &amp; N1/2 OF SEC 34 IN OR 1765/218"</f>
        <v>PT S1/2 &amp; N1/2 OF SEC 34 IN OR 1765/218</v>
      </c>
      <c r="N134" t="str">
        <f>""</f>
        <v/>
      </c>
      <c r="O134" t="str">
        <f>"41216"</f>
        <v>41216</v>
      </c>
      <c r="P134" t="str">
        <f t="shared" si="45"/>
        <v>2017</v>
      </c>
      <c r="Q134" t="str">
        <f>""</f>
        <v/>
      </c>
      <c r="R134" t="str">
        <f t="shared" si="48"/>
        <v>N</v>
      </c>
      <c r="S134" t="str">
        <f>"35.33"</f>
        <v>35.33</v>
      </c>
      <c r="T134" t="str">
        <f>"166.94"</f>
        <v>166.94</v>
      </c>
      <c r="U134" t="str">
        <f>"11028.00"</f>
        <v>11028.00</v>
      </c>
      <c r="V134" t="str">
        <f>"11028.00"</f>
        <v>11028.00</v>
      </c>
      <c r="W134" t="str">
        <f t="shared" si="46"/>
        <v>2017</v>
      </c>
      <c r="X134" t="str">
        <f>"12.33"</f>
        <v>12.33</v>
      </c>
      <c r="Y134" t="str">
        <f>"203.95"</f>
        <v>203.95</v>
      </c>
      <c r="Z134" t="str">
        <f>""</f>
        <v/>
      </c>
      <c r="AA134" t="str">
        <f>"11028.00"</f>
        <v>11028.00</v>
      </c>
      <c r="AB134" t="str">
        <f>"Agricultural"</f>
        <v>Agricultural</v>
      </c>
      <c r="AC134" t="str">
        <f t="shared" si="47"/>
        <v>0</v>
      </c>
      <c r="AD134" t="str">
        <f>""</f>
        <v/>
      </c>
      <c r="AE134" t="str">
        <f>""</f>
        <v/>
      </c>
      <c r="AF134" t="str">
        <f>"060"</f>
        <v>060</v>
      </c>
      <c r="AG134" t="str">
        <f t="shared" si="37"/>
        <v>FL</v>
      </c>
      <c r="AH134" t="str">
        <f>"1538974.00"</f>
        <v>1538974.00</v>
      </c>
      <c r="AI134" t="str">
        <f>"11028.00"</f>
        <v>11028.00</v>
      </c>
      <c r="AJ134" t="str">
        <f>"C55-001-042-9484-8"</f>
        <v>C55-001-042-9484-8</v>
      </c>
      <c r="AK134" t="str">
        <f>"1134"</f>
        <v>1134</v>
      </c>
      <c r="AL134">
        <v>1</v>
      </c>
      <c r="AM134">
        <v>154</v>
      </c>
      <c r="AN134">
        <v>212.55</v>
      </c>
      <c r="AQ134" t="s">
        <v>1758</v>
      </c>
      <c r="AR134" t="s">
        <v>1758</v>
      </c>
      <c r="AS134" t="s">
        <v>1758</v>
      </c>
      <c r="AU134" t="s">
        <v>396</v>
      </c>
      <c r="AV134">
        <v>2017</v>
      </c>
      <c r="AW134" t="str">
        <f>"34-2N-23-0000-0002-0080 "</f>
        <v xml:space="preserve">34-2N-23-0000-0002-0080 </v>
      </c>
      <c r="AZ134" t="s">
        <v>1759</v>
      </c>
      <c r="BA134" t="s">
        <v>496</v>
      </c>
      <c r="BD134" t="s">
        <v>398</v>
      </c>
      <c r="BE134" t="s">
        <v>393</v>
      </c>
      <c r="BF134">
        <v>32046</v>
      </c>
      <c r="BG134" t="s">
        <v>1760</v>
      </c>
      <c r="BH134" t="s">
        <v>400</v>
      </c>
      <c r="BI134">
        <v>-81.995878267648607</v>
      </c>
      <c r="BJ134">
        <v>30.541947629137098</v>
      </c>
      <c r="BK134" t="s">
        <v>1751</v>
      </c>
      <c r="BL134" t="s">
        <v>1752</v>
      </c>
      <c r="BM134" t="s">
        <v>1753</v>
      </c>
      <c r="BN134" t="s">
        <v>403</v>
      </c>
      <c r="BO134">
        <v>32046</v>
      </c>
      <c r="BP134" t="s">
        <v>404</v>
      </c>
      <c r="BQ134">
        <v>6000</v>
      </c>
      <c r="BR134" t="s">
        <v>433</v>
      </c>
      <c r="BS134">
        <v>7003</v>
      </c>
      <c r="BT134" t="s">
        <v>434</v>
      </c>
      <c r="BW134">
        <v>1538974</v>
      </c>
      <c r="BX134" t="s">
        <v>407</v>
      </c>
      <c r="BY134" t="s">
        <v>408</v>
      </c>
      <c r="CD134">
        <v>2017</v>
      </c>
      <c r="CG134">
        <v>11028</v>
      </c>
      <c r="CH134">
        <v>2017</v>
      </c>
      <c r="CI134">
        <v>11028</v>
      </c>
      <c r="CJ134">
        <v>112627</v>
      </c>
      <c r="CK134">
        <v>123655</v>
      </c>
      <c r="CL134">
        <v>2017</v>
      </c>
      <c r="CM134">
        <v>166.94</v>
      </c>
      <c r="CN134" s="1">
        <v>40857</v>
      </c>
      <c r="CO134">
        <v>99000</v>
      </c>
      <c r="CZ134" s="1">
        <v>40857</v>
      </c>
      <c r="DD134" t="s">
        <v>398</v>
      </c>
      <c r="DG134">
        <v>34</v>
      </c>
      <c r="DL134">
        <v>50503</v>
      </c>
      <c r="DM134" t="s">
        <v>1746</v>
      </c>
      <c r="DO134" t="s">
        <v>1761</v>
      </c>
      <c r="DP134">
        <v>0</v>
      </c>
      <c r="DQ134">
        <v>0</v>
      </c>
      <c r="DR134" t="s">
        <v>411</v>
      </c>
      <c r="DS134" t="b">
        <v>1</v>
      </c>
      <c r="DT134" t="s">
        <v>470</v>
      </c>
      <c r="DU134" t="s">
        <v>471</v>
      </c>
      <c r="DV134" t="s">
        <v>472</v>
      </c>
      <c r="DX134">
        <v>-9999</v>
      </c>
      <c r="DZ134" t="s">
        <v>447</v>
      </c>
      <c r="EA134" t="s">
        <v>448</v>
      </c>
      <c r="EB134" t="s">
        <v>473</v>
      </c>
      <c r="EC134">
        <v>20101217</v>
      </c>
      <c r="ED134" t="s">
        <v>474</v>
      </c>
      <c r="EF134">
        <v>238.9</v>
      </c>
      <c r="EG134">
        <v>238.9</v>
      </c>
      <c r="EI134">
        <v>20160407</v>
      </c>
      <c r="EJ134">
        <v>0</v>
      </c>
      <c r="EK134">
        <v>0</v>
      </c>
      <c r="EP134" t="s">
        <v>421</v>
      </c>
      <c r="EQ134" t="s">
        <v>422</v>
      </c>
      <c r="ER134">
        <v>1</v>
      </c>
      <c r="ES134">
        <v>4</v>
      </c>
      <c r="ET134">
        <v>201.56</v>
      </c>
      <c r="EU134">
        <v>16.329999999999998</v>
      </c>
      <c r="EV134">
        <v>217.89</v>
      </c>
      <c r="EW134" s="2">
        <v>43222</v>
      </c>
      <c r="EX134" s="1">
        <v>42879</v>
      </c>
      <c r="EY134">
        <v>2016</v>
      </c>
      <c r="EZ134">
        <v>201.56</v>
      </c>
      <c r="FA134" t="s">
        <v>1762</v>
      </c>
      <c r="FB134">
        <v>4.75</v>
      </c>
      <c r="FC134" t="s">
        <v>424</v>
      </c>
      <c r="FD134" t="s">
        <v>454</v>
      </c>
      <c r="FF134">
        <v>12</v>
      </c>
      <c r="FG134">
        <v>2035919</v>
      </c>
      <c r="FH134" t="s">
        <v>507</v>
      </c>
      <c r="FJ134" s="1">
        <v>42515</v>
      </c>
      <c r="FK134">
        <v>2015</v>
      </c>
      <c r="FL134">
        <v>206.43</v>
      </c>
      <c r="FM134" t="s">
        <v>1763</v>
      </c>
      <c r="FN134">
        <v>0.25</v>
      </c>
      <c r="FO134" t="s">
        <v>424</v>
      </c>
      <c r="FP134" t="s">
        <v>425</v>
      </c>
      <c r="FQ134" s="1">
        <v>43174</v>
      </c>
      <c r="FR134">
        <v>22</v>
      </c>
      <c r="FS134">
        <v>7336671</v>
      </c>
      <c r="FT134" t="s">
        <v>437</v>
      </c>
      <c r="FV134" s="1">
        <v>42515</v>
      </c>
      <c r="FW134">
        <v>2015</v>
      </c>
      <c r="FX134">
        <v>206.43</v>
      </c>
      <c r="FY134" t="s">
        <v>1763</v>
      </c>
      <c r="FZ134">
        <v>0.25</v>
      </c>
      <c r="GA134" t="s">
        <v>424</v>
      </c>
      <c r="GB134" t="s">
        <v>425</v>
      </c>
      <c r="GD134">
        <v>22</v>
      </c>
      <c r="GE134">
        <v>6728714</v>
      </c>
      <c r="GF134" t="s">
        <v>1764</v>
      </c>
      <c r="GH134" s="1">
        <v>41787</v>
      </c>
      <c r="GI134">
        <v>2013</v>
      </c>
      <c r="GJ134">
        <v>187.3</v>
      </c>
      <c r="GK134" t="s">
        <v>1765</v>
      </c>
      <c r="GL134">
        <v>3</v>
      </c>
      <c r="GM134" t="s">
        <v>424</v>
      </c>
      <c r="GN134" t="s">
        <v>425</v>
      </c>
      <c r="GO134" s="1">
        <v>42114</v>
      </c>
      <c r="GP134">
        <v>11</v>
      </c>
      <c r="GQ134">
        <v>116</v>
      </c>
      <c r="GR134" t="s">
        <v>509</v>
      </c>
      <c r="GT134" s="1">
        <v>41423</v>
      </c>
      <c r="GU134">
        <v>2012</v>
      </c>
      <c r="GV134">
        <v>116.77</v>
      </c>
      <c r="GW134" t="s">
        <v>1766</v>
      </c>
      <c r="GX134">
        <v>3.75</v>
      </c>
      <c r="GY134" t="s">
        <v>424</v>
      </c>
      <c r="GZ134" t="s">
        <v>425</v>
      </c>
      <c r="HA134" s="1">
        <v>41537</v>
      </c>
      <c r="HB134">
        <v>4</v>
      </c>
      <c r="HC134">
        <v>116</v>
      </c>
      <c r="HD134" t="s">
        <v>509</v>
      </c>
    </row>
    <row r="135" spans="1:296" x14ac:dyDescent="0.25">
      <c r="A135">
        <v>16485142</v>
      </c>
      <c r="B135">
        <v>134</v>
      </c>
      <c r="C135" t="s">
        <v>393</v>
      </c>
      <c r="D135" t="s">
        <v>394</v>
      </c>
      <c r="F135" t="str">
        <f>"34-2N-23-0000-0003-0030"</f>
        <v>34-2N-23-0000-0003-0030</v>
      </c>
      <c r="H135" t="str">
        <f>"FLINK STEVE W"</f>
        <v>FLINK STEVE W</v>
      </c>
      <c r="I135" t="str">
        <f>"PO BOX 584"</f>
        <v>PO BOX 584</v>
      </c>
      <c r="J135" t="str">
        <f t="shared" si="44"/>
        <v>HILLIARD FL 32046</v>
      </c>
      <c r="K135" t="str">
        <f>"19861 CR 121"</f>
        <v>19861 CR 121</v>
      </c>
      <c r="L135" t="str">
        <f t="shared" si="36"/>
        <v>HILLIARD FL 32046</v>
      </c>
      <c r="M135" t="str">
        <f>"IN OR 2049/1165 2004 CLAS DW/MH"</f>
        <v>IN OR 2049/1165 2004 CLAS DW/MH</v>
      </c>
      <c r="N135" t="str">
        <f>""</f>
        <v/>
      </c>
      <c r="O135" t="str">
        <f>"41221"</f>
        <v>41221</v>
      </c>
      <c r="P135" t="str">
        <f t="shared" si="45"/>
        <v>2017</v>
      </c>
      <c r="Q135" t="str">
        <f>""</f>
        <v/>
      </c>
      <c r="R135" t="str">
        <f t="shared" si="48"/>
        <v>N</v>
      </c>
      <c r="S135" t="str">
        <f>"1.58"</f>
        <v>1.58</v>
      </c>
      <c r="T135" t="str">
        <f>"1261.79"</f>
        <v>1261.79</v>
      </c>
      <c r="U135" t="str">
        <f>"83348.00"</f>
        <v>83348.00</v>
      </c>
      <c r="V135" t="str">
        <f>"83348.00"</f>
        <v>83348.00</v>
      </c>
      <c r="W135" t="str">
        <f t="shared" si="46"/>
        <v>2017</v>
      </c>
      <c r="X135" t="str">
        <f>""</f>
        <v/>
      </c>
      <c r="Y135" t="str">
        <f>"1331.64"</f>
        <v>1331.64</v>
      </c>
      <c r="Z135" t="str">
        <f>""</f>
        <v/>
      </c>
      <c r="AA135" t="str">
        <f>"83348.00"</f>
        <v>83348.00</v>
      </c>
      <c r="AB135" t="str">
        <f>"Residential"</f>
        <v>Residential</v>
      </c>
      <c r="AC135" t="str">
        <f t="shared" si="47"/>
        <v>0</v>
      </c>
      <c r="AD135" t="str">
        <f>"4"</f>
        <v>4</v>
      </c>
      <c r="AE135" t="str">
        <f>"WOOD (INCLUDE STEEL STUDS)"</f>
        <v>WOOD (INCLUDE STEEL STUDS)</v>
      </c>
      <c r="AF135" t="str">
        <f>"002"</f>
        <v>002</v>
      </c>
      <c r="AG135" t="str">
        <f t="shared" si="37"/>
        <v>FL</v>
      </c>
      <c r="AH135" t="str">
        <f>"68824.00"</f>
        <v>68824.00</v>
      </c>
      <c r="AI135" t="str">
        <f>"23700.00"</f>
        <v>23700.00</v>
      </c>
      <c r="AJ135" t="str">
        <f>"C55-000-587-7496-9"</f>
        <v>C55-000-587-7496-9</v>
      </c>
      <c r="AK135" t="str">
        <f>"1138"</f>
        <v>1138</v>
      </c>
      <c r="AL135">
        <v>1</v>
      </c>
      <c r="AM135">
        <v>155</v>
      </c>
      <c r="AN135">
        <v>1396.62</v>
      </c>
      <c r="AQ135" t="s">
        <v>1767</v>
      </c>
      <c r="AR135" t="s">
        <v>1767</v>
      </c>
      <c r="AS135" t="s">
        <v>1767</v>
      </c>
      <c r="AU135" t="s">
        <v>396</v>
      </c>
      <c r="AV135">
        <v>2017</v>
      </c>
      <c r="AW135" t="str">
        <f>"34-2N-23-0000-0003-0030 "</f>
        <v xml:space="preserve">34-2N-23-0000-0003-0030 </v>
      </c>
      <c r="AX135">
        <v>19861</v>
      </c>
      <c r="AZ135" t="s">
        <v>611</v>
      </c>
      <c r="BD135" t="s">
        <v>398</v>
      </c>
      <c r="BE135" t="s">
        <v>393</v>
      </c>
      <c r="BF135">
        <v>32046</v>
      </c>
      <c r="BG135" t="s">
        <v>1768</v>
      </c>
      <c r="BH135" t="s">
        <v>400</v>
      </c>
      <c r="BI135">
        <v>-81.987433907397801</v>
      </c>
      <c r="BJ135">
        <v>30.544587876157301</v>
      </c>
      <c r="BK135" t="s">
        <v>1769</v>
      </c>
      <c r="BM135" t="s">
        <v>1770</v>
      </c>
      <c r="BN135" t="s">
        <v>403</v>
      </c>
      <c r="BO135">
        <v>32046</v>
      </c>
      <c r="BP135" t="s">
        <v>404</v>
      </c>
      <c r="BQ135">
        <v>200</v>
      </c>
      <c r="BR135" t="s">
        <v>405</v>
      </c>
      <c r="BS135">
        <v>1006</v>
      </c>
      <c r="BT135" t="s">
        <v>406</v>
      </c>
      <c r="BW135">
        <v>68824</v>
      </c>
      <c r="BX135" t="s">
        <v>407</v>
      </c>
      <c r="BZ135">
        <v>4</v>
      </c>
      <c r="CA135">
        <v>2004</v>
      </c>
      <c r="CB135">
        <v>1</v>
      </c>
      <c r="CC135">
        <v>1</v>
      </c>
      <c r="CD135">
        <v>2017</v>
      </c>
      <c r="CE135">
        <v>23700</v>
      </c>
      <c r="CF135">
        <v>59648</v>
      </c>
      <c r="CG135">
        <v>83348</v>
      </c>
      <c r="CH135">
        <v>2017</v>
      </c>
      <c r="CI135">
        <v>23700</v>
      </c>
      <c r="CJ135">
        <v>59648</v>
      </c>
      <c r="CK135">
        <v>83348</v>
      </c>
      <c r="CL135">
        <v>2017</v>
      </c>
      <c r="CM135">
        <v>1261.79</v>
      </c>
      <c r="CN135" s="1">
        <v>42522</v>
      </c>
      <c r="CO135">
        <v>55000</v>
      </c>
      <c r="CV135">
        <v>0</v>
      </c>
      <c r="CZ135" s="1">
        <v>42522</v>
      </c>
      <c r="DA135">
        <v>0</v>
      </c>
      <c r="DD135" t="s">
        <v>398</v>
      </c>
      <c r="DG135">
        <v>34</v>
      </c>
      <c r="DL135">
        <v>50503</v>
      </c>
      <c r="DM135" t="s">
        <v>1746</v>
      </c>
      <c r="DO135" t="s">
        <v>1771</v>
      </c>
      <c r="DP135">
        <v>0</v>
      </c>
      <c r="DQ135">
        <v>0</v>
      </c>
      <c r="DR135" t="s">
        <v>411</v>
      </c>
      <c r="EP135" t="s">
        <v>421</v>
      </c>
      <c r="EQ135" t="s">
        <v>422</v>
      </c>
      <c r="ER135">
        <v>2</v>
      </c>
      <c r="ES135">
        <v>0</v>
      </c>
      <c r="ET135">
        <v>2438.6799999999998</v>
      </c>
      <c r="EU135">
        <v>134.43</v>
      </c>
      <c r="EV135">
        <v>2573.11</v>
      </c>
      <c r="EW135" s="2">
        <v>43222</v>
      </c>
      <c r="EX135" s="1">
        <v>42879</v>
      </c>
      <c r="EY135">
        <v>2016</v>
      </c>
      <c r="EZ135">
        <v>1219.3399999999999</v>
      </c>
      <c r="FA135" t="s">
        <v>1772</v>
      </c>
      <c r="FB135">
        <v>0.25</v>
      </c>
      <c r="FC135" t="s">
        <v>424</v>
      </c>
      <c r="FD135" t="s">
        <v>454</v>
      </c>
      <c r="FF135">
        <v>12</v>
      </c>
      <c r="FG135">
        <v>2851116</v>
      </c>
      <c r="FH135" t="s">
        <v>480</v>
      </c>
      <c r="FJ135" s="1">
        <v>42879</v>
      </c>
      <c r="FK135">
        <v>2016</v>
      </c>
      <c r="FL135">
        <v>1219.3399999999999</v>
      </c>
      <c r="FM135" t="s">
        <v>1772</v>
      </c>
      <c r="FN135">
        <v>0.25</v>
      </c>
      <c r="FO135" t="s">
        <v>424</v>
      </c>
      <c r="FP135" t="s">
        <v>454</v>
      </c>
      <c r="FR135">
        <v>12</v>
      </c>
      <c r="FS135">
        <v>5291840</v>
      </c>
      <c r="FT135" t="s">
        <v>1773</v>
      </c>
    </row>
    <row r="136" spans="1:296" x14ac:dyDescent="0.25">
      <c r="A136">
        <v>16485143</v>
      </c>
      <c r="B136">
        <v>135</v>
      </c>
      <c r="C136" t="s">
        <v>393</v>
      </c>
      <c r="D136" t="s">
        <v>394</v>
      </c>
      <c r="F136" t="str">
        <f>"34-2N-23-0000-0005-0100"</f>
        <v>34-2N-23-0000-0005-0100</v>
      </c>
      <c r="H136" t="str">
        <f>"RAULERSON STEPHEN D"</f>
        <v>RAULERSON STEPHEN D</v>
      </c>
      <c r="I136" t="str">
        <f>"28158 VIEUX CARRE"</f>
        <v>28158 VIEUX CARRE</v>
      </c>
      <c r="J136" t="str">
        <f>"YULEE FL 32097"</f>
        <v>YULEE FL 32097</v>
      </c>
      <c r="K136" t="str">
        <f>"PAINT HORSE TR"</f>
        <v>PAINT HORSE TR</v>
      </c>
      <c r="L136" t="str">
        <f t="shared" si="36"/>
        <v>HILLIARD FL 32046</v>
      </c>
      <c r="M136" t="str">
        <f>"PT OF W1/2 OF NW1/4 IN OR 1016/1788"</f>
        <v>PT OF W1/2 OF NW1/4 IN OR 1016/1788</v>
      </c>
      <c r="N136" t="str">
        <f>""</f>
        <v/>
      </c>
      <c r="O136" t="str">
        <f>"41236"</f>
        <v>41236</v>
      </c>
      <c r="P136" t="str">
        <f t="shared" si="45"/>
        <v>2017</v>
      </c>
      <c r="Q136" t="str">
        <f>""</f>
        <v/>
      </c>
      <c r="R136" t="str">
        <f t="shared" si="48"/>
        <v>N</v>
      </c>
      <c r="S136" t="str">
        <f>"5.39"</f>
        <v>5.39</v>
      </c>
      <c r="T136" t="str">
        <f>"652.78"</f>
        <v>652.78</v>
      </c>
      <c r="U136" t="str">
        <f>"43120.00"</f>
        <v>43120.00</v>
      </c>
      <c r="V136" t="str">
        <f>"43120.00"</f>
        <v>43120.00</v>
      </c>
      <c r="W136" t="str">
        <f t="shared" si="46"/>
        <v>2017</v>
      </c>
      <c r="X136" t="str">
        <f>"8.20"</f>
        <v>8.20</v>
      </c>
      <c r="Y136" t="str">
        <f>"704.36"</f>
        <v>704.36</v>
      </c>
      <c r="Z136" t="str">
        <f>""</f>
        <v/>
      </c>
      <c r="AA136" t="str">
        <f>"43120.00"</f>
        <v>43120.00</v>
      </c>
      <c r="AB136" t="str">
        <f>"Residential"</f>
        <v>Residential</v>
      </c>
      <c r="AC136" t="str">
        <f t="shared" si="47"/>
        <v>0</v>
      </c>
      <c r="AD136" t="str">
        <f>""</f>
        <v/>
      </c>
      <c r="AE136" t="str">
        <f>""</f>
        <v/>
      </c>
      <c r="AF136" t="str">
        <f>"000"</f>
        <v>000</v>
      </c>
      <c r="AG136" t="str">
        <f t="shared" si="37"/>
        <v>FL</v>
      </c>
      <c r="AH136" t="str">
        <f>"234788.00"</f>
        <v>234788.00</v>
      </c>
      <c r="AI136" t="str">
        <f>"43120.00"</f>
        <v>43120.00</v>
      </c>
      <c r="AJ136" t="str">
        <f>"C55-000-587-7507-3"</f>
        <v>C55-000-587-7507-3</v>
      </c>
      <c r="AK136" t="str">
        <f>"1148"</f>
        <v>1148</v>
      </c>
      <c r="AL136">
        <v>1</v>
      </c>
      <c r="AM136">
        <v>157</v>
      </c>
      <c r="AN136">
        <v>737.98</v>
      </c>
      <c r="AQ136" t="s">
        <v>1774</v>
      </c>
      <c r="AR136" t="s">
        <v>1774</v>
      </c>
      <c r="AS136" t="s">
        <v>1774</v>
      </c>
      <c r="AU136" t="s">
        <v>396</v>
      </c>
      <c r="AV136">
        <v>2017</v>
      </c>
      <c r="AW136" t="str">
        <f>"34-2N-23-0000-0005-0100 "</f>
        <v xml:space="preserve">34-2N-23-0000-0005-0100 </v>
      </c>
      <c r="AZ136" t="s">
        <v>1775</v>
      </c>
      <c r="BD136" t="s">
        <v>398</v>
      </c>
      <c r="BE136" t="s">
        <v>393</v>
      </c>
      <c r="BF136">
        <v>32046</v>
      </c>
      <c r="BG136" t="s">
        <v>1775</v>
      </c>
      <c r="BH136" t="s">
        <v>400</v>
      </c>
      <c r="BI136">
        <v>-82.003397364224895</v>
      </c>
      <c r="BJ136">
        <v>30.548686180129799</v>
      </c>
      <c r="BK136" t="s">
        <v>1776</v>
      </c>
      <c r="BM136" t="s">
        <v>1777</v>
      </c>
      <c r="BN136" t="s">
        <v>1778</v>
      </c>
      <c r="BO136">
        <v>32097</v>
      </c>
      <c r="BP136" t="s">
        <v>404</v>
      </c>
      <c r="BQ136">
        <v>0</v>
      </c>
      <c r="BR136" t="s">
        <v>491</v>
      </c>
      <c r="BS136">
        <v>8001</v>
      </c>
      <c r="BT136" t="s">
        <v>492</v>
      </c>
      <c r="BW136">
        <v>234788</v>
      </c>
      <c r="BX136" t="s">
        <v>407</v>
      </c>
      <c r="CD136">
        <v>2017</v>
      </c>
      <c r="CE136">
        <v>43120</v>
      </c>
      <c r="CG136">
        <v>43120</v>
      </c>
      <c r="CH136">
        <v>2017</v>
      </c>
      <c r="CI136">
        <v>43120</v>
      </c>
      <c r="CK136">
        <v>43120</v>
      </c>
      <c r="CL136">
        <v>2017</v>
      </c>
      <c r="CM136">
        <v>652.78</v>
      </c>
      <c r="CN136" s="1">
        <v>37195</v>
      </c>
      <c r="CO136">
        <v>50000</v>
      </c>
      <c r="CV136">
        <v>100000</v>
      </c>
      <c r="CX136" t="s">
        <v>675</v>
      </c>
      <c r="CZ136" s="1">
        <v>37195</v>
      </c>
      <c r="DA136">
        <v>0</v>
      </c>
      <c r="DD136" t="s">
        <v>398</v>
      </c>
      <c r="DG136">
        <v>34</v>
      </c>
      <c r="DL136">
        <v>50503</v>
      </c>
      <c r="DM136" t="s">
        <v>1746</v>
      </c>
      <c r="DO136" t="s">
        <v>1779</v>
      </c>
      <c r="DP136">
        <v>0</v>
      </c>
      <c r="DQ136">
        <v>0</v>
      </c>
      <c r="DR136" t="s">
        <v>411</v>
      </c>
      <c r="DS136" t="b">
        <v>1</v>
      </c>
      <c r="DT136" t="s">
        <v>470</v>
      </c>
      <c r="DU136" t="s">
        <v>471</v>
      </c>
      <c r="DV136" t="s">
        <v>472</v>
      </c>
      <c r="DX136">
        <v>-9999</v>
      </c>
      <c r="DZ136" t="s">
        <v>447</v>
      </c>
      <c r="EA136" t="s">
        <v>448</v>
      </c>
      <c r="EB136" t="s">
        <v>1661</v>
      </c>
      <c r="EC136">
        <v>20101217</v>
      </c>
      <c r="ED136" t="s">
        <v>474</v>
      </c>
      <c r="EF136">
        <v>396.6</v>
      </c>
      <c r="EG136">
        <v>396.6</v>
      </c>
      <c r="EI136">
        <v>20160407</v>
      </c>
      <c r="EJ136">
        <v>0</v>
      </c>
      <c r="EK136">
        <v>0</v>
      </c>
      <c r="EP136" t="s">
        <v>421</v>
      </c>
      <c r="EQ136" t="s">
        <v>422</v>
      </c>
      <c r="ER136">
        <v>0</v>
      </c>
      <c r="ES136">
        <v>3</v>
      </c>
      <c r="ET136">
        <v>0</v>
      </c>
      <c r="EU136">
        <v>0</v>
      </c>
      <c r="EV136">
        <v>0</v>
      </c>
      <c r="EW136" s="2">
        <v>43222</v>
      </c>
      <c r="EX136" s="1">
        <v>42515</v>
      </c>
      <c r="EY136">
        <v>2015</v>
      </c>
      <c r="EZ136">
        <v>755.27</v>
      </c>
      <c r="FA136" t="s">
        <v>1780</v>
      </c>
      <c r="FB136">
        <v>6.25</v>
      </c>
      <c r="FC136" t="s">
        <v>424</v>
      </c>
      <c r="FD136" t="s">
        <v>425</v>
      </c>
      <c r="FE136" s="1">
        <v>42877</v>
      </c>
      <c r="FF136">
        <v>12</v>
      </c>
      <c r="FG136">
        <v>2035919</v>
      </c>
      <c r="FH136" t="s">
        <v>507</v>
      </c>
      <c r="FJ136" s="1">
        <v>41787</v>
      </c>
      <c r="FK136">
        <v>2013</v>
      </c>
      <c r="FL136">
        <v>675.96</v>
      </c>
      <c r="FM136" t="s">
        <v>1781</v>
      </c>
      <c r="FN136">
        <v>0.25</v>
      </c>
      <c r="FO136" t="s">
        <v>424</v>
      </c>
      <c r="FP136" t="s">
        <v>425</v>
      </c>
      <c r="FQ136" s="1">
        <v>41973</v>
      </c>
      <c r="FR136">
        <v>6</v>
      </c>
      <c r="FS136">
        <v>2101385</v>
      </c>
      <c r="FT136" t="s">
        <v>810</v>
      </c>
      <c r="FV136" s="1">
        <v>41423</v>
      </c>
      <c r="FW136">
        <v>2012</v>
      </c>
      <c r="FX136">
        <v>732.68</v>
      </c>
      <c r="FY136" t="s">
        <v>1782</v>
      </c>
      <c r="FZ136">
        <v>0.25</v>
      </c>
      <c r="GA136" t="s">
        <v>424</v>
      </c>
      <c r="GB136" t="s">
        <v>425</v>
      </c>
      <c r="GC136" s="1">
        <v>41590</v>
      </c>
      <c r="GD136">
        <v>6</v>
      </c>
      <c r="GE136">
        <v>2101385</v>
      </c>
      <c r="GF136" t="s">
        <v>810</v>
      </c>
    </row>
    <row r="137" spans="1:296" x14ac:dyDescent="0.25">
      <c r="A137">
        <v>16485144</v>
      </c>
      <c r="B137">
        <v>136</v>
      </c>
      <c r="C137" t="s">
        <v>393</v>
      </c>
      <c r="D137" t="s">
        <v>394</v>
      </c>
      <c r="F137" t="str">
        <f>"34-2N-23-0000-0007-0110"</f>
        <v>34-2N-23-0000-0007-0110</v>
      </c>
      <c r="H137" t="str">
        <f>"MCLENDON LUTHER S &amp; SUSAN A"</f>
        <v>MCLENDON LUTHER S &amp; SUSAN A</v>
      </c>
      <c r="I137" t="str">
        <f>"18401 CONNER ROAD"</f>
        <v>18401 CONNER ROAD</v>
      </c>
      <c r="J137" t="str">
        <f>"HILLIARD FL 32046"</f>
        <v>HILLIARD FL 32046</v>
      </c>
      <c r="K137" t="str">
        <f>"18401 CONNER RD"</f>
        <v>18401 CONNER RD</v>
      </c>
      <c r="L137" t="str">
        <f t="shared" si="36"/>
        <v>HILLIARD FL 32046</v>
      </c>
      <c r="M137" t="str">
        <f>"IN OR 729/309"</f>
        <v>IN OR 729/309</v>
      </c>
      <c r="N137" t="str">
        <f>""</f>
        <v/>
      </c>
      <c r="O137" t="str">
        <f>"41248"</f>
        <v>41248</v>
      </c>
      <c r="P137" t="str">
        <f t="shared" si="45"/>
        <v>2017</v>
      </c>
      <c r="Q137" t="str">
        <f>""</f>
        <v/>
      </c>
      <c r="R137" t="str">
        <f t="shared" si="48"/>
        <v>N</v>
      </c>
      <c r="S137" t="str">
        <f>"9.10"</f>
        <v>9.10</v>
      </c>
      <c r="T137" t="str">
        <f>"956.05"</f>
        <v>956.05</v>
      </c>
      <c r="U137" t="str">
        <f>"63152.00"</f>
        <v>63152.00</v>
      </c>
      <c r="V137" t="str">
        <f>"63152.00"</f>
        <v>63152.00</v>
      </c>
      <c r="W137" t="str">
        <f t="shared" si="46"/>
        <v>2017</v>
      </c>
      <c r="X137" t="str">
        <f>"15.60"</f>
        <v>15.60</v>
      </c>
      <c r="Y137" t="str">
        <f>"1016.73"</f>
        <v>1016.73</v>
      </c>
      <c r="Z137" t="str">
        <f>""</f>
        <v/>
      </c>
      <c r="AA137" t="str">
        <f>"63152.00"</f>
        <v>63152.00</v>
      </c>
      <c r="AB137" t="str">
        <f>"Residential"</f>
        <v>Residential</v>
      </c>
      <c r="AC137" t="str">
        <f t="shared" si="47"/>
        <v>0</v>
      </c>
      <c r="AD137" t="str">
        <f>""</f>
        <v/>
      </c>
      <c r="AE137" t="str">
        <f>""</f>
        <v/>
      </c>
      <c r="AF137" t="str">
        <f>"000"</f>
        <v>000</v>
      </c>
      <c r="AG137" t="str">
        <f t="shared" si="37"/>
        <v>FL</v>
      </c>
      <c r="AH137" t="str">
        <f>"396396.00"</f>
        <v>396396.00</v>
      </c>
      <c r="AI137" t="str">
        <f>"54600.00"</f>
        <v>54600.00</v>
      </c>
      <c r="AJ137" t="str">
        <f>"C55-000-587-7518-0"</f>
        <v>C55-000-587-7518-0</v>
      </c>
      <c r="AK137" t="str">
        <f>"1160"</f>
        <v>1160</v>
      </c>
      <c r="AL137">
        <v>1</v>
      </c>
      <c r="AM137">
        <v>158</v>
      </c>
      <c r="AN137">
        <v>1065.97</v>
      </c>
      <c r="AQ137" t="s">
        <v>1783</v>
      </c>
      <c r="AR137" t="s">
        <v>1783</v>
      </c>
      <c r="AS137" t="s">
        <v>1783</v>
      </c>
      <c r="AU137" t="s">
        <v>396</v>
      </c>
      <c r="AV137">
        <v>2017</v>
      </c>
      <c r="AW137" t="str">
        <f>"34-2N-23-0000-0007-0110 "</f>
        <v xml:space="preserve">34-2N-23-0000-0007-0110 </v>
      </c>
      <c r="AX137">
        <v>18401</v>
      </c>
      <c r="AZ137" t="s">
        <v>1759</v>
      </c>
      <c r="BA137" t="s">
        <v>496</v>
      </c>
      <c r="BD137" t="s">
        <v>398</v>
      </c>
      <c r="BE137" t="s">
        <v>393</v>
      </c>
      <c r="BF137">
        <v>32046</v>
      </c>
      <c r="BG137" t="s">
        <v>1753</v>
      </c>
      <c r="BH137" t="s">
        <v>400</v>
      </c>
      <c r="BI137">
        <v>-81.9967226616087</v>
      </c>
      <c r="BJ137">
        <v>30.5391366482237</v>
      </c>
      <c r="BK137" t="s">
        <v>1751</v>
      </c>
      <c r="BL137" t="s">
        <v>1784</v>
      </c>
      <c r="BM137" t="s">
        <v>1753</v>
      </c>
      <c r="BN137" t="s">
        <v>403</v>
      </c>
      <c r="BO137">
        <v>32046</v>
      </c>
      <c r="BP137" t="s">
        <v>416</v>
      </c>
      <c r="BQ137">
        <v>1</v>
      </c>
      <c r="BR137" t="s">
        <v>491</v>
      </c>
      <c r="BS137">
        <v>8001</v>
      </c>
      <c r="BT137" t="s">
        <v>492</v>
      </c>
      <c r="BW137">
        <v>396396</v>
      </c>
      <c r="BX137" t="s">
        <v>407</v>
      </c>
      <c r="CD137">
        <v>2017</v>
      </c>
      <c r="CE137">
        <v>54600</v>
      </c>
      <c r="CF137">
        <v>8552</v>
      </c>
      <c r="CG137">
        <v>63152</v>
      </c>
      <c r="CH137">
        <v>2017</v>
      </c>
      <c r="CI137">
        <v>54600</v>
      </c>
      <c r="CJ137">
        <v>8552</v>
      </c>
      <c r="CK137">
        <v>63152</v>
      </c>
      <c r="CL137">
        <v>2017</v>
      </c>
      <c r="CM137">
        <v>956.05</v>
      </c>
      <c r="CN137" s="1">
        <v>34827</v>
      </c>
      <c r="CZ137" s="1">
        <v>34827</v>
      </c>
      <c r="DD137" t="s">
        <v>398</v>
      </c>
      <c r="DG137">
        <v>34</v>
      </c>
      <c r="DL137">
        <v>50503</v>
      </c>
      <c r="DM137" t="s">
        <v>1746</v>
      </c>
      <c r="DO137" t="s">
        <v>1785</v>
      </c>
      <c r="DP137">
        <v>0</v>
      </c>
      <c r="DQ137">
        <v>0</v>
      </c>
      <c r="DR137" t="s">
        <v>411</v>
      </c>
      <c r="EP137" t="s">
        <v>595</v>
      </c>
      <c r="EQ137" t="s">
        <v>422</v>
      </c>
      <c r="ER137">
        <v>1</v>
      </c>
      <c r="ES137">
        <v>4</v>
      </c>
      <c r="ET137">
        <v>1034.8</v>
      </c>
      <c r="EU137">
        <v>57.99</v>
      </c>
      <c r="EV137">
        <v>1092.79</v>
      </c>
      <c r="EW137" s="2">
        <v>43222</v>
      </c>
      <c r="EX137" s="1">
        <v>42879</v>
      </c>
      <c r="EY137">
        <v>2016</v>
      </c>
      <c r="EZ137">
        <v>1034.8</v>
      </c>
      <c r="FA137" t="s">
        <v>1786</v>
      </c>
      <c r="FB137">
        <v>0.25</v>
      </c>
      <c r="FC137" t="s">
        <v>424</v>
      </c>
      <c r="FD137" t="s">
        <v>454</v>
      </c>
      <c r="FF137">
        <v>12</v>
      </c>
      <c r="FG137">
        <v>2035919</v>
      </c>
      <c r="FH137" t="s">
        <v>507</v>
      </c>
      <c r="FJ137" s="1">
        <v>42515</v>
      </c>
      <c r="FK137">
        <v>2015</v>
      </c>
      <c r="FL137">
        <v>227.59</v>
      </c>
      <c r="FM137" t="s">
        <v>1787</v>
      </c>
      <c r="FN137">
        <v>18</v>
      </c>
      <c r="FO137" t="s">
        <v>603</v>
      </c>
      <c r="FP137" t="s">
        <v>425</v>
      </c>
      <c r="FR137">
        <v>22</v>
      </c>
      <c r="FS137">
        <v>9999999</v>
      </c>
      <c r="FT137" t="s">
        <v>604</v>
      </c>
      <c r="FV137" s="1">
        <v>42515</v>
      </c>
      <c r="FW137">
        <v>2015</v>
      </c>
      <c r="FX137">
        <v>254.32</v>
      </c>
      <c r="FY137" t="s">
        <v>1787</v>
      </c>
      <c r="FZ137">
        <v>18</v>
      </c>
      <c r="GA137" t="s">
        <v>424</v>
      </c>
      <c r="GB137" t="s">
        <v>425</v>
      </c>
      <c r="GC137" s="1">
        <v>43174</v>
      </c>
      <c r="GD137">
        <v>22</v>
      </c>
      <c r="GE137">
        <v>4844964</v>
      </c>
      <c r="GF137" t="s">
        <v>1788</v>
      </c>
      <c r="GH137" s="1">
        <v>41787</v>
      </c>
      <c r="GI137">
        <v>2013</v>
      </c>
      <c r="GJ137">
        <v>327.72</v>
      </c>
      <c r="GK137" t="s">
        <v>1789</v>
      </c>
      <c r="GL137">
        <v>2.25</v>
      </c>
      <c r="GM137" t="s">
        <v>424</v>
      </c>
      <c r="GN137" t="s">
        <v>425</v>
      </c>
      <c r="GO137" s="1">
        <v>42114</v>
      </c>
      <c r="GP137">
        <v>11</v>
      </c>
      <c r="GQ137">
        <v>15399</v>
      </c>
      <c r="GR137" t="s">
        <v>485</v>
      </c>
      <c r="GT137" s="1">
        <v>41423</v>
      </c>
      <c r="GU137">
        <v>2012</v>
      </c>
      <c r="GV137">
        <v>590.45000000000005</v>
      </c>
      <c r="GW137" t="s">
        <v>1790</v>
      </c>
      <c r="GX137">
        <v>3.25</v>
      </c>
      <c r="GY137" t="s">
        <v>424</v>
      </c>
      <c r="GZ137" t="s">
        <v>425</v>
      </c>
      <c r="HA137" s="1">
        <v>42062</v>
      </c>
      <c r="HB137">
        <v>21</v>
      </c>
      <c r="HC137">
        <v>15399</v>
      </c>
      <c r="HD137" t="s">
        <v>485</v>
      </c>
    </row>
    <row r="138" spans="1:296" x14ac:dyDescent="0.25">
      <c r="A138">
        <v>16485145</v>
      </c>
      <c r="B138">
        <v>137</v>
      </c>
      <c r="C138" t="s">
        <v>393</v>
      </c>
      <c r="D138" t="s">
        <v>394</v>
      </c>
      <c r="F138" t="str">
        <f>"34-2N-23-0000-0008-0000"</f>
        <v>34-2N-23-0000-0008-0000</v>
      </c>
      <c r="H138" t="str">
        <f>"CONNER RICHARD A"</f>
        <v>CONNER RICHARD A</v>
      </c>
      <c r="I138" t="str">
        <f>"14456 RUTH LN"</f>
        <v>14456 RUTH LN</v>
      </c>
      <c r="J138" t="str">
        <f>"HILLIARD FL 32046"</f>
        <v>HILLIARD FL 32046</v>
      </c>
      <c r="K138" t="str">
        <f>"RUTH LN"</f>
        <v>RUTH LN</v>
      </c>
      <c r="L138" t="str">
        <f t="shared" si="36"/>
        <v>HILLIARD FL 32046</v>
      </c>
      <c r="M138" t="str">
        <f>"NW1/4 OF SW1/4 OF SEC 34-2N-23E IN OR 807/1840 &amp; ESMT IN OR 342/308 (EX PT IN OR 1008-1533 OR 1011/1627 OR 1963/1450)"</f>
        <v>NW1/4 OF SW1/4 OF SEC 34-2N-23E IN OR 807/1840 &amp; ESMT IN OR 342/308 (EX PT IN OR 1008-1533 OR 1011/1627 OR 1963/1450)</v>
      </c>
      <c r="N138" t="str">
        <f>""</f>
        <v/>
      </c>
      <c r="O138" t="str">
        <f>"41251"</f>
        <v>41251</v>
      </c>
      <c r="P138" t="str">
        <f t="shared" si="45"/>
        <v>2017</v>
      </c>
      <c r="Q138" t="str">
        <f>""</f>
        <v/>
      </c>
      <c r="R138" t="str">
        <f t="shared" si="48"/>
        <v>N</v>
      </c>
      <c r="S138" t="str">
        <f>"26.44"</f>
        <v>26.44</v>
      </c>
      <c r="T138" t="str">
        <f>"93.94"</f>
        <v>93.94</v>
      </c>
      <c r="U138" t="str">
        <f>"6205.00"</f>
        <v>6205.00</v>
      </c>
      <c r="V138" t="str">
        <f>"6205.00"</f>
        <v>6205.00</v>
      </c>
      <c r="W138" t="str">
        <f t="shared" si="46"/>
        <v>2017</v>
      </c>
      <c r="X138" t="str">
        <f>"1.00"</f>
        <v>1.00</v>
      </c>
      <c r="Y138" t="str">
        <f>"128.76"</f>
        <v>128.76</v>
      </c>
      <c r="Z138" t="str">
        <f>""</f>
        <v/>
      </c>
      <c r="AA138" t="str">
        <f>"6205.00"</f>
        <v>6205.00</v>
      </c>
      <c r="AB138" t="str">
        <f>"Agricultural"</f>
        <v>Agricultural</v>
      </c>
      <c r="AC138" t="str">
        <f t="shared" si="47"/>
        <v>0</v>
      </c>
      <c r="AD138" t="str">
        <f>""</f>
        <v/>
      </c>
      <c r="AE138" t="str">
        <f>""</f>
        <v/>
      </c>
      <c r="AF138" t="str">
        <f>"056"</f>
        <v>056</v>
      </c>
      <c r="AG138" t="str">
        <f t="shared" si="37"/>
        <v>FL</v>
      </c>
      <c r="AH138" t="str">
        <f>"1151726.00"</f>
        <v>1151726.00</v>
      </c>
      <c r="AI138" t="str">
        <f>"6205.00"</f>
        <v>6205.00</v>
      </c>
      <c r="AJ138" t="str">
        <f>"C55-000-587-7520-6"</f>
        <v>C55-000-587-7520-6</v>
      </c>
      <c r="AK138" t="str">
        <f>"1163"</f>
        <v>1163</v>
      </c>
      <c r="AL138">
        <v>1</v>
      </c>
      <c r="AM138">
        <v>159</v>
      </c>
      <c r="AN138">
        <v>133.6</v>
      </c>
      <c r="AQ138" t="s">
        <v>1791</v>
      </c>
      <c r="AR138" t="s">
        <v>1791</v>
      </c>
      <c r="AS138" t="s">
        <v>1791</v>
      </c>
      <c r="AU138" t="s">
        <v>396</v>
      </c>
      <c r="AV138">
        <v>2017</v>
      </c>
      <c r="AW138" t="str">
        <f>"34-2N-23-0000-0008-0000 "</f>
        <v xml:space="preserve">34-2N-23-0000-0008-0000 </v>
      </c>
      <c r="AZ138" t="s">
        <v>1792</v>
      </c>
      <c r="BA138" t="s">
        <v>653</v>
      </c>
      <c r="BD138" t="s">
        <v>398</v>
      </c>
      <c r="BE138" t="s">
        <v>393</v>
      </c>
      <c r="BF138">
        <v>32046</v>
      </c>
      <c r="BG138" t="s">
        <v>1793</v>
      </c>
      <c r="BH138" t="s">
        <v>400</v>
      </c>
      <c r="BI138">
        <v>-82.001897583118605</v>
      </c>
      <c r="BJ138">
        <v>30.542068095819999</v>
      </c>
      <c r="BK138" t="s">
        <v>1794</v>
      </c>
      <c r="BM138" t="s">
        <v>1795</v>
      </c>
      <c r="BN138" t="s">
        <v>403</v>
      </c>
      <c r="BO138">
        <v>32046</v>
      </c>
      <c r="BP138" t="s">
        <v>404</v>
      </c>
      <c r="BQ138">
        <v>5600</v>
      </c>
      <c r="BR138" t="s">
        <v>417</v>
      </c>
      <c r="BS138">
        <v>7009</v>
      </c>
      <c r="BT138" t="s">
        <v>418</v>
      </c>
      <c r="BW138">
        <v>1151726</v>
      </c>
      <c r="BX138" t="s">
        <v>407</v>
      </c>
      <c r="BY138" t="s">
        <v>408</v>
      </c>
      <c r="CD138">
        <v>2017</v>
      </c>
      <c r="CG138">
        <v>6205</v>
      </c>
      <c r="CH138">
        <v>2017</v>
      </c>
      <c r="CI138">
        <v>6205</v>
      </c>
      <c r="CJ138">
        <v>140045</v>
      </c>
      <c r="CK138">
        <v>146250</v>
      </c>
      <c r="CL138">
        <v>2017</v>
      </c>
      <c r="CM138">
        <v>93.94</v>
      </c>
      <c r="CN138" s="1">
        <v>35702</v>
      </c>
      <c r="CZ138" s="1">
        <v>35702</v>
      </c>
      <c r="DD138" t="s">
        <v>398</v>
      </c>
      <c r="DG138">
        <v>34</v>
      </c>
      <c r="DL138">
        <v>50503</v>
      </c>
      <c r="DM138" t="s">
        <v>1746</v>
      </c>
      <c r="DO138" t="s">
        <v>1796</v>
      </c>
      <c r="DP138">
        <v>0</v>
      </c>
      <c r="DQ138">
        <v>0</v>
      </c>
      <c r="DR138" t="s">
        <v>411</v>
      </c>
    </row>
    <row r="139" spans="1:296" x14ac:dyDescent="0.25">
      <c r="A139">
        <v>16485146</v>
      </c>
      <c r="B139">
        <v>138</v>
      </c>
      <c r="C139" t="s">
        <v>393</v>
      </c>
      <c r="D139" t="s">
        <v>394</v>
      </c>
      <c r="F139" t="str">
        <f>"05-2S-23-0000-0003-0170"</f>
        <v>05-2S-23-0000-0003-0170</v>
      </c>
      <c r="H139" t="str">
        <f>"PINER JAMES F JR"</f>
        <v>PINER JAMES F JR</v>
      </c>
      <c r="I139" t="str">
        <f>"12525 STERLING RUN COURT"</f>
        <v>12525 STERLING RUN COURT</v>
      </c>
      <c r="J139" t="str">
        <f>"JACKSONVILLE FL 32225"</f>
        <v>JACKSONVILLE FL 32225</v>
      </c>
      <c r="K139" t="str">
        <f>"HORSESHOE CIR"</f>
        <v>HORSESHOE CIR</v>
      </c>
      <c r="L139" t="str">
        <f>"BRYCEVILLE FL 32009"</f>
        <v>BRYCEVILLE FL 32009</v>
      </c>
      <c r="M139" t="str">
        <f>"PT OF GOVT LOT 4 IN OR 920/1185"</f>
        <v>PT OF GOVT LOT 4 IN OR 920/1185</v>
      </c>
      <c r="N139" t="str">
        <f>""</f>
        <v/>
      </c>
      <c r="O139" t="str">
        <f>"21341"</f>
        <v>21341</v>
      </c>
      <c r="P139" t="str">
        <f t="shared" si="45"/>
        <v>2017</v>
      </c>
      <c r="Q139" t="str">
        <f>""</f>
        <v/>
      </c>
      <c r="R139" t="str">
        <f t="shared" si="48"/>
        <v>N</v>
      </c>
      <c r="S139" t="str">
        <f>"3.00"</f>
        <v>3.00</v>
      </c>
      <c r="T139" t="str">
        <f>"290.66"</f>
        <v>290.66</v>
      </c>
      <c r="U139" t="str">
        <f>"19200.00"</f>
        <v>19200.00</v>
      </c>
      <c r="V139" t="str">
        <f>"19200.00"</f>
        <v>19200.00</v>
      </c>
      <c r="W139" t="str">
        <f t="shared" si="46"/>
        <v>2017</v>
      </c>
      <c r="X139" t="str">
        <f>"21.83"</f>
        <v>21.83</v>
      </c>
      <c r="Y139" t="str">
        <f>"331.38"</f>
        <v>331.38</v>
      </c>
      <c r="Z139" t="str">
        <f>""</f>
        <v/>
      </c>
      <c r="AA139" t="str">
        <f>"19200.00"</f>
        <v>19200.00</v>
      </c>
      <c r="AB139" t="str">
        <f>"Residential"</f>
        <v>Residential</v>
      </c>
      <c r="AC139" t="str">
        <f t="shared" si="47"/>
        <v>0</v>
      </c>
      <c r="AD139" t="str">
        <f>""</f>
        <v/>
      </c>
      <c r="AE139" t="str">
        <f>""</f>
        <v/>
      </c>
      <c r="AF139" t="str">
        <f>"000"</f>
        <v>000</v>
      </c>
      <c r="AG139" t="str">
        <f t="shared" si="37"/>
        <v>FL</v>
      </c>
      <c r="AH139" t="str">
        <f>"130680.00"</f>
        <v>130680.00</v>
      </c>
      <c r="AI139" t="str">
        <f>"19200.00"</f>
        <v>19200.00</v>
      </c>
      <c r="AJ139" t="str">
        <f>"C55-000-586-6164-6"</f>
        <v>C55-000-586-6164-6</v>
      </c>
      <c r="AK139" t="str">
        <f>"3222"</f>
        <v>3222</v>
      </c>
      <c r="AL139">
        <v>1</v>
      </c>
      <c r="AM139">
        <v>161</v>
      </c>
      <c r="AN139">
        <v>346.35</v>
      </c>
      <c r="AQ139" t="s">
        <v>1797</v>
      </c>
      <c r="AR139" t="s">
        <v>1797</v>
      </c>
      <c r="AS139" t="s">
        <v>1797</v>
      </c>
      <c r="AU139" t="s">
        <v>396</v>
      </c>
      <c r="AV139">
        <v>2017</v>
      </c>
      <c r="AW139" t="str">
        <f>"05-2S-23-0000-0003-0170 "</f>
        <v xml:space="preserve">05-2S-23-0000-0003-0170 </v>
      </c>
      <c r="AZ139" t="s">
        <v>1798</v>
      </c>
      <c r="BA139" t="s">
        <v>1799</v>
      </c>
      <c r="BD139" t="s">
        <v>553</v>
      </c>
      <c r="BE139" t="s">
        <v>393</v>
      </c>
      <c r="BF139">
        <v>32009</v>
      </c>
      <c r="BG139" t="s">
        <v>1800</v>
      </c>
      <c r="BH139" t="s">
        <v>555</v>
      </c>
      <c r="BI139">
        <v>-82.031333167671093</v>
      </c>
      <c r="BJ139">
        <v>30.356676743379001</v>
      </c>
      <c r="BK139" t="s">
        <v>1801</v>
      </c>
      <c r="BM139" t="s">
        <v>1802</v>
      </c>
      <c r="BN139" t="s">
        <v>548</v>
      </c>
      <c r="BO139">
        <v>32225</v>
      </c>
      <c r="BP139" t="s">
        <v>404</v>
      </c>
      <c r="BQ139">
        <v>0</v>
      </c>
      <c r="BR139" t="s">
        <v>491</v>
      </c>
      <c r="BS139">
        <v>8001</v>
      </c>
      <c r="BT139" t="s">
        <v>492</v>
      </c>
      <c r="BW139">
        <v>130680</v>
      </c>
      <c r="BX139" t="s">
        <v>407</v>
      </c>
      <c r="BY139" t="s">
        <v>408</v>
      </c>
      <c r="CD139">
        <v>2017</v>
      </c>
      <c r="CE139">
        <v>19200</v>
      </c>
      <c r="CG139">
        <v>19200</v>
      </c>
      <c r="CH139">
        <v>2017</v>
      </c>
      <c r="CI139">
        <v>19200</v>
      </c>
      <c r="CK139">
        <v>19200</v>
      </c>
      <c r="CL139">
        <v>2017</v>
      </c>
      <c r="CM139">
        <v>290.66000000000003</v>
      </c>
      <c r="CN139" s="1">
        <v>36573</v>
      </c>
      <c r="CZ139" s="1">
        <v>36573</v>
      </c>
      <c r="DD139" t="s">
        <v>553</v>
      </c>
      <c r="DF139">
        <v>4</v>
      </c>
      <c r="DG139">
        <v>5</v>
      </c>
      <c r="DL139">
        <v>50504</v>
      </c>
      <c r="DM139" t="s">
        <v>1803</v>
      </c>
      <c r="DO139" t="s">
        <v>1804</v>
      </c>
      <c r="DP139">
        <v>0</v>
      </c>
      <c r="DQ139">
        <v>0</v>
      </c>
      <c r="DR139" t="s">
        <v>411</v>
      </c>
      <c r="DS139" t="b">
        <v>1</v>
      </c>
      <c r="DT139" t="s">
        <v>396</v>
      </c>
      <c r="DV139" t="s">
        <v>446</v>
      </c>
      <c r="DX139">
        <v>-9999</v>
      </c>
      <c r="DZ139" t="s">
        <v>447</v>
      </c>
      <c r="EA139" t="s">
        <v>448</v>
      </c>
      <c r="EB139" t="s">
        <v>449</v>
      </c>
      <c r="EC139">
        <v>20101217</v>
      </c>
      <c r="ED139" t="s">
        <v>450</v>
      </c>
      <c r="EE139">
        <v>59.3</v>
      </c>
      <c r="EF139">
        <v>0</v>
      </c>
      <c r="EG139">
        <v>0</v>
      </c>
      <c r="EI139">
        <v>20160407</v>
      </c>
      <c r="EJ139">
        <v>0</v>
      </c>
      <c r="EK139">
        <v>0</v>
      </c>
      <c r="EP139" t="s">
        <v>421</v>
      </c>
      <c r="EQ139" t="s">
        <v>422</v>
      </c>
      <c r="ER139">
        <v>3</v>
      </c>
      <c r="ES139">
        <v>4</v>
      </c>
      <c r="ET139">
        <v>1035.55</v>
      </c>
      <c r="EU139">
        <v>75.709999999999994</v>
      </c>
      <c r="EV139">
        <v>1111.26</v>
      </c>
      <c r="EW139" s="2">
        <v>43222</v>
      </c>
      <c r="EX139" s="1">
        <v>42879</v>
      </c>
      <c r="EY139">
        <v>2016</v>
      </c>
      <c r="EZ139">
        <v>345.75</v>
      </c>
      <c r="FA139" t="s">
        <v>1805</v>
      </c>
      <c r="FB139">
        <v>6.5</v>
      </c>
      <c r="FC139" t="s">
        <v>424</v>
      </c>
      <c r="FD139" t="s">
        <v>454</v>
      </c>
      <c r="FF139">
        <v>12</v>
      </c>
      <c r="FG139">
        <v>10125</v>
      </c>
      <c r="FH139" t="s">
        <v>440</v>
      </c>
      <c r="FJ139" s="1">
        <v>42515</v>
      </c>
      <c r="FK139">
        <v>2015</v>
      </c>
      <c r="FL139">
        <v>344.9</v>
      </c>
      <c r="FM139" t="s">
        <v>1806</v>
      </c>
      <c r="FN139">
        <v>0.25</v>
      </c>
      <c r="FO139" t="s">
        <v>424</v>
      </c>
      <c r="FP139" t="s">
        <v>454</v>
      </c>
      <c r="FR139">
        <v>24</v>
      </c>
      <c r="FS139">
        <v>7336671</v>
      </c>
      <c r="FT139" t="s">
        <v>437</v>
      </c>
      <c r="FV139" s="1">
        <v>42515</v>
      </c>
      <c r="FW139">
        <v>2015</v>
      </c>
      <c r="FX139">
        <v>344.9</v>
      </c>
      <c r="FY139" t="s">
        <v>1806</v>
      </c>
      <c r="FZ139">
        <v>0.25</v>
      </c>
      <c r="GA139" t="s">
        <v>424</v>
      </c>
      <c r="GB139" t="s">
        <v>454</v>
      </c>
      <c r="GD139">
        <v>24</v>
      </c>
      <c r="GE139">
        <v>6965969</v>
      </c>
      <c r="GF139" t="s">
        <v>1807</v>
      </c>
      <c r="GH139" s="1">
        <v>41423</v>
      </c>
      <c r="GI139">
        <v>2012</v>
      </c>
      <c r="GJ139">
        <v>445.83</v>
      </c>
      <c r="GK139" t="s">
        <v>1808</v>
      </c>
      <c r="GL139">
        <v>6.75</v>
      </c>
      <c r="GM139" t="s">
        <v>424</v>
      </c>
      <c r="GN139" t="s">
        <v>425</v>
      </c>
      <c r="GO139" s="1">
        <v>41775</v>
      </c>
      <c r="GP139">
        <v>12</v>
      </c>
      <c r="GQ139">
        <v>15407</v>
      </c>
      <c r="GR139" t="s">
        <v>1134</v>
      </c>
      <c r="GT139" s="1">
        <v>41052</v>
      </c>
      <c r="GU139">
        <v>2011</v>
      </c>
      <c r="GV139">
        <v>469.62</v>
      </c>
      <c r="GW139" t="s">
        <v>1809</v>
      </c>
      <c r="GX139">
        <v>11.75</v>
      </c>
      <c r="GY139" t="s">
        <v>424</v>
      </c>
      <c r="GZ139" t="s">
        <v>425</v>
      </c>
      <c r="HA139" s="1">
        <v>41775</v>
      </c>
      <c r="HB139">
        <v>24</v>
      </c>
      <c r="HC139">
        <v>10125</v>
      </c>
      <c r="HD139" t="s">
        <v>440</v>
      </c>
      <c r="HF139" s="1">
        <v>40688</v>
      </c>
      <c r="HG139">
        <v>2010</v>
      </c>
      <c r="HH139">
        <v>522.02</v>
      </c>
      <c r="HI139" t="s">
        <v>1810</v>
      </c>
      <c r="HJ139">
        <v>11.5</v>
      </c>
      <c r="HK139" t="s">
        <v>424</v>
      </c>
      <c r="HL139" t="s">
        <v>425</v>
      </c>
      <c r="HM139" s="1">
        <v>41775</v>
      </c>
      <c r="HN139">
        <v>36</v>
      </c>
      <c r="HO139">
        <v>375</v>
      </c>
      <c r="HP139" t="s">
        <v>776</v>
      </c>
      <c r="HR139" s="1">
        <v>40688</v>
      </c>
      <c r="HS139">
        <v>2010</v>
      </c>
      <c r="HT139">
        <v>522.02</v>
      </c>
      <c r="HU139" t="s">
        <v>1810</v>
      </c>
      <c r="HV139">
        <v>11.5</v>
      </c>
      <c r="HW139" t="s">
        <v>424</v>
      </c>
      <c r="HX139" t="s">
        <v>425</v>
      </c>
      <c r="HZ139">
        <v>22</v>
      </c>
      <c r="IA139">
        <v>105</v>
      </c>
      <c r="IB139" t="s">
        <v>946</v>
      </c>
    </row>
    <row r="140" spans="1:296" x14ac:dyDescent="0.25">
      <c r="A140">
        <v>16485147</v>
      </c>
      <c r="B140">
        <v>139</v>
      </c>
      <c r="C140" t="s">
        <v>393</v>
      </c>
      <c r="D140" t="s">
        <v>394</v>
      </c>
      <c r="F140" t="str">
        <f>"05-2S-23-1500-0007-0000"</f>
        <v>05-2S-23-1500-0007-0000</v>
      </c>
      <c r="H140" t="str">
        <f>"SMITHS INVESTMENT CORPORATION"</f>
        <v>SMITHS INVESTMENT CORPORATION</v>
      </c>
      <c r="I140" t="str">
        <f>"2283 S BROOK DRIVE"</f>
        <v>2283 S BROOK DRIVE</v>
      </c>
      <c r="J140" t="str">
        <f>"ORANGE PARK FL 32003"</f>
        <v>ORANGE PARK FL 32003</v>
      </c>
      <c r="K140" t="str">
        <f>"5937 PRINGLE RD"</f>
        <v>5937 PRINGLE RD</v>
      </c>
      <c r="L140" t="str">
        <f>"BRYCEVILLE FL 32009"</f>
        <v>BRYCEVILLE FL 32009</v>
      </c>
      <c r="M140" t="str">
        <f>"LOT 7 IN OR 1490/1331 1987 LIBE DW/MH KAST ESTATES 1 UNR"</f>
        <v>LOT 7 IN OR 1490/1331 1987 LIBE DW/MH KAST ESTATES 1 UNR</v>
      </c>
      <c r="N140" t="str">
        <f>""</f>
        <v/>
      </c>
      <c r="O140" t="str">
        <f>"21357"</f>
        <v>21357</v>
      </c>
      <c r="P140" t="str">
        <f t="shared" si="45"/>
        <v>2017</v>
      </c>
      <c r="Q140" t="str">
        <f>""</f>
        <v/>
      </c>
      <c r="R140" t="str">
        <f t="shared" si="48"/>
        <v>N</v>
      </c>
      <c r="S140" t="str">
        <f>"1.14"</f>
        <v>1.14</v>
      </c>
      <c r="T140" t="str">
        <f>"554.55"</f>
        <v>554.55</v>
      </c>
      <c r="U140" t="str">
        <f>"32997.00"</f>
        <v>32997.00</v>
      </c>
      <c r="V140" t="str">
        <f>"32997.00"</f>
        <v>32997.00</v>
      </c>
      <c r="W140" t="str">
        <f t="shared" si="46"/>
        <v>2017</v>
      </c>
      <c r="X140" t="str">
        <f>"11.75"</f>
        <v>11.75</v>
      </c>
      <c r="Y140" t="str">
        <f>"603.19"</f>
        <v>603.19</v>
      </c>
      <c r="Z140" t="str">
        <f>""</f>
        <v/>
      </c>
      <c r="AA140" t="str">
        <f>"41334.00"</f>
        <v>41334.00</v>
      </c>
      <c r="AB140" t="str">
        <f>"Residential"</f>
        <v>Residential</v>
      </c>
      <c r="AC140" t="str">
        <f t="shared" si="47"/>
        <v>0</v>
      </c>
      <c r="AD140" t="str">
        <f>"4"</f>
        <v>4</v>
      </c>
      <c r="AE140" t="str">
        <f>"WOOD (INCLUDE STEEL STUDS)"</f>
        <v>WOOD (INCLUDE STEEL STUDS)</v>
      </c>
      <c r="AF140" t="str">
        <f>"002"</f>
        <v>002</v>
      </c>
      <c r="AG140" t="str">
        <f t="shared" si="37"/>
        <v>FL</v>
      </c>
      <c r="AH140" t="str">
        <f>"49658.00"</f>
        <v>49658.00</v>
      </c>
      <c r="AI140" t="str">
        <f>"17100.00"</f>
        <v>17100.00</v>
      </c>
      <c r="AJ140" t="str">
        <f>"C55-000-586-6178-6"</f>
        <v>C55-000-586-6178-6</v>
      </c>
      <c r="AK140" t="str">
        <f>"3237"</f>
        <v>3237</v>
      </c>
      <c r="AL140">
        <v>1</v>
      </c>
      <c r="AM140">
        <v>162</v>
      </c>
      <c r="AN140">
        <v>631.75</v>
      </c>
      <c r="AQ140" t="s">
        <v>1811</v>
      </c>
      <c r="AR140" t="s">
        <v>1811</v>
      </c>
      <c r="AS140" t="s">
        <v>1811</v>
      </c>
      <c r="AU140" t="s">
        <v>396</v>
      </c>
      <c r="AV140">
        <v>2017</v>
      </c>
      <c r="AW140" t="str">
        <f>"05-2S-23-1500-0007-0000 "</f>
        <v xml:space="preserve">05-2S-23-1500-0007-0000 </v>
      </c>
      <c r="AX140">
        <v>5937</v>
      </c>
      <c r="AZ140" t="s">
        <v>1812</v>
      </c>
      <c r="BA140" t="s">
        <v>496</v>
      </c>
      <c r="BD140" t="s">
        <v>553</v>
      </c>
      <c r="BE140" t="s">
        <v>393</v>
      </c>
      <c r="BF140">
        <v>32009</v>
      </c>
      <c r="BG140" t="s">
        <v>1813</v>
      </c>
      <c r="BH140" t="s">
        <v>555</v>
      </c>
      <c r="BI140">
        <v>-82.021913120115798</v>
      </c>
      <c r="BJ140">
        <v>30.3592527010289</v>
      </c>
      <c r="BK140" t="s">
        <v>1814</v>
      </c>
      <c r="BM140" t="s">
        <v>1815</v>
      </c>
      <c r="BN140" t="s">
        <v>878</v>
      </c>
      <c r="BO140">
        <v>32003</v>
      </c>
      <c r="BP140" t="s">
        <v>404</v>
      </c>
      <c r="BQ140">
        <v>200</v>
      </c>
      <c r="BR140" t="s">
        <v>405</v>
      </c>
      <c r="BS140">
        <v>1006</v>
      </c>
      <c r="BT140" t="s">
        <v>406</v>
      </c>
      <c r="BW140">
        <v>49658</v>
      </c>
      <c r="BX140" t="s">
        <v>407</v>
      </c>
      <c r="BY140" t="s">
        <v>408</v>
      </c>
      <c r="BZ140">
        <v>4</v>
      </c>
      <c r="CA140">
        <v>1987</v>
      </c>
      <c r="CB140">
        <v>1</v>
      </c>
      <c r="CC140">
        <v>1</v>
      </c>
      <c r="CD140">
        <v>2017</v>
      </c>
      <c r="CE140">
        <v>17100</v>
      </c>
      <c r="CF140">
        <v>24234</v>
      </c>
      <c r="CG140">
        <v>41334</v>
      </c>
      <c r="CH140">
        <v>2017</v>
      </c>
      <c r="CI140">
        <v>17100</v>
      </c>
      <c r="CJ140">
        <v>24234</v>
      </c>
      <c r="CK140">
        <v>41334</v>
      </c>
      <c r="CL140">
        <v>2017</v>
      </c>
      <c r="CM140">
        <v>554.54999999999995</v>
      </c>
      <c r="CN140" s="1">
        <v>39181</v>
      </c>
      <c r="CO140">
        <v>25000</v>
      </c>
      <c r="CV140">
        <v>0</v>
      </c>
      <c r="CZ140" s="1">
        <v>39181</v>
      </c>
      <c r="DA140">
        <v>0</v>
      </c>
      <c r="DD140" t="s">
        <v>553</v>
      </c>
      <c r="DF140">
        <v>7</v>
      </c>
      <c r="DG140">
        <v>5</v>
      </c>
      <c r="DL140">
        <v>50504</v>
      </c>
      <c r="DM140" t="s">
        <v>1803</v>
      </c>
      <c r="DO140" t="s">
        <v>1816</v>
      </c>
      <c r="DP140">
        <v>0</v>
      </c>
      <c r="DQ140">
        <v>0</v>
      </c>
      <c r="DR140" t="s">
        <v>411</v>
      </c>
      <c r="DS140" t="b">
        <v>1</v>
      </c>
      <c r="DT140" t="s">
        <v>396</v>
      </c>
      <c r="DV140" t="s">
        <v>446</v>
      </c>
      <c r="DX140">
        <v>-9999</v>
      </c>
      <c r="DZ140" t="s">
        <v>447</v>
      </c>
      <c r="EA140" t="s">
        <v>448</v>
      </c>
      <c r="EB140" t="s">
        <v>449</v>
      </c>
      <c r="EC140">
        <v>20101217</v>
      </c>
      <c r="ED140" t="s">
        <v>450</v>
      </c>
      <c r="EE140">
        <v>59.3</v>
      </c>
      <c r="EF140">
        <v>0</v>
      </c>
      <c r="EG140">
        <v>0</v>
      </c>
      <c r="EI140">
        <v>20160407</v>
      </c>
      <c r="EJ140">
        <v>0</v>
      </c>
      <c r="EK140">
        <v>0</v>
      </c>
      <c r="EP140" t="s">
        <v>421</v>
      </c>
      <c r="EQ140" t="s">
        <v>422</v>
      </c>
      <c r="ER140">
        <v>1</v>
      </c>
      <c r="ES140">
        <v>6</v>
      </c>
      <c r="ET140">
        <v>525</v>
      </c>
      <c r="EU140">
        <v>32.5</v>
      </c>
      <c r="EV140">
        <v>557.5</v>
      </c>
      <c r="EW140" s="2">
        <v>43222</v>
      </c>
      <c r="EX140" s="1">
        <v>42879</v>
      </c>
      <c r="EY140">
        <v>2016</v>
      </c>
      <c r="EZ140">
        <v>525</v>
      </c>
      <c r="FA140" t="s">
        <v>1817</v>
      </c>
      <c r="FB140">
        <v>0.25</v>
      </c>
      <c r="FC140" t="s">
        <v>424</v>
      </c>
      <c r="FD140" t="s">
        <v>454</v>
      </c>
      <c r="FF140">
        <v>12</v>
      </c>
      <c r="FG140">
        <v>7336745</v>
      </c>
      <c r="FH140" t="s">
        <v>502</v>
      </c>
      <c r="FJ140" s="1">
        <v>42515</v>
      </c>
      <c r="FK140">
        <v>2015</v>
      </c>
      <c r="FL140">
        <v>573.1</v>
      </c>
      <c r="FM140" t="s">
        <v>1818</v>
      </c>
      <c r="FN140">
        <v>6.25</v>
      </c>
      <c r="FO140" t="s">
        <v>424</v>
      </c>
      <c r="FP140" t="s">
        <v>425</v>
      </c>
      <c r="FQ140" s="1">
        <v>43149</v>
      </c>
      <c r="FR140">
        <v>21</v>
      </c>
      <c r="FS140">
        <v>7336143</v>
      </c>
      <c r="FT140" t="s">
        <v>539</v>
      </c>
      <c r="FV140" s="1">
        <v>42151</v>
      </c>
      <c r="FW140">
        <v>2014</v>
      </c>
      <c r="FX140">
        <v>459.76</v>
      </c>
      <c r="FY140" t="s">
        <v>1819</v>
      </c>
      <c r="FZ140">
        <v>3.75</v>
      </c>
      <c r="GA140" t="s">
        <v>424</v>
      </c>
      <c r="GB140" t="s">
        <v>425</v>
      </c>
      <c r="GC140" s="1">
        <v>42165</v>
      </c>
      <c r="GD140">
        <v>1</v>
      </c>
      <c r="GE140">
        <v>4975593</v>
      </c>
      <c r="GF140" t="s">
        <v>505</v>
      </c>
      <c r="GH140" s="1">
        <v>41787</v>
      </c>
      <c r="GI140">
        <v>2013</v>
      </c>
      <c r="GJ140">
        <v>634.9</v>
      </c>
      <c r="GK140" t="s">
        <v>1820</v>
      </c>
      <c r="GL140">
        <v>0.25</v>
      </c>
      <c r="GM140" t="s">
        <v>424</v>
      </c>
      <c r="GN140" t="s">
        <v>425</v>
      </c>
      <c r="GO140" s="1">
        <v>42165</v>
      </c>
      <c r="GP140">
        <v>13</v>
      </c>
      <c r="GQ140">
        <v>2407503</v>
      </c>
      <c r="GR140" t="s">
        <v>461</v>
      </c>
      <c r="GT140" s="1">
        <v>41423</v>
      </c>
      <c r="GU140">
        <v>2012</v>
      </c>
      <c r="GV140">
        <v>662.64</v>
      </c>
      <c r="GW140" t="s">
        <v>1821</v>
      </c>
      <c r="GX140">
        <v>4.5</v>
      </c>
      <c r="GY140" t="s">
        <v>424</v>
      </c>
      <c r="GZ140" t="s">
        <v>425</v>
      </c>
      <c r="HA140" s="1">
        <v>41494</v>
      </c>
      <c r="HB140">
        <v>3</v>
      </c>
      <c r="HC140">
        <v>15399</v>
      </c>
      <c r="HD140" t="s">
        <v>485</v>
      </c>
      <c r="HF140" s="1">
        <v>41052</v>
      </c>
      <c r="HG140">
        <v>2011</v>
      </c>
      <c r="HH140">
        <v>696.32</v>
      </c>
      <c r="HI140" t="s">
        <v>1822</v>
      </c>
      <c r="HJ140">
        <v>6</v>
      </c>
      <c r="HK140" t="s">
        <v>424</v>
      </c>
      <c r="HL140" t="s">
        <v>425</v>
      </c>
      <c r="HM140" s="1">
        <v>41494</v>
      </c>
      <c r="HN140">
        <v>15</v>
      </c>
      <c r="HO140">
        <v>62</v>
      </c>
      <c r="HP140" t="s">
        <v>463</v>
      </c>
      <c r="HR140" s="1">
        <v>40688</v>
      </c>
      <c r="HS140">
        <v>2010</v>
      </c>
      <c r="HT140">
        <v>725.41</v>
      </c>
      <c r="HU140" t="s">
        <v>1823</v>
      </c>
      <c r="HV140">
        <v>7</v>
      </c>
      <c r="HW140" t="s">
        <v>424</v>
      </c>
      <c r="HX140" t="s">
        <v>425</v>
      </c>
      <c r="HY140" s="1">
        <v>41331</v>
      </c>
      <c r="HZ140">
        <v>21</v>
      </c>
      <c r="IA140">
        <v>10579</v>
      </c>
      <c r="IB140" t="s">
        <v>488</v>
      </c>
    </row>
    <row r="141" spans="1:296" x14ac:dyDescent="0.25">
      <c r="A141">
        <v>16485148</v>
      </c>
      <c r="B141">
        <v>140</v>
      </c>
      <c r="C141" t="s">
        <v>393</v>
      </c>
      <c r="D141" t="s">
        <v>394</v>
      </c>
      <c r="F141" t="str">
        <f>"06-2S-23-0000-0006-0000"</f>
        <v>06-2S-23-0000-0006-0000</v>
      </c>
      <c r="H141" t="str">
        <f>"AVERY TANGIE J"</f>
        <v>AVERY TANGIE J</v>
      </c>
      <c r="I141" t="str">
        <f>"892 MIDDLE ROAD"</f>
        <v>892 MIDDLE ROAD</v>
      </c>
      <c r="J141" t="str">
        <f>"BRYCEVILLE FL 32009"</f>
        <v>BRYCEVILLE FL 32009</v>
      </c>
      <c r="K141" t="str">
        <f>"892 MIDDLE RD"</f>
        <v>892 MIDDLE RD</v>
      </c>
      <c r="L141" t="str">
        <f>"BRYCEVILLE FL 32009"</f>
        <v>BRYCEVILLE FL 32009</v>
      </c>
      <c r="M141" t="str">
        <f>"PT OF SE1/4 OF SE1/4 IN OR 1067/904"</f>
        <v>PT OF SE1/4 OF SE1/4 IN OR 1067/904</v>
      </c>
      <c r="N141" t="str">
        <f>""</f>
        <v/>
      </c>
      <c r="O141" t="str">
        <f>"22201"</f>
        <v>22201</v>
      </c>
      <c r="P141" t="str">
        <f t="shared" si="45"/>
        <v>2017</v>
      </c>
      <c r="Q141" t="str">
        <f>""</f>
        <v/>
      </c>
      <c r="R141" t="str">
        <f>"Y"</f>
        <v>Y</v>
      </c>
      <c r="S141" t="str">
        <f>"2.00"</f>
        <v>2.00</v>
      </c>
      <c r="T141" t="str">
        <f>"866.62"</f>
        <v>866.62</v>
      </c>
      <c r="U141" t="str">
        <f>"96349.00"</f>
        <v>96349.00</v>
      </c>
      <c r="V141" t="str">
        <f>"96349.00"</f>
        <v>96349.00</v>
      </c>
      <c r="W141" t="str">
        <f t="shared" si="46"/>
        <v>2017</v>
      </c>
      <c r="X141" t="str">
        <f>"20.00"</f>
        <v>20.00</v>
      </c>
      <c r="Y141" t="str">
        <f>"924.62"</f>
        <v>924.62</v>
      </c>
      <c r="Z141" t="str">
        <f>"25000.00"</f>
        <v>25000.00</v>
      </c>
      <c r="AA141" t="str">
        <f>"71349.00"</f>
        <v>71349.00</v>
      </c>
      <c r="AB141" t="str">
        <f>"Residential"</f>
        <v>Residential</v>
      </c>
      <c r="AC141" t="str">
        <f t="shared" si="47"/>
        <v>0</v>
      </c>
      <c r="AD141" t="str">
        <f>"4"</f>
        <v>4</v>
      </c>
      <c r="AE141" t="str">
        <f>"WOOD (INCLUDE STEEL STUDS)"</f>
        <v>WOOD (INCLUDE STEEL STUDS)</v>
      </c>
      <c r="AF141" t="str">
        <f>"001"</f>
        <v>001</v>
      </c>
      <c r="AG141" t="str">
        <f t="shared" si="37"/>
        <v>FL</v>
      </c>
      <c r="AH141" t="str">
        <f>"87120.00"</f>
        <v>87120.00</v>
      </c>
      <c r="AI141" t="str">
        <f>"24000.00"</f>
        <v>24000.00</v>
      </c>
      <c r="AJ141" t="str">
        <f>"C55-000-586-6766-8"</f>
        <v>C55-000-586-6766-8</v>
      </c>
      <c r="AK141" t="str">
        <f>"3292"</f>
        <v>3292</v>
      </c>
      <c r="AL141">
        <v>1</v>
      </c>
      <c r="AM141">
        <v>164</v>
      </c>
      <c r="AN141">
        <v>969.25</v>
      </c>
      <c r="AQ141" t="s">
        <v>1824</v>
      </c>
      <c r="AR141" t="s">
        <v>1824</v>
      </c>
      <c r="AS141" t="s">
        <v>1824</v>
      </c>
      <c r="AU141" t="s">
        <v>396</v>
      </c>
      <c r="AV141">
        <v>2017</v>
      </c>
      <c r="AW141" t="str">
        <f>"06-2S-23-0000-0006-0000 "</f>
        <v xml:space="preserve">06-2S-23-0000-0006-0000 </v>
      </c>
      <c r="AX141">
        <v>892</v>
      </c>
      <c r="AZ141" t="s">
        <v>1825</v>
      </c>
      <c r="BA141" t="s">
        <v>496</v>
      </c>
      <c r="BD141" t="s">
        <v>553</v>
      </c>
      <c r="BE141" t="s">
        <v>393</v>
      </c>
      <c r="BF141">
        <v>32009</v>
      </c>
      <c r="BG141" t="s">
        <v>1826</v>
      </c>
      <c r="BH141" t="s">
        <v>555</v>
      </c>
      <c r="BI141">
        <v>-82.034644999961699</v>
      </c>
      <c r="BJ141">
        <v>30.349437641284201</v>
      </c>
      <c r="BK141" t="s">
        <v>1827</v>
      </c>
      <c r="BM141" t="s">
        <v>1828</v>
      </c>
      <c r="BN141" t="s">
        <v>558</v>
      </c>
      <c r="BO141">
        <v>32009</v>
      </c>
      <c r="BP141" t="s">
        <v>416</v>
      </c>
      <c r="BQ141">
        <v>100</v>
      </c>
      <c r="BR141" t="s">
        <v>514</v>
      </c>
      <c r="BS141">
        <v>1001</v>
      </c>
      <c r="BT141" t="s">
        <v>515</v>
      </c>
      <c r="BW141">
        <v>87120</v>
      </c>
      <c r="BX141" t="s">
        <v>407</v>
      </c>
      <c r="BY141" t="s">
        <v>408</v>
      </c>
      <c r="BZ141">
        <v>4</v>
      </c>
      <c r="CA141">
        <v>1958</v>
      </c>
      <c r="CB141">
        <v>1</v>
      </c>
      <c r="CC141">
        <v>1</v>
      </c>
      <c r="CD141">
        <v>2017</v>
      </c>
      <c r="CG141">
        <v>96349</v>
      </c>
      <c r="CH141">
        <v>2017</v>
      </c>
      <c r="CI141">
        <v>24000</v>
      </c>
      <c r="CJ141">
        <v>87991</v>
      </c>
      <c r="CK141">
        <v>111991</v>
      </c>
      <c r="CL141">
        <v>2017</v>
      </c>
      <c r="CM141">
        <v>866.62</v>
      </c>
      <c r="CN141" s="1">
        <v>37446</v>
      </c>
      <c r="CO141">
        <v>21500</v>
      </c>
      <c r="CZ141" s="1">
        <v>37446</v>
      </c>
      <c r="DD141" t="s">
        <v>553</v>
      </c>
      <c r="DG141">
        <v>6</v>
      </c>
      <c r="DL141">
        <v>50504</v>
      </c>
      <c r="DM141" t="s">
        <v>1829</v>
      </c>
      <c r="DO141" t="s">
        <v>1830</v>
      </c>
      <c r="DP141">
        <v>0</v>
      </c>
      <c r="DQ141">
        <v>0</v>
      </c>
      <c r="DR141" t="s">
        <v>411</v>
      </c>
      <c r="DS141" t="b">
        <v>1</v>
      </c>
      <c r="DT141" t="s">
        <v>470</v>
      </c>
      <c r="DU141" t="s">
        <v>471</v>
      </c>
      <c r="DV141" t="s">
        <v>472</v>
      </c>
      <c r="DX141">
        <v>-9999</v>
      </c>
      <c r="DZ141" t="s">
        <v>447</v>
      </c>
      <c r="EA141" t="s">
        <v>448</v>
      </c>
      <c r="EB141" t="s">
        <v>1190</v>
      </c>
      <c r="EC141">
        <v>20101217</v>
      </c>
      <c r="ED141" t="s">
        <v>474</v>
      </c>
      <c r="EF141">
        <v>1201.2</v>
      </c>
      <c r="EG141">
        <v>1201.2</v>
      </c>
      <c r="EI141">
        <v>20160407</v>
      </c>
      <c r="EJ141">
        <v>0</v>
      </c>
      <c r="EK141">
        <v>0</v>
      </c>
      <c r="EP141" t="s">
        <v>421</v>
      </c>
      <c r="EQ141" t="s">
        <v>422</v>
      </c>
      <c r="ER141">
        <v>2</v>
      </c>
      <c r="ES141">
        <v>10</v>
      </c>
      <c r="ET141">
        <v>1763.34</v>
      </c>
      <c r="EU141">
        <v>100.67</v>
      </c>
      <c r="EV141">
        <v>1864.01</v>
      </c>
      <c r="EW141" s="2">
        <v>43222</v>
      </c>
      <c r="EX141" s="1">
        <v>42879</v>
      </c>
      <c r="EY141">
        <v>2016</v>
      </c>
      <c r="EZ141">
        <v>881.67</v>
      </c>
      <c r="FA141" t="s">
        <v>1831</v>
      </c>
      <c r="FB141">
        <v>0.25</v>
      </c>
      <c r="FC141" t="s">
        <v>424</v>
      </c>
      <c r="FD141" t="s">
        <v>454</v>
      </c>
      <c r="FF141">
        <v>12</v>
      </c>
      <c r="FG141">
        <v>7336671</v>
      </c>
      <c r="FH141" t="s">
        <v>437</v>
      </c>
      <c r="FJ141" s="1">
        <v>42879</v>
      </c>
      <c r="FK141">
        <v>2016</v>
      </c>
      <c r="FL141">
        <v>881.67</v>
      </c>
      <c r="FM141" t="s">
        <v>1831</v>
      </c>
      <c r="FN141">
        <v>0.25</v>
      </c>
      <c r="FO141" t="s">
        <v>424</v>
      </c>
      <c r="FP141" t="s">
        <v>454</v>
      </c>
      <c r="FR141">
        <v>12</v>
      </c>
      <c r="FS141">
        <v>5207834</v>
      </c>
      <c r="FT141" t="s">
        <v>1832</v>
      </c>
      <c r="FV141" s="1">
        <v>42515</v>
      </c>
      <c r="FW141">
        <v>2015</v>
      </c>
      <c r="FX141">
        <v>896.63</v>
      </c>
      <c r="FY141" t="s">
        <v>1833</v>
      </c>
      <c r="FZ141">
        <v>0.25</v>
      </c>
      <c r="GA141" t="s">
        <v>424</v>
      </c>
      <c r="GB141" t="s">
        <v>425</v>
      </c>
      <c r="GC141" s="1">
        <v>43157</v>
      </c>
      <c r="GD141">
        <v>21</v>
      </c>
      <c r="GE141">
        <v>2851116</v>
      </c>
      <c r="GF141" t="s">
        <v>480</v>
      </c>
      <c r="GH141" s="1">
        <v>42515</v>
      </c>
      <c r="GI141">
        <v>2015</v>
      </c>
      <c r="GJ141">
        <v>896.63</v>
      </c>
      <c r="GK141" t="s">
        <v>1833</v>
      </c>
      <c r="GL141">
        <v>0.25</v>
      </c>
      <c r="GM141" t="s">
        <v>424</v>
      </c>
      <c r="GN141" t="s">
        <v>425</v>
      </c>
      <c r="GP141">
        <v>22</v>
      </c>
      <c r="GQ141">
        <v>5601324</v>
      </c>
      <c r="GR141" t="s">
        <v>1834</v>
      </c>
      <c r="GT141" s="1">
        <v>42151</v>
      </c>
      <c r="GU141">
        <v>2014</v>
      </c>
      <c r="GV141">
        <v>895.43</v>
      </c>
      <c r="GW141" t="s">
        <v>1835</v>
      </c>
      <c r="GX141">
        <v>0.25</v>
      </c>
      <c r="GY141" t="s">
        <v>424</v>
      </c>
      <c r="GZ141" t="s">
        <v>425</v>
      </c>
      <c r="HA141" s="1">
        <v>42789</v>
      </c>
      <c r="HB141">
        <v>21</v>
      </c>
      <c r="HC141">
        <v>2101382</v>
      </c>
      <c r="HD141" t="s">
        <v>993</v>
      </c>
      <c r="HF141" s="1">
        <v>42151</v>
      </c>
      <c r="HG141">
        <v>2014</v>
      </c>
      <c r="HH141">
        <v>895.43</v>
      </c>
      <c r="HI141" t="s">
        <v>1835</v>
      </c>
      <c r="HJ141">
        <v>0.25</v>
      </c>
      <c r="HK141" t="s">
        <v>424</v>
      </c>
      <c r="HL141" t="s">
        <v>425</v>
      </c>
      <c r="HN141">
        <v>22</v>
      </c>
      <c r="HO141">
        <v>5615542</v>
      </c>
      <c r="HP141" t="s">
        <v>1836</v>
      </c>
      <c r="HR141" s="1">
        <v>41787</v>
      </c>
      <c r="HS141">
        <v>2013</v>
      </c>
      <c r="HT141">
        <v>1380.66</v>
      </c>
      <c r="HU141" t="s">
        <v>1837</v>
      </c>
      <c r="HV141">
        <v>0.25</v>
      </c>
      <c r="HW141" t="s">
        <v>424</v>
      </c>
      <c r="HX141" t="s">
        <v>425</v>
      </c>
      <c r="HZ141">
        <v>22</v>
      </c>
      <c r="IA141">
        <v>11289</v>
      </c>
      <c r="IB141" t="s">
        <v>787</v>
      </c>
      <c r="ID141" s="1">
        <v>41787</v>
      </c>
      <c r="IE141">
        <v>2013</v>
      </c>
      <c r="IF141">
        <v>1380.66</v>
      </c>
      <c r="IG141" t="s">
        <v>1837</v>
      </c>
      <c r="IH141">
        <v>0.25</v>
      </c>
      <c r="II141" t="s">
        <v>424</v>
      </c>
      <c r="IJ141" t="s">
        <v>425</v>
      </c>
      <c r="IK141" s="1">
        <v>42428</v>
      </c>
      <c r="IL141">
        <v>21</v>
      </c>
      <c r="IM141">
        <v>4844954</v>
      </c>
      <c r="IN141" t="s">
        <v>1719</v>
      </c>
      <c r="IP141" s="1">
        <v>41423</v>
      </c>
      <c r="IQ141">
        <v>2012</v>
      </c>
      <c r="IR141">
        <v>1415.82</v>
      </c>
      <c r="IS141" t="s">
        <v>1838</v>
      </c>
      <c r="IT141">
        <v>0.25</v>
      </c>
      <c r="IU141" t="s">
        <v>424</v>
      </c>
      <c r="IV141" t="s">
        <v>425</v>
      </c>
      <c r="IW141" s="1">
        <v>42068</v>
      </c>
      <c r="IX141">
        <v>22</v>
      </c>
      <c r="IY141">
        <v>15398</v>
      </c>
      <c r="IZ141" t="s">
        <v>1180</v>
      </c>
      <c r="JB141" s="1">
        <v>41052</v>
      </c>
      <c r="JC141">
        <v>2011</v>
      </c>
      <c r="JD141">
        <v>672.26</v>
      </c>
      <c r="JE141" t="s">
        <v>1839</v>
      </c>
      <c r="JF141">
        <v>0.25</v>
      </c>
      <c r="JG141" t="s">
        <v>424</v>
      </c>
      <c r="JH141" t="s">
        <v>425</v>
      </c>
      <c r="JI141" s="1">
        <v>41702</v>
      </c>
      <c r="JJ141">
        <v>22</v>
      </c>
      <c r="JK141">
        <v>13104</v>
      </c>
      <c r="JL141" t="s">
        <v>888</v>
      </c>
      <c r="JN141" s="1">
        <v>41052</v>
      </c>
      <c r="JO141">
        <v>2011</v>
      </c>
      <c r="JP141">
        <v>672.26</v>
      </c>
      <c r="JQ141" t="s">
        <v>1839</v>
      </c>
      <c r="JR141">
        <v>0.25</v>
      </c>
      <c r="JS141" t="s">
        <v>424</v>
      </c>
      <c r="JT141" t="s">
        <v>425</v>
      </c>
      <c r="JV141">
        <v>22</v>
      </c>
      <c r="JW141">
        <v>13727</v>
      </c>
      <c r="JX141" t="s">
        <v>1840</v>
      </c>
      <c r="JZ141" s="1">
        <v>40688</v>
      </c>
      <c r="KA141">
        <v>2010</v>
      </c>
      <c r="KB141">
        <v>671.56</v>
      </c>
      <c r="KC141" t="s">
        <v>1841</v>
      </c>
      <c r="KD141">
        <v>0.25</v>
      </c>
      <c r="KE141" t="s">
        <v>424</v>
      </c>
      <c r="KF141" t="s">
        <v>425</v>
      </c>
      <c r="KG141" s="1">
        <v>41073</v>
      </c>
      <c r="KH141">
        <v>13</v>
      </c>
      <c r="KI141">
        <v>11177</v>
      </c>
      <c r="KJ141" t="s">
        <v>650</v>
      </c>
    </row>
    <row r="142" spans="1:296" x14ac:dyDescent="0.25">
      <c r="A142">
        <v>16485149</v>
      </c>
      <c r="B142">
        <v>141</v>
      </c>
      <c r="C142" t="s">
        <v>393</v>
      </c>
      <c r="D142" t="s">
        <v>394</v>
      </c>
      <c r="F142" t="str">
        <f>"07-2S-23-0000-0004-0070"</f>
        <v>07-2S-23-0000-0004-0070</v>
      </c>
      <c r="H142" t="str">
        <f>"PRICE BONNIE J &amp; DARYL B"</f>
        <v>PRICE BONNIE J &amp; DARYL B</v>
      </c>
      <c r="I142" t="str">
        <f>"575 WHOA LANE"</f>
        <v>575 WHOA LANE</v>
      </c>
      <c r="J142" t="str">
        <f>"BRYCEVILLE FL 32009"</f>
        <v>BRYCEVILLE FL 32009</v>
      </c>
      <c r="K142" t="str">
        <f>"575 WHOA LN"</f>
        <v>575 WHOA LN</v>
      </c>
      <c r="L142" t="str">
        <f>"BRYCEVILLE FL 32009"</f>
        <v>BRYCEVILLE FL 32009</v>
      </c>
      <c r="M142" t="str">
        <f>"PARCELS 4-7 &amp; 1-8 IN SEC 18 IN OR 1691/1092 2009 SEHI DW/MH"</f>
        <v>PARCELS 4-7 &amp; 1-8 IN SEC 18 IN OR 1691/1092 2009 SEHI DW/MH</v>
      </c>
      <c r="N142" t="str">
        <f>""</f>
        <v/>
      </c>
      <c r="O142" t="str">
        <f>"22512"</f>
        <v>22512</v>
      </c>
      <c r="P142" t="str">
        <f t="shared" si="45"/>
        <v>2017</v>
      </c>
      <c r="Q142" t="str">
        <f>""</f>
        <v/>
      </c>
      <c r="R142" t="str">
        <f>"Y"</f>
        <v>Y</v>
      </c>
      <c r="S142" t="str">
        <f>"3.64"</f>
        <v>3.64</v>
      </c>
      <c r="T142" t="str">
        <f>"570.64"</f>
        <v>570.64</v>
      </c>
      <c r="U142" t="str">
        <f>"76798.00"</f>
        <v>76798.00</v>
      </c>
      <c r="V142" t="str">
        <f>"76798.00"</f>
        <v>76798.00</v>
      </c>
      <c r="W142" t="str">
        <f t="shared" si="46"/>
        <v>2017</v>
      </c>
      <c r="X142" t="str">
        <f>"17.00"</f>
        <v>17.00</v>
      </c>
      <c r="Y142" t="str">
        <f>"619.76"</f>
        <v>619.76</v>
      </c>
      <c r="Z142" t="str">
        <f>"25000.00"</f>
        <v>25000.00</v>
      </c>
      <c r="AA142" t="str">
        <f>"51798.00"</f>
        <v>51798.00</v>
      </c>
      <c r="AB142" t="str">
        <f>"Residential"</f>
        <v>Residential</v>
      </c>
      <c r="AC142" t="str">
        <f t="shared" si="47"/>
        <v>0</v>
      </c>
      <c r="AD142" t="str">
        <f>"4"</f>
        <v>4</v>
      </c>
      <c r="AE142" t="str">
        <f>"WOOD (INCLUDE STEEL STUDS)"</f>
        <v>WOOD (INCLUDE STEEL STUDS)</v>
      </c>
      <c r="AF142" t="str">
        <f>"002"</f>
        <v>002</v>
      </c>
      <c r="AG142" t="str">
        <f t="shared" ref="AG142:AG161" si="49">"FL"</f>
        <v>FL</v>
      </c>
      <c r="AH142" t="str">
        <f>"158558.00"</f>
        <v>158558.00</v>
      </c>
      <c r="AI142" t="str">
        <f>"29120.00"</f>
        <v>29120.00</v>
      </c>
      <c r="AJ142" t="str">
        <f>"C55-001-038-9239-4"</f>
        <v>C55-001-038-9239-4</v>
      </c>
      <c r="AK142" t="str">
        <f>"3318"</f>
        <v>3318</v>
      </c>
      <c r="AL142">
        <v>1</v>
      </c>
      <c r="AM142">
        <v>168</v>
      </c>
      <c r="AN142">
        <v>649.15</v>
      </c>
      <c r="AQ142" t="s">
        <v>1842</v>
      </c>
      <c r="AR142" t="s">
        <v>1842</v>
      </c>
      <c r="AS142" t="s">
        <v>1842</v>
      </c>
      <c r="AU142" t="s">
        <v>396</v>
      </c>
      <c r="AV142">
        <v>2017</v>
      </c>
      <c r="AW142" t="str">
        <f>"07-2S-23-0000-0004-0070 "</f>
        <v xml:space="preserve">07-2S-23-0000-0004-0070 </v>
      </c>
      <c r="AX142">
        <v>575</v>
      </c>
      <c r="AZ142" t="s">
        <v>1843</v>
      </c>
      <c r="BA142" t="s">
        <v>653</v>
      </c>
      <c r="BD142" t="s">
        <v>553</v>
      </c>
      <c r="BE142" t="s">
        <v>393</v>
      </c>
      <c r="BF142">
        <v>32009</v>
      </c>
      <c r="BG142" t="s">
        <v>1844</v>
      </c>
      <c r="BH142" t="s">
        <v>555</v>
      </c>
      <c r="BI142">
        <v>-82.0351686938303</v>
      </c>
      <c r="BJ142">
        <v>30.3313150186097</v>
      </c>
      <c r="BK142" t="s">
        <v>1845</v>
      </c>
      <c r="BM142" t="s">
        <v>1846</v>
      </c>
      <c r="BN142" t="s">
        <v>558</v>
      </c>
      <c r="BO142">
        <v>32009</v>
      </c>
      <c r="BP142" t="s">
        <v>416</v>
      </c>
      <c r="BQ142">
        <v>200</v>
      </c>
      <c r="BR142" t="s">
        <v>405</v>
      </c>
      <c r="BS142">
        <v>1006</v>
      </c>
      <c r="BT142" t="s">
        <v>406</v>
      </c>
      <c r="BW142">
        <v>158558</v>
      </c>
      <c r="BX142" t="s">
        <v>407</v>
      </c>
      <c r="BY142" t="s">
        <v>408</v>
      </c>
      <c r="BZ142">
        <v>4</v>
      </c>
      <c r="CA142">
        <v>2009</v>
      </c>
      <c r="CC142">
        <v>1</v>
      </c>
      <c r="CD142">
        <v>2017</v>
      </c>
      <c r="CG142">
        <v>76798</v>
      </c>
      <c r="CH142">
        <v>2017</v>
      </c>
      <c r="CI142">
        <v>29120</v>
      </c>
      <c r="CJ142">
        <v>53457</v>
      </c>
      <c r="CK142">
        <v>82577</v>
      </c>
      <c r="CL142">
        <v>2017</v>
      </c>
      <c r="CM142">
        <v>570.64</v>
      </c>
      <c r="CN142" s="1">
        <v>40387</v>
      </c>
      <c r="CZ142" s="1">
        <v>40387</v>
      </c>
      <c r="DD142" t="s">
        <v>553</v>
      </c>
      <c r="DG142">
        <v>7</v>
      </c>
      <c r="DL142">
        <v>50504</v>
      </c>
      <c r="DM142" t="s">
        <v>1847</v>
      </c>
      <c r="DO142" t="s">
        <v>1848</v>
      </c>
      <c r="DP142">
        <v>0</v>
      </c>
      <c r="DQ142">
        <v>0</v>
      </c>
      <c r="DR142" t="s">
        <v>411</v>
      </c>
      <c r="DS142" t="b">
        <v>1</v>
      </c>
      <c r="DT142" t="s">
        <v>470</v>
      </c>
      <c r="DU142" t="s">
        <v>471</v>
      </c>
      <c r="DV142" t="s">
        <v>472</v>
      </c>
      <c r="DX142">
        <v>-9999</v>
      </c>
      <c r="DZ142" t="s">
        <v>447</v>
      </c>
      <c r="EA142" t="s">
        <v>448</v>
      </c>
      <c r="EB142" t="s">
        <v>1190</v>
      </c>
      <c r="EC142">
        <v>20101217</v>
      </c>
      <c r="ED142" t="s">
        <v>474</v>
      </c>
      <c r="EF142">
        <v>1057</v>
      </c>
      <c r="EG142">
        <v>1057</v>
      </c>
      <c r="EI142">
        <v>20160407</v>
      </c>
      <c r="EJ142">
        <v>0</v>
      </c>
      <c r="EK142">
        <v>0</v>
      </c>
      <c r="EP142" t="s">
        <v>421</v>
      </c>
      <c r="EQ142" t="s">
        <v>422</v>
      </c>
      <c r="ER142">
        <v>2</v>
      </c>
      <c r="ES142">
        <v>5</v>
      </c>
      <c r="ET142">
        <v>1258.74</v>
      </c>
      <c r="EU142">
        <v>75.44</v>
      </c>
      <c r="EV142">
        <v>1334.18</v>
      </c>
      <c r="EW142" s="2">
        <v>43222</v>
      </c>
      <c r="EX142" s="1">
        <v>42879</v>
      </c>
      <c r="EY142">
        <v>2016</v>
      </c>
      <c r="EZ142">
        <v>629.37</v>
      </c>
      <c r="FA142" t="s">
        <v>1849</v>
      </c>
      <c r="FB142">
        <v>0.25</v>
      </c>
      <c r="FC142" t="s">
        <v>424</v>
      </c>
      <c r="FD142" t="s">
        <v>454</v>
      </c>
      <c r="FF142">
        <v>12</v>
      </c>
      <c r="FG142">
        <v>7400234</v>
      </c>
      <c r="FH142" t="s">
        <v>426</v>
      </c>
      <c r="FJ142" s="1">
        <v>42879</v>
      </c>
      <c r="FK142">
        <v>2016</v>
      </c>
      <c r="FL142">
        <v>629.37</v>
      </c>
      <c r="FM142" t="s">
        <v>1849</v>
      </c>
      <c r="FN142">
        <v>0.25</v>
      </c>
      <c r="FO142" t="s">
        <v>424</v>
      </c>
      <c r="FP142" t="s">
        <v>454</v>
      </c>
      <c r="FR142">
        <v>12</v>
      </c>
      <c r="FS142">
        <v>7551435</v>
      </c>
      <c r="FT142" t="s">
        <v>1850</v>
      </c>
      <c r="FV142" s="1">
        <v>42515</v>
      </c>
      <c r="FW142">
        <v>2015</v>
      </c>
      <c r="FX142">
        <v>638.16999999999996</v>
      </c>
      <c r="FY142" t="s">
        <v>1851</v>
      </c>
      <c r="FZ142">
        <v>0.25</v>
      </c>
      <c r="GA142" t="s">
        <v>424</v>
      </c>
      <c r="GB142" t="s">
        <v>425</v>
      </c>
      <c r="GC142" s="1">
        <v>43153</v>
      </c>
      <c r="GD142">
        <v>21</v>
      </c>
      <c r="GE142">
        <v>7045074</v>
      </c>
      <c r="GF142" t="s">
        <v>580</v>
      </c>
      <c r="GH142" s="1">
        <v>42515</v>
      </c>
      <c r="GI142">
        <v>2015</v>
      </c>
      <c r="GJ142">
        <v>638.16999999999996</v>
      </c>
      <c r="GK142" t="s">
        <v>1851</v>
      </c>
      <c r="GL142">
        <v>0.25</v>
      </c>
      <c r="GM142" t="s">
        <v>424</v>
      </c>
      <c r="GN142" t="s">
        <v>425</v>
      </c>
      <c r="GP142">
        <v>22</v>
      </c>
      <c r="GQ142">
        <v>6429412</v>
      </c>
      <c r="GR142" t="s">
        <v>1852</v>
      </c>
      <c r="GT142" s="1">
        <v>42151</v>
      </c>
      <c r="GU142">
        <v>2014</v>
      </c>
      <c r="GV142">
        <v>637.38</v>
      </c>
      <c r="GW142" t="s">
        <v>1853</v>
      </c>
      <c r="GX142">
        <v>0.25</v>
      </c>
      <c r="GY142" t="s">
        <v>424</v>
      </c>
      <c r="GZ142" t="s">
        <v>425</v>
      </c>
      <c r="HA142" s="1">
        <v>42793</v>
      </c>
      <c r="HB142">
        <v>21</v>
      </c>
      <c r="HC142">
        <v>4975594</v>
      </c>
      <c r="HD142" t="s">
        <v>457</v>
      </c>
      <c r="HF142" s="1">
        <v>42151</v>
      </c>
      <c r="HG142">
        <v>2014</v>
      </c>
      <c r="HH142">
        <v>637.38</v>
      </c>
      <c r="HI142" t="s">
        <v>1853</v>
      </c>
      <c r="HJ142">
        <v>0.25</v>
      </c>
      <c r="HK142" t="s">
        <v>424</v>
      </c>
      <c r="HL142" t="s">
        <v>425</v>
      </c>
      <c r="HN142">
        <v>22</v>
      </c>
      <c r="HO142">
        <v>6209682</v>
      </c>
      <c r="HP142" t="s">
        <v>1854</v>
      </c>
      <c r="HR142" s="1">
        <v>41052</v>
      </c>
      <c r="HS142">
        <v>2011</v>
      </c>
      <c r="HT142">
        <v>738.86</v>
      </c>
      <c r="HU142" t="s">
        <v>1855</v>
      </c>
      <c r="HV142">
        <v>6</v>
      </c>
      <c r="HW142" t="s">
        <v>424</v>
      </c>
      <c r="HX142" t="s">
        <v>425</v>
      </c>
      <c r="HY142" s="1">
        <v>41333</v>
      </c>
      <c r="HZ142">
        <v>9</v>
      </c>
      <c r="IA142">
        <v>12407</v>
      </c>
      <c r="IB142" t="s">
        <v>838</v>
      </c>
    </row>
    <row r="143" spans="1:296" x14ac:dyDescent="0.25">
      <c r="A143">
        <v>16485150</v>
      </c>
      <c r="B143">
        <v>142</v>
      </c>
      <c r="C143" t="s">
        <v>393</v>
      </c>
      <c r="D143" t="s">
        <v>394</v>
      </c>
      <c r="F143" t="str">
        <f>"08-2S-23-0000-0002-0050"</f>
        <v>08-2S-23-0000-0002-0050</v>
      </c>
      <c r="H143" t="str">
        <f>"TRAVIS RICHARD A"</f>
        <v>TRAVIS RICHARD A</v>
      </c>
      <c r="I143" t="str">
        <f>"8080 GREAT VALLEY TR"</f>
        <v>8080 GREAT VALLEY TR</v>
      </c>
      <c r="J143" t="str">
        <f>"JACKSONVILLE FL 32244"</f>
        <v>JACKSONVILLE FL 32244</v>
      </c>
      <c r="K143" t="str">
        <f>"HORSESHOE CIR"</f>
        <v>HORSESHOE CIR</v>
      </c>
      <c r="L143" t="str">
        <f>"BRYCEVILLE FL 32009"</f>
        <v>BRYCEVILLE FL 32009</v>
      </c>
      <c r="M143" t="str">
        <f>"PT SEC 7-2S-23E &amp; 8-2S-23E IN OR 1991/653"</f>
        <v>PT SEC 7-2S-23E &amp; 8-2S-23E IN OR 1991/653</v>
      </c>
      <c r="N143" t="str">
        <f>""</f>
        <v/>
      </c>
      <c r="O143" t="str">
        <f>"23162"</f>
        <v>23162</v>
      </c>
      <c r="P143" t="str">
        <f t="shared" si="45"/>
        <v>2017</v>
      </c>
      <c r="Q143" t="str">
        <f>""</f>
        <v/>
      </c>
      <c r="R143" t="str">
        <f>"N"</f>
        <v>N</v>
      </c>
      <c r="S143" t="str">
        <f>"12.70"</f>
        <v>12.70</v>
      </c>
      <c r="T143" t="str">
        <f>"88.40"</f>
        <v>88.40</v>
      </c>
      <c r="U143" t="str">
        <f>"5839.00"</f>
        <v>5839.00</v>
      </c>
      <c r="V143" t="str">
        <f>"5839.00"</f>
        <v>5839.00</v>
      </c>
      <c r="W143" t="str">
        <f t="shared" si="46"/>
        <v>2017</v>
      </c>
      <c r="X143" t="str">
        <f>""</f>
        <v/>
      </c>
      <c r="Y143" t="str">
        <f>"123.05"</f>
        <v>123.05</v>
      </c>
      <c r="Z143" t="str">
        <f>""</f>
        <v/>
      </c>
      <c r="AA143" t="str">
        <f>"5839.00"</f>
        <v>5839.00</v>
      </c>
      <c r="AB143" t="str">
        <f>"Agricultural"</f>
        <v>Agricultural</v>
      </c>
      <c r="AC143" t="str">
        <f t="shared" si="47"/>
        <v>0</v>
      </c>
      <c r="AD143" t="str">
        <f>""</f>
        <v/>
      </c>
      <c r="AE143" t="str">
        <f>""</f>
        <v/>
      </c>
      <c r="AF143" t="str">
        <f>"056"</f>
        <v>056</v>
      </c>
      <c r="AG143" t="str">
        <f t="shared" si="49"/>
        <v>FL</v>
      </c>
      <c r="AH143" t="str">
        <f>"552994.00"</f>
        <v>552994.00</v>
      </c>
      <c r="AI143" t="str">
        <f>"5839.00"</f>
        <v>5839.00</v>
      </c>
      <c r="AJ143" t="str">
        <f>"C55-001-073-9583-2"</f>
        <v>C55-001-073-9583-2</v>
      </c>
      <c r="AK143" t="str">
        <f>"3325"</f>
        <v>3325</v>
      </c>
      <c r="AL143">
        <v>1</v>
      </c>
      <c r="AM143">
        <v>169</v>
      </c>
      <c r="AN143">
        <v>127.6</v>
      </c>
      <c r="AQ143" t="s">
        <v>1856</v>
      </c>
      <c r="AR143" t="s">
        <v>1856</v>
      </c>
      <c r="AS143" t="s">
        <v>1856</v>
      </c>
      <c r="AU143" t="s">
        <v>396</v>
      </c>
      <c r="AV143">
        <v>2017</v>
      </c>
      <c r="AW143" t="str">
        <f>"08-2S-23-0000-0002-0050 "</f>
        <v xml:space="preserve">08-2S-23-0000-0002-0050 </v>
      </c>
      <c r="AZ143" t="s">
        <v>1798</v>
      </c>
      <c r="BA143" t="s">
        <v>1799</v>
      </c>
      <c r="BD143" t="s">
        <v>553</v>
      </c>
      <c r="BE143" t="s">
        <v>393</v>
      </c>
      <c r="BF143">
        <v>32009</v>
      </c>
      <c r="BG143" t="s">
        <v>1800</v>
      </c>
      <c r="BH143" t="s">
        <v>555</v>
      </c>
      <c r="BI143">
        <v>-82.030605700960294</v>
      </c>
      <c r="BJ143">
        <v>30.340683204311301</v>
      </c>
      <c r="BK143" t="s">
        <v>1857</v>
      </c>
      <c r="BM143" t="s">
        <v>1858</v>
      </c>
      <c r="BN143" t="s">
        <v>548</v>
      </c>
      <c r="BO143">
        <v>32244</v>
      </c>
      <c r="BP143" t="s">
        <v>404</v>
      </c>
      <c r="BQ143">
        <v>5600</v>
      </c>
      <c r="BR143" t="s">
        <v>417</v>
      </c>
      <c r="BS143">
        <v>7009</v>
      </c>
      <c r="BT143" t="s">
        <v>418</v>
      </c>
      <c r="BW143">
        <v>552994</v>
      </c>
      <c r="BX143" t="s">
        <v>407</v>
      </c>
      <c r="CD143">
        <v>2017</v>
      </c>
      <c r="CG143">
        <v>5839</v>
      </c>
      <c r="CH143">
        <v>2017</v>
      </c>
      <c r="CI143">
        <v>5839</v>
      </c>
      <c r="CJ143">
        <v>63983</v>
      </c>
      <c r="CK143">
        <v>69822</v>
      </c>
      <c r="CL143">
        <v>2017</v>
      </c>
      <c r="CM143">
        <v>88.4</v>
      </c>
      <c r="CN143" s="1">
        <v>42201</v>
      </c>
      <c r="CZ143" s="1">
        <v>42201</v>
      </c>
      <c r="DD143" t="s">
        <v>553</v>
      </c>
      <c r="DG143">
        <v>8</v>
      </c>
      <c r="DL143">
        <v>50504</v>
      </c>
      <c r="DM143" t="s">
        <v>1859</v>
      </c>
      <c r="DO143" t="s">
        <v>1860</v>
      </c>
      <c r="DP143">
        <v>0</v>
      </c>
      <c r="DQ143">
        <v>0</v>
      </c>
      <c r="DR143" t="s">
        <v>411</v>
      </c>
    </row>
    <row r="144" spans="1:296" x14ac:dyDescent="0.25">
      <c r="A144">
        <v>16485151</v>
      </c>
      <c r="B144">
        <v>143</v>
      </c>
      <c r="C144" t="s">
        <v>393</v>
      </c>
      <c r="D144" t="s">
        <v>394</v>
      </c>
      <c r="F144" t="str">
        <f>"15-2S-23-0000-0001-0020"</f>
        <v>15-2S-23-0000-0001-0020</v>
      </c>
      <c r="H144" t="str">
        <f>"TOMLIN DANIEL S &amp; DONNA M"</f>
        <v>TOMLIN DANIEL S &amp; DONNA M</v>
      </c>
      <c r="I144" t="str">
        <f>"3525 COUNTY ROAD 121"</f>
        <v>3525 COUNTY ROAD 121</v>
      </c>
      <c r="J144" t="str">
        <f>"BALDWIN FL 32234"</f>
        <v>BALDWIN FL 32234</v>
      </c>
      <c r="K144" t="str">
        <f>"WOODCHUCK PL"</f>
        <v>WOODCHUCK PL</v>
      </c>
      <c r="L144" t="str">
        <f>"BALDWIN FL 32234"</f>
        <v>BALDWIN FL 32234</v>
      </c>
      <c r="M144" t="str">
        <f>"PT SW1/4 OF SEC 15-2S-23E &amp; PT SE1/4 OF SEC 16-2S-23E IN OR 1040/1954 BEING ONLY PT LYING E OF OR 1047/1804"</f>
        <v>PT SW1/4 OF SEC 15-2S-23E &amp; PT SE1/4 OF SEC 16-2S-23E IN OR 1040/1954 BEING ONLY PT LYING E OF OR 1047/1804</v>
      </c>
      <c r="N144" t="str">
        <f>""</f>
        <v/>
      </c>
      <c r="O144" t="str">
        <f>"30627"</f>
        <v>30627</v>
      </c>
      <c r="P144" t="str">
        <f t="shared" si="45"/>
        <v>2017</v>
      </c>
      <c r="Q144" t="str">
        <f>""</f>
        <v/>
      </c>
      <c r="R144" t="str">
        <f>"N"</f>
        <v>N</v>
      </c>
      <c r="S144" t="str">
        <f>"7.60"</f>
        <v>7.60</v>
      </c>
      <c r="T144" t="str">
        <f>"262.61"</f>
        <v>262.61</v>
      </c>
      <c r="U144" t="str">
        <f>"17346.00"</f>
        <v>17346.00</v>
      </c>
      <c r="V144" t="str">
        <f>"17346.00"</f>
        <v>17346.00</v>
      </c>
      <c r="W144" t="str">
        <f t="shared" si="46"/>
        <v>2017</v>
      </c>
      <c r="X144" t="str">
        <f>"15.50"</f>
        <v>15.50</v>
      </c>
      <c r="Y144" t="str">
        <f>"302.49"</f>
        <v>302.49</v>
      </c>
      <c r="Z144" t="str">
        <f>""</f>
        <v/>
      </c>
      <c r="AA144" t="str">
        <f>"17346.00"</f>
        <v>17346.00</v>
      </c>
      <c r="AB144" t="str">
        <f>"Agricultural"</f>
        <v>Agricultural</v>
      </c>
      <c r="AC144" t="str">
        <f t="shared" si="47"/>
        <v>0</v>
      </c>
      <c r="AD144" t="str">
        <f>""</f>
        <v/>
      </c>
      <c r="AE144" t="str">
        <f>""</f>
        <v/>
      </c>
      <c r="AF144" t="str">
        <f>"055"</f>
        <v>055</v>
      </c>
      <c r="AG144" t="str">
        <f t="shared" si="49"/>
        <v>FL</v>
      </c>
      <c r="AH144" t="str">
        <f>"331056.00"</f>
        <v>331056.00</v>
      </c>
      <c r="AI144" t="str">
        <f>"17346.00"</f>
        <v>17346.00</v>
      </c>
      <c r="AJ144" t="str">
        <f>"C55-000-587-0580-7"</f>
        <v>C55-000-587-0580-7</v>
      </c>
      <c r="AK144" t="str">
        <f>"3333"</f>
        <v>3333</v>
      </c>
      <c r="AL144">
        <v>1</v>
      </c>
      <c r="AM144">
        <v>170</v>
      </c>
      <c r="AN144">
        <v>316.01</v>
      </c>
      <c r="AQ144" t="s">
        <v>1861</v>
      </c>
      <c r="AR144" t="s">
        <v>1861</v>
      </c>
      <c r="AS144" t="s">
        <v>1861</v>
      </c>
      <c r="AU144" t="s">
        <v>396</v>
      </c>
      <c r="AV144">
        <v>2017</v>
      </c>
      <c r="AW144" t="str">
        <f>"15-2S-23-0000-0001-0020 "</f>
        <v xml:space="preserve">15-2S-23-0000-0001-0020 </v>
      </c>
      <c r="AZ144" t="s">
        <v>1862</v>
      </c>
      <c r="BA144" t="s">
        <v>641</v>
      </c>
      <c r="BD144" t="s">
        <v>1863</v>
      </c>
      <c r="BE144" t="s">
        <v>393</v>
      </c>
      <c r="BF144">
        <v>32234</v>
      </c>
      <c r="BG144" t="s">
        <v>1864</v>
      </c>
      <c r="BH144" t="s">
        <v>1865</v>
      </c>
      <c r="BI144">
        <v>-82.001717912486001</v>
      </c>
      <c r="BJ144">
        <v>30.317845973023999</v>
      </c>
      <c r="BK144" t="s">
        <v>1866</v>
      </c>
      <c r="BM144" t="s">
        <v>1867</v>
      </c>
      <c r="BN144" t="s">
        <v>1006</v>
      </c>
      <c r="BO144">
        <v>32234</v>
      </c>
      <c r="BP144" t="s">
        <v>404</v>
      </c>
      <c r="BQ144">
        <v>5500</v>
      </c>
      <c r="BR144" t="s">
        <v>1353</v>
      </c>
      <c r="BS144">
        <v>7009</v>
      </c>
      <c r="BT144" t="s">
        <v>418</v>
      </c>
      <c r="BW144">
        <v>67953</v>
      </c>
      <c r="BX144" t="s">
        <v>407</v>
      </c>
      <c r="BY144" t="s">
        <v>408</v>
      </c>
      <c r="CD144">
        <v>2017</v>
      </c>
      <c r="CG144">
        <v>17346</v>
      </c>
      <c r="CH144">
        <v>2017</v>
      </c>
      <c r="CI144">
        <v>17346</v>
      </c>
      <c r="CJ144">
        <v>28254</v>
      </c>
      <c r="CK144">
        <v>45600</v>
      </c>
      <c r="CL144">
        <v>2017</v>
      </c>
      <c r="CM144">
        <v>262.61</v>
      </c>
      <c r="CN144" s="1">
        <v>37316</v>
      </c>
      <c r="CZ144" s="1">
        <v>37316</v>
      </c>
      <c r="DD144" t="s">
        <v>1863</v>
      </c>
      <c r="DG144">
        <v>15</v>
      </c>
      <c r="DM144" t="s">
        <v>1868</v>
      </c>
      <c r="DO144" t="s">
        <v>1869</v>
      </c>
      <c r="DP144">
        <v>0</v>
      </c>
      <c r="DQ144">
        <v>0</v>
      </c>
      <c r="DR144" t="s">
        <v>411</v>
      </c>
      <c r="EP144" t="s">
        <v>421</v>
      </c>
      <c r="EQ144" t="s">
        <v>422</v>
      </c>
      <c r="ER144">
        <v>0</v>
      </c>
      <c r="ES144">
        <v>3</v>
      </c>
      <c r="ET144">
        <v>0</v>
      </c>
      <c r="EU144">
        <v>0</v>
      </c>
      <c r="EV144">
        <v>0</v>
      </c>
      <c r="EW144" s="2">
        <v>43222</v>
      </c>
      <c r="EX144" s="1">
        <v>41787</v>
      </c>
      <c r="EY144">
        <v>2013</v>
      </c>
      <c r="EZ144">
        <v>31.07</v>
      </c>
      <c r="FA144" t="s">
        <v>1870</v>
      </c>
      <c r="FB144">
        <v>18</v>
      </c>
      <c r="FC144" t="s">
        <v>424</v>
      </c>
      <c r="FD144" t="s">
        <v>425</v>
      </c>
      <c r="FE144" s="1">
        <v>41880</v>
      </c>
      <c r="FF144">
        <v>3</v>
      </c>
      <c r="FG144">
        <v>3572234</v>
      </c>
      <c r="FH144" t="s">
        <v>1871</v>
      </c>
      <c r="FJ144" s="1">
        <v>41052</v>
      </c>
      <c r="FK144">
        <v>2011</v>
      </c>
      <c r="FL144">
        <v>21.4</v>
      </c>
      <c r="FM144" t="s">
        <v>1872</v>
      </c>
      <c r="FN144">
        <v>18</v>
      </c>
      <c r="FO144" t="s">
        <v>424</v>
      </c>
      <c r="FP144" t="s">
        <v>425</v>
      </c>
      <c r="FQ144" s="1">
        <v>41320</v>
      </c>
      <c r="FR144">
        <v>9</v>
      </c>
      <c r="FS144">
        <v>10125</v>
      </c>
      <c r="FT144" t="s">
        <v>440</v>
      </c>
      <c r="FV144" s="1">
        <v>40688</v>
      </c>
      <c r="FW144">
        <v>2010</v>
      </c>
      <c r="FX144">
        <v>19.41</v>
      </c>
      <c r="FY144" t="s">
        <v>1873</v>
      </c>
      <c r="FZ144">
        <v>11.5</v>
      </c>
      <c r="GA144" t="s">
        <v>424</v>
      </c>
      <c r="GB144" t="s">
        <v>425</v>
      </c>
      <c r="GC144" s="1">
        <v>41320</v>
      </c>
      <c r="GD144">
        <v>21</v>
      </c>
      <c r="GE144">
        <v>375</v>
      </c>
      <c r="GF144" t="s">
        <v>776</v>
      </c>
    </row>
    <row r="145" spans="1:296" x14ac:dyDescent="0.25">
      <c r="A145">
        <v>16485152</v>
      </c>
      <c r="B145">
        <v>144</v>
      </c>
      <c r="C145" t="s">
        <v>393</v>
      </c>
      <c r="D145" t="s">
        <v>394</v>
      </c>
      <c r="F145" t="str">
        <f>"16-2S-23-0000-0002-0020"</f>
        <v>16-2S-23-0000-0002-0020</v>
      </c>
      <c r="H145" t="str">
        <f>"STEWART MATTHEW &amp; FELICIA"</f>
        <v>STEWART MATTHEW &amp; FELICIA</v>
      </c>
      <c r="I145" t="str">
        <f>"3470 CR 121"</f>
        <v>3470 CR 121</v>
      </c>
      <c r="J145" t="str">
        <f>"BALDWIN FL 32234"</f>
        <v>BALDWIN FL 32234</v>
      </c>
      <c r="K145" t="str">
        <f>"3470 CR 121"</f>
        <v>3470 CR 121</v>
      </c>
      <c r="L145" t="str">
        <f t="shared" ref="L145:L153" si="50">"BRYCEVILLE FL 32009"</f>
        <v>BRYCEVILLE FL 32009</v>
      </c>
      <c r="M145" t="str">
        <f>"PT OF S1/2 OF S1/2 OF GOVT LOT 4 OR 1364/1881 (EX 2-3)"</f>
        <v>PT OF S1/2 OF S1/2 OF GOVT LOT 4 OR 1364/1881 (EX 2-3)</v>
      </c>
      <c r="N145" t="str">
        <f>""</f>
        <v/>
      </c>
      <c r="O145" t="str">
        <f>"31418"</f>
        <v>31418</v>
      </c>
      <c r="P145" t="str">
        <f t="shared" si="45"/>
        <v>2017</v>
      </c>
      <c r="Q145" t="str">
        <f>""</f>
        <v/>
      </c>
      <c r="R145" t="str">
        <f>"N"</f>
        <v>N</v>
      </c>
      <c r="S145" t="str">
        <f>"4.00"</f>
        <v>4.00</v>
      </c>
      <c r="T145" t="str">
        <f>"658.13"</f>
        <v>658.13</v>
      </c>
      <c r="U145" t="str">
        <f>"43473.00"</f>
        <v>43473.00</v>
      </c>
      <c r="V145" t="str">
        <f>"43473.00"</f>
        <v>43473.00</v>
      </c>
      <c r="W145" t="str">
        <f t="shared" si="46"/>
        <v>2017</v>
      </c>
      <c r="X145" t="str">
        <f>"22.11"</f>
        <v>22.11</v>
      </c>
      <c r="Y145" t="str">
        <f>"709.87"</f>
        <v>709.87</v>
      </c>
      <c r="Z145" t="str">
        <f>""</f>
        <v/>
      </c>
      <c r="AA145" t="str">
        <f>"43473.00"</f>
        <v>43473.00</v>
      </c>
      <c r="AB145" t="str">
        <f>"Residential"</f>
        <v>Residential</v>
      </c>
      <c r="AC145" t="str">
        <f t="shared" si="47"/>
        <v>0</v>
      </c>
      <c r="AD145" t="str">
        <f>""</f>
        <v/>
      </c>
      <c r="AE145" t="str">
        <f>""</f>
        <v/>
      </c>
      <c r="AF145" t="str">
        <f>"001"</f>
        <v>001</v>
      </c>
      <c r="AG145" t="str">
        <f t="shared" si="49"/>
        <v>FL</v>
      </c>
      <c r="AH145" t="str">
        <f>"174240.00"</f>
        <v>174240.00</v>
      </c>
      <c r="AI145" t="str">
        <f>"32000.00"</f>
        <v>32000.00</v>
      </c>
      <c r="AJ145" t="str">
        <f>"C55-000-587-1157-3"</f>
        <v>C55-000-587-1157-3</v>
      </c>
      <c r="AK145" t="str">
        <f>"3343"</f>
        <v>3343</v>
      </c>
      <c r="AL145">
        <v>1</v>
      </c>
      <c r="AM145">
        <v>171</v>
      </c>
      <c r="AN145">
        <v>743.76</v>
      </c>
      <c r="AQ145" t="s">
        <v>1874</v>
      </c>
      <c r="AR145" t="s">
        <v>1874</v>
      </c>
      <c r="AS145" t="s">
        <v>1874</v>
      </c>
      <c r="AU145" t="s">
        <v>396</v>
      </c>
      <c r="AV145">
        <v>2017</v>
      </c>
      <c r="AW145" t="str">
        <f>"16-2S-23-0000-0002-0020 "</f>
        <v xml:space="preserve">16-2S-23-0000-0002-0020 </v>
      </c>
      <c r="AX145">
        <v>3470</v>
      </c>
      <c r="AZ145" t="s">
        <v>611</v>
      </c>
      <c r="BD145" t="s">
        <v>553</v>
      </c>
      <c r="BE145" t="s">
        <v>393</v>
      </c>
      <c r="BF145">
        <v>32009</v>
      </c>
      <c r="BG145" t="s">
        <v>1875</v>
      </c>
      <c r="BH145" t="s">
        <v>555</v>
      </c>
      <c r="BI145">
        <v>-82.009818239713894</v>
      </c>
      <c r="BJ145">
        <v>30.317650973599299</v>
      </c>
      <c r="BK145" t="s">
        <v>1876</v>
      </c>
      <c r="BL145" t="s">
        <v>1877</v>
      </c>
      <c r="BM145" t="s">
        <v>1878</v>
      </c>
      <c r="BN145" t="s">
        <v>1006</v>
      </c>
      <c r="BO145">
        <v>32234</v>
      </c>
      <c r="BP145" t="s">
        <v>416</v>
      </c>
      <c r="BQ145">
        <v>100</v>
      </c>
      <c r="BR145" t="s">
        <v>514</v>
      </c>
      <c r="BS145">
        <v>1001</v>
      </c>
      <c r="BT145" t="s">
        <v>515</v>
      </c>
      <c r="BW145">
        <v>174240</v>
      </c>
      <c r="BX145" t="s">
        <v>407</v>
      </c>
      <c r="BY145" t="s">
        <v>408</v>
      </c>
      <c r="CD145">
        <v>2017</v>
      </c>
      <c r="CE145">
        <v>32000</v>
      </c>
      <c r="CF145">
        <v>11473</v>
      </c>
      <c r="CG145">
        <v>43473</v>
      </c>
      <c r="CH145">
        <v>2017</v>
      </c>
      <c r="CI145">
        <v>32000</v>
      </c>
      <c r="CJ145">
        <v>11473</v>
      </c>
      <c r="CK145">
        <v>43473</v>
      </c>
      <c r="CL145">
        <v>2017</v>
      </c>
      <c r="CM145">
        <v>658.13</v>
      </c>
      <c r="CN145" s="1">
        <v>38660</v>
      </c>
      <c r="CO145">
        <v>45000</v>
      </c>
      <c r="CV145">
        <v>0</v>
      </c>
      <c r="CZ145" s="1">
        <v>38660</v>
      </c>
      <c r="DA145">
        <v>0</v>
      </c>
      <c r="DD145" t="s">
        <v>553</v>
      </c>
      <c r="DF145">
        <v>4</v>
      </c>
      <c r="DG145">
        <v>16</v>
      </c>
      <c r="DL145">
        <v>50504</v>
      </c>
      <c r="DM145" t="s">
        <v>1868</v>
      </c>
      <c r="DO145" t="s">
        <v>1879</v>
      </c>
      <c r="DP145">
        <v>0</v>
      </c>
      <c r="DQ145">
        <v>0</v>
      </c>
      <c r="DR145" t="s">
        <v>411</v>
      </c>
      <c r="DS145" t="b">
        <v>1</v>
      </c>
      <c r="DT145" t="s">
        <v>470</v>
      </c>
      <c r="DU145" t="s">
        <v>471</v>
      </c>
      <c r="DV145" t="s">
        <v>472</v>
      </c>
      <c r="DX145">
        <v>-9999</v>
      </c>
      <c r="DZ145" t="s">
        <v>447</v>
      </c>
      <c r="EA145" t="s">
        <v>448</v>
      </c>
      <c r="EB145" t="s">
        <v>1190</v>
      </c>
      <c r="EC145">
        <v>20101217</v>
      </c>
      <c r="ED145" t="s">
        <v>474</v>
      </c>
      <c r="EF145">
        <v>714.3</v>
      </c>
      <c r="EG145">
        <v>714.3</v>
      </c>
      <c r="EI145">
        <v>20160407</v>
      </c>
      <c r="EJ145">
        <v>0</v>
      </c>
      <c r="EK145">
        <v>0</v>
      </c>
      <c r="EP145" t="s">
        <v>421</v>
      </c>
      <c r="EQ145" t="s">
        <v>422</v>
      </c>
      <c r="ER145">
        <v>2</v>
      </c>
      <c r="ES145">
        <v>8</v>
      </c>
      <c r="ET145">
        <v>1421.1</v>
      </c>
      <c r="EU145">
        <v>83.56</v>
      </c>
      <c r="EV145">
        <v>1504.66</v>
      </c>
      <c r="EW145" s="2">
        <v>43222</v>
      </c>
      <c r="EX145" s="1">
        <v>42879</v>
      </c>
      <c r="EY145">
        <v>2016</v>
      </c>
      <c r="EZ145">
        <v>710.55</v>
      </c>
      <c r="FA145" t="s">
        <v>1880</v>
      </c>
      <c r="FB145">
        <v>0.25</v>
      </c>
      <c r="FC145" t="s">
        <v>424</v>
      </c>
      <c r="FD145" t="s">
        <v>454</v>
      </c>
      <c r="FF145">
        <v>12</v>
      </c>
      <c r="FG145">
        <v>2851116</v>
      </c>
      <c r="FH145" t="s">
        <v>480</v>
      </c>
      <c r="FJ145" s="1">
        <v>42879</v>
      </c>
      <c r="FK145">
        <v>2016</v>
      </c>
      <c r="FL145">
        <v>710.55</v>
      </c>
      <c r="FM145" t="s">
        <v>1880</v>
      </c>
      <c r="FN145">
        <v>0.25</v>
      </c>
      <c r="FO145" t="s">
        <v>424</v>
      </c>
      <c r="FP145" t="s">
        <v>454</v>
      </c>
      <c r="FR145">
        <v>12</v>
      </c>
      <c r="FS145">
        <v>5754148</v>
      </c>
      <c r="FT145" t="s">
        <v>1881</v>
      </c>
      <c r="FV145" s="1">
        <v>42515</v>
      </c>
      <c r="FW145">
        <v>2015</v>
      </c>
      <c r="FX145">
        <v>725.5</v>
      </c>
      <c r="FY145" t="s">
        <v>1882</v>
      </c>
      <c r="FZ145">
        <v>0.25</v>
      </c>
      <c r="GA145" t="s">
        <v>424</v>
      </c>
      <c r="GB145" t="s">
        <v>425</v>
      </c>
      <c r="GC145" s="1">
        <v>43189</v>
      </c>
      <c r="GD145">
        <v>22</v>
      </c>
      <c r="GE145">
        <v>2851116</v>
      </c>
      <c r="GF145" t="s">
        <v>480</v>
      </c>
      <c r="GH145" s="1">
        <v>42515</v>
      </c>
      <c r="GI145">
        <v>2015</v>
      </c>
      <c r="GJ145">
        <v>725.5</v>
      </c>
      <c r="GK145" t="s">
        <v>1882</v>
      </c>
      <c r="GL145">
        <v>0.25</v>
      </c>
      <c r="GM145" t="s">
        <v>424</v>
      </c>
      <c r="GN145" t="s">
        <v>425</v>
      </c>
      <c r="GP145">
        <v>22</v>
      </c>
      <c r="GQ145">
        <v>5030967</v>
      </c>
      <c r="GR145" t="s">
        <v>1883</v>
      </c>
      <c r="GT145" s="1">
        <v>42151</v>
      </c>
      <c r="GU145">
        <v>2014</v>
      </c>
      <c r="GV145">
        <v>701.68</v>
      </c>
      <c r="GW145" t="s">
        <v>1884</v>
      </c>
      <c r="GX145">
        <v>0.25</v>
      </c>
      <c r="GY145" t="s">
        <v>424</v>
      </c>
      <c r="GZ145" t="s">
        <v>425</v>
      </c>
      <c r="HA145" s="1">
        <v>42825</v>
      </c>
      <c r="HB145">
        <v>22</v>
      </c>
      <c r="HC145">
        <v>2851116</v>
      </c>
      <c r="HD145" t="s">
        <v>480</v>
      </c>
      <c r="HF145" s="1">
        <v>42151</v>
      </c>
      <c r="HG145">
        <v>2014</v>
      </c>
      <c r="HH145">
        <v>701.68</v>
      </c>
      <c r="HI145" t="s">
        <v>1884</v>
      </c>
      <c r="HJ145">
        <v>0.25</v>
      </c>
      <c r="HK145" t="s">
        <v>424</v>
      </c>
      <c r="HL145" t="s">
        <v>425</v>
      </c>
      <c r="HN145">
        <v>22</v>
      </c>
      <c r="HO145">
        <v>5427602</v>
      </c>
      <c r="HP145" t="s">
        <v>1885</v>
      </c>
      <c r="HR145" s="1">
        <v>41787</v>
      </c>
      <c r="HS145">
        <v>2013</v>
      </c>
      <c r="HT145">
        <v>674.97</v>
      </c>
      <c r="HU145" t="s">
        <v>1886</v>
      </c>
      <c r="HV145">
        <v>3</v>
      </c>
      <c r="HW145" t="s">
        <v>424</v>
      </c>
      <c r="HX145" t="s">
        <v>425</v>
      </c>
      <c r="HY145" s="1">
        <v>42478</v>
      </c>
      <c r="HZ145">
        <v>23</v>
      </c>
      <c r="IA145">
        <v>116</v>
      </c>
      <c r="IB145" t="s">
        <v>509</v>
      </c>
      <c r="ID145" s="1">
        <v>41423</v>
      </c>
      <c r="IE145">
        <v>2012</v>
      </c>
      <c r="IF145">
        <v>732.17</v>
      </c>
      <c r="IG145" t="s">
        <v>1887</v>
      </c>
      <c r="IH145">
        <v>4.5</v>
      </c>
      <c r="II145" t="s">
        <v>424</v>
      </c>
      <c r="IJ145" t="s">
        <v>425</v>
      </c>
      <c r="IK145" s="1">
        <v>42094</v>
      </c>
      <c r="IL145">
        <v>22</v>
      </c>
      <c r="IM145">
        <v>116</v>
      </c>
      <c r="IN145" t="s">
        <v>509</v>
      </c>
      <c r="IP145" s="1">
        <v>41052</v>
      </c>
      <c r="IQ145">
        <v>2011</v>
      </c>
      <c r="IR145">
        <v>843.19</v>
      </c>
      <c r="IS145" t="s">
        <v>1888</v>
      </c>
      <c r="IT145">
        <v>6</v>
      </c>
      <c r="IU145" t="s">
        <v>424</v>
      </c>
      <c r="IV145" t="s">
        <v>425</v>
      </c>
      <c r="IW145" s="1">
        <v>41719</v>
      </c>
      <c r="IX145">
        <v>22</v>
      </c>
      <c r="IY145">
        <v>10125</v>
      </c>
      <c r="IZ145" t="s">
        <v>440</v>
      </c>
      <c r="JB145" s="1">
        <v>40688</v>
      </c>
      <c r="JC145">
        <v>2010</v>
      </c>
      <c r="JD145">
        <v>933.77</v>
      </c>
      <c r="JE145" t="s">
        <v>1889</v>
      </c>
      <c r="JF145">
        <v>9.5</v>
      </c>
      <c r="JG145" t="s">
        <v>424</v>
      </c>
      <c r="JH145" t="s">
        <v>425</v>
      </c>
      <c r="JI145" s="1">
        <v>41358</v>
      </c>
      <c r="JJ145">
        <v>22</v>
      </c>
      <c r="JK145">
        <v>116</v>
      </c>
      <c r="JL145" t="s">
        <v>509</v>
      </c>
    </row>
    <row r="146" spans="1:296" x14ac:dyDescent="0.25">
      <c r="A146">
        <v>16485153</v>
      </c>
      <c r="B146">
        <v>145</v>
      </c>
      <c r="C146" t="s">
        <v>393</v>
      </c>
      <c r="D146" t="s">
        <v>394</v>
      </c>
      <c r="F146" t="str">
        <f>"21-2S-23-0000-0002-0010"</f>
        <v>21-2S-23-0000-0002-0010</v>
      </c>
      <c r="H146" t="str">
        <f>"CRAWFORD WILLIAM R EST"</f>
        <v>CRAWFORD WILLIAM R EST</v>
      </c>
      <c r="I146" t="str">
        <f>"3347 COUNTY ROAD 121"</f>
        <v>3347 COUNTY ROAD 121</v>
      </c>
      <c r="J146" t="str">
        <f>"BALDWIN FL 32234"</f>
        <v>BALDWIN FL 32234</v>
      </c>
      <c r="K146" t="str">
        <f>"3417 CR 121"</f>
        <v>3417 CR 121</v>
      </c>
      <c r="L146" t="str">
        <f t="shared" si="50"/>
        <v>BRYCEVILLE FL 32009</v>
      </c>
      <c r="M146" t="str">
        <f>"PT OF N1/2 OF NW1/4 OF NE1/4 IN OR 748/1433 R408007 &amp; R433923 EX ESMT OR 893/404"</f>
        <v>PT OF N1/2 OF NW1/4 OF NE1/4 IN OR 748/1433 R408007 &amp; R433923 EX ESMT OR 893/404</v>
      </c>
      <c r="N146" t="str">
        <f>""</f>
        <v/>
      </c>
      <c r="O146" t="str">
        <f>"33454"</f>
        <v>33454</v>
      </c>
      <c r="P146" t="str">
        <f t="shared" si="45"/>
        <v>2017</v>
      </c>
      <c r="Q146" t="str">
        <f>""</f>
        <v/>
      </c>
      <c r="R146" t="str">
        <f>"N"</f>
        <v>N</v>
      </c>
      <c r="S146" t="str">
        <f>"0.45"</f>
        <v>0.45</v>
      </c>
      <c r="T146" t="str">
        <f>"446.40"</f>
        <v>446.40</v>
      </c>
      <c r="U146" t="str">
        <f>"24838.00"</f>
        <v>24838.00</v>
      </c>
      <c r="V146" t="str">
        <f>"24838.00"</f>
        <v>24838.00</v>
      </c>
      <c r="W146" t="str">
        <f t="shared" si="46"/>
        <v>2017</v>
      </c>
      <c r="X146" t="str">
        <f>"16.50"</f>
        <v>16.50</v>
      </c>
      <c r="Y146" t="str">
        <f>"491.79"</f>
        <v>491.79</v>
      </c>
      <c r="Z146" t="str">
        <f>""</f>
        <v/>
      </c>
      <c r="AA146" t="str">
        <f>"35505.00"</f>
        <v>35505.00</v>
      </c>
      <c r="AB146" t="str">
        <f>"Residential"</f>
        <v>Residential</v>
      </c>
      <c r="AC146" t="str">
        <f t="shared" si="47"/>
        <v>0</v>
      </c>
      <c r="AD146" t="str">
        <f>"4"</f>
        <v>4</v>
      </c>
      <c r="AE146" t="str">
        <f>"WOOD (INCLUDE STEEL STUDS)"</f>
        <v>WOOD (INCLUDE STEEL STUDS)</v>
      </c>
      <c r="AF146" t="str">
        <f>"002"</f>
        <v>002</v>
      </c>
      <c r="AG146" t="str">
        <f t="shared" si="49"/>
        <v>FL</v>
      </c>
      <c r="AH146" t="str">
        <f>"19602.00"</f>
        <v>19602.00</v>
      </c>
      <c r="AI146" t="str">
        <f>"11812.00"</f>
        <v>11812.00</v>
      </c>
      <c r="AJ146" t="str">
        <f>"C55-000-587-2823-9"</f>
        <v>C55-000-587-2823-9</v>
      </c>
      <c r="AK146" t="str">
        <f>"3374"</f>
        <v>3374</v>
      </c>
      <c r="AL146">
        <v>1</v>
      </c>
      <c r="AM146">
        <v>172</v>
      </c>
      <c r="AN146">
        <v>514.78</v>
      </c>
      <c r="AQ146" t="s">
        <v>1890</v>
      </c>
      <c r="AR146" t="s">
        <v>1890</v>
      </c>
      <c r="AS146" t="s">
        <v>1890</v>
      </c>
      <c r="AU146" t="s">
        <v>396</v>
      </c>
      <c r="AV146">
        <v>2017</v>
      </c>
      <c r="AW146" t="str">
        <f>"21-2S-23-0000-0002-0010 "</f>
        <v xml:space="preserve">21-2S-23-0000-0002-0010 </v>
      </c>
      <c r="AX146">
        <v>3417</v>
      </c>
      <c r="AZ146" t="s">
        <v>611</v>
      </c>
      <c r="BD146" t="s">
        <v>553</v>
      </c>
      <c r="BE146" t="s">
        <v>393</v>
      </c>
      <c r="BF146">
        <v>32009</v>
      </c>
      <c r="BG146" t="s">
        <v>1891</v>
      </c>
      <c r="BH146" t="s">
        <v>555</v>
      </c>
      <c r="BI146">
        <v>-82.007963749372706</v>
      </c>
      <c r="BJ146">
        <v>30.3171820868907</v>
      </c>
      <c r="BK146" t="s">
        <v>1892</v>
      </c>
      <c r="BM146" t="s">
        <v>1893</v>
      </c>
      <c r="BN146" t="s">
        <v>1006</v>
      </c>
      <c r="BO146">
        <v>32234</v>
      </c>
      <c r="BP146" t="s">
        <v>404</v>
      </c>
      <c r="BQ146">
        <v>200</v>
      </c>
      <c r="BR146" t="s">
        <v>405</v>
      </c>
      <c r="BS146">
        <v>1006</v>
      </c>
      <c r="BT146" t="s">
        <v>406</v>
      </c>
      <c r="BW146">
        <v>19602</v>
      </c>
      <c r="BX146" t="s">
        <v>407</v>
      </c>
      <c r="BY146" t="s">
        <v>408</v>
      </c>
      <c r="BZ146">
        <v>4</v>
      </c>
      <c r="CA146">
        <v>1989</v>
      </c>
      <c r="CB146">
        <v>1</v>
      </c>
      <c r="CC146">
        <v>1</v>
      </c>
      <c r="CD146">
        <v>2017</v>
      </c>
      <c r="CE146">
        <v>11812</v>
      </c>
      <c r="CF146">
        <v>23693</v>
      </c>
      <c r="CG146">
        <v>35505</v>
      </c>
      <c r="CH146">
        <v>2017</v>
      </c>
      <c r="CI146">
        <v>11812</v>
      </c>
      <c r="CJ146">
        <v>23693</v>
      </c>
      <c r="CK146">
        <v>35505</v>
      </c>
      <c r="CL146">
        <v>2017</v>
      </c>
      <c r="CM146">
        <v>446.4</v>
      </c>
      <c r="CN146" s="1">
        <v>35076</v>
      </c>
      <c r="CZ146" s="1">
        <v>35076</v>
      </c>
      <c r="DD146" t="s">
        <v>553</v>
      </c>
      <c r="DG146">
        <v>21</v>
      </c>
      <c r="DL146">
        <v>50504</v>
      </c>
      <c r="DM146" t="s">
        <v>1894</v>
      </c>
      <c r="DO146" t="s">
        <v>1895</v>
      </c>
      <c r="DP146">
        <v>0</v>
      </c>
      <c r="DQ146">
        <v>0</v>
      </c>
      <c r="DR146" t="s">
        <v>411</v>
      </c>
    </row>
    <row r="147" spans="1:296" x14ac:dyDescent="0.25">
      <c r="A147">
        <v>16485154</v>
      </c>
      <c r="B147">
        <v>146</v>
      </c>
      <c r="C147" t="s">
        <v>393</v>
      </c>
      <c r="D147" t="s">
        <v>394</v>
      </c>
      <c r="F147" t="str">
        <f>"21-2S-23-0000-0002-0040"</f>
        <v>21-2S-23-0000-0002-0040</v>
      </c>
      <c r="H147" t="str">
        <f>"CRAWFORD WILLIAM R L/E WENDY L HODGES"</f>
        <v>CRAWFORD WILLIAM R L/E WENDY L HODGES</v>
      </c>
      <c r="I147" t="str">
        <f>"3417 COUNTY ROAD 121"</f>
        <v>3417 COUNTY ROAD 121</v>
      </c>
      <c r="J147" t="str">
        <f>"BALDWIN FL 32234"</f>
        <v>BALDWIN FL 32234</v>
      </c>
      <c r="K147" t="str">
        <f>"CR 121"</f>
        <v>CR 121</v>
      </c>
      <c r="L147" t="str">
        <f t="shared" si="50"/>
        <v>BRYCEVILLE FL 32009</v>
      </c>
      <c r="M147" t="str">
        <f>"PT OF N1/2 OF NW1/4 OF NE1/4 L/E OR 1168/755"</f>
        <v>PT OF N1/2 OF NW1/4 OF NE1/4 L/E OR 1168/755</v>
      </c>
      <c r="N147" t="str">
        <f>""</f>
        <v/>
      </c>
      <c r="O147" t="str">
        <f>"33457"</f>
        <v>33457</v>
      </c>
      <c r="P147" t="str">
        <f t="shared" si="45"/>
        <v>2017</v>
      </c>
      <c r="Q147" t="str">
        <f>""</f>
        <v/>
      </c>
      <c r="R147" t="str">
        <f>"N"</f>
        <v>N</v>
      </c>
      <c r="S147" t="str">
        <f>"1.80"</f>
        <v>1.80</v>
      </c>
      <c r="T147" t="str">
        <f>"381.07"</f>
        <v>381.07</v>
      </c>
      <c r="U147" t="str">
        <f>"23760.00"</f>
        <v>23760.00</v>
      </c>
      <c r="V147" t="str">
        <f>"23760.00"</f>
        <v>23760.00</v>
      </c>
      <c r="W147" t="str">
        <f t="shared" si="46"/>
        <v>2017</v>
      </c>
      <c r="X147" t="str">
        <f>"15.25"</f>
        <v>15.25</v>
      </c>
      <c r="Y147" t="str">
        <f>"424.50"</f>
        <v>424.50</v>
      </c>
      <c r="Z147" t="str">
        <f>""</f>
        <v/>
      </c>
      <c r="AA147" t="str">
        <f>"27000.00"</f>
        <v>27000.00</v>
      </c>
      <c r="AB147" t="str">
        <f>"Residential"</f>
        <v>Residential</v>
      </c>
      <c r="AC147" t="str">
        <f t="shared" si="47"/>
        <v>0</v>
      </c>
      <c r="AD147" t="str">
        <f>""</f>
        <v/>
      </c>
      <c r="AE147" t="str">
        <f>""</f>
        <v/>
      </c>
      <c r="AF147" t="str">
        <f>"000"</f>
        <v>000</v>
      </c>
      <c r="AG147" t="str">
        <f t="shared" si="49"/>
        <v>FL</v>
      </c>
      <c r="AH147" t="str">
        <f>"78408.00"</f>
        <v>78408.00</v>
      </c>
      <c r="AI147" t="str">
        <f>"27000.00"</f>
        <v>27000.00</v>
      </c>
      <c r="AJ147" t="str">
        <f>"C55-000-588-9552-5"</f>
        <v>C55-000-588-9552-5</v>
      </c>
      <c r="AK147" t="str">
        <f>"3377"</f>
        <v>3377</v>
      </c>
      <c r="AL147">
        <v>1</v>
      </c>
      <c r="AM147">
        <v>173</v>
      </c>
      <c r="AN147">
        <v>444.13</v>
      </c>
      <c r="AQ147" t="s">
        <v>1896</v>
      </c>
      <c r="AR147" t="s">
        <v>1896</v>
      </c>
      <c r="AS147" t="s">
        <v>1896</v>
      </c>
      <c r="AU147" t="s">
        <v>396</v>
      </c>
      <c r="AV147">
        <v>2017</v>
      </c>
      <c r="AW147" t="str">
        <f>"21-2S-23-0000-0002-0040 "</f>
        <v xml:space="preserve">21-2S-23-0000-0002-0040 </v>
      </c>
      <c r="AZ147" t="s">
        <v>611</v>
      </c>
      <c r="BD147" t="s">
        <v>553</v>
      </c>
      <c r="BE147" t="s">
        <v>393</v>
      </c>
      <c r="BF147">
        <v>32009</v>
      </c>
      <c r="BG147" t="s">
        <v>611</v>
      </c>
      <c r="BH147" t="s">
        <v>555</v>
      </c>
      <c r="BI147">
        <v>-82.007525191197402</v>
      </c>
      <c r="BJ147">
        <v>30.316967818871898</v>
      </c>
      <c r="BK147" t="s">
        <v>1892</v>
      </c>
      <c r="BM147" t="s">
        <v>1897</v>
      </c>
      <c r="BN147" t="s">
        <v>1006</v>
      </c>
      <c r="BO147">
        <v>32234</v>
      </c>
      <c r="BP147" t="s">
        <v>404</v>
      </c>
      <c r="BQ147">
        <v>0</v>
      </c>
      <c r="BR147" t="s">
        <v>491</v>
      </c>
      <c r="BS147">
        <v>8001</v>
      </c>
      <c r="BT147" t="s">
        <v>492</v>
      </c>
      <c r="BW147">
        <v>78408</v>
      </c>
      <c r="BX147" t="s">
        <v>407</v>
      </c>
      <c r="BY147" t="s">
        <v>408</v>
      </c>
      <c r="CD147">
        <v>2017</v>
      </c>
      <c r="CE147">
        <v>27000</v>
      </c>
      <c r="CG147">
        <v>27000</v>
      </c>
      <c r="CH147">
        <v>2017</v>
      </c>
      <c r="CI147">
        <v>27000</v>
      </c>
      <c r="CK147">
        <v>27000</v>
      </c>
      <c r="CL147">
        <v>2017</v>
      </c>
      <c r="CM147">
        <v>381.07</v>
      </c>
      <c r="CN147" s="1">
        <v>37869</v>
      </c>
      <c r="CV147">
        <v>0</v>
      </c>
      <c r="CZ147" s="1">
        <v>37869</v>
      </c>
      <c r="DA147">
        <v>0</v>
      </c>
      <c r="DD147" t="s">
        <v>553</v>
      </c>
      <c r="DG147">
        <v>21</v>
      </c>
      <c r="DL147">
        <v>50504</v>
      </c>
      <c r="DM147" t="s">
        <v>1894</v>
      </c>
      <c r="DO147" t="s">
        <v>1898</v>
      </c>
      <c r="DP147">
        <v>0</v>
      </c>
      <c r="DQ147">
        <v>0</v>
      </c>
      <c r="DR147" t="s">
        <v>411</v>
      </c>
      <c r="EP147" t="s">
        <v>421</v>
      </c>
      <c r="EQ147" t="s">
        <v>422</v>
      </c>
      <c r="ER147">
        <v>0</v>
      </c>
      <c r="ES147">
        <v>2</v>
      </c>
      <c r="ET147">
        <v>0</v>
      </c>
      <c r="EU147">
        <v>0</v>
      </c>
      <c r="EV147">
        <v>0</v>
      </c>
      <c r="EW147" s="2">
        <v>43222</v>
      </c>
      <c r="EX147" s="1">
        <v>41423</v>
      </c>
      <c r="EY147">
        <v>2012</v>
      </c>
      <c r="EZ147">
        <v>361.07</v>
      </c>
      <c r="FA147" t="s">
        <v>1899</v>
      </c>
      <c r="FB147">
        <v>5.75</v>
      </c>
      <c r="FC147" t="s">
        <v>424</v>
      </c>
      <c r="FD147" t="s">
        <v>425</v>
      </c>
      <c r="FE147" s="1">
        <v>41585</v>
      </c>
      <c r="FF147">
        <v>6</v>
      </c>
      <c r="FG147">
        <v>2101381</v>
      </c>
      <c r="FH147" t="s">
        <v>605</v>
      </c>
      <c r="FJ147" s="1">
        <v>40688</v>
      </c>
      <c r="FK147">
        <v>2010</v>
      </c>
      <c r="FL147">
        <v>465.45</v>
      </c>
      <c r="FM147" t="s">
        <v>1900</v>
      </c>
      <c r="FN147">
        <v>7.5</v>
      </c>
      <c r="FO147" t="s">
        <v>424</v>
      </c>
      <c r="FP147" t="s">
        <v>425</v>
      </c>
      <c r="FQ147" s="1">
        <v>40995</v>
      </c>
      <c r="FR147">
        <v>10</v>
      </c>
      <c r="FS147">
        <v>10579</v>
      </c>
      <c r="FT147" t="s">
        <v>488</v>
      </c>
    </row>
    <row r="148" spans="1:296" x14ac:dyDescent="0.25">
      <c r="A148">
        <v>16485155</v>
      </c>
      <c r="B148">
        <v>147</v>
      </c>
      <c r="C148" t="s">
        <v>393</v>
      </c>
      <c r="D148" t="s">
        <v>394</v>
      </c>
      <c r="F148" t="str">
        <f>"21-2S-23-0000-0002-0060"</f>
        <v>21-2S-23-0000-0002-0060</v>
      </c>
      <c r="H148" t="str">
        <f>"HODGES WENDY LEE"</f>
        <v>HODGES WENDY LEE</v>
      </c>
      <c r="I148" t="str">
        <f>"3407 COUNTY ROAD 121"</f>
        <v>3407 COUNTY ROAD 121</v>
      </c>
      <c r="J148" t="str">
        <f>"BALDWIN FL 32234"</f>
        <v>BALDWIN FL 32234</v>
      </c>
      <c r="K148" t="str">
        <f>"3407 CR 121"</f>
        <v>3407 CR 121</v>
      </c>
      <c r="L148" t="str">
        <f t="shared" si="50"/>
        <v>BRYCEVILLE FL 32009</v>
      </c>
      <c r="M148" t="str">
        <f>"PT N1/2 OF NW1/4 OF NE1/4 IN OR 2002/1403"</f>
        <v>PT N1/2 OF NW1/4 OF NE1/4 IN OR 2002/1403</v>
      </c>
      <c r="N148" t="str">
        <f>""</f>
        <v/>
      </c>
      <c r="O148" t="str">
        <f>"33459"</f>
        <v>33459</v>
      </c>
      <c r="P148" t="str">
        <f t="shared" si="45"/>
        <v>2017</v>
      </c>
      <c r="Q148" t="str">
        <f>""</f>
        <v/>
      </c>
      <c r="R148" t="str">
        <f>"Y"</f>
        <v>Y</v>
      </c>
      <c r="S148" t="str">
        <f>"1.00"</f>
        <v>1.00</v>
      </c>
      <c r="T148" t="str">
        <f>"462.48"</f>
        <v>462.48</v>
      </c>
      <c r="U148" t="str">
        <f>"62731.00"</f>
        <v>62731.00</v>
      </c>
      <c r="V148" t="str">
        <f>"62731.00"</f>
        <v>62731.00</v>
      </c>
      <c r="W148" t="str">
        <f t="shared" si="46"/>
        <v>2017</v>
      </c>
      <c r="X148" t="str">
        <f>"14.67"</f>
        <v>14.67</v>
      </c>
      <c r="Y148" t="str">
        <f>"508.35"</f>
        <v>508.35</v>
      </c>
      <c r="Z148" t="str">
        <f>"25000.00"</f>
        <v>25000.00</v>
      </c>
      <c r="AA148" t="str">
        <f>"37731.00"</f>
        <v>37731.00</v>
      </c>
      <c r="AB148" t="str">
        <f>"Residential"</f>
        <v>Residential</v>
      </c>
      <c r="AC148" t="str">
        <f t="shared" si="47"/>
        <v>0</v>
      </c>
      <c r="AD148" t="str">
        <f>"4"</f>
        <v>4</v>
      </c>
      <c r="AE148" t="str">
        <f>"WOOD (INCLUDE STEEL STUDS)"</f>
        <v>WOOD (INCLUDE STEEL STUDS)</v>
      </c>
      <c r="AF148" t="str">
        <f>"001"</f>
        <v>001</v>
      </c>
      <c r="AG148" t="str">
        <f t="shared" si="49"/>
        <v>FL</v>
      </c>
      <c r="AH148" t="str">
        <f>"43560.00"</f>
        <v>43560.00</v>
      </c>
      <c r="AI148" t="str">
        <f>"15000.00"</f>
        <v>15000.00</v>
      </c>
      <c r="AJ148" t="str">
        <f>"C55-000-587-2827-0"</f>
        <v>C55-000-587-2827-0</v>
      </c>
      <c r="AK148" t="str">
        <f>"3378"</f>
        <v>3378</v>
      </c>
      <c r="AL148">
        <v>1</v>
      </c>
      <c r="AM148">
        <v>174</v>
      </c>
      <c r="AN148">
        <v>532.16999999999996</v>
      </c>
      <c r="AQ148" t="s">
        <v>1901</v>
      </c>
      <c r="AR148" t="s">
        <v>1901</v>
      </c>
      <c r="AS148" t="s">
        <v>1901</v>
      </c>
      <c r="AU148" t="s">
        <v>396</v>
      </c>
      <c r="AV148">
        <v>2017</v>
      </c>
      <c r="AW148" t="str">
        <f>"21-2S-23-0000-0002-0060 "</f>
        <v xml:space="preserve">21-2S-23-0000-0002-0060 </v>
      </c>
      <c r="AX148">
        <v>3407</v>
      </c>
      <c r="AZ148" t="s">
        <v>611</v>
      </c>
      <c r="BD148" t="s">
        <v>553</v>
      </c>
      <c r="BE148" t="s">
        <v>393</v>
      </c>
      <c r="BF148">
        <v>32009</v>
      </c>
      <c r="BG148" t="s">
        <v>1902</v>
      </c>
      <c r="BH148" t="s">
        <v>555</v>
      </c>
      <c r="BI148">
        <v>-82.0076213081513</v>
      </c>
      <c r="BJ148">
        <v>30.316581975064899</v>
      </c>
      <c r="BK148" t="s">
        <v>1903</v>
      </c>
      <c r="BM148" t="s">
        <v>1904</v>
      </c>
      <c r="BN148" t="s">
        <v>1006</v>
      </c>
      <c r="BO148">
        <v>32234</v>
      </c>
      <c r="BP148" t="s">
        <v>416</v>
      </c>
      <c r="BQ148">
        <v>100</v>
      </c>
      <c r="BR148" t="s">
        <v>514</v>
      </c>
      <c r="BS148">
        <v>1001</v>
      </c>
      <c r="BT148" t="s">
        <v>515</v>
      </c>
      <c r="BW148">
        <v>43560</v>
      </c>
      <c r="BX148" t="s">
        <v>407</v>
      </c>
      <c r="BY148" t="s">
        <v>408</v>
      </c>
      <c r="BZ148">
        <v>4</v>
      </c>
      <c r="CA148">
        <v>1940</v>
      </c>
      <c r="CB148">
        <v>1</v>
      </c>
      <c r="CC148">
        <v>1</v>
      </c>
      <c r="CD148">
        <v>2017</v>
      </c>
      <c r="CG148">
        <v>62731</v>
      </c>
      <c r="CH148">
        <v>2017</v>
      </c>
      <c r="CI148">
        <v>15000</v>
      </c>
      <c r="CJ148">
        <v>57444</v>
      </c>
      <c r="CK148">
        <v>72444</v>
      </c>
      <c r="CL148">
        <v>2017</v>
      </c>
      <c r="CM148">
        <v>462.48</v>
      </c>
      <c r="CN148" s="1">
        <v>42257</v>
      </c>
      <c r="CZ148" s="1">
        <v>42257</v>
      </c>
      <c r="DD148" t="s">
        <v>553</v>
      </c>
      <c r="DG148">
        <v>21</v>
      </c>
      <c r="DL148">
        <v>50504</v>
      </c>
      <c r="DM148" t="s">
        <v>1894</v>
      </c>
      <c r="DO148" t="s">
        <v>1905</v>
      </c>
      <c r="DP148">
        <v>0</v>
      </c>
      <c r="DQ148">
        <v>0</v>
      </c>
      <c r="DR148" t="s">
        <v>411</v>
      </c>
      <c r="EP148" t="s">
        <v>421</v>
      </c>
      <c r="EQ148" t="s">
        <v>422</v>
      </c>
      <c r="ER148">
        <v>2</v>
      </c>
      <c r="ES148">
        <v>3</v>
      </c>
      <c r="ET148">
        <v>1052.26</v>
      </c>
      <c r="EU148">
        <v>65.11</v>
      </c>
      <c r="EV148">
        <v>1117.3699999999999</v>
      </c>
      <c r="EW148" s="2">
        <v>43222</v>
      </c>
      <c r="EX148" s="1">
        <v>42879</v>
      </c>
      <c r="EY148">
        <v>2016</v>
      </c>
      <c r="EZ148">
        <v>526.13</v>
      </c>
      <c r="FA148" t="s">
        <v>1906</v>
      </c>
      <c r="FB148">
        <v>0.25</v>
      </c>
      <c r="FC148" t="s">
        <v>424</v>
      </c>
      <c r="FD148" t="s">
        <v>454</v>
      </c>
      <c r="FF148">
        <v>12</v>
      </c>
      <c r="FG148">
        <v>2851116</v>
      </c>
      <c r="FH148" t="s">
        <v>480</v>
      </c>
      <c r="FJ148" s="1">
        <v>42879</v>
      </c>
      <c r="FK148">
        <v>2016</v>
      </c>
      <c r="FL148">
        <v>526.13</v>
      </c>
      <c r="FM148" t="s">
        <v>1906</v>
      </c>
      <c r="FN148">
        <v>0.25</v>
      </c>
      <c r="FO148" t="s">
        <v>424</v>
      </c>
      <c r="FP148" t="s">
        <v>454</v>
      </c>
      <c r="FR148">
        <v>12</v>
      </c>
      <c r="FS148">
        <v>5749219</v>
      </c>
      <c r="FT148" t="s">
        <v>1907</v>
      </c>
      <c r="FV148" s="1">
        <v>41052</v>
      </c>
      <c r="FW148">
        <v>2011</v>
      </c>
      <c r="FX148">
        <v>352.42</v>
      </c>
      <c r="FY148" t="s">
        <v>1908</v>
      </c>
      <c r="FZ148">
        <v>0.25</v>
      </c>
      <c r="GA148" t="s">
        <v>424</v>
      </c>
      <c r="GB148" t="s">
        <v>425</v>
      </c>
      <c r="GC148" s="1">
        <v>41257</v>
      </c>
      <c r="GD148">
        <v>7</v>
      </c>
      <c r="GE148">
        <v>13368</v>
      </c>
      <c r="GF148" t="s">
        <v>1740</v>
      </c>
      <c r="GH148" s="1">
        <v>41052</v>
      </c>
      <c r="GI148">
        <v>2011</v>
      </c>
      <c r="GJ148">
        <v>352.42</v>
      </c>
      <c r="GK148" t="s">
        <v>1908</v>
      </c>
      <c r="GL148">
        <v>0.25</v>
      </c>
      <c r="GM148" t="s">
        <v>424</v>
      </c>
      <c r="GN148" t="s">
        <v>425</v>
      </c>
      <c r="GP148">
        <v>22</v>
      </c>
      <c r="GQ148">
        <v>14345</v>
      </c>
      <c r="GR148" t="s">
        <v>1909</v>
      </c>
      <c r="GT148" s="1">
        <v>40688</v>
      </c>
      <c r="GU148">
        <v>2010</v>
      </c>
      <c r="GV148">
        <v>342.04</v>
      </c>
      <c r="GW148" t="s">
        <v>1910</v>
      </c>
      <c r="GX148">
        <v>9</v>
      </c>
      <c r="GY148" t="s">
        <v>424</v>
      </c>
      <c r="GZ148" t="s">
        <v>425</v>
      </c>
      <c r="HA148" s="1">
        <v>40982</v>
      </c>
      <c r="HB148">
        <v>10</v>
      </c>
      <c r="HC148">
        <v>62</v>
      </c>
      <c r="HD148" t="s">
        <v>463</v>
      </c>
    </row>
    <row r="149" spans="1:296" x14ac:dyDescent="0.25">
      <c r="A149">
        <v>16485156</v>
      </c>
      <c r="B149">
        <v>148</v>
      </c>
      <c r="C149" t="s">
        <v>393</v>
      </c>
      <c r="D149" t="s">
        <v>394</v>
      </c>
      <c r="F149" t="str">
        <f>"21-2S-23-0000-0003-0000"</f>
        <v>21-2S-23-0000-0003-0000</v>
      </c>
      <c r="H149" t="str">
        <f>"STEWART MADGE D"</f>
        <v>STEWART MADGE D</v>
      </c>
      <c r="I149" t="str">
        <f>"1590-28 ISLAND LASE"</f>
        <v>1590-28 ISLAND LASE</v>
      </c>
      <c r="J149" t="str">
        <f>"FLEMING ISLAND FL 32003"</f>
        <v>FLEMING ISLAND FL 32003</v>
      </c>
      <c r="K149" t="str">
        <f>"3402 CR 121"</f>
        <v>3402 CR 121</v>
      </c>
      <c r="L149" t="str">
        <f t="shared" si="50"/>
        <v>BRYCEVILLE FL 32009</v>
      </c>
      <c r="M149" t="str">
        <f>"N1/2 OF NE1/4 OF NW1/4 &amp; OR 173/591 &amp; OR 682/815 PARCELS 3 &amp; 3-1 EX 3-2 &amp; 3-3"</f>
        <v>N1/2 OF NE1/4 OF NW1/4 &amp; OR 173/591 &amp; OR 682/815 PARCELS 3 &amp; 3-1 EX 3-2 &amp; 3-3</v>
      </c>
      <c r="N149" t="str">
        <f>""</f>
        <v/>
      </c>
      <c r="O149" t="str">
        <f>"33462"</f>
        <v>33462</v>
      </c>
      <c r="P149" t="str">
        <f t="shared" si="45"/>
        <v>2017</v>
      </c>
      <c r="Q149" t="str">
        <f>""</f>
        <v/>
      </c>
      <c r="R149" t="str">
        <f>"Y"</f>
        <v>Y</v>
      </c>
      <c r="S149" t="str">
        <f>"14.47"</f>
        <v>14.47</v>
      </c>
      <c r="T149" t="str">
        <f>"2291.95"</f>
        <v>2291.95</v>
      </c>
      <c r="U149" t="str">
        <f>"191000.00"</f>
        <v>191000.00</v>
      </c>
      <c r="V149" t="str">
        <f>"191000.00"</f>
        <v>191000.00</v>
      </c>
      <c r="W149" t="str">
        <f t="shared" si="46"/>
        <v>2017</v>
      </c>
      <c r="X149" t="str">
        <f>"19.00"</f>
        <v>19.00</v>
      </c>
      <c r="Y149" t="str">
        <f>"2392.71"</f>
        <v>2392.71</v>
      </c>
      <c r="Z149" t="str">
        <f>"25500.00"</f>
        <v>25500.00</v>
      </c>
      <c r="AA149" t="str">
        <f>"165500.00"</f>
        <v>165500.00</v>
      </c>
      <c r="AB149" t="str">
        <f>"Agricultural"</f>
        <v>Agricultural</v>
      </c>
      <c r="AC149" t="str">
        <f t="shared" si="47"/>
        <v>0</v>
      </c>
      <c r="AD149" t="str">
        <f>"4"</f>
        <v>4</v>
      </c>
      <c r="AE149" t="str">
        <f>"WOOD (INCLUDE STEEL STUDS)"</f>
        <v>WOOD (INCLUDE STEEL STUDS)</v>
      </c>
      <c r="AF149" t="str">
        <f>"050"</f>
        <v>050</v>
      </c>
      <c r="AG149" t="str">
        <f t="shared" si="49"/>
        <v>FL</v>
      </c>
      <c r="AH149" t="str">
        <f>"630313.00"</f>
        <v>630313.00</v>
      </c>
      <c r="AI149" t="str">
        <f>"19646.00"</f>
        <v>19646.00</v>
      </c>
      <c r="AJ149" t="str">
        <f>"C55-000-587-2829-6"</f>
        <v>C55-000-587-2829-6</v>
      </c>
      <c r="AK149" t="str">
        <f>"3381"</f>
        <v>3381</v>
      </c>
      <c r="AL149">
        <v>1</v>
      </c>
      <c r="AM149">
        <v>175</v>
      </c>
      <c r="AN149">
        <v>2510.75</v>
      </c>
      <c r="AQ149" t="s">
        <v>1911</v>
      </c>
      <c r="AR149" t="s">
        <v>1911</v>
      </c>
      <c r="AS149" t="s">
        <v>1911</v>
      </c>
      <c r="AU149" t="s">
        <v>396</v>
      </c>
      <c r="AV149">
        <v>2017</v>
      </c>
      <c r="AW149" t="str">
        <f>"21-2S-23-0000-0003-0000 "</f>
        <v xml:space="preserve">21-2S-23-0000-0003-0000 </v>
      </c>
      <c r="AX149">
        <v>3402</v>
      </c>
      <c r="AZ149" t="s">
        <v>611</v>
      </c>
      <c r="BD149" t="s">
        <v>553</v>
      </c>
      <c r="BE149" t="s">
        <v>393</v>
      </c>
      <c r="BF149">
        <v>32009</v>
      </c>
      <c r="BG149" t="s">
        <v>1912</v>
      </c>
      <c r="BH149" t="s">
        <v>555</v>
      </c>
      <c r="BI149">
        <v>-82.010652937418797</v>
      </c>
      <c r="BJ149">
        <v>30.316138443636898</v>
      </c>
      <c r="BK149" t="s">
        <v>1913</v>
      </c>
      <c r="BL149" t="s">
        <v>1914</v>
      </c>
      <c r="BM149" t="s">
        <v>1915</v>
      </c>
      <c r="BN149" t="s">
        <v>1916</v>
      </c>
      <c r="BO149">
        <v>32003</v>
      </c>
      <c r="BP149" t="s">
        <v>404</v>
      </c>
      <c r="BQ149">
        <v>5000</v>
      </c>
      <c r="BR149" t="s">
        <v>664</v>
      </c>
      <c r="BS149">
        <v>7000</v>
      </c>
      <c r="BT149" t="s">
        <v>665</v>
      </c>
      <c r="BW149">
        <v>630313</v>
      </c>
      <c r="BX149" t="s">
        <v>407</v>
      </c>
      <c r="BY149" t="s">
        <v>408</v>
      </c>
      <c r="BZ149">
        <v>4</v>
      </c>
      <c r="CA149">
        <v>1950</v>
      </c>
      <c r="CB149">
        <v>1</v>
      </c>
      <c r="CC149">
        <v>2</v>
      </c>
      <c r="CD149">
        <v>2017</v>
      </c>
      <c r="CG149">
        <v>191000</v>
      </c>
      <c r="CH149">
        <v>2017</v>
      </c>
      <c r="CI149">
        <v>19646</v>
      </c>
      <c r="CJ149">
        <v>258625</v>
      </c>
      <c r="CK149">
        <v>278271</v>
      </c>
      <c r="CL149">
        <v>2017</v>
      </c>
      <c r="CM149">
        <v>2291.9499999999998</v>
      </c>
      <c r="CN149" s="1">
        <v>27030</v>
      </c>
      <c r="CO149">
        <v>40000</v>
      </c>
      <c r="CZ149" s="1">
        <v>27030</v>
      </c>
      <c r="DD149" t="s">
        <v>553</v>
      </c>
      <c r="DG149">
        <v>21</v>
      </c>
      <c r="DL149">
        <v>50504</v>
      </c>
      <c r="DM149" t="s">
        <v>1894</v>
      </c>
      <c r="DO149" t="s">
        <v>1917</v>
      </c>
      <c r="DP149">
        <v>0</v>
      </c>
      <c r="DQ149">
        <v>0</v>
      </c>
      <c r="DR149" t="s">
        <v>411</v>
      </c>
      <c r="DS149" t="b">
        <v>1</v>
      </c>
      <c r="DT149" t="s">
        <v>470</v>
      </c>
      <c r="DU149" t="s">
        <v>471</v>
      </c>
      <c r="DV149" t="s">
        <v>472</v>
      </c>
      <c r="DX149">
        <v>-9999</v>
      </c>
      <c r="DZ149" t="s">
        <v>447</v>
      </c>
      <c r="EA149" t="s">
        <v>448</v>
      </c>
      <c r="EB149" t="s">
        <v>1190</v>
      </c>
      <c r="EC149">
        <v>20101217</v>
      </c>
      <c r="ED149" t="s">
        <v>474</v>
      </c>
      <c r="EF149">
        <v>165.6</v>
      </c>
      <c r="EG149">
        <v>165.6</v>
      </c>
      <c r="EH149" t="s">
        <v>451</v>
      </c>
      <c r="EI149">
        <v>20140731</v>
      </c>
      <c r="EJ149">
        <v>7</v>
      </c>
      <c r="EK149">
        <v>1</v>
      </c>
      <c r="EP149" t="s">
        <v>421</v>
      </c>
      <c r="EQ149" t="s">
        <v>452</v>
      </c>
      <c r="ER149">
        <v>2</v>
      </c>
      <c r="ES149">
        <v>6</v>
      </c>
      <c r="ET149">
        <v>4968.34</v>
      </c>
      <c r="EU149">
        <v>260.92</v>
      </c>
      <c r="EV149">
        <v>5229.26</v>
      </c>
      <c r="EW149" s="2">
        <v>43222</v>
      </c>
      <c r="EX149" s="1">
        <v>42879</v>
      </c>
      <c r="EY149">
        <v>2016</v>
      </c>
      <c r="EZ149">
        <v>2484.17</v>
      </c>
      <c r="FA149" t="s">
        <v>1918</v>
      </c>
      <c r="FB149">
        <v>0.25</v>
      </c>
      <c r="FC149" t="s">
        <v>424</v>
      </c>
      <c r="FD149" t="s">
        <v>454</v>
      </c>
      <c r="FF149">
        <v>12</v>
      </c>
      <c r="FG149">
        <v>5856195</v>
      </c>
      <c r="FH149" t="s">
        <v>1060</v>
      </c>
      <c r="FJ149" s="1">
        <v>42879</v>
      </c>
      <c r="FK149">
        <v>2016</v>
      </c>
      <c r="FL149">
        <v>2484.17</v>
      </c>
      <c r="FM149" t="s">
        <v>1918</v>
      </c>
      <c r="FN149">
        <v>0.25</v>
      </c>
      <c r="FO149" t="s">
        <v>424</v>
      </c>
      <c r="FP149" t="s">
        <v>454</v>
      </c>
      <c r="FR149">
        <v>12</v>
      </c>
      <c r="FS149">
        <v>5930513</v>
      </c>
      <c r="FT149" t="s">
        <v>1919</v>
      </c>
      <c r="FV149" s="1">
        <v>42151</v>
      </c>
      <c r="FW149">
        <v>2014</v>
      </c>
      <c r="FX149">
        <v>2526.92</v>
      </c>
      <c r="FY149" t="s">
        <v>1920</v>
      </c>
      <c r="FZ149">
        <v>0.25</v>
      </c>
      <c r="GA149" t="s">
        <v>424</v>
      </c>
      <c r="GB149" t="s">
        <v>425</v>
      </c>
      <c r="GC149" s="1">
        <v>42474</v>
      </c>
      <c r="GD149">
        <v>11</v>
      </c>
      <c r="GE149">
        <v>4975594</v>
      </c>
      <c r="GF149" t="s">
        <v>457</v>
      </c>
      <c r="GG149" t="s">
        <v>458</v>
      </c>
      <c r="GH149" s="1">
        <v>42151</v>
      </c>
      <c r="GI149">
        <v>2014</v>
      </c>
      <c r="GJ149">
        <v>2526.92</v>
      </c>
      <c r="GK149" t="s">
        <v>1920</v>
      </c>
      <c r="GL149">
        <v>0.25</v>
      </c>
      <c r="GM149" t="s">
        <v>424</v>
      </c>
      <c r="GN149" t="s">
        <v>425</v>
      </c>
      <c r="GP149">
        <v>22</v>
      </c>
      <c r="GQ149">
        <v>6652214</v>
      </c>
      <c r="GR149" t="s">
        <v>1921</v>
      </c>
      <c r="GS149" t="s">
        <v>458</v>
      </c>
      <c r="GT149" s="1">
        <v>41787</v>
      </c>
      <c r="GU149">
        <v>2013</v>
      </c>
      <c r="GV149">
        <v>2366.4699999999998</v>
      </c>
      <c r="GW149" t="s">
        <v>1922</v>
      </c>
      <c r="GX149">
        <v>0.25</v>
      </c>
      <c r="GY149" t="s">
        <v>424</v>
      </c>
      <c r="GZ149" t="s">
        <v>425</v>
      </c>
      <c r="HB149">
        <v>22</v>
      </c>
      <c r="HC149">
        <v>2903114</v>
      </c>
      <c r="HD149" t="s">
        <v>1923</v>
      </c>
      <c r="HE149" t="s">
        <v>458</v>
      </c>
      <c r="HF149" s="1">
        <v>41423</v>
      </c>
      <c r="HG149">
        <v>2012</v>
      </c>
      <c r="HH149">
        <v>2438.7600000000002</v>
      </c>
      <c r="HI149" t="s">
        <v>1924</v>
      </c>
      <c r="HJ149">
        <v>0.25</v>
      </c>
      <c r="HK149" t="s">
        <v>424</v>
      </c>
      <c r="HL149" t="s">
        <v>425</v>
      </c>
      <c r="HM149" s="1">
        <v>42089</v>
      </c>
      <c r="HN149">
        <v>22</v>
      </c>
      <c r="HO149">
        <v>15259</v>
      </c>
      <c r="HP149" t="s">
        <v>891</v>
      </c>
      <c r="HR149" s="1">
        <v>41052</v>
      </c>
      <c r="HS149">
        <v>2011</v>
      </c>
      <c r="HT149">
        <v>2566.62</v>
      </c>
      <c r="HU149" t="s">
        <v>1925</v>
      </c>
      <c r="HV149">
        <v>0.25</v>
      </c>
      <c r="HW149" t="s">
        <v>424</v>
      </c>
      <c r="HX149" t="s">
        <v>425</v>
      </c>
      <c r="HY149" s="1">
        <v>41719</v>
      </c>
      <c r="HZ149">
        <v>22</v>
      </c>
      <c r="IA149">
        <v>13057</v>
      </c>
      <c r="IB149" t="s">
        <v>1926</v>
      </c>
      <c r="ID149" s="1">
        <v>40688</v>
      </c>
      <c r="IE149">
        <v>2010</v>
      </c>
      <c r="IF149">
        <v>2627.44</v>
      </c>
      <c r="IG149" t="s">
        <v>1927</v>
      </c>
      <c r="IH149">
        <v>0.25</v>
      </c>
      <c r="II149" t="s">
        <v>424</v>
      </c>
      <c r="IJ149" t="s">
        <v>425</v>
      </c>
      <c r="IK149" s="1">
        <v>41358</v>
      </c>
      <c r="IL149">
        <v>22</v>
      </c>
      <c r="IM149">
        <v>11177</v>
      </c>
      <c r="IN149" t="s">
        <v>650</v>
      </c>
    </row>
    <row r="150" spans="1:296" x14ac:dyDescent="0.25">
      <c r="A150">
        <v>16485157</v>
      </c>
      <c r="B150">
        <v>149</v>
      </c>
      <c r="C150" t="s">
        <v>393</v>
      </c>
      <c r="D150" t="s">
        <v>394</v>
      </c>
      <c r="F150" t="str">
        <f>"21-2S-23-0000-0003-0020"</f>
        <v>21-2S-23-0000-0003-0020</v>
      </c>
      <c r="H150" t="str">
        <f>"STEWART MATTHEW &amp; FELICIA"</f>
        <v>STEWART MATTHEW &amp; FELICIA</v>
      </c>
      <c r="I150" t="str">
        <f>"2361 PRAIRIE DOG LANE"</f>
        <v>2361 PRAIRIE DOG LANE</v>
      </c>
      <c r="J150" t="str">
        <f>"BALDWIN FL 32234"</f>
        <v>BALDWIN FL 32234</v>
      </c>
      <c r="K150" t="str">
        <f>"2361 PRAIRIE DOG LN"</f>
        <v>2361 PRAIRIE DOG LN</v>
      </c>
      <c r="L150" t="str">
        <f t="shared" si="50"/>
        <v>BRYCEVILLE FL 32009</v>
      </c>
      <c r="M150" t="str">
        <f>"PT OF NW1/4 IN OR 1319/573 1990 FLEE SW/MH PARCELS 3-2 &amp; 3-3"</f>
        <v>PT OF NW1/4 IN OR 1319/573 1990 FLEE SW/MH PARCELS 3-2 &amp; 3-3</v>
      </c>
      <c r="N150" t="str">
        <f>""</f>
        <v/>
      </c>
      <c r="O150" t="str">
        <f>"33463"</f>
        <v>33463</v>
      </c>
      <c r="P150" t="str">
        <f t="shared" si="45"/>
        <v>2017</v>
      </c>
      <c r="Q150" t="str">
        <f>""</f>
        <v/>
      </c>
      <c r="R150" t="str">
        <f>"Y"</f>
        <v>Y</v>
      </c>
      <c r="S150" t="str">
        <f>"5.81"</f>
        <v>5.81</v>
      </c>
      <c r="T150" t="str">
        <f>"523.68"</f>
        <v>523.68</v>
      </c>
      <c r="U150" t="str">
        <f>"62887.00"</f>
        <v>62887.00</v>
      </c>
      <c r="V150" t="str">
        <f>"62887.00"</f>
        <v>62887.00</v>
      </c>
      <c r="W150" t="str">
        <f t="shared" si="46"/>
        <v>2017</v>
      </c>
      <c r="X150" t="str">
        <f>"18.50"</f>
        <v>18.50</v>
      </c>
      <c r="Y150" t="str">
        <f>"571.39"</f>
        <v>571.39</v>
      </c>
      <c r="Z150" t="str">
        <f>"25000.00"</f>
        <v>25000.00</v>
      </c>
      <c r="AA150" t="str">
        <f>"39887.00"</f>
        <v>39887.00</v>
      </c>
      <c r="AB150" t="str">
        <f>"Residential"</f>
        <v>Residential</v>
      </c>
      <c r="AC150" t="str">
        <f t="shared" si="47"/>
        <v>0</v>
      </c>
      <c r="AD150" t="str">
        <f>"4"</f>
        <v>4</v>
      </c>
      <c r="AE150" t="str">
        <f>"WOOD (INCLUDE STEEL STUDS)"</f>
        <v>WOOD (INCLUDE STEEL STUDS)</v>
      </c>
      <c r="AF150" t="str">
        <f>"002"</f>
        <v>002</v>
      </c>
      <c r="AG150" t="str">
        <f t="shared" si="49"/>
        <v>FL</v>
      </c>
      <c r="AH150" t="str">
        <f>"253083.00"</f>
        <v>253083.00</v>
      </c>
      <c r="AI150" t="str">
        <f>"46480.00"</f>
        <v>46480.00</v>
      </c>
      <c r="AJ150" t="str">
        <f>"C55-000-589-2568-6"</f>
        <v>C55-000-589-2568-6</v>
      </c>
      <c r="AK150" t="str">
        <f>"3382"</f>
        <v>3382</v>
      </c>
      <c r="AL150">
        <v>1</v>
      </c>
      <c r="AM150">
        <v>176</v>
      </c>
      <c r="AN150">
        <v>598.36</v>
      </c>
      <c r="AQ150" t="s">
        <v>1928</v>
      </c>
      <c r="AR150" t="s">
        <v>1928</v>
      </c>
      <c r="AS150" t="s">
        <v>1928</v>
      </c>
      <c r="AU150" t="s">
        <v>396</v>
      </c>
      <c r="AV150">
        <v>2017</v>
      </c>
      <c r="AW150" t="str">
        <f>"21-2S-23-0000-0003-0020 "</f>
        <v xml:space="preserve">21-2S-23-0000-0003-0020 </v>
      </c>
      <c r="AX150">
        <v>2361</v>
      </c>
      <c r="AZ150" t="s">
        <v>1929</v>
      </c>
      <c r="BA150" t="s">
        <v>653</v>
      </c>
      <c r="BD150" t="s">
        <v>553</v>
      </c>
      <c r="BE150" t="s">
        <v>393</v>
      </c>
      <c r="BF150">
        <v>32009</v>
      </c>
      <c r="BG150" t="s">
        <v>1930</v>
      </c>
      <c r="BH150" t="s">
        <v>555</v>
      </c>
      <c r="BI150">
        <v>-82.010670872261599</v>
      </c>
      <c r="BJ150">
        <v>30.317045742646499</v>
      </c>
      <c r="BK150" t="s">
        <v>1876</v>
      </c>
      <c r="BL150" t="s">
        <v>1877</v>
      </c>
      <c r="BM150" t="s">
        <v>1930</v>
      </c>
      <c r="BN150" t="s">
        <v>1006</v>
      </c>
      <c r="BO150">
        <v>32234</v>
      </c>
      <c r="BP150" t="s">
        <v>416</v>
      </c>
      <c r="BQ150">
        <v>200</v>
      </c>
      <c r="BR150" t="s">
        <v>405</v>
      </c>
      <c r="BS150">
        <v>1006</v>
      </c>
      <c r="BT150" t="s">
        <v>406</v>
      </c>
      <c r="BW150">
        <v>253083</v>
      </c>
      <c r="BX150" t="s">
        <v>407</v>
      </c>
      <c r="BY150" t="s">
        <v>408</v>
      </c>
      <c r="BZ150">
        <v>4</v>
      </c>
      <c r="CA150">
        <v>1990</v>
      </c>
      <c r="CB150">
        <v>1</v>
      </c>
      <c r="CC150">
        <v>1</v>
      </c>
      <c r="CD150">
        <v>2017</v>
      </c>
      <c r="CG150">
        <v>64887</v>
      </c>
      <c r="CH150">
        <v>2017</v>
      </c>
      <c r="CI150">
        <v>46480</v>
      </c>
      <c r="CJ150">
        <v>23646</v>
      </c>
      <c r="CK150">
        <v>70126</v>
      </c>
      <c r="CL150">
        <v>2017</v>
      </c>
      <c r="CM150">
        <v>523.67999999999995</v>
      </c>
      <c r="CN150" s="1">
        <v>38495</v>
      </c>
      <c r="CZ150" s="1">
        <v>38495</v>
      </c>
      <c r="DD150" t="s">
        <v>553</v>
      </c>
      <c r="DG150">
        <v>21</v>
      </c>
      <c r="DL150">
        <v>50504</v>
      </c>
      <c r="DM150" t="s">
        <v>1894</v>
      </c>
      <c r="DO150" t="s">
        <v>1931</v>
      </c>
      <c r="DP150">
        <v>0</v>
      </c>
      <c r="DQ150">
        <v>0</v>
      </c>
      <c r="DR150" t="s">
        <v>411</v>
      </c>
      <c r="DS150" t="b">
        <v>1</v>
      </c>
      <c r="DT150" t="s">
        <v>470</v>
      </c>
      <c r="DU150" t="s">
        <v>471</v>
      </c>
      <c r="DV150" t="s">
        <v>472</v>
      </c>
      <c r="DX150">
        <v>-9999</v>
      </c>
      <c r="DZ150" t="s">
        <v>447</v>
      </c>
      <c r="EA150" t="s">
        <v>448</v>
      </c>
      <c r="EB150" t="s">
        <v>1190</v>
      </c>
      <c r="EC150">
        <v>20101217</v>
      </c>
      <c r="ED150" t="s">
        <v>474</v>
      </c>
      <c r="EF150">
        <v>595.29999999999995</v>
      </c>
      <c r="EG150">
        <v>595.29999999999995</v>
      </c>
      <c r="EH150" t="s">
        <v>451</v>
      </c>
      <c r="EI150">
        <v>20140731</v>
      </c>
      <c r="EJ150">
        <v>0</v>
      </c>
      <c r="EK150">
        <v>0</v>
      </c>
      <c r="EP150" t="s">
        <v>421</v>
      </c>
      <c r="EQ150" t="s">
        <v>452</v>
      </c>
      <c r="ER150">
        <v>2</v>
      </c>
      <c r="ES150">
        <v>8</v>
      </c>
      <c r="ET150">
        <v>1141.3399999999999</v>
      </c>
      <c r="EU150">
        <v>69.569999999999993</v>
      </c>
      <c r="EV150">
        <v>1210.9100000000001</v>
      </c>
      <c r="EW150" s="2">
        <v>43222</v>
      </c>
      <c r="EX150" s="1">
        <v>42879</v>
      </c>
      <c r="EY150">
        <v>2016</v>
      </c>
      <c r="EZ150">
        <v>570.66999999999996</v>
      </c>
      <c r="FA150" t="s">
        <v>1932</v>
      </c>
      <c r="FB150">
        <v>0.25</v>
      </c>
      <c r="FC150" t="s">
        <v>424</v>
      </c>
      <c r="FD150" t="s">
        <v>454</v>
      </c>
      <c r="FF150">
        <v>12</v>
      </c>
      <c r="FG150">
        <v>2851116</v>
      </c>
      <c r="FH150" t="s">
        <v>480</v>
      </c>
      <c r="FJ150" s="1">
        <v>42879</v>
      </c>
      <c r="FK150">
        <v>2016</v>
      </c>
      <c r="FL150">
        <v>570.66999999999996</v>
      </c>
      <c r="FM150" t="s">
        <v>1932</v>
      </c>
      <c r="FN150">
        <v>0.25</v>
      </c>
      <c r="FO150" t="s">
        <v>424</v>
      </c>
      <c r="FP150" t="s">
        <v>454</v>
      </c>
      <c r="FR150">
        <v>12</v>
      </c>
      <c r="FS150">
        <v>5346354</v>
      </c>
      <c r="FT150" t="s">
        <v>1933</v>
      </c>
      <c r="FV150" s="1">
        <v>42151</v>
      </c>
      <c r="FW150">
        <v>2014</v>
      </c>
      <c r="FX150">
        <v>576.66999999999996</v>
      </c>
      <c r="FY150" t="s">
        <v>1934</v>
      </c>
      <c r="FZ150">
        <v>0.25</v>
      </c>
      <c r="GA150" t="s">
        <v>424</v>
      </c>
      <c r="GB150" t="s">
        <v>425</v>
      </c>
      <c r="GC150" s="1">
        <v>42475</v>
      </c>
      <c r="GD150">
        <v>11</v>
      </c>
      <c r="GE150">
        <v>2851116</v>
      </c>
      <c r="GF150" t="s">
        <v>480</v>
      </c>
      <c r="GG150" t="s">
        <v>458</v>
      </c>
      <c r="GH150" s="1">
        <v>42151</v>
      </c>
      <c r="GI150">
        <v>2014</v>
      </c>
      <c r="GJ150">
        <v>576.66999999999996</v>
      </c>
      <c r="GK150" t="s">
        <v>1934</v>
      </c>
      <c r="GL150">
        <v>0.25</v>
      </c>
      <c r="GM150" t="s">
        <v>424</v>
      </c>
      <c r="GN150" t="s">
        <v>425</v>
      </c>
      <c r="GP150">
        <v>22</v>
      </c>
      <c r="GQ150">
        <v>5411874</v>
      </c>
      <c r="GR150" t="s">
        <v>1935</v>
      </c>
      <c r="GS150" t="s">
        <v>458</v>
      </c>
      <c r="GT150" s="1">
        <v>41787</v>
      </c>
      <c r="GU150">
        <v>2013</v>
      </c>
      <c r="GV150">
        <v>596.83000000000004</v>
      </c>
      <c r="GW150" t="s">
        <v>1936</v>
      </c>
      <c r="GX150">
        <v>0.25</v>
      </c>
      <c r="GY150" t="s">
        <v>424</v>
      </c>
      <c r="GZ150" t="s">
        <v>425</v>
      </c>
      <c r="HB150">
        <v>22</v>
      </c>
      <c r="HC150">
        <v>2407503</v>
      </c>
      <c r="HD150" t="s">
        <v>461</v>
      </c>
      <c r="HE150" t="s">
        <v>458</v>
      </c>
      <c r="HF150" s="1">
        <v>41423</v>
      </c>
      <c r="HG150">
        <v>2012</v>
      </c>
      <c r="HH150">
        <v>606.91999999999996</v>
      </c>
      <c r="HI150" t="s">
        <v>1937</v>
      </c>
      <c r="HJ150">
        <v>3.25</v>
      </c>
      <c r="HK150" t="s">
        <v>424</v>
      </c>
      <c r="HL150" t="s">
        <v>425</v>
      </c>
      <c r="HN150">
        <v>22</v>
      </c>
      <c r="HO150">
        <v>15399</v>
      </c>
      <c r="HP150" t="s">
        <v>485</v>
      </c>
      <c r="HR150" s="1">
        <v>41423</v>
      </c>
      <c r="HS150">
        <v>2012</v>
      </c>
      <c r="HT150">
        <v>606.91999999999996</v>
      </c>
      <c r="HU150" t="s">
        <v>1937</v>
      </c>
      <c r="HV150">
        <v>3.25</v>
      </c>
      <c r="HW150" t="s">
        <v>424</v>
      </c>
      <c r="HX150" t="s">
        <v>425</v>
      </c>
      <c r="HY150" s="1">
        <v>42094</v>
      </c>
      <c r="HZ150">
        <v>22</v>
      </c>
      <c r="IA150">
        <v>13027</v>
      </c>
      <c r="IB150" t="s">
        <v>826</v>
      </c>
      <c r="ID150" s="1">
        <v>41052</v>
      </c>
      <c r="IE150">
        <v>2011</v>
      </c>
      <c r="IF150">
        <v>691.52</v>
      </c>
      <c r="IG150" t="s">
        <v>1938</v>
      </c>
      <c r="IH150">
        <v>5.75</v>
      </c>
      <c r="II150" t="s">
        <v>424</v>
      </c>
      <c r="IJ150" t="s">
        <v>425</v>
      </c>
      <c r="IK150" s="1">
        <v>41719</v>
      </c>
      <c r="IL150">
        <v>22</v>
      </c>
      <c r="IM150">
        <v>10125</v>
      </c>
      <c r="IN150" t="s">
        <v>440</v>
      </c>
      <c r="IP150" s="1">
        <v>40688</v>
      </c>
      <c r="IQ150">
        <v>2010</v>
      </c>
      <c r="IR150">
        <v>757.83</v>
      </c>
      <c r="IS150" t="s">
        <v>1939</v>
      </c>
      <c r="IT150">
        <v>8</v>
      </c>
      <c r="IU150" t="s">
        <v>424</v>
      </c>
      <c r="IV150" t="s">
        <v>425</v>
      </c>
      <c r="IW150" s="1">
        <v>41358</v>
      </c>
      <c r="IX150">
        <v>22</v>
      </c>
      <c r="IY150">
        <v>15175</v>
      </c>
      <c r="IZ150" t="s">
        <v>588</v>
      </c>
      <c r="JB150" s="1">
        <v>40688</v>
      </c>
      <c r="JC150">
        <v>2010</v>
      </c>
      <c r="JD150">
        <v>757.83</v>
      </c>
      <c r="JE150" t="s">
        <v>1939</v>
      </c>
      <c r="JF150">
        <v>8</v>
      </c>
      <c r="JG150" t="s">
        <v>424</v>
      </c>
      <c r="JH150" t="s">
        <v>425</v>
      </c>
      <c r="JJ150">
        <v>22</v>
      </c>
      <c r="JK150">
        <v>10548</v>
      </c>
      <c r="JL150" t="s">
        <v>589</v>
      </c>
    </row>
    <row r="151" spans="1:296" x14ac:dyDescent="0.25">
      <c r="A151">
        <v>16485158</v>
      </c>
      <c r="B151">
        <v>150</v>
      </c>
      <c r="C151" t="s">
        <v>393</v>
      </c>
      <c r="D151" t="s">
        <v>394</v>
      </c>
      <c r="F151" t="str">
        <f>"21-2S-23-0000-0007-0040"</f>
        <v>21-2S-23-0000-0007-0040</v>
      </c>
      <c r="H151" t="str">
        <f>"BECK JAMES D EST"</f>
        <v>BECK JAMES D EST</v>
      </c>
      <c r="I151" t="str">
        <f>"2333 CARTER STREET"</f>
        <v>2333 CARTER STREET</v>
      </c>
      <c r="J151" t="str">
        <f>"BALDWIN FL 32234"</f>
        <v>BALDWIN FL 32234</v>
      </c>
      <c r="K151" t="str">
        <f>"2333 CARTER ST"</f>
        <v>2333 CARTER ST</v>
      </c>
      <c r="L151" t="str">
        <f t="shared" si="50"/>
        <v>BRYCEVILLE FL 32009</v>
      </c>
      <c r="M151" t="str">
        <f>"PT SW1/4 OF SEC 21-2S-23E IN OR 280/582 {R 106627}"</f>
        <v>PT SW1/4 OF SEC 21-2S-23E IN OR 280/582 {R 106627}</v>
      </c>
      <c r="N151" t="str">
        <f>""</f>
        <v/>
      </c>
      <c r="O151" t="str">
        <f>"33474"</f>
        <v>33474</v>
      </c>
      <c r="P151" t="str">
        <f t="shared" si="45"/>
        <v>2017</v>
      </c>
      <c r="Q151" t="str">
        <f>""</f>
        <v/>
      </c>
      <c r="R151" t="str">
        <f>"N"</f>
        <v>N</v>
      </c>
      <c r="S151" t="str">
        <f>"1.53"</f>
        <v>1.53</v>
      </c>
      <c r="T151" t="str">
        <f>"532.95"</f>
        <v>532.95</v>
      </c>
      <c r="U151" t="str">
        <f>"35204.00"</f>
        <v>35204.00</v>
      </c>
      <c r="V151" t="str">
        <f>"35204.00"</f>
        <v>35204.00</v>
      </c>
      <c r="W151" t="str">
        <f t="shared" si="46"/>
        <v>2017</v>
      </c>
      <c r="X151" t="str">
        <f>""</f>
        <v/>
      </c>
      <c r="Y151" t="str">
        <f>"580.94"</f>
        <v>580.94</v>
      </c>
      <c r="Z151" t="str">
        <f>""</f>
        <v/>
      </c>
      <c r="AA151" t="str">
        <f>"35204.00"</f>
        <v>35204.00</v>
      </c>
      <c r="AB151" t="str">
        <f>"Residential"</f>
        <v>Residential</v>
      </c>
      <c r="AC151" t="str">
        <f t="shared" si="47"/>
        <v>0</v>
      </c>
      <c r="AD151" t="str">
        <f>"4"</f>
        <v>4</v>
      </c>
      <c r="AE151" t="str">
        <f>"WOOD (INCLUDE STEEL STUDS)"</f>
        <v>WOOD (INCLUDE STEEL STUDS)</v>
      </c>
      <c r="AF151" t="str">
        <f>"002"</f>
        <v>002</v>
      </c>
      <c r="AG151" t="str">
        <f t="shared" si="49"/>
        <v>FL</v>
      </c>
      <c r="AH151" t="str">
        <f>"66646.00"</f>
        <v>66646.00</v>
      </c>
      <c r="AI151" t="str">
        <f>"22950.00"</f>
        <v>22950.00</v>
      </c>
      <c r="AJ151" t="str">
        <f>"C55-000-587-2839-5"</f>
        <v>C55-000-587-2839-5</v>
      </c>
      <c r="AK151" t="str">
        <f>"3391"</f>
        <v>3391</v>
      </c>
      <c r="AL151">
        <v>1</v>
      </c>
      <c r="AM151">
        <v>177</v>
      </c>
      <c r="AN151">
        <v>608.39</v>
      </c>
      <c r="AQ151" t="s">
        <v>1940</v>
      </c>
      <c r="AR151" t="s">
        <v>1940</v>
      </c>
      <c r="AS151" t="s">
        <v>1940</v>
      </c>
      <c r="AU151" t="s">
        <v>396</v>
      </c>
      <c r="AV151">
        <v>2017</v>
      </c>
      <c r="AW151" t="str">
        <f>"21-2S-23-0000-0007-0040 "</f>
        <v xml:space="preserve">21-2S-23-0000-0007-0040 </v>
      </c>
      <c r="AX151">
        <v>2333</v>
      </c>
      <c r="AZ151" t="s">
        <v>1941</v>
      </c>
      <c r="BA151" t="s">
        <v>1942</v>
      </c>
      <c r="BD151" t="s">
        <v>553</v>
      </c>
      <c r="BE151" t="s">
        <v>393</v>
      </c>
      <c r="BF151">
        <v>32009</v>
      </c>
      <c r="BG151" t="s">
        <v>1943</v>
      </c>
      <c r="BH151" t="s">
        <v>555</v>
      </c>
      <c r="BI151">
        <v>-82.011051105301902</v>
      </c>
      <c r="BJ151">
        <v>30.307885836136101</v>
      </c>
      <c r="BK151" t="s">
        <v>1944</v>
      </c>
      <c r="BM151" t="s">
        <v>1945</v>
      </c>
      <c r="BN151" t="s">
        <v>1006</v>
      </c>
      <c r="BO151">
        <v>32234</v>
      </c>
      <c r="BP151" t="s">
        <v>416</v>
      </c>
      <c r="BQ151">
        <v>200</v>
      </c>
      <c r="BR151" t="s">
        <v>405</v>
      </c>
      <c r="BS151">
        <v>1006</v>
      </c>
      <c r="BT151" t="s">
        <v>406</v>
      </c>
      <c r="BW151">
        <v>66646</v>
      </c>
      <c r="BX151" t="s">
        <v>407</v>
      </c>
      <c r="BY151" t="s">
        <v>408</v>
      </c>
      <c r="BZ151">
        <v>4</v>
      </c>
      <c r="CA151">
        <v>1973</v>
      </c>
      <c r="CB151">
        <v>1</v>
      </c>
      <c r="CC151">
        <v>1</v>
      </c>
      <c r="CD151">
        <v>2017</v>
      </c>
      <c r="CE151">
        <v>22950</v>
      </c>
      <c r="CF151">
        <v>12254</v>
      </c>
      <c r="CG151">
        <v>35204</v>
      </c>
      <c r="CH151">
        <v>2017</v>
      </c>
      <c r="CI151">
        <v>22950</v>
      </c>
      <c r="CJ151">
        <v>12254</v>
      </c>
      <c r="CK151">
        <v>35204</v>
      </c>
      <c r="CL151">
        <v>2017</v>
      </c>
      <c r="CM151">
        <v>532.95000000000005</v>
      </c>
      <c r="CN151" s="1">
        <v>28825</v>
      </c>
      <c r="CO151">
        <v>12500</v>
      </c>
      <c r="CZ151" s="1">
        <v>28825</v>
      </c>
      <c r="DD151" t="s">
        <v>553</v>
      </c>
      <c r="DG151">
        <v>21</v>
      </c>
      <c r="DL151">
        <v>50504</v>
      </c>
      <c r="DM151" t="s">
        <v>1894</v>
      </c>
      <c r="DO151" t="s">
        <v>1946</v>
      </c>
      <c r="DP151">
        <v>0</v>
      </c>
      <c r="DQ151">
        <v>0</v>
      </c>
      <c r="DR151" t="s">
        <v>411</v>
      </c>
    </row>
    <row r="152" spans="1:296" x14ac:dyDescent="0.25">
      <c r="A152">
        <v>16485159</v>
      </c>
      <c r="B152">
        <v>151</v>
      </c>
      <c r="C152" t="s">
        <v>393</v>
      </c>
      <c r="D152" t="s">
        <v>394</v>
      </c>
      <c r="F152" t="str">
        <f>"21-2S-23-0000-0008-0000"</f>
        <v>21-2S-23-0000-0008-0000</v>
      </c>
      <c r="H152" t="str">
        <f>"BROOKS BOBBY ELBERT"</f>
        <v>BROOKS BOBBY ELBERT</v>
      </c>
      <c r="I152" t="str">
        <f>"2310 CARTER ST"</f>
        <v>2310 CARTER ST</v>
      </c>
      <c r="J152" t="str">
        <f>"BALDWIN FL 32234"</f>
        <v>BALDWIN FL 32234</v>
      </c>
      <c r="K152" t="str">
        <f>"2310 CARTER ST"</f>
        <v>2310 CARTER ST</v>
      </c>
      <c r="L152" t="str">
        <f t="shared" si="50"/>
        <v>BRYCEVILLE FL 32009</v>
      </c>
      <c r="M152" t="str">
        <f>"PT OF NE1/4 OF NE1/4 OF SW1/4 OR 373/148 &amp; OR 733/882"</f>
        <v>PT OF NE1/4 OF NE1/4 OF SW1/4 OR 373/148 &amp; OR 733/882</v>
      </c>
      <c r="N152" t="str">
        <f>""</f>
        <v/>
      </c>
      <c r="O152" t="str">
        <f>"33491"</f>
        <v>33491</v>
      </c>
      <c r="P152" t="str">
        <f t="shared" si="45"/>
        <v>2017</v>
      </c>
      <c r="Q152" t="str">
        <f>""</f>
        <v/>
      </c>
      <c r="R152" t="str">
        <f>"N"</f>
        <v>N</v>
      </c>
      <c r="S152" t="str">
        <f>"1.50"</f>
        <v>1.50</v>
      </c>
      <c r="T152" t="str">
        <f>"310.46"</f>
        <v>310.46</v>
      </c>
      <c r="U152" t="str">
        <f>"18967.00"</f>
        <v>18967.00</v>
      </c>
      <c r="V152" t="str">
        <f>"18967.00"</f>
        <v>18967.00</v>
      </c>
      <c r="W152" t="str">
        <f t="shared" si="46"/>
        <v>2017</v>
      </c>
      <c r="X152" t="str">
        <f>"19.38"</f>
        <v>19.38</v>
      </c>
      <c r="Y152" t="str">
        <f>"351.77"</f>
        <v>351.77</v>
      </c>
      <c r="Z152" t="str">
        <f>""</f>
        <v/>
      </c>
      <c r="AA152" t="str">
        <f>"22500.00"</f>
        <v>22500.00</v>
      </c>
      <c r="AB152" t="str">
        <f>"Residential"</f>
        <v>Residential</v>
      </c>
      <c r="AC152" t="str">
        <f t="shared" si="47"/>
        <v>0</v>
      </c>
      <c r="AD152" t="str">
        <f>""</f>
        <v/>
      </c>
      <c r="AE152" t="str">
        <f>""</f>
        <v/>
      </c>
      <c r="AF152" t="str">
        <f>"000"</f>
        <v>000</v>
      </c>
      <c r="AG152" t="str">
        <f t="shared" si="49"/>
        <v>FL</v>
      </c>
      <c r="AH152" t="str">
        <f>"65340.00"</f>
        <v>65340.00</v>
      </c>
      <c r="AI152" t="str">
        <f>"22500.00"</f>
        <v>22500.00</v>
      </c>
      <c r="AJ152" t="str">
        <f>"C55-000-587-2855-1"</f>
        <v>C55-000-587-2855-1</v>
      </c>
      <c r="AK152" t="str">
        <f>"3407"</f>
        <v>3407</v>
      </c>
      <c r="AL152">
        <v>1</v>
      </c>
      <c r="AM152">
        <v>178</v>
      </c>
      <c r="AN152">
        <v>367.76</v>
      </c>
      <c r="AQ152" t="s">
        <v>1947</v>
      </c>
      <c r="AR152" t="s">
        <v>1947</v>
      </c>
      <c r="AS152" t="s">
        <v>1947</v>
      </c>
      <c r="AU152" t="s">
        <v>396</v>
      </c>
      <c r="AV152">
        <v>2017</v>
      </c>
      <c r="AW152" t="str">
        <f>"21-2S-23-0000-0008-0000 "</f>
        <v xml:space="preserve">21-2S-23-0000-0008-0000 </v>
      </c>
      <c r="AX152">
        <v>2310</v>
      </c>
      <c r="AZ152" t="s">
        <v>1941</v>
      </c>
      <c r="BA152" t="s">
        <v>1942</v>
      </c>
      <c r="BD152" t="s">
        <v>553</v>
      </c>
      <c r="BE152" t="s">
        <v>393</v>
      </c>
      <c r="BF152">
        <v>32009</v>
      </c>
      <c r="BG152" t="s">
        <v>1948</v>
      </c>
      <c r="BH152" t="s">
        <v>555</v>
      </c>
      <c r="BI152">
        <v>-82.010099192090706</v>
      </c>
      <c r="BJ152">
        <v>30.308797830231399</v>
      </c>
      <c r="BK152" t="s">
        <v>1949</v>
      </c>
      <c r="BM152" t="s">
        <v>1948</v>
      </c>
      <c r="BN152" t="s">
        <v>1006</v>
      </c>
      <c r="BO152">
        <v>32234</v>
      </c>
      <c r="BP152" t="s">
        <v>404</v>
      </c>
      <c r="BQ152">
        <v>0</v>
      </c>
      <c r="BR152" t="s">
        <v>491</v>
      </c>
      <c r="BS152">
        <v>8001</v>
      </c>
      <c r="BT152" t="s">
        <v>492</v>
      </c>
      <c r="BW152">
        <v>65340</v>
      </c>
      <c r="BX152" t="s">
        <v>407</v>
      </c>
      <c r="BY152" t="s">
        <v>408</v>
      </c>
      <c r="CD152">
        <v>2017</v>
      </c>
      <c r="CE152">
        <v>22500</v>
      </c>
      <c r="CG152">
        <v>22500</v>
      </c>
      <c r="CH152">
        <v>2017</v>
      </c>
      <c r="CI152">
        <v>22500</v>
      </c>
      <c r="CK152">
        <v>22500</v>
      </c>
      <c r="CL152">
        <v>2017</v>
      </c>
      <c r="CM152">
        <v>310.45999999999998</v>
      </c>
      <c r="CN152" s="1">
        <v>34890</v>
      </c>
      <c r="CZ152" s="1">
        <v>34890</v>
      </c>
      <c r="DD152" t="s">
        <v>553</v>
      </c>
      <c r="DG152">
        <v>21</v>
      </c>
      <c r="DL152">
        <v>50504</v>
      </c>
      <c r="DM152" t="s">
        <v>1894</v>
      </c>
      <c r="DO152" t="s">
        <v>1950</v>
      </c>
      <c r="DP152">
        <v>0</v>
      </c>
      <c r="DQ152">
        <v>0</v>
      </c>
      <c r="DR152" t="s">
        <v>411</v>
      </c>
      <c r="DS152" t="b">
        <v>1</v>
      </c>
      <c r="DT152" t="s">
        <v>470</v>
      </c>
      <c r="DU152" t="s">
        <v>471</v>
      </c>
      <c r="DV152" t="s">
        <v>472</v>
      </c>
      <c r="DX152">
        <v>-9999</v>
      </c>
      <c r="DZ152" t="s">
        <v>447</v>
      </c>
      <c r="EA152" t="s">
        <v>448</v>
      </c>
      <c r="EB152" t="s">
        <v>1951</v>
      </c>
      <c r="EC152">
        <v>20101217</v>
      </c>
      <c r="ED152" t="s">
        <v>474</v>
      </c>
      <c r="EF152">
        <v>817.3</v>
      </c>
      <c r="EG152">
        <v>817.3</v>
      </c>
      <c r="EI152">
        <v>20160407</v>
      </c>
      <c r="EJ152">
        <v>0</v>
      </c>
      <c r="EK152">
        <v>0</v>
      </c>
      <c r="EP152" t="s">
        <v>421</v>
      </c>
      <c r="EQ152" t="s">
        <v>422</v>
      </c>
      <c r="ER152">
        <v>1</v>
      </c>
      <c r="ES152">
        <v>3</v>
      </c>
      <c r="ET152">
        <v>318.82</v>
      </c>
      <c r="EU152">
        <v>26.97</v>
      </c>
      <c r="EV152">
        <v>345.79</v>
      </c>
      <c r="EW152" s="2">
        <v>43222</v>
      </c>
      <c r="EX152" s="1">
        <v>42879</v>
      </c>
      <c r="EY152">
        <v>2016</v>
      </c>
      <c r="EZ152">
        <v>318.82</v>
      </c>
      <c r="FA152" t="s">
        <v>1952</v>
      </c>
      <c r="FB152">
        <v>6.5</v>
      </c>
      <c r="FC152" t="s">
        <v>424</v>
      </c>
      <c r="FD152" t="s">
        <v>454</v>
      </c>
      <c r="FF152">
        <v>12</v>
      </c>
      <c r="FG152">
        <v>10125</v>
      </c>
      <c r="FH152" t="s">
        <v>440</v>
      </c>
      <c r="FJ152" s="1">
        <v>42515</v>
      </c>
      <c r="FK152">
        <v>2015</v>
      </c>
      <c r="FL152">
        <v>306.54000000000002</v>
      </c>
      <c r="FM152" t="s">
        <v>1953</v>
      </c>
      <c r="FN152">
        <v>14.75</v>
      </c>
      <c r="FO152" t="s">
        <v>424</v>
      </c>
      <c r="FP152" t="s">
        <v>425</v>
      </c>
      <c r="FQ152" s="1">
        <v>43147</v>
      </c>
      <c r="FR152">
        <v>21</v>
      </c>
      <c r="FS152">
        <v>7336143</v>
      </c>
      <c r="FT152" t="s">
        <v>539</v>
      </c>
      <c r="FV152" s="1">
        <v>42151</v>
      </c>
      <c r="FW152">
        <v>2014</v>
      </c>
      <c r="FX152">
        <v>265.56</v>
      </c>
      <c r="FY152" t="s">
        <v>1954</v>
      </c>
      <c r="FZ152">
        <v>15.5</v>
      </c>
      <c r="GA152" t="s">
        <v>424</v>
      </c>
      <c r="GB152" t="s">
        <v>425</v>
      </c>
      <c r="GC152" s="1">
        <v>42780</v>
      </c>
      <c r="GD152">
        <v>21</v>
      </c>
      <c r="GE152">
        <v>10125</v>
      </c>
      <c r="GF152" t="s">
        <v>440</v>
      </c>
      <c r="GH152" s="1">
        <v>41787</v>
      </c>
      <c r="GI152">
        <v>2013</v>
      </c>
      <c r="GJ152">
        <v>252.53</v>
      </c>
      <c r="GK152" t="s">
        <v>1955</v>
      </c>
      <c r="GL152">
        <v>16</v>
      </c>
      <c r="GM152" t="s">
        <v>424</v>
      </c>
      <c r="GN152" t="s">
        <v>425</v>
      </c>
      <c r="GO152" s="1">
        <v>42093</v>
      </c>
      <c r="GP152">
        <v>10</v>
      </c>
      <c r="GQ152">
        <v>10125</v>
      </c>
      <c r="GR152" t="s">
        <v>440</v>
      </c>
    </row>
    <row r="153" spans="1:296" x14ac:dyDescent="0.25">
      <c r="A153">
        <v>16485160</v>
      </c>
      <c r="B153">
        <v>152</v>
      </c>
      <c r="C153" t="s">
        <v>393</v>
      </c>
      <c r="D153" t="s">
        <v>394</v>
      </c>
      <c r="F153" t="str">
        <f>"21-2S-23-0000-0009-0020"</f>
        <v>21-2S-23-0000-0009-0020</v>
      </c>
      <c r="H153" t="str">
        <f>"DEDMON DERRY W &amp; M L"</f>
        <v>DEDMON DERRY W &amp; M L</v>
      </c>
      <c r="I153" t="str">
        <f>"2896 RIVER OAK DRIVE"</f>
        <v>2896 RIVER OAK DRIVE</v>
      </c>
      <c r="J153" t="str">
        <f>"ORANGE PARK FL 32073"</f>
        <v>ORANGE PARK FL 32073</v>
      </c>
      <c r="K153" t="str">
        <f>"CANAL RD"</f>
        <v>CANAL RD</v>
      </c>
      <c r="L153" t="str">
        <f t="shared" si="50"/>
        <v>BRYCEVILLE FL 32009</v>
      </c>
      <c r="M153" t="str">
        <f>"PT SW1/4 OF SW1/4 OF SEC 21-2S-23E IN OR 227/612"</f>
        <v>PT SW1/4 OF SW1/4 OF SEC 21-2S-23E IN OR 227/612</v>
      </c>
      <c r="N153" t="str">
        <f>""</f>
        <v/>
      </c>
      <c r="O153" t="str">
        <f>"33494"</f>
        <v>33494</v>
      </c>
      <c r="P153" t="str">
        <f t="shared" si="45"/>
        <v>2017</v>
      </c>
      <c r="Q153" t="str">
        <f>""</f>
        <v/>
      </c>
      <c r="R153" t="str">
        <f>"N"</f>
        <v>N</v>
      </c>
      <c r="S153" t="str">
        <f>"1.00"</f>
        <v>1.00</v>
      </c>
      <c r="T153" t="str">
        <f>"94.58"</f>
        <v>94.58</v>
      </c>
      <c r="U153" t="str">
        <f>"5280.00"</f>
        <v>5280.00</v>
      </c>
      <c r="V153" t="str">
        <f>"5280.00"</f>
        <v>5280.00</v>
      </c>
      <c r="W153" t="str">
        <f t="shared" si="46"/>
        <v>2017</v>
      </c>
      <c r="X153" t="str">
        <f>""</f>
        <v/>
      </c>
      <c r="Y153" t="str">
        <f>"129.42"</f>
        <v>129.42</v>
      </c>
      <c r="Z153" t="str">
        <f>""</f>
        <v/>
      </c>
      <c r="AA153" t="str">
        <f>"7500.00"</f>
        <v>7500.00</v>
      </c>
      <c r="AB153" t="str">
        <f>"Residential"</f>
        <v>Residential</v>
      </c>
      <c r="AC153" t="str">
        <f t="shared" si="47"/>
        <v>0</v>
      </c>
      <c r="AD153" t="str">
        <f>""</f>
        <v/>
      </c>
      <c r="AE153" t="str">
        <f>""</f>
        <v/>
      </c>
      <c r="AF153" t="str">
        <f>"000"</f>
        <v>000</v>
      </c>
      <c r="AG153" t="str">
        <f t="shared" si="49"/>
        <v>FL</v>
      </c>
      <c r="AH153" t="str">
        <f>"43560.00"</f>
        <v>43560.00</v>
      </c>
      <c r="AI153" t="str">
        <f>"7500.00"</f>
        <v>7500.00</v>
      </c>
      <c r="AJ153" t="str">
        <f>"C55-000-587-2858-5"</f>
        <v>C55-000-587-2858-5</v>
      </c>
      <c r="AK153" t="str">
        <f>"3410"</f>
        <v>3410</v>
      </c>
      <c r="AL153">
        <v>1</v>
      </c>
      <c r="AM153">
        <v>179</v>
      </c>
      <c r="AN153">
        <v>134.29</v>
      </c>
      <c r="AQ153" t="s">
        <v>1956</v>
      </c>
      <c r="AR153" t="s">
        <v>1956</v>
      </c>
      <c r="AS153" t="s">
        <v>1956</v>
      </c>
      <c r="AU153" t="s">
        <v>396</v>
      </c>
      <c r="AV153">
        <v>2017</v>
      </c>
      <c r="AW153" t="str">
        <f>"21-2S-23-0000-0009-0020 "</f>
        <v xml:space="preserve">21-2S-23-0000-0009-0020 </v>
      </c>
      <c r="AZ153" t="s">
        <v>1957</v>
      </c>
      <c r="BA153" t="s">
        <v>496</v>
      </c>
      <c r="BD153" t="s">
        <v>553</v>
      </c>
      <c r="BE153" t="s">
        <v>393</v>
      </c>
      <c r="BF153">
        <v>32009</v>
      </c>
      <c r="BG153" t="s">
        <v>1958</v>
      </c>
      <c r="BH153" t="s">
        <v>555</v>
      </c>
      <c r="BI153">
        <v>-82.013330494250198</v>
      </c>
      <c r="BJ153">
        <v>30.305486936966101</v>
      </c>
      <c r="BK153" t="s">
        <v>1959</v>
      </c>
      <c r="BM153" t="s">
        <v>1960</v>
      </c>
      <c r="BN153" t="s">
        <v>878</v>
      </c>
      <c r="BO153">
        <v>32073</v>
      </c>
      <c r="BP153" t="s">
        <v>404</v>
      </c>
      <c r="BQ153">
        <v>0</v>
      </c>
      <c r="BR153" t="s">
        <v>491</v>
      </c>
      <c r="BS153">
        <v>8001</v>
      </c>
      <c r="BT153" t="s">
        <v>492</v>
      </c>
      <c r="BW153">
        <v>43560</v>
      </c>
      <c r="BX153" t="s">
        <v>407</v>
      </c>
      <c r="BY153" t="s">
        <v>408</v>
      </c>
      <c r="CD153">
        <v>2017</v>
      </c>
      <c r="CE153">
        <v>7500</v>
      </c>
      <c r="CG153">
        <v>7500</v>
      </c>
      <c r="CH153">
        <v>2017</v>
      </c>
      <c r="CI153">
        <v>7500</v>
      </c>
      <c r="CK153">
        <v>7500</v>
      </c>
      <c r="CL153">
        <v>2017</v>
      </c>
      <c r="CM153">
        <v>94.58</v>
      </c>
      <c r="CN153" s="1">
        <v>27760</v>
      </c>
      <c r="CO153">
        <v>4500</v>
      </c>
      <c r="CZ153" s="1">
        <v>27760</v>
      </c>
      <c r="DD153" t="s">
        <v>553</v>
      </c>
      <c r="DG153">
        <v>21</v>
      </c>
      <c r="DM153" t="s">
        <v>1894</v>
      </c>
      <c r="DO153" t="s">
        <v>1961</v>
      </c>
      <c r="DP153">
        <v>0</v>
      </c>
      <c r="DQ153">
        <v>0</v>
      </c>
      <c r="DR153" t="s">
        <v>411</v>
      </c>
      <c r="DS153" t="b">
        <v>1</v>
      </c>
      <c r="DT153" t="s">
        <v>470</v>
      </c>
      <c r="DU153" t="s">
        <v>471</v>
      </c>
      <c r="DV153" t="s">
        <v>472</v>
      </c>
      <c r="DX153">
        <v>-9999</v>
      </c>
      <c r="DZ153" t="s">
        <v>447</v>
      </c>
      <c r="EA153" t="s">
        <v>448</v>
      </c>
      <c r="EB153" t="s">
        <v>1951</v>
      </c>
      <c r="EC153">
        <v>20101217</v>
      </c>
      <c r="ED153" t="s">
        <v>474</v>
      </c>
      <c r="EF153">
        <v>38.5</v>
      </c>
      <c r="EG153">
        <v>38.5</v>
      </c>
      <c r="EI153">
        <v>20160407</v>
      </c>
      <c r="EJ153">
        <v>0</v>
      </c>
      <c r="EK153">
        <v>0</v>
      </c>
      <c r="EP153" t="s">
        <v>421</v>
      </c>
      <c r="EQ153" t="s">
        <v>422</v>
      </c>
      <c r="ER153">
        <v>4</v>
      </c>
      <c r="ES153">
        <v>0</v>
      </c>
      <c r="ET153">
        <v>383.66</v>
      </c>
      <c r="EU153">
        <v>184.43</v>
      </c>
      <c r="EV153">
        <v>568.09</v>
      </c>
      <c r="EW153" s="2">
        <v>43222</v>
      </c>
      <c r="EX153" s="1">
        <v>42879</v>
      </c>
      <c r="EY153">
        <v>2016</v>
      </c>
      <c r="EZ153">
        <v>106.67</v>
      </c>
      <c r="FA153" t="s">
        <v>1962</v>
      </c>
      <c r="FB153">
        <v>18</v>
      </c>
      <c r="FC153" t="s">
        <v>424</v>
      </c>
      <c r="FD153" t="s">
        <v>454</v>
      </c>
      <c r="FF153">
        <v>12</v>
      </c>
      <c r="FG153">
        <v>10125</v>
      </c>
      <c r="FH153" t="s">
        <v>440</v>
      </c>
      <c r="FJ153" s="1">
        <v>42515</v>
      </c>
      <c r="FK153">
        <v>2015</v>
      </c>
      <c r="FL153">
        <v>99.91</v>
      </c>
      <c r="FM153" t="s">
        <v>1963</v>
      </c>
      <c r="FN153">
        <v>18</v>
      </c>
      <c r="FO153" t="s">
        <v>424</v>
      </c>
      <c r="FP153" t="s">
        <v>454</v>
      </c>
      <c r="FR153">
        <v>24</v>
      </c>
      <c r="FS153">
        <v>10125</v>
      </c>
      <c r="FT153" t="s">
        <v>440</v>
      </c>
      <c r="FV153" s="1">
        <v>42151</v>
      </c>
      <c r="FW153">
        <v>2014</v>
      </c>
      <c r="FX153">
        <v>90.38</v>
      </c>
      <c r="FY153" t="s">
        <v>1964</v>
      </c>
      <c r="FZ153">
        <v>15.75</v>
      </c>
      <c r="GA153" t="s">
        <v>424</v>
      </c>
      <c r="GB153" t="s">
        <v>454</v>
      </c>
      <c r="GD153">
        <v>36</v>
      </c>
      <c r="GE153">
        <v>10125</v>
      </c>
      <c r="GF153" t="s">
        <v>440</v>
      </c>
      <c r="GH153" s="1">
        <v>41787</v>
      </c>
      <c r="GI153">
        <v>2013</v>
      </c>
      <c r="GJ153">
        <v>86.7</v>
      </c>
      <c r="GK153" t="s">
        <v>1965</v>
      </c>
      <c r="GL153">
        <v>17.75</v>
      </c>
      <c r="GM153" t="s">
        <v>424</v>
      </c>
      <c r="GN153" t="s">
        <v>454</v>
      </c>
      <c r="GP153">
        <v>48</v>
      </c>
      <c r="GQ153">
        <v>3039821</v>
      </c>
      <c r="GR153" t="s">
        <v>721</v>
      </c>
    </row>
    <row r="154" spans="1:296" x14ac:dyDescent="0.25">
      <c r="A154">
        <v>16485161</v>
      </c>
      <c r="B154">
        <v>153</v>
      </c>
      <c r="C154" t="s">
        <v>393</v>
      </c>
      <c r="D154" t="s">
        <v>394</v>
      </c>
      <c r="F154" t="str">
        <f>"02-3N-23-2020-0010-0010"</f>
        <v>02-3N-23-2020-0010-0010</v>
      </c>
      <c r="H154" t="str">
        <f>"SCHONBRUN HARVEY TRUSTEE"</f>
        <v>SCHONBRUN HARVEY TRUSTEE</v>
      </c>
      <c r="I154" t="str">
        <f>"1802 NORTH MORGAN STREET"</f>
        <v>1802 NORTH MORGAN STREET</v>
      </c>
      <c r="J154" t="str">
        <f>"TAMPA FL 33602"</f>
        <v>TAMPA FL 33602</v>
      </c>
      <c r="K154" t="str">
        <f>"17805 CORNERSTONE RD"</f>
        <v>17805 CORNERSTONE RD</v>
      </c>
      <c r="L154" t="str">
        <f t="shared" ref="L154:L192" si="51">"HILLIARD FL 32046"</f>
        <v>HILLIARD FL 32046</v>
      </c>
      <c r="M154" t="str">
        <f>"W243 FT OF S210 FT OF LOT 10 EX W33 FT FOR R/W IN OR 1711/837 CORNWALL SURVEY"</f>
        <v>W243 FT OF S210 FT OF LOT 10 EX W33 FT FOR R/W IN OR 1711/837 CORNWALL SURVEY</v>
      </c>
      <c r="N154" t="str">
        <f>""</f>
        <v/>
      </c>
      <c r="O154" t="str">
        <f>"17989"</f>
        <v>17989</v>
      </c>
      <c r="P154" t="str">
        <f t="shared" si="45"/>
        <v>2017</v>
      </c>
      <c r="Q154" t="str">
        <f>""</f>
        <v/>
      </c>
      <c r="R154" t="str">
        <f>"N"</f>
        <v>N</v>
      </c>
      <c r="S154" t="str">
        <f>"1.00"</f>
        <v>1.00</v>
      </c>
      <c r="T154" t="str">
        <f>"1076.36"</f>
        <v>1076.36</v>
      </c>
      <c r="U154" t="str">
        <f>"71099.00"</f>
        <v>71099.00</v>
      </c>
      <c r="V154" t="str">
        <f>"71099.00"</f>
        <v>71099.00</v>
      </c>
      <c r="W154" t="str">
        <f t="shared" si="46"/>
        <v>2017</v>
      </c>
      <c r="X154" t="str">
        <f>"12.86"</f>
        <v>12.86</v>
      </c>
      <c r="Y154" t="str">
        <f>"1140.65"</f>
        <v>1140.65</v>
      </c>
      <c r="Z154" t="str">
        <f>""</f>
        <v/>
      </c>
      <c r="AA154" t="str">
        <f>"71099.00"</f>
        <v>71099.00</v>
      </c>
      <c r="AB154" t="str">
        <f>"Residential"</f>
        <v>Residential</v>
      </c>
      <c r="AC154" t="str">
        <f t="shared" si="47"/>
        <v>0</v>
      </c>
      <c r="AD154" t="str">
        <f>"4"</f>
        <v>4</v>
      </c>
      <c r="AE154" t="str">
        <f>"WOOD (INCLUDE STEEL STUDS)"</f>
        <v>WOOD (INCLUDE STEEL STUDS)</v>
      </c>
      <c r="AF154" t="str">
        <f>"001"</f>
        <v>001</v>
      </c>
      <c r="AG154" t="str">
        <f t="shared" si="49"/>
        <v>FL</v>
      </c>
      <c r="AH154" t="str">
        <f>"43560.00"</f>
        <v>43560.00</v>
      </c>
      <c r="AI154" t="str">
        <f>"12000.00"</f>
        <v>12000.00</v>
      </c>
      <c r="AJ154" t="str">
        <f>"C55-000-586-3924-6"</f>
        <v>C55-000-586-3924-6</v>
      </c>
      <c r="AK154" t="str">
        <f>"1207"</f>
        <v>1207</v>
      </c>
      <c r="AL154">
        <v>1</v>
      </c>
      <c r="AM154">
        <v>180</v>
      </c>
      <c r="AN154">
        <v>1196.08</v>
      </c>
      <c r="AQ154" t="s">
        <v>1966</v>
      </c>
      <c r="AR154" t="s">
        <v>1966</v>
      </c>
      <c r="AS154" t="s">
        <v>1966</v>
      </c>
      <c r="AU154" t="s">
        <v>396</v>
      </c>
      <c r="AV154">
        <v>2017</v>
      </c>
      <c r="AW154" t="str">
        <f>"02-3N-23-2020-0010-0010 "</f>
        <v xml:space="preserve">02-3N-23-2020-0010-0010 </v>
      </c>
      <c r="AX154">
        <v>17805</v>
      </c>
      <c r="AZ154" t="s">
        <v>1967</v>
      </c>
      <c r="BA154" t="s">
        <v>496</v>
      </c>
      <c r="BD154" t="s">
        <v>398</v>
      </c>
      <c r="BE154" t="s">
        <v>393</v>
      </c>
      <c r="BF154">
        <v>32046</v>
      </c>
      <c r="BG154" t="s">
        <v>1968</v>
      </c>
      <c r="BH154" t="s">
        <v>400</v>
      </c>
      <c r="BI154">
        <v>-81.991568281896093</v>
      </c>
      <c r="BJ154">
        <v>30.7030568688023</v>
      </c>
      <c r="BK154" t="s">
        <v>1969</v>
      </c>
      <c r="BM154" t="s">
        <v>1970</v>
      </c>
      <c r="BN154" t="s">
        <v>1971</v>
      </c>
      <c r="BO154">
        <v>33602</v>
      </c>
      <c r="BP154" t="s">
        <v>404</v>
      </c>
      <c r="BQ154">
        <v>100</v>
      </c>
      <c r="BR154" t="s">
        <v>514</v>
      </c>
      <c r="BS154">
        <v>1001</v>
      </c>
      <c r="BT154" t="s">
        <v>515</v>
      </c>
      <c r="BW154">
        <v>43560</v>
      </c>
      <c r="BX154" t="s">
        <v>407</v>
      </c>
      <c r="BY154" t="s">
        <v>408</v>
      </c>
      <c r="BZ154">
        <v>4</v>
      </c>
      <c r="CA154">
        <v>1970</v>
      </c>
      <c r="CB154">
        <v>1</v>
      </c>
      <c r="CC154">
        <v>1</v>
      </c>
      <c r="CD154">
        <v>2017</v>
      </c>
      <c r="CE154">
        <v>12000</v>
      </c>
      <c r="CF154">
        <v>59099</v>
      </c>
      <c r="CG154">
        <v>71099</v>
      </c>
      <c r="CH154">
        <v>2017</v>
      </c>
      <c r="CI154">
        <v>12000</v>
      </c>
      <c r="CJ154">
        <v>59099</v>
      </c>
      <c r="CK154">
        <v>71099</v>
      </c>
      <c r="CL154">
        <v>2017</v>
      </c>
      <c r="CM154">
        <v>1076.3599999999999</v>
      </c>
      <c r="CN154" s="1">
        <v>40484</v>
      </c>
      <c r="CZ154" s="1">
        <v>40484</v>
      </c>
      <c r="DD154" t="s">
        <v>398</v>
      </c>
      <c r="DF154">
        <v>10</v>
      </c>
      <c r="DG154">
        <v>2</v>
      </c>
      <c r="DL154">
        <v>50400</v>
      </c>
      <c r="DM154" t="s">
        <v>1972</v>
      </c>
      <c r="DO154" t="s">
        <v>1973</v>
      </c>
      <c r="DP154">
        <v>0</v>
      </c>
      <c r="DQ154">
        <v>0</v>
      </c>
      <c r="DR154" t="s">
        <v>411</v>
      </c>
      <c r="DS154" t="b">
        <v>1</v>
      </c>
      <c r="DT154" t="s">
        <v>470</v>
      </c>
      <c r="DU154" t="s">
        <v>471</v>
      </c>
      <c r="DV154" t="s">
        <v>472</v>
      </c>
      <c r="DX154">
        <v>-9999</v>
      </c>
      <c r="DZ154" t="s">
        <v>447</v>
      </c>
      <c r="EA154" t="s">
        <v>448</v>
      </c>
      <c r="EB154" t="s">
        <v>1224</v>
      </c>
      <c r="EC154">
        <v>20101217</v>
      </c>
      <c r="ED154" t="s">
        <v>474</v>
      </c>
      <c r="EF154">
        <v>595.79999999999995</v>
      </c>
      <c r="EG154">
        <v>595.79999999999995</v>
      </c>
      <c r="EI154">
        <v>20160407</v>
      </c>
      <c r="EJ154">
        <v>0</v>
      </c>
      <c r="EK154">
        <v>1</v>
      </c>
      <c r="EP154" t="s">
        <v>421</v>
      </c>
      <c r="EQ154" t="s">
        <v>422</v>
      </c>
      <c r="ER154">
        <v>2</v>
      </c>
      <c r="ES154">
        <v>8</v>
      </c>
      <c r="ET154">
        <v>2341</v>
      </c>
      <c r="EU154">
        <v>129.55000000000001</v>
      </c>
      <c r="EV154">
        <v>2470.5500000000002</v>
      </c>
      <c r="EW154" s="2">
        <v>43222</v>
      </c>
      <c r="EX154" s="1">
        <v>42879</v>
      </c>
      <c r="EY154">
        <v>2016</v>
      </c>
      <c r="EZ154">
        <v>1170.5</v>
      </c>
      <c r="FA154" t="s">
        <v>1974</v>
      </c>
      <c r="FB154">
        <v>0.25</v>
      </c>
      <c r="FC154" t="s">
        <v>424</v>
      </c>
      <c r="FD154" t="s">
        <v>454</v>
      </c>
      <c r="FF154">
        <v>12</v>
      </c>
      <c r="FG154">
        <v>2851116</v>
      </c>
      <c r="FH154" t="s">
        <v>480</v>
      </c>
      <c r="FJ154" s="1">
        <v>42879</v>
      </c>
      <c r="FK154">
        <v>2016</v>
      </c>
      <c r="FL154">
        <v>1170.5</v>
      </c>
      <c r="FM154" t="s">
        <v>1974</v>
      </c>
      <c r="FN154">
        <v>0.25</v>
      </c>
      <c r="FO154" t="s">
        <v>424</v>
      </c>
      <c r="FP154" t="s">
        <v>454</v>
      </c>
      <c r="FR154">
        <v>12</v>
      </c>
      <c r="FS154">
        <v>4969161</v>
      </c>
      <c r="FT154" t="s">
        <v>1975</v>
      </c>
      <c r="FV154" s="1">
        <v>42515</v>
      </c>
      <c r="FW154">
        <v>2015</v>
      </c>
      <c r="FX154">
        <v>1178.8599999999999</v>
      </c>
      <c r="FY154" t="s">
        <v>1976</v>
      </c>
      <c r="FZ154">
        <v>0.25</v>
      </c>
      <c r="GA154" t="s">
        <v>424</v>
      </c>
      <c r="GB154" t="s">
        <v>425</v>
      </c>
      <c r="GC154" s="1">
        <v>43020</v>
      </c>
      <c r="GD154">
        <v>17</v>
      </c>
      <c r="GE154">
        <v>7045074</v>
      </c>
      <c r="GF154" t="s">
        <v>580</v>
      </c>
      <c r="GH154" s="1">
        <v>42515</v>
      </c>
      <c r="GI154">
        <v>2015</v>
      </c>
      <c r="GJ154">
        <v>1178.8599999999999</v>
      </c>
      <c r="GK154" t="s">
        <v>1976</v>
      </c>
      <c r="GL154">
        <v>0.25</v>
      </c>
      <c r="GM154" t="s">
        <v>424</v>
      </c>
      <c r="GN154" t="s">
        <v>425</v>
      </c>
      <c r="GP154">
        <v>22</v>
      </c>
      <c r="GQ154">
        <v>6305085</v>
      </c>
      <c r="GR154" t="s">
        <v>1977</v>
      </c>
      <c r="GT154" s="1">
        <v>42151</v>
      </c>
      <c r="GU154">
        <v>2014</v>
      </c>
      <c r="GV154">
        <v>1065.68</v>
      </c>
      <c r="GW154" t="s">
        <v>1978</v>
      </c>
      <c r="GX154">
        <v>0.25</v>
      </c>
      <c r="GY154" t="s">
        <v>424</v>
      </c>
      <c r="GZ154" t="s">
        <v>425</v>
      </c>
      <c r="HA154" s="1">
        <v>42632</v>
      </c>
      <c r="HB154">
        <v>16</v>
      </c>
      <c r="HC154">
        <v>2851116</v>
      </c>
      <c r="HD154" t="s">
        <v>480</v>
      </c>
      <c r="HF154" s="1">
        <v>42151</v>
      </c>
      <c r="HG154">
        <v>2014</v>
      </c>
      <c r="HH154">
        <v>1065.68</v>
      </c>
      <c r="HI154" t="s">
        <v>1978</v>
      </c>
      <c r="HJ154">
        <v>0.25</v>
      </c>
      <c r="HK154" t="s">
        <v>424</v>
      </c>
      <c r="HL154" t="s">
        <v>425</v>
      </c>
      <c r="HN154">
        <v>22</v>
      </c>
      <c r="HO154">
        <v>4895090</v>
      </c>
      <c r="HP154" t="s">
        <v>1979</v>
      </c>
      <c r="HR154" s="1">
        <v>41787</v>
      </c>
      <c r="HS154">
        <v>2013</v>
      </c>
      <c r="HT154">
        <v>931.97</v>
      </c>
      <c r="HU154" t="s">
        <v>1980</v>
      </c>
      <c r="HV154">
        <v>0.25</v>
      </c>
      <c r="HW154" t="s">
        <v>424</v>
      </c>
      <c r="HX154" t="s">
        <v>425</v>
      </c>
      <c r="HY154" s="1">
        <v>42240</v>
      </c>
      <c r="HZ154">
        <v>15</v>
      </c>
      <c r="IA154">
        <v>2675455</v>
      </c>
      <c r="IB154" t="s">
        <v>1981</v>
      </c>
      <c r="ID154" s="1">
        <v>41423</v>
      </c>
      <c r="IE154">
        <v>2012</v>
      </c>
      <c r="IF154">
        <v>800.12</v>
      </c>
      <c r="IG154" t="s">
        <v>1982</v>
      </c>
      <c r="IH154">
        <v>0.25</v>
      </c>
      <c r="II154" t="s">
        <v>424</v>
      </c>
      <c r="IJ154" t="s">
        <v>425</v>
      </c>
      <c r="IK154" s="1">
        <v>41507</v>
      </c>
      <c r="IL154">
        <v>3</v>
      </c>
      <c r="IM154">
        <v>10096</v>
      </c>
      <c r="IN154" t="s">
        <v>1983</v>
      </c>
      <c r="IP154" s="1">
        <v>41052</v>
      </c>
      <c r="IQ154">
        <v>2011</v>
      </c>
      <c r="IR154">
        <v>836.29</v>
      </c>
      <c r="IS154" t="s">
        <v>1984</v>
      </c>
      <c r="IT154">
        <v>7</v>
      </c>
      <c r="IU154" t="s">
        <v>424</v>
      </c>
      <c r="IV154" t="s">
        <v>425</v>
      </c>
      <c r="IW154" s="1">
        <v>41507</v>
      </c>
      <c r="IX154">
        <v>15</v>
      </c>
      <c r="IY154">
        <v>10125</v>
      </c>
      <c r="IZ154" t="s">
        <v>440</v>
      </c>
      <c r="JB154" s="1">
        <v>40688</v>
      </c>
      <c r="JC154">
        <v>2010</v>
      </c>
      <c r="JD154">
        <v>862.39</v>
      </c>
      <c r="JE154" t="s">
        <v>1985</v>
      </c>
      <c r="JF154">
        <v>5.5</v>
      </c>
      <c r="JG154" t="s">
        <v>424</v>
      </c>
      <c r="JH154" t="s">
        <v>425</v>
      </c>
      <c r="JI154" s="1">
        <v>41319</v>
      </c>
      <c r="JJ154">
        <v>21</v>
      </c>
      <c r="JK154">
        <v>11141</v>
      </c>
      <c r="JL154" t="s">
        <v>1723</v>
      </c>
    </row>
    <row r="155" spans="1:296" x14ac:dyDescent="0.25">
      <c r="A155">
        <v>16485162</v>
      </c>
      <c r="B155">
        <v>154</v>
      </c>
      <c r="C155" t="s">
        <v>393</v>
      </c>
      <c r="D155" t="s">
        <v>394</v>
      </c>
      <c r="F155" t="str">
        <f>"02-3N-23-2020-0018-0000"</f>
        <v>02-3N-23-2020-0018-0000</v>
      </c>
      <c r="H155" t="str">
        <f>"COAST TO COAST INC C/O MAXWELL COBB"</f>
        <v>COAST TO COAST INC C/O MAXWELL COBB</v>
      </c>
      <c r="I155" t="str">
        <f>"523 SOUTH ELLIS ROAD"</f>
        <v>523 SOUTH ELLIS ROAD</v>
      </c>
      <c r="J155" t="str">
        <f>"JACKSONVILLE FL 32254"</f>
        <v>JACKSONVILLE FL 32254</v>
      </c>
      <c r="K155" t="str">
        <f>"CORNERSTONE RD"</f>
        <v>CORNERSTONE RD</v>
      </c>
      <c r="L155" t="str">
        <f t="shared" si="51"/>
        <v>HILLIARD FL 32046</v>
      </c>
      <c r="M155" t="str">
        <f>"LOTS 18 19 20 &amp; 21 PT OR 646 PG 50 CORNWALL SURVEY"</f>
        <v>LOTS 18 19 20 &amp; 21 PT OR 646 PG 50 CORNWALL SURVEY</v>
      </c>
      <c r="N155" t="str">
        <f>""</f>
        <v/>
      </c>
      <c r="O155" t="str">
        <f>"17992"</f>
        <v>17992</v>
      </c>
      <c r="P155" t="str">
        <f t="shared" si="45"/>
        <v>2017</v>
      </c>
      <c r="Q155" t="str">
        <f>""</f>
        <v/>
      </c>
      <c r="R155" t="str">
        <f>"N"</f>
        <v>N</v>
      </c>
      <c r="S155" t="str">
        <f>"40.00"</f>
        <v>40.00</v>
      </c>
      <c r="T155" t="str">
        <f>"167.42"</f>
        <v>167.42</v>
      </c>
      <c r="U155" t="str">
        <f>"11060.00"</f>
        <v>11060.00</v>
      </c>
      <c r="V155" t="str">
        <f>"11060.00"</f>
        <v>11060.00</v>
      </c>
      <c r="W155" t="str">
        <f t="shared" si="46"/>
        <v>2017</v>
      </c>
      <c r="X155" t="str">
        <f>"23.00"</f>
        <v>23.00</v>
      </c>
      <c r="Y155" t="str">
        <f>"204.44"</f>
        <v>204.44</v>
      </c>
      <c r="Z155" t="str">
        <f>""</f>
        <v/>
      </c>
      <c r="AA155" t="str">
        <f>"11060.00"</f>
        <v>11060.00</v>
      </c>
      <c r="AB155" t="str">
        <f>"Agricultural"</f>
        <v>Agricultural</v>
      </c>
      <c r="AC155" t="str">
        <f t="shared" si="47"/>
        <v>0</v>
      </c>
      <c r="AD155" t="str">
        <f>""</f>
        <v/>
      </c>
      <c r="AE155" t="str">
        <f>""</f>
        <v/>
      </c>
      <c r="AF155" t="str">
        <f>"056"</f>
        <v>056</v>
      </c>
      <c r="AG155" t="str">
        <f t="shared" si="49"/>
        <v>FL</v>
      </c>
      <c r="AH155" t="str">
        <f>"1742400.00"</f>
        <v>1742400.00</v>
      </c>
      <c r="AI155" t="str">
        <f>"11060.00"</f>
        <v>11060.00</v>
      </c>
      <c r="AJ155" t="str">
        <f>"C55-000-586-3927-9"</f>
        <v>C55-000-586-3927-9</v>
      </c>
      <c r="AK155" t="str">
        <f>"1210"</f>
        <v>1210</v>
      </c>
      <c r="AL155">
        <v>1</v>
      </c>
      <c r="AM155">
        <v>181</v>
      </c>
      <c r="AN155">
        <v>213.06</v>
      </c>
      <c r="AQ155" t="s">
        <v>1986</v>
      </c>
      <c r="AR155" t="s">
        <v>1986</v>
      </c>
      <c r="AS155" t="s">
        <v>1986</v>
      </c>
      <c r="AU155" t="s">
        <v>396</v>
      </c>
      <c r="AV155">
        <v>2017</v>
      </c>
      <c r="AW155" t="str">
        <f>"02-3N-23-2020-0018-0000 "</f>
        <v xml:space="preserve">02-3N-23-2020-0018-0000 </v>
      </c>
      <c r="AZ155" t="s">
        <v>1967</v>
      </c>
      <c r="BA155" t="s">
        <v>496</v>
      </c>
      <c r="BD155" t="s">
        <v>398</v>
      </c>
      <c r="BE155" t="s">
        <v>393</v>
      </c>
      <c r="BF155">
        <v>32046</v>
      </c>
      <c r="BG155" t="s">
        <v>1987</v>
      </c>
      <c r="BH155" t="s">
        <v>400</v>
      </c>
      <c r="BI155">
        <v>-81.985628731444294</v>
      </c>
      <c r="BJ155">
        <v>30.700119450773499</v>
      </c>
      <c r="BK155" t="s">
        <v>1988</v>
      </c>
      <c r="BM155" t="s">
        <v>1989</v>
      </c>
      <c r="BN155" t="s">
        <v>548</v>
      </c>
      <c r="BO155">
        <v>32254</v>
      </c>
      <c r="BP155" t="s">
        <v>404</v>
      </c>
      <c r="BQ155">
        <v>5600</v>
      </c>
      <c r="BR155" t="s">
        <v>417</v>
      </c>
      <c r="BS155">
        <v>7009</v>
      </c>
      <c r="BT155" t="s">
        <v>418</v>
      </c>
      <c r="BW155">
        <v>1742400</v>
      </c>
      <c r="BX155" t="s">
        <v>407</v>
      </c>
      <c r="BY155" t="s">
        <v>408</v>
      </c>
      <c r="CD155">
        <v>2017</v>
      </c>
      <c r="CG155">
        <v>11060</v>
      </c>
      <c r="CH155">
        <v>2017</v>
      </c>
      <c r="CI155">
        <v>11060</v>
      </c>
      <c r="CJ155">
        <v>128940</v>
      </c>
      <c r="CK155">
        <v>140000</v>
      </c>
      <c r="CL155">
        <v>2017</v>
      </c>
      <c r="CM155">
        <v>167.42</v>
      </c>
      <c r="CN155" s="1">
        <v>33611</v>
      </c>
      <c r="CZ155" s="1">
        <v>33611</v>
      </c>
      <c r="DD155" t="s">
        <v>398</v>
      </c>
      <c r="DG155">
        <v>2</v>
      </c>
      <c r="DJ155" t="s">
        <v>1990</v>
      </c>
      <c r="DL155">
        <v>50400</v>
      </c>
      <c r="DM155" t="s">
        <v>1972</v>
      </c>
      <c r="DO155" t="s">
        <v>1991</v>
      </c>
      <c r="DP155">
        <v>0</v>
      </c>
      <c r="DQ155">
        <v>0</v>
      </c>
      <c r="DR155" t="s">
        <v>411</v>
      </c>
      <c r="DS155" t="b">
        <v>1</v>
      </c>
      <c r="DT155" t="s">
        <v>396</v>
      </c>
      <c r="DV155" t="s">
        <v>446</v>
      </c>
      <c r="DX155">
        <v>-9999</v>
      </c>
      <c r="DZ155" t="s">
        <v>447</v>
      </c>
      <c r="EA155" t="s">
        <v>448</v>
      </c>
      <c r="EB155" t="s">
        <v>449</v>
      </c>
      <c r="EC155">
        <v>20101217</v>
      </c>
      <c r="ED155" t="s">
        <v>450</v>
      </c>
      <c r="EE155">
        <v>19.899999999999999</v>
      </c>
      <c r="EF155">
        <v>0</v>
      </c>
      <c r="EG155">
        <v>0</v>
      </c>
      <c r="EI155">
        <v>20160407</v>
      </c>
      <c r="EJ155">
        <v>0</v>
      </c>
      <c r="EK155">
        <v>0</v>
      </c>
      <c r="EP155" t="s">
        <v>421</v>
      </c>
      <c r="EQ155" t="s">
        <v>422</v>
      </c>
      <c r="ER155">
        <v>1</v>
      </c>
      <c r="ES155">
        <v>1</v>
      </c>
      <c r="ET155">
        <v>196.34</v>
      </c>
      <c r="EU155">
        <v>19.010000000000002</v>
      </c>
      <c r="EV155">
        <v>215.35</v>
      </c>
      <c r="EW155" s="2">
        <v>43222</v>
      </c>
      <c r="EX155" s="1">
        <v>42879</v>
      </c>
      <c r="EY155">
        <v>2016</v>
      </c>
      <c r="EZ155">
        <v>196.34</v>
      </c>
      <c r="FA155" t="s">
        <v>1992</v>
      </c>
      <c r="FB155">
        <v>6.5</v>
      </c>
      <c r="FC155" t="s">
        <v>424</v>
      </c>
      <c r="FD155" t="s">
        <v>454</v>
      </c>
      <c r="FF155">
        <v>12</v>
      </c>
      <c r="FG155">
        <v>2035919</v>
      </c>
      <c r="FH155" t="s">
        <v>507</v>
      </c>
      <c r="FJ155" s="1">
        <v>42515</v>
      </c>
      <c r="FK155">
        <v>2015</v>
      </c>
      <c r="FL155">
        <v>188.65</v>
      </c>
      <c r="FM155" t="s">
        <v>1993</v>
      </c>
      <c r="FN155">
        <v>14.75</v>
      </c>
      <c r="FO155" t="s">
        <v>424</v>
      </c>
      <c r="FP155" t="s">
        <v>425</v>
      </c>
      <c r="FQ155" s="1">
        <v>43193</v>
      </c>
      <c r="FR155">
        <v>23</v>
      </c>
      <c r="FS155">
        <v>2035919</v>
      </c>
      <c r="FT155" t="s">
        <v>507</v>
      </c>
    </row>
    <row r="156" spans="1:296" x14ac:dyDescent="0.25">
      <c r="A156">
        <v>16485163</v>
      </c>
      <c r="B156">
        <v>155</v>
      </c>
      <c r="C156" t="s">
        <v>393</v>
      </c>
      <c r="D156" t="s">
        <v>394</v>
      </c>
      <c r="F156" t="str">
        <f>"04-3N-23-0000-0002-0040"</f>
        <v>04-3N-23-0000-0002-0040</v>
      </c>
      <c r="H156" t="str">
        <f>"TAYLOR ASHLEY DIANNE"</f>
        <v>TAYLOR ASHLEY DIANNE</v>
      </c>
      <c r="I156" t="str">
        <f>"31599 COUNTY ROAD 121"</f>
        <v>31599 COUNTY ROAD 121</v>
      </c>
      <c r="J156" t="str">
        <f>"HILLIARD FL 32046"</f>
        <v>HILLIARD FL 32046</v>
      </c>
      <c r="K156" t="str">
        <f>"31599 CR 121"</f>
        <v>31599 CR 121</v>
      </c>
      <c r="L156" t="str">
        <f t="shared" si="51"/>
        <v>HILLIARD FL 32046</v>
      </c>
      <c r="M156" t="str">
        <f>"PT OF N615 FT OF W2078.52 FT OF S1/2 IN OR 1995/1000 2001 FLEET DW/MH"</f>
        <v>PT OF N615 FT OF W2078.52 FT OF S1/2 IN OR 1995/1000 2001 FLEET DW/MH</v>
      </c>
      <c r="N156" t="str">
        <f>""</f>
        <v/>
      </c>
      <c r="O156" t="str">
        <f>"20275"</f>
        <v>20275</v>
      </c>
      <c r="P156" t="str">
        <f t="shared" si="45"/>
        <v>2017</v>
      </c>
      <c r="Q156" t="str">
        <f>""</f>
        <v/>
      </c>
      <c r="R156" t="str">
        <f>"Y"</f>
        <v>Y</v>
      </c>
      <c r="S156" t="str">
        <f>"3.70"</f>
        <v>3.70</v>
      </c>
      <c r="T156" t="str">
        <f>"539.17"</f>
        <v>539.17</v>
      </c>
      <c r="U156" t="str">
        <f>"74355.00"</f>
        <v>74355.00</v>
      </c>
      <c r="V156" t="str">
        <f>"74355.00"</f>
        <v>74355.00</v>
      </c>
      <c r="W156" t="str">
        <f t="shared" si="46"/>
        <v>2017</v>
      </c>
      <c r="X156" t="str">
        <f>""</f>
        <v/>
      </c>
      <c r="Y156" t="str">
        <f>"587.35"</f>
        <v>587.35</v>
      </c>
      <c r="Z156" t="str">
        <f>"25000.00"</f>
        <v>25000.00</v>
      </c>
      <c r="AA156" t="str">
        <f>"49355.00"</f>
        <v>49355.00</v>
      </c>
      <c r="AB156" t="str">
        <f>"Residential"</f>
        <v>Residential</v>
      </c>
      <c r="AC156" t="str">
        <f t="shared" si="47"/>
        <v>0</v>
      </c>
      <c r="AD156" t="str">
        <f t="shared" ref="AD156:AD167" si="52">"4"</f>
        <v>4</v>
      </c>
      <c r="AE156" t="str">
        <f t="shared" ref="AE156:AE167" si="53">"WOOD (INCLUDE STEEL STUDS)"</f>
        <v>WOOD (INCLUDE STEEL STUDS)</v>
      </c>
      <c r="AF156" t="str">
        <f>"002"</f>
        <v>002</v>
      </c>
      <c r="AG156" t="str">
        <f t="shared" si="49"/>
        <v>FL</v>
      </c>
      <c r="AH156" t="str">
        <f>"161172.00"</f>
        <v>161172.00</v>
      </c>
      <c r="AI156" t="str">
        <f>"29600.00"</f>
        <v>29600.00</v>
      </c>
      <c r="AJ156" t="str">
        <f>"C55-000-589-2486-1"</f>
        <v>C55-000-589-2486-1</v>
      </c>
      <c r="AK156" t="str">
        <f>"1248"</f>
        <v>1248</v>
      </c>
      <c r="AL156">
        <v>1</v>
      </c>
      <c r="AM156">
        <v>184</v>
      </c>
      <c r="AN156">
        <v>615.12</v>
      </c>
      <c r="AQ156" t="s">
        <v>1994</v>
      </c>
      <c r="AR156" t="s">
        <v>1994</v>
      </c>
      <c r="AS156" t="s">
        <v>1994</v>
      </c>
      <c r="AU156" t="s">
        <v>396</v>
      </c>
      <c r="AV156">
        <v>2017</v>
      </c>
      <c r="AW156" t="str">
        <f>"04-3N-23-0000-0002-0040 "</f>
        <v xml:space="preserve">04-3N-23-0000-0002-0040 </v>
      </c>
      <c r="AX156">
        <v>31599</v>
      </c>
      <c r="AZ156" t="s">
        <v>611</v>
      </c>
      <c r="BD156" t="s">
        <v>398</v>
      </c>
      <c r="BE156" t="s">
        <v>393</v>
      </c>
      <c r="BF156">
        <v>32046</v>
      </c>
      <c r="BG156" t="s">
        <v>1995</v>
      </c>
      <c r="BH156" t="s">
        <v>400</v>
      </c>
      <c r="BI156">
        <v>-82.020365045228502</v>
      </c>
      <c r="BJ156">
        <v>30.702872426925001</v>
      </c>
      <c r="BK156" t="s">
        <v>1996</v>
      </c>
      <c r="BM156" t="s">
        <v>1997</v>
      </c>
      <c r="BN156" t="s">
        <v>403</v>
      </c>
      <c r="BO156">
        <v>32046</v>
      </c>
      <c r="BP156" t="s">
        <v>416</v>
      </c>
      <c r="BQ156">
        <v>200</v>
      </c>
      <c r="BR156" t="s">
        <v>405</v>
      </c>
      <c r="BS156">
        <v>1006</v>
      </c>
      <c r="BT156" t="s">
        <v>406</v>
      </c>
      <c r="BW156">
        <v>161172</v>
      </c>
      <c r="BX156" t="s">
        <v>407</v>
      </c>
      <c r="BY156" t="s">
        <v>408</v>
      </c>
      <c r="BZ156">
        <v>4</v>
      </c>
      <c r="CA156">
        <v>2001</v>
      </c>
      <c r="CB156">
        <v>1</v>
      </c>
      <c r="CC156">
        <v>1</v>
      </c>
      <c r="CD156">
        <v>2017</v>
      </c>
      <c r="CG156">
        <v>74355</v>
      </c>
      <c r="CH156">
        <v>2017</v>
      </c>
      <c r="CI156">
        <v>29600</v>
      </c>
      <c r="CJ156">
        <v>62991</v>
      </c>
      <c r="CK156">
        <v>92591</v>
      </c>
      <c r="CL156">
        <v>2017</v>
      </c>
      <c r="CM156">
        <v>539.16999999999996</v>
      </c>
      <c r="CN156" s="1">
        <v>42214</v>
      </c>
      <c r="CZ156" s="1">
        <v>42214</v>
      </c>
      <c r="DD156" t="s">
        <v>398</v>
      </c>
      <c r="DG156">
        <v>4</v>
      </c>
      <c r="DL156">
        <v>50400</v>
      </c>
      <c r="DM156" t="s">
        <v>1998</v>
      </c>
      <c r="DO156" t="s">
        <v>1999</v>
      </c>
      <c r="DP156">
        <v>0</v>
      </c>
      <c r="DQ156">
        <v>0</v>
      </c>
      <c r="DR156" t="s">
        <v>411</v>
      </c>
    </row>
    <row r="157" spans="1:296" x14ac:dyDescent="0.25">
      <c r="A157">
        <v>16485164</v>
      </c>
      <c r="B157">
        <v>156</v>
      </c>
      <c r="C157" t="s">
        <v>393</v>
      </c>
      <c r="D157" t="s">
        <v>394</v>
      </c>
      <c r="F157" t="str">
        <f>"09-3N-23-2020-0041-0000"</f>
        <v>09-3N-23-2020-0041-0000</v>
      </c>
      <c r="H157" t="str">
        <f>"GUYNN SHELTON J"</f>
        <v>GUYNN SHELTON J</v>
      </c>
      <c r="I157" t="str">
        <f>"17416 WHISTLER SPRING LANE"</f>
        <v>17416 WHISTLER SPRING LANE</v>
      </c>
      <c r="J157" t="str">
        <f>"HILLIARD FL 32046"</f>
        <v>HILLIARD FL 32046</v>
      </c>
      <c r="K157" t="str">
        <f>"17252 WHISTLER SPRING LN"</f>
        <v>17252 WHISTLER SPRING LN</v>
      </c>
      <c r="L157" t="str">
        <f t="shared" si="51"/>
        <v>HILLIARD FL 32046</v>
      </c>
      <c r="M157" t="str">
        <f>"LOTS 41 THRU 44 IN OR 1107/1449 EX S-1 OF LOTS 41-44 ESMT OR 1088/1953 CORNWALL SURVEY"</f>
        <v>LOTS 41 THRU 44 IN OR 1107/1449 EX S-1 OF LOTS 41-44 ESMT OR 1088/1953 CORNWALL SURVEY</v>
      </c>
      <c r="N157" t="str">
        <f>""</f>
        <v/>
      </c>
      <c r="O157" t="str">
        <f>"25141"</f>
        <v>25141</v>
      </c>
      <c r="P157" t="str">
        <f t="shared" si="45"/>
        <v>2017</v>
      </c>
      <c r="Q157" t="str">
        <f>""</f>
        <v/>
      </c>
      <c r="R157" t="str">
        <f>"N"</f>
        <v>N</v>
      </c>
      <c r="S157" t="str">
        <f>"20.00"</f>
        <v>20.00</v>
      </c>
      <c r="T157" t="str">
        <f>"475.58"</f>
        <v>475.58</v>
      </c>
      <c r="U157" t="str">
        <f>"31414.00"</f>
        <v>31414.00</v>
      </c>
      <c r="V157" t="str">
        <f>"31414.00"</f>
        <v>31414.00</v>
      </c>
      <c r="W157" t="str">
        <f t="shared" si="46"/>
        <v>2017</v>
      </c>
      <c r="X157" t="str">
        <f>"19.60"</f>
        <v>19.60</v>
      </c>
      <c r="Y157" t="str">
        <f>"521.85"</f>
        <v>521.85</v>
      </c>
      <c r="Z157" t="str">
        <f>""</f>
        <v/>
      </c>
      <c r="AA157" t="str">
        <f>"31414.00"</f>
        <v>31414.00</v>
      </c>
      <c r="AB157" t="str">
        <f>"Agricultural"</f>
        <v>Agricultural</v>
      </c>
      <c r="AC157" t="str">
        <f t="shared" si="47"/>
        <v>0</v>
      </c>
      <c r="AD157" t="str">
        <f t="shared" si="52"/>
        <v>4</v>
      </c>
      <c r="AE157" t="str">
        <f t="shared" si="53"/>
        <v>WOOD (INCLUDE STEEL STUDS)</v>
      </c>
      <c r="AF157" t="str">
        <f>"050"</f>
        <v>050</v>
      </c>
      <c r="AG157" t="str">
        <f t="shared" si="49"/>
        <v>FL</v>
      </c>
      <c r="AH157" t="str">
        <f>"871200.00"</f>
        <v>871200.00</v>
      </c>
      <c r="AI157" t="str">
        <f>"19520.00"</f>
        <v>19520.00</v>
      </c>
      <c r="AJ157" t="str">
        <f>"C55-000-586-8430-9"</f>
        <v>C55-000-586-8430-9</v>
      </c>
      <c r="AK157" t="str">
        <f>"1265"</f>
        <v>1265</v>
      </c>
      <c r="AL157">
        <v>1</v>
      </c>
      <c r="AM157">
        <v>185</v>
      </c>
      <c r="AN157">
        <v>546.34</v>
      </c>
      <c r="AQ157" t="s">
        <v>2000</v>
      </c>
      <c r="AR157" t="s">
        <v>2000</v>
      </c>
      <c r="AS157" t="s">
        <v>2000</v>
      </c>
      <c r="AU157" t="s">
        <v>396</v>
      </c>
      <c r="AV157">
        <v>2017</v>
      </c>
      <c r="AW157" t="str">
        <f>"09-3N-23-2020-0041-0000 "</f>
        <v xml:space="preserve">09-3N-23-2020-0041-0000 </v>
      </c>
      <c r="AX157">
        <v>17252</v>
      </c>
      <c r="AZ157" t="s">
        <v>2001</v>
      </c>
      <c r="BA157" t="s">
        <v>653</v>
      </c>
      <c r="BD157" t="s">
        <v>398</v>
      </c>
      <c r="BE157" t="s">
        <v>393</v>
      </c>
      <c r="BF157">
        <v>32046</v>
      </c>
      <c r="BG157" t="s">
        <v>2002</v>
      </c>
      <c r="BH157" t="s">
        <v>400</v>
      </c>
      <c r="BI157">
        <v>-82.015840334880806</v>
      </c>
      <c r="BJ157">
        <v>30.687717316867499</v>
      </c>
      <c r="BK157" t="s">
        <v>2003</v>
      </c>
      <c r="BM157" t="s">
        <v>2004</v>
      </c>
      <c r="BN157" t="s">
        <v>403</v>
      </c>
      <c r="BO157">
        <v>32046</v>
      </c>
      <c r="BP157" t="s">
        <v>404</v>
      </c>
      <c r="BQ157">
        <v>5000</v>
      </c>
      <c r="BR157" t="s">
        <v>664</v>
      </c>
      <c r="BS157">
        <v>7000</v>
      </c>
      <c r="BT157" t="s">
        <v>665</v>
      </c>
      <c r="BW157">
        <v>871200</v>
      </c>
      <c r="BX157" t="s">
        <v>407</v>
      </c>
      <c r="BY157" t="s">
        <v>408</v>
      </c>
      <c r="BZ157">
        <v>4</v>
      </c>
      <c r="CA157">
        <v>1985</v>
      </c>
      <c r="CC157">
        <v>1</v>
      </c>
      <c r="CD157">
        <v>2017</v>
      </c>
      <c r="CG157">
        <v>31414</v>
      </c>
      <c r="CH157">
        <v>2017</v>
      </c>
      <c r="CI157">
        <v>19520</v>
      </c>
      <c r="CJ157">
        <v>92874</v>
      </c>
      <c r="CK157">
        <v>112394</v>
      </c>
      <c r="CL157">
        <v>2017</v>
      </c>
      <c r="CM157">
        <v>475.58</v>
      </c>
      <c r="CN157" s="1">
        <v>37637</v>
      </c>
      <c r="CO157">
        <v>22100</v>
      </c>
      <c r="CZ157" s="1">
        <v>37637</v>
      </c>
      <c r="DD157" t="s">
        <v>398</v>
      </c>
      <c r="DG157">
        <v>9</v>
      </c>
      <c r="DL157">
        <v>50400</v>
      </c>
      <c r="DM157" t="s">
        <v>2005</v>
      </c>
      <c r="DO157" t="s">
        <v>2006</v>
      </c>
      <c r="DP157">
        <v>0</v>
      </c>
      <c r="DQ157">
        <v>0</v>
      </c>
      <c r="DR157" t="s">
        <v>411</v>
      </c>
      <c r="DS157" t="b">
        <v>1</v>
      </c>
      <c r="DT157" t="s">
        <v>396</v>
      </c>
      <c r="DV157" t="s">
        <v>446</v>
      </c>
      <c r="DX157">
        <v>-9999</v>
      </c>
      <c r="DZ157" t="s">
        <v>447</v>
      </c>
      <c r="EA157" t="s">
        <v>448</v>
      </c>
      <c r="EB157" t="s">
        <v>449</v>
      </c>
      <c r="EC157">
        <v>20101217</v>
      </c>
      <c r="ED157" t="s">
        <v>450</v>
      </c>
      <c r="EE157">
        <v>21.5</v>
      </c>
      <c r="EF157">
        <v>0</v>
      </c>
      <c r="EG157">
        <v>0</v>
      </c>
      <c r="EI157">
        <v>20160407</v>
      </c>
      <c r="EJ157">
        <v>0</v>
      </c>
      <c r="EK157">
        <v>0</v>
      </c>
      <c r="EP157" t="s">
        <v>421</v>
      </c>
      <c r="EQ157" t="s">
        <v>422</v>
      </c>
      <c r="ER157">
        <v>2</v>
      </c>
      <c r="ES157">
        <v>10</v>
      </c>
      <c r="ET157">
        <v>1020.68</v>
      </c>
      <c r="EU157">
        <v>63.53</v>
      </c>
      <c r="EV157">
        <v>1084.21</v>
      </c>
      <c r="EW157" s="2">
        <v>43222</v>
      </c>
      <c r="EX157" s="1">
        <v>42879</v>
      </c>
      <c r="EY157">
        <v>2016</v>
      </c>
      <c r="EZ157">
        <v>510.34</v>
      </c>
      <c r="FA157" t="s">
        <v>2007</v>
      </c>
      <c r="FB157">
        <v>0.25</v>
      </c>
      <c r="FC157" t="s">
        <v>424</v>
      </c>
      <c r="FD157" t="s">
        <v>454</v>
      </c>
      <c r="FF157">
        <v>12</v>
      </c>
      <c r="FG157">
        <v>7336671</v>
      </c>
      <c r="FH157" t="s">
        <v>437</v>
      </c>
      <c r="FJ157" s="1">
        <v>42879</v>
      </c>
      <c r="FK157">
        <v>2016</v>
      </c>
      <c r="FL157">
        <v>510.34</v>
      </c>
      <c r="FM157" t="s">
        <v>2007</v>
      </c>
      <c r="FN157">
        <v>0.25</v>
      </c>
      <c r="FO157" t="s">
        <v>424</v>
      </c>
      <c r="FP157" t="s">
        <v>454</v>
      </c>
      <c r="FR157">
        <v>12</v>
      </c>
      <c r="FS157">
        <v>6884530</v>
      </c>
      <c r="FT157" t="s">
        <v>2008</v>
      </c>
      <c r="FV157" s="1">
        <v>42515</v>
      </c>
      <c r="FW157">
        <v>2015</v>
      </c>
      <c r="FX157">
        <v>513.84</v>
      </c>
      <c r="FY157" t="s">
        <v>2009</v>
      </c>
      <c r="FZ157">
        <v>0.25</v>
      </c>
      <c r="GA157" t="s">
        <v>424</v>
      </c>
      <c r="GB157" t="s">
        <v>425</v>
      </c>
      <c r="GC157" s="1">
        <v>43159</v>
      </c>
      <c r="GD157">
        <v>21</v>
      </c>
      <c r="GE157">
        <v>7045074</v>
      </c>
      <c r="GF157" t="s">
        <v>580</v>
      </c>
      <c r="GH157" s="1">
        <v>42515</v>
      </c>
      <c r="GI157">
        <v>2015</v>
      </c>
      <c r="GJ157">
        <v>513.84</v>
      </c>
      <c r="GK157" t="s">
        <v>2009</v>
      </c>
      <c r="GL157">
        <v>0.25</v>
      </c>
      <c r="GM157" t="s">
        <v>424</v>
      </c>
      <c r="GN157" t="s">
        <v>425</v>
      </c>
      <c r="GP157">
        <v>22</v>
      </c>
      <c r="GQ157">
        <v>6418468</v>
      </c>
      <c r="GR157" t="s">
        <v>2010</v>
      </c>
      <c r="GT157" s="1">
        <v>42151</v>
      </c>
      <c r="GU157">
        <v>2014</v>
      </c>
      <c r="GV157">
        <v>516.58000000000004</v>
      </c>
      <c r="GW157" t="s">
        <v>2011</v>
      </c>
      <c r="GX157">
        <v>4.25</v>
      </c>
      <c r="GY157" t="s">
        <v>424</v>
      </c>
      <c r="GZ157" t="s">
        <v>425</v>
      </c>
      <c r="HA157" s="1">
        <v>42781</v>
      </c>
      <c r="HB157">
        <v>21</v>
      </c>
      <c r="HC157">
        <v>4975593</v>
      </c>
      <c r="HD157" t="s">
        <v>505</v>
      </c>
      <c r="HF157" s="1">
        <v>41787</v>
      </c>
      <c r="HG157">
        <v>2013</v>
      </c>
      <c r="HH157">
        <v>598.28</v>
      </c>
      <c r="HI157" t="s">
        <v>2012</v>
      </c>
      <c r="HJ157">
        <v>3.75</v>
      </c>
      <c r="HK157" t="s">
        <v>424</v>
      </c>
      <c r="HL157" t="s">
        <v>425</v>
      </c>
      <c r="HM157" s="1">
        <v>42467</v>
      </c>
      <c r="HN157">
        <v>23</v>
      </c>
      <c r="HO157">
        <v>116</v>
      </c>
      <c r="HP157" t="s">
        <v>509</v>
      </c>
      <c r="HR157" s="1">
        <v>41423</v>
      </c>
      <c r="HS157">
        <v>2012</v>
      </c>
      <c r="HT157">
        <v>604.91999999999996</v>
      </c>
      <c r="HU157" t="s">
        <v>2013</v>
      </c>
      <c r="HV157">
        <v>4.75</v>
      </c>
      <c r="HW157" t="s">
        <v>424</v>
      </c>
      <c r="HX157" t="s">
        <v>425</v>
      </c>
      <c r="HY157" s="1">
        <v>42467</v>
      </c>
      <c r="HZ157">
        <v>35</v>
      </c>
      <c r="IA157">
        <v>1127</v>
      </c>
      <c r="IB157" t="s">
        <v>1379</v>
      </c>
      <c r="ID157" s="1">
        <v>41423</v>
      </c>
      <c r="IE157">
        <v>2012</v>
      </c>
      <c r="IF157">
        <v>604.91999999999996</v>
      </c>
      <c r="IG157" t="s">
        <v>2013</v>
      </c>
      <c r="IH157">
        <v>4.75</v>
      </c>
      <c r="II157" t="s">
        <v>424</v>
      </c>
      <c r="IJ157" t="s">
        <v>425</v>
      </c>
      <c r="IL157">
        <v>22</v>
      </c>
      <c r="IM157">
        <v>2035919</v>
      </c>
      <c r="IN157" t="s">
        <v>507</v>
      </c>
      <c r="IP157" s="1">
        <v>41052</v>
      </c>
      <c r="IQ157">
        <v>2011</v>
      </c>
      <c r="IR157">
        <v>759.4</v>
      </c>
      <c r="IS157" t="s">
        <v>2014</v>
      </c>
      <c r="IT157">
        <v>5</v>
      </c>
      <c r="IU157" t="s">
        <v>424</v>
      </c>
      <c r="IV157" t="s">
        <v>425</v>
      </c>
      <c r="IW157" s="1">
        <v>41708</v>
      </c>
      <c r="IX157">
        <v>22</v>
      </c>
      <c r="IY157">
        <v>1625515</v>
      </c>
      <c r="IZ157" t="s">
        <v>487</v>
      </c>
      <c r="JB157" s="1">
        <v>41052</v>
      </c>
      <c r="JC157">
        <v>2011</v>
      </c>
      <c r="JD157">
        <v>759.4</v>
      </c>
      <c r="JE157" t="s">
        <v>2014</v>
      </c>
      <c r="JF157">
        <v>5</v>
      </c>
      <c r="JG157" t="s">
        <v>424</v>
      </c>
      <c r="JH157" t="s">
        <v>425</v>
      </c>
      <c r="JJ157">
        <v>22</v>
      </c>
      <c r="JK157">
        <v>10579</v>
      </c>
      <c r="JL157" t="s">
        <v>488</v>
      </c>
      <c r="JN157" s="1">
        <v>40688</v>
      </c>
      <c r="JO157">
        <v>2010</v>
      </c>
      <c r="JP157">
        <v>777.6</v>
      </c>
      <c r="JQ157" t="s">
        <v>2015</v>
      </c>
      <c r="JR157">
        <v>8.5</v>
      </c>
      <c r="JS157" t="s">
        <v>424</v>
      </c>
      <c r="JT157" t="s">
        <v>425</v>
      </c>
      <c r="JU157" s="1">
        <v>41358</v>
      </c>
      <c r="JV157">
        <v>22</v>
      </c>
      <c r="JW157">
        <v>15175</v>
      </c>
      <c r="JX157" t="s">
        <v>588</v>
      </c>
      <c r="JZ157" s="1">
        <v>40688</v>
      </c>
      <c r="KA157">
        <v>2010</v>
      </c>
      <c r="KB157">
        <v>777.6</v>
      </c>
      <c r="KC157" t="s">
        <v>2015</v>
      </c>
      <c r="KD157">
        <v>8.5</v>
      </c>
      <c r="KE157" t="s">
        <v>424</v>
      </c>
      <c r="KF157" t="s">
        <v>425</v>
      </c>
      <c r="KH157">
        <v>22</v>
      </c>
      <c r="KI157">
        <v>10548</v>
      </c>
      <c r="KJ157" t="s">
        <v>589</v>
      </c>
    </row>
    <row r="158" spans="1:296" x14ac:dyDescent="0.25">
      <c r="A158">
        <v>16485165</v>
      </c>
      <c r="B158">
        <v>157</v>
      </c>
      <c r="C158" t="s">
        <v>393</v>
      </c>
      <c r="D158" t="s">
        <v>394</v>
      </c>
      <c r="F158" t="str">
        <f>"09-3N-23-2020-0041-0010"</f>
        <v>09-3N-23-2020-0041-0010</v>
      </c>
      <c r="H158" t="str">
        <f>"GUYNN SHELTON J &amp; RHONDA L"</f>
        <v>GUYNN SHELTON J &amp; RHONDA L</v>
      </c>
      <c r="I158" t="str">
        <f>"17416 WHISTLER SPRING LN"</f>
        <v>17416 WHISTLER SPRING LN</v>
      </c>
      <c r="J158" t="str">
        <f>"HILLIARD FL 32046"</f>
        <v>HILLIARD FL 32046</v>
      </c>
      <c r="K158" t="str">
        <f>"17416 WHISTLER SPRING LN"</f>
        <v>17416 WHISTLER SPRING LN</v>
      </c>
      <c r="L158" t="str">
        <f t="shared" si="51"/>
        <v>HILLIARD FL 32046</v>
      </c>
      <c r="M158" t="str">
        <f>"E1/2 OF LOTS 41 THRU 44 IN OR 879/1974 CORNWALL SURVEY"</f>
        <v>E1/2 OF LOTS 41 THRU 44 IN OR 879/1974 CORNWALL SURVEY</v>
      </c>
      <c r="N158" t="str">
        <f>""</f>
        <v/>
      </c>
      <c r="O158" t="str">
        <f>"25142"</f>
        <v>25142</v>
      </c>
      <c r="P158" t="str">
        <f t="shared" si="45"/>
        <v>2017</v>
      </c>
      <c r="Q158" t="str">
        <f>""</f>
        <v/>
      </c>
      <c r="R158" t="str">
        <f>"Y"</f>
        <v>Y</v>
      </c>
      <c r="S158" t="str">
        <f>"20.00"</f>
        <v>20.00</v>
      </c>
      <c r="T158" t="str">
        <f>"1000.21"</f>
        <v>1000.21</v>
      </c>
      <c r="U158" t="str">
        <f>"105173.00"</f>
        <v>105173.00</v>
      </c>
      <c r="V158" t="str">
        <f>"105173.00"</f>
        <v>105173.00</v>
      </c>
      <c r="W158" t="str">
        <f t="shared" si="46"/>
        <v>2017</v>
      </c>
      <c r="X158" t="str">
        <f>"15.89"</f>
        <v>15.89</v>
      </c>
      <c r="Y158" t="str">
        <f>"1062.22"</f>
        <v>1062.22</v>
      </c>
      <c r="Z158" t="str">
        <f>"25000.00"</f>
        <v>25000.00</v>
      </c>
      <c r="AA158" t="str">
        <f>"80173.00"</f>
        <v>80173.00</v>
      </c>
      <c r="AB158" t="str">
        <f>"Agricultural"</f>
        <v>Agricultural</v>
      </c>
      <c r="AC158" t="str">
        <f t="shared" si="47"/>
        <v>0</v>
      </c>
      <c r="AD158" t="str">
        <f t="shared" si="52"/>
        <v>4</v>
      </c>
      <c r="AE158" t="str">
        <f t="shared" si="53"/>
        <v>WOOD (INCLUDE STEEL STUDS)</v>
      </c>
      <c r="AF158" t="str">
        <f>"050"</f>
        <v>050</v>
      </c>
      <c r="AG158" t="str">
        <f t="shared" si="49"/>
        <v>FL</v>
      </c>
      <c r="AH158" t="str">
        <f>"871200.00"</f>
        <v>871200.00</v>
      </c>
      <c r="AI158" t="str">
        <f>"20370.00"</f>
        <v>20370.00</v>
      </c>
      <c r="AJ158" t="str">
        <f>"C55-000-586-8431-7"</f>
        <v>C55-000-586-8431-7</v>
      </c>
      <c r="AK158" t="str">
        <f>"1266"</f>
        <v>1266</v>
      </c>
      <c r="AL158">
        <v>1</v>
      </c>
      <c r="AM158">
        <v>186</v>
      </c>
      <c r="AN158">
        <v>1113.73</v>
      </c>
      <c r="AQ158" t="s">
        <v>2016</v>
      </c>
      <c r="AR158" t="s">
        <v>2016</v>
      </c>
      <c r="AS158" t="s">
        <v>2016</v>
      </c>
      <c r="AU158" t="s">
        <v>396</v>
      </c>
      <c r="AV158">
        <v>2017</v>
      </c>
      <c r="AW158" t="str">
        <f>"09-3N-23-2020-0041-0010 "</f>
        <v xml:space="preserve">09-3N-23-2020-0041-0010 </v>
      </c>
      <c r="AX158">
        <v>17416</v>
      </c>
      <c r="AZ158" t="s">
        <v>2001</v>
      </c>
      <c r="BA158" t="s">
        <v>653</v>
      </c>
      <c r="BD158" t="s">
        <v>398</v>
      </c>
      <c r="BE158" t="s">
        <v>393</v>
      </c>
      <c r="BF158">
        <v>32046</v>
      </c>
      <c r="BG158" t="s">
        <v>2017</v>
      </c>
      <c r="BH158" t="s">
        <v>400</v>
      </c>
      <c r="BI158">
        <v>-82.013880918974294</v>
      </c>
      <c r="BJ158">
        <v>30.687735009194999</v>
      </c>
      <c r="BK158" t="s">
        <v>2018</v>
      </c>
      <c r="BM158" t="s">
        <v>2017</v>
      </c>
      <c r="BN158" t="s">
        <v>403</v>
      </c>
      <c r="BO158">
        <v>32046</v>
      </c>
      <c r="BP158" t="s">
        <v>416</v>
      </c>
      <c r="BQ158">
        <v>5000</v>
      </c>
      <c r="BR158" t="s">
        <v>664</v>
      </c>
      <c r="BS158">
        <v>7000</v>
      </c>
      <c r="BT158" t="s">
        <v>665</v>
      </c>
      <c r="BW158">
        <v>871200</v>
      </c>
      <c r="BX158" t="s">
        <v>407</v>
      </c>
      <c r="BY158" t="s">
        <v>408</v>
      </c>
      <c r="BZ158">
        <v>4</v>
      </c>
      <c r="CA158">
        <v>2000</v>
      </c>
      <c r="CB158">
        <v>1</v>
      </c>
      <c r="CC158">
        <v>1</v>
      </c>
      <c r="CD158">
        <v>2017</v>
      </c>
      <c r="CG158">
        <v>105173</v>
      </c>
      <c r="CH158">
        <v>2017</v>
      </c>
      <c r="CI158">
        <v>20370</v>
      </c>
      <c r="CJ158">
        <v>184482</v>
      </c>
      <c r="CK158">
        <v>204852</v>
      </c>
      <c r="CL158">
        <v>2017</v>
      </c>
      <c r="CM158">
        <v>1000.21</v>
      </c>
      <c r="CN158" s="1">
        <v>36272</v>
      </c>
      <c r="CO158">
        <v>16000</v>
      </c>
      <c r="CZ158" s="1">
        <v>36272</v>
      </c>
      <c r="DD158" t="s">
        <v>398</v>
      </c>
      <c r="DG158">
        <v>9</v>
      </c>
      <c r="DJ158" t="s">
        <v>1990</v>
      </c>
      <c r="DL158">
        <v>50400</v>
      </c>
      <c r="DM158" t="s">
        <v>2005</v>
      </c>
      <c r="DO158" t="s">
        <v>2019</v>
      </c>
      <c r="DP158">
        <v>0</v>
      </c>
      <c r="DQ158">
        <v>0</v>
      </c>
      <c r="DR158" t="s">
        <v>411</v>
      </c>
      <c r="DS158" t="b">
        <v>1</v>
      </c>
      <c r="DT158" t="s">
        <v>396</v>
      </c>
      <c r="DV158" t="s">
        <v>446</v>
      </c>
      <c r="DX158">
        <v>-9999</v>
      </c>
      <c r="DZ158" t="s">
        <v>447</v>
      </c>
      <c r="EA158" t="s">
        <v>448</v>
      </c>
      <c r="EB158" t="s">
        <v>449</v>
      </c>
      <c r="EC158">
        <v>20101217</v>
      </c>
      <c r="ED158" t="s">
        <v>450</v>
      </c>
      <c r="EE158">
        <v>21.5</v>
      </c>
      <c r="EF158">
        <v>0</v>
      </c>
      <c r="EG158">
        <v>0</v>
      </c>
      <c r="EI158">
        <v>20160407</v>
      </c>
      <c r="EJ158">
        <v>0</v>
      </c>
      <c r="EK158">
        <v>0</v>
      </c>
      <c r="EP158" t="s">
        <v>421</v>
      </c>
      <c r="EQ158" t="s">
        <v>452</v>
      </c>
      <c r="ER158">
        <v>2</v>
      </c>
      <c r="ES158">
        <v>7</v>
      </c>
      <c r="ET158">
        <v>2172.56</v>
      </c>
      <c r="EU158">
        <v>121.13</v>
      </c>
      <c r="EV158">
        <v>2293.69</v>
      </c>
      <c r="EW158" s="2">
        <v>43222</v>
      </c>
      <c r="EX158" s="1">
        <v>42879</v>
      </c>
      <c r="EY158">
        <v>2016</v>
      </c>
      <c r="EZ158">
        <v>1086.28</v>
      </c>
      <c r="FA158" t="s">
        <v>2020</v>
      </c>
      <c r="FB158">
        <v>0.25</v>
      </c>
      <c r="FC158" t="s">
        <v>424</v>
      </c>
      <c r="FD158" t="s">
        <v>454</v>
      </c>
      <c r="FF158">
        <v>12</v>
      </c>
      <c r="FG158">
        <v>7336671</v>
      </c>
      <c r="FH158" t="s">
        <v>437</v>
      </c>
      <c r="FJ158" s="1">
        <v>42879</v>
      </c>
      <c r="FK158">
        <v>2016</v>
      </c>
      <c r="FL158">
        <v>1086.28</v>
      </c>
      <c r="FM158" t="s">
        <v>2020</v>
      </c>
      <c r="FN158">
        <v>0.25</v>
      </c>
      <c r="FO158" t="s">
        <v>424</v>
      </c>
      <c r="FP158" t="s">
        <v>454</v>
      </c>
      <c r="FR158">
        <v>12</v>
      </c>
      <c r="FS158">
        <v>6884292</v>
      </c>
      <c r="FT158" t="s">
        <v>2021</v>
      </c>
      <c r="FV158" s="1">
        <v>42515</v>
      </c>
      <c r="FW158">
        <v>2015</v>
      </c>
      <c r="FX158">
        <v>1099.1600000000001</v>
      </c>
      <c r="FY158" t="s">
        <v>2022</v>
      </c>
      <c r="FZ158">
        <v>0.25</v>
      </c>
      <c r="GA158" t="s">
        <v>424</v>
      </c>
      <c r="GB158" t="s">
        <v>425</v>
      </c>
      <c r="GC158" s="1">
        <v>43159</v>
      </c>
      <c r="GD158">
        <v>21</v>
      </c>
      <c r="GE158">
        <v>7045074</v>
      </c>
      <c r="GF158" t="s">
        <v>580</v>
      </c>
      <c r="GH158" s="1">
        <v>42515</v>
      </c>
      <c r="GI158">
        <v>2015</v>
      </c>
      <c r="GJ158">
        <v>1099.1600000000001</v>
      </c>
      <c r="GK158" t="s">
        <v>2022</v>
      </c>
      <c r="GL158">
        <v>0.25</v>
      </c>
      <c r="GM158" t="s">
        <v>424</v>
      </c>
      <c r="GN158" t="s">
        <v>425</v>
      </c>
      <c r="GP158">
        <v>22</v>
      </c>
      <c r="GQ158">
        <v>6406216</v>
      </c>
      <c r="GR158" t="s">
        <v>2023</v>
      </c>
      <c r="GT158" s="1">
        <v>41787</v>
      </c>
      <c r="GU158">
        <v>2013</v>
      </c>
      <c r="GV158">
        <v>1018.95</v>
      </c>
      <c r="GW158" t="s">
        <v>2024</v>
      </c>
      <c r="GX158">
        <v>0.25</v>
      </c>
      <c r="GY158" t="s">
        <v>424</v>
      </c>
      <c r="GZ158" t="s">
        <v>425</v>
      </c>
      <c r="HB158">
        <v>22</v>
      </c>
      <c r="HC158">
        <v>15259</v>
      </c>
      <c r="HD158" t="s">
        <v>891</v>
      </c>
      <c r="HE158" t="s">
        <v>458</v>
      </c>
      <c r="HF158" s="1">
        <v>41423</v>
      </c>
      <c r="HG158">
        <v>2012</v>
      </c>
      <c r="HH158">
        <v>1280.28</v>
      </c>
      <c r="HI158" t="s">
        <v>2025</v>
      </c>
      <c r="HJ158">
        <v>0.25</v>
      </c>
      <c r="HK158" t="s">
        <v>424</v>
      </c>
      <c r="HL158" t="s">
        <v>425</v>
      </c>
      <c r="HN158">
        <v>22</v>
      </c>
      <c r="HO158">
        <v>15259</v>
      </c>
      <c r="HP158" t="s">
        <v>891</v>
      </c>
      <c r="HQ158" t="s">
        <v>458</v>
      </c>
      <c r="HR158" s="1">
        <v>41052</v>
      </c>
      <c r="HS158">
        <v>2011</v>
      </c>
      <c r="HT158">
        <v>1353.39</v>
      </c>
      <c r="HU158" t="s">
        <v>2026</v>
      </c>
      <c r="HV158">
        <v>4.5</v>
      </c>
      <c r="HW158" t="s">
        <v>424</v>
      </c>
      <c r="HX158" t="s">
        <v>425</v>
      </c>
      <c r="HY158" s="1">
        <v>41528</v>
      </c>
      <c r="HZ158">
        <v>16</v>
      </c>
      <c r="IA158">
        <v>13104</v>
      </c>
      <c r="IB158" t="s">
        <v>888</v>
      </c>
      <c r="ID158" s="1">
        <v>41052</v>
      </c>
      <c r="IE158">
        <v>2011</v>
      </c>
      <c r="IF158">
        <v>1353.39</v>
      </c>
      <c r="IG158" t="s">
        <v>2026</v>
      </c>
      <c r="IH158">
        <v>4.5</v>
      </c>
      <c r="II158" t="s">
        <v>424</v>
      </c>
      <c r="IJ158" t="s">
        <v>425</v>
      </c>
      <c r="IL158">
        <v>22</v>
      </c>
      <c r="IM158">
        <v>13741</v>
      </c>
      <c r="IN158" t="s">
        <v>2027</v>
      </c>
      <c r="IP158" s="1">
        <v>40688</v>
      </c>
      <c r="IQ158">
        <v>2010</v>
      </c>
      <c r="IR158">
        <v>1399</v>
      </c>
      <c r="IS158" t="s">
        <v>2028</v>
      </c>
      <c r="IT158">
        <v>5.25</v>
      </c>
      <c r="IU158" t="s">
        <v>424</v>
      </c>
      <c r="IV158" t="s">
        <v>425</v>
      </c>
      <c r="IW158" s="1">
        <v>41311</v>
      </c>
      <c r="IX158">
        <v>21</v>
      </c>
      <c r="IY158">
        <v>11177</v>
      </c>
      <c r="IZ158" t="s">
        <v>650</v>
      </c>
    </row>
    <row r="159" spans="1:296" x14ac:dyDescent="0.25">
      <c r="A159">
        <v>16485166</v>
      </c>
      <c r="B159">
        <v>158</v>
      </c>
      <c r="C159" t="s">
        <v>393</v>
      </c>
      <c r="D159" t="s">
        <v>394</v>
      </c>
      <c r="F159" t="str">
        <f>"09-3N-23-2020-0045-0010"</f>
        <v>09-3N-23-2020-0045-0010</v>
      </c>
      <c r="H159" t="str">
        <f>"COAST TO COAST INC C/O MAXWELL COBB"</f>
        <v>COAST TO COAST INC C/O MAXWELL COBB</v>
      </c>
      <c r="I159" t="str">
        <f>"523 SOUTH ELLIS ROAD"</f>
        <v>523 SOUTH ELLIS ROAD</v>
      </c>
      <c r="J159" t="str">
        <f>"JACKSONVILLE FL 32254"</f>
        <v>JACKSONVILLE FL 32254</v>
      </c>
      <c r="K159" t="str">
        <f>"17153 WHISTLER SPRING LN"</f>
        <v>17153 WHISTLER SPRING LN</v>
      </c>
      <c r="L159" t="str">
        <f t="shared" si="51"/>
        <v>HILLIARD FL 32046</v>
      </c>
      <c r="M159" t="str">
        <f>"PT LOTS 45 45 47 48 &amp; LOT 52 IN OR 646/50 (EX PT IN OR 1603/1920) CORNWALL SURVEY S/D OF SEC 9-3N-23E PBK O/31"</f>
        <v>PT LOTS 45 45 47 48 &amp; LOT 52 IN OR 646/50 (EX PT IN OR 1603/1920) CORNWALL SURVEY S/D OF SEC 9-3N-23E PBK O/31</v>
      </c>
      <c r="N159" t="str">
        <f>""</f>
        <v/>
      </c>
      <c r="O159" t="str">
        <f>"25143"</f>
        <v>25143</v>
      </c>
      <c r="P159" t="str">
        <f t="shared" si="45"/>
        <v>2017</v>
      </c>
      <c r="Q159" t="str">
        <f>""</f>
        <v/>
      </c>
      <c r="R159" t="str">
        <f>"N"</f>
        <v>N</v>
      </c>
      <c r="S159" t="str">
        <f>"24.00"</f>
        <v>24.00</v>
      </c>
      <c r="T159" t="str">
        <f>"2480.64"</f>
        <v>2480.64</v>
      </c>
      <c r="U159" t="str">
        <f>"163859.00"</f>
        <v>163859.00</v>
      </c>
      <c r="V159" t="str">
        <f>"163859.00"</f>
        <v>163859.00</v>
      </c>
      <c r="W159" t="str">
        <f t="shared" si="46"/>
        <v>2017</v>
      </c>
      <c r="X159" t="str">
        <f>"23.00"</f>
        <v>23.00</v>
      </c>
      <c r="Y159" t="str">
        <f>"2587.06"</f>
        <v>2587.06</v>
      </c>
      <c r="Z159" t="str">
        <f>""</f>
        <v/>
      </c>
      <c r="AA159" t="str">
        <f>"163859.00"</f>
        <v>163859.00</v>
      </c>
      <c r="AB159" t="str">
        <f>"Agricultural"</f>
        <v>Agricultural</v>
      </c>
      <c r="AC159" t="str">
        <f t="shared" si="47"/>
        <v>0</v>
      </c>
      <c r="AD159" t="str">
        <f t="shared" si="52"/>
        <v>4</v>
      </c>
      <c r="AE159" t="str">
        <f t="shared" si="53"/>
        <v>WOOD (INCLUDE STEEL STUDS)</v>
      </c>
      <c r="AF159" t="str">
        <f>"050"</f>
        <v>050</v>
      </c>
      <c r="AG159" t="str">
        <f t="shared" si="49"/>
        <v>FL</v>
      </c>
      <c r="AH159" t="str">
        <f>"1045440.00"</f>
        <v>1045440.00</v>
      </c>
      <c r="AI159" t="str">
        <f>"23075.00"</f>
        <v>23075.00</v>
      </c>
      <c r="AJ159" t="str">
        <f>"C55-000-586-8432-5"</f>
        <v>C55-000-586-8432-5</v>
      </c>
      <c r="AK159" t="str">
        <f>"1267"</f>
        <v>1267</v>
      </c>
      <c r="AL159">
        <v>1</v>
      </c>
      <c r="AM159">
        <v>187</v>
      </c>
      <c r="AN159">
        <v>2714.81</v>
      </c>
      <c r="AQ159" t="s">
        <v>2029</v>
      </c>
      <c r="AR159" t="s">
        <v>2029</v>
      </c>
      <c r="AS159" t="s">
        <v>2029</v>
      </c>
      <c r="AU159" t="s">
        <v>396</v>
      </c>
      <c r="AV159">
        <v>2017</v>
      </c>
      <c r="AW159" t="str">
        <f>"09-3N-23-2020-0045-0010 "</f>
        <v xml:space="preserve">09-3N-23-2020-0045-0010 </v>
      </c>
      <c r="AX159">
        <v>17153</v>
      </c>
      <c r="AZ159" t="s">
        <v>2001</v>
      </c>
      <c r="BA159" t="s">
        <v>653</v>
      </c>
      <c r="BD159" t="s">
        <v>398</v>
      </c>
      <c r="BE159" t="s">
        <v>393</v>
      </c>
      <c r="BF159">
        <v>32046</v>
      </c>
      <c r="BG159" t="s">
        <v>2030</v>
      </c>
      <c r="BH159" t="s">
        <v>400</v>
      </c>
      <c r="BI159">
        <v>-82.013403393927504</v>
      </c>
      <c r="BJ159">
        <v>30.684449713498601</v>
      </c>
      <c r="BK159" t="s">
        <v>1988</v>
      </c>
      <c r="BM159" t="s">
        <v>1989</v>
      </c>
      <c r="BN159" t="s">
        <v>548</v>
      </c>
      <c r="BO159">
        <v>32254</v>
      </c>
      <c r="BP159" t="s">
        <v>404</v>
      </c>
      <c r="BQ159">
        <v>5000</v>
      </c>
      <c r="BR159" t="s">
        <v>664</v>
      </c>
      <c r="BS159">
        <v>7000</v>
      </c>
      <c r="BT159" t="s">
        <v>665</v>
      </c>
      <c r="BW159">
        <v>1045440</v>
      </c>
      <c r="BX159" t="s">
        <v>407</v>
      </c>
      <c r="BY159" t="s">
        <v>408</v>
      </c>
      <c r="BZ159">
        <v>4</v>
      </c>
      <c r="CA159">
        <v>1977</v>
      </c>
      <c r="CB159">
        <v>1</v>
      </c>
      <c r="CC159">
        <v>1</v>
      </c>
      <c r="CD159">
        <v>2017</v>
      </c>
      <c r="CG159">
        <v>163859</v>
      </c>
      <c r="CH159">
        <v>2017</v>
      </c>
      <c r="CI159">
        <v>23075</v>
      </c>
      <c r="CJ159">
        <v>244129</v>
      </c>
      <c r="CK159">
        <v>267204</v>
      </c>
      <c r="CL159">
        <v>2017</v>
      </c>
      <c r="CM159">
        <v>2480.64</v>
      </c>
      <c r="CN159" s="1">
        <v>39848</v>
      </c>
      <c r="CO159">
        <v>19560</v>
      </c>
      <c r="CV159">
        <v>0</v>
      </c>
      <c r="CZ159" s="1">
        <v>39848</v>
      </c>
      <c r="DA159">
        <v>0</v>
      </c>
      <c r="DD159" t="s">
        <v>398</v>
      </c>
      <c r="DF159">
        <v>52</v>
      </c>
      <c r="DG159">
        <v>9</v>
      </c>
      <c r="DL159">
        <v>50400</v>
      </c>
      <c r="DM159" t="s">
        <v>2005</v>
      </c>
      <c r="DO159" t="s">
        <v>2031</v>
      </c>
      <c r="DP159">
        <v>0</v>
      </c>
      <c r="DQ159">
        <v>0</v>
      </c>
      <c r="DR159" t="s">
        <v>411</v>
      </c>
      <c r="DS159" t="b">
        <v>1</v>
      </c>
      <c r="DT159" t="s">
        <v>470</v>
      </c>
      <c r="DU159" t="s">
        <v>471</v>
      </c>
      <c r="DV159" t="s">
        <v>472</v>
      </c>
      <c r="DX159">
        <v>-9999</v>
      </c>
      <c r="DZ159" t="s">
        <v>447</v>
      </c>
      <c r="EA159" t="s">
        <v>448</v>
      </c>
      <c r="EB159" t="s">
        <v>2032</v>
      </c>
      <c r="EC159">
        <v>20101217</v>
      </c>
      <c r="ED159" t="s">
        <v>474</v>
      </c>
      <c r="EF159">
        <v>1021</v>
      </c>
      <c r="EG159">
        <v>1021</v>
      </c>
      <c r="EI159">
        <v>20160407</v>
      </c>
      <c r="EJ159">
        <v>0</v>
      </c>
      <c r="EK159">
        <v>0</v>
      </c>
      <c r="EP159" t="s">
        <v>421</v>
      </c>
      <c r="EQ159" t="s">
        <v>422</v>
      </c>
      <c r="ER159">
        <v>2</v>
      </c>
      <c r="ES159">
        <v>2</v>
      </c>
      <c r="ET159">
        <v>5386.82</v>
      </c>
      <c r="EU159">
        <v>281.83999999999997</v>
      </c>
      <c r="EV159">
        <v>5668.66</v>
      </c>
      <c r="EW159" s="2">
        <v>43222</v>
      </c>
      <c r="EX159" s="1">
        <v>42879</v>
      </c>
      <c r="EY159">
        <v>2016</v>
      </c>
      <c r="EZ159">
        <v>2693.41</v>
      </c>
      <c r="FA159" t="s">
        <v>2033</v>
      </c>
      <c r="FB159">
        <v>0.25</v>
      </c>
      <c r="FC159" t="s">
        <v>424</v>
      </c>
      <c r="FD159" t="s">
        <v>454</v>
      </c>
      <c r="FF159">
        <v>12</v>
      </c>
      <c r="FG159">
        <v>11289</v>
      </c>
      <c r="FH159" t="s">
        <v>787</v>
      </c>
      <c r="FJ159" s="1">
        <v>42879</v>
      </c>
      <c r="FK159">
        <v>2016</v>
      </c>
      <c r="FL159">
        <v>2693.41</v>
      </c>
      <c r="FM159" t="s">
        <v>2033</v>
      </c>
      <c r="FN159">
        <v>0.25</v>
      </c>
      <c r="FO159" t="s">
        <v>424</v>
      </c>
      <c r="FP159" t="s">
        <v>454</v>
      </c>
      <c r="FR159">
        <v>12</v>
      </c>
      <c r="FS159">
        <v>7153368</v>
      </c>
      <c r="FT159" t="s">
        <v>2034</v>
      </c>
      <c r="FV159" s="1">
        <v>42515</v>
      </c>
      <c r="FW159">
        <v>2015</v>
      </c>
      <c r="FX159">
        <v>2787.92</v>
      </c>
      <c r="FY159" t="s">
        <v>2035</v>
      </c>
      <c r="FZ159">
        <v>0.25</v>
      </c>
      <c r="GA159" t="s">
        <v>424</v>
      </c>
      <c r="GB159" t="s">
        <v>425</v>
      </c>
      <c r="GC159" s="1">
        <v>43192</v>
      </c>
      <c r="GD159">
        <v>23</v>
      </c>
      <c r="GE159">
        <v>7045074</v>
      </c>
      <c r="GF159" t="s">
        <v>580</v>
      </c>
      <c r="GH159" s="1">
        <v>42515</v>
      </c>
      <c r="GI159">
        <v>2015</v>
      </c>
      <c r="GJ159">
        <v>2787.92</v>
      </c>
      <c r="GK159" t="s">
        <v>2035</v>
      </c>
      <c r="GL159">
        <v>0.25</v>
      </c>
      <c r="GM159" t="s">
        <v>424</v>
      </c>
      <c r="GN159" t="s">
        <v>425</v>
      </c>
      <c r="GP159">
        <v>22</v>
      </c>
      <c r="GQ159">
        <v>6675931</v>
      </c>
      <c r="GR159" t="s">
        <v>2036</v>
      </c>
    </row>
    <row r="160" spans="1:296" x14ac:dyDescent="0.25">
      <c r="A160">
        <v>16485167</v>
      </c>
      <c r="B160">
        <v>159</v>
      </c>
      <c r="C160" t="s">
        <v>393</v>
      </c>
      <c r="D160" t="s">
        <v>394</v>
      </c>
      <c r="F160" t="str">
        <f>"10-3N-23-2020-0013-0010"</f>
        <v>10-3N-23-2020-0013-0010</v>
      </c>
      <c r="H160" t="str">
        <f>"MOODY WILLIAM A &amp; BECKY &amp; MOODY ALTON VANCE (JT/RS)"</f>
        <v>MOODY WILLIAM A &amp; BECKY &amp; MOODY ALTON VANCE (JT/RS)</v>
      </c>
      <c r="I160" t="str">
        <f>"17194 BUCKSKIN RD"</f>
        <v>17194 BUCKSKIN RD</v>
      </c>
      <c r="J160" t="str">
        <f>"HILLIARD FL 32046"</f>
        <v>HILLIARD FL 32046</v>
      </c>
      <c r="K160" t="str">
        <f>"17194 BUCKSKIN RD"</f>
        <v>17194 BUCKSKIN RD</v>
      </c>
      <c r="L160" t="str">
        <f t="shared" si="51"/>
        <v>HILLIARD FL 32046</v>
      </c>
      <c r="M160" t="str">
        <f>"W1/2 OF E1/2 OF LOT 13 &amp; PT OF LOT 14 (S-1) IN OR 1891/469 1980 TIPP DW/MH EX S-3 OF LOT 13 EX S-1 &amp; S-2 OF LOT 16 EX S-2 &amp; S-3 OF LOT 14 EX S-1 OF LOTS 14 &amp; 15 CORNWALL SURVEY PB 0/31"</f>
        <v>W1/2 OF E1/2 OF LOT 13 &amp; PT OF LOT 14 (S-1) IN OR 1891/469 1980 TIPP DW/MH EX S-3 OF LOT 13 EX S-1 &amp; S-2 OF LOT 16 EX S-2 &amp; S-3 OF LOT 14 EX S-1 OF LOTS 14 &amp; 15 CORNWALL SURVEY PB 0/31</v>
      </c>
      <c r="N160" t="str">
        <f>""</f>
        <v/>
      </c>
      <c r="O160" t="str">
        <f>"25976"</f>
        <v>25976</v>
      </c>
      <c r="P160" t="str">
        <f t="shared" si="45"/>
        <v>2017</v>
      </c>
      <c r="Q160" t="str">
        <f>""</f>
        <v/>
      </c>
      <c r="R160" t="str">
        <f>"Y"</f>
        <v>Y</v>
      </c>
      <c r="S160" t="str">
        <f>"3.54"</f>
        <v>3.54</v>
      </c>
      <c r="T160" t="str">
        <f>"361.27"</f>
        <v>361.27</v>
      </c>
      <c r="U160" t="str">
        <f>"48864.00"</f>
        <v>48864.00</v>
      </c>
      <c r="V160" t="str">
        <f>"48864.00"</f>
        <v>48864.00</v>
      </c>
      <c r="W160" t="str">
        <f t="shared" si="46"/>
        <v>2017</v>
      </c>
      <c r="X160" t="str">
        <f>"11.25"</f>
        <v>11.25</v>
      </c>
      <c r="Y160" t="str">
        <f>"404.11"</f>
        <v>404.11</v>
      </c>
      <c r="Z160" t="str">
        <f>"25000.00"</f>
        <v>25000.00</v>
      </c>
      <c r="AA160" t="str">
        <f>"23864.00"</f>
        <v>23864.00</v>
      </c>
      <c r="AB160" t="str">
        <f>"Residential"</f>
        <v>Residential</v>
      </c>
      <c r="AC160" t="str">
        <f t="shared" si="47"/>
        <v>0</v>
      </c>
      <c r="AD160" t="str">
        <f t="shared" si="52"/>
        <v>4</v>
      </c>
      <c r="AE160" t="str">
        <f t="shared" si="53"/>
        <v>WOOD (INCLUDE STEEL STUDS)</v>
      </c>
      <c r="AF160" t="str">
        <f>"002"</f>
        <v>002</v>
      </c>
      <c r="AG160" t="str">
        <f t="shared" si="49"/>
        <v>FL</v>
      </c>
      <c r="AH160" t="str">
        <f>"154202.00"</f>
        <v>154202.00</v>
      </c>
      <c r="AI160" t="str">
        <f>"28320.00"</f>
        <v>28320.00</v>
      </c>
      <c r="AJ160" t="str">
        <f>"C55-000-586-8940-7"</f>
        <v>C55-000-586-8940-7</v>
      </c>
      <c r="AK160" t="str">
        <f>"1315"</f>
        <v>1315</v>
      </c>
      <c r="AL160">
        <v>1</v>
      </c>
      <c r="AM160">
        <v>188</v>
      </c>
      <c r="AN160">
        <v>422.72</v>
      </c>
      <c r="AQ160" t="s">
        <v>2037</v>
      </c>
      <c r="AR160" t="s">
        <v>2037</v>
      </c>
      <c r="AS160" t="s">
        <v>2037</v>
      </c>
      <c r="AU160" t="s">
        <v>396</v>
      </c>
      <c r="AV160">
        <v>2017</v>
      </c>
      <c r="AW160" t="str">
        <f>"10-3N-23-2020-0013-0010 "</f>
        <v xml:space="preserve">10-3N-23-2020-0013-0010 </v>
      </c>
      <c r="AX160">
        <v>17194</v>
      </c>
      <c r="AZ160" t="s">
        <v>2038</v>
      </c>
      <c r="BA160" t="s">
        <v>496</v>
      </c>
      <c r="BD160" t="s">
        <v>398</v>
      </c>
      <c r="BE160" t="s">
        <v>393</v>
      </c>
      <c r="BF160">
        <v>32046</v>
      </c>
      <c r="BG160" t="s">
        <v>2039</v>
      </c>
      <c r="BH160" t="s">
        <v>400</v>
      </c>
      <c r="BI160">
        <v>-82.006326115717897</v>
      </c>
      <c r="BJ160">
        <v>30.685386050324301</v>
      </c>
      <c r="BK160" t="s">
        <v>2040</v>
      </c>
      <c r="BM160" t="s">
        <v>2041</v>
      </c>
      <c r="BN160" t="s">
        <v>403</v>
      </c>
      <c r="BO160">
        <v>32046</v>
      </c>
      <c r="BP160" t="s">
        <v>416</v>
      </c>
      <c r="BQ160">
        <v>200</v>
      </c>
      <c r="BR160" t="s">
        <v>405</v>
      </c>
      <c r="BS160">
        <v>1006</v>
      </c>
      <c r="BT160" t="s">
        <v>406</v>
      </c>
      <c r="BW160">
        <v>154202</v>
      </c>
      <c r="BX160" t="s">
        <v>407</v>
      </c>
      <c r="BY160" t="s">
        <v>408</v>
      </c>
      <c r="BZ160">
        <v>4</v>
      </c>
      <c r="CA160">
        <v>1980</v>
      </c>
      <c r="CC160">
        <v>1</v>
      </c>
      <c r="CD160">
        <v>2017</v>
      </c>
      <c r="CE160">
        <v>28320</v>
      </c>
      <c r="CF160">
        <v>20544</v>
      </c>
      <c r="CG160">
        <v>48864</v>
      </c>
      <c r="CH160">
        <v>2017</v>
      </c>
      <c r="CI160">
        <v>28320</v>
      </c>
      <c r="CJ160">
        <v>20544</v>
      </c>
      <c r="CK160">
        <v>48864</v>
      </c>
      <c r="CL160">
        <v>2017</v>
      </c>
      <c r="CM160">
        <v>361.27</v>
      </c>
      <c r="CN160" s="1">
        <v>40856</v>
      </c>
      <c r="CO160">
        <v>53500</v>
      </c>
      <c r="CV160">
        <v>53500</v>
      </c>
      <c r="CX160" t="s">
        <v>2042</v>
      </c>
      <c r="CZ160" s="1">
        <v>40856</v>
      </c>
      <c r="DA160">
        <v>0</v>
      </c>
      <c r="DD160" t="s">
        <v>398</v>
      </c>
      <c r="DF160">
        <v>13</v>
      </c>
      <c r="DG160">
        <v>10</v>
      </c>
      <c r="DL160">
        <v>50400</v>
      </c>
      <c r="DM160" t="s">
        <v>2043</v>
      </c>
      <c r="DO160" t="s">
        <v>2044</v>
      </c>
      <c r="DP160">
        <v>0</v>
      </c>
      <c r="DQ160">
        <v>0</v>
      </c>
      <c r="DR160" t="s">
        <v>411</v>
      </c>
      <c r="EP160" t="s">
        <v>421</v>
      </c>
      <c r="EQ160" t="s">
        <v>422</v>
      </c>
      <c r="ER160">
        <v>2</v>
      </c>
      <c r="ES160">
        <v>1</v>
      </c>
      <c r="ET160">
        <v>979</v>
      </c>
      <c r="EU160">
        <v>61.45</v>
      </c>
      <c r="EV160">
        <v>1040.45</v>
      </c>
      <c r="EW160" s="2">
        <v>43222</v>
      </c>
      <c r="EX160" s="1">
        <v>42879</v>
      </c>
      <c r="EY160">
        <v>2016</v>
      </c>
      <c r="EZ160">
        <v>489.5</v>
      </c>
      <c r="FA160" t="s">
        <v>2045</v>
      </c>
      <c r="FB160">
        <v>0.25</v>
      </c>
      <c r="FC160" t="s">
        <v>424</v>
      </c>
      <c r="FD160" t="s">
        <v>454</v>
      </c>
      <c r="FF160">
        <v>12</v>
      </c>
      <c r="FG160">
        <v>2851116</v>
      </c>
      <c r="FH160" t="s">
        <v>480</v>
      </c>
      <c r="FJ160" s="1">
        <v>42879</v>
      </c>
      <c r="FK160">
        <v>2016</v>
      </c>
      <c r="FL160">
        <v>489.5</v>
      </c>
      <c r="FM160" t="s">
        <v>2045</v>
      </c>
      <c r="FN160">
        <v>0.25</v>
      </c>
      <c r="FO160" t="s">
        <v>424</v>
      </c>
      <c r="FP160" t="s">
        <v>454</v>
      </c>
      <c r="FR160">
        <v>12</v>
      </c>
      <c r="FS160">
        <v>5354536</v>
      </c>
      <c r="FT160" t="s">
        <v>2046</v>
      </c>
      <c r="FV160" s="1">
        <v>40688</v>
      </c>
      <c r="FW160">
        <v>2010</v>
      </c>
      <c r="FX160">
        <v>465.74</v>
      </c>
      <c r="FY160" t="s">
        <v>2047</v>
      </c>
      <c r="FZ160">
        <v>8</v>
      </c>
      <c r="GA160" t="s">
        <v>424</v>
      </c>
      <c r="GB160" t="s">
        <v>425</v>
      </c>
      <c r="GC160" s="1">
        <v>40837</v>
      </c>
      <c r="GD160">
        <v>5</v>
      </c>
      <c r="GE160">
        <v>10548</v>
      </c>
      <c r="GF160" t="s">
        <v>589</v>
      </c>
    </row>
    <row r="161" spans="1:320" x14ac:dyDescent="0.25">
      <c r="A161">
        <v>16485168</v>
      </c>
      <c r="B161">
        <v>160</v>
      </c>
      <c r="C161" t="s">
        <v>393</v>
      </c>
      <c r="D161" t="s">
        <v>394</v>
      </c>
      <c r="F161" t="str">
        <f>"12-3N-23-2020-0018-0010"</f>
        <v>12-3N-23-2020-0018-0010</v>
      </c>
      <c r="H161" t="str">
        <f>"SIKES CLAUDE R &amp; TERESA B"</f>
        <v>SIKES CLAUDE R &amp; TERESA B</v>
      </c>
      <c r="I161" t="str">
        <f>"27065 PEE WEE LANE"</f>
        <v>27065 PEE WEE LANE</v>
      </c>
      <c r="J161" t="str">
        <f>"HILLIARD FL 32046"</f>
        <v>HILLIARD FL 32046</v>
      </c>
      <c r="K161" t="str">
        <f>"27065 PEE WEE LN"</f>
        <v>27065 PEE WEE LN</v>
      </c>
      <c r="L161" t="str">
        <f t="shared" si="51"/>
        <v>HILLIARD FL 32046</v>
      </c>
      <c r="M161" t="str">
        <f>"S200 FT OF W217.8 FT OF E1/2 OF LOT 18 OR 1092/1395 IN OR 1092/1395 CORNWALL SURVEY"</f>
        <v>S200 FT OF W217.8 FT OF E1/2 OF LOT 18 OR 1092/1395 IN OR 1092/1395 CORNWALL SURVEY</v>
      </c>
      <c r="N161" t="str">
        <f>""</f>
        <v/>
      </c>
      <c r="O161" t="str">
        <f>"28928"</f>
        <v>28928</v>
      </c>
      <c r="P161" t="str">
        <f t="shared" si="45"/>
        <v>2017</v>
      </c>
      <c r="Q161" t="str">
        <f>""</f>
        <v/>
      </c>
      <c r="R161" t="str">
        <f>"Y"</f>
        <v>Y</v>
      </c>
      <c r="S161" t="str">
        <f>"1.00"</f>
        <v>1.00</v>
      </c>
      <c r="T161" t="str">
        <f>"1586.41"</f>
        <v>1586.41</v>
      </c>
      <c r="U161" t="str">
        <f>"143895.00"</f>
        <v>143895.00</v>
      </c>
      <c r="V161" t="str">
        <f>"143895.00"</f>
        <v>143895.00</v>
      </c>
      <c r="W161" t="str">
        <f t="shared" si="46"/>
        <v>2017</v>
      </c>
      <c r="X161" t="str">
        <f>"19.33"</f>
        <v>19.33</v>
      </c>
      <c r="Y161" t="str">
        <f>"1666.00"</f>
        <v>1666.00</v>
      </c>
      <c r="Z161" t="str">
        <f>"25000.00"</f>
        <v>25000.00</v>
      </c>
      <c r="AA161" t="str">
        <f>"118895.00"</f>
        <v>118895.00</v>
      </c>
      <c r="AB161" t="str">
        <f>"Residential"</f>
        <v>Residential</v>
      </c>
      <c r="AC161" t="str">
        <f t="shared" si="47"/>
        <v>0</v>
      </c>
      <c r="AD161" t="str">
        <f t="shared" si="52"/>
        <v>4</v>
      </c>
      <c r="AE161" t="str">
        <f t="shared" si="53"/>
        <v>WOOD (INCLUDE STEEL STUDS)</v>
      </c>
      <c r="AF161" t="str">
        <f>"001"</f>
        <v>001</v>
      </c>
      <c r="AG161" t="str">
        <f t="shared" si="49"/>
        <v>FL</v>
      </c>
      <c r="AH161" t="str">
        <f>"43560.00"</f>
        <v>43560.00</v>
      </c>
      <c r="AI161" t="str">
        <f>"15000.00"</f>
        <v>15000.00</v>
      </c>
      <c r="AJ161" t="str">
        <f>"C55-000-588-8563-3"</f>
        <v>C55-000-588-8563-3</v>
      </c>
      <c r="AK161" t="str">
        <f>"1388"</f>
        <v>1388</v>
      </c>
      <c r="AL161">
        <v>1</v>
      </c>
      <c r="AM161">
        <v>190</v>
      </c>
      <c r="AN161">
        <v>1747.7</v>
      </c>
      <c r="AQ161" t="s">
        <v>2048</v>
      </c>
      <c r="AR161" t="s">
        <v>2048</v>
      </c>
      <c r="AS161" t="s">
        <v>2048</v>
      </c>
      <c r="AU161" t="s">
        <v>396</v>
      </c>
      <c r="AV161">
        <v>2017</v>
      </c>
      <c r="AW161" t="str">
        <f>"12-3N-23-2020-0018-0010 "</f>
        <v xml:space="preserve">12-3N-23-2020-0018-0010 </v>
      </c>
      <c r="AX161">
        <v>27065</v>
      </c>
      <c r="AZ161" t="s">
        <v>2049</v>
      </c>
      <c r="BA161" t="s">
        <v>653</v>
      </c>
      <c r="BD161" t="s">
        <v>398</v>
      </c>
      <c r="BE161" t="s">
        <v>393</v>
      </c>
      <c r="BF161">
        <v>32046</v>
      </c>
      <c r="BG161" t="s">
        <v>2050</v>
      </c>
      <c r="BH161" t="s">
        <v>400</v>
      </c>
      <c r="BI161">
        <v>-81.967391086021905</v>
      </c>
      <c r="BJ161">
        <v>30.684347893442801</v>
      </c>
      <c r="BK161" t="s">
        <v>2051</v>
      </c>
      <c r="BM161" t="s">
        <v>2052</v>
      </c>
      <c r="BN161" t="s">
        <v>403</v>
      </c>
      <c r="BO161">
        <v>32046</v>
      </c>
      <c r="BP161" t="s">
        <v>416</v>
      </c>
      <c r="BQ161">
        <v>100</v>
      </c>
      <c r="BR161" t="s">
        <v>514</v>
      </c>
      <c r="BS161">
        <v>1001</v>
      </c>
      <c r="BT161" t="s">
        <v>515</v>
      </c>
      <c r="BW161">
        <v>43560</v>
      </c>
      <c r="BX161" t="s">
        <v>407</v>
      </c>
      <c r="BY161" t="s">
        <v>408</v>
      </c>
      <c r="BZ161">
        <v>4</v>
      </c>
      <c r="CA161">
        <v>1980</v>
      </c>
      <c r="CB161">
        <v>2</v>
      </c>
      <c r="CC161">
        <v>1</v>
      </c>
      <c r="CD161">
        <v>2017</v>
      </c>
      <c r="CG161">
        <v>143895</v>
      </c>
      <c r="CH161">
        <v>2017</v>
      </c>
      <c r="CI161">
        <v>15000</v>
      </c>
      <c r="CJ161">
        <v>148003</v>
      </c>
      <c r="CK161">
        <v>163003</v>
      </c>
      <c r="CL161">
        <v>2017</v>
      </c>
      <c r="CM161">
        <v>1586.41</v>
      </c>
      <c r="CN161" s="1">
        <v>37566</v>
      </c>
      <c r="CO161">
        <v>225000</v>
      </c>
      <c r="CZ161" s="1">
        <v>37566</v>
      </c>
      <c r="DD161" t="s">
        <v>398</v>
      </c>
      <c r="DF161">
        <v>18</v>
      </c>
      <c r="DG161">
        <v>12</v>
      </c>
      <c r="DL161">
        <v>50400</v>
      </c>
      <c r="DM161" t="s">
        <v>2053</v>
      </c>
      <c r="DO161" t="s">
        <v>2054</v>
      </c>
      <c r="DP161">
        <v>0</v>
      </c>
      <c r="DQ161">
        <v>0</v>
      </c>
      <c r="DR161" t="s">
        <v>411</v>
      </c>
      <c r="DS161" t="b">
        <v>1</v>
      </c>
      <c r="DT161" t="s">
        <v>470</v>
      </c>
      <c r="DU161" t="s">
        <v>471</v>
      </c>
      <c r="DV161" t="s">
        <v>472</v>
      </c>
      <c r="DX161">
        <v>-9999</v>
      </c>
      <c r="DZ161" t="s">
        <v>447</v>
      </c>
      <c r="EA161" t="s">
        <v>448</v>
      </c>
      <c r="EB161" t="s">
        <v>1224</v>
      </c>
      <c r="EC161">
        <v>20101217</v>
      </c>
      <c r="ED161" t="s">
        <v>474</v>
      </c>
      <c r="EF161">
        <v>2043.1</v>
      </c>
      <c r="EG161">
        <v>2043.1</v>
      </c>
      <c r="EI161">
        <v>20160407</v>
      </c>
      <c r="EJ161">
        <v>0</v>
      </c>
      <c r="EK161">
        <v>0</v>
      </c>
      <c r="EP161" t="s">
        <v>421</v>
      </c>
      <c r="EQ161" t="s">
        <v>422</v>
      </c>
      <c r="ER161">
        <v>2</v>
      </c>
      <c r="ES161">
        <v>10</v>
      </c>
      <c r="ET161">
        <v>3440.78</v>
      </c>
      <c r="EU161">
        <v>184.54</v>
      </c>
      <c r="EV161">
        <v>3625.32</v>
      </c>
      <c r="EW161" s="2">
        <v>43222</v>
      </c>
      <c r="EX161" s="1">
        <v>42879</v>
      </c>
      <c r="EY161">
        <v>2016</v>
      </c>
      <c r="EZ161">
        <v>1720.39</v>
      </c>
      <c r="FA161" t="s">
        <v>2055</v>
      </c>
      <c r="FB161">
        <v>0.25</v>
      </c>
      <c r="FC161" t="s">
        <v>424</v>
      </c>
      <c r="FD161" t="s">
        <v>454</v>
      </c>
      <c r="FF161">
        <v>12</v>
      </c>
      <c r="FG161">
        <v>7336671</v>
      </c>
      <c r="FH161" t="s">
        <v>437</v>
      </c>
      <c r="FJ161" s="1">
        <v>42879</v>
      </c>
      <c r="FK161">
        <v>2016</v>
      </c>
      <c r="FL161">
        <v>1720.39</v>
      </c>
      <c r="FM161" t="s">
        <v>2055</v>
      </c>
      <c r="FN161">
        <v>0.25</v>
      </c>
      <c r="FO161" t="s">
        <v>424</v>
      </c>
      <c r="FP161" t="s">
        <v>454</v>
      </c>
      <c r="FR161">
        <v>12</v>
      </c>
      <c r="FS161">
        <v>6916659</v>
      </c>
      <c r="FT161" t="s">
        <v>2056</v>
      </c>
      <c r="FV161" s="1">
        <v>42515</v>
      </c>
      <c r="FW161">
        <v>2015</v>
      </c>
      <c r="FX161">
        <v>1745.09</v>
      </c>
      <c r="FY161" t="s">
        <v>2057</v>
      </c>
      <c r="FZ161">
        <v>0.25</v>
      </c>
      <c r="GA161" t="s">
        <v>424</v>
      </c>
      <c r="GB161" t="s">
        <v>425</v>
      </c>
      <c r="GC161" s="1">
        <v>43126</v>
      </c>
      <c r="GD161">
        <v>20</v>
      </c>
      <c r="GE161">
        <v>7045074</v>
      </c>
      <c r="GF161" t="s">
        <v>580</v>
      </c>
      <c r="GH161" s="1">
        <v>42515</v>
      </c>
      <c r="GI161">
        <v>2015</v>
      </c>
      <c r="GJ161">
        <v>1745.09</v>
      </c>
      <c r="GK161" t="s">
        <v>2057</v>
      </c>
      <c r="GL161">
        <v>0.25</v>
      </c>
      <c r="GM161" t="s">
        <v>424</v>
      </c>
      <c r="GN161" t="s">
        <v>425</v>
      </c>
      <c r="GP161">
        <v>22</v>
      </c>
      <c r="GQ161">
        <v>6358396</v>
      </c>
      <c r="GR161" t="s">
        <v>2058</v>
      </c>
      <c r="GT161" s="1">
        <v>42151</v>
      </c>
      <c r="GU161">
        <v>2014</v>
      </c>
      <c r="GV161">
        <v>1735.57</v>
      </c>
      <c r="GW161" t="s">
        <v>2059</v>
      </c>
      <c r="GX161">
        <v>0.25</v>
      </c>
      <c r="GY161" t="s">
        <v>424</v>
      </c>
      <c r="GZ161" t="s">
        <v>425</v>
      </c>
      <c r="HA161" s="1">
        <v>42748</v>
      </c>
      <c r="HB161">
        <v>20</v>
      </c>
      <c r="HC161">
        <v>4844984</v>
      </c>
      <c r="HD161" t="s">
        <v>1323</v>
      </c>
      <c r="HF161" s="1">
        <v>42151</v>
      </c>
      <c r="HG161">
        <v>2014</v>
      </c>
      <c r="HH161">
        <v>1735.57</v>
      </c>
      <c r="HI161" t="s">
        <v>2059</v>
      </c>
      <c r="HJ161">
        <v>0.25</v>
      </c>
      <c r="HK161" t="s">
        <v>424</v>
      </c>
      <c r="HL161" t="s">
        <v>425</v>
      </c>
      <c r="HN161">
        <v>22</v>
      </c>
      <c r="HO161">
        <v>5880456</v>
      </c>
      <c r="HP161" t="s">
        <v>2060</v>
      </c>
      <c r="HR161" s="1">
        <v>41787</v>
      </c>
      <c r="HS161">
        <v>2013</v>
      </c>
      <c r="HT161">
        <v>1625.02</v>
      </c>
      <c r="HU161" t="s">
        <v>2061</v>
      </c>
      <c r="HV161">
        <v>0.25</v>
      </c>
      <c r="HW161" t="s">
        <v>424</v>
      </c>
      <c r="HX161" t="s">
        <v>425</v>
      </c>
      <c r="HZ161">
        <v>22</v>
      </c>
      <c r="IA161">
        <v>15259</v>
      </c>
      <c r="IB161" t="s">
        <v>891</v>
      </c>
      <c r="ID161" s="1">
        <v>41787</v>
      </c>
      <c r="IE161">
        <v>2013</v>
      </c>
      <c r="IF161">
        <v>1625.02</v>
      </c>
      <c r="IG161" t="s">
        <v>2061</v>
      </c>
      <c r="IH161">
        <v>0.25</v>
      </c>
      <c r="II161" t="s">
        <v>424</v>
      </c>
      <c r="IJ161" t="s">
        <v>425</v>
      </c>
      <c r="IK161" s="1">
        <v>42405</v>
      </c>
      <c r="IL161">
        <v>21</v>
      </c>
      <c r="IM161">
        <v>7045049</v>
      </c>
      <c r="IN161" t="s">
        <v>1335</v>
      </c>
      <c r="IP161" s="1">
        <v>41423</v>
      </c>
      <c r="IQ161">
        <v>2012</v>
      </c>
      <c r="IR161">
        <v>1689.56</v>
      </c>
      <c r="IS161" t="s">
        <v>2062</v>
      </c>
      <c r="IT161">
        <v>0.25</v>
      </c>
      <c r="IU161" t="s">
        <v>424</v>
      </c>
      <c r="IV161" t="s">
        <v>425</v>
      </c>
      <c r="IW161" s="1">
        <v>42062</v>
      </c>
      <c r="IX161">
        <v>21</v>
      </c>
      <c r="IY161">
        <v>15970</v>
      </c>
      <c r="IZ161" t="s">
        <v>1435</v>
      </c>
      <c r="JB161" s="1">
        <v>41052</v>
      </c>
      <c r="JC161">
        <v>2011</v>
      </c>
      <c r="JD161">
        <v>1766.02</v>
      </c>
      <c r="JE161" t="s">
        <v>2063</v>
      </c>
      <c r="JF161">
        <v>0.25</v>
      </c>
      <c r="JG161" t="s">
        <v>424</v>
      </c>
      <c r="JH161" t="s">
        <v>425</v>
      </c>
      <c r="JI161" s="1">
        <v>41726</v>
      </c>
      <c r="JJ161">
        <v>22</v>
      </c>
      <c r="JK161">
        <v>13104</v>
      </c>
      <c r="JL161" t="s">
        <v>888</v>
      </c>
      <c r="JN161" s="1">
        <v>41052</v>
      </c>
      <c r="JO161">
        <v>2011</v>
      </c>
      <c r="JP161">
        <v>1766.02</v>
      </c>
      <c r="JQ161" t="s">
        <v>2063</v>
      </c>
      <c r="JR161">
        <v>0.25</v>
      </c>
      <c r="JS161" t="s">
        <v>424</v>
      </c>
      <c r="JT161" t="s">
        <v>425</v>
      </c>
      <c r="JV161">
        <v>22</v>
      </c>
      <c r="JW161">
        <v>13696</v>
      </c>
      <c r="JX161" t="s">
        <v>2064</v>
      </c>
      <c r="JZ161" s="1">
        <v>40688</v>
      </c>
      <c r="KA161">
        <v>2010</v>
      </c>
      <c r="KB161">
        <v>1976.49</v>
      </c>
      <c r="KC161" t="s">
        <v>2065</v>
      </c>
      <c r="KD161">
        <v>0.25</v>
      </c>
      <c r="KE161" t="s">
        <v>424</v>
      </c>
      <c r="KF161" t="s">
        <v>425</v>
      </c>
      <c r="KG161" s="1">
        <v>41313</v>
      </c>
      <c r="KH161">
        <v>21</v>
      </c>
      <c r="KI161">
        <v>11141</v>
      </c>
      <c r="KJ161" t="s">
        <v>1723</v>
      </c>
    </row>
    <row r="162" spans="1:320" x14ac:dyDescent="0.25">
      <c r="A162">
        <v>16485169</v>
      </c>
      <c r="B162">
        <v>161</v>
      </c>
      <c r="C162" t="s">
        <v>393</v>
      </c>
      <c r="D162" t="s">
        <v>394</v>
      </c>
      <c r="F162" t="str">
        <f>"14-3N-23-2020-0020-0000"</f>
        <v>14-3N-23-2020-0020-0000</v>
      </c>
      <c r="H162" t="str">
        <f>"CORNWALL DAWN &amp; CHARLES CORNWALL"</f>
        <v>CORNWALL DAWN &amp; CHARLES CORNWALL</v>
      </c>
      <c r="I162" t="str">
        <f>"PO BOX 232"</f>
        <v>PO BOX 232</v>
      </c>
      <c r="J162" t="str">
        <f>"DRYDEN NY 13053"</f>
        <v>DRYDEN NY 13053</v>
      </c>
      <c r="K162" t="str">
        <f>"27769 GOODWIN RD"</f>
        <v>27769 GOODWIN RD</v>
      </c>
      <c r="L162" t="str">
        <f t="shared" si="51"/>
        <v>HILLIARD FL 32046</v>
      </c>
      <c r="M162" t="str">
        <f>"LOTS 20 &amp; 21 IN OR 2122/1437 (EX R/W OR 490/460 &amp; EX UTIL ESMT IN OR 1575/935) CORNWALL SURVEY SEC 14-3N-23E PBK O/31"</f>
        <v>LOTS 20 &amp; 21 IN OR 2122/1437 (EX R/W OR 490/460 &amp; EX UTIL ESMT IN OR 1575/935) CORNWALL SURVEY SEC 14-3N-23E PBK O/31</v>
      </c>
      <c r="N162" t="str">
        <f>""</f>
        <v/>
      </c>
      <c r="O162" t="str">
        <f>"30109"</f>
        <v>30109</v>
      </c>
      <c r="P162" t="str">
        <f t="shared" si="45"/>
        <v>2017</v>
      </c>
      <c r="Q162" t="str">
        <f>""</f>
        <v/>
      </c>
      <c r="R162" t="str">
        <f>"N"</f>
        <v>N</v>
      </c>
      <c r="S162" t="str">
        <f>"18.30"</f>
        <v>18.30</v>
      </c>
      <c r="T162" t="str">
        <f>"2292.40"</f>
        <v>2292.40</v>
      </c>
      <c r="U162" t="str">
        <f>"151425.00"</f>
        <v>151425.00</v>
      </c>
      <c r="V162" t="str">
        <f>"151425.00"</f>
        <v>151425.00</v>
      </c>
      <c r="W162" t="str">
        <f t="shared" si="46"/>
        <v>2017</v>
      </c>
      <c r="X162" t="str">
        <f>"12.75"</f>
        <v>12.75</v>
      </c>
      <c r="Y162" t="str">
        <f>"2393.17"</f>
        <v>2393.17</v>
      </c>
      <c r="Z162" t="str">
        <f>""</f>
        <v/>
      </c>
      <c r="AA162" t="str">
        <f>"151425.00"</f>
        <v>151425.00</v>
      </c>
      <c r="AB162" t="str">
        <f>"Residential"</f>
        <v>Residential</v>
      </c>
      <c r="AC162" t="str">
        <f t="shared" si="47"/>
        <v>0</v>
      </c>
      <c r="AD162" t="str">
        <f t="shared" si="52"/>
        <v>4</v>
      </c>
      <c r="AE162" t="str">
        <f t="shared" si="53"/>
        <v>WOOD (INCLUDE STEEL STUDS)</v>
      </c>
      <c r="AF162" t="str">
        <f>"001"</f>
        <v>001</v>
      </c>
      <c r="AG162" t="str">
        <f>"NY"</f>
        <v>NY</v>
      </c>
      <c r="AH162" t="str">
        <f>"797148.00"</f>
        <v>797148.00</v>
      </c>
      <c r="AI162" t="str">
        <f>"82350.00"</f>
        <v>82350.00</v>
      </c>
      <c r="AJ162" t="str">
        <f>"C55-000-587-0319-0"</f>
        <v>C55-000-587-0319-0</v>
      </c>
      <c r="AK162" t="str">
        <f>"1436"</f>
        <v>1436</v>
      </c>
      <c r="AL162">
        <v>1</v>
      </c>
      <c r="AM162">
        <v>192</v>
      </c>
      <c r="AN162">
        <v>2511.23</v>
      </c>
      <c r="AQ162" t="s">
        <v>2066</v>
      </c>
      <c r="AR162" t="s">
        <v>2066</v>
      </c>
      <c r="AS162" t="s">
        <v>2066</v>
      </c>
      <c r="AU162" t="s">
        <v>396</v>
      </c>
      <c r="AV162">
        <v>2017</v>
      </c>
      <c r="AW162" t="str">
        <f>"14-3N-23-2020-0020-0000 "</f>
        <v xml:space="preserve">14-3N-23-2020-0020-0000 </v>
      </c>
      <c r="AX162">
        <v>27769</v>
      </c>
      <c r="AZ162" t="s">
        <v>2067</v>
      </c>
      <c r="BA162" t="s">
        <v>496</v>
      </c>
      <c r="BD162" t="s">
        <v>398</v>
      </c>
      <c r="BE162" t="s">
        <v>393</v>
      </c>
      <c r="BF162">
        <v>32046</v>
      </c>
      <c r="BG162" t="s">
        <v>2068</v>
      </c>
      <c r="BH162" t="s">
        <v>400</v>
      </c>
      <c r="BI162">
        <v>-81.985326851800295</v>
      </c>
      <c r="BJ162">
        <v>30.671810042199901</v>
      </c>
      <c r="BK162" t="s">
        <v>2069</v>
      </c>
      <c r="BL162" t="s">
        <v>2070</v>
      </c>
      <c r="BM162" t="s">
        <v>2071</v>
      </c>
      <c r="BN162" t="s">
        <v>2072</v>
      </c>
      <c r="BO162">
        <v>13053</v>
      </c>
      <c r="BP162" t="s">
        <v>404</v>
      </c>
      <c r="BQ162">
        <v>100</v>
      </c>
      <c r="BR162" t="s">
        <v>514</v>
      </c>
      <c r="BS162">
        <v>1001</v>
      </c>
      <c r="BT162" t="s">
        <v>515</v>
      </c>
      <c r="BW162">
        <v>797148</v>
      </c>
      <c r="BX162" t="s">
        <v>407</v>
      </c>
      <c r="BY162" t="s">
        <v>408</v>
      </c>
      <c r="BZ162">
        <v>4</v>
      </c>
      <c r="CA162">
        <v>2005</v>
      </c>
      <c r="CC162">
        <v>1</v>
      </c>
      <c r="CD162">
        <v>2017</v>
      </c>
      <c r="CE162">
        <v>82350</v>
      </c>
      <c r="CF162">
        <v>69075</v>
      </c>
      <c r="CG162">
        <v>151425</v>
      </c>
      <c r="CH162">
        <v>2017</v>
      </c>
      <c r="CI162">
        <v>82350</v>
      </c>
      <c r="CJ162">
        <v>69075</v>
      </c>
      <c r="CK162">
        <v>151425</v>
      </c>
      <c r="CL162">
        <v>2017</v>
      </c>
      <c r="CM162">
        <v>2292.4</v>
      </c>
      <c r="CN162" s="1">
        <v>42885</v>
      </c>
      <c r="CO162">
        <v>287500</v>
      </c>
      <c r="CV162">
        <v>0</v>
      </c>
      <c r="CZ162" s="1">
        <v>42885</v>
      </c>
      <c r="DA162">
        <v>0</v>
      </c>
      <c r="DD162" t="s">
        <v>398</v>
      </c>
      <c r="DG162">
        <v>14</v>
      </c>
      <c r="DL162">
        <v>50400</v>
      </c>
      <c r="DM162" t="s">
        <v>2073</v>
      </c>
      <c r="DO162" t="s">
        <v>2074</v>
      </c>
      <c r="DP162">
        <v>0</v>
      </c>
      <c r="DQ162">
        <v>0</v>
      </c>
      <c r="DR162" t="s">
        <v>411</v>
      </c>
      <c r="DS162" t="b">
        <v>1</v>
      </c>
      <c r="DT162" t="s">
        <v>470</v>
      </c>
      <c r="DU162" t="s">
        <v>471</v>
      </c>
      <c r="DV162" t="s">
        <v>472</v>
      </c>
      <c r="DX162">
        <v>-9999</v>
      </c>
      <c r="DZ162" t="s">
        <v>447</v>
      </c>
      <c r="EA162" t="s">
        <v>448</v>
      </c>
      <c r="EB162" t="s">
        <v>1224</v>
      </c>
      <c r="EC162">
        <v>20101217</v>
      </c>
      <c r="ED162" t="s">
        <v>474</v>
      </c>
      <c r="EF162">
        <v>990.9</v>
      </c>
      <c r="EG162">
        <v>990.9</v>
      </c>
      <c r="EI162">
        <v>20160407</v>
      </c>
      <c r="EJ162">
        <v>0</v>
      </c>
      <c r="EK162">
        <v>0</v>
      </c>
      <c r="EP162" t="s">
        <v>421</v>
      </c>
      <c r="EQ162" t="s">
        <v>422</v>
      </c>
      <c r="ER162">
        <v>0</v>
      </c>
      <c r="ES162">
        <v>11</v>
      </c>
      <c r="ET162">
        <v>0</v>
      </c>
      <c r="EU162">
        <v>0</v>
      </c>
      <c r="EV162">
        <v>0</v>
      </c>
      <c r="EW162" s="2">
        <v>43222</v>
      </c>
      <c r="EX162" s="1">
        <v>42879</v>
      </c>
      <c r="EY162">
        <v>2016</v>
      </c>
      <c r="EZ162">
        <v>1594.6</v>
      </c>
      <c r="FA162" t="s">
        <v>2075</v>
      </c>
      <c r="FB162">
        <v>0.25</v>
      </c>
      <c r="FC162" t="s">
        <v>424</v>
      </c>
      <c r="FD162" t="s">
        <v>425</v>
      </c>
      <c r="FE162" s="1">
        <v>42893</v>
      </c>
      <c r="FF162">
        <v>1</v>
      </c>
      <c r="FG162">
        <v>11289</v>
      </c>
      <c r="FH162" t="s">
        <v>787</v>
      </c>
      <c r="FJ162" s="1">
        <v>42879</v>
      </c>
      <c r="FK162">
        <v>2016</v>
      </c>
      <c r="FL162">
        <v>1594.6</v>
      </c>
      <c r="FM162" t="s">
        <v>2075</v>
      </c>
      <c r="FN162">
        <v>0.25</v>
      </c>
      <c r="FO162" t="s">
        <v>424</v>
      </c>
      <c r="FP162" t="s">
        <v>425</v>
      </c>
      <c r="FR162">
        <v>22</v>
      </c>
      <c r="FS162">
        <v>7064776</v>
      </c>
      <c r="FT162" t="s">
        <v>2076</v>
      </c>
      <c r="FV162" s="1">
        <v>42515</v>
      </c>
      <c r="FW162">
        <v>2015</v>
      </c>
      <c r="FX162">
        <v>1617.15</v>
      </c>
      <c r="FY162" t="s">
        <v>2077</v>
      </c>
      <c r="FZ162">
        <v>0.25</v>
      </c>
      <c r="GA162" t="s">
        <v>424</v>
      </c>
      <c r="GB162" t="s">
        <v>425</v>
      </c>
      <c r="GC162" s="1">
        <v>42886</v>
      </c>
      <c r="GD162">
        <v>12</v>
      </c>
      <c r="GE162">
        <v>2851116</v>
      </c>
      <c r="GF162" t="s">
        <v>480</v>
      </c>
      <c r="GH162" s="1">
        <v>42515</v>
      </c>
      <c r="GI162">
        <v>2015</v>
      </c>
      <c r="GJ162">
        <v>1617.15</v>
      </c>
      <c r="GK162" t="s">
        <v>2077</v>
      </c>
      <c r="GL162">
        <v>0.25</v>
      </c>
      <c r="GM162" t="s">
        <v>424</v>
      </c>
      <c r="GN162" t="s">
        <v>425</v>
      </c>
      <c r="GP162">
        <v>22</v>
      </c>
      <c r="GQ162">
        <v>4885730</v>
      </c>
      <c r="GR162" t="s">
        <v>2078</v>
      </c>
      <c r="GT162" s="1">
        <v>42151</v>
      </c>
      <c r="GU162">
        <v>2014</v>
      </c>
      <c r="GV162">
        <v>1607.98</v>
      </c>
      <c r="GW162" t="s">
        <v>2079</v>
      </c>
      <c r="GX162">
        <v>0.25</v>
      </c>
      <c r="GY162" t="s">
        <v>424</v>
      </c>
      <c r="GZ162" t="s">
        <v>425</v>
      </c>
      <c r="HA162" s="1">
        <v>42788</v>
      </c>
      <c r="HB162">
        <v>21</v>
      </c>
      <c r="HC162">
        <v>4975594</v>
      </c>
      <c r="HD162" t="s">
        <v>457</v>
      </c>
      <c r="HF162" s="1">
        <v>42151</v>
      </c>
      <c r="HG162">
        <v>2014</v>
      </c>
      <c r="HH162">
        <v>1607.98</v>
      </c>
      <c r="HI162" t="s">
        <v>2079</v>
      </c>
      <c r="HJ162">
        <v>0.25</v>
      </c>
      <c r="HK162" t="s">
        <v>424</v>
      </c>
      <c r="HL162" t="s">
        <v>425</v>
      </c>
      <c r="HN162">
        <v>22</v>
      </c>
      <c r="HO162">
        <v>6437492</v>
      </c>
      <c r="HP162" t="s">
        <v>2080</v>
      </c>
      <c r="HR162" s="1">
        <v>41787</v>
      </c>
      <c r="HS162">
        <v>2013</v>
      </c>
      <c r="HT162">
        <v>1753.92</v>
      </c>
      <c r="HU162" t="s">
        <v>2081</v>
      </c>
      <c r="HV162">
        <v>0.25</v>
      </c>
      <c r="HW162" t="s">
        <v>424</v>
      </c>
      <c r="HX162" t="s">
        <v>425</v>
      </c>
      <c r="HY162" s="1">
        <v>42062</v>
      </c>
      <c r="HZ162">
        <v>9</v>
      </c>
      <c r="IA162">
        <v>2662137</v>
      </c>
      <c r="IB162" t="s">
        <v>916</v>
      </c>
      <c r="ID162" s="1">
        <v>41423</v>
      </c>
      <c r="IE162">
        <v>2012</v>
      </c>
      <c r="IF162">
        <v>1551.35</v>
      </c>
      <c r="IG162" t="s">
        <v>2082</v>
      </c>
      <c r="IH162">
        <v>0.25</v>
      </c>
      <c r="II162" t="s">
        <v>424</v>
      </c>
      <c r="IJ162" t="s">
        <v>425</v>
      </c>
      <c r="IK162" s="1">
        <v>41841</v>
      </c>
      <c r="IL162">
        <v>14</v>
      </c>
      <c r="IM162">
        <v>606981</v>
      </c>
      <c r="IN162" t="s">
        <v>792</v>
      </c>
      <c r="IP162" s="1">
        <v>41052</v>
      </c>
      <c r="IQ162">
        <v>2011</v>
      </c>
      <c r="IR162">
        <v>1885.37</v>
      </c>
      <c r="IS162" t="s">
        <v>2083</v>
      </c>
      <c r="IT162">
        <v>0.25</v>
      </c>
      <c r="IU162" t="s">
        <v>424</v>
      </c>
      <c r="IV162" t="s">
        <v>425</v>
      </c>
      <c r="IW162" s="1">
        <v>41451</v>
      </c>
      <c r="IX162">
        <v>13</v>
      </c>
      <c r="IY162">
        <v>13104</v>
      </c>
      <c r="IZ162" t="s">
        <v>888</v>
      </c>
      <c r="JB162" s="1">
        <v>41052</v>
      </c>
      <c r="JC162">
        <v>2011</v>
      </c>
      <c r="JD162">
        <v>1885.37</v>
      </c>
      <c r="JE162" t="s">
        <v>2083</v>
      </c>
      <c r="JF162">
        <v>0.25</v>
      </c>
      <c r="JG162" t="s">
        <v>424</v>
      </c>
      <c r="JH162" t="s">
        <v>425</v>
      </c>
      <c r="JJ162">
        <v>22</v>
      </c>
      <c r="JK162">
        <v>13746</v>
      </c>
      <c r="JL162" t="s">
        <v>2084</v>
      </c>
      <c r="JN162" s="1">
        <v>40688</v>
      </c>
      <c r="JO162">
        <v>2010</v>
      </c>
      <c r="JP162">
        <v>2076.7800000000002</v>
      </c>
      <c r="JQ162" t="s">
        <v>2085</v>
      </c>
      <c r="JR162">
        <v>0.25</v>
      </c>
      <c r="JS162" t="s">
        <v>424</v>
      </c>
      <c r="JT162" t="s">
        <v>425</v>
      </c>
      <c r="JU162" s="1">
        <v>41029</v>
      </c>
      <c r="JV162">
        <v>11</v>
      </c>
      <c r="JW162">
        <v>11177</v>
      </c>
      <c r="JX162" t="s">
        <v>650</v>
      </c>
    </row>
    <row r="163" spans="1:320" x14ac:dyDescent="0.25">
      <c r="A163">
        <v>16485170</v>
      </c>
      <c r="B163">
        <v>162</v>
      </c>
      <c r="C163" t="s">
        <v>393</v>
      </c>
      <c r="D163" t="s">
        <v>394</v>
      </c>
      <c r="F163" t="str">
        <f>"16-3N-23-2020-0029-0000"</f>
        <v>16-3N-23-2020-0029-0000</v>
      </c>
      <c r="H163" t="str">
        <f>"GEIGER RICHARD A &amp; KRISTIN C"</f>
        <v>GEIGER RICHARD A &amp; KRISTIN C</v>
      </c>
      <c r="I163" t="str">
        <f>"PO BOX 206"</f>
        <v>PO BOX 206</v>
      </c>
      <c r="J163" t="str">
        <f t="shared" ref="J163:J168" si="54">"HILLIARD FL 32046"</f>
        <v>HILLIARD FL 32046</v>
      </c>
      <c r="K163" t="str">
        <f>"17146 LARAMIE TR"</f>
        <v>17146 LARAMIE TR</v>
      </c>
      <c r="L163" t="str">
        <f t="shared" si="51"/>
        <v>HILLIARD FL 32046</v>
      </c>
      <c r="M163" t="str">
        <f>"LOT 29 2007 CMHM DWMH IN OR 1945/1866 ESMT PT OR 1512/148 ESMT PT OR 1724/1142 EX ESMT PT OR 1830/1492 CORNWALL SURVEY"</f>
        <v>LOT 29 2007 CMHM DWMH IN OR 1945/1866 ESMT PT OR 1512/148 ESMT PT OR 1724/1142 EX ESMT PT OR 1830/1492 CORNWALL SURVEY</v>
      </c>
      <c r="N163" t="str">
        <f>""</f>
        <v/>
      </c>
      <c r="O163" t="str">
        <f>"31431"</f>
        <v>31431</v>
      </c>
      <c r="P163" t="str">
        <f t="shared" si="45"/>
        <v>2017</v>
      </c>
      <c r="Q163" t="str">
        <f>""</f>
        <v/>
      </c>
      <c r="R163" t="str">
        <f>"Y"</f>
        <v>Y</v>
      </c>
      <c r="S163" t="str">
        <f>"7.74"</f>
        <v>7.74</v>
      </c>
      <c r="T163" t="str">
        <f>"837.71"</f>
        <v>837.71</v>
      </c>
      <c r="U163" t="str">
        <f>"94439.00"</f>
        <v>94439.00</v>
      </c>
      <c r="V163" t="str">
        <f>"94439.00"</f>
        <v>94439.00</v>
      </c>
      <c r="W163" t="str">
        <f t="shared" si="46"/>
        <v>2017</v>
      </c>
      <c r="X163" t="str">
        <f>""</f>
        <v/>
      </c>
      <c r="Y163" t="str">
        <f>"894.84"</f>
        <v>894.84</v>
      </c>
      <c r="Z163" t="str">
        <f>"25000.00"</f>
        <v>25000.00</v>
      </c>
      <c r="AA163" t="str">
        <f>"69439.00"</f>
        <v>69439.00</v>
      </c>
      <c r="AB163" t="str">
        <f>"Agricultural"</f>
        <v>Agricultural</v>
      </c>
      <c r="AC163" t="str">
        <f t="shared" si="47"/>
        <v>0</v>
      </c>
      <c r="AD163" t="str">
        <f t="shared" si="52"/>
        <v>4</v>
      </c>
      <c r="AE163" t="str">
        <f t="shared" si="53"/>
        <v>WOOD (INCLUDE STEEL STUDS)</v>
      </c>
      <c r="AF163" t="str">
        <f>"050"</f>
        <v>050</v>
      </c>
      <c r="AG163" t="str">
        <f t="shared" ref="AG163:AG194" si="55">"FL"</f>
        <v>FL</v>
      </c>
      <c r="AH163" t="str">
        <f>"337154.00"</f>
        <v>337154.00</v>
      </c>
      <c r="AI163" t="str">
        <f>"17325.00"</f>
        <v>17325.00</v>
      </c>
      <c r="AJ163" t="str">
        <f>"C55-000-587-1165-6"</f>
        <v>C55-000-587-1165-6</v>
      </c>
      <c r="AK163" t="str">
        <f>"1481"</f>
        <v>1481</v>
      </c>
      <c r="AL163">
        <v>1</v>
      </c>
      <c r="AM163">
        <v>193</v>
      </c>
      <c r="AN163">
        <v>937.98</v>
      </c>
      <c r="AQ163" t="s">
        <v>2086</v>
      </c>
      <c r="AR163" t="s">
        <v>2086</v>
      </c>
      <c r="AS163" t="s">
        <v>2086</v>
      </c>
      <c r="AU163" t="s">
        <v>396</v>
      </c>
      <c r="AV163">
        <v>2017</v>
      </c>
      <c r="AW163" t="str">
        <f>"16-3N-23-2020-0029-0000 "</f>
        <v xml:space="preserve">16-3N-23-2020-0029-0000 </v>
      </c>
      <c r="AX163">
        <v>17146</v>
      </c>
      <c r="AZ163" t="s">
        <v>2087</v>
      </c>
      <c r="BD163" t="s">
        <v>398</v>
      </c>
      <c r="BE163" t="s">
        <v>393</v>
      </c>
      <c r="BF163">
        <v>32046</v>
      </c>
      <c r="BG163" t="s">
        <v>2088</v>
      </c>
      <c r="BH163" t="s">
        <v>400</v>
      </c>
      <c r="BI163">
        <v>-82.018682579881897</v>
      </c>
      <c r="BJ163">
        <v>30.678967825202299</v>
      </c>
      <c r="BK163" t="s">
        <v>2089</v>
      </c>
      <c r="BM163" t="s">
        <v>2090</v>
      </c>
      <c r="BN163" t="s">
        <v>403</v>
      </c>
      <c r="BO163">
        <v>32046</v>
      </c>
      <c r="BP163" t="s">
        <v>404</v>
      </c>
      <c r="BQ163">
        <v>5000</v>
      </c>
      <c r="BR163" t="s">
        <v>664</v>
      </c>
      <c r="BS163">
        <v>7000</v>
      </c>
      <c r="BT163" t="s">
        <v>665</v>
      </c>
      <c r="BW163">
        <v>337154</v>
      </c>
      <c r="BX163" t="s">
        <v>407</v>
      </c>
      <c r="BZ163">
        <v>4</v>
      </c>
      <c r="CA163">
        <v>2007</v>
      </c>
      <c r="CB163">
        <v>1</v>
      </c>
      <c r="CC163">
        <v>1</v>
      </c>
      <c r="CD163">
        <v>2017</v>
      </c>
      <c r="CG163">
        <v>94439</v>
      </c>
      <c r="CH163">
        <v>2017</v>
      </c>
      <c r="CI163">
        <v>17325</v>
      </c>
      <c r="CJ163">
        <v>126392</v>
      </c>
      <c r="CK163">
        <v>143717</v>
      </c>
      <c r="CL163">
        <v>2017</v>
      </c>
      <c r="CM163">
        <v>837.71</v>
      </c>
      <c r="CN163" s="1">
        <v>41858</v>
      </c>
      <c r="CZ163" s="1">
        <v>41858</v>
      </c>
      <c r="DD163" t="s">
        <v>398</v>
      </c>
      <c r="DF163">
        <v>29</v>
      </c>
      <c r="DG163">
        <v>16</v>
      </c>
      <c r="DL163">
        <v>50400</v>
      </c>
      <c r="DM163" t="s">
        <v>2091</v>
      </c>
      <c r="DO163" t="s">
        <v>2092</v>
      </c>
      <c r="DP163">
        <v>0</v>
      </c>
      <c r="DQ163">
        <v>0</v>
      </c>
      <c r="DR163" t="s">
        <v>411</v>
      </c>
    </row>
    <row r="164" spans="1:320" x14ac:dyDescent="0.25">
      <c r="A164">
        <v>16485171</v>
      </c>
      <c r="B164">
        <v>163</v>
      </c>
      <c r="C164" t="s">
        <v>393</v>
      </c>
      <c r="D164" t="s">
        <v>394</v>
      </c>
      <c r="F164" t="str">
        <f>"33-3N-23-0000-0002-0030"</f>
        <v>33-3N-23-0000-0002-0030</v>
      </c>
      <c r="H164" t="str">
        <f>"BROWN NANCY VANZANT"</f>
        <v>BROWN NANCY VANZANT</v>
      </c>
      <c r="I164" t="str">
        <f>"31555 CR 121"</f>
        <v>31555 CR 121</v>
      </c>
      <c r="J164" t="str">
        <f t="shared" si="54"/>
        <v>HILLIARD FL 32046</v>
      </c>
      <c r="K164" t="str">
        <f>"24374 TUGGLE RD"</f>
        <v>24374 TUGGLE RD</v>
      </c>
      <c r="L164" t="str">
        <f t="shared" si="51"/>
        <v>HILLIARD FL 32046</v>
      </c>
      <c r="M164" t="str">
        <f>"PT GOVT LOT 4 OF SEC 33-3N-23E IN OR 985/141 {1997 WEST SW}"</f>
        <v>PT GOVT LOT 4 OF SEC 33-3N-23E IN OR 985/141 {1997 WEST SW}</v>
      </c>
      <c r="N164" t="str">
        <f>""</f>
        <v/>
      </c>
      <c r="O164" t="str">
        <f>"40992"</f>
        <v>40992</v>
      </c>
      <c r="P164" t="str">
        <f t="shared" si="45"/>
        <v>2017</v>
      </c>
      <c r="Q164" t="str">
        <f>""</f>
        <v/>
      </c>
      <c r="R164" t="str">
        <f>"N"</f>
        <v>N</v>
      </c>
      <c r="S164" t="str">
        <f>"0.94"</f>
        <v>0.94</v>
      </c>
      <c r="T164" t="str">
        <f>"625.29"</f>
        <v>625.29</v>
      </c>
      <c r="U164" t="str">
        <f>"38457.00"</f>
        <v>38457.00</v>
      </c>
      <c r="V164" t="str">
        <f>"38457.00"</f>
        <v>38457.00</v>
      </c>
      <c r="W164" t="str">
        <f t="shared" si="46"/>
        <v>2017</v>
      </c>
      <c r="X164" t="str">
        <f>"33.00"</f>
        <v>33.00</v>
      </c>
      <c r="Y164" t="str">
        <f>"676.05"</f>
        <v>676.05</v>
      </c>
      <c r="Z164" t="str">
        <f>""</f>
        <v/>
      </c>
      <c r="AA164" t="str">
        <f>"44988.00"</f>
        <v>44988.00</v>
      </c>
      <c r="AB164" t="str">
        <f t="shared" ref="AB164:AB181" si="56">"Residential"</f>
        <v>Residential</v>
      </c>
      <c r="AC164" t="str">
        <f t="shared" si="47"/>
        <v>0</v>
      </c>
      <c r="AD164" t="str">
        <f t="shared" si="52"/>
        <v>4</v>
      </c>
      <c r="AE164" t="str">
        <f t="shared" si="53"/>
        <v>WOOD (INCLUDE STEEL STUDS)</v>
      </c>
      <c r="AF164" t="str">
        <f>"002"</f>
        <v>002</v>
      </c>
      <c r="AG164" t="str">
        <f t="shared" si="55"/>
        <v>FL</v>
      </c>
      <c r="AH164" t="str">
        <f>"40946.00"</f>
        <v>40946.00</v>
      </c>
      <c r="AI164" t="str">
        <f>"14100.00"</f>
        <v>14100.00</v>
      </c>
      <c r="AJ164" t="str">
        <f>"C55-000-587-7360-7"</f>
        <v>C55-000-587-7360-7</v>
      </c>
      <c r="AK164" t="str">
        <f>"1537"</f>
        <v>1537</v>
      </c>
      <c r="AL164">
        <v>1</v>
      </c>
      <c r="AM164">
        <v>194</v>
      </c>
      <c r="AN164">
        <v>708.25</v>
      </c>
      <c r="AQ164" t="s">
        <v>2093</v>
      </c>
      <c r="AR164" t="s">
        <v>2093</v>
      </c>
      <c r="AS164" t="s">
        <v>2093</v>
      </c>
      <c r="AU164" t="s">
        <v>396</v>
      </c>
      <c r="AV164">
        <v>2017</v>
      </c>
      <c r="AW164" t="str">
        <f>"33-3N-23-0000-0002-0030 "</f>
        <v xml:space="preserve">33-3N-23-0000-0002-0030 </v>
      </c>
      <c r="AX164">
        <v>24374</v>
      </c>
      <c r="AZ164" t="s">
        <v>2094</v>
      </c>
      <c r="BA164" t="s">
        <v>496</v>
      </c>
      <c r="BD164" t="s">
        <v>398</v>
      </c>
      <c r="BE164" t="s">
        <v>393</v>
      </c>
      <c r="BF164">
        <v>32046</v>
      </c>
      <c r="BG164" t="s">
        <v>2095</v>
      </c>
      <c r="BH164" t="s">
        <v>400</v>
      </c>
      <c r="BI164">
        <v>-82.021375031537403</v>
      </c>
      <c r="BJ164">
        <v>30.625876770203099</v>
      </c>
      <c r="BK164" t="s">
        <v>2096</v>
      </c>
      <c r="BM164" t="s">
        <v>2097</v>
      </c>
      <c r="BN164" t="s">
        <v>403</v>
      </c>
      <c r="BO164">
        <v>32046</v>
      </c>
      <c r="BP164" t="s">
        <v>404</v>
      </c>
      <c r="BQ164">
        <v>200</v>
      </c>
      <c r="BR164" t="s">
        <v>405</v>
      </c>
      <c r="BS164">
        <v>1006</v>
      </c>
      <c r="BT164" t="s">
        <v>406</v>
      </c>
      <c r="BW164">
        <v>40946</v>
      </c>
      <c r="BX164" t="s">
        <v>407</v>
      </c>
      <c r="BY164" t="s">
        <v>408</v>
      </c>
      <c r="BZ164">
        <v>4</v>
      </c>
      <c r="CA164">
        <v>1997</v>
      </c>
      <c r="CB164">
        <v>1</v>
      </c>
      <c r="CC164">
        <v>1</v>
      </c>
      <c r="CD164">
        <v>2017</v>
      </c>
      <c r="CE164">
        <v>14100</v>
      </c>
      <c r="CF164">
        <v>30888</v>
      </c>
      <c r="CG164">
        <v>44988</v>
      </c>
      <c r="CH164">
        <v>2017</v>
      </c>
      <c r="CI164">
        <v>14100</v>
      </c>
      <c r="CJ164">
        <v>30888</v>
      </c>
      <c r="CK164">
        <v>44988</v>
      </c>
      <c r="CL164">
        <v>2017</v>
      </c>
      <c r="CM164">
        <v>625.29</v>
      </c>
      <c r="CN164" s="1">
        <v>37012</v>
      </c>
      <c r="CO164">
        <v>100000</v>
      </c>
      <c r="CV164">
        <v>50000</v>
      </c>
      <c r="CX164" t="s">
        <v>693</v>
      </c>
      <c r="CZ164" s="1">
        <v>37012</v>
      </c>
      <c r="DA164">
        <v>0</v>
      </c>
      <c r="DD164" t="s">
        <v>398</v>
      </c>
      <c r="DF164">
        <v>4</v>
      </c>
      <c r="DG164">
        <v>33</v>
      </c>
      <c r="DL164">
        <v>50400</v>
      </c>
      <c r="DM164" t="s">
        <v>2098</v>
      </c>
      <c r="DO164" t="s">
        <v>2099</v>
      </c>
      <c r="DP164">
        <v>0</v>
      </c>
      <c r="DQ164">
        <v>0</v>
      </c>
      <c r="DR164" t="s">
        <v>411</v>
      </c>
      <c r="DS164" t="b">
        <v>1</v>
      </c>
      <c r="DT164" t="s">
        <v>470</v>
      </c>
      <c r="DU164" t="s">
        <v>471</v>
      </c>
      <c r="DV164" t="s">
        <v>472</v>
      </c>
      <c r="DX164">
        <v>-9999</v>
      </c>
      <c r="DZ164" t="s">
        <v>447</v>
      </c>
      <c r="EA164" t="s">
        <v>448</v>
      </c>
      <c r="EB164" t="s">
        <v>2100</v>
      </c>
      <c r="EC164">
        <v>20101217</v>
      </c>
      <c r="ED164" t="s">
        <v>474</v>
      </c>
      <c r="EF164">
        <v>1343.4</v>
      </c>
      <c r="EG164">
        <v>1343.4</v>
      </c>
      <c r="EI164">
        <v>20160407</v>
      </c>
      <c r="EJ164">
        <v>0</v>
      </c>
      <c r="EK164">
        <v>0</v>
      </c>
      <c r="EP164" t="s">
        <v>421</v>
      </c>
      <c r="EQ164" t="s">
        <v>452</v>
      </c>
      <c r="ER164">
        <v>0</v>
      </c>
      <c r="ES164">
        <v>14</v>
      </c>
      <c r="ET164">
        <v>0</v>
      </c>
      <c r="EU164">
        <v>0</v>
      </c>
      <c r="EV164">
        <v>0</v>
      </c>
      <c r="EW164" s="2">
        <v>43222</v>
      </c>
      <c r="EX164" s="1">
        <v>42515</v>
      </c>
      <c r="EY164">
        <v>2015</v>
      </c>
      <c r="EZ164">
        <v>634.02</v>
      </c>
      <c r="FA164" t="s">
        <v>2101</v>
      </c>
      <c r="FB164">
        <v>14.75</v>
      </c>
      <c r="FC164" t="s">
        <v>424</v>
      </c>
      <c r="FD164" t="s">
        <v>425</v>
      </c>
      <c r="FE164" s="1">
        <v>42849</v>
      </c>
      <c r="FF164">
        <v>11</v>
      </c>
      <c r="FG164">
        <v>7336670</v>
      </c>
      <c r="FH164" t="s">
        <v>2102</v>
      </c>
      <c r="FI164" t="s">
        <v>458</v>
      </c>
      <c r="FJ164" s="1">
        <v>42151</v>
      </c>
      <c r="FK164">
        <v>2014</v>
      </c>
      <c r="FL164">
        <v>587.66999999999996</v>
      </c>
      <c r="FM164" t="s">
        <v>2103</v>
      </c>
      <c r="FN164">
        <v>0.25</v>
      </c>
      <c r="FO164" t="s">
        <v>424</v>
      </c>
      <c r="FP164" t="s">
        <v>425</v>
      </c>
      <c r="FR164">
        <v>22</v>
      </c>
      <c r="FS164">
        <v>15399</v>
      </c>
      <c r="FT164" t="s">
        <v>485</v>
      </c>
      <c r="FU164" t="s">
        <v>458</v>
      </c>
      <c r="FV164" s="1">
        <v>42151</v>
      </c>
      <c r="FW164">
        <v>2014</v>
      </c>
      <c r="FX164">
        <v>587.66999999999996</v>
      </c>
      <c r="FY164" t="s">
        <v>2103</v>
      </c>
      <c r="FZ164">
        <v>0.25</v>
      </c>
      <c r="GA164" t="s">
        <v>424</v>
      </c>
      <c r="GB164" t="s">
        <v>425</v>
      </c>
      <c r="GD164">
        <v>22</v>
      </c>
      <c r="GE164">
        <v>7045022</v>
      </c>
      <c r="GF164" t="s">
        <v>2104</v>
      </c>
      <c r="GG164" t="s">
        <v>458</v>
      </c>
      <c r="GH164" s="1">
        <v>42151</v>
      </c>
      <c r="GI164">
        <v>2014</v>
      </c>
      <c r="GJ164">
        <v>587.66999999999996</v>
      </c>
      <c r="GK164" t="s">
        <v>2103</v>
      </c>
      <c r="GL164">
        <v>0.25</v>
      </c>
      <c r="GM164" t="s">
        <v>424</v>
      </c>
      <c r="GN164" t="s">
        <v>425</v>
      </c>
      <c r="GP164">
        <v>22</v>
      </c>
      <c r="GQ164">
        <v>7336692</v>
      </c>
      <c r="GR164" t="s">
        <v>822</v>
      </c>
      <c r="GS164" t="s">
        <v>458</v>
      </c>
      <c r="GT164" s="1">
        <v>42151</v>
      </c>
      <c r="GU164">
        <v>2014</v>
      </c>
      <c r="GV164">
        <v>587.66999999999996</v>
      </c>
      <c r="GW164" t="s">
        <v>2103</v>
      </c>
      <c r="GX164">
        <v>0.25</v>
      </c>
      <c r="GY164" t="s">
        <v>424</v>
      </c>
      <c r="GZ164" t="s">
        <v>425</v>
      </c>
      <c r="HB164">
        <v>22</v>
      </c>
      <c r="HC164">
        <v>7336698</v>
      </c>
      <c r="HD164" t="s">
        <v>823</v>
      </c>
      <c r="HE164" t="s">
        <v>458</v>
      </c>
      <c r="HF164" s="1">
        <v>41787</v>
      </c>
      <c r="HG164">
        <v>2013</v>
      </c>
      <c r="HH164">
        <v>640.03</v>
      </c>
      <c r="HI164" t="s">
        <v>2105</v>
      </c>
      <c r="HJ164">
        <v>9.75</v>
      </c>
      <c r="HK164" t="s">
        <v>424</v>
      </c>
      <c r="HL164" t="s">
        <v>425</v>
      </c>
      <c r="HN164">
        <v>22</v>
      </c>
      <c r="HO164">
        <v>2035919</v>
      </c>
      <c r="HP164" t="s">
        <v>507</v>
      </c>
      <c r="HQ164" t="s">
        <v>458</v>
      </c>
      <c r="HR164" s="1">
        <v>41787</v>
      </c>
      <c r="HS164">
        <v>2013</v>
      </c>
      <c r="HT164">
        <v>640.03</v>
      </c>
      <c r="HU164" t="s">
        <v>2105</v>
      </c>
      <c r="HV164">
        <v>9.75</v>
      </c>
      <c r="HW164" t="s">
        <v>424</v>
      </c>
      <c r="HX164" t="s">
        <v>425</v>
      </c>
      <c r="HY164" s="1">
        <v>42849</v>
      </c>
      <c r="HZ164">
        <v>35</v>
      </c>
      <c r="IA164">
        <v>7336670</v>
      </c>
      <c r="IB164" t="s">
        <v>2102</v>
      </c>
      <c r="IC164" t="s">
        <v>458</v>
      </c>
      <c r="ID164" s="1">
        <v>41423</v>
      </c>
      <c r="IE164">
        <v>2012</v>
      </c>
      <c r="IF164">
        <v>701.48</v>
      </c>
      <c r="IG164" t="s">
        <v>2106</v>
      </c>
      <c r="IH164">
        <v>4.5</v>
      </c>
      <c r="II164" t="s">
        <v>424</v>
      </c>
      <c r="IJ164" t="s">
        <v>425</v>
      </c>
      <c r="IL164">
        <v>22</v>
      </c>
      <c r="IM164">
        <v>15399</v>
      </c>
      <c r="IN164" t="s">
        <v>485</v>
      </c>
      <c r="IO164" t="s">
        <v>458</v>
      </c>
      <c r="IP164" s="1">
        <v>41423</v>
      </c>
      <c r="IQ164">
        <v>2012</v>
      </c>
      <c r="IR164">
        <v>701.48</v>
      </c>
      <c r="IS164" t="s">
        <v>2106</v>
      </c>
      <c r="IT164">
        <v>4.5</v>
      </c>
      <c r="IU164" t="s">
        <v>424</v>
      </c>
      <c r="IV164" t="s">
        <v>425</v>
      </c>
      <c r="IX164">
        <v>22</v>
      </c>
      <c r="IY164">
        <v>13027</v>
      </c>
      <c r="IZ164" t="s">
        <v>826</v>
      </c>
      <c r="JA164" t="s">
        <v>458</v>
      </c>
      <c r="JB164" s="1">
        <v>41423</v>
      </c>
      <c r="JC164">
        <v>2012</v>
      </c>
      <c r="JD164">
        <v>701.48</v>
      </c>
      <c r="JE164" t="s">
        <v>2106</v>
      </c>
      <c r="JF164">
        <v>4.5</v>
      </c>
      <c r="JG164" t="s">
        <v>424</v>
      </c>
      <c r="JH164" t="s">
        <v>425</v>
      </c>
      <c r="JJ164">
        <v>22</v>
      </c>
      <c r="JK164">
        <v>7336692</v>
      </c>
      <c r="JL164" t="s">
        <v>822</v>
      </c>
      <c r="JM164" t="s">
        <v>458</v>
      </c>
      <c r="JN164" s="1">
        <v>41423</v>
      </c>
      <c r="JO164">
        <v>2012</v>
      </c>
      <c r="JP164">
        <v>701.48</v>
      </c>
      <c r="JQ164" t="s">
        <v>2106</v>
      </c>
      <c r="JR164">
        <v>4.5</v>
      </c>
      <c r="JS164" t="s">
        <v>424</v>
      </c>
      <c r="JT164" t="s">
        <v>425</v>
      </c>
      <c r="JV164">
        <v>22</v>
      </c>
      <c r="JW164">
        <v>7336698</v>
      </c>
      <c r="JX164" t="s">
        <v>823</v>
      </c>
      <c r="JY164" t="s">
        <v>458</v>
      </c>
      <c r="JZ164" s="1">
        <v>41052</v>
      </c>
      <c r="KA164">
        <v>2011</v>
      </c>
      <c r="KB164">
        <v>501.95</v>
      </c>
      <c r="KC164" t="s">
        <v>2107</v>
      </c>
      <c r="KD164">
        <v>6</v>
      </c>
      <c r="KE164" t="s">
        <v>424</v>
      </c>
      <c r="KF164" t="s">
        <v>425</v>
      </c>
      <c r="KG164" s="1">
        <v>42062</v>
      </c>
      <c r="KH164">
        <v>33</v>
      </c>
      <c r="KI164">
        <v>1109</v>
      </c>
      <c r="KJ164" t="s">
        <v>852</v>
      </c>
      <c r="KL164" s="1">
        <v>40688</v>
      </c>
      <c r="KM164">
        <v>2010</v>
      </c>
      <c r="KN164">
        <v>510.16</v>
      </c>
      <c r="KO164" t="s">
        <v>2108</v>
      </c>
      <c r="KP164">
        <v>8</v>
      </c>
      <c r="KQ164" t="s">
        <v>424</v>
      </c>
      <c r="KR164" t="s">
        <v>425</v>
      </c>
      <c r="KS164" s="1">
        <v>41333</v>
      </c>
      <c r="KT164">
        <v>21</v>
      </c>
      <c r="KU164">
        <v>15175</v>
      </c>
      <c r="KV164" t="s">
        <v>588</v>
      </c>
      <c r="KX164" s="1">
        <v>40688</v>
      </c>
      <c r="KY164">
        <v>2010</v>
      </c>
      <c r="KZ164">
        <v>510.16</v>
      </c>
      <c r="LA164" t="s">
        <v>2108</v>
      </c>
      <c r="LB164">
        <v>8</v>
      </c>
      <c r="LC164" t="s">
        <v>424</v>
      </c>
      <c r="LD164" t="s">
        <v>425</v>
      </c>
      <c r="LF164">
        <v>22</v>
      </c>
      <c r="LG164">
        <v>10548</v>
      </c>
      <c r="LH164" t="s">
        <v>589</v>
      </c>
    </row>
    <row r="165" spans="1:320" x14ac:dyDescent="0.25">
      <c r="A165">
        <v>16485172</v>
      </c>
      <c r="B165">
        <v>164</v>
      </c>
      <c r="C165" t="s">
        <v>393</v>
      </c>
      <c r="D165" t="s">
        <v>394</v>
      </c>
      <c r="F165" t="str">
        <f>"37-3N-23-0000-0001-0030"</f>
        <v>37-3N-23-0000-0001-0030</v>
      </c>
      <c r="H165" t="str">
        <f>"TAYLOR JIMMY DALE"</f>
        <v>TAYLOR JIMMY DALE</v>
      </c>
      <c r="I165" t="str">
        <f>"29570 NICK BAY LANE"</f>
        <v>29570 NICK BAY LANE</v>
      </c>
      <c r="J165" t="str">
        <f t="shared" si="54"/>
        <v>HILLIARD FL 32046</v>
      </c>
      <c r="K165" t="str">
        <f>"29570 NICK BAY LN"</f>
        <v>29570 NICK BAY LN</v>
      </c>
      <c r="L165" t="str">
        <f t="shared" si="51"/>
        <v>HILLIARD FL 32046</v>
      </c>
      <c r="M165" t="str">
        <f>"IN OR 1852/1242 ESMT PT OR 1572/1606 2007 HOMI DW/MH"</f>
        <v>IN OR 1852/1242 ESMT PT OR 1572/1606 2007 HOMI DW/MH</v>
      </c>
      <c r="N165" t="str">
        <f>""</f>
        <v/>
      </c>
      <c r="O165" t="str">
        <f>"43834"</f>
        <v>43834</v>
      </c>
      <c r="P165" t="str">
        <f t="shared" si="45"/>
        <v>2017</v>
      </c>
      <c r="Q165" t="str">
        <f>""</f>
        <v/>
      </c>
      <c r="R165" t="str">
        <f>"Y"</f>
        <v>Y</v>
      </c>
      <c r="S165" t="str">
        <f>"10.60"</f>
        <v>10.60</v>
      </c>
      <c r="T165" t="str">
        <f>"1335.20"</f>
        <v>1335.20</v>
      </c>
      <c r="U165" t="str">
        <f>"127302.00"</f>
        <v>127302.00</v>
      </c>
      <c r="V165" t="str">
        <f>"127302.00"</f>
        <v>127302.00</v>
      </c>
      <c r="W165" t="str">
        <f t="shared" si="46"/>
        <v>2017</v>
      </c>
      <c r="X165" t="str">
        <f>"22.00"</f>
        <v>22.00</v>
      </c>
      <c r="Y165" t="str">
        <f>"1407.26"</f>
        <v>1407.26</v>
      </c>
      <c r="Z165" t="str">
        <f>"25000.00"</f>
        <v>25000.00</v>
      </c>
      <c r="AA165" t="str">
        <f>"102302.00"</f>
        <v>102302.00</v>
      </c>
      <c r="AB165" t="str">
        <f t="shared" si="56"/>
        <v>Residential</v>
      </c>
      <c r="AC165" t="str">
        <f t="shared" si="47"/>
        <v>0</v>
      </c>
      <c r="AD165" t="str">
        <f t="shared" si="52"/>
        <v>4</v>
      </c>
      <c r="AE165" t="str">
        <f t="shared" si="53"/>
        <v>WOOD (INCLUDE STEEL STUDS)</v>
      </c>
      <c r="AF165" t="str">
        <f>"002"</f>
        <v>002</v>
      </c>
      <c r="AG165" t="str">
        <f t="shared" si="55"/>
        <v>FL</v>
      </c>
      <c r="AH165" t="str">
        <f>"461736.00"</f>
        <v>461736.00</v>
      </c>
      <c r="AI165" t="str">
        <f>"63600.00"</f>
        <v>63600.00</v>
      </c>
      <c r="AJ165" t="str">
        <f>"C55-000-587-9641-8"</f>
        <v>C55-000-587-9641-8</v>
      </c>
      <c r="AK165" t="str">
        <f>"1572"</f>
        <v>1572</v>
      </c>
      <c r="AL165">
        <v>1</v>
      </c>
      <c r="AM165">
        <v>195</v>
      </c>
      <c r="AN165">
        <v>1476.02</v>
      </c>
      <c r="AQ165" t="s">
        <v>2109</v>
      </c>
      <c r="AR165" t="s">
        <v>2109</v>
      </c>
      <c r="AS165" t="s">
        <v>2109</v>
      </c>
      <c r="AU165" t="s">
        <v>396</v>
      </c>
      <c r="AV165">
        <v>2017</v>
      </c>
      <c r="AW165" t="str">
        <f>"37-3N-23-0000-0001-0030 "</f>
        <v xml:space="preserve">37-3N-23-0000-0001-0030 </v>
      </c>
      <c r="AX165">
        <v>29570</v>
      </c>
      <c r="AZ165" t="s">
        <v>2110</v>
      </c>
      <c r="BA165" t="s">
        <v>653</v>
      </c>
      <c r="BD165" t="s">
        <v>398</v>
      </c>
      <c r="BE165" t="s">
        <v>393</v>
      </c>
      <c r="BF165">
        <v>32046</v>
      </c>
      <c r="BG165" t="s">
        <v>2111</v>
      </c>
      <c r="BH165" t="s">
        <v>400</v>
      </c>
      <c r="BI165">
        <v>-82.035993050591102</v>
      </c>
      <c r="BJ165">
        <v>30.701209537909101</v>
      </c>
      <c r="BK165" t="s">
        <v>2112</v>
      </c>
      <c r="BM165" t="s">
        <v>2113</v>
      </c>
      <c r="BN165" t="s">
        <v>403</v>
      </c>
      <c r="BO165">
        <v>32046</v>
      </c>
      <c r="BP165" t="s">
        <v>416</v>
      </c>
      <c r="BQ165">
        <v>200</v>
      </c>
      <c r="BR165" t="s">
        <v>405</v>
      </c>
      <c r="BS165">
        <v>1006</v>
      </c>
      <c r="BT165" t="s">
        <v>406</v>
      </c>
      <c r="BW165">
        <v>461736</v>
      </c>
      <c r="BX165" t="s">
        <v>407</v>
      </c>
      <c r="BY165" t="s">
        <v>408</v>
      </c>
      <c r="BZ165">
        <v>4</v>
      </c>
      <c r="CA165">
        <v>2008</v>
      </c>
      <c r="CC165">
        <v>1</v>
      </c>
      <c r="CD165">
        <v>2017</v>
      </c>
      <c r="CG165">
        <v>127302</v>
      </c>
      <c r="CH165">
        <v>2017</v>
      </c>
      <c r="CI165">
        <v>63600</v>
      </c>
      <c r="CJ165">
        <v>85628</v>
      </c>
      <c r="CK165">
        <v>149228</v>
      </c>
      <c r="CL165">
        <v>2017</v>
      </c>
      <c r="CM165">
        <v>1335.2</v>
      </c>
      <c r="CN165" s="1">
        <v>41389</v>
      </c>
      <c r="CZ165" s="1">
        <v>41389</v>
      </c>
      <c r="DD165" t="s">
        <v>398</v>
      </c>
      <c r="DG165">
        <v>37</v>
      </c>
      <c r="DL165">
        <v>50400</v>
      </c>
      <c r="DM165" t="s">
        <v>2114</v>
      </c>
      <c r="DO165" t="s">
        <v>2115</v>
      </c>
      <c r="DP165">
        <v>0</v>
      </c>
      <c r="DQ165">
        <v>0</v>
      </c>
      <c r="DR165" t="s">
        <v>411</v>
      </c>
      <c r="DS165" t="b">
        <v>1</v>
      </c>
      <c r="DT165" t="s">
        <v>396</v>
      </c>
      <c r="DV165" t="s">
        <v>446</v>
      </c>
      <c r="DX165">
        <v>-9999</v>
      </c>
      <c r="DZ165" t="s">
        <v>447</v>
      </c>
      <c r="EA165" t="s">
        <v>448</v>
      </c>
      <c r="EB165" t="s">
        <v>449</v>
      </c>
      <c r="EC165">
        <v>20101217</v>
      </c>
      <c r="ED165" t="s">
        <v>450</v>
      </c>
      <c r="EE165">
        <v>20.5</v>
      </c>
      <c r="EF165">
        <v>0</v>
      </c>
      <c r="EG165">
        <v>0</v>
      </c>
      <c r="EI165">
        <v>20160407</v>
      </c>
      <c r="EJ165">
        <v>0</v>
      </c>
      <c r="EK165">
        <v>0</v>
      </c>
      <c r="EP165" t="s">
        <v>421</v>
      </c>
      <c r="EQ165" t="s">
        <v>422</v>
      </c>
      <c r="ER165">
        <v>0</v>
      </c>
      <c r="ES165">
        <v>2</v>
      </c>
      <c r="ET165">
        <v>0</v>
      </c>
      <c r="EU165">
        <v>0</v>
      </c>
      <c r="EV165">
        <v>0</v>
      </c>
      <c r="EW165" s="2">
        <v>43222</v>
      </c>
      <c r="EX165" s="1">
        <v>42515</v>
      </c>
      <c r="EY165">
        <v>2015</v>
      </c>
      <c r="EZ165">
        <v>1470.67</v>
      </c>
      <c r="FA165" t="s">
        <v>2116</v>
      </c>
      <c r="FB165">
        <v>0.25</v>
      </c>
      <c r="FC165" t="s">
        <v>424</v>
      </c>
      <c r="FD165" t="s">
        <v>425</v>
      </c>
      <c r="FE165" s="1">
        <v>43161</v>
      </c>
      <c r="FF165">
        <v>22</v>
      </c>
      <c r="FG165">
        <v>7045074</v>
      </c>
      <c r="FH165" t="s">
        <v>580</v>
      </c>
      <c r="FJ165" s="1">
        <v>42515</v>
      </c>
      <c r="FK165">
        <v>2015</v>
      </c>
      <c r="FL165">
        <v>1470.67</v>
      </c>
      <c r="FM165" t="s">
        <v>2116</v>
      </c>
      <c r="FN165">
        <v>0.25</v>
      </c>
      <c r="FO165" t="s">
        <v>424</v>
      </c>
      <c r="FP165" t="s">
        <v>425</v>
      </c>
      <c r="FR165">
        <v>22</v>
      </c>
      <c r="FS165">
        <v>6302693</v>
      </c>
      <c r="FT165" t="s">
        <v>2117</v>
      </c>
    </row>
    <row r="166" spans="1:320" x14ac:dyDescent="0.25">
      <c r="A166">
        <v>16485173</v>
      </c>
      <c r="B166">
        <v>165</v>
      </c>
      <c r="C166" t="s">
        <v>393</v>
      </c>
      <c r="D166" t="s">
        <v>394</v>
      </c>
      <c r="F166" t="str">
        <f>"37-3N-23-0000-0001-0200"</f>
        <v>37-3N-23-0000-0001-0200</v>
      </c>
      <c r="H166" t="str">
        <f>"TYSON JACK"</f>
        <v>TYSON JACK</v>
      </c>
      <c r="I166" t="str">
        <f>"10132 MULBERRY LANDING ANNEX"</f>
        <v>10132 MULBERRY LANDING ANNEX</v>
      </c>
      <c r="J166" t="str">
        <f t="shared" si="54"/>
        <v>HILLIARD FL 32046</v>
      </c>
      <c r="K166" t="str">
        <f>"10955 MULBERRY LANDING ANX"</f>
        <v>10955 MULBERRY LANDING ANX</v>
      </c>
      <c r="L166" t="str">
        <f t="shared" si="51"/>
        <v>HILLIARD FL 32046</v>
      </c>
      <c r="M166" t="str">
        <f>"IN OR 2018/475 (EX 1-42 &amp; 1-51)"</f>
        <v>IN OR 2018/475 (EX 1-42 &amp; 1-51)</v>
      </c>
      <c r="N166" t="str">
        <f>""</f>
        <v/>
      </c>
      <c r="O166" t="str">
        <f>"43849"</f>
        <v>43849</v>
      </c>
      <c r="P166" t="str">
        <f t="shared" si="45"/>
        <v>2017</v>
      </c>
      <c r="Q166" t="str">
        <f>""</f>
        <v/>
      </c>
      <c r="R166" t="str">
        <f>"N"</f>
        <v>N</v>
      </c>
      <c r="S166" t="str">
        <f>"1.00"</f>
        <v>1.00</v>
      </c>
      <c r="T166" t="str">
        <f>"474.32"</f>
        <v>474.32</v>
      </c>
      <c r="U166" t="str">
        <f>"31332.00"</f>
        <v>31332.00</v>
      </c>
      <c r="V166" t="str">
        <f>"31332.00"</f>
        <v>31332.00</v>
      </c>
      <c r="W166" t="str">
        <f t="shared" si="46"/>
        <v>2017</v>
      </c>
      <c r="X166" t="str">
        <f>"18.13"</f>
        <v>18.13</v>
      </c>
      <c r="Y166" t="str">
        <f>"520.55"</f>
        <v>520.55</v>
      </c>
      <c r="Z166" t="str">
        <f>""</f>
        <v/>
      </c>
      <c r="AA166" t="str">
        <f>"31332.00"</f>
        <v>31332.00</v>
      </c>
      <c r="AB166" t="str">
        <f t="shared" si="56"/>
        <v>Residential</v>
      </c>
      <c r="AC166" t="str">
        <f t="shared" si="47"/>
        <v>0</v>
      </c>
      <c r="AD166" t="str">
        <f t="shared" si="52"/>
        <v>4</v>
      </c>
      <c r="AE166" t="str">
        <f t="shared" si="53"/>
        <v>WOOD (INCLUDE STEEL STUDS)</v>
      </c>
      <c r="AF166" t="str">
        <f>"002"</f>
        <v>002</v>
      </c>
      <c r="AG166" t="str">
        <f t="shared" si="55"/>
        <v>FL</v>
      </c>
      <c r="AH166" t="str">
        <f>"43560.00"</f>
        <v>43560.00</v>
      </c>
      <c r="AI166" t="str">
        <f>"15000.00"</f>
        <v>15000.00</v>
      </c>
      <c r="AJ166" t="str">
        <f>"C55-000-587-9656-6"</f>
        <v>C55-000-587-9656-6</v>
      </c>
      <c r="AK166" t="str">
        <f>"1587"</f>
        <v>1587</v>
      </c>
      <c r="AL166">
        <v>1</v>
      </c>
      <c r="AM166">
        <v>196</v>
      </c>
      <c r="AN166">
        <v>544.98</v>
      </c>
      <c r="AQ166" t="s">
        <v>2118</v>
      </c>
      <c r="AR166" t="s">
        <v>2118</v>
      </c>
      <c r="AS166" t="s">
        <v>2118</v>
      </c>
      <c r="AU166" t="s">
        <v>396</v>
      </c>
      <c r="AV166">
        <v>2017</v>
      </c>
      <c r="AW166" t="str">
        <f>"37-3N-23-0000-0001-0200 "</f>
        <v xml:space="preserve">37-3N-23-0000-0001-0200 </v>
      </c>
      <c r="AX166">
        <v>10955</v>
      </c>
      <c r="AZ166" t="s">
        <v>2119</v>
      </c>
      <c r="BD166" t="s">
        <v>398</v>
      </c>
      <c r="BE166" t="s">
        <v>393</v>
      </c>
      <c r="BF166">
        <v>32046</v>
      </c>
      <c r="BG166" t="s">
        <v>2120</v>
      </c>
      <c r="BH166" t="s">
        <v>400</v>
      </c>
      <c r="BI166">
        <v>-82.030988955188803</v>
      </c>
      <c r="BJ166">
        <v>30.699701742858799</v>
      </c>
      <c r="BK166" t="s">
        <v>2121</v>
      </c>
      <c r="BM166" t="s">
        <v>2122</v>
      </c>
      <c r="BN166" t="s">
        <v>403</v>
      </c>
      <c r="BO166">
        <v>32046</v>
      </c>
      <c r="BP166" t="s">
        <v>404</v>
      </c>
      <c r="BQ166">
        <v>200</v>
      </c>
      <c r="BR166" t="s">
        <v>405</v>
      </c>
      <c r="BS166">
        <v>1006</v>
      </c>
      <c r="BT166" t="s">
        <v>406</v>
      </c>
      <c r="BW166">
        <v>43560</v>
      </c>
      <c r="BX166" t="s">
        <v>407</v>
      </c>
      <c r="BY166" t="s">
        <v>408</v>
      </c>
      <c r="BZ166">
        <v>4</v>
      </c>
      <c r="CA166">
        <v>1985</v>
      </c>
      <c r="CC166">
        <v>1</v>
      </c>
      <c r="CD166">
        <v>2017</v>
      </c>
      <c r="CE166">
        <v>15000</v>
      </c>
      <c r="CF166">
        <v>16332</v>
      </c>
      <c r="CG166">
        <v>31332</v>
      </c>
      <c r="CH166">
        <v>2017</v>
      </c>
      <c r="CI166">
        <v>15000</v>
      </c>
      <c r="CJ166">
        <v>16332</v>
      </c>
      <c r="CK166">
        <v>31332</v>
      </c>
      <c r="CL166">
        <v>2017</v>
      </c>
      <c r="CM166">
        <v>474.32</v>
      </c>
      <c r="CN166" s="1">
        <v>42079</v>
      </c>
      <c r="CZ166" s="1">
        <v>42079</v>
      </c>
      <c r="DD166" t="s">
        <v>398</v>
      </c>
      <c r="DG166">
        <v>37</v>
      </c>
      <c r="DL166">
        <v>50400</v>
      </c>
      <c r="DM166" t="s">
        <v>2114</v>
      </c>
      <c r="DO166" t="s">
        <v>2123</v>
      </c>
      <c r="DP166">
        <v>0</v>
      </c>
      <c r="DQ166">
        <v>0</v>
      </c>
      <c r="DR166" t="s">
        <v>411</v>
      </c>
      <c r="DS166" t="b">
        <v>1</v>
      </c>
      <c r="DT166" t="s">
        <v>470</v>
      </c>
      <c r="DU166" t="s">
        <v>471</v>
      </c>
      <c r="DV166" t="s">
        <v>472</v>
      </c>
      <c r="DX166">
        <v>-9999</v>
      </c>
      <c r="DZ166" t="s">
        <v>447</v>
      </c>
      <c r="EA166" t="s">
        <v>448</v>
      </c>
      <c r="EB166" t="s">
        <v>2124</v>
      </c>
      <c r="EC166">
        <v>20101217</v>
      </c>
      <c r="ED166" t="s">
        <v>474</v>
      </c>
      <c r="EF166">
        <v>358.2</v>
      </c>
      <c r="EG166">
        <v>358.2</v>
      </c>
      <c r="EI166">
        <v>20160407</v>
      </c>
      <c r="EJ166">
        <v>0</v>
      </c>
      <c r="EK166">
        <v>0</v>
      </c>
      <c r="EP166" t="s">
        <v>421</v>
      </c>
      <c r="EQ166" t="s">
        <v>422</v>
      </c>
      <c r="ER166">
        <v>1</v>
      </c>
      <c r="ES166">
        <v>4</v>
      </c>
      <c r="ET166">
        <v>524.01</v>
      </c>
      <c r="EU166">
        <v>32.450000000000003</v>
      </c>
      <c r="EV166">
        <v>556.46</v>
      </c>
      <c r="EW166" s="2">
        <v>43222</v>
      </c>
      <c r="EX166" s="1">
        <v>42879</v>
      </c>
      <c r="EY166">
        <v>2016</v>
      </c>
      <c r="EZ166">
        <v>524.01</v>
      </c>
      <c r="FA166" t="s">
        <v>2125</v>
      </c>
      <c r="FB166">
        <v>0.25</v>
      </c>
      <c r="FC166" t="s">
        <v>424</v>
      </c>
      <c r="FD166" t="s">
        <v>454</v>
      </c>
      <c r="FF166">
        <v>12</v>
      </c>
      <c r="FG166">
        <v>7336745</v>
      </c>
      <c r="FH166" t="s">
        <v>502</v>
      </c>
      <c r="FJ166" s="1">
        <v>42515</v>
      </c>
      <c r="FK166">
        <v>2015</v>
      </c>
      <c r="FL166">
        <v>468.08</v>
      </c>
      <c r="FM166" t="s">
        <v>2126</v>
      </c>
      <c r="FN166">
        <v>6.25</v>
      </c>
      <c r="FO166" t="s">
        <v>424</v>
      </c>
      <c r="FP166" t="s">
        <v>425</v>
      </c>
      <c r="FQ166" s="1">
        <v>43157</v>
      </c>
      <c r="FR166">
        <v>21</v>
      </c>
      <c r="FS166">
        <v>7336143</v>
      </c>
      <c r="FT166" t="s">
        <v>539</v>
      </c>
      <c r="FV166" s="1">
        <v>42151</v>
      </c>
      <c r="FW166">
        <v>2014</v>
      </c>
      <c r="FX166">
        <v>380.63</v>
      </c>
      <c r="FY166" t="s">
        <v>2127</v>
      </c>
      <c r="FZ166">
        <v>3.75</v>
      </c>
      <c r="GA166" t="s">
        <v>424</v>
      </c>
      <c r="GB166" t="s">
        <v>425</v>
      </c>
      <c r="GC166" s="1">
        <v>42426</v>
      </c>
      <c r="GD166">
        <v>9</v>
      </c>
      <c r="GE166">
        <v>4975593</v>
      </c>
      <c r="GF166" t="s">
        <v>505</v>
      </c>
      <c r="GH166" s="1">
        <v>41787</v>
      </c>
      <c r="GI166">
        <v>2013</v>
      </c>
      <c r="GJ166">
        <v>492.8</v>
      </c>
      <c r="GK166" t="s">
        <v>2128</v>
      </c>
      <c r="GL166">
        <v>0.25</v>
      </c>
      <c r="GM166" t="s">
        <v>424</v>
      </c>
      <c r="GN166" t="s">
        <v>425</v>
      </c>
      <c r="GO166" s="1">
        <v>42426</v>
      </c>
      <c r="GP166">
        <v>21</v>
      </c>
      <c r="GQ166">
        <v>13026</v>
      </c>
      <c r="GR166" t="s">
        <v>2129</v>
      </c>
      <c r="GT166" s="1">
        <v>41052</v>
      </c>
      <c r="GU166">
        <v>2011</v>
      </c>
      <c r="GV166">
        <v>755.56</v>
      </c>
      <c r="GW166" t="s">
        <v>2130</v>
      </c>
      <c r="GX166">
        <v>5.75</v>
      </c>
      <c r="GY166" t="s">
        <v>424</v>
      </c>
      <c r="GZ166" t="s">
        <v>425</v>
      </c>
      <c r="HA166" s="1">
        <v>41341</v>
      </c>
      <c r="HB166">
        <v>10</v>
      </c>
      <c r="HC166">
        <v>10579</v>
      </c>
      <c r="HD166" t="s">
        <v>488</v>
      </c>
    </row>
    <row r="167" spans="1:320" x14ac:dyDescent="0.25">
      <c r="A167">
        <v>16485174</v>
      </c>
      <c r="B167">
        <v>166</v>
      </c>
      <c r="C167" t="s">
        <v>393</v>
      </c>
      <c r="D167" t="s">
        <v>394</v>
      </c>
      <c r="F167" t="str">
        <f>"37-3N-23-0000-0001-0330"</f>
        <v>37-3N-23-0000-0001-0330</v>
      </c>
      <c r="H167" t="str">
        <f>"MCCAULEY JAMES &amp; AMANDA"</f>
        <v>MCCAULEY JAMES &amp; AMANDA</v>
      </c>
      <c r="I167" t="str">
        <f>"17094 MCCAULEY LN"</f>
        <v>17094 MCCAULEY LN</v>
      </c>
      <c r="J167" t="str">
        <f t="shared" si="54"/>
        <v>HILLIARD FL 32046</v>
      </c>
      <c r="K167" t="str">
        <f>"17094 MCCAULEY LN"</f>
        <v>17094 MCCAULEY LN</v>
      </c>
      <c r="L167" t="str">
        <f t="shared" si="51"/>
        <v>HILLIARD FL 32046</v>
      </c>
      <c r="M167" t="str">
        <f>"IN OR 1581/625 1981 CROW SW/MH"</f>
        <v>IN OR 1581/625 1981 CROW SW/MH</v>
      </c>
      <c r="N167" t="str">
        <f>""</f>
        <v/>
      </c>
      <c r="O167" t="str">
        <f>"43862"</f>
        <v>43862</v>
      </c>
      <c r="P167" t="str">
        <f t="shared" si="45"/>
        <v>2017</v>
      </c>
      <c r="Q167" t="str">
        <f>""</f>
        <v/>
      </c>
      <c r="R167" t="str">
        <f>"Y"</f>
        <v>Y</v>
      </c>
      <c r="S167" t="str">
        <f>"5.17"</f>
        <v>5.17</v>
      </c>
      <c r="T167" t="str">
        <f>"386.55"</f>
        <v>386.55</v>
      </c>
      <c r="U167" t="str">
        <f>"51222.00"</f>
        <v>51222.00</v>
      </c>
      <c r="V167" t="str">
        <f>"51222.00"</f>
        <v>51222.00</v>
      </c>
      <c r="W167" t="str">
        <f t="shared" si="46"/>
        <v>2017</v>
      </c>
      <c r="X167" t="str">
        <f>"16.33"</f>
        <v>16.33</v>
      </c>
      <c r="Y167" t="str">
        <f>"430.15"</f>
        <v>430.15</v>
      </c>
      <c r="Z167" t="str">
        <f>"25000.00"</f>
        <v>25000.00</v>
      </c>
      <c r="AA167" t="str">
        <f>"26222.00"</f>
        <v>26222.00</v>
      </c>
      <c r="AB167" t="str">
        <f t="shared" si="56"/>
        <v>Residential</v>
      </c>
      <c r="AC167" t="str">
        <f t="shared" si="47"/>
        <v>0</v>
      </c>
      <c r="AD167" t="str">
        <f t="shared" si="52"/>
        <v>4</v>
      </c>
      <c r="AE167" t="str">
        <f t="shared" si="53"/>
        <v>WOOD (INCLUDE STEEL STUDS)</v>
      </c>
      <c r="AF167" t="str">
        <f>"002"</f>
        <v>002</v>
      </c>
      <c r="AG167" t="str">
        <f t="shared" si="55"/>
        <v>FL</v>
      </c>
      <c r="AH167" t="str">
        <f>"225205.00"</f>
        <v>225205.00</v>
      </c>
      <c r="AI167" t="str">
        <f>"41360.00"</f>
        <v>41360.00</v>
      </c>
      <c r="AJ167" t="str">
        <f>"C55-000-587-9669-9"</f>
        <v>C55-000-587-9669-9</v>
      </c>
      <c r="AK167" t="str">
        <f>"1600"</f>
        <v>1600</v>
      </c>
      <c r="AL167">
        <v>1</v>
      </c>
      <c r="AM167">
        <v>197</v>
      </c>
      <c r="AN167">
        <v>450.06</v>
      </c>
      <c r="AQ167" t="s">
        <v>2131</v>
      </c>
      <c r="AR167" t="s">
        <v>2131</v>
      </c>
      <c r="AS167" t="s">
        <v>2131</v>
      </c>
      <c r="AU167" t="s">
        <v>396</v>
      </c>
      <c r="AV167">
        <v>2017</v>
      </c>
      <c r="AW167" t="str">
        <f>"37-3N-23-0000-0001-0330 "</f>
        <v xml:space="preserve">37-3N-23-0000-0001-0330 </v>
      </c>
      <c r="AX167">
        <v>17094</v>
      </c>
      <c r="AZ167" t="s">
        <v>2132</v>
      </c>
      <c r="BA167" t="s">
        <v>653</v>
      </c>
      <c r="BD167" t="s">
        <v>398</v>
      </c>
      <c r="BE167" t="s">
        <v>393</v>
      </c>
      <c r="BF167">
        <v>32046</v>
      </c>
      <c r="BG167" t="s">
        <v>2133</v>
      </c>
      <c r="BH167" t="s">
        <v>400</v>
      </c>
      <c r="BI167">
        <v>-82.029966561328493</v>
      </c>
      <c r="BJ167">
        <v>30.698296053797499</v>
      </c>
      <c r="BK167" t="s">
        <v>2134</v>
      </c>
      <c r="BL167" t="s">
        <v>2135</v>
      </c>
      <c r="BM167" t="s">
        <v>2133</v>
      </c>
      <c r="BN167" t="s">
        <v>403</v>
      </c>
      <c r="BO167">
        <v>32046</v>
      </c>
      <c r="BP167" t="s">
        <v>416</v>
      </c>
      <c r="BQ167">
        <v>200</v>
      </c>
      <c r="BR167" t="s">
        <v>405</v>
      </c>
      <c r="BS167">
        <v>1006</v>
      </c>
      <c r="BT167" t="s">
        <v>406</v>
      </c>
      <c r="BW167">
        <v>225205</v>
      </c>
      <c r="BX167" t="s">
        <v>407</v>
      </c>
      <c r="BY167" t="s">
        <v>408</v>
      </c>
      <c r="BZ167">
        <v>4</v>
      </c>
      <c r="CA167">
        <v>1981</v>
      </c>
      <c r="CB167">
        <v>1</v>
      </c>
      <c r="CC167">
        <v>1</v>
      </c>
      <c r="CD167">
        <v>2017</v>
      </c>
      <c r="CG167">
        <v>51222</v>
      </c>
      <c r="CH167">
        <v>2017</v>
      </c>
      <c r="CI167">
        <v>41360</v>
      </c>
      <c r="CJ167">
        <v>17884</v>
      </c>
      <c r="CK167">
        <v>59244</v>
      </c>
      <c r="CL167">
        <v>2017</v>
      </c>
      <c r="CM167">
        <v>386.55</v>
      </c>
      <c r="CN167" s="1">
        <v>39675</v>
      </c>
      <c r="CV167">
        <v>0</v>
      </c>
      <c r="CZ167" s="1">
        <v>39675</v>
      </c>
      <c r="DA167">
        <v>0</v>
      </c>
      <c r="DD167" t="s">
        <v>398</v>
      </c>
      <c r="DG167">
        <v>37</v>
      </c>
      <c r="DL167">
        <v>50400</v>
      </c>
      <c r="DM167" t="s">
        <v>2114</v>
      </c>
      <c r="DO167" t="s">
        <v>2136</v>
      </c>
      <c r="DP167">
        <v>0</v>
      </c>
      <c r="DQ167">
        <v>0</v>
      </c>
      <c r="DR167" t="s">
        <v>411</v>
      </c>
      <c r="DS167" t="b">
        <v>1</v>
      </c>
      <c r="DT167" t="s">
        <v>470</v>
      </c>
      <c r="DU167" t="s">
        <v>471</v>
      </c>
      <c r="DV167" t="s">
        <v>472</v>
      </c>
      <c r="DX167">
        <v>-9999</v>
      </c>
      <c r="DZ167" t="s">
        <v>447</v>
      </c>
      <c r="EA167" t="s">
        <v>448</v>
      </c>
      <c r="EB167" t="s">
        <v>2124</v>
      </c>
      <c r="EC167">
        <v>20101217</v>
      </c>
      <c r="ED167" t="s">
        <v>474</v>
      </c>
      <c r="EF167">
        <v>136.19999999999999</v>
      </c>
      <c r="EG167">
        <v>136.19999999999999</v>
      </c>
      <c r="EI167">
        <v>20160407</v>
      </c>
      <c r="EJ167">
        <v>0</v>
      </c>
      <c r="EK167">
        <v>0</v>
      </c>
      <c r="EP167" t="s">
        <v>421</v>
      </c>
      <c r="EQ167" t="s">
        <v>422</v>
      </c>
      <c r="ER167">
        <v>4</v>
      </c>
      <c r="ES167">
        <v>5</v>
      </c>
      <c r="ET167">
        <v>1774.68</v>
      </c>
      <c r="EU167">
        <v>113.73</v>
      </c>
      <c r="EV167">
        <v>1888.41</v>
      </c>
      <c r="EW167" s="2">
        <v>43222</v>
      </c>
      <c r="EX167" s="1">
        <v>42879</v>
      </c>
      <c r="EY167">
        <v>2016</v>
      </c>
      <c r="EZ167">
        <v>443.29</v>
      </c>
      <c r="FA167" t="s">
        <v>2137</v>
      </c>
      <c r="FB167">
        <v>0.25</v>
      </c>
      <c r="FC167" t="s">
        <v>424</v>
      </c>
      <c r="FD167" t="s">
        <v>454</v>
      </c>
      <c r="FF167">
        <v>12</v>
      </c>
      <c r="FG167">
        <v>2851116</v>
      </c>
      <c r="FH167" t="s">
        <v>480</v>
      </c>
      <c r="FJ167" s="1">
        <v>42879</v>
      </c>
      <c r="FK167">
        <v>2016</v>
      </c>
      <c r="FL167">
        <v>443.29</v>
      </c>
      <c r="FM167" t="s">
        <v>2137</v>
      </c>
      <c r="FN167">
        <v>0.25</v>
      </c>
      <c r="FO167" t="s">
        <v>424</v>
      </c>
      <c r="FP167" t="s">
        <v>454</v>
      </c>
      <c r="FR167">
        <v>12</v>
      </c>
      <c r="FS167">
        <v>4867398</v>
      </c>
      <c r="FT167" t="s">
        <v>2138</v>
      </c>
      <c r="FV167" s="1">
        <v>42515</v>
      </c>
      <c r="FW167">
        <v>2015</v>
      </c>
      <c r="FX167">
        <v>444.05</v>
      </c>
      <c r="FY167" t="s">
        <v>2139</v>
      </c>
      <c r="FZ167">
        <v>0.25</v>
      </c>
      <c r="GA167" t="s">
        <v>424</v>
      </c>
      <c r="GB167" t="s">
        <v>454</v>
      </c>
      <c r="GD167">
        <v>24</v>
      </c>
      <c r="GE167">
        <v>2851116</v>
      </c>
      <c r="GF167" t="s">
        <v>480</v>
      </c>
      <c r="GH167" s="1">
        <v>42515</v>
      </c>
      <c r="GI167">
        <v>2015</v>
      </c>
      <c r="GJ167">
        <v>444.05</v>
      </c>
      <c r="GK167" t="s">
        <v>2139</v>
      </c>
      <c r="GL167">
        <v>0.25</v>
      </c>
      <c r="GM167" t="s">
        <v>424</v>
      </c>
      <c r="GN167" t="s">
        <v>454</v>
      </c>
      <c r="GP167">
        <v>24</v>
      </c>
      <c r="GQ167">
        <v>5749601</v>
      </c>
      <c r="GR167" t="s">
        <v>2140</v>
      </c>
      <c r="GT167" s="1">
        <v>42151</v>
      </c>
      <c r="GU167">
        <v>2014</v>
      </c>
      <c r="GV167">
        <v>439.43</v>
      </c>
      <c r="GW167" t="s">
        <v>2141</v>
      </c>
      <c r="GX167">
        <v>0.25</v>
      </c>
      <c r="GY167" t="s">
        <v>424</v>
      </c>
      <c r="GZ167" t="s">
        <v>425</v>
      </c>
      <c r="HA167" s="1">
        <v>42780</v>
      </c>
      <c r="HB167">
        <v>21</v>
      </c>
      <c r="HC167">
        <v>4975593</v>
      </c>
      <c r="HD167" t="s">
        <v>505</v>
      </c>
      <c r="HF167" s="1">
        <v>41787</v>
      </c>
      <c r="HG167">
        <v>2013</v>
      </c>
      <c r="HH167">
        <v>413.95</v>
      </c>
      <c r="HI167" t="s">
        <v>2142</v>
      </c>
      <c r="HJ167">
        <v>2.25</v>
      </c>
      <c r="HK167" t="s">
        <v>424</v>
      </c>
      <c r="HL167" t="s">
        <v>425</v>
      </c>
      <c r="HM167" s="1">
        <v>42422</v>
      </c>
      <c r="HN167">
        <v>21</v>
      </c>
      <c r="HO167">
        <v>15399</v>
      </c>
      <c r="HP167" t="s">
        <v>485</v>
      </c>
      <c r="HR167" s="1">
        <v>41423</v>
      </c>
      <c r="HS167">
        <v>2012</v>
      </c>
      <c r="HT167">
        <v>405.37</v>
      </c>
      <c r="HU167" t="s">
        <v>2143</v>
      </c>
      <c r="HV167">
        <v>3.25</v>
      </c>
      <c r="HW167" t="s">
        <v>424</v>
      </c>
      <c r="HX167" t="s">
        <v>425</v>
      </c>
      <c r="HZ167">
        <v>22</v>
      </c>
      <c r="IA167">
        <v>15399</v>
      </c>
      <c r="IB167" t="s">
        <v>485</v>
      </c>
      <c r="ID167" s="1">
        <v>41423</v>
      </c>
      <c r="IE167">
        <v>2012</v>
      </c>
      <c r="IF167">
        <v>405.37</v>
      </c>
      <c r="IG167" t="s">
        <v>2143</v>
      </c>
      <c r="IH167">
        <v>3.25</v>
      </c>
      <c r="II167" t="s">
        <v>424</v>
      </c>
      <c r="IJ167" t="s">
        <v>425</v>
      </c>
      <c r="IK167" s="1">
        <v>42422</v>
      </c>
      <c r="IL167">
        <v>33</v>
      </c>
      <c r="IM167">
        <v>13027</v>
      </c>
      <c r="IN167" t="s">
        <v>826</v>
      </c>
      <c r="IP167" s="1">
        <v>41052</v>
      </c>
      <c r="IQ167">
        <v>2011</v>
      </c>
      <c r="IR167">
        <v>380.59</v>
      </c>
      <c r="IS167" t="s">
        <v>2144</v>
      </c>
      <c r="IT167">
        <v>6</v>
      </c>
      <c r="IU167" t="s">
        <v>424</v>
      </c>
      <c r="IV167" t="s">
        <v>425</v>
      </c>
      <c r="IW167" s="1">
        <v>41697</v>
      </c>
      <c r="IX167">
        <v>21</v>
      </c>
      <c r="IY167">
        <v>105</v>
      </c>
      <c r="IZ167" t="s">
        <v>946</v>
      </c>
    </row>
    <row r="168" spans="1:320" x14ac:dyDescent="0.25">
      <c r="A168">
        <v>16485175</v>
      </c>
      <c r="B168">
        <v>167</v>
      </c>
      <c r="C168" t="s">
        <v>393</v>
      </c>
      <c r="D168" t="s">
        <v>394</v>
      </c>
      <c r="F168" t="str">
        <f>"37-3N-23-0000-0001-0510"</f>
        <v>37-3N-23-0000-0001-0510</v>
      </c>
      <c r="H168" t="str">
        <f>"TYSON JACK"</f>
        <v>TYSON JACK</v>
      </c>
      <c r="I168" t="str">
        <f>"10132 MULBERRY LANDING ANNEX"</f>
        <v>10132 MULBERRY LANDING ANNEX</v>
      </c>
      <c r="J168" t="str">
        <f t="shared" si="54"/>
        <v>HILLIARD FL 32046</v>
      </c>
      <c r="K168" t="str">
        <f>"10975 MULBERRY LANDING ANX"</f>
        <v>10975 MULBERRY LANDING ANX</v>
      </c>
      <c r="L168" t="str">
        <f t="shared" si="51"/>
        <v>HILLIARD FL 32046</v>
      </c>
      <c r="M168" t="str">
        <f>"IN OR 1846/423"</f>
        <v>IN OR 1846/423</v>
      </c>
      <c r="N168" t="str">
        <f>""</f>
        <v/>
      </c>
      <c r="O168" t="str">
        <f>"43880"</f>
        <v>43880</v>
      </c>
      <c r="P168" t="str">
        <f t="shared" si="45"/>
        <v>2017</v>
      </c>
      <c r="Q168" t="str">
        <f>""</f>
        <v/>
      </c>
      <c r="R168" t="str">
        <f>"N"</f>
        <v>N</v>
      </c>
      <c r="S168" t="str">
        <f>"0.94"</f>
        <v>0.94</v>
      </c>
      <c r="T168" t="str">
        <f>"232.90"</f>
        <v>232.90</v>
      </c>
      <c r="U168" t="str">
        <f>"14058.00"</f>
        <v>14058.00</v>
      </c>
      <c r="V168" t="str">
        <f>"14058.00"</f>
        <v>14058.00</v>
      </c>
      <c r="W168" t="str">
        <f t="shared" si="46"/>
        <v>2017</v>
      </c>
      <c r="X168" t="str">
        <f>"17.00"</f>
        <v>17.00</v>
      </c>
      <c r="Y168" t="str">
        <f>"271.89"</f>
        <v>271.89</v>
      </c>
      <c r="Z168" t="str">
        <f>""</f>
        <v/>
      </c>
      <c r="AA168" t="str">
        <f>"17100.00"</f>
        <v>17100.00</v>
      </c>
      <c r="AB168" t="str">
        <f t="shared" si="56"/>
        <v>Residential</v>
      </c>
      <c r="AC168" t="str">
        <f t="shared" si="47"/>
        <v>0</v>
      </c>
      <c r="AD168" t="str">
        <f>""</f>
        <v/>
      </c>
      <c r="AE168" t="str">
        <f>""</f>
        <v/>
      </c>
      <c r="AF168" t="str">
        <f>"000"</f>
        <v>000</v>
      </c>
      <c r="AG168" t="str">
        <f t="shared" si="55"/>
        <v>FL</v>
      </c>
      <c r="AH168" t="str">
        <f>"40946.00"</f>
        <v>40946.00</v>
      </c>
      <c r="AI168" t="str">
        <f>"14100.00"</f>
        <v>14100.00</v>
      </c>
      <c r="AJ168" t="str">
        <f>"C55-001-050-5028-0"</f>
        <v>C55-001-050-5028-0</v>
      </c>
      <c r="AK168" t="str">
        <f>"1617"</f>
        <v>1617</v>
      </c>
      <c r="AL168">
        <v>1</v>
      </c>
      <c r="AM168">
        <v>198</v>
      </c>
      <c r="AN168">
        <v>283.88</v>
      </c>
      <c r="AQ168" t="s">
        <v>2145</v>
      </c>
      <c r="AR168" t="s">
        <v>2145</v>
      </c>
      <c r="AS168" t="s">
        <v>2145</v>
      </c>
      <c r="AU168" t="s">
        <v>396</v>
      </c>
      <c r="AV168">
        <v>2017</v>
      </c>
      <c r="AW168" t="str">
        <f>"37-3N-23-0000-0001-0510 "</f>
        <v xml:space="preserve">37-3N-23-0000-0001-0510 </v>
      </c>
      <c r="AX168">
        <v>10975</v>
      </c>
      <c r="AZ168" t="s">
        <v>2119</v>
      </c>
      <c r="BD168" t="s">
        <v>398</v>
      </c>
      <c r="BE168" t="s">
        <v>393</v>
      </c>
      <c r="BF168">
        <v>32046</v>
      </c>
      <c r="BG168" t="s">
        <v>2146</v>
      </c>
      <c r="BH168" t="s">
        <v>400</v>
      </c>
      <c r="BI168">
        <v>-82.030271092823995</v>
      </c>
      <c r="BJ168">
        <v>30.6997135732672</v>
      </c>
      <c r="BK168" t="s">
        <v>2121</v>
      </c>
      <c r="BM168" t="s">
        <v>2122</v>
      </c>
      <c r="BN168" t="s">
        <v>403</v>
      </c>
      <c r="BO168">
        <v>32046</v>
      </c>
      <c r="BP168" t="s">
        <v>404</v>
      </c>
      <c r="BQ168">
        <v>1</v>
      </c>
      <c r="BR168" t="s">
        <v>491</v>
      </c>
      <c r="BS168">
        <v>8001</v>
      </c>
      <c r="BT168" t="s">
        <v>492</v>
      </c>
      <c r="BW168">
        <v>40946</v>
      </c>
      <c r="BX168" t="s">
        <v>407</v>
      </c>
      <c r="BY168" t="s">
        <v>408</v>
      </c>
      <c r="CD168">
        <v>2017</v>
      </c>
      <c r="CE168">
        <v>14100</v>
      </c>
      <c r="CF168">
        <v>3000</v>
      </c>
      <c r="CG168">
        <v>17100</v>
      </c>
      <c r="CH168">
        <v>2017</v>
      </c>
      <c r="CI168">
        <v>14100</v>
      </c>
      <c r="CJ168">
        <v>3000</v>
      </c>
      <c r="CK168">
        <v>17100</v>
      </c>
      <c r="CL168">
        <v>2017</v>
      </c>
      <c r="CM168">
        <v>232.9</v>
      </c>
      <c r="CN168" s="1">
        <v>42079</v>
      </c>
      <c r="CZ168" s="1">
        <v>42079</v>
      </c>
      <c r="DD168" t="s">
        <v>398</v>
      </c>
      <c r="DG168">
        <v>37</v>
      </c>
      <c r="DL168">
        <v>50400</v>
      </c>
      <c r="DM168" t="s">
        <v>2114</v>
      </c>
      <c r="DO168" t="s">
        <v>2147</v>
      </c>
      <c r="DP168">
        <v>0</v>
      </c>
      <c r="DQ168">
        <v>0</v>
      </c>
      <c r="DR168" t="s">
        <v>411</v>
      </c>
      <c r="DS168" t="b">
        <v>1</v>
      </c>
      <c r="DT168" t="s">
        <v>470</v>
      </c>
      <c r="DU168" t="s">
        <v>471</v>
      </c>
      <c r="DV168" t="s">
        <v>472</v>
      </c>
      <c r="DX168">
        <v>-9999</v>
      </c>
      <c r="DZ168" t="s">
        <v>447</v>
      </c>
      <c r="EA168" t="s">
        <v>448</v>
      </c>
      <c r="EB168" t="s">
        <v>2124</v>
      </c>
      <c r="EC168">
        <v>20101217</v>
      </c>
      <c r="ED168" t="s">
        <v>474</v>
      </c>
      <c r="EF168">
        <v>442.5</v>
      </c>
      <c r="EG168">
        <v>442.5</v>
      </c>
      <c r="EI168">
        <v>20160407</v>
      </c>
      <c r="EJ168">
        <v>0</v>
      </c>
      <c r="EK168">
        <v>0</v>
      </c>
      <c r="EP168" t="s">
        <v>421</v>
      </c>
      <c r="EQ168" t="s">
        <v>422</v>
      </c>
      <c r="ER168">
        <v>1</v>
      </c>
      <c r="ES168">
        <v>4</v>
      </c>
      <c r="ET168">
        <v>239.18</v>
      </c>
      <c r="EU168">
        <v>24.79</v>
      </c>
      <c r="EV168">
        <v>263.97000000000003</v>
      </c>
      <c r="EW168" s="2">
        <v>43222</v>
      </c>
      <c r="EX168" s="1">
        <v>42879</v>
      </c>
      <c r="EY168">
        <v>2016</v>
      </c>
      <c r="EZ168">
        <v>239.18</v>
      </c>
      <c r="FA168" t="s">
        <v>2148</v>
      </c>
      <c r="FB168">
        <v>7.75</v>
      </c>
      <c r="FC168" t="s">
        <v>424</v>
      </c>
      <c r="FD168" t="s">
        <v>454</v>
      </c>
      <c r="FF168">
        <v>12</v>
      </c>
      <c r="FG168">
        <v>10021</v>
      </c>
      <c r="FH168" t="s">
        <v>597</v>
      </c>
      <c r="FJ168" s="1">
        <v>42515</v>
      </c>
      <c r="FK168">
        <v>2015</v>
      </c>
      <c r="FL168">
        <v>227.2</v>
      </c>
      <c r="FM168" t="s">
        <v>2149</v>
      </c>
      <c r="FN168">
        <v>0.25</v>
      </c>
      <c r="FO168" t="s">
        <v>424</v>
      </c>
      <c r="FP168" t="s">
        <v>425</v>
      </c>
      <c r="FQ168" s="1">
        <v>43157</v>
      </c>
      <c r="FR168">
        <v>21</v>
      </c>
      <c r="FS168">
        <v>7336671</v>
      </c>
      <c r="FT168" t="s">
        <v>437</v>
      </c>
      <c r="FV168" s="1">
        <v>42515</v>
      </c>
      <c r="FW168">
        <v>2015</v>
      </c>
      <c r="FX168">
        <v>227.2</v>
      </c>
      <c r="FY168" t="s">
        <v>2149</v>
      </c>
      <c r="FZ168">
        <v>0.25</v>
      </c>
      <c r="GA168" t="s">
        <v>424</v>
      </c>
      <c r="GB168" t="s">
        <v>425</v>
      </c>
      <c r="GD168">
        <v>22</v>
      </c>
      <c r="GE168">
        <v>6876701</v>
      </c>
      <c r="GF168" t="s">
        <v>2150</v>
      </c>
      <c r="GH168" s="1">
        <v>42151</v>
      </c>
      <c r="GI168">
        <v>2014</v>
      </c>
      <c r="GJ168">
        <v>200.25</v>
      </c>
      <c r="GK168" t="s">
        <v>2151</v>
      </c>
      <c r="GL168">
        <v>5.5</v>
      </c>
      <c r="GM168" t="s">
        <v>424</v>
      </c>
      <c r="GN168" t="s">
        <v>425</v>
      </c>
      <c r="GO168" s="1">
        <v>42426</v>
      </c>
      <c r="GP168">
        <v>9</v>
      </c>
      <c r="GQ168">
        <v>10125</v>
      </c>
      <c r="GR168" t="s">
        <v>440</v>
      </c>
      <c r="GT168" s="1">
        <v>41787</v>
      </c>
      <c r="GU168">
        <v>2013</v>
      </c>
      <c r="GV168">
        <v>183.12</v>
      </c>
      <c r="GW168" t="s">
        <v>2152</v>
      </c>
      <c r="GX168">
        <v>15.25</v>
      </c>
      <c r="GY168" t="s">
        <v>424</v>
      </c>
      <c r="GZ168" t="s">
        <v>425</v>
      </c>
      <c r="HA168" s="1">
        <v>42426</v>
      </c>
      <c r="HB168">
        <v>21</v>
      </c>
      <c r="HC168">
        <v>2035919</v>
      </c>
      <c r="HD168" t="s">
        <v>507</v>
      </c>
    </row>
    <row r="169" spans="1:320" x14ac:dyDescent="0.25">
      <c r="A169">
        <v>16485176</v>
      </c>
      <c r="B169">
        <v>168</v>
      </c>
      <c r="C169" t="s">
        <v>393</v>
      </c>
      <c r="D169" t="s">
        <v>394</v>
      </c>
      <c r="F169" t="str">
        <f>"37-3N-23-0000-0001-0530"</f>
        <v>37-3N-23-0000-0001-0530</v>
      </c>
      <c r="H169" t="str">
        <f>"SIMMONS JAMES ANDREW"</f>
        <v>SIMMONS JAMES ANDREW</v>
      </c>
      <c r="I169" t="str">
        <f>"508 BAISDEN RD"</f>
        <v>508 BAISDEN RD</v>
      </c>
      <c r="J169" t="str">
        <f>"JACKSONVILLE FL 32218"</f>
        <v>JACKSONVILLE FL 32218</v>
      </c>
      <c r="K169" t="str">
        <f>"MULBERRY LANDING ANX"</f>
        <v>MULBERRY LANDING ANX</v>
      </c>
      <c r="L169" t="str">
        <f t="shared" si="51"/>
        <v>HILLIARD FL 32046</v>
      </c>
      <c r="M169" t="str">
        <f>"PT OF SEC 37-3N-23E IN OR 2032/1303 BEING EXHIBIT A"</f>
        <v>PT OF SEC 37-3N-23E IN OR 2032/1303 BEING EXHIBIT A</v>
      </c>
      <c r="N169" t="str">
        <f>""</f>
        <v/>
      </c>
      <c r="O169" t="str">
        <f>"56467"</f>
        <v>56467</v>
      </c>
      <c r="P169" t="str">
        <f t="shared" si="45"/>
        <v>2017</v>
      </c>
      <c r="Q169" t="str">
        <f>""</f>
        <v/>
      </c>
      <c r="R169" t="str">
        <f>"N"</f>
        <v>N</v>
      </c>
      <c r="S169" t="str">
        <f>"2.00"</f>
        <v>2.00</v>
      </c>
      <c r="T169" t="str">
        <f>"363.34"</f>
        <v>363.34</v>
      </c>
      <c r="U169" t="str">
        <f>"24000.00"</f>
        <v>24000.00</v>
      </c>
      <c r="V169" t="str">
        <f>"24000.00"</f>
        <v>24000.00</v>
      </c>
      <c r="W169" t="str">
        <f t="shared" si="46"/>
        <v>2017</v>
      </c>
      <c r="X169" t="str">
        <f>"12.00"</f>
        <v>12.00</v>
      </c>
      <c r="Y169" t="str">
        <f>"406.24"</f>
        <v>406.24</v>
      </c>
      <c r="Z169" t="str">
        <f>""</f>
        <v/>
      </c>
      <c r="AA169" t="str">
        <f>"24000.00"</f>
        <v>24000.00</v>
      </c>
      <c r="AB169" t="str">
        <f t="shared" si="56"/>
        <v>Residential</v>
      </c>
      <c r="AC169" t="str">
        <f t="shared" si="47"/>
        <v>0</v>
      </c>
      <c r="AD169" t="str">
        <f>""</f>
        <v/>
      </c>
      <c r="AE169" t="str">
        <f>""</f>
        <v/>
      </c>
      <c r="AF169" t="str">
        <f>"000"</f>
        <v>000</v>
      </c>
      <c r="AG169" t="str">
        <f t="shared" si="55"/>
        <v>FL</v>
      </c>
      <c r="AH169" t="str">
        <f>"87120.00"</f>
        <v>87120.00</v>
      </c>
      <c r="AI169" t="str">
        <f>"24000.00"</f>
        <v>24000.00</v>
      </c>
      <c r="AJ169" t="str">
        <f>"C55-001-080-5249-9"</f>
        <v>C55-001-080-5249-9</v>
      </c>
      <c r="AK169" t="str">
        <f>"1619"</f>
        <v>1619</v>
      </c>
      <c r="AL169">
        <v>1</v>
      </c>
      <c r="AM169">
        <v>199</v>
      </c>
      <c r="AN169">
        <v>424.95</v>
      </c>
      <c r="AQ169" t="s">
        <v>2153</v>
      </c>
      <c r="AR169" t="s">
        <v>2153</v>
      </c>
      <c r="AS169" t="s">
        <v>2153</v>
      </c>
      <c r="AU169" t="s">
        <v>396</v>
      </c>
      <c r="AV169">
        <v>2017</v>
      </c>
      <c r="AW169" t="str">
        <f>"37-3N-23-0000-0001-0530 "</f>
        <v xml:space="preserve">37-3N-23-0000-0001-0530 </v>
      </c>
      <c r="AZ169" t="s">
        <v>2119</v>
      </c>
      <c r="BD169" t="s">
        <v>398</v>
      </c>
      <c r="BE169" t="s">
        <v>393</v>
      </c>
      <c r="BF169">
        <v>32046</v>
      </c>
      <c r="BG169" t="s">
        <v>2119</v>
      </c>
      <c r="BH169" t="s">
        <v>400</v>
      </c>
      <c r="BI169">
        <v>-82.033641638131598</v>
      </c>
      <c r="BJ169">
        <v>30.696613629857499</v>
      </c>
      <c r="BK169" t="s">
        <v>2154</v>
      </c>
      <c r="BM169" t="s">
        <v>2155</v>
      </c>
      <c r="BN169" t="s">
        <v>548</v>
      </c>
      <c r="BO169">
        <v>32218</v>
      </c>
      <c r="BP169" t="s">
        <v>404</v>
      </c>
      <c r="BQ169">
        <v>0</v>
      </c>
      <c r="BR169" t="s">
        <v>491</v>
      </c>
      <c r="BS169">
        <v>8001</v>
      </c>
      <c r="BT169" t="s">
        <v>492</v>
      </c>
      <c r="BW169">
        <v>87120</v>
      </c>
      <c r="BX169" t="s">
        <v>407</v>
      </c>
      <c r="BY169" t="s">
        <v>408</v>
      </c>
      <c r="CD169">
        <v>2017</v>
      </c>
      <c r="CE169">
        <v>24000</v>
      </c>
      <c r="CG169">
        <v>24000</v>
      </c>
      <c r="CH169">
        <v>2017</v>
      </c>
      <c r="CI169">
        <v>24000</v>
      </c>
      <c r="CK169">
        <v>24000</v>
      </c>
      <c r="CL169">
        <v>2017</v>
      </c>
      <c r="CM169">
        <v>363.34</v>
      </c>
      <c r="CN169" s="1">
        <v>42437</v>
      </c>
      <c r="CZ169" s="1">
        <v>42437</v>
      </c>
      <c r="DD169" t="s">
        <v>398</v>
      </c>
      <c r="DG169">
        <v>37</v>
      </c>
      <c r="DL169">
        <v>50400</v>
      </c>
      <c r="DM169" t="s">
        <v>2114</v>
      </c>
      <c r="DO169" t="s">
        <v>2156</v>
      </c>
      <c r="DP169">
        <v>0</v>
      </c>
      <c r="DQ169">
        <v>0</v>
      </c>
      <c r="DR169" t="s">
        <v>411</v>
      </c>
      <c r="EP169" t="s">
        <v>421</v>
      </c>
      <c r="EQ169" t="s">
        <v>422</v>
      </c>
      <c r="ER169">
        <v>0</v>
      </c>
      <c r="ES169">
        <v>1</v>
      </c>
      <c r="ET169">
        <v>0</v>
      </c>
      <c r="EU169">
        <v>0</v>
      </c>
      <c r="EV169">
        <v>0</v>
      </c>
      <c r="EW169" s="2">
        <v>43222</v>
      </c>
      <c r="EX169" s="1">
        <v>42879</v>
      </c>
      <c r="EY169">
        <v>2016</v>
      </c>
      <c r="EZ169">
        <v>425.44</v>
      </c>
      <c r="FA169" t="s">
        <v>2157</v>
      </c>
      <c r="FB169">
        <v>4.75</v>
      </c>
      <c r="FC169" t="s">
        <v>424</v>
      </c>
      <c r="FD169" t="s">
        <v>425</v>
      </c>
      <c r="FE169" s="1">
        <v>43221</v>
      </c>
      <c r="FF169">
        <v>12</v>
      </c>
      <c r="FG169">
        <v>7336143</v>
      </c>
      <c r="FH169" t="s">
        <v>539</v>
      </c>
    </row>
    <row r="170" spans="1:320" x14ac:dyDescent="0.25">
      <c r="A170">
        <v>16485177</v>
      </c>
      <c r="B170">
        <v>169</v>
      </c>
      <c r="C170" t="s">
        <v>393</v>
      </c>
      <c r="D170" t="s">
        <v>394</v>
      </c>
      <c r="F170" t="str">
        <f>"37-3N-23-2070-0001-0000"</f>
        <v>37-3N-23-2070-0001-0000</v>
      </c>
      <c r="H170" t="str">
        <f>"KISER ALAN L &amp; WENDY D"</f>
        <v>KISER ALAN L &amp; WENDY D</v>
      </c>
      <c r="I170" t="str">
        <f>"31718 COUNTY ROAD 121"</f>
        <v>31718 COUNTY ROAD 121</v>
      </c>
      <c r="J170" t="str">
        <f t="shared" ref="J170:J176" si="57">"HILLIARD FL 32046"</f>
        <v>HILLIARD FL 32046</v>
      </c>
      <c r="K170" t="str">
        <f>"31718 CR 121"</f>
        <v>31718 CR 121</v>
      </c>
      <c r="L170" t="str">
        <f t="shared" si="51"/>
        <v>HILLIARD FL 32046</v>
      </c>
      <c r="M170" t="str">
        <f>"LOT 1 IN OR 2000/1476 1988 HART DW/MH MULBERRY LANDING 1 PB 4/37"</f>
        <v>LOT 1 IN OR 2000/1476 1988 HART DW/MH MULBERRY LANDING 1 PB 4/37</v>
      </c>
      <c r="N170" t="str">
        <f>""</f>
        <v/>
      </c>
      <c r="O170" t="str">
        <f>"43889"</f>
        <v>43889</v>
      </c>
      <c r="P170" t="str">
        <f t="shared" si="45"/>
        <v>2017</v>
      </c>
      <c r="Q170" t="str">
        <f>""</f>
        <v/>
      </c>
      <c r="R170" t="str">
        <f>"Y"</f>
        <v>Y</v>
      </c>
      <c r="S170" t="str">
        <f>""</f>
        <v/>
      </c>
      <c r="T170" t="str">
        <f>"337.00"</f>
        <v>337.00</v>
      </c>
      <c r="U170" t="str">
        <f>"47262.00"</f>
        <v>47262.00</v>
      </c>
      <c r="V170" t="str">
        <f>"47262.00"</f>
        <v>47262.00</v>
      </c>
      <c r="W170" t="str">
        <f t="shared" si="46"/>
        <v>2017</v>
      </c>
      <c r="X170" t="str">
        <f>"7.00"</f>
        <v>7.00</v>
      </c>
      <c r="Y170" t="str">
        <f>"379.11"</f>
        <v>379.11</v>
      </c>
      <c r="Z170" t="str">
        <f>"25000.00"</f>
        <v>25000.00</v>
      </c>
      <c r="AA170" t="str">
        <f>"22262.00"</f>
        <v>22262.00</v>
      </c>
      <c r="AB170" t="str">
        <f t="shared" si="56"/>
        <v>Residential</v>
      </c>
      <c r="AC170" t="str">
        <f t="shared" si="47"/>
        <v>0</v>
      </c>
      <c r="AD170" t="str">
        <f>"4"</f>
        <v>4</v>
      </c>
      <c r="AE170" t="str">
        <f>"WOOD (INCLUDE STEEL STUDS)"</f>
        <v>WOOD (INCLUDE STEEL STUDS)</v>
      </c>
      <c r="AF170" t="str">
        <f>"002"</f>
        <v>002</v>
      </c>
      <c r="AG170" t="str">
        <f t="shared" si="55"/>
        <v>FL</v>
      </c>
      <c r="AH170" t="str">
        <f>"-"</f>
        <v>-</v>
      </c>
      <c r="AI170" t="str">
        <f>"12000.00"</f>
        <v>12000.00</v>
      </c>
      <c r="AJ170" t="str">
        <f>"C55-000-587-9688-9"</f>
        <v>C55-000-587-9688-9</v>
      </c>
      <c r="AK170" t="str">
        <f>"1626"</f>
        <v>1626</v>
      </c>
      <c r="AL170">
        <v>1</v>
      </c>
      <c r="AM170">
        <v>200</v>
      </c>
      <c r="AN170">
        <v>396.47</v>
      </c>
      <c r="AQ170" t="s">
        <v>2158</v>
      </c>
      <c r="AR170" t="s">
        <v>2158</v>
      </c>
      <c r="AS170" t="s">
        <v>2158</v>
      </c>
      <c r="AU170" t="s">
        <v>396</v>
      </c>
      <c r="AV170">
        <v>2017</v>
      </c>
      <c r="AW170" t="str">
        <f>"37-3N-23-2070-0001-0000 "</f>
        <v xml:space="preserve">37-3N-23-2070-0001-0000 </v>
      </c>
      <c r="AX170">
        <v>31718</v>
      </c>
      <c r="AZ170" t="s">
        <v>611</v>
      </c>
      <c r="BD170" t="s">
        <v>398</v>
      </c>
      <c r="BE170" t="s">
        <v>393</v>
      </c>
      <c r="BF170">
        <v>32046</v>
      </c>
      <c r="BG170" t="s">
        <v>2159</v>
      </c>
      <c r="BH170" t="s">
        <v>400</v>
      </c>
      <c r="BI170">
        <v>-82.023996249539493</v>
      </c>
      <c r="BJ170">
        <v>30.705085578230101</v>
      </c>
      <c r="BK170" t="s">
        <v>2160</v>
      </c>
      <c r="BM170" t="s">
        <v>2161</v>
      </c>
      <c r="BN170" t="s">
        <v>403</v>
      </c>
      <c r="BO170">
        <v>32046</v>
      </c>
      <c r="BP170" t="s">
        <v>416</v>
      </c>
      <c r="BQ170">
        <v>200</v>
      </c>
      <c r="BR170" t="s">
        <v>405</v>
      </c>
      <c r="BS170">
        <v>1006</v>
      </c>
      <c r="BT170" t="s">
        <v>406</v>
      </c>
      <c r="BW170">
        <v>64468</v>
      </c>
      <c r="BX170" t="s">
        <v>407</v>
      </c>
      <c r="BY170" t="s">
        <v>408</v>
      </c>
      <c r="BZ170">
        <v>4</v>
      </c>
      <c r="CA170">
        <v>1988</v>
      </c>
      <c r="CB170">
        <v>1</v>
      </c>
      <c r="CC170">
        <v>1</v>
      </c>
      <c r="CD170">
        <v>2017</v>
      </c>
      <c r="CE170">
        <v>12000</v>
      </c>
      <c r="CF170">
        <v>35262</v>
      </c>
      <c r="CG170">
        <v>47262</v>
      </c>
      <c r="CH170">
        <v>2017</v>
      </c>
      <c r="CI170">
        <v>12000</v>
      </c>
      <c r="CJ170">
        <v>35262</v>
      </c>
      <c r="CK170">
        <v>47262</v>
      </c>
      <c r="CL170">
        <v>2017</v>
      </c>
      <c r="CM170">
        <v>337</v>
      </c>
      <c r="CN170" s="1">
        <v>42249</v>
      </c>
      <c r="CO170">
        <v>60000</v>
      </c>
      <c r="CV170">
        <v>60000</v>
      </c>
      <c r="CX170" t="s">
        <v>707</v>
      </c>
      <c r="CZ170" s="1">
        <v>42249</v>
      </c>
      <c r="DA170">
        <v>0</v>
      </c>
      <c r="DD170" t="s">
        <v>398</v>
      </c>
      <c r="DF170">
        <v>1</v>
      </c>
      <c r="DG170">
        <v>37</v>
      </c>
      <c r="DL170">
        <v>50400</v>
      </c>
      <c r="DM170" t="s">
        <v>2114</v>
      </c>
      <c r="DO170" t="s">
        <v>2162</v>
      </c>
      <c r="DP170">
        <v>0</v>
      </c>
      <c r="DQ170">
        <v>0</v>
      </c>
      <c r="DR170" t="s">
        <v>411</v>
      </c>
      <c r="EP170" t="s">
        <v>421</v>
      </c>
      <c r="EQ170" t="s">
        <v>422</v>
      </c>
      <c r="ER170">
        <v>0</v>
      </c>
      <c r="ES170">
        <v>2</v>
      </c>
      <c r="ET170">
        <v>0</v>
      </c>
      <c r="EU170">
        <v>0</v>
      </c>
      <c r="EV170">
        <v>0</v>
      </c>
      <c r="EW170" s="2">
        <v>43222</v>
      </c>
      <c r="EX170" s="1">
        <v>42879</v>
      </c>
      <c r="EY170">
        <v>2016</v>
      </c>
      <c r="EZ170">
        <v>382.8</v>
      </c>
      <c r="FA170" t="s">
        <v>2163</v>
      </c>
      <c r="FB170">
        <v>0.25</v>
      </c>
      <c r="FC170" t="s">
        <v>424</v>
      </c>
      <c r="FD170" t="s">
        <v>425</v>
      </c>
      <c r="FE170" s="1">
        <v>43096</v>
      </c>
      <c r="FF170">
        <v>7</v>
      </c>
      <c r="FG170">
        <v>11289</v>
      </c>
      <c r="FH170" t="s">
        <v>787</v>
      </c>
      <c r="FJ170" s="1">
        <v>42879</v>
      </c>
      <c r="FK170">
        <v>2016</v>
      </c>
      <c r="FL170">
        <v>382.8</v>
      </c>
      <c r="FM170" t="s">
        <v>2163</v>
      </c>
      <c r="FN170">
        <v>0.25</v>
      </c>
      <c r="FO170" t="s">
        <v>424</v>
      </c>
      <c r="FP170" t="s">
        <v>425</v>
      </c>
      <c r="FR170">
        <v>22</v>
      </c>
      <c r="FS170">
        <v>7147243</v>
      </c>
      <c r="FT170" t="s">
        <v>2164</v>
      </c>
    </row>
    <row r="171" spans="1:320" x14ac:dyDescent="0.25">
      <c r="A171">
        <v>16485178</v>
      </c>
      <c r="B171">
        <v>170</v>
      </c>
      <c r="C171" t="s">
        <v>393</v>
      </c>
      <c r="D171" t="s">
        <v>394</v>
      </c>
      <c r="F171" t="str">
        <f>"37-3N-23-2070-0002-0000"</f>
        <v>37-3N-23-2070-0002-0000</v>
      </c>
      <c r="H171" t="str">
        <f>"PEDERSEN ROBERT L JR"</f>
        <v>PEDERSEN ROBERT L JR</v>
      </c>
      <c r="I171" t="str">
        <f>"31688 COUNTY ROAD 121"</f>
        <v>31688 COUNTY ROAD 121</v>
      </c>
      <c r="J171" t="str">
        <f t="shared" si="57"/>
        <v>HILLIARD FL 32046</v>
      </c>
      <c r="K171" t="str">
        <f>"31688 CR 121"</f>
        <v>31688 CR 121</v>
      </c>
      <c r="L171" t="str">
        <f t="shared" si="51"/>
        <v>HILLIARD FL 32046</v>
      </c>
      <c r="M171" t="str">
        <f>"LOT 2 IN OR 769 PG 181 R278231 &amp; R359312 MULBERRY LANDING 1 PB 4/37"</f>
        <v>LOT 2 IN OR 769 PG 181 R278231 &amp; R359312 MULBERRY LANDING 1 PB 4/37</v>
      </c>
      <c r="N171" t="str">
        <f>""</f>
        <v/>
      </c>
      <c r="O171" t="str">
        <f>"43890"</f>
        <v>43890</v>
      </c>
      <c r="P171" t="str">
        <f t="shared" si="45"/>
        <v>2017</v>
      </c>
      <c r="Q171" t="str">
        <f>""</f>
        <v/>
      </c>
      <c r="R171" t="str">
        <f>"N"</f>
        <v>N</v>
      </c>
      <c r="S171" t="str">
        <f>""</f>
        <v/>
      </c>
      <c r="T171" t="str">
        <f>"398.35"</f>
        <v>398.35</v>
      </c>
      <c r="U171" t="str">
        <f>"26313.00"</f>
        <v>26313.00</v>
      </c>
      <c r="V171" t="str">
        <f>"26313.00"</f>
        <v>26313.00</v>
      </c>
      <c r="W171" t="str">
        <f t="shared" si="46"/>
        <v>2017</v>
      </c>
      <c r="X171" t="str">
        <f>"15.83"</f>
        <v>15.83</v>
      </c>
      <c r="Y171" t="str">
        <f>"442.30"</f>
        <v>442.30</v>
      </c>
      <c r="Z171" t="str">
        <f>""</f>
        <v/>
      </c>
      <c r="AA171" t="str">
        <f>"26313.00"</f>
        <v>26313.00</v>
      </c>
      <c r="AB171" t="str">
        <f t="shared" si="56"/>
        <v>Residential</v>
      </c>
      <c r="AC171" t="str">
        <f t="shared" si="47"/>
        <v>0</v>
      </c>
      <c r="AD171" t="str">
        <f>"4"</f>
        <v>4</v>
      </c>
      <c r="AE171" t="str">
        <f>"WOOD (INCLUDE STEEL STUDS)"</f>
        <v>WOOD (INCLUDE STEEL STUDS)</v>
      </c>
      <c r="AF171" t="str">
        <f>"002"</f>
        <v>002</v>
      </c>
      <c r="AG171" t="str">
        <f t="shared" si="55"/>
        <v>FL</v>
      </c>
      <c r="AH171" t="str">
        <f>"-"</f>
        <v>-</v>
      </c>
      <c r="AI171" t="str">
        <f>"12000.00"</f>
        <v>12000.00</v>
      </c>
      <c r="AJ171" t="str">
        <f>"C55-000-587-9689-7"</f>
        <v>C55-000-587-9689-7</v>
      </c>
      <c r="AK171" t="str">
        <f>"1627"</f>
        <v>1627</v>
      </c>
      <c r="AL171">
        <v>1</v>
      </c>
      <c r="AM171">
        <v>201</v>
      </c>
      <c r="AN171">
        <v>462.82</v>
      </c>
      <c r="AQ171" t="s">
        <v>2165</v>
      </c>
      <c r="AR171" t="s">
        <v>2165</v>
      </c>
      <c r="AS171" t="s">
        <v>2165</v>
      </c>
      <c r="AU171" t="s">
        <v>396</v>
      </c>
      <c r="AV171">
        <v>2017</v>
      </c>
      <c r="AW171" t="str">
        <f>"37-3N-23-2070-0002-0000 "</f>
        <v xml:space="preserve">37-3N-23-2070-0002-0000 </v>
      </c>
      <c r="AX171">
        <v>31688</v>
      </c>
      <c r="AZ171" t="s">
        <v>611</v>
      </c>
      <c r="BD171" t="s">
        <v>398</v>
      </c>
      <c r="BE171" t="s">
        <v>393</v>
      </c>
      <c r="BF171">
        <v>32046</v>
      </c>
      <c r="BG171" t="s">
        <v>2166</v>
      </c>
      <c r="BH171" t="s">
        <v>400</v>
      </c>
      <c r="BI171">
        <v>-82.024224863521994</v>
      </c>
      <c r="BJ171">
        <v>30.7045846683381</v>
      </c>
      <c r="BK171" t="s">
        <v>2167</v>
      </c>
      <c r="BM171" t="s">
        <v>2168</v>
      </c>
      <c r="BN171" t="s">
        <v>403</v>
      </c>
      <c r="BO171">
        <v>32046</v>
      </c>
      <c r="BP171" t="s">
        <v>416</v>
      </c>
      <c r="BQ171">
        <v>200</v>
      </c>
      <c r="BR171" t="s">
        <v>405</v>
      </c>
      <c r="BS171">
        <v>1006</v>
      </c>
      <c r="BT171" t="s">
        <v>406</v>
      </c>
      <c r="BW171">
        <v>47722</v>
      </c>
      <c r="BX171" t="s">
        <v>407</v>
      </c>
      <c r="BY171" t="s">
        <v>408</v>
      </c>
      <c r="BZ171">
        <v>4</v>
      </c>
      <c r="CA171">
        <v>1985</v>
      </c>
      <c r="CB171">
        <v>1</v>
      </c>
      <c r="CC171">
        <v>1</v>
      </c>
      <c r="CD171">
        <v>2017</v>
      </c>
      <c r="CE171">
        <v>12000</v>
      </c>
      <c r="CF171">
        <v>14313</v>
      </c>
      <c r="CG171">
        <v>26313</v>
      </c>
      <c r="CH171">
        <v>2017</v>
      </c>
      <c r="CI171">
        <v>12000</v>
      </c>
      <c r="CJ171">
        <v>14313</v>
      </c>
      <c r="CK171">
        <v>26313</v>
      </c>
      <c r="CL171">
        <v>2017</v>
      </c>
      <c r="CM171">
        <v>398.35</v>
      </c>
      <c r="CN171" s="1">
        <v>35299</v>
      </c>
      <c r="CO171">
        <v>33500</v>
      </c>
      <c r="CZ171" s="1">
        <v>35299</v>
      </c>
      <c r="DD171" t="s">
        <v>398</v>
      </c>
      <c r="DG171">
        <v>37</v>
      </c>
      <c r="DL171">
        <v>50400</v>
      </c>
      <c r="DM171" t="s">
        <v>2114</v>
      </c>
      <c r="DO171" t="s">
        <v>2169</v>
      </c>
      <c r="DP171">
        <v>0</v>
      </c>
      <c r="DQ171">
        <v>0</v>
      </c>
      <c r="DR171" t="s">
        <v>411</v>
      </c>
      <c r="DS171" t="b">
        <v>1</v>
      </c>
      <c r="DT171" t="s">
        <v>470</v>
      </c>
      <c r="DU171" t="s">
        <v>471</v>
      </c>
      <c r="DV171" t="s">
        <v>472</v>
      </c>
      <c r="DX171">
        <v>-9999</v>
      </c>
      <c r="DZ171" t="s">
        <v>447</v>
      </c>
      <c r="EA171" t="s">
        <v>448</v>
      </c>
      <c r="EB171" t="s">
        <v>2124</v>
      </c>
      <c r="EC171">
        <v>20101217</v>
      </c>
      <c r="ED171" t="s">
        <v>474</v>
      </c>
      <c r="EF171">
        <v>877.2</v>
      </c>
      <c r="EG171">
        <v>877.2</v>
      </c>
      <c r="EH171" t="s">
        <v>451</v>
      </c>
      <c r="EI171">
        <v>20140731</v>
      </c>
      <c r="EJ171">
        <v>0</v>
      </c>
      <c r="EK171">
        <v>0</v>
      </c>
      <c r="EP171" t="s">
        <v>421</v>
      </c>
      <c r="EQ171" t="s">
        <v>422</v>
      </c>
      <c r="ER171">
        <v>0</v>
      </c>
      <c r="ES171">
        <v>8</v>
      </c>
      <c r="ET171">
        <v>0</v>
      </c>
      <c r="EU171">
        <v>0</v>
      </c>
      <c r="EV171">
        <v>0</v>
      </c>
      <c r="EW171" s="2">
        <v>43222</v>
      </c>
      <c r="EX171" s="1">
        <v>42879</v>
      </c>
      <c r="EY171">
        <v>2016</v>
      </c>
      <c r="EZ171">
        <v>453.07</v>
      </c>
      <c r="FA171" t="s">
        <v>2170</v>
      </c>
      <c r="FB171">
        <v>4.75</v>
      </c>
      <c r="FC171" t="s">
        <v>424</v>
      </c>
      <c r="FD171" t="s">
        <v>425</v>
      </c>
      <c r="FE171" s="1">
        <v>43209</v>
      </c>
      <c r="FF171">
        <v>11</v>
      </c>
      <c r="FG171">
        <v>2035919</v>
      </c>
      <c r="FH171" t="s">
        <v>507</v>
      </c>
      <c r="FJ171" s="1">
        <v>42151</v>
      </c>
      <c r="FK171">
        <v>2014</v>
      </c>
      <c r="FL171">
        <v>362.27</v>
      </c>
      <c r="FM171" t="s">
        <v>2171</v>
      </c>
      <c r="FN171">
        <v>4</v>
      </c>
      <c r="FO171" t="s">
        <v>424</v>
      </c>
      <c r="FP171" t="s">
        <v>425</v>
      </c>
      <c r="FQ171" s="1">
        <v>42214</v>
      </c>
      <c r="FR171">
        <v>2</v>
      </c>
      <c r="FS171">
        <v>15399</v>
      </c>
      <c r="FT171" t="s">
        <v>485</v>
      </c>
      <c r="FV171" s="1">
        <v>42151</v>
      </c>
      <c r="FW171">
        <v>2014</v>
      </c>
      <c r="FX171">
        <v>362.27</v>
      </c>
      <c r="FY171" t="s">
        <v>2171</v>
      </c>
      <c r="FZ171">
        <v>4</v>
      </c>
      <c r="GA171" t="s">
        <v>424</v>
      </c>
      <c r="GB171" t="s">
        <v>425</v>
      </c>
      <c r="GD171">
        <v>22</v>
      </c>
      <c r="GE171">
        <v>7045023</v>
      </c>
      <c r="GF171" t="s">
        <v>821</v>
      </c>
      <c r="GH171" s="1">
        <v>41787</v>
      </c>
      <c r="GI171">
        <v>2013</v>
      </c>
      <c r="GJ171">
        <v>489.1</v>
      </c>
      <c r="GK171" t="s">
        <v>2172</v>
      </c>
      <c r="GL171">
        <v>2.25</v>
      </c>
      <c r="GM171" t="s">
        <v>424</v>
      </c>
      <c r="GN171" t="s">
        <v>425</v>
      </c>
      <c r="GO171" s="1">
        <v>42214</v>
      </c>
      <c r="GP171">
        <v>14</v>
      </c>
      <c r="GQ171">
        <v>15399</v>
      </c>
      <c r="GR171" t="s">
        <v>485</v>
      </c>
      <c r="GT171" s="1">
        <v>41423</v>
      </c>
      <c r="GU171">
        <v>2012</v>
      </c>
      <c r="GV171">
        <v>505.06</v>
      </c>
      <c r="GW171" t="s">
        <v>2173</v>
      </c>
      <c r="GX171">
        <v>4.5</v>
      </c>
      <c r="GY171" t="s">
        <v>424</v>
      </c>
      <c r="GZ171" t="s">
        <v>425</v>
      </c>
      <c r="HB171">
        <v>22</v>
      </c>
      <c r="HC171">
        <v>15399</v>
      </c>
      <c r="HD171" t="s">
        <v>485</v>
      </c>
      <c r="HF171" s="1">
        <v>41423</v>
      </c>
      <c r="HG171">
        <v>2012</v>
      </c>
      <c r="HH171">
        <v>505.06</v>
      </c>
      <c r="HI171" t="s">
        <v>2173</v>
      </c>
      <c r="HJ171">
        <v>4.5</v>
      </c>
      <c r="HK171" t="s">
        <v>424</v>
      </c>
      <c r="HL171" t="s">
        <v>425</v>
      </c>
      <c r="HM171" s="1">
        <v>42214</v>
      </c>
      <c r="HN171">
        <v>26</v>
      </c>
      <c r="HO171">
        <v>13027</v>
      </c>
      <c r="HP171" t="s">
        <v>826</v>
      </c>
      <c r="HR171" s="1">
        <v>41052</v>
      </c>
      <c r="HS171">
        <v>2011</v>
      </c>
      <c r="HT171">
        <v>616.27</v>
      </c>
      <c r="HU171" t="s">
        <v>2174</v>
      </c>
      <c r="HV171">
        <v>6</v>
      </c>
      <c r="HW171" t="s">
        <v>424</v>
      </c>
      <c r="HX171" t="s">
        <v>425</v>
      </c>
      <c r="HY171" s="1">
        <v>41691</v>
      </c>
      <c r="HZ171">
        <v>21</v>
      </c>
      <c r="IA171">
        <v>105</v>
      </c>
      <c r="IB171" t="s">
        <v>946</v>
      </c>
      <c r="ID171" s="1">
        <v>40688</v>
      </c>
      <c r="IE171">
        <v>2010</v>
      </c>
      <c r="IF171">
        <v>614.77</v>
      </c>
      <c r="IG171" t="s">
        <v>2175</v>
      </c>
      <c r="IH171">
        <v>7</v>
      </c>
      <c r="II171" t="s">
        <v>424</v>
      </c>
      <c r="IJ171" t="s">
        <v>425</v>
      </c>
      <c r="IK171" s="1">
        <v>41325</v>
      </c>
      <c r="IL171">
        <v>21</v>
      </c>
      <c r="IM171">
        <v>10579</v>
      </c>
      <c r="IN171" t="s">
        <v>488</v>
      </c>
    </row>
    <row r="172" spans="1:320" x14ac:dyDescent="0.25">
      <c r="A172">
        <v>16485179</v>
      </c>
      <c r="B172">
        <v>171</v>
      </c>
      <c r="C172" t="s">
        <v>393</v>
      </c>
      <c r="D172" t="s">
        <v>394</v>
      </c>
      <c r="F172" t="str">
        <f>"37-3N-23-2070-0026-0000"</f>
        <v>37-3N-23-2070-0026-0000</v>
      </c>
      <c r="H172" t="str">
        <f>"STOKES MICHAEL T &amp; JESSICA D"</f>
        <v>STOKES MICHAEL T &amp; JESSICA D</v>
      </c>
      <c r="I172" t="str">
        <f>"1019 MULBERRY LANDING ROAD"</f>
        <v>1019 MULBERRY LANDING ROAD</v>
      </c>
      <c r="J172" t="str">
        <f t="shared" si="57"/>
        <v>HILLIARD FL 32046</v>
      </c>
      <c r="K172" t="str">
        <f>"1037 MULBERRY LANDING RD"</f>
        <v>1037 MULBERRY LANDING RD</v>
      </c>
      <c r="L172" t="str">
        <f t="shared" si="51"/>
        <v>HILLIARD FL 32046</v>
      </c>
      <c r="M172" t="str">
        <f>"LOT 26 IN OR 1187/1694 MULBERRY LANDING 1 PB 4/37"</f>
        <v>LOT 26 IN OR 1187/1694 MULBERRY LANDING 1 PB 4/37</v>
      </c>
      <c r="N172" t="str">
        <f>""</f>
        <v/>
      </c>
      <c r="O172" t="str">
        <f>"43906"</f>
        <v>43906</v>
      </c>
      <c r="P172" t="str">
        <f t="shared" si="45"/>
        <v>2017</v>
      </c>
      <c r="Q172" t="str">
        <f>""</f>
        <v/>
      </c>
      <c r="R172" t="str">
        <f>"N"</f>
        <v>N</v>
      </c>
      <c r="S172" t="str">
        <f>""</f>
        <v/>
      </c>
      <c r="T172" t="str">
        <f>"328.42"</f>
        <v>328.42</v>
      </c>
      <c r="U172" t="str">
        <f>"21058.00"</f>
        <v>21058.00</v>
      </c>
      <c r="V172" t="str">
        <f>"21058.00"</f>
        <v>21058.00</v>
      </c>
      <c r="W172" t="str">
        <f t="shared" si="46"/>
        <v>2017</v>
      </c>
      <c r="X172" t="str">
        <f>"8.60"</f>
        <v>8.60</v>
      </c>
      <c r="Y172" t="str">
        <f>"370.27"</f>
        <v>370.27</v>
      </c>
      <c r="Z172" t="str">
        <f>""</f>
        <v/>
      </c>
      <c r="AA172" t="str">
        <f>"22518.00"</f>
        <v>22518.00</v>
      </c>
      <c r="AB172" t="str">
        <f t="shared" si="56"/>
        <v>Residential</v>
      </c>
      <c r="AC172" t="str">
        <f t="shared" si="47"/>
        <v>0</v>
      </c>
      <c r="AD172" t="str">
        <f>"4"</f>
        <v>4</v>
      </c>
      <c r="AE172" t="str">
        <f>"WOOD (INCLUDE STEEL STUDS)"</f>
        <v>WOOD (INCLUDE STEEL STUDS)</v>
      </c>
      <c r="AF172" t="str">
        <f>"002"</f>
        <v>002</v>
      </c>
      <c r="AG172" t="str">
        <f t="shared" si="55"/>
        <v>FL</v>
      </c>
      <c r="AH172" t="str">
        <f>"-"</f>
        <v>-</v>
      </c>
      <c r="AI172" t="str">
        <f>"12000.00"</f>
        <v>12000.00</v>
      </c>
      <c r="AJ172" t="str">
        <f>"C55-000-587-9705-1"</f>
        <v>C55-000-587-9705-1</v>
      </c>
      <c r="AK172" t="str">
        <f>"1642"</f>
        <v>1642</v>
      </c>
      <c r="AL172">
        <v>1</v>
      </c>
      <c r="AM172">
        <v>202</v>
      </c>
      <c r="AN172">
        <v>387.18</v>
      </c>
      <c r="AQ172" t="s">
        <v>2176</v>
      </c>
      <c r="AR172" t="s">
        <v>2176</v>
      </c>
      <c r="AS172" t="s">
        <v>2176</v>
      </c>
      <c r="AU172" t="s">
        <v>396</v>
      </c>
      <c r="AV172">
        <v>2017</v>
      </c>
      <c r="AW172" t="str">
        <f>"37-3N-23-2070-0026-0000 "</f>
        <v xml:space="preserve">37-3N-23-2070-0026-0000 </v>
      </c>
      <c r="AX172">
        <v>1037</v>
      </c>
      <c r="AZ172" t="s">
        <v>2177</v>
      </c>
      <c r="BA172" t="s">
        <v>496</v>
      </c>
      <c r="BD172" t="s">
        <v>398</v>
      </c>
      <c r="BE172" t="s">
        <v>393</v>
      </c>
      <c r="BF172">
        <v>32046</v>
      </c>
      <c r="BG172" t="s">
        <v>2178</v>
      </c>
      <c r="BH172" t="s">
        <v>400</v>
      </c>
      <c r="BI172">
        <v>-82.031346974640996</v>
      </c>
      <c r="BJ172">
        <v>30.7020336737965</v>
      </c>
      <c r="BK172" t="s">
        <v>2179</v>
      </c>
      <c r="BM172" t="s">
        <v>2180</v>
      </c>
      <c r="BN172" t="s">
        <v>403</v>
      </c>
      <c r="BO172">
        <v>32046</v>
      </c>
      <c r="BP172" t="s">
        <v>404</v>
      </c>
      <c r="BQ172">
        <v>200</v>
      </c>
      <c r="BR172" t="s">
        <v>405</v>
      </c>
      <c r="BS172">
        <v>1006</v>
      </c>
      <c r="BT172" t="s">
        <v>406</v>
      </c>
      <c r="BW172">
        <v>44999</v>
      </c>
      <c r="BX172" t="s">
        <v>407</v>
      </c>
      <c r="BY172" t="s">
        <v>408</v>
      </c>
      <c r="BZ172">
        <v>4</v>
      </c>
      <c r="CA172">
        <v>1990</v>
      </c>
      <c r="CC172">
        <v>1</v>
      </c>
      <c r="CD172">
        <v>2017</v>
      </c>
      <c r="CE172">
        <v>12000</v>
      </c>
      <c r="CF172">
        <v>10518</v>
      </c>
      <c r="CG172">
        <v>22518</v>
      </c>
      <c r="CH172">
        <v>2017</v>
      </c>
      <c r="CI172">
        <v>12000</v>
      </c>
      <c r="CJ172">
        <v>10518</v>
      </c>
      <c r="CK172">
        <v>22518</v>
      </c>
      <c r="CL172">
        <v>2017</v>
      </c>
      <c r="CM172">
        <v>328.42</v>
      </c>
      <c r="CN172" s="1">
        <v>37937</v>
      </c>
      <c r="CO172">
        <v>25000</v>
      </c>
      <c r="CV172">
        <v>20000</v>
      </c>
      <c r="CX172" t="s">
        <v>707</v>
      </c>
      <c r="CZ172" s="1">
        <v>37937</v>
      </c>
      <c r="DA172">
        <v>0</v>
      </c>
      <c r="DD172" t="s">
        <v>398</v>
      </c>
      <c r="DF172">
        <v>26</v>
      </c>
      <c r="DG172">
        <v>37</v>
      </c>
      <c r="DJ172" t="s">
        <v>2177</v>
      </c>
      <c r="DL172">
        <v>50400</v>
      </c>
      <c r="DM172" t="s">
        <v>2114</v>
      </c>
      <c r="DO172" t="s">
        <v>2181</v>
      </c>
      <c r="DP172">
        <v>0</v>
      </c>
      <c r="DQ172">
        <v>0</v>
      </c>
      <c r="DR172" t="s">
        <v>411</v>
      </c>
      <c r="DS172" t="b">
        <v>1</v>
      </c>
      <c r="DT172" t="s">
        <v>396</v>
      </c>
      <c r="DV172" t="s">
        <v>446</v>
      </c>
      <c r="DX172">
        <v>-9999</v>
      </c>
      <c r="DZ172" t="s">
        <v>447</v>
      </c>
      <c r="EA172" t="s">
        <v>448</v>
      </c>
      <c r="EB172" t="s">
        <v>449</v>
      </c>
      <c r="EC172">
        <v>20101217</v>
      </c>
      <c r="ED172" t="s">
        <v>450</v>
      </c>
      <c r="EE172">
        <v>20.399999999999999</v>
      </c>
      <c r="EF172">
        <v>0</v>
      </c>
      <c r="EG172">
        <v>0</v>
      </c>
      <c r="EI172">
        <v>20160407</v>
      </c>
      <c r="EJ172">
        <v>0</v>
      </c>
      <c r="EK172">
        <v>0</v>
      </c>
      <c r="EP172" t="s">
        <v>421</v>
      </c>
      <c r="EQ172" t="s">
        <v>422</v>
      </c>
      <c r="ER172">
        <v>0</v>
      </c>
      <c r="ES172">
        <v>4</v>
      </c>
      <c r="ET172">
        <v>0</v>
      </c>
      <c r="EU172">
        <v>0</v>
      </c>
      <c r="EV172">
        <v>0</v>
      </c>
      <c r="EW172" s="2">
        <v>43222</v>
      </c>
      <c r="EX172" s="1">
        <v>42515</v>
      </c>
      <c r="EY172">
        <v>2015</v>
      </c>
      <c r="EZ172">
        <v>351.01</v>
      </c>
      <c r="FA172" t="s">
        <v>2182</v>
      </c>
      <c r="FB172">
        <v>18</v>
      </c>
      <c r="FC172" t="s">
        <v>424</v>
      </c>
      <c r="FD172" t="s">
        <v>425</v>
      </c>
      <c r="FE172" s="1">
        <v>42807</v>
      </c>
      <c r="FF172">
        <v>10</v>
      </c>
      <c r="FG172">
        <v>7336143</v>
      </c>
      <c r="FH172" t="s">
        <v>539</v>
      </c>
      <c r="FJ172" s="1">
        <v>41787</v>
      </c>
      <c r="FK172">
        <v>2013</v>
      </c>
      <c r="FL172">
        <v>387.3</v>
      </c>
      <c r="FM172" t="s">
        <v>2183</v>
      </c>
      <c r="FN172">
        <v>0.25</v>
      </c>
      <c r="FO172" t="s">
        <v>424</v>
      </c>
      <c r="FP172" t="s">
        <v>425</v>
      </c>
      <c r="FQ172" s="1">
        <v>42084</v>
      </c>
      <c r="FR172">
        <v>10</v>
      </c>
      <c r="FS172">
        <v>13026</v>
      </c>
      <c r="FT172" t="s">
        <v>2129</v>
      </c>
      <c r="FV172" s="1">
        <v>41052</v>
      </c>
      <c r="FW172">
        <v>2011</v>
      </c>
      <c r="FX172">
        <v>326.85000000000002</v>
      </c>
      <c r="FY172" t="s">
        <v>2184</v>
      </c>
      <c r="FZ172">
        <v>6</v>
      </c>
      <c r="GA172" t="s">
        <v>424</v>
      </c>
      <c r="GB172" t="s">
        <v>425</v>
      </c>
      <c r="GC172" s="1">
        <v>41088</v>
      </c>
      <c r="GD172">
        <v>1</v>
      </c>
      <c r="GE172">
        <v>375</v>
      </c>
      <c r="GF172" t="s">
        <v>776</v>
      </c>
      <c r="GH172" s="1">
        <v>40688</v>
      </c>
      <c r="GI172">
        <v>2010</v>
      </c>
      <c r="GJ172">
        <v>329.5</v>
      </c>
      <c r="GK172" t="s">
        <v>2185</v>
      </c>
      <c r="GL172">
        <v>10</v>
      </c>
      <c r="GM172" t="s">
        <v>424</v>
      </c>
      <c r="GN172" t="s">
        <v>425</v>
      </c>
      <c r="GO172" s="1">
        <v>40697</v>
      </c>
      <c r="GP172">
        <v>1</v>
      </c>
      <c r="GQ172">
        <v>11135</v>
      </c>
      <c r="GR172" t="s">
        <v>1137</v>
      </c>
    </row>
    <row r="173" spans="1:320" x14ac:dyDescent="0.25">
      <c r="A173">
        <v>16485180</v>
      </c>
      <c r="B173">
        <v>172</v>
      </c>
      <c r="C173" t="s">
        <v>393</v>
      </c>
      <c r="D173" t="s">
        <v>394</v>
      </c>
      <c r="F173" t="str">
        <f>"37-3N-23-2070-0030-0000"</f>
        <v>37-3N-23-2070-0030-0000</v>
      </c>
      <c r="H173" t="str">
        <f>"TAYLOR NICHOLAS A"</f>
        <v>TAYLOR NICHOLAS A</v>
      </c>
      <c r="I173" t="str">
        <f>"29620 NICK BAY LANE"</f>
        <v>29620 NICK BAY LANE</v>
      </c>
      <c r="J173" t="str">
        <f t="shared" si="57"/>
        <v>HILLIARD FL 32046</v>
      </c>
      <c r="K173" t="str">
        <f>"29620 NICK BAY LN"</f>
        <v>29620 NICK BAY LN</v>
      </c>
      <c r="L173" t="str">
        <f t="shared" si="51"/>
        <v>HILLIARD FL 32046</v>
      </c>
      <c r="M173" t="str">
        <f>"LOTS 30 &amp; 31 1999 BELLA SW/MH IN OR 1852/1241 MULBERRY LANDING UNIT 1 PB 4/37"</f>
        <v>LOTS 30 &amp; 31 1999 BELLA SW/MH IN OR 1852/1241 MULBERRY LANDING UNIT 1 PB 4/37</v>
      </c>
      <c r="N173" t="str">
        <f>""</f>
        <v/>
      </c>
      <c r="O173" t="str">
        <f>"43909"</f>
        <v>43909</v>
      </c>
      <c r="P173" t="str">
        <f t="shared" si="45"/>
        <v>2017</v>
      </c>
      <c r="Q173" t="str">
        <f>""</f>
        <v/>
      </c>
      <c r="R173" t="str">
        <f>"Y"</f>
        <v>Y</v>
      </c>
      <c r="S173" t="str">
        <f>""</f>
        <v/>
      </c>
      <c r="T173" t="str">
        <f>"276.60"</f>
        <v>276.60</v>
      </c>
      <c r="U173" t="str">
        <f>"43271.00"</f>
        <v>43271.00</v>
      </c>
      <c r="V173" t="str">
        <f>"43271.00"</f>
        <v>43271.00</v>
      </c>
      <c r="W173" t="str">
        <f t="shared" si="46"/>
        <v>2017</v>
      </c>
      <c r="X173" t="str">
        <f>""</f>
        <v/>
      </c>
      <c r="Y173" t="str">
        <f>"316.90"</f>
        <v>316.90</v>
      </c>
      <c r="Z173" t="str">
        <f>"25000.00"</f>
        <v>25000.00</v>
      </c>
      <c r="AA173" t="str">
        <f>"18271.00"</f>
        <v>18271.00</v>
      </c>
      <c r="AB173" t="str">
        <f t="shared" si="56"/>
        <v>Residential</v>
      </c>
      <c r="AC173" t="str">
        <f t="shared" si="47"/>
        <v>0</v>
      </c>
      <c r="AD173" t="str">
        <f>""</f>
        <v/>
      </c>
      <c r="AE173" t="str">
        <f>""</f>
        <v/>
      </c>
      <c r="AF173" t="str">
        <f>"002"</f>
        <v>002</v>
      </c>
      <c r="AG173" t="str">
        <f t="shared" si="55"/>
        <v>FL</v>
      </c>
      <c r="AH173" t="str">
        <f>"90000.00"</f>
        <v>90000.00</v>
      </c>
      <c r="AI173" t="str">
        <f>"24000.00"</f>
        <v>24000.00</v>
      </c>
      <c r="AJ173" t="str">
        <f>"C55-000-587-9708-5"</f>
        <v>C55-000-587-9708-5</v>
      </c>
      <c r="AK173" t="str">
        <f>"1645"</f>
        <v>1645</v>
      </c>
      <c r="AL173">
        <v>1</v>
      </c>
      <c r="AM173">
        <v>203</v>
      </c>
      <c r="AN173">
        <v>331.15</v>
      </c>
      <c r="AQ173" t="s">
        <v>2186</v>
      </c>
      <c r="AR173" t="s">
        <v>2186</v>
      </c>
      <c r="AS173" t="s">
        <v>2186</v>
      </c>
      <c r="AU173" t="s">
        <v>396</v>
      </c>
      <c r="AV173">
        <v>2017</v>
      </c>
      <c r="AW173" t="str">
        <f>"37-3N-23-2070-0030-0000 "</f>
        <v xml:space="preserve">37-3N-23-2070-0030-0000 </v>
      </c>
      <c r="AX173">
        <v>29620</v>
      </c>
      <c r="AZ173" t="s">
        <v>2110</v>
      </c>
      <c r="BA173" t="s">
        <v>653</v>
      </c>
      <c r="BD173" t="s">
        <v>398</v>
      </c>
      <c r="BE173" t="s">
        <v>393</v>
      </c>
      <c r="BF173">
        <v>32046</v>
      </c>
      <c r="BG173" t="s">
        <v>2187</v>
      </c>
      <c r="BH173" t="s">
        <v>400</v>
      </c>
      <c r="BI173">
        <v>-82.033494186334295</v>
      </c>
      <c r="BJ173">
        <v>30.702004548859499</v>
      </c>
      <c r="BK173" t="s">
        <v>2188</v>
      </c>
      <c r="BM173" t="s">
        <v>2189</v>
      </c>
      <c r="BN173" t="s">
        <v>403</v>
      </c>
      <c r="BO173">
        <v>32046</v>
      </c>
      <c r="BP173" t="s">
        <v>416</v>
      </c>
      <c r="BQ173">
        <v>200</v>
      </c>
      <c r="BR173" t="s">
        <v>405</v>
      </c>
      <c r="BS173">
        <v>1006</v>
      </c>
      <c r="BT173" t="s">
        <v>406</v>
      </c>
      <c r="BW173">
        <v>90000</v>
      </c>
      <c r="BX173" t="s">
        <v>407</v>
      </c>
      <c r="BY173" t="s">
        <v>408</v>
      </c>
      <c r="CA173">
        <v>1999</v>
      </c>
      <c r="CC173">
        <v>1</v>
      </c>
      <c r="CD173">
        <v>2017</v>
      </c>
      <c r="CG173">
        <v>43271</v>
      </c>
      <c r="CH173">
        <v>2017</v>
      </c>
      <c r="CI173">
        <v>24000</v>
      </c>
      <c r="CJ173">
        <v>23946</v>
      </c>
      <c r="CK173">
        <v>47946</v>
      </c>
      <c r="CL173">
        <v>2017</v>
      </c>
      <c r="CM173">
        <v>276.60000000000002</v>
      </c>
      <c r="CN173" s="1">
        <v>41389</v>
      </c>
      <c r="CZ173" s="1">
        <v>41389</v>
      </c>
      <c r="DD173" t="s">
        <v>398</v>
      </c>
      <c r="DG173">
        <v>37</v>
      </c>
      <c r="DL173">
        <v>50400</v>
      </c>
      <c r="DM173" t="s">
        <v>2114</v>
      </c>
      <c r="DO173" t="s">
        <v>2190</v>
      </c>
      <c r="DP173">
        <v>0</v>
      </c>
      <c r="DQ173">
        <v>0</v>
      </c>
      <c r="DR173" t="s">
        <v>411</v>
      </c>
    </row>
    <row r="174" spans="1:320" x14ac:dyDescent="0.25">
      <c r="A174">
        <v>16485181</v>
      </c>
      <c r="B174">
        <v>173</v>
      </c>
      <c r="C174" t="s">
        <v>393</v>
      </c>
      <c r="D174" t="s">
        <v>394</v>
      </c>
      <c r="F174" t="str">
        <f>"37-3N-23-2070-0053-0000"</f>
        <v>37-3N-23-2070-0053-0000</v>
      </c>
      <c r="H174" t="str">
        <f>"PARMLEY CHANCIE &amp; HOLCOMBE JUSTIN"</f>
        <v>PARMLEY CHANCIE &amp; HOLCOMBE JUSTIN</v>
      </c>
      <c r="I174" t="str">
        <f>"28104 JACKSON TRAIL"</f>
        <v>28104 JACKSON TRAIL</v>
      </c>
      <c r="J174" t="str">
        <f t="shared" si="57"/>
        <v>HILLIARD FL 32046</v>
      </c>
      <c r="K174" t="str">
        <f>"MULBERRY LANDING RD N"</f>
        <v>MULBERRY LANDING RD N</v>
      </c>
      <c r="L174" t="str">
        <f t="shared" si="51"/>
        <v>HILLIARD FL 32046</v>
      </c>
      <c r="M174" t="str">
        <f>"LOT 53 &amp; W 60 FT OF 54 IN OR 2083/1786 MULBERRY LANDING 1 PB 4/37"</f>
        <v>LOT 53 &amp; W 60 FT OF 54 IN OR 2083/1786 MULBERRY LANDING 1 PB 4/37</v>
      </c>
      <c r="N174" t="str">
        <f>""</f>
        <v/>
      </c>
      <c r="O174" t="str">
        <f>"43928"</f>
        <v>43928</v>
      </c>
      <c r="P174" t="str">
        <f t="shared" si="45"/>
        <v>2017</v>
      </c>
      <c r="Q174" t="str">
        <f>""</f>
        <v/>
      </c>
      <c r="R174" t="str">
        <f>"N"</f>
        <v>N</v>
      </c>
      <c r="S174" t="str">
        <f>""</f>
        <v/>
      </c>
      <c r="T174" t="str">
        <f>"90.83"</f>
        <v>90.83</v>
      </c>
      <c r="U174" t="str">
        <f>"6000.00"</f>
        <v>6000.00</v>
      </c>
      <c r="V174" t="str">
        <f>"6000.00"</f>
        <v>6000.00</v>
      </c>
      <c r="W174" t="str">
        <f t="shared" si="46"/>
        <v>2017</v>
      </c>
      <c r="X174" t="str">
        <f>"16.50"</f>
        <v>16.50</v>
      </c>
      <c r="Y174" t="str">
        <f>"125.55"</f>
        <v>125.55</v>
      </c>
      <c r="Z174" t="str">
        <f>""</f>
        <v/>
      </c>
      <c r="AA174" t="str">
        <f>"6000.00"</f>
        <v>6000.00</v>
      </c>
      <c r="AB174" t="str">
        <f t="shared" si="56"/>
        <v>Residential</v>
      </c>
      <c r="AC174" t="str">
        <f t="shared" si="47"/>
        <v>0</v>
      </c>
      <c r="AD174" t="str">
        <f>""</f>
        <v/>
      </c>
      <c r="AE174" t="str">
        <f>""</f>
        <v/>
      </c>
      <c r="AF174" t="str">
        <f>"000"</f>
        <v>000</v>
      </c>
      <c r="AG174" t="str">
        <f t="shared" si="55"/>
        <v>FL</v>
      </c>
      <c r="AH174" t="str">
        <f>"-"</f>
        <v>-</v>
      </c>
      <c r="AI174" t="str">
        <f>"6000.00"</f>
        <v>6000.00</v>
      </c>
      <c r="AJ174" t="str">
        <f>"C55-000-587-9728-3"</f>
        <v>C55-000-587-9728-3</v>
      </c>
      <c r="AK174" t="str">
        <f>"1662"</f>
        <v>1662</v>
      </c>
      <c r="AL174">
        <v>1</v>
      </c>
      <c r="AM174">
        <v>204</v>
      </c>
      <c r="AN174">
        <v>130.22999999999999</v>
      </c>
      <c r="AQ174" t="s">
        <v>2191</v>
      </c>
      <c r="AR174" t="s">
        <v>2191</v>
      </c>
      <c r="AS174" t="s">
        <v>2191</v>
      </c>
      <c r="AU174" t="s">
        <v>396</v>
      </c>
      <c r="AV174">
        <v>2017</v>
      </c>
      <c r="AW174" t="str">
        <f>"37-3N-23-2070-0053-0000 "</f>
        <v xml:space="preserve">37-3N-23-2070-0053-0000 </v>
      </c>
      <c r="AZ174" t="s">
        <v>2177</v>
      </c>
      <c r="BA174" t="s">
        <v>496</v>
      </c>
      <c r="BB174" t="s">
        <v>404</v>
      </c>
      <c r="BD174" t="s">
        <v>398</v>
      </c>
      <c r="BE174" t="s">
        <v>393</v>
      </c>
      <c r="BF174">
        <v>32046</v>
      </c>
      <c r="BG174" t="s">
        <v>2192</v>
      </c>
      <c r="BH174" t="s">
        <v>400</v>
      </c>
      <c r="BI174">
        <v>-82.030256008020999</v>
      </c>
      <c r="BJ174">
        <v>30.706667310814201</v>
      </c>
      <c r="BK174" t="s">
        <v>2193</v>
      </c>
      <c r="BL174" t="s">
        <v>2194</v>
      </c>
      <c r="BM174" t="s">
        <v>2195</v>
      </c>
      <c r="BN174" t="s">
        <v>403</v>
      </c>
      <c r="BO174">
        <v>32046</v>
      </c>
      <c r="BP174" t="s">
        <v>404</v>
      </c>
      <c r="BQ174">
        <v>0</v>
      </c>
      <c r="BR174" t="s">
        <v>491</v>
      </c>
      <c r="BS174">
        <v>8001</v>
      </c>
      <c r="BT174" t="s">
        <v>492</v>
      </c>
      <c r="BW174">
        <v>63001</v>
      </c>
      <c r="BX174" t="s">
        <v>407</v>
      </c>
      <c r="BY174" t="s">
        <v>408</v>
      </c>
      <c r="CD174">
        <v>2017</v>
      </c>
      <c r="CE174">
        <v>6000</v>
      </c>
      <c r="CG174">
        <v>6000</v>
      </c>
      <c r="CH174">
        <v>2017</v>
      </c>
      <c r="CI174">
        <v>6000</v>
      </c>
      <c r="CK174">
        <v>6000</v>
      </c>
      <c r="CL174">
        <v>2017</v>
      </c>
      <c r="CM174">
        <v>90.83</v>
      </c>
      <c r="CN174" s="1">
        <v>42691</v>
      </c>
      <c r="CO174">
        <v>2500</v>
      </c>
      <c r="CV174">
        <v>0</v>
      </c>
      <c r="CZ174" s="1">
        <v>42691</v>
      </c>
      <c r="DA174">
        <v>0</v>
      </c>
      <c r="DD174" t="s">
        <v>398</v>
      </c>
      <c r="DF174">
        <v>53</v>
      </c>
      <c r="DG174">
        <v>37</v>
      </c>
      <c r="DJ174" t="s">
        <v>2177</v>
      </c>
      <c r="DL174">
        <v>50400</v>
      </c>
      <c r="DM174" t="s">
        <v>2114</v>
      </c>
      <c r="DO174" t="s">
        <v>2196</v>
      </c>
      <c r="DP174">
        <v>0</v>
      </c>
      <c r="DQ174">
        <v>0</v>
      </c>
      <c r="DR174" t="s">
        <v>411</v>
      </c>
      <c r="DS174" t="b">
        <v>1</v>
      </c>
      <c r="DT174" t="s">
        <v>396</v>
      </c>
      <c r="DV174" t="s">
        <v>446</v>
      </c>
      <c r="DX174">
        <v>-9999</v>
      </c>
      <c r="DZ174" t="s">
        <v>447</v>
      </c>
      <c r="EA174" t="s">
        <v>448</v>
      </c>
      <c r="EB174" t="s">
        <v>449</v>
      </c>
      <c r="EC174">
        <v>20101217</v>
      </c>
      <c r="ED174" t="s">
        <v>450</v>
      </c>
      <c r="EE174">
        <v>20</v>
      </c>
      <c r="EF174">
        <v>0</v>
      </c>
      <c r="EG174">
        <v>0</v>
      </c>
      <c r="EI174">
        <v>20160407</v>
      </c>
      <c r="EJ174">
        <v>0</v>
      </c>
      <c r="EK174">
        <v>0</v>
      </c>
      <c r="EP174" t="s">
        <v>421</v>
      </c>
      <c r="EQ174" t="s">
        <v>452</v>
      </c>
      <c r="ER174">
        <v>1</v>
      </c>
      <c r="ES174">
        <v>8</v>
      </c>
      <c r="ET174">
        <v>221.57</v>
      </c>
      <c r="EU174">
        <v>32.28</v>
      </c>
      <c r="EV174">
        <v>253.85</v>
      </c>
      <c r="EW174" s="2">
        <v>43222</v>
      </c>
      <c r="EX174" s="1">
        <v>42879</v>
      </c>
      <c r="EY174">
        <v>2016</v>
      </c>
      <c r="EZ174">
        <v>221.57</v>
      </c>
      <c r="FA174" t="s">
        <v>2197</v>
      </c>
      <c r="FB174">
        <v>11.75</v>
      </c>
      <c r="FC174" t="s">
        <v>424</v>
      </c>
      <c r="FD174" t="s">
        <v>454</v>
      </c>
      <c r="FF174">
        <v>12</v>
      </c>
      <c r="FG174">
        <v>10021</v>
      </c>
      <c r="FH174" t="s">
        <v>597</v>
      </c>
      <c r="FJ174" s="1">
        <v>42515</v>
      </c>
      <c r="FK174">
        <v>2015</v>
      </c>
      <c r="FL174">
        <v>211.7</v>
      </c>
      <c r="FM174" t="s">
        <v>2198</v>
      </c>
      <c r="FN174">
        <v>18</v>
      </c>
      <c r="FO174" t="s">
        <v>424</v>
      </c>
      <c r="FP174" t="s">
        <v>425</v>
      </c>
      <c r="FR174">
        <v>22</v>
      </c>
      <c r="FS174">
        <v>7336670</v>
      </c>
      <c r="FT174" t="s">
        <v>2102</v>
      </c>
      <c r="FU174" t="s">
        <v>458</v>
      </c>
      <c r="FV174" s="1">
        <v>42151</v>
      </c>
      <c r="FW174">
        <v>2014</v>
      </c>
      <c r="FX174">
        <v>184.38</v>
      </c>
      <c r="FY174" t="s">
        <v>2199</v>
      </c>
      <c r="FZ174">
        <v>18</v>
      </c>
      <c r="GA174" t="s">
        <v>424</v>
      </c>
      <c r="GB174" t="s">
        <v>425</v>
      </c>
      <c r="GC174" s="1">
        <v>42551</v>
      </c>
      <c r="GD174">
        <v>13</v>
      </c>
      <c r="GE174">
        <v>10125</v>
      </c>
      <c r="GF174" t="s">
        <v>440</v>
      </c>
      <c r="GG174" t="s">
        <v>458</v>
      </c>
      <c r="GH174" s="1">
        <v>41787</v>
      </c>
      <c r="GI174">
        <v>2013</v>
      </c>
      <c r="GJ174">
        <v>189.43</v>
      </c>
      <c r="GK174" t="s">
        <v>2200</v>
      </c>
      <c r="GL174">
        <v>12</v>
      </c>
      <c r="GM174" t="s">
        <v>424</v>
      </c>
      <c r="GN174" t="s">
        <v>425</v>
      </c>
      <c r="GP174">
        <v>22</v>
      </c>
      <c r="GQ174">
        <v>2035919</v>
      </c>
      <c r="GR174" t="s">
        <v>507</v>
      </c>
      <c r="GS174" t="s">
        <v>458</v>
      </c>
      <c r="GT174" s="1">
        <v>41787</v>
      </c>
      <c r="GU174">
        <v>2013</v>
      </c>
      <c r="GV174">
        <v>189.43</v>
      </c>
      <c r="GW174" t="s">
        <v>2200</v>
      </c>
      <c r="GX174">
        <v>12</v>
      </c>
      <c r="GY174" t="s">
        <v>424</v>
      </c>
      <c r="GZ174" t="s">
        <v>425</v>
      </c>
      <c r="HB174">
        <v>22</v>
      </c>
      <c r="HC174">
        <v>7336670</v>
      </c>
      <c r="HD174" t="s">
        <v>2102</v>
      </c>
      <c r="HE174" t="s">
        <v>458</v>
      </c>
      <c r="HF174" s="1">
        <v>41423</v>
      </c>
      <c r="HG174">
        <v>2012</v>
      </c>
      <c r="HH174">
        <v>191.53</v>
      </c>
      <c r="HI174" t="s">
        <v>2201</v>
      </c>
      <c r="HJ174">
        <v>11.75</v>
      </c>
      <c r="HK174" t="s">
        <v>424</v>
      </c>
      <c r="HL174" t="s">
        <v>425</v>
      </c>
      <c r="HM174" s="1">
        <v>41526</v>
      </c>
      <c r="HN174">
        <v>4</v>
      </c>
      <c r="HO174">
        <v>2035919</v>
      </c>
      <c r="HP174" t="s">
        <v>507</v>
      </c>
      <c r="HQ174" t="s">
        <v>458</v>
      </c>
      <c r="HR174" s="1">
        <v>41052</v>
      </c>
      <c r="HS174">
        <v>2011</v>
      </c>
      <c r="HT174">
        <v>238.99</v>
      </c>
      <c r="HU174" t="s">
        <v>2202</v>
      </c>
      <c r="HV174">
        <v>15.5</v>
      </c>
      <c r="HW174" t="s">
        <v>424</v>
      </c>
      <c r="HX174" t="s">
        <v>425</v>
      </c>
      <c r="HY174" s="1">
        <v>41526</v>
      </c>
      <c r="HZ174">
        <v>16</v>
      </c>
      <c r="IA174">
        <v>13103</v>
      </c>
      <c r="IB174" t="s">
        <v>2203</v>
      </c>
      <c r="IC174" t="s">
        <v>458</v>
      </c>
      <c r="ID174" s="1">
        <v>40688</v>
      </c>
      <c r="IE174">
        <v>2010</v>
      </c>
      <c r="IF174">
        <v>264.37</v>
      </c>
      <c r="IG174" t="s">
        <v>2204</v>
      </c>
      <c r="IH174">
        <v>8.25</v>
      </c>
      <c r="II174" t="s">
        <v>424</v>
      </c>
      <c r="IJ174" t="s">
        <v>425</v>
      </c>
      <c r="IL174">
        <v>22</v>
      </c>
      <c r="IM174">
        <v>15175</v>
      </c>
      <c r="IN174" t="s">
        <v>588</v>
      </c>
      <c r="IO174" t="s">
        <v>458</v>
      </c>
      <c r="IP174" s="1">
        <v>40688</v>
      </c>
      <c r="IQ174">
        <v>2010</v>
      </c>
      <c r="IR174">
        <v>264.37</v>
      </c>
      <c r="IS174" t="s">
        <v>2204</v>
      </c>
      <c r="IT174">
        <v>8.25</v>
      </c>
      <c r="IU174" t="s">
        <v>424</v>
      </c>
      <c r="IV174" t="s">
        <v>425</v>
      </c>
      <c r="IX174">
        <v>22</v>
      </c>
      <c r="IY174">
        <v>10548</v>
      </c>
      <c r="IZ174" t="s">
        <v>589</v>
      </c>
      <c r="JA174" t="s">
        <v>458</v>
      </c>
    </row>
    <row r="175" spans="1:320" x14ac:dyDescent="0.25">
      <c r="A175">
        <v>16485182</v>
      </c>
      <c r="B175">
        <v>174</v>
      </c>
      <c r="C175" t="s">
        <v>393</v>
      </c>
      <c r="D175" t="s">
        <v>394</v>
      </c>
      <c r="F175" t="str">
        <f>"39-3N-23-1860-0006-0000"</f>
        <v>39-3N-23-1860-0006-0000</v>
      </c>
      <c r="H175" t="str">
        <f>"HOLLEY MARCUS &amp; NICOLA"</f>
        <v>HOLLEY MARCUS &amp; NICOLA</v>
      </c>
      <c r="I175" t="str">
        <f>"17671 HOLLEY OAKS LN"</f>
        <v>17671 HOLLEY OAKS LN</v>
      </c>
      <c r="J175" t="str">
        <f t="shared" si="57"/>
        <v>HILLIARD FL 32046</v>
      </c>
      <c r="K175" t="str">
        <f>"29984 CR 121"</f>
        <v>29984 CR 121</v>
      </c>
      <c r="L175" t="str">
        <f t="shared" si="51"/>
        <v>HILLIARD FL 32046</v>
      </c>
      <c r="M175" t="str">
        <f>"LOT 6 IN OR 1800/1945 1999 FLEETWOOD DW/MH RIVERWOOD ESTATES PB 5/292"</f>
        <v>LOT 6 IN OR 1800/1945 1999 FLEETWOOD DW/MH RIVERWOOD ESTATES PB 5/292</v>
      </c>
      <c r="N175" t="str">
        <f>""</f>
        <v/>
      </c>
      <c r="O175" t="str">
        <f>"46124"</f>
        <v>46124</v>
      </c>
      <c r="P175" t="str">
        <f t="shared" si="45"/>
        <v>2017</v>
      </c>
      <c r="Q175" t="str">
        <f>""</f>
        <v/>
      </c>
      <c r="R175" t="str">
        <f>"N"</f>
        <v>N</v>
      </c>
      <c r="S175" t="str">
        <f>"1.00"</f>
        <v>1.00</v>
      </c>
      <c r="T175" t="str">
        <f>"800.64"</f>
        <v>800.64</v>
      </c>
      <c r="U175" t="str">
        <f>"51290.00"</f>
        <v>51290.00</v>
      </c>
      <c r="V175" t="str">
        <f>"51290.00"</f>
        <v>51290.00</v>
      </c>
      <c r="W175" t="str">
        <f t="shared" si="46"/>
        <v>2017</v>
      </c>
      <c r="X175" t="str">
        <f>"12.40"</f>
        <v>12.40</v>
      </c>
      <c r="Y175" t="str">
        <f>"856.66"</f>
        <v>856.66</v>
      </c>
      <c r="Z175" t="str">
        <f>""</f>
        <v/>
      </c>
      <c r="AA175" t="str">
        <f>"54955.00"</f>
        <v>54955.00</v>
      </c>
      <c r="AB175" t="str">
        <f t="shared" si="56"/>
        <v>Residential</v>
      </c>
      <c r="AC175" t="str">
        <f t="shared" si="47"/>
        <v>0</v>
      </c>
      <c r="AD175" t="str">
        <f>"4"</f>
        <v>4</v>
      </c>
      <c r="AE175" t="str">
        <f>"WOOD (INCLUDE STEEL STUDS)"</f>
        <v>WOOD (INCLUDE STEEL STUDS)</v>
      </c>
      <c r="AF175" t="str">
        <f>"002"</f>
        <v>002</v>
      </c>
      <c r="AG175" t="str">
        <f t="shared" si="55"/>
        <v>FL</v>
      </c>
      <c r="AH175" t="str">
        <f>"43560.00"</f>
        <v>43560.00</v>
      </c>
      <c r="AI175" t="str">
        <f>"15000.00"</f>
        <v>15000.00</v>
      </c>
      <c r="AJ175" t="str">
        <f>"C55-000-588-0746-2"</f>
        <v>C55-000-588-0746-2</v>
      </c>
      <c r="AK175" t="str">
        <f>"1721"</f>
        <v>1721</v>
      </c>
      <c r="AL175">
        <v>1</v>
      </c>
      <c r="AM175">
        <v>205</v>
      </c>
      <c r="AN175">
        <v>897.89</v>
      </c>
      <c r="AQ175" t="s">
        <v>2205</v>
      </c>
      <c r="AR175" t="s">
        <v>2205</v>
      </c>
      <c r="AS175" t="s">
        <v>2205</v>
      </c>
      <c r="AU175" t="s">
        <v>396</v>
      </c>
      <c r="AV175">
        <v>2017</v>
      </c>
      <c r="AW175" t="str">
        <f>"39-3N-23-1860-0006-0000 "</f>
        <v xml:space="preserve">39-3N-23-1860-0006-0000 </v>
      </c>
      <c r="AX175">
        <v>29984</v>
      </c>
      <c r="AZ175" t="s">
        <v>611</v>
      </c>
      <c r="BD175" t="s">
        <v>398</v>
      </c>
      <c r="BE175" t="s">
        <v>393</v>
      </c>
      <c r="BF175">
        <v>32046</v>
      </c>
      <c r="BG175" t="s">
        <v>2206</v>
      </c>
      <c r="BH175" t="s">
        <v>400</v>
      </c>
      <c r="BI175">
        <v>-82.031707462240803</v>
      </c>
      <c r="BJ175">
        <v>30.680756195636199</v>
      </c>
      <c r="BK175" t="s">
        <v>2207</v>
      </c>
      <c r="BM175" t="s">
        <v>2208</v>
      </c>
      <c r="BN175" t="s">
        <v>403</v>
      </c>
      <c r="BO175">
        <v>32046</v>
      </c>
      <c r="BP175" t="s">
        <v>404</v>
      </c>
      <c r="BQ175">
        <v>200</v>
      </c>
      <c r="BR175" t="s">
        <v>405</v>
      </c>
      <c r="BS175">
        <v>1006</v>
      </c>
      <c r="BT175" t="s">
        <v>406</v>
      </c>
      <c r="BW175">
        <v>43560</v>
      </c>
      <c r="BX175" t="s">
        <v>407</v>
      </c>
      <c r="BY175" t="s">
        <v>408</v>
      </c>
      <c r="BZ175">
        <v>4</v>
      </c>
      <c r="CA175">
        <v>1999</v>
      </c>
      <c r="CC175">
        <v>1</v>
      </c>
      <c r="CD175">
        <v>2017</v>
      </c>
      <c r="CE175">
        <v>15000</v>
      </c>
      <c r="CF175">
        <v>39955</v>
      </c>
      <c r="CG175">
        <v>54955</v>
      </c>
      <c r="CH175">
        <v>2017</v>
      </c>
      <c r="CI175">
        <v>15000</v>
      </c>
      <c r="CJ175">
        <v>39955</v>
      </c>
      <c r="CK175">
        <v>54955</v>
      </c>
      <c r="CL175">
        <v>2017</v>
      </c>
      <c r="CM175">
        <v>800.64</v>
      </c>
      <c r="CN175" s="1">
        <v>41095</v>
      </c>
      <c r="CO175">
        <v>12000</v>
      </c>
      <c r="CV175">
        <v>0</v>
      </c>
      <c r="CZ175" s="1">
        <v>41095</v>
      </c>
      <c r="DA175">
        <v>0</v>
      </c>
      <c r="DD175" t="s">
        <v>398</v>
      </c>
      <c r="DF175">
        <v>6</v>
      </c>
      <c r="DG175">
        <v>39</v>
      </c>
      <c r="DJ175" t="s">
        <v>2209</v>
      </c>
      <c r="DL175">
        <v>50400</v>
      </c>
      <c r="DM175" t="s">
        <v>2210</v>
      </c>
      <c r="DO175" t="s">
        <v>2211</v>
      </c>
      <c r="DP175">
        <v>0</v>
      </c>
      <c r="DQ175">
        <v>0</v>
      </c>
      <c r="DR175" t="s">
        <v>411</v>
      </c>
      <c r="DS175" t="b">
        <v>1</v>
      </c>
      <c r="DT175" t="s">
        <v>470</v>
      </c>
      <c r="DU175" t="s">
        <v>471</v>
      </c>
      <c r="DV175" t="s">
        <v>472</v>
      </c>
      <c r="DX175">
        <v>-9999</v>
      </c>
      <c r="DZ175" t="s">
        <v>447</v>
      </c>
      <c r="EA175" t="s">
        <v>448</v>
      </c>
      <c r="EB175" t="s">
        <v>2124</v>
      </c>
      <c r="EC175">
        <v>20101217</v>
      </c>
      <c r="ED175" t="s">
        <v>474</v>
      </c>
      <c r="EF175">
        <v>1831.3</v>
      </c>
      <c r="EG175">
        <v>1831.3</v>
      </c>
      <c r="EH175" t="s">
        <v>451</v>
      </c>
      <c r="EI175">
        <v>20140731</v>
      </c>
      <c r="EJ175">
        <v>0</v>
      </c>
      <c r="EK175">
        <v>0</v>
      </c>
      <c r="EP175" t="s">
        <v>421</v>
      </c>
      <c r="EQ175" t="s">
        <v>452</v>
      </c>
      <c r="ER175">
        <v>0</v>
      </c>
      <c r="ES175">
        <v>4</v>
      </c>
      <c r="ET175">
        <v>0</v>
      </c>
      <c r="EU175">
        <v>0</v>
      </c>
      <c r="EV175">
        <v>0</v>
      </c>
      <c r="EW175" s="2">
        <v>43222</v>
      </c>
      <c r="EX175" s="1">
        <v>42151</v>
      </c>
      <c r="EY175">
        <v>2014</v>
      </c>
      <c r="EZ175">
        <v>788.86</v>
      </c>
      <c r="FA175" t="s">
        <v>2212</v>
      </c>
      <c r="FB175">
        <v>0.25</v>
      </c>
      <c r="FC175" t="s">
        <v>424</v>
      </c>
      <c r="FD175" t="s">
        <v>425</v>
      </c>
      <c r="FE175" s="1">
        <v>42475</v>
      </c>
      <c r="FF175">
        <v>11</v>
      </c>
      <c r="FG175">
        <v>4975594</v>
      </c>
      <c r="FH175" t="s">
        <v>457</v>
      </c>
      <c r="FI175" t="s">
        <v>458</v>
      </c>
      <c r="FJ175" s="1">
        <v>42151</v>
      </c>
      <c r="FK175">
        <v>2014</v>
      </c>
      <c r="FL175">
        <v>788.86</v>
      </c>
      <c r="FM175" t="s">
        <v>2212</v>
      </c>
      <c r="FN175">
        <v>0.25</v>
      </c>
      <c r="FO175" t="s">
        <v>424</v>
      </c>
      <c r="FP175" t="s">
        <v>425</v>
      </c>
      <c r="FR175">
        <v>22</v>
      </c>
      <c r="FS175">
        <v>6373291</v>
      </c>
      <c r="FT175" t="s">
        <v>2213</v>
      </c>
      <c r="FU175" t="s">
        <v>458</v>
      </c>
      <c r="FV175" s="1">
        <v>41787</v>
      </c>
      <c r="FW175">
        <v>2013</v>
      </c>
      <c r="FX175">
        <v>830.47</v>
      </c>
      <c r="FY175" t="s">
        <v>2214</v>
      </c>
      <c r="FZ175">
        <v>0.25</v>
      </c>
      <c r="GA175" t="s">
        <v>424</v>
      </c>
      <c r="GB175" t="s">
        <v>425</v>
      </c>
      <c r="GD175">
        <v>22</v>
      </c>
      <c r="GE175">
        <v>2407503</v>
      </c>
      <c r="GF175" t="s">
        <v>461</v>
      </c>
      <c r="GG175" t="s">
        <v>458</v>
      </c>
      <c r="GH175" s="1">
        <v>41423</v>
      </c>
      <c r="GI175">
        <v>2012</v>
      </c>
      <c r="GJ175">
        <v>879.96</v>
      </c>
      <c r="GK175" t="s">
        <v>2215</v>
      </c>
      <c r="GL175">
        <v>3.5</v>
      </c>
      <c r="GM175" t="s">
        <v>424</v>
      </c>
      <c r="GN175" t="s">
        <v>425</v>
      </c>
      <c r="GO175" s="1">
        <v>41759</v>
      </c>
      <c r="GP175">
        <v>11</v>
      </c>
      <c r="GQ175">
        <v>15399</v>
      </c>
      <c r="GR175" t="s">
        <v>485</v>
      </c>
    </row>
    <row r="176" spans="1:320" x14ac:dyDescent="0.25">
      <c r="A176">
        <v>16485183</v>
      </c>
      <c r="B176">
        <v>175</v>
      </c>
      <c r="C176" t="s">
        <v>393</v>
      </c>
      <c r="D176" t="s">
        <v>394</v>
      </c>
      <c r="F176" t="str">
        <f>"12-4N-23-0000-0001-0000"</f>
        <v>12-4N-23-0000-0001-0000</v>
      </c>
      <c r="H176" t="str">
        <f>"SWORD LOIS C"</f>
        <v>SWORD LOIS C</v>
      </c>
      <c r="I176" t="str">
        <f>"28180 LAKE HAMPTON ROAD"</f>
        <v>28180 LAKE HAMPTON ROAD</v>
      </c>
      <c r="J176" t="str">
        <f t="shared" si="57"/>
        <v>HILLIARD FL 32046</v>
      </c>
      <c r="K176" t="str">
        <f>"28154 LAKE HAMPTON RD"</f>
        <v>28154 LAKE HAMPTON RD</v>
      </c>
      <c r="L176" t="str">
        <f t="shared" si="51"/>
        <v>HILLIARD FL 32046</v>
      </c>
      <c r="M176" t="str">
        <f>"TRACT A IN OR 831/949 EX 1-1"</f>
        <v>TRACT A IN OR 831/949 EX 1-1</v>
      </c>
      <c r="N176" t="str">
        <f>""</f>
        <v/>
      </c>
      <c r="O176" t="str">
        <f>"28966"</f>
        <v>28966</v>
      </c>
      <c r="P176" t="str">
        <f t="shared" si="45"/>
        <v>2017</v>
      </c>
      <c r="Q176" t="str">
        <f>""</f>
        <v/>
      </c>
      <c r="R176" t="str">
        <f>"N"</f>
        <v>N</v>
      </c>
      <c r="S176" t="str">
        <f>"1.78"</f>
        <v>1.78</v>
      </c>
      <c r="T176" t="str">
        <f>"912.75"</f>
        <v>912.75</v>
      </c>
      <c r="U176" t="str">
        <f>"60293.00"</f>
        <v>60293.00</v>
      </c>
      <c r="V176" t="str">
        <f>"60293.00"</f>
        <v>60293.00</v>
      </c>
      <c r="W176" t="str">
        <f t="shared" si="46"/>
        <v>2017</v>
      </c>
      <c r="X176" t="str">
        <f>""</f>
        <v/>
      </c>
      <c r="Y176" t="str">
        <f>"972.13"</f>
        <v>972.13</v>
      </c>
      <c r="Z176" t="str">
        <f>""</f>
        <v/>
      </c>
      <c r="AA176" t="str">
        <f>"60293.00"</f>
        <v>60293.00</v>
      </c>
      <c r="AB176" t="str">
        <f t="shared" si="56"/>
        <v>Residential</v>
      </c>
      <c r="AC176" t="str">
        <f t="shared" si="47"/>
        <v>0</v>
      </c>
      <c r="AD176" t="str">
        <f>"4"</f>
        <v>4</v>
      </c>
      <c r="AE176" t="str">
        <f>"WOOD (INCLUDE STEEL STUDS)"</f>
        <v>WOOD (INCLUDE STEEL STUDS)</v>
      </c>
      <c r="AF176" t="str">
        <f>"001"</f>
        <v>001</v>
      </c>
      <c r="AG176" t="str">
        <f t="shared" si="55"/>
        <v>FL</v>
      </c>
      <c r="AH176" t="str">
        <f>"77536.00"</f>
        <v>77536.00</v>
      </c>
      <c r="AI176" t="str">
        <f>"26700.00"</f>
        <v>26700.00</v>
      </c>
      <c r="AJ176" t="str">
        <f>"C55-000-586-9834-1"</f>
        <v>C55-000-586-9834-1</v>
      </c>
      <c r="AK176" t="str">
        <f>"1794"</f>
        <v>1794</v>
      </c>
      <c r="AL176">
        <v>1</v>
      </c>
      <c r="AM176">
        <v>206</v>
      </c>
      <c r="AN176">
        <v>1019.14</v>
      </c>
      <c r="AQ176" t="s">
        <v>2216</v>
      </c>
      <c r="AR176" t="s">
        <v>2216</v>
      </c>
      <c r="AS176" t="s">
        <v>2216</v>
      </c>
      <c r="AU176" t="s">
        <v>396</v>
      </c>
      <c r="AV176">
        <v>2017</v>
      </c>
      <c r="AW176" t="str">
        <f>"12-4N-23-0000-0001-0000 "</f>
        <v xml:space="preserve">12-4N-23-0000-0001-0000 </v>
      </c>
      <c r="AX176">
        <v>28154</v>
      </c>
      <c r="AZ176" t="s">
        <v>2217</v>
      </c>
      <c r="BA176" t="s">
        <v>496</v>
      </c>
      <c r="BD176" t="s">
        <v>398</v>
      </c>
      <c r="BE176" t="s">
        <v>393</v>
      </c>
      <c r="BF176">
        <v>32046</v>
      </c>
      <c r="BG176" t="s">
        <v>2218</v>
      </c>
      <c r="BH176" t="s">
        <v>400</v>
      </c>
      <c r="BI176">
        <v>-81.976242937327697</v>
      </c>
      <c r="BJ176">
        <v>30.776388102105901</v>
      </c>
      <c r="BK176" t="s">
        <v>2219</v>
      </c>
      <c r="BM176" t="s">
        <v>2220</v>
      </c>
      <c r="BN176" t="s">
        <v>403</v>
      </c>
      <c r="BO176">
        <v>32046</v>
      </c>
      <c r="BP176" t="s">
        <v>404</v>
      </c>
      <c r="BQ176">
        <v>100</v>
      </c>
      <c r="BR176" t="s">
        <v>514</v>
      </c>
      <c r="BS176">
        <v>1001</v>
      </c>
      <c r="BT176" t="s">
        <v>515</v>
      </c>
      <c r="BW176">
        <v>77536</v>
      </c>
      <c r="BX176" t="s">
        <v>407</v>
      </c>
      <c r="BY176" t="s">
        <v>2221</v>
      </c>
      <c r="BZ176">
        <v>4</v>
      </c>
      <c r="CA176">
        <v>1950</v>
      </c>
      <c r="CB176">
        <v>1</v>
      </c>
      <c r="CC176">
        <v>1</v>
      </c>
      <c r="CD176">
        <v>2017</v>
      </c>
      <c r="CE176">
        <v>26700</v>
      </c>
      <c r="CF176">
        <v>33593</v>
      </c>
      <c r="CG176">
        <v>60293</v>
      </c>
      <c r="CH176">
        <v>2017</v>
      </c>
      <c r="CI176">
        <v>26700</v>
      </c>
      <c r="CJ176">
        <v>33593</v>
      </c>
      <c r="CK176">
        <v>60293</v>
      </c>
      <c r="CL176">
        <v>2017</v>
      </c>
      <c r="CM176">
        <v>912.75</v>
      </c>
      <c r="CN176" s="1">
        <v>35913</v>
      </c>
      <c r="CO176">
        <v>89600</v>
      </c>
      <c r="CZ176" s="1">
        <v>35913</v>
      </c>
      <c r="DD176" t="s">
        <v>398</v>
      </c>
      <c r="DG176">
        <v>12</v>
      </c>
      <c r="DL176">
        <v>50400</v>
      </c>
      <c r="DM176" t="s">
        <v>2222</v>
      </c>
      <c r="DO176" t="s">
        <v>2223</v>
      </c>
      <c r="DP176">
        <v>0</v>
      </c>
      <c r="DQ176">
        <v>0</v>
      </c>
      <c r="DR176" t="s">
        <v>411</v>
      </c>
    </row>
    <row r="177" spans="1:284" x14ac:dyDescent="0.25">
      <c r="A177">
        <v>16485184</v>
      </c>
      <c r="B177">
        <v>176</v>
      </c>
      <c r="C177" t="s">
        <v>393</v>
      </c>
      <c r="D177" t="s">
        <v>394</v>
      </c>
      <c r="F177" t="str">
        <f>"12-4N-23-0000-0002-0000"</f>
        <v>12-4N-23-0000-0002-0000</v>
      </c>
      <c r="H177" t="str">
        <f>"JPMORGAN CHASE BANK"</f>
        <v>JPMORGAN CHASE BANK</v>
      </c>
      <c r="I177" t="str">
        <f>"7255 BAYMEADOWS WAY"</f>
        <v>7255 BAYMEADOWS WAY</v>
      </c>
      <c r="J177" t="str">
        <f>"JACKSONVILLE FL 32256"</f>
        <v>JACKSONVILLE FL 32256</v>
      </c>
      <c r="K177" t="str">
        <f>"LAKE HAMPTON RD"</f>
        <v>LAKE HAMPTON RD</v>
      </c>
      <c r="L177" t="str">
        <f t="shared" si="51"/>
        <v>HILLIARD FL 32046</v>
      </c>
      <c r="M177" t="str">
        <f>"PT GOVT LOT 1 SEC 12-4N-23E IN OR 1913/908"</f>
        <v>PT GOVT LOT 1 SEC 12-4N-23E IN OR 1913/908</v>
      </c>
      <c r="N177" t="str">
        <f>""</f>
        <v/>
      </c>
      <c r="O177" t="str">
        <f>"28968"</f>
        <v>28968</v>
      </c>
      <c r="P177" t="str">
        <f t="shared" si="45"/>
        <v>2017</v>
      </c>
      <c r="Q177" t="str">
        <f>""</f>
        <v/>
      </c>
      <c r="R177" t="str">
        <f>"N"</f>
        <v>N</v>
      </c>
      <c r="S177" t="str">
        <f>"3.09"</f>
        <v>3.09</v>
      </c>
      <c r="T177" t="str">
        <f>"374.23"</f>
        <v>374.23</v>
      </c>
      <c r="U177" t="str">
        <f>"24720.00"</f>
        <v>24720.00</v>
      </c>
      <c r="V177" t="str">
        <f>"24720.00"</f>
        <v>24720.00</v>
      </c>
      <c r="W177" t="str">
        <f t="shared" si="46"/>
        <v>2017</v>
      </c>
      <c r="X177" t="str">
        <f>"8.00"</f>
        <v>8.00</v>
      </c>
      <c r="Y177" t="str">
        <f>"417.46"</f>
        <v>417.46</v>
      </c>
      <c r="Z177" t="str">
        <f>""</f>
        <v/>
      </c>
      <c r="AA177" t="str">
        <f>"24720.00"</f>
        <v>24720.00</v>
      </c>
      <c r="AB177" t="str">
        <f t="shared" si="56"/>
        <v>Residential</v>
      </c>
      <c r="AC177" t="str">
        <f t="shared" si="47"/>
        <v>0</v>
      </c>
      <c r="AD177" t="str">
        <f>""</f>
        <v/>
      </c>
      <c r="AE177" t="str">
        <f>""</f>
        <v/>
      </c>
      <c r="AF177" t="str">
        <f>"000"</f>
        <v>000</v>
      </c>
      <c r="AG177" t="str">
        <f t="shared" si="55"/>
        <v>FL</v>
      </c>
      <c r="AH177" t="str">
        <f>"134600.00"</f>
        <v>134600.00</v>
      </c>
      <c r="AI177" t="str">
        <f>"24720.00"</f>
        <v>24720.00</v>
      </c>
      <c r="AJ177" t="str">
        <f>"C55-000-586-9835-8"</f>
        <v>C55-000-586-9835-8</v>
      </c>
      <c r="AK177" t="str">
        <f>"1796"</f>
        <v>1796</v>
      </c>
      <c r="AL177">
        <v>1</v>
      </c>
      <c r="AM177">
        <v>207</v>
      </c>
      <c r="AN177">
        <v>436.73</v>
      </c>
      <c r="AQ177" t="s">
        <v>2224</v>
      </c>
      <c r="AR177" t="s">
        <v>2224</v>
      </c>
      <c r="AS177" t="s">
        <v>2224</v>
      </c>
      <c r="AU177" t="s">
        <v>396</v>
      </c>
      <c r="AV177">
        <v>2017</v>
      </c>
      <c r="AW177" t="str">
        <f>"12-4N-23-0000-0002-0000 "</f>
        <v xml:space="preserve">12-4N-23-0000-0002-0000 </v>
      </c>
      <c r="AZ177" t="s">
        <v>2217</v>
      </c>
      <c r="BA177" t="s">
        <v>496</v>
      </c>
      <c r="BD177" t="s">
        <v>398</v>
      </c>
      <c r="BE177" t="s">
        <v>393</v>
      </c>
      <c r="BF177">
        <v>32046</v>
      </c>
      <c r="BG177" t="s">
        <v>2225</v>
      </c>
      <c r="BH177" t="s">
        <v>400</v>
      </c>
      <c r="BI177">
        <v>-81.976172662779305</v>
      </c>
      <c r="BJ177">
        <v>30.773951148248301</v>
      </c>
      <c r="BK177" t="s">
        <v>2226</v>
      </c>
      <c r="BM177" t="s">
        <v>2227</v>
      </c>
      <c r="BN177" t="s">
        <v>548</v>
      </c>
      <c r="BO177">
        <v>32256</v>
      </c>
      <c r="BP177" t="s">
        <v>404</v>
      </c>
      <c r="BQ177">
        <v>0</v>
      </c>
      <c r="BR177" t="s">
        <v>491</v>
      </c>
      <c r="BS177">
        <v>8001</v>
      </c>
      <c r="BT177" t="s">
        <v>492</v>
      </c>
      <c r="BW177">
        <v>134600</v>
      </c>
      <c r="BX177" t="s">
        <v>407</v>
      </c>
      <c r="BY177" t="s">
        <v>408</v>
      </c>
      <c r="CD177">
        <v>2017</v>
      </c>
      <c r="CE177">
        <v>24720</v>
      </c>
      <c r="CG177">
        <v>24720</v>
      </c>
      <c r="CH177">
        <v>2017</v>
      </c>
      <c r="CI177">
        <v>24720</v>
      </c>
      <c r="CK177">
        <v>24720</v>
      </c>
      <c r="CL177">
        <v>2017</v>
      </c>
      <c r="CM177">
        <v>374.23</v>
      </c>
      <c r="CN177" s="1">
        <v>41425</v>
      </c>
      <c r="CV177">
        <v>0</v>
      </c>
      <c r="CZ177" s="1">
        <v>41425</v>
      </c>
      <c r="DA177">
        <v>0</v>
      </c>
      <c r="DD177" t="s">
        <v>398</v>
      </c>
      <c r="DF177">
        <v>1</v>
      </c>
      <c r="DG177">
        <v>12</v>
      </c>
      <c r="DL177">
        <v>50400</v>
      </c>
      <c r="DM177" t="s">
        <v>2222</v>
      </c>
      <c r="DO177" t="s">
        <v>2228</v>
      </c>
      <c r="DP177">
        <v>0</v>
      </c>
      <c r="DQ177">
        <v>0</v>
      </c>
      <c r="DR177" t="s">
        <v>411</v>
      </c>
      <c r="DS177" t="b">
        <v>1</v>
      </c>
      <c r="DT177" t="s">
        <v>470</v>
      </c>
      <c r="DU177" t="s">
        <v>471</v>
      </c>
      <c r="DV177" t="s">
        <v>472</v>
      </c>
      <c r="DX177">
        <v>-9999</v>
      </c>
      <c r="DZ177" t="s">
        <v>447</v>
      </c>
      <c r="EA177" t="s">
        <v>448</v>
      </c>
      <c r="EB177" t="s">
        <v>1224</v>
      </c>
      <c r="EC177">
        <v>20101217</v>
      </c>
      <c r="ED177" t="s">
        <v>474</v>
      </c>
      <c r="EF177">
        <v>766</v>
      </c>
      <c r="EG177">
        <v>766</v>
      </c>
      <c r="EI177">
        <v>20160407</v>
      </c>
      <c r="EJ177">
        <v>0</v>
      </c>
      <c r="EK177">
        <v>30</v>
      </c>
      <c r="EP177" t="s">
        <v>421</v>
      </c>
      <c r="EQ177" t="s">
        <v>422</v>
      </c>
      <c r="ER177">
        <v>2</v>
      </c>
      <c r="ES177">
        <v>1</v>
      </c>
      <c r="ET177">
        <v>879.77</v>
      </c>
      <c r="EU177">
        <v>87.45</v>
      </c>
      <c r="EV177">
        <v>967.22</v>
      </c>
      <c r="EW177" s="2">
        <v>43222</v>
      </c>
      <c r="EX177" s="1">
        <v>42879</v>
      </c>
      <c r="EY177">
        <v>2016</v>
      </c>
      <c r="EZ177">
        <v>437.4</v>
      </c>
      <c r="FA177" t="s">
        <v>2229</v>
      </c>
      <c r="FB177">
        <v>4.75</v>
      </c>
      <c r="FC177" t="s">
        <v>424</v>
      </c>
      <c r="FD177" t="s">
        <v>454</v>
      </c>
      <c r="FF177">
        <v>12</v>
      </c>
      <c r="FG177">
        <v>7336669</v>
      </c>
      <c r="FH177" t="s">
        <v>2230</v>
      </c>
      <c r="FJ177" s="1">
        <v>42515</v>
      </c>
      <c r="FK177">
        <v>2015</v>
      </c>
      <c r="FL177">
        <v>442.37</v>
      </c>
      <c r="FM177" t="s">
        <v>2231</v>
      </c>
      <c r="FN177">
        <v>6</v>
      </c>
      <c r="FO177" t="s">
        <v>424</v>
      </c>
      <c r="FP177" t="s">
        <v>454</v>
      </c>
      <c r="FR177">
        <v>24</v>
      </c>
      <c r="FS177">
        <v>7336669</v>
      </c>
      <c r="FT177" t="s">
        <v>2230</v>
      </c>
      <c r="FV177" s="1">
        <v>40688</v>
      </c>
      <c r="FW177">
        <v>2010</v>
      </c>
      <c r="FX177">
        <v>2471.58</v>
      </c>
      <c r="FY177" t="s">
        <v>2232</v>
      </c>
      <c r="FZ177">
        <v>4.5</v>
      </c>
      <c r="GA177" t="s">
        <v>424</v>
      </c>
      <c r="GB177" t="s">
        <v>425</v>
      </c>
      <c r="GC177" s="1">
        <v>40919</v>
      </c>
      <c r="GD177">
        <v>8</v>
      </c>
      <c r="GE177">
        <v>11287</v>
      </c>
      <c r="GF177" t="s">
        <v>511</v>
      </c>
    </row>
    <row r="178" spans="1:284" x14ac:dyDescent="0.25">
      <c r="A178">
        <v>16485185</v>
      </c>
      <c r="B178">
        <v>177</v>
      </c>
      <c r="C178" t="s">
        <v>393</v>
      </c>
      <c r="D178" t="s">
        <v>394</v>
      </c>
      <c r="F178" t="str">
        <f>"14-4N-23-0000-0005-0000"</f>
        <v>14-4N-23-0000-0005-0000</v>
      </c>
      <c r="H178" t="str">
        <f>"WACTER STEVE E"</f>
        <v>WACTER STEVE E</v>
      </c>
      <c r="I178" t="str">
        <f>"28132 CHURCH DRIVE"</f>
        <v>28132 CHURCH DRIVE</v>
      </c>
      <c r="J178" t="str">
        <f>"HILLIARD FL 32046"</f>
        <v>HILLIARD FL 32046</v>
      </c>
      <c r="K178" t="str">
        <f>"28131 CHURCH DR"</f>
        <v>28131 CHURCH DR</v>
      </c>
      <c r="L178" t="str">
        <f t="shared" si="51"/>
        <v>HILLIARD FL 32046</v>
      </c>
      <c r="M178" t="str">
        <f>"PT OF NE1/4 IN OR 588/708 &amp; OR 588/710 (EX PAR 5-2)"</f>
        <v>PT OF NE1/4 IN OR 588/708 &amp; OR 588/710 (EX PAR 5-2)</v>
      </c>
      <c r="N178" t="str">
        <f>""</f>
        <v/>
      </c>
      <c r="O178" t="str">
        <f>"30162"</f>
        <v>30162</v>
      </c>
      <c r="P178" t="str">
        <f t="shared" si="45"/>
        <v>2017</v>
      </c>
      <c r="Q178" t="str">
        <f>""</f>
        <v/>
      </c>
      <c r="R178" t="str">
        <f>"Y"</f>
        <v>Y</v>
      </c>
      <c r="S178" t="str">
        <f>"6.26"</f>
        <v>6.26</v>
      </c>
      <c r="T178" t="str">
        <f>"416.66"</f>
        <v>416.66</v>
      </c>
      <c r="U178" t="str">
        <f>"55787.00"</f>
        <v>55787.00</v>
      </c>
      <c r="V178" t="str">
        <f>"55787.00"</f>
        <v>55787.00</v>
      </c>
      <c r="W178" t="str">
        <f t="shared" si="46"/>
        <v>2017</v>
      </c>
      <c r="X178" t="str">
        <f>""</f>
        <v/>
      </c>
      <c r="Y178" t="str">
        <f>"461.16"</f>
        <v>461.16</v>
      </c>
      <c r="Z178" t="str">
        <f>"25000.00"</f>
        <v>25000.00</v>
      </c>
      <c r="AA178" t="str">
        <f>"30787.00"</f>
        <v>30787.00</v>
      </c>
      <c r="AB178" t="str">
        <f t="shared" si="56"/>
        <v>Residential</v>
      </c>
      <c r="AC178" t="str">
        <f t="shared" si="47"/>
        <v>0</v>
      </c>
      <c r="AD178" t="str">
        <f>"4"</f>
        <v>4</v>
      </c>
      <c r="AE178" t="str">
        <f>"WOOD (INCLUDE STEEL STUDS)"</f>
        <v>WOOD (INCLUDE STEEL STUDS)</v>
      </c>
      <c r="AF178" t="str">
        <f>"002"</f>
        <v>002</v>
      </c>
      <c r="AG178" t="str">
        <f t="shared" si="55"/>
        <v>FL</v>
      </c>
      <c r="AH178" t="str">
        <f>"272685.00"</f>
        <v>272685.00</v>
      </c>
      <c r="AI178" t="str">
        <f>"37560.00"</f>
        <v>37560.00</v>
      </c>
      <c r="AJ178" t="str">
        <f>"C55-000-587-0356-2"</f>
        <v>C55-000-587-0356-2</v>
      </c>
      <c r="AK178" t="str">
        <f>"1813"</f>
        <v>1813</v>
      </c>
      <c r="AL178">
        <v>1</v>
      </c>
      <c r="AM178">
        <v>208</v>
      </c>
      <c r="AN178">
        <v>482.62</v>
      </c>
      <c r="AQ178" t="s">
        <v>2233</v>
      </c>
      <c r="AR178" t="s">
        <v>2233</v>
      </c>
      <c r="AS178" t="s">
        <v>2233</v>
      </c>
      <c r="AU178" t="s">
        <v>396</v>
      </c>
      <c r="AV178">
        <v>2017</v>
      </c>
      <c r="AW178" t="str">
        <f>"14-4N-23-0000-0005-0000 "</f>
        <v xml:space="preserve">14-4N-23-0000-0005-0000 </v>
      </c>
      <c r="AX178">
        <v>28131</v>
      </c>
      <c r="AZ178" t="s">
        <v>2234</v>
      </c>
      <c r="BA178" t="s">
        <v>669</v>
      </c>
      <c r="BD178" t="s">
        <v>398</v>
      </c>
      <c r="BE178" t="s">
        <v>393</v>
      </c>
      <c r="BF178">
        <v>32046</v>
      </c>
      <c r="BG178" t="s">
        <v>2235</v>
      </c>
      <c r="BH178" t="s">
        <v>400</v>
      </c>
      <c r="BI178">
        <v>-81.978596295050806</v>
      </c>
      <c r="BJ178">
        <v>30.767870195211898</v>
      </c>
      <c r="BK178" t="s">
        <v>2236</v>
      </c>
      <c r="BM178" t="s">
        <v>2237</v>
      </c>
      <c r="BN178" t="s">
        <v>403</v>
      </c>
      <c r="BO178">
        <v>32046</v>
      </c>
      <c r="BP178" t="s">
        <v>404</v>
      </c>
      <c r="BQ178">
        <v>200</v>
      </c>
      <c r="BR178" t="s">
        <v>405</v>
      </c>
      <c r="BS178">
        <v>1006</v>
      </c>
      <c r="BT178" t="s">
        <v>406</v>
      </c>
      <c r="BW178">
        <v>272685</v>
      </c>
      <c r="BX178" t="s">
        <v>407</v>
      </c>
      <c r="BY178" t="s">
        <v>408</v>
      </c>
      <c r="BZ178">
        <v>4</v>
      </c>
      <c r="CA178">
        <v>1993</v>
      </c>
      <c r="CB178">
        <v>1</v>
      </c>
      <c r="CC178">
        <v>1</v>
      </c>
      <c r="CD178">
        <v>2017</v>
      </c>
      <c r="CG178">
        <v>55787</v>
      </c>
      <c r="CH178">
        <v>2017</v>
      </c>
      <c r="CI178">
        <v>37560</v>
      </c>
      <c r="CJ178">
        <v>34193</v>
      </c>
      <c r="CK178">
        <v>71753</v>
      </c>
      <c r="CL178">
        <v>2017</v>
      </c>
      <c r="CM178">
        <v>416.66</v>
      </c>
      <c r="CN178" s="1">
        <v>36901</v>
      </c>
      <c r="CO178">
        <v>15400</v>
      </c>
      <c r="CV178">
        <v>0</v>
      </c>
      <c r="CZ178" s="1">
        <v>36901</v>
      </c>
      <c r="DA178">
        <v>0</v>
      </c>
      <c r="DD178" t="s">
        <v>398</v>
      </c>
      <c r="DG178">
        <v>14</v>
      </c>
      <c r="DL178">
        <v>50400</v>
      </c>
      <c r="DM178" t="s">
        <v>2238</v>
      </c>
      <c r="DO178" t="s">
        <v>2239</v>
      </c>
      <c r="DP178">
        <v>0</v>
      </c>
      <c r="DQ178">
        <v>0</v>
      </c>
      <c r="DR178" t="s">
        <v>411</v>
      </c>
    </row>
    <row r="179" spans="1:284" x14ac:dyDescent="0.25">
      <c r="A179">
        <v>16485186</v>
      </c>
      <c r="B179">
        <v>178</v>
      </c>
      <c r="C179" t="s">
        <v>393</v>
      </c>
      <c r="D179" t="s">
        <v>394</v>
      </c>
      <c r="F179" t="str">
        <f>"14-4N-23-0000-0006-0000"</f>
        <v>14-4N-23-0000-0006-0000</v>
      </c>
      <c r="H179" t="str">
        <f>"WAITE RONALD W &amp; ISBILL-WAITE JENNIFER L (H&amp;W)"</f>
        <v>WAITE RONALD W &amp; ISBILL-WAITE JENNIFER L (H&amp;W)</v>
      </c>
      <c r="I179" t="str">
        <f>"241965 CR 121"</f>
        <v>241965 CR 121</v>
      </c>
      <c r="J179" t="str">
        <f>"HILLIARD FL 32046"</f>
        <v>HILLIARD FL 32046</v>
      </c>
      <c r="K179" t="str">
        <f>"241965 CR 121"</f>
        <v>241965 CR 121</v>
      </c>
      <c r="L179" t="str">
        <f t="shared" si="51"/>
        <v>HILLIARD FL 32046</v>
      </c>
      <c r="M179" t="str">
        <f>"IN OR 1476/491 ESMT IN OR 726/1105"</f>
        <v>IN OR 1476/491 ESMT IN OR 726/1105</v>
      </c>
      <c r="N179" t="str">
        <f>""</f>
        <v/>
      </c>
      <c r="O179" t="str">
        <f>"30166"</f>
        <v>30166</v>
      </c>
      <c r="P179" t="str">
        <f t="shared" si="45"/>
        <v>2017</v>
      </c>
      <c r="Q179" t="str">
        <f>""</f>
        <v/>
      </c>
      <c r="R179" t="str">
        <f>"Y"</f>
        <v>Y</v>
      </c>
      <c r="S179" t="str">
        <f>"1.00"</f>
        <v>1.00</v>
      </c>
      <c r="T179" t="str">
        <f>"248.69"</f>
        <v>248.69</v>
      </c>
      <c r="U179" t="str">
        <f>"41428.00"</f>
        <v>41428.00</v>
      </c>
      <c r="V179" t="str">
        <f>"41428.00"</f>
        <v>41428.00</v>
      </c>
      <c r="W179" t="str">
        <f t="shared" si="46"/>
        <v>2017</v>
      </c>
      <c r="X179" t="str">
        <f>"9.13"</f>
        <v>9.13</v>
      </c>
      <c r="Y179" t="str">
        <f>"288.15"</f>
        <v>288.15</v>
      </c>
      <c r="Z179" t="str">
        <f>"25000.00"</f>
        <v>25000.00</v>
      </c>
      <c r="AA179" t="str">
        <f>"16428.00"</f>
        <v>16428.00</v>
      </c>
      <c r="AB179" t="str">
        <f t="shared" si="56"/>
        <v>Residential</v>
      </c>
      <c r="AC179" t="str">
        <f t="shared" si="47"/>
        <v>0</v>
      </c>
      <c r="AD179" t="str">
        <f>"3"</f>
        <v>3</v>
      </c>
      <c r="AE179" t="str">
        <f>"MASONRY"</f>
        <v>MASONRY</v>
      </c>
      <c r="AF179" t="str">
        <f>"001"</f>
        <v>001</v>
      </c>
      <c r="AG179" t="str">
        <f t="shared" si="55"/>
        <v>FL</v>
      </c>
      <c r="AH179" t="str">
        <f>"43560.00"</f>
        <v>43560.00</v>
      </c>
      <c r="AI179" t="str">
        <f>"15000.00"</f>
        <v>15000.00</v>
      </c>
      <c r="AJ179" t="str">
        <f>"C55-000-587-0359-6"</f>
        <v>C55-000-587-0359-6</v>
      </c>
      <c r="AK179" t="str">
        <f>"1817"</f>
        <v>1817</v>
      </c>
      <c r="AL179">
        <v>1</v>
      </c>
      <c r="AM179">
        <v>209</v>
      </c>
      <c r="AN179">
        <v>300.95999999999998</v>
      </c>
      <c r="AQ179" t="s">
        <v>2240</v>
      </c>
      <c r="AR179" t="s">
        <v>2240</v>
      </c>
      <c r="AS179" t="s">
        <v>2240</v>
      </c>
      <c r="AU179" t="s">
        <v>396</v>
      </c>
      <c r="AV179">
        <v>2017</v>
      </c>
      <c r="AW179" t="str">
        <f>"14-4N-23-0000-0006-0000 "</f>
        <v xml:space="preserve">14-4N-23-0000-0006-0000 </v>
      </c>
      <c r="AX179">
        <v>241965</v>
      </c>
      <c r="AZ179" t="s">
        <v>611</v>
      </c>
      <c r="BD179" t="s">
        <v>398</v>
      </c>
      <c r="BE179" t="s">
        <v>393</v>
      </c>
      <c r="BF179">
        <v>32046</v>
      </c>
      <c r="BG179" t="s">
        <v>2241</v>
      </c>
      <c r="BH179" t="s">
        <v>400</v>
      </c>
      <c r="BI179">
        <v>-81.980701163569407</v>
      </c>
      <c r="BJ179">
        <v>30.768305590690499</v>
      </c>
      <c r="BK179" t="s">
        <v>2242</v>
      </c>
      <c r="BM179" t="s">
        <v>2243</v>
      </c>
      <c r="BN179" t="s">
        <v>403</v>
      </c>
      <c r="BO179">
        <v>32046</v>
      </c>
      <c r="BP179" t="s">
        <v>416</v>
      </c>
      <c r="BQ179">
        <v>100</v>
      </c>
      <c r="BR179" t="s">
        <v>514</v>
      </c>
      <c r="BS179">
        <v>1001</v>
      </c>
      <c r="BT179" t="s">
        <v>515</v>
      </c>
      <c r="BW179">
        <v>43560</v>
      </c>
      <c r="BX179" t="s">
        <v>407</v>
      </c>
      <c r="BY179" t="s">
        <v>408</v>
      </c>
      <c r="BZ179">
        <v>3</v>
      </c>
      <c r="CA179">
        <v>1962</v>
      </c>
      <c r="CB179">
        <v>1</v>
      </c>
      <c r="CC179">
        <v>2</v>
      </c>
      <c r="CD179">
        <v>2017</v>
      </c>
      <c r="CG179">
        <v>41428</v>
      </c>
      <c r="CH179">
        <v>2017</v>
      </c>
      <c r="CI179">
        <v>15000</v>
      </c>
      <c r="CJ179">
        <v>47338</v>
      </c>
      <c r="CK179">
        <v>62338</v>
      </c>
      <c r="CL179">
        <v>2017</v>
      </c>
      <c r="CM179">
        <v>248.69</v>
      </c>
      <c r="CN179" s="1">
        <v>39115</v>
      </c>
      <c r="CO179">
        <v>75000</v>
      </c>
      <c r="CV179">
        <v>0</v>
      </c>
      <c r="CZ179" s="1">
        <v>39115</v>
      </c>
      <c r="DA179">
        <v>0</v>
      </c>
      <c r="DD179" t="s">
        <v>398</v>
      </c>
      <c r="DG179">
        <v>14</v>
      </c>
      <c r="DL179">
        <v>50400</v>
      </c>
      <c r="DM179" t="s">
        <v>2238</v>
      </c>
      <c r="DO179" t="s">
        <v>2244</v>
      </c>
      <c r="DP179">
        <v>0</v>
      </c>
      <c r="DQ179">
        <v>0</v>
      </c>
      <c r="DR179" t="s">
        <v>411</v>
      </c>
      <c r="DS179" t="b">
        <v>1</v>
      </c>
      <c r="DT179" t="s">
        <v>470</v>
      </c>
      <c r="DU179" t="s">
        <v>471</v>
      </c>
      <c r="DV179" t="s">
        <v>472</v>
      </c>
      <c r="DX179">
        <v>-9999</v>
      </c>
      <c r="DZ179" t="s">
        <v>447</v>
      </c>
      <c r="EA179" t="s">
        <v>448</v>
      </c>
      <c r="EB179" t="s">
        <v>1224</v>
      </c>
      <c r="EC179">
        <v>20101217</v>
      </c>
      <c r="ED179" t="s">
        <v>474</v>
      </c>
      <c r="EF179">
        <v>2160.1999999999998</v>
      </c>
      <c r="EG179">
        <v>2160.1999999999998</v>
      </c>
      <c r="EI179">
        <v>20160407</v>
      </c>
      <c r="EJ179">
        <v>0</v>
      </c>
      <c r="EK179">
        <v>0</v>
      </c>
      <c r="EP179" t="s">
        <v>595</v>
      </c>
      <c r="EQ179" t="s">
        <v>422</v>
      </c>
      <c r="ER179">
        <v>2</v>
      </c>
      <c r="ES179">
        <v>9</v>
      </c>
      <c r="ET179">
        <v>576.5</v>
      </c>
      <c r="EU179">
        <v>41.32</v>
      </c>
      <c r="EV179">
        <v>617.82000000000005</v>
      </c>
      <c r="EW179" s="2">
        <v>43222</v>
      </c>
      <c r="EX179" s="1">
        <v>42879</v>
      </c>
      <c r="EY179">
        <v>2016</v>
      </c>
      <c r="EZ179">
        <v>288.25</v>
      </c>
      <c r="FA179" t="s">
        <v>2245</v>
      </c>
      <c r="FB179">
        <v>0.25</v>
      </c>
      <c r="FC179" t="s">
        <v>424</v>
      </c>
      <c r="FD179" t="s">
        <v>454</v>
      </c>
      <c r="FF179">
        <v>12</v>
      </c>
      <c r="FG179">
        <v>2851116</v>
      </c>
      <c r="FH179" t="s">
        <v>480</v>
      </c>
      <c r="FJ179" s="1">
        <v>42879</v>
      </c>
      <c r="FK179">
        <v>2016</v>
      </c>
      <c r="FL179">
        <v>288.25</v>
      </c>
      <c r="FM179" t="s">
        <v>2245</v>
      </c>
      <c r="FN179">
        <v>0.25</v>
      </c>
      <c r="FO179" t="s">
        <v>424</v>
      </c>
      <c r="FP179" t="s">
        <v>454</v>
      </c>
      <c r="FR179">
        <v>12</v>
      </c>
      <c r="FS179">
        <v>4991368</v>
      </c>
      <c r="FT179" t="s">
        <v>2246</v>
      </c>
      <c r="FV179" s="1">
        <v>42515</v>
      </c>
      <c r="FW179">
        <v>2015</v>
      </c>
      <c r="FX179">
        <v>285.73</v>
      </c>
      <c r="FY179" t="s">
        <v>2247</v>
      </c>
      <c r="FZ179">
        <v>0.25</v>
      </c>
      <c r="GA179" t="s">
        <v>424</v>
      </c>
      <c r="GB179" t="s">
        <v>425</v>
      </c>
      <c r="GC179" s="1">
        <v>42838</v>
      </c>
      <c r="GD179">
        <v>11</v>
      </c>
      <c r="GE179">
        <v>11289</v>
      </c>
      <c r="GF179" t="s">
        <v>787</v>
      </c>
      <c r="GH179" s="1">
        <v>42515</v>
      </c>
      <c r="GI179">
        <v>2015</v>
      </c>
      <c r="GJ179">
        <v>285.73</v>
      </c>
      <c r="GK179" t="s">
        <v>2247</v>
      </c>
      <c r="GL179">
        <v>0.25</v>
      </c>
      <c r="GM179" t="s">
        <v>424</v>
      </c>
      <c r="GN179" t="s">
        <v>425</v>
      </c>
      <c r="GP179">
        <v>22</v>
      </c>
      <c r="GQ179">
        <v>5107927</v>
      </c>
      <c r="GR179" t="s">
        <v>2248</v>
      </c>
      <c r="GT179" s="1">
        <v>42151</v>
      </c>
      <c r="GU179">
        <v>2014</v>
      </c>
      <c r="GV179">
        <v>282.62</v>
      </c>
      <c r="GW179" t="s">
        <v>2249</v>
      </c>
      <c r="GX179">
        <v>0.25</v>
      </c>
      <c r="GY179" t="s">
        <v>424</v>
      </c>
      <c r="GZ179" t="s">
        <v>425</v>
      </c>
      <c r="HA179" s="1">
        <v>42769</v>
      </c>
      <c r="HB179">
        <v>21</v>
      </c>
      <c r="HC179">
        <v>2101382</v>
      </c>
      <c r="HD179" t="s">
        <v>993</v>
      </c>
      <c r="HF179" s="1">
        <v>42151</v>
      </c>
      <c r="HG179">
        <v>2014</v>
      </c>
      <c r="HH179">
        <v>282.62</v>
      </c>
      <c r="HI179" t="s">
        <v>2249</v>
      </c>
      <c r="HJ179">
        <v>0.25</v>
      </c>
      <c r="HK179" t="s">
        <v>424</v>
      </c>
      <c r="HL179" t="s">
        <v>425</v>
      </c>
      <c r="HN179">
        <v>22</v>
      </c>
      <c r="HO179">
        <v>5664693</v>
      </c>
      <c r="HP179" t="s">
        <v>2250</v>
      </c>
      <c r="HR179" s="1">
        <v>41787</v>
      </c>
      <c r="HS179">
        <v>2013</v>
      </c>
      <c r="HT179">
        <v>260.95</v>
      </c>
      <c r="HU179" t="s">
        <v>2251</v>
      </c>
      <c r="HV179">
        <v>0.25</v>
      </c>
      <c r="HW179" t="s">
        <v>424</v>
      </c>
      <c r="HX179" t="s">
        <v>425</v>
      </c>
      <c r="HY179" s="1">
        <v>42039</v>
      </c>
      <c r="HZ179">
        <v>9</v>
      </c>
      <c r="IA179">
        <v>2101382</v>
      </c>
      <c r="IB179" t="s">
        <v>993</v>
      </c>
      <c r="ID179" s="1">
        <v>41423</v>
      </c>
      <c r="IE179">
        <v>2012</v>
      </c>
      <c r="IF179">
        <v>255.18</v>
      </c>
      <c r="IG179" t="s">
        <v>2252</v>
      </c>
      <c r="IH179">
        <v>0.25</v>
      </c>
      <c r="II179" t="s">
        <v>424</v>
      </c>
      <c r="IJ179" t="s">
        <v>425</v>
      </c>
      <c r="IK179" s="1">
        <v>41593</v>
      </c>
      <c r="IL179">
        <v>6</v>
      </c>
      <c r="IM179">
        <v>15407</v>
      </c>
      <c r="IN179" t="s">
        <v>1134</v>
      </c>
      <c r="IP179" s="1">
        <v>41052</v>
      </c>
      <c r="IQ179">
        <v>2011</v>
      </c>
      <c r="IR179">
        <v>263.36</v>
      </c>
      <c r="IS179" t="s">
        <v>2253</v>
      </c>
      <c r="IT179">
        <v>18</v>
      </c>
      <c r="IU179" t="s">
        <v>424</v>
      </c>
      <c r="IV179" t="s">
        <v>425</v>
      </c>
      <c r="IW179" s="1">
        <v>41325</v>
      </c>
      <c r="IX179">
        <v>9</v>
      </c>
      <c r="IY179">
        <v>15089</v>
      </c>
      <c r="IZ179" t="s">
        <v>2254</v>
      </c>
      <c r="JB179" s="1">
        <v>41052</v>
      </c>
      <c r="JC179">
        <v>2011</v>
      </c>
      <c r="JD179">
        <v>246.04</v>
      </c>
      <c r="JE179" t="s">
        <v>2253</v>
      </c>
      <c r="JF179">
        <v>18</v>
      </c>
      <c r="JG179" t="s">
        <v>603</v>
      </c>
      <c r="JH179" t="s">
        <v>425</v>
      </c>
      <c r="JJ179">
        <v>22</v>
      </c>
      <c r="JK179">
        <v>9999999</v>
      </c>
      <c r="JL179" t="s">
        <v>604</v>
      </c>
      <c r="JN179" s="1">
        <v>40688</v>
      </c>
      <c r="JO179">
        <v>2010</v>
      </c>
      <c r="JP179">
        <v>238.75</v>
      </c>
      <c r="JQ179" t="s">
        <v>2255</v>
      </c>
      <c r="JR179">
        <v>2.5</v>
      </c>
      <c r="JS179" t="s">
        <v>424</v>
      </c>
      <c r="JT179" t="s">
        <v>425</v>
      </c>
      <c r="JU179" s="1">
        <v>40847</v>
      </c>
      <c r="JV179">
        <v>5</v>
      </c>
      <c r="JW179">
        <v>11320</v>
      </c>
      <c r="JX179" t="s">
        <v>2256</v>
      </c>
    </row>
    <row r="180" spans="1:284" x14ac:dyDescent="0.25">
      <c r="A180">
        <v>16485187</v>
      </c>
      <c r="B180">
        <v>179</v>
      </c>
      <c r="C180" t="s">
        <v>393</v>
      </c>
      <c r="D180" t="s">
        <v>394</v>
      </c>
      <c r="F180" t="str">
        <f>"14-4N-23-0000-0016-0060"</f>
        <v>14-4N-23-0000-0016-0060</v>
      </c>
      <c r="H180" t="str">
        <f>"MCINTOSH ELIZABETH ANN &amp; PALMER CLYDE V (JT/RS)"</f>
        <v>MCINTOSH ELIZABETH ANN &amp; PALMER CLYDE V (JT/RS)</v>
      </c>
      <c r="I180" t="str">
        <f>"241884 COUNTY ROAD 121"</f>
        <v>241884 COUNTY ROAD 121</v>
      </c>
      <c r="J180" t="str">
        <f>"HILLIARD FL 32046"</f>
        <v>HILLIARD FL 32046</v>
      </c>
      <c r="K180" t="str">
        <f>"241884 CR 121"</f>
        <v>241884 CR 121</v>
      </c>
      <c r="L180" t="str">
        <f t="shared" si="51"/>
        <v>HILLIARD FL 32046</v>
      </c>
      <c r="M180" t="str">
        <f>"IN OR 1080/1794 LOTS H &amp; I"</f>
        <v>IN OR 1080/1794 LOTS H &amp; I</v>
      </c>
      <c r="N180" t="str">
        <f>""</f>
        <v/>
      </c>
      <c r="O180" t="str">
        <f>"30191"</f>
        <v>30191</v>
      </c>
      <c r="P180" t="str">
        <f t="shared" si="45"/>
        <v>2017</v>
      </c>
      <c r="Q180" t="str">
        <f>""</f>
        <v/>
      </c>
      <c r="R180" t="str">
        <f>"N"</f>
        <v>N</v>
      </c>
      <c r="S180" t="str">
        <f>"1.00"</f>
        <v>1.00</v>
      </c>
      <c r="T180" t="str">
        <f>"1668.05"</f>
        <v>1668.05</v>
      </c>
      <c r="U180" t="str">
        <f>"110184.00"</f>
        <v>110184.00</v>
      </c>
      <c r="V180" t="str">
        <f>"110184.00"</f>
        <v>110184.00</v>
      </c>
      <c r="W180" t="str">
        <f t="shared" si="46"/>
        <v>2017</v>
      </c>
      <c r="X180" t="str">
        <f>""</f>
        <v/>
      </c>
      <c r="Y180" t="str">
        <f>"1750.09"</f>
        <v>1750.09</v>
      </c>
      <c r="Z180" t="str">
        <f>""</f>
        <v/>
      </c>
      <c r="AA180" t="str">
        <f>"110184.00"</f>
        <v>110184.00</v>
      </c>
      <c r="AB180" t="str">
        <f t="shared" si="56"/>
        <v>Residential</v>
      </c>
      <c r="AC180" t="str">
        <f t="shared" si="47"/>
        <v>0</v>
      </c>
      <c r="AD180" t="str">
        <f>"4"</f>
        <v>4</v>
      </c>
      <c r="AE180" t="str">
        <f>"WOOD (INCLUDE STEEL STUDS)"</f>
        <v>WOOD (INCLUDE STEEL STUDS)</v>
      </c>
      <c r="AF180" t="str">
        <f>"001"</f>
        <v>001</v>
      </c>
      <c r="AG180" t="str">
        <f t="shared" si="55"/>
        <v>FL</v>
      </c>
      <c r="AH180" t="str">
        <f>"43560.00"</f>
        <v>43560.00</v>
      </c>
      <c r="AI180" t="str">
        <f>"15000.00"</f>
        <v>15000.00</v>
      </c>
      <c r="AJ180" t="str">
        <f>"C55-000-587-0383-6"</f>
        <v>C55-000-587-0383-6</v>
      </c>
      <c r="AK180" t="str">
        <f>"1841"</f>
        <v>1841</v>
      </c>
      <c r="AL180">
        <v>1</v>
      </c>
      <c r="AM180">
        <v>210</v>
      </c>
      <c r="AN180">
        <v>1835.99</v>
      </c>
      <c r="AQ180" t="s">
        <v>2257</v>
      </c>
      <c r="AR180" t="s">
        <v>2257</v>
      </c>
      <c r="AS180" t="s">
        <v>2257</v>
      </c>
      <c r="AU180" t="s">
        <v>396</v>
      </c>
      <c r="AV180">
        <v>2017</v>
      </c>
      <c r="AW180" t="str">
        <f>"14-4N-23-0000-0016-0060 "</f>
        <v xml:space="preserve">14-4N-23-0000-0016-0060 </v>
      </c>
      <c r="AX180">
        <v>241884</v>
      </c>
      <c r="AZ180" t="s">
        <v>611</v>
      </c>
      <c r="BD180" t="s">
        <v>398</v>
      </c>
      <c r="BE180" t="s">
        <v>393</v>
      </c>
      <c r="BF180">
        <v>32046</v>
      </c>
      <c r="BG180" t="s">
        <v>2258</v>
      </c>
      <c r="BH180" t="s">
        <v>400</v>
      </c>
      <c r="BI180">
        <v>-81.983661612361303</v>
      </c>
      <c r="BJ180">
        <v>30.7569318277761</v>
      </c>
      <c r="BK180" t="s">
        <v>2259</v>
      </c>
      <c r="BL180" t="s">
        <v>2260</v>
      </c>
      <c r="BM180" t="s">
        <v>2261</v>
      </c>
      <c r="BN180" t="s">
        <v>403</v>
      </c>
      <c r="BO180">
        <v>32046</v>
      </c>
      <c r="BP180" t="s">
        <v>416</v>
      </c>
      <c r="BQ180">
        <v>100</v>
      </c>
      <c r="BR180" t="s">
        <v>514</v>
      </c>
      <c r="BS180">
        <v>1001</v>
      </c>
      <c r="BT180" t="s">
        <v>515</v>
      </c>
      <c r="BW180">
        <v>43560</v>
      </c>
      <c r="BX180" t="s">
        <v>407</v>
      </c>
      <c r="BY180" t="s">
        <v>408</v>
      </c>
      <c r="BZ180">
        <v>4</v>
      </c>
      <c r="CA180">
        <v>1973</v>
      </c>
      <c r="CB180">
        <v>1</v>
      </c>
      <c r="CC180">
        <v>1</v>
      </c>
      <c r="CD180">
        <v>2017</v>
      </c>
      <c r="CE180">
        <v>15000</v>
      </c>
      <c r="CF180">
        <v>95184</v>
      </c>
      <c r="CG180">
        <v>110184</v>
      </c>
      <c r="CH180">
        <v>2017</v>
      </c>
      <c r="CI180">
        <v>15000</v>
      </c>
      <c r="CJ180">
        <v>95184</v>
      </c>
      <c r="CK180">
        <v>110184</v>
      </c>
      <c r="CL180">
        <v>2017</v>
      </c>
      <c r="CM180">
        <v>1668.05</v>
      </c>
      <c r="CN180" s="1">
        <v>37515</v>
      </c>
      <c r="CZ180" s="1">
        <v>37515</v>
      </c>
      <c r="DD180" t="s">
        <v>398</v>
      </c>
      <c r="DG180">
        <v>14</v>
      </c>
      <c r="DL180">
        <v>50400</v>
      </c>
      <c r="DM180" t="s">
        <v>2238</v>
      </c>
      <c r="DO180" t="s">
        <v>2262</v>
      </c>
      <c r="DP180">
        <v>0</v>
      </c>
      <c r="DQ180">
        <v>0</v>
      </c>
      <c r="DR180" t="s">
        <v>411</v>
      </c>
    </row>
    <row r="181" spans="1:284" x14ac:dyDescent="0.25">
      <c r="A181">
        <v>16485188</v>
      </c>
      <c r="B181">
        <v>180</v>
      </c>
      <c r="C181" t="s">
        <v>393</v>
      </c>
      <c r="D181" t="s">
        <v>394</v>
      </c>
      <c r="F181" t="str">
        <f>"14-4N-23-0190-0001-0000"</f>
        <v>14-4N-23-0190-0001-0000</v>
      </c>
      <c r="H181" t="str">
        <f>"MUSGROVE MICHAEL"</f>
        <v>MUSGROVE MICHAEL</v>
      </c>
      <c r="I181" t="str">
        <f>"28154 ORLEANS ROAD"</f>
        <v>28154 ORLEANS ROAD</v>
      </c>
      <c r="J181" t="str">
        <f>"HILLIARD FL 32046"</f>
        <v>HILLIARD FL 32046</v>
      </c>
      <c r="K181" t="str">
        <f>"28154 ORLEANS RD"</f>
        <v>28154 ORLEANS RD</v>
      </c>
      <c r="L181" t="str">
        <f t="shared" si="51"/>
        <v>HILLIARD FL 32046</v>
      </c>
      <c r="M181" t="str">
        <f>"PT LOT 1 IN OR 682/161 (EX PT OR 735/1337 &amp; OR 1327/805 &amp; OR 1954/901) BOULOGNE COUNTRY SUB PBK 5/353"</f>
        <v>PT LOT 1 IN OR 682/161 (EX PT OR 735/1337 &amp; OR 1327/805 &amp; OR 1954/901) BOULOGNE COUNTRY SUB PBK 5/353</v>
      </c>
      <c r="N181" t="str">
        <f>""</f>
        <v/>
      </c>
      <c r="O181" t="str">
        <f>"30214"</f>
        <v>30214</v>
      </c>
      <c r="P181" t="str">
        <f t="shared" si="45"/>
        <v>2017</v>
      </c>
      <c r="Q181" t="str">
        <f>""</f>
        <v/>
      </c>
      <c r="R181" t="str">
        <f>"Y"</f>
        <v>Y</v>
      </c>
      <c r="S181" t="str">
        <f>"3.52"</f>
        <v>3.52</v>
      </c>
      <c r="T181" t="str">
        <f>"972.19"</f>
        <v>972.19</v>
      </c>
      <c r="U181" t="str">
        <f>"103322.00"</f>
        <v>103322.00</v>
      </c>
      <c r="V181" t="str">
        <f>"103322.00"</f>
        <v>103322.00</v>
      </c>
      <c r="W181" t="str">
        <f t="shared" si="46"/>
        <v>2017</v>
      </c>
      <c r="X181" t="str">
        <f>"20.00"</f>
        <v>20.00</v>
      </c>
      <c r="Y181" t="str">
        <f>"1033.36"</f>
        <v>1033.36</v>
      </c>
      <c r="Z181" t="str">
        <f>"25000.00"</f>
        <v>25000.00</v>
      </c>
      <c r="AA181" t="str">
        <f>"78322.00"</f>
        <v>78322.00</v>
      </c>
      <c r="AB181" t="str">
        <f t="shared" si="56"/>
        <v>Residential</v>
      </c>
      <c r="AC181" t="str">
        <f t="shared" si="47"/>
        <v>0</v>
      </c>
      <c r="AD181" t="str">
        <f>"3"</f>
        <v>3</v>
      </c>
      <c r="AE181" t="str">
        <f>"MASONRY"</f>
        <v>MASONRY</v>
      </c>
      <c r="AF181" t="str">
        <f>"001"</f>
        <v>001</v>
      </c>
      <c r="AG181" t="str">
        <f t="shared" si="55"/>
        <v>FL</v>
      </c>
      <c r="AH181" t="str">
        <f>"153331.00"</f>
        <v>153331.00</v>
      </c>
      <c r="AI181" t="str">
        <f>"28160.00"</f>
        <v>28160.00</v>
      </c>
      <c r="AJ181" t="str">
        <f>"C55-000-587-0403-2"</f>
        <v>C55-000-587-0403-2</v>
      </c>
      <c r="AK181" t="str">
        <f>"1860"</f>
        <v>1860</v>
      </c>
      <c r="AL181">
        <v>1</v>
      </c>
      <c r="AM181">
        <v>212</v>
      </c>
      <c r="AN181">
        <v>1083.43</v>
      </c>
      <c r="AQ181" t="s">
        <v>2263</v>
      </c>
      <c r="AR181" t="s">
        <v>2263</v>
      </c>
      <c r="AS181" t="s">
        <v>2263</v>
      </c>
      <c r="AU181" t="s">
        <v>396</v>
      </c>
      <c r="AV181">
        <v>2017</v>
      </c>
      <c r="AW181" t="str">
        <f>"14-4N-23-0190-0001-0000 "</f>
        <v xml:space="preserve">14-4N-23-0190-0001-0000 </v>
      </c>
      <c r="AX181">
        <v>28154</v>
      </c>
      <c r="AZ181" t="s">
        <v>2264</v>
      </c>
      <c r="BA181" t="s">
        <v>496</v>
      </c>
      <c r="BD181" t="s">
        <v>398</v>
      </c>
      <c r="BE181" t="s">
        <v>393</v>
      </c>
      <c r="BF181">
        <v>32046</v>
      </c>
      <c r="BG181" t="s">
        <v>2265</v>
      </c>
      <c r="BH181" t="s">
        <v>400</v>
      </c>
      <c r="BI181">
        <v>-81.977047273956401</v>
      </c>
      <c r="BJ181">
        <v>30.766347264580599</v>
      </c>
      <c r="BK181" t="s">
        <v>2266</v>
      </c>
      <c r="BM181" t="s">
        <v>2265</v>
      </c>
      <c r="BN181" t="s">
        <v>403</v>
      </c>
      <c r="BO181">
        <v>32046</v>
      </c>
      <c r="BP181" t="s">
        <v>416</v>
      </c>
      <c r="BQ181">
        <v>100</v>
      </c>
      <c r="BR181" t="s">
        <v>514</v>
      </c>
      <c r="BS181">
        <v>1001</v>
      </c>
      <c r="BT181" t="s">
        <v>515</v>
      </c>
      <c r="BW181">
        <v>153331</v>
      </c>
      <c r="BX181" t="s">
        <v>407</v>
      </c>
      <c r="BY181" t="s">
        <v>408</v>
      </c>
      <c r="BZ181">
        <v>3</v>
      </c>
      <c r="CA181">
        <v>1996</v>
      </c>
      <c r="CB181">
        <v>1</v>
      </c>
      <c r="CC181">
        <v>1</v>
      </c>
      <c r="CD181">
        <v>2017</v>
      </c>
      <c r="CE181">
        <v>28160</v>
      </c>
      <c r="CF181">
        <v>75162</v>
      </c>
      <c r="CG181">
        <v>103322</v>
      </c>
      <c r="CH181">
        <v>2017</v>
      </c>
      <c r="CI181">
        <v>28160</v>
      </c>
      <c r="CJ181">
        <v>75162</v>
      </c>
      <c r="CK181">
        <v>103322</v>
      </c>
      <c r="CL181">
        <v>2017</v>
      </c>
      <c r="CM181">
        <v>972.19</v>
      </c>
      <c r="CN181" s="1">
        <v>41899</v>
      </c>
      <c r="CZ181" s="1">
        <v>41899</v>
      </c>
      <c r="DD181" t="s">
        <v>398</v>
      </c>
      <c r="DG181">
        <v>14</v>
      </c>
      <c r="DJ181" t="s">
        <v>2267</v>
      </c>
      <c r="DL181">
        <v>50400</v>
      </c>
      <c r="DM181" t="s">
        <v>2238</v>
      </c>
      <c r="DO181" t="s">
        <v>2268</v>
      </c>
      <c r="DP181">
        <v>0</v>
      </c>
      <c r="DQ181">
        <v>0</v>
      </c>
      <c r="DR181" t="s">
        <v>411</v>
      </c>
      <c r="DS181" t="b">
        <v>1</v>
      </c>
      <c r="DT181" t="s">
        <v>470</v>
      </c>
      <c r="DU181" t="s">
        <v>471</v>
      </c>
      <c r="DV181" t="s">
        <v>472</v>
      </c>
      <c r="DX181">
        <v>-9999</v>
      </c>
      <c r="DZ181" t="s">
        <v>447</v>
      </c>
      <c r="EA181" t="s">
        <v>448</v>
      </c>
      <c r="EB181" t="s">
        <v>1224</v>
      </c>
      <c r="EC181">
        <v>20101217</v>
      </c>
      <c r="ED181" t="s">
        <v>474</v>
      </c>
      <c r="EF181">
        <v>2344.1</v>
      </c>
      <c r="EG181">
        <v>2344.1</v>
      </c>
      <c r="EI181">
        <v>20160407</v>
      </c>
      <c r="EJ181">
        <v>0</v>
      </c>
      <c r="EK181">
        <v>0</v>
      </c>
      <c r="EP181" t="s">
        <v>421</v>
      </c>
      <c r="EQ181" t="s">
        <v>452</v>
      </c>
      <c r="ER181">
        <v>0</v>
      </c>
      <c r="ES181">
        <v>11</v>
      </c>
      <c r="ET181">
        <v>0</v>
      </c>
      <c r="EU181">
        <v>0</v>
      </c>
      <c r="EV181">
        <v>0</v>
      </c>
      <c r="EW181" s="2">
        <v>43222</v>
      </c>
      <c r="EX181" s="1">
        <v>42879</v>
      </c>
      <c r="EY181">
        <v>2016</v>
      </c>
      <c r="EZ181">
        <v>1105.67</v>
      </c>
      <c r="FA181" t="s">
        <v>2269</v>
      </c>
      <c r="FB181">
        <v>0.25</v>
      </c>
      <c r="FC181" t="s">
        <v>424</v>
      </c>
      <c r="FD181" t="s">
        <v>425</v>
      </c>
      <c r="FE181" s="1">
        <v>42923</v>
      </c>
      <c r="FF181">
        <v>2</v>
      </c>
      <c r="FG181">
        <v>7400234</v>
      </c>
      <c r="FH181" t="s">
        <v>426</v>
      </c>
      <c r="FI181" t="s">
        <v>458</v>
      </c>
      <c r="FJ181" s="1">
        <v>42879</v>
      </c>
      <c r="FK181">
        <v>2016</v>
      </c>
      <c r="FL181">
        <v>1105.67</v>
      </c>
      <c r="FM181" t="s">
        <v>2269</v>
      </c>
      <c r="FN181">
        <v>0.25</v>
      </c>
      <c r="FO181" t="s">
        <v>424</v>
      </c>
      <c r="FP181" t="s">
        <v>425</v>
      </c>
      <c r="FR181">
        <v>22</v>
      </c>
      <c r="FS181">
        <v>7492745</v>
      </c>
      <c r="FT181" t="s">
        <v>2270</v>
      </c>
      <c r="FU181" t="s">
        <v>458</v>
      </c>
      <c r="FV181" s="1">
        <v>42515</v>
      </c>
      <c r="FW181">
        <v>2015</v>
      </c>
      <c r="FX181">
        <v>1142.32</v>
      </c>
      <c r="FY181" t="s">
        <v>2271</v>
      </c>
      <c r="FZ181">
        <v>0.25</v>
      </c>
      <c r="GA181" t="s">
        <v>424</v>
      </c>
      <c r="GB181" t="s">
        <v>425</v>
      </c>
      <c r="GC181" s="1">
        <v>42923</v>
      </c>
      <c r="GD181">
        <v>14</v>
      </c>
      <c r="GE181">
        <v>7045074</v>
      </c>
      <c r="GF181" t="s">
        <v>580</v>
      </c>
      <c r="GG181" t="s">
        <v>458</v>
      </c>
      <c r="GH181" s="1">
        <v>42515</v>
      </c>
      <c r="GI181">
        <v>2015</v>
      </c>
      <c r="GJ181">
        <v>1142.32</v>
      </c>
      <c r="GK181" t="s">
        <v>2271</v>
      </c>
      <c r="GL181">
        <v>0.25</v>
      </c>
      <c r="GM181" t="s">
        <v>424</v>
      </c>
      <c r="GN181" t="s">
        <v>425</v>
      </c>
      <c r="GP181">
        <v>22</v>
      </c>
      <c r="GQ181">
        <v>6484398</v>
      </c>
      <c r="GR181" t="s">
        <v>2272</v>
      </c>
      <c r="GS181" t="s">
        <v>458</v>
      </c>
      <c r="GT181" s="1">
        <v>42151</v>
      </c>
      <c r="GU181">
        <v>2014</v>
      </c>
      <c r="GV181">
        <v>1660.99</v>
      </c>
      <c r="GW181" t="s">
        <v>2273</v>
      </c>
      <c r="GX181">
        <v>0.25</v>
      </c>
      <c r="GY181" t="s">
        <v>424</v>
      </c>
      <c r="GZ181" t="s">
        <v>425</v>
      </c>
      <c r="HB181">
        <v>22</v>
      </c>
      <c r="HC181">
        <v>4975594</v>
      </c>
      <c r="HD181" t="s">
        <v>457</v>
      </c>
      <c r="HF181" s="1">
        <v>42151</v>
      </c>
      <c r="HG181">
        <v>2014</v>
      </c>
      <c r="HH181">
        <v>1660.99</v>
      </c>
      <c r="HI181" t="s">
        <v>2273</v>
      </c>
      <c r="HJ181">
        <v>0.25</v>
      </c>
      <c r="HK181" t="s">
        <v>424</v>
      </c>
      <c r="HL181" t="s">
        <v>425</v>
      </c>
      <c r="HN181">
        <v>22</v>
      </c>
      <c r="HO181">
        <v>6542351</v>
      </c>
      <c r="HP181" t="s">
        <v>2274</v>
      </c>
      <c r="HR181" s="1">
        <v>42151</v>
      </c>
      <c r="HS181">
        <v>2014</v>
      </c>
      <c r="HT181">
        <v>858.63</v>
      </c>
      <c r="HU181" t="s">
        <v>2273</v>
      </c>
      <c r="HV181">
        <v>0.25</v>
      </c>
      <c r="HW181" t="s">
        <v>424</v>
      </c>
      <c r="HX181" t="s">
        <v>425</v>
      </c>
      <c r="HZ181">
        <v>22</v>
      </c>
      <c r="IA181">
        <v>4975594</v>
      </c>
      <c r="IB181" t="s">
        <v>457</v>
      </c>
      <c r="IC181" t="s">
        <v>458</v>
      </c>
      <c r="ID181" s="1">
        <v>41787</v>
      </c>
      <c r="IE181">
        <v>2013</v>
      </c>
      <c r="IF181">
        <v>2120.69</v>
      </c>
      <c r="IG181" t="s">
        <v>2275</v>
      </c>
      <c r="IH181">
        <v>0.25</v>
      </c>
      <c r="II181" t="s">
        <v>424</v>
      </c>
      <c r="IJ181" t="s">
        <v>425</v>
      </c>
      <c r="IK181" s="1">
        <v>42647</v>
      </c>
      <c r="IL181">
        <v>29</v>
      </c>
      <c r="IM181">
        <v>2851116</v>
      </c>
      <c r="IN181" t="s">
        <v>480</v>
      </c>
      <c r="IP181" s="1">
        <v>41423</v>
      </c>
      <c r="IQ181">
        <v>2012</v>
      </c>
      <c r="IR181">
        <v>2605.9699999999998</v>
      </c>
      <c r="IS181" t="s">
        <v>2276</v>
      </c>
      <c r="IT181">
        <v>0.25</v>
      </c>
      <c r="IU181" t="s">
        <v>424</v>
      </c>
      <c r="IV181" t="s">
        <v>425</v>
      </c>
      <c r="IW181" s="1">
        <v>42094</v>
      </c>
      <c r="IX181">
        <v>22</v>
      </c>
      <c r="IY181">
        <v>606981</v>
      </c>
      <c r="IZ181" t="s">
        <v>792</v>
      </c>
      <c r="JB181" s="1">
        <v>41052</v>
      </c>
      <c r="JC181">
        <v>2011</v>
      </c>
      <c r="JD181">
        <v>2361.67</v>
      </c>
      <c r="JE181" t="s">
        <v>2277</v>
      </c>
      <c r="JF181">
        <v>0.25</v>
      </c>
      <c r="JG181" t="s">
        <v>424</v>
      </c>
      <c r="JH181" t="s">
        <v>425</v>
      </c>
      <c r="JI181" s="1">
        <v>41675</v>
      </c>
      <c r="JJ181">
        <v>21</v>
      </c>
      <c r="JK181">
        <v>436</v>
      </c>
      <c r="JL181" t="s">
        <v>1607</v>
      </c>
      <c r="JN181" s="1">
        <v>40688</v>
      </c>
      <c r="JO181">
        <v>2010</v>
      </c>
      <c r="JP181">
        <v>2507.9899999999998</v>
      </c>
      <c r="JQ181" t="s">
        <v>2278</v>
      </c>
      <c r="JR181">
        <v>0.25</v>
      </c>
      <c r="JS181" t="s">
        <v>424</v>
      </c>
      <c r="JT181" t="s">
        <v>425</v>
      </c>
      <c r="JU181" s="1">
        <v>41353</v>
      </c>
      <c r="JV181">
        <v>22</v>
      </c>
      <c r="JW181">
        <v>11141</v>
      </c>
      <c r="JX181" t="s">
        <v>1723</v>
      </c>
    </row>
    <row r="182" spans="1:284" x14ac:dyDescent="0.25">
      <c r="A182">
        <v>16485189</v>
      </c>
      <c r="B182">
        <v>181</v>
      </c>
      <c r="C182" t="s">
        <v>393</v>
      </c>
      <c r="D182" t="s">
        <v>394</v>
      </c>
      <c r="F182" t="str">
        <f>"22-4N-23-0000-0002-0070"</f>
        <v>22-4N-23-0000-0002-0070</v>
      </c>
      <c r="H182" t="str">
        <f>"BLALOCK RICKY B"</f>
        <v>BLALOCK RICKY B</v>
      </c>
      <c r="I182" t="str">
        <f>"18359 JOHNSON ROAD"</f>
        <v>18359 JOHNSON ROAD</v>
      </c>
      <c r="J182" t="str">
        <f>"HILLIARD FL 32046"</f>
        <v>HILLIARD FL 32046</v>
      </c>
      <c r="K182" t="str">
        <f>"JOHNSON RD"</f>
        <v>JOHNSON RD</v>
      </c>
      <c r="L182" t="str">
        <f t="shared" si="51"/>
        <v>HILLIARD FL 32046</v>
      </c>
      <c r="M182" t="str">
        <f>"NW1/4 OF NW1/4 OF NE1/4 IN OR 832/34"</f>
        <v>NW1/4 OF NW1/4 OF NE1/4 IN OR 832/34</v>
      </c>
      <c r="N182" t="str">
        <f>""</f>
        <v/>
      </c>
      <c r="O182" t="str">
        <f>"33744"</f>
        <v>33744</v>
      </c>
      <c r="P182" t="str">
        <f t="shared" si="45"/>
        <v>2017</v>
      </c>
      <c r="Q182" t="str">
        <f>""</f>
        <v/>
      </c>
      <c r="R182" t="str">
        <f>"N"</f>
        <v>N</v>
      </c>
      <c r="S182" t="str">
        <f>"10.00"</f>
        <v>10.00</v>
      </c>
      <c r="T182" t="str">
        <f>"41.17"</f>
        <v>41.17</v>
      </c>
      <c r="U182" t="str">
        <f>"2720.00"</f>
        <v>2720.00</v>
      </c>
      <c r="V182" t="str">
        <f>"2720.00"</f>
        <v>2720.00</v>
      </c>
      <c r="W182" t="str">
        <f t="shared" si="46"/>
        <v>2017</v>
      </c>
      <c r="X182" t="str">
        <f>""</f>
        <v/>
      </c>
      <c r="Y182" t="str">
        <f>"74.41"</f>
        <v>74.41</v>
      </c>
      <c r="Z182" t="str">
        <f>""</f>
        <v/>
      </c>
      <c r="AA182" t="str">
        <f>"2720.00"</f>
        <v>2720.00</v>
      </c>
      <c r="AB182" t="str">
        <f>"Agricultural"</f>
        <v>Agricultural</v>
      </c>
      <c r="AC182" t="str">
        <f t="shared" si="47"/>
        <v>0</v>
      </c>
      <c r="AD182" t="str">
        <f>""</f>
        <v/>
      </c>
      <c r="AE182" t="str">
        <f>""</f>
        <v/>
      </c>
      <c r="AF182" t="str">
        <f>"056"</f>
        <v>056</v>
      </c>
      <c r="AG182" t="str">
        <f t="shared" si="55"/>
        <v>FL</v>
      </c>
      <c r="AH182" t="str">
        <f>"435600.00"</f>
        <v>435600.00</v>
      </c>
      <c r="AI182" t="str">
        <f>"2720.00"</f>
        <v>2720.00</v>
      </c>
      <c r="AJ182" t="str">
        <f>"C55-000-587-3073-0"</f>
        <v>C55-000-587-3073-0</v>
      </c>
      <c r="AK182" t="str">
        <f>"1878"</f>
        <v>1878</v>
      </c>
      <c r="AL182">
        <v>1</v>
      </c>
      <c r="AM182">
        <v>213</v>
      </c>
      <c r="AN182">
        <v>76.53</v>
      </c>
      <c r="AQ182" t="s">
        <v>2279</v>
      </c>
      <c r="AR182" t="s">
        <v>2279</v>
      </c>
      <c r="AS182" t="s">
        <v>2279</v>
      </c>
      <c r="AU182" t="s">
        <v>396</v>
      </c>
      <c r="AV182">
        <v>2017</v>
      </c>
      <c r="AW182" t="str">
        <f>"22-4N-23-0000-0002-0070 "</f>
        <v xml:space="preserve">22-4N-23-0000-0002-0070 </v>
      </c>
      <c r="AZ182" t="s">
        <v>2280</v>
      </c>
      <c r="BA182" t="s">
        <v>496</v>
      </c>
      <c r="BD182" t="s">
        <v>398</v>
      </c>
      <c r="BE182" t="s">
        <v>393</v>
      </c>
      <c r="BF182">
        <v>32046</v>
      </c>
      <c r="BG182" t="s">
        <v>2281</v>
      </c>
      <c r="BH182" t="s">
        <v>400</v>
      </c>
      <c r="BI182">
        <v>-82.000548599384302</v>
      </c>
      <c r="BJ182">
        <v>30.7548134500171</v>
      </c>
      <c r="BK182" t="s">
        <v>2282</v>
      </c>
      <c r="BM182" t="s">
        <v>2283</v>
      </c>
      <c r="BN182" t="s">
        <v>403</v>
      </c>
      <c r="BO182">
        <v>32046</v>
      </c>
      <c r="BP182" t="s">
        <v>404</v>
      </c>
      <c r="BQ182">
        <v>5600</v>
      </c>
      <c r="BR182" t="s">
        <v>417</v>
      </c>
      <c r="BS182">
        <v>7009</v>
      </c>
      <c r="BT182" t="s">
        <v>418</v>
      </c>
      <c r="BW182">
        <v>435600</v>
      </c>
      <c r="BX182" t="s">
        <v>407</v>
      </c>
      <c r="BY182" t="s">
        <v>408</v>
      </c>
      <c r="CD182">
        <v>2017</v>
      </c>
      <c r="CG182">
        <v>2720</v>
      </c>
      <c r="CH182">
        <v>2017</v>
      </c>
      <c r="CI182">
        <v>2720</v>
      </c>
      <c r="CJ182">
        <v>57280</v>
      </c>
      <c r="CK182">
        <v>60000</v>
      </c>
      <c r="CL182">
        <v>2017</v>
      </c>
      <c r="CM182">
        <v>41.17</v>
      </c>
      <c r="CN182" s="1">
        <v>35915</v>
      </c>
      <c r="CO182">
        <v>26900</v>
      </c>
      <c r="CZ182" s="1">
        <v>35915</v>
      </c>
      <c r="DD182" t="s">
        <v>398</v>
      </c>
      <c r="DG182">
        <v>22</v>
      </c>
      <c r="DL182">
        <v>50400</v>
      </c>
      <c r="DM182" t="s">
        <v>2284</v>
      </c>
      <c r="DO182" t="s">
        <v>2285</v>
      </c>
      <c r="DP182">
        <v>0</v>
      </c>
      <c r="DQ182">
        <v>0</v>
      </c>
      <c r="DR182" t="s">
        <v>411</v>
      </c>
    </row>
    <row r="183" spans="1:284" x14ac:dyDescent="0.25">
      <c r="A183">
        <v>16485190</v>
      </c>
      <c r="B183">
        <v>182</v>
      </c>
      <c r="C183" t="s">
        <v>393</v>
      </c>
      <c r="D183" t="s">
        <v>394</v>
      </c>
      <c r="F183" t="str">
        <f>"22-4N-23-0000-0003-0030"</f>
        <v>22-4N-23-0000-0003-0030</v>
      </c>
      <c r="H183" t="str">
        <f>"LISTER STEVEN E &amp; FORT STELLA M"</f>
        <v>LISTER STEVEN E &amp; FORT STELLA M</v>
      </c>
      <c r="I183" t="str">
        <f>"1100 SEAGATE AV 139"</f>
        <v>1100 SEAGATE AV 139</v>
      </c>
      <c r="J183" t="str">
        <f>"NEPTUNE BEACH FL 32266"</f>
        <v>NEPTUNE BEACH FL 32266</v>
      </c>
      <c r="K183" t="str">
        <f>"TRIGG RD"</f>
        <v>TRIGG RD</v>
      </c>
      <c r="L183" t="str">
        <f t="shared" si="51"/>
        <v>HILLIARD FL 32046</v>
      </c>
      <c r="M183" t="str">
        <f>"IN OR 1770/251 EX 3-14 &amp; 3-17"</f>
        <v>IN OR 1770/251 EX 3-14 &amp; 3-17</v>
      </c>
      <c r="N183" t="str">
        <f>""</f>
        <v/>
      </c>
      <c r="O183" t="str">
        <f>"33749"</f>
        <v>33749</v>
      </c>
      <c r="P183" t="str">
        <f t="shared" si="45"/>
        <v>2017</v>
      </c>
      <c r="Q183" t="str">
        <f>""</f>
        <v/>
      </c>
      <c r="R183" t="str">
        <f>"N"</f>
        <v>N</v>
      </c>
      <c r="S183" t="str">
        <f>"1.00"</f>
        <v>1.00</v>
      </c>
      <c r="T183" t="str">
        <f>"211.71"</f>
        <v>211.71</v>
      </c>
      <c r="U183" t="str">
        <f>"13200.00"</f>
        <v>13200.00</v>
      </c>
      <c r="V183" t="str">
        <f>"13200.00"</f>
        <v>13200.00</v>
      </c>
      <c r="W183" t="str">
        <f t="shared" si="46"/>
        <v>2017</v>
      </c>
      <c r="X183" t="str">
        <f>"9.00"</f>
        <v>9.00</v>
      </c>
      <c r="Y183" t="str">
        <f>"250.06"</f>
        <v>250.06</v>
      </c>
      <c r="Z183" t="str">
        <f>""</f>
        <v/>
      </c>
      <c r="AA183" t="str">
        <f>"15000.00"</f>
        <v>15000.00</v>
      </c>
      <c r="AB183" t="str">
        <f t="shared" ref="AB183:AB192" si="58">"Residential"</f>
        <v>Residential</v>
      </c>
      <c r="AC183" t="str">
        <f t="shared" si="47"/>
        <v>0</v>
      </c>
      <c r="AD183" t="str">
        <f>""</f>
        <v/>
      </c>
      <c r="AE183" t="str">
        <f>""</f>
        <v/>
      </c>
      <c r="AF183" t="str">
        <f>"000"</f>
        <v>000</v>
      </c>
      <c r="AG183" t="str">
        <f t="shared" si="55"/>
        <v>FL</v>
      </c>
      <c r="AH183" t="str">
        <f>"43560.00"</f>
        <v>43560.00</v>
      </c>
      <c r="AI183" t="str">
        <f>"15000.00"</f>
        <v>15000.00</v>
      </c>
      <c r="AJ183" t="str">
        <f>"C55-000-587-3077-1"</f>
        <v>C55-000-587-3077-1</v>
      </c>
      <c r="AK183" t="str">
        <f>"1882"</f>
        <v>1882</v>
      </c>
      <c r="AL183">
        <v>1</v>
      </c>
      <c r="AM183">
        <v>214</v>
      </c>
      <c r="AN183">
        <v>260.95999999999998</v>
      </c>
      <c r="AQ183" t="s">
        <v>2286</v>
      </c>
      <c r="AR183" t="s">
        <v>2286</v>
      </c>
      <c r="AS183" t="s">
        <v>2286</v>
      </c>
      <c r="AU183" t="s">
        <v>396</v>
      </c>
      <c r="AV183">
        <v>2017</v>
      </c>
      <c r="AW183" t="str">
        <f>"22-4N-23-0000-0003-0030 "</f>
        <v xml:space="preserve">22-4N-23-0000-0003-0030 </v>
      </c>
      <c r="AZ183" t="s">
        <v>2287</v>
      </c>
      <c r="BA183" t="s">
        <v>496</v>
      </c>
      <c r="BD183" t="s">
        <v>398</v>
      </c>
      <c r="BE183" t="s">
        <v>393</v>
      </c>
      <c r="BF183">
        <v>32046</v>
      </c>
      <c r="BG183" t="s">
        <v>2288</v>
      </c>
      <c r="BH183" t="s">
        <v>400</v>
      </c>
      <c r="BI183">
        <v>-81.995291754282704</v>
      </c>
      <c r="BJ183">
        <v>30.7487295836995</v>
      </c>
      <c r="BK183" t="s">
        <v>2289</v>
      </c>
      <c r="BM183" t="s">
        <v>2290</v>
      </c>
      <c r="BN183" t="s">
        <v>2291</v>
      </c>
      <c r="BO183">
        <v>32266</v>
      </c>
      <c r="BP183" t="s">
        <v>404</v>
      </c>
      <c r="BQ183">
        <v>0</v>
      </c>
      <c r="BR183" t="s">
        <v>491</v>
      </c>
      <c r="BS183">
        <v>8001</v>
      </c>
      <c r="BT183" t="s">
        <v>492</v>
      </c>
      <c r="BW183">
        <v>43560</v>
      </c>
      <c r="BX183" t="s">
        <v>407</v>
      </c>
      <c r="BY183" t="s">
        <v>408</v>
      </c>
      <c r="CD183">
        <v>2017</v>
      </c>
      <c r="CE183">
        <v>15000</v>
      </c>
      <c r="CG183">
        <v>15000</v>
      </c>
      <c r="CH183">
        <v>2017</v>
      </c>
      <c r="CI183">
        <v>15000</v>
      </c>
      <c r="CK183">
        <v>15000</v>
      </c>
      <c r="CL183">
        <v>2017</v>
      </c>
      <c r="CM183">
        <v>211.71</v>
      </c>
      <c r="CN183" s="1">
        <v>40898</v>
      </c>
      <c r="CO183">
        <v>1000</v>
      </c>
      <c r="CV183">
        <v>0</v>
      </c>
      <c r="CZ183" s="1">
        <v>40898</v>
      </c>
      <c r="DA183">
        <v>0</v>
      </c>
      <c r="DD183" t="s">
        <v>398</v>
      </c>
      <c r="DG183">
        <v>22</v>
      </c>
      <c r="DL183">
        <v>50400</v>
      </c>
      <c r="DM183" t="s">
        <v>2284</v>
      </c>
      <c r="DO183" t="s">
        <v>2292</v>
      </c>
      <c r="DP183">
        <v>0</v>
      </c>
      <c r="DQ183">
        <v>0</v>
      </c>
      <c r="DR183" t="s">
        <v>411</v>
      </c>
      <c r="DS183" t="b">
        <v>1</v>
      </c>
      <c r="DT183" t="s">
        <v>470</v>
      </c>
      <c r="DU183" t="s">
        <v>471</v>
      </c>
      <c r="DV183" t="s">
        <v>472</v>
      </c>
      <c r="DX183">
        <v>-9999</v>
      </c>
      <c r="DZ183" t="s">
        <v>447</v>
      </c>
      <c r="EA183" t="s">
        <v>448</v>
      </c>
      <c r="EB183" t="s">
        <v>1224</v>
      </c>
      <c r="EC183">
        <v>20101217</v>
      </c>
      <c r="ED183" t="s">
        <v>474</v>
      </c>
      <c r="EF183">
        <v>587.6</v>
      </c>
      <c r="EG183">
        <v>587.6</v>
      </c>
      <c r="EI183">
        <v>20160407</v>
      </c>
      <c r="EJ183">
        <v>0</v>
      </c>
      <c r="EK183">
        <v>0</v>
      </c>
      <c r="EP183" t="s">
        <v>421</v>
      </c>
      <c r="EQ183" t="s">
        <v>422</v>
      </c>
      <c r="ER183">
        <v>1</v>
      </c>
      <c r="ES183">
        <v>3</v>
      </c>
      <c r="ET183">
        <v>226.22</v>
      </c>
      <c r="EU183">
        <v>18.690000000000001</v>
      </c>
      <c r="EV183">
        <v>244.91</v>
      </c>
      <c r="EW183" s="2">
        <v>43222</v>
      </c>
      <c r="EX183" s="1">
        <v>42879</v>
      </c>
      <c r="EY183">
        <v>2016</v>
      </c>
      <c r="EZ183">
        <v>226.22</v>
      </c>
      <c r="FA183" t="s">
        <v>2293</v>
      </c>
      <c r="FB183">
        <v>5.5</v>
      </c>
      <c r="FC183" t="s">
        <v>424</v>
      </c>
      <c r="FD183" t="s">
        <v>454</v>
      </c>
      <c r="FF183">
        <v>12</v>
      </c>
      <c r="FG183">
        <v>10125</v>
      </c>
      <c r="FH183" t="s">
        <v>440</v>
      </c>
      <c r="FJ183" s="1">
        <v>42515</v>
      </c>
      <c r="FK183">
        <v>2015</v>
      </c>
      <c r="FL183">
        <v>216.8</v>
      </c>
      <c r="FM183" t="s">
        <v>2294</v>
      </c>
      <c r="FN183">
        <v>0.25</v>
      </c>
      <c r="FO183" t="s">
        <v>424</v>
      </c>
      <c r="FP183" t="s">
        <v>425</v>
      </c>
      <c r="FQ183" s="1">
        <v>42597</v>
      </c>
      <c r="FR183">
        <v>3</v>
      </c>
      <c r="FS183">
        <v>7336671</v>
      </c>
      <c r="FT183" t="s">
        <v>437</v>
      </c>
      <c r="FV183" s="1">
        <v>42515</v>
      </c>
      <c r="FW183">
        <v>2015</v>
      </c>
      <c r="FX183">
        <v>216.8</v>
      </c>
      <c r="FY183" t="s">
        <v>2294</v>
      </c>
      <c r="FZ183">
        <v>0.25</v>
      </c>
      <c r="GA183" t="s">
        <v>424</v>
      </c>
      <c r="GB183" t="s">
        <v>425</v>
      </c>
      <c r="GD183">
        <v>22</v>
      </c>
      <c r="GE183">
        <v>6810534</v>
      </c>
      <c r="GF183" t="s">
        <v>2295</v>
      </c>
      <c r="GH183" s="1">
        <v>40688</v>
      </c>
      <c r="GI183">
        <v>2010</v>
      </c>
      <c r="GJ183">
        <v>264.37</v>
      </c>
      <c r="GK183" t="s">
        <v>2296</v>
      </c>
      <c r="GL183">
        <v>11.5</v>
      </c>
      <c r="GM183" t="s">
        <v>424</v>
      </c>
      <c r="GN183" t="s">
        <v>425</v>
      </c>
      <c r="GO183" s="1">
        <v>40939</v>
      </c>
      <c r="GP183">
        <v>8</v>
      </c>
      <c r="GQ183">
        <v>105</v>
      </c>
      <c r="GR183" t="s">
        <v>946</v>
      </c>
    </row>
    <row r="184" spans="1:284" x14ac:dyDescent="0.25">
      <c r="A184">
        <v>16485191</v>
      </c>
      <c r="B184">
        <v>183</v>
      </c>
      <c r="C184" t="s">
        <v>393</v>
      </c>
      <c r="D184" t="s">
        <v>394</v>
      </c>
      <c r="F184" t="str">
        <f>"22-4N-23-0000-0003-0080"</f>
        <v>22-4N-23-0000-0003-0080</v>
      </c>
      <c r="H184" t="str">
        <f>"HARRIS JAMES E"</f>
        <v>HARRIS JAMES E</v>
      </c>
      <c r="I184" t="str">
        <f>"28853 TRIGG RD"</f>
        <v>28853 TRIGG RD</v>
      </c>
      <c r="J184" t="str">
        <f>"HILLIARD FL 32046"</f>
        <v>HILLIARD FL 32046</v>
      </c>
      <c r="K184" t="str">
        <f>"28853 TRIGG RD"</f>
        <v>28853 TRIGG RD</v>
      </c>
      <c r="L184" t="str">
        <f t="shared" si="51"/>
        <v>HILLIARD FL 32046</v>
      </c>
      <c r="M184" t="str">
        <f>"OR 181 PG 153 R787322 &amp; R787323"</f>
        <v>OR 181 PG 153 R787322 &amp; R787323</v>
      </c>
      <c r="N184" t="str">
        <f>""</f>
        <v/>
      </c>
      <c r="O184" t="str">
        <f>"33752"</f>
        <v>33752</v>
      </c>
      <c r="P184" t="str">
        <f t="shared" si="45"/>
        <v>2017</v>
      </c>
      <c r="Q184" t="str">
        <f>""</f>
        <v/>
      </c>
      <c r="R184" t="str">
        <f>"Y"</f>
        <v>Y</v>
      </c>
      <c r="S184" t="str">
        <f>"3.90"</f>
        <v>3.90</v>
      </c>
      <c r="T184" t="str">
        <f>"629.06"</f>
        <v>629.06</v>
      </c>
      <c r="U184" t="str">
        <f>"80657.00"</f>
        <v>80657.00</v>
      </c>
      <c r="V184" t="str">
        <f>"80657.00"</f>
        <v>80657.00</v>
      </c>
      <c r="W184" t="str">
        <f t="shared" si="46"/>
        <v>2017</v>
      </c>
      <c r="X184" t="str">
        <f>"17.50"</f>
        <v>17.50</v>
      </c>
      <c r="Y184" t="str">
        <f>"679.93"</f>
        <v>679.93</v>
      </c>
      <c r="Z184" t="str">
        <f>"25000.00"</f>
        <v>25000.00</v>
      </c>
      <c r="AA184" t="str">
        <f>"55657.00"</f>
        <v>55657.00</v>
      </c>
      <c r="AB184" t="str">
        <f t="shared" si="58"/>
        <v>Residential</v>
      </c>
      <c r="AC184" t="str">
        <f t="shared" si="47"/>
        <v>0</v>
      </c>
      <c r="AD184" t="str">
        <f>"4"</f>
        <v>4</v>
      </c>
      <c r="AE184" t="str">
        <f>"WOOD (INCLUDE STEEL STUDS)"</f>
        <v>WOOD (INCLUDE STEEL STUDS)</v>
      </c>
      <c r="AF184" t="str">
        <f>"002"</f>
        <v>002</v>
      </c>
      <c r="AG184" t="str">
        <f t="shared" si="55"/>
        <v>FL</v>
      </c>
      <c r="AH184" t="str">
        <f>"169884.00"</f>
        <v>169884.00</v>
      </c>
      <c r="AI184" t="str">
        <f>"31200.00"</f>
        <v>31200.00</v>
      </c>
      <c r="AJ184" t="str">
        <f>"C55-000-587-3080-5"</f>
        <v>C55-000-587-3080-5</v>
      </c>
      <c r="AK184" t="str">
        <f>"1885"</f>
        <v>1885</v>
      </c>
      <c r="AL184">
        <v>1</v>
      </c>
      <c r="AM184">
        <v>215</v>
      </c>
      <c r="AN184">
        <v>712.33</v>
      </c>
      <c r="AQ184" t="s">
        <v>2297</v>
      </c>
      <c r="AR184" t="s">
        <v>2297</v>
      </c>
      <c r="AS184" t="s">
        <v>2297</v>
      </c>
      <c r="AU184" t="s">
        <v>396</v>
      </c>
      <c r="AV184">
        <v>2017</v>
      </c>
      <c r="AW184" t="str">
        <f>"22-4N-23-0000-0003-0080 "</f>
        <v xml:space="preserve">22-4N-23-0000-0003-0080 </v>
      </c>
      <c r="AX184">
        <v>28853</v>
      </c>
      <c r="AZ184" t="s">
        <v>2287</v>
      </c>
      <c r="BA184" t="s">
        <v>496</v>
      </c>
      <c r="BD184" t="s">
        <v>398</v>
      </c>
      <c r="BE184" t="s">
        <v>393</v>
      </c>
      <c r="BF184">
        <v>32046</v>
      </c>
      <c r="BG184" t="s">
        <v>2298</v>
      </c>
      <c r="BH184" t="s">
        <v>400</v>
      </c>
      <c r="BI184">
        <v>-81.998312483472304</v>
      </c>
      <c r="BJ184">
        <v>30.749921101992602</v>
      </c>
      <c r="BK184" t="s">
        <v>2299</v>
      </c>
      <c r="BM184" t="s">
        <v>2298</v>
      </c>
      <c r="BN184" t="s">
        <v>403</v>
      </c>
      <c r="BO184">
        <v>32046</v>
      </c>
      <c r="BP184" t="s">
        <v>416</v>
      </c>
      <c r="BQ184">
        <v>200</v>
      </c>
      <c r="BR184" t="s">
        <v>405</v>
      </c>
      <c r="BS184">
        <v>1006</v>
      </c>
      <c r="BT184" t="s">
        <v>406</v>
      </c>
      <c r="BW184">
        <v>169884</v>
      </c>
      <c r="BX184" t="s">
        <v>407</v>
      </c>
      <c r="BY184" t="s">
        <v>408</v>
      </c>
      <c r="BZ184">
        <v>4</v>
      </c>
      <c r="CA184">
        <v>1998</v>
      </c>
      <c r="CB184">
        <v>1</v>
      </c>
      <c r="CC184">
        <v>1</v>
      </c>
      <c r="CD184">
        <v>2017</v>
      </c>
      <c r="CG184">
        <v>80657</v>
      </c>
      <c r="CH184">
        <v>2017</v>
      </c>
      <c r="CI184">
        <v>31200</v>
      </c>
      <c r="CJ184">
        <v>59503</v>
      </c>
      <c r="CK184">
        <v>90703</v>
      </c>
      <c r="CL184">
        <v>2017</v>
      </c>
      <c r="CM184">
        <v>629.05999999999995</v>
      </c>
      <c r="CN184" s="1">
        <v>27030</v>
      </c>
      <c r="CO184">
        <v>6800</v>
      </c>
      <c r="CZ184" s="1">
        <v>27030</v>
      </c>
      <c r="DD184" t="s">
        <v>398</v>
      </c>
      <c r="DG184">
        <v>22</v>
      </c>
      <c r="DL184">
        <v>50400</v>
      </c>
      <c r="DM184" t="s">
        <v>2284</v>
      </c>
      <c r="DO184" t="s">
        <v>2300</v>
      </c>
      <c r="DP184">
        <v>0</v>
      </c>
      <c r="DQ184">
        <v>0</v>
      </c>
      <c r="DR184" t="s">
        <v>411</v>
      </c>
      <c r="DS184" t="b">
        <v>1</v>
      </c>
      <c r="DT184" t="s">
        <v>470</v>
      </c>
      <c r="DU184" t="s">
        <v>471</v>
      </c>
      <c r="DV184" t="s">
        <v>472</v>
      </c>
      <c r="DX184">
        <v>-9999</v>
      </c>
      <c r="DZ184" t="s">
        <v>447</v>
      </c>
      <c r="EA184" t="s">
        <v>448</v>
      </c>
      <c r="EB184" t="s">
        <v>1224</v>
      </c>
      <c r="EC184">
        <v>20101217</v>
      </c>
      <c r="ED184" t="s">
        <v>474</v>
      </c>
      <c r="EF184">
        <v>1010.1</v>
      </c>
      <c r="EG184">
        <v>1010.1</v>
      </c>
      <c r="EI184">
        <v>20160407</v>
      </c>
      <c r="EJ184">
        <v>0</v>
      </c>
      <c r="EK184">
        <v>0</v>
      </c>
      <c r="EP184" t="s">
        <v>421</v>
      </c>
      <c r="EQ184" t="s">
        <v>422</v>
      </c>
      <c r="ER184">
        <v>4</v>
      </c>
      <c r="ES184">
        <v>4</v>
      </c>
      <c r="ET184">
        <v>2782.58</v>
      </c>
      <c r="EU184">
        <v>164.13</v>
      </c>
      <c r="EV184">
        <v>2946.71</v>
      </c>
      <c r="EW184" s="2">
        <v>43222</v>
      </c>
      <c r="EX184" s="1">
        <v>42879</v>
      </c>
      <c r="EY184">
        <v>2016</v>
      </c>
      <c r="EZ184">
        <v>692.12</v>
      </c>
      <c r="FA184" t="s">
        <v>2301</v>
      </c>
      <c r="FB184">
        <v>0.25</v>
      </c>
      <c r="FC184" t="s">
        <v>424</v>
      </c>
      <c r="FD184" t="s">
        <v>454</v>
      </c>
      <c r="FF184">
        <v>12</v>
      </c>
      <c r="FG184">
        <v>7400234</v>
      </c>
      <c r="FH184" t="s">
        <v>426</v>
      </c>
      <c r="FJ184" s="1">
        <v>42879</v>
      </c>
      <c r="FK184">
        <v>2016</v>
      </c>
      <c r="FL184">
        <v>692.12</v>
      </c>
      <c r="FM184" t="s">
        <v>2301</v>
      </c>
      <c r="FN184">
        <v>0.25</v>
      </c>
      <c r="FO184" t="s">
        <v>424</v>
      </c>
      <c r="FP184" t="s">
        <v>454</v>
      </c>
      <c r="FR184">
        <v>12</v>
      </c>
      <c r="FS184">
        <v>7489600</v>
      </c>
      <c r="FT184" t="s">
        <v>2302</v>
      </c>
      <c r="FV184" s="1">
        <v>42515</v>
      </c>
      <c r="FW184">
        <v>2015</v>
      </c>
      <c r="FX184">
        <v>699.17</v>
      </c>
      <c r="FY184" t="s">
        <v>2303</v>
      </c>
      <c r="FZ184">
        <v>0.25</v>
      </c>
      <c r="GA184" t="s">
        <v>424</v>
      </c>
      <c r="GB184" t="s">
        <v>454</v>
      </c>
      <c r="GD184">
        <v>24</v>
      </c>
      <c r="GE184">
        <v>2851116</v>
      </c>
      <c r="GF184" t="s">
        <v>480</v>
      </c>
      <c r="GH184" s="1">
        <v>42515</v>
      </c>
      <c r="GI184">
        <v>2015</v>
      </c>
      <c r="GJ184">
        <v>699.17</v>
      </c>
      <c r="GK184" t="s">
        <v>2303</v>
      </c>
      <c r="GL184">
        <v>0.25</v>
      </c>
      <c r="GM184" t="s">
        <v>424</v>
      </c>
      <c r="GN184" t="s">
        <v>454</v>
      </c>
      <c r="GP184">
        <v>24</v>
      </c>
      <c r="GQ184">
        <v>5436798</v>
      </c>
      <c r="GR184" t="s">
        <v>2304</v>
      </c>
      <c r="GT184" s="1">
        <v>42151</v>
      </c>
      <c r="GU184">
        <v>2014</v>
      </c>
      <c r="GV184">
        <v>692.67</v>
      </c>
      <c r="GW184" t="s">
        <v>2305</v>
      </c>
      <c r="GX184">
        <v>0.25</v>
      </c>
      <c r="GY184" t="s">
        <v>424</v>
      </c>
      <c r="GZ184" t="s">
        <v>425</v>
      </c>
      <c r="HB184">
        <v>22</v>
      </c>
      <c r="HC184">
        <v>2851116</v>
      </c>
      <c r="HD184" t="s">
        <v>480</v>
      </c>
      <c r="HF184" s="1">
        <v>42151</v>
      </c>
      <c r="HG184">
        <v>2014</v>
      </c>
      <c r="HH184">
        <v>692.67</v>
      </c>
      <c r="HI184" t="s">
        <v>2305</v>
      </c>
      <c r="HJ184">
        <v>0.25</v>
      </c>
      <c r="HK184" t="s">
        <v>424</v>
      </c>
      <c r="HL184" t="s">
        <v>425</v>
      </c>
      <c r="HN184">
        <v>22</v>
      </c>
      <c r="HO184">
        <v>4990584</v>
      </c>
      <c r="HP184" t="s">
        <v>2306</v>
      </c>
      <c r="HR184" s="1">
        <v>42151</v>
      </c>
      <c r="HS184">
        <v>2014</v>
      </c>
      <c r="HT184">
        <v>692.67</v>
      </c>
      <c r="HU184" t="s">
        <v>2305</v>
      </c>
      <c r="HV184">
        <v>0.25</v>
      </c>
      <c r="HW184" t="s">
        <v>424</v>
      </c>
      <c r="HX184" t="s">
        <v>425</v>
      </c>
      <c r="HY184" s="1">
        <v>43181</v>
      </c>
      <c r="HZ184">
        <v>34</v>
      </c>
      <c r="IA184">
        <v>7336670</v>
      </c>
      <c r="IB184" t="s">
        <v>2102</v>
      </c>
      <c r="ID184" s="1">
        <v>41052</v>
      </c>
      <c r="IE184">
        <v>2011</v>
      </c>
      <c r="IF184">
        <v>923.02</v>
      </c>
      <c r="IG184" t="s">
        <v>2307</v>
      </c>
      <c r="IH184">
        <v>5.75</v>
      </c>
      <c r="II184" t="s">
        <v>424</v>
      </c>
      <c r="IJ184" t="s">
        <v>425</v>
      </c>
      <c r="IK184" s="1">
        <v>41171</v>
      </c>
      <c r="IL184">
        <v>4</v>
      </c>
      <c r="IM184">
        <v>10125</v>
      </c>
      <c r="IN184" t="s">
        <v>440</v>
      </c>
    </row>
    <row r="185" spans="1:284" x14ac:dyDescent="0.25">
      <c r="A185">
        <v>16485192</v>
      </c>
      <c r="B185">
        <v>184</v>
      </c>
      <c r="C185" t="s">
        <v>393</v>
      </c>
      <c r="D185" t="s">
        <v>394</v>
      </c>
      <c r="F185" t="str">
        <f>"23-4N-23-0000-0007-0060"</f>
        <v>23-4N-23-0000-0007-0060</v>
      </c>
      <c r="H185" t="str">
        <f>"COOPER MEGEN"</f>
        <v>COOPER MEGEN</v>
      </c>
      <c r="I185" t="str">
        <f>"28325 CHARITY LN"</f>
        <v>28325 CHARITY LN</v>
      </c>
      <c r="J185" t="str">
        <f>"HILLIARD FL 32046"</f>
        <v>HILLIARD FL 32046</v>
      </c>
      <c r="K185" t="str">
        <f>"28325 CHARITY LN"</f>
        <v>28325 CHARITY LN</v>
      </c>
      <c r="L185" t="str">
        <f t="shared" si="51"/>
        <v>HILLIARD FL 32046</v>
      </c>
      <c r="M185" t="str">
        <f>"PT OF S1/2 OF SE1/4 OF NE1/4 IN OR 1892/1342 2007 CLSI DW/MH ESMT OR 1465/810"</f>
        <v>PT OF S1/2 OF SE1/4 OF NE1/4 IN OR 1892/1342 2007 CLSI DW/MH ESMT OR 1465/810</v>
      </c>
      <c r="N185" t="str">
        <f>""</f>
        <v/>
      </c>
      <c r="O185" t="str">
        <f>"34216"</f>
        <v>34216</v>
      </c>
      <c r="P185" t="str">
        <f t="shared" si="45"/>
        <v>2017</v>
      </c>
      <c r="Q185" t="str">
        <f>""</f>
        <v/>
      </c>
      <c r="R185" t="str">
        <f>"Y"</f>
        <v>Y</v>
      </c>
      <c r="S185" t="str">
        <f>"1.00"</f>
        <v>1.00</v>
      </c>
      <c r="T185" t="str">
        <f>"636.23"</f>
        <v>636.23</v>
      </c>
      <c r="U185" t="str">
        <f>"81130.00"</f>
        <v>81130.00</v>
      </c>
      <c r="V185" t="str">
        <f>"81130.00"</f>
        <v>81130.00</v>
      </c>
      <c r="W185" t="str">
        <f t="shared" si="46"/>
        <v>2017</v>
      </c>
      <c r="X185" t="str">
        <f>""</f>
        <v/>
      </c>
      <c r="Y185" t="str">
        <f>"687.32"</f>
        <v>687.32</v>
      </c>
      <c r="Z185" t="str">
        <f>"25000.00"</f>
        <v>25000.00</v>
      </c>
      <c r="AA185" t="str">
        <f>"56130.00"</f>
        <v>56130.00</v>
      </c>
      <c r="AB185" t="str">
        <f t="shared" si="58"/>
        <v>Residential</v>
      </c>
      <c r="AC185" t="str">
        <f t="shared" si="47"/>
        <v>0</v>
      </c>
      <c r="AD185" t="str">
        <f>"4"</f>
        <v>4</v>
      </c>
      <c r="AE185" t="str">
        <f>"WOOD (INCLUDE STEEL STUDS)"</f>
        <v>WOOD (INCLUDE STEEL STUDS)</v>
      </c>
      <c r="AF185" t="str">
        <f>"002"</f>
        <v>002</v>
      </c>
      <c r="AG185" t="str">
        <f t="shared" si="55"/>
        <v>FL</v>
      </c>
      <c r="AH185" t="str">
        <f>"43560.00"</f>
        <v>43560.00</v>
      </c>
      <c r="AI185" t="str">
        <f>"15000.00"</f>
        <v>15000.00</v>
      </c>
      <c r="AJ185" t="str">
        <f>"C55-000-969-7498-5"</f>
        <v>C55-000-969-7498-5</v>
      </c>
      <c r="AK185" t="str">
        <f>"1943"</f>
        <v>1943</v>
      </c>
      <c r="AL185">
        <v>1</v>
      </c>
      <c r="AM185">
        <v>217</v>
      </c>
      <c r="AN185">
        <v>720.09</v>
      </c>
      <c r="AQ185" t="s">
        <v>2308</v>
      </c>
      <c r="AR185" t="s">
        <v>2308</v>
      </c>
      <c r="AS185" t="s">
        <v>2308</v>
      </c>
      <c r="AU185" t="s">
        <v>396</v>
      </c>
      <c r="AV185">
        <v>2017</v>
      </c>
      <c r="AW185" t="str">
        <f>"23-4N-23-0000-0007-0060 "</f>
        <v xml:space="preserve">23-4N-23-0000-0007-0060 </v>
      </c>
      <c r="AX185">
        <v>28325</v>
      </c>
      <c r="AZ185" t="s">
        <v>2309</v>
      </c>
      <c r="BA185" t="s">
        <v>653</v>
      </c>
      <c r="BD185" t="s">
        <v>398</v>
      </c>
      <c r="BE185" t="s">
        <v>393</v>
      </c>
      <c r="BF185">
        <v>32046</v>
      </c>
      <c r="BG185" t="s">
        <v>2310</v>
      </c>
      <c r="BH185" t="s">
        <v>400</v>
      </c>
      <c r="BI185">
        <v>-81.977976662513896</v>
      </c>
      <c r="BJ185">
        <v>30.750069125663401</v>
      </c>
      <c r="BK185" t="s">
        <v>2311</v>
      </c>
      <c r="BM185" t="s">
        <v>2310</v>
      </c>
      <c r="BN185" t="s">
        <v>403</v>
      </c>
      <c r="BO185">
        <v>32046</v>
      </c>
      <c r="BP185" t="s">
        <v>416</v>
      </c>
      <c r="BQ185">
        <v>200</v>
      </c>
      <c r="BR185" t="s">
        <v>405</v>
      </c>
      <c r="BS185">
        <v>1006</v>
      </c>
      <c r="BT185" t="s">
        <v>406</v>
      </c>
      <c r="BW185">
        <v>43560</v>
      </c>
      <c r="BX185" t="s">
        <v>407</v>
      </c>
      <c r="BY185" t="s">
        <v>408</v>
      </c>
      <c r="BZ185">
        <v>4</v>
      </c>
      <c r="CA185">
        <v>2007</v>
      </c>
      <c r="CB185">
        <v>1</v>
      </c>
      <c r="CC185">
        <v>1</v>
      </c>
      <c r="CD185">
        <v>2017</v>
      </c>
      <c r="CG185">
        <v>81130</v>
      </c>
      <c r="CH185">
        <v>2017</v>
      </c>
      <c r="CI185">
        <v>15000</v>
      </c>
      <c r="CJ185">
        <v>67461</v>
      </c>
      <c r="CK185">
        <v>82461</v>
      </c>
      <c r="CL185">
        <v>2017</v>
      </c>
      <c r="CM185">
        <v>636.23</v>
      </c>
      <c r="CN185" s="1">
        <v>41618</v>
      </c>
      <c r="CO185">
        <v>43900</v>
      </c>
      <c r="CV185">
        <v>48350</v>
      </c>
      <c r="CX185" t="s">
        <v>2312</v>
      </c>
      <c r="CZ185" s="1">
        <v>41618</v>
      </c>
      <c r="DA185">
        <v>0</v>
      </c>
      <c r="DD185" t="s">
        <v>398</v>
      </c>
      <c r="DG185">
        <v>23</v>
      </c>
      <c r="DL185">
        <v>50400</v>
      </c>
      <c r="DM185" t="s">
        <v>2313</v>
      </c>
      <c r="DO185" t="s">
        <v>2314</v>
      </c>
      <c r="DP185">
        <v>0</v>
      </c>
      <c r="DQ185">
        <v>0</v>
      </c>
      <c r="DR185" t="s">
        <v>411</v>
      </c>
      <c r="EP185" t="s">
        <v>421</v>
      </c>
      <c r="EQ185" t="s">
        <v>422</v>
      </c>
      <c r="ER185">
        <v>2</v>
      </c>
      <c r="ES185">
        <v>0</v>
      </c>
      <c r="ET185">
        <v>1399.6</v>
      </c>
      <c r="EU185">
        <v>82.48</v>
      </c>
      <c r="EV185">
        <v>1482.08</v>
      </c>
      <c r="EW185" s="2">
        <v>43222</v>
      </c>
      <c r="EX185" s="1">
        <v>42879</v>
      </c>
      <c r="EY185">
        <v>2016</v>
      </c>
      <c r="EZ185">
        <v>699.8</v>
      </c>
      <c r="FA185" t="s">
        <v>2315</v>
      </c>
      <c r="FB185">
        <v>0.25</v>
      </c>
      <c r="FC185" t="s">
        <v>424</v>
      </c>
      <c r="FD185" t="s">
        <v>454</v>
      </c>
      <c r="FF185">
        <v>12</v>
      </c>
      <c r="FG185">
        <v>7336671</v>
      </c>
      <c r="FH185" t="s">
        <v>437</v>
      </c>
      <c r="FJ185" s="1">
        <v>42879</v>
      </c>
      <c r="FK185">
        <v>2016</v>
      </c>
      <c r="FL185">
        <v>699.8</v>
      </c>
      <c r="FM185" t="s">
        <v>2315</v>
      </c>
      <c r="FN185">
        <v>0.25</v>
      </c>
      <c r="FO185" t="s">
        <v>424</v>
      </c>
      <c r="FP185" t="s">
        <v>454</v>
      </c>
      <c r="FR185">
        <v>12</v>
      </c>
      <c r="FS185">
        <v>5217231</v>
      </c>
      <c r="FT185" t="s">
        <v>2316</v>
      </c>
    </row>
    <row r="186" spans="1:284" x14ac:dyDescent="0.25">
      <c r="A186">
        <v>16485193</v>
      </c>
      <c r="B186">
        <v>185</v>
      </c>
      <c r="C186" t="s">
        <v>393</v>
      </c>
      <c r="D186" t="s">
        <v>394</v>
      </c>
      <c r="F186" t="str">
        <f>"23-4N-23-0000-0013-0010"</f>
        <v>23-4N-23-0000-0013-0010</v>
      </c>
      <c r="H186" t="str">
        <f>"YARBERRY REX ALLEN"</f>
        <v>YARBERRY REX ALLEN</v>
      </c>
      <c r="I186" t="str">
        <f>"241835 CR 121"</f>
        <v>241835 CR 121</v>
      </c>
      <c r="J186" t="str">
        <f>"HILLIARD FL 32046"</f>
        <v>HILLIARD FL 32046</v>
      </c>
      <c r="K186" t="str">
        <f>"241835 CR 121"</f>
        <v>241835 CR 121</v>
      </c>
      <c r="L186" t="str">
        <f t="shared" si="51"/>
        <v>HILLIARD FL 32046</v>
      </c>
      <c r="M186" t="str">
        <f>"IN NE 1/4 OF SE 1/4 OF NW1/4 IN OR 1624/1033"</f>
        <v>IN NE 1/4 OF SE 1/4 OF NW1/4 IN OR 1624/1033</v>
      </c>
      <c r="N186" t="str">
        <f>""</f>
        <v/>
      </c>
      <c r="O186" t="str">
        <f>"34241"</f>
        <v>34241</v>
      </c>
      <c r="P186" t="str">
        <f t="shared" si="45"/>
        <v>2017</v>
      </c>
      <c r="Q186" t="str">
        <f>""</f>
        <v/>
      </c>
      <c r="R186" t="str">
        <f>"Y"</f>
        <v>Y</v>
      </c>
      <c r="S186" t="str">
        <f>"1.00"</f>
        <v>1.00</v>
      </c>
      <c r="T186" t="str">
        <f>"318.51"</f>
        <v>318.51</v>
      </c>
      <c r="U186" t="str">
        <f>"46540.00"</f>
        <v>46540.00</v>
      </c>
      <c r="V186" t="str">
        <f>"46540.00"</f>
        <v>46540.00</v>
      </c>
      <c r="W186" t="str">
        <f t="shared" si="46"/>
        <v>2017</v>
      </c>
      <c r="X186" t="str">
        <f>"21.50"</f>
        <v>21.50</v>
      </c>
      <c r="Y186" t="str">
        <f>"360.07"</f>
        <v>360.07</v>
      </c>
      <c r="Z186" t="str">
        <f>"25500.00"</f>
        <v>25500.00</v>
      </c>
      <c r="AA186" t="str">
        <f>"21040.00"</f>
        <v>21040.00</v>
      </c>
      <c r="AB186" t="str">
        <f t="shared" si="58"/>
        <v>Residential</v>
      </c>
      <c r="AC186" t="str">
        <f t="shared" si="47"/>
        <v>0</v>
      </c>
      <c r="AD186" t="str">
        <f>"4"</f>
        <v>4</v>
      </c>
      <c r="AE186" t="str">
        <f>"WOOD (INCLUDE STEEL STUDS)"</f>
        <v>WOOD (INCLUDE STEEL STUDS)</v>
      </c>
      <c r="AF186" t="str">
        <f>"001"</f>
        <v>001</v>
      </c>
      <c r="AG186" t="str">
        <f t="shared" si="55"/>
        <v>FL</v>
      </c>
      <c r="AH186" t="str">
        <f>"43560.00"</f>
        <v>43560.00</v>
      </c>
      <c r="AI186" t="str">
        <f>"15000.00"</f>
        <v>15000.00</v>
      </c>
      <c r="AJ186" t="str">
        <f>"C55-000-587-3342-9"</f>
        <v>C55-000-587-3342-9</v>
      </c>
      <c r="AK186" t="str">
        <f>"1966"</f>
        <v>1966</v>
      </c>
      <c r="AL186">
        <v>1</v>
      </c>
      <c r="AM186">
        <v>218</v>
      </c>
      <c r="AN186">
        <v>376.47</v>
      </c>
      <c r="AQ186" t="s">
        <v>2317</v>
      </c>
      <c r="AR186" t="s">
        <v>2317</v>
      </c>
      <c r="AS186" t="s">
        <v>2317</v>
      </c>
      <c r="AU186" t="s">
        <v>396</v>
      </c>
      <c r="AV186">
        <v>2017</v>
      </c>
      <c r="AW186" t="str">
        <f>"23-4N-23-0000-0013-0010 "</f>
        <v xml:space="preserve">23-4N-23-0000-0013-0010 </v>
      </c>
      <c r="AX186">
        <v>241835</v>
      </c>
      <c r="AZ186" t="s">
        <v>611</v>
      </c>
      <c r="BD186" t="s">
        <v>398</v>
      </c>
      <c r="BE186" t="s">
        <v>393</v>
      </c>
      <c r="BF186">
        <v>32046</v>
      </c>
      <c r="BG186" t="s">
        <v>2318</v>
      </c>
      <c r="BH186" t="s">
        <v>400</v>
      </c>
      <c r="BI186">
        <v>-81.984806709196505</v>
      </c>
      <c r="BJ186">
        <v>30.7509239111873</v>
      </c>
      <c r="BK186" t="s">
        <v>2319</v>
      </c>
      <c r="BL186" t="s">
        <v>2320</v>
      </c>
      <c r="BM186" t="s">
        <v>2321</v>
      </c>
      <c r="BN186" t="s">
        <v>403</v>
      </c>
      <c r="BO186">
        <v>32046</v>
      </c>
      <c r="BP186" t="s">
        <v>416</v>
      </c>
      <c r="BQ186">
        <v>100</v>
      </c>
      <c r="BR186" t="s">
        <v>514</v>
      </c>
      <c r="BS186">
        <v>1001</v>
      </c>
      <c r="BT186" t="s">
        <v>515</v>
      </c>
      <c r="BW186">
        <v>43560</v>
      </c>
      <c r="BX186" t="s">
        <v>407</v>
      </c>
      <c r="BY186" t="s">
        <v>408</v>
      </c>
      <c r="BZ186">
        <v>4</v>
      </c>
      <c r="CA186">
        <v>1962</v>
      </c>
      <c r="CB186">
        <v>1</v>
      </c>
      <c r="CC186">
        <v>1</v>
      </c>
      <c r="CD186">
        <v>2017</v>
      </c>
      <c r="CG186">
        <v>46540</v>
      </c>
      <c r="CH186">
        <v>2017</v>
      </c>
      <c r="CI186">
        <v>15000</v>
      </c>
      <c r="CJ186">
        <v>41374</v>
      </c>
      <c r="CK186">
        <v>56374</v>
      </c>
      <c r="CL186">
        <v>2017</v>
      </c>
      <c r="CM186">
        <v>318.51</v>
      </c>
      <c r="CN186" s="1">
        <v>39973</v>
      </c>
      <c r="CZ186" s="1">
        <v>39973</v>
      </c>
      <c r="DD186" t="s">
        <v>398</v>
      </c>
      <c r="DG186">
        <v>23</v>
      </c>
      <c r="DL186">
        <v>50400</v>
      </c>
      <c r="DM186" t="s">
        <v>2313</v>
      </c>
      <c r="DO186" t="s">
        <v>2322</v>
      </c>
      <c r="DP186">
        <v>0</v>
      </c>
      <c r="DQ186">
        <v>0</v>
      </c>
      <c r="DR186" t="s">
        <v>411</v>
      </c>
      <c r="DS186" t="b">
        <v>1</v>
      </c>
      <c r="DT186" t="s">
        <v>470</v>
      </c>
      <c r="DU186" t="s">
        <v>471</v>
      </c>
      <c r="DV186" t="s">
        <v>472</v>
      </c>
      <c r="DX186">
        <v>-9999</v>
      </c>
      <c r="DZ186" t="s">
        <v>447</v>
      </c>
      <c r="EA186" t="s">
        <v>448</v>
      </c>
      <c r="EB186" t="s">
        <v>1224</v>
      </c>
      <c r="EC186">
        <v>20101217</v>
      </c>
      <c r="ED186" t="s">
        <v>474</v>
      </c>
      <c r="EF186">
        <v>2531.6</v>
      </c>
      <c r="EG186">
        <v>2531.6</v>
      </c>
      <c r="EI186">
        <v>20160407</v>
      </c>
      <c r="EJ186">
        <v>0</v>
      </c>
      <c r="EK186">
        <v>0</v>
      </c>
      <c r="EP186" t="s">
        <v>421</v>
      </c>
      <c r="EQ186" t="s">
        <v>422</v>
      </c>
      <c r="ER186">
        <v>2</v>
      </c>
      <c r="ES186">
        <v>4</v>
      </c>
      <c r="ET186">
        <v>720.86</v>
      </c>
      <c r="EU186">
        <v>48.54</v>
      </c>
      <c r="EV186">
        <v>769.4</v>
      </c>
      <c r="EW186" s="2">
        <v>43222</v>
      </c>
      <c r="EX186" s="1">
        <v>42879</v>
      </c>
      <c r="EY186">
        <v>2016</v>
      </c>
      <c r="EZ186">
        <v>360.43</v>
      </c>
      <c r="FA186" t="s">
        <v>2323</v>
      </c>
      <c r="FB186">
        <v>0.25</v>
      </c>
      <c r="FC186" t="s">
        <v>424</v>
      </c>
      <c r="FD186" t="s">
        <v>454</v>
      </c>
      <c r="FF186">
        <v>12</v>
      </c>
      <c r="FG186">
        <v>11289</v>
      </c>
      <c r="FH186" t="s">
        <v>787</v>
      </c>
      <c r="FJ186" s="1">
        <v>42879</v>
      </c>
      <c r="FK186">
        <v>2016</v>
      </c>
      <c r="FL186">
        <v>360.43</v>
      </c>
      <c r="FM186" t="s">
        <v>2323</v>
      </c>
      <c r="FN186">
        <v>0.25</v>
      </c>
      <c r="FO186" t="s">
        <v>424</v>
      </c>
      <c r="FP186" t="s">
        <v>454</v>
      </c>
      <c r="FR186">
        <v>12</v>
      </c>
      <c r="FS186">
        <v>7111306</v>
      </c>
      <c r="FT186" t="s">
        <v>2324</v>
      </c>
      <c r="FV186" s="1">
        <v>42515</v>
      </c>
      <c r="FW186">
        <v>2015</v>
      </c>
      <c r="FX186">
        <v>366.63</v>
      </c>
      <c r="FY186" t="s">
        <v>2325</v>
      </c>
      <c r="FZ186">
        <v>0.25</v>
      </c>
      <c r="GA186" t="s">
        <v>424</v>
      </c>
      <c r="GB186" t="s">
        <v>425</v>
      </c>
      <c r="GC186" s="1">
        <v>43133</v>
      </c>
      <c r="GD186">
        <v>21</v>
      </c>
      <c r="GE186">
        <v>2851116</v>
      </c>
      <c r="GF186" t="s">
        <v>480</v>
      </c>
      <c r="GH186" s="1">
        <v>42515</v>
      </c>
      <c r="GI186">
        <v>2015</v>
      </c>
      <c r="GJ186">
        <v>366.63</v>
      </c>
      <c r="GK186" t="s">
        <v>2325</v>
      </c>
      <c r="GL186">
        <v>0.25</v>
      </c>
      <c r="GM186" t="s">
        <v>424</v>
      </c>
      <c r="GN186" t="s">
        <v>425</v>
      </c>
      <c r="GP186">
        <v>22</v>
      </c>
      <c r="GQ186">
        <v>5352980</v>
      </c>
      <c r="GR186" t="s">
        <v>2326</v>
      </c>
      <c r="GT186" s="1">
        <v>42151</v>
      </c>
      <c r="GU186">
        <v>2014</v>
      </c>
      <c r="GV186">
        <v>362.24</v>
      </c>
      <c r="GW186" t="s">
        <v>2327</v>
      </c>
      <c r="GX186">
        <v>0.25</v>
      </c>
      <c r="GY186" t="s">
        <v>424</v>
      </c>
      <c r="GZ186" t="s">
        <v>425</v>
      </c>
      <c r="HA186" s="1">
        <v>42818</v>
      </c>
      <c r="HB186">
        <v>22</v>
      </c>
      <c r="HC186">
        <v>2851116</v>
      </c>
      <c r="HD186" t="s">
        <v>480</v>
      </c>
      <c r="HF186" s="1">
        <v>42151</v>
      </c>
      <c r="HG186">
        <v>2014</v>
      </c>
      <c r="HH186">
        <v>362.24</v>
      </c>
      <c r="HI186" t="s">
        <v>2327</v>
      </c>
      <c r="HJ186">
        <v>0.25</v>
      </c>
      <c r="HK186" t="s">
        <v>424</v>
      </c>
      <c r="HL186" t="s">
        <v>425</v>
      </c>
      <c r="HN186">
        <v>22</v>
      </c>
      <c r="HO186">
        <v>4909334</v>
      </c>
      <c r="HP186" t="s">
        <v>2328</v>
      </c>
    </row>
    <row r="187" spans="1:284" x14ac:dyDescent="0.25">
      <c r="A187">
        <v>16485194</v>
      </c>
      <c r="B187">
        <v>186</v>
      </c>
      <c r="C187" t="s">
        <v>393</v>
      </c>
      <c r="D187" t="s">
        <v>394</v>
      </c>
      <c r="F187" t="str">
        <f>"23-4N-23-0000-0013-0020"</f>
        <v>23-4N-23-0000-0013-0020</v>
      </c>
      <c r="H187" t="str">
        <f>"MORGAN PHILLIP BRUCE L/E"</f>
        <v>MORGAN PHILLIP BRUCE L/E</v>
      </c>
      <c r="I187" t="str">
        <f>"241836 COUNTY ROAD 121"</f>
        <v>241836 COUNTY ROAD 121</v>
      </c>
      <c r="J187" t="str">
        <f>"HILLIARD FL 32046"</f>
        <v>HILLIARD FL 32046</v>
      </c>
      <c r="K187" t="str">
        <f>"241836 CR 121"</f>
        <v>241836 CR 121</v>
      </c>
      <c r="L187" t="str">
        <f t="shared" si="51"/>
        <v>HILLIARD FL 32046</v>
      </c>
      <c r="M187" t="str">
        <f>"NE1/4 OF SE1/4 OF NW1/4 IN OR 1969/1372"</f>
        <v>NE1/4 OF SE1/4 OF NW1/4 IN OR 1969/1372</v>
      </c>
      <c r="N187" t="str">
        <f>""</f>
        <v/>
      </c>
      <c r="O187" t="str">
        <f>"34242"</f>
        <v>34242</v>
      </c>
      <c r="P187" t="str">
        <f t="shared" si="45"/>
        <v>2017</v>
      </c>
      <c r="Q187" t="str">
        <f>""</f>
        <v/>
      </c>
      <c r="R187" t="str">
        <f>"N"</f>
        <v>N</v>
      </c>
      <c r="S187" t="str">
        <f>"1.00"</f>
        <v>1.00</v>
      </c>
      <c r="T187" t="str">
        <f>"325.26"</f>
        <v>325.26</v>
      </c>
      <c r="U187" t="str">
        <f>"20700.00"</f>
        <v>20700.00</v>
      </c>
      <c r="V187" t="str">
        <f>"20700.00"</f>
        <v>20700.00</v>
      </c>
      <c r="W187" t="str">
        <f t="shared" si="46"/>
        <v>2017</v>
      </c>
      <c r="X187" t="str">
        <f>""</f>
        <v/>
      </c>
      <c r="Y187" t="str">
        <f>"367.02"</f>
        <v>367.02</v>
      </c>
      <c r="Z187" t="str">
        <f>""</f>
        <v/>
      </c>
      <c r="AA187" t="str">
        <f>"22500.00"</f>
        <v>22500.00</v>
      </c>
      <c r="AB187" t="str">
        <f t="shared" si="58"/>
        <v>Residential</v>
      </c>
      <c r="AC187" t="str">
        <f t="shared" si="47"/>
        <v>0</v>
      </c>
      <c r="AD187" t="str">
        <f>""</f>
        <v/>
      </c>
      <c r="AE187" t="str">
        <f>""</f>
        <v/>
      </c>
      <c r="AF187" t="str">
        <f>"000"</f>
        <v>000</v>
      </c>
      <c r="AG187" t="str">
        <f t="shared" si="55"/>
        <v>FL</v>
      </c>
      <c r="AH187" t="str">
        <f>"43560.00"</f>
        <v>43560.00</v>
      </c>
      <c r="AI187" t="str">
        <f>"15000.00"</f>
        <v>15000.00</v>
      </c>
      <c r="AJ187" t="str">
        <f>"C55-000-587-3343-7"</f>
        <v>C55-000-587-3343-7</v>
      </c>
      <c r="AK187" t="str">
        <f>"1967"</f>
        <v>1967</v>
      </c>
      <c r="AL187">
        <v>1</v>
      </c>
      <c r="AM187">
        <v>219</v>
      </c>
      <c r="AN187">
        <v>383.77</v>
      </c>
      <c r="AQ187" t="s">
        <v>2329</v>
      </c>
      <c r="AR187" t="s">
        <v>2329</v>
      </c>
      <c r="AS187" t="s">
        <v>2329</v>
      </c>
      <c r="AU187" t="s">
        <v>396</v>
      </c>
      <c r="AV187">
        <v>2017</v>
      </c>
      <c r="AW187" t="str">
        <f>"23-4N-23-0000-0013-0020 "</f>
        <v xml:space="preserve">23-4N-23-0000-0013-0020 </v>
      </c>
      <c r="AX187">
        <v>241836</v>
      </c>
      <c r="AZ187" t="s">
        <v>611</v>
      </c>
      <c r="BD187" t="s">
        <v>398</v>
      </c>
      <c r="BE187" t="s">
        <v>393</v>
      </c>
      <c r="BF187">
        <v>32046</v>
      </c>
      <c r="BG187" t="s">
        <v>2330</v>
      </c>
      <c r="BH187" t="s">
        <v>400</v>
      </c>
      <c r="BI187">
        <v>-81.985783735437494</v>
      </c>
      <c r="BJ187">
        <v>30.7505990994302</v>
      </c>
      <c r="BK187" t="s">
        <v>2331</v>
      </c>
      <c r="BM187" t="s">
        <v>2332</v>
      </c>
      <c r="BN187" t="s">
        <v>403</v>
      </c>
      <c r="BO187">
        <v>32046</v>
      </c>
      <c r="BP187" t="s">
        <v>416</v>
      </c>
      <c r="BQ187">
        <v>1</v>
      </c>
      <c r="BR187" t="s">
        <v>491</v>
      </c>
      <c r="BS187">
        <v>8001</v>
      </c>
      <c r="BT187" t="s">
        <v>492</v>
      </c>
      <c r="BW187">
        <v>43560</v>
      </c>
      <c r="BX187" t="s">
        <v>407</v>
      </c>
      <c r="BY187" t="s">
        <v>408</v>
      </c>
      <c r="CB187">
        <v>1</v>
      </c>
      <c r="CD187">
        <v>2017</v>
      </c>
      <c r="CE187">
        <v>15000</v>
      </c>
      <c r="CF187">
        <v>7500</v>
      </c>
      <c r="CG187">
        <v>22500</v>
      </c>
      <c r="CH187">
        <v>2017</v>
      </c>
      <c r="CI187">
        <v>15000</v>
      </c>
      <c r="CJ187">
        <v>7500</v>
      </c>
      <c r="CK187">
        <v>22500</v>
      </c>
      <c r="CL187">
        <v>2017</v>
      </c>
      <c r="CM187">
        <v>325.26</v>
      </c>
      <c r="CN187" s="1">
        <v>42088</v>
      </c>
      <c r="CZ187" s="1">
        <v>42088</v>
      </c>
      <c r="DD187" t="s">
        <v>398</v>
      </c>
      <c r="DG187">
        <v>23</v>
      </c>
      <c r="DL187">
        <v>50400</v>
      </c>
      <c r="DM187" t="s">
        <v>2313</v>
      </c>
      <c r="DO187" t="s">
        <v>2333</v>
      </c>
      <c r="DP187">
        <v>0</v>
      </c>
      <c r="DQ187">
        <v>0</v>
      </c>
      <c r="DR187" t="s">
        <v>411</v>
      </c>
      <c r="EP187" t="s">
        <v>421</v>
      </c>
      <c r="EQ187" t="s">
        <v>422</v>
      </c>
      <c r="ER187">
        <v>1</v>
      </c>
      <c r="ES187">
        <v>0</v>
      </c>
      <c r="ET187">
        <v>404.35</v>
      </c>
      <c r="EU187">
        <v>26.47</v>
      </c>
      <c r="EV187">
        <v>430.82</v>
      </c>
      <c r="EW187" s="2">
        <v>43222</v>
      </c>
      <c r="EX187" s="1">
        <v>42879</v>
      </c>
      <c r="EY187">
        <v>2016</v>
      </c>
      <c r="EZ187">
        <v>404.35</v>
      </c>
      <c r="FA187" t="s">
        <v>2334</v>
      </c>
      <c r="FB187">
        <v>4.75</v>
      </c>
      <c r="FC187" t="s">
        <v>424</v>
      </c>
      <c r="FD187" t="s">
        <v>454</v>
      </c>
      <c r="FF187">
        <v>12</v>
      </c>
      <c r="FG187">
        <v>2035919</v>
      </c>
      <c r="FH187" t="s">
        <v>507</v>
      </c>
    </row>
    <row r="188" spans="1:284" x14ac:dyDescent="0.25">
      <c r="A188">
        <v>16485195</v>
      </c>
      <c r="B188">
        <v>187</v>
      </c>
      <c r="C188" t="s">
        <v>393</v>
      </c>
      <c r="D188" t="s">
        <v>394</v>
      </c>
      <c r="F188" t="str">
        <f>"23-4N-23-0000-0013-0030"</f>
        <v>23-4N-23-0000-0013-0030</v>
      </c>
      <c r="H188" t="str">
        <f>"MADDOX TEISHA"</f>
        <v>MADDOX TEISHA</v>
      </c>
      <c r="I188" t="str">
        <f>"28100 TRIGG RD"</f>
        <v>28100 TRIGG RD</v>
      </c>
      <c r="J188" t="str">
        <f>"HILLIARD FL 32046"</f>
        <v>HILLIARD FL 32046</v>
      </c>
      <c r="K188" t="str">
        <f>"28100 TRIGG RD"</f>
        <v>28100 TRIGG RD</v>
      </c>
      <c r="L188" t="str">
        <f t="shared" si="51"/>
        <v>HILLIARD FL 32046</v>
      </c>
      <c r="M188" t="str">
        <f>"NE1/4 OF SE1/4 OF NW1/4 IN OR 2020/113"</f>
        <v>NE1/4 OF SE1/4 OF NW1/4 IN OR 2020/113</v>
      </c>
      <c r="N188" t="str">
        <f>""</f>
        <v/>
      </c>
      <c r="O188" t="str">
        <f>"34243"</f>
        <v>34243</v>
      </c>
      <c r="P188" t="str">
        <f t="shared" si="45"/>
        <v>2017</v>
      </c>
      <c r="Q188" t="str">
        <f>""</f>
        <v/>
      </c>
      <c r="R188" t="str">
        <f>"N"</f>
        <v>N</v>
      </c>
      <c r="S188" t="str">
        <f>"1.00"</f>
        <v>1.00</v>
      </c>
      <c r="T188" t="str">
        <f>"1105.87"</f>
        <v>1105.87</v>
      </c>
      <c r="U188" t="str">
        <f>"73049.00"</f>
        <v>73049.00</v>
      </c>
      <c r="V188" t="str">
        <f>"73049.00"</f>
        <v>73049.00</v>
      </c>
      <c r="W188" t="str">
        <f t="shared" si="46"/>
        <v>2017</v>
      </c>
      <c r="X188" t="str">
        <f>"9.40"</f>
        <v>9.40</v>
      </c>
      <c r="Y188" t="str">
        <f>"1171.05"</f>
        <v>1171.05</v>
      </c>
      <c r="Z188" t="str">
        <f>""</f>
        <v/>
      </c>
      <c r="AA188" t="str">
        <f>"73049.00"</f>
        <v>73049.00</v>
      </c>
      <c r="AB188" t="str">
        <f t="shared" si="58"/>
        <v>Residential</v>
      </c>
      <c r="AC188" t="str">
        <f t="shared" si="47"/>
        <v>0</v>
      </c>
      <c r="AD188" t="str">
        <f>"4"</f>
        <v>4</v>
      </c>
      <c r="AE188" t="str">
        <f>"WOOD (INCLUDE STEEL STUDS)"</f>
        <v>WOOD (INCLUDE STEEL STUDS)</v>
      </c>
      <c r="AF188" t="str">
        <f>"002"</f>
        <v>002</v>
      </c>
      <c r="AG188" t="str">
        <f t="shared" si="55"/>
        <v>FL</v>
      </c>
      <c r="AH188" t="str">
        <f>"43560.00"</f>
        <v>43560.00</v>
      </c>
      <c r="AI188" t="str">
        <f>"15000.00"</f>
        <v>15000.00</v>
      </c>
      <c r="AJ188" t="str">
        <f>"C55-000-587-3344-5"</f>
        <v>C55-000-587-3344-5</v>
      </c>
      <c r="AK188" t="str">
        <f>"1968"</f>
        <v>1968</v>
      </c>
      <c r="AL188">
        <v>1</v>
      </c>
      <c r="AM188">
        <v>220</v>
      </c>
      <c r="AN188">
        <v>1228</v>
      </c>
      <c r="AQ188" t="s">
        <v>2335</v>
      </c>
      <c r="AR188" t="s">
        <v>2335</v>
      </c>
      <c r="AS188" t="s">
        <v>2335</v>
      </c>
      <c r="AU188" t="s">
        <v>396</v>
      </c>
      <c r="AV188">
        <v>2017</v>
      </c>
      <c r="AW188" t="str">
        <f>"23-4N-23-0000-0013-0030 "</f>
        <v xml:space="preserve">23-4N-23-0000-0013-0030 </v>
      </c>
      <c r="AX188">
        <v>28100</v>
      </c>
      <c r="AZ188" t="s">
        <v>2287</v>
      </c>
      <c r="BA188" t="s">
        <v>496</v>
      </c>
      <c r="BD188" t="s">
        <v>398</v>
      </c>
      <c r="BE188" t="s">
        <v>393</v>
      </c>
      <c r="BF188">
        <v>32046</v>
      </c>
      <c r="BG188" t="s">
        <v>2336</v>
      </c>
      <c r="BH188" t="s">
        <v>400</v>
      </c>
      <c r="BI188">
        <v>-81.986397022930305</v>
      </c>
      <c r="BJ188">
        <v>30.7516832028296</v>
      </c>
      <c r="BK188" t="s">
        <v>2337</v>
      </c>
      <c r="BM188" t="s">
        <v>2336</v>
      </c>
      <c r="BN188" t="s">
        <v>403</v>
      </c>
      <c r="BO188">
        <v>32046</v>
      </c>
      <c r="BP188" t="s">
        <v>416</v>
      </c>
      <c r="BQ188">
        <v>200</v>
      </c>
      <c r="BR188" t="s">
        <v>405</v>
      </c>
      <c r="BS188">
        <v>1006</v>
      </c>
      <c r="BT188" t="s">
        <v>406</v>
      </c>
      <c r="BW188">
        <v>43560</v>
      </c>
      <c r="BX188" t="s">
        <v>407</v>
      </c>
      <c r="BY188" t="s">
        <v>408</v>
      </c>
      <c r="BZ188">
        <v>4</v>
      </c>
      <c r="CA188">
        <v>2011</v>
      </c>
      <c r="CC188">
        <v>1</v>
      </c>
      <c r="CD188">
        <v>2017</v>
      </c>
      <c r="CE188">
        <v>15000</v>
      </c>
      <c r="CF188">
        <v>58049</v>
      </c>
      <c r="CG188">
        <v>73049</v>
      </c>
      <c r="CH188">
        <v>2017</v>
      </c>
      <c r="CI188">
        <v>15000</v>
      </c>
      <c r="CJ188">
        <v>58049</v>
      </c>
      <c r="CK188">
        <v>73049</v>
      </c>
      <c r="CL188">
        <v>2017</v>
      </c>
      <c r="CM188">
        <v>1105.8699999999999</v>
      </c>
      <c r="CN188" s="1">
        <v>42333</v>
      </c>
      <c r="CZ188" s="1">
        <v>42333</v>
      </c>
      <c r="DD188" t="s">
        <v>398</v>
      </c>
      <c r="DG188">
        <v>23</v>
      </c>
      <c r="DL188">
        <v>50400</v>
      </c>
      <c r="DM188" t="s">
        <v>2313</v>
      </c>
      <c r="DO188" t="s">
        <v>2338</v>
      </c>
      <c r="DP188">
        <v>0</v>
      </c>
      <c r="DQ188">
        <v>0</v>
      </c>
      <c r="DR188" t="s">
        <v>411</v>
      </c>
      <c r="DS188" t="b">
        <v>1</v>
      </c>
      <c r="DT188" t="s">
        <v>470</v>
      </c>
      <c r="DU188" t="s">
        <v>471</v>
      </c>
      <c r="DV188" t="s">
        <v>472</v>
      </c>
      <c r="DX188">
        <v>-9999</v>
      </c>
      <c r="DZ188" t="s">
        <v>447</v>
      </c>
      <c r="EA188" t="s">
        <v>448</v>
      </c>
      <c r="EB188" t="s">
        <v>1224</v>
      </c>
      <c r="EC188">
        <v>20101217</v>
      </c>
      <c r="ED188" t="s">
        <v>474</v>
      </c>
      <c r="EF188">
        <v>2721.5</v>
      </c>
      <c r="EG188">
        <v>2721.5</v>
      </c>
      <c r="EI188">
        <v>20160407</v>
      </c>
      <c r="EJ188">
        <v>0</v>
      </c>
      <c r="EK188">
        <v>0</v>
      </c>
      <c r="EP188" t="s">
        <v>421</v>
      </c>
      <c r="EQ188" t="s">
        <v>422</v>
      </c>
      <c r="ER188">
        <v>2</v>
      </c>
      <c r="ES188">
        <v>6</v>
      </c>
      <c r="ET188">
        <v>2300.2800000000002</v>
      </c>
      <c r="EU188">
        <v>127.51</v>
      </c>
      <c r="EV188">
        <v>2427.79</v>
      </c>
      <c r="EW188" s="2">
        <v>43222</v>
      </c>
      <c r="EX188" s="1">
        <v>42879</v>
      </c>
      <c r="EY188">
        <v>2016</v>
      </c>
      <c r="EZ188">
        <v>1150.1400000000001</v>
      </c>
      <c r="FA188" t="s">
        <v>2339</v>
      </c>
      <c r="FB188">
        <v>0.25</v>
      </c>
      <c r="FC188" t="s">
        <v>424</v>
      </c>
      <c r="FD188" t="s">
        <v>454</v>
      </c>
      <c r="FF188">
        <v>12</v>
      </c>
      <c r="FG188">
        <v>2851116</v>
      </c>
      <c r="FH188" t="s">
        <v>480</v>
      </c>
      <c r="FJ188" s="1">
        <v>42879</v>
      </c>
      <c r="FK188">
        <v>2016</v>
      </c>
      <c r="FL188">
        <v>1150.1400000000001</v>
      </c>
      <c r="FM188" t="s">
        <v>2339</v>
      </c>
      <c r="FN188">
        <v>0.25</v>
      </c>
      <c r="FO188" t="s">
        <v>424</v>
      </c>
      <c r="FP188" t="s">
        <v>454</v>
      </c>
      <c r="FR188">
        <v>12</v>
      </c>
      <c r="FS188">
        <v>5684639</v>
      </c>
      <c r="FT188" t="s">
        <v>2340</v>
      </c>
      <c r="FV188" s="1">
        <v>42515</v>
      </c>
      <c r="FW188">
        <v>2015</v>
      </c>
      <c r="FX188">
        <v>1092.3399999999999</v>
      </c>
      <c r="FY188" t="s">
        <v>2341</v>
      </c>
      <c r="FZ188">
        <v>0.25</v>
      </c>
      <c r="GA188" t="s">
        <v>424</v>
      </c>
      <c r="GB188" t="s">
        <v>425</v>
      </c>
      <c r="GC188" s="1">
        <v>43119</v>
      </c>
      <c r="GD188">
        <v>20</v>
      </c>
      <c r="GE188">
        <v>11289</v>
      </c>
      <c r="GF188" t="s">
        <v>787</v>
      </c>
      <c r="GH188" s="1">
        <v>42515</v>
      </c>
      <c r="GI188">
        <v>2015</v>
      </c>
      <c r="GJ188">
        <v>1092.3399999999999</v>
      </c>
      <c r="GK188" t="s">
        <v>2341</v>
      </c>
      <c r="GL188">
        <v>0.25</v>
      </c>
      <c r="GM188" t="s">
        <v>424</v>
      </c>
      <c r="GN188" t="s">
        <v>425</v>
      </c>
      <c r="GP188">
        <v>22</v>
      </c>
      <c r="GQ188">
        <v>7334680</v>
      </c>
      <c r="GR188" t="s">
        <v>2342</v>
      </c>
      <c r="GT188" s="1">
        <v>42151</v>
      </c>
      <c r="GU188">
        <v>2014</v>
      </c>
      <c r="GV188">
        <v>922.33</v>
      </c>
      <c r="GW188" t="s">
        <v>2343</v>
      </c>
      <c r="GX188">
        <v>0.25</v>
      </c>
      <c r="GY188" t="s">
        <v>424</v>
      </c>
      <c r="GZ188" t="s">
        <v>425</v>
      </c>
      <c r="HA188" s="1">
        <v>42412</v>
      </c>
      <c r="HB188">
        <v>9</v>
      </c>
      <c r="HC188">
        <v>2851116</v>
      </c>
      <c r="HD188" t="s">
        <v>480</v>
      </c>
      <c r="HF188" s="1">
        <v>42151</v>
      </c>
      <c r="HG188">
        <v>2014</v>
      </c>
      <c r="HH188">
        <v>922.33</v>
      </c>
      <c r="HI188" t="s">
        <v>2343</v>
      </c>
      <c r="HJ188">
        <v>0.25</v>
      </c>
      <c r="HK188" t="s">
        <v>424</v>
      </c>
      <c r="HL188" t="s">
        <v>425</v>
      </c>
      <c r="HN188">
        <v>22</v>
      </c>
      <c r="HO188">
        <v>5342296</v>
      </c>
      <c r="HP188" t="s">
        <v>2344</v>
      </c>
      <c r="HR188" s="1">
        <v>41787</v>
      </c>
      <c r="HS188">
        <v>2013</v>
      </c>
      <c r="HT188">
        <v>881.52</v>
      </c>
      <c r="HU188" t="s">
        <v>2345</v>
      </c>
      <c r="HV188">
        <v>0.25</v>
      </c>
      <c r="HW188" t="s">
        <v>424</v>
      </c>
      <c r="HX188" t="s">
        <v>425</v>
      </c>
      <c r="HY188" s="1">
        <v>42037</v>
      </c>
      <c r="HZ188">
        <v>9</v>
      </c>
      <c r="IA188">
        <v>2101382</v>
      </c>
      <c r="IB188" t="s">
        <v>993</v>
      </c>
      <c r="ID188" s="1">
        <v>41423</v>
      </c>
      <c r="IE188">
        <v>2012</v>
      </c>
      <c r="IF188">
        <v>1041.1199999999999</v>
      </c>
      <c r="IG188" t="s">
        <v>2346</v>
      </c>
      <c r="IH188">
        <v>0.25</v>
      </c>
      <c r="II188" t="s">
        <v>424</v>
      </c>
      <c r="IJ188" t="s">
        <v>425</v>
      </c>
      <c r="IK188" s="1">
        <v>41680</v>
      </c>
      <c r="IL188">
        <v>9</v>
      </c>
      <c r="IM188">
        <v>606981</v>
      </c>
      <c r="IN188" t="s">
        <v>792</v>
      </c>
    </row>
    <row r="189" spans="1:284" x14ac:dyDescent="0.25">
      <c r="A189">
        <v>16485196</v>
      </c>
      <c r="B189">
        <v>188</v>
      </c>
      <c r="C189" t="s">
        <v>393</v>
      </c>
      <c r="D189" t="s">
        <v>394</v>
      </c>
      <c r="F189" t="str">
        <f>"23-4N-23-2020-0020-0020"</f>
        <v>23-4N-23-2020-0020-0020</v>
      </c>
      <c r="H189" t="str">
        <f>"DEWITT DOUGLASS E EST &amp; JAMES E &amp; NANCY L BUTTON"</f>
        <v>DEWITT DOUGLASS E EST &amp; JAMES E &amp; NANCY L BUTTON</v>
      </c>
      <c r="I189" t="str">
        <f>"748 LEE ROAD"</f>
        <v>748 LEE ROAD</v>
      </c>
      <c r="J189" t="str">
        <f>"JACKSONVILLE FL 32225"</f>
        <v>JACKSONVILLE FL 32225</v>
      </c>
      <c r="K189" t="str">
        <f>"CR 121"</f>
        <v>CR 121</v>
      </c>
      <c r="L189" t="str">
        <f t="shared" si="51"/>
        <v>HILLIARD FL 32046</v>
      </c>
      <c r="M189" t="str">
        <f>"PT OF LOT 20 (EX S-3) IN OR 839/1526 CORNWALL SURVEY"</f>
        <v>PT OF LOT 20 (EX S-3) IN OR 839/1526 CORNWALL SURVEY</v>
      </c>
      <c r="N189" t="str">
        <f>""</f>
        <v/>
      </c>
      <c r="O189" t="str">
        <f>"34258"</f>
        <v>34258</v>
      </c>
      <c r="P189" t="str">
        <f t="shared" si="45"/>
        <v>2017</v>
      </c>
      <c r="Q189" t="str">
        <f>""</f>
        <v/>
      </c>
      <c r="R189" t="str">
        <f>"N"</f>
        <v>N</v>
      </c>
      <c r="S189" t="str">
        <f>"4.63"</f>
        <v>4.63</v>
      </c>
      <c r="T189" t="str">
        <f>"560.74"</f>
        <v>560.74</v>
      </c>
      <c r="U189" t="str">
        <f>"37040.00"</f>
        <v>37040.00</v>
      </c>
      <c r="V189" t="str">
        <f>"37040.00"</f>
        <v>37040.00</v>
      </c>
      <c r="W189" t="str">
        <f t="shared" si="46"/>
        <v>2017</v>
      </c>
      <c r="X189" t="str">
        <f>"21.90"</f>
        <v>21.90</v>
      </c>
      <c r="Y189" t="str">
        <f>"609.56"</f>
        <v>609.56</v>
      </c>
      <c r="Z189" t="str">
        <f>""</f>
        <v/>
      </c>
      <c r="AA189" t="str">
        <f>"37040.00"</f>
        <v>37040.00</v>
      </c>
      <c r="AB189" t="str">
        <f t="shared" si="58"/>
        <v>Residential</v>
      </c>
      <c r="AC189" t="str">
        <f t="shared" si="47"/>
        <v>0</v>
      </c>
      <c r="AD189" t="str">
        <f>""</f>
        <v/>
      </c>
      <c r="AE189" t="str">
        <f>""</f>
        <v/>
      </c>
      <c r="AF189" t="str">
        <f>"000"</f>
        <v>000</v>
      </c>
      <c r="AG189" t="str">
        <f t="shared" si="55"/>
        <v>FL</v>
      </c>
      <c r="AH189" t="str">
        <f>"201682.00"</f>
        <v>201682.00</v>
      </c>
      <c r="AI189" t="str">
        <f>"37040.00"</f>
        <v>37040.00</v>
      </c>
      <c r="AJ189" t="str">
        <f>"C55-000-587-3354-4"</f>
        <v>C55-000-587-3354-4</v>
      </c>
      <c r="AK189" t="str">
        <f>"1983"</f>
        <v>1983</v>
      </c>
      <c r="AL189">
        <v>1</v>
      </c>
      <c r="AM189">
        <v>221</v>
      </c>
      <c r="AN189">
        <v>638.44000000000005</v>
      </c>
      <c r="AQ189" t="s">
        <v>2347</v>
      </c>
      <c r="AR189" t="s">
        <v>2347</v>
      </c>
      <c r="AS189" t="s">
        <v>2347</v>
      </c>
      <c r="AU189" t="s">
        <v>396</v>
      </c>
      <c r="AV189">
        <v>2017</v>
      </c>
      <c r="AW189" t="str">
        <f>"23-4N-23-2020-0020-0020 "</f>
        <v xml:space="preserve">23-4N-23-2020-0020-0020 </v>
      </c>
      <c r="AZ189" t="s">
        <v>611</v>
      </c>
      <c r="BD189" t="s">
        <v>398</v>
      </c>
      <c r="BE189" t="s">
        <v>393</v>
      </c>
      <c r="BF189">
        <v>32046</v>
      </c>
      <c r="BG189" t="s">
        <v>611</v>
      </c>
      <c r="BH189" t="s">
        <v>400</v>
      </c>
      <c r="BI189">
        <v>-81.986329322430194</v>
      </c>
      <c r="BJ189">
        <v>30.744390956474899</v>
      </c>
      <c r="BK189" t="s">
        <v>2348</v>
      </c>
      <c r="BM189" t="s">
        <v>2349</v>
      </c>
      <c r="BN189" t="s">
        <v>548</v>
      </c>
      <c r="BO189">
        <v>32225</v>
      </c>
      <c r="BP189" t="s">
        <v>404</v>
      </c>
      <c r="BQ189">
        <v>0</v>
      </c>
      <c r="BR189" t="s">
        <v>491</v>
      </c>
      <c r="BS189">
        <v>8001</v>
      </c>
      <c r="BT189" t="s">
        <v>492</v>
      </c>
      <c r="BW189">
        <v>201682</v>
      </c>
      <c r="BX189" t="s">
        <v>407</v>
      </c>
      <c r="CD189">
        <v>2017</v>
      </c>
      <c r="CE189">
        <v>37040</v>
      </c>
      <c r="CG189">
        <v>37040</v>
      </c>
      <c r="CH189">
        <v>2017</v>
      </c>
      <c r="CI189">
        <v>37040</v>
      </c>
      <c r="CK189">
        <v>37040</v>
      </c>
      <c r="CL189">
        <v>2017</v>
      </c>
      <c r="CM189">
        <v>560.74</v>
      </c>
      <c r="CN189" s="1">
        <v>35978</v>
      </c>
      <c r="CO189">
        <v>29900</v>
      </c>
      <c r="CZ189" s="1">
        <v>35978</v>
      </c>
      <c r="DD189" t="s">
        <v>398</v>
      </c>
      <c r="DF189">
        <v>20</v>
      </c>
      <c r="DG189">
        <v>23</v>
      </c>
      <c r="DJ189" t="s">
        <v>1990</v>
      </c>
      <c r="DL189">
        <v>50400</v>
      </c>
      <c r="DM189" t="s">
        <v>2313</v>
      </c>
      <c r="DO189" t="s">
        <v>2350</v>
      </c>
      <c r="DP189">
        <v>0</v>
      </c>
      <c r="DQ189">
        <v>0</v>
      </c>
      <c r="DR189" t="s">
        <v>411</v>
      </c>
      <c r="DS189" t="b">
        <v>1</v>
      </c>
      <c r="DT189" t="s">
        <v>470</v>
      </c>
      <c r="DU189" t="s">
        <v>471</v>
      </c>
      <c r="DV189" t="s">
        <v>472</v>
      </c>
      <c r="DX189">
        <v>-9999</v>
      </c>
      <c r="DZ189" t="s">
        <v>447</v>
      </c>
      <c r="EA189" t="s">
        <v>448</v>
      </c>
      <c r="EB189" t="s">
        <v>1224</v>
      </c>
      <c r="EC189">
        <v>20101217</v>
      </c>
      <c r="ED189" t="s">
        <v>474</v>
      </c>
      <c r="EF189">
        <v>651.9</v>
      </c>
      <c r="EG189">
        <v>651.9</v>
      </c>
      <c r="EI189">
        <v>20160407</v>
      </c>
      <c r="EJ189">
        <v>0</v>
      </c>
      <c r="EK189">
        <v>0</v>
      </c>
      <c r="EP189" t="s">
        <v>421</v>
      </c>
      <c r="EQ189" t="s">
        <v>422</v>
      </c>
      <c r="ER189">
        <v>1</v>
      </c>
      <c r="ES189">
        <v>7</v>
      </c>
      <c r="ET189">
        <v>641.94000000000005</v>
      </c>
      <c r="EU189">
        <v>38.35</v>
      </c>
      <c r="EV189">
        <v>680.29</v>
      </c>
      <c r="EW189" s="2">
        <v>43222</v>
      </c>
      <c r="EX189" s="1">
        <v>42879</v>
      </c>
      <c r="EY189">
        <v>2016</v>
      </c>
      <c r="EZ189">
        <v>641.94000000000005</v>
      </c>
      <c r="FA189" t="s">
        <v>2351</v>
      </c>
      <c r="FB189">
        <v>4.75</v>
      </c>
      <c r="FC189" t="s">
        <v>424</v>
      </c>
      <c r="FD189" t="s">
        <v>454</v>
      </c>
      <c r="FF189">
        <v>12</v>
      </c>
      <c r="FG189">
        <v>7336745</v>
      </c>
      <c r="FH189" t="s">
        <v>502</v>
      </c>
      <c r="FJ189" s="1">
        <v>42515</v>
      </c>
      <c r="FK189">
        <v>2015</v>
      </c>
      <c r="FL189">
        <v>651.87</v>
      </c>
      <c r="FM189" t="s">
        <v>2352</v>
      </c>
      <c r="FN189">
        <v>6.25</v>
      </c>
      <c r="FO189" t="s">
        <v>424</v>
      </c>
      <c r="FP189" t="s">
        <v>425</v>
      </c>
      <c r="FQ189" s="1">
        <v>43167</v>
      </c>
      <c r="FR189">
        <v>22</v>
      </c>
      <c r="FS189">
        <v>2035919</v>
      </c>
      <c r="FT189" t="s">
        <v>507</v>
      </c>
      <c r="FV189" s="1">
        <v>42151</v>
      </c>
      <c r="FW189">
        <v>2014</v>
      </c>
      <c r="FX189">
        <v>615.5</v>
      </c>
      <c r="FY189" t="s">
        <v>2353</v>
      </c>
      <c r="FZ189">
        <v>4.25</v>
      </c>
      <c r="GA189" t="s">
        <v>424</v>
      </c>
      <c r="GB189" t="s">
        <v>425</v>
      </c>
      <c r="GC189" s="1">
        <v>42794</v>
      </c>
      <c r="GD189">
        <v>21</v>
      </c>
      <c r="GE189">
        <v>115</v>
      </c>
      <c r="GF189" t="s">
        <v>478</v>
      </c>
      <c r="GH189" s="1">
        <v>41787</v>
      </c>
      <c r="GI189">
        <v>2013</v>
      </c>
      <c r="GJ189">
        <v>583.75</v>
      </c>
      <c r="GK189" t="s">
        <v>2354</v>
      </c>
      <c r="GL189">
        <v>3</v>
      </c>
      <c r="GM189" t="s">
        <v>424</v>
      </c>
      <c r="GN189" t="s">
        <v>425</v>
      </c>
      <c r="GO189" s="1">
        <v>42429</v>
      </c>
      <c r="GP189">
        <v>21</v>
      </c>
      <c r="GQ189">
        <v>116</v>
      </c>
      <c r="GR189" t="s">
        <v>509</v>
      </c>
      <c r="GT189" s="1">
        <v>41423</v>
      </c>
      <c r="GU189">
        <v>2012</v>
      </c>
      <c r="GV189">
        <v>545.26</v>
      </c>
      <c r="GW189" t="s">
        <v>2355</v>
      </c>
      <c r="GX189">
        <v>4.5</v>
      </c>
      <c r="GY189" t="s">
        <v>424</v>
      </c>
      <c r="GZ189" t="s">
        <v>425</v>
      </c>
      <c r="HA189" s="1">
        <v>42125</v>
      </c>
      <c r="HB189">
        <v>24</v>
      </c>
      <c r="HC189">
        <v>116</v>
      </c>
      <c r="HD189" t="s">
        <v>509</v>
      </c>
      <c r="HF189" s="1">
        <v>41052</v>
      </c>
      <c r="HG189">
        <v>2011</v>
      </c>
      <c r="HH189">
        <v>639.02</v>
      </c>
      <c r="HI189" t="s">
        <v>2356</v>
      </c>
      <c r="HJ189">
        <v>4.75</v>
      </c>
      <c r="HK189" t="s">
        <v>424</v>
      </c>
      <c r="HL189" t="s">
        <v>425</v>
      </c>
      <c r="HM189" s="1">
        <v>41702</v>
      </c>
      <c r="HN189">
        <v>22</v>
      </c>
      <c r="HO189">
        <v>10125</v>
      </c>
      <c r="HP189" t="s">
        <v>440</v>
      </c>
      <c r="HR189" s="1">
        <v>40688</v>
      </c>
      <c r="HS189">
        <v>2010</v>
      </c>
      <c r="HT189">
        <v>711.29</v>
      </c>
      <c r="HU189" t="s">
        <v>2357</v>
      </c>
      <c r="HV189">
        <v>8.25</v>
      </c>
      <c r="HW189" t="s">
        <v>424</v>
      </c>
      <c r="HX189" t="s">
        <v>425</v>
      </c>
      <c r="HY189" s="1">
        <v>41330</v>
      </c>
      <c r="HZ189">
        <v>21</v>
      </c>
      <c r="IA189">
        <v>15175</v>
      </c>
      <c r="IB189" t="s">
        <v>588</v>
      </c>
      <c r="ID189" s="1">
        <v>40688</v>
      </c>
      <c r="IE189">
        <v>2010</v>
      </c>
      <c r="IF189">
        <v>711.29</v>
      </c>
      <c r="IG189" t="s">
        <v>2357</v>
      </c>
      <c r="IH189">
        <v>8.25</v>
      </c>
      <c r="II189" t="s">
        <v>424</v>
      </c>
      <c r="IJ189" t="s">
        <v>425</v>
      </c>
      <c r="IL189">
        <v>22</v>
      </c>
      <c r="IM189">
        <v>10548</v>
      </c>
      <c r="IN189" t="s">
        <v>589</v>
      </c>
    </row>
    <row r="190" spans="1:284" x14ac:dyDescent="0.25">
      <c r="A190">
        <v>16485197</v>
      </c>
      <c r="B190">
        <v>189</v>
      </c>
      <c r="C190" t="s">
        <v>393</v>
      </c>
      <c r="D190" t="s">
        <v>394</v>
      </c>
      <c r="F190" t="str">
        <f>"23-4N-23-2020-0021-0020"</f>
        <v>23-4N-23-2020-0021-0020</v>
      </c>
      <c r="H190" t="str">
        <f>"CROCKETT EARLAND M &amp; SARAH J"</f>
        <v>CROCKETT EARLAND M &amp; SARAH J</v>
      </c>
      <c r="I190" t="str">
        <f>"PO BOX 756"</f>
        <v>PO BOX 756</v>
      </c>
      <c r="J190" t="str">
        <f>"YULEE FL 32041"</f>
        <v>YULEE FL 32041</v>
      </c>
      <c r="K190" t="str">
        <f>"241797 CR 121"</f>
        <v>241797 CR 121</v>
      </c>
      <c r="L190" t="str">
        <f t="shared" si="51"/>
        <v>HILLIARD FL 32046</v>
      </c>
      <c r="M190" t="str">
        <f>"PT OF LOT 21 IN OR 834/1594 R787948 &amp; R787949 CORNWALL SURVEY"</f>
        <v>PT OF LOT 21 IN OR 834/1594 R787948 &amp; R787949 CORNWALL SURVEY</v>
      </c>
      <c r="N190" t="str">
        <f>""</f>
        <v/>
      </c>
      <c r="O190" t="str">
        <f>"34261"</f>
        <v>34261</v>
      </c>
      <c r="P190" t="str">
        <f t="shared" si="45"/>
        <v>2017</v>
      </c>
      <c r="Q190" t="str">
        <f>""</f>
        <v/>
      </c>
      <c r="R190" t="str">
        <f>"N"</f>
        <v>N</v>
      </c>
      <c r="S190" t="str">
        <f>"5.93"</f>
        <v>5.93</v>
      </c>
      <c r="T190" t="str">
        <f>"1682.19"</f>
        <v>1682.19</v>
      </c>
      <c r="U190" t="str">
        <f>"111117.00"</f>
        <v>111117.00</v>
      </c>
      <c r="V190" t="str">
        <f>"111117.00"</f>
        <v>111117.00</v>
      </c>
      <c r="W190" t="str">
        <f t="shared" si="46"/>
        <v>2017</v>
      </c>
      <c r="X190" t="str">
        <f>""</f>
        <v/>
      </c>
      <c r="Y190" t="str">
        <f>"1764.66"</f>
        <v>1764.66</v>
      </c>
      <c r="Z190" t="str">
        <f>""</f>
        <v/>
      </c>
      <c r="AA190" t="str">
        <f>"111117.00"</f>
        <v>111117.00</v>
      </c>
      <c r="AB190" t="str">
        <f t="shared" si="58"/>
        <v>Residential</v>
      </c>
      <c r="AC190" t="str">
        <f t="shared" si="47"/>
        <v>0</v>
      </c>
      <c r="AD190" t="str">
        <f>"4"</f>
        <v>4</v>
      </c>
      <c r="AE190" t="str">
        <f>"WOOD (INCLUDE STEEL STUDS)"</f>
        <v>WOOD (INCLUDE STEEL STUDS)</v>
      </c>
      <c r="AF190" t="str">
        <f>"002"</f>
        <v>002</v>
      </c>
      <c r="AG190" t="str">
        <f t="shared" si="55"/>
        <v>FL</v>
      </c>
      <c r="AH190" t="str">
        <f>"258310.00"</f>
        <v>258310.00</v>
      </c>
      <c r="AI190" t="str">
        <f>"47440.00"</f>
        <v>47440.00</v>
      </c>
      <c r="AJ190" t="str">
        <f>"C55-000-587-3357-7"</f>
        <v>C55-000-587-3357-7</v>
      </c>
      <c r="AK190" t="str">
        <f>"1986"</f>
        <v>1986</v>
      </c>
      <c r="AL190">
        <v>1</v>
      </c>
      <c r="AM190">
        <v>222</v>
      </c>
      <c r="AN190">
        <v>1851.29</v>
      </c>
      <c r="AQ190" t="s">
        <v>2358</v>
      </c>
      <c r="AR190" t="s">
        <v>2358</v>
      </c>
      <c r="AS190" t="s">
        <v>2358</v>
      </c>
      <c r="AU190" t="s">
        <v>396</v>
      </c>
      <c r="AV190">
        <v>2017</v>
      </c>
      <c r="AW190" t="str">
        <f>"23-4N-23-2020-0021-0020 "</f>
        <v xml:space="preserve">23-4N-23-2020-0021-0020 </v>
      </c>
      <c r="AX190">
        <v>241797</v>
      </c>
      <c r="AZ190" t="s">
        <v>611</v>
      </c>
      <c r="BD190" t="s">
        <v>398</v>
      </c>
      <c r="BE190" t="s">
        <v>393</v>
      </c>
      <c r="BF190">
        <v>32046</v>
      </c>
      <c r="BG190" t="s">
        <v>2359</v>
      </c>
      <c r="BH190" t="s">
        <v>400</v>
      </c>
      <c r="BI190">
        <v>-81.985742305241203</v>
      </c>
      <c r="BJ190">
        <v>30.745306009265899</v>
      </c>
      <c r="BK190" t="s">
        <v>2360</v>
      </c>
      <c r="BL190" t="s">
        <v>2361</v>
      </c>
      <c r="BM190" t="s">
        <v>2362</v>
      </c>
      <c r="BN190" t="s">
        <v>1778</v>
      </c>
      <c r="BO190">
        <v>32041</v>
      </c>
      <c r="BP190" t="s">
        <v>404</v>
      </c>
      <c r="BQ190">
        <v>200</v>
      </c>
      <c r="BR190" t="s">
        <v>405</v>
      </c>
      <c r="BS190">
        <v>1006</v>
      </c>
      <c r="BT190" t="s">
        <v>406</v>
      </c>
      <c r="BW190">
        <v>258310</v>
      </c>
      <c r="BX190" t="s">
        <v>407</v>
      </c>
      <c r="BZ190">
        <v>4</v>
      </c>
      <c r="CA190">
        <v>1998</v>
      </c>
      <c r="CB190">
        <v>1</v>
      </c>
      <c r="CC190">
        <v>2</v>
      </c>
      <c r="CD190">
        <v>2017</v>
      </c>
      <c r="CE190">
        <v>47440</v>
      </c>
      <c r="CF190">
        <v>63677</v>
      </c>
      <c r="CG190">
        <v>111117</v>
      </c>
      <c r="CH190">
        <v>2017</v>
      </c>
      <c r="CI190">
        <v>47440</v>
      </c>
      <c r="CJ190">
        <v>63677</v>
      </c>
      <c r="CK190">
        <v>111117</v>
      </c>
      <c r="CL190">
        <v>2017</v>
      </c>
      <c r="CM190">
        <v>1682.19</v>
      </c>
      <c r="CN190" s="1">
        <v>35936</v>
      </c>
      <c r="CO190">
        <v>25900</v>
      </c>
      <c r="CZ190" s="1">
        <v>35936</v>
      </c>
      <c r="DD190" t="s">
        <v>398</v>
      </c>
      <c r="DF190">
        <v>21</v>
      </c>
      <c r="DG190">
        <v>23</v>
      </c>
      <c r="DL190">
        <v>50400</v>
      </c>
      <c r="DM190" t="s">
        <v>2313</v>
      </c>
      <c r="DO190" t="s">
        <v>2363</v>
      </c>
      <c r="DP190">
        <v>0</v>
      </c>
      <c r="DQ190">
        <v>0</v>
      </c>
      <c r="DR190" t="s">
        <v>411</v>
      </c>
    </row>
    <row r="191" spans="1:284" x14ac:dyDescent="0.25">
      <c r="A191">
        <v>16485198</v>
      </c>
      <c r="B191">
        <v>190</v>
      </c>
      <c r="C191" t="s">
        <v>393</v>
      </c>
      <c r="D191" t="s">
        <v>394</v>
      </c>
      <c r="F191" t="str">
        <f>"23-4N-23-2020-0023-0010"</f>
        <v>23-4N-23-2020-0023-0010</v>
      </c>
      <c r="H191" t="str">
        <f>"PHILLIPS GARY &amp; MONICA"</f>
        <v>PHILLIPS GARY &amp; MONICA</v>
      </c>
      <c r="I191" t="str">
        <f>"241811 CR 121"</f>
        <v>241811 CR 121</v>
      </c>
      <c r="J191" t="str">
        <f t="shared" ref="J191:J202" si="59">"HILLIARD FL 32046"</f>
        <v>HILLIARD FL 32046</v>
      </c>
      <c r="K191" t="str">
        <f>"241811 CR 121"</f>
        <v>241811 CR 121</v>
      </c>
      <c r="L191" t="str">
        <f t="shared" si="51"/>
        <v>HILLIARD FL 32046</v>
      </c>
      <c r="M191" t="str">
        <f>"PT OF LOT 23 IN OR 2078/431 R673075 &amp; R673076 &amp; R673077 CORNWALL SURVEY"</f>
        <v>PT OF LOT 23 IN OR 2078/431 R673075 &amp; R673076 &amp; R673077 CORNWALL SURVEY</v>
      </c>
      <c r="N191" t="str">
        <f>""</f>
        <v/>
      </c>
      <c r="O191" t="str">
        <f>"34264"</f>
        <v>34264</v>
      </c>
      <c r="P191" t="str">
        <f t="shared" si="45"/>
        <v>2017</v>
      </c>
      <c r="Q191" t="str">
        <f>""</f>
        <v/>
      </c>
      <c r="R191" t="str">
        <f>"N"</f>
        <v>N</v>
      </c>
      <c r="S191" t="str">
        <f>"4.33"</f>
        <v>4.33</v>
      </c>
      <c r="T191" t="str">
        <f>"1396.43"</f>
        <v>1396.43</v>
      </c>
      <c r="U191" t="str">
        <f>"92241.00"</f>
        <v>92241.00</v>
      </c>
      <c r="V191" t="str">
        <f>"92241.00"</f>
        <v>92241.00</v>
      </c>
      <c r="W191" t="str">
        <f t="shared" si="46"/>
        <v>2017</v>
      </c>
      <c r="X191" t="str">
        <f>"5.00"</f>
        <v>5.00</v>
      </c>
      <c r="Y191" t="str">
        <f>"1470.32"</f>
        <v>1470.32</v>
      </c>
      <c r="Z191" t="str">
        <f>""</f>
        <v/>
      </c>
      <c r="AA191" t="str">
        <f>"92241.00"</f>
        <v>92241.00</v>
      </c>
      <c r="AB191" t="str">
        <f t="shared" si="58"/>
        <v>Residential</v>
      </c>
      <c r="AC191" t="str">
        <f t="shared" si="47"/>
        <v>0</v>
      </c>
      <c r="AD191" t="str">
        <f>"4"</f>
        <v>4</v>
      </c>
      <c r="AE191" t="str">
        <f>"WOOD (INCLUDE STEEL STUDS)"</f>
        <v>WOOD (INCLUDE STEEL STUDS)</v>
      </c>
      <c r="AF191" t="str">
        <f>"002"</f>
        <v>002</v>
      </c>
      <c r="AG191" t="str">
        <f t="shared" si="55"/>
        <v>FL</v>
      </c>
      <c r="AH191" t="str">
        <f>"188614.00"</f>
        <v>188614.00</v>
      </c>
      <c r="AI191" t="str">
        <f>"34640.00"</f>
        <v>34640.00</v>
      </c>
      <c r="AJ191" t="str">
        <f>"C55-000-587-3360-1"</f>
        <v>C55-000-587-3360-1</v>
      </c>
      <c r="AK191" t="str">
        <f>"1989"</f>
        <v>1989</v>
      </c>
      <c r="AL191">
        <v>1</v>
      </c>
      <c r="AM191">
        <v>223</v>
      </c>
      <c r="AN191">
        <v>1542.24</v>
      </c>
      <c r="AQ191" t="s">
        <v>2364</v>
      </c>
      <c r="AR191" t="s">
        <v>2364</v>
      </c>
      <c r="AS191" t="s">
        <v>2364</v>
      </c>
      <c r="AU191" t="s">
        <v>396</v>
      </c>
      <c r="AV191">
        <v>2017</v>
      </c>
      <c r="AW191" t="str">
        <f>"23-4N-23-2020-0023-0010 "</f>
        <v xml:space="preserve">23-4N-23-2020-0023-0010 </v>
      </c>
      <c r="AX191">
        <v>241811</v>
      </c>
      <c r="AZ191" t="s">
        <v>611</v>
      </c>
      <c r="BD191" t="s">
        <v>398</v>
      </c>
      <c r="BE191" t="s">
        <v>393</v>
      </c>
      <c r="BF191">
        <v>32046</v>
      </c>
      <c r="BG191" t="s">
        <v>2365</v>
      </c>
      <c r="BH191" t="s">
        <v>400</v>
      </c>
      <c r="BI191">
        <v>-81.985457405926297</v>
      </c>
      <c r="BJ191">
        <v>30.747114889921601</v>
      </c>
      <c r="BK191" t="s">
        <v>2366</v>
      </c>
      <c r="BL191" t="s">
        <v>2367</v>
      </c>
      <c r="BM191" t="s">
        <v>2368</v>
      </c>
      <c r="BN191" t="s">
        <v>403</v>
      </c>
      <c r="BO191">
        <v>32046</v>
      </c>
      <c r="BP191" t="s">
        <v>416</v>
      </c>
      <c r="BQ191">
        <v>200</v>
      </c>
      <c r="BR191" t="s">
        <v>405</v>
      </c>
      <c r="BS191">
        <v>1006</v>
      </c>
      <c r="BT191" t="s">
        <v>406</v>
      </c>
      <c r="BW191">
        <v>188614</v>
      </c>
      <c r="BX191" t="s">
        <v>407</v>
      </c>
      <c r="BZ191">
        <v>4</v>
      </c>
      <c r="CA191">
        <v>1998</v>
      </c>
      <c r="CB191">
        <v>1</v>
      </c>
      <c r="CC191">
        <v>1</v>
      </c>
      <c r="CD191">
        <v>2017</v>
      </c>
      <c r="CE191">
        <v>34640</v>
      </c>
      <c r="CF191">
        <v>57601</v>
      </c>
      <c r="CG191">
        <v>92241</v>
      </c>
      <c r="CH191">
        <v>2017</v>
      </c>
      <c r="CI191">
        <v>34640</v>
      </c>
      <c r="CJ191">
        <v>57601</v>
      </c>
      <c r="CK191">
        <v>92241</v>
      </c>
      <c r="CL191">
        <v>2017</v>
      </c>
      <c r="CM191">
        <v>1396.43</v>
      </c>
      <c r="CN191" s="1">
        <v>42661</v>
      </c>
      <c r="CO191">
        <v>55000</v>
      </c>
      <c r="CV191">
        <v>0</v>
      </c>
      <c r="CZ191" s="1">
        <v>42661</v>
      </c>
      <c r="DA191">
        <v>0</v>
      </c>
      <c r="DD191" t="s">
        <v>398</v>
      </c>
      <c r="DF191">
        <v>23</v>
      </c>
      <c r="DG191">
        <v>23</v>
      </c>
      <c r="DL191">
        <v>50400</v>
      </c>
      <c r="DM191" t="s">
        <v>2313</v>
      </c>
      <c r="DO191" t="s">
        <v>2369</v>
      </c>
      <c r="DP191">
        <v>0</v>
      </c>
      <c r="DQ191">
        <v>0</v>
      </c>
      <c r="DR191" t="s">
        <v>411</v>
      </c>
      <c r="DS191" t="b">
        <v>1</v>
      </c>
      <c r="DT191" t="s">
        <v>470</v>
      </c>
      <c r="DU191" t="s">
        <v>471</v>
      </c>
      <c r="DV191" t="s">
        <v>472</v>
      </c>
      <c r="DX191">
        <v>-9999</v>
      </c>
      <c r="DZ191" t="s">
        <v>447</v>
      </c>
      <c r="EA191" t="s">
        <v>448</v>
      </c>
      <c r="EB191" t="s">
        <v>1224</v>
      </c>
      <c r="EC191">
        <v>20101217</v>
      </c>
      <c r="ED191" t="s">
        <v>474</v>
      </c>
      <c r="EF191">
        <v>1524.7</v>
      </c>
      <c r="EG191">
        <v>1524.7</v>
      </c>
      <c r="EI191">
        <v>20160407</v>
      </c>
      <c r="EJ191">
        <v>0</v>
      </c>
      <c r="EK191">
        <v>0</v>
      </c>
      <c r="EP191" t="s">
        <v>421</v>
      </c>
      <c r="EQ191" t="s">
        <v>422</v>
      </c>
      <c r="ER191">
        <v>0</v>
      </c>
      <c r="ES191">
        <v>2</v>
      </c>
      <c r="ET191">
        <v>0</v>
      </c>
      <c r="EU191">
        <v>0</v>
      </c>
      <c r="EV191">
        <v>0</v>
      </c>
      <c r="EW191" s="2">
        <v>43222</v>
      </c>
      <c r="EX191" s="1">
        <v>42515</v>
      </c>
      <c r="EY191">
        <v>2015</v>
      </c>
      <c r="EZ191">
        <v>1423.61</v>
      </c>
      <c r="FA191" t="s">
        <v>2370</v>
      </c>
      <c r="FB191">
        <v>0.25</v>
      </c>
      <c r="FC191" t="s">
        <v>424</v>
      </c>
      <c r="FD191" t="s">
        <v>425</v>
      </c>
      <c r="FE191" s="1">
        <v>42660</v>
      </c>
      <c r="FF191">
        <v>5</v>
      </c>
      <c r="FG191">
        <v>7045074</v>
      </c>
      <c r="FH191" t="s">
        <v>580</v>
      </c>
      <c r="FJ191" s="1">
        <v>42515</v>
      </c>
      <c r="FK191">
        <v>2015</v>
      </c>
      <c r="FL191">
        <v>1423.61</v>
      </c>
      <c r="FM191" t="s">
        <v>2370</v>
      </c>
      <c r="FN191">
        <v>0.25</v>
      </c>
      <c r="FO191" t="s">
        <v>424</v>
      </c>
      <c r="FP191" t="s">
        <v>425</v>
      </c>
      <c r="FR191">
        <v>22</v>
      </c>
      <c r="FS191">
        <v>6329719</v>
      </c>
      <c r="FT191" t="s">
        <v>2371</v>
      </c>
    </row>
    <row r="192" spans="1:284" x14ac:dyDescent="0.25">
      <c r="A192">
        <v>16485199</v>
      </c>
      <c r="B192">
        <v>191</v>
      </c>
      <c r="C192" t="s">
        <v>393</v>
      </c>
      <c r="D192" t="s">
        <v>394</v>
      </c>
      <c r="F192" t="str">
        <f>"23-4N-23-2020-0050-0010"</f>
        <v>23-4N-23-2020-0050-0010</v>
      </c>
      <c r="H192" t="str">
        <f>"ROBLING BETTY JEAN L/E"</f>
        <v>ROBLING BETTY JEAN L/E</v>
      </c>
      <c r="I192" t="str">
        <f>"281101 SUNDBERG ROAD"</f>
        <v>281101 SUNDBERG ROAD</v>
      </c>
      <c r="J192" t="str">
        <f t="shared" si="59"/>
        <v>HILLIARD FL 32046</v>
      </c>
      <c r="K192" t="str">
        <f>"281101 SUNDBERG RD"</f>
        <v>281101 SUNDBERG RD</v>
      </c>
      <c r="L192" t="str">
        <f t="shared" si="51"/>
        <v>HILLIARD FL 32046</v>
      </c>
      <c r="M192" t="str">
        <f>"PT OF LOT 50 IN OR 2078/1715 CORNWALL SURVEY PBK 0/31"</f>
        <v>PT OF LOT 50 IN OR 2078/1715 CORNWALL SURVEY PBK 0/31</v>
      </c>
      <c r="N192" t="str">
        <f>""</f>
        <v/>
      </c>
      <c r="O192" t="str">
        <f>"34280"</f>
        <v>34280</v>
      </c>
      <c r="P192" t="str">
        <f t="shared" si="45"/>
        <v>2017</v>
      </c>
      <c r="Q192" t="str">
        <f>""</f>
        <v/>
      </c>
      <c r="R192" t="str">
        <f>"Y"</f>
        <v>Y</v>
      </c>
      <c r="S192" t="str">
        <f>"2.00"</f>
        <v>2.00</v>
      </c>
      <c r="T192" t="str">
        <f>"819.81"</f>
        <v>819.81</v>
      </c>
      <c r="U192" t="str">
        <f>"93258.00"</f>
        <v>93258.00</v>
      </c>
      <c r="V192" t="str">
        <f>"93258.00"</f>
        <v>93258.00</v>
      </c>
      <c r="W192" t="str">
        <f t="shared" si="46"/>
        <v>2017</v>
      </c>
      <c r="X192" t="str">
        <f>"20.00"</f>
        <v>20.00</v>
      </c>
      <c r="Y192" t="str">
        <f>"876.40"</f>
        <v>876.40</v>
      </c>
      <c r="Z192" t="str">
        <f>"25000.00"</f>
        <v>25000.00</v>
      </c>
      <c r="AA192" t="str">
        <f>"68258.00"</f>
        <v>68258.00</v>
      </c>
      <c r="AB192" t="str">
        <f t="shared" si="58"/>
        <v>Residential</v>
      </c>
      <c r="AC192" t="str">
        <f t="shared" si="47"/>
        <v>0</v>
      </c>
      <c r="AD192" t="str">
        <f>"4"</f>
        <v>4</v>
      </c>
      <c r="AE192" t="str">
        <f>"WOOD (INCLUDE STEEL STUDS)"</f>
        <v>WOOD (INCLUDE STEEL STUDS)</v>
      </c>
      <c r="AF192" t="str">
        <f>"001"</f>
        <v>001</v>
      </c>
      <c r="AG192" t="str">
        <f t="shared" si="55"/>
        <v>FL</v>
      </c>
      <c r="AH192" t="str">
        <f>"87120.00"</f>
        <v>87120.00</v>
      </c>
      <c r="AI192" t="str">
        <f>"24000.00"</f>
        <v>24000.00</v>
      </c>
      <c r="AJ192" t="str">
        <f>"C55-000-587-3373-4"</f>
        <v>C55-000-587-3373-4</v>
      </c>
      <c r="AK192" t="str">
        <f>"2005"</f>
        <v>2005</v>
      </c>
      <c r="AL192">
        <v>1</v>
      </c>
      <c r="AM192">
        <v>224</v>
      </c>
      <c r="AN192">
        <v>918.62</v>
      </c>
      <c r="AQ192" t="s">
        <v>2372</v>
      </c>
      <c r="AR192" t="s">
        <v>2372</v>
      </c>
      <c r="AS192" t="s">
        <v>2372</v>
      </c>
      <c r="AU192" t="s">
        <v>396</v>
      </c>
      <c r="AV192">
        <v>2017</v>
      </c>
      <c r="AW192" t="str">
        <f>"23-4N-23-2020-0050-0010 "</f>
        <v xml:space="preserve">23-4N-23-2020-0050-0010 </v>
      </c>
      <c r="AX192">
        <v>281101</v>
      </c>
      <c r="AZ192" t="s">
        <v>2373</v>
      </c>
      <c r="BA192" t="s">
        <v>496</v>
      </c>
      <c r="BD192" t="s">
        <v>398</v>
      </c>
      <c r="BE192" t="s">
        <v>393</v>
      </c>
      <c r="BF192">
        <v>32046</v>
      </c>
      <c r="BG192" t="s">
        <v>2374</v>
      </c>
      <c r="BH192" t="s">
        <v>400</v>
      </c>
      <c r="BI192">
        <v>-81.977896050132102</v>
      </c>
      <c r="BJ192">
        <v>30.742790227282999</v>
      </c>
      <c r="BK192" t="s">
        <v>2375</v>
      </c>
      <c r="BL192" t="s">
        <v>2376</v>
      </c>
      <c r="BM192" t="s">
        <v>2377</v>
      </c>
      <c r="BN192" t="s">
        <v>403</v>
      </c>
      <c r="BO192">
        <v>32046</v>
      </c>
      <c r="BP192" t="s">
        <v>404</v>
      </c>
      <c r="BQ192">
        <v>100</v>
      </c>
      <c r="BR192" t="s">
        <v>514</v>
      </c>
      <c r="BS192">
        <v>1001</v>
      </c>
      <c r="BT192" t="s">
        <v>515</v>
      </c>
      <c r="BW192">
        <v>87120</v>
      </c>
      <c r="BX192" t="s">
        <v>407</v>
      </c>
      <c r="BY192" t="s">
        <v>408</v>
      </c>
      <c r="BZ192">
        <v>4</v>
      </c>
      <c r="CA192">
        <v>1987</v>
      </c>
      <c r="CB192">
        <v>2</v>
      </c>
      <c r="CC192">
        <v>1</v>
      </c>
      <c r="CD192">
        <v>2017</v>
      </c>
      <c r="CG192">
        <v>93258</v>
      </c>
      <c r="CH192">
        <v>2017</v>
      </c>
      <c r="CI192">
        <v>24000</v>
      </c>
      <c r="CJ192">
        <v>85234</v>
      </c>
      <c r="CK192">
        <v>109234</v>
      </c>
      <c r="CL192">
        <v>2017</v>
      </c>
      <c r="CM192">
        <v>819.81</v>
      </c>
      <c r="CN192" s="1">
        <v>33395</v>
      </c>
      <c r="CO192">
        <v>43500</v>
      </c>
      <c r="CZ192" s="1">
        <v>33395</v>
      </c>
      <c r="DD192" t="s">
        <v>398</v>
      </c>
      <c r="DF192">
        <v>50</v>
      </c>
      <c r="DG192">
        <v>23</v>
      </c>
      <c r="DJ192" t="s">
        <v>1990</v>
      </c>
      <c r="DL192">
        <v>50400</v>
      </c>
      <c r="DM192" t="s">
        <v>2313</v>
      </c>
      <c r="DO192" t="s">
        <v>2378</v>
      </c>
      <c r="DP192">
        <v>0</v>
      </c>
      <c r="DQ192">
        <v>0</v>
      </c>
      <c r="DR192" t="s">
        <v>411</v>
      </c>
      <c r="DS192" t="b">
        <v>1</v>
      </c>
      <c r="DT192" t="s">
        <v>470</v>
      </c>
      <c r="DU192" t="s">
        <v>471</v>
      </c>
      <c r="DV192" t="s">
        <v>472</v>
      </c>
      <c r="DX192">
        <v>-9999</v>
      </c>
      <c r="DZ192" t="s">
        <v>447</v>
      </c>
      <c r="EA192" t="s">
        <v>448</v>
      </c>
      <c r="EB192" t="s">
        <v>1224</v>
      </c>
      <c r="EC192">
        <v>20101217</v>
      </c>
      <c r="ED192" t="s">
        <v>474</v>
      </c>
      <c r="EF192">
        <v>2146.1</v>
      </c>
      <c r="EG192">
        <v>2146.1</v>
      </c>
      <c r="EI192">
        <v>20160407</v>
      </c>
      <c r="EJ192">
        <v>0</v>
      </c>
      <c r="EK192">
        <v>0</v>
      </c>
      <c r="EP192" t="s">
        <v>421</v>
      </c>
      <c r="EQ192" t="s">
        <v>422</v>
      </c>
      <c r="ER192">
        <v>2</v>
      </c>
      <c r="ES192">
        <v>4</v>
      </c>
      <c r="ET192">
        <v>1794.04</v>
      </c>
      <c r="EU192">
        <v>102.2</v>
      </c>
      <c r="EV192">
        <v>1896.24</v>
      </c>
      <c r="EW192" s="2">
        <v>43222</v>
      </c>
      <c r="EX192" s="1">
        <v>42879</v>
      </c>
      <c r="EY192">
        <v>2016</v>
      </c>
      <c r="EZ192">
        <v>897.02</v>
      </c>
      <c r="FA192" t="s">
        <v>2379</v>
      </c>
      <c r="FB192">
        <v>0.25</v>
      </c>
      <c r="FC192" t="s">
        <v>424</v>
      </c>
      <c r="FD192" t="s">
        <v>454</v>
      </c>
      <c r="FF192">
        <v>12</v>
      </c>
      <c r="FG192">
        <v>11289</v>
      </c>
      <c r="FH192" t="s">
        <v>787</v>
      </c>
      <c r="FJ192" s="1">
        <v>42879</v>
      </c>
      <c r="FK192">
        <v>2016</v>
      </c>
      <c r="FL192">
        <v>897.02</v>
      </c>
      <c r="FM192" t="s">
        <v>2379</v>
      </c>
      <c r="FN192">
        <v>0.25</v>
      </c>
      <c r="FO192" t="s">
        <v>424</v>
      </c>
      <c r="FP192" t="s">
        <v>454</v>
      </c>
      <c r="FR192">
        <v>12</v>
      </c>
      <c r="FS192">
        <v>7102320</v>
      </c>
      <c r="FT192" t="s">
        <v>2380</v>
      </c>
      <c r="FV192" s="1">
        <v>42515</v>
      </c>
      <c r="FW192">
        <v>2015</v>
      </c>
      <c r="FX192">
        <v>907.59</v>
      </c>
      <c r="FY192" t="s">
        <v>2381</v>
      </c>
      <c r="FZ192">
        <v>0.25</v>
      </c>
      <c r="GA192" t="s">
        <v>424</v>
      </c>
      <c r="GB192" t="s">
        <v>425</v>
      </c>
      <c r="GC192" s="1">
        <v>43136</v>
      </c>
      <c r="GD192">
        <v>21</v>
      </c>
      <c r="GE192">
        <v>2851116</v>
      </c>
      <c r="GF192" t="s">
        <v>480</v>
      </c>
      <c r="GH192" s="1">
        <v>42515</v>
      </c>
      <c r="GI192">
        <v>2015</v>
      </c>
      <c r="GJ192">
        <v>907.59</v>
      </c>
      <c r="GK192" t="s">
        <v>2381</v>
      </c>
      <c r="GL192">
        <v>0.25</v>
      </c>
      <c r="GM192" t="s">
        <v>424</v>
      </c>
      <c r="GN192" t="s">
        <v>425</v>
      </c>
      <c r="GP192">
        <v>22</v>
      </c>
      <c r="GQ192">
        <v>5493344</v>
      </c>
      <c r="GR192" t="s">
        <v>2382</v>
      </c>
      <c r="GT192" s="1">
        <v>42151</v>
      </c>
      <c r="GU192">
        <v>2014</v>
      </c>
      <c r="GV192">
        <v>900.49</v>
      </c>
      <c r="GW192" t="s">
        <v>2383</v>
      </c>
      <c r="GX192">
        <v>0.25</v>
      </c>
      <c r="GY192" t="s">
        <v>424</v>
      </c>
      <c r="GZ192" t="s">
        <v>425</v>
      </c>
      <c r="HA192" s="1">
        <v>42706</v>
      </c>
      <c r="HB192">
        <v>19</v>
      </c>
      <c r="HC192">
        <v>2851116</v>
      </c>
      <c r="HD192" t="s">
        <v>480</v>
      </c>
      <c r="HF192" s="1">
        <v>42151</v>
      </c>
      <c r="HG192">
        <v>2014</v>
      </c>
      <c r="HH192">
        <v>900.49</v>
      </c>
      <c r="HI192" t="s">
        <v>2383</v>
      </c>
      <c r="HJ192">
        <v>0.25</v>
      </c>
      <c r="HK192" t="s">
        <v>424</v>
      </c>
      <c r="HL192" t="s">
        <v>425</v>
      </c>
      <c r="HN192">
        <v>22</v>
      </c>
      <c r="HO192">
        <v>5311085</v>
      </c>
      <c r="HP192" t="s">
        <v>2384</v>
      </c>
    </row>
    <row r="193" spans="1:260" x14ac:dyDescent="0.25">
      <c r="A193">
        <v>16485200</v>
      </c>
      <c r="B193">
        <v>192</v>
      </c>
      <c r="C193" t="s">
        <v>393</v>
      </c>
      <c r="D193" t="s">
        <v>394</v>
      </c>
      <c r="F193" t="str">
        <f>"24-4N-23-0000-0002-0000"</f>
        <v>24-4N-23-0000-0002-0000</v>
      </c>
      <c r="H193" t="str">
        <f>"ANDREU ALAN A"</f>
        <v>ANDREU ALAN A</v>
      </c>
      <c r="I193" t="str">
        <f>"554041 US HWY 1 NORTH"</f>
        <v>554041 US HWY 1 NORTH</v>
      </c>
      <c r="J193" t="str">
        <f t="shared" si="59"/>
        <v>HILLIARD FL 32046</v>
      </c>
      <c r="K193" t="str">
        <f>"US HWY 1"</f>
        <v>US HWY 1</v>
      </c>
      <c r="L193" t="str">
        <f>"YULEE FL 32097"</f>
        <v>YULEE FL 32097</v>
      </c>
      <c r="M193" t="str">
        <f>"GOVT LOT 6 OF SEC 24-4N-23E IN OR 1491/706 (EX UTIL ESMT IN OR 1321/1969)"</f>
        <v>GOVT LOT 6 OF SEC 24-4N-23E IN OR 1491/706 (EX UTIL ESMT IN OR 1321/1969)</v>
      </c>
      <c r="N193" t="str">
        <f>""</f>
        <v/>
      </c>
      <c r="O193" t="str">
        <f>"34895"</f>
        <v>34895</v>
      </c>
      <c r="P193" t="str">
        <f t="shared" si="45"/>
        <v>2017</v>
      </c>
      <c r="Q193" t="str">
        <f>""</f>
        <v/>
      </c>
      <c r="R193" t="str">
        <f>"N"</f>
        <v>N</v>
      </c>
      <c r="S193" t="str">
        <f>"9.00"</f>
        <v>9.00</v>
      </c>
      <c r="T193" t="str">
        <f>"813.00"</f>
        <v>813.00</v>
      </c>
      <c r="U193" t="str">
        <f>"53703.00"</f>
        <v>53703.00</v>
      </c>
      <c r="V193" t="str">
        <f>"53703.00"</f>
        <v>53703.00</v>
      </c>
      <c r="W193" t="str">
        <f t="shared" si="46"/>
        <v>2017</v>
      </c>
      <c r="X193" t="str">
        <f>"19.90"</f>
        <v>19.90</v>
      </c>
      <c r="Y193" t="str">
        <f>"869.39"</f>
        <v>869.39</v>
      </c>
      <c r="Z193" t="str">
        <f>""</f>
        <v/>
      </c>
      <c r="AA193" t="str">
        <f>"53703.00"</f>
        <v>53703.00</v>
      </c>
      <c r="AB193" t="str">
        <f>"Commercial"</f>
        <v>Commercial</v>
      </c>
      <c r="AC193" t="str">
        <f t="shared" si="47"/>
        <v>0</v>
      </c>
      <c r="AD193" t="str">
        <f>""</f>
        <v/>
      </c>
      <c r="AE193" t="str">
        <f>""</f>
        <v/>
      </c>
      <c r="AF193" t="str">
        <f>"010"</f>
        <v>010</v>
      </c>
      <c r="AG193" t="str">
        <f t="shared" si="55"/>
        <v>FL</v>
      </c>
      <c r="AH193" t="str">
        <f>"392040.00"</f>
        <v>392040.00</v>
      </c>
      <c r="AI193" t="str">
        <f>"36000.00"</f>
        <v>36000.00</v>
      </c>
      <c r="AJ193" t="str">
        <f>"C55-000-587-3833-7"</f>
        <v>C55-000-587-3833-7</v>
      </c>
      <c r="AK193" t="str">
        <f>"2026"</f>
        <v>2026</v>
      </c>
      <c r="AL193">
        <v>1</v>
      </c>
      <c r="AM193">
        <v>225</v>
      </c>
      <c r="AN193">
        <v>911.26</v>
      </c>
      <c r="AQ193" t="s">
        <v>2385</v>
      </c>
      <c r="AR193" t="s">
        <v>2385</v>
      </c>
      <c r="AS193" t="s">
        <v>2385</v>
      </c>
      <c r="AU193" t="s">
        <v>396</v>
      </c>
      <c r="AV193">
        <v>2017</v>
      </c>
      <c r="AW193" t="str">
        <f>"24-4N-23-0000-0002-0000 "</f>
        <v xml:space="preserve">24-4N-23-0000-0002-0000 </v>
      </c>
      <c r="AZ193" t="s">
        <v>2386</v>
      </c>
      <c r="BD193" t="s">
        <v>2387</v>
      </c>
      <c r="BE193" t="s">
        <v>393</v>
      </c>
      <c r="BF193">
        <v>32097</v>
      </c>
      <c r="BG193" t="s">
        <v>2386</v>
      </c>
      <c r="BH193" t="s">
        <v>2388</v>
      </c>
      <c r="BI193">
        <v>-81.959353482463897</v>
      </c>
      <c r="BJ193">
        <v>30.745530507334902</v>
      </c>
      <c r="BK193" t="s">
        <v>2389</v>
      </c>
      <c r="BM193" t="s">
        <v>2390</v>
      </c>
      <c r="BN193" t="s">
        <v>403</v>
      </c>
      <c r="BO193">
        <v>32046</v>
      </c>
      <c r="BP193" t="s">
        <v>404</v>
      </c>
      <c r="BQ193">
        <v>1001</v>
      </c>
      <c r="BR193" t="s">
        <v>2391</v>
      </c>
      <c r="BS193">
        <v>8002</v>
      </c>
      <c r="BT193" t="s">
        <v>2392</v>
      </c>
      <c r="BW193">
        <v>392040</v>
      </c>
      <c r="BX193" t="s">
        <v>407</v>
      </c>
      <c r="BY193" t="s">
        <v>408</v>
      </c>
      <c r="CD193">
        <v>2017</v>
      </c>
      <c r="CE193">
        <v>36000</v>
      </c>
      <c r="CF193">
        <v>17703</v>
      </c>
      <c r="CG193">
        <v>53703</v>
      </c>
      <c r="CH193">
        <v>2017</v>
      </c>
      <c r="CI193">
        <v>36000</v>
      </c>
      <c r="CJ193">
        <v>17703</v>
      </c>
      <c r="CK193">
        <v>53703</v>
      </c>
      <c r="CL193">
        <v>2017</v>
      </c>
      <c r="CM193">
        <v>813</v>
      </c>
      <c r="CN193" s="1">
        <v>39182</v>
      </c>
      <c r="CZ193" s="1">
        <v>39182</v>
      </c>
      <c r="DD193" t="s">
        <v>2387</v>
      </c>
      <c r="DF193">
        <v>6</v>
      </c>
      <c r="DG193">
        <v>24</v>
      </c>
      <c r="DM193" t="s">
        <v>2393</v>
      </c>
      <c r="DO193" t="s">
        <v>2394</v>
      </c>
      <c r="DP193">
        <v>0</v>
      </c>
      <c r="DQ193">
        <v>0</v>
      </c>
      <c r="DR193" t="s">
        <v>411</v>
      </c>
      <c r="DS193" t="b">
        <v>1</v>
      </c>
      <c r="DT193" t="s">
        <v>470</v>
      </c>
      <c r="DU193" t="s">
        <v>471</v>
      </c>
      <c r="DV193" t="s">
        <v>472</v>
      </c>
      <c r="DX193">
        <v>-9999</v>
      </c>
      <c r="DZ193" t="s">
        <v>447</v>
      </c>
      <c r="EA193" t="s">
        <v>448</v>
      </c>
      <c r="EB193" t="s">
        <v>1224</v>
      </c>
      <c r="EC193">
        <v>20101217</v>
      </c>
      <c r="ED193" t="s">
        <v>474</v>
      </c>
      <c r="EF193">
        <v>805.1</v>
      </c>
      <c r="EG193">
        <v>805.1</v>
      </c>
      <c r="EI193">
        <v>20160407</v>
      </c>
      <c r="EJ193">
        <v>0</v>
      </c>
      <c r="EK193">
        <v>0</v>
      </c>
      <c r="EP193" t="s">
        <v>421</v>
      </c>
      <c r="EQ193" t="s">
        <v>422</v>
      </c>
      <c r="ER193">
        <v>1</v>
      </c>
      <c r="ES193">
        <v>6</v>
      </c>
      <c r="ET193">
        <v>910.3</v>
      </c>
      <c r="EU193">
        <v>51.76</v>
      </c>
      <c r="EV193">
        <v>962.06</v>
      </c>
      <c r="EW193" s="2">
        <v>43222</v>
      </c>
      <c r="EX193" s="1">
        <v>42879</v>
      </c>
      <c r="EY193">
        <v>2016</v>
      </c>
      <c r="EZ193">
        <v>910.3</v>
      </c>
      <c r="FA193" t="s">
        <v>2395</v>
      </c>
      <c r="FB193">
        <v>0.25</v>
      </c>
      <c r="FC193" t="s">
        <v>424</v>
      </c>
      <c r="FD193" t="s">
        <v>454</v>
      </c>
      <c r="FF193">
        <v>12</v>
      </c>
      <c r="FG193">
        <v>7336745</v>
      </c>
      <c r="FH193" t="s">
        <v>502</v>
      </c>
      <c r="FJ193" s="1">
        <v>42515</v>
      </c>
      <c r="FK193">
        <v>2015</v>
      </c>
      <c r="FL193">
        <v>944.77</v>
      </c>
      <c r="FM193" t="s">
        <v>2396</v>
      </c>
      <c r="FN193">
        <v>6.25</v>
      </c>
      <c r="FO193" t="s">
        <v>424</v>
      </c>
      <c r="FP193" t="s">
        <v>425</v>
      </c>
      <c r="FQ193" s="1">
        <v>43153</v>
      </c>
      <c r="FR193">
        <v>21</v>
      </c>
      <c r="FS193">
        <v>2035919</v>
      </c>
      <c r="FT193" t="s">
        <v>507</v>
      </c>
      <c r="FV193" s="1">
        <v>42151</v>
      </c>
      <c r="FW193">
        <v>2014</v>
      </c>
      <c r="FX193">
        <v>967.5</v>
      </c>
      <c r="FY193" t="s">
        <v>2397</v>
      </c>
      <c r="FZ193">
        <v>4.75</v>
      </c>
      <c r="GA193" t="s">
        <v>424</v>
      </c>
      <c r="GB193" t="s">
        <v>425</v>
      </c>
      <c r="GC193" s="1">
        <v>42825</v>
      </c>
      <c r="GD193">
        <v>22</v>
      </c>
      <c r="GE193">
        <v>4975593</v>
      </c>
      <c r="GF193" t="s">
        <v>505</v>
      </c>
      <c r="GH193" s="1">
        <v>41787</v>
      </c>
      <c r="GI193">
        <v>2013</v>
      </c>
      <c r="GJ193">
        <v>797.16</v>
      </c>
      <c r="GK193" t="s">
        <v>2398</v>
      </c>
      <c r="GL193">
        <v>9.75</v>
      </c>
      <c r="GM193" t="s">
        <v>424</v>
      </c>
      <c r="GN193" t="s">
        <v>425</v>
      </c>
      <c r="GO193" s="1">
        <v>42429</v>
      </c>
      <c r="GP193">
        <v>21</v>
      </c>
      <c r="GQ193">
        <v>2035919</v>
      </c>
      <c r="GR193" t="s">
        <v>507</v>
      </c>
      <c r="GT193" s="1">
        <v>41423</v>
      </c>
      <c r="GU193">
        <v>2012</v>
      </c>
      <c r="GV193">
        <v>905.03</v>
      </c>
      <c r="GW193" t="s">
        <v>2399</v>
      </c>
      <c r="GX193">
        <v>5.75</v>
      </c>
      <c r="GY193" t="s">
        <v>424</v>
      </c>
      <c r="GZ193" t="s">
        <v>425</v>
      </c>
      <c r="HA193" s="1">
        <v>42024</v>
      </c>
      <c r="HB193">
        <v>20</v>
      </c>
      <c r="HC193">
        <v>15407</v>
      </c>
      <c r="HD193" t="s">
        <v>1134</v>
      </c>
      <c r="HF193" s="1">
        <v>41052</v>
      </c>
      <c r="HG193">
        <v>2011</v>
      </c>
      <c r="HH193">
        <v>1042.3599999999999</v>
      </c>
      <c r="HI193" t="s">
        <v>2400</v>
      </c>
      <c r="HJ193">
        <v>5.75</v>
      </c>
      <c r="HK193" t="s">
        <v>424</v>
      </c>
      <c r="HL193" t="s">
        <v>425</v>
      </c>
      <c r="HM193" s="1">
        <v>41688</v>
      </c>
      <c r="HN193">
        <v>21</v>
      </c>
      <c r="HO193">
        <v>10125</v>
      </c>
      <c r="HP193" t="s">
        <v>440</v>
      </c>
      <c r="HR193" s="1">
        <v>40688</v>
      </c>
      <c r="HS193">
        <v>2010</v>
      </c>
      <c r="HT193">
        <v>1145.57</v>
      </c>
      <c r="HU193" t="s">
        <v>2401</v>
      </c>
      <c r="HV193">
        <v>9</v>
      </c>
      <c r="HW193" t="s">
        <v>424</v>
      </c>
      <c r="HX193" t="s">
        <v>425</v>
      </c>
      <c r="HY193" s="1">
        <v>41351</v>
      </c>
      <c r="HZ193">
        <v>22</v>
      </c>
      <c r="IA193">
        <v>11325</v>
      </c>
      <c r="IB193" t="s">
        <v>2402</v>
      </c>
    </row>
    <row r="194" spans="1:260" x14ac:dyDescent="0.25">
      <c r="A194">
        <v>16485201</v>
      </c>
      <c r="B194">
        <v>193</v>
      </c>
      <c r="C194" t="s">
        <v>393</v>
      </c>
      <c r="D194" t="s">
        <v>394</v>
      </c>
      <c r="F194" t="str">
        <f>"25-4N-23-0000-0003-0040"</f>
        <v>25-4N-23-0000-0003-0040</v>
      </c>
      <c r="H194" t="str">
        <f>"STONE CHERYL A"</f>
        <v>STONE CHERYL A</v>
      </c>
      <c r="I194" t="str">
        <f>"28063 POTOCHINK RD"</f>
        <v>28063 POTOCHINK RD</v>
      </c>
      <c r="J194" t="str">
        <f t="shared" si="59"/>
        <v>HILLIARD FL 32046</v>
      </c>
      <c r="K194" t="str">
        <f>"28063 POTOCHNIK RD"</f>
        <v>28063 POTOCHNIK RD</v>
      </c>
      <c r="L194" t="str">
        <f t="shared" ref="L194:L229" si="60">"HILLIARD FL 32046"</f>
        <v>HILLIARD FL 32046</v>
      </c>
      <c r="M194" t="str">
        <f>"PT OF E1/2 OF SW1/4 OF SE1/4 IN OR 1398/1383"</f>
        <v>PT OF E1/2 OF SW1/4 OF SE1/4 IN OR 1398/1383</v>
      </c>
      <c r="N194" t="str">
        <f>""</f>
        <v/>
      </c>
      <c r="O194" t="str">
        <f>"35881"</f>
        <v>35881</v>
      </c>
      <c r="P194" t="str">
        <f t="shared" ref="P194:P257" si="61">"2017"</f>
        <v>2017</v>
      </c>
      <c r="Q194" t="str">
        <f>""</f>
        <v/>
      </c>
      <c r="R194" t="str">
        <f>"Y"</f>
        <v>Y</v>
      </c>
      <c r="S194" t="str">
        <f>"2.26"</f>
        <v>2.26</v>
      </c>
      <c r="T194" t="str">
        <f>"553.02"</f>
        <v>553.02</v>
      </c>
      <c r="U194" t="str">
        <f>"75634.00"</f>
        <v>75634.00</v>
      </c>
      <c r="V194" t="str">
        <f>"75634.00"</f>
        <v>75634.00</v>
      </c>
      <c r="W194" t="str">
        <f t="shared" ref="W194:W257" si="62">"2017"</f>
        <v>2017</v>
      </c>
      <c r="X194" t="str">
        <f>""</f>
        <v/>
      </c>
      <c r="Y194" t="str">
        <f>"601.61"</f>
        <v>601.61</v>
      </c>
      <c r="Z194" t="str">
        <f>"25000.00"</f>
        <v>25000.00</v>
      </c>
      <c r="AA194" t="str">
        <f>"50634.00"</f>
        <v>50634.00</v>
      </c>
      <c r="AB194" t="str">
        <f t="shared" ref="AB194:AB207" si="63">"Residential"</f>
        <v>Residential</v>
      </c>
      <c r="AC194" t="str">
        <f t="shared" ref="AC194:AC257" si="64">"0"</f>
        <v>0</v>
      </c>
      <c r="AD194" t="str">
        <f>"4"</f>
        <v>4</v>
      </c>
      <c r="AE194" t="str">
        <f>"WOOD (INCLUDE STEEL STUDS)"</f>
        <v>WOOD (INCLUDE STEEL STUDS)</v>
      </c>
      <c r="AF194" t="str">
        <f>"001"</f>
        <v>001</v>
      </c>
      <c r="AG194" t="str">
        <f t="shared" si="55"/>
        <v>FL</v>
      </c>
      <c r="AH194" t="str">
        <f>"98445.00"</f>
        <v>98445.00</v>
      </c>
      <c r="AI194" t="str">
        <f>"27120.00"</f>
        <v>27120.00</v>
      </c>
      <c r="AJ194" t="str">
        <f>"C55-000-587-4393-1"</f>
        <v>C55-000-587-4393-1</v>
      </c>
      <c r="AK194" t="str">
        <f>"2039"</f>
        <v>2039</v>
      </c>
      <c r="AL194">
        <v>1</v>
      </c>
      <c r="AM194">
        <v>226</v>
      </c>
      <c r="AN194">
        <v>630.09</v>
      </c>
      <c r="AQ194" t="s">
        <v>2403</v>
      </c>
      <c r="AR194" t="s">
        <v>2403</v>
      </c>
      <c r="AS194" t="s">
        <v>2403</v>
      </c>
      <c r="AU194" t="s">
        <v>396</v>
      </c>
      <c r="AV194">
        <v>2017</v>
      </c>
      <c r="AW194" t="str">
        <f>"25-4N-23-0000-0003-0040 "</f>
        <v xml:space="preserve">25-4N-23-0000-0003-0040 </v>
      </c>
      <c r="AX194">
        <v>28063</v>
      </c>
      <c r="AZ194" t="s">
        <v>2404</v>
      </c>
      <c r="BA194" t="s">
        <v>496</v>
      </c>
      <c r="BD194" t="s">
        <v>398</v>
      </c>
      <c r="BE194" t="s">
        <v>393</v>
      </c>
      <c r="BF194">
        <v>32046</v>
      </c>
      <c r="BG194" t="s">
        <v>2405</v>
      </c>
      <c r="BH194" t="s">
        <v>400</v>
      </c>
      <c r="BI194">
        <v>-81.964132173133393</v>
      </c>
      <c r="BJ194">
        <v>30.727634877773799</v>
      </c>
      <c r="BK194" t="s">
        <v>2406</v>
      </c>
      <c r="BM194" t="s">
        <v>2407</v>
      </c>
      <c r="BN194" t="s">
        <v>403</v>
      </c>
      <c r="BO194">
        <v>32046</v>
      </c>
      <c r="BP194" t="s">
        <v>416</v>
      </c>
      <c r="BQ194">
        <v>100</v>
      </c>
      <c r="BR194" t="s">
        <v>514</v>
      </c>
      <c r="BS194">
        <v>1001</v>
      </c>
      <c r="BT194" t="s">
        <v>515</v>
      </c>
      <c r="BW194">
        <v>98445</v>
      </c>
      <c r="BX194" t="s">
        <v>407</v>
      </c>
      <c r="BZ194">
        <v>4</v>
      </c>
      <c r="CA194">
        <v>1960</v>
      </c>
      <c r="CB194">
        <v>1</v>
      </c>
      <c r="CC194">
        <v>1</v>
      </c>
      <c r="CD194">
        <v>2017</v>
      </c>
      <c r="CG194">
        <v>75634</v>
      </c>
      <c r="CH194">
        <v>2017</v>
      </c>
      <c r="CI194">
        <v>27120</v>
      </c>
      <c r="CJ194">
        <v>65055</v>
      </c>
      <c r="CK194">
        <v>92175</v>
      </c>
      <c r="CL194">
        <v>2017</v>
      </c>
      <c r="CM194">
        <v>553.02</v>
      </c>
      <c r="CN194" s="1">
        <v>38800</v>
      </c>
      <c r="CO194">
        <v>132000</v>
      </c>
      <c r="CV194">
        <v>0</v>
      </c>
      <c r="CZ194" s="1">
        <v>38800</v>
      </c>
      <c r="DA194">
        <v>0</v>
      </c>
      <c r="DD194" t="s">
        <v>398</v>
      </c>
      <c r="DG194">
        <v>25</v>
      </c>
      <c r="DL194">
        <v>50400</v>
      </c>
      <c r="DM194" t="s">
        <v>2408</v>
      </c>
      <c r="DO194" t="s">
        <v>2409</v>
      </c>
      <c r="DP194">
        <v>0</v>
      </c>
      <c r="DQ194">
        <v>0</v>
      </c>
      <c r="DR194" t="s">
        <v>411</v>
      </c>
    </row>
    <row r="195" spans="1:260" x14ac:dyDescent="0.25">
      <c r="A195">
        <v>16485202</v>
      </c>
      <c r="B195">
        <v>194</v>
      </c>
      <c r="C195" t="s">
        <v>393</v>
      </c>
      <c r="D195" t="s">
        <v>394</v>
      </c>
      <c r="F195" t="str">
        <f>"25-4N-23-2020-0016-0030"</f>
        <v>25-4N-23-2020-0016-0030</v>
      </c>
      <c r="H195" t="str">
        <f>"HADDOCK TIMBER INC"</f>
        <v>HADDOCK TIMBER INC</v>
      </c>
      <c r="I195" t="str">
        <f>"27359 GEIGER RD"</f>
        <v>27359 GEIGER RD</v>
      </c>
      <c r="J195" t="str">
        <f t="shared" si="59"/>
        <v>HILLIARD FL 32046</v>
      </c>
      <c r="K195" t="str">
        <f>"171361 ANDREWS RD"</f>
        <v>171361 ANDREWS RD</v>
      </c>
      <c r="L195" t="str">
        <f t="shared" si="60"/>
        <v>HILLIARD FL 32046</v>
      </c>
      <c r="M195" t="str">
        <f>"PT OF LOT 16 (S-3) IN OR 1914/1622 CORNWALL SURVEY"</f>
        <v>PT OF LOT 16 (S-3) IN OR 1914/1622 CORNWALL SURVEY</v>
      </c>
      <c r="N195" t="str">
        <f>""</f>
        <v/>
      </c>
      <c r="O195" t="str">
        <f>"35911"</f>
        <v>35911</v>
      </c>
      <c r="P195" t="str">
        <f t="shared" si="61"/>
        <v>2017</v>
      </c>
      <c r="Q195" t="str">
        <f>""</f>
        <v/>
      </c>
      <c r="R195" t="str">
        <f>"N"</f>
        <v>N</v>
      </c>
      <c r="S195" t="str">
        <f>"1.23"</f>
        <v>1.23</v>
      </c>
      <c r="T195" t="str">
        <f>"1750.21"</f>
        <v>1750.21</v>
      </c>
      <c r="U195" t="str">
        <f>"115611.00"</f>
        <v>115611.00</v>
      </c>
      <c r="V195" t="str">
        <f>"115611.00"</f>
        <v>115611.00</v>
      </c>
      <c r="W195" t="str">
        <f t="shared" si="62"/>
        <v>2017</v>
      </c>
      <c r="X195" t="str">
        <f>"15.00"</f>
        <v>15.00</v>
      </c>
      <c r="Y195" t="str">
        <f>"1834.72"</f>
        <v>1834.72</v>
      </c>
      <c r="Z195" t="str">
        <f>""</f>
        <v/>
      </c>
      <c r="AA195" t="str">
        <f>"115611.00"</f>
        <v>115611.00</v>
      </c>
      <c r="AB195" t="str">
        <f t="shared" si="63"/>
        <v>Residential</v>
      </c>
      <c r="AC195" t="str">
        <f t="shared" si="64"/>
        <v>0</v>
      </c>
      <c r="AD195" t="str">
        <f>"4"</f>
        <v>4</v>
      </c>
      <c r="AE195" t="str">
        <f>"WOOD (INCLUDE STEEL STUDS)"</f>
        <v>WOOD (INCLUDE STEEL STUDS)</v>
      </c>
      <c r="AF195" t="str">
        <f>"001"</f>
        <v>001</v>
      </c>
      <c r="AG195" t="str">
        <f t="shared" ref="AG195:AG226" si="65">"FL"</f>
        <v>FL</v>
      </c>
      <c r="AH195" t="str">
        <f>"53578.00"</f>
        <v>53578.00</v>
      </c>
      <c r="AI195" t="str">
        <f>"18450.00"</f>
        <v>18450.00</v>
      </c>
      <c r="AJ195" t="str">
        <f>"C55-000-588-9594-7"</f>
        <v>C55-000-588-9594-7</v>
      </c>
      <c r="AK195" t="str">
        <f>"2062"</f>
        <v>2062</v>
      </c>
      <c r="AL195">
        <v>1</v>
      </c>
      <c r="AM195">
        <v>227</v>
      </c>
      <c r="AN195">
        <v>1924.86</v>
      </c>
      <c r="AQ195" t="s">
        <v>2410</v>
      </c>
      <c r="AR195" t="s">
        <v>2410</v>
      </c>
      <c r="AS195" t="s">
        <v>2410</v>
      </c>
      <c r="AU195" t="s">
        <v>396</v>
      </c>
      <c r="AV195">
        <v>2017</v>
      </c>
      <c r="AW195" t="str">
        <f>"25-4N-23-2020-0016-0030 "</f>
        <v xml:space="preserve">25-4N-23-2020-0016-0030 </v>
      </c>
      <c r="AX195">
        <v>171361</v>
      </c>
      <c r="AZ195" t="s">
        <v>2411</v>
      </c>
      <c r="BA195" t="s">
        <v>496</v>
      </c>
      <c r="BD195" t="s">
        <v>398</v>
      </c>
      <c r="BE195" t="s">
        <v>393</v>
      </c>
      <c r="BF195">
        <v>32046</v>
      </c>
      <c r="BG195" t="s">
        <v>2412</v>
      </c>
      <c r="BH195" t="s">
        <v>400</v>
      </c>
      <c r="BI195">
        <v>-81.974617417075606</v>
      </c>
      <c r="BJ195">
        <v>30.726636656940499</v>
      </c>
      <c r="BK195" t="s">
        <v>2413</v>
      </c>
      <c r="BM195" t="s">
        <v>2414</v>
      </c>
      <c r="BN195" t="s">
        <v>403</v>
      </c>
      <c r="BO195">
        <v>32046</v>
      </c>
      <c r="BP195" t="s">
        <v>404</v>
      </c>
      <c r="BQ195">
        <v>100</v>
      </c>
      <c r="BR195" t="s">
        <v>514</v>
      </c>
      <c r="BS195">
        <v>1001</v>
      </c>
      <c r="BT195" t="s">
        <v>515</v>
      </c>
      <c r="BW195">
        <v>53578</v>
      </c>
      <c r="BX195" t="s">
        <v>407</v>
      </c>
      <c r="BY195" t="s">
        <v>408</v>
      </c>
      <c r="BZ195">
        <v>4</v>
      </c>
      <c r="CA195">
        <v>2007</v>
      </c>
      <c r="CB195">
        <v>1</v>
      </c>
      <c r="CC195">
        <v>1</v>
      </c>
      <c r="CD195">
        <v>2017</v>
      </c>
      <c r="CE195">
        <v>18450</v>
      </c>
      <c r="CF195">
        <v>97161</v>
      </c>
      <c r="CG195">
        <v>115611</v>
      </c>
      <c r="CH195">
        <v>2017</v>
      </c>
      <c r="CI195">
        <v>18450</v>
      </c>
      <c r="CJ195">
        <v>97161</v>
      </c>
      <c r="CK195">
        <v>115611</v>
      </c>
      <c r="CL195">
        <v>2017</v>
      </c>
      <c r="CM195">
        <v>1750.21</v>
      </c>
      <c r="CN195" s="1">
        <v>41759</v>
      </c>
      <c r="CO195">
        <v>70350</v>
      </c>
      <c r="CV195">
        <v>0</v>
      </c>
      <c r="CZ195" s="1">
        <v>41759</v>
      </c>
      <c r="DA195">
        <v>0</v>
      </c>
      <c r="DD195" t="s">
        <v>398</v>
      </c>
      <c r="DF195">
        <v>16</v>
      </c>
      <c r="DG195">
        <v>25</v>
      </c>
      <c r="DJ195" t="s">
        <v>1990</v>
      </c>
      <c r="DL195">
        <v>50400</v>
      </c>
      <c r="DM195" t="s">
        <v>2408</v>
      </c>
      <c r="DO195" t="s">
        <v>2415</v>
      </c>
      <c r="DP195">
        <v>0</v>
      </c>
      <c r="DQ195">
        <v>0</v>
      </c>
      <c r="DR195" t="s">
        <v>411</v>
      </c>
      <c r="DS195" t="b">
        <v>1</v>
      </c>
      <c r="DT195" t="s">
        <v>470</v>
      </c>
      <c r="DU195" t="s">
        <v>471</v>
      </c>
      <c r="DV195" t="s">
        <v>472</v>
      </c>
      <c r="DX195">
        <v>-9999</v>
      </c>
      <c r="DZ195" t="s">
        <v>447</v>
      </c>
      <c r="EA195" t="s">
        <v>448</v>
      </c>
      <c r="EB195" t="s">
        <v>1224</v>
      </c>
      <c r="EC195">
        <v>20101217</v>
      </c>
      <c r="ED195" t="s">
        <v>474</v>
      </c>
      <c r="EF195">
        <v>2476.6</v>
      </c>
      <c r="EG195">
        <v>2476.6</v>
      </c>
      <c r="EH195" t="s">
        <v>451</v>
      </c>
      <c r="EI195">
        <v>20140731</v>
      </c>
      <c r="EJ195">
        <v>0</v>
      </c>
      <c r="EK195">
        <v>0</v>
      </c>
      <c r="EP195" t="s">
        <v>421</v>
      </c>
      <c r="EQ195" t="s">
        <v>422</v>
      </c>
      <c r="ER195">
        <v>2</v>
      </c>
      <c r="ES195">
        <v>2</v>
      </c>
      <c r="ET195">
        <v>3786.54</v>
      </c>
      <c r="EU195">
        <v>201.83</v>
      </c>
      <c r="EV195">
        <v>3988.37</v>
      </c>
      <c r="EW195" s="2">
        <v>43222</v>
      </c>
      <c r="EX195" s="1">
        <v>42879</v>
      </c>
      <c r="EY195">
        <v>2016</v>
      </c>
      <c r="EZ195">
        <v>1893.27</v>
      </c>
      <c r="FA195" t="s">
        <v>2416</v>
      </c>
      <c r="FB195">
        <v>0.25</v>
      </c>
      <c r="FC195" t="s">
        <v>424</v>
      </c>
      <c r="FD195" t="s">
        <v>454</v>
      </c>
      <c r="FF195">
        <v>12</v>
      </c>
      <c r="FG195">
        <v>5857474</v>
      </c>
      <c r="FH195" t="s">
        <v>900</v>
      </c>
      <c r="FJ195" s="1">
        <v>42879</v>
      </c>
      <c r="FK195">
        <v>2016</v>
      </c>
      <c r="FL195">
        <v>1893.27</v>
      </c>
      <c r="FM195" t="s">
        <v>2416</v>
      </c>
      <c r="FN195">
        <v>0.25</v>
      </c>
      <c r="FO195" t="s">
        <v>424</v>
      </c>
      <c r="FP195" t="s">
        <v>454</v>
      </c>
      <c r="FR195">
        <v>12</v>
      </c>
      <c r="FS195">
        <v>6289161</v>
      </c>
      <c r="FT195" t="s">
        <v>2417</v>
      </c>
      <c r="FV195" s="1">
        <v>42151</v>
      </c>
      <c r="FW195">
        <v>2014</v>
      </c>
      <c r="FX195">
        <v>1755.31</v>
      </c>
      <c r="FY195" t="s">
        <v>2418</v>
      </c>
      <c r="FZ195">
        <v>0.25</v>
      </c>
      <c r="GA195" t="s">
        <v>424</v>
      </c>
      <c r="GB195" t="s">
        <v>425</v>
      </c>
      <c r="GC195" s="1">
        <v>42605</v>
      </c>
      <c r="GD195">
        <v>15</v>
      </c>
      <c r="GE195">
        <v>2101382</v>
      </c>
      <c r="GF195" t="s">
        <v>993</v>
      </c>
      <c r="GH195" s="1">
        <v>42151</v>
      </c>
      <c r="GI195">
        <v>2014</v>
      </c>
      <c r="GJ195">
        <v>1755.31</v>
      </c>
      <c r="GK195" t="s">
        <v>2418</v>
      </c>
      <c r="GL195">
        <v>0.25</v>
      </c>
      <c r="GM195" t="s">
        <v>424</v>
      </c>
      <c r="GN195" t="s">
        <v>425</v>
      </c>
      <c r="GP195">
        <v>22</v>
      </c>
      <c r="GQ195">
        <v>5505159</v>
      </c>
      <c r="GR195" t="s">
        <v>2419</v>
      </c>
    </row>
    <row r="196" spans="1:260" x14ac:dyDescent="0.25">
      <c r="A196">
        <v>16485203</v>
      </c>
      <c r="B196">
        <v>195</v>
      </c>
      <c r="C196" t="s">
        <v>393</v>
      </c>
      <c r="D196" t="s">
        <v>394</v>
      </c>
      <c r="F196" t="str">
        <f>"25-4N-23-2020-0029-0000"</f>
        <v>25-4N-23-2020-0029-0000</v>
      </c>
      <c r="H196" t="str">
        <f>"STRICKLAND ASHLEY L DONN &amp; STRICKLAND DANIEL J (H&amp;W)"</f>
        <v>STRICKLAND ASHLEY L DONN &amp; STRICKLAND DANIEL J (H&amp;W)</v>
      </c>
      <c r="I196" t="str">
        <f>"28456 AMBER JACK LN"</f>
        <v>28456 AMBER JACK LN</v>
      </c>
      <c r="J196" t="str">
        <f t="shared" si="59"/>
        <v>HILLIARD FL 32046</v>
      </c>
      <c r="K196" t="str">
        <f>"AMBER JACK LN"</f>
        <v>AMBER JACK LN</v>
      </c>
      <c r="L196" t="str">
        <f t="shared" si="60"/>
        <v>HILLIARD FL 32046</v>
      </c>
      <c r="M196" t="str">
        <f>"LOT 29 (EX S-1 &amp; S-2 &amp; S-3) IN OR 1851/228 ESMT IN OR 707/1476 &amp; 1480 EX ESMT OR 707/1478 EX ESMT OR 709/163 CORNWALL SURVEY"</f>
        <v>LOT 29 (EX S-1 &amp; S-2 &amp; S-3) IN OR 1851/228 ESMT IN OR 707/1476 &amp; 1480 EX ESMT OR 707/1478 EX ESMT OR 709/163 CORNWALL SURVEY</v>
      </c>
      <c r="N196" t="str">
        <f>""</f>
        <v/>
      </c>
      <c r="O196" t="str">
        <f>"35918"</f>
        <v>35918</v>
      </c>
      <c r="P196" t="str">
        <f t="shared" si="61"/>
        <v>2017</v>
      </c>
      <c r="Q196" t="str">
        <f>""</f>
        <v/>
      </c>
      <c r="R196" t="str">
        <f>"N"</f>
        <v>N</v>
      </c>
      <c r="S196" t="str">
        <f>"6.84"</f>
        <v>6.84</v>
      </c>
      <c r="T196" t="str">
        <f>"248.26"</f>
        <v>248.26</v>
      </c>
      <c r="U196" t="str">
        <f>"16387.00"</f>
        <v>16387.00</v>
      </c>
      <c r="V196" t="str">
        <f>"16387.00"</f>
        <v>16387.00</v>
      </c>
      <c r="W196" t="str">
        <f t="shared" si="62"/>
        <v>2017</v>
      </c>
      <c r="X196" t="str">
        <f>"9.25"</f>
        <v>9.25</v>
      </c>
      <c r="Y196" t="str">
        <f>"287.71"</f>
        <v>287.71</v>
      </c>
      <c r="Z196" t="str">
        <f>""</f>
        <v/>
      </c>
      <c r="AA196" t="str">
        <f>"16416.00"</f>
        <v>16416.00</v>
      </c>
      <c r="AB196" t="str">
        <f t="shared" si="63"/>
        <v>Residential</v>
      </c>
      <c r="AC196" t="str">
        <f t="shared" si="64"/>
        <v>0</v>
      </c>
      <c r="AD196" t="str">
        <f>""</f>
        <v/>
      </c>
      <c r="AE196" t="str">
        <f>""</f>
        <v/>
      </c>
      <c r="AF196" t="str">
        <f>"000"</f>
        <v>000</v>
      </c>
      <c r="AG196" t="str">
        <f t="shared" si="65"/>
        <v>FL</v>
      </c>
      <c r="AH196" t="str">
        <f>"297950.00"</f>
        <v>297950.00</v>
      </c>
      <c r="AI196" t="str">
        <f>"16416.00"</f>
        <v>16416.00</v>
      </c>
      <c r="AJ196" t="str">
        <f>"C55-000-587-4409-5"</f>
        <v>C55-000-587-4409-5</v>
      </c>
      <c r="AK196" t="str">
        <f>"2069"</f>
        <v>2069</v>
      </c>
      <c r="AL196">
        <v>1</v>
      </c>
      <c r="AM196">
        <v>228</v>
      </c>
      <c r="AN196">
        <v>300.5</v>
      </c>
      <c r="AQ196" t="s">
        <v>2420</v>
      </c>
      <c r="AR196" t="s">
        <v>2420</v>
      </c>
      <c r="AS196" t="s">
        <v>2420</v>
      </c>
      <c r="AU196" t="s">
        <v>396</v>
      </c>
      <c r="AV196">
        <v>2017</v>
      </c>
      <c r="AW196" t="str">
        <f>"25-4N-23-2020-0029-0000 "</f>
        <v xml:space="preserve">25-4N-23-2020-0029-0000 </v>
      </c>
      <c r="AZ196" t="s">
        <v>2421</v>
      </c>
      <c r="BA196" t="s">
        <v>653</v>
      </c>
      <c r="BD196" t="s">
        <v>398</v>
      </c>
      <c r="BE196" t="s">
        <v>393</v>
      </c>
      <c r="BF196">
        <v>32046</v>
      </c>
      <c r="BG196" t="s">
        <v>2422</v>
      </c>
      <c r="BH196" t="s">
        <v>400</v>
      </c>
      <c r="BI196">
        <v>-81.969775293153603</v>
      </c>
      <c r="BJ196">
        <v>30.737957649766699</v>
      </c>
      <c r="BK196" t="s">
        <v>2423</v>
      </c>
      <c r="BL196" t="s">
        <v>2424</v>
      </c>
      <c r="BM196" t="s">
        <v>2425</v>
      </c>
      <c r="BN196" t="s">
        <v>403</v>
      </c>
      <c r="BO196">
        <v>32046</v>
      </c>
      <c r="BP196" t="s">
        <v>404</v>
      </c>
      <c r="BQ196">
        <v>0</v>
      </c>
      <c r="BR196" t="s">
        <v>491</v>
      </c>
      <c r="BS196">
        <v>8001</v>
      </c>
      <c r="BT196" t="s">
        <v>492</v>
      </c>
      <c r="BW196">
        <v>297950</v>
      </c>
      <c r="BX196" t="s">
        <v>407</v>
      </c>
      <c r="BY196" t="s">
        <v>408</v>
      </c>
      <c r="CD196">
        <v>2017</v>
      </c>
      <c r="CE196">
        <v>16416</v>
      </c>
      <c r="CG196">
        <v>16416</v>
      </c>
      <c r="CH196">
        <v>2017</v>
      </c>
      <c r="CI196">
        <v>16416</v>
      </c>
      <c r="CK196">
        <v>16416</v>
      </c>
      <c r="CL196">
        <v>2017</v>
      </c>
      <c r="CM196">
        <v>248.26</v>
      </c>
      <c r="CN196" s="1">
        <v>41380</v>
      </c>
      <c r="CO196">
        <v>15000</v>
      </c>
      <c r="CV196">
        <v>0</v>
      </c>
      <c r="CZ196" s="1">
        <v>41380</v>
      </c>
      <c r="DA196">
        <v>0</v>
      </c>
      <c r="DD196" t="s">
        <v>398</v>
      </c>
      <c r="DF196">
        <v>29</v>
      </c>
      <c r="DG196">
        <v>25</v>
      </c>
      <c r="DL196">
        <v>50400</v>
      </c>
      <c r="DM196" t="s">
        <v>2408</v>
      </c>
      <c r="DO196" t="s">
        <v>2426</v>
      </c>
      <c r="DP196">
        <v>0</v>
      </c>
      <c r="DQ196">
        <v>0</v>
      </c>
      <c r="DR196" t="s">
        <v>411</v>
      </c>
      <c r="DS196" t="b">
        <v>1</v>
      </c>
      <c r="DT196" t="s">
        <v>470</v>
      </c>
      <c r="DU196" t="s">
        <v>471</v>
      </c>
      <c r="DV196" t="s">
        <v>472</v>
      </c>
      <c r="DX196">
        <v>-9999</v>
      </c>
      <c r="DZ196" t="s">
        <v>447</v>
      </c>
      <c r="EA196" t="s">
        <v>448</v>
      </c>
      <c r="EB196" t="s">
        <v>1224</v>
      </c>
      <c r="EC196">
        <v>20101217</v>
      </c>
      <c r="ED196" t="s">
        <v>474</v>
      </c>
      <c r="EF196">
        <v>392.4</v>
      </c>
      <c r="EG196">
        <v>392.4</v>
      </c>
      <c r="EI196">
        <v>20160407</v>
      </c>
      <c r="EJ196">
        <v>0</v>
      </c>
      <c r="EK196">
        <v>0</v>
      </c>
      <c r="EP196" t="s">
        <v>421</v>
      </c>
      <c r="EQ196" t="s">
        <v>422</v>
      </c>
      <c r="ER196">
        <v>0</v>
      </c>
      <c r="ES196">
        <v>4</v>
      </c>
      <c r="ET196">
        <v>0</v>
      </c>
      <c r="EU196">
        <v>0</v>
      </c>
      <c r="EV196">
        <v>0</v>
      </c>
      <c r="EW196" s="2">
        <v>43222</v>
      </c>
      <c r="EX196" s="1">
        <v>42879</v>
      </c>
      <c r="EY196">
        <v>2016</v>
      </c>
      <c r="EZ196">
        <v>285.49</v>
      </c>
      <c r="FA196" t="s">
        <v>2427</v>
      </c>
      <c r="FB196">
        <v>5.5</v>
      </c>
      <c r="FC196" t="s">
        <v>424</v>
      </c>
      <c r="FD196" t="s">
        <v>425</v>
      </c>
      <c r="FE196" s="1">
        <v>43185</v>
      </c>
      <c r="FF196">
        <v>10</v>
      </c>
      <c r="FG196">
        <v>10125</v>
      </c>
      <c r="FH196" t="s">
        <v>440</v>
      </c>
      <c r="FJ196" s="1">
        <v>42515</v>
      </c>
      <c r="FK196">
        <v>2015</v>
      </c>
      <c r="FL196">
        <v>274.51</v>
      </c>
      <c r="FM196" t="s">
        <v>2428</v>
      </c>
      <c r="FN196">
        <v>15.25</v>
      </c>
      <c r="FO196" t="s">
        <v>424</v>
      </c>
      <c r="FP196" t="s">
        <v>425</v>
      </c>
      <c r="FQ196" s="1">
        <v>42528</v>
      </c>
      <c r="FR196">
        <v>1</v>
      </c>
      <c r="FS196">
        <v>10125</v>
      </c>
      <c r="FT196" t="s">
        <v>440</v>
      </c>
      <c r="FV196" s="1">
        <v>42151</v>
      </c>
      <c r="FW196">
        <v>2014</v>
      </c>
      <c r="FX196">
        <v>232.43</v>
      </c>
      <c r="FY196" t="s">
        <v>2429</v>
      </c>
      <c r="FZ196">
        <v>15.5</v>
      </c>
      <c r="GA196" t="s">
        <v>424</v>
      </c>
      <c r="GB196" t="s">
        <v>425</v>
      </c>
      <c r="GC196" s="1">
        <v>42528</v>
      </c>
      <c r="GD196">
        <v>13</v>
      </c>
      <c r="GE196">
        <v>10125</v>
      </c>
      <c r="GF196" t="s">
        <v>440</v>
      </c>
      <c r="GH196" s="1">
        <v>41787</v>
      </c>
      <c r="GI196">
        <v>2013</v>
      </c>
      <c r="GJ196">
        <v>320.77</v>
      </c>
      <c r="GK196" t="s">
        <v>2430</v>
      </c>
      <c r="GL196">
        <v>15.25</v>
      </c>
      <c r="GM196" t="s">
        <v>424</v>
      </c>
      <c r="GN196" t="s">
        <v>425</v>
      </c>
      <c r="GO196" s="1">
        <v>42165</v>
      </c>
      <c r="GP196">
        <v>13</v>
      </c>
      <c r="GQ196">
        <v>10125</v>
      </c>
      <c r="GR196" t="s">
        <v>440</v>
      </c>
    </row>
    <row r="197" spans="1:260" x14ac:dyDescent="0.25">
      <c r="A197">
        <v>16485204</v>
      </c>
      <c r="B197">
        <v>196</v>
      </c>
      <c r="C197" t="s">
        <v>393</v>
      </c>
      <c r="D197" t="s">
        <v>394</v>
      </c>
      <c r="F197" t="str">
        <f>"26-4N-23-0000-0001-0040"</f>
        <v>26-4N-23-0000-0001-0040</v>
      </c>
      <c r="H197" t="str">
        <f>"DYAL JARRETT LEE"</f>
        <v>DYAL JARRETT LEE</v>
      </c>
      <c r="I197" t="str">
        <f>"28805 SUNBURG RD"</f>
        <v>28805 SUNBURG RD</v>
      </c>
      <c r="J197" t="str">
        <f t="shared" si="59"/>
        <v>HILLIARD FL 32046</v>
      </c>
      <c r="K197" t="str">
        <f>"28805 SUNDBERG RD"</f>
        <v>28805 SUNDBERG RD</v>
      </c>
      <c r="L197" t="str">
        <f t="shared" si="60"/>
        <v>HILLIARD FL 32046</v>
      </c>
      <c r="M197" t="str">
        <f>"IN OR 2090/1288 R278013 &amp; R278014 EX 1-26 &amp; 1-28"</f>
        <v>IN OR 2090/1288 R278013 &amp; R278014 EX 1-26 &amp; 1-28</v>
      </c>
      <c r="N197" t="str">
        <f>""</f>
        <v/>
      </c>
      <c r="O197" t="str">
        <f>"36863"</f>
        <v>36863</v>
      </c>
      <c r="P197" t="str">
        <f t="shared" si="61"/>
        <v>2017</v>
      </c>
      <c r="Q197" t="str">
        <f>""</f>
        <v/>
      </c>
      <c r="R197" t="str">
        <f>"Y"</f>
        <v>Y</v>
      </c>
      <c r="S197" t="str">
        <f>"3.11"</f>
        <v>3.11</v>
      </c>
      <c r="T197" t="str">
        <f>"222.50"</f>
        <v>222.50</v>
      </c>
      <c r="U197" t="str">
        <f>"39697.00"</f>
        <v>39697.00</v>
      </c>
      <c r="V197" t="str">
        <f>"39697.00"</f>
        <v>39697.00</v>
      </c>
      <c r="W197" t="str">
        <f t="shared" si="62"/>
        <v>2017</v>
      </c>
      <c r="X197" t="str">
        <f>"12.38"</f>
        <v>12.38</v>
      </c>
      <c r="Y197" t="str">
        <f>"261.18"</f>
        <v>261.18</v>
      </c>
      <c r="Z197" t="str">
        <f>"25000.00"</f>
        <v>25000.00</v>
      </c>
      <c r="AA197" t="str">
        <f>"14697.00"</f>
        <v>14697.00</v>
      </c>
      <c r="AB197" t="str">
        <f t="shared" si="63"/>
        <v>Residential</v>
      </c>
      <c r="AC197" t="str">
        <f t="shared" si="64"/>
        <v>0</v>
      </c>
      <c r="AD197" t="str">
        <f t="shared" ref="AD197:AD202" si="66">"4"</f>
        <v>4</v>
      </c>
      <c r="AE197" t="str">
        <f t="shared" ref="AE197:AE202" si="67">"WOOD (INCLUDE STEEL STUDS)"</f>
        <v>WOOD (INCLUDE STEEL STUDS)</v>
      </c>
      <c r="AF197" t="str">
        <f t="shared" ref="AF197:AF202" si="68">"002"</f>
        <v>002</v>
      </c>
      <c r="AG197" t="str">
        <f t="shared" si="65"/>
        <v>FL</v>
      </c>
      <c r="AH197" t="str">
        <f>"135471.00"</f>
        <v>135471.00</v>
      </c>
      <c r="AI197" t="str">
        <f>"24880.00"</f>
        <v>24880.00</v>
      </c>
      <c r="AJ197" t="str">
        <f>"C55-000-587-4643-9"</f>
        <v>C55-000-587-4643-9</v>
      </c>
      <c r="AK197" t="str">
        <f>"2099"</f>
        <v>2099</v>
      </c>
      <c r="AL197">
        <v>1</v>
      </c>
      <c r="AM197">
        <v>229</v>
      </c>
      <c r="AN197">
        <v>272.64</v>
      </c>
      <c r="AQ197" t="s">
        <v>2431</v>
      </c>
      <c r="AR197" t="s">
        <v>2431</v>
      </c>
      <c r="AS197" t="s">
        <v>2431</v>
      </c>
      <c r="AU197" t="s">
        <v>396</v>
      </c>
      <c r="AV197">
        <v>2017</v>
      </c>
      <c r="AW197" t="str">
        <f>"26-4N-23-0000-0001-0040 "</f>
        <v xml:space="preserve">26-4N-23-0000-0001-0040 </v>
      </c>
      <c r="AX197">
        <v>28805</v>
      </c>
      <c r="AZ197" t="s">
        <v>2373</v>
      </c>
      <c r="BA197" t="s">
        <v>496</v>
      </c>
      <c r="BD197" t="s">
        <v>398</v>
      </c>
      <c r="BE197" t="s">
        <v>393</v>
      </c>
      <c r="BF197">
        <v>32046</v>
      </c>
      <c r="BG197" t="s">
        <v>2432</v>
      </c>
      <c r="BH197" t="s">
        <v>400</v>
      </c>
      <c r="BI197">
        <v>-81.976468249716504</v>
      </c>
      <c r="BJ197">
        <v>30.739019087712901</v>
      </c>
      <c r="BK197" t="s">
        <v>2433</v>
      </c>
      <c r="BM197" t="s">
        <v>2434</v>
      </c>
      <c r="BN197" t="s">
        <v>403</v>
      </c>
      <c r="BO197">
        <v>32046</v>
      </c>
      <c r="BP197" t="s">
        <v>416</v>
      </c>
      <c r="BQ197">
        <v>200</v>
      </c>
      <c r="BR197" t="s">
        <v>405</v>
      </c>
      <c r="BS197">
        <v>1006</v>
      </c>
      <c r="BT197" t="s">
        <v>406</v>
      </c>
      <c r="BW197">
        <v>135471</v>
      </c>
      <c r="BX197" t="s">
        <v>407</v>
      </c>
      <c r="BY197" t="s">
        <v>408</v>
      </c>
      <c r="BZ197">
        <v>4</v>
      </c>
      <c r="CA197">
        <v>1986</v>
      </c>
      <c r="CB197">
        <v>1</v>
      </c>
      <c r="CC197">
        <v>1</v>
      </c>
      <c r="CD197">
        <v>2017</v>
      </c>
      <c r="CE197">
        <v>24880</v>
      </c>
      <c r="CF197">
        <v>14817</v>
      </c>
      <c r="CG197">
        <v>39697</v>
      </c>
      <c r="CH197">
        <v>2017</v>
      </c>
      <c r="CI197">
        <v>24880</v>
      </c>
      <c r="CJ197">
        <v>14817</v>
      </c>
      <c r="CK197">
        <v>39697</v>
      </c>
      <c r="CL197">
        <v>2017</v>
      </c>
      <c r="CM197">
        <v>222.5</v>
      </c>
      <c r="CN197" s="1">
        <v>33290</v>
      </c>
      <c r="CZ197" s="1">
        <v>33290</v>
      </c>
      <c r="DD197" t="s">
        <v>398</v>
      </c>
      <c r="DG197">
        <v>26</v>
      </c>
      <c r="DL197">
        <v>50400</v>
      </c>
      <c r="DM197" t="s">
        <v>2435</v>
      </c>
      <c r="DO197" t="s">
        <v>2436</v>
      </c>
      <c r="DP197">
        <v>0</v>
      </c>
      <c r="DQ197">
        <v>0</v>
      </c>
      <c r="DR197" t="s">
        <v>411</v>
      </c>
      <c r="EP197" t="s">
        <v>595</v>
      </c>
      <c r="EQ197" t="s">
        <v>422</v>
      </c>
      <c r="ER197">
        <v>0</v>
      </c>
      <c r="ES197">
        <v>5</v>
      </c>
      <c r="ET197">
        <v>0</v>
      </c>
      <c r="EU197">
        <v>0</v>
      </c>
      <c r="EV197">
        <v>0</v>
      </c>
      <c r="EW197" s="2">
        <v>43222</v>
      </c>
      <c r="EX197" s="1">
        <v>42879</v>
      </c>
      <c r="EY197">
        <v>2016</v>
      </c>
      <c r="EZ197">
        <v>597.12</v>
      </c>
      <c r="FA197" t="s">
        <v>2437</v>
      </c>
      <c r="FB197">
        <v>4.75</v>
      </c>
      <c r="FC197" t="s">
        <v>424</v>
      </c>
      <c r="FD197" t="s">
        <v>425</v>
      </c>
      <c r="FE197" s="1">
        <v>43152</v>
      </c>
      <c r="FF197">
        <v>9</v>
      </c>
      <c r="FG197">
        <v>7336745</v>
      </c>
      <c r="FH197" t="s">
        <v>502</v>
      </c>
      <c r="FJ197" s="1">
        <v>42515</v>
      </c>
      <c r="FK197">
        <v>2015</v>
      </c>
      <c r="FL197">
        <v>123.02</v>
      </c>
      <c r="FM197" t="s">
        <v>2438</v>
      </c>
      <c r="FN197">
        <v>18</v>
      </c>
      <c r="FO197" t="s">
        <v>603</v>
      </c>
      <c r="FP197" t="s">
        <v>425</v>
      </c>
      <c r="FQ197" s="1">
        <v>43152</v>
      </c>
      <c r="FR197">
        <v>21</v>
      </c>
      <c r="FS197">
        <v>9999999</v>
      </c>
      <c r="FT197" t="s">
        <v>604</v>
      </c>
      <c r="FV197" s="1">
        <v>42151</v>
      </c>
      <c r="FW197">
        <v>2014</v>
      </c>
      <c r="FX197">
        <v>119.32</v>
      </c>
      <c r="FY197" t="s">
        <v>2439</v>
      </c>
      <c r="FZ197">
        <v>18</v>
      </c>
      <c r="GA197" t="s">
        <v>603</v>
      </c>
      <c r="GB197" t="s">
        <v>425</v>
      </c>
      <c r="GC197" s="1">
        <v>42418</v>
      </c>
      <c r="GD197">
        <v>9</v>
      </c>
      <c r="GE197">
        <v>9999999</v>
      </c>
      <c r="GF197" t="s">
        <v>604</v>
      </c>
      <c r="GH197" s="1">
        <v>41423</v>
      </c>
      <c r="GI197">
        <v>2012</v>
      </c>
      <c r="GJ197">
        <v>278.67</v>
      </c>
      <c r="GK197" t="s">
        <v>2440</v>
      </c>
      <c r="GL197">
        <v>4.5</v>
      </c>
      <c r="GM197" t="s">
        <v>424</v>
      </c>
      <c r="GN197" t="s">
        <v>425</v>
      </c>
      <c r="GO197" s="1">
        <v>41682</v>
      </c>
      <c r="GP197">
        <v>9</v>
      </c>
      <c r="GQ197">
        <v>15399</v>
      </c>
      <c r="GR197" t="s">
        <v>485</v>
      </c>
      <c r="GT197" s="1">
        <v>41052</v>
      </c>
      <c r="GU197">
        <v>2011</v>
      </c>
      <c r="GV197">
        <v>298.91000000000003</v>
      </c>
      <c r="GW197" t="s">
        <v>2441</v>
      </c>
      <c r="GX197">
        <v>5.75</v>
      </c>
      <c r="GY197" t="s">
        <v>424</v>
      </c>
      <c r="GZ197" t="s">
        <v>425</v>
      </c>
      <c r="HA197" s="1">
        <v>41467</v>
      </c>
      <c r="HB197">
        <v>14</v>
      </c>
      <c r="HC197">
        <v>10125</v>
      </c>
      <c r="HD197" t="s">
        <v>440</v>
      </c>
    </row>
    <row r="198" spans="1:260" x14ac:dyDescent="0.25">
      <c r="A198">
        <v>16485205</v>
      </c>
      <c r="B198">
        <v>197</v>
      </c>
      <c r="C198" t="s">
        <v>393</v>
      </c>
      <c r="D198" t="s">
        <v>394</v>
      </c>
      <c r="F198" t="str">
        <f>"26-4N-23-0000-0001-0050"</f>
        <v>26-4N-23-0000-0001-0050</v>
      </c>
      <c r="H198" t="str">
        <f>"BURKETT DALE E &amp; JUDY ANN"</f>
        <v>BURKETT DALE E &amp; JUDY ANN</v>
      </c>
      <c r="I198" t="str">
        <f>"28897 SUNDBERG ROAD"</f>
        <v>28897 SUNDBERG ROAD</v>
      </c>
      <c r="J198" t="str">
        <f t="shared" si="59"/>
        <v>HILLIARD FL 32046</v>
      </c>
      <c r="K198" t="str">
        <f>"28897 SUNDBERG RD"</f>
        <v>28897 SUNDBERG RD</v>
      </c>
      <c r="L198" t="str">
        <f t="shared" si="60"/>
        <v>HILLIARD FL 32046</v>
      </c>
      <c r="M198" t="str">
        <f>"IN OR 481/764 R378380 &amp; R378381"</f>
        <v>IN OR 481/764 R378380 &amp; R378381</v>
      </c>
      <c r="N198" t="str">
        <f>""</f>
        <v/>
      </c>
      <c r="O198" t="str">
        <f>"36864"</f>
        <v>36864</v>
      </c>
      <c r="P198" t="str">
        <f t="shared" si="61"/>
        <v>2017</v>
      </c>
      <c r="Q198" t="str">
        <f>""</f>
        <v/>
      </c>
      <c r="R198" t="str">
        <f>"Y"</f>
        <v>Y</v>
      </c>
      <c r="S198" t="str">
        <f>"3.24"</f>
        <v>3.24</v>
      </c>
      <c r="T198" t="str">
        <f>"328.78"</f>
        <v>328.78</v>
      </c>
      <c r="U198" t="str">
        <f>"46718.00"</f>
        <v>46718.00</v>
      </c>
      <c r="V198" t="str">
        <f>"46718.00"</f>
        <v>46718.00</v>
      </c>
      <c r="W198" t="str">
        <f t="shared" si="62"/>
        <v>2017</v>
      </c>
      <c r="X198" t="str">
        <f>"16.00"</f>
        <v>16.00</v>
      </c>
      <c r="Y198" t="str">
        <f>"370.64"</f>
        <v>370.64</v>
      </c>
      <c r="Z198" t="str">
        <f>"25000.00"</f>
        <v>25000.00</v>
      </c>
      <c r="AA198" t="str">
        <f>"21718.00"</f>
        <v>21718.00</v>
      </c>
      <c r="AB198" t="str">
        <f t="shared" si="63"/>
        <v>Residential</v>
      </c>
      <c r="AC198" t="str">
        <f t="shared" si="64"/>
        <v>0</v>
      </c>
      <c r="AD198" t="str">
        <f t="shared" si="66"/>
        <v>4</v>
      </c>
      <c r="AE198" t="str">
        <f t="shared" si="67"/>
        <v>WOOD (INCLUDE STEEL STUDS)</v>
      </c>
      <c r="AF198" t="str">
        <f t="shared" si="68"/>
        <v>002</v>
      </c>
      <c r="AG198" t="str">
        <f t="shared" si="65"/>
        <v>FL</v>
      </c>
      <c r="AH198" t="str">
        <f>"141134.00"</f>
        <v>141134.00</v>
      </c>
      <c r="AI198" t="str">
        <f>"25920.00"</f>
        <v>25920.00</v>
      </c>
      <c r="AJ198" t="str">
        <f>"C55-000-587-4644-7"</f>
        <v>C55-000-587-4644-7</v>
      </c>
      <c r="AK198" t="str">
        <f>"2100"</f>
        <v>2100</v>
      </c>
      <c r="AL198">
        <v>1</v>
      </c>
      <c r="AM198">
        <v>230</v>
      </c>
      <c r="AN198">
        <v>387.57</v>
      </c>
      <c r="AQ198" t="s">
        <v>2442</v>
      </c>
      <c r="AR198" t="s">
        <v>2442</v>
      </c>
      <c r="AS198" t="s">
        <v>2442</v>
      </c>
      <c r="AU198" t="s">
        <v>396</v>
      </c>
      <c r="AV198">
        <v>2017</v>
      </c>
      <c r="AW198" t="str">
        <f>"26-4N-23-0000-0001-0050 "</f>
        <v xml:space="preserve">26-4N-23-0000-0001-0050 </v>
      </c>
      <c r="AX198">
        <v>28897</v>
      </c>
      <c r="AZ198" t="s">
        <v>2373</v>
      </c>
      <c r="BA198" t="s">
        <v>496</v>
      </c>
      <c r="BD198" t="s">
        <v>398</v>
      </c>
      <c r="BE198" t="s">
        <v>393</v>
      </c>
      <c r="BF198">
        <v>32046</v>
      </c>
      <c r="BG198" t="s">
        <v>2377</v>
      </c>
      <c r="BH198" t="s">
        <v>400</v>
      </c>
      <c r="BI198">
        <v>-81.976816613119794</v>
      </c>
      <c r="BJ198">
        <v>30.740382109951099</v>
      </c>
      <c r="BK198" t="s">
        <v>2376</v>
      </c>
      <c r="BL198" t="s">
        <v>2443</v>
      </c>
      <c r="BM198" t="s">
        <v>2377</v>
      </c>
      <c r="BN198" t="s">
        <v>403</v>
      </c>
      <c r="BO198">
        <v>32046</v>
      </c>
      <c r="BP198" t="s">
        <v>416</v>
      </c>
      <c r="BQ198">
        <v>200</v>
      </c>
      <c r="BR198" t="s">
        <v>405</v>
      </c>
      <c r="BS198">
        <v>1006</v>
      </c>
      <c r="BT198" t="s">
        <v>406</v>
      </c>
      <c r="BW198">
        <v>141134</v>
      </c>
      <c r="BX198" t="s">
        <v>407</v>
      </c>
      <c r="BY198" t="s">
        <v>408</v>
      </c>
      <c r="BZ198">
        <v>4</v>
      </c>
      <c r="CA198">
        <v>1989</v>
      </c>
      <c r="CB198">
        <v>1</v>
      </c>
      <c r="CC198">
        <v>1</v>
      </c>
      <c r="CD198">
        <v>2017</v>
      </c>
      <c r="CG198">
        <v>46718</v>
      </c>
      <c r="CH198">
        <v>2017</v>
      </c>
      <c r="CI198">
        <v>25920</v>
      </c>
      <c r="CJ198">
        <v>34422</v>
      </c>
      <c r="CK198">
        <v>60342</v>
      </c>
      <c r="CL198">
        <v>2017</v>
      </c>
      <c r="CM198">
        <v>328.78</v>
      </c>
      <c r="CN198" s="1">
        <v>31444</v>
      </c>
      <c r="CO198">
        <v>10500</v>
      </c>
      <c r="CZ198" s="1">
        <v>31444</v>
      </c>
      <c r="DD198" t="s">
        <v>398</v>
      </c>
      <c r="DG198">
        <v>26</v>
      </c>
      <c r="DL198">
        <v>50400</v>
      </c>
      <c r="DM198" t="s">
        <v>2435</v>
      </c>
      <c r="DO198" t="s">
        <v>2444</v>
      </c>
      <c r="DP198">
        <v>0</v>
      </c>
      <c r="DQ198">
        <v>0</v>
      </c>
      <c r="DR198" t="s">
        <v>411</v>
      </c>
      <c r="DS198" t="b">
        <v>1</v>
      </c>
      <c r="DT198" t="s">
        <v>470</v>
      </c>
      <c r="DU198" t="s">
        <v>471</v>
      </c>
      <c r="DV198" t="s">
        <v>472</v>
      </c>
      <c r="DX198">
        <v>-9999</v>
      </c>
      <c r="DZ198" t="s">
        <v>447</v>
      </c>
      <c r="EA198" t="s">
        <v>448</v>
      </c>
      <c r="EB198" t="s">
        <v>1224</v>
      </c>
      <c r="EC198">
        <v>20101217</v>
      </c>
      <c r="ED198" t="s">
        <v>474</v>
      </c>
      <c r="EF198">
        <v>2615.4</v>
      </c>
      <c r="EG198">
        <v>2615.4</v>
      </c>
      <c r="EI198">
        <v>20160407</v>
      </c>
      <c r="EJ198">
        <v>0</v>
      </c>
      <c r="EK198">
        <v>0</v>
      </c>
      <c r="EP198" t="s">
        <v>421</v>
      </c>
      <c r="EQ198" t="s">
        <v>422</v>
      </c>
      <c r="ER198">
        <v>2</v>
      </c>
      <c r="ES198">
        <v>7</v>
      </c>
      <c r="ET198">
        <v>743.22</v>
      </c>
      <c r="EU198">
        <v>49.66</v>
      </c>
      <c r="EV198">
        <v>792.88</v>
      </c>
      <c r="EW198" s="2">
        <v>43222</v>
      </c>
      <c r="EX198" s="1">
        <v>42879</v>
      </c>
      <c r="EY198">
        <v>2016</v>
      </c>
      <c r="EZ198">
        <v>371.61</v>
      </c>
      <c r="FA198" t="s">
        <v>2445</v>
      </c>
      <c r="FB198">
        <v>0.25</v>
      </c>
      <c r="FC198" t="s">
        <v>424</v>
      </c>
      <c r="FD198" t="s">
        <v>454</v>
      </c>
      <c r="FF198">
        <v>12</v>
      </c>
      <c r="FG198">
        <v>2851116</v>
      </c>
      <c r="FH198" t="s">
        <v>480</v>
      </c>
      <c r="FJ198" s="1">
        <v>42879</v>
      </c>
      <c r="FK198">
        <v>2016</v>
      </c>
      <c r="FL198">
        <v>371.61</v>
      </c>
      <c r="FM198" t="s">
        <v>2445</v>
      </c>
      <c r="FN198">
        <v>0.25</v>
      </c>
      <c r="FO198" t="s">
        <v>424</v>
      </c>
      <c r="FP198" t="s">
        <v>454</v>
      </c>
      <c r="FR198">
        <v>12</v>
      </c>
      <c r="FS198">
        <v>5066323</v>
      </c>
      <c r="FT198" t="s">
        <v>2446</v>
      </c>
      <c r="FV198" s="1">
        <v>42515</v>
      </c>
      <c r="FW198">
        <v>2015</v>
      </c>
      <c r="FX198">
        <v>369.56</v>
      </c>
      <c r="FY198" t="s">
        <v>2447</v>
      </c>
      <c r="FZ198">
        <v>0.25</v>
      </c>
      <c r="GA198" t="s">
        <v>424</v>
      </c>
      <c r="GB198" t="s">
        <v>425</v>
      </c>
      <c r="GC198" s="1">
        <v>42704</v>
      </c>
      <c r="GD198">
        <v>6</v>
      </c>
      <c r="GE198">
        <v>2851116</v>
      </c>
      <c r="GF198" t="s">
        <v>480</v>
      </c>
      <c r="GH198" s="1">
        <v>42515</v>
      </c>
      <c r="GI198">
        <v>2015</v>
      </c>
      <c r="GJ198">
        <v>369.56</v>
      </c>
      <c r="GK198" t="s">
        <v>2447</v>
      </c>
      <c r="GL198">
        <v>0.25</v>
      </c>
      <c r="GM198" t="s">
        <v>424</v>
      </c>
      <c r="GN198" t="s">
        <v>425</v>
      </c>
      <c r="GP198">
        <v>22</v>
      </c>
      <c r="GQ198">
        <v>5613827</v>
      </c>
      <c r="GR198" t="s">
        <v>2448</v>
      </c>
      <c r="GT198" s="1">
        <v>42151</v>
      </c>
      <c r="GU198">
        <v>2014</v>
      </c>
      <c r="GV198">
        <v>365.16</v>
      </c>
      <c r="GW198" t="s">
        <v>2449</v>
      </c>
      <c r="GX198">
        <v>0.25</v>
      </c>
      <c r="GY198" t="s">
        <v>424</v>
      </c>
      <c r="GZ198" t="s">
        <v>425</v>
      </c>
      <c r="HA198" s="1">
        <v>42499</v>
      </c>
      <c r="HB198">
        <v>12</v>
      </c>
      <c r="HC198">
        <v>2851116</v>
      </c>
      <c r="HD198" t="s">
        <v>480</v>
      </c>
      <c r="HF198" s="1">
        <v>42151</v>
      </c>
      <c r="HG198">
        <v>2014</v>
      </c>
      <c r="HH198">
        <v>365.16</v>
      </c>
      <c r="HI198" t="s">
        <v>2449</v>
      </c>
      <c r="HJ198">
        <v>0.25</v>
      </c>
      <c r="HK198" t="s">
        <v>424</v>
      </c>
      <c r="HL198" t="s">
        <v>425</v>
      </c>
      <c r="HN198">
        <v>22</v>
      </c>
      <c r="HO198">
        <v>5032131</v>
      </c>
      <c r="HP198" t="s">
        <v>2450</v>
      </c>
      <c r="HR198" s="1">
        <v>41423</v>
      </c>
      <c r="HS198">
        <v>2012</v>
      </c>
      <c r="HT198">
        <v>521.86</v>
      </c>
      <c r="HU198" t="s">
        <v>2451</v>
      </c>
      <c r="HV198">
        <v>3.5</v>
      </c>
      <c r="HW198" t="s">
        <v>424</v>
      </c>
      <c r="HX198" t="s">
        <v>425</v>
      </c>
      <c r="HZ198">
        <v>22</v>
      </c>
      <c r="IA198">
        <v>15399</v>
      </c>
      <c r="IB198" t="s">
        <v>485</v>
      </c>
      <c r="ID198" s="1">
        <v>41423</v>
      </c>
      <c r="IE198">
        <v>2012</v>
      </c>
      <c r="IF198">
        <v>521.86</v>
      </c>
      <c r="IG198" t="s">
        <v>2451</v>
      </c>
      <c r="IH198">
        <v>3.5</v>
      </c>
      <c r="II198" t="s">
        <v>424</v>
      </c>
      <c r="IJ198" t="s">
        <v>425</v>
      </c>
      <c r="IK198" s="1">
        <v>42251</v>
      </c>
      <c r="IL198">
        <v>28</v>
      </c>
      <c r="IM198">
        <v>13027</v>
      </c>
      <c r="IN198" t="s">
        <v>826</v>
      </c>
      <c r="IP198" s="1">
        <v>40688</v>
      </c>
      <c r="IQ198">
        <v>2010</v>
      </c>
      <c r="IR198">
        <v>557.78</v>
      </c>
      <c r="IS198" t="s">
        <v>2452</v>
      </c>
      <c r="IT198">
        <v>5</v>
      </c>
      <c r="IU198" t="s">
        <v>424</v>
      </c>
      <c r="IV198" t="s">
        <v>425</v>
      </c>
      <c r="IW198" s="1">
        <v>40960</v>
      </c>
      <c r="IX198">
        <v>9</v>
      </c>
      <c r="IY198">
        <v>287</v>
      </c>
      <c r="IZ198" t="s">
        <v>572</v>
      </c>
    </row>
    <row r="199" spans="1:260" x14ac:dyDescent="0.25">
      <c r="A199">
        <v>16485206</v>
      </c>
      <c r="B199">
        <v>198</v>
      </c>
      <c r="C199" t="s">
        <v>393</v>
      </c>
      <c r="D199" t="s">
        <v>394</v>
      </c>
      <c r="F199" t="str">
        <f>"26-4N-23-0000-0001-0150"</f>
        <v>26-4N-23-0000-0001-0150</v>
      </c>
      <c r="H199" t="str">
        <f>"KING SANDY"</f>
        <v>KING SANDY</v>
      </c>
      <c r="I199" t="str">
        <f>"241738 N CR 121"</f>
        <v>241738 N CR 121</v>
      </c>
      <c r="J199" t="str">
        <f t="shared" si="59"/>
        <v>HILLIARD FL 32046</v>
      </c>
      <c r="K199" t="str">
        <f>"241738 CR 121"</f>
        <v>241738 CR 121</v>
      </c>
      <c r="L199" t="str">
        <f t="shared" si="60"/>
        <v>HILLIARD FL 32046</v>
      </c>
      <c r="M199" t="str">
        <f>"IN OR 1869/275 EX 1-22 ESMT OR 1094/995 2003 JACO DW/MH"</f>
        <v>IN OR 1869/275 EX 1-22 ESMT OR 1094/995 2003 JACO DW/MH</v>
      </c>
      <c r="N199" t="str">
        <f>""</f>
        <v/>
      </c>
      <c r="O199" t="str">
        <f>"36874"</f>
        <v>36874</v>
      </c>
      <c r="P199" t="str">
        <f t="shared" si="61"/>
        <v>2017</v>
      </c>
      <c r="Q199" t="str">
        <f>""</f>
        <v/>
      </c>
      <c r="R199" t="str">
        <f>"Y"</f>
        <v>Y</v>
      </c>
      <c r="S199" t="str">
        <f>"4.80"</f>
        <v>4.80</v>
      </c>
      <c r="T199" t="str">
        <f>"698.73"</f>
        <v>698.73</v>
      </c>
      <c r="U199" t="str">
        <f>"85760.00"</f>
        <v>85760.00</v>
      </c>
      <c r="V199" t="str">
        <f>"85760.00"</f>
        <v>85760.00</v>
      </c>
      <c r="W199" t="str">
        <f t="shared" si="62"/>
        <v>2017</v>
      </c>
      <c r="X199" t="str">
        <f>"21.00"</f>
        <v>21.00</v>
      </c>
      <c r="Y199" t="str">
        <f>"751.69"</f>
        <v>751.69</v>
      </c>
      <c r="Z199" t="str">
        <f>"25500.00"</f>
        <v>25500.00</v>
      </c>
      <c r="AA199" t="str">
        <f>"60260.00"</f>
        <v>60260.00</v>
      </c>
      <c r="AB199" t="str">
        <f t="shared" si="63"/>
        <v>Residential</v>
      </c>
      <c r="AC199" t="str">
        <f t="shared" si="64"/>
        <v>0</v>
      </c>
      <c r="AD199" t="str">
        <f t="shared" si="66"/>
        <v>4</v>
      </c>
      <c r="AE199" t="str">
        <f t="shared" si="67"/>
        <v>WOOD (INCLUDE STEEL STUDS)</v>
      </c>
      <c r="AF199" t="str">
        <f t="shared" si="68"/>
        <v>002</v>
      </c>
      <c r="AG199" t="str">
        <f t="shared" si="65"/>
        <v>FL</v>
      </c>
      <c r="AH199" t="str">
        <f>"209088.00"</f>
        <v>209088.00</v>
      </c>
      <c r="AI199" t="str">
        <f>"38400.00"</f>
        <v>38400.00</v>
      </c>
      <c r="AJ199" t="str">
        <f>"C55-000-587-4654-6"</f>
        <v>C55-000-587-4654-6</v>
      </c>
      <c r="AK199" t="str">
        <f>"2109"</f>
        <v>2109</v>
      </c>
      <c r="AL199">
        <v>1</v>
      </c>
      <c r="AM199">
        <v>231</v>
      </c>
      <c r="AN199">
        <v>787.67</v>
      </c>
      <c r="AQ199" t="s">
        <v>2453</v>
      </c>
      <c r="AR199" t="s">
        <v>2453</v>
      </c>
      <c r="AS199" t="s">
        <v>2453</v>
      </c>
      <c r="AU199" t="s">
        <v>396</v>
      </c>
      <c r="AV199">
        <v>2017</v>
      </c>
      <c r="AW199" t="str">
        <f>"26-4N-23-0000-0001-0150 "</f>
        <v xml:space="preserve">26-4N-23-0000-0001-0150 </v>
      </c>
      <c r="AX199">
        <v>241738</v>
      </c>
      <c r="AZ199" t="s">
        <v>611</v>
      </c>
      <c r="BD199" t="s">
        <v>398</v>
      </c>
      <c r="BE199" t="s">
        <v>393</v>
      </c>
      <c r="BF199">
        <v>32046</v>
      </c>
      <c r="BG199" t="s">
        <v>2454</v>
      </c>
      <c r="BH199" t="s">
        <v>400</v>
      </c>
      <c r="BI199">
        <v>-81.9912994384878</v>
      </c>
      <c r="BJ199">
        <v>30.7382254737878</v>
      </c>
      <c r="BK199" t="s">
        <v>2455</v>
      </c>
      <c r="BM199" t="s">
        <v>2456</v>
      </c>
      <c r="BN199" t="s">
        <v>403</v>
      </c>
      <c r="BO199">
        <v>32046</v>
      </c>
      <c r="BP199" t="s">
        <v>416</v>
      </c>
      <c r="BQ199">
        <v>200</v>
      </c>
      <c r="BR199" t="s">
        <v>405</v>
      </c>
      <c r="BS199">
        <v>1006</v>
      </c>
      <c r="BT199" t="s">
        <v>406</v>
      </c>
      <c r="BW199">
        <v>209088</v>
      </c>
      <c r="BX199" t="s">
        <v>407</v>
      </c>
      <c r="BY199" t="s">
        <v>408</v>
      </c>
      <c r="BZ199">
        <v>4</v>
      </c>
      <c r="CA199">
        <v>2003</v>
      </c>
      <c r="CC199">
        <v>1</v>
      </c>
      <c r="CD199">
        <v>2017</v>
      </c>
      <c r="CG199">
        <v>85760</v>
      </c>
      <c r="CH199">
        <v>2017</v>
      </c>
      <c r="CI199">
        <v>38400</v>
      </c>
      <c r="CJ199">
        <v>54396</v>
      </c>
      <c r="CK199">
        <v>92796</v>
      </c>
      <c r="CL199">
        <v>2017</v>
      </c>
      <c r="CM199">
        <v>698.73</v>
      </c>
      <c r="CN199" s="1">
        <v>41478</v>
      </c>
      <c r="CO199">
        <v>37299</v>
      </c>
      <c r="CV199">
        <v>0</v>
      </c>
      <c r="CZ199" s="1">
        <v>41478</v>
      </c>
      <c r="DA199">
        <v>0</v>
      </c>
      <c r="DD199" t="s">
        <v>398</v>
      </c>
      <c r="DG199">
        <v>26</v>
      </c>
      <c r="DL199">
        <v>50400</v>
      </c>
      <c r="DM199" t="s">
        <v>2435</v>
      </c>
      <c r="DO199" t="s">
        <v>2457</v>
      </c>
      <c r="DP199">
        <v>0</v>
      </c>
      <c r="DQ199">
        <v>0</v>
      </c>
      <c r="DR199" t="s">
        <v>411</v>
      </c>
      <c r="DS199" t="b">
        <v>1</v>
      </c>
      <c r="DT199" t="s">
        <v>470</v>
      </c>
      <c r="DU199" t="s">
        <v>471</v>
      </c>
      <c r="DV199" t="s">
        <v>472</v>
      </c>
      <c r="DX199">
        <v>-9999</v>
      </c>
      <c r="DZ199" t="s">
        <v>447</v>
      </c>
      <c r="EA199" t="s">
        <v>448</v>
      </c>
      <c r="EB199" t="s">
        <v>1224</v>
      </c>
      <c r="EC199">
        <v>20101217</v>
      </c>
      <c r="ED199" t="s">
        <v>474</v>
      </c>
      <c r="EF199">
        <v>708.1</v>
      </c>
      <c r="EG199">
        <v>708.1</v>
      </c>
      <c r="EI199">
        <v>20160407</v>
      </c>
      <c r="EJ199">
        <v>0</v>
      </c>
      <c r="EK199">
        <v>0</v>
      </c>
      <c r="EP199" t="s">
        <v>421</v>
      </c>
      <c r="EQ199" t="s">
        <v>422</v>
      </c>
      <c r="ER199">
        <v>2</v>
      </c>
      <c r="ES199">
        <v>4</v>
      </c>
      <c r="ET199">
        <v>1533.58</v>
      </c>
      <c r="EU199">
        <v>89.18</v>
      </c>
      <c r="EV199">
        <v>1622.76</v>
      </c>
      <c r="EW199" s="2">
        <v>43222</v>
      </c>
      <c r="EX199" s="1">
        <v>42879</v>
      </c>
      <c r="EY199">
        <v>2016</v>
      </c>
      <c r="EZ199">
        <v>766.79</v>
      </c>
      <c r="FA199" t="s">
        <v>2458</v>
      </c>
      <c r="FB199">
        <v>0.25</v>
      </c>
      <c r="FC199" t="s">
        <v>424</v>
      </c>
      <c r="FD199" t="s">
        <v>454</v>
      </c>
      <c r="FF199">
        <v>12</v>
      </c>
      <c r="FG199">
        <v>11289</v>
      </c>
      <c r="FH199" t="s">
        <v>787</v>
      </c>
      <c r="FJ199" s="1">
        <v>42879</v>
      </c>
      <c r="FK199">
        <v>2016</v>
      </c>
      <c r="FL199">
        <v>766.79</v>
      </c>
      <c r="FM199" t="s">
        <v>2458</v>
      </c>
      <c r="FN199">
        <v>0.25</v>
      </c>
      <c r="FO199" t="s">
        <v>424</v>
      </c>
      <c r="FP199" t="s">
        <v>454</v>
      </c>
      <c r="FR199">
        <v>12</v>
      </c>
      <c r="FS199">
        <v>7070324</v>
      </c>
      <c r="FT199" t="s">
        <v>2459</v>
      </c>
      <c r="FV199" s="1">
        <v>42515</v>
      </c>
      <c r="FW199">
        <v>2015</v>
      </c>
      <c r="FX199">
        <v>854.57</v>
      </c>
      <c r="FY199" t="s">
        <v>2460</v>
      </c>
      <c r="FZ199">
        <v>0.25</v>
      </c>
      <c r="GA199" t="s">
        <v>424</v>
      </c>
      <c r="GB199" t="s">
        <v>425</v>
      </c>
      <c r="GC199" s="1">
        <v>43136</v>
      </c>
      <c r="GD199">
        <v>21</v>
      </c>
      <c r="GE199">
        <v>2851116</v>
      </c>
      <c r="GF199" t="s">
        <v>480</v>
      </c>
      <c r="GH199" s="1">
        <v>42515</v>
      </c>
      <c r="GI199">
        <v>2015</v>
      </c>
      <c r="GJ199">
        <v>854.57</v>
      </c>
      <c r="GK199" t="s">
        <v>2460</v>
      </c>
      <c r="GL199">
        <v>0.25</v>
      </c>
      <c r="GM199" t="s">
        <v>424</v>
      </c>
      <c r="GN199" t="s">
        <v>425</v>
      </c>
      <c r="GP199">
        <v>22</v>
      </c>
      <c r="GQ199">
        <v>5013343</v>
      </c>
      <c r="GR199" t="s">
        <v>2461</v>
      </c>
      <c r="GT199" s="1">
        <v>42151</v>
      </c>
      <c r="GU199">
        <v>2014</v>
      </c>
      <c r="GV199">
        <v>863.51</v>
      </c>
      <c r="GW199" t="s">
        <v>2462</v>
      </c>
      <c r="GX199">
        <v>0.25</v>
      </c>
      <c r="GY199" t="s">
        <v>424</v>
      </c>
      <c r="GZ199" t="s">
        <v>425</v>
      </c>
      <c r="HA199" s="1">
        <v>42769</v>
      </c>
      <c r="HB199">
        <v>21</v>
      </c>
      <c r="HC199">
        <v>2851116</v>
      </c>
      <c r="HD199" t="s">
        <v>480</v>
      </c>
      <c r="HF199" s="1">
        <v>42151</v>
      </c>
      <c r="HG199">
        <v>2014</v>
      </c>
      <c r="HH199">
        <v>863.51</v>
      </c>
      <c r="HI199" t="s">
        <v>2462</v>
      </c>
      <c r="HJ199">
        <v>0.25</v>
      </c>
      <c r="HK199" t="s">
        <v>424</v>
      </c>
      <c r="HL199" t="s">
        <v>425</v>
      </c>
      <c r="HN199">
        <v>22</v>
      </c>
      <c r="HO199">
        <v>5295325</v>
      </c>
      <c r="HP199" t="s">
        <v>2463</v>
      </c>
    </row>
    <row r="200" spans="1:260" x14ac:dyDescent="0.25">
      <c r="A200">
        <v>16485207</v>
      </c>
      <c r="B200">
        <v>199</v>
      </c>
      <c r="C200" t="s">
        <v>393</v>
      </c>
      <c r="D200" t="s">
        <v>394</v>
      </c>
      <c r="F200" t="str">
        <f>"26-4N-23-0000-0001-0250"</f>
        <v>26-4N-23-0000-0001-0250</v>
      </c>
      <c r="H200" t="str">
        <f>"SIEMER BRUCE &amp; CONSUELA"</f>
        <v>SIEMER BRUCE &amp; CONSUELA</v>
      </c>
      <c r="I200" t="str">
        <f>"PO BOX 387"</f>
        <v>PO BOX 387</v>
      </c>
      <c r="J200" t="str">
        <f t="shared" si="59"/>
        <v>HILLIARD FL 32046</v>
      </c>
      <c r="K200" t="str">
        <f>"241756 CR 121"</f>
        <v>241756 CR 121</v>
      </c>
      <c r="L200" t="str">
        <f t="shared" si="60"/>
        <v>HILLIARD FL 32046</v>
      </c>
      <c r="M200" t="str">
        <f>"PT OR 829/1766 ESMT OR 1165/926 EX 1-27"</f>
        <v>PT OR 829/1766 ESMT OR 1165/926 EX 1-27</v>
      </c>
      <c r="N200" t="str">
        <f>""</f>
        <v/>
      </c>
      <c r="O200" t="str">
        <f>"36881"</f>
        <v>36881</v>
      </c>
      <c r="P200" t="str">
        <f t="shared" si="61"/>
        <v>2017</v>
      </c>
      <c r="Q200" t="str">
        <f>""</f>
        <v/>
      </c>
      <c r="R200" t="str">
        <f>"N"</f>
        <v>N</v>
      </c>
      <c r="S200" t="str">
        <f>"14.68"</f>
        <v>14.68</v>
      </c>
      <c r="T200" t="str">
        <f>"1445.16"</f>
        <v>1445.16</v>
      </c>
      <c r="U200" t="str">
        <f>"95461.00"</f>
        <v>95461.00</v>
      </c>
      <c r="V200" t="str">
        <f>"95461.00"</f>
        <v>95461.00</v>
      </c>
      <c r="W200" t="str">
        <f t="shared" si="62"/>
        <v>2017</v>
      </c>
      <c r="X200" t="str">
        <f>"17.75"</f>
        <v>17.75</v>
      </c>
      <c r="Y200" t="str">
        <f>"1520.51"</f>
        <v>1520.51</v>
      </c>
      <c r="Z200" t="str">
        <f>""</f>
        <v/>
      </c>
      <c r="AA200" t="str">
        <f>"95461.00"</f>
        <v>95461.00</v>
      </c>
      <c r="AB200" t="str">
        <f t="shared" si="63"/>
        <v>Residential</v>
      </c>
      <c r="AC200" t="str">
        <f t="shared" si="64"/>
        <v>0</v>
      </c>
      <c r="AD200" t="str">
        <f t="shared" si="66"/>
        <v>4</v>
      </c>
      <c r="AE200" t="str">
        <f t="shared" si="67"/>
        <v>WOOD (INCLUDE STEEL STUDS)</v>
      </c>
      <c r="AF200" t="str">
        <f t="shared" si="68"/>
        <v>002</v>
      </c>
      <c r="AG200" t="str">
        <f t="shared" si="65"/>
        <v>FL</v>
      </c>
      <c r="AH200" t="str">
        <f>"639460.00"</f>
        <v>639460.00</v>
      </c>
      <c r="AI200" t="str">
        <f>"80740.00"</f>
        <v>80740.00</v>
      </c>
      <c r="AJ200" t="str">
        <f>"C55-000-588-9606-9"</f>
        <v>C55-000-588-9606-9</v>
      </c>
      <c r="AK200" t="str">
        <f>"2114"</f>
        <v>2114</v>
      </c>
      <c r="AL200">
        <v>1</v>
      </c>
      <c r="AM200">
        <v>232</v>
      </c>
      <c r="AN200">
        <v>1594.94</v>
      </c>
      <c r="AQ200" t="s">
        <v>2464</v>
      </c>
      <c r="AR200" t="s">
        <v>2464</v>
      </c>
      <c r="AS200" t="s">
        <v>2464</v>
      </c>
      <c r="AU200" t="s">
        <v>396</v>
      </c>
      <c r="AV200">
        <v>2017</v>
      </c>
      <c r="AW200" t="str">
        <f>"26-4N-23-0000-0001-0250 "</f>
        <v xml:space="preserve">26-4N-23-0000-0001-0250 </v>
      </c>
      <c r="AX200">
        <v>241756</v>
      </c>
      <c r="AZ200" t="s">
        <v>611</v>
      </c>
      <c r="BD200" t="s">
        <v>398</v>
      </c>
      <c r="BE200" t="s">
        <v>393</v>
      </c>
      <c r="BF200">
        <v>32046</v>
      </c>
      <c r="BG200" t="s">
        <v>2465</v>
      </c>
      <c r="BH200" t="s">
        <v>400</v>
      </c>
      <c r="BI200">
        <v>-81.990790242751004</v>
      </c>
      <c r="BJ200">
        <v>30.74057728112</v>
      </c>
      <c r="BK200" t="s">
        <v>2466</v>
      </c>
      <c r="BM200" t="s">
        <v>2467</v>
      </c>
      <c r="BN200" t="s">
        <v>403</v>
      </c>
      <c r="BO200">
        <v>32046</v>
      </c>
      <c r="BP200" t="s">
        <v>404</v>
      </c>
      <c r="BQ200">
        <v>200</v>
      </c>
      <c r="BR200" t="s">
        <v>405</v>
      </c>
      <c r="BS200">
        <v>1006</v>
      </c>
      <c r="BT200" t="s">
        <v>406</v>
      </c>
      <c r="BW200">
        <v>639460</v>
      </c>
      <c r="BX200" t="s">
        <v>407</v>
      </c>
      <c r="BY200" t="s">
        <v>408</v>
      </c>
      <c r="BZ200">
        <v>4</v>
      </c>
      <c r="CA200">
        <v>1990</v>
      </c>
      <c r="CC200">
        <v>1</v>
      </c>
      <c r="CD200">
        <v>2017</v>
      </c>
      <c r="CE200">
        <v>80740</v>
      </c>
      <c r="CF200">
        <v>14721</v>
      </c>
      <c r="CG200">
        <v>95461</v>
      </c>
      <c r="CH200">
        <v>2017</v>
      </c>
      <c r="CI200">
        <v>80740</v>
      </c>
      <c r="CJ200">
        <v>14721</v>
      </c>
      <c r="CK200">
        <v>95461</v>
      </c>
      <c r="CL200">
        <v>2017</v>
      </c>
      <c r="CM200">
        <v>1445.16</v>
      </c>
      <c r="DD200" t="s">
        <v>398</v>
      </c>
      <c r="DG200">
        <v>26</v>
      </c>
      <c r="DL200">
        <v>50400</v>
      </c>
      <c r="DM200" t="s">
        <v>2435</v>
      </c>
      <c r="DO200" t="s">
        <v>2468</v>
      </c>
      <c r="DP200">
        <v>0</v>
      </c>
      <c r="DQ200">
        <v>0</v>
      </c>
      <c r="DR200" t="s">
        <v>411</v>
      </c>
      <c r="DS200" t="b">
        <v>1</v>
      </c>
      <c r="DT200" t="s">
        <v>470</v>
      </c>
      <c r="DU200" t="s">
        <v>471</v>
      </c>
      <c r="DV200" t="s">
        <v>472</v>
      </c>
      <c r="DX200">
        <v>-9999</v>
      </c>
      <c r="DZ200" t="s">
        <v>447</v>
      </c>
      <c r="EA200" t="s">
        <v>448</v>
      </c>
      <c r="EB200" t="s">
        <v>1224</v>
      </c>
      <c r="EC200">
        <v>20101217</v>
      </c>
      <c r="ED200" t="s">
        <v>474</v>
      </c>
      <c r="EF200">
        <v>24.7</v>
      </c>
      <c r="EG200">
        <v>24.7</v>
      </c>
      <c r="EI200">
        <v>20160407</v>
      </c>
      <c r="EJ200">
        <v>0</v>
      </c>
      <c r="EK200">
        <v>0</v>
      </c>
      <c r="EP200" t="s">
        <v>595</v>
      </c>
      <c r="EQ200" t="s">
        <v>452</v>
      </c>
      <c r="ER200">
        <v>0</v>
      </c>
      <c r="ES200">
        <v>8</v>
      </c>
      <c r="ET200">
        <v>0</v>
      </c>
      <c r="EU200">
        <v>0</v>
      </c>
      <c r="EV200">
        <v>0</v>
      </c>
      <c r="EW200" s="2">
        <v>43222</v>
      </c>
      <c r="EX200" s="1">
        <v>42515</v>
      </c>
      <c r="EY200">
        <v>2015</v>
      </c>
      <c r="EZ200">
        <v>1582.87</v>
      </c>
      <c r="FA200" t="s">
        <v>2469</v>
      </c>
      <c r="FB200">
        <v>18</v>
      </c>
      <c r="FC200" t="s">
        <v>424</v>
      </c>
      <c r="FD200" t="s">
        <v>425</v>
      </c>
      <c r="FE200" s="1">
        <v>42851</v>
      </c>
      <c r="FF200">
        <v>11</v>
      </c>
      <c r="FG200">
        <v>10125</v>
      </c>
      <c r="FH200" t="s">
        <v>440</v>
      </c>
      <c r="FI200" t="s">
        <v>458</v>
      </c>
      <c r="FJ200" s="1">
        <v>42151</v>
      </c>
      <c r="FK200">
        <v>2014</v>
      </c>
      <c r="FL200">
        <v>1415.77</v>
      </c>
      <c r="FM200" t="s">
        <v>2470</v>
      </c>
      <c r="FN200">
        <v>0.25</v>
      </c>
      <c r="FO200" t="s">
        <v>424</v>
      </c>
      <c r="FP200" t="s">
        <v>425</v>
      </c>
      <c r="FQ200" s="1">
        <v>42851</v>
      </c>
      <c r="FR200">
        <v>23</v>
      </c>
      <c r="FS200">
        <v>4975593</v>
      </c>
      <c r="FT200" t="s">
        <v>505</v>
      </c>
      <c r="FU200" t="s">
        <v>458</v>
      </c>
      <c r="FV200" s="1">
        <v>42151</v>
      </c>
      <c r="FW200">
        <v>2013</v>
      </c>
      <c r="FX200">
        <v>1711.66</v>
      </c>
      <c r="FY200" t="s">
        <v>2471</v>
      </c>
      <c r="FZ200">
        <v>18</v>
      </c>
      <c r="GA200" t="s">
        <v>424</v>
      </c>
      <c r="GB200" t="s">
        <v>425</v>
      </c>
      <c r="GD200">
        <v>22</v>
      </c>
      <c r="GE200">
        <v>4844942</v>
      </c>
      <c r="GF200" t="s">
        <v>2472</v>
      </c>
      <c r="GG200" t="s">
        <v>458</v>
      </c>
      <c r="GH200" s="1">
        <v>42151</v>
      </c>
      <c r="GI200">
        <v>2013</v>
      </c>
      <c r="GJ200">
        <v>1711.66</v>
      </c>
      <c r="GK200" t="s">
        <v>2471</v>
      </c>
      <c r="GL200">
        <v>18</v>
      </c>
      <c r="GM200" t="s">
        <v>424</v>
      </c>
      <c r="GN200" t="s">
        <v>425</v>
      </c>
      <c r="GO200" s="1">
        <v>42851</v>
      </c>
      <c r="GP200">
        <v>23</v>
      </c>
      <c r="GQ200">
        <v>7045032</v>
      </c>
      <c r="GR200" t="s">
        <v>2473</v>
      </c>
      <c r="GS200" t="s">
        <v>458</v>
      </c>
      <c r="GT200" s="1">
        <v>42151</v>
      </c>
      <c r="GU200">
        <v>2012</v>
      </c>
      <c r="GV200">
        <v>1985.74</v>
      </c>
      <c r="GW200" t="s">
        <v>2474</v>
      </c>
      <c r="GX200">
        <v>18</v>
      </c>
      <c r="GY200" t="s">
        <v>603</v>
      </c>
      <c r="GZ200" t="s">
        <v>425</v>
      </c>
      <c r="HB200">
        <v>22</v>
      </c>
      <c r="HC200">
        <v>9999999</v>
      </c>
      <c r="HD200" t="s">
        <v>604</v>
      </c>
      <c r="HE200" t="s">
        <v>458</v>
      </c>
      <c r="HF200" s="1">
        <v>42151</v>
      </c>
      <c r="HG200">
        <v>2012</v>
      </c>
      <c r="HH200">
        <v>2051.56</v>
      </c>
      <c r="HI200" t="s">
        <v>2474</v>
      </c>
      <c r="HJ200">
        <v>18</v>
      </c>
      <c r="HK200" t="s">
        <v>424</v>
      </c>
      <c r="HL200" t="s">
        <v>425</v>
      </c>
      <c r="HN200">
        <v>22</v>
      </c>
      <c r="HO200">
        <v>7045045</v>
      </c>
      <c r="HP200" t="s">
        <v>2475</v>
      </c>
      <c r="HQ200" t="s">
        <v>458</v>
      </c>
      <c r="HR200" s="1">
        <v>42151</v>
      </c>
      <c r="HS200">
        <v>2011</v>
      </c>
      <c r="HT200">
        <v>2639.39</v>
      </c>
      <c r="HU200" t="s">
        <v>2476</v>
      </c>
      <c r="HV200">
        <v>18</v>
      </c>
      <c r="HW200" t="s">
        <v>603</v>
      </c>
      <c r="HX200" t="s">
        <v>425</v>
      </c>
      <c r="HZ200">
        <v>22</v>
      </c>
      <c r="IA200">
        <v>9999999</v>
      </c>
      <c r="IB200" t="s">
        <v>604</v>
      </c>
      <c r="IC200" t="s">
        <v>458</v>
      </c>
      <c r="ID200" s="1">
        <v>42151</v>
      </c>
      <c r="IE200">
        <v>2011</v>
      </c>
      <c r="IF200">
        <v>2724.82</v>
      </c>
      <c r="IG200" t="s">
        <v>2476</v>
      </c>
      <c r="IH200">
        <v>18</v>
      </c>
      <c r="II200" t="s">
        <v>424</v>
      </c>
      <c r="IJ200" t="s">
        <v>425</v>
      </c>
      <c r="IL200">
        <v>22</v>
      </c>
      <c r="IM200">
        <v>7045045</v>
      </c>
      <c r="IN200" t="s">
        <v>2475</v>
      </c>
      <c r="IO200" t="s">
        <v>458</v>
      </c>
    </row>
    <row r="201" spans="1:260" x14ac:dyDescent="0.25">
      <c r="A201">
        <v>16485208</v>
      </c>
      <c r="B201">
        <v>200</v>
      </c>
      <c r="C201" t="s">
        <v>393</v>
      </c>
      <c r="D201" t="s">
        <v>394</v>
      </c>
      <c r="F201" t="str">
        <f>"26-4N-23-0000-0001-0340"</f>
        <v>26-4N-23-0000-0001-0340</v>
      </c>
      <c r="H201" t="str">
        <f>"POPE JAMES MATTHEW &amp; CHRISTINA"</f>
        <v>POPE JAMES MATTHEW &amp; CHRISTINA</v>
      </c>
      <c r="I201" t="str">
        <f>"18110 GERANIUM LN"</f>
        <v>18110 GERANIUM LN</v>
      </c>
      <c r="J201" t="str">
        <f t="shared" si="59"/>
        <v>HILLIARD FL 32046</v>
      </c>
      <c r="K201" t="str">
        <f>"18110 GERANIUM LN"</f>
        <v>18110 GERANIUM LN</v>
      </c>
      <c r="L201" t="str">
        <f t="shared" si="60"/>
        <v>HILLIARD FL 32046</v>
      </c>
      <c r="M201" t="str">
        <f>"IN OR 1923/621 (EX OR 1350/1332 PAR 1-22) 1982 ROYA DW/MH"</f>
        <v>IN OR 1923/621 (EX OR 1350/1332 PAR 1-22) 1982 ROYA DW/MH</v>
      </c>
      <c r="N201" t="str">
        <f>""</f>
        <v/>
      </c>
      <c r="O201" t="str">
        <f>"36890"</f>
        <v>36890</v>
      </c>
      <c r="P201" t="str">
        <f t="shared" si="61"/>
        <v>2017</v>
      </c>
      <c r="Q201" t="str">
        <f>""</f>
        <v/>
      </c>
      <c r="R201" t="str">
        <f>"Y"</f>
        <v>Y</v>
      </c>
      <c r="S201" t="str">
        <f>"3.00"</f>
        <v>3.00</v>
      </c>
      <c r="T201" t="str">
        <f>"231.40"</f>
        <v>231.40</v>
      </c>
      <c r="U201" t="str">
        <f>"40286.00"</f>
        <v>40286.00</v>
      </c>
      <c r="V201" t="str">
        <f>"40286.00"</f>
        <v>40286.00</v>
      </c>
      <c r="W201" t="str">
        <f t="shared" si="62"/>
        <v>2017</v>
      </c>
      <c r="X201" t="str">
        <f>"5.33"</f>
        <v>5.33</v>
      </c>
      <c r="Y201" t="str">
        <f>"270.34"</f>
        <v>270.34</v>
      </c>
      <c r="Z201" t="str">
        <f>"25000.00"</f>
        <v>25000.00</v>
      </c>
      <c r="AA201" t="str">
        <f>"15286.00"</f>
        <v>15286.00</v>
      </c>
      <c r="AB201" t="str">
        <f t="shared" si="63"/>
        <v>Residential</v>
      </c>
      <c r="AC201" t="str">
        <f t="shared" si="64"/>
        <v>0</v>
      </c>
      <c r="AD201" t="str">
        <f t="shared" si="66"/>
        <v>4</v>
      </c>
      <c r="AE201" t="str">
        <f t="shared" si="67"/>
        <v>WOOD (INCLUDE STEEL STUDS)</v>
      </c>
      <c r="AF201" t="str">
        <f t="shared" si="68"/>
        <v>002</v>
      </c>
      <c r="AG201" t="str">
        <f t="shared" si="65"/>
        <v>FL</v>
      </c>
      <c r="AH201" t="str">
        <f>"130680.00"</f>
        <v>130680.00</v>
      </c>
      <c r="AI201" t="str">
        <f>"24000.00"</f>
        <v>24000.00</v>
      </c>
      <c r="AJ201" t="str">
        <f>"C55-000-589-2590-0"</f>
        <v>C55-000-589-2590-0</v>
      </c>
      <c r="AK201" t="str">
        <f>"2123"</f>
        <v>2123</v>
      </c>
      <c r="AL201">
        <v>1</v>
      </c>
      <c r="AM201">
        <v>233</v>
      </c>
      <c r="AN201">
        <v>282.26</v>
      </c>
      <c r="AQ201" t="s">
        <v>2477</v>
      </c>
      <c r="AR201" t="s">
        <v>2477</v>
      </c>
      <c r="AS201" t="s">
        <v>2477</v>
      </c>
      <c r="AU201" t="s">
        <v>396</v>
      </c>
      <c r="AV201">
        <v>2017</v>
      </c>
      <c r="AW201" t="str">
        <f>"26-4N-23-0000-0001-0340 "</f>
        <v xml:space="preserve">26-4N-23-0000-0001-0340 </v>
      </c>
      <c r="AX201">
        <v>18110</v>
      </c>
      <c r="AZ201" t="s">
        <v>2478</v>
      </c>
      <c r="BA201" t="s">
        <v>653</v>
      </c>
      <c r="BD201" t="s">
        <v>398</v>
      </c>
      <c r="BE201" t="s">
        <v>393</v>
      </c>
      <c r="BF201">
        <v>32046</v>
      </c>
      <c r="BG201" t="s">
        <v>2479</v>
      </c>
      <c r="BH201" t="s">
        <v>400</v>
      </c>
      <c r="BI201">
        <v>-81.991924874187504</v>
      </c>
      <c r="BJ201">
        <v>30.738790103231999</v>
      </c>
      <c r="BK201" t="s">
        <v>2480</v>
      </c>
      <c r="BM201" t="s">
        <v>2479</v>
      </c>
      <c r="BN201" t="s">
        <v>403</v>
      </c>
      <c r="BO201">
        <v>32046</v>
      </c>
      <c r="BP201" t="s">
        <v>416</v>
      </c>
      <c r="BQ201">
        <v>200</v>
      </c>
      <c r="BR201" t="s">
        <v>405</v>
      </c>
      <c r="BS201">
        <v>1006</v>
      </c>
      <c r="BT201" t="s">
        <v>406</v>
      </c>
      <c r="BW201">
        <v>130680</v>
      </c>
      <c r="BX201" t="s">
        <v>407</v>
      </c>
      <c r="BZ201">
        <v>4</v>
      </c>
      <c r="CA201">
        <v>1982</v>
      </c>
      <c r="CB201">
        <v>1</v>
      </c>
      <c r="CC201">
        <v>1</v>
      </c>
      <c r="CD201">
        <v>2017</v>
      </c>
      <c r="CE201">
        <v>24000</v>
      </c>
      <c r="CF201">
        <v>16286</v>
      </c>
      <c r="CG201">
        <v>40286</v>
      </c>
      <c r="CH201">
        <v>2017</v>
      </c>
      <c r="CI201">
        <v>24000</v>
      </c>
      <c r="CJ201">
        <v>16286</v>
      </c>
      <c r="CK201">
        <v>40286</v>
      </c>
      <c r="CL201">
        <v>2017</v>
      </c>
      <c r="CM201">
        <v>231.4</v>
      </c>
      <c r="CN201" s="1">
        <v>41808</v>
      </c>
      <c r="CV201">
        <v>0</v>
      </c>
      <c r="CZ201" s="1">
        <v>41808</v>
      </c>
      <c r="DA201">
        <v>0</v>
      </c>
      <c r="DD201" t="s">
        <v>398</v>
      </c>
      <c r="DG201">
        <v>26</v>
      </c>
      <c r="DL201">
        <v>50400</v>
      </c>
      <c r="DM201" t="s">
        <v>2435</v>
      </c>
      <c r="DO201" t="s">
        <v>2481</v>
      </c>
      <c r="DP201">
        <v>0</v>
      </c>
      <c r="DQ201">
        <v>0</v>
      </c>
      <c r="DR201" t="s">
        <v>411</v>
      </c>
      <c r="DS201" t="b">
        <v>1</v>
      </c>
      <c r="DT201" t="s">
        <v>470</v>
      </c>
      <c r="DU201" t="s">
        <v>471</v>
      </c>
      <c r="DV201" t="s">
        <v>472</v>
      </c>
      <c r="DX201">
        <v>-9999</v>
      </c>
      <c r="DZ201" t="s">
        <v>447</v>
      </c>
      <c r="EA201" t="s">
        <v>448</v>
      </c>
      <c r="EB201" t="s">
        <v>1224</v>
      </c>
      <c r="EC201">
        <v>20101217</v>
      </c>
      <c r="ED201" t="s">
        <v>474</v>
      </c>
      <c r="EF201">
        <v>512.5</v>
      </c>
      <c r="EG201">
        <v>512.5</v>
      </c>
      <c r="EI201">
        <v>20160407</v>
      </c>
      <c r="EJ201">
        <v>0</v>
      </c>
      <c r="EK201">
        <v>0</v>
      </c>
      <c r="EP201" t="s">
        <v>421</v>
      </c>
      <c r="EQ201" t="s">
        <v>422</v>
      </c>
      <c r="ER201">
        <v>0</v>
      </c>
      <c r="ES201">
        <v>3</v>
      </c>
      <c r="ET201">
        <v>0</v>
      </c>
      <c r="EU201">
        <v>0</v>
      </c>
      <c r="EV201">
        <v>0</v>
      </c>
      <c r="EW201" s="2">
        <v>43222</v>
      </c>
      <c r="EX201" s="1">
        <v>42515</v>
      </c>
      <c r="EY201">
        <v>2015</v>
      </c>
      <c r="EZ201">
        <v>267.88</v>
      </c>
      <c r="FA201" t="s">
        <v>2482</v>
      </c>
      <c r="FB201">
        <v>0.25</v>
      </c>
      <c r="FC201" t="s">
        <v>424</v>
      </c>
      <c r="FD201" t="s">
        <v>425</v>
      </c>
      <c r="FE201" s="1">
        <v>42799</v>
      </c>
      <c r="FF201">
        <v>10</v>
      </c>
      <c r="FG201">
        <v>2851116</v>
      </c>
      <c r="FH201" t="s">
        <v>480</v>
      </c>
      <c r="FJ201" s="1">
        <v>42515</v>
      </c>
      <c r="FK201">
        <v>2015</v>
      </c>
      <c r="FL201">
        <v>267.88</v>
      </c>
      <c r="FM201" t="s">
        <v>2482</v>
      </c>
      <c r="FN201">
        <v>0.25</v>
      </c>
      <c r="FO201" t="s">
        <v>424</v>
      </c>
      <c r="FP201" t="s">
        <v>425</v>
      </c>
      <c r="FR201">
        <v>22</v>
      </c>
      <c r="FS201">
        <v>5410217</v>
      </c>
      <c r="FT201" t="s">
        <v>2483</v>
      </c>
      <c r="FV201" s="1">
        <v>42151</v>
      </c>
      <c r="FW201">
        <v>2014</v>
      </c>
      <c r="FX201">
        <v>501.2</v>
      </c>
      <c r="FY201" t="s">
        <v>2484</v>
      </c>
      <c r="FZ201">
        <v>2.75</v>
      </c>
      <c r="GA201" t="s">
        <v>424</v>
      </c>
      <c r="GB201" t="s">
        <v>425</v>
      </c>
      <c r="GC201" s="1">
        <v>42195</v>
      </c>
      <c r="GD201">
        <v>2</v>
      </c>
      <c r="GE201">
        <v>4975593</v>
      </c>
      <c r="GF201" t="s">
        <v>505</v>
      </c>
    </row>
    <row r="202" spans="1:260" x14ac:dyDescent="0.25">
      <c r="A202">
        <v>16485209</v>
      </c>
      <c r="B202">
        <v>201</v>
      </c>
      <c r="C202" t="s">
        <v>393</v>
      </c>
      <c r="D202" t="s">
        <v>394</v>
      </c>
      <c r="F202" t="str">
        <f>"26-4N-23-0000-0001-0380"</f>
        <v>26-4N-23-0000-0001-0380</v>
      </c>
      <c r="H202" t="str">
        <f>"ROWE REGINA DAWN"</f>
        <v>ROWE REGINA DAWN</v>
      </c>
      <c r="I202" t="str">
        <f>"241716 CR 121"</f>
        <v>241716 CR 121</v>
      </c>
      <c r="J202" t="str">
        <f t="shared" si="59"/>
        <v>HILLIARD FL 32046</v>
      </c>
      <c r="K202" t="str">
        <f>"241716 CR 121"</f>
        <v>241716 CR 121</v>
      </c>
      <c r="L202" t="str">
        <f t="shared" si="60"/>
        <v>HILLIARD FL 32046</v>
      </c>
      <c r="M202" t="str">
        <f>"IN OR 2051/1850 1989 FLEE SW/MH"</f>
        <v>IN OR 2051/1850 1989 FLEE SW/MH</v>
      </c>
      <c r="N202" t="str">
        <f>""</f>
        <v/>
      </c>
      <c r="O202" t="str">
        <f>"36894"</f>
        <v>36894</v>
      </c>
      <c r="P202" t="str">
        <f t="shared" si="61"/>
        <v>2017</v>
      </c>
      <c r="Q202" t="str">
        <f>""</f>
        <v/>
      </c>
      <c r="R202" t="str">
        <f>"N"</f>
        <v>N</v>
      </c>
      <c r="S202" t="str">
        <f>"1.00"</f>
        <v>1.00</v>
      </c>
      <c r="T202" t="str">
        <f>"296.20"</f>
        <v>296.20</v>
      </c>
      <c r="U202" t="str">
        <f>"19566.00"</f>
        <v>19566.00</v>
      </c>
      <c r="V202" t="str">
        <f>"19566.00"</f>
        <v>19566.00</v>
      </c>
      <c r="W202" t="str">
        <f t="shared" si="62"/>
        <v>2017</v>
      </c>
      <c r="X202" t="str">
        <f>"7.75"</f>
        <v>7.75</v>
      </c>
      <c r="Y202" t="str">
        <f>"337.09"</f>
        <v>337.09</v>
      </c>
      <c r="Z202" t="str">
        <f>""</f>
        <v/>
      </c>
      <c r="AA202" t="str">
        <f>"19566.00"</f>
        <v>19566.00</v>
      </c>
      <c r="AB202" t="str">
        <f t="shared" si="63"/>
        <v>Residential</v>
      </c>
      <c r="AC202" t="str">
        <f t="shared" si="64"/>
        <v>0</v>
      </c>
      <c r="AD202" t="str">
        <f t="shared" si="66"/>
        <v>4</v>
      </c>
      <c r="AE202" t="str">
        <f t="shared" si="67"/>
        <v>WOOD (INCLUDE STEEL STUDS)</v>
      </c>
      <c r="AF202" t="str">
        <f t="shared" si="68"/>
        <v>002</v>
      </c>
      <c r="AG202" t="str">
        <f t="shared" si="65"/>
        <v>FL</v>
      </c>
      <c r="AH202" t="str">
        <f>"43560.00"</f>
        <v>43560.00</v>
      </c>
      <c r="AI202" t="str">
        <f>"10500.00"</f>
        <v>10500.00</v>
      </c>
      <c r="AJ202" t="str">
        <f>"C55-000-969-7659-2"</f>
        <v>C55-000-969-7659-2</v>
      </c>
      <c r="AK202" t="str">
        <f>"2127"</f>
        <v>2127</v>
      </c>
      <c r="AL202">
        <v>1</v>
      </c>
      <c r="AM202">
        <v>234</v>
      </c>
      <c r="AN202">
        <v>352.34</v>
      </c>
      <c r="AQ202" t="s">
        <v>2485</v>
      </c>
      <c r="AR202" t="s">
        <v>2485</v>
      </c>
      <c r="AS202" t="s">
        <v>2485</v>
      </c>
      <c r="AU202" t="s">
        <v>396</v>
      </c>
      <c r="AV202">
        <v>2017</v>
      </c>
      <c r="AW202" t="str">
        <f>"26-4N-23-0000-0001-0380 "</f>
        <v xml:space="preserve">26-4N-23-0000-0001-0380 </v>
      </c>
      <c r="AX202">
        <v>241716</v>
      </c>
      <c r="AZ202" t="s">
        <v>611</v>
      </c>
      <c r="BD202" t="s">
        <v>398</v>
      </c>
      <c r="BE202" t="s">
        <v>393</v>
      </c>
      <c r="BF202">
        <v>32046</v>
      </c>
      <c r="BG202" t="s">
        <v>2486</v>
      </c>
      <c r="BH202" t="s">
        <v>400</v>
      </c>
      <c r="BI202">
        <v>-81.991047168519302</v>
      </c>
      <c r="BJ202">
        <v>30.734900466770899</v>
      </c>
      <c r="BK202" t="s">
        <v>2487</v>
      </c>
      <c r="BM202" t="s">
        <v>2486</v>
      </c>
      <c r="BN202" t="s">
        <v>403</v>
      </c>
      <c r="BO202">
        <v>32046</v>
      </c>
      <c r="BP202" t="s">
        <v>416</v>
      </c>
      <c r="BQ202">
        <v>200</v>
      </c>
      <c r="BR202" t="s">
        <v>405</v>
      </c>
      <c r="BS202">
        <v>1006</v>
      </c>
      <c r="BT202" t="s">
        <v>406</v>
      </c>
      <c r="BW202">
        <v>43560</v>
      </c>
      <c r="BX202" t="s">
        <v>407</v>
      </c>
      <c r="BY202" t="s">
        <v>408</v>
      </c>
      <c r="BZ202">
        <v>4</v>
      </c>
      <c r="CA202">
        <v>1989</v>
      </c>
      <c r="CB202">
        <v>1</v>
      </c>
      <c r="CC202">
        <v>1</v>
      </c>
      <c r="CD202">
        <v>2017</v>
      </c>
      <c r="CE202">
        <v>10500</v>
      </c>
      <c r="CF202">
        <v>9066</v>
      </c>
      <c r="CG202">
        <v>19566</v>
      </c>
      <c r="CH202">
        <v>2017</v>
      </c>
      <c r="CI202">
        <v>10500</v>
      </c>
      <c r="CJ202">
        <v>9066</v>
      </c>
      <c r="CK202">
        <v>19566</v>
      </c>
      <c r="CL202">
        <v>2017</v>
      </c>
      <c r="CM202">
        <v>296.2</v>
      </c>
      <c r="CN202" s="1">
        <v>42531</v>
      </c>
      <c r="CO202">
        <v>18000</v>
      </c>
      <c r="CV202">
        <v>0</v>
      </c>
      <c r="CZ202" s="1">
        <v>42531</v>
      </c>
      <c r="DA202">
        <v>0</v>
      </c>
      <c r="DD202" t="s">
        <v>398</v>
      </c>
      <c r="DG202">
        <v>26</v>
      </c>
      <c r="DL202">
        <v>50400</v>
      </c>
      <c r="DM202" t="s">
        <v>2435</v>
      </c>
      <c r="DO202" t="s">
        <v>2488</v>
      </c>
      <c r="DP202">
        <v>0</v>
      </c>
      <c r="DQ202">
        <v>0</v>
      </c>
      <c r="DR202" t="s">
        <v>411</v>
      </c>
      <c r="DS202" t="b">
        <v>1</v>
      </c>
      <c r="DT202" t="s">
        <v>470</v>
      </c>
      <c r="DU202" t="s">
        <v>471</v>
      </c>
      <c r="DV202" t="s">
        <v>472</v>
      </c>
      <c r="DX202">
        <v>-9999</v>
      </c>
      <c r="DZ202" t="s">
        <v>447</v>
      </c>
      <c r="EA202" t="s">
        <v>448</v>
      </c>
      <c r="EB202" t="s">
        <v>1224</v>
      </c>
      <c r="EC202">
        <v>20101217</v>
      </c>
      <c r="ED202" t="s">
        <v>474</v>
      </c>
      <c r="EF202">
        <v>1145.0999999999999</v>
      </c>
      <c r="EG202">
        <v>1145.0999999999999</v>
      </c>
      <c r="EH202" t="s">
        <v>451</v>
      </c>
      <c r="EI202">
        <v>20140731</v>
      </c>
      <c r="EJ202">
        <v>0</v>
      </c>
      <c r="EK202">
        <v>0</v>
      </c>
      <c r="EP202" t="s">
        <v>421</v>
      </c>
      <c r="EQ202" t="s">
        <v>422</v>
      </c>
      <c r="ER202">
        <v>1</v>
      </c>
      <c r="ES202">
        <v>6</v>
      </c>
      <c r="ET202">
        <v>356.16</v>
      </c>
      <c r="EU202">
        <v>25.84</v>
      </c>
      <c r="EV202">
        <v>382</v>
      </c>
      <c r="EW202" s="2">
        <v>43222</v>
      </c>
      <c r="EX202" s="1">
        <v>42879</v>
      </c>
      <c r="EY202">
        <v>2016</v>
      </c>
      <c r="EZ202">
        <v>356.16</v>
      </c>
      <c r="FA202" t="s">
        <v>2489</v>
      </c>
      <c r="FB202">
        <v>5.5</v>
      </c>
      <c r="FC202" t="s">
        <v>424</v>
      </c>
      <c r="FD202" t="s">
        <v>454</v>
      </c>
      <c r="FF202">
        <v>12</v>
      </c>
      <c r="FG202">
        <v>10125</v>
      </c>
      <c r="FH202" t="s">
        <v>440</v>
      </c>
      <c r="FJ202" s="1">
        <v>42151</v>
      </c>
      <c r="FK202">
        <v>2014</v>
      </c>
      <c r="FL202">
        <v>313.70999999999998</v>
      </c>
      <c r="FM202" t="s">
        <v>2490</v>
      </c>
      <c r="FN202">
        <v>0.25</v>
      </c>
      <c r="FO202" t="s">
        <v>424</v>
      </c>
      <c r="FP202" t="s">
        <v>425</v>
      </c>
      <c r="FQ202" s="1">
        <v>42417</v>
      </c>
      <c r="FR202">
        <v>9</v>
      </c>
      <c r="FS202">
        <v>13026</v>
      </c>
      <c r="FT202" t="s">
        <v>2129</v>
      </c>
      <c r="FV202" s="1">
        <v>42151</v>
      </c>
      <c r="FW202">
        <v>2014</v>
      </c>
      <c r="FX202">
        <v>313.70999999999998</v>
      </c>
      <c r="FY202" t="s">
        <v>2490</v>
      </c>
      <c r="FZ202">
        <v>0.25</v>
      </c>
      <c r="GA202" t="s">
        <v>424</v>
      </c>
      <c r="GB202" t="s">
        <v>425</v>
      </c>
      <c r="GD202">
        <v>22</v>
      </c>
      <c r="GE202">
        <v>4699053</v>
      </c>
      <c r="GF202" t="s">
        <v>2491</v>
      </c>
      <c r="GH202" s="1">
        <v>41787</v>
      </c>
      <c r="GI202">
        <v>2013</v>
      </c>
      <c r="GJ202">
        <v>403.33</v>
      </c>
      <c r="GK202" t="s">
        <v>2492</v>
      </c>
      <c r="GL202">
        <v>0.25</v>
      </c>
      <c r="GM202" t="s">
        <v>424</v>
      </c>
      <c r="GN202" t="s">
        <v>425</v>
      </c>
      <c r="GO202" s="1">
        <v>42059</v>
      </c>
      <c r="GP202">
        <v>9</v>
      </c>
      <c r="GQ202">
        <v>13026</v>
      </c>
      <c r="GR202" t="s">
        <v>2129</v>
      </c>
      <c r="GT202" s="1">
        <v>41423</v>
      </c>
      <c r="GU202">
        <v>2012</v>
      </c>
      <c r="GV202">
        <v>436.88</v>
      </c>
      <c r="GW202" t="s">
        <v>2493</v>
      </c>
      <c r="GX202">
        <v>4.75</v>
      </c>
      <c r="GY202" t="s">
        <v>424</v>
      </c>
      <c r="GZ202" t="s">
        <v>425</v>
      </c>
      <c r="HA202" s="1">
        <v>41708</v>
      </c>
      <c r="HB202">
        <v>10</v>
      </c>
      <c r="HC202">
        <v>1127</v>
      </c>
      <c r="HD202" t="s">
        <v>1379</v>
      </c>
      <c r="HF202" s="1">
        <v>41423</v>
      </c>
      <c r="HG202">
        <v>2012</v>
      </c>
      <c r="HH202">
        <v>436.88</v>
      </c>
      <c r="HI202" t="s">
        <v>2493</v>
      </c>
      <c r="HJ202">
        <v>4.75</v>
      </c>
      <c r="HK202" t="s">
        <v>424</v>
      </c>
      <c r="HL202" t="s">
        <v>425</v>
      </c>
      <c r="HN202">
        <v>22</v>
      </c>
      <c r="HO202">
        <v>2035919</v>
      </c>
      <c r="HP202" t="s">
        <v>507</v>
      </c>
      <c r="HR202" s="1">
        <v>41052</v>
      </c>
      <c r="HS202">
        <v>2011</v>
      </c>
      <c r="HT202">
        <v>496.79</v>
      </c>
      <c r="HU202" t="s">
        <v>2494</v>
      </c>
      <c r="HV202">
        <v>5.75</v>
      </c>
      <c r="HW202" t="s">
        <v>424</v>
      </c>
      <c r="HX202" t="s">
        <v>425</v>
      </c>
      <c r="HY202" s="1">
        <v>41149</v>
      </c>
      <c r="HZ202">
        <v>3</v>
      </c>
      <c r="IA202">
        <v>10125</v>
      </c>
      <c r="IB202" t="s">
        <v>440</v>
      </c>
    </row>
    <row r="203" spans="1:260" x14ac:dyDescent="0.25">
      <c r="A203">
        <v>16485210</v>
      </c>
      <c r="B203">
        <v>202</v>
      </c>
      <c r="C203" t="s">
        <v>393</v>
      </c>
      <c r="D203" t="s">
        <v>394</v>
      </c>
      <c r="F203" t="str">
        <f>"26-4N-23-0000-0001-0410"</f>
        <v>26-4N-23-0000-0001-0410</v>
      </c>
      <c r="H203" t="str">
        <f>"BARLANTI ROBERT A &amp; KIMBERLY Z"</f>
        <v>BARLANTI ROBERT A &amp; KIMBERLY Z</v>
      </c>
      <c r="I203" t="str">
        <f>"434 KIRKLAND CT"</f>
        <v>434 KIRKLAND CT</v>
      </c>
      <c r="J203" t="str">
        <f>"ORANGE PARK FL 32065"</f>
        <v>ORANGE PARK FL 32065</v>
      </c>
      <c r="K203" t="str">
        <f>"27165 PAWNEE TRL"</f>
        <v>27165 PAWNEE TRL</v>
      </c>
      <c r="L203" t="str">
        <f t="shared" si="60"/>
        <v>HILLIARD FL 32046</v>
      </c>
      <c r="M203" t="str">
        <f>"PT OF SE1/4 OF SW1/4 OF SEC 26-4N-23E IN OR 1882/538"</f>
        <v>PT OF SE1/4 OF SW1/4 OF SEC 26-4N-23E IN OR 1882/538</v>
      </c>
      <c r="N203" t="str">
        <f>""</f>
        <v/>
      </c>
      <c r="O203" t="str">
        <f>"36897"</f>
        <v>36897</v>
      </c>
      <c r="P203" t="str">
        <f t="shared" si="61"/>
        <v>2017</v>
      </c>
      <c r="Q203" t="str">
        <f>""</f>
        <v/>
      </c>
      <c r="R203" t="str">
        <f>"N"</f>
        <v>N</v>
      </c>
      <c r="S203" t="str">
        <f>"2.50"</f>
        <v>2.50</v>
      </c>
      <c r="T203" t="str">
        <f>"332.37"</f>
        <v>332.37</v>
      </c>
      <c r="U203" t="str">
        <f>"15740.00"</f>
        <v>15740.00</v>
      </c>
      <c r="V203" t="str">
        <f>"15740.00"</f>
        <v>15740.00</v>
      </c>
      <c r="W203" t="str">
        <f t="shared" si="62"/>
        <v>2017</v>
      </c>
      <c r="X203" t="str">
        <f>""</f>
        <v/>
      </c>
      <c r="Y203" t="str">
        <f>"374.34"</f>
        <v>374.34</v>
      </c>
      <c r="Z203" t="str">
        <f>""</f>
        <v/>
      </c>
      <c r="AA203" t="str">
        <f>"30000.00"</f>
        <v>30000.00</v>
      </c>
      <c r="AB203" t="str">
        <f t="shared" si="63"/>
        <v>Residential</v>
      </c>
      <c r="AC203" t="str">
        <f t="shared" si="64"/>
        <v>0</v>
      </c>
      <c r="AD203" t="str">
        <f>""</f>
        <v/>
      </c>
      <c r="AE203" t="str">
        <f>""</f>
        <v/>
      </c>
      <c r="AF203" t="str">
        <f>"000"</f>
        <v>000</v>
      </c>
      <c r="AG203" t="str">
        <f t="shared" si="65"/>
        <v>FL</v>
      </c>
      <c r="AH203" t="str">
        <f>"108900.00"</f>
        <v>108900.00</v>
      </c>
      <c r="AI203" t="str">
        <f>"30000.00"</f>
        <v>30000.00</v>
      </c>
      <c r="AJ203" t="str">
        <f>"C55-000-976-8016-9"</f>
        <v>C55-000-976-8016-9</v>
      </c>
      <c r="AK203" t="str">
        <f>"2130"</f>
        <v>2130</v>
      </c>
      <c r="AL203">
        <v>1</v>
      </c>
      <c r="AM203">
        <v>235</v>
      </c>
      <c r="AN203">
        <v>391.46</v>
      </c>
      <c r="AQ203" t="s">
        <v>2495</v>
      </c>
      <c r="AR203" t="s">
        <v>2495</v>
      </c>
      <c r="AS203" t="s">
        <v>2495</v>
      </c>
      <c r="AU203" t="s">
        <v>396</v>
      </c>
      <c r="AV203">
        <v>2017</v>
      </c>
      <c r="AW203" t="str">
        <f>"26-4N-23-0000-0001-0410 "</f>
        <v xml:space="preserve">26-4N-23-0000-0001-0410 </v>
      </c>
      <c r="AX203">
        <v>27165</v>
      </c>
      <c r="AZ203" t="s">
        <v>2496</v>
      </c>
      <c r="BA203" t="s">
        <v>2497</v>
      </c>
      <c r="BD203" t="s">
        <v>398</v>
      </c>
      <c r="BE203" t="s">
        <v>393</v>
      </c>
      <c r="BF203">
        <v>32046</v>
      </c>
      <c r="BG203" t="s">
        <v>2498</v>
      </c>
      <c r="BH203" t="s">
        <v>400</v>
      </c>
      <c r="BI203">
        <v>-81.9862986794558</v>
      </c>
      <c r="BJ203">
        <v>30.728972014912198</v>
      </c>
      <c r="BK203" t="s">
        <v>2499</v>
      </c>
      <c r="BM203" t="s">
        <v>2500</v>
      </c>
      <c r="BN203" t="s">
        <v>878</v>
      </c>
      <c r="BO203">
        <v>32065</v>
      </c>
      <c r="BP203" t="s">
        <v>404</v>
      </c>
      <c r="BQ203">
        <v>0</v>
      </c>
      <c r="BR203" t="s">
        <v>491</v>
      </c>
      <c r="BS203">
        <v>8001</v>
      </c>
      <c r="BT203" t="s">
        <v>492</v>
      </c>
      <c r="BW203">
        <v>108900</v>
      </c>
      <c r="BX203" t="s">
        <v>407</v>
      </c>
      <c r="BY203" t="s">
        <v>408</v>
      </c>
      <c r="CD203">
        <v>2017</v>
      </c>
      <c r="CE203">
        <v>30000</v>
      </c>
      <c r="CG203">
        <v>30000</v>
      </c>
      <c r="CH203">
        <v>2017</v>
      </c>
      <c r="CI203">
        <v>30000</v>
      </c>
      <c r="CK203">
        <v>30000</v>
      </c>
      <c r="CL203">
        <v>2017</v>
      </c>
      <c r="CM203">
        <v>332.37</v>
      </c>
      <c r="CN203" s="1">
        <v>43035</v>
      </c>
      <c r="CO203">
        <v>33800</v>
      </c>
      <c r="CV203">
        <v>275000</v>
      </c>
      <c r="CX203" t="s">
        <v>2501</v>
      </c>
      <c r="CZ203" s="1">
        <v>43035</v>
      </c>
      <c r="DA203">
        <v>0</v>
      </c>
      <c r="DD203" t="s">
        <v>398</v>
      </c>
      <c r="DG203">
        <v>26</v>
      </c>
      <c r="DL203">
        <v>50400</v>
      </c>
      <c r="DM203" t="s">
        <v>2435</v>
      </c>
      <c r="DO203" t="s">
        <v>2502</v>
      </c>
      <c r="DP203">
        <v>0</v>
      </c>
      <c r="DQ203">
        <v>0</v>
      </c>
      <c r="DR203" t="s">
        <v>411</v>
      </c>
    </row>
    <row r="204" spans="1:260" x14ac:dyDescent="0.25">
      <c r="A204">
        <v>16485211</v>
      </c>
      <c r="B204">
        <v>203</v>
      </c>
      <c r="C204" t="s">
        <v>393</v>
      </c>
      <c r="D204" t="s">
        <v>394</v>
      </c>
      <c r="F204" t="str">
        <f>"27-4N-23-0000-0002-0010"</f>
        <v>27-4N-23-0000-0002-0010</v>
      </c>
      <c r="H204" t="str">
        <f>"JOHNSON KELLY &amp; BRITTANY"</f>
        <v>JOHNSON KELLY &amp; BRITTANY</v>
      </c>
      <c r="I204" t="str">
        <f>"171057 HODGES ROAD"</f>
        <v>171057 HODGES ROAD</v>
      </c>
      <c r="J204" t="str">
        <f>"HILLIARD FL 32046"</f>
        <v>HILLIARD FL 32046</v>
      </c>
      <c r="K204" t="str">
        <f>"171057 HODGES RD"</f>
        <v>171057 HODGES RD</v>
      </c>
      <c r="L204" t="str">
        <f t="shared" si="60"/>
        <v>HILLIARD FL 32046</v>
      </c>
      <c r="M204" t="str">
        <f>"PT OF NE1/4 &amp; NW1/4 IN OR 1610/577 R673832 &amp; R673833"</f>
        <v>PT OF NE1/4 &amp; NW1/4 IN OR 1610/577 R673832 &amp; R673833</v>
      </c>
      <c r="N204" t="str">
        <f>""</f>
        <v/>
      </c>
      <c r="O204" t="str">
        <f>"37864"</f>
        <v>37864</v>
      </c>
      <c r="P204" t="str">
        <f t="shared" si="61"/>
        <v>2017</v>
      </c>
      <c r="Q204" t="str">
        <f>""</f>
        <v/>
      </c>
      <c r="R204" t="str">
        <f>"Y"</f>
        <v>Y</v>
      </c>
      <c r="S204" t="str">
        <f>"5.00"</f>
        <v>5.00</v>
      </c>
      <c r="T204" t="str">
        <f>"699.99"</f>
        <v>699.99</v>
      </c>
      <c r="U204" t="str">
        <f>"85342.00"</f>
        <v>85342.00</v>
      </c>
      <c r="V204" t="str">
        <f>"85342.00"</f>
        <v>85342.00</v>
      </c>
      <c r="W204" t="str">
        <f t="shared" si="62"/>
        <v>2017</v>
      </c>
      <c r="X204" t="str">
        <f>"20.00"</f>
        <v>20.00</v>
      </c>
      <c r="Y204" t="str">
        <f>"752.99"</f>
        <v>752.99</v>
      </c>
      <c r="Z204" t="str">
        <f>"25000.00"</f>
        <v>25000.00</v>
      </c>
      <c r="AA204" t="str">
        <f>"60342.00"</f>
        <v>60342.00</v>
      </c>
      <c r="AB204" t="str">
        <f t="shared" si="63"/>
        <v>Residential</v>
      </c>
      <c r="AC204" t="str">
        <f t="shared" si="64"/>
        <v>0</v>
      </c>
      <c r="AD204" t="str">
        <f>"4"</f>
        <v>4</v>
      </c>
      <c r="AE204" t="str">
        <f>"WOOD (INCLUDE STEEL STUDS)"</f>
        <v>WOOD (INCLUDE STEEL STUDS)</v>
      </c>
      <c r="AF204" t="str">
        <f>"002"</f>
        <v>002</v>
      </c>
      <c r="AG204" t="str">
        <f t="shared" si="65"/>
        <v>FL</v>
      </c>
      <c r="AH204" t="str">
        <f>"217800.00"</f>
        <v>217800.00</v>
      </c>
      <c r="AI204" t="str">
        <f>"40000.00"</f>
        <v>40000.00</v>
      </c>
      <c r="AJ204" t="str">
        <f>"C55-000-587-5086-0"</f>
        <v>C55-000-587-5086-0</v>
      </c>
      <c r="AK204" t="str">
        <f>"2148"</f>
        <v>2148</v>
      </c>
      <c r="AL204">
        <v>1</v>
      </c>
      <c r="AM204">
        <v>237</v>
      </c>
      <c r="AN204">
        <v>789.04</v>
      </c>
      <c r="AQ204" t="s">
        <v>2503</v>
      </c>
      <c r="AR204" t="s">
        <v>2503</v>
      </c>
      <c r="AS204" t="s">
        <v>2503</v>
      </c>
      <c r="AU204" t="s">
        <v>396</v>
      </c>
      <c r="AV204">
        <v>2017</v>
      </c>
      <c r="AW204" t="str">
        <f>"27-4N-23-0000-0002-0010 "</f>
        <v xml:space="preserve">27-4N-23-0000-0002-0010 </v>
      </c>
      <c r="AX204">
        <v>171057</v>
      </c>
      <c r="AZ204" t="s">
        <v>2504</v>
      </c>
      <c r="BA204" t="s">
        <v>496</v>
      </c>
      <c r="BD204" t="s">
        <v>398</v>
      </c>
      <c r="BE204" t="s">
        <v>393</v>
      </c>
      <c r="BF204">
        <v>32046</v>
      </c>
      <c r="BG204" t="s">
        <v>2505</v>
      </c>
      <c r="BH204" t="s">
        <v>400</v>
      </c>
      <c r="BI204">
        <v>-82.000228049633705</v>
      </c>
      <c r="BJ204">
        <v>30.740449920856602</v>
      </c>
      <c r="BK204" t="s">
        <v>2506</v>
      </c>
      <c r="BL204" t="s">
        <v>2507</v>
      </c>
      <c r="BM204" t="s">
        <v>2505</v>
      </c>
      <c r="BN204" t="s">
        <v>403</v>
      </c>
      <c r="BO204">
        <v>32046</v>
      </c>
      <c r="BP204" t="s">
        <v>416</v>
      </c>
      <c r="BQ204">
        <v>200</v>
      </c>
      <c r="BR204" t="s">
        <v>405</v>
      </c>
      <c r="BS204">
        <v>1006</v>
      </c>
      <c r="BT204" t="s">
        <v>406</v>
      </c>
      <c r="BW204">
        <v>217800</v>
      </c>
      <c r="BX204" t="s">
        <v>407</v>
      </c>
      <c r="BZ204">
        <v>4</v>
      </c>
      <c r="CA204">
        <v>1998</v>
      </c>
      <c r="CB204">
        <v>1</v>
      </c>
      <c r="CC204">
        <v>1</v>
      </c>
      <c r="CD204">
        <v>2017</v>
      </c>
      <c r="CG204">
        <v>85342</v>
      </c>
      <c r="CH204">
        <v>2017</v>
      </c>
      <c r="CI204">
        <v>40000</v>
      </c>
      <c r="CJ204">
        <v>56667</v>
      </c>
      <c r="CK204">
        <v>96667</v>
      </c>
      <c r="CL204">
        <v>2017</v>
      </c>
      <c r="CM204">
        <v>699.99</v>
      </c>
      <c r="CN204" s="1">
        <v>39889</v>
      </c>
      <c r="CO204">
        <v>110000</v>
      </c>
      <c r="CV204">
        <v>106000</v>
      </c>
      <c r="CX204" t="s">
        <v>707</v>
      </c>
      <c r="CZ204" s="1">
        <v>39889</v>
      </c>
      <c r="DA204">
        <v>0</v>
      </c>
      <c r="DD204" t="s">
        <v>398</v>
      </c>
      <c r="DG204">
        <v>27</v>
      </c>
      <c r="DL204">
        <v>50400</v>
      </c>
      <c r="DM204" t="s">
        <v>2508</v>
      </c>
      <c r="DO204" t="s">
        <v>2509</v>
      </c>
      <c r="DP204">
        <v>0</v>
      </c>
      <c r="DQ204">
        <v>0</v>
      </c>
      <c r="DR204" t="s">
        <v>411</v>
      </c>
      <c r="DS204" t="b">
        <v>1</v>
      </c>
      <c r="DT204" t="s">
        <v>470</v>
      </c>
      <c r="DU204" t="s">
        <v>471</v>
      </c>
      <c r="DV204" t="s">
        <v>472</v>
      </c>
      <c r="DX204">
        <v>-9999</v>
      </c>
      <c r="DZ204" t="s">
        <v>447</v>
      </c>
      <c r="EA204" t="s">
        <v>448</v>
      </c>
      <c r="EB204" t="s">
        <v>2510</v>
      </c>
      <c r="EC204">
        <v>20101217</v>
      </c>
      <c r="ED204" t="s">
        <v>474</v>
      </c>
      <c r="EF204">
        <v>850</v>
      </c>
      <c r="EG204">
        <v>850</v>
      </c>
      <c r="EH204" t="s">
        <v>451</v>
      </c>
      <c r="EI204">
        <v>20140731</v>
      </c>
      <c r="EJ204">
        <v>0</v>
      </c>
      <c r="EK204">
        <v>0</v>
      </c>
      <c r="EP204" t="s">
        <v>421</v>
      </c>
      <c r="EQ204" t="s">
        <v>452</v>
      </c>
      <c r="ER204">
        <v>2</v>
      </c>
      <c r="ES204">
        <v>6</v>
      </c>
      <c r="ET204">
        <v>1536.6</v>
      </c>
      <c r="EU204">
        <v>89.33</v>
      </c>
      <c r="EV204">
        <v>1625.93</v>
      </c>
      <c r="EW204" s="2">
        <v>43222</v>
      </c>
      <c r="EX204" s="1">
        <v>42879</v>
      </c>
      <c r="EY204">
        <v>2016</v>
      </c>
      <c r="EZ204">
        <v>768.3</v>
      </c>
      <c r="FA204" t="s">
        <v>2511</v>
      </c>
      <c r="FB204">
        <v>0.25</v>
      </c>
      <c r="FC204" t="s">
        <v>424</v>
      </c>
      <c r="FD204" t="s">
        <v>454</v>
      </c>
      <c r="FF204">
        <v>12</v>
      </c>
      <c r="FG204">
        <v>2851116</v>
      </c>
      <c r="FH204" t="s">
        <v>480</v>
      </c>
      <c r="FJ204" s="1">
        <v>42879</v>
      </c>
      <c r="FK204">
        <v>2016</v>
      </c>
      <c r="FL204">
        <v>768.3</v>
      </c>
      <c r="FM204" t="s">
        <v>2511</v>
      </c>
      <c r="FN204">
        <v>0.25</v>
      </c>
      <c r="FO204" t="s">
        <v>424</v>
      </c>
      <c r="FP204" t="s">
        <v>454</v>
      </c>
      <c r="FR204">
        <v>12</v>
      </c>
      <c r="FS204">
        <v>5256718</v>
      </c>
      <c r="FT204" t="s">
        <v>2512</v>
      </c>
      <c r="FV204" s="1">
        <v>42151</v>
      </c>
      <c r="FW204">
        <v>2014</v>
      </c>
      <c r="FX204">
        <v>777.61</v>
      </c>
      <c r="FY204" t="s">
        <v>2513</v>
      </c>
      <c r="FZ204">
        <v>0.25</v>
      </c>
      <c r="GA204" t="s">
        <v>424</v>
      </c>
      <c r="GB204" t="s">
        <v>425</v>
      </c>
      <c r="GC204" s="1">
        <v>42475</v>
      </c>
      <c r="GD204">
        <v>11</v>
      </c>
      <c r="GE204">
        <v>4975594</v>
      </c>
      <c r="GF204" t="s">
        <v>457</v>
      </c>
      <c r="GG204" t="s">
        <v>458</v>
      </c>
      <c r="GH204" s="1">
        <v>42151</v>
      </c>
      <c r="GI204">
        <v>2014</v>
      </c>
      <c r="GJ204">
        <v>777.61</v>
      </c>
      <c r="GK204" t="s">
        <v>2513</v>
      </c>
      <c r="GL204">
        <v>0.25</v>
      </c>
      <c r="GM204" t="s">
        <v>424</v>
      </c>
      <c r="GN204" t="s">
        <v>425</v>
      </c>
      <c r="GP204">
        <v>22</v>
      </c>
      <c r="GQ204">
        <v>6298060</v>
      </c>
      <c r="GR204" t="s">
        <v>2514</v>
      </c>
      <c r="GS204" t="s">
        <v>458</v>
      </c>
      <c r="GT204" s="1">
        <v>41787</v>
      </c>
      <c r="GU204">
        <v>2013</v>
      </c>
      <c r="GV204">
        <v>845.29</v>
      </c>
      <c r="GW204" t="s">
        <v>2515</v>
      </c>
      <c r="GX204">
        <v>0.25</v>
      </c>
      <c r="GY204" t="s">
        <v>424</v>
      </c>
      <c r="GZ204" t="s">
        <v>425</v>
      </c>
      <c r="HB204">
        <v>22</v>
      </c>
      <c r="HC204">
        <v>2407503</v>
      </c>
      <c r="HD204" t="s">
        <v>461</v>
      </c>
      <c r="HE204" t="s">
        <v>458</v>
      </c>
      <c r="HF204" s="1">
        <v>41423</v>
      </c>
      <c r="HG204">
        <v>2012</v>
      </c>
      <c r="HH204">
        <v>1457.64</v>
      </c>
      <c r="HI204" t="s">
        <v>2516</v>
      </c>
      <c r="HJ204">
        <v>0.25</v>
      </c>
      <c r="HK204" t="s">
        <v>424</v>
      </c>
      <c r="HL204" t="s">
        <v>425</v>
      </c>
      <c r="HM204" s="1">
        <v>42093</v>
      </c>
      <c r="HN204">
        <v>22</v>
      </c>
      <c r="HO204">
        <v>606981</v>
      </c>
      <c r="HP204" t="s">
        <v>792</v>
      </c>
      <c r="HR204" s="1">
        <v>41052</v>
      </c>
      <c r="HS204">
        <v>2011</v>
      </c>
      <c r="HT204">
        <v>1550.62</v>
      </c>
      <c r="HU204" t="s">
        <v>2517</v>
      </c>
      <c r="HV204">
        <v>5.25</v>
      </c>
      <c r="HW204" t="s">
        <v>424</v>
      </c>
      <c r="HX204" t="s">
        <v>425</v>
      </c>
      <c r="HY204" s="1">
        <v>41703</v>
      </c>
      <c r="HZ204">
        <v>22</v>
      </c>
      <c r="IA204">
        <v>10125</v>
      </c>
      <c r="IB204" t="s">
        <v>440</v>
      </c>
      <c r="ID204" s="1">
        <v>40688</v>
      </c>
      <c r="IE204">
        <v>2010</v>
      </c>
      <c r="IF204">
        <v>1555.47</v>
      </c>
      <c r="IG204" t="s">
        <v>2518</v>
      </c>
      <c r="IH204">
        <v>5</v>
      </c>
      <c r="II204" t="s">
        <v>424</v>
      </c>
      <c r="IJ204" t="s">
        <v>425</v>
      </c>
      <c r="IK204" s="1">
        <v>41334</v>
      </c>
      <c r="IL204">
        <v>22</v>
      </c>
      <c r="IM204">
        <v>287</v>
      </c>
      <c r="IN204" t="s">
        <v>572</v>
      </c>
    </row>
    <row r="205" spans="1:260" x14ac:dyDescent="0.25">
      <c r="A205">
        <v>16485212</v>
      </c>
      <c r="B205">
        <v>204</v>
      </c>
      <c r="C205" t="s">
        <v>393</v>
      </c>
      <c r="D205" t="s">
        <v>394</v>
      </c>
      <c r="F205" t="str">
        <f>"27-4N-23-0000-0007-0010"</f>
        <v>27-4N-23-0000-0007-0010</v>
      </c>
      <c r="H205" t="str">
        <f>"LEE JOSEPH E &amp; KAREN D"</f>
        <v>LEE JOSEPH E &amp; KAREN D</v>
      </c>
      <c r="I205" t="str">
        <f>"18214 JOSEPH LN"</f>
        <v>18214 JOSEPH LN</v>
      </c>
      <c r="J205" t="str">
        <f>"HILLIARD FL 32046"</f>
        <v>HILLIARD FL 32046</v>
      </c>
      <c r="K205" t="str">
        <f>"HODGES RD"</f>
        <v>HODGES RD</v>
      </c>
      <c r="L205" t="str">
        <f t="shared" si="60"/>
        <v>HILLIARD FL 32046</v>
      </c>
      <c r="M205" t="str">
        <f>"PT OF NW1/4 OF SE1/4 OF SEC 27-4N-23E IN OR 1819/1979 (EX PT IN OR 1941/546 &amp; OR 2030/1515)"</f>
        <v>PT OF NW1/4 OF SE1/4 OF SEC 27-4N-23E IN OR 1819/1979 (EX PT IN OR 1941/546 &amp; OR 2030/1515)</v>
      </c>
      <c r="N205" t="str">
        <f>""</f>
        <v/>
      </c>
      <c r="O205" t="str">
        <f>"37880"</f>
        <v>37880</v>
      </c>
      <c r="P205" t="str">
        <f t="shared" si="61"/>
        <v>2017</v>
      </c>
      <c r="Q205" t="str">
        <f>""</f>
        <v/>
      </c>
      <c r="R205" t="str">
        <f t="shared" ref="R205:R211" si="69">"N"</f>
        <v>N</v>
      </c>
      <c r="S205" t="str">
        <f>"12.50"</f>
        <v>12.50</v>
      </c>
      <c r="T205" t="str">
        <f>"679.75"</f>
        <v>679.75</v>
      </c>
      <c r="U205" t="str">
        <f>"44900.00"</f>
        <v>44900.00</v>
      </c>
      <c r="V205" t="str">
        <f>"44900.00"</f>
        <v>44900.00</v>
      </c>
      <c r="W205" t="str">
        <f t="shared" si="62"/>
        <v>2017</v>
      </c>
      <c r="X205" t="str">
        <f>"3.75"</f>
        <v>3.75</v>
      </c>
      <c r="Y205" t="str">
        <f>"732.14"</f>
        <v>732.14</v>
      </c>
      <c r="Z205" t="str">
        <f>""</f>
        <v/>
      </c>
      <c r="AA205" t="str">
        <f>"44900.00"</f>
        <v>44900.00</v>
      </c>
      <c r="AB205" t="str">
        <f t="shared" si="63"/>
        <v>Residential</v>
      </c>
      <c r="AC205" t="str">
        <f t="shared" si="64"/>
        <v>0</v>
      </c>
      <c r="AD205" t="str">
        <f>""</f>
        <v/>
      </c>
      <c r="AE205" t="str">
        <f>""</f>
        <v/>
      </c>
      <c r="AF205" t="str">
        <f>"000"</f>
        <v>000</v>
      </c>
      <c r="AG205" t="str">
        <f t="shared" si="65"/>
        <v>FL</v>
      </c>
      <c r="AH205" t="str">
        <f>"544500.00"</f>
        <v>544500.00</v>
      </c>
      <c r="AI205" t="str">
        <f>"44900.00"</f>
        <v>44900.00</v>
      </c>
      <c r="AJ205" t="str">
        <f>"C55-000-587-5095-1"</f>
        <v>C55-000-587-5095-1</v>
      </c>
      <c r="AK205" t="str">
        <f>"2162"</f>
        <v>2162</v>
      </c>
      <c r="AL205">
        <v>1</v>
      </c>
      <c r="AM205">
        <v>238</v>
      </c>
      <c r="AN205">
        <v>767.15</v>
      </c>
      <c r="AQ205" t="s">
        <v>2519</v>
      </c>
      <c r="AR205" t="s">
        <v>2519</v>
      </c>
      <c r="AS205" t="s">
        <v>2519</v>
      </c>
      <c r="AU205" t="s">
        <v>396</v>
      </c>
      <c r="AV205">
        <v>2017</v>
      </c>
      <c r="AW205" t="str">
        <f>"27-4N-23-0000-0007-0010 "</f>
        <v xml:space="preserve">27-4N-23-0000-0007-0010 </v>
      </c>
      <c r="AZ205" t="s">
        <v>2504</v>
      </c>
      <c r="BA205" t="s">
        <v>496</v>
      </c>
      <c r="BD205" t="s">
        <v>398</v>
      </c>
      <c r="BE205" t="s">
        <v>393</v>
      </c>
      <c r="BF205">
        <v>32046</v>
      </c>
      <c r="BG205" t="s">
        <v>2520</v>
      </c>
      <c r="BH205" t="s">
        <v>400</v>
      </c>
      <c r="BI205">
        <v>-81.999042474877498</v>
      </c>
      <c r="BJ205">
        <v>30.7324370916456</v>
      </c>
      <c r="BK205" t="s">
        <v>2521</v>
      </c>
      <c r="BM205" t="s">
        <v>2522</v>
      </c>
      <c r="BN205" t="s">
        <v>403</v>
      </c>
      <c r="BO205">
        <v>32046</v>
      </c>
      <c r="BP205" t="s">
        <v>404</v>
      </c>
      <c r="BQ205">
        <v>0</v>
      </c>
      <c r="BR205" t="s">
        <v>491</v>
      </c>
      <c r="BS205">
        <v>8001</v>
      </c>
      <c r="BT205" t="s">
        <v>492</v>
      </c>
      <c r="BW205">
        <v>544500</v>
      </c>
      <c r="BX205" t="s">
        <v>407</v>
      </c>
      <c r="BY205" t="s">
        <v>408</v>
      </c>
      <c r="CD205">
        <v>2017</v>
      </c>
      <c r="CE205">
        <v>44900</v>
      </c>
      <c r="CG205">
        <v>44900</v>
      </c>
      <c r="CH205">
        <v>2017</v>
      </c>
      <c r="CI205">
        <v>44900</v>
      </c>
      <c r="CK205">
        <v>44900</v>
      </c>
      <c r="CL205">
        <v>2017</v>
      </c>
      <c r="CM205">
        <v>679.75</v>
      </c>
      <c r="CN205" s="1">
        <v>41200</v>
      </c>
      <c r="CV205">
        <v>0</v>
      </c>
      <c r="CZ205" s="1">
        <v>41200</v>
      </c>
      <c r="DA205">
        <v>0</v>
      </c>
      <c r="DD205" t="s">
        <v>398</v>
      </c>
      <c r="DG205">
        <v>27</v>
      </c>
      <c r="DL205">
        <v>50400</v>
      </c>
      <c r="DM205" t="s">
        <v>2508</v>
      </c>
      <c r="DO205" t="s">
        <v>2523</v>
      </c>
      <c r="DP205">
        <v>0</v>
      </c>
      <c r="DQ205">
        <v>0</v>
      </c>
      <c r="DR205" t="s">
        <v>411</v>
      </c>
      <c r="DS205" t="b">
        <v>1</v>
      </c>
      <c r="DT205" t="s">
        <v>470</v>
      </c>
      <c r="DU205" t="s">
        <v>471</v>
      </c>
      <c r="DV205" t="s">
        <v>472</v>
      </c>
      <c r="DX205">
        <v>-9999</v>
      </c>
      <c r="DZ205" t="s">
        <v>447</v>
      </c>
      <c r="EA205" t="s">
        <v>448</v>
      </c>
      <c r="EB205" t="s">
        <v>2510</v>
      </c>
      <c r="EC205">
        <v>20101217</v>
      </c>
      <c r="ED205" t="s">
        <v>474</v>
      </c>
      <c r="EF205">
        <v>963.4</v>
      </c>
      <c r="EG205">
        <v>963.4</v>
      </c>
      <c r="EI205">
        <v>20160407</v>
      </c>
      <c r="EJ205">
        <v>0</v>
      </c>
      <c r="EK205">
        <v>0</v>
      </c>
      <c r="EP205" t="s">
        <v>421</v>
      </c>
      <c r="EQ205" t="s">
        <v>422</v>
      </c>
      <c r="ER205">
        <v>0</v>
      </c>
      <c r="ES205">
        <v>7</v>
      </c>
      <c r="ET205">
        <v>0</v>
      </c>
      <c r="EU205">
        <v>0</v>
      </c>
      <c r="EV205">
        <v>0</v>
      </c>
      <c r="EW205" s="2">
        <v>43222</v>
      </c>
      <c r="EX205" s="1">
        <v>42879</v>
      </c>
      <c r="EY205">
        <v>2016</v>
      </c>
      <c r="EZ205">
        <v>772.45</v>
      </c>
      <c r="FA205" t="s">
        <v>2524</v>
      </c>
      <c r="FB205">
        <v>0.25</v>
      </c>
      <c r="FC205" t="s">
        <v>424</v>
      </c>
      <c r="FD205" t="s">
        <v>425</v>
      </c>
      <c r="FE205" s="1">
        <v>42913</v>
      </c>
      <c r="FF205">
        <v>1</v>
      </c>
      <c r="FG205">
        <v>11289</v>
      </c>
      <c r="FH205" t="s">
        <v>787</v>
      </c>
      <c r="FJ205" s="1">
        <v>42879</v>
      </c>
      <c r="FK205">
        <v>2016</v>
      </c>
      <c r="FL205">
        <v>772.45</v>
      </c>
      <c r="FM205" t="s">
        <v>2524</v>
      </c>
      <c r="FN205">
        <v>0.25</v>
      </c>
      <c r="FO205" t="s">
        <v>424</v>
      </c>
      <c r="FP205" t="s">
        <v>425</v>
      </c>
      <c r="FR205">
        <v>22</v>
      </c>
      <c r="FS205">
        <v>7130990</v>
      </c>
      <c r="FT205" t="s">
        <v>2525</v>
      </c>
      <c r="FV205" s="1">
        <v>42515</v>
      </c>
      <c r="FW205">
        <v>2015</v>
      </c>
      <c r="FX205">
        <v>1021.16</v>
      </c>
      <c r="FY205" t="s">
        <v>2526</v>
      </c>
      <c r="FZ205">
        <v>0.25</v>
      </c>
      <c r="GA205" t="s">
        <v>424</v>
      </c>
      <c r="GB205" t="s">
        <v>425</v>
      </c>
      <c r="GC205" s="1">
        <v>42556</v>
      </c>
      <c r="GD205">
        <v>2</v>
      </c>
      <c r="GE205">
        <v>7336671</v>
      </c>
      <c r="GF205" t="s">
        <v>437</v>
      </c>
      <c r="GH205" s="1">
        <v>42515</v>
      </c>
      <c r="GI205">
        <v>2015</v>
      </c>
      <c r="GJ205">
        <v>1021.16</v>
      </c>
      <c r="GK205" t="s">
        <v>2526</v>
      </c>
      <c r="GL205">
        <v>0.25</v>
      </c>
      <c r="GM205" t="s">
        <v>424</v>
      </c>
      <c r="GN205" t="s">
        <v>425</v>
      </c>
      <c r="GP205">
        <v>22</v>
      </c>
      <c r="GQ205">
        <v>6963575</v>
      </c>
      <c r="GR205" t="s">
        <v>2527</v>
      </c>
      <c r="GT205" s="1">
        <v>42151</v>
      </c>
      <c r="GU205">
        <v>2014</v>
      </c>
      <c r="GV205">
        <v>906.47</v>
      </c>
      <c r="GW205" t="s">
        <v>2528</v>
      </c>
      <c r="GX205">
        <v>0.25</v>
      </c>
      <c r="GY205" t="s">
        <v>424</v>
      </c>
      <c r="GZ205" t="s">
        <v>425</v>
      </c>
      <c r="HA205" s="1">
        <v>42423</v>
      </c>
      <c r="HB205">
        <v>9</v>
      </c>
      <c r="HC205">
        <v>2101382</v>
      </c>
      <c r="HD205" t="s">
        <v>993</v>
      </c>
      <c r="HF205" s="1">
        <v>42151</v>
      </c>
      <c r="HG205">
        <v>2014</v>
      </c>
      <c r="HH205">
        <v>906.47</v>
      </c>
      <c r="HI205" t="s">
        <v>2528</v>
      </c>
      <c r="HJ205">
        <v>0.25</v>
      </c>
      <c r="HK205" t="s">
        <v>424</v>
      </c>
      <c r="HL205" t="s">
        <v>425</v>
      </c>
      <c r="HN205">
        <v>22</v>
      </c>
      <c r="HO205">
        <v>5472256</v>
      </c>
      <c r="HP205" t="s">
        <v>2529</v>
      </c>
      <c r="HR205" s="1">
        <v>41787</v>
      </c>
      <c r="HS205">
        <v>2013</v>
      </c>
      <c r="HT205">
        <v>815.49</v>
      </c>
      <c r="HU205" t="s">
        <v>2530</v>
      </c>
      <c r="HV205">
        <v>0.25</v>
      </c>
      <c r="HW205" t="s">
        <v>424</v>
      </c>
      <c r="HX205" t="s">
        <v>425</v>
      </c>
      <c r="HY205" s="1">
        <v>41872</v>
      </c>
      <c r="HZ205">
        <v>3</v>
      </c>
      <c r="IA205">
        <v>2101385</v>
      </c>
      <c r="IB205" t="s">
        <v>810</v>
      </c>
    </row>
    <row r="206" spans="1:260" x14ac:dyDescent="0.25">
      <c r="A206">
        <v>16485213</v>
      </c>
      <c r="B206">
        <v>205</v>
      </c>
      <c r="C206" t="s">
        <v>393</v>
      </c>
      <c r="D206" t="s">
        <v>394</v>
      </c>
      <c r="F206" t="str">
        <f>"27-4N-23-0000-0007-0100"</f>
        <v>27-4N-23-0000-0007-0100</v>
      </c>
      <c r="H206" t="str">
        <f>"21ST MORTGAGE CORPORATION 420 S ORANGE AVE SUITE 700"</f>
        <v>21ST MORTGAGE CORPORATION 420 S ORANGE AVE SUITE 700</v>
      </c>
      <c r="I206" t="str">
        <f>"PO BOX 2346"</f>
        <v>PO BOX 2346</v>
      </c>
      <c r="J206" t="str">
        <f>"ORLANDO FL 32801"</f>
        <v>ORLANDO FL 32801</v>
      </c>
      <c r="K206" t="str">
        <f>"OFF HODGES RD"</f>
        <v>OFF HODGES RD</v>
      </c>
      <c r="L206" t="str">
        <f t="shared" si="60"/>
        <v>HILLIARD FL 32046</v>
      </c>
      <c r="M206" t="str">
        <f>"PT OF NW1/4 OF SE1/4 OF SEC 27-4N-23E IN OR 2122/1820"</f>
        <v>PT OF NW1/4 OF SE1/4 OF SEC 27-4N-23E IN OR 2122/1820</v>
      </c>
      <c r="N206" t="str">
        <f>""</f>
        <v/>
      </c>
      <c r="O206" t="str">
        <f>"37889"</f>
        <v>37889</v>
      </c>
      <c r="P206" t="str">
        <f t="shared" si="61"/>
        <v>2017</v>
      </c>
      <c r="Q206" t="str">
        <f>""</f>
        <v/>
      </c>
      <c r="R206" t="str">
        <f t="shared" si="69"/>
        <v>N</v>
      </c>
      <c r="S206" t="str">
        <f>"3.00"</f>
        <v>3.00</v>
      </c>
      <c r="T206" t="str">
        <f>"476.88"</f>
        <v>476.88</v>
      </c>
      <c r="U206" t="str">
        <f>"31500.00"</f>
        <v>31500.00</v>
      </c>
      <c r="V206" t="str">
        <f>"31500.00"</f>
        <v>31500.00</v>
      </c>
      <c r="W206" t="str">
        <f t="shared" si="62"/>
        <v>2017</v>
      </c>
      <c r="X206" t="str">
        <f>"1.00"</f>
        <v>1.00</v>
      </c>
      <c r="Y206" t="str">
        <f>"523.19"</f>
        <v>523.19</v>
      </c>
      <c r="Z206" t="str">
        <f>""</f>
        <v/>
      </c>
      <c r="AA206" t="str">
        <f>"31500.00"</f>
        <v>31500.00</v>
      </c>
      <c r="AB206" t="str">
        <f t="shared" si="63"/>
        <v>Residential</v>
      </c>
      <c r="AC206" t="str">
        <f t="shared" si="64"/>
        <v>0</v>
      </c>
      <c r="AD206" t="str">
        <f>""</f>
        <v/>
      </c>
      <c r="AE206" t="str">
        <f>""</f>
        <v/>
      </c>
      <c r="AF206" t="str">
        <f>"000"</f>
        <v>000</v>
      </c>
      <c r="AG206" t="str">
        <f t="shared" si="65"/>
        <v>FL</v>
      </c>
      <c r="AH206" t="str">
        <f>"130680.00"</f>
        <v>130680.00</v>
      </c>
      <c r="AI206" t="str">
        <f>"24000.00"</f>
        <v>24000.00</v>
      </c>
      <c r="AJ206" t="str">
        <f>"C55-001-066-3905-7"</f>
        <v>C55-001-066-3905-7</v>
      </c>
      <c r="AK206" t="str">
        <f>"2171"</f>
        <v>2171</v>
      </c>
      <c r="AL206">
        <v>1</v>
      </c>
      <c r="AM206">
        <v>240</v>
      </c>
      <c r="AN206">
        <v>547.75</v>
      </c>
      <c r="AQ206" t="s">
        <v>2531</v>
      </c>
      <c r="AR206" t="s">
        <v>2531</v>
      </c>
      <c r="AS206" t="s">
        <v>2531</v>
      </c>
      <c r="AU206" t="s">
        <v>396</v>
      </c>
      <c r="AV206">
        <v>2017</v>
      </c>
      <c r="AW206" t="str">
        <f>"27-4N-23-0000-0007-0100 "</f>
        <v xml:space="preserve">27-4N-23-0000-0007-0100 </v>
      </c>
      <c r="AZ206" t="s">
        <v>2532</v>
      </c>
      <c r="BA206" t="s">
        <v>496</v>
      </c>
      <c r="BD206" t="s">
        <v>398</v>
      </c>
      <c r="BE206" t="s">
        <v>393</v>
      </c>
      <c r="BF206">
        <v>32046</v>
      </c>
      <c r="BG206" t="s">
        <v>2533</v>
      </c>
      <c r="BH206" t="s">
        <v>400</v>
      </c>
      <c r="BI206">
        <v>-81.997784705369</v>
      </c>
      <c r="BJ206">
        <v>30.7325914125297</v>
      </c>
      <c r="BK206" t="s">
        <v>2534</v>
      </c>
      <c r="BM206" t="s">
        <v>2535</v>
      </c>
      <c r="BN206" t="s">
        <v>2536</v>
      </c>
      <c r="BO206">
        <v>32801</v>
      </c>
      <c r="BP206" t="s">
        <v>404</v>
      </c>
      <c r="BQ206">
        <v>1</v>
      </c>
      <c r="BR206" t="s">
        <v>491</v>
      </c>
      <c r="BS206">
        <v>8001</v>
      </c>
      <c r="BT206" t="s">
        <v>492</v>
      </c>
      <c r="BW206">
        <v>130680</v>
      </c>
      <c r="BX206" t="s">
        <v>407</v>
      </c>
      <c r="BY206" t="s">
        <v>408</v>
      </c>
      <c r="CD206">
        <v>2017</v>
      </c>
      <c r="CE206">
        <v>24000</v>
      </c>
      <c r="CF206">
        <v>7500</v>
      </c>
      <c r="CG206">
        <v>31500</v>
      </c>
      <c r="CH206">
        <v>2017</v>
      </c>
      <c r="CI206">
        <v>24000</v>
      </c>
      <c r="CJ206">
        <v>7500</v>
      </c>
      <c r="CK206">
        <v>31500</v>
      </c>
      <c r="CL206">
        <v>2017</v>
      </c>
      <c r="CM206">
        <v>476.88</v>
      </c>
      <c r="CN206" s="1">
        <v>41915</v>
      </c>
      <c r="CZ206" s="1">
        <v>41915</v>
      </c>
      <c r="DD206" t="s">
        <v>398</v>
      </c>
      <c r="DG206">
        <v>27</v>
      </c>
      <c r="DL206">
        <v>50400</v>
      </c>
      <c r="DM206" t="s">
        <v>2508</v>
      </c>
      <c r="DO206" t="s">
        <v>2537</v>
      </c>
      <c r="DP206">
        <v>0</v>
      </c>
      <c r="DQ206">
        <v>0</v>
      </c>
      <c r="DR206" t="s">
        <v>411</v>
      </c>
      <c r="EP206" t="s">
        <v>421</v>
      </c>
      <c r="EQ206" t="s">
        <v>422</v>
      </c>
      <c r="ER206">
        <v>0</v>
      </c>
      <c r="ES206">
        <v>1</v>
      </c>
      <c r="ET206">
        <v>0</v>
      </c>
      <c r="EU206">
        <v>0</v>
      </c>
      <c r="EV206">
        <v>0</v>
      </c>
      <c r="EW206" s="2">
        <v>43222</v>
      </c>
      <c r="EX206" s="1">
        <v>42879</v>
      </c>
      <c r="EY206">
        <v>2016</v>
      </c>
      <c r="EZ206">
        <v>508.46</v>
      </c>
      <c r="FA206" t="s">
        <v>2538</v>
      </c>
      <c r="FB206">
        <v>0.25</v>
      </c>
      <c r="FC206" t="s">
        <v>424</v>
      </c>
      <c r="FD206" t="s">
        <v>425</v>
      </c>
      <c r="FE206" s="1">
        <v>42913</v>
      </c>
      <c r="FF206">
        <v>1</v>
      </c>
      <c r="FG206">
        <v>7336745</v>
      </c>
      <c r="FH206" t="s">
        <v>502</v>
      </c>
    </row>
    <row r="207" spans="1:260" x14ac:dyDescent="0.25">
      <c r="A207">
        <v>16485214</v>
      </c>
      <c r="B207">
        <v>206</v>
      </c>
      <c r="C207" t="s">
        <v>393</v>
      </c>
      <c r="D207" t="s">
        <v>394</v>
      </c>
      <c r="F207" t="str">
        <f>"27-4N-23-0000-0008-0050"</f>
        <v>27-4N-23-0000-0008-0050</v>
      </c>
      <c r="H207" t="str">
        <f>"JEANPIERRE FRANCENOR &amp; VIOLENE"</f>
        <v>JEANPIERRE FRANCENOR &amp; VIOLENE</v>
      </c>
      <c r="I207" t="str">
        <f>"1713 S KIRKMAN RD  APT 117"</f>
        <v>1713 S KIRKMAN RD  APT 117</v>
      </c>
      <c r="J207" t="str">
        <f>"ORLANDO FL 32811"</f>
        <v>ORLANDO FL 32811</v>
      </c>
      <c r="K207" t="str">
        <f>"BROKEN ARROW RD"</f>
        <v>BROKEN ARROW RD</v>
      </c>
      <c r="L207" t="str">
        <f t="shared" si="60"/>
        <v>HILLIARD FL 32046</v>
      </c>
      <c r="M207" t="str">
        <f>"PT E1/2 OF NW1/4 OF SW1/4 OF SEC 27-4N-23E IN OR 1428/1508"</f>
        <v>PT E1/2 OF NW1/4 OF SW1/4 OF SEC 27-4N-23E IN OR 1428/1508</v>
      </c>
      <c r="N207" t="str">
        <f>""</f>
        <v/>
      </c>
      <c r="O207" t="str">
        <f>"37894"</f>
        <v>37894</v>
      </c>
      <c r="P207" t="str">
        <f t="shared" si="61"/>
        <v>2017</v>
      </c>
      <c r="Q207" t="str">
        <f>""</f>
        <v/>
      </c>
      <c r="R207" t="str">
        <f t="shared" si="69"/>
        <v>N</v>
      </c>
      <c r="S207" t="str">
        <f>"4.65"</f>
        <v>4.65</v>
      </c>
      <c r="T207" t="str">
        <f>"450.53"</f>
        <v>450.53</v>
      </c>
      <c r="U207" t="str">
        <f>"29760.00"</f>
        <v>29760.00</v>
      </c>
      <c r="V207" t="str">
        <f>"29760.00"</f>
        <v>29760.00</v>
      </c>
      <c r="W207" t="str">
        <f t="shared" si="62"/>
        <v>2017</v>
      </c>
      <c r="X207" t="str">
        <f>"19.00"</f>
        <v>19.00</v>
      </c>
      <c r="Y207" t="str">
        <f>"496.05"</f>
        <v>496.05</v>
      </c>
      <c r="Z207" t="str">
        <f>""</f>
        <v/>
      </c>
      <c r="AA207" t="str">
        <f>"29760.00"</f>
        <v>29760.00</v>
      </c>
      <c r="AB207" t="str">
        <f t="shared" si="63"/>
        <v>Residential</v>
      </c>
      <c r="AC207" t="str">
        <f t="shared" si="64"/>
        <v>0</v>
      </c>
      <c r="AD207" t="str">
        <f>""</f>
        <v/>
      </c>
      <c r="AE207" t="str">
        <f>""</f>
        <v/>
      </c>
      <c r="AF207" t="str">
        <f>"000"</f>
        <v>000</v>
      </c>
      <c r="AG207" t="str">
        <f t="shared" si="65"/>
        <v>FL</v>
      </c>
      <c r="AH207" t="str">
        <f>"202554.00"</f>
        <v>202554.00</v>
      </c>
      <c r="AI207" t="str">
        <f>"29760.00"</f>
        <v>29760.00</v>
      </c>
      <c r="AJ207" t="str">
        <f>"C55-000-976-8022-7"</f>
        <v>C55-000-976-8022-7</v>
      </c>
      <c r="AK207" t="str">
        <f>"2177"</f>
        <v>2177</v>
      </c>
      <c r="AL207">
        <v>1</v>
      </c>
      <c r="AM207">
        <v>241</v>
      </c>
      <c r="AN207">
        <v>519.25</v>
      </c>
      <c r="AQ207" t="s">
        <v>2539</v>
      </c>
      <c r="AR207" t="s">
        <v>2539</v>
      </c>
      <c r="AS207" t="s">
        <v>2539</v>
      </c>
      <c r="AU207" t="s">
        <v>396</v>
      </c>
      <c r="AV207">
        <v>2017</v>
      </c>
      <c r="AW207" t="str">
        <f>"27-4N-23-0000-0008-0050 "</f>
        <v xml:space="preserve">27-4N-23-0000-0008-0050 </v>
      </c>
      <c r="AZ207" t="s">
        <v>2540</v>
      </c>
      <c r="BA207" t="s">
        <v>496</v>
      </c>
      <c r="BD207" t="s">
        <v>398</v>
      </c>
      <c r="BE207" t="s">
        <v>393</v>
      </c>
      <c r="BF207">
        <v>32046</v>
      </c>
      <c r="BG207" t="s">
        <v>2541</v>
      </c>
      <c r="BH207" t="s">
        <v>400</v>
      </c>
      <c r="BI207">
        <v>-82.0060966090211</v>
      </c>
      <c r="BJ207">
        <v>30.732985649361801</v>
      </c>
      <c r="BK207" t="s">
        <v>2542</v>
      </c>
      <c r="BL207" t="s">
        <v>2543</v>
      </c>
      <c r="BM207" t="s">
        <v>2544</v>
      </c>
      <c r="BN207" t="s">
        <v>2536</v>
      </c>
      <c r="BO207">
        <v>32811</v>
      </c>
      <c r="BP207" t="s">
        <v>404</v>
      </c>
      <c r="BQ207">
        <v>0</v>
      </c>
      <c r="BR207" t="s">
        <v>491</v>
      </c>
      <c r="BS207">
        <v>8001</v>
      </c>
      <c r="BT207" t="s">
        <v>492</v>
      </c>
      <c r="BW207">
        <v>202554</v>
      </c>
      <c r="BX207" t="s">
        <v>407</v>
      </c>
      <c r="BY207" t="s">
        <v>408</v>
      </c>
      <c r="CD207">
        <v>2017</v>
      </c>
      <c r="CE207">
        <v>29760</v>
      </c>
      <c r="CG207">
        <v>29760</v>
      </c>
      <c r="CH207">
        <v>2017</v>
      </c>
      <c r="CI207">
        <v>29760</v>
      </c>
      <c r="CK207">
        <v>29760</v>
      </c>
      <c r="CL207">
        <v>2017</v>
      </c>
      <c r="CM207">
        <v>450.53</v>
      </c>
      <c r="CN207" s="1">
        <v>38916</v>
      </c>
      <c r="CO207">
        <v>50000</v>
      </c>
      <c r="CZ207" s="1">
        <v>38916</v>
      </c>
      <c r="DD207" t="s">
        <v>398</v>
      </c>
      <c r="DG207">
        <v>27</v>
      </c>
      <c r="DL207">
        <v>50400</v>
      </c>
      <c r="DM207" t="s">
        <v>2508</v>
      </c>
      <c r="DO207" t="s">
        <v>2545</v>
      </c>
      <c r="DP207">
        <v>0</v>
      </c>
      <c r="DQ207">
        <v>0</v>
      </c>
      <c r="DR207" t="s">
        <v>411</v>
      </c>
      <c r="DS207" t="b">
        <v>1</v>
      </c>
      <c r="DT207" t="s">
        <v>470</v>
      </c>
      <c r="DU207" t="s">
        <v>471</v>
      </c>
      <c r="DV207" t="s">
        <v>472</v>
      </c>
      <c r="DX207">
        <v>-9999</v>
      </c>
      <c r="DZ207" t="s">
        <v>447</v>
      </c>
      <c r="EA207" t="s">
        <v>448</v>
      </c>
      <c r="EB207" t="s">
        <v>2510</v>
      </c>
      <c r="EC207">
        <v>20101217</v>
      </c>
      <c r="ED207" t="s">
        <v>474</v>
      </c>
      <c r="EF207">
        <v>1418.3</v>
      </c>
      <c r="EG207">
        <v>1418.3</v>
      </c>
      <c r="EI207">
        <v>20160407</v>
      </c>
      <c r="EJ207">
        <v>0</v>
      </c>
      <c r="EK207">
        <v>0</v>
      </c>
      <c r="EP207" t="s">
        <v>421</v>
      </c>
      <c r="EQ207" t="s">
        <v>452</v>
      </c>
      <c r="ER207">
        <v>4</v>
      </c>
      <c r="ES207">
        <v>4</v>
      </c>
      <c r="ET207">
        <v>1912.75</v>
      </c>
      <c r="EU207">
        <v>419.08</v>
      </c>
      <c r="EV207">
        <v>2331.83</v>
      </c>
      <c r="EW207" s="2">
        <v>43222</v>
      </c>
      <c r="EX207" s="1">
        <v>42879</v>
      </c>
      <c r="EY207">
        <v>2016</v>
      </c>
      <c r="EZ207">
        <v>519.4</v>
      </c>
      <c r="FA207" t="s">
        <v>2546</v>
      </c>
      <c r="FB207">
        <v>18</v>
      </c>
      <c r="FC207" t="s">
        <v>424</v>
      </c>
      <c r="FD207" t="s">
        <v>454</v>
      </c>
      <c r="FF207">
        <v>12</v>
      </c>
      <c r="FG207">
        <v>10125</v>
      </c>
      <c r="FH207" t="s">
        <v>440</v>
      </c>
      <c r="FJ207" s="1">
        <v>42515</v>
      </c>
      <c r="FK207">
        <v>2015</v>
      </c>
      <c r="FL207">
        <v>512.88</v>
      </c>
      <c r="FM207" t="s">
        <v>2547</v>
      </c>
      <c r="FN207">
        <v>14.75</v>
      </c>
      <c r="FO207" t="s">
        <v>424</v>
      </c>
      <c r="FP207" t="s">
        <v>454</v>
      </c>
      <c r="FR207">
        <v>24</v>
      </c>
      <c r="FS207">
        <v>10125</v>
      </c>
      <c r="FT207" t="s">
        <v>440</v>
      </c>
      <c r="FV207" s="1">
        <v>42151</v>
      </c>
      <c r="FW207">
        <v>2014</v>
      </c>
      <c r="FX207">
        <v>466.1</v>
      </c>
      <c r="FY207" t="s">
        <v>2548</v>
      </c>
      <c r="FZ207">
        <v>4.75</v>
      </c>
      <c r="GA207" t="s">
        <v>424</v>
      </c>
      <c r="GB207" t="s">
        <v>454</v>
      </c>
      <c r="GD207">
        <v>36</v>
      </c>
      <c r="GE207">
        <v>115</v>
      </c>
      <c r="GF207" t="s">
        <v>478</v>
      </c>
      <c r="GH207" s="1">
        <v>41787</v>
      </c>
      <c r="GI207">
        <v>2013</v>
      </c>
      <c r="GJ207">
        <v>414.37</v>
      </c>
      <c r="GK207" t="s">
        <v>2549</v>
      </c>
      <c r="GL207">
        <v>5</v>
      </c>
      <c r="GM207" t="s">
        <v>424</v>
      </c>
      <c r="GN207" t="s">
        <v>454</v>
      </c>
      <c r="GP207">
        <v>48</v>
      </c>
      <c r="GQ207">
        <v>2101385</v>
      </c>
      <c r="GR207" t="s">
        <v>810</v>
      </c>
      <c r="GT207" s="1">
        <v>41423</v>
      </c>
      <c r="GU207">
        <v>2012</v>
      </c>
      <c r="GV207">
        <v>352.92</v>
      </c>
      <c r="GW207" t="s">
        <v>2550</v>
      </c>
      <c r="GX207">
        <v>5.75</v>
      </c>
      <c r="GY207" t="s">
        <v>424</v>
      </c>
      <c r="GZ207" t="s">
        <v>425</v>
      </c>
      <c r="HA207" s="1">
        <v>41526</v>
      </c>
      <c r="HB207">
        <v>4</v>
      </c>
      <c r="HC207">
        <v>2101381</v>
      </c>
      <c r="HD207" t="s">
        <v>605</v>
      </c>
      <c r="HE207" t="s">
        <v>458</v>
      </c>
      <c r="HF207" s="1">
        <v>41052</v>
      </c>
      <c r="HG207">
        <v>2011</v>
      </c>
      <c r="HH207">
        <v>409.26</v>
      </c>
      <c r="HI207" t="s">
        <v>2551</v>
      </c>
      <c r="HJ207">
        <v>7</v>
      </c>
      <c r="HK207" t="s">
        <v>424</v>
      </c>
      <c r="HL207" t="s">
        <v>425</v>
      </c>
      <c r="HM207" s="1">
        <v>41526</v>
      </c>
      <c r="HN207">
        <v>16</v>
      </c>
      <c r="HO207">
        <v>10125</v>
      </c>
      <c r="HP207" t="s">
        <v>440</v>
      </c>
      <c r="HQ207" t="s">
        <v>458</v>
      </c>
      <c r="HR207" s="1">
        <v>40688</v>
      </c>
      <c r="HS207">
        <v>2010</v>
      </c>
      <c r="HT207">
        <v>405.53</v>
      </c>
      <c r="HU207" t="s">
        <v>2552</v>
      </c>
      <c r="HV207">
        <v>8.25</v>
      </c>
      <c r="HW207" t="s">
        <v>424</v>
      </c>
      <c r="HX207" t="s">
        <v>425</v>
      </c>
      <c r="HZ207">
        <v>22</v>
      </c>
      <c r="IA207">
        <v>15175</v>
      </c>
      <c r="IB207" t="s">
        <v>588</v>
      </c>
      <c r="IC207" t="s">
        <v>458</v>
      </c>
      <c r="ID207" s="1">
        <v>40688</v>
      </c>
      <c r="IE207">
        <v>2010</v>
      </c>
      <c r="IF207">
        <v>405.53</v>
      </c>
      <c r="IG207" t="s">
        <v>2552</v>
      </c>
      <c r="IH207">
        <v>8.25</v>
      </c>
      <c r="II207" t="s">
        <v>424</v>
      </c>
      <c r="IJ207" t="s">
        <v>425</v>
      </c>
      <c r="IL207">
        <v>22</v>
      </c>
      <c r="IM207">
        <v>10548</v>
      </c>
      <c r="IN207" t="s">
        <v>589</v>
      </c>
      <c r="IO207" t="s">
        <v>458</v>
      </c>
    </row>
    <row r="208" spans="1:260" x14ac:dyDescent="0.25">
      <c r="A208">
        <v>16485215</v>
      </c>
      <c r="B208">
        <v>207</v>
      </c>
      <c r="C208" t="s">
        <v>393</v>
      </c>
      <c r="D208" t="s">
        <v>394</v>
      </c>
      <c r="F208" t="str">
        <f>"27-4N-23-0000-0011-0000"</f>
        <v>27-4N-23-0000-0011-0000</v>
      </c>
      <c r="H208" t="str">
        <f>"HINES MARVIN LEE"</f>
        <v>HINES MARVIN LEE</v>
      </c>
      <c r="I208" t="str">
        <f>"11118 PINE ESTATES RD W"</f>
        <v>11118 PINE ESTATES RD W</v>
      </c>
      <c r="J208" t="str">
        <f>"JACKSONVILLE FL 32218"</f>
        <v>JACKSONVILLE FL 32218</v>
      </c>
      <c r="K208" t="str">
        <f>"CR 121"</f>
        <v>CR 121</v>
      </c>
      <c r="L208" t="str">
        <f t="shared" si="60"/>
        <v>HILLIARD FL 32046</v>
      </c>
      <c r="M208" t="str">
        <f>"NE1/4 OF SE1/4 IN OR 65 PG 39"</f>
        <v>NE1/4 OF SE1/4 IN OR 65 PG 39</v>
      </c>
      <c r="N208" t="str">
        <f>""</f>
        <v/>
      </c>
      <c r="O208" t="str">
        <f>"37910"</f>
        <v>37910</v>
      </c>
      <c r="P208" t="str">
        <f t="shared" si="61"/>
        <v>2017</v>
      </c>
      <c r="Q208" t="str">
        <f>""</f>
        <v/>
      </c>
      <c r="R208" t="str">
        <f t="shared" si="69"/>
        <v>N</v>
      </c>
      <c r="S208" t="str">
        <f>"40.00"</f>
        <v>40.00</v>
      </c>
      <c r="T208" t="str">
        <f>"199.83"</f>
        <v>199.83</v>
      </c>
      <c r="U208" t="str">
        <f>"13200.00"</f>
        <v>13200.00</v>
      </c>
      <c r="V208" t="str">
        <f>"13200.00"</f>
        <v>13200.00</v>
      </c>
      <c r="W208" t="str">
        <f t="shared" si="62"/>
        <v>2017</v>
      </c>
      <c r="X208" t="str">
        <f>"1.67"</f>
        <v>1.67</v>
      </c>
      <c r="Y208" t="str">
        <f>"237.82"</f>
        <v>237.82</v>
      </c>
      <c r="Z208" t="str">
        <f>""</f>
        <v/>
      </c>
      <c r="AA208" t="str">
        <f>"13200.00"</f>
        <v>13200.00</v>
      </c>
      <c r="AB208" t="str">
        <f>"Agricultural"</f>
        <v>Agricultural</v>
      </c>
      <c r="AC208" t="str">
        <f t="shared" si="64"/>
        <v>0</v>
      </c>
      <c r="AD208" t="str">
        <f>""</f>
        <v/>
      </c>
      <c r="AE208" t="str">
        <f>""</f>
        <v/>
      </c>
      <c r="AF208" t="str">
        <f>"055"</f>
        <v>055</v>
      </c>
      <c r="AG208" t="str">
        <f t="shared" si="65"/>
        <v>FL</v>
      </c>
      <c r="AH208" t="str">
        <f>"1742400.00"</f>
        <v>1742400.00</v>
      </c>
      <c r="AI208" t="str">
        <f>"13200.00"</f>
        <v>13200.00</v>
      </c>
      <c r="AJ208" t="str">
        <f>"C55-000-587-5101-7"</f>
        <v>C55-000-587-5101-7</v>
      </c>
      <c r="AK208" t="str">
        <f>"2187"</f>
        <v>2187</v>
      </c>
      <c r="AL208">
        <v>1</v>
      </c>
      <c r="AM208">
        <v>243</v>
      </c>
      <c r="AN208">
        <v>248.11</v>
      </c>
      <c r="AQ208" t="s">
        <v>2553</v>
      </c>
      <c r="AR208" t="s">
        <v>2553</v>
      </c>
      <c r="AS208" t="s">
        <v>2553</v>
      </c>
      <c r="AU208" t="s">
        <v>396</v>
      </c>
      <c r="AV208">
        <v>2017</v>
      </c>
      <c r="AW208" t="str">
        <f>"27-4N-23-0000-0011-0000 "</f>
        <v xml:space="preserve">27-4N-23-0000-0011-0000 </v>
      </c>
      <c r="AZ208" t="s">
        <v>611</v>
      </c>
      <c r="BD208" t="s">
        <v>398</v>
      </c>
      <c r="BE208" t="s">
        <v>393</v>
      </c>
      <c r="BF208">
        <v>32046</v>
      </c>
      <c r="BG208" t="s">
        <v>611</v>
      </c>
      <c r="BH208" t="s">
        <v>400</v>
      </c>
      <c r="BI208">
        <v>-81.995043570054094</v>
      </c>
      <c r="BJ208">
        <v>30.732123340496099</v>
      </c>
      <c r="BK208" t="s">
        <v>2554</v>
      </c>
      <c r="BM208" t="s">
        <v>2555</v>
      </c>
      <c r="BN208" t="s">
        <v>548</v>
      </c>
      <c r="BO208">
        <v>32218</v>
      </c>
      <c r="BP208" t="s">
        <v>404</v>
      </c>
      <c r="BQ208">
        <v>5500</v>
      </c>
      <c r="BR208" t="s">
        <v>1353</v>
      </c>
      <c r="BS208">
        <v>7009</v>
      </c>
      <c r="BT208" t="s">
        <v>418</v>
      </c>
      <c r="BW208">
        <v>1742400</v>
      </c>
      <c r="BX208" t="s">
        <v>407</v>
      </c>
      <c r="BY208" t="s">
        <v>408</v>
      </c>
      <c r="CD208">
        <v>2017</v>
      </c>
      <c r="CG208">
        <v>13200</v>
      </c>
      <c r="CH208">
        <v>2017</v>
      </c>
      <c r="CI208">
        <v>13200</v>
      </c>
      <c r="CJ208">
        <v>126800</v>
      </c>
      <c r="CK208">
        <v>140000</v>
      </c>
      <c r="CL208">
        <v>2017</v>
      </c>
      <c r="CM208">
        <v>199.83</v>
      </c>
      <c r="DD208" t="s">
        <v>398</v>
      </c>
      <c r="DG208">
        <v>27</v>
      </c>
      <c r="DL208">
        <v>50400</v>
      </c>
      <c r="DM208" t="s">
        <v>2508</v>
      </c>
      <c r="DO208" t="s">
        <v>2556</v>
      </c>
      <c r="DP208">
        <v>0</v>
      </c>
      <c r="DQ208">
        <v>1</v>
      </c>
      <c r="DR208" t="s">
        <v>411</v>
      </c>
      <c r="DS208" t="s">
        <v>695</v>
      </c>
      <c r="EJ208">
        <v>0</v>
      </c>
      <c r="EK208">
        <v>0</v>
      </c>
      <c r="EP208" t="s">
        <v>421</v>
      </c>
      <c r="EQ208" t="s">
        <v>422</v>
      </c>
      <c r="ER208">
        <v>0</v>
      </c>
      <c r="ES208">
        <v>4</v>
      </c>
      <c r="ET208">
        <v>0</v>
      </c>
      <c r="EU208">
        <v>0</v>
      </c>
      <c r="EV208">
        <v>0</v>
      </c>
      <c r="EW208" s="2">
        <v>43222</v>
      </c>
      <c r="EX208" s="1">
        <v>42879</v>
      </c>
      <c r="EY208">
        <v>2016</v>
      </c>
      <c r="EZ208">
        <v>226.22</v>
      </c>
      <c r="FA208" t="s">
        <v>2557</v>
      </c>
      <c r="FB208">
        <v>0.25</v>
      </c>
      <c r="FC208" t="s">
        <v>424</v>
      </c>
      <c r="FD208" t="s">
        <v>425</v>
      </c>
      <c r="FE208" s="1">
        <v>42936</v>
      </c>
      <c r="FF208">
        <v>2</v>
      </c>
      <c r="FG208">
        <v>7400234</v>
      </c>
      <c r="FH208" t="s">
        <v>426</v>
      </c>
      <c r="FJ208" s="1">
        <v>42879</v>
      </c>
      <c r="FK208">
        <v>2016</v>
      </c>
      <c r="FL208">
        <v>226.22</v>
      </c>
      <c r="FM208" t="s">
        <v>2557</v>
      </c>
      <c r="FN208">
        <v>0.25</v>
      </c>
      <c r="FO208" t="s">
        <v>424</v>
      </c>
      <c r="FP208" t="s">
        <v>425</v>
      </c>
      <c r="FR208">
        <v>22</v>
      </c>
      <c r="FS208">
        <v>7533408</v>
      </c>
      <c r="FT208" t="s">
        <v>2558</v>
      </c>
      <c r="FV208" s="1">
        <v>42151</v>
      </c>
      <c r="FW208">
        <v>2014</v>
      </c>
      <c r="FX208">
        <v>210.01</v>
      </c>
      <c r="FY208" t="s">
        <v>2559</v>
      </c>
      <c r="FZ208">
        <v>2.75</v>
      </c>
      <c r="GA208" t="s">
        <v>424</v>
      </c>
      <c r="GB208" t="s">
        <v>425</v>
      </c>
      <c r="GC208" s="1">
        <v>42164</v>
      </c>
      <c r="GD208">
        <v>1</v>
      </c>
      <c r="GE208">
        <v>4975593</v>
      </c>
      <c r="GF208" t="s">
        <v>505</v>
      </c>
      <c r="GH208" s="1">
        <v>41423</v>
      </c>
      <c r="GI208">
        <v>2012</v>
      </c>
      <c r="GJ208">
        <v>128.46</v>
      </c>
      <c r="GK208" t="s">
        <v>2560</v>
      </c>
      <c r="GL208">
        <v>6.75</v>
      </c>
      <c r="GM208" t="s">
        <v>424</v>
      </c>
      <c r="GN208" t="s">
        <v>425</v>
      </c>
      <c r="GO208" s="1">
        <v>41465</v>
      </c>
      <c r="GP208">
        <v>2</v>
      </c>
      <c r="GQ208">
        <v>116</v>
      </c>
      <c r="GR208" t="s">
        <v>509</v>
      </c>
    </row>
    <row r="209" spans="1:296" x14ac:dyDescent="0.25">
      <c r="A209">
        <v>16485216</v>
      </c>
      <c r="B209">
        <v>208</v>
      </c>
      <c r="C209" t="s">
        <v>393</v>
      </c>
      <c r="D209" t="s">
        <v>394</v>
      </c>
      <c r="F209" t="str">
        <f>"28-4N-23-0000-0007-0010"</f>
        <v>28-4N-23-0000-0007-0010</v>
      </c>
      <c r="H209" t="str">
        <f>"SMITH BARRY D"</f>
        <v>SMITH BARRY D</v>
      </c>
      <c r="I209" t="str">
        <f>"18520 BROKEN ARROW RD"</f>
        <v>18520 BROKEN ARROW RD</v>
      </c>
      <c r="J209" t="str">
        <f>"HILLIARD FL 32046"</f>
        <v>HILLIARD FL 32046</v>
      </c>
      <c r="K209" t="str">
        <f>"18520 BROKEN ARROW RD"</f>
        <v>18520 BROKEN ARROW RD</v>
      </c>
      <c r="L209" t="str">
        <f t="shared" si="60"/>
        <v>HILLIARD FL 32046</v>
      </c>
      <c r="M209" t="str">
        <f>"SE1/4 OF SE1/4 E1/2 OF E1/2 OF NE1/4 OF SE1/4 S1/2 OF W1/2 OF NE1/4 OF SE1/4 IN OR 1868/983 ESMT OR 1538/1775 PARCELS 7-1 &amp; 7-5"</f>
        <v>SE1/4 OF SE1/4 E1/2 OF E1/2 OF NE1/4 OF SE1/4 S1/2 OF W1/2 OF NE1/4 OF SE1/4 IN OR 1868/983 ESMT OR 1538/1775 PARCELS 7-1 &amp; 7-5</v>
      </c>
      <c r="N209" t="str">
        <f>""</f>
        <v/>
      </c>
      <c r="O209" t="str">
        <f>"38296"</f>
        <v>38296</v>
      </c>
      <c r="P209" t="str">
        <f t="shared" si="61"/>
        <v>2017</v>
      </c>
      <c r="Q209" t="str">
        <f>""</f>
        <v/>
      </c>
      <c r="R209" t="str">
        <f t="shared" si="69"/>
        <v>N</v>
      </c>
      <c r="S209" t="str">
        <f>"70.00"</f>
        <v>70.00</v>
      </c>
      <c r="T209" t="str">
        <f>"3204.96"</f>
        <v>3204.96</v>
      </c>
      <c r="U209" t="str">
        <f>"211705.00"</f>
        <v>211705.00</v>
      </c>
      <c r="V209" t="str">
        <f>"211705.00"</f>
        <v>211705.00</v>
      </c>
      <c r="W209" t="str">
        <f t="shared" si="62"/>
        <v>2017</v>
      </c>
      <c r="X209" t="str">
        <f>"10.67"</f>
        <v>10.67</v>
      </c>
      <c r="Y209" t="str">
        <f>"3333.11"</f>
        <v>3333.11</v>
      </c>
      <c r="Z209" t="str">
        <f>""</f>
        <v/>
      </c>
      <c r="AA209" t="str">
        <f>"211705.00"</f>
        <v>211705.00</v>
      </c>
      <c r="AB209" t="str">
        <f>"Agricultural"</f>
        <v>Agricultural</v>
      </c>
      <c r="AC209" t="str">
        <f t="shared" si="64"/>
        <v>0</v>
      </c>
      <c r="AD209" t="str">
        <f>"4"</f>
        <v>4</v>
      </c>
      <c r="AE209" t="str">
        <f>"WOOD (INCLUDE STEEL STUDS)"</f>
        <v>WOOD (INCLUDE STEEL STUDS)</v>
      </c>
      <c r="AF209" t="str">
        <f>"050"</f>
        <v>050</v>
      </c>
      <c r="AG209" t="str">
        <f t="shared" si="65"/>
        <v>FL</v>
      </c>
      <c r="AH209" t="str">
        <f>"3049200.00"</f>
        <v>3049200.00</v>
      </c>
      <c r="AI209" t="str">
        <f>"39190.00"</f>
        <v>39190.00</v>
      </c>
      <c r="AJ209" t="str">
        <f>"C55-000-587-5416-9"</f>
        <v>C55-000-587-5416-9</v>
      </c>
      <c r="AK209" t="str">
        <f>"2221"</f>
        <v>2221</v>
      </c>
      <c r="AL209">
        <v>1</v>
      </c>
      <c r="AM209">
        <v>244</v>
      </c>
      <c r="AN209">
        <v>3498.17</v>
      </c>
      <c r="AQ209" t="s">
        <v>2561</v>
      </c>
      <c r="AR209" t="s">
        <v>2561</v>
      </c>
      <c r="AS209" t="s">
        <v>2561</v>
      </c>
      <c r="AU209" t="s">
        <v>396</v>
      </c>
      <c r="AV209">
        <v>2017</v>
      </c>
      <c r="AW209" t="str">
        <f>"28-4N-23-0000-0007-0010 "</f>
        <v xml:space="preserve">28-4N-23-0000-0007-0010 </v>
      </c>
      <c r="AX209">
        <v>18520</v>
      </c>
      <c r="AZ209" t="s">
        <v>2540</v>
      </c>
      <c r="BA209" t="s">
        <v>496</v>
      </c>
      <c r="BD209" t="s">
        <v>398</v>
      </c>
      <c r="BE209" t="s">
        <v>393</v>
      </c>
      <c r="BF209">
        <v>32046</v>
      </c>
      <c r="BG209" t="s">
        <v>2562</v>
      </c>
      <c r="BH209" t="s">
        <v>400</v>
      </c>
      <c r="BI209">
        <v>-82.011732883892407</v>
      </c>
      <c r="BJ209">
        <v>30.729616991952501</v>
      </c>
      <c r="BK209" t="s">
        <v>2563</v>
      </c>
      <c r="BM209" t="s">
        <v>2562</v>
      </c>
      <c r="BN209" t="s">
        <v>403</v>
      </c>
      <c r="BO209">
        <v>32046</v>
      </c>
      <c r="BP209" t="s">
        <v>416</v>
      </c>
      <c r="BQ209">
        <v>5000</v>
      </c>
      <c r="BR209" t="s">
        <v>664</v>
      </c>
      <c r="BS209">
        <v>7000</v>
      </c>
      <c r="BT209" t="s">
        <v>665</v>
      </c>
      <c r="BW209">
        <v>3049200</v>
      </c>
      <c r="BX209" t="s">
        <v>407</v>
      </c>
      <c r="BY209" t="s">
        <v>408</v>
      </c>
      <c r="BZ209">
        <v>4</v>
      </c>
      <c r="CA209">
        <v>2008</v>
      </c>
      <c r="CB209">
        <v>2</v>
      </c>
      <c r="CC209">
        <v>1</v>
      </c>
      <c r="CD209">
        <v>2017</v>
      </c>
      <c r="CG209">
        <v>211705</v>
      </c>
      <c r="CH209">
        <v>2017</v>
      </c>
      <c r="CI209">
        <v>39190</v>
      </c>
      <c r="CJ209">
        <v>355325</v>
      </c>
      <c r="CK209">
        <v>394515</v>
      </c>
      <c r="CL209">
        <v>2017</v>
      </c>
      <c r="CM209">
        <v>3204.96</v>
      </c>
      <c r="CN209" s="1">
        <v>41474</v>
      </c>
      <c r="CO209">
        <v>335000</v>
      </c>
      <c r="CV209">
        <v>167500</v>
      </c>
      <c r="CX209" t="s">
        <v>707</v>
      </c>
      <c r="CZ209" s="1">
        <v>41474</v>
      </c>
      <c r="DA209">
        <v>0</v>
      </c>
      <c r="DD209" t="s">
        <v>398</v>
      </c>
      <c r="DG209">
        <v>28</v>
      </c>
      <c r="DL209">
        <v>50400</v>
      </c>
      <c r="DM209" t="s">
        <v>2564</v>
      </c>
      <c r="DO209" t="s">
        <v>2565</v>
      </c>
      <c r="DP209">
        <v>0</v>
      </c>
      <c r="DQ209">
        <v>0</v>
      </c>
      <c r="DR209" t="s">
        <v>411</v>
      </c>
      <c r="DS209" t="b">
        <v>1</v>
      </c>
      <c r="DT209" t="s">
        <v>470</v>
      </c>
      <c r="DU209" t="s">
        <v>471</v>
      </c>
      <c r="DV209" t="s">
        <v>472</v>
      </c>
      <c r="DX209">
        <v>-9999</v>
      </c>
      <c r="DZ209" t="s">
        <v>447</v>
      </c>
      <c r="EA209" t="s">
        <v>448</v>
      </c>
      <c r="EB209" t="s">
        <v>2510</v>
      </c>
      <c r="EC209">
        <v>20101217</v>
      </c>
      <c r="ED209" t="s">
        <v>474</v>
      </c>
      <c r="EF209">
        <v>781.1</v>
      </c>
      <c r="EG209">
        <v>781.1</v>
      </c>
      <c r="EI209">
        <v>20160407</v>
      </c>
      <c r="EJ209">
        <v>0</v>
      </c>
      <c r="EK209">
        <v>0</v>
      </c>
      <c r="EP209" t="s">
        <v>421</v>
      </c>
      <c r="EQ209" t="s">
        <v>452</v>
      </c>
      <c r="ER209">
        <v>0</v>
      </c>
      <c r="ES209">
        <v>7</v>
      </c>
      <c r="ET209">
        <v>0</v>
      </c>
      <c r="EU209">
        <v>0</v>
      </c>
      <c r="EV209">
        <v>0</v>
      </c>
      <c r="EW209" s="2">
        <v>43222</v>
      </c>
      <c r="EX209" s="1">
        <v>42515</v>
      </c>
      <c r="EY209">
        <v>2015</v>
      </c>
      <c r="EZ209">
        <v>6236.94</v>
      </c>
      <c r="FA209" t="s">
        <v>2566</v>
      </c>
      <c r="FB209">
        <v>0.25</v>
      </c>
      <c r="FC209" t="s">
        <v>424</v>
      </c>
      <c r="FD209" t="s">
        <v>425</v>
      </c>
      <c r="FE209" s="1">
        <v>42873</v>
      </c>
      <c r="FF209">
        <v>12</v>
      </c>
      <c r="FG209">
        <v>2851116</v>
      </c>
      <c r="FH209" t="s">
        <v>480</v>
      </c>
      <c r="FJ209" s="1">
        <v>42515</v>
      </c>
      <c r="FK209">
        <v>2015</v>
      </c>
      <c r="FL209">
        <v>6236.94</v>
      </c>
      <c r="FM209" t="s">
        <v>2566</v>
      </c>
      <c r="FN209">
        <v>0.25</v>
      </c>
      <c r="FO209" t="s">
        <v>424</v>
      </c>
      <c r="FP209" t="s">
        <v>425</v>
      </c>
      <c r="FR209">
        <v>22</v>
      </c>
      <c r="FS209">
        <v>5365814</v>
      </c>
      <c r="FT209" t="s">
        <v>2567</v>
      </c>
      <c r="FV209" s="1">
        <v>42151</v>
      </c>
      <c r="FW209">
        <v>2014</v>
      </c>
      <c r="FX209">
        <v>5509.56</v>
      </c>
      <c r="FY209" t="s">
        <v>2568</v>
      </c>
      <c r="FZ209">
        <v>0.25</v>
      </c>
      <c r="GA209" t="s">
        <v>424</v>
      </c>
      <c r="GB209" t="s">
        <v>425</v>
      </c>
      <c r="GC209" s="1">
        <v>42229</v>
      </c>
      <c r="GD209">
        <v>3</v>
      </c>
      <c r="GE209">
        <v>4975594</v>
      </c>
      <c r="GF209" t="s">
        <v>457</v>
      </c>
      <c r="GH209" s="1">
        <v>42151</v>
      </c>
      <c r="GI209">
        <v>2014</v>
      </c>
      <c r="GJ209">
        <v>5509.56</v>
      </c>
      <c r="GK209" t="s">
        <v>2568</v>
      </c>
      <c r="GL209">
        <v>0.25</v>
      </c>
      <c r="GM209" t="s">
        <v>424</v>
      </c>
      <c r="GN209" t="s">
        <v>425</v>
      </c>
      <c r="GP209">
        <v>22</v>
      </c>
      <c r="GQ209">
        <v>6400832</v>
      </c>
      <c r="GR209" t="s">
        <v>2569</v>
      </c>
      <c r="GT209" s="1">
        <v>41787</v>
      </c>
      <c r="GU209">
        <v>2013</v>
      </c>
      <c r="GV209">
        <v>5306.36</v>
      </c>
      <c r="GW209" t="s">
        <v>2570</v>
      </c>
      <c r="GX209">
        <v>0.25</v>
      </c>
      <c r="GY209" t="s">
        <v>424</v>
      </c>
      <c r="GZ209" t="s">
        <v>425</v>
      </c>
      <c r="HA209" s="1">
        <v>42229</v>
      </c>
      <c r="HB209">
        <v>15</v>
      </c>
      <c r="HC209">
        <v>2101382</v>
      </c>
      <c r="HD209" t="s">
        <v>993</v>
      </c>
      <c r="HF209" s="1">
        <v>41423</v>
      </c>
      <c r="HG209">
        <v>2012</v>
      </c>
      <c r="HH209">
        <v>2532.0700000000002</v>
      </c>
      <c r="HI209" t="s">
        <v>2571</v>
      </c>
      <c r="HJ209">
        <v>0.25</v>
      </c>
      <c r="HK209" t="s">
        <v>424</v>
      </c>
      <c r="HL209" t="s">
        <v>425</v>
      </c>
      <c r="HM209" s="1">
        <v>41473</v>
      </c>
      <c r="HN209">
        <v>2</v>
      </c>
      <c r="HO209">
        <v>15972</v>
      </c>
      <c r="HP209" t="s">
        <v>2572</v>
      </c>
      <c r="HR209" s="1">
        <v>40688</v>
      </c>
      <c r="HS209">
        <v>2010</v>
      </c>
      <c r="HT209">
        <v>3346.62</v>
      </c>
      <c r="HU209" t="s">
        <v>2573</v>
      </c>
      <c r="HV209">
        <v>0.25</v>
      </c>
      <c r="HW209" t="s">
        <v>424</v>
      </c>
      <c r="HX209" t="s">
        <v>425</v>
      </c>
      <c r="HY209" s="1">
        <v>41029</v>
      </c>
      <c r="HZ209">
        <v>11</v>
      </c>
      <c r="IA209">
        <v>11177</v>
      </c>
      <c r="IB209" t="s">
        <v>650</v>
      </c>
      <c r="IC209" t="s">
        <v>458</v>
      </c>
    </row>
    <row r="210" spans="1:296" x14ac:dyDescent="0.25">
      <c r="A210">
        <v>16485217</v>
      </c>
      <c r="B210">
        <v>209</v>
      </c>
      <c r="C210" t="s">
        <v>393</v>
      </c>
      <c r="D210" t="s">
        <v>394</v>
      </c>
      <c r="F210" t="str">
        <f>"33-4N-23-0000-0006-0020"</f>
        <v>33-4N-23-0000-0006-0020</v>
      </c>
      <c r="H210" t="str">
        <f>"BROWN JOHN WAYNE EST C/O BARBARA LUCKEY"</f>
        <v>BROWN JOHN WAYNE EST C/O BARBARA LUCKEY</v>
      </c>
      <c r="I210" t="str">
        <f>"1964 THOMPKINS LANDING ROAD"</f>
        <v>1964 THOMPKINS LANDING ROAD</v>
      </c>
      <c r="J210" t="str">
        <f>"HILLIARD FL 32046"</f>
        <v>HILLIARD FL 32046</v>
      </c>
      <c r="K210" t="str">
        <f>"1942 TOMPKINS LANDING RD"</f>
        <v>1942 TOMPKINS LANDING RD</v>
      </c>
      <c r="L210" t="str">
        <f t="shared" si="60"/>
        <v>HILLIARD FL 32046</v>
      </c>
      <c r="M210" t="str">
        <f>"PT OF SE1/4 OF SW1/4 OF SEC 33-4N-23E IN OR 537/230 (EX PT IN OR 1077/1116) {R359956 &amp; R359957}"</f>
        <v>PT OF SE1/4 OF SW1/4 OF SEC 33-4N-23E IN OR 537/230 (EX PT IN OR 1077/1116) {R359956 &amp; R359957}</v>
      </c>
      <c r="N210" t="str">
        <f>""</f>
        <v/>
      </c>
      <c r="O210" t="str">
        <f>"41098"</f>
        <v>41098</v>
      </c>
      <c r="P210" t="str">
        <f t="shared" si="61"/>
        <v>2017</v>
      </c>
      <c r="Q210" t="str">
        <f>""</f>
        <v/>
      </c>
      <c r="R210" t="str">
        <f t="shared" si="69"/>
        <v>N</v>
      </c>
      <c r="S210" t="str">
        <f>"2.00"</f>
        <v>2.00</v>
      </c>
      <c r="T210" t="str">
        <f>"641.44"</f>
        <v>641.44</v>
      </c>
      <c r="U210" t="str">
        <f>"42371.00"</f>
        <v>42371.00</v>
      </c>
      <c r="V210" t="str">
        <f>"42371.00"</f>
        <v>42371.00</v>
      </c>
      <c r="W210" t="str">
        <f t="shared" si="62"/>
        <v>2017</v>
      </c>
      <c r="X210" t="str">
        <f>"17.00"</f>
        <v>17.00</v>
      </c>
      <c r="Y210" t="str">
        <f>"692.68"</f>
        <v>692.68</v>
      </c>
      <c r="Z210" t="str">
        <f>""</f>
        <v/>
      </c>
      <c r="AA210" t="str">
        <f>"42371.00"</f>
        <v>42371.00</v>
      </c>
      <c r="AB210" t="str">
        <f>"Residential"</f>
        <v>Residential</v>
      </c>
      <c r="AC210" t="str">
        <f t="shared" si="64"/>
        <v>0</v>
      </c>
      <c r="AD210" t="str">
        <f>"4"</f>
        <v>4</v>
      </c>
      <c r="AE210" t="str">
        <f>"WOOD (INCLUDE STEEL STUDS)"</f>
        <v>WOOD (INCLUDE STEEL STUDS)</v>
      </c>
      <c r="AF210" t="str">
        <f>"002"</f>
        <v>002</v>
      </c>
      <c r="AG210" t="str">
        <f t="shared" si="65"/>
        <v>FL</v>
      </c>
      <c r="AH210" t="str">
        <f>"87120.00"</f>
        <v>87120.00</v>
      </c>
      <c r="AI210" t="str">
        <f>"24000.00"</f>
        <v>24000.00</v>
      </c>
      <c r="AJ210" t="str">
        <f>"C55-000-587-7407-6"</f>
        <v>C55-000-587-7407-6</v>
      </c>
      <c r="AK210" t="str">
        <f>"2252"</f>
        <v>2252</v>
      </c>
      <c r="AL210">
        <v>1</v>
      </c>
      <c r="AM210">
        <v>245</v>
      </c>
      <c r="AN210">
        <v>725.71</v>
      </c>
      <c r="AQ210" t="s">
        <v>2574</v>
      </c>
      <c r="AR210" t="s">
        <v>2574</v>
      </c>
      <c r="AS210" t="s">
        <v>2574</v>
      </c>
      <c r="AU210" t="s">
        <v>396</v>
      </c>
      <c r="AV210">
        <v>2017</v>
      </c>
      <c r="AW210" t="str">
        <f>"33-4N-23-0000-0006-0020 "</f>
        <v xml:space="preserve">33-4N-23-0000-0006-0020 </v>
      </c>
      <c r="AX210">
        <v>1942</v>
      </c>
      <c r="AZ210" t="s">
        <v>2575</v>
      </c>
      <c r="BA210" t="s">
        <v>496</v>
      </c>
      <c r="BD210" t="s">
        <v>398</v>
      </c>
      <c r="BE210" t="s">
        <v>393</v>
      </c>
      <c r="BF210">
        <v>32046</v>
      </c>
      <c r="BG210" t="s">
        <v>2576</v>
      </c>
      <c r="BH210" t="s">
        <v>400</v>
      </c>
      <c r="BI210">
        <v>-82.020158593826807</v>
      </c>
      <c r="BJ210">
        <v>30.714670297616198</v>
      </c>
      <c r="BK210" t="s">
        <v>2577</v>
      </c>
      <c r="BL210" t="s">
        <v>2578</v>
      </c>
      <c r="BM210" t="s">
        <v>2579</v>
      </c>
      <c r="BN210" t="s">
        <v>403</v>
      </c>
      <c r="BO210">
        <v>32046</v>
      </c>
      <c r="BP210" t="s">
        <v>404</v>
      </c>
      <c r="BQ210">
        <v>200</v>
      </c>
      <c r="BR210" t="s">
        <v>405</v>
      </c>
      <c r="BS210">
        <v>1006</v>
      </c>
      <c r="BT210" t="s">
        <v>406</v>
      </c>
      <c r="BW210">
        <v>87120</v>
      </c>
      <c r="BX210" t="s">
        <v>407</v>
      </c>
      <c r="BY210" t="s">
        <v>408</v>
      </c>
      <c r="BZ210">
        <v>4</v>
      </c>
      <c r="CA210">
        <v>1974</v>
      </c>
      <c r="CB210">
        <v>1</v>
      </c>
      <c r="CC210">
        <v>1</v>
      </c>
      <c r="CD210">
        <v>2017</v>
      </c>
      <c r="CE210">
        <v>24000</v>
      </c>
      <c r="CF210">
        <v>18371</v>
      </c>
      <c r="CG210">
        <v>42371</v>
      </c>
      <c r="CH210">
        <v>2017</v>
      </c>
      <c r="CI210">
        <v>24000</v>
      </c>
      <c r="CJ210">
        <v>18371</v>
      </c>
      <c r="CK210">
        <v>42371</v>
      </c>
      <c r="CL210">
        <v>2017</v>
      </c>
      <c r="CM210">
        <v>641.44000000000005</v>
      </c>
      <c r="CN210" s="1">
        <v>37496</v>
      </c>
      <c r="CV210">
        <v>0</v>
      </c>
      <c r="CZ210" s="1">
        <v>37496</v>
      </c>
      <c r="DA210">
        <v>0</v>
      </c>
      <c r="DD210" t="s">
        <v>398</v>
      </c>
      <c r="DG210">
        <v>33</v>
      </c>
      <c r="DL210">
        <v>50400</v>
      </c>
      <c r="DM210" t="s">
        <v>2580</v>
      </c>
      <c r="DO210" t="s">
        <v>2581</v>
      </c>
      <c r="DP210">
        <v>0</v>
      </c>
      <c r="DQ210">
        <v>0</v>
      </c>
      <c r="DR210" t="s">
        <v>411</v>
      </c>
      <c r="DS210" t="b">
        <v>1</v>
      </c>
      <c r="DT210" t="s">
        <v>470</v>
      </c>
      <c r="DU210" t="s">
        <v>471</v>
      </c>
      <c r="DV210" t="s">
        <v>472</v>
      </c>
      <c r="DX210">
        <v>-9999</v>
      </c>
      <c r="DZ210" t="s">
        <v>447</v>
      </c>
      <c r="EA210" t="s">
        <v>448</v>
      </c>
      <c r="EB210" t="s">
        <v>1224</v>
      </c>
      <c r="EC210">
        <v>20101217</v>
      </c>
      <c r="ED210" t="s">
        <v>474</v>
      </c>
      <c r="EF210">
        <v>1217.0999999999999</v>
      </c>
      <c r="EG210">
        <v>1217.0999999999999</v>
      </c>
      <c r="EI210">
        <v>20160407</v>
      </c>
      <c r="EJ210">
        <v>0</v>
      </c>
      <c r="EK210">
        <v>0</v>
      </c>
      <c r="EP210" t="s">
        <v>421</v>
      </c>
      <c r="EQ210" t="s">
        <v>422</v>
      </c>
      <c r="ER210">
        <v>0</v>
      </c>
      <c r="ES210">
        <v>4</v>
      </c>
      <c r="ET210">
        <v>0</v>
      </c>
      <c r="EU210">
        <v>0</v>
      </c>
      <c r="EV210">
        <v>0</v>
      </c>
      <c r="EW210" s="2">
        <v>43222</v>
      </c>
      <c r="EX210" s="1">
        <v>42515</v>
      </c>
      <c r="EY210">
        <v>2015</v>
      </c>
      <c r="EZ210">
        <v>750.81</v>
      </c>
      <c r="FA210" t="s">
        <v>2582</v>
      </c>
      <c r="FB210">
        <v>0.25</v>
      </c>
      <c r="FC210" t="s">
        <v>424</v>
      </c>
      <c r="FD210" t="s">
        <v>425</v>
      </c>
      <c r="FE210" s="1">
        <v>43143</v>
      </c>
      <c r="FF210">
        <v>21</v>
      </c>
      <c r="FG210">
        <v>2851116</v>
      </c>
      <c r="FH210" t="s">
        <v>480</v>
      </c>
      <c r="FJ210" s="1">
        <v>42515</v>
      </c>
      <c r="FK210">
        <v>2015</v>
      </c>
      <c r="FL210">
        <v>750.81</v>
      </c>
      <c r="FM210" t="s">
        <v>2582</v>
      </c>
      <c r="FN210">
        <v>0.25</v>
      </c>
      <c r="FO210" t="s">
        <v>424</v>
      </c>
      <c r="FP210" t="s">
        <v>425</v>
      </c>
      <c r="FR210">
        <v>22</v>
      </c>
      <c r="FS210">
        <v>4866706</v>
      </c>
      <c r="FT210" t="s">
        <v>2583</v>
      </c>
      <c r="FV210" s="1">
        <v>42151</v>
      </c>
      <c r="FW210">
        <v>2014</v>
      </c>
      <c r="FX210">
        <v>633</v>
      </c>
      <c r="FY210" t="s">
        <v>2584</v>
      </c>
      <c r="FZ210">
        <v>0.25</v>
      </c>
      <c r="GA210" t="s">
        <v>424</v>
      </c>
      <c r="GB210" t="s">
        <v>425</v>
      </c>
      <c r="GC210" s="1">
        <v>42522</v>
      </c>
      <c r="GD210">
        <v>13</v>
      </c>
      <c r="GE210">
        <v>2851116</v>
      </c>
      <c r="GF210" t="s">
        <v>480</v>
      </c>
      <c r="GH210" s="1">
        <v>42151</v>
      </c>
      <c r="GI210">
        <v>2014</v>
      </c>
      <c r="GJ210">
        <v>633</v>
      </c>
      <c r="GK210" t="s">
        <v>2584</v>
      </c>
      <c r="GL210">
        <v>0.25</v>
      </c>
      <c r="GM210" t="s">
        <v>424</v>
      </c>
      <c r="GN210" t="s">
        <v>425</v>
      </c>
      <c r="GP210">
        <v>22</v>
      </c>
      <c r="GQ210">
        <v>5252307</v>
      </c>
      <c r="GR210" t="s">
        <v>2585</v>
      </c>
    </row>
    <row r="211" spans="1:296" x14ac:dyDescent="0.25">
      <c r="A211">
        <v>16485218</v>
      </c>
      <c r="B211">
        <v>210</v>
      </c>
      <c r="C211" t="s">
        <v>393</v>
      </c>
      <c r="D211" t="s">
        <v>394</v>
      </c>
      <c r="F211" t="str">
        <f>"33-4N-23-2020-0044-0000"</f>
        <v>33-4N-23-2020-0044-0000</v>
      </c>
      <c r="H211" t="str">
        <f>"BELL RONALD LESTER"</f>
        <v>BELL RONALD LESTER</v>
      </c>
      <c r="I211" t="str">
        <f>"272832 CONNER NELSON RD"</f>
        <v>272832 CONNER NELSON RD</v>
      </c>
      <c r="J211" t="str">
        <f>"HILLIARD FL 32046"</f>
        <v>HILLIARD FL 32046</v>
      </c>
      <c r="K211" t="str">
        <f>"KNIGHT RD"</f>
        <v>KNIGHT RD</v>
      </c>
      <c r="L211" t="str">
        <f t="shared" si="60"/>
        <v>HILLIARD FL 32046</v>
      </c>
      <c r="M211" t="str">
        <f>"PT OF LOTS 44 45 46 47 53 LYING NORTH OF SR 121 IN OR 1137/928 EX 44-1 &amp; EX S-2 OF LOTS 44-46 CORNWALL SURVEY"</f>
        <v>PT OF LOTS 44 45 46 47 53 LYING NORTH OF SR 121 IN OR 1137/928 EX 44-1 &amp; EX S-2 OF LOTS 44-46 CORNWALL SURVEY</v>
      </c>
      <c r="N211" t="str">
        <f>""</f>
        <v/>
      </c>
      <c r="O211" t="str">
        <f>"41125"</f>
        <v>41125</v>
      </c>
      <c r="P211" t="str">
        <f t="shared" si="61"/>
        <v>2017</v>
      </c>
      <c r="Q211" t="str">
        <f>""</f>
        <v/>
      </c>
      <c r="R211" t="str">
        <f t="shared" si="69"/>
        <v>N</v>
      </c>
      <c r="S211" t="str">
        <f>"1.18"</f>
        <v>1.18</v>
      </c>
      <c r="T211" t="str">
        <f>"244.22"</f>
        <v>244.22</v>
      </c>
      <c r="U211" t="str">
        <f>"14920.00"</f>
        <v>14920.00</v>
      </c>
      <c r="V211" t="str">
        <f>"14920.00"</f>
        <v>14920.00</v>
      </c>
      <c r="W211" t="str">
        <f t="shared" si="62"/>
        <v>2017</v>
      </c>
      <c r="X211" t="str">
        <f>"21.14"</f>
        <v>21.14</v>
      </c>
      <c r="Y211" t="str">
        <f>"283.55"</f>
        <v>283.55</v>
      </c>
      <c r="Z211" t="str">
        <f>""</f>
        <v/>
      </c>
      <c r="AA211" t="str">
        <f>"17700.00"</f>
        <v>17700.00</v>
      </c>
      <c r="AB211" t="str">
        <f>"Residential"</f>
        <v>Residential</v>
      </c>
      <c r="AC211" t="str">
        <f t="shared" si="64"/>
        <v>0</v>
      </c>
      <c r="AD211" t="str">
        <f>""</f>
        <v/>
      </c>
      <c r="AE211" t="str">
        <f>""</f>
        <v/>
      </c>
      <c r="AF211" t="str">
        <f>"000"</f>
        <v>000</v>
      </c>
      <c r="AG211" t="str">
        <f t="shared" si="65"/>
        <v>FL</v>
      </c>
      <c r="AH211" t="str">
        <f>"51400.00"</f>
        <v>51400.00</v>
      </c>
      <c r="AI211" t="str">
        <f>"17700.00"</f>
        <v>17700.00</v>
      </c>
      <c r="AJ211" t="str">
        <f>"C55-000-587-7426-6"</f>
        <v>C55-000-587-7426-6</v>
      </c>
      <c r="AK211" t="str">
        <f>"2278"</f>
        <v>2278</v>
      </c>
      <c r="AL211">
        <v>1</v>
      </c>
      <c r="AM211">
        <v>246</v>
      </c>
      <c r="AN211">
        <v>296.13</v>
      </c>
      <c r="AQ211" t="s">
        <v>2586</v>
      </c>
      <c r="AR211" t="s">
        <v>2586</v>
      </c>
      <c r="AS211" t="s">
        <v>2586</v>
      </c>
      <c r="AU211" t="s">
        <v>396</v>
      </c>
      <c r="AV211">
        <v>2017</v>
      </c>
      <c r="AW211" t="str">
        <f>"33-4N-23-2020-0044-0000 "</f>
        <v xml:space="preserve">33-4N-23-2020-0044-0000 </v>
      </c>
      <c r="AZ211" t="s">
        <v>2587</v>
      </c>
      <c r="BA211" t="s">
        <v>496</v>
      </c>
      <c r="BD211" t="s">
        <v>398</v>
      </c>
      <c r="BE211" t="s">
        <v>393</v>
      </c>
      <c r="BF211">
        <v>32046</v>
      </c>
      <c r="BG211" t="s">
        <v>2588</v>
      </c>
      <c r="BH211" t="s">
        <v>400</v>
      </c>
      <c r="BI211">
        <v>-82.017078398890902</v>
      </c>
      <c r="BJ211">
        <v>30.7159569896018</v>
      </c>
      <c r="BK211" t="s">
        <v>2589</v>
      </c>
      <c r="BM211" t="s">
        <v>2590</v>
      </c>
      <c r="BN211" t="s">
        <v>403</v>
      </c>
      <c r="BO211">
        <v>32046</v>
      </c>
      <c r="BP211" t="s">
        <v>404</v>
      </c>
      <c r="BQ211">
        <v>0</v>
      </c>
      <c r="BR211" t="s">
        <v>491</v>
      </c>
      <c r="BS211">
        <v>8001</v>
      </c>
      <c r="BT211" t="s">
        <v>492</v>
      </c>
      <c r="BW211">
        <v>51400</v>
      </c>
      <c r="BX211" t="s">
        <v>407</v>
      </c>
      <c r="BY211" t="s">
        <v>408</v>
      </c>
      <c r="CD211">
        <v>2017</v>
      </c>
      <c r="CE211">
        <v>17700</v>
      </c>
      <c r="CG211">
        <v>17700</v>
      </c>
      <c r="CH211">
        <v>2017</v>
      </c>
      <c r="CI211">
        <v>17700</v>
      </c>
      <c r="CK211">
        <v>17700</v>
      </c>
      <c r="CL211">
        <v>2017</v>
      </c>
      <c r="CM211">
        <v>244.22</v>
      </c>
      <c r="CN211" s="1">
        <v>39359</v>
      </c>
      <c r="CO211">
        <v>252000</v>
      </c>
      <c r="CV211">
        <v>165000</v>
      </c>
      <c r="CX211" t="s">
        <v>675</v>
      </c>
      <c r="CZ211" s="1">
        <v>39359</v>
      </c>
      <c r="DA211">
        <v>0</v>
      </c>
      <c r="DD211" t="s">
        <v>398</v>
      </c>
      <c r="DG211">
        <v>33</v>
      </c>
      <c r="DL211">
        <v>50400</v>
      </c>
      <c r="DM211" t="s">
        <v>2580</v>
      </c>
      <c r="DO211" t="s">
        <v>2591</v>
      </c>
      <c r="DP211">
        <v>0</v>
      </c>
      <c r="DQ211">
        <v>0</v>
      </c>
      <c r="DR211" t="s">
        <v>411</v>
      </c>
      <c r="DS211" t="b">
        <v>1</v>
      </c>
      <c r="DT211" t="s">
        <v>470</v>
      </c>
      <c r="DU211" t="s">
        <v>471</v>
      </c>
      <c r="DV211" t="s">
        <v>472</v>
      </c>
      <c r="DX211">
        <v>-9999</v>
      </c>
      <c r="DZ211" t="s">
        <v>447</v>
      </c>
      <c r="EA211" t="s">
        <v>448</v>
      </c>
      <c r="EB211" t="s">
        <v>1224</v>
      </c>
      <c r="EC211">
        <v>20101217</v>
      </c>
      <c r="ED211" t="s">
        <v>474</v>
      </c>
      <c r="EF211">
        <v>719</v>
      </c>
      <c r="EG211">
        <v>719</v>
      </c>
      <c r="EI211">
        <v>20160407</v>
      </c>
      <c r="EJ211">
        <v>0</v>
      </c>
      <c r="EK211">
        <v>0</v>
      </c>
      <c r="EP211" t="s">
        <v>421</v>
      </c>
      <c r="EQ211" t="s">
        <v>422</v>
      </c>
      <c r="ER211">
        <v>1</v>
      </c>
      <c r="ES211">
        <v>7</v>
      </c>
      <c r="ET211">
        <v>256.56</v>
      </c>
      <c r="EU211">
        <v>22.93</v>
      </c>
      <c r="EV211">
        <v>279.49</v>
      </c>
      <c r="EW211" s="2">
        <v>43222</v>
      </c>
      <c r="EX211" s="1">
        <v>42879</v>
      </c>
      <c r="EY211">
        <v>2016</v>
      </c>
      <c r="EZ211">
        <v>256.56</v>
      </c>
      <c r="FA211" t="s">
        <v>2592</v>
      </c>
      <c r="FB211">
        <v>6.5</v>
      </c>
      <c r="FC211" t="s">
        <v>424</v>
      </c>
      <c r="FD211" t="s">
        <v>454</v>
      </c>
      <c r="FF211">
        <v>12</v>
      </c>
      <c r="FG211">
        <v>10125</v>
      </c>
      <c r="FH211" t="s">
        <v>440</v>
      </c>
      <c r="FJ211" s="1">
        <v>42515</v>
      </c>
      <c r="FK211">
        <v>2015</v>
      </c>
      <c r="FL211">
        <v>245.85</v>
      </c>
      <c r="FM211" t="s">
        <v>2593</v>
      </c>
      <c r="FN211">
        <v>15.25</v>
      </c>
      <c r="FO211" t="s">
        <v>424</v>
      </c>
      <c r="FP211" t="s">
        <v>425</v>
      </c>
      <c r="FQ211" s="1">
        <v>43139</v>
      </c>
      <c r="FR211">
        <v>21</v>
      </c>
      <c r="FS211">
        <v>10125</v>
      </c>
      <c r="FT211" t="s">
        <v>440</v>
      </c>
      <c r="FV211" s="1">
        <v>42151</v>
      </c>
      <c r="FW211">
        <v>2014</v>
      </c>
      <c r="FX211">
        <v>213.59</v>
      </c>
      <c r="FY211" t="s">
        <v>2594</v>
      </c>
      <c r="FZ211">
        <v>4.75</v>
      </c>
      <c r="GA211" t="s">
        <v>424</v>
      </c>
      <c r="GB211" t="s">
        <v>425</v>
      </c>
      <c r="GC211" s="1">
        <v>42780</v>
      </c>
      <c r="GD211">
        <v>21</v>
      </c>
      <c r="GE211">
        <v>4975593</v>
      </c>
      <c r="GF211" t="s">
        <v>505</v>
      </c>
      <c r="GH211" s="1">
        <v>41787</v>
      </c>
      <c r="GI211">
        <v>2013</v>
      </c>
      <c r="GJ211">
        <v>212.9</v>
      </c>
      <c r="GK211" t="s">
        <v>2595</v>
      </c>
      <c r="GL211">
        <v>12</v>
      </c>
      <c r="GM211" t="s">
        <v>424</v>
      </c>
      <c r="GN211" t="s">
        <v>425</v>
      </c>
      <c r="GO211" s="1">
        <v>42422</v>
      </c>
      <c r="GP211">
        <v>21</v>
      </c>
      <c r="GQ211">
        <v>2035919</v>
      </c>
      <c r="GR211" t="s">
        <v>507</v>
      </c>
      <c r="GT211" s="1">
        <v>41423</v>
      </c>
      <c r="GU211">
        <v>2012</v>
      </c>
      <c r="GV211">
        <v>244.27</v>
      </c>
      <c r="GW211" t="s">
        <v>2596</v>
      </c>
      <c r="GX211">
        <v>6.25</v>
      </c>
      <c r="GY211" t="s">
        <v>424</v>
      </c>
      <c r="GZ211" t="s">
        <v>425</v>
      </c>
      <c r="HA211" s="1">
        <v>42058</v>
      </c>
      <c r="HB211">
        <v>21</v>
      </c>
      <c r="HC211">
        <v>2101381</v>
      </c>
      <c r="HD211" t="s">
        <v>605</v>
      </c>
      <c r="HF211" s="1">
        <v>41052</v>
      </c>
      <c r="HG211">
        <v>2011</v>
      </c>
      <c r="HH211">
        <v>279.48</v>
      </c>
      <c r="HI211" t="s">
        <v>2597</v>
      </c>
      <c r="HJ211">
        <v>6</v>
      </c>
      <c r="HK211" t="s">
        <v>424</v>
      </c>
      <c r="HL211" t="s">
        <v>425</v>
      </c>
      <c r="HM211" s="1">
        <v>41695</v>
      </c>
      <c r="HN211">
        <v>21</v>
      </c>
      <c r="HO211">
        <v>375</v>
      </c>
      <c r="HP211" t="s">
        <v>776</v>
      </c>
      <c r="HR211" s="1">
        <v>40688</v>
      </c>
      <c r="HS211">
        <v>2010</v>
      </c>
      <c r="HT211">
        <v>309.61</v>
      </c>
      <c r="HU211" t="s">
        <v>2598</v>
      </c>
      <c r="HV211">
        <v>8.25</v>
      </c>
      <c r="HW211" t="s">
        <v>424</v>
      </c>
      <c r="HX211" t="s">
        <v>425</v>
      </c>
      <c r="HY211" s="1">
        <v>41358</v>
      </c>
      <c r="HZ211">
        <v>22</v>
      </c>
      <c r="IA211">
        <v>15175</v>
      </c>
      <c r="IB211" t="s">
        <v>588</v>
      </c>
      <c r="ID211" s="1">
        <v>40688</v>
      </c>
      <c r="IE211">
        <v>2010</v>
      </c>
      <c r="IF211">
        <v>309.61</v>
      </c>
      <c r="IG211" t="s">
        <v>2598</v>
      </c>
      <c r="IH211">
        <v>8.25</v>
      </c>
      <c r="II211" t="s">
        <v>424</v>
      </c>
      <c r="IJ211" t="s">
        <v>425</v>
      </c>
      <c r="IL211">
        <v>22</v>
      </c>
      <c r="IM211">
        <v>10548</v>
      </c>
      <c r="IN211" t="s">
        <v>589</v>
      </c>
    </row>
    <row r="212" spans="1:296" x14ac:dyDescent="0.25">
      <c r="A212">
        <v>16485219</v>
      </c>
      <c r="B212">
        <v>211</v>
      </c>
      <c r="C212" t="s">
        <v>393</v>
      </c>
      <c r="D212" t="s">
        <v>394</v>
      </c>
      <c r="F212" t="str">
        <f>"33-4N-23-2020-0045-0020"</f>
        <v>33-4N-23-2020-0045-0020</v>
      </c>
      <c r="H212" t="str">
        <f>"BELL RONALD LESTER"</f>
        <v>BELL RONALD LESTER</v>
      </c>
      <c r="I212" t="str">
        <f>"272832 CONNER NELSON ROAD"</f>
        <v>272832 CONNER NELSON ROAD</v>
      </c>
      <c r="J212" t="str">
        <f>"HILLIARD FL 32046"</f>
        <v>HILLIARD FL 32046</v>
      </c>
      <c r="K212" t="str">
        <f>"272832 CONNER NELSON RD"</f>
        <v>272832 CONNER NELSON RD</v>
      </c>
      <c r="L212" t="str">
        <f t="shared" si="60"/>
        <v>HILLIARD FL 32046</v>
      </c>
      <c r="M212" t="str">
        <f>"PT OF LOTS 45 46 47 &amp; 48 L/E OR 1137/930 EX S-3 OF LOTS 45-48 CORNWALL SURVEY"</f>
        <v>PT OF LOTS 45 46 47 &amp; 48 L/E OR 1137/930 EX S-3 OF LOTS 45-48 CORNWALL SURVEY</v>
      </c>
      <c r="N212" t="str">
        <f>""</f>
        <v/>
      </c>
      <c r="O212" t="str">
        <f>"41128"</f>
        <v>41128</v>
      </c>
      <c r="P212" t="str">
        <f t="shared" si="61"/>
        <v>2017</v>
      </c>
      <c r="Q212" t="str">
        <f>""</f>
        <v/>
      </c>
      <c r="R212" t="str">
        <f>"Y"</f>
        <v>Y</v>
      </c>
      <c r="S212" t="str">
        <f>"18.95"</f>
        <v>18.95</v>
      </c>
      <c r="T212" t="str">
        <f>"2266.83"</f>
        <v>2266.83</v>
      </c>
      <c r="U212" t="str">
        <f>"188841.00"</f>
        <v>188841.00</v>
      </c>
      <c r="V212" t="str">
        <f>"188841.00"</f>
        <v>188841.00</v>
      </c>
      <c r="W212" t="str">
        <f t="shared" si="62"/>
        <v>2017</v>
      </c>
      <c r="X212" t="str">
        <f>"21.25"</f>
        <v>21.25</v>
      </c>
      <c r="Y212" t="str">
        <f>"2366.83"</f>
        <v>2366.83</v>
      </c>
      <c r="Z212" t="str">
        <f>"25000.00"</f>
        <v>25000.00</v>
      </c>
      <c r="AA212" t="str">
        <f>"163841.00"</f>
        <v>163841.00</v>
      </c>
      <c r="AB212" t="str">
        <f>"Residential"</f>
        <v>Residential</v>
      </c>
      <c r="AC212" t="str">
        <f t="shared" si="64"/>
        <v>0</v>
      </c>
      <c r="AD212" t="str">
        <f>"4"</f>
        <v>4</v>
      </c>
      <c r="AE212" t="str">
        <f>"WOOD (INCLUDE STEEL STUDS)"</f>
        <v>WOOD (INCLUDE STEEL STUDS)</v>
      </c>
      <c r="AF212" t="str">
        <f>"001"</f>
        <v>001</v>
      </c>
      <c r="AG212" t="str">
        <f t="shared" si="65"/>
        <v>FL</v>
      </c>
      <c r="AH212" t="str">
        <f>"825462.00"</f>
        <v>825462.00</v>
      </c>
      <c r="AI212" t="str">
        <f>"85275.00"</f>
        <v>85275.00</v>
      </c>
      <c r="AJ212" t="str">
        <f>"C55-000-588-9645-7"</f>
        <v>C55-000-588-9645-7</v>
      </c>
      <c r="AK212" t="str">
        <f>"2281"</f>
        <v>2281</v>
      </c>
      <c r="AL212">
        <v>1</v>
      </c>
      <c r="AM212">
        <v>247</v>
      </c>
      <c r="AN212">
        <v>2483.5700000000002</v>
      </c>
      <c r="AQ212" t="s">
        <v>2599</v>
      </c>
      <c r="AR212" t="s">
        <v>2599</v>
      </c>
      <c r="AS212" t="s">
        <v>2599</v>
      </c>
      <c r="AU212" t="s">
        <v>396</v>
      </c>
      <c r="AV212">
        <v>2017</v>
      </c>
      <c r="AW212" t="str">
        <f>"33-4N-23-2020-0045-0020 "</f>
        <v xml:space="preserve">33-4N-23-2020-0045-0020 </v>
      </c>
      <c r="AX212">
        <v>272832</v>
      </c>
      <c r="AZ212" t="s">
        <v>2600</v>
      </c>
      <c r="BA212" t="s">
        <v>496</v>
      </c>
      <c r="BD212" t="s">
        <v>398</v>
      </c>
      <c r="BE212" t="s">
        <v>393</v>
      </c>
      <c r="BF212">
        <v>32046</v>
      </c>
      <c r="BG212" t="s">
        <v>2590</v>
      </c>
      <c r="BH212" t="s">
        <v>400</v>
      </c>
      <c r="BI212">
        <v>-82.015714689785099</v>
      </c>
      <c r="BJ212">
        <v>30.712907324312301</v>
      </c>
      <c r="BK212" t="s">
        <v>2589</v>
      </c>
      <c r="BM212" t="s">
        <v>2601</v>
      </c>
      <c r="BN212" t="s">
        <v>403</v>
      </c>
      <c r="BO212">
        <v>32046</v>
      </c>
      <c r="BP212" t="s">
        <v>416</v>
      </c>
      <c r="BQ212">
        <v>100</v>
      </c>
      <c r="BR212" t="s">
        <v>514</v>
      </c>
      <c r="BS212">
        <v>1001</v>
      </c>
      <c r="BT212" t="s">
        <v>515</v>
      </c>
      <c r="BW212">
        <v>825462</v>
      </c>
      <c r="BX212" t="s">
        <v>407</v>
      </c>
      <c r="BY212" t="s">
        <v>408</v>
      </c>
      <c r="BZ212">
        <v>4</v>
      </c>
      <c r="CA212">
        <v>1971</v>
      </c>
      <c r="CB212">
        <v>1</v>
      </c>
      <c r="CC212">
        <v>1</v>
      </c>
      <c r="CD212">
        <v>2017</v>
      </c>
      <c r="CG212">
        <v>188841</v>
      </c>
      <c r="CH212">
        <v>2017</v>
      </c>
      <c r="CI212">
        <v>85275</v>
      </c>
      <c r="CJ212">
        <v>121527</v>
      </c>
      <c r="CK212">
        <v>206802</v>
      </c>
      <c r="CL212">
        <v>2017</v>
      </c>
      <c r="CM212">
        <v>2266.83</v>
      </c>
      <c r="CN212" s="1">
        <v>37755</v>
      </c>
      <c r="CZ212" s="1">
        <v>37755</v>
      </c>
      <c r="DD212" t="s">
        <v>398</v>
      </c>
      <c r="DG212">
        <v>33</v>
      </c>
      <c r="DL212">
        <v>50400</v>
      </c>
      <c r="DM212" t="s">
        <v>2580</v>
      </c>
      <c r="DO212" t="s">
        <v>2602</v>
      </c>
      <c r="DP212">
        <v>0</v>
      </c>
      <c r="DQ212">
        <v>0</v>
      </c>
      <c r="DR212" t="s">
        <v>411</v>
      </c>
      <c r="DS212" t="b">
        <v>1</v>
      </c>
      <c r="DT212" t="s">
        <v>470</v>
      </c>
      <c r="DU212" t="s">
        <v>471</v>
      </c>
      <c r="DV212" t="s">
        <v>472</v>
      </c>
      <c r="DX212">
        <v>-9999</v>
      </c>
      <c r="DZ212" t="s">
        <v>447</v>
      </c>
      <c r="EA212" t="s">
        <v>448</v>
      </c>
      <c r="EB212" t="s">
        <v>1224</v>
      </c>
      <c r="EC212">
        <v>20101217</v>
      </c>
      <c r="ED212" t="s">
        <v>474</v>
      </c>
      <c r="EF212">
        <v>128.4</v>
      </c>
      <c r="EG212">
        <v>128.4</v>
      </c>
      <c r="EI212">
        <v>20160407</v>
      </c>
      <c r="EJ212">
        <v>0</v>
      </c>
      <c r="EK212">
        <v>0</v>
      </c>
      <c r="EP212" t="s">
        <v>421</v>
      </c>
      <c r="EQ212" t="s">
        <v>422</v>
      </c>
      <c r="ER212">
        <v>2</v>
      </c>
      <c r="ES212">
        <v>10</v>
      </c>
      <c r="ET212">
        <v>4902.5200000000004</v>
      </c>
      <c r="EU212">
        <v>257.63</v>
      </c>
      <c r="EV212">
        <v>5160.1499999999996</v>
      </c>
      <c r="EW212" s="2">
        <v>43222</v>
      </c>
      <c r="EX212" s="1">
        <v>42879</v>
      </c>
      <c r="EY212">
        <v>2016</v>
      </c>
      <c r="EZ212">
        <v>2451.2600000000002</v>
      </c>
      <c r="FA212" t="s">
        <v>2603</v>
      </c>
      <c r="FB212">
        <v>0.25</v>
      </c>
      <c r="FC212" t="s">
        <v>424</v>
      </c>
      <c r="FD212" t="s">
        <v>454</v>
      </c>
      <c r="FF212">
        <v>12</v>
      </c>
      <c r="FG212">
        <v>7336671</v>
      </c>
      <c r="FH212" t="s">
        <v>437</v>
      </c>
      <c r="FJ212" s="1">
        <v>42879</v>
      </c>
      <c r="FK212">
        <v>2016</v>
      </c>
      <c r="FL212">
        <v>2451.2600000000002</v>
      </c>
      <c r="FM212" t="s">
        <v>2603</v>
      </c>
      <c r="FN212">
        <v>0.25</v>
      </c>
      <c r="FO212" t="s">
        <v>424</v>
      </c>
      <c r="FP212" t="s">
        <v>454</v>
      </c>
      <c r="FR212">
        <v>12</v>
      </c>
      <c r="FS212">
        <v>5183205</v>
      </c>
      <c r="FT212" t="s">
        <v>2604</v>
      </c>
      <c r="FV212" s="1">
        <v>42515</v>
      </c>
      <c r="FW212">
        <v>2015</v>
      </c>
      <c r="FX212">
        <v>2488.5100000000002</v>
      </c>
      <c r="FY212" t="s">
        <v>2605</v>
      </c>
      <c r="FZ212">
        <v>0.25</v>
      </c>
      <c r="GA212" t="s">
        <v>424</v>
      </c>
      <c r="GB212" t="s">
        <v>425</v>
      </c>
      <c r="GC212" s="1">
        <v>43139</v>
      </c>
      <c r="GD212">
        <v>21</v>
      </c>
      <c r="GE212">
        <v>7336671</v>
      </c>
      <c r="GF212" t="s">
        <v>437</v>
      </c>
      <c r="GH212" s="1">
        <v>42515</v>
      </c>
      <c r="GI212">
        <v>2015</v>
      </c>
      <c r="GJ212">
        <v>2488.5100000000002</v>
      </c>
      <c r="GK212" t="s">
        <v>2605</v>
      </c>
      <c r="GL212">
        <v>0.25</v>
      </c>
      <c r="GM212" t="s">
        <v>424</v>
      </c>
      <c r="GN212" t="s">
        <v>425</v>
      </c>
      <c r="GP212">
        <v>22</v>
      </c>
      <c r="GQ212">
        <v>6788291</v>
      </c>
      <c r="GR212" t="s">
        <v>2606</v>
      </c>
      <c r="GT212" s="1">
        <v>42151</v>
      </c>
      <c r="GU212">
        <v>2014</v>
      </c>
      <c r="GV212">
        <v>2476.7800000000002</v>
      </c>
      <c r="GW212" t="s">
        <v>2607</v>
      </c>
      <c r="GX212">
        <v>0.25</v>
      </c>
      <c r="GY212" t="s">
        <v>424</v>
      </c>
      <c r="GZ212" t="s">
        <v>425</v>
      </c>
      <c r="HB212">
        <v>22</v>
      </c>
      <c r="HC212">
        <v>15259</v>
      </c>
      <c r="HD212" t="s">
        <v>891</v>
      </c>
      <c r="HF212" s="1">
        <v>42151</v>
      </c>
      <c r="HG212">
        <v>2014</v>
      </c>
      <c r="HH212">
        <v>2476.7800000000002</v>
      </c>
      <c r="HI212" t="s">
        <v>2607</v>
      </c>
      <c r="HJ212">
        <v>0.25</v>
      </c>
      <c r="HK212" t="s">
        <v>424</v>
      </c>
      <c r="HL212" t="s">
        <v>425</v>
      </c>
      <c r="HN212">
        <v>22</v>
      </c>
      <c r="HO212">
        <v>6879160</v>
      </c>
      <c r="HP212" t="s">
        <v>2608</v>
      </c>
      <c r="HR212" s="1">
        <v>42151</v>
      </c>
      <c r="HS212">
        <v>2014</v>
      </c>
      <c r="HT212">
        <v>2476.7800000000002</v>
      </c>
      <c r="HU212" t="s">
        <v>2607</v>
      </c>
      <c r="HV212">
        <v>0.25</v>
      </c>
      <c r="HW212" t="s">
        <v>424</v>
      </c>
      <c r="HX212" t="s">
        <v>425</v>
      </c>
      <c r="HY212" s="1">
        <v>42780</v>
      </c>
      <c r="HZ212">
        <v>21</v>
      </c>
      <c r="IA212">
        <v>7045049</v>
      </c>
      <c r="IB212" t="s">
        <v>1335</v>
      </c>
      <c r="ID212" s="1">
        <v>41787</v>
      </c>
      <c r="IE212">
        <v>2013</v>
      </c>
      <c r="IF212">
        <v>2316.25</v>
      </c>
      <c r="IG212" t="s">
        <v>2609</v>
      </c>
      <c r="IH212">
        <v>0.25</v>
      </c>
      <c r="II212" t="s">
        <v>424</v>
      </c>
      <c r="IJ212" t="s">
        <v>425</v>
      </c>
      <c r="IK212" s="1">
        <v>42422</v>
      </c>
      <c r="IL212">
        <v>21</v>
      </c>
      <c r="IM212">
        <v>2675455</v>
      </c>
      <c r="IN212" t="s">
        <v>1981</v>
      </c>
      <c r="IP212" s="1">
        <v>41423</v>
      </c>
      <c r="IQ212">
        <v>2012</v>
      </c>
      <c r="IR212">
        <v>2322.38</v>
      </c>
      <c r="IS212" t="s">
        <v>2610</v>
      </c>
      <c r="IT212">
        <v>0.25</v>
      </c>
      <c r="IU212" t="s">
        <v>424</v>
      </c>
      <c r="IV212" t="s">
        <v>425</v>
      </c>
      <c r="IW212" s="1">
        <v>42058</v>
      </c>
      <c r="IX212">
        <v>21</v>
      </c>
      <c r="IY212">
        <v>15259</v>
      </c>
      <c r="IZ212" t="s">
        <v>891</v>
      </c>
      <c r="JB212" s="1">
        <v>41052</v>
      </c>
      <c r="JC212">
        <v>2011</v>
      </c>
      <c r="JD212">
        <v>2554.8200000000002</v>
      </c>
      <c r="JE212" t="s">
        <v>2611</v>
      </c>
      <c r="JF212">
        <v>0.25</v>
      </c>
      <c r="JG212" t="s">
        <v>424</v>
      </c>
      <c r="JH212" t="s">
        <v>425</v>
      </c>
      <c r="JI212" s="1">
        <v>41695</v>
      </c>
      <c r="JJ212">
        <v>21</v>
      </c>
      <c r="JK212">
        <v>13104</v>
      </c>
      <c r="JL212" t="s">
        <v>888</v>
      </c>
      <c r="JN212" s="1">
        <v>41052</v>
      </c>
      <c r="JO212">
        <v>2011</v>
      </c>
      <c r="JP212">
        <v>2554.8200000000002</v>
      </c>
      <c r="JQ212" t="s">
        <v>2611</v>
      </c>
      <c r="JR212">
        <v>0.25</v>
      </c>
      <c r="JS212" t="s">
        <v>424</v>
      </c>
      <c r="JT212" t="s">
        <v>425</v>
      </c>
      <c r="JV212">
        <v>22</v>
      </c>
      <c r="JW212">
        <v>13738</v>
      </c>
      <c r="JX212" t="s">
        <v>2612</v>
      </c>
      <c r="JZ212" s="1">
        <v>40688</v>
      </c>
      <c r="KA212">
        <v>2010</v>
      </c>
      <c r="KB212">
        <v>2716.68</v>
      </c>
      <c r="KC212" t="s">
        <v>2613</v>
      </c>
      <c r="KD212">
        <v>0.25</v>
      </c>
      <c r="KE212" t="s">
        <v>424</v>
      </c>
      <c r="KF212" t="s">
        <v>425</v>
      </c>
      <c r="KG212" s="1">
        <v>41358</v>
      </c>
      <c r="KH212">
        <v>22</v>
      </c>
      <c r="KI212">
        <v>11141</v>
      </c>
      <c r="KJ212" t="s">
        <v>1723</v>
      </c>
    </row>
    <row r="213" spans="1:296" x14ac:dyDescent="0.25">
      <c r="A213">
        <v>16485220</v>
      </c>
      <c r="B213">
        <v>212</v>
      </c>
      <c r="C213" t="s">
        <v>393</v>
      </c>
      <c r="D213" t="s">
        <v>394</v>
      </c>
      <c r="F213" t="str">
        <f>"33-4N-23-2020-0049-0010"</f>
        <v>33-4N-23-2020-0049-0010</v>
      </c>
      <c r="H213" t="str">
        <f>"JAMES TOMMY L &amp; KRISTINA G"</f>
        <v>JAMES TOMMY L &amp; KRISTINA G</v>
      </c>
      <c r="I213" t="str">
        <f>"76397 LONGLEAF LOOP"</f>
        <v>76397 LONGLEAF LOOP</v>
      </c>
      <c r="J213" t="str">
        <f>"YULEE FL 32097"</f>
        <v>YULEE FL 32097</v>
      </c>
      <c r="K213" t="str">
        <f>"CR 121"</f>
        <v>CR 121</v>
      </c>
      <c r="L213" t="str">
        <f t="shared" si="60"/>
        <v>HILLIARD FL 32046</v>
      </c>
      <c r="M213" t="str">
        <f>"PT OF LOTS 49 50 51 52 &amp; 53 SOUTH OF SR 121 PT OR 2102/234 BEING PARCEL 2 CORNWALL SURVEY PB 0/31"</f>
        <v>PT OF LOTS 49 50 51 52 &amp; 53 SOUTH OF SR 121 PT OR 2102/234 BEING PARCEL 2 CORNWALL SURVEY PB 0/31</v>
      </c>
      <c r="N213" t="str">
        <f>""</f>
        <v/>
      </c>
      <c r="O213" t="str">
        <f>"57734"</f>
        <v>57734</v>
      </c>
      <c r="P213" t="str">
        <f t="shared" si="61"/>
        <v>2017</v>
      </c>
      <c r="Q213" t="str">
        <f>""</f>
        <v/>
      </c>
      <c r="R213" t="str">
        <f>"N"</f>
        <v>N</v>
      </c>
      <c r="S213" t="str">
        <f>"3.60"</f>
        <v>3.60</v>
      </c>
      <c r="T213" t="str">
        <f>"436.00"</f>
        <v>436.00</v>
      </c>
      <c r="U213" t="str">
        <f>"28800.00"</f>
        <v>28800.00</v>
      </c>
      <c r="V213" t="str">
        <f>"28800.00"</f>
        <v>28800.00</v>
      </c>
      <c r="W213" t="str">
        <f t="shared" si="62"/>
        <v>2017</v>
      </c>
      <c r="X213" t="str">
        <f>""</f>
        <v/>
      </c>
      <c r="Y213" t="str">
        <f>"481.08"</f>
        <v>481.08</v>
      </c>
      <c r="Z213" t="str">
        <f>""</f>
        <v/>
      </c>
      <c r="AA213" t="str">
        <f>"28800.00"</f>
        <v>28800.00</v>
      </c>
      <c r="AB213" t="str">
        <f>"Residential"</f>
        <v>Residential</v>
      </c>
      <c r="AC213" t="str">
        <f t="shared" si="64"/>
        <v>0</v>
      </c>
      <c r="AD213" t="str">
        <f>""</f>
        <v/>
      </c>
      <c r="AE213" t="str">
        <f>""</f>
        <v/>
      </c>
      <c r="AF213" t="str">
        <f>"000"</f>
        <v>000</v>
      </c>
      <c r="AG213" t="str">
        <f t="shared" si="65"/>
        <v>FL</v>
      </c>
      <c r="AH213" t="str">
        <f>"156816.00"</f>
        <v>156816.00</v>
      </c>
      <c r="AI213" t="str">
        <f>"28800.00"</f>
        <v>28800.00</v>
      </c>
      <c r="AJ213" t="str">
        <f>"C55-001-092-8296-2"</f>
        <v>C55-001-092-8296-2</v>
      </c>
      <c r="AK213" t="str">
        <f>"2285"</f>
        <v>2285</v>
      </c>
      <c r="AL213">
        <v>1</v>
      </c>
      <c r="AM213">
        <v>248</v>
      </c>
      <c r="AN213">
        <v>503.53</v>
      </c>
      <c r="AQ213" t="s">
        <v>2614</v>
      </c>
      <c r="AR213" t="s">
        <v>2614</v>
      </c>
      <c r="AS213" t="s">
        <v>2614</v>
      </c>
      <c r="AU213" t="s">
        <v>396</v>
      </c>
      <c r="AV213">
        <v>2017</v>
      </c>
      <c r="AW213" t="str">
        <f>"33-4N-23-2020-0049-0010 "</f>
        <v xml:space="preserve">33-4N-23-2020-0049-0010 </v>
      </c>
      <c r="AZ213" t="s">
        <v>611</v>
      </c>
      <c r="BD213" t="s">
        <v>398</v>
      </c>
      <c r="BE213" t="s">
        <v>393</v>
      </c>
      <c r="BF213">
        <v>32046</v>
      </c>
      <c r="BG213" t="s">
        <v>611</v>
      </c>
      <c r="BH213" t="s">
        <v>400</v>
      </c>
      <c r="BK213" t="s">
        <v>2615</v>
      </c>
      <c r="BM213" t="s">
        <v>2616</v>
      </c>
      <c r="BN213" t="s">
        <v>1778</v>
      </c>
      <c r="BO213">
        <v>32097</v>
      </c>
      <c r="BQ213">
        <v>0</v>
      </c>
      <c r="BR213" t="s">
        <v>491</v>
      </c>
      <c r="BS213">
        <v>8001</v>
      </c>
      <c r="BT213" t="s">
        <v>492</v>
      </c>
      <c r="BW213">
        <v>156816</v>
      </c>
      <c r="BX213" t="s">
        <v>407</v>
      </c>
      <c r="CD213">
        <v>2017</v>
      </c>
      <c r="CE213">
        <v>28800</v>
      </c>
      <c r="CG213">
        <v>28800</v>
      </c>
      <c r="CH213">
        <v>2017</v>
      </c>
      <c r="CI213">
        <v>28800</v>
      </c>
      <c r="CK213">
        <v>28800</v>
      </c>
      <c r="CL213">
        <v>2017</v>
      </c>
      <c r="CM213">
        <v>436</v>
      </c>
      <c r="DD213" t="s">
        <v>398</v>
      </c>
      <c r="DM213" t="s">
        <v>2580</v>
      </c>
      <c r="DO213" t="s">
        <v>2617</v>
      </c>
    </row>
    <row r="214" spans="1:296" x14ac:dyDescent="0.25">
      <c r="A214">
        <v>16485221</v>
      </c>
      <c r="B214">
        <v>213</v>
      </c>
      <c r="C214" t="s">
        <v>393</v>
      </c>
      <c r="D214" t="s">
        <v>394</v>
      </c>
      <c r="F214" t="str">
        <f>"34-4N-23-0000-0001-0080"</f>
        <v>34-4N-23-0000-0001-0080</v>
      </c>
      <c r="H214" t="str">
        <f>"WHITTLE PATRICIA JEAN"</f>
        <v>WHITTLE PATRICIA JEAN</v>
      </c>
      <c r="I214" t="str">
        <f>"29131 SAINT MARYS CIRCLE"</f>
        <v>29131 SAINT MARYS CIRCLE</v>
      </c>
      <c r="J214" t="str">
        <f>"HILLIARD FL 32046"</f>
        <v>HILLIARD FL 32046</v>
      </c>
      <c r="K214" t="str">
        <f>"241614 CR 121"</f>
        <v>241614 CR 121</v>
      </c>
      <c r="L214" t="str">
        <f t="shared" si="60"/>
        <v>HILLIARD FL 32046</v>
      </c>
      <c r="M214" t="str">
        <f>"PT OF W1/2 OF NE1/4 IN OR 1696/181"</f>
        <v>PT OF W1/2 OF NE1/4 IN OR 1696/181</v>
      </c>
      <c r="N214" t="str">
        <f>""</f>
        <v/>
      </c>
      <c r="O214" t="str">
        <f>"41527"</f>
        <v>41527</v>
      </c>
      <c r="P214" t="str">
        <f t="shared" si="61"/>
        <v>2017</v>
      </c>
      <c r="Q214" t="str">
        <f>""</f>
        <v/>
      </c>
      <c r="R214" t="str">
        <f>"N"</f>
        <v>N</v>
      </c>
      <c r="S214" t="str">
        <f>"2.52"</f>
        <v>2.52</v>
      </c>
      <c r="T214" t="str">
        <f>"784.46"</f>
        <v>784.46</v>
      </c>
      <c r="U214" t="str">
        <f>"47483.00"</f>
        <v>47483.00</v>
      </c>
      <c r="V214" t="str">
        <f>"47483.00"</f>
        <v>47483.00</v>
      </c>
      <c r="W214" t="str">
        <f t="shared" si="62"/>
        <v>2017</v>
      </c>
      <c r="X214" t="str">
        <f>"12.88"</f>
        <v>12.88</v>
      </c>
      <c r="Y214" t="str">
        <f>"839.99"</f>
        <v>839.99</v>
      </c>
      <c r="Z214" t="str">
        <f>""</f>
        <v/>
      </c>
      <c r="AA214" t="str">
        <f>"57430.00"</f>
        <v>57430.00</v>
      </c>
      <c r="AB214" t="str">
        <f>"Residential"</f>
        <v>Residential</v>
      </c>
      <c r="AC214" t="str">
        <f t="shared" si="64"/>
        <v>0</v>
      </c>
      <c r="AD214" t="str">
        <f>"4"</f>
        <v>4</v>
      </c>
      <c r="AE214" t="str">
        <f>"WOOD (INCLUDE STEEL STUDS)"</f>
        <v>WOOD (INCLUDE STEEL STUDS)</v>
      </c>
      <c r="AF214" t="str">
        <f>"002"</f>
        <v>002</v>
      </c>
      <c r="AG214" t="str">
        <f t="shared" si="65"/>
        <v>FL</v>
      </c>
      <c r="AH214" t="str">
        <f>"109771.00"</f>
        <v>109771.00</v>
      </c>
      <c r="AI214" t="str">
        <f>"24192.00"</f>
        <v>24192.00</v>
      </c>
      <c r="AJ214" t="str">
        <f>"C55-000-587-7689-9"</f>
        <v>C55-000-587-7689-9</v>
      </c>
      <c r="AK214" t="str">
        <f>"2302"</f>
        <v>2302</v>
      </c>
      <c r="AL214">
        <v>1</v>
      </c>
      <c r="AM214">
        <v>249</v>
      </c>
      <c r="AN214">
        <v>880.39</v>
      </c>
      <c r="AQ214" t="s">
        <v>2618</v>
      </c>
      <c r="AR214" t="s">
        <v>2618</v>
      </c>
      <c r="AS214" t="s">
        <v>2618</v>
      </c>
      <c r="AU214" t="s">
        <v>396</v>
      </c>
      <c r="AV214">
        <v>2017</v>
      </c>
      <c r="AW214" t="str">
        <f>"34-4N-23-0000-0001-0080 "</f>
        <v xml:space="preserve">34-4N-23-0000-0001-0080 </v>
      </c>
      <c r="AX214">
        <v>241614</v>
      </c>
      <c r="AZ214" t="s">
        <v>611</v>
      </c>
      <c r="BD214" t="s">
        <v>398</v>
      </c>
      <c r="BE214" t="s">
        <v>393</v>
      </c>
      <c r="BF214">
        <v>32046</v>
      </c>
      <c r="BG214" t="s">
        <v>2619</v>
      </c>
      <c r="BH214" t="s">
        <v>400</v>
      </c>
      <c r="BI214">
        <v>-82.000627692118996</v>
      </c>
      <c r="BJ214">
        <v>30.723896586371801</v>
      </c>
      <c r="BK214" t="s">
        <v>2620</v>
      </c>
      <c r="BM214" t="s">
        <v>2621</v>
      </c>
      <c r="BN214" t="s">
        <v>403</v>
      </c>
      <c r="BO214">
        <v>32046</v>
      </c>
      <c r="BP214" t="s">
        <v>404</v>
      </c>
      <c r="BQ214">
        <v>200</v>
      </c>
      <c r="BR214" t="s">
        <v>405</v>
      </c>
      <c r="BS214">
        <v>1006</v>
      </c>
      <c r="BT214" t="s">
        <v>406</v>
      </c>
      <c r="BW214">
        <v>109771</v>
      </c>
      <c r="BX214" t="s">
        <v>407</v>
      </c>
      <c r="BY214" t="s">
        <v>408</v>
      </c>
      <c r="BZ214">
        <v>4</v>
      </c>
      <c r="CA214">
        <v>1997</v>
      </c>
      <c r="CC214">
        <v>1</v>
      </c>
      <c r="CD214">
        <v>2017</v>
      </c>
      <c r="CE214">
        <v>24192</v>
      </c>
      <c r="CF214">
        <v>33238</v>
      </c>
      <c r="CG214">
        <v>57430</v>
      </c>
      <c r="CH214">
        <v>2017</v>
      </c>
      <c r="CI214">
        <v>24192</v>
      </c>
      <c r="CJ214">
        <v>33238</v>
      </c>
      <c r="CK214">
        <v>57430</v>
      </c>
      <c r="CL214">
        <v>2017</v>
      </c>
      <c r="CM214">
        <v>784.46</v>
      </c>
      <c r="CN214" s="1">
        <v>37216</v>
      </c>
      <c r="CV214">
        <v>0</v>
      </c>
      <c r="CZ214" s="1">
        <v>37216</v>
      </c>
      <c r="DA214">
        <v>0</v>
      </c>
      <c r="DD214" t="s">
        <v>398</v>
      </c>
      <c r="DG214">
        <v>34</v>
      </c>
      <c r="DL214">
        <v>50400</v>
      </c>
      <c r="DM214" t="s">
        <v>2622</v>
      </c>
      <c r="DO214" t="s">
        <v>2623</v>
      </c>
      <c r="DP214">
        <v>0</v>
      </c>
      <c r="DQ214">
        <v>0</v>
      </c>
      <c r="DR214" t="s">
        <v>411</v>
      </c>
      <c r="DS214" t="b">
        <v>1</v>
      </c>
      <c r="DT214" t="s">
        <v>470</v>
      </c>
      <c r="DU214" t="s">
        <v>471</v>
      </c>
      <c r="DV214" t="s">
        <v>472</v>
      </c>
      <c r="DX214">
        <v>-9999</v>
      </c>
      <c r="DZ214" t="s">
        <v>447</v>
      </c>
      <c r="EA214" t="s">
        <v>448</v>
      </c>
      <c r="EB214" t="s">
        <v>2510</v>
      </c>
      <c r="EC214">
        <v>20101217</v>
      </c>
      <c r="ED214" t="s">
        <v>474</v>
      </c>
      <c r="EF214">
        <v>1747.2</v>
      </c>
      <c r="EG214">
        <v>1747.2</v>
      </c>
      <c r="EH214" t="s">
        <v>451</v>
      </c>
      <c r="EI214">
        <v>20140731</v>
      </c>
      <c r="EJ214">
        <v>0</v>
      </c>
      <c r="EK214">
        <v>0</v>
      </c>
      <c r="EP214" t="s">
        <v>421</v>
      </c>
      <c r="EQ214" t="s">
        <v>422</v>
      </c>
      <c r="ER214">
        <v>2</v>
      </c>
      <c r="ES214">
        <v>6</v>
      </c>
      <c r="ET214">
        <v>1583.58</v>
      </c>
      <c r="EU214">
        <v>91.68</v>
      </c>
      <c r="EV214">
        <v>1675.26</v>
      </c>
      <c r="EW214" s="2">
        <v>43222</v>
      </c>
      <c r="EX214" s="1">
        <v>42879</v>
      </c>
      <c r="EY214">
        <v>2016</v>
      </c>
      <c r="EZ214">
        <v>791.79</v>
      </c>
      <c r="FA214" t="s">
        <v>2624</v>
      </c>
      <c r="FB214">
        <v>0.25</v>
      </c>
      <c r="FC214" t="s">
        <v>424</v>
      </c>
      <c r="FD214" t="s">
        <v>454</v>
      </c>
      <c r="FF214">
        <v>12</v>
      </c>
      <c r="FG214">
        <v>2851116</v>
      </c>
      <c r="FH214" t="s">
        <v>480</v>
      </c>
      <c r="FJ214" s="1">
        <v>42879</v>
      </c>
      <c r="FK214">
        <v>2016</v>
      </c>
      <c r="FL214">
        <v>791.79</v>
      </c>
      <c r="FM214" t="s">
        <v>2624</v>
      </c>
      <c r="FN214">
        <v>0.25</v>
      </c>
      <c r="FO214" t="s">
        <v>424</v>
      </c>
      <c r="FP214" t="s">
        <v>454</v>
      </c>
      <c r="FR214">
        <v>12</v>
      </c>
      <c r="FS214">
        <v>5229466</v>
      </c>
      <c r="FT214" t="s">
        <v>2625</v>
      </c>
      <c r="FV214" s="1">
        <v>42151</v>
      </c>
      <c r="FW214">
        <v>2014</v>
      </c>
      <c r="FX214">
        <v>638</v>
      </c>
      <c r="FY214" t="s">
        <v>2626</v>
      </c>
      <c r="FZ214">
        <v>0.25</v>
      </c>
      <c r="GA214" t="s">
        <v>424</v>
      </c>
      <c r="GB214" t="s">
        <v>425</v>
      </c>
      <c r="GC214" s="1">
        <v>42458</v>
      </c>
      <c r="GD214">
        <v>10</v>
      </c>
      <c r="GE214">
        <v>2851116</v>
      </c>
      <c r="GF214" t="s">
        <v>480</v>
      </c>
      <c r="GH214" s="1">
        <v>42151</v>
      </c>
      <c r="GI214">
        <v>2014</v>
      </c>
      <c r="GJ214">
        <v>638</v>
      </c>
      <c r="GK214" t="s">
        <v>2626</v>
      </c>
      <c r="GL214">
        <v>0.25</v>
      </c>
      <c r="GM214" t="s">
        <v>424</v>
      </c>
      <c r="GN214" t="s">
        <v>425</v>
      </c>
      <c r="GP214">
        <v>22</v>
      </c>
      <c r="GQ214">
        <v>5234623</v>
      </c>
      <c r="GR214" t="s">
        <v>2627</v>
      </c>
      <c r="GT214" s="1">
        <v>41787</v>
      </c>
      <c r="GU214">
        <v>2013</v>
      </c>
      <c r="GV214">
        <v>828.91</v>
      </c>
      <c r="GW214" t="s">
        <v>2628</v>
      </c>
      <c r="GX214">
        <v>0.25</v>
      </c>
      <c r="GY214" t="s">
        <v>424</v>
      </c>
      <c r="GZ214" t="s">
        <v>425</v>
      </c>
      <c r="HA214" s="1">
        <v>42458</v>
      </c>
      <c r="HB214">
        <v>22</v>
      </c>
      <c r="HC214">
        <v>2407503</v>
      </c>
      <c r="HD214" t="s">
        <v>461</v>
      </c>
      <c r="HF214" s="1">
        <v>41423</v>
      </c>
      <c r="HG214">
        <v>2012</v>
      </c>
      <c r="HH214">
        <v>897.75</v>
      </c>
      <c r="HI214" t="s">
        <v>2629</v>
      </c>
      <c r="HJ214">
        <v>3.5</v>
      </c>
      <c r="HK214" t="s">
        <v>424</v>
      </c>
      <c r="HL214" t="s">
        <v>425</v>
      </c>
      <c r="HM214" s="1">
        <v>42055</v>
      </c>
      <c r="HN214">
        <v>21</v>
      </c>
      <c r="HO214">
        <v>15399</v>
      </c>
      <c r="HP214" t="s">
        <v>485</v>
      </c>
      <c r="HR214" s="1">
        <v>41052</v>
      </c>
      <c r="HS214">
        <v>2011</v>
      </c>
      <c r="HT214">
        <v>1070.42</v>
      </c>
      <c r="HU214" t="s">
        <v>2630</v>
      </c>
      <c r="HV214">
        <v>5.75</v>
      </c>
      <c r="HW214" t="s">
        <v>424</v>
      </c>
      <c r="HX214" t="s">
        <v>425</v>
      </c>
      <c r="HY214" s="1">
        <v>41695</v>
      </c>
      <c r="HZ214">
        <v>21</v>
      </c>
      <c r="IA214">
        <v>10125</v>
      </c>
      <c r="IB214" t="s">
        <v>440</v>
      </c>
      <c r="ID214" s="1">
        <v>40688</v>
      </c>
      <c r="IE214">
        <v>2010</v>
      </c>
      <c r="IF214">
        <v>1117.47</v>
      </c>
      <c r="IG214" t="s">
        <v>2631</v>
      </c>
      <c r="IH214">
        <v>10</v>
      </c>
      <c r="II214" t="s">
        <v>424</v>
      </c>
      <c r="IJ214" t="s">
        <v>425</v>
      </c>
      <c r="IK214" s="1">
        <v>41334</v>
      </c>
      <c r="IL214">
        <v>22</v>
      </c>
      <c r="IM214">
        <v>11135</v>
      </c>
      <c r="IN214" t="s">
        <v>1137</v>
      </c>
    </row>
    <row r="215" spans="1:296" x14ac:dyDescent="0.25">
      <c r="A215">
        <v>16485222</v>
      </c>
      <c r="B215">
        <v>214</v>
      </c>
      <c r="C215" t="s">
        <v>393</v>
      </c>
      <c r="D215" t="s">
        <v>394</v>
      </c>
      <c r="F215" t="str">
        <f>"34-4N-23-0000-0001-0090"</f>
        <v>34-4N-23-0000-0001-0090</v>
      </c>
      <c r="H215" t="str">
        <f>"MCCULLOUGH DOUGLAS MARK"</f>
        <v>MCCULLOUGH DOUGLAS MARK</v>
      </c>
      <c r="I215" t="str">
        <f>"15561 CR 108"</f>
        <v>15561 CR 108</v>
      </c>
      <c r="J215" t="str">
        <f>"HILLIARD FL 32046"</f>
        <v>HILLIARD FL 32046</v>
      </c>
      <c r="K215" t="str">
        <f>"CR 121"</f>
        <v>CR 121</v>
      </c>
      <c r="L215" t="str">
        <f t="shared" si="60"/>
        <v>HILLIARD FL 32046</v>
      </c>
      <c r="M215" t="str">
        <f>"PT OF SEC 34-4N-23E PT OR 2066/395 BEING PARCEL A"</f>
        <v>PT OF SEC 34-4N-23E PT OR 2066/395 BEING PARCEL A</v>
      </c>
      <c r="N215" t="str">
        <f>""</f>
        <v/>
      </c>
      <c r="O215" t="str">
        <f>"41528"</f>
        <v>41528</v>
      </c>
      <c r="P215" t="str">
        <f t="shared" si="61"/>
        <v>2017</v>
      </c>
      <c r="Q215" t="str">
        <f>""</f>
        <v/>
      </c>
      <c r="R215" t="str">
        <f>"N"</f>
        <v>N</v>
      </c>
      <c r="S215" t="str">
        <f>"14.60"</f>
        <v>14.60</v>
      </c>
      <c r="T215" t="str">
        <f>"101.66"</f>
        <v>101.66</v>
      </c>
      <c r="U215" t="str">
        <f>"6716.00"</f>
        <v>6716.00</v>
      </c>
      <c r="V215" t="str">
        <f>"6716.00"</f>
        <v>6716.00</v>
      </c>
      <c r="W215" t="str">
        <f t="shared" si="62"/>
        <v>2017</v>
      </c>
      <c r="X215" t="str">
        <f>""</f>
        <v/>
      </c>
      <c r="Y215" t="str">
        <f>"136.71"</f>
        <v>136.71</v>
      </c>
      <c r="Z215" t="str">
        <f>""</f>
        <v/>
      </c>
      <c r="AA215" t="str">
        <f>"6716.00"</f>
        <v>6716.00</v>
      </c>
      <c r="AB215" t="str">
        <f>"Agricultural"</f>
        <v>Agricultural</v>
      </c>
      <c r="AC215" t="str">
        <f t="shared" si="64"/>
        <v>0</v>
      </c>
      <c r="AD215" t="str">
        <f>""</f>
        <v/>
      </c>
      <c r="AE215" t="str">
        <f>""</f>
        <v/>
      </c>
      <c r="AF215" t="str">
        <f>"055"</f>
        <v>055</v>
      </c>
      <c r="AG215" t="str">
        <f t="shared" si="65"/>
        <v>FL</v>
      </c>
      <c r="AH215" t="str">
        <f>"635976.00"</f>
        <v>635976.00</v>
      </c>
      <c r="AI215" t="str">
        <f>"6716.00"</f>
        <v>6716.00</v>
      </c>
      <c r="AJ215" t="str">
        <f>"C55-000-587-7690-7"</f>
        <v>C55-000-587-7690-7</v>
      </c>
      <c r="AK215" t="str">
        <f>"2303"</f>
        <v>2303</v>
      </c>
      <c r="AL215">
        <v>1</v>
      </c>
      <c r="AM215">
        <v>250</v>
      </c>
      <c r="AN215">
        <v>141.94999999999999</v>
      </c>
      <c r="AQ215" t="s">
        <v>2632</v>
      </c>
      <c r="AR215" t="s">
        <v>2632</v>
      </c>
      <c r="AS215" t="s">
        <v>2632</v>
      </c>
      <c r="AU215" t="s">
        <v>396</v>
      </c>
      <c r="AV215">
        <v>2017</v>
      </c>
      <c r="AW215" t="str">
        <f>"34-4N-23-0000-0001-0090 "</f>
        <v xml:space="preserve">34-4N-23-0000-0001-0090 </v>
      </c>
      <c r="AZ215" t="s">
        <v>611</v>
      </c>
      <c r="BD215" t="s">
        <v>398</v>
      </c>
      <c r="BE215" t="s">
        <v>393</v>
      </c>
      <c r="BF215">
        <v>32046</v>
      </c>
      <c r="BG215" t="s">
        <v>611</v>
      </c>
      <c r="BH215" t="s">
        <v>400</v>
      </c>
      <c r="BI215">
        <v>-82.000210883790302</v>
      </c>
      <c r="BJ215">
        <v>30.7209815196261</v>
      </c>
      <c r="BK215" t="s">
        <v>2633</v>
      </c>
      <c r="BM215" t="s">
        <v>2634</v>
      </c>
      <c r="BN215" t="s">
        <v>403</v>
      </c>
      <c r="BO215">
        <v>32046</v>
      </c>
      <c r="BP215" t="s">
        <v>404</v>
      </c>
      <c r="BQ215">
        <v>5500</v>
      </c>
      <c r="BR215" t="s">
        <v>1353</v>
      </c>
      <c r="BS215">
        <v>7009</v>
      </c>
      <c r="BT215" t="s">
        <v>418</v>
      </c>
      <c r="BW215">
        <v>1576872</v>
      </c>
      <c r="BX215" t="s">
        <v>407</v>
      </c>
      <c r="CD215">
        <v>2017</v>
      </c>
      <c r="CG215">
        <v>6716</v>
      </c>
      <c r="CH215">
        <v>2017</v>
      </c>
      <c r="CI215">
        <v>6716</v>
      </c>
      <c r="CJ215">
        <v>73584</v>
      </c>
      <c r="CK215">
        <v>80300</v>
      </c>
      <c r="CL215">
        <v>2017</v>
      </c>
      <c r="CM215">
        <v>101.66</v>
      </c>
      <c r="CN215" s="1">
        <v>35200</v>
      </c>
      <c r="CO215">
        <v>36800</v>
      </c>
      <c r="CZ215" s="1">
        <v>35200</v>
      </c>
      <c r="DD215" t="s">
        <v>398</v>
      </c>
      <c r="DG215">
        <v>34</v>
      </c>
      <c r="DL215">
        <v>50400</v>
      </c>
      <c r="DM215" t="s">
        <v>2622</v>
      </c>
      <c r="DO215" t="s">
        <v>2635</v>
      </c>
      <c r="DP215">
        <v>0</v>
      </c>
      <c r="DQ215">
        <v>0</v>
      </c>
      <c r="DR215" t="s">
        <v>411</v>
      </c>
      <c r="EP215" t="s">
        <v>421</v>
      </c>
      <c r="EQ215" t="s">
        <v>422</v>
      </c>
      <c r="ER215">
        <v>1</v>
      </c>
      <c r="ES215">
        <v>0</v>
      </c>
      <c r="ET215">
        <v>189.27</v>
      </c>
      <c r="EU215">
        <v>16.66</v>
      </c>
      <c r="EV215">
        <v>205.93</v>
      </c>
      <c r="EW215" s="2">
        <v>43222</v>
      </c>
      <c r="EX215" s="1">
        <v>42879</v>
      </c>
      <c r="EY215">
        <v>2016</v>
      </c>
      <c r="EZ215">
        <v>189.27</v>
      </c>
      <c r="FA215" t="s">
        <v>2636</v>
      </c>
      <c r="FB215">
        <v>5.5</v>
      </c>
      <c r="FC215" t="s">
        <v>424</v>
      </c>
      <c r="FD215" t="s">
        <v>454</v>
      </c>
      <c r="FF215">
        <v>12</v>
      </c>
      <c r="FG215">
        <v>2035919</v>
      </c>
      <c r="FH215" t="s">
        <v>507</v>
      </c>
    </row>
    <row r="216" spans="1:296" x14ac:dyDescent="0.25">
      <c r="A216">
        <v>16485223</v>
      </c>
      <c r="B216">
        <v>215</v>
      </c>
      <c r="C216" t="s">
        <v>393</v>
      </c>
      <c r="D216" t="s">
        <v>394</v>
      </c>
      <c r="F216" t="str">
        <f>"34-4N-23-0000-0002-0060"</f>
        <v>34-4N-23-0000-0002-0060</v>
      </c>
      <c r="H216" t="str">
        <f>"LOTT NICOLE"</f>
        <v>LOTT NICOLE</v>
      </c>
      <c r="I216" t="str">
        <f>"814 NW 65TH AVENUE"</f>
        <v>814 NW 65TH AVENUE</v>
      </c>
      <c r="J216" t="str">
        <f>"PLANTATION FL 33317"</f>
        <v>PLANTATION FL 33317</v>
      </c>
      <c r="K216" t="str">
        <f>"CR 121"</f>
        <v>CR 121</v>
      </c>
      <c r="L216" t="str">
        <f t="shared" si="60"/>
        <v>HILLIARD FL 32046</v>
      </c>
      <c r="M216" t="str">
        <f>"PT OF W1/2 OF SW1/4 IN OR 1577/1779"</f>
        <v>PT OF W1/2 OF SW1/4 IN OR 1577/1779</v>
      </c>
      <c r="N216" t="str">
        <f>""</f>
        <v/>
      </c>
      <c r="O216" t="str">
        <f>"41534"</f>
        <v>41534</v>
      </c>
      <c r="P216" t="str">
        <f t="shared" si="61"/>
        <v>2017</v>
      </c>
      <c r="Q216" t="str">
        <f>""</f>
        <v/>
      </c>
      <c r="R216" t="str">
        <f>"N"</f>
        <v>N</v>
      </c>
      <c r="S216" t="str">
        <f>"3.96"</f>
        <v>3.96</v>
      </c>
      <c r="T216" t="str">
        <f>"479.60"</f>
        <v>479.60</v>
      </c>
      <c r="U216" t="str">
        <f>"31680.00"</f>
        <v>31680.00</v>
      </c>
      <c r="V216" t="str">
        <f>"31680.00"</f>
        <v>31680.00</v>
      </c>
      <c r="W216" t="str">
        <f t="shared" si="62"/>
        <v>2017</v>
      </c>
      <c r="X216" t="str">
        <f>"16.20"</f>
        <v>16.20</v>
      </c>
      <c r="Y216" t="str">
        <f>"525.99"</f>
        <v>525.99</v>
      </c>
      <c r="Z216" t="str">
        <f>""</f>
        <v/>
      </c>
      <c r="AA216" t="str">
        <f>"31680.00"</f>
        <v>31680.00</v>
      </c>
      <c r="AB216" t="str">
        <f t="shared" ref="AB216:AB221" si="70">"Residential"</f>
        <v>Residential</v>
      </c>
      <c r="AC216" t="str">
        <f t="shared" si="64"/>
        <v>0</v>
      </c>
      <c r="AD216" t="str">
        <f>""</f>
        <v/>
      </c>
      <c r="AE216" t="str">
        <f>""</f>
        <v/>
      </c>
      <c r="AF216" t="str">
        <f>"000"</f>
        <v>000</v>
      </c>
      <c r="AG216" t="str">
        <f t="shared" si="65"/>
        <v>FL</v>
      </c>
      <c r="AH216" t="str">
        <f>"172497.00"</f>
        <v>172497.00</v>
      </c>
      <c r="AI216" t="str">
        <f>"31680.00"</f>
        <v>31680.00</v>
      </c>
      <c r="AJ216" t="str">
        <f>"C55-000-587-7696-4"</f>
        <v>C55-000-587-7696-4</v>
      </c>
      <c r="AK216" t="str">
        <f>"2310"</f>
        <v>2310</v>
      </c>
      <c r="AL216">
        <v>1</v>
      </c>
      <c r="AM216">
        <v>251</v>
      </c>
      <c r="AN216">
        <v>550.69000000000005</v>
      </c>
      <c r="AQ216" t="s">
        <v>2637</v>
      </c>
      <c r="AR216" t="s">
        <v>2637</v>
      </c>
      <c r="AS216" t="s">
        <v>2637</v>
      </c>
      <c r="AU216" t="s">
        <v>396</v>
      </c>
      <c r="AV216">
        <v>2017</v>
      </c>
      <c r="AW216" t="str">
        <f>"34-4N-23-0000-0002-0060 "</f>
        <v xml:space="preserve">34-4N-23-0000-0002-0060 </v>
      </c>
      <c r="AZ216" t="s">
        <v>611</v>
      </c>
      <c r="BD216" t="s">
        <v>398</v>
      </c>
      <c r="BE216" t="s">
        <v>393</v>
      </c>
      <c r="BF216">
        <v>32046</v>
      </c>
      <c r="BG216" t="s">
        <v>611</v>
      </c>
      <c r="BH216" t="s">
        <v>400</v>
      </c>
      <c r="BI216">
        <v>-82.006212435913099</v>
      </c>
      <c r="BJ216">
        <v>30.718312428383499</v>
      </c>
      <c r="BK216" t="s">
        <v>2638</v>
      </c>
      <c r="BM216" t="s">
        <v>2639</v>
      </c>
      <c r="BN216" t="s">
        <v>2640</v>
      </c>
      <c r="BO216">
        <v>33317</v>
      </c>
      <c r="BP216" t="s">
        <v>404</v>
      </c>
      <c r="BQ216">
        <v>0</v>
      </c>
      <c r="BR216" t="s">
        <v>491</v>
      </c>
      <c r="BS216">
        <v>8001</v>
      </c>
      <c r="BT216" t="s">
        <v>492</v>
      </c>
      <c r="BW216">
        <v>172497</v>
      </c>
      <c r="BX216" t="s">
        <v>407</v>
      </c>
      <c r="BY216" t="s">
        <v>408</v>
      </c>
      <c r="CD216">
        <v>2017</v>
      </c>
      <c r="CE216">
        <v>31680</v>
      </c>
      <c r="CG216">
        <v>31680</v>
      </c>
      <c r="CH216">
        <v>2017</v>
      </c>
      <c r="CI216">
        <v>31680</v>
      </c>
      <c r="CK216">
        <v>31680</v>
      </c>
      <c r="CL216">
        <v>2017</v>
      </c>
      <c r="CM216">
        <v>479.6</v>
      </c>
      <c r="CN216" s="1">
        <v>39650</v>
      </c>
      <c r="CZ216" s="1">
        <v>39650</v>
      </c>
      <c r="DD216" t="s">
        <v>398</v>
      </c>
      <c r="DG216">
        <v>34</v>
      </c>
      <c r="DL216">
        <v>50400</v>
      </c>
      <c r="DM216" t="s">
        <v>2622</v>
      </c>
      <c r="DO216" t="s">
        <v>2641</v>
      </c>
      <c r="DP216">
        <v>0</v>
      </c>
      <c r="DQ216">
        <v>0</v>
      </c>
      <c r="DR216" t="s">
        <v>411</v>
      </c>
      <c r="DS216" t="b">
        <v>1</v>
      </c>
      <c r="DT216" t="s">
        <v>470</v>
      </c>
      <c r="DU216" t="s">
        <v>471</v>
      </c>
      <c r="DV216" t="s">
        <v>472</v>
      </c>
      <c r="DX216">
        <v>-9999</v>
      </c>
      <c r="DZ216" t="s">
        <v>447</v>
      </c>
      <c r="EA216" t="s">
        <v>448</v>
      </c>
      <c r="EB216" t="s">
        <v>2510</v>
      </c>
      <c r="EC216">
        <v>20101217</v>
      </c>
      <c r="ED216" t="s">
        <v>474</v>
      </c>
      <c r="EF216">
        <v>39.700000000000003</v>
      </c>
      <c r="EG216">
        <v>39.700000000000003</v>
      </c>
      <c r="EI216">
        <v>20160407</v>
      </c>
      <c r="EJ216">
        <v>0</v>
      </c>
      <c r="EK216">
        <v>0</v>
      </c>
      <c r="EP216" t="s">
        <v>421</v>
      </c>
      <c r="EQ216" t="s">
        <v>422</v>
      </c>
      <c r="ER216">
        <v>0</v>
      </c>
      <c r="ES216">
        <v>6</v>
      </c>
      <c r="ET216">
        <v>0</v>
      </c>
      <c r="EU216">
        <v>0</v>
      </c>
      <c r="EV216">
        <v>0</v>
      </c>
      <c r="EW216" s="2">
        <v>43222</v>
      </c>
      <c r="EX216" s="1">
        <v>42879</v>
      </c>
      <c r="EY216">
        <v>2016</v>
      </c>
      <c r="EZ216">
        <v>552.96</v>
      </c>
      <c r="FA216" t="s">
        <v>2642</v>
      </c>
      <c r="FB216">
        <v>4.75</v>
      </c>
      <c r="FC216" t="s">
        <v>424</v>
      </c>
      <c r="FD216" t="s">
        <v>425</v>
      </c>
      <c r="FE216" s="1">
        <v>43139</v>
      </c>
      <c r="FF216">
        <v>9</v>
      </c>
      <c r="FG216">
        <v>7336745</v>
      </c>
      <c r="FH216" t="s">
        <v>502</v>
      </c>
      <c r="FJ216" s="1">
        <v>42515</v>
      </c>
      <c r="FK216">
        <v>2015</v>
      </c>
      <c r="FL216">
        <v>560.72</v>
      </c>
      <c r="FM216" t="s">
        <v>2643</v>
      </c>
      <c r="FN216">
        <v>14.75</v>
      </c>
      <c r="FO216" t="s">
        <v>424</v>
      </c>
      <c r="FP216" t="s">
        <v>425</v>
      </c>
      <c r="FQ216" s="1">
        <v>43139</v>
      </c>
      <c r="FR216">
        <v>21</v>
      </c>
      <c r="FS216">
        <v>10125</v>
      </c>
      <c r="FT216" t="s">
        <v>440</v>
      </c>
      <c r="FV216" s="1">
        <v>42151</v>
      </c>
      <c r="FW216">
        <v>2014</v>
      </c>
      <c r="FX216">
        <v>529.61</v>
      </c>
      <c r="FY216" t="s">
        <v>2644</v>
      </c>
      <c r="FZ216">
        <v>4.75</v>
      </c>
      <c r="GA216" t="s">
        <v>424</v>
      </c>
      <c r="GB216" t="s">
        <v>425</v>
      </c>
      <c r="GC216" s="1">
        <v>42792</v>
      </c>
      <c r="GD216">
        <v>21</v>
      </c>
      <c r="GE216">
        <v>115</v>
      </c>
      <c r="GF216" t="s">
        <v>478</v>
      </c>
      <c r="GH216" s="1">
        <v>41423</v>
      </c>
      <c r="GI216">
        <v>2012</v>
      </c>
      <c r="GJ216">
        <v>506.86</v>
      </c>
      <c r="GK216" t="s">
        <v>2645</v>
      </c>
      <c r="GL216">
        <v>4.75</v>
      </c>
      <c r="GM216" t="s">
        <v>424</v>
      </c>
      <c r="GN216" t="s">
        <v>425</v>
      </c>
      <c r="GO216" s="1">
        <v>42198</v>
      </c>
      <c r="GP216">
        <v>26</v>
      </c>
      <c r="GQ216">
        <v>2101385</v>
      </c>
      <c r="GR216" t="s">
        <v>810</v>
      </c>
      <c r="GT216" s="1">
        <v>41052</v>
      </c>
      <c r="GU216">
        <v>2011</v>
      </c>
      <c r="GV216">
        <v>593.13</v>
      </c>
      <c r="GW216" t="s">
        <v>2646</v>
      </c>
      <c r="GX216">
        <v>6</v>
      </c>
      <c r="GY216" t="s">
        <v>424</v>
      </c>
      <c r="GZ216" t="s">
        <v>425</v>
      </c>
      <c r="HA216" s="1">
        <v>41075</v>
      </c>
      <c r="HB216">
        <v>1</v>
      </c>
      <c r="HC216">
        <v>1109</v>
      </c>
      <c r="HD216" t="s">
        <v>852</v>
      </c>
      <c r="HF216" s="1">
        <v>40688</v>
      </c>
      <c r="HG216">
        <v>2010</v>
      </c>
      <c r="HH216">
        <v>660.01</v>
      </c>
      <c r="HI216" t="s">
        <v>2647</v>
      </c>
      <c r="HJ216">
        <v>8.25</v>
      </c>
      <c r="HK216" t="s">
        <v>424</v>
      </c>
      <c r="HL216" t="s">
        <v>425</v>
      </c>
      <c r="HM216" s="1">
        <v>41058</v>
      </c>
      <c r="HN216">
        <v>12</v>
      </c>
      <c r="HO216">
        <v>10548</v>
      </c>
      <c r="HP216" t="s">
        <v>589</v>
      </c>
    </row>
    <row r="217" spans="1:296" x14ac:dyDescent="0.25">
      <c r="A217">
        <v>16485224</v>
      </c>
      <c r="B217">
        <v>216</v>
      </c>
      <c r="C217" t="s">
        <v>393</v>
      </c>
      <c r="D217" t="s">
        <v>394</v>
      </c>
      <c r="F217" t="str">
        <f>"34-4N-23-2020-0025-0010"</f>
        <v>34-4N-23-2020-0025-0010</v>
      </c>
      <c r="H217" t="str">
        <f>"WHITTLE JEAN WILDES"</f>
        <v>WHITTLE JEAN WILDES</v>
      </c>
      <c r="I217" t="str">
        <f>"241583 CR 121"</f>
        <v>241583 CR 121</v>
      </c>
      <c r="J217" t="str">
        <f>"HILLIARD FL 32046"</f>
        <v>HILLIARD FL 32046</v>
      </c>
      <c r="K217" t="str">
        <f>"241583 CR 121"</f>
        <v>241583 CR 121</v>
      </c>
      <c r="L217" t="str">
        <f t="shared" si="60"/>
        <v>HILLIARD FL 32046</v>
      </c>
      <c r="M217" t="str">
        <f>"LOT 25 LYING EAST OF 121 R/W IN OR 669 PG 735 R674017 &amp; R674018 CORNWALL SURVEY"</f>
        <v>LOT 25 LYING EAST OF 121 R/W IN OR 669 PG 735 R674017 &amp; R674018 CORNWALL SURVEY</v>
      </c>
      <c r="N217" t="str">
        <f>""</f>
        <v/>
      </c>
      <c r="O217" t="str">
        <f>"41549"</f>
        <v>41549</v>
      </c>
      <c r="P217" t="str">
        <f t="shared" si="61"/>
        <v>2017</v>
      </c>
      <c r="Q217" t="str">
        <f>""</f>
        <v/>
      </c>
      <c r="R217" t="str">
        <f>"Y"</f>
        <v>Y</v>
      </c>
      <c r="S217" t="str">
        <f>"5.50"</f>
        <v>5.50</v>
      </c>
      <c r="T217" t="str">
        <f>"494.07"</f>
        <v>494.07</v>
      </c>
      <c r="U217" t="str">
        <f>"67520.00"</f>
        <v>67520.00</v>
      </c>
      <c r="V217" t="str">
        <f>"67520.00"</f>
        <v>67520.00</v>
      </c>
      <c r="W217" t="str">
        <f t="shared" si="62"/>
        <v>2017</v>
      </c>
      <c r="X217" t="str">
        <f>"8.88"</f>
        <v>8.88</v>
      </c>
      <c r="Y217" t="str">
        <f>"540.89"</f>
        <v>540.89</v>
      </c>
      <c r="Z217" t="str">
        <f>"25000.00"</f>
        <v>25000.00</v>
      </c>
      <c r="AA217" t="str">
        <f>"42520.00"</f>
        <v>42520.00</v>
      </c>
      <c r="AB217" t="str">
        <f t="shared" si="70"/>
        <v>Residential</v>
      </c>
      <c r="AC217" t="str">
        <f t="shared" si="64"/>
        <v>0</v>
      </c>
      <c r="AD217" t="str">
        <f>"4"</f>
        <v>4</v>
      </c>
      <c r="AE217" t="str">
        <f>"WOOD (INCLUDE STEEL STUDS)"</f>
        <v>WOOD (INCLUDE STEEL STUDS)</v>
      </c>
      <c r="AF217" t="str">
        <f>"002"</f>
        <v>002</v>
      </c>
      <c r="AG217" t="str">
        <f t="shared" si="65"/>
        <v>FL</v>
      </c>
      <c r="AH217" t="str">
        <f>"239580.00"</f>
        <v>239580.00</v>
      </c>
      <c r="AI217" t="str">
        <f>"44000.00"</f>
        <v>44000.00</v>
      </c>
      <c r="AJ217" t="str">
        <f>"C55-000-587-7710-3"</f>
        <v>C55-000-587-7710-3</v>
      </c>
      <c r="AK217" t="str">
        <f>"2324"</f>
        <v>2324</v>
      </c>
      <c r="AL217">
        <v>1</v>
      </c>
      <c r="AM217">
        <v>252</v>
      </c>
      <c r="AN217">
        <v>566.33000000000004</v>
      </c>
      <c r="AQ217" t="s">
        <v>2648</v>
      </c>
      <c r="AR217" t="s">
        <v>2648</v>
      </c>
      <c r="AS217" t="s">
        <v>2648</v>
      </c>
      <c r="AU217" t="s">
        <v>396</v>
      </c>
      <c r="AV217">
        <v>2017</v>
      </c>
      <c r="AW217" t="str">
        <f>"34-4N-23-2020-0025-0010 "</f>
        <v xml:space="preserve">34-4N-23-2020-0025-0010 </v>
      </c>
      <c r="AX217">
        <v>241583</v>
      </c>
      <c r="AZ217" t="s">
        <v>611</v>
      </c>
      <c r="BD217" t="s">
        <v>398</v>
      </c>
      <c r="BE217" t="s">
        <v>393</v>
      </c>
      <c r="BF217">
        <v>32046</v>
      </c>
      <c r="BG217" t="s">
        <v>2649</v>
      </c>
      <c r="BH217" t="s">
        <v>400</v>
      </c>
      <c r="BI217">
        <v>-82.002088016258497</v>
      </c>
      <c r="BJ217">
        <v>30.7195609241268</v>
      </c>
      <c r="BK217" t="s">
        <v>2650</v>
      </c>
      <c r="BM217" t="s">
        <v>2651</v>
      </c>
      <c r="BN217" t="s">
        <v>403</v>
      </c>
      <c r="BO217">
        <v>32046</v>
      </c>
      <c r="BP217" t="s">
        <v>416</v>
      </c>
      <c r="BQ217">
        <v>200</v>
      </c>
      <c r="BR217" t="s">
        <v>405</v>
      </c>
      <c r="BS217">
        <v>1006</v>
      </c>
      <c r="BT217" t="s">
        <v>406</v>
      </c>
      <c r="BW217">
        <v>239580</v>
      </c>
      <c r="BX217" t="s">
        <v>407</v>
      </c>
      <c r="BY217" t="s">
        <v>408</v>
      </c>
      <c r="BZ217">
        <v>4</v>
      </c>
      <c r="CA217">
        <v>1981</v>
      </c>
      <c r="CB217">
        <v>1</v>
      </c>
      <c r="CC217">
        <v>1</v>
      </c>
      <c r="CD217">
        <v>2017</v>
      </c>
      <c r="CG217">
        <v>67520</v>
      </c>
      <c r="CH217">
        <v>2017</v>
      </c>
      <c r="CI217">
        <v>44000</v>
      </c>
      <c r="CJ217">
        <v>30860</v>
      </c>
      <c r="CK217">
        <v>74860</v>
      </c>
      <c r="CL217">
        <v>2017</v>
      </c>
      <c r="CM217">
        <v>494.07</v>
      </c>
      <c r="CN217" s="1">
        <v>33907</v>
      </c>
      <c r="CZ217" s="1">
        <v>33907</v>
      </c>
      <c r="DD217" t="s">
        <v>398</v>
      </c>
      <c r="DF217">
        <v>25</v>
      </c>
      <c r="DG217">
        <v>34</v>
      </c>
      <c r="DL217">
        <v>50400</v>
      </c>
      <c r="DM217" t="s">
        <v>2622</v>
      </c>
      <c r="DO217" t="s">
        <v>2652</v>
      </c>
      <c r="DP217">
        <v>0</v>
      </c>
      <c r="DQ217">
        <v>0</v>
      </c>
      <c r="DR217" t="s">
        <v>411</v>
      </c>
      <c r="DS217" t="b">
        <v>1</v>
      </c>
      <c r="DT217" t="s">
        <v>470</v>
      </c>
      <c r="DU217" t="s">
        <v>471</v>
      </c>
      <c r="DV217" t="s">
        <v>472</v>
      </c>
      <c r="DX217">
        <v>-9999</v>
      </c>
      <c r="DZ217" t="s">
        <v>447</v>
      </c>
      <c r="EA217" t="s">
        <v>448</v>
      </c>
      <c r="EB217" t="s">
        <v>2510</v>
      </c>
      <c r="EC217">
        <v>20101217</v>
      </c>
      <c r="ED217" t="s">
        <v>474</v>
      </c>
      <c r="EF217">
        <v>1249.2</v>
      </c>
      <c r="EG217">
        <v>1249.2</v>
      </c>
      <c r="EI217">
        <v>20160407</v>
      </c>
      <c r="EJ217">
        <v>0</v>
      </c>
      <c r="EK217">
        <v>0</v>
      </c>
      <c r="EP217" t="s">
        <v>421</v>
      </c>
      <c r="EQ217" t="s">
        <v>422</v>
      </c>
      <c r="ER217">
        <v>2</v>
      </c>
      <c r="ES217">
        <v>7</v>
      </c>
      <c r="ET217">
        <v>1121.1600000000001</v>
      </c>
      <c r="EU217">
        <v>68.56</v>
      </c>
      <c r="EV217">
        <v>1189.72</v>
      </c>
      <c r="EW217" s="2">
        <v>43222</v>
      </c>
      <c r="EX217" s="1">
        <v>42879</v>
      </c>
      <c r="EY217">
        <v>2016</v>
      </c>
      <c r="EZ217">
        <v>560.58000000000004</v>
      </c>
      <c r="FA217" t="s">
        <v>2653</v>
      </c>
      <c r="FB217">
        <v>0.25</v>
      </c>
      <c r="FC217" t="s">
        <v>424</v>
      </c>
      <c r="FD217" t="s">
        <v>454</v>
      </c>
      <c r="FF217">
        <v>12</v>
      </c>
      <c r="FG217">
        <v>2851116</v>
      </c>
      <c r="FH217" t="s">
        <v>480</v>
      </c>
      <c r="FJ217" s="1">
        <v>42879</v>
      </c>
      <c r="FK217">
        <v>2016</v>
      </c>
      <c r="FL217">
        <v>560.58000000000004</v>
      </c>
      <c r="FM217" t="s">
        <v>2653</v>
      </c>
      <c r="FN217">
        <v>0.25</v>
      </c>
      <c r="FO217" t="s">
        <v>424</v>
      </c>
      <c r="FP217" t="s">
        <v>454</v>
      </c>
      <c r="FR217">
        <v>12</v>
      </c>
      <c r="FS217">
        <v>5707442</v>
      </c>
      <c r="FT217" t="s">
        <v>2654</v>
      </c>
      <c r="FV217" s="1">
        <v>42515</v>
      </c>
      <c r="FW217">
        <v>2015</v>
      </c>
      <c r="FX217">
        <v>568.38</v>
      </c>
      <c r="FY217" t="s">
        <v>2655</v>
      </c>
      <c r="FZ217">
        <v>0.25</v>
      </c>
      <c r="GA217" t="s">
        <v>424</v>
      </c>
      <c r="GB217" t="s">
        <v>425</v>
      </c>
      <c r="GC217" s="1">
        <v>43146</v>
      </c>
      <c r="GD217">
        <v>21</v>
      </c>
      <c r="GE217">
        <v>11289</v>
      </c>
      <c r="GF217" t="s">
        <v>787</v>
      </c>
      <c r="GH217" s="1">
        <v>42515</v>
      </c>
      <c r="GI217">
        <v>2015</v>
      </c>
      <c r="GJ217">
        <v>568.38</v>
      </c>
      <c r="GK217" t="s">
        <v>2655</v>
      </c>
      <c r="GL217">
        <v>0.25</v>
      </c>
      <c r="GM217" t="s">
        <v>424</v>
      </c>
      <c r="GN217" t="s">
        <v>425</v>
      </c>
      <c r="GP217">
        <v>22</v>
      </c>
      <c r="GQ217">
        <v>7138349</v>
      </c>
      <c r="GR217" t="s">
        <v>2656</v>
      </c>
      <c r="GT217" s="1">
        <v>42151</v>
      </c>
      <c r="GU217">
        <v>2014</v>
      </c>
      <c r="GV217">
        <v>567.52</v>
      </c>
      <c r="GW217" t="s">
        <v>2657</v>
      </c>
      <c r="GX217">
        <v>0.25</v>
      </c>
      <c r="GY217" t="s">
        <v>424</v>
      </c>
      <c r="GZ217" t="s">
        <v>425</v>
      </c>
      <c r="HA217" s="1">
        <v>42263</v>
      </c>
      <c r="HB217">
        <v>4</v>
      </c>
      <c r="HC217">
        <v>2101382</v>
      </c>
      <c r="HD217" t="s">
        <v>993</v>
      </c>
      <c r="HF217" s="1">
        <v>42151</v>
      </c>
      <c r="HG217">
        <v>2014</v>
      </c>
      <c r="HH217">
        <v>567.52</v>
      </c>
      <c r="HI217" t="s">
        <v>2657</v>
      </c>
      <c r="HJ217">
        <v>0.25</v>
      </c>
      <c r="HK217" t="s">
        <v>424</v>
      </c>
      <c r="HL217" t="s">
        <v>425</v>
      </c>
      <c r="HN217">
        <v>22</v>
      </c>
      <c r="HO217">
        <v>5443497</v>
      </c>
      <c r="HP217" t="s">
        <v>2658</v>
      </c>
      <c r="HR217" s="1">
        <v>41787</v>
      </c>
      <c r="HS217">
        <v>2013</v>
      </c>
      <c r="HT217">
        <v>617.86</v>
      </c>
      <c r="HU217" t="s">
        <v>2659</v>
      </c>
      <c r="HV217">
        <v>0.25</v>
      </c>
      <c r="HW217" t="s">
        <v>424</v>
      </c>
      <c r="HX217" t="s">
        <v>425</v>
      </c>
      <c r="HY217" s="1">
        <v>42055</v>
      </c>
      <c r="HZ217">
        <v>9</v>
      </c>
      <c r="IA217">
        <v>2407503</v>
      </c>
      <c r="IB217" t="s">
        <v>461</v>
      </c>
      <c r="ID217" s="1">
        <v>41423</v>
      </c>
      <c r="IE217">
        <v>2012</v>
      </c>
      <c r="IF217">
        <v>690.76</v>
      </c>
      <c r="IG217" t="s">
        <v>2660</v>
      </c>
      <c r="IH217">
        <v>3.25</v>
      </c>
      <c r="II217" t="s">
        <v>424</v>
      </c>
      <c r="IJ217" t="s">
        <v>425</v>
      </c>
      <c r="IK217" s="1">
        <v>41695</v>
      </c>
      <c r="IL217">
        <v>9</v>
      </c>
      <c r="IM217">
        <v>15399</v>
      </c>
      <c r="IN217" t="s">
        <v>485</v>
      </c>
      <c r="IP217" s="1">
        <v>41052</v>
      </c>
      <c r="IQ217">
        <v>2011</v>
      </c>
      <c r="IR217">
        <v>723.98</v>
      </c>
      <c r="IS217" t="s">
        <v>2661</v>
      </c>
      <c r="IT217">
        <v>5.75</v>
      </c>
      <c r="IU217" t="s">
        <v>424</v>
      </c>
      <c r="IV217" t="s">
        <v>425</v>
      </c>
      <c r="IW217" s="1">
        <v>41695</v>
      </c>
      <c r="IX217">
        <v>21</v>
      </c>
      <c r="IY217">
        <v>12407</v>
      </c>
      <c r="IZ217" t="s">
        <v>838</v>
      </c>
    </row>
    <row r="218" spans="1:296" x14ac:dyDescent="0.25">
      <c r="A218">
        <v>16485225</v>
      </c>
      <c r="B218">
        <v>217</v>
      </c>
      <c r="C218" t="s">
        <v>393</v>
      </c>
      <c r="D218" t="s">
        <v>394</v>
      </c>
      <c r="F218" t="str">
        <f>"35-4N-23-2020-0033-0070"</f>
        <v>35-4N-23-2020-0033-0070</v>
      </c>
      <c r="H218" t="str">
        <f>"HENDERSON MARTY C"</f>
        <v>HENDERSON MARTY C</v>
      </c>
      <c r="I218" t="str">
        <f>"17801 ANDREWS ROAD"</f>
        <v>17801 ANDREWS ROAD</v>
      </c>
      <c r="J218" t="str">
        <f>"HILLIARD FL 32046"</f>
        <v>HILLIARD FL 32046</v>
      </c>
      <c r="K218" t="str">
        <f>"17801 ANDREWS RD"</f>
        <v>17801 ANDREWS RD</v>
      </c>
      <c r="L218" t="str">
        <f t="shared" si="60"/>
        <v>HILLIARD FL 32046</v>
      </c>
      <c r="M218" t="str">
        <f>"PT OF LOT 33 (S-7) IN OR 1708/1094 1996 HARB DW/MH CORNWALL SURVEY"</f>
        <v>PT OF LOT 33 (S-7) IN OR 1708/1094 1996 HARB DW/MH CORNWALL SURVEY</v>
      </c>
      <c r="N218" t="str">
        <f>""</f>
        <v/>
      </c>
      <c r="O218" t="str">
        <f>"41875"</f>
        <v>41875</v>
      </c>
      <c r="P218" t="str">
        <f t="shared" si="61"/>
        <v>2017</v>
      </c>
      <c r="Q218" t="str">
        <f>""</f>
        <v/>
      </c>
      <c r="R218" t="str">
        <f>"Y"</f>
        <v>Y</v>
      </c>
      <c r="S218" t="str">
        <f>"1.42"</f>
        <v>1.42</v>
      </c>
      <c r="T218" t="str">
        <f>"303.67"</f>
        <v>303.67</v>
      </c>
      <c r="U218" t="str">
        <f>"45059.00"</f>
        <v>45059.00</v>
      </c>
      <c r="V218" t="str">
        <f>"45059.00"</f>
        <v>45059.00</v>
      </c>
      <c r="W218" t="str">
        <f t="shared" si="62"/>
        <v>2017</v>
      </c>
      <c r="X218" t="str">
        <f>"24.20"</f>
        <v>24.20</v>
      </c>
      <c r="Y218" t="str">
        <f>"344.78"</f>
        <v>344.78</v>
      </c>
      <c r="Z218" t="str">
        <f>"25000.00"</f>
        <v>25000.00</v>
      </c>
      <c r="AA218" t="str">
        <f>"20059.00"</f>
        <v>20059.00</v>
      </c>
      <c r="AB218" t="str">
        <f t="shared" si="70"/>
        <v>Residential</v>
      </c>
      <c r="AC218" t="str">
        <f t="shared" si="64"/>
        <v>0</v>
      </c>
      <c r="AD218" t="str">
        <f>"4"</f>
        <v>4</v>
      </c>
      <c r="AE218" t="str">
        <f>"WOOD (INCLUDE STEEL STUDS)"</f>
        <v>WOOD (INCLUDE STEEL STUDS)</v>
      </c>
      <c r="AF218" t="str">
        <f>"002"</f>
        <v>002</v>
      </c>
      <c r="AG218" t="str">
        <f t="shared" si="65"/>
        <v>FL</v>
      </c>
      <c r="AH218" t="str">
        <f>"61855.00"</f>
        <v>61855.00</v>
      </c>
      <c r="AI218" t="str">
        <f>"21300.00"</f>
        <v>21300.00</v>
      </c>
      <c r="AJ218" t="str">
        <f>"C55-001-038-9282-4"</f>
        <v>C55-001-038-9282-4</v>
      </c>
      <c r="AK218" t="str">
        <f>"2348"</f>
        <v>2348</v>
      </c>
      <c r="AL218">
        <v>1</v>
      </c>
      <c r="AM218">
        <v>253</v>
      </c>
      <c r="AN218">
        <v>360.42</v>
      </c>
      <c r="AQ218" t="s">
        <v>2662</v>
      </c>
      <c r="AR218" t="s">
        <v>2662</v>
      </c>
      <c r="AS218" t="s">
        <v>2662</v>
      </c>
      <c r="AU218" t="s">
        <v>396</v>
      </c>
      <c r="AV218">
        <v>2017</v>
      </c>
      <c r="AW218" t="str">
        <f>"35-4N-23-2020-0033-0070 "</f>
        <v xml:space="preserve">35-4N-23-2020-0033-0070 </v>
      </c>
      <c r="AX218">
        <v>17801</v>
      </c>
      <c r="AZ218" t="s">
        <v>2411</v>
      </c>
      <c r="BA218" t="s">
        <v>496</v>
      </c>
      <c r="BD218" t="s">
        <v>398</v>
      </c>
      <c r="BE218" t="s">
        <v>393</v>
      </c>
      <c r="BF218">
        <v>32046</v>
      </c>
      <c r="BG218" t="s">
        <v>2663</v>
      </c>
      <c r="BH218" t="s">
        <v>400</v>
      </c>
      <c r="BI218">
        <v>-81.983317687444398</v>
      </c>
      <c r="BJ218">
        <v>30.726073794372699</v>
      </c>
      <c r="BK218" t="s">
        <v>2664</v>
      </c>
      <c r="BM218" t="s">
        <v>2663</v>
      </c>
      <c r="BN218" t="s">
        <v>403</v>
      </c>
      <c r="BO218">
        <v>32046</v>
      </c>
      <c r="BP218" t="s">
        <v>416</v>
      </c>
      <c r="BQ218">
        <v>200</v>
      </c>
      <c r="BR218" t="s">
        <v>405</v>
      </c>
      <c r="BS218">
        <v>1006</v>
      </c>
      <c r="BT218" t="s">
        <v>406</v>
      </c>
      <c r="BW218">
        <v>61855</v>
      </c>
      <c r="BX218" t="s">
        <v>407</v>
      </c>
      <c r="BY218" t="s">
        <v>408</v>
      </c>
      <c r="BZ218">
        <v>4</v>
      </c>
      <c r="CA218">
        <v>1996</v>
      </c>
      <c r="CC218">
        <v>1</v>
      </c>
      <c r="CD218">
        <v>2017</v>
      </c>
      <c r="CG218">
        <v>45059</v>
      </c>
      <c r="CH218">
        <v>2017</v>
      </c>
      <c r="CI218">
        <v>21300</v>
      </c>
      <c r="CJ218">
        <v>41727</v>
      </c>
      <c r="CK218">
        <v>63027</v>
      </c>
      <c r="CL218">
        <v>2017</v>
      </c>
      <c r="CM218">
        <v>303.67</v>
      </c>
      <c r="CN218" s="1">
        <v>40458</v>
      </c>
      <c r="CZ218" s="1">
        <v>40458</v>
      </c>
      <c r="DD218" t="s">
        <v>398</v>
      </c>
      <c r="DF218">
        <v>33</v>
      </c>
      <c r="DG218">
        <v>35</v>
      </c>
      <c r="DL218">
        <v>50400</v>
      </c>
      <c r="DM218" t="s">
        <v>2665</v>
      </c>
      <c r="DO218" t="s">
        <v>2666</v>
      </c>
      <c r="DP218">
        <v>0</v>
      </c>
      <c r="DQ218">
        <v>0</v>
      </c>
      <c r="DR218" t="s">
        <v>411</v>
      </c>
      <c r="DS218" t="b">
        <v>1</v>
      </c>
      <c r="DT218" t="s">
        <v>470</v>
      </c>
      <c r="DU218" t="s">
        <v>471</v>
      </c>
      <c r="DV218" t="s">
        <v>472</v>
      </c>
      <c r="DX218">
        <v>-9999</v>
      </c>
      <c r="DZ218" t="s">
        <v>447</v>
      </c>
      <c r="EA218" t="s">
        <v>448</v>
      </c>
      <c r="EB218" t="s">
        <v>1224</v>
      </c>
      <c r="EC218">
        <v>20101217</v>
      </c>
      <c r="ED218" t="s">
        <v>474</v>
      </c>
      <c r="EF218">
        <v>1374.5</v>
      </c>
      <c r="EG218">
        <v>1374.5</v>
      </c>
      <c r="EI218">
        <v>20160407</v>
      </c>
      <c r="EJ218">
        <v>0</v>
      </c>
      <c r="EK218">
        <v>0</v>
      </c>
      <c r="EP218" t="s">
        <v>421</v>
      </c>
      <c r="EQ218" t="s">
        <v>452</v>
      </c>
      <c r="ER218">
        <v>0</v>
      </c>
      <c r="ES218">
        <v>10</v>
      </c>
      <c r="ET218">
        <v>0</v>
      </c>
      <c r="EU218">
        <v>0</v>
      </c>
      <c r="EV218">
        <v>0</v>
      </c>
      <c r="EW218" s="2">
        <v>43222</v>
      </c>
      <c r="EX218" s="1">
        <v>42515</v>
      </c>
      <c r="EY218">
        <v>2015</v>
      </c>
      <c r="EZ218">
        <v>377.29</v>
      </c>
      <c r="FA218" t="s">
        <v>2667</v>
      </c>
      <c r="FB218">
        <v>0.25</v>
      </c>
      <c r="FC218" t="s">
        <v>424</v>
      </c>
      <c r="FD218" t="s">
        <v>425</v>
      </c>
      <c r="FE218" s="1">
        <v>42849</v>
      </c>
      <c r="FF218">
        <v>11</v>
      </c>
      <c r="FG218">
        <v>2851116</v>
      </c>
      <c r="FH218" t="s">
        <v>480</v>
      </c>
      <c r="FI218" t="s">
        <v>458</v>
      </c>
      <c r="FJ218" s="1">
        <v>42515</v>
      </c>
      <c r="FK218">
        <v>2015</v>
      </c>
      <c r="FL218">
        <v>377.29</v>
      </c>
      <c r="FM218" t="s">
        <v>2667</v>
      </c>
      <c r="FN218">
        <v>0.25</v>
      </c>
      <c r="FO218" t="s">
        <v>424</v>
      </c>
      <c r="FP218" t="s">
        <v>425</v>
      </c>
      <c r="FR218">
        <v>22</v>
      </c>
      <c r="FS218">
        <v>5034560</v>
      </c>
      <c r="FT218" t="s">
        <v>2668</v>
      </c>
      <c r="FU218" t="s">
        <v>458</v>
      </c>
      <c r="FV218" s="1">
        <v>42151</v>
      </c>
      <c r="FW218">
        <v>2014</v>
      </c>
      <c r="FX218">
        <v>372.86</v>
      </c>
      <c r="FY218" t="s">
        <v>2669</v>
      </c>
      <c r="FZ218">
        <v>0.25</v>
      </c>
      <c r="GA218" t="s">
        <v>424</v>
      </c>
      <c r="GB218" t="s">
        <v>425</v>
      </c>
      <c r="GD218">
        <v>22</v>
      </c>
      <c r="GE218">
        <v>15399</v>
      </c>
      <c r="GF218" t="s">
        <v>485</v>
      </c>
      <c r="GG218" t="s">
        <v>458</v>
      </c>
      <c r="GH218" s="1">
        <v>42151</v>
      </c>
      <c r="GI218">
        <v>2014</v>
      </c>
      <c r="GJ218">
        <v>372.86</v>
      </c>
      <c r="GK218" t="s">
        <v>2669</v>
      </c>
      <c r="GL218">
        <v>0.25</v>
      </c>
      <c r="GM218" t="s">
        <v>424</v>
      </c>
      <c r="GN218" t="s">
        <v>425</v>
      </c>
      <c r="GP218">
        <v>22</v>
      </c>
      <c r="GQ218">
        <v>7045018</v>
      </c>
      <c r="GR218" t="s">
        <v>1678</v>
      </c>
      <c r="GS218" t="s">
        <v>458</v>
      </c>
      <c r="GT218" s="1">
        <v>42151</v>
      </c>
      <c r="GU218">
        <v>2014</v>
      </c>
      <c r="GV218">
        <v>372.86</v>
      </c>
      <c r="GW218" t="s">
        <v>2669</v>
      </c>
      <c r="GX218">
        <v>0.25</v>
      </c>
      <c r="GY218" t="s">
        <v>424</v>
      </c>
      <c r="GZ218" t="s">
        <v>425</v>
      </c>
      <c r="HB218">
        <v>22</v>
      </c>
      <c r="HC218">
        <v>7336692</v>
      </c>
      <c r="HD218" t="s">
        <v>822</v>
      </c>
      <c r="HE218" t="s">
        <v>458</v>
      </c>
      <c r="HF218" s="1">
        <v>42151</v>
      </c>
      <c r="HG218">
        <v>2014</v>
      </c>
      <c r="HH218">
        <v>372.86</v>
      </c>
      <c r="HI218" t="s">
        <v>2669</v>
      </c>
      <c r="HJ218">
        <v>0.25</v>
      </c>
      <c r="HK218" t="s">
        <v>424</v>
      </c>
      <c r="HL218" t="s">
        <v>425</v>
      </c>
      <c r="HN218">
        <v>22</v>
      </c>
      <c r="HO218">
        <v>7336698</v>
      </c>
      <c r="HP218" t="s">
        <v>823</v>
      </c>
      <c r="HQ218" t="s">
        <v>458</v>
      </c>
      <c r="HR218" s="1">
        <v>41787</v>
      </c>
      <c r="HS218">
        <v>2013</v>
      </c>
      <c r="HT218">
        <v>447.67</v>
      </c>
      <c r="HU218" t="s">
        <v>2670</v>
      </c>
      <c r="HV218">
        <v>2.75</v>
      </c>
      <c r="HW218" t="s">
        <v>424</v>
      </c>
      <c r="HX218" t="s">
        <v>425</v>
      </c>
      <c r="HY218" s="1">
        <v>42405</v>
      </c>
      <c r="HZ218">
        <v>21</v>
      </c>
      <c r="IA218">
        <v>15399</v>
      </c>
      <c r="IB218" t="s">
        <v>485</v>
      </c>
      <c r="ID218" s="1">
        <v>41423</v>
      </c>
      <c r="IE218">
        <v>2012</v>
      </c>
      <c r="IF218">
        <v>489.53</v>
      </c>
      <c r="IG218" t="s">
        <v>2671</v>
      </c>
      <c r="IH218">
        <v>3.5</v>
      </c>
      <c r="II218" t="s">
        <v>424</v>
      </c>
      <c r="IJ218" t="s">
        <v>425</v>
      </c>
      <c r="IL218">
        <v>22</v>
      </c>
      <c r="IM218">
        <v>15399</v>
      </c>
      <c r="IN218" t="s">
        <v>485</v>
      </c>
      <c r="IP218" s="1">
        <v>41423</v>
      </c>
      <c r="IQ218">
        <v>2012</v>
      </c>
      <c r="IR218">
        <v>489.53</v>
      </c>
      <c r="IS218" t="s">
        <v>2671</v>
      </c>
      <c r="IT218">
        <v>3.5</v>
      </c>
      <c r="IU218" t="s">
        <v>424</v>
      </c>
      <c r="IV218" t="s">
        <v>425</v>
      </c>
      <c r="IW218" s="1">
        <v>42405</v>
      </c>
      <c r="IX218">
        <v>33</v>
      </c>
      <c r="IY218">
        <v>13027</v>
      </c>
      <c r="IZ218" t="s">
        <v>826</v>
      </c>
      <c r="JB218" s="1">
        <v>41052</v>
      </c>
      <c r="JC218">
        <v>2011</v>
      </c>
      <c r="JD218">
        <v>502.24</v>
      </c>
      <c r="JE218" t="s">
        <v>2672</v>
      </c>
      <c r="JF218">
        <v>6</v>
      </c>
      <c r="JG218" t="s">
        <v>424</v>
      </c>
      <c r="JH218" t="s">
        <v>425</v>
      </c>
      <c r="JI218" s="1">
        <v>42060</v>
      </c>
      <c r="JJ218">
        <v>33</v>
      </c>
      <c r="JK218">
        <v>375</v>
      </c>
      <c r="JL218" t="s">
        <v>776</v>
      </c>
    </row>
    <row r="219" spans="1:296" x14ac:dyDescent="0.25">
      <c r="A219">
        <v>16485226</v>
      </c>
      <c r="B219">
        <v>218</v>
      </c>
      <c r="C219" t="s">
        <v>393</v>
      </c>
      <c r="D219" t="s">
        <v>394</v>
      </c>
      <c r="F219" t="str">
        <f>"36-4N-23-2020-0001-0000"</f>
        <v>36-4N-23-2020-0001-0000</v>
      </c>
      <c r="H219" t="str">
        <f>"HADDOCK RODNEY"</f>
        <v>HADDOCK RODNEY</v>
      </c>
      <c r="I219" t="str">
        <f>"27359 GEIGER RD"</f>
        <v>27359 GEIGER RD</v>
      </c>
      <c r="J219" t="str">
        <f>"HILLIARD FL 32046"</f>
        <v>HILLIARD FL 32046</v>
      </c>
      <c r="K219" t="str">
        <f>"GEIGER RD"</f>
        <v>GEIGER RD</v>
      </c>
      <c r="L219" t="str">
        <f t="shared" si="60"/>
        <v>HILLIARD FL 32046</v>
      </c>
      <c r="M219" t="str">
        <f>"LOT 1 IN OR 2026/1567 EX ESMT OR 565/433 (E 30 OF LOTS 2-4) EX R/W OR 665/971 CORNWALL SURVEY"</f>
        <v>LOT 1 IN OR 2026/1567 EX ESMT OR 565/433 (E 30 OF LOTS 2-4) EX R/W OR 665/971 CORNWALL SURVEY</v>
      </c>
      <c r="N219" t="str">
        <f>""</f>
        <v/>
      </c>
      <c r="O219" t="str">
        <f>"42201"</f>
        <v>42201</v>
      </c>
      <c r="P219" t="str">
        <f t="shared" si="61"/>
        <v>2017</v>
      </c>
      <c r="Q219" t="str">
        <f>""</f>
        <v/>
      </c>
      <c r="R219" t="str">
        <f>"N"</f>
        <v>N</v>
      </c>
      <c r="S219" t="str">
        <f>"10.00"</f>
        <v>10.00</v>
      </c>
      <c r="T219" t="str">
        <f>"908.32"</f>
        <v>908.32</v>
      </c>
      <c r="U219" t="str">
        <f>"60000.00"</f>
        <v>60000.00</v>
      </c>
      <c r="V219" t="str">
        <f>"60000.00"</f>
        <v>60000.00</v>
      </c>
      <c r="W219" t="str">
        <f t="shared" si="62"/>
        <v>2017</v>
      </c>
      <c r="X219" t="str">
        <f>""</f>
        <v/>
      </c>
      <c r="Y219" t="str">
        <f>"967.57"</f>
        <v>967.57</v>
      </c>
      <c r="Z219" t="str">
        <f>""</f>
        <v/>
      </c>
      <c r="AA219" t="str">
        <f>"60000.00"</f>
        <v>60000.00</v>
      </c>
      <c r="AB219" t="str">
        <f t="shared" si="70"/>
        <v>Residential</v>
      </c>
      <c r="AC219" t="str">
        <f t="shared" si="64"/>
        <v>0</v>
      </c>
      <c r="AD219" t="str">
        <f>""</f>
        <v/>
      </c>
      <c r="AE219" t="str">
        <f>""</f>
        <v/>
      </c>
      <c r="AF219" t="str">
        <f>"000"</f>
        <v>000</v>
      </c>
      <c r="AG219" t="str">
        <f t="shared" si="65"/>
        <v>FL</v>
      </c>
      <c r="AH219" t="str">
        <f>"435600.00"</f>
        <v>435600.00</v>
      </c>
      <c r="AI219" t="str">
        <f>"60000.00"</f>
        <v>60000.00</v>
      </c>
      <c r="AJ219" t="str">
        <f>"C55-000-587-8205-3"</f>
        <v>C55-000-587-8205-3</v>
      </c>
      <c r="AK219" t="str">
        <f>"2376"</f>
        <v>2376</v>
      </c>
      <c r="AL219">
        <v>1</v>
      </c>
      <c r="AM219">
        <v>254</v>
      </c>
      <c r="AN219">
        <v>1014.35</v>
      </c>
      <c r="AQ219" t="s">
        <v>2673</v>
      </c>
      <c r="AR219" t="s">
        <v>2673</v>
      </c>
      <c r="AS219" t="s">
        <v>2673</v>
      </c>
      <c r="AU219" t="s">
        <v>396</v>
      </c>
      <c r="AV219">
        <v>2017</v>
      </c>
      <c r="AW219" t="str">
        <f>"36-4N-23-2020-0001-0000 "</f>
        <v xml:space="preserve">36-4N-23-2020-0001-0000 </v>
      </c>
      <c r="AZ219" t="s">
        <v>2674</v>
      </c>
      <c r="BA219" t="s">
        <v>496</v>
      </c>
      <c r="BD219" t="s">
        <v>398</v>
      </c>
      <c r="BE219" t="s">
        <v>393</v>
      </c>
      <c r="BF219">
        <v>32046</v>
      </c>
      <c r="BG219" t="s">
        <v>2675</v>
      </c>
      <c r="BH219" t="s">
        <v>400</v>
      </c>
      <c r="BI219">
        <v>-81.973693486625606</v>
      </c>
      <c r="BJ219">
        <v>30.726058721173899</v>
      </c>
      <c r="BK219" t="s">
        <v>2676</v>
      </c>
      <c r="BM219" t="s">
        <v>2414</v>
      </c>
      <c r="BN219" t="s">
        <v>403</v>
      </c>
      <c r="BO219">
        <v>32046</v>
      </c>
      <c r="BP219" t="s">
        <v>404</v>
      </c>
      <c r="BQ219">
        <v>0</v>
      </c>
      <c r="BR219" t="s">
        <v>491</v>
      </c>
      <c r="BS219">
        <v>8001</v>
      </c>
      <c r="BT219" t="s">
        <v>492</v>
      </c>
      <c r="BW219">
        <v>435600</v>
      </c>
      <c r="BX219" t="s">
        <v>407</v>
      </c>
      <c r="BY219" t="s">
        <v>408</v>
      </c>
      <c r="CD219">
        <v>2017</v>
      </c>
      <c r="CE219">
        <v>60000</v>
      </c>
      <c r="CG219">
        <v>60000</v>
      </c>
      <c r="CH219">
        <v>2017</v>
      </c>
      <c r="CI219">
        <v>60000</v>
      </c>
      <c r="CK219">
        <v>60000</v>
      </c>
      <c r="CL219">
        <v>2017</v>
      </c>
      <c r="CM219">
        <v>908.32</v>
      </c>
      <c r="CN219" s="1">
        <v>42403</v>
      </c>
      <c r="CO219">
        <v>65000</v>
      </c>
      <c r="CV219">
        <v>0</v>
      </c>
      <c r="CZ219" s="1">
        <v>42403</v>
      </c>
      <c r="DA219">
        <v>0</v>
      </c>
      <c r="DD219" t="s">
        <v>398</v>
      </c>
      <c r="DF219">
        <v>1</v>
      </c>
      <c r="DG219">
        <v>36</v>
      </c>
      <c r="DL219">
        <v>50400</v>
      </c>
      <c r="DM219" t="s">
        <v>2677</v>
      </c>
      <c r="DO219" t="s">
        <v>2678</v>
      </c>
      <c r="DP219">
        <v>0</v>
      </c>
      <c r="DQ219">
        <v>0</v>
      </c>
      <c r="DR219" t="s">
        <v>411</v>
      </c>
      <c r="EP219" t="s">
        <v>421</v>
      </c>
      <c r="EQ219" t="s">
        <v>422</v>
      </c>
      <c r="ER219">
        <v>1</v>
      </c>
      <c r="ES219">
        <v>0</v>
      </c>
      <c r="ET219">
        <v>94.07</v>
      </c>
      <c r="EU219">
        <v>11.42</v>
      </c>
      <c r="EV219">
        <v>105.49</v>
      </c>
      <c r="EW219" s="2">
        <v>43222</v>
      </c>
      <c r="EX219" s="1">
        <v>42879</v>
      </c>
      <c r="EY219">
        <v>2016</v>
      </c>
      <c r="EZ219">
        <v>94.07</v>
      </c>
      <c r="FA219" t="s">
        <v>2679</v>
      </c>
      <c r="FB219">
        <v>5.5</v>
      </c>
      <c r="FC219" t="s">
        <v>424</v>
      </c>
      <c r="FD219" t="s">
        <v>454</v>
      </c>
      <c r="FF219">
        <v>12</v>
      </c>
      <c r="FG219">
        <v>7336669</v>
      </c>
      <c r="FH219" t="s">
        <v>2230</v>
      </c>
    </row>
    <row r="220" spans="1:296" x14ac:dyDescent="0.25">
      <c r="A220">
        <v>16485227</v>
      </c>
      <c r="B220">
        <v>219</v>
      </c>
      <c r="C220" t="s">
        <v>393</v>
      </c>
      <c r="D220" t="s">
        <v>394</v>
      </c>
      <c r="F220" t="str">
        <f>"36-4N-23-2020-0002-0010"</f>
        <v>36-4N-23-2020-0002-0010</v>
      </c>
      <c r="H220" t="str">
        <f>"HADDOCK RODNEY D &amp; BRANDI DALE"</f>
        <v>HADDOCK RODNEY D &amp; BRANDI DALE</v>
      </c>
      <c r="I220" t="str">
        <f>"27359 GEIGER RD"</f>
        <v>27359 GEIGER RD</v>
      </c>
      <c r="J220" t="str">
        <f>"HILLIARD FL 32046"</f>
        <v>HILLIARD FL 32046</v>
      </c>
      <c r="K220" t="str">
        <f>"27359 GEIGER RD"</f>
        <v>27359 GEIGER RD</v>
      </c>
      <c r="L220" t="str">
        <f t="shared" si="60"/>
        <v>HILLIARD FL 32046</v>
      </c>
      <c r="M220" t="str">
        <f>"PT LOT 2 &amp; N1/2 OF LOT 3 IN OR 1960/909 CORNWALL SURVEY SUB SEC 36-4N-23E PBK O/31"</f>
        <v>PT LOT 2 &amp; N1/2 OF LOT 3 IN OR 1960/909 CORNWALL SURVEY SUB SEC 36-4N-23E PBK O/31</v>
      </c>
      <c r="N220" t="str">
        <f>""</f>
        <v/>
      </c>
      <c r="O220" t="str">
        <f>"42203"</f>
        <v>42203</v>
      </c>
      <c r="P220" t="str">
        <f t="shared" si="61"/>
        <v>2017</v>
      </c>
      <c r="Q220" t="str">
        <f>""</f>
        <v/>
      </c>
      <c r="R220" t="str">
        <f>"N"</f>
        <v>N</v>
      </c>
      <c r="S220" t="str">
        <f>"12.25"</f>
        <v>12.25</v>
      </c>
      <c r="T220" t="str">
        <f>"3382.67"</f>
        <v>3382.67</v>
      </c>
      <c r="U220" t="str">
        <f>"223443.00"</f>
        <v>223443.00</v>
      </c>
      <c r="V220" t="str">
        <f>"223443.00"</f>
        <v>223443.00</v>
      </c>
      <c r="W220" t="str">
        <f t="shared" si="62"/>
        <v>2017</v>
      </c>
      <c r="X220" t="str">
        <f>"10.00"</f>
        <v>10.00</v>
      </c>
      <c r="Y220" t="str">
        <f>"3516.15"</f>
        <v>3516.15</v>
      </c>
      <c r="Z220" t="str">
        <f>""</f>
        <v/>
      </c>
      <c r="AA220" t="str">
        <f>"223443.00"</f>
        <v>223443.00</v>
      </c>
      <c r="AB220" t="str">
        <f t="shared" si="70"/>
        <v>Residential</v>
      </c>
      <c r="AC220" t="str">
        <f t="shared" si="64"/>
        <v>0</v>
      </c>
      <c r="AD220" t="str">
        <f>"4"</f>
        <v>4</v>
      </c>
      <c r="AE220" t="str">
        <f>"WOOD (INCLUDE STEEL STUDS)"</f>
        <v>WOOD (INCLUDE STEEL STUDS)</v>
      </c>
      <c r="AF220" t="str">
        <f>"001"</f>
        <v>001</v>
      </c>
      <c r="AG220" t="str">
        <f t="shared" si="65"/>
        <v>FL</v>
      </c>
      <c r="AH220" t="str">
        <f>"533610.00"</f>
        <v>533610.00</v>
      </c>
      <c r="AI220" t="str">
        <f>"73875.00"</f>
        <v>73875.00</v>
      </c>
      <c r="AJ220" t="str">
        <f>"C55-001-011-3489-8"</f>
        <v>C55-001-011-3489-8</v>
      </c>
      <c r="AK220" t="str">
        <f>"2378"</f>
        <v>2378</v>
      </c>
      <c r="AL220">
        <v>1</v>
      </c>
      <c r="AM220">
        <v>255</v>
      </c>
      <c r="AN220">
        <v>3690.36</v>
      </c>
      <c r="AQ220" t="s">
        <v>2680</v>
      </c>
      <c r="AR220" t="s">
        <v>2680</v>
      </c>
      <c r="AS220" t="s">
        <v>2680</v>
      </c>
      <c r="AU220" t="s">
        <v>396</v>
      </c>
      <c r="AV220">
        <v>2017</v>
      </c>
      <c r="AW220" t="str">
        <f>"36-4N-23-2020-0002-0010 "</f>
        <v xml:space="preserve">36-4N-23-2020-0002-0010 </v>
      </c>
      <c r="AX220">
        <v>27359</v>
      </c>
      <c r="AZ220" t="s">
        <v>2674</v>
      </c>
      <c r="BA220" t="s">
        <v>496</v>
      </c>
      <c r="BD220" t="s">
        <v>398</v>
      </c>
      <c r="BE220" t="s">
        <v>393</v>
      </c>
      <c r="BF220">
        <v>32046</v>
      </c>
      <c r="BG220" t="s">
        <v>2414</v>
      </c>
      <c r="BH220" t="s">
        <v>400</v>
      </c>
      <c r="BI220">
        <v>-81.973955661673202</v>
      </c>
      <c r="BJ220">
        <v>30.724885961359</v>
      </c>
      <c r="BK220" t="s">
        <v>2681</v>
      </c>
      <c r="BL220" t="s">
        <v>2682</v>
      </c>
      <c r="BM220" t="s">
        <v>2414</v>
      </c>
      <c r="BN220" t="s">
        <v>403</v>
      </c>
      <c r="BO220">
        <v>32046</v>
      </c>
      <c r="BP220" t="s">
        <v>416</v>
      </c>
      <c r="BQ220">
        <v>100</v>
      </c>
      <c r="BR220" t="s">
        <v>514</v>
      </c>
      <c r="BS220">
        <v>1001</v>
      </c>
      <c r="BT220" t="s">
        <v>515</v>
      </c>
      <c r="BW220">
        <v>533610</v>
      </c>
      <c r="BX220" t="s">
        <v>407</v>
      </c>
      <c r="BZ220">
        <v>4</v>
      </c>
      <c r="CA220">
        <v>2008</v>
      </c>
      <c r="CB220">
        <v>1</v>
      </c>
      <c r="CC220">
        <v>1</v>
      </c>
      <c r="CD220">
        <v>2017</v>
      </c>
      <c r="CE220">
        <v>73875</v>
      </c>
      <c r="CF220">
        <v>149568</v>
      </c>
      <c r="CG220">
        <v>223443</v>
      </c>
      <c r="CH220">
        <v>2017</v>
      </c>
      <c r="CI220">
        <v>73875</v>
      </c>
      <c r="CJ220">
        <v>149568</v>
      </c>
      <c r="CK220">
        <v>223443</v>
      </c>
      <c r="CL220">
        <v>2017</v>
      </c>
      <c r="CM220">
        <v>3382.67</v>
      </c>
      <c r="CN220" s="1">
        <v>41911</v>
      </c>
      <c r="CO220">
        <v>34000</v>
      </c>
      <c r="CZ220" s="1">
        <v>41911</v>
      </c>
      <c r="DD220" t="s">
        <v>398</v>
      </c>
      <c r="DF220">
        <v>2</v>
      </c>
      <c r="DG220">
        <v>36</v>
      </c>
      <c r="DJ220" t="s">
        <v>1990</v>
      </c>
      <c r="DL220">
        <v>50400</v>
      </c>
      <c r="DM220" t="s">
        <v>2677</v>
      </c>
      <c r="DO220" t="s">
        <v>2683</v>
      </c>
      <c r="DP220">
        <v>0</v>
      </c>
      <c r="DQ220">
        <v>0</v>
      </c>
      <c r="DR220" t="s">
        <v>411</v>
      </c>
      <c r="DS220" t="b">
        <v>1</v>
      </c>
      <c r="DT220" t="s">
        <v>470</v>
      </c>
      <c r="DU220" t="s">
        <v>471</v>
      </c>
      <c r="DV220" t="s">
        <v>472</v>
      </c>
      <c r="DX220">
        <v>-9999</v>
      </c>
      <c r="DZ220" t="s">
        <v>447</v>
      </c>
      <c r="EA220" t="s">
        <v>448</v>
      </c>
      <c r="EB220" t="s">
        <v>1224</v>
      </c>
      <c r="EC220">
        <v>20101217</v>
      </c>
      <c r="ED220" t="s">
        <v>474</v>
      </c>
      <c r="EF220">
        <v>2410.5</v>
      </c>
      <c r="EG220">
        <v>2410.5</v>
      </c>
      <c r="EH220" t="s">
        <v>451</v>
      </c>
      <c r="EI220">
        <v>20140731</v>
      </c>
      <c r="EJ220">
        <v>0</v>
      </c>
      <c r="EK220">
        <v>0</v>
      </c>
      <c r="EP220" t="s">
        <v>421</v>
      </c>
      <c r="EQ220" t="s">
        <v>422</v>
      </c>
      <c r="ER220">
        <v>2</v>
      </c>
      <c r="ES220">
        <v>3</v>
      </c>
      <c r="ET220">
        <v>7509.04</v>
      </c>
      <c r="EU220">
        <v>387.95</v>
      </c>
      <c r="EV220">
        <v>7896.99</v>
      </c>
      <c r="EW220" s="2">
        <v>43222</v>
      </c>
      <c r="EX220" s="1">
        <v>42879</v>
      </c>
      <c r="EY220">
        <v>2016</v>
      </c>
      <c r="EZ220">
        <v>3754.52</v>
      </c>
      <c r="FA220" t="s">
        <v>2684</v>
      </c>
      <c r="FB220">
        <v>0.25</v>
      </c>
      <c r="FC220" t="s">
        <v>424</v>
      </c>
      <c r="FD220" t="s">
        <v>454</v>
      </c>
      <c r="FF220">
        <v>12</v>
      </c>
      <c r="FG220">
        <v>5856194</v>
      </c>
      <c r="FH220" t="s">
        <v>2685</v>
      </c>
      <c r="FJ220" s="1">
        <v>42879</v>
      </c>
      <c r="FK220">
        <v>2016</v>
      </c>
      <c r="FL220">
        <v>3754.52</v>
      </c>
      <c r="FM220" t="s">
        <v>2684</v>
      </c>
      <c r="FN220">
        <v>0.25</v>
      </c>
      <c r="FO220" t="s">
        <v>424</v>
      </c>
      <c r="FP220" t="s">
        <v>454</v>
      </c>
      <c r="FR220">
        <v>12</v>
      </c>
      <c r="FS220">
        <v>6002183</v>
      </c>
      <c r="FT220" t="s">
        <v>2686</v>
      </c>
      <c r="FV220" s="1">
        <v>42151</v>
      </c>
      <c r="FW220">
        <v>2014</v>
      </c>
      <c r="FX220">
        <v>2637.52</v>
      </c>
      <c r="FY220" t="s">
        <v>2687</v>
      </c>
      <c r="FZ220">
        <v>0.25</v>
      </c>
      <c r="GA220" t="s">
        <v>424</v>
      </c>
      <c r="GB220" t="s">
        <v>425</v>
      </c>
      <c r="GC220" s="1">
        <v>42605</v>
      </c>
      <c r="GD220">
        <v>15</v>
      </c>
      <c r="GE220">
        <v>4975594</v>
      </c>
      <c r="GF220" t="s">
        <v>457</v>
      </c>
      <c r="GH220" s="1">
        <v>42151</v>
      </c>
      <c r="GI220">
        <v>2014</v>
      </c>
      <c r="GJ220">
        <v>2637.52</v>
      </c>
      <c r="GK220" t="s">
        <v>2687</v>
      </c>
      <c r="GL220">
        <v>0.25</v>
      </c>
      <c r="GM220" t="s">
        <v>424</v>
      </c>
      <c r="GN220" t="s">
        <v>425</v>
      </c>
      <c r="GP220">
        <v>22</v>
      </c>
      <c r="GQ220">
        <v>6593393</v>
      </c>
      <c r="GR220" t="s">
        <v>2688</v>
      </c>
      <c r="GT220" s="1">
        <v>41052</v>
      </c>
      <c r="GU220">
        <v>2010</v>
      </c>
      <c r="GV220">
        <v>318.11</v>
      </c>
      <c r="GW220" t="s">
        <v>2689</v>
      </c>
      <c r="GX220">
        <v>6</v>
      </c>
      <c r="GY220" t="s">
        <v>424</v>
      </c>
      <c r="GZ220" t="s">
        <v>425</v>
      </c>
      <c r="HA220" s="1">
        <v>41187</v>
      </c>
      <c r="HB220">
        <v>5</v>
      </c>
      <c r="HC220">
        <v>1109</v>
      </c>
      <c r="HD220" t="s">
        <v>852</v>
      </c>
    </row>
    <row r="221" spans="1:296" x14ac:dyDescent="0.25">
      <c r="A221">
        <v>16485228</v>
      </c>
      <c r="B221">
        <v>220</v>
      </c>
      <c r="C221" t="s">
        <v>393</v>
      </c>
      <c r="D221" t="s">
        <v>394</v>
      </c>
      <c r="F221" t="str">
        <f>"36-4N-23-2020-0003-0020"</f>
        <v>36-4N-23-2020-0003-0020</v>
      </c>
      <c r="H221" t="str">
        <f>"HADDOCK BRANDI DALE"</f>
        <v>HADDOCK BRANDI DALE</v>
      </c>
      <c r="I221" t="str">
        <f>"27359 GEIGER RD"</f>
        <v>27359 GEIGER RD</v>
      </c>
      <c r="J221" t="str">
        <f>"HILLIARD FL 32046"</f>
        <v>HILLIARD FL 32046</v>
      </c>
      <c r="K221" t="str">
        <f>"GEIGER RD"</f>
        <v>GEIGER RD</v>
      </c>
      <c r="L221" t="str">
        <f t="shared" si="60"/>
        <v>HILLIARD FL 32046</v>
      </c>
      <c r="M221" t="str">
        <f>"S1/2 OF LOT 3 IN OR 2031/307 CORNWALL SURVEY SUB SEC 36-4N-23E PBK O/31"</f>
        <v>S1/2 OF LOT 3 IN OR 2031/307 CORNWALL SURVEY SUB SEC 36-4N-23E PBK O/31</v>
      </c>
      <c r="N221" t="str">
        <f>""</f>
        <v/>
      </c>
      <c r="O221" t="str">
        <f>"42204"</f>
        <v>42204</v>
      </c>
      <c r="P221" t="str">
        <f t="shared" si="61"/>
        <v>2017</v>
      </c>
      <c r="Q221" t="str">
        <f>""</f>
        <v/>
      </c>
      <c r="R221" t="str">
        <f>"N"</f>
        <v>N</v>
      </c>
      <c r="S221" t="str">
        <f>"5.10"</f>
        <v>5.10</v>
      </c>
      <c r="T221" t="str">
        <f>"617.66"</f>
        <v>617.66</v>
      </c>
      <c r="U221" t="str">
        <f>"40800.00"</f>
        <v>40800.00</v>
      </c>
      <c r="V221" t="str">
        <f>"40800.00"</f>
        <v>40800.00</v>
      </c>
      <c r="W221" t="str">
        <f t="shared" si="62"/>
        <v>2017</v>
      </c>
      <c r="X221" t="str">
        <f>"9.33"</f>
        <v>9.33</v>
      </c>
      <c r="Y221" t="str">
        <f>"668.19"</f>
        <v>668.19</v>
      </c>
      <c r="Z221" t="str">
        <f>""</f>
        <v/>
      </c>
      <c r="AA221" t="str">
        <f>"40800.00"</f>
        <v>40800.00</v>
      </c>
      <c r="AB221" t="str">
        <f t="shared" si="70"/>
        <v>Residential</v>
      </c>
      <c r="AC221" t="str">
        <f t="shared" si="64"/>
        <v>0</v>
      </c>
      <c r="AD221" t="str">
        <f>""</f>
        <v/>
      </c>
      <c r="AE221" t="str">
        <f>""</f>
        <v/>
      </c>
      <c r="AF221" t="str">
        <f>"000"</f>
        <v>000</v>
      </c>
      <c r="AG221" t="str">
        <f t="shared" si="65"/>
        <v>FL</v>
      </c>
      <c r="AH221" t="str">
        <f>"222156.00"</f>
        <v>222156.00</v>
      </c>
      <c r="AI221" t="str">
        <f>"40800.00"</f>
        <v>40800.00</v>
      </c>
      <c r="AJ221" t="str">
        <f>"C55-000-587-8207-9"</f>
        <v>C55-000-587-8207-9</v>
      </c>
      <c r="AK221" t="str">
        <f>"2379"</f>
        <v>2379</v>
      </c>
      <c r="AL221">
        <v>1</v>
      </c>
      <c r="AM221">
        <v>256</v>
      </c>
      <c r="AN221">
        <v>700</v>
      </c>
      <c r="AQ221" t="s">
        <v>2690</v>
      </c>
      <c r="AR221" t="s">
        <v>2690</v>
      </c>
      <c r="AS221" t="s">
        <v>2690</v>
      </c>
      <c r="AU221" t="s">
        <v>396</v>
      </c>
      <c r="AV221">
        <v>2017</v>
      </c>
      <c r="AW221" t="str">
        <f>"36-4N-23-2020-0003-0020 "</f>
        <v xml:space="preserve">36-4N-23-2020-0003-0020 </v>
      </c>
      <c r="AZ221" t="s">
        <v>2674</v>
      </c>
      <c r="BA221" t="s">
        <v>496</v>
      </c>
      <c r="BD221" t="s">
        <v>398</v>
      </c>
      <c r="BE221" t="s">
        <v>393</v>
      </c>
      <c r="BF221">
        <v>32046</v>
      </c>
      <c r="BG221" t="s">
        <v>2675</v>
      </c>
      <c r="BH221" t="s">
        <v>400</v>
      </c>
      <c r="BI221">
        <v>-81.973594043739695</v>
      </c>
      <c r="BJ221">
        <v>30.7240842188525</v>
      </c>
      <c r="BK221" t="s">
        <v>2682</v>
      </c>
      <c r="BM221" t="s">
        <v>2414</v>
      </c>
      <c r="BN221" t="s">
        <v>403</v>
      </c>
      <c r="BO221">
        <v>32046</v>
      </c>
      <c r="BP221" t="s">
        <v>404</v>
      </c>
      <c r="BQ221">
        <v>0</v>
      </c>
      <c r="BR221" t="s">
        <v>491</v>
      </c>
      <c r="BS221">
        <v>8001</v>
      </c>
      <c r="BT221" t="s">
        <v>492</v>
      </c>
      <c r="BW221">
        <v>222156</v>
      </c>
      <c r="BX221" t="s">
        <v>407</v>
      </c>
      <c r="BY221" t="s">
        <v>408</v>
      </c>
      <c r="CD221">
        <v>2017</v>
      </c>
      <c r="CE221">
        <v>40800</v>
      </c>
      <c r="CG221">
        <v>40800</v>
      </c>
      <c r="CH221">
        <v>2017</v>
      </c>
      <c r="CI221">
        <v>40800</v>
      </c>
      <c r="CK221">
        <v>40800</v>
      </c>
      <c r="CL221">
        <v>2017</v>
      </c>
      <c r="CM221">
        <v>617.66</v>
      </c>
      <c r="CN221" s="1">
        <v>42430</v>
      </c>
      <c r="CV221">
        <v>0</v>
      </c>
      <c r="CZ221" s="1">
        <v>42430</v>
      </c>
      <c r="DA221">
        <v>0</v>
      </c>
      <c r="DD221" t="s">
        <v>398</v>
      </c>
      <c r="DF221">
        <v>3</v>
      </c>
      <c r="DG221">
        <v>36</v>
      </c>
      <c r="DJ221" t="s">
        <v>1990</v>
      </c>
      <c r="DL221">
        <v>50400</v>
      </c>
      <c r="DM221" t="s">
        <v>2677</v>
      </c>
      <c r="DO221" t="s">
        <v>2691</v>
      </c>
      <c r="DP221">
        <v>0</v>
      </c>
      <c r="DQ221">
        <v>0</v>
      </c>
      <c r="DR221" t="s">
        <v>411</v>
      </c>
      <c r="EP221" t="s">
        <v>595</v>
      </c>
      <c r="EQ221" t="s">
        <v>422</v>
      </c>
      <c r="ER221">
        <v>1</v>
      </c>
      <c r="ES221">
        <v>3</v>
      </c>
      <c r="ET221">
        <v>49.86</v>
      </c>
      <c r="EU221">
        <v>11.11</v>
      </c>
      <c r="EV221">
        <v>60.97</v>
      </c>
      <c r="EW221" s="2">
        <v>43222</v>
      </c>
      <c r="EX221" s="1">
        <v>42879</v>
      </c>
      <c r="EY221">
        <v>2016</v>
      </c>
      <c r="EZ221">
        <v>49.86</v>
      </c>
      <c r="FA221" t="s">
        <v>2692</v>
      </c>
      <c r="FB221">
        <v>9.75</v>
      </c>
      <c r="FC221" t="s">
        <v>424</v>
      </c>
      <c r="FD221" t="s">
        <v>454</v>
      </c>
      <c r="FF221">
        <v>12</v>
      </c>
      <c r="FG221">
        <v>10021</v>
      </c>
      <c r="FH221" t="s">
        <v>597</v>
      </c>
      <c r="FJ221" s="1">
        <v>41052</v>
      </c>
      <c r="FK221">
        <v>2011</v>
      </c>
      <c r="FL221">
        <v>29.29</v>
      </c>
      <c r="FM221" t="s">
        <v>2693</v>
      </c>
      <c r="FN221">
        <v>11.5</v>
      </c>
      <c r="FO221" t="s">
        <v>424</v>
      </c>
      <c r="FP221" t="s">
        <v>425</v>
      </c>
      <c r="FQ221" s="1">
        <v>41248</v>
      </c>
      <c r="FR221">
        <v>7</v>
      </c>
      <c r="FS221">
        <v>10125</v>
      </c>
      <c r="FT221" t="s">
        <v>440</v>
      </c>
      <c r="FV221" s="1">
        <v>40688</v>
      </c>
      <c r="FW221">
        <v>2010</v>
      </c>
      <c r="FX221">
        <v>32.89</v>
      </c>
      <c r="FY221" t="s">
        <v>2694</v>
      </c>
      <c r="FZ221">
        <v>18</v>
      </c>
      <c r="GA221" t="s">
        <v>424</v>
      </c>
      <c r="GB221" t="s">
        <v>425</v>
      </c>
      <c r="GC221" s="1">
        <v>41248</v>
      </c>
      <c r="GD221">
        <v>19</v>
      </c>
      <c r="GE221">
        <v>36</v>
      </c>
      <c r="GF221" t="s">
        <v>2695</v>
      </c>
      <c r="GH221" s="1">
        <v>40688</v>
      </c>
      <c r="GI221">
        <v>2010</v>
      </c>
      <c r="GJ221">
        <v>26.25</v>
      </c>
      <c r="GK221" t="s">
        <v>2694</v>
      </c>
      <c r="GL221">
        <v>18</v>
      </c>
      <c r="GM221" t="s">
        <v>603</v>
      </c>
      <c r="GN221" t="s">
        <v>425</v>
      </c>
      <c r="GP221">
        <v>22</v>
      </c>
      <c r="GQ221">
        <v>9999999</v>
      </c>
      <c r="GR221" t="s">
        <v>604</v>
      </c>
    </row>
    <row r="222" spans="1:296" x14ac:dyDescent="0.25">
      <c r="A222">
        <v>16485229</v>
      </c>
      <c r="B222">
        <v>221</v>
      </c>
      <c r="C222" t="s">
        <v>393</v>
      </c>
      <c r="D222" t="s">
        <v>394</v>
      </c>
      <c r="F222" t="str">
        <f>"41-4N-23-0000-0001-0050"</f>
        <v>41-4N-23-0000-0001-0050</v>
      </c>
      <c r="H222" t="str">
        <f>"BECK KAREN LYNN"</f>
        <v>BECK KAREN LYNN</v>
      </c>
      <c r="I222" t="str">
        <f>"23 SHARMAN STREET"</f>
        <v>23 SHARMAN STREET</v>
      </c>
      <c r="J222" t="str">
        <f>"JACKSONVILLE FL 32254"</f>
        <v>JACKSONVILLE FL 32254</v>
      </c>
      <c r="K222" t="str">
        <f>"29506 SCOTTS LANDING RD"</f>
        <v>29506 SCOTTS LANDING RD</v>
      </c>
      <c r="L222" t="str">
        <f t="shared" si="60"/>
        <v>HILLIARD FL 32046</v>
      </c>
      <c r="M222" t="str">
        <f>"IN OR 522 PG 561"</f>
        <v>IN OR 522 PG 561</v>
      </c>
      <c r="N222" t="str">
        <f>""</f>
        <v/>
      </c>
      <c r="O222" t="str">
        <f>"46941"</f>
        <v>46941</v>
      </c>
      <c r="P222" t="str">
        <f t="shared" si="61"/>
        <v>2017</v>
      </c>
      <c r="Q222" t="str">
        <f>""</f>
        <v/>
      </c>
      <c r="R222" t="str">
        <f>"N"</f>
        <v>N</v>
      </c>
      <c r="S222" t="str">
        <f>"10.00"</f>
        <v>10.00</v>
      </c>
      <c r="T222" t="str">
        <f>"3793.83"</f>
        <v>3793.83</v>
      </c>
      <c r="U222" t="str">
        <f>"250603.00"</f>
        <v>250603.00</v>
      </c>
      <c r="V222" t="str">
        <f>"250603.00"</f>
        <v>250603.00</v>
      </c>
      <c r="W222" t="str">
        <f t="shared" si="62"/>
        <v>2017</v>
      </c>
      <c r="X222" t="str">
        <f>"17.67"</f>
        <v>17.67</v>
      </c>
      <c r="Y222" t="str">
        <f>"3939.64"</f>
        <v>3939.64</v>
      </c>
      <c r="Z222" t="str">
        <f>""</f>
        <v/>
      </c>
      <c r="AA222" t="str">
        <f>"250603.00"</f>
        <v>250603.00</v>
      </c>
      <c r="AB222" t="str">
        <f>"Commercial"</f>
        <v>Commercial</v>
      </c>
      <c r="AC222" t="str">
        <f t="shared" si="64"/>
        <v>0</v>
      </c>
      <c r="AD222" t="str">
        <f>"5"</f>
        <v>5</v>
      </c>
      <c r="AE222" t="str">
        <f>"STEEL FRAME/INCOMBUSTIBLE WALLS/ROOF"</f>
        <v>STEEL FRAME/INCOMBUSTIBLE WALLS/ROOF</v>
      </c>
      <c r="AF222" t="str">
        <f>"035"</f>
        <v>035</v>
      </c>
      <c r="AG222" t="str">
        <f t="shared" si="65"/>
        <v>FL</v>
      </c>
      <c r="AH222" t="str">
        <f>"435600.00"</f>
        <v>435600.00</v>
      </c>
      <c r="AI222" t="str">
        <f>"176448.00"</f>
        <v>176448.00</v>
      </c>
      <c r="AJ222" t="str">
        <f>"C55-000-588-1254-6"</f>
        <v>C55-000-588-1254-6</v>
      </c>
      <c r="AK222" t="str">
        <f>"2435"</f>
        <v>2435</v>
      </c>
      <c r="AL222">
        <v>1</v>
      </c>
      <c r="AM222">
        <v>257</v>
      </c>
      <c r="AN222">
        <v>4135.0200000000004</v>
      </c>
      <c r="AQ222" t="s">
        <v>2696</v>
      </c>
      <c r="AR222" t="s">
        <v>2696</v>
      </c>
      <c r="AS222" t="s">
        <v>2696</v>
      </c>
      <c r="AU222" t="s">
        <v>396</v>
      </c>
      <c r="AV222">
        <v>2017</v>
      </c>
      <c r="AW222" t="str">
        <f>"41-4N-23-0000-0001-0050 "</f>
        <v xml:space="preserve">41-4N-23-0000-0001-0050 </v>
      </c>
      <c r="AX222">
        <v>29506</v>
      </c>
      <c r="AZ222" t="s">
        <v>2697</v>
      </c>
      <c r="BA222" t="s">
        <v>496</v>
      </c>
      <c r="BD222" t="s">
        <v>398</v>
      </c>
      <c r="BE222" t="s">
        <v>393</v>
      </c>
      <c r="BF222">
        <v>32046</v>
      </c>
      <c r="BG222" t="s">
        <v>2698</v>
      </c>
      <c r="BH222" t="s">
        <v>400</v>
      </c>
      <c r="BI222">
        <v>-81.969117395540593</v>
      </c>
      <c r="BJ222">
        <v>30.783437590515199</v>
      </c>
      <c r="BK222" t="s">
        <v>2699</v>
      </c>
      <c r="BM222" t="s">
        <v>2700</v>
      </c>
      <c r="BN222" t="s">
        <v>548</v>
      </c>
      <c r="BO222">
        <v>32254</v>
      </c>
      <c r="BP222" t="s">
        <v>404</v>
      </c>
      <c r="BQ222">
        <v>3500</v>
      </c>
      <c r="BR222" t="s">
        <v>2701</v>
      </c>
      <c r="BS222">
        <v>4022</v>
      </c>
      <c r="BT222" t="s">
        <v>2702</v>
      </c>
      <c r="BW222">
        <v>435600</v>
      </c>
      <c r="BX222" t="s">
        <v>407</v>
      </c>
      <c r="BY222" t="s">
        <v>408</v>
      </c>
      <c r="BZ222">
        <v>5</v>
      </c>
      <c r="CA222">
        <v>2001</v>
      </c>
      <c r="CB222">
        <v>1</v>
      </c>
      <c r="CD222">
        <v>2017</v>
      </c>
      <c r="CE222">
        <v>176448</v>
      </c>
      <c r="CF222">
        <v>74155</v>
      </c>
      <c r="CG222">
        <v>250603</v>
      </c>
      <c r="CH222">
        <v>2017</v>
      </c>
      <c r="CI222">
        <v>176448</v>
      </c>
      <c r="CJ222">
        <v>74155</v>
      </c>
      <c r="CK222">
        <v>250603</v>
      </c>
      <c r="CL222">
        <v>2017</v>
      </c>
      <c r="CM222">
        <v>3793.83</v>
      </c>
      <c r="CN222" s="1">
        <v>31973</v>
      </c>
      <c r="CZ222" s="1">
        <v>31973</v>
      </c>
      <c r="DD222" t="s">
        <v>398</v>
      </c>
      <c r="DG222">
        <v>41</v>
      </c>
      <c r="DL222">
        <v>50400</v>
      </c>
      <c r="DM222" t="s">
        <v>2703</v>
      </c>
      <c r="DO222" t="s">
        <v>2704</v>
      </c>
      <c r="DP222">
        <v>0</v>
      </c>
      <c r="DQ222">
        <v>0</v>
      </c>
      <c r="DR222" t="s">
        <v>411</v>
      </c>
      <c r="DS222" t="b">
        <v>1</v>
      </c>
      <c r="DT222" t="s">
        <v>396</v>
      </c>
      <c r="DV222" t="s">
        <v>446</v>
      </c>
      <c r="DX222">
        <v>-9999</v>
      </c>
      <c r="DZ222" t="s">
        <v>447</v>
      </c>
      <c r="EA222" t="s">
        <v>448</v>
      </c>
      <c r="EB222" t="s">
        <v>449</v>
      </c>
      <c r="EC222">
        <v>20101217</v>
      </c>
      <c r="ED222" t="s">
        <v>450</v>
      </c>
      <c r="EE222">
        <v>12</v>
      </c>
      <c r="EF222">
        <v>0</v>
      </c>
      <c r="EG222">
        <v>0</v>
      </c>
      <c r="EH222" t="s">
        <v>451</v>
      </c>
      <c r="EI222">
        <v>20140731</v>
      </c>
      <c r="EJ222">
        <v>0</v>
      </c>
      <c r="EK222">
        <v>0</v>
      </c>
      <c r="EP222" t="s">
        <v>421</v>
      </c>
      <c r="EQ222" t="s">
        <v>422</v>
      </c>
      <c r="ER222">
        <v>2</v>
      </c>
      <c r="ES222">
        <v>8</v>
      </c>
      <c r="ET222">
        <v>8347.68</v>
      </c>
      <c r="EU222">
        <v>429.88</v>
      </c>
      <c r="EV222">
        <v>8777.56</v>
      </c>
      <c r="EW222" s="2">
        <v>43222</v>
      </c>
      <c r="EX222" s="1">
        <v>42879</v>
      </c>
      <c r="EY222">
        <v>2016</v>
      </c>
      <c r="EZ222">
        <v>4173.84</v>
      </c>
      <c r="FA222" t="s">
        <v>2705</v>
      </c>
      <c r="FB222">
        <v>0.25</v>
      </c>
      <c r="FC222" t="s">
        <v>424</v>
      </c>
      <c r="FD222" t="s">
        <v>454</v>
      </c>
      <c r="FF222">
        <v>12</v>
      </c>
      <c r="FG222">
        <v>11289</v>
      </c>
      <c r="FH222" t="s">
        <v>787</v>
      </c>
      <c r="FJ222" s="1">
        <v>42879</v>
      </c>
      <c r="FK222">
        <v>2016</v>
      </c>
      <c r="FL222">
        <v>4173.84</v>
      </c>
      <c r="FM222" t="s">
        <v>2705</v>
      </c>
      <c r="FN222">
        <v>0.25</v>
      </c>
      <c r="FO222" t="s">
        <v>424</v>
      </c>
      <c r="FP222" t="s">
        <v>454</v>
      </c>
      <c r="FR222">
        <v>12</v>
      </c>
      <c r="FS222">
        <v>7213682</v>
      </c>
      <c r="FT222" t="s">
        <v>2706</v>
      </c>
      <c r="FV222" s="1">
        <v>42151</v>
      </c>
      <c r="FW222">
        <v>2014</v>
      </c>
      <c r="FX222">
        <v>3966.57</v>
      </c>
      <c r="FY222" t="s">
        <v>2707</v>
      </c>
      <c r="FZ222">
        <v>0.25</v>
      </c>
      <c r="GA222" t="s">
        <v>424</v>
      </c>
      <c r="GB222" t="s">
        <v>425</v>
      </c>
      <c r="GD222">
        <v>22</v>
      </c>
      <c r="GE222">
        <v>15259</v>
      </c>
      <c r="GF222" t="s">
        <v>891</v>
      </c>
      <c r="GH222" s="1">
        <v>42151</v>
      </c>
      <c r="GI222">
        <v>2014</v>
      </c>
      <c r="GJ222">
        <v>3966.57</v>
      </c>
      <c r="GK222" t="s">
        <v>2707</v>
      </c>
      <c r="GL222">
        <v>0.25</v>
      </c>
      <c r="GM222" t="s">
        <v>424</v>
      </c>
      <c r="GN222" t="s">
        <v>425</v>
      </c>
      <c r="GP222">
        <v>22</v>
      </c>
      <c r="GQ222">
        <v>6911437</v>
      </c>
      <c r="GR222" t="s">
        <v>2708</v>
      </c>
      <c r="GT222" s="1">
        <v>42151</v>
      </c>
      <c r="GU222">
        <v>2014</v>
      </c>
      <c r="GV222">
        <v>3966.57</v>
      </c>
      <c r="GW222" t="s">
        <v>2707</v>
      </c>
      <c r="GX222">
        <v>0.25</v>
      </c>
      <c r="GY222" t="s">
        <v>424</v>
      </c>
      <c r="GZ222" t="s">
        <v>425</v>
      </c>
      <c r="HA222" s="1">
        <v>42486</v>
      </c>
      <c r="HB222">
        <v>11</v>
      </c>
      <c r="HC222">
        <v>7045049</v>
      </c>
      <c r="HD222" t="s">
        <v>1335</v>
      </c>
      <c r="HF222" s="1">
        <v>41787</v>
      </c>
      <c r="HG222">
        <v>2013</v>
      </c>
      <c r="HH222">
        <v>3659.33</v>
      </c>
      <c r="HI222" t="s">
        <v>2709</v>
      </c>
      <c r="HJ222">
        <v>0.25</v>
      </c>
      <c r="HK222" t="s">
        <v>424</v>
      </c>
      <c r="HL222" t="s">
        <v>425</v>
      </c>
      <c r="HM222" s="1">
        <v>42318</v>
      </c>
      <c r="HN222">
        <v>18</v>
      </c>
      <c r="HO222">
        <v>2675455</v>
      </c>
      <c r="HP222" t="s">
        <v>1981</v>
      </c>
      <c r="HR222" s="1">
        <v>41423</v>
      </c>
      <c r="HS222">
        <v>2012</v>
      </c>
      <c r="HT222">
        <v>2735.82</v>
      </c>
      <c r="HU222" t="s">
        <v>2710</v>
      </c>
      <c r="HV222">
        <v>0.25</v>
      </c>
      <c r="HW222" t="s">
        <v>424</v>
      </c>
      <c r="HX222" t="s">
        <v>425</v>
      </c>
      <c r="HY222" s="1">
        <v>41984</v>
      </c>
      <c r="HZ222">
        <v>19</v>
      </c>
      <c r="IA222">
        <v>15259</v>
      </c>
      <c r="IB222" t="s">
        <v>891</v>
      </c>
      <c r="ID222" s="1">
        <v>41052</v>
      </c>
      <c r="IE222">
        <v>2011</v>
      </c>
      <c r="IF222">
        <v>2418.84</v>
      </c>
      <c r="IG222" t="s">
        <v>2711</v>
      </c>
      <c r="IH222">
        <v>3.75</v>
      </c>
      <c r="II222" t="s">
        <v>424</v>
      </c>
      <c r="IJ222" t="s">
        <v>425</v>
      </c>
      <c r="IK222" s="1">
        <v>41722</v>
      </c>
      <c r="IL222">
        <v>22</v>
      </c>
      <c r="IM222">
        <v>1625515</v>
      </c>
      <c r="IN222" t="s">
        <v>487</v>
      </c>
      <c r="IP222" s="1">
        <v>41052</v>
      </c>
      <c r="IQ222">
        <v>2011</v>
      </c>
      <c r="IR222">
        <v>2418.84</v>
      </c>
      <c r="IS222" t="s">
        <v>2711</v>
      </c>
      <c r="IT222">
        <v>3.75</v>
      </c>
      <c r="IU222" t="s">
        <v>424</v>
      </c>
      <c r="IV222" t="s">
        <v>425</v>
      </c>
      <c r="IX222">
        <v>22</v>
      </c>
      <c r="IY222">
        <v>10579</v>
      </c>
      <c r="IZ222" t="s">
        <v>488</v>
      </c>
      <c r="JB222" s="1">
        <v>40688</v>
      </c>
      <c r="JC222">
        <v>2010</v>
      </c>
      <c r="JD222">
        <v>2436.84</v>
      </c>
      <c r="JE222" t="s">
        <v>2712</v>
      </c>
      <c r="JF222">
        <v>0.25</v>
      </c>
      <c r="JG222" t="s">
        <v>424</v>
      </c>
      <c r="JH222" t="s">
        <v>425</v>
      </c>
      <c r="JI222" s="1">
        <v>41431</v>
      </c>
      <c r="JJ222">
        <v>25</v>
      </c>
      <c r="JK222">
        <v>11287</v>
      </c>
      <c r="JL222" t="s">
        <v>511</v>
      </c>
    </row>
    <row r="223" spans="1:296" x14ac:dyDescent="0.25">
      <c r="A223">
        <v>16485230</v>
      </c>
      <c r="B223">
        <v>222</v>
      </c>
      <c r="C223" t="s">
        <v>393</v>
      </c>
      <c r="D223" t="s">
        <v>394</v>
      </c>
      <c r="F223" t="str">
        <f>"41-4N-23-1210-0008-0000"</f>
        <v>41-4N-23-1210-0008-0000</v>
      </c>
      <c r="H223" t="str">
        <f>"HUCKLEBY RHONDA L"</f>
        <v>HUCKLEBY RHONDA L</v>
      </c>
      <c r="I223" t="str">
        <f>"PO BOX 1424"</f>
        <v>PO BOX 1424</v>
      </c>
      <c r="J223" t="str">
        <f>"HILLIARD FL 32046"</f>
        <v>HILLIARD FL 32046</v>
      </c>
      <c r="K223" t="str">
        <f>"28123 COFFEE MILL LN"</f>
        <v>28123 COFFEE MILL LN</v>
      </c>
      <c r="L223" t="str">
        <f t="shared" si="60"/>
        <v>HILLIARD FL 32046</v>
      </c>
      <c r="M223" t="str">
        <f>"LOT 8 OR 648/340 SECS 19-4N-24 &amp; 49-4N-24 R378434 &amp; R378435 ESMT OR 1406/1441 LAKE HAMPTON EST PB 5/336-337"</f>
        <v>LOT 8 OR 648/340 SECS 19-4N-24 &amp; 49-4N-24 R378434 &amp; R378435 ESMT OR 1406/1441 LAKE HAMPTON EST PB 5/336-337</v>
      </c>
      <c r="N223" t="str">
        <f>""</f>
        <v/>
      </c>
      <c r="O223" t="str">
        <f>"46967"</f>
        <v>46967</v>
      </c>
      <c r="P223" t="str">
        <f t="shared" si="61"/>
        <v>2017</v>
      </c>
      <c r="Q223" t="str">
        <f>""</f>
        <v/>
      </c>
      <c r="R223" t="str">
        <f>"Y"</f>
        <v>Y</v>
      </c>
      <c r="S223" t="str">
        <f>"93.52"</f>
        <v>93.52</v>
      </c>
      <c r="T223" t="str">
        <f>"1874.35"</f>
        <v>1874.35</v>
      </c>
      <c r="U223" t="str">
        <f>"162375.00"</f>
        <v>162375.00</v>
      </c>
      <c r="V223" t="str">
        <f>"162375.00"</f>
        <v>162375.00</v>
      </c>
      <c r="W223" t="str">
        <f t="shared" si="62"/>
        <v>2017</v>
      </c>
      <c r="X223" t="str">
        <f>"14.00"</f>
        <v>14.00</v>
      </c>
      <c r="Y223" t="str">
        <f>"1962.58"</f>
        <v>1962.58</v>
      </c>
      <c r="Z223" t="str">
        <f>"25000.00"</f>
        <v>25000.00</v>
      </c>
      <c r="AA223" t="str">
        <f>"138614.00"</f>
        <v>138614.00</v>
      </c>
      <c r="AB223" t="str">
        <f>"Agricultural"</f>
        <v>Agricultural</v>
      </c>
      <c r="AC223" t="str">
        <f t="shared" si="64"/>
        <v>0</v>
      </c>
      <c r="AD223" t="str">
        <f>"4"</f>
        <v>4</v>
      </c>
      <c r="AE223" t="str">
        <f>"WOOD (INCLUDE STEEL STUDS)"</f>
        <v>WOOD (INCLUDE STEEL STUDS)</v>
      </c>
      <c r="AF223" t="str">
        <f>"050"</f>
        <v>050</v>
      </c>
      <c r="AG223" t="str">
        <f t="shared" si="65"/>
        <v>FL</v>
      </c>
      <c r="AH223" t="str">
        <f>"4073731.00"</f>
        <v>4073731.00</v>
      </c>
      <c r="AI223" t="str">
        <f>"51184.00"</f>
        <v>51184.00</v>
      </c>
      <c r="AJ223" t="str">
        <f>"C55-000-588-1277-7"</f>
        <v>C55-000-588-1277-7</v>
      </c>
      <c r="AK223" t="str">
        <f>"2454"</f>
        <v>2454</v>
      </c>
      <c r="AL223">
        <v>1</v>
      </c>
      <c r="AM223">
        <v>258</v>
      </c>
      <c r="AN223">
        <v>2059.11</v>
      </c>
      <c r="AQ223" t="s">
        <v>2713</v>
      </c>
      <c r="AR223" t="s">
        <v>2713</v>
      </c>
      <c r="AS223" t="s">
        <v>2713</v>
      </c>
      <c r="AU223" t="s">
        <v>396</v>
      </c>
      <c r="AV223">
        <v>2017</v>
      </c>
      <c r="AW223" t="str">
        <f>"41-4N-23-1210-0008-0000 "</f>
        <v xml:space="preserve">41-4N-23-1210-0008-0000 </v>
      </c>
      <c r="AX223">
        <v>28123</v>
      </c>
      <c r="AZ223" t="s">
        <v>2714</v>
      </c>
      <c r="BA223" t="s">
        <v>653</v>
      </c>
      <c r="BD223" t="s">
        <v>398</v>
      </c>
      <c r="BE223" t="s">
        <v>393</v>
      </c>
      <c r="BF223">
        <v>32046</v>
      </c>
      <c r="BG223" t="s">
        <v>2715</v>
      </c>
      <c r="BH223" t="s">
        <v>400</v>
      </c>
      <c r="BI223">
        <v>-81.953006442239499</v>
      </c>
      <c r="BJ223">
        <v>30.7477583250466</v>
      </c>
      <c r="BK223" t="s">
        <v>2716</v>
      </c>
      <c r="BM223" t="s">
        <v>2717</v>
      </c>
      <c r="BN223" t="s">
        <v>403</v>
      </c>
      <c r="BO223">
        <v>32046</v>
      </c>
      <c r="BP223" t="s">
        <v>404</v>
      </c>
      <c r="BQ223">
        <v>5000</v>
      </c>
      <c r="BR223" t="s">
        <v>664</v>
      </c>
      <c r="BS223">
        <v>7000</v>
      </c>
      <c r="BT223" t="s">
        <v>665</v>
      </c>
      <c r="BW223">
        <v>4073731</v>
      </c>
      <c r="BX223" t="s">
        <v>407</v>
      </c>
      <c r="BY223" t="s">
        <v>408</v>
      </c>
      <c r="BZ223">
        <v>4</v>
      </c>
      <c r="CA223">
        <v>2000</v>
      </c>
      <c r="CB223">
        <v>1</v>
      </c>
      <c r="CC223">
        <v>2</v>
      </c>
      <c r="CD223">
        <v>2017</v>
      </c>
      <c r="CG223">
        <v>163614</v>
      </c>
      <c r="CH223">
        <v>2017</v>
      </c>
      <c r="CI223">
        <v>51184</v>
      </c>
      <c r="CJ223">
        <v>385512</v>
      </c>
      <c r="CK223">
        <v>436696</v>
      </c>
      <c r="CL223">
        <v>2017</v>
      </c>
      <c r="CM223">
        <v>1874.35</v>
      </c>
      <c r="CN223" s="1">
        <v>33641</v>
      </c>
      <c r="CO223">
        <v>53800</v>
      </c>
      <c r="CZ223" s="1">
        <v>33641</v>
      </c>
      <c r="DD223" t="s">
        <v>398</v>
      </c>
      <c r="DF223">
        <v>8</v>
      </c>
      <c r="DG223">
        <v>41</v>
      </c>
      <c r="DL223">
        <v>50400</v>
      </c>
      <c r="DM223" t="s">
        <v>2703</v>
      </c>
      <c r="DO223" t="s">
        <v>2718</v>
      </c>
      <c r="DP223">
        <v>0</v>
      </c>
      <c r="DQ223">
        <v>2</v>
      </c>
      <c r="DR223" t="s">
        <v>411</v>
      </c>
      <c r="DS223" t="b">
        <v>1</v>
      </c>
      <c r="DT223" t="s">
        <v>470</v>
      </c>
      <c r="DU223" t="s">
        <v>471</v>
      </c>
      <c r="DV223" t="s">
        <v>472</v>
      </c>
      <c r="DX223">
        <v>-9999</v>
      </c>
      <c r="DZ223" t="s">
        <v>447</v>
      </c>
      <c r="EA223" t="s">
        <v>448</v>
      </c>
      <c r="EB223" t="s">
        <v>1224</v>
      </c>
      <c r="EC223">
        <v>20101217</v>
      </c>
      <c r="ED223" t="s">
        <v>474</v>
      </c>
      <c r="EF223">
        <v>2384.5</v>
      </c>
      <c r="EG223">
        <v>2384.5</v>
      </c>
      <c r="EI223">
        <v>20160407</v>
      </c>
      <c r="EJ223">
        <v>0</v>
      </c>
      <c r="EK223">
        <v>0</v>
      </c>
      <c r="EP223" t="s">
        <v>421</v>
      </c>
      <c r="EQ223" t="s">
        <v>422</v>
      </c>
      <c r="ER223">
        <v>2</v>
      </c>
      <c r="ES223">
        <v>5</v>
      </c>
      <c r="ET223">
        <v>3943.7</v>
      </c>
      <c r="EU223">
        <v>209.68</v>
      </c>
      <c r="EV223">
        <v>4153.38</v>
      </c>
      <c r="EW223" s="2">
        <v>43222</v>
      </c>
      <c r="EX223" s="1">
        <v>42879</v>
      </c>
      <c r="EY223">
        <v>2016</v>
      </c>
      <c r="EZ223">
        <v>1971.85</v>
      </c>
      <c r="FA223" t="s">
        <v>2719</v>
      </c>
      <c r="FB223">
        <v>0.25</v>
      </c>
      <c r="FC223" t="s">
        <v>424</v>
      </c>
      <c r="FD223" t="s">
        <v>454</v>
      </c>
      <c r="FF223">
        <v>12</v>
      </c>
      <c r="FG223">
        <v>7400234</v>
      </c>
      <c r="FH223" t="s">
        <v>426</v>
      </c>
      <c r="FJ223" s="1">
        <v>42879</v>
      </c>
      <c r="FK223">
        <v>2016</v>
      </c>
      <c r="FL223">
        <v>1971.85</v>
      </c>
      <c r="FM223" t="s">
        <v>2719</v>
      </c>
      <c r="FN223">
        <v>0.25</v>
      </c>
      <c r="FO223" t="s">
        <v>424</v>
      </c>
      <c r="FP223" t="s">
        <v>454</v>
      </c>
      <c r="FR223">
        <v>12</v>
      </c>
      <c r="FS223">
        <v>7413446</v>
      </c>
      <c r="FT223" t="s">
        <v>2720</v>
      </c>
      <c r="FV223" s="1">
        <v>42515</v>
      </c>
      <c r="FW223">
        <v>2015</v>
      </c>
      <c r="FX223">
        <v>2000.53</v>
      </c>
      <c r="FY223" t="s">
        <v>2721</v>
      </c>
      <c r="FZ223">
        <v>0.25</v>
      </c>
      <c r="GA223" t="s">
        <v>424</v>
      </c>
      <c r="GB223" t="s">
        <v>425</v>
      </c>
      <c r="GC223" s="1">
        <v>43159</v>
      </c>
      <c r="GD223">
        <v>21</v>
      </c>
      <c r="GE223">
        <v>7045074</v>
      </c>
      <c r="GF223" t="s">
        <v>580</v>
      </c>
      <c r="GH223" s="1">
        <v>42515</v>
      </c>
      <c r="GI223">
        <v>2015</v>
      </c>
      <c r="GJ223">
        <v>2000.53</v>
      </c>
      <c r="GK223" t="s">
        <v>2721</v>
      </c>
      <c r="GL223">
        <v>0.25</v>
      </c>
      <c r="GM223" t="s">
        <v>424</v>
      </c>
      <c r="GN223" t="s">
        <v>425</v>
      </c>
      <c r="GP223">
        <v>22</v>
      </c>
      <c r="GQ223">
        <v>6410185</v>
      </c>
      <c r="GR223" t="s">
        <v>2722</v>
      </c>
      <c r="GT223" s="1">
        <v>42151</v>
      </c>
      <c r="GU223">
        <v>2014</v>
      </c>
      <c r="GV223">
        <v>1949.28</v>
      </c>
      <c r="GW223" t="s">
        <v>2723</v>
      </c>
      <c r="GX223">
        <v>0.25</v>
      </c>
      <c r="GY223" t="s">
        <v>424</v>
      </c>
      <c r="GZ223" t="s">
        <v>425</v>
      </c>
      <c r="HA223" s="1">
        <v>42450</v>
      </c>
      <c r="HB223">
        <v>10</v>
      </c>
      <c r="HC223">
        <v>4975594</v>
      </c>
      <c r="HD223" t="s">
        <v>457</v>
      </c>
      <c r="HF223" s="1">
        <v>42151</v>
      </c>
      <c r="HG223">
        <v>2014</v>
      </c>
      <c r="HH223">
        <v>1949.28</v>
      </c>
      <c r="HI223" t="s">
        <v>2723</v>
      </c>
      <c r="HJ223">
        <v>0.25</v>
      </c>
      <c r="HK223" t="s">
        <v>424</v>
      </c>
      <c r="HL223" t="s">
        <v>425</v>
      </c>
      <c r="HN223">
        <v>22</v>
      </c>
      <c r="HO223">
        <v>6444267</v>
      </c>
      <c r="HP223" t="s">
        <v>2724</v>
      </c>
      <c r="HR223" s="1">
        <v>41052</v>
      </c>
      <c r="HS223">
        <v>2011</v>
      </c>
      <c r="HT223">
        <v>1976.15</v>
      </c>
      <c r="HU223" t="s">
        <v>2725</v>
      </c>
      <c r="HV223">
        <v>5.75</v>
      </c>
      <c r="HW223" t="s">
        <v>424</v>
      </c>
      <c r="HX223" t="s">
        <v>425</v>
      </c>
      <c r="HY223" s="1">
        <v>41383</v>
      </c>
      <c r="HZ223">
        <v>11</v>
      </c>
      <c r="IA223">
        <v>13057</v>
      </c>
      <c r="IB223" t="s">
        <v>1926</v>
      </c>
    </row>
    <row r="224" spans="1:296" x14ac:dyDescent="0.25">
      <c r="A224">
        <v>16485231</v>
      </c>
      <c r="B224">
        <v>223</v>
      </c>
      <c r="C224" t="s">
        <v>393</v>
      </c>
      <c r="D224" t="s">
        <v>394</v>
      </c>
      <c r="F224" t="str">
        <f>"41-4N-23-2100-0003-0050"</f>
        <v>41-4N-23-2100-0003-0050</v>
      </c>
      <c r="H224" t="str">
        <f>"HADDOCK BRANDI DALE &amp; GEIGER JOSEPH RAY"</f>
        <v>HADDOCK BRANDI DALE &amp; GEIGER JOSEPH RAY</v>
      </c>
      <c r="I224" t="str">
        <f>"27359 GEIGER RD"</f>
        <v>27359 GEIGER RD</v>
      </c>
      <c r="J224" t="str">
        <f>"HILLIARD FL 32046"</f>
        <v>HILLIARD FL 32046</v>
      </c>
      <c r="K224" t="str">
        <f>"LAKE HAMPTON RD"</f>
        <v>LAKE HAMPTON RD</v>
      </c>
      <c r="L224" t="str">
        <f t="shared" si="60"/>
        <v>HILLIARD FL 32046</v>
      </c>
      <c r="M224" t="str">
        <f>"BLOCK 3 LOT 5 IN OR 1195/1402 &amp; OR 2109/1502 EX RW IN OR 106/450 ST MARYS HIGHLANDS PB 5/12-13"</f>
        <v>BLOCK 3 LOT 5 IN OR 1195/1402 &amp; OR 2109/1502 EX RW IN OR 106/450 ST MARYS HIGHLANDS PB 5/12-13</v>
      </c>
      <c r="N224" t="str">
        <f>""</f>
        <v/>
      </c>
      <c r="O224" t="str">
        <f>"47001"</f>
        <v>47001</v>
      </c>
      <c r="P224" t="str">
        <f t="shared" si="61"/>
        <v>2017</v>
      </c>
      <c r="Q224" t="str">
        <f>""</f>
        <v/>
      </c>
      <c r="R224" t="str">
        <f>"N"</f>
        <v>N</v>
      </c>
      <c r="S224" t="str">
        <f>""</f>
        <v/>
      </c>
      <c r="T224" t="str">
        <f>"53.17"</f>
        <v>53.17</v>
      </c>
      <c r="U224" t="str">
        <f>"3328.00"</f>
        <v>3328.00</v>
      </c>
      <c r="V224" t="str">
        <f>"3328.00"</f>
        <v>3328.00</v>
      </c>
      <c r="W224" t="str">
        <f t="shared" si="62"/>
        <v>2017</v>
      </c>
      <c r="X224" t="str">
        <f>"5.33"</f>
        <v>5.33</v>
      </c>
      <c r="Y224" t="str">
        <f>"86.77"</f>
        <v>86.77</v>
      </c>
      <c r="Z224" t="str">
        <f>""</f>
        <v/>
      </c>
      <c r="AA224" t="str">
        <f>"3750.00"</f>
        <v>3750.00</v>
      </c>
      <c r="AB224" t="str">
        <f t="shared" ref="AB224:AB240" si="71">"Residential"</f>
        <v>Residential</v>
      </c>
      <c r="AC224" t="str">
        <f t="shared" si="64"/>
        <v>0</v>
      </c>
      <c r="AD224" t="str">
        <f>""</f>
        <v/>
      </c>
      <c r="AE224" t="str">
        <f>""</f>
        <v/>
      </c>
      <c r="AF224" t="str">
        <f>"000"</f>
        <v>000</v>
      </c>
      <c r="AG224" t="str">
        <f t="shared" si="65"/>
        <v>FL</v>
      </c>
      <c r="AH224" t="str">
        <f>"-"</f>
        <v>-</v>
      </c>
      <c r="AI224" t="str">
        <f>"3750.00"</f>
        <v>3750.00</v>
      </c>
      <c r="AJ224" t="str">
        <f>"C55-000-588-1294-2"</f>
        <v>C55-000-588-1294-2</v>
      </c>
      <c r="AK224" t="str">
        <f>"2487"</f>
        <v>2487</v>
      </c>
      <c r="AL224">
        <v>1</v>
      </c>
      <c r="AM224">
        <v>259</v>
      </c>
      <c r="AN224">
        <v>89.51</v>
      </c>
      <c r="AQ224" t="s">
        <v>2726</v>
      </c>
      <c r="AR224" t="s">
        <v>2726</v>
      </c>
      <c r="AS224" t="s">
        <v>2726</v>
      </c>
      <c r="AU224" t="s">
        <v>396</v>
      </c>
      <c r="AV224">
        <v>2017</v>
      </c>
      <c r="AW224" t="str">
        <f>"41-4N-23-2100-0003-0050 "</f>
        <v xml:space="preserve">41-4N-23-2100-0003-0050 </v>
      </c>
      <c r="AZ224" t="s">
        <v>2217</v>
      </c>
      <c r="BA224" t="s">
        <v>496</v>
      </c>
      <c r="BD224" t="s">
        <v>398</v>
      </c>
      <c r="BE224" t="s">
        <v>393</v>
      </c>
      <c r="BF224">
        <v>32046</v>
      </c>
      <c r="BG224" t="s">
        <v>2225</v>
      </c>
      <c r="BH224" t="s">
        <v>400</v>
      </c>
      <c r="BI224">
        <v>-81.973753323119595</v>
      </c>
      <c r="BJ224">
        <v>30.7765163931202</v>
      </c>
      <c r="BK224" t="s">
        <v>2727</v>
      </c>
      <c r="BM224" t="s">
        <v>2728</v>
      </c>
      <c r="BN224" t="s">
        <v>403</v>
      </c>
      <c r="BO224">
        <v>32046</v>
      </c>
      <c r="BP224" t="s">
        <v>404</v>
      </c>
      <c r="BQ224">
        <v>0</v>
      </c>
      <c r="BR224" t="s">
        <v>491</v>
      </c>
      <c r="BS224">
        <v>8001</v>
      </c>
      <c r="BT224" t="s">
        <v>492</v>
      </c>
      <c r="BW224">
        <v>14999</v>
      </c>
      <c r="BX224" t="s">
        <v>407</v>
      </c>
      <c r="BY224" t="s">
        <v>2729</v>
      </c>
      <c r="CD224">
        <v>2017</v>
      </c>
      <c r="CE224">
        <v>3750</v>
      </c>
      <c r="CG224">
        <v>3750</v>
      </c>
      <c r="CH224">
        <v>2017</v>
      </c>
      <c r="CI224">
        <v>3750</v>
      </c>
      <c r="CK224">
        <v>3750</v>
      </c>
      <c r="CL224">
        <v>2017</v>
      </c>
      <c r="CM224">
        <v>53.17</v>
      </c>
      <c r="CN224" s="1">
        <v>37971</v>
      </c>
      <c r="CZ224" s="1">
        <v>37971</v>
      </c>
      <c r="DD224" t="s">
        <v>398</v>
      </c>
      <c r="DF224">
        <v>5</v>
      </c>
      <c r="DG224">
        <v>41</v>
      </c>
      <c r="DL224">
        <v>50400</v>
      </c>
      <c r="DM224" t="s">
        <v>2703</v>
      </c>
      <c r="DO224" t="s">
        <v>2730</v>
      </c>
      <c r="DP224">
        <v>0</v>
      </c>
      <c r="DQ224">
        <v>0</v>
      </c>
      <c r="DR224" t="s">
        <v>411</v>
      </c>
      <c r="EP224" t="s">
        <v>421</v>
      </c>
      <c r="EQ224" t="s">
        <v>422</v>
      </c>
      <c r="ER224">
        <v>0</v>
      </c>
      <c r="ES224">
        <v>2</v>
      </c>
      <c r="ET224">
        <v>0</v>
      </c>
      <c r="EU224">
        <v>0</v>
      </c>
      <c r="EV224">
        <v>0</v>
      </c>
      <c r="EW224" s="2">
        <v>43222</v>
      </c>
      <c r="EX224" s="1">
        <v>41052</v>
      </c>
      <c r="EY224">
        <v>2011</v>
      </c>
      <c r="EZ224">
        <v>55.67</v>
      </c>
      <c r="FA224" t="s">
        <v>2731</v>
      </c>
      <c r="FB224">
        <v>16.75</v>
      </c>
      <c r="FC224" t="s">
        <v>424</v>
      </c>
      <c r="FD224" t="s">
        <v>425</v>
      </c>
      <c r="FE224" s="1">
        <v>41248</v>
      </c>
      <c r="FF224">
        <v>7</v>
      </c>
      <c r="FG224">
        <v>13026</v>
      </c>
      <c r="FH224" t="s">
        <v>2129</v>
      </c>
      <c r="FJ224" s="1">
        <v>40688</v>
      </c>
      <c r="FK224">
        <v>2010</v>
      </c>
      <c r="FL224">
        <v>54.71</v>
      </c>
      <c r="FM224" t="s">
        <v>2732</v>
      </c>
      <c r="FN224">
        <v>11.5</v>
      </c>
      <c r="FO224" t="s">
        <v>424</v>
      </c>
      <c r="FP224" t="s">
        <v>425</v>
      </c>
      <c r="FQ224" s="1">
        <v>40906</v>
      </c>
      <c r="FR224">
        <v>7</v>
      </c>
      <c r="FS224">
        <v>105</v>
      </c>
      <c r="FT224" t="s">
        <v>946</v>
      </c>
    </row>
    <row r="225" spans="1:272" x14ac:dyDescent="0.25">
      <c r="A225">
        <v>16485232</v>
      </c>
      <c r="B225">
        <v>224</v>
      </c>
      <c r="C225" t="s">
        <v>393</v>
      </c>
      <c r="D225" t="s">
        <v>394</v>
      </c>
      <c r="F225" t="str">
        <f>"41-4N-23-2100-0004-0070"</f>
        <v>41-4N-23-2100-0004-0070</v>
      </c>
      <c r="H225" t="str">
        <f>"WHITTLE PATRICIA JEAN"</f>
        <v>WHITTLE PATRICIA JEAN</v>
      </c>
      <c r="I225" t="str">
        <f>"29131 ST MARYS CIRCLE"</f>
        <v>29131 ST MARYS CIRCLE</v>
      </c>
      <c r="J225" t="str">
        <f>"HILLIARD FL 32046"</f>
        <v>HILLIARD FL 32046</v>
      </c>
      <c r="K225" t="str">
        <f>"29131 ST MARYS CIR"</f>
        <v>29131 ST MARYS CIR</v>
      </c>
      <c r="L225" t="str">
        <f t="shared" si="60"/>
        <v>HILLIARD FL 32046</v>
      </c>
      <c r="M225" t="str">
        <f>"BLOCK 4 LOT 7 IN OR 1573/365 ST MARYS HIGHLANDS PB 5/12-13"</f>
        <v>BLOCK 4 LOT 7 IN OR 1573/365 ST MARYS HIGHLANDS PB 5/12-13</v>
      </c>
      <c r="N225" t="str">
        <f>""</f>
        <v/>
      </c>
      <c r="O225" t="str">
        <f>"47011"</f>
        <v>47011</v>
      </c>
      <c r="P225" t="str">
        <f t="shared" si="61"/>
        <v>2017</v>
      </c>
      <c r="Q225" t="str">
        <f>""</f>
        <v/>
      </c>
      <c r="R225" t="str">
        <f>"N"</f>
        <v>N</v>
      </c>
      <c r="S225" t="str">
        <f>""</f>
        <v/>
      </c>
      <c r="T225" t="str">
        <f>"1679.57"</f>
        <v>1679.57</v>
      </c>
      <c r="U225" t="str">
        <f>"110945.00"</f>
        <v>110945.00</v>
      </c>
      <c r="V225" t="str">
        <f>"110945.00"</f>
        <v>110945.00</v>
      </c>
      <c r="W225" t="str">
        <f t="shared" si="62"/>
        <v>2017</v>
      </c>
      <c r="X225" t="str">
        <f>"13.88"</f>
        <v>13.88</v>
      </c>
      <c r="Y225" t="str">
        <f>"1761.96"</f>
        <v>1761.96</v>
      </c>
      <c r="Z225" t="str">
        <f>""</f>
        <v/>
      </c>
      <c r="AA225" t="str">
        <f>"110945.00"</f>
        <v>110945.00</v>
      </c>
      <c r="AB225" t="str">
        <f t="shared" si="71"/>
        <v>Residential</v>
      </c>
      <c r="AC225" t="str">
        <f t="shared" si="64"/>
        <v>0</v>
      </c>
      <c r="AD225" t="str">
        <f>"4"</f>
        <v>4</v>
      </c>
      <c r="AE225" t="str">
        <f>"WOOD (INCLUDE STEEL STUDS)"</f>
        <v>WOOD (INCLUDE STEEL STUDS)</v>
      </c>
      <c r="AF225" t="str">
        <f>"001"</f>
        <v>001</v>
      </c>
      <c r="AG225" t="str">
        <f t="shared" si="65"/>
        <v>FL</v>
      </c>
      <c r="AH225" t="str">
        <f>"-"</f>
        <v>-</v>
      </c>
      <c r="AI225" t="str">
        <f>"20000.00"</f>
        <v>20000.00</v>
      </c>
      <c r="AJ225" t="str">
        <f>"C55-000-588-1304-9"</f>
        <v>C55-000-588-1304-9</v>
      </c>
      <c r="AK225" t="str">
        <f>"2497"</f>
        <v>2497</v>
      </c>
      <c r="AL225">
        <v>1</v>
      </c>
      <c r="AM225">
        <v>260</v>
      </c>
      <c r="AN225">
        <v>1848.46</v>
      </c>
      <c r="AQ225" t="s">
        <v>2733</v>
      </c>
      <c r="AR225" t="s">
        <v>2733</v>
      </c>
      <c r="AS225" t="s">
        <v>2733</v>
      </c>
      <c r="AU225" t="s">
        <v>396</v>
      </c>
      <c r="AV225">
        <v>2017</v>
      </c>
      <c r="AW225" t="str">
        <f>"41-4N-23-2100-0004-0070 "</f>
        <v xml:space="preserve">41-4N-23-2100-0004-0070 </v>
      </c>
      <c r="AX225">
        <v>29131</v>
      </c>
      <c r="AZ225" t="s">
        <v>2734</v>
      </c>
      <c r="BA225" t="s">
        <v>1799</v>
      </c>
      <c r="BD225" t="s">
        <v>398</v>
      </c>
      <c r="BE225" t="s">
        <v>393</v>
      </c>
      <c r="BF225">
        <v>32046</v>
      </c>
      <c r="BG225" t="s">
        <v>2735</v>
      </c>
      <c r="BH225" t="s">
        <v>400</v>
      </c>
      <c r="BI225">
        <v>-81.9724864401975</v>
      </c>
      <c r="BJ225">
        <v>30.779170157431199</v>
      </c>
      <c r="BK225" t="s">
        <v>2736</v>
      </c>
      <c r="BL225" t="s">
        <v>2737</v>
      </c>
      <c r="BM225" t="s">
        <v>2621</v>
      </c>
      <c r="BN225" t="s">
        <v>403</v>
      </c>
      <c r="BO225">
        <v>32046</v>
      </c>
      <c r="BP225" t="s">
        <v>416</v>
      </c>
      <c r="BQ225">
        <v>100</v>
      </c>
      <c r="BR225" t="s">
        <v>514</v>
      </c>
      <c r="BS225">
        <v>1001</v>
      </c>
      <c r="BT225" t="s">
        <v>515</v>
      </c>
      <c r="BW225">
        <v>15749</v>
      </c>
      <c r="BX225" t="s">
        <v>407</v>
      </c>
      <c r="BY225" t="s">
        <v>2729</v>
      </c>
      <c r="BZ225">
        <v>4</v>
      </c>
      <c r="CA225">
        <v>1966</v>
      </c>
      <c r="CB225">
        <v>2</v>
      </c>
      <c r="CC225">
        <v>1</v>
      </c>
      <c r="CD225">
        <v>2017</v>
      </c>
      <c r="CE225">
        <v>20000</v>
      </c>
      <c r="CF225">
        <v>90945</v>
      </c>
      <c r="CG225">
        <v>110945</v>
      </c>
      <c r="CH225">
        <v>2017</v>
      </c>
      <c r="CI225">
        <v>20000</v>
      </c>
      <c r="CJ225">
        <v>90945</v>
      </c>
      <c r="CK225">
        <v>110945</v>
      </c>
      <c r="CL225">
        <v>2017</v>
      </c>
      <c r="CM225">
        <v>1679.57</v>
      </c>
      <c r="CN225" s="1">
        <v>39622</v>
      </c>
      <c r="CZ225" s="1">
        <v>39622</v>
      </c>
      <c r="DD225" t="s">
        <v>398</v>
      </c>
      <c r="DF225">
        <v>7</v>
      </c>
      <c r="DG225">
        <v>41</v>
      </c>
      <c r="DJ225" t="s">
        <v>2738</v>
      </c>
      <c r="DL225">
        <v>50400</v>
      </c>
      <c r="DM225" t="s">
        <v>2703</v>
      </c>
      <c r="DO225" t="s">
        <v>2739</v>
      </c>
      <c r="DP225">
        <v>0</v>
      </c>
      <c r="DQ225">
        <v>0</v>
      </c>
      <c r="DR225" t="s">
        <v>411</v>
      </c>
      <c r="DS225" t="b">
        <v>1</v>
      </c>
      <c r="DT225" t="s">
        <v>396</v>
      </c>
      <c r="DV225" t="s">
        <v>446</v>
      </c>
      <c r="DX225">
        <v>-9999</v>
      </c>
      <c r="DZ225" t="s">
        <v>447</v>
      </c>
      <c r="EA225" t="s">
        <v>448</v>
      </c>
      <c r="EB225" t="s">
        <v>449</v>
      </c>
      <c r="EC225">
        <v>20101217</v>
      </c>
      <c r="ED225" t="s">
        <v>450</v>
      </c>
      <c r="EE225">
        <v>12.6</v>
      </c>
      <c r="EF225">
        <v>0</v>
      </c>
      <c r="EG225">
        <v>0</v>
      </c>
      <c r="EI225">
        <v>20160407</v>
      </c>
      <c r="EJ225">
        <v>0</v>
      </c>
      <c r="EK225">
        <v>0</v>
      </c>
      <c r="EP225" t="s">
        <v>421</v>
      </c>
      <c r="EQ225" t="s">
        <v>422</v>
      </c>
      <c r="ER225">
        <v>2</v>
      </c>
      <c r="ES225">
        <v>8</v>
      </c>
      <c r="ET225">
        <v>3682.74</v>
      </c>
      <c r="EU225">
        <v>196.64</v>
      </c>
      <c r="EV225">
        <v>3879.38</v>
      </c>
      <c r="EW225" s="2">
        <v>43222</v>
      </c>
      <c r="EX225" s="1">
        <v>42879</v>
      </c>
      <c r="EY225">
        <v>2016</v>
      </c>
      <c r="EZ225">
        <v>1841.37</v>
      </c>
      <c r="FA225" t="s">
        <v>2740</v>
      </c>
      <c r="FB225">
        <v>0.25</v>
      </c>
      <c r="FC225" t="s">
        <v>424</v>
      </c>
      <c r="FD225" t="s">
        <v>454</v>
      </c>
      <c r="FF225">
        <v>12</v>
      </c>
      <c r="FG225">
        <v>2851116</v>
      </c>
      <c r="FH225" t="s">
        <v>480</v>
      </c>
      <c r="FJ225" s="1">
        <v>42879</v>
      </c>
      <c r="FK225">
        <v>2016</v>
      </c>
      <c r="FL225">
        <v>1841.37</v>
      </c>
      <c r="FM225" t="s">
        <v>2740</v>
      </c>
      <c r="FN225">
        <v>0.25</v>
      </c>
      <c r="FO225" t="s">
        <v>424</v>
      </c>
      <c r="FP225" t="s">
        <v>454</v>
      </c>
      <c r="FR225">
        <v>12</v>
      </c>
      <c r="FS225">
        <v>5421254</v>
      </c>
      <c r="FT225" t="s">
        <v>2741</v>
      </c>
      <c r="FV225" s="1">
        <v>42515</v>
      </c>
      <c r="FW225">
        <v>2015</v>
      </c>
      <c r="FX225">
        <v>1855.83</v>
      </c>
      <c r="FY225" t="s">
        <v>2742</v>
      </c>
      <c r="FZ225">
        <v>0.25</v>
      </c>
      <c r="GA225" t="s">
        <v>424</v>
      </c>
      <c r="GB225" t="s">
        <v>425</v>
      </c>
      <c r="GC225" s="1">
        <v>43151</v>
      </c>
      <c r="GD225">
        <v>21</v>
      </c>
      <c r="GE225">
        <v>7045074</v>
      </c>
      <c r="GF225" t="s">
        <v>580</v>
      </c>
      <c r="GH225" s="1">
        <v>42515</v>
      </c>
      <c r="GI225">
        <v>2015</v>
      </c>
      <c r="GJ225">
        <v>1855.83</v>
      </c>
      <c r="GK225" t="s">
        <v>2742</v>
      </c>
      <c r="GL225">
        <v>0.25</v>
      </c>
      <c r="GM225" t="s">
        <v>424</v>
      </c>
      <c r="GN225" t="s">
        <v>425</v>
      </c>
      <c r="GP225">
        <v>22</v>
      </c>
      <c r="GQ225">
        <v>6549506</v>
      </c>
      <c r="GR225" t="s">
        <v>2743</v>
      </c>
      <c r="GT225" s="1">
        <v>42151</v>
      </c>
      <c r="GU225">
        <v>2014</v>
      </c>
      <c r="GV225">
        <v>1668.77</v>
      </c>
      <c r="GW225" t="s">
        <v>2744</v>
      </c>
      <c r="GX225">
        <v>0.25</v>
      </c>
      <c r="GY225" t="s">
        <v>424</v>
      </c>
      <c r="GZ225" t="s">
        <v>425</v>
      </c>
      <c r="HA225" s="1">
        <v>42703</v>
      </c>
      <c r="HB225">
        <v>18</v>
      </c>
      <c r="HC225">
        <v>2851116</v>
      </c>
      <c r="HD225" t="s">
        <v>480</v>
      </c>
      <c r="HF225" s="1">
        <v>42151</v>
      </c>
      <c r="HG225">
        <v>2014</v>
      </c>
      <c r="HH225">
        <v>1668.77</v>
      </c>
      <c r="HI225" t="s">
        <v>2744</v>
      </c>
      <c r="HJ225">
        <v>0.25</v>
      </c>
      <c r="HK225" t="s">
        <v>424</v>
      </c>
      <c r="HL225" t="s">
        <v>425</v>
      </c>
      <c r="HN225">
        <v>22</v>
      </c>
      <c r="HO225">
        <v>4938061</v>
      </c>
      <c r="HP225" t="s">
        <v>2745</v>
      </c>
      <c r="HR225" s="1">
        <v>41787</v>
      </c>
      <c r="HS225">
        <v>2013</v>
      </c>
      <c r="HT225">
        <v>1504.09</v>
      </c>
      <c r="HU225" t="s">
        <v>2746</v>
      </c>
      <c r="HV225">
        <v>0.25</v>
      </c>
      <c r="HW225" t="s">
        <v>424</v>
      </c>
      <c r="HX225" t="s">
        <v>425</v>
      </c>
      <c r="HY225" s="1">
        <v>42478</v>
      </c>
      <c r="HZ225">
        <v>23</v>
      </c>
      <c r="IA225">
        <v>2675455</v>
      </c>
      <c r="IB225" t="s">
        <v>1981</v>
      </c>
      <c r="ID225" s="1">
        <v>41423</v>
      </c>
      <c r="IE225">
        <v>2012</v>
      </c>
      <c r="IF225">
        <v>1749.15</v>
      </c>
      <c r="IG225" t="s">
        <v>2747</v>
      </c>
      <c r="IH225">
        <v>0.25</v>
      </c>
      <c r="II225" t="s">
        <v>424</v>
      </c>
      <c r="IJ225" t="s">
        <v>425</v>
      </c>
      <c r="IK225" s="1">
        <v>42055</v>
      </c>
      <c r="IL225">
        <v>21</v>
      </c>
      <c r="IM225">
        <v>15970</v>
      </c>
      <c r="IN225" t="s">
        <v>1435</v>
      </c>
      <c r="IP225" s="1">
        <v>41052</v>
      </c>
      <c r="IQ225">
        <v>2011</v>
      </c>
      <c r="IR225">
        <v>2042.81</v>
      </c>
      <c r="IS225" t="s">
        <v>2748</v>
      </c>
      <c r="IT225">
        <v>0.25</v>
      </c>
      <c r="IU225" t="s">
        <v>424</v>
      </c>
      <c r="IV225" t="s">
        <v>425</v>
      </c>
      <c r="IW225" s="1">
        <v>41695</v>
      </c>
      <c r="IX225">
        <v>21</v>
      </c>
      <c r="IY225">
        <v>13104</v>
      </c>
      <c r="IZ225" t="s">
        <v>888</v>
      </c>
      <c r="JB225" s="1">
        <v>41052</v>
      </c>
      <c r="JC225">
        <v>2011</v>
      </c>
      <c r="JD225">
        <v>2042.81</v>
      </c>
      <c r="JE225" t="s">
        <v>2748</v>
      </c>
      <c r="JF225">
        <v>0.25</v>
      </c>
      <c r="JG225" t="s">
        <v>424</v>
      </c>
      <c r="JH225" t="s">
        <v>425</v>
      </c>
      <c r="JJ225">
        <v>22</v>
      </c>
      <c r="JK225">
        <v>13658</v>
      </c>
      <c r="JL225" t="s">
        <v>2749</v>
      </c>
    </row>
    <row r="226" spans="1:272" x14ac:dyDescent="0.25">
      <c r="A226">
        <v>16485233</v>
      </c>
      <c r="B226">
        <v>225</v>
      </c>
      <c r="C226" t="s">
        <v>393</v>
      </c>
      <c r="D226" t="s">
        <v>394</v>
      </c>
      <c r="F226" t="str">
        <f>"41-4N-23-2100-0004-0080"</f>
        <v>41-4N-23-2100-0004-0080</v>
      </c>
      <c r="H226" t="str">
        <f>"EQUITY TRUST COMPANY CUSTODIAN FBO BONNIE WADE CONNER IRA"</f>
        <v>EQUITY TRUST COMPANY CUSTODIAN FBO BONNIE WADE CONNER IRA</v>
      </c>
      <c r="I226" t="str">
        <f>"770 A1A BEACH BLVD"</f>
        <v>770 A1A BEACH BLVD</v>
      </c>
      <c r="J226" t="str">
        <f>"SAINT AUGUSTINE FL 32080"</f>
        <v>SAINT AUGUSTINE FL 32080</v>
      </c>
      <c r="K226" t="str">
        <f>"TWO WATERS LN"</f>
        <v>TWO WATERS LN</v>
      </c>
      <c r="L226" t="str">
        <f t="shared" si="60"/>
        <v>HILLIARD FL 32046</v>
      </c>
      <c r="M226" t="str">
        <f>"BLOCK 4 LOT 8 PT OR 2058/1223 ST MARYS HIGHLANDS PB 5/12 13"</f>
        <v>BLOCK 4 LOT 8 PT OR 2058/1223 ST MARYS HIGHLANDS PB 5/12 13</v>
      </c>
      <c r="N226" t="str">
        <f>""</f>
        <v/>
      </c>
      <c r="O226" t="str">
        <f>"47012"</f>
        <v>47012</v>
      </c>
      <c r="P226" t="str">
        <f t="shared" si="61"/>
        <v>2017</v>
      </c>
      <c r="Q226" t="str">
        <f>""</f>
        <v/>
      </c>
      <c r="R226" t="str">
        <f>"N"</f>
        <v>N</v>
      </c>
      <c r="S226" t="str">
        <f>""</f>
        <v/>
      </c>
      <c r="T226" t="str">
        <f>"302.78"</f>
        <v>302.78</v>
      </c>
      <c r="U226" t="str">
        <f>"20000.00"</f>
        <v>20000.00</v>
      </c>
      <c r="V226" t="str">
        <f>"20000.00"</f>
        <v>20000.00</v>
      </c>
      <c r="W226" t="str">
        <f t="shared" si="62"/>
        <v>2017</v>
      </c>
      <c r="X226" t="str">
        <f>"3.00"</f>
        <v>3.00</v>
      </c>
      <c r="Y226" t="str">
        <f>"343.86"</f>
        <v>343.86</v>
      </c>
      <c r="Z226" t="str">
        <f>""</f>
        <v/>
      </c>
      <c r="AA226" t="str">
        <f>"20000.00"</f>
        <v>20000.00</v>
      </c>
      <c r="AB226" t="str">
        <f t="shared" si="71"/>
        <v>Residential</v>
      </c>
      <c r="AC226" t="str">
        <f t="shared" si="64"/>
        <v>0</v>
      </c>
      <c r="AD226" t="str">
        <f>""</f>
        <v/>
      </c>
      <c r="AE226" t="str">
        <f>""</f>
        <v/>
      </c>
      <c r="AF226" t="str">
        <f>"000"</f>
        <v>000</v>
      </c>
      <c r="AG226" t="str">
        <f t="shared" si="65"/>
        <v>FL</v>
      </c>
      <c r="AH226" t="str">
        <f>"-"</f>
        <v>-</v>
      </c>
      <c r="AI226" t="str">
        <f>"20000.00"</f>
        <v>20000.00</v>
      </c>
      <c r="AJ226" t="str">
        <f>"C55-000-588-1305-6"</f>
        <v>C55-000-588-1305-6</v>
      </c>
      <c r="AK226" t="str">
        <f>"2498"</f>
        <v>2498</v>
      </c>
      <c r="AL226">
        <v>1</v>
      </c>
      <c r="AM226">
        <v>261</v>
      </c>
      <c r="AN226">
        <v>359.45</v>
      </c>
      <c r="AQ226" t="s">
        <v>2750</v>
      </c>
      <c r="AR226" t="s">
        <v>2750</v>
      </c>
      <c r="AS226" t="s">
        <v>2750</v>
      </c>
      <c r="AU226" t="s">
        <v>396</v>
      </c>
      <c r="AV226">
        <v>2017</v>
      </c>
      <c r="AW226" t="str">
        <f>"41-4N-23-2100-0004-0080 "</f>
        <v xml:space="preserve">41-4N-23-2100-0004-0080 </v>
      </c>
      <c r="AZ226" t="s">
        <v>2751</v>
      </c>
      <c r="BA226" t="s">
        <v>653</v>
      </c>
      <c r="BD226" t="s">
        <v>398</v>
      </c>
      <c r="BE226" t="s">
        <v>393</v>
      </c>
      <c r="BF226">
        <v>32046</v>
      </c>
      <c r="BG226" t="s">
        <v>2752</v>
      </c>
      <c r="BH226" t="s">
        <v>400</v>
      </c>
      <c r="BI226">
        <v>-81.972306233262501</v>
      </c>
      <c r="BJ226">
        <v>30.779413291029499</v>
      </c>
      <c r="BK226" t="s">
        <v>2753</v>
      </c>
      <c r="BL226" t="s">
        <v>2754</v>
      </c>
      <c r="BM226" t="s">
        <v>2755</v>
      </c>
      <c r="BN226" t="s">
        <v>2756</v>
      </c>
      <c r="BO226">
        <v>32080</v>
      </c>
      <c r="BP226" t="s">
        <v>404</v>
      </c>
      <c r="BQ226">
        <v>0</v>
      </c>
      <c r="BR226" t="s">
        <v>491</v>
      </c>
      <c r="BS226">
        <v>8001</v>
      </c>
      <c r="BT226" t="s">
        <v>492</v>
      </c>
      <c r="BW226">
        <v>15750</v>
      </c>
      <c r="BX226" t="s">
        <v>407</v>
      </c>
      <c r="BY226" t="s">
        <v>2729</v>
      </c>
      <c r="CD226">
        <v>2017</v>
      </c>
      <c r="CE226">
        <v>20000</v>
      </c>
      <c r="CG226">
        <v>20000</v>
      </c>
      <c r="CH226">
        <v>2017</v>
      </c>
      <c r="CI226">
        <v>20000</v>
      </c>
      <c r="CK226">
        <v>20000</v>
      </c>
      <c r="CL226">
        <v>2017</v>
      </c>
      <c r="CM226">
        <v>302.77999999999997</v>
      </c>
      <c r="CN226" s="1">
        <v>42559</v>
      </c>
      <c r="CO226">
        <v>60000</v>
      </c>
      <c r="CZ226" s="1">
        <v>42559</v>
      </c>
      <c r="DD226" t="s">
        <v>398</v>
      </c>
      <c r="DF226">
        <v>8</v>
      </c>
      <c r="DG226">
        <v>41</v>
      </c>
      <c r="DJ226" t="s">
        <v>2738</v>
      </c>
      <c r="DL226">
        <v>50400</v>
      </c>
      <c r="DM226" t="s">
        <v>2703</v>
      </c>
      <c r="DO226" t="s">
        <v>2757</v>
      </c>
      <c r="DP226">
        <v>0</v>
      </c>
      <c r="DQ226">
        <v>0</v>
      </c>
      <c r="DR226" t="s">
        <v>411</v>
      </c>
      <c r="EP226" t="s">
        <v>421</v>
      </c>
      <c r="EQ226" t="s">
        <v>422</v>
      </c>
      <c r="ER226">
        <v>0</v>
      </c>
      <c r="ES226">
        <v>1</v>
      </c>
      <c r="ET226">
        <v>0</v>
      </c>
      <c r="EU226">
        <v>0</v>
      </c>
      <c r="EV226">
        <v>0</v>
      </c>
      <c r="EW226" s="2">
        <v>43222</v>
      </c>
      <c r="EX226" s="1">
        <v>42879</v>
      </c>
      <c r="EY226">
        <v>2016</v>
      </c>
      <c r="EZ226">
        <v>321.77</v>
      </c>
      <c r="FA226" t="s">
        <v>2758</v>
      </c>
      <c r="FB226">
        <v>5.5</v>
      </c>
      <c r="FC226" t="s">
        <v>424</v>
      </c>
      <c r="FD226" t="s">
        <v>425</v>
      </c>
      <c r="FE226" s="1">
        <v>42955</v>
      </c>
      <c r="FF226">
        <v>3</v>
      </c>
      <c r="FG226">
        <v>7336143</v>
      </c>
      <c r="FH226" t="s">
        <v>539</v>
      </c>
    </row>
    <row r="227" spans="1:272" x14ac:dyDescent="0.25">
      <c r="A227">
        <v>16485234</v>
      </c>
      <c r="B227">
        <v>226</v>
      </c>
      <c r="C227" t="s">
        <v>393</v>
      </c>
      <c r="D227" t="s">
        <v>394</v>
      </c>
      <c r="F227" t="str">
        <f>"41-4N-23-2100-0005-0020"</f>
        <v>41-4N-23-2100-0005-0020</v>
      </c>
      <c r="H227" t="str">
        <f>"HARVILL LINDA"</f>
        <v>HARVILL LINDA</v>
      </c>
      <c r="I227" t="str">
        <f>"PO BOX 782"</f>
        <v>PO BOX 782</v>
      </c>
      <c r="J227" t="str">
        <f>"HILLIARD FL 32046"</f>
        <v>HILLIARD FL 32046</v>
      </c>
      <c r="K227" t="str">
        <f>"ST MARYS CIR"</f>
        <v>ST MARYS CIR</v>
      </c>
      <c r="L227" t="str">
        <f t="shared" si="60"/>
        <v>HILLIARD FL 32046</v>
      </c>
      <c r="M227" t="str">
        <f>"BLOCK 5 LOT 2 IN OR 1013/1865 ST MARYS HIGHLAND PB 5/12 &amp; 13"</f>
        <v>BLOCK 5 LOT 2 IN OR 1013/1865 ST MARYS HIGHLAND PB 5/12 &amp; 13</v>
      </c>
      <c r="N227" t="str">
        <f>""</f>
        <v/>
      </c>
      <c r="O227" t="str">
        <f>"47016"</f>
        <v>47016</v>
      </c>
      <c r="P227" t="str">
        <f t="shared" si="61"/>
        <v>2017</v>
      </c>
      <c r="Q227" t="str">
        <f>""</f>
        <v/>
      </c>
      <c r="R227" t="str">
        <f>"N"</f>
        <v>N</v>
      </c>
      <c r="S227" t="str">
        <f>""</f>
        <v/>
      </c>
      <c r="T227" t="str">
        <f>"199.00"</f>
        <v>199.00</v>
      </c>
      <c r="U227" t="str">
        <f>"11713.00"</f>
        <v>11713.00</v>
      </c>
      <c r="V227" t="str">
        <f>"11713.00"</f>
        <v>11713.00</v>
      </c>
      <c r="W227" t="str">
        <f t="shared" si="62"/>
        <v>2017</v>
      </c>
      <c r="X227" t="str">
        <f>"21.00"</f>
        <v>21.00</v>
      </c>
      <c r="Y227" t="str">
        <f>"236.97"</f>
        <v>236.97</v>
      </c>
      <c r="Z227" t="str">
        <f>""</f>
        <v/>
      </c>
      <c r="AA227" t="str">
        <f>"15000.00"</f>
        <v>15000.00</v>
      </c>
      <c r="AB227" t="str">
        <f t="shared" si="71"/>
        <v>Residential</v>
      </c>
      <c r="AC227" t="str">
        <f t="shared" si="64"/>
        <v>0</v>
      </c>
      <c r="AD227" t="str">
        <f>""</f>
        <v/>
      </c>
      <c r="AE227" t="str">
        <f>""</f>
        <v/>
      </c>
      <c r="AF227" t="str">
        <f>"000"</f>
        <v>000</v>
      </c>
      <c r="AG227" t="str">
        <f t="shared" ref="AG227:AG242" si="72">"FL"</f>
        <v>FL</v>
      </c>
      <c r="AH227" t="str">
        <f>"-"</f>
        <v>-</v>
      </c>
      <c r="AI227" t="str">
        <f>"15000.00"</f>
        <v>15000.00</v>
      </c>
      <c r="AJ227" t="str">
        <f>"C55-000-588-1309-8"</f>
        <v>C55-000-588-1309-8</v>
      </c>
      <c r="AK227" t="str">
        <f>"2502"</f>
        <v>2502</v>
      </c>
      <c r="AL227">
        <v>1</v>
      </c>
      <c r="AM227">
        <v>262</v>
      </c>
      <c r="AN227">
        <v>247.22</v>
      </c>
      <c r="AQ227" t="s">
        <v>2759</v>
      </c>
      <c r="AR227" t="s">
        <v>2759</v>
      </c>
      <c r="AS227" t="s">
        <v>2759</v>
      </c>
      <c r="AU227" t="s">
        <v>396</v>
      </c>
      <c r="AV227">
        <v>2017</v>
      </c>
      <c r="AW227" t="str">
        <f>"41-4N-23-2100-0005-0020 "</f>
        <v xml:space="preserve">41-4N-23-2100-0005-0020 </v>
      </c>
      <c r="AZ227" t="s">
        <v>2734</v>
      </c>
      <c r="BA227" t="s">
        <v>1799</v>
      </c>
      <c r="BD227" t="s">
        <v>398</v>
      </c>
      <c r="BE227" t="s">
        <v>393</v>
      </c>
      <c r="BF227">
        <v>32046</v>
      </c>
      <c r="BG227" t="s">
        <v>2760</v>
      </c>
      <c r="BH227" t="s">
        <v>400</v>
      </c>
      <c r="BI227">
        <v>-81.972548071396005</v>
      </c>
      <c r="BJ227">
        <v>30.7781515354412</v>
      </c>
      <c r="BK227" t="s">
        <v>2761</v>
      </c>
      <c r="BM227" t="s">
        <v>2762</v>
      </c>
      <c r="BN227" t="s">
        <v>403</v>
      </c>
      <c r="BO227">
        <v>32046</v>
      </c>
      <c r="BP227" t="s">
        <v>404</v>
      </c>
      <c r="BQ227">
        <v>0</v>
      </c>
      <c r="BR227" t="s">
        <v>491</v>
      </c>
      <c r="BS227">
        <v>8001</v>
      </c>
      <c r="BT227" t="s">
        <v>492</v>
      </c>
      <c r="BW227">
        <v>15519</v>
      </c>
      <c r="BX227" t="s">
        <v>407</v>
      </c>
      <c r="BY227" t="s">
        <v>2729</v>
      </c>
      <c r="CD227">
        <v>2017</v>
      </c>
      <c r="CE227">
        <v>15000</v>
      </c>
      <c r="CG227">
        <v>15000</v>
      </c>
      <c r="CH227">
        <v>2017</v>
      </c>
      <c r="CI227">
        <v>15000</v>
      </c>
      <c r="CK227">
        <v>15000</v>
      </c>
      <c r="CL227">
        <v>2017</v>
      </c>
      <c r="CM227">
        <v>199</v>
      </c>
      <c r="CN227" s="1">
        <v>37181</v>
      </c>
      <c r="CO227">
        <v>14000</v>
      </c>
      <c r="CV227">
        <v>0</v>
      </c>
      <c r="CZ227" s="1">
        <v>37181</v>
      </c>
      <c r="DA227">
        <v>0</v>
      </c>
      <c r="DD227" t="s">
        <v>398</v>
      </c>
      <c r="DF227">
        <v>2</v>
      </c>
      <c r="DG227">
        <v>41</v>
      </c>
      <c r="DJ227" t="s">
        <v>2763</v>
      </c>
      <c r="DL227">
        <v>50400</v>
      </c>
      <c r="DM227" t="s">
        <v>2703</v>
      </c>
      <c r="DO227" t="s">
        <v>2764</v>
      </c>
      <c r="DP227">
        <v>0</v>
      </c>
      <c r="DQ227">
        <v>0</v>
      </c>
      <c r="DR227" t="s">
        <v>411</v>
      </c>
      <c r="DS227" t="s">
        <v>695</v>
      </c>
      <c r="EJ227">
        <v>0</v>
      </c>
      <c r="EK227">
        <v>0</v>
      </c>
      <c r="EP227" t="s">
        <v>421</v>
      </c>
      <c r="EQ227" t="s">
        <v>422</v>
      </c>
      <c r="ER227">
        <v>0</v>
      </c>
      <c r="ES227">
        <v>3</v>
      </c>
      <c r="ET227">
        <v>0</v>
      </c>
      <c r="EU227">
        <v>0</v>
      </c>
      <c r="EV227">
        <v>0</v>
      </c>
      <c r="EW227" s="2">
        <v>43222</v>
      </c>
      <c r="EX227" s="1">
        <v>42151</v>
      </c>
      <c r="EY227">
        <v>2014</v>
      </c>
      <c r="EZ227">
        <v>177.86</v>
      </c>
      <c r="FA227" t="s">
        <v>2765</v>
      </c>
      <c r="FB227">
        <v>18</v>
      </c>
      <c r="FC227" t="s">
        <v>424</v>
      </c>
      <c r="FD227" t="s">
        <v>425</v>
      </c>
      <c r="FE227" s="1">
        <v>42425</v>
      </c>
      <c r="FF227">
        <v>9</v>
      </c>
      <c r="FG227">
        <v>10125</v>
      </c>
      <c r="FH227" t="s">
        <v>440</v>
      </c>
      <c r="FJ227" s="1">
        <v>41787</v>
      </c>
      <c r="FK227">
        <v>2013</v>
      </c>
      <c r="FL227">
        <v>151.43</v>
      </c>
      <c r="FM227" t="s">
        <v>2766</v>
      </c>
      <c r="FN227">
        <v>13.25</v>
      </c>
      <c r="FO227" t="s">
        <v>424</v>
      </c>
      <c r="FP227" t="s">
        <v>425</v>
      </c>
      <c r="FQ227" s="1">
        <v>42425</v>
      </c>
      <c r="FR227">
        <v>21</v>
      </c>
      <c r="FS227">
        <v>2035919</v>
      </c>
      <c r="FT227" t="s">
        <v>507</v>
      </c>
      <c r="FV227" s="1">
        <v>41423</v>
      </c>
      <c r="FW227">
        <v>2012</v>
      </c>
      <c r="FX227">
        <v>144.84</v>
      </c>
      <c r="FY227" t="s">
        <v>2767</v>
      </c>
      <c r="FZ227">
        <v>17</v>
      </c>
      <c r="GA227" t="s">
        <v>424</v>
      </c>
      <c r="GB227" t="s">
        <v>425</v>
      </c>
      <c r="GC227" s="1">
        <v>42425</v>
      </c>
      <c r="GD227">
        <v>33</v>
      </c>
      <c r="GE227">
        <v>619</v>
      </c>
      <c r="GF227" t="s">
        <v>2768</v>
      </c>
    </row>
    <row r="228" spans="1:272" x14ac:dyDescent="0.25">
      <c r="A228">
        <v>16485235</v>
      </c>
      <c r="B228">
        <v>227</v>
      </c>
      <c r="C228" t="s">
        <v>393</v>
      </c>
      <c r="D228" t="s">
        <v>394</v>
      </c>
      <c r="F228" t="str">
        <f>"47-4N-23-0000-0001-0040"</f>
        <v>47-4N-23-0000-0001-0040</v>
      </c>
      <c r="H228" t="str">
        <f>"THIGPEN LORITA J"</f>
        <v>THIGPEN LORITA J</v>
      </c>
      <c r="I228" t="str">
        <f>"2113 JERSEY STREET"</f>
        <v>2113 JERSEY STREET</v>
      </c>
      <c r="J228" t="str">
        <f>"JACKSONVILLE FL 32210"</f>
        <v>JACKSONVILLE FL 32210</v>
      </c>
      <c r="K228" t="str">
        <f>"TRACEY RD"</f>
        <v>TRACEY RD</v>
      </c>
      <c r="L228" t="str">
        <f t="shared" si="60"/>
        <v>HILLIARD FL 32046</v>
      </c>
      <c r="M228" t="str">
        <f>"IN OR 921/1215-1217 EX 1-8 &amp; 1-9"</f>
        <v>IN OR 921/1215-1217 EX 1-8 &amp; 1-9</v>
      </c>
      <c r="N228" t="str">
        <f>""</f>
        <v/>
      </c>
      <c r="O228" t="str">
        <f>"53638"</f>
        <v>53638</v>
      </c>
      <c r="P228" t="str">
        <f t="shared" si="61"/>
        <v>2017</v>
      </c>
      <c r="Q228" t="str">
        <f>""</f>
        <v/>
      </c>
      <c r="R228" t="str">
        <f>"N"</f>
        <v>N</v>
      </c>
      <c r="S228" t="str">
        <f>"2.70"</f>
        <v>2.70</v>
      </c>
      <c r="T228" t="str">
        <f>"367.89"</f>
        <v>367.89</v>
      </c>
      <c r="U228" t="str">
        <f>"24300.00"</f>
        <v>24300.00</v>
      </c>
      <c r="V228" t="str">
        <f>"24300.00"</f>
        <v>24300.00</v>
      </c>
      <c r="W228" t="str">
        <f t="shared" si="62"/>
        <v>2017</v>
      </c>
      <c r="X228" t="str">
        <f>"1.00"</f>
        <v>1.00</v>
      </c>
      <c r="Y228" t="str">
        <f>"410.93"</f>
        <v>410.93</v>
      </c>
      <c r="Z228" t="str">
        <f>""</f>
        <v/>
      </c>
      <c r="AA228" t="str">
        <f>"24300.00"</f>
        <v>24300.00</v>
      </c>
      <c r="AB228" t="str">
        <f t="shared" si="71"/>
        <v>Residential</v>
      </c>
      <c r="AC228" t="str">
        <f t="shared" si="64"/>
        <v>0</v>
      </c>
      <c r="AD228" t="str">
        <f>""</f>
        <v/>
      </c>
      <c r="AE228" t="str">
        <f>""</f>
        <v/>
      </c>
      <c r="AF228" t="str">
        <f>"000"</f>
        <v>000</v>
      </c>
      <c r="AG228" t="str">
        <f t="shared" si="72"/>
        <v>FL</v>
      </c>
      <c r="AH228" t="str">
        <f>"117612.00"</f>
        <v>117612.00</v>
      </c>
      <c r="AI228" t="str">
        <f>"24300.00"</f>
        <v>24300.00</v>
      </c>
      <c r="AJ228" t="str">
        <f>"C55-000-588-6260-8"</f>
        <v>C55-000-588-6260-8</v>
      </c>
      <c r="AK228" t="str">
        <f>"2547"</f>
        <v>2547</v>
      </c>
      <c r="AL228">
        <v>1</v>
      </c>
      <c r="AM228">
        <v>263</v>
      </c>
      <c r="AN228">
        <v>429.88</v>
      </c>
      <c r="AQ228" t="s">
        <v>2769</v>
      </c>
      <c r="AR228" t="s">
        <v>2769</v>
      </c>
      <c r="AS228" t="s">
        <v>2769</v>
      </c>
      <c r="AU228" t="s">
        <v>396</v>
      </c>
      <c r="AV228">
        <v>2017</v>
      </c>
      <c r="AW228" t="str">
        <f>"47-4N-23-0000-0001-0040 "</f>
        <v xml:space="preserve">47-4N-23-0000-0001-0040 </v>
      </c>
      <c r="AZ228" t="s">
        <v>2770</v>
      </c>
      <c r="BA228" t="s">
        <v>496</v>
      </c>
      <c r="BD228" t="s">
        <v>398</v>
      </c>
      <c r="BE228" t="s">
        <v>393</v>
      </c>
      <c r="BF228">
        <v>32046</v>
      </c>
      <c r="BG228" t="s">
        <v>2771</v>
      </c>
      <c r="BH228" t="s">
        <v>400</v>
      </c>
      <c r="BI228">
        <v>-81.992263729230302</v>
      </c>
      <c r="BJ228">
        <v>30.773239535906502</v>
      </c>
      <c r="BK228" t="s">
        <v>2772</v>
      </c>
      <c r="BM228" t="s">
        <v>2773</v>
      </c>
      <c r="BN228" t="s">
        <v>548</v>
      </c>
      <c r="BO228">
        <v>32210</v>
      </c>
      <c r="BP228" t="s">
        <v>404</v>
      </c>
      <c r="BQ228">
        <v>0</v>
      </c>
      <c r="BR228" t="s">
        <v>491</v>
      </c>
      <c r="BS228">
        <v>8001</v>
      </c>
      <c r="BT228" t="s">
        <v>492</v>
      </c>
      <c r="BW228">
        <v>117612</v>
      </c>
      <c r="BX228" t="s">
        <v>407</v>
      </c>
      <c r="CD228">
        <v>2017</v>
      </c>
      <c r="CE228">
        <v>24300</v>
      </c>
      <c r="CG228">
        <v>24300</v>
      </c>
      <c r="CH228">
        <v>2017</v>
      </c>
      <c r="CI228">
        <v>24300</v>
      </c>
      <c r="CK228">
        <v>24300</v>
      </c>
      <c r="CL228">
        <v>2017</v>
      </c>
      <c r="CM228">
        <v>367.89</v>
      </c>
      <c r="CN228" s="1">
        <v>36584</v>
      </c>
      <c r="CZ228" s="1">
        <v>36584</v>
      </c>
      <c r="DD228" t="s">
        <v>398</v>
      </c>
      <c r="DG228">
        <v>47</v>
      </c>
      <c r="DL228">
        <v>50400</v>
      </c>
      <c r="DM228" t="s">
        <v>2774</v>
      </c>
      <c r="DO228" t="s">
        <v>2775</v>
      </c>
      <c r="DP228">
        <v>0</v>
      </c>
      <c r="DQ228">
        <v>0</v>
      </c>
      <c r="DR228" t="s">
        <v>411</v>
      </c>
    </row>
    <row r="229" spans="1:272" x14ac:dyDescent="0.25">
      <c r="A229">
        <v>16485236</v>
      </c>
      <c r="B229">
        <v>228</v>
      </c>
      <c r="C229" t="s">
        <v>393</v>
      </c>
      <c r="D229" t="s">
        <v>394</v>
      </c>
      <c r="F229" t="str">
        <f>"49-4N-23-0000-0007-0010"</f>
        <v>49-4N-23-0000-0007-0010</v>
      </c>
      <c r="H229" t="str">
        <f>"BOUCHARD JOSEPH E IV &amp; MUSSELMAN DIANE F (M&amp;S)(JT/RS)"</f>
        <v>BOUCHARD JOSEPH E IV &amp; MUSSELMAN DIANE F (M&amp;S)(JT/RS)</v>
      </c>
      <c r="I229" t="str">
        <f>"2845 FOXGLOVE PLACE"</f>
        <v>2845 FOXGLOVE PLACE</v>
      </c>
      <c r="J229" t="str">
        <f>"HILLIARD FL 32046"</f>
        <v>HILLIARD FL 32046</v>
      </c>
      <c r="K229" t="str">
        <f>"2845 FOXGLOVE PL"</f>
        <v>2845 FOXGLOVE PL</v>
      </c>
      <c r="L229" t="str">
        <f t="shared" si="60"/>
        <v>HILLIARD FL 32046</v>
      </c>
      <c r="M229" t="str">
        <f>"IN OR 1299/550"</f>
        <v>IN OR 1299/550</v>
      </c>
      <c r="N229" t="str">
        <f>""</f>
        <v/>
      </c>
      <c r="O229" t="str">
        <f>"54040"</f>
        <v>54040</v>
      </c>
      <c r="P229" t="str">
        <f t="shared" si="61"/>
        <v>2017</v>
      </c>
      <c r="Q229" t="str">
        <f>""</f>
        <v/>
      </c>
      <c r="R229" t="str">
        <f>"Y"</f>
        <v>Y</v>
      </c>
      <c r="S229" t="str">
        <f>"1.00"</f>
        <v>1.00</v>
      </c>
      <c r="T229" t="str">
        <f>"397.99"</f>
        <v>397.99</v>
      </c>
      <c r="U229" t="str">
        <f>"52956.00"</f>
        <v>52956.00</v>
      </c>
      <c r="V229" t="str">
        <f>"52956.00"</f>
        <v>52956.00</v>
      </c>
      <c r="W229" t="str">
        <f t="shared" si="62"/>
        <v>2017</v>
      </c>
      <c r="X229" t="str">
        <f>""</f>
        <v/>
      </c>
      <c r="Y229" t="str">
        <f>"441.93"</f>
        <v>441.93</v>
      </c>
      <c r="Z229" t="str">
        <f>"25000.00"</f>
        <v>25000.00</v>
      </c>
      <c r="AA229" t="str">
        <f>"27956.00"</f>
        <v>27956.00</v>
      </c>
      <c r="AB229" t="str">
        <f t="shared" si="71"/>
        <v>Residential</v>
      </c>
      <c r="AC229" t="str">
        <f t="shared" si="64"/>
        <v>0</v>
      </c>
      <c r="AD229" t="str">
        <f>"4"</f>
        <v>4</v>
      </c>
      <c r="AE229" t="str">
        <f>"WOOD (INCLUDE STEEL STUDS)"</f>
        <v>WOOD (INCLUDE STEEL STUDS)</v>
      </c>
      <c r="AF229" t="str">
        <f>"001"</f>
        <v>001</v>
      </c>
      <c r="AG229" t="str">
        <f t="shared" si="72"/>
        <v>FL</v>
      </c>
      <c r="AH229" t="str">
        <f>"43560.00"</f>
        <v>43560.00</v>
      </c>
      <c r="AI229" t="str">
        <f>"15000.00"</f>
        <v>15000.00</v>
      </c>
      <c r="AJ229" t="str">
        <f>"C55-000-588-6618-7"</f>
        <v>C55-000-588-6618-7</v>
      </c>
      <c r="AK229" t="str">
        <f>"2564"</f>
        <v>2564</v>
      </c>
      <c r="AL229">
        <v>1</v>
      </c>
      <c r="AM229">
        <v>264</v>
      </c>
      <c r="AN229">
        <v>462.43</v>
      </c>
      <c r="AQ229" t="s">
        <v>2776</v>
      </c>
      <c r="AR229" t="s">
        <v>2776</v>
      </c>
      <c r="AS229" t="s">
        <v>2776</v>
      </c>
      <c r="AU229" t="s">
        <v>396</v>
      </c>
      <c r="AV229">
        <v>2017</v>
      </c>
      <c r="AW229" t="str">
        <f>"49-4N-23-0000-0007-0010 "</f>
        <v xml:space="preserve">49-4N-23-0000-0007-0010 </v>
      </c>
      <c r="AX229">
        <v>2845</v>
      </c>
      <c r="AZ229" t="s">
        <v>2777</v>
      </c>
      <c r="BA229" t="s">
        <v>641</v>
      </c>
      <c r="BD229" t="s">
        <v>398</v>
      </c>
      <c r="BE229" t="s">
        <v>393</v>
      </c>
      <c r="BF229">
        <v>32046</v>
      </c>
      <c r="BG229" t="s">
        <v>2778</v>
      </c>
      <c r="BH229" t="s">
        <v>400</v>
      </c>
      <c r="BI229">
        <v>-81.981509712488005</v>
      </c>
      <c r="BJ229">
        <v>30.773887227498701</v>
      </c>
      <c r="BK229" t="s">
        <v>2779</v>
      </c>
      <c r="BM229" t="s">
        <v>2780</v>
      </c>
      <c r="BN229" t="s">
        <v>403</v>
      </c>
      <c r="BO229">
        <v>32046</v>
      </c>
      <c r="BP229" t="s">
        <v>416</v>
      </c>
      <c r="BQ229">
        <v>100</v>
      </c>
      <c r="BR229" t="s">
        <v>514</v>
      </c>
      <c r="BS229">
        <v>1001</v>
      </c>
      <c r="BT229" t="s">
        <v>515</v>
      </c>
      <c r="BW229">
        <v>43560</v>
      </c>
      <c r="BX229" t="s">
        <v>407</v>
      </c>
      <c r="BY229" t="s">
        <v>408</v>
      </c>
      <c r="BZ229">
        <v>4</v>
      </c>
      <c r="CA229">
        <v>1954</v>
      </c>
      <c r="CB229">
        <v>1</v>
      </c>
      <c r="CC229">
        <v>1</v>
      </c>
      <c r="CD229">
        <v>2017</v>
      </c>
      <c r="CG229">
        <v>52956</v>
      </c>
      <c r="CH229">
        <v>2017</v>
      </c>
      <c r="CI229">
        <v>15000</v>
      </c>
      <c r="CJ229">
        <v>49119</v>
      </c>
      <c r="CK229">
        <v>64119</v>
      </c>
      <c r="CL229">
        <v>2017</v>
      </c>
      <c r="CM229">
        <v>397.99</v>
      </c>
      <c r="CN229" s="1">
        <v>38413</v>
      </c>
      <c r="CZ229" s="1">
        <v>38413</v>
      </c>
      <c r="DD229" t="s">
        <v>398</v>
      </c>
      <c r="DG229">
        <v>49</v>
      </c>
      <c r="DL229">
        <v>50400</v>
      </c>
      <c r="DM229" t="s">
        <v>2781</v>
      </c>
      <c r="DO229" t="s">
        <v>2782</v>
      </c>
      <c r="DP229">
        <v>0</v>
      </c>
      <c r="DQ229">
        <v>0</v>
      </c>
      <c r="DR229" t="s">
        <v>411</v>
      </c>
      <c r="DS229" t="b">
        <v>1</v>
      </c>
      <c r="DT229" t="s">
        <v>470</v>
      </c>
      <c r="DU229" t="s">
        <v>471</v>
      </c>
      <c r="DV229" t="s">
        <v>472</v>
      </c>
      <c r="DX229">
        <v>-9999</v>
      </c>
      <c r="DZ229" t="s">
        <v>447</v>
      </c>
      <c r="EA229" t="s">
        <v>448</v>
      </c>
      <c r="EB229" t="s">
        <v>1224</v>
      </c>
      <c r="EC229">
        <v>20101217</v>
      </c>
      <c r="ED229" t="s">
        <v>474</v>
      </c>
      <c r="EF229">
        <v>754.1</v>
      </c>
      <c r="EG229">
        <v>754.1</v>
      </c>
      <c r="EI229">
        <v>20160407</v>
      </c>
      <c r="EJ229">
        <v>0</v>
      </c>
      <c r="EK229">
        <v>0</v>
      </c>
    </row>
    <row r="230" spans="1:272" x14ac:dyDescent="0.25">
      <c r="A230">
        <v>16485237</v>
      </c>
      <c r="B230">
        <v>229</v>
      </c>
      <c r="C230" t="s">
        <v>393</v>
      </c>
      <c r="D230" t="s">
        <v>394</v>
      </c>
      <c r="F230" t="str">
        <f>"01-1N-24-0000-0001-0020"</f>
        <v>01-1N-24-0000-0001-0020</v>
      </c>
      <c r="H230" t="str">
        <f>"TYNER ALBERT J &amp; MARGARET S"</f>
        <v>TYNER ALBERT J &amp; MARGARET S</v>
      </c>
      <c r="I230" t="str">
        <f>"44191 KINGBIRD DRIVE"</f>
        <v>44191 KINGBIRD DRIVE</v>
      </c>
      <c r="J230" t="str">
        <f>"CALLAHAN FL 32011"</f>
        <v>CALLAHAN FL 32011</v>
      </c>
      <c r="K230" t="str">
        <f>"44191 KINGBIRD DR"</f>
        <v>44191 KINGBIRD DR</v>
      </c>
      <c r="L230" t="str">
        <f t="shared" ref="L230:L261" si="73">"CALLAHAN FL 32011"</f>
        <v>CALLAHAN FL 32011</v>
      </c>
      <c r="M230" t="str">
        <f>"IN OR 1269/1152 2002 FTWD DWMH 2007 HOME OF MERIT DW/MH ESMT OR 1457/1461"</f>
        <v>IN OR 1269/1152 2002 FTWD DWMH 2007 HOME OF MERIT DW/MH ESMT OR 1457/1461</v>
      </c>
      <c r="N230" t="str">
        <f>""</f>
        <v/>
      </c>
      <c r="O230" t="str">
        <f>"15089"</f>
        <v>15089</v>
      </c>
      <c r="P230" t="str">
        <f t="shared" si="61"/>
        <v>2017</v>
      </c>
      <c r="Q230" t="str">
        <f>""</f>
        <v/>
      </c>
      <c r="R230" t="str">
        <f>"Y"</f>
        <v>Y</v>
      </c>
      <c r="S230" t="str">
        <f>"5.00"</f>
        <v>5.00</v>
      </c>
      <c r="T230" t="str">
        <f>"1428.56"</f>
        <v>1428.56</v>
      </c>
      <c r="U230" t="str">
        <f>"130440.00"</f>
        <v>130440.00</v>
      </c>
      <c r="V230" t="str">
        <f>"130440.00"</f>
        <v>130440.00</v>
      </c>
      <c r="W230" t="str">
        <f t="shared" si="62"/>
        <v>2017</v>
      </c>
      <c r="X230" t="str">
        <f>"11.33"</f>
        <v>11.33</v>
      </c>
      <c r="Y230" t="str">
        <f>"1503.42"</f>
        <v>1503.42</v>
      </c>
      <c r="Z230" t="str">
        <f>"25000.00"</f>
        <v>25000.00</v>
      </c>
      <c r="AA230" t="str">
        <f>"112388.00"</f>
        <v>112388.00</v>
      </c>
      <c r="AB230" t="str">
        <f t="shared" si="71"/>
        <v>Residential</v>
      </c>
      <c r="AC230" t="str">
        <f t="shared" si="64"/>
        <v>0</v>
      </c>
      <c r="AD230" t="str">
        <f>"4"</f>
        <v>4</v>
      </c>
      <c r="AE230" t="str">
        <f>"WOOD (INCLUDE STEEL STUDS)"</f>
        <v>WOOD (INCLUDE STEEL STUDS)</v>
      </c>
      <c r="AF230" t="str">
        <f>"002"</f>
        <v>002</v>
      </c>
      <c r="AG230" t="str">
        <f t="shared" si="72"/>
        <v>FL</v>
      </c>
      <c r="AH230" t="str">
        <f>"217800.00"</f>
        <v>217800.00</v>
      </c>
      <c r="AI230" t="str">
        <f>"40000.00"</f>
        <v>40000.00</v>
      </c>
      <c r="AJ230" t="str">
        <f>"C55-000-586-1725-9"</f>
        <v>C55-000-586-1725-9</v>
      </c>
      <c r="AK230" t="str">
        <f>"3423"</f>
        <v>3423</v>
      </c>
      <c r="AL230">
        <v>1</v>
      </c>
      <c r="AM230">
        <v>265</v>
      </c>
      <c r="AN230">
        <v>1576.99</v>
      </c>
      <c r="AQ230" t="s">
        <v>2783</v>
      </c>
      <c r="AR230" t="s">
        <v>2783</v>
      </c>
      <c r="AS230" t="s">
        <v>2783</v>
      </c>
      <c r="AU230" t="s">
        <v>396</v>
      </c>
      <c r="AV230">
        <v>2017</v>
      </c>
      <c r="AW230" t="str">
        <f>"01-1N-24-0000-0001-0020 "</f>
        <v xml:space="preserve">01-1N-24-0000-0001-0020 </v>
      </c>
      <c r="AX230">
        <v>44191</v>
      </c>
      <c r="AZ230" t="s">
        <v>2784</v>
      </c>
      <c r="BA230" t="s">
        <v>669</v>
      </c>
      <c r="BD230" t="s">
        <v>2785</v>
      </c>
      <c r="BE230" t="s">
        <v>393</v>
      </c>
      <c r="BF230">
        <v>32011</v>
      </c>
      <c r="BG230" t="s">
        <v>2786</v>
      </c>
      <c r="BH230" t="s">
        <v>2787</v>
      </c>
      <c r="BI230">
        <v>-81.8513899467832</v>
      </c>
      <c r="BJ230">
        <v>30.538557349490599</v>
      </c>
      <c r="BK230" t="s">
        <v>2788</v>
      </c>
      <c r="BM230" t="s">
        <v>2789</v>
      </c>
      <c r="BN230" t="s">
        <v>928</v>
      </c>
      <c r="BO230">
        <v>32011</v>
      </c>
      <c r="BP230" t="s">
        <v>416</v>
      </c>
      <c r="BQ230">
        <v>200</v>
      </c>
      <c r="BR230" t="s">
        <v>405</v>
      </c>
      <c r="BS230">
        <v>1006</v>
      </c>
      <c r="BT230" t="s">
        <v>406</v>
      </c>
      <c r="BW230">
        <v>217800</v>
      </c>
      <c r="BX230" t="s">
        <v>407</v>
      </c>
      <c r="BZ230">
        <v>4</v>
      </c>
      <c r="CA230">
        <v>2002</v>
      </c>
      <c r="CB230">
        <v>1</v>
      </c>
      <c r="CC230">
        <v>2</v>
      </c>
      <c r="CD230">
        <v>2017</v>
      </c>
      <c r="CG230">
        <v>137388</v>
      </c>
      <c r="CH230">
        <v>2017</v>
      </c>
      <c r="CI230">
        <v>40000</v>
      </c>
      <c r="CJ230">
        <v>99136</v>
      </c>
      <c r="CK230">
        <v>139136</v>
      </c>
      <c r="CL230">
        <v>2017</v>
      </c>
      <c r="CM230">
        <v>1428.56</v>
      </c>
      <c r="CN230" s="1">
        <v>38288</v>
      </c>
      <c r="CO230">
        <v>112000</v>
      </c>
      <c r="CV230">
        <v>0</v>
      </c>
      <c r="CZ230" s="1">
        <v>38288</v>
      </c>
      <c r="DA230">
        <v>0</v>
      </c>
      <c r="DD230" t="s">
        <v>2785</v>
      </c>
      <c r="DG230">
        <v>1</v>
      </c>
      <c r="DL230">
        <v>50503</v>
      </c>
      <c r="DM230" t="s">
        <v>2790</v>
      </c>
      <c r="DO230" t="s">
        <v>2791</v>
      </c>
      <c r="DP230">
        <v>0</v>
      </c>
      <c r="DQ230">
        <v>0</v>
      </c>
      <c r="DR230" t="s">
        <v>411</v>
      </c>
      <c r="DS230" t="b">
        <v>1</v>
      </c>
      <c r="DT230" t="s">
        <v>396</v>
      </c>
      <c r="DV230" t="s">
        <v>446</v>
      </c>
      <c r="DX230">
        <v>-9999</v>
      </c>
      <c r="DZ230" t="s">
        <v>447</v>
      </c>
      <c r="EA230" t="s">
        <v>448</v>
      </c>
      <c r="EB230" t="s">
        <v>2792</v>
      </c>
      <c r="EC230">
        <v>20101217</v>
      </c>
      <c r="ED230" t="s">
        <v>450</v>
      </c>
      <c r="EE230">
        <v>19.7</v>
      </c>
      <c r="EF230">
        <v>0</v>
      </c>
      <c r="EG230">
        <v>0</v>
      </c>
      <c r="EH230" t="s">
        <v>451</v>
      </c>
      <c r="EI230">
        <v>20140731</v>
      </c>
      <c r="EJ230">
        <v>0</v>
      </c>
      <c r="EK230">
        <v>0</v>
      </c>
      <c r="EP230" t="s">
        <v>421</v>
      </c>
      <c r="EQ230" t="s">
        <v>452</v>
      </c>
      <c r="ER230">
        <v>0</v>
      </c>
      <c r="ES230">
        <v>7</v>
      </c>
      <c r="ET230">
        <v>0</v>
      </c>
      <c r="EU230">
        <v>0</v>
      </c>
      <c r="EV230">
        <v>0</v>
      </c>
      <c r="EW230" s="2">
        <v>43222</v>
      </c>
      <c r="EX230" s="1">
        <v>42879</v>
      </c>
      <c r="EY230">
        <v>2016</v>
      </c>
      <c r="EZ230">
        <v>1456.81</v>
      </c>
      <c r="FA230" t="s">
        <v>2793</v>
      </c>
      <c r="FB230">
        <v>0.25</v>
      </c>
      <c r="FC230" t="s">
        <v>424</v>
      </c>
      <c r="FD230" t="s">
        <v>425</v>
      </c>
      <c r="FE230" s="1">
        <v>42916</v>
      </c>
      <c r="FF230">
        <v>1</v>
      </c>
      <c r="FG230">
        <v>2851116</v>
      </c>
      <c r="FH230" t="s">
        <v>480</v>
      </c>
      <c r="FJ230" s="1">
        <v>42879</v>
      </c>
      <c r="FK230">
        <v>2016</v>
      </c>
      <c r="FL230">
        <v>1456.81</v>
      </c>
      <c r="FM230" t="s">
        <v>2793</v>
      </c>
      <c r="FN230">
        <v>0.25</v>
      </c>
      <c r="FO230" t="s">
        <v>424</v>
      </c>
      <c r="FP230" t="s">
        <v>425</v>
      </c>
      <c r="FR230">
        <v>22</v>
      </c>
      <c r="FS230">
        <v>5290183</v>
      </c>
      <c r="FT230" t="s">
        <v>2794</v>
      </c>
      <c r="FV230" s="1">
        <v>42151</v>
      </c>
      <c r="FW230">
        <v>2014</v>
      </c>
      <c r="FX230">
        <v>1599.05</v>
      </c>
      <c r="FY230" t="s">
        <v>2795</v>
      </c>
      <c r="FZ230">
        <v>0.25</v>
      </c>
      <c r="GA230" t="s">
        <v>424</v>
      </c>
      <c r="GB230" t="s">
        <v>425</v>
      </c>
      <c r="GC230" s="1">
        <v>42475</v>
      </c>
      <c r="GD230">
        <v>11</v>
      </c>
      <c r="GE230">
        <v>4975594</v>
      </c>
      <c r="GF230" t="s">
        <v>457</v>
      </c>
      <c r="GG230" t="s">
        <v>458</v>
      </c>
      <c r="GH230" s="1">
        <v>42151</v>
      </c>
      <c r="GI230">
        <v>2014</v>
      </c>
      <c r="GJ230">
        <v>1599.05</v>
      </c>
      <c r="GK230" t="s">
        <v>2795</v>
      </c>
      <c r="GL230">
        <v>0.25</v>
      </c>
      <c r="GM230" t="s">
        <v>424</v>
      </c>
      <c r="GN230" t="s">
        <v>425</v>
      </c>
      <c r="GP230">
        <v>22</v>
      </c>
      <c r="GQ230">
        <v>6536658</v>
      </c>
      <c r="GR230" t="s">
        <v>2796</v>
      </c>
      <c r="GS230" t="s">
        <v>458</v>
      </c>
      <c r="GT230" s="1">
        <v>41787</v>
      </c>
      <c r="GU230">
        <v>2013</v>
      </c>
      <c r="GV230">
        <v>1602.13</v>
      </c>
      <c r="GW230" t="s">
        <v>2797</v>
      </c>
      <c r="GX230">
        <v>0.25</v>
      </c>
      <c r="GY230" t="s">
        <v>424</v>
      </c>
      <c r="GZ230" t="s">
        <v>425</v>
      </c>
      <c r="HB230">
        <v>22</v>
      </c>
      <c r="HC230">
        <v>2407503</v>
      </c>
      <c r="HD230" t="s">
        <v>461</v>
      </c>
      <c r="HE230" t="s">
        <v>458</v>
      </c>
      <c r="HF230" s="1">
        <v>41423</v>
      </c>
      <c r="HG230">
        <v>2012</v>
      </c>
      <c r="HH230">
        <v>1917.96</v>
      </c>
      <c r="HI230" t="s">
        <v>2798</v>
      </c>
      <c r="HJ230">
        <v>0.25</v>
      </c>
      <c r="HK230" t="s">
        <v>424</v>
      </c>
      <c r="HL230" t="s">
        <v>425</v>
      </c>
      <c r="HM230" s="1">
        <v>42069</v>
      </c>
      <c r="HN230">
        <v>22</v>
      </c>
      <c r="HO230">
        <v>1155951</v>
      </c>
      <c r="HP230" t="s">
        <v>1451</v>
      </c>
      <c r="HR230" s="1">
        <v>40688</v>
      </c>
      <c r="HS230">
        <v>2010</v>
      </c>
      <c r="HT230">
        <v>2497.39</v>
      </c>
      <c r="HU230" t="s">
        <v>2799</v>
      </c>
      <c r="HV230">
        <v>0.25</v>
      </c>
      <c r="HW230" t="s">
        <v>424</v>
      </c>
      <c r="HX230" t="s">
        <v>425</v>
      </c>
      <c r="HY230" s="1">
        <v>40830</v>
      </c>
      <c r="HZ230">
        <v>5</v>
      </c>
      <c r="IA230">
        <v>11287</v>
      </c>
      <c r="IB230" t="s">
        <v>511</v>
      </c>
    </row>
    <row r="231" spans="1:272" x14ac:dyDescent="0.25">
      <c r="A231">
        <v>16485238</v>
      </c>
      <c r="B231">
        <v>230</v>
      </c>
      <c r="C231" t="s">
        <v>393</v>
      </c>
      <c r="D231" t="s">
        <v>394</v>
      </c>
      <c r="F231" t="str">
        <f>"01-1N-24-0000-0002-0130"</f>
        <v>01-1N-24-0000-0002-0130</v>
      </c>
      <c r="H231" t="str">
        <f>"REAVES SHAWN C"</f>
        <v>REAVES SHAWN C</v>
      </c>
      <c r="I231" t="str">
        <f>"44110 SANDY FORD RD"</f>
        <v>44110 SANDY FORD RD</v>
      </c>
      <c r="J231" t="str">
        <f>"CALLAHAN FL 32011"</f>
        <v>CALLAHAN FL 32011</v>
      </c>
      <c r="K231" t="str">
        <f>"44110 SANDY FORD RD"</f>
        <v>44110 SANDY FORD RD</v>
      </c>
      <c r="L231" t="str">
        <f t="shared" si="73"/>
        <v>CALLAHAN FL 32011</v>
      </c>
      <c r="M231" t="str">
        <f>"IN OR 1997/953 2000 KINGS DW/MH"</f>
        <v>IN OR 1997/953 2000 KINGS DW/MH</v>
      </c>
      <c r="N231" t="str">
        <f>""</f>
        <v/>
      </c>
      <c r="O231" t="str">
        <f>"15103"</f>
        <v>15103</v>
      </c>
      <c r="P231" t="str">
        <f t="shared" si="61"/>
        <v>2017</v>
      </c>
      <c r="Q231" t="str">
        <f>""</f>
        <v/>
      </c>
      <c r="R231" t="str">
        <f>"N"</f>
        <v>N</v>
      </c>
      <c r="S231" t="str">
        <f>"1.01"</f>
        <v>1.01</v>
      </c>
      <c r="T231" t="str">
        <f>"583.48"</f>
        <v>583.48</v>
      </c>
      <c r="U231" t="str">
        <f>"37837.00"</f>
        <v>37837.00</v>
      </c>
      <c r="V231" t="str">
        <f>"37837.00"</f>
        <v>37837.00</v>
      </c>
      <c r="W231" t="str">
        <f t="shared" si="62"/>
        <v>2017</v>
      </c>
      <c r="X231" t="str">
        <f>""</f>
        <v/>
      </c>
      <c r="Y231" t="str">
        <f>"632.98"</f>
        <v>632.98</v>
      </c>
      <c r="Z231" t="str">
        <f>""</f>
        <v/>
      </c>
      <c r="AA231" t="str">
        <f>"39452.00"</f>
        <v>39452.00</v>
      </c>
      <c r="AB231" t="str">
        <f t="shared" si="71"/>
        <v>Residential</v>
      </c>
      <c r="AC231" t="str">
        <f t="shared" si="64"/>
        <v>0</v>
      </c>
      <c r="AD231" t="str">
        <f>"4"</f>
        <v>4</v>
      </c>
      <c r="AE231" t="str">
        <f>"WOOD (INCLUDE STEEL STUDS)"</f>
        <v>WOOD (INCLUDE STEEL STUDS)</v>
      </c>
      <c r="AF231" t="str">
        <f>"002"</f>
        <v>002</v>
      </c>
      <c r="AG231" t="str">
        <f t="shared" si="72"/>
        <v>FL</v>
      </c>
      <c r="AH231" t="str">
        <f>"43995.00"</f>
        <v>43995.00</v>
      </c>
      <c r="AI231" t="str">
        <f>"15150.00"</f>
        <v>15150.00</v>
      </c>
      <c r="AJ231" t="str">
        <f>"C55-000-586-1737-4"</f>
        <v>C55-000-586-1737-4</v>
      </c>
      <c r="AK231" t="str">
        <f>"3435"</f>
        <v>3435</v>
      </c>
      <c r="AL231">
        <v>1</v>
      </c>
      <c r="AM231">
        <v>266</v>
      </c>
      <c r="AN231">
        <v>663.03</v>
      </c>
      <c r="AQ231" t="s">
        <v>2800</v>
      </c>
      <c r="AR231" t="s">
        <v>2800</v>
      </c>
      <c r="AS231" t="s">
        <v>2800</v>
      </c>
      <c r="AU231" t="s">
        <v>396</v>
      </c>
      <c r="AV231">
        <v>2017</v>
      </c>
      <c r="AW231" t="str">
        <f>"01-1N-24-0000-0002-0130 "</f>
        <v xml:space="preserve">01-1N-24-0000-0002-0130 </v>
      </c>
      <c r="AX231">
        <v>44110</v>
      </c>
      <c r="AZ231" t="s">
        <v>2801</v>
      </c>
      <c r="BA231" t="s">
        <v>496</v>
      </c>
      <c r="BD231" t="s">
        <v>2785</v>
      </c>
      <c r="BE231" t="s">
        <v>393</v>
      </c>
      <c r="BF231">
        <v>32011</v>
      </c>
      <c r="BG231" t="s">
        <v>2802</v>
      </c>
      <c r="BH231" t="s">
        <v>2787</v>
      </c>
      <c r="BI231">
        <v>-81.862743589569106</v>
      </c>
      <c r="BJ231">
        <v>30.530402557057201</v>
      </c>
      <c r="BK231" t="s">
        <v>2803</v>
      </c>
      <c r="BM231" t="s">
        <v>2802</v>
      </c>
      <c r="BN231" t="s">
        <v>928</v>
      </c>
      <c r="BO231">
        <v>32011</v>
      </c>
      <c r="BP231" t="s">
        <v>416</v>
      </c>
      <c r="BQ231">
        <v>200</v>
      </c>
      <c r="BR231" t="s">
        <v>405</v>
      </c>
      <c r="BS231">
        <v>1006</v>
      </c>
      <c r="BT231" t="s">
        <v>406</v>
      </c>
      <c r="BW231">
        <v>43995</v>
      </c>
      <c r="BX231" t="s">
        <v>407</v>
      </c>
      <c r="BY231" t="s">
        <v>408</v>
      </c>
      <c r="BZ231">
        <v>4</v>
      </c>
      <c r="CA231">
        <v>2000</v>
      </c>
      <c r="CB231">
        <v>1</v>
      </c>
      <c r="CC231">
        <v>1</v>
      </c>
      <c r="CD231">
        <v>2017</v>
      </c>
      <c r="CE231">
        <v>15150</v>
      </c>
      <c r="CF231">
        <v>24302</v>
      </c>
      <c r="CG231">
        <v>39452</v>
      </c>
      <c r="CH231">
        <v>2017</v>
      </c>
      <c r="CI231">
        <v>15150</v>
      </c>
      <c r="CJ231">
        <v>24302</v>
      </c>
      <c r="CK231">
        <v>39452</v>
      </c>
      <c r="CL231">
        <v>2017</v>
      </c>
      <c r="CM231">
        <v>583.48</v>
      </c>
      <c r="CN231" s="1">
        <v>42230</v>
      </c>
      <c r="CO231">
        <v>29000</v>
      </c>
      <c r="CV231">
        <v>0</v>
      </c>
      <c r="CZ231" s="1">
        <v>42230</v>
      </c>
      <c r="DA231">
        <v>0</v>
      </c>
      <c r="DD231" t="s">
        <v>2785</v>
      </c>
      <c r="DG231">
        <v>1</v>
      </c>
      <c r="DL231">
        <v>50503</v>
      </c>
      <c r="DM231" t="s">
        <v>2790</v>
      </c>
      <c r="DO231" t="s">
        <v>2804</v>
      </c>
      <c r="DP231">
        <v>0</v>
      </c>
      <c r="DQ231">
        <v>0</v>
      </c>
      <c r="DR231" t="s">
        <v>411</v>
      </c>
    </row>
    <row r="232" spans="1:272" x14ac:dyDescent="0.25">
      <c r="A232">
        <v>16485239</v>
      </c>
      <c r="B232">
        <v>231</v>
      </c>
      <c r="C232" t="s">
        <v>393</v>
      </c>
      <c r="D232" t="s">
        <v>394</v>
      </c>
      <c r="F232" t="str">
        <f>"01-1N-24-0000-0003-0100"</f>
        <v>01-1N-24-0000-0003-0100</v>
      </c>
      <c r="H232" t="str">
        <f>"DENMARK DARRELL A"</f>
        <v>DENMARK DARRELL A</v>
      </c>
      <c r="I232" t="str">
        <f>"44244 HIGGINBOTHAM DRIVE"</f>
        <v>44244 HIGGINBOTHAM DRIVE</v>
      </c>
      <c r="J232" t="str">
        <f>"CALLAHAN FL 32011"</f>
        <v>CALLAHAN FL 32011</v>
      </c>
      <c r="K232" t="str">
        <f>"44244 HIGGINBOTHAM DR"</f>
        <v>44244 HIGGINBOTHAM DR</v>
      </c>
      <c r="L232" t="str">
        <f t="shared" si="73"/>
        <v>CALLAHAN FL 32011</v>
      </c>
      <c r="M232" t="str">
        <f>"IN OR 763/610 &amp; OR 1799/522"</f>
        <v>IN OR 763/610 &amp; OR 1799/522</v>
      </c>
      <c r="N232" t="str">
        <f>""</f>
        <v/>
      </c>
      <c r="O232" t="str">
        <f>"15120"</f>
        <v>15120</v>
      </c>
      <c r="P232" t="str">
        <f t="shared" si="61"/>
        <v>2017</v>
      </c>
      <c r="Q232" t="str">
        <f>""</f>
        <v/>
      </c>
      <c r="R232" t="str">
        <f>"Y"</f>
        <v>Y</v>
      </c>
      <c r="S232" t="str">
        <f>"1.00"</f>
        <v>1.00</v>
      </c>
      <c r="T232" t="str">
        <f>"530.37"</f>
        <v>530.37</v>
      </c>
      <c r="U232" t="str">
        <f>"73020.00"</f>
        <v>73020.00</v>
      </c>
      <c r="V232" t="str">
        <f>"73020.00"</f>
        <v>73020.00</v>
      </c>
      <c r="W232" t="str">
        <f t="shared" si="62"/>
        <v>2017</v>
      </c>
      <c r="X232" t="str">
        <f>""</f>
        <v/>
      </c>
      <c r="Y232" t="str">
        <f>"578.28"</f>
        <v>578.28</v>
      </c>
      <c r="Z232" t="str">
        <f>"25000.00"</f>
        <v>25000.00</v>
      </c>
      <c r="AA232" t="str">
        <f>"48020.00"</f>
        <v>48020.00</v>
      </c>
      <c r="AB232" t="str">
        <f t="shared" si="71"/>
        <v>Residential</v>
      </c>
      <c r="AC232" t="str">
        <f t="shared" si="64"/>
        <v>0</v>
      </c>
      <c r="AD232" t="str">
        <f>"4"</f>
        <v>4</v>
      </c>
      <c r="AE232" t="str">
        <f>"WOOD (INCLUDE STEEL STUDS)"</f>
        <v>WOOD (INCLUDE STEEL STUDS)</v>
      </c>
      <c r="AF232" t="str">
        <f>"001"</f>
        <v>001</v>
      </c>
      <c r="AG232" t="str">
        <f t="shared" si="72"/>
        <v>FL</v>
      </c>
      <c r="AH232" t="str">
        <f>"43560.00"</f>
        <v>43560.00</v>
      </c>
      <c r="AI232" t="str">
        <f>"15000.00"</f>
        <v>15000.00</v>
      </c>
      <c r="AJ232" t="str">
        <f>"C55-000-586-1748-1"</f>
        <v>C55-000-586-1748-1</v>
      </c>
      <c r="AK232" t="str">
        <f>"3449"</f>
        <v>3449</v>
      </c>
      <c r="AL232">
        <v>1</v>
      </c>
      <c r="AM232">
        <v>267</v>
      </c>
      <c r="AN232">
        <v>605.59</v>
      </c>
      <c r="AQ232" t="s">
        <v>2805</v>
      </c>
      <c r="AR232" t="s">
        <v>2805</v>
      </c>
      <c r="AS232" t="s">
        <v>2805</v>
      </c>
      <c r="AU232" t="s">
        <v>396</v>
      </c>
      <c r="AV232">
        <v>2017</v>
      </c>
      <c r="AW232" t="str">
        <f>"01-1N-24-0000-0003-0100 "</f>
        <v xml:space="preserve">01-1N-24-0000-0003-0100 </v>
      </c>
      <c r="AX232">
        <v>44244</v>
      </c>
      <c r="AZ232" t="s">
        <v>2806</v>
      </c>
      <c r="BA232" t="s">
        <v>669</v>
      </c>
      <c r="BD232" t="s">
        <v>2785</v>
      </c>
      <c r="BE232" t="s">
        <v>393</v>
      </c>
      <c r="BF232">
        <v>32011</v>
      </c>
      <c r="BG232" t="s">
        <v>2807</v>
      </c>
      <c r="BH232" t="s">
        <v>2787</v>
      </c>
      <c r="BI232">
        <v>-81.859762469666705</v>
      </c>
      <c r="BJ232">
        <v>30.524864438816898</v>
      </c>
      <c r="BK232" t="s">
        <v>2808</v>
      </c>
      <c r="BM232" t="s">
        <v>2807</v>
      </c>
      <c r="BN232" t="s">
        <v>928</v>
      </c>
      <c r="BO232">
        <v>32011</v>
      </c>
      <c r="BP232" t="s">
        <v>416</v>
      </c>
      <c r="BQ232">
        <v>100</v>
      </c>
      <c r="BR232" t="s">
        <v>514</v>
      </c>
      <c r="BS232">
        <v>1001</v>
      </c>
      <c r="BT232" t="s">
        <v>515</v>
      </c>
      <c r="BW232">
        <v>43560</v>
      </c>
      <c r="BX232" t="s">
        <v>407</v>
      </c>
      <c r="BY232" t="s">
        <v>408</v>
      </c>
      <c r="BZ232">
        <v>4</v>
      </c>
      <c r="CA232">
        <v>1960</v>
      </c>
      <c r="CB232">
        <v>1</v>
      </c>
      <c r="CC232">
        <v>1</v>
      </c>
      <c r="CD232">
        <v>2017</v>
      </c>
      <c r="CG232">
        <v>73020</v>
      </c>
      <c r="CH232">
        <v>2017</v>
      </c>
      <c r="CI232">
        <v>15000</v>
      </c>
      <c r="CJ232">
        <v>74910</v>
      </c>
      <c r="CK232">
        <v>89910</v>
      </c>
      <c r="CL232">
        <v>2017</v>
      </c>
      <c r="CM232">
        <v>530.37</v>
      </c>
      <c r="CN232" s="1">
        <v>41052</v>
      </c>
      <c r="CZ232" s="1">
        <v>41052</v>
      </c>
      <c r="DD232" t="s">
        <v>2785</v>
      </c>
      <c r="DG232">
        <v>1</v>
      </c>
      <c r="DL232">
        <v>50503</v>
      </c>
      <c r="DM232" t="s">
        <v>2790</v>
      </c>
      <c r="DO232" t="s">
        <v>2809</v>
      </c>
      <c r="DP232">
        <v>0</v>
      </c>
      <c r="DQ232">
        <v>0</v>
      </c>
      <c r="DR232" t="s">
        <v>411</v>
      </c>
      <c r="EP232" t="s">
        <v>421</v>
      </c>
      <c r="EQ232" t="s">
        <v>422</v>
      </c>
      <c r="ER232">
        <v>2</v>
      </c>
      <c r="ES232">
        <v>0</v>
      </c>
      <c r="ET232">
        <v>1200.32</v>
      </c>
      <c r="EU232">
        <v>72.52</v>
      </c>
      <c r="EV232">
        <v>1272.8399999999999</v>
      </c>
      <c r="EW232" s="2">
        <v>43222</v>
      </c>
      <c r="EX232" s="1">
        <v>42879</v>
      </c>
      <c r="EY232">
        <v>2016</v>
      </c>
      <c r="EZ232">
        <v>600.16</v>
      </c>
      <c r="FA232" t="s">
        <v>2810</v>
      </c>
      <c r="FB232">
        <v>0.25</v>
      </c>
      <c r="FC232" t="s">
        <v>424</v>
      </c>
      <c r="FD232" t="s">
        <v>454</v>
      </c>
      <c r="FF232">
        <v>12</v>
      </c>
      <c r="FG232">
        <v>7336671</v>
      </c>
      <c r="FH232" t="s">
        <v>437</v>
      </c>
      <c r="FJ232" s="1">
        <v>42879</v>
      </c>
      <c r="FK232">
        <v>2016</v>
      </c>
      <c r="FL232">
        <v>600.16</v>
      </c>
      <c r="FM232" t="s">
        <v>2810</v>
      </c>
      <c r="FN232">
        <v>0.25</v>
      </c>
      <c r="FO232" t="s">
        <v>424</v>
      </c>
      <c r="FP232" t="s">
        <v>454</v>
      </c>
      <c r="FR232">
        <v>12</v>
      </c>
      <c r="FS232">
        <v>5129707</v>
      </c>
      <c r="FT232" t="s">
        <v>2811</v>
      </c>
    </row>
    <row r="233" spans="1:272" x14ac:dyDescent="0.25">
      <c r="A233">
        <v>16485240</v>
      </c>
      <c r="B233">
        <v>232</v>
      </c>
      <c r="C233" t="s">
        <v>393</v>
      </c>
      <c r="D233" t="s">
        <v>394</v>
      </c>
      <c r="F233" t="str">
        <f>"01-1N-24-0000-0003-0230"</f>
        <v>01-1N-24-0000-0003-0230</v>
      </c>
      <c r="H233" t="str">
        <f>"DENMARK DARRELL A &amp; GINA L"</f>
        <v>DENMARK DARRELL A &amp; GINA L</v>
      </c>
      <c r="I233" t="str">
        <f>"44244 HIGGINBOTHAM DRIVE"</f>
        <v>44244 HIGGINBOTHAM DRIVE</v>
      </c>
      <c r="J233" t="str">
        <f>"CALLAHAN FL 32011"</f>
        <v>CALLAHAN FL 32011</v>
      </c>
      <c r="K233" t="str">
        <f>"HIGGINBOTHAM RD"</f>
        <v>HIGGINBOTHAM RD</v>
      </c>
      <c r="L233" t="str">
        <f t="shared" si="73"/>
        <v>CALLAHAN FL 32011</v>
      </c>
      <c r="M233" t="str">
        <f>"IN OR 730 PG 1339"</f>
        <v>IN OR 730 PG 1339</v>
      </c>
      <c r="N233" t="str">
        <f>""</f>
        <v/>
      </c>
      <c r="O233" t="str">
        <f>"15132"</f>
        <v>15132</v>
      </c>
      <c r="P233" t="str">
        <f t="shared" si="61"/>
        <v>2017</v>
      </c>
      <c r="Q233" t="str">
        <f>""</f>
        <v/>
      </c>
      <c r="R233" t="str">
        <f>"N"</f>
        <v>N</v>
      </c>
      <c r="S233" t="str">
        <f>"1.07"</f>
        <v>1.07</v>
      </c>
      <c r="T233" t="str">
        <f>"249.18"</f>
        <v>249.18</v>
      </c>
      <c r="U233" t="str">
        <f>"15536.00"</f>
        <v>15536.00</v>
      </c>
      <c r="V233" t="str">
        <f>"15536.00"</f>
        <v>15536.00</v>
      </c>
      <c r="W233" t="str">
        <f t="shared" si="62"/>
        <v>2017</v>
      </c>
      <c r="X233" t="str">
        <f>""</f>
        <v/>
      </c>
      <c r="Y233" t="str">
        <f>"288.66"</f>
        <v>288.66</v>
      </c>
      <c r="Z233" t="str">
        <f>""</f>
        <v/>
      </c>
      <c r="AA233" t="str">
        <f>"17655.00"</f>
        <v>17655.00</v>
      </c>
      <c r="AB233" t="str">
        <f t="shared" si="71"/>
        <v>Residential</v>
      </c>
      <c r="AC233" t="str">
        <f t="shared" si="64"/>
        <v>0</v>
      </c>
      <c r="AD233" t="str">
        <f>""</f>
        <v/>
      </c>
      <c r="AE233" t="str">
        <f>""</f>
        <v/>
      </c>
      <c r="AF233" t="str">
        <f>"000"</f>
        <v>000</v>
      </c>
      <c r="AG233" t="str">
        <f t="shared" si="72"/>
        <v>FL</v>
      </c>
      <c r="AH233" t="str">
        <f>"46609.00"</f>
        <v>46609.00</v>
      </c>
      <c r="AI233" t="str">
        <f>"17655.00"</f>
        <v>17655.00</v>
      </c>
      <c r="AJ233" t="str">
        <f>"C55-000-586-1760-6"</f>
        <v>C55-000-586-1760-6</v>
      </c>
      <c r="AK233" t="str">
        <f>"3461"</f>
        <v>3461</v>
      </c>
      <c r="AL233">
        <v>1</v>
      </c>
      <c r="AM233">
        <v>268</v>
      </c>
      <c r="AN233">
        <v>301.49</v>
      </c>
      <c r="AQ233" t="s">
        <v>2812</v>
      </c>
      <c r="AR233" t="s">
        <v>2812</v>
      </c>
      <c r="AS233" t="s">
        <v>2812</v>
      </c>
      <c r="AU233" t="s">
        <v>396</v>
      </c>
      <c r="AV233">
        <v>2017</v>
      </c>
      <c r="AW233" t="str">
        <f>"01-1N-24-0000-0003-0230 "</f>
        <v xml:space="preserve">01-1N-24-0000-0003-0230 </v>
      </c>
      <c r="AZ233" t="s">
        <v>2806</v>
      </c>
      <c r="BA233" t="s">
        <v>496</v>
      </c>
      <c r="BD233" t="s">
        <v>2785</v>
      </c>
      <c r="BE233" t="s">
        <v>393</v>
      </c>
      <c r="BF233">
        <v>32011</v>
      </c>
      <c r="BG233" t="s">
        <v>2813</v>
      </c>
      <c r="BH233" t="s">
        <v>2787</v>
      </c>
      <c r="BI233">
        <v>-81.859174752640797</v>
      </c>
      <c r="BJ233">
        <v>30.524501162331202</v>
      </c>
      <c r="BK233" t="s">
        <v>2808</v>
      </c>
      <c r="BL233" t="s">
        <v>2814</v>
      </c>
      <c r="BM233" t="s">
        <v>2807</v>
      </c>
      <c r="BN233" t="s">
        <v>928</v>
      </c>
      <c r="BO233">
        <v>32011</v>
      </c>
      <c r="BP233" t="s">
        <v>404</v>
      </c>
      <c r="BQ233">
        <v>0</v>
      </c>
      <c r="BR233" t="s">
        <v>491</v>
      </c>
      <c r="BS233">
        <v>8001</v>
      </c>
      <c r="BT233" t="s">
        <v>492</v>
      </c>
      <c r="BW233">
        <v>46609</v>
      </c>
      <c r="BX233" t="s">
        <v>407</v>
      </c>
      <c r="CD233">
        <v>2017</v>
      </c>
      <c r="CE233">
        <v>17655</v>
      </c>
      <c r="CG233">
        <v>17655</v>
      </c>
      <c r="CH233">
        <v>2017</v>
      </c>
      <c r="CI233">
        <v>17655</v>
      </c>
      <c r="CK233">
        <v>17655</v>
      </c>
      <c r="CL233">
        <v>2017</v>
      </c>
      <c r="CM233">
        <v>249.18</v>
      </c>
      <c r="CN233" s="1">
        <v>34851</v>
      </c>
      <c r="CO233">
        <v>2000</v>
      </c>
      <c r="CZ233" s="1">
        <v>34851</v>
      </c>
      <c r="DD233" t="s">
        <v>2785</v>
      </c>
      <c r="DG233">
        <v>1</v>
      </c>
      <c r="DL233">
        <v>50503</v>
      </c>
      <c r="DM233" t="s">
        <v>2790</v>
      </c>
      <c r="DO233" t="s">
        <v>2815</v>
      </c>
      <c r="DP233">
        <v>0</v>
      </c>
      <c r="DQ233">
        <v>0</v>
      </c>
      <c r="DR233" t="s">
        <v>411</v>
      </c>
    </row>
    <row r="234" spans="1:272" x14ac:dyDescent="0.25">
      <c r="A234">
        <v>16485241</v>
      </c>
      <c r="B234">
        <v>233</v>
      </c>
      <c r="C234" t="s">
        <v>393</v>
      </c>
      <c r="D234" t="s">
        <v>394</v>
      </c>
      <c r="F234" t="str">
        <f>"01-1N-24-1370-0011-0000"</f>
        <v>01-1N-24-1370-0011-0000</v>
      </c>
      <c r="H234" t="str">
        <f>"GREGG JOSHUA D &amp; GREGG AMANDA G"</f>
        <v>GREGG JOSHUA D &amp; GREGG AMANDA G</v>
      </c>
      <c r="I234" t="str">
        <f>"34295 DAYBREAK DRIVE"</f>
        <v>34295 DAYBREAK DRIVE</v>
      </c>
      <c r="J234" t="str">
        <f>"CALLAHAN FL 32011"</f>
        <v>CALLAHAN FL 32011</v>
      </c>
      <c r="K234" t="str">
        <f>"34295 DAYBREAK DR"</f>
        <v>34295 DAYBREAK DR</v>
      </c>
      <c r="L234" t="str">
        <f t="shared" si="73"/>
        <v>CALLAHAN FL 32011</v>
      </c>
      <c r="M234" t="str">
        <f>"LOT 11 IN OR 2141/450 MORNING DOVE ESTATES PB 6/193"</f>
        <v>LOT 11 IN OR 2141/450 MORNING DOVE ESTATES PB 6/193</v>
      </c>
      <c r="N234" t="str">
        <f>""</f>
        <v/>
      </c>
      <c r="O234" t="str">
        <f>"15162"</f>
        <v>15162</v>
      </c>
      <c r="P234" t="str">
        <f t="shared" si="61"/>
        <v>2017</v>
      </c>
      <c r="Q234" t="str">
        <f>""</f>
        <v/>
      </c>
      <c r="R234" t="str">
        <f>"Y"</f>
        <v>Y</v>
      </c>
      <c r="S234" t="str">
        <f>""</f>
        <v/>
      </c>
      <c r="T234" t="str">
        <f>"2639.33"</f>
        <v>2639.33</v>
      </c>
      <c r="U234" t="str">
        <f>"213446.00"</f>
        <v>213446.00</v>
      </c>
      <c r="V234" t="str">
        <f>"213446.00"</f>
        <v>213446.00</v>
      </c>
      <c r="W234" t="str">
        <f t="shared" si="62"/>
        <v>2017</v>
      </c>
      <c r="X234" t="str">
        <f>""</f>
        <v/>
      </c>
      <c r="Y234" t="str">
        <f>"2750.51"</f>
        <v>2750.51</v>
      </c>
      <c r="Z234" t="str">
        <f>"25000.00"</f>
        <v>25000.00</v>
      </c>
      <c r="AA234" t="str">
        <f>"188446.00"</f>
        <v>188446.00</v>
      </c>
      <c r="AB234" t="str">
        <f t="shared" si="71"/>
        <v>Residential</v>
      </c>
      <c r="AC234" t="str">
        <f t="shared" si="64"/>
        <v>0</v>
      </c>
      <c r="AD234" t="str">
        <f>"4"</f>
        <v>4</v>
      </c>
      <c r="AE234" t="str">
        <f>"WOOD (INCLUDE STEEL STUDS)"</f>
        <v>WOOD (INCLUDE STEEL STUDS)</v>
      </c>
      <c r="AF234" t="str">
        <f>"001"</f>
        <v>001</v>
      </c>
      <c r="AG234" t="str">
        <f t="shared" si="72"/>
        <v>FL</v>
      </c>
      <c r="AH234" t="str">
        <f>"-"</f>
        <v>-</v>
      </c>
      <c r="AI234" t="str">
        <f>"20000.00"</f>
        <v>20000.00</v>
      </c>
      <c r="AJ234" t="str">
        <f>"C55-000-586-1777-0"</f>
        <v>C55-000-586-1777-0</v>
      </c>
      <c r="AK234" t="str">
        <f>"3489"</f>
        <v>3489</v>
      </c>
      <c r="AL234">
        <v>1</v>
      </c>
      <c r="AM234">
        <v>269</v>
      </c>
      <c r="AN234">
        <v>2886.44</v>
      </c>
      <c r="AQ234" t="s">
        <v>2816</v>
      </c>
      <c r="AR234" t="s">
        <v>2816</v>
      </c>
      <c r="AS234" t="s">
        <v>2816</v>
      </c>
      <c r="AU234" t="s">
        <v>396</v>
      </c>
      <c r="AV234">
        <v>2017</v>
      </c>
      <c r="AW234" t="str">
        <f>"01-1N-24-1370-0011-0000 "</f>
        <v xml:space="preserve">01-1N-24-1370-0011-0000 </v>
      </c>
      <c r="AX234">
        <v>34295</v>
      </c>
      <c r="AZ234" t="s">
        <v>2817</v>
      </c>
      <c r="BA234" t="s">
        <v>669</v>
      </c>
      <c r="BD234" t="s">
        <v>2785</v>
      </c>
      <c r="BE234" t="s">
        <v>393</v>
      </c>
      <c r="BF234">
        <v>32011</v>
      </c>
      <c r="BG234" t="s">
        <v>2818</v>
      </c>
      <c r="BH234" t="s">
        <v>2787</v>
      </c>
      <c r="BI234">
        <v>-81.862591037484805</v>
      </c>
      <c r="BJ234">
        <v>30.536567673479599</v>
      </c>
      <c r="BK234" t="s">
        <v>2819</v>
      </c>
      <c r="BM234" t="s">
        <v>2820</v>
      </c>
      <c r="BN234" t="s">
        <v>928</v>
      </c>
      <c r="BO234">
        <v>32011</v>
      </c>
      <c r="BP234" t="s">
        <v>416</v>
      </c>
      <c r="BQ234">
        <v>100</v>
      </c>
      <c r="BR234" t="s">
        <v>514</v>
      </c>
      <c r="BS234">
        <v>1001</v>
      </c>
      <c r="BT234" t="s">
        <v>515</v>
      </c>
      <c r="BW234">
        <v>43806</v>
      </c>
      <c r="BX234" t="s">
        <v>407</v>
      </c>
      <c r="BZ234">
        <v>4</v>
      </c>
      <c r="CA234">
        <v>2003</v>
      </c>
      <c r="CB234">
        <v>1</v>
      </c>
      <c r="CC234">
        <v>1</v>
      </c>
      <c r="CD234">
        <v>2017</v>
      </c>
      <c r="CG234">
        <v>213446</v>
      </c>
      <c r="CH234">
        <v>2017</v>
      </c>
      <c r="CI234">
        <v>20000</v>
      </c>
      <c r="CJ234">
        <v>198743</v>
      </c>
      <c r="CK234">
        <v>218743</v>
      </c>
      <c r="CL234">
        <v>2017</v>
      </c>
      <c r="CM234">
        <v>2639.33</v>
      </c>
      <c r="CN234" s="1">
        <v>42968</v>
      </c>
      <c r="CO234">
        <v>308000</v>
      </c>
      <c r="CV234">
        <v>0</v>
      </c>
      <c r="CZ234" s="1">
        <v>42968</v>
      </c>
      <c r="DA234">
        <v>0</v>
      </c>
      <c r="DD234" t="s">
        <v>2785</v>
      </c>
      <c r="DF234">
        <v>11</v>
      </c>
      <c r="DG234">
        <v>1</v>
      </c>
      <c r="DJ234" t="s">
        <v>2821</v>
      </c>
      <c r="DL234">
        <v>50503</v>
      </c>
      <c r="DM234" t="s">
        <v>2790</v>
      </c>
      <c r="DO234" t="s">
        <v>2822</v>
      </c>
      <c r="DP234">
        <v>0</v>
      </c>
      <c r="DQ234">
        <v>0</v>
      </c>
      <c r="DR234" t="s">
        <v>411</v>
      </c>
    </row>
    <row r="235" spans="1:272" x14ac:dyDescent="0.25">
      <c r="A235">
        <v>16485242</v>
      </c>
      <c r="B235">
        <v>234</v>
      </c>
      <c r="C235" t="s">
        <v>393</v>
      </c>
      <c r="D235" t="s">
        <v>394</v>
      </c>
      <c r="F235" t="str">
        <f>"02-1N-24-2180-1377-0000"</f>
        <v>02-1N-24-2180-1377-0000</v>
      </c>
      <c r="H235" t="str">
        <f>"MEADOWS CARSON D &amp; BELVA L"</f>
        <v>MEADOWS CARSON D &amp; BELVA L</v>
      </c>
      <c r="I235" t="str">
        <f>"PO BOX 440083"</f>
        <v>PO BOX 440083</v>
      </c>
      <c r="J235" t="str">
        <f>"JACKSONVILLE FL 32222"</f>
        <v>JACKSONVILLE FL 32222</v>
      </c>
      <c r="K235" t="str">
        <f>"34143 OLD BALDWIN RD"</f>
        <v>34143 OLD BALDWIN RD</v>
      </c>
      <c r="L235" t="str">
        <f t="shared" si="73"/>
        <v>CALLAHAN FL 32011</v>
      </c>
      <c r="M235" t="str">
        <f>"LOT 1377 (EX S-1 &amp; S-2) IN OR 666/1516 R567658 TOWN OF CRAWFORD 1973 DNMRK DWMH 1973 NATL SWMH"</f>
        <v>LOT 1377 (EX S-1 &amp; S-2) IN OR 666/1516 R567658 TOWN OF CRAWFORD 1973 DNMRK DWMH 1973 NATL SWMH</v>
      </c>
      <c r="N235" t="str">
        <f>""</f>
        <v/>
      </c>
      <c r="O235" t="str">
        <f>"17646"</f>
        <v>17646</v>
      </c>
      <c r="P235" t="str">
        <f t="shared" si="61"/>
        <v>2017</v>
      </c>
      <c r="Q235" t="str">
        <f>""</f>
        <v/>
      </c>
      <c r="R235" t="str">
        <f t="shared" ref="R235:R254" si="74">"N"</f>
        <v>N</v>
      </c>
      <c r="S235" t="str">
        <f>"4.00"</f>
        <v>4.00</v>
      </c>
      <c r="T235" t="str">
        <f>"690.02"</f>
        <v>690.02</v>
      </c>
      <c r="U235" t="str">
        <f>"45579.00"</f>
        <v>45579.00</v>
      </c>
      <c r="V235" t="str">
        <f>"45579.00"</f>
        <v>45579.00</v>
      </c>
      <c r="W235" t="str">
        <f t="shared" si="62"/>
        <v>2017</v>
      </c>
      <c r="X235" t="str">
        <f>"18.14"</f>
        <v>18.14</v>
      </c>
      <c r="Y235" t="str">
        <f>"742.72"</f>
        <v>742.72</v>
      </c>
      <c r="Z235" t="str">
        <f>""</f>
        <v/>
      </c>
      <c r="AA235" t="str">
        <f>"45579.00"</f>
        <v>45579.00</v>
      </c>
      <c r="AB235" t="str">
        <f t="shared" si="71"/>
        <v>Residential</v>
      </c>
      <c r="AC235" t="str">
        <f t="shared" si="64"/>
        <v>0</v>
      </c>
      <c r="AD235" t="str">
        <f>"4"</f>
        <v>4</v>
      </c>
      <c r="AE235" t="str">
        <f>"WOOD (INCLUDE STEEL STUDS)"</f>
        <v>WOOD (INCLUDE STEEL STUDS)</v>
      </c>
      <c r="AF235" t="str">
        <f>"002"</f>
        <v>002</v>
      </c>
      <c r="AG235" t="str">
        <f t="shared" si="72"/>
        <v>FL</v>
      </c>
      <c r="AH235" t="str">
        <f>"174240.00"</f>
        <v>174240.00</v>
      </c>
      <c r="AI235" t="str">
        <f>"32000.00"</f>
        <v>32000.00</v>
      </c>
      <c r="AJ235" t="str">
        <f>"C55-000-586-3642-4"</f>
        <v>C55-000-586-3642-4</v>
      </c>
      <c r="AK235" t="str">
        <f>"3551"</f>
        <v>3551</v>
      </c>
      <c r="AL235">
        <v>1</v>
      </c>
      <c r="AM235">
        <v>271</v>
      </c>
      <c r="AN235">
        <v>778.26</v>
      </c>
      <c r="AQ235" t="s">
        <v>2823</v>
      </c>
      <c r="AR235" t="s">
        <v>2823</v>
      </c>
      <c r="AS235" t="s">
        <v>2823</v>
      </c>
      <c r="AU235" t="s">
        <v>396</v>
      </c>
      <c r="AV235">
        <v>2017</v>
      </c>
      <c r="AW235" t="str">
        <f>"02-1N-24-2180-1377-0000 "</f>
        <v xml:space="preserve">02-1N-24-2180-1377-0000 </v>
      </c>
      <c r="AX235">
        <v>34143</v>
      </c>
      <c r="AZ235" t="s">
        <v>2824</v>
      </c>
      <c r="BA235" t="s">
        <v>496</v>
      </c>
      <c r="BD235" t="s">
        <v>2785</v>
      </c>
      <c r="BE235" t="s">
        <v>393</v>
      </c>
      <c r="BF235">
        <v>32011</v>
      </c>
      <c r="BG235" t="s">
        <v>2825</v>
      </c>
      <c r="BH235" t="s">
        <v>2787</v>
      </c>
      <c r="BI235">
        <v>-81.877497906532994</v>
      </c>
      <c r="BJ235">
        <v>30.535693155284498</v>
      </c>
      <c r="BK235" t="s">
        <v>2826</v>
      </c>
      <c r="BL235" t="s">
        <v>2827</v>
      </c>
      <c r="BM235" t="s">
        <v>2828</v>
      </c>
      <c r="BN235" t="s">
        <v>548</v>
      </c>
      <c r="BO235">
        <v>32222</v>
      </c>
      <c r="BP235" t="s">
        <v>404</v>
      </c>
      <c r="BQ235">
        <v>200</v>
      </c>
      <c r="BR235" t="s">
        <v>405</v>
      </c>
      <c r="BS235">
        <v>1006</v>
      </c>
      <c r="BT235" t="s">
        <v>406</v>
      </c>
      <c r="BW235">
        <v>174240</v>
      </c>
      <c r="BX235" t="s">
        <v>407</v>
      </c>
      <c r="BY235" t="s">
        <v>408</v>
      </c>
      <c r="BZ235">
        <v>4</v>
      </c>
      <c r="CA235">
        <v>1968</v>
      </c>
      <c r="CB235">
        <v>1</v>
      </c>
      <c r="CC235">
        <v>3</v>
      </c>
      <c r="CD235">
        <v>2017</v>
      </c>
      <c r="CE235">
        <v>32000</v>
      </c>
      <c r="CF235">
        <v>13579</v>
      </c>
      <c r="CG235">
        <v>45579</v>
      </c>
      <c r="CH235">
        <v>2017</v>
      </c>
      <c r="CI235">
        <v>32000</v>
      </c>
      <c r="CJ235">
        <v>13579</v>
      </c>
      <c r="CK235">
        <v>45579</v>
      </c>
      <c r="CL235">
        <v>2017</v>
      </c>
      <c r="CM235">
        <v>690.02</v>
      </c>
      <c r="CN235" s="1">
        <v>33862</v>
      </c>
      <c r="CZ235" s="1">
        <v>33862</v>
      </c>
      <c r="DD235" t="s">
        <v>2785</v>
      </c>
      <c r="DF235">
        <v>1377</v>
      </c>
      <c r="DG235">
        <v>2</v>
      </c>
      <c r="DL235">
        <v>50503</v>
      </c>
      <c r="DM235" t="s">
        <v>2829</v>
      </c>
      <c r="DO235" t="s">
        <v>2830</v>
      </c>
      <c r="DP235">
        <v>0</v>
      </c>
      <c r="DQ235">
        <v>0</v>
      </c>
      <c r="DR235" t="s">
        <v>411</v>
      </c>
      <c r="DS235" t="b">
        <v>1</v>
      </c>
      <c r="DT235" t="s">
        <v>470</v>
      </c>
      <c r="DU235" t="s">
        <v>471</v>
      </c>
      <c r="DV235" t="s">
        <v>472</v>
      </c>
      <c r="DX235">
        <v>-9999</v>
      </c>
      <c r="DZ235" t="s">
        <v>447</v>
      </c>
      <c r="EA235" t="s">
        <v>448</v>
      </c>
      <c r="EB235" t="s">
        <v>742</v>
      </c>
      <c r="EC235">
        <v>20101217</v>
      </c>
      <c r="ED235" t="s">
        <v>474</v>
      </c>
      <c r="EF235">
        <v>439.8</v>
      </c>
      <c r="EG235">
        <v>439.8</v>
      </c>
      <c r="EI235">
        <v>20160407</v>
      </c>
      <c r="EJ235">
        <v>0</v>
      </c>
      <c r="EK235">
        <v>0</v>
      </c>
      <c r="EP235" t="s">
        <v>421</v>
      </c>
      <c r="EQ235" t="s">
        <v>422</v>
      </c>
      <c r="ER235">
        <v>2</v>
      </c>
      <c r="ES235">
        <v>8</v>
      </c>
      <c r="ET235">
        <v>1572.34</v>
      </c>
      <c r="EU235">
        <v>91.12</v>
      </c>
      <c r="EV235">
        <v>1663.46</v>
      </c>
      <c r="EW235" s="2">
        <v>43222</v>
      </c>
      <c r="EX235" s="1">
        <v>42879</v>
      </c>
      <c r="EY235">
        <v>2016</v>
      </c>
      <c r="EZ235">
        <v>786.17</v>
      </c>
      <c r="FA235" t="s">
        <v>2831</v>
      </c>
      <c r="FB235">
        <v>0.25</v>
      </c>
      <c r="FC235" t="s">
        <v>424</v>
      </c>
      <c r="FD235" t="s">
        <v>454</v>
      </c>
      <c r="FF235">
        <v>12</v>
      </c>
      <c r="FG235">
        <v>2851116</v>
      </c>
      <c r="FH235" t="s">
        <v>480</v>
      </c>
      <c r="FJ235" s="1">
        <v>42879</v>
      </c>
      <c r="FK235">
        <v>2016</v>
      </c>
      <c r="FL235">
        <v>786.17</v>
      </c>
      <c r="FM235" t="s">
        <v>2831</v>
      </c>
      <c r="FN235">
        <v>0.25</v>
      </c>
      <c r="FO235" t="s">
        <v>424</v>
      </c>
      <c r="FP235" t="s">
        <v>454</v>
      </c>
      <c r="FR235">
        <v>12</v>
      </c>
      <c r="FS235">
        <v>5244437</v>
      </c>
      <c r="FT235" t="s">
        <v>2832</v>
      </c>
      <c r="FV235" s="1">
        <v>42515</v>
      </c>
      <c r="FW235">
        <v>2015</v>
      </c>
      <c r="FX235">
        <v>798.52</v>
      </c>
      <c r="FY235" t="s">
        <v>2833</v>
      </c>
      <c r="FZ235">
        <v>0.25</v>
      </c>
      <c r="GA235" t="s">
        <v>424</v>
      </c>
      <c r="GB235" t="s">
        <v>425</v>
      </c>
      <c r="GC235" s="1">
        <v>42794</v>
      </c>
      <c r="GD235">
        <v>9</v>
      </c>
      <c r="GE235">
        <v>2851116</v>
      </c>
      <c r="GF235" t="s">
        <v>480</v>
      </c>
      <c r="GH235" s="1">
        <v>42515</v>
      </c>
      <c r="GI235">
        <v>2015</v>
      </c>
      <c r="GJ235">
        <v>798.52</v>
      </c>
      <c r="GK235" t="s">
        <v>2833</v>
      </c>
      <c r="GL235">
        <v>0.25</v>
      </c>
      <c r="GM235" t="s">
        <v>424</v>
      </c>
      <c r="GN235" t="s">
        <v>425</v>
      </c>
      <c r="GP235">
        <v>22</v>
      </c>
      <c r="GQ235">
        <v>5415400</v>
      </c>
      <c r="GR235" t="s">
        <v>2834</v>
      </c>
      <c r="GT235" s="1">
        <v>42151</v>
      </c>
      <c r="GU235">
        <v>2014</v>
      </c>
      <c r="GV235">
        <v>728.69</v>
      </c>
      <c r="GW235" t="s">
        <v>2835</v>
      </c>
      <c r="GX235">
        <v>0.25</v>
      </c>
      <c r="GY235" t="s">
        <v>424</v>
      </c>
      <c r="GZ235" t="s">
        <v>425</v>
      </c>
      <c r="HA235" s="1">
        <v>42794</v>
      </c>
      <c r="HB235">
        <v>21</v>
      </c>
      <c r="HC235">
        <v>2851116</v>
      </c>
      <c r="HD235" t="s">
        <v>480</v>
      </c>
      <c r="HF235" s="1">
        <v>42151</v>
      </c>
      <c r="HG235">
        <v>2014</v>
      </c>
      <c r="HH235">
        <v>728.69</v>
      </c>
      <c r="HI235" t="s">
        <v>2835</v>
      </c>
      <c r="HJ235">
        <v>0.25</v>
      </c>
      <c r="HK235" t="s">
        <v>424</v>
      </c>
      <c r="HL235" t="s">
        <v>425</v>
      </c>
      <c r="HN235">
        <v>22</v>
      </c>
      <c r="HO235">
        <v>4994158</v>
      </c>
      <c r="HP235" t="s">
        <v>2836</v>
      </c>
      <c r="HR235" s="1">
        <v>41787</v>
      </c>
      <c r="HS235">
        <v>2013</v>
      </c>
      <c r="HT235">
        <v>988.19</v>
      </c>
      <c r="HU235" t="s">
        <v>2837</v>
      </c>
      <c r="HV235">
        <v>2.5</v>
      </c>
      <c r="HW235" t="s">
        <v>424</v>
      </c>
      <c r="HX235" t="s">
        <v>425</v>
      </c>
      <c r="HY235" s="1">
        <v>42433</v>
      </c>
      <c r="HZ235">
        <v>22</v>
      </c>
      <c r="IA235">
        <v>15399</v>
      </c>
      <c r="IB235" t="s">
        <v>485</v>
      </c>
      <c r="ID235" s="1">
        <v>41423</v>
      </c>
      <c r="IE235">
        <v>2012</v>
      </c>
      <c r="IF235">
        <v>1054.27</v>
      </c>
      <c r="IG235" t="s">
        <v>2838</v>
      </c>
      <c r="IH235">
        <v>0.25</v>
      </c>
      <c r="II235" t="s">
        <v>424</v>
      </c>
      <c r="IJ235" t="s">
        <v>425</v>
      </c>
      <c r="IK235" s="1">
        <v>42065</v>
      </c>
      <c r="IL235">
        <v>22</v>
      </c>
      <c r="IM235">
        <v>1625551</v>
      </c>
      <c r="IN235" t="s">
        <v>2839</v>
      </c>
      <c r="IP235" s="1">
        <v>41052</v>
      </c>
      <c r="IQ235">
        <v>2011</v>
      </c>
      <c r="IR235">
        <v>1133.8399999999999</v>
      </c>
      <c r="IS235" t="s">
        <v>2840</v>
      </c>
      <c r="IT235">
        <v>5</v>
      </c>
      <c r="IU235" t="s">
        <v>424</v>
      </c>
      <c r="IV235" t="s">
        <v>425</v>
      </c>
      <c r="IW235" s="1">
        <v>41695</v>
      </c>
      <c r="IX235">
        <v>21</v>
      </c>
      <c r="IY235">
        <v>116</v>
      </c>
      <c r="IZ235" t="s">
        <v>509</v>
      </c>
      <c r="JB235" s="1">
        <v>40688</v>
      </c>
      <c r="JC235">
        <v>2010</v>
      </c>
      <c r="JD235">
        <v>1199.8</v>
      </c>
      <c r="JE235" t="s">
        <v>2841</v>
      </c>
      <c r="JF235">
        <v>5</v>
      </c>
      <c r="JG235" t="s">
        <v>424</v>
      </c>
      <c r="JH235" t="s">
        <v>425</v>
      </c>
      <c r="JI235" s="1">
        <v>41327</v>
      </c>
      <c r="JJ235">
        <v>21</v>
      </c>
      <c r="JK235">
        <v>287</v>
      </c>
      <c r="JL235" t="s">
        <v>572</v>
      </c>
    </row>
    <row r="236" spans="1:272" x14ac:dyDescent="0.25">
      <c r="A236">
        <v>16485243</v>
      </c>
      <c r="B236">
        <v>235</v>
      </c>
      <c r="C236" t="s">
        <v>393</v>
      </c>
      <c r="D236" t="s">
        <v>394</v>
      </c>
      <c r="F236" t="str">
        <f>"11-1N-24-2180-0014-0000"</f>
        <v>11-1N-24-2180-0014-0000</v>
      </c>
      <c r="H236" t="str">
        <f>"STEWART WILLIAM"</f>
        <v>STEWART WILLIAM</v>
      </c>
      <c r="I236" t="str">
        <f>"PO BOX 1151"</f>
        <v>PO BOX 1151</v>
      </c>
      <c r="J236" t="str">
        <f t="shared" ref="J236:J242" si="75">"CALLAHAN FL 32011"</f>
        <v>CALLAHAN FL 32011</v>
      </c>
      <c r="K236" t="str">
        <f>"34505 LEMONWOOD LN"</f>
        <v>34505 LEMONWOOD LN</v>
      </c>
      <c r="L236" t="str">
        <f t="shared" si="73"/>
        <v>CALLAHAN FL 32011</v>
      </c>
      <c r="M236" t="str">
        <f>"LOT 14 IN OR 1185/1387 ESMT PT OR 1849/175 TOWN OF CRAWFORD"</f>
        <v>LOT 14 IN OR 1185/1387 ESMT PT OR 1849/175 TOWN OF CRAWFORD</v>
      </c>
      <c r="N236" t="str">
        <f>""</f>
        <v/>
      </c>
      <c r="O236" t="str">
        <f>"26342"</f>
        <v>26342</v>
      </c>
      <c r="P236" t="str">
        <f t="shared" si="61"/>
        <v>2017</v>
      </c>
      <c r="Q236" t="str">
        <f>""</f>
        <v/>
      </c>
      <c r="R236" t="str">
        <f t="shared" si="74"/>
        <v>N</v>
      </c>
      <c r="S236" t="str">
        <f>"10.00"</f>
        <v>10.00</v>
      </c>
      <c r="T236" t="str">
        <f>"272.23"</f>
        <v>272.23</v>
      </c>
      <c r="U236" t="str">
        <f>"17969.00"</f>
        <v>17969.00</v>
      </c>
      <c r="V236" t="str">
        <f>"17969.00"</f>
        <v>17969.00</v>
      </c>
      <c r="W236" t="str">
        <f t="shared" si="62"/>
        <v>2017</v>
      </c>
      <c r="X236" t="str">
        <f>"18.56"</f>
        <v>18.56</v>
      </c>
      <c r="Y236" t="str">
        <f>"312.40"</f>
        <v>312.40</v>
      </c>
      <c r="Z236" t="str">
        <f>""</f>
        <v/>
      </c>
      <c r="AA236" t="str">
        <f>"18000.00"</f>
        <v>18000.00</v>
      </c>
      <c r="AB236" t="str">
        <f t="shared" si="71"/>
        <v>Residential</v>
      </c>
      <c r="AC236" t="str">
        <f t="shared" si="64"/>
        <v>0</v>
      </c>
      <c r="AD236" t="str">
        <f>""</f>
        <v/>
      </c>
      <c r="AE236" t="str">
        <f>""</f>
        <v/>
      </c>
      <c r="AF236" t="str">
        <f>"000"</f>
        <v>000</v>
      </c>
      <c r="AG236" t="str">
        <f t="shared" si="72"/>
        <v>FL</v>
      </c>
      <c r="AH236" t="str">
        <f>"435600.00"</f>
        <v>435600.00</v>
      </c>
      <c r="AI236" t="str">
        <f>"18000.00"</f>
        <v>18000.00</v>
      </c>
      <c r="AJ236" t="str">
        <f>"C55-000-586-9075-1"</f>
        <v>C55-000-586-9075-1</v>
      </c>
      <c r="AK236" t="str">
        <f>"3604"</f>
        <v>3604</v>
      </c>
      <c r="AL236">
        <v>1</v>
      </c>
      <c r="AM236">
        <v>272</v>
      </c>
      <c r="AN236">
        <v>326.42</v>
      </c>
      <c r="AQ236" t="s">
        <v>2842</v>
      </c>
      <c r="AR236" t="s">
        <v>2842</v>
      </c>
      <c r="AS236" t="s">
        <v>2842</v>
      </c>
      <c r="AU236" t="s">
        <v>396</v>
      </c>
      <c r="AV236">
        <v>2017</v>
      </c>
      <c r="AW236" t="str">
        <f>"11-1N-24-2180-0014-0000 "</f>
        <v xml:space="preserve">11-1N-24-2180-0014-0000 </v>
      </c>
      <c r="AX236">
        <v>34505</v>
      </c>
      <c r="AZ236" t="s">
        <v>2843</v>
      </c>
      <c r="BA236" t="s">
        <v>653</v>
      </c>
      <c r="BD236" t="s">
        <v>2785</v>
      </c>
      <c r="BE236" t="s">
        <v>393</v>
      </c>
      <c r="BF236">
        <v>32011</v>
      </c>
      <c r="BG236" t="s">
        <v>2844</v>
      </c>
      <c r="BH236" t="s">
        <v>2787</v>
      </c>
      <c r="BI236">
        <v>-81.872483442018805</v>
      </c>
      <c r="BJ236">
        <v>30.52105812748</v>
      </c>
      <c r="BK236" t="s">
        <v>2845</v>
      </c>
      <c r="BM236" t="s">
        <v>2846</v>
      </c>
      <c r="BN236" t="s">
        <v>928</v>
      </c>
      <c r="BO236">
        <v>32011</v>
      </c>
      <c r="BP236" t="s">
        <v>404</v>
      </c>
      <c r="BQ236">
        <v>0</v>
      </c>
      <c r="BR236" t="s">
        <v>491</v>
      </c>
      <c r="BS236">
        <v>8001</v>
      </c>
      <c r="BT236" t="s">
        <v>492</v>
      </c>
      <c r="BW236">
        <v>435600</v>
      </c>
      <c r="BX236" t="s">
        <v>407</v>
      </c>
      <c r="BY236" t="s">
        <v>408</v>
      </c>
      <c r="CD236">
        <v>2017</v>
      </c>
      <c r="CE236">
        <v>18000</v>
      </c>
      <c r="CG236">
        <v>18000</v>
      </c>
      <c r="CH236">
        <v>2017</v>
      </c>
      <c r="CI236">
        <v>18000</v>
      </c>
      <c r="CK236">
        <v>18000</v>
      </c>
      <c r="CL236">
        <v>2017</v>
      </c>
      <c r="CM236">
        <v>272.23</v>
      </c>
      <c r="CN236" s="1">
        <v>38758</v>
      </c>
      <c r="CO236">
        <v>330000</v>
      </c>
      <c r="CV236">
        <v>0</v>
      </c>
      <c r="CZ236" s="1">
        <v>38758</v>
      </c>
      <c r="DA236">
        <v>0</v>
      </c>
      <c r="DD236" t="s">
        <v>2785</v>
      </c>
      <c r="DF236">
        <v>14</v>
      </c>
      <c r="DG236">
        <v>11</v>
      </c>
      <c r="DM236" t="s">
        <v>2847</v>
      </c>
      <c r="DO236" t="s">
        <v>2848</v>
      </c>
      <c r="DP236">
        <v>0</v>
      </c>
      <c r="DQ236">
        <v>0</v>
      </c>
      <c r="DR236" t="s">
        <v>411</v>
      </c>
      <c r="DS236" t="s">
        <v>695</v>
      </c>
      <c r="EJ236">
        <v>1</v>
      </c>
      <c r="EK236">
        <v>0</v>
      </c>
      <c r="EP236" t="s">
        <v>421</v>
      </c>
      <c r="EQ236" t="s">
        <v>452</v>
      </c>
      <c r="ER236">
        <v>1</v>
      </c>
      <c r="ES236">
        <v>5</v>
      </c>
      <c r="ET236">
        <v>310.42</v>
      </c>
      <c r="EU236">
        <v>23.32</v>
      </c>
      <c r="EV236">
        <v>333.74</v>
      </c>
      <c r="EW236" s="2">
        <v>43222</v>
      </c>
      <c r="EX236" s="1">
        <v>42879</v>
      </c>
      <c r="EY236">
        <v>2016</v>
      </c>
      <c r="EZ236">
        <v>310.42</v>
      </c>
      <c r="FA236" t="s">
        <v>2849</v>
      </c>
      <c r="FB236">
        <v>5.5</v>
      </c>
      <c r="FC236" t="s">
        <v>424</v>
      </c>
      <c r="FD236" t="s">
        <v>454</v>
      </c>
      <c r="FF236">
        <v>12</v>
      </c>
      <c r="FG236">
        <v>10125</v>
      </c>
      <c r="FH236" t="s">
        <v>440</v>
      </c>
      <c r="FJ236" s="1">
        <v>42151</v>
      </c>
      <c r="FK236">
        <v>2014</v>
      </c>
      <c r="FL236">
        <v>252.74</v>
      </c>
      <c r="FM236" t="s">
        <v>2850</v>
      </c>
      <c r="FN236">
        <v>0.25</v>
      </c>
      <c r="FO236" t="s">
        <v>424</v>
      </c>
      <c r="FP236" t="s">
        <v>425</v>
      </c>
      <c r="FQ236" s="1">
        <v>42338</v>
      </c>
      <c r="FR236">
        <v>6</v>
      </c>
      <c r="FS236">
        <v>7045032</v>
      </c>
      <c r="FT236" t="s">
        <v>2473</v>
      </c>
      <c r="FU236" t="s">
        <v>458</v>
      </c>
      <c r="FV236" s="1">
        <v>41787</v>
      </c>
      <c r="FW236">
        <v>2013</v>
      </c>
      <c r="FX236">
        <v>240.57</v>
      </c>
      <c r="FY236" t="s">
        <v>2851</v>
      </c>
      <c r="FZ236">
        <v>12</v>
      </c>
      <c r="GA236" t="s">
        <v>424</v>
      </c>
      <c r="GB236" t="s">
        <v>425</v>
      </c>
      <c r="GC236" s="1">
        <v>42338</v>
      </c>
      <c r="GD236">
        <v>18</v>
      </c>
      <c r="GE236">
        <v>4844942</v>
      </c>
      <c r="GF236" t="s">
        <v>2472</v>
      </c>
      <c r="GG236" t="s">
        <v>458</v>
      </c>
      <c r="GH236" s="1">
        <v>41423</v>
      </c>
      <c r="GI236">
        <v>2012</v>
      </c>
      <c r="GJ236">
        <v>210.38</v>
      </c>
      <c r="GK236" t="s">
        <v>2852</v>
      </c>
      <c r="GL236">
        <v>6.25</v>
      </c>
      <c r="GM236" t="s">
        <v>424</v>
      </c>
      <c r="GN236" t="s">
        <v>425</v>
      </c>
      <c r="GP236">
        <v>22</v>
      </c>
      <c r="GQ236">
        <v>2101381</v>
      </c>
      <c r="GR236" t="s">
        <v>605</v>
      </c>
      <c r="GS236" t="s">
        <v>458</v>
      </c>
      <c r="GT236" s="1">
        <v>41052</v>
      </c>
      <c r="GU236">
        <v>2011</v>
      </c>
      <c r="GV236">
        <v>238.99</v>
      </c>
      <c r="GW236" t="s">
        <v>2853</v>
      </c>
      <c r="GX236">
        <v>9.5</v>
      </c>
      <c r="GY236" t="s">
        <v>424</v>
      </c>
      <c r="GZ236" t="s">
        <v>425</v>
      </c>
      <c r="HA236" s="1">
        <v>41725</v>
      </c>
      <c r="HB236">
        <v>22</v>
      </c>
      <c r="HC236">
        <v>10125</v>
      </c>
      <c r="HD236" t="s">
        <v>440</v>
      </c>
      <c r="HF236" s="1">
        <v>40688</v>
      </c>
      <c r="HG236">
        <v>2010</v>
      </c>
      <c r="HH236">
        <v>264.37</v>
      </c>
      <c r="HI236" t="s">
        <v>2854</v>
      </c>
      <c r="HJ236">
        <v>12.5</v>
      </c>
      <c r="HK236" t="s">
        <v>424</v>
      </c>
      <c r="HL236" t="s">
        <v>425</v>
      </c>
      <c r="HM236" s="1">
        <v>41313</v>
      </c>
      <c r="HN236">
        <v>21</v>
      </c>
      <c r="HO236">
        <v>105</v>
      </c>
      <c r="HP236" t="s">
        <v>946</v>
      </c>
    </row>
    <row r="237" spans="1:272" x14ac:dyDescent="0.25">
      <c r="A237">
        <v>16485244</v>
      </c>
      <c r="B237">
        <v>236</v>
      </c>
      <c r="C237" t="s">
        <v>393</v>
      </c>
      <c r="D237" t="s">
        <v>394</v>
      </c>
      <c r="F237" t="str">
        <f>"11-1N-24-2180-0040-0040"</f>
        <v>11-1N-24-2180-0040-0040</v>
      </c>
      <c r="H237" t="str">
        <f>"MCSWAIN JON DAMIEN &amp; MCSWAIN STEVEN DARELL (JT/RS)"</f>
        <v>MCSWAIN JON DAMIEN &amp; MCSWAIN STEVEN DARELL (JT/RS)</v>
      </c>
      <c r="I237" t="str">
        <f>"33681 WOOD LN"</f>
        <v>33681 WOOD LN</v>
      </c>
      <c r="J237" t="str">
        <f t="shared" si="75"/>
        <v>CALLAHAN FL 32011</v>
      </c>
      <c r="K237" t="str">
        <f>"33681 WOODS LN"</f>
        <v>33681 WOODS LN</v>
      </c>
      <c r="L237" t="str">
        <f t="shared" si="73"/>
        <v>CALLAHAN FL 32011</v>
      </c>
      <c r="M237" t="str">
        <f>"PT OF LOT 40 IN OR 1836/1332 TOWN OF CRAWFORD"</f>
        <v>PT OF LOT 40 IN OR 1836/1332 TOWN OF CRAWFORD</v>
      </c>
      <c r="N237" t="str">
        <f>""</f>
        <v/>
      </c>
      <c r="O237" t="str">
        <f>"26372"</f>
        <v>26372</v>
      </c>
      <c r="P237" t="str">
        <f t="shared" si="61"/>
        <v>2017</v>
      </c>
      <c r="Q237" t="str">
        <f>""</f>
        <v/>
      </c>
      <c r="R237" t="str">
        <f t="shared" si="74"/>
        <v>N</v>
      </c>
      <c r="S237" t="str">
        <f>"0.44"</f>
        <v>0.44</v>
      </c>
      <c r="T237" t="str">
        <f>"494.71"</f>
        <v>494.71</v>
      </c>
      <c r="U237" t="str">
        <f>"32678.00"</f>
        <v>32678.00</v>
      </c>
      <c r="V237" t="str">
        <f>"32678.00"</f>
        <v>32678.00</v>
      </c>
      <c r="W237" t="str">
        <f t="shared" si="62"/>
        <v>2017</v>
      </c>
      <c r="X237" t="str">
        <f>"1.00"</f>
        <v>1.00</v>
      </c>
      <c r="Y237" t="str">
        <f>"541.55"</f>
        <v>541.55</v>
      </c>
      <c r="Z237" t="str">
        <f>""</f>
        <v/>
      </c>
      <c r="AA237" t="str">
        <f>"32678.00"</f>
        <v>32678.00</v>
      </c>
      <c r="AB237" t="str">
        <f t="shared" si="71"/>
        <v>Residential</v>
      </c>
      <c r="AC237" t="str">
        <f t="shared" si="64"/>
        <v>0</v>
      </c>
      <c r="AD237" t="str">
        <f>"4"</f>
        <v>4</v>
      </c>
      <c r="AE237" t="str">
        <f>"WOOD (INCLUDE STEEL STUDS)"</f>
        <v>WOOD (INCLUDE STEEL STUDS)</v>
      </c>
      <c r="AF237" t="str">
        <f>"001"</f>
        <v>001</v>
      </c>
      <c r="AG237" t="str">
        <f t="shared" si="72"/>
        <v>FL</v>
      </c>
      <c r="AH237" t="str">
        <f>"19166.00"</f>
        <v>19166.00</v>
      </c>
      <c r="AI237" t="str">
        <f>"14982.00"</f>
        <v>14982.00</v>
      </c>
      <c r="AJ237" t="str">
        <f>"C55-000-586-9096-7"</f>
        <v>C55-000-586-9096-7</v>
      </c>
      <c r="AK237" t="str">
        <f>"3632"</f>
        <v>3632</v>
      </c>
      <c r="AL237">
        <v>1</v>
      </c>
      <c r="AM237">
        <v>274</v>
      </c>
      <c r="AN237">
        <v>567.03</v>
      </c>
      <c r="AQ237" t="s">
        <v>2855</v>
      </c>
      <c r="AR237" t="s">
        <v>2855</v>
      </c>
      <c r="AS237" t="s">
        <v>2855</v>
      </c>
      <c r="AU237" t="s">
        <v>396</v>
      </c>
      <c r="AV237">
        <v>2017</v>
      </c>
      <c r="AW237" t="str">
        <f>"11-1N-24-2180-0040-0040 "</f>
        <v xml:space="preserve">11-1N-24-2180-0040-0040 </v>
      </c>
      <c r="AX237">
        <v>33681</v>
      </c>
      <c r="AZ237" t="s">
        <v>2856</v>
      </c>
      <c r="BA237" t="s">
        <v>653</v>
      </c>
      <c r="BD237" t="s">
        <v>2785</v>
      </c>
      <c r="BE237" t="s">
        <v>393</v>
      </c>
      <c r="BF237">
        <v>32011</v>
      </c>
      <c r="BG237" t="s">
        <v>2857</v>
      </c>
      <c r="BH237" t="s">
        <v>2787</v>
      </c>
      <c r="BI237">
        <v>-81.8823562447961</v>
      </c>
      <c r="BJ237">
        <v>30.5155225139812</v>
      </c>
      <c r="BK237" t="s">
        <v>2858</v>
      </c>
      <c r="BM237" t="s">
        <v>2857</v>
      </c>
      <c r="BN237" t="s">
        <v>928</v>
      </c>
      <c r="BO237">
        <v>32011</v>
      </c>
      <c r="BP237" t="s">
        <v>416</v>
      </c>
      <c r="BQ237">
        <v>100</v>
      </c>
      <c r="BR237" t="s">
        <v>514</v>
      </c>
      <c r="BS237">
        <v>1001</v>
      </c>
      <c r="BT237" t="s">
        <v>515</v>
      </c>
      <c r="BW237">
        <v>19166</v>
      </c>
      <c r="BX237" t="s">
        <v>407</v>
      </c>
      <c r="BY237" t="s">
        <v>408</v>
      </c>
      <c r="BZ237">
        <v>4</v>
      </c>
      <c r="CA237">
        <v>1963</v>
      </c>
      <c r="CB237">
        <v>1</v>
      </c>
      <c r="CC237">
        <v>1</v>
      </c>
      <c r="CD237">
        <v>2017</v>
      </c>
      <c r="CE237">
        <v>14982</v>
      </c>
      <c r="CF237">
        <v>17696</v>
      </c>
      <c r="CG237">
        <v>32678</v>
      </c>
      <c r="CH237">
        <v>2017</v>
      </c>
      <c r="CI237">
        <v>14982</v>
      </c>
      <c r="CJ237">
        <v>17696</v>
      </c>
      <c r="CK237">
        <v>32678</v>
      </c>
      <c r="CL237">
        <v>2017</v>
      </c>
      <c r="CM237">
        <v>494.71</v>
      </c>
      <c r="CN237" s="1">
        <v>41115</v>
      </c>
      <c r="CZ237" s="1">
        <v>41115</v>
      </c>
      <c r="DD237" t="s">
        <v>2785</v>
      </c>
      <c r="DF237">
        <v>40</v>
      </c>
      <c r="DG237">
        <v>11</v>
      </c>
      <c r="DL237">
        <v>50503</v>
      </c>
      <c r="DM237" t="s">
        <v>2847</v>
      </c>
      <c r="DO237" t="s">
        <v>2859</v>
      </c>
      <c r="DP237">
        <v>0</v>
      </c>
      <c r="DQ237">
        <v>0</v>
      </c>
      <c r="DR237" t="s">
        <v>411</v>
      </c>
      <c r="DS237" t="b">
        <v>1</v>
      </c>
      <c r="DT237" t="s">
        <v>470</v>
      </c>
      <c r="DU237" t="s">
        <v>471</v>
      </c>
      <c r="DV237" t="s">
        <v>472</v>
      </c>
      <c r="DX237">
        <v>-9999</v>
      </c>
      <c r="DZ237" t="s">
        <v>447</v>
      </c>
      <c r="EA237" t="s">
        <v>448</v>
      </c>
      <c r="EB237" t="s">
        <v>742</v>
      </c>
      <c r="EC237">
        <v>20101217</v>
      </c>
      <c r="ED237" t="s">
        <v>474</v>
      </c>
      <c r="EF237">
        <v>2110.1999999999998</v>
      </c>
      <c r="EG237">
        <v>2110.1999999999998</v>
      </c>
      <c r="EH237" t="s">
        <v>451</v>
      </c>
      <c r="EI237">
        <v>20140731</v>
      </c>
      <c r="EJ237">
        <v>0</v>
      </c>
      <c r="EK237">
        <v>0</v>
      </c>
      <c r="EP237" t="s">
        <v>421</v>
      </c>
      <c r="EQ237" t="s">
        <v>422</v>
      </c>
      <c r="ER237">
        <v>0</v>
      </c>
      <c r="ES237">
        <v>1</v>
      </c>
      <c r="ET237">
        <v>0</v>
      </c>
      <c r="EU237">
        <v>0</v>
      </c>
      <c r="EV237">
        <v>0</v>
      </c>
      <c r="EW237" s="2">
        <v>43222</v>
      </c>
      <c r="EX237" s="1">
        <v>42151</v>
      </c>
      <c r="EY237">
        <v>2014</v>
      </c>
      <c r="EZ237">
        <v>465.84</v>
      </c>
      <c r="FA237" t="s">
        <v>2860</v>
      </c>
      <c r="FB237">
        <v>3.75</v>
      </c>
      <c r="FC237" t="s">
        <v>424</v>
      </c>
      <c r="FD237" t="s">
        <v>425</v>
      </c>
      <c r="FE237" s="1">
        <v>42164</v>
      </c>
      <c r="FF237">
        <v>1</v>
      </c>
      <c r="FG237">
        <v>4975593</v>
      </c>
      <c r="FH237" t="s">
        <v>505</v>
      </c>
    </row>
    <row r="238" spans="1:272" x14ac:dyDescent="0.25">
      <c r="A238">
        <v>16485245</v>
      </c>
      <c r="B238">
        <v>237</v>
      </c>
      <c r="C238" t="s">
        <v>393</v>
      </c>
      <c r="D238" t="s">
        <v>394</v>
      </c>
      <c r="F238" t="str">
        <f>"11-1N-24-2180-0040-0050"</f>
        <v>11-1N-24-2180-0040-0050</v>
      </c>
      <c r="H238" t="str">
        <f>"PRESCOTT ARNOLD L EST"</f>
        <v>PRESCOTT ARNOLD L EST</v>
      </c>
      <c r="I238" t="str">
        <f>"33685 WOODS LN"</f>
        <v>33685 WOODS LN</v>
      </c>
      <c r="J238" t="str">
        <f t="shared" si="75"/>
        <v>CALLAHAN FL 32011</v>
      </c>
      <c r="K238" t="str">
        <f>"33685 WOODS LN"</f>
        <v>33685 WOODS LN</v>
      </c>
      <c r="L238" t="str">
        <f t="shared" si="73"/>
        <v>CALLAHAN FL 32011</v>
      </c>
      <c r="M238" t="str">
        <f>"PT OF LOT 40 IN OR 655/805 TOWN OF CRAWFORD"</f>
        <v>PT OF LOT 40 IN OR 655/805 TOWN OF CRAWFORD</v>
      </c>
      <c r="N238" t="str">
        <f>""</f>
        <v/>
      </c>
      <c r="O238" t="str">
        <f>"26373"</f>
        <v>26373</v>
      </c>
      <c r="P238" t="str">
        <f t="shared" si="61"/>
        <v>2017</v>
      </c>
      <c r="Q238" t="str">
        <f>""</f>
        <v/>
      </c>
      <c r="R238" t="str">
        <f t="shared" si="74"/>
        <v>N</v>
      </c>
      <c r="S238" t="str">
        <f>"0.61"</f>
        <v>0.61</v>
      </c>
      <c r="T238" t="str">
        <f>"705.43"</f>
        <v>705.43</v>
      </c>
      <c r="U238" t="str">
        <f>"46598.00"</f>
        <v>46598.00</v>
      </c>
      <c r="V238" t="str">
        <f>"46598.00"</f>
        <v>46598.00</v>
      </c>
      <c r="W238" t="str">
        <f t="shared" si="62"/>
        <v>2017</v>
      </c>
      <c r="X238" t="str">
        <f>"11.00"</f>
        <v>11.00</v>
      </c>
      <c r="Y238" t="str">
        <f>"758.59"</f>
        <v>758.59</v>
      </c>
      <c r="Z238" t="str">
        <f>""</f>
        <v/>
      </c>
      <c r="AA238" t="str">
        <f>"46598.00"</f>
        <v>46598.00</v>
      </c>
      <c r="AB238" t="str">
        <f t="shared" si="71"/>
        <v>Residential</v>
      </c>
      <c r="AC238" t="str">
        <f t="shared" si="64"/>
        <v>0</v>
      </c>
      <c r="AD238" t="str">
        <f>"4"</f>
        <v>4</v>
      </c>
      <c r="AE238" t="str">
        <f>"WOOD (INCLUDE STEEL STUDS)"</f>
        <v>WOOD (INCLUDE STEEL STUDS)</v>
      </c>
      <c r="AF238" t="str">
        <f>"001"</f>
        <v>001</v>
      </c>
      <c r="AG238" t="str">
        <f t="shared" si="72"/>
        <v>FL</v>
      </c>
      <c r="AH238" t="str">
        <f>"26571.00"</f>
        <v>26571.00</v>
      </c>
      <c r="AI238" t="str">
        <f>"9150.00"</f>
        <v>9150.00</v>
      </c>
      <c r="AJ238" t="str">
        <f>"C55-000-586-9097-5"</f>
        <v>C55-000-586-9097-5</v>
      </c>
      <c r="AK238" t="str">
        <f>"3633"</f>
        <v>3633</v>
      </c>
      <c r="AL238">
        <v>1</v>
      </c>
      <c r="AM238">
        <v>275</v>
      </c>
      <c r="AN238">
        <v>794.92</v>
      </c>
      <c r="AQ238" t="s">
        <v>2861</v>
      </c>
      <c r="AR238" t="s">
        <v>2861</v>
      </c>
      <c r="AS238" t="s">
        <v>2861</v>
      </c>
      <c r="AU238" t="s">
        <v>396</v>
      </c>
      <c r="AV238">
        <v>2017</v>
      </c>
      <c r="AW238" t="str">
        <f>"11-1N-24-2180-0040-0050 "</f>
        <v xml:space="preserve">11-1N-24-2180-0040-0050 </v>
      </c>
      <c r="AX238">
        <v>33685</v>
      </c>
      <c r="AZ238" t="s">
        <v>2856</v>
      </c>
      <c r="BA238" t="s">
        <v>653</v>
      </c>
      <c r="BD238" t="s">
        <v>2785</v>
      </c>
      <c r="BE238" t="s">
        <v>393</v>
      </c>
      <c r="BF238">
        <v>32011</v>
      </c>
      <c r="BG238" t="s">
        <v>2862</v>
      </c>
      <c r="BH238" t="s">
        <v>2787</v>
      </c>
      <c r="BI238">
        <v>-81.882542321076301</v>
      </c>
      <c r="BJ238">
        <v>30.515791073016601</v>
      </c>
      <c r="BK238" t="s">
        <v>2863</v>
      </c>
      <c r="BL238" t="s">
        <v>2864</v>
      </c>
      <c r="BM238" t="s">
        <v>2862</v>
      </c>
      <c r="BN238" t="s">
        <v>928</v>
      </c>
      <c r="BO238">
        <v>32011</v>
      </c>
      <c r="BP238" t="s">
        <v>416</v>
      </c>
      <c r="BQ238">
        <v>100</v>
      </c>
      <c r="BR238" t="s">
        <v>514</v>
      </c>
      <c r="BS238">
        <v>1001</v>
      </c>
      <c r="BT238" t="s">
        <v>515</v>
      </c>
      <c r="BW238">
        <v>26571</v>
      </c>
      <c r="BX238" t="s">
        <v>407</v>
      </c>
      <c r="BY238" t="s">
        <v>408</v>
      </c>
      <c r="BZ238">
        <v>4</v>
      </c>
      <c r="CA238">
        <v>1963</v>
      </c>
      <c r="CB238">
        <v>1</v>
      </c>
      <c r="CC238">
        <v>1</v>
      </c>
      <c r="CD238">
        <v>2017</v>
      </c>
      <c r="CE238">
        <v>9150</v>
      </c>
      <c r="CF238">
        <v>37448</v>
      </c>
      <c r="CG238">
        <v>46598</v>
      </c>
      <c r="CH238">
        <v>2017</v>
      </c>
      <c r="CI238">
        <v>9150</v>
      </c>
      <c r="CJ238">
        <v>37448</v>
      </c>
      <c r="CK238">
        <v>46598</v>
      </c>
      <c r="CL238">
        <v>2017</v>
      </c>
      <c r="CM238">
        <v>705.43</v>
      </c>
      <c r="CN238" s="1">
        <v>33717</v>
      </c>
      <c r="CO238">
        <v>5900</v>
      </c>
      <c r="CZ238" s="1">
        <v>33717</v>
      </c>
      <c r="DD238" t="s">
        <v>2785</v>
      </c>
      <c r="DF238">
        <v>40</v>
      </c>
      <c r="DG238">
        <v>11</v>
      </c>
      <c r="DL238">
        <v>50503</v>
      </c>
      <c r="DM238" t="s">
        <v>2847</v>
      </c>
      <c r="DO238" t="s">
        <v>2865</v>
      </c>
      <c r="DP238">
        <v>0</v>
      </c>
      <c r="DQ238">
        <v>0</v>
      </c>
      <c r="DR238" t="s">
        <v>411</v>
      </c>
      <c r="DS238" t="b">
        <v>1</v>
      </c>
      <c r="DT238" t="s">
        <v>470</v>
      </c>
      <c r="DU238" t="s">
        <v>471</v>
      </c>
      <c r="DV238" t="s">
        <v>472</v>
      </c>
      <c r="DX238">
        <v>-9999</v>
      </c>
      <c r="DZ238" t="s">
        <v>447</v>
      </c>
      <c r="EA238" t="s">
        <v>448</v>
      </c>
      <c r="EB238" t="s">
        <v>742</v>
      </c>
      <c r="EC238">
        <v>20101217</v>
      </c>
      <c r="ED238" t="s">
        <v>474</v>
      </c>
      <c r="EF238">
        <v>2041.7</v>
      </c>
      <c r="EG238">
        <v>2041.7</v>
      </c>
      <c r="EI238">
        <v>20160407</v>
      </c>
      <c r="EJ238">
        <v>0</v>
      </c>
      <c r="EK238">
        <v>0</v>
      </c>
      <c r="EP238" t="s">
        <v>421</v>
      </c>
      <c r="EQ238" t="s">
        <v>422</v>
      </c>
      <c r="ER238">
        <v>2</v>
      </c>
      <c r="ES238">
        <v>5</v>
      </c>
      <c r="ET238">
        <v>1544.42</v>
      </c>
      <c r="EU238">
        <v>89.72</v>
      </c>
      <c r="EV238">
        <v>1634.14</v>
      </c>
      <c r="EW238" s="2">
        <v>43222</v>
      </c>
      <c r="EX238" s="1">
        <v>42879</v>
      </c>
      <c r="EY238">
        <v>2016</v>
      </c>
      <c r="EZ238">
        <v>772.21</v>
      </c>
      <c r="FA238" t="s">
        <v>2866</v>
      </c>
      <c r="FB238">
        <v>0.25</v>
      </c>
      <c r="FC238" t="s">
        <v>424</v>
      </c>
      <c r="FD238" t="s">
        <v>454</v>
      </c>
      <c r="FF238">
        <v>12</v>
      </c>
      <c r="FG238">
        <v>11289</v>
      </c>
      <c r="FH238" t="s">
        <v>787</v>
      </c>
      <c r="FJ238" s="1">
        <v>42879</v>
      </c>
      <c r="FK238">
        <v>2016</v>
      </c>
      <c r="FL238">
        <v>772.21</v>
      </c>
      <c r="FM238" t="s">
        <v>2866</v>
      </c>
      <c r="FN238">
        <v>0.25</v>
      </c>
      <c r="FO238" t="s">
        <v>424</v>
      </c>
      <c r="FP238" t="s">
        <v>454</v>
      </c>
      <c r="FR238">
        <v>12</v>
      </c>
      <c r="FS238">
        <v>7311564</v>
      </c>
      <c r="FT238" t="s">
        <v>2867</v>
      </c>
      <c r="FV238" s="1">
        <v>42515</v>
      </c>
      <c r="FW238">
        <v>2015</v>
      </c>
      <c r="FX238">
        <v>777.21</v>
      </c>
      <c r="FY238" t="s">
        <v>2868</v>
      </c>
      <c r="FZ238">
        <v>0.25</v>
      </c>
      <c r="GA238" t="s">
        <v>424</v>
      </c>
      <c r="GB238" t="s">
        <v>425</v>
      </c>
      <c r="GC238" s="1">
        <v>42577</v>
      </c>
      <c r="GD238">
        <v>2</v>
      </c>
      <c r="GE238">
        <v>2851116</v>
      </c>
      <c r="GF238" t="s">
        <v>480</v>
      </c>
      <c r="GH238" s="1">
        <v>42515</v>
      </c>
      <c r="GI238">
        <v>2015</v>
      </c>
      <c r="GJ238">
        <v>777.21</v>
      </c>
      <c r="GK238" t="s">
        <v>2868</v>
      </c>
      <c r="GL238">
        <v>0.25</v>
      </c>
      <c r="GM238" t="s">
        <v>424</v>
      </c>
      <c r="GN238" t="s">
        <v>425</v>
      </c>
      <c r="GP238">
        <v>22</v>
      </c>
      <c r="GQ238">
        <v>4932020</v>
      </c>
      <c r="GR238" t="s">
        <v>2869</v>
      </c>
      <c r="GT238" s="1">
        <v>41787</v>
      </c>
      <c r="GU238">
        <v>2013</v>
      </c>
      <c r="GV238">
        <v>700.16</v>
      </c>
      <c r="GW238" t="s">
        <v>2870</v>
      </c>
      <c r="GX238">
        <v>0.25</v>
      </c>
      <c r="GY238" t="s">
        <v>424</v>
      </c>
      <c r="GZ238" t="s">
        <v>425</v>
      </c>
      <c r="HA238" s="1">
        <v>42111</v>
      </c>
      <c r="HB238">
        <v>11</v>
      </c>
      <c r="HC238">
        <v>2407503</v>
      </c>
      <c r="HD238" t="s">
        <v>461</v>
      </c>
      <c r="HF238" s="1">
        <v>41423</v>
      </c>
      <c r="HG238">
        <v>2012</v>
      </c>
      <c r="HH238">
        <v>676.35</v>
      </c>
      <c r="HI238" t="s">
        <v>2871</v>
      </c>
      <c r="HJ238">
        <v>3.5</v>
      </c>
      <c r="HK238" t="s">
        <v>424</v>
      </c>
      <c r="HL238" t="s">
        <v>425</v>
      </c>
      <c r="HM238" s="1">
        <v>41691</v>
      </c>
      <c r="HN238">
        <v>9</v>
      </c>
      <c r="HO238">
        <v>15399</v>
      </c>
      <c r="HP238" t="s">
        <v>485</v>
      </c>
      <c r="HR238" s="1">
        <v>41052</v>
      </c>
      <c r="HS238">
        <v>2011</v>
      </c>
      <c r="HT238">
        <v>684.19</v>
      </c>
      <c r="HU238" t="s">
        <v>2872</v>
      </c>
      <c r="HV238">
        <v>5</v>
      </c>
      <c r="HW238" t="s">
        <v>424</v>
      </c>
      <c r="HX238" t="s">
        <v>425</v>
      </c>
      <c r="HY238" s="1">
        <v>41691</v>
      </c>
      <c r="HZ238">
        <v>21</v>
      </c>
      <c r="IA238">
        <v>10125</v>
      </c>
      <c r="IB238" t="s">
        <v>440</v>
      </c>
    </row>
    <row r="239" spans="1:272" x14ac:dyDescent="0.25">
      <c r="A239">
        <v>16485246</v>
      </c>
      <c r="B239">
        <v>238</v>
      </c>
      <c r="C239" t="s">
        <v>393</v>
      </c>
      <c r="D239" t="s">
        <v>394</v>
      </c>
      <c r="F239" t="str">
        <f>"11-1N-24-2180-0053-0030"</f>
        <v>11-1N-24-2180-0053-0030</v>
      </c>
      <c r="H239" t="str">
        <f>"ZAKRZEWSKI RANDY J &amp; SUSAN G"</f>
        <v>ZAKRZEWSKI RANDY J &amp; SUSAN G</v>
      </c>
      <c r="I239" t="str">
        <f>"24966 CRAWFORD ROAD"</f>
        <v>24966 CRAWFORD ROAD</v>
      </c>
      <c r="J239" t="str">
        <f t="shared" si="75"/>
        <v>CALLAHAN FL 32011</v>
      </c>
      <c r="K239" t="str">
        <f>"CRAWFORD RD"</f>
        <v>CRAWFORD RD</v>
      </c>
      <c r="L239" t="str">
        <f t="shared" si="73"/>
        <v>CALLAHAN FL 32011</v>
      </c>
      <c r="M239" t="str">
        <f>"PT OF LOT 53 (S-3) PT OR 1487/1571 TOWN OF CRAWFORD"</f>
        <v>PT OF LOT 53 (S-3) PT OR 1487/1571 TOWN OF CRAWFORD</v>
      </c>
      <c r="N239" t="str">
        <f>""</f>
        <v/>
      </c>
      <c r="O239" t="str">
        <f>"26397"</f>
        <v>26397</v>
      </c>
      <c r="P239" t="str">
        <f t="shared" si="61"/>
        <v>2017</v>
      </c>
      <c r="Q239" t="str">
        <f>""</f>
        <v/>
      </c>
      <c r="R239" t="str">
        <f t="shared" si="74"/>
        <v>N</v>
      </c>
      <c r="S239" t="str">
        <f>"0.15"</f>
        <v>0.15</v>
      </c>
      <c r="T239" t="str">
        <f>"31.76"</f>
        <v>31.76</v>
      </c>
      <c r="U239" t="str">
        <f>"1980.00"</f>
        <v>1980.00</v>
      </c>
      <c r="V239" t="str">
        <f>"1980.00"</f>
        <v>1980.00</v>
      </c>
      <c r="W239" t="str">
        <f t="shared" si="62"/>
        <v>2017</v>
      </c>
      <c r="X239" t="str">
        <f>"15.00"</f>
        <v>15.00</v>
      </c>
      <c r="Y239" t="str">
        <f>"64.71"</f>
        <v>64.71</v>
      </c>
      <c r="Z239" t="str">
        <f>""</f>
        <v/>
      </c>
      <c r="AA239" t="str">
        <f>"2250.00"</f>
        <v>2250.00</v>
      </c>
      <c r="AB239" t="str">
        <f t="shared" si="71"/>
        <v>Residential</v>
      </c>
      <c r="AC239" t="str">
        <f t="shared" si="64"/>
        <v>0</v>
      </c>
      <c r="AD239" t="str">
        <f>""</f>
        <v/>
      </c>
      <c r="AE239" t="str">
        <f>""</f>
        <v/>
      </c>
      <c r="AF239" t="str">
        <f>"000"</f>
        <v>000</v>
      </c>
      <c r="AG239" t="str">
        <f t="shared" si="72"/>
        <v>FL</v>
      </c>
      <c r="AH239" t="str">
        <f>"6534.00"</f>
        <v>6534.00</v>
      </c>
      <c r="AI239" t="str">
        <f>"2250.00"</f>
        <v>2250.00</v>
      </c>
      <c r="AJ239" t="str">
        <f>"C55-000-589-2528-0"</f>
        <v>C55-000-589-2528-0</v>
      </c>
      <c r="AK239" t="str">
        <f>"3655"</f>
        <v>3655</v>
      </c>
      <c r="AL239">
        <v>1</v>
      </c>
      <c r="AM239">
        <v>276</v>
      </c>
      <c r="AN239">
        <v>66.349999999999994</v>
      </c>
      <c r="AQ239" t="s">
        <v>2873</v>
      </c>
      <c r="AR239" t="s">
        <v>2873</v>
      </c>
      <c r="AS239" t="s">
        <v>2873</v>
      </c>
      <c r="AU239" t="s">
        <v>396</v>
      </c>
      <c r="AV239">
        <v>2017</v>
      </c>
      <c r="AW239" t="str">
        <f>"11-1N-24-2180-0053-0030 "</f>
        <v xml:space="preserve">11-1N-24-2180-0053-0030 </v>
      </c>
      <c r="AZ239" t="s">
        <v>2874</v>
      </c>
      <c r="BA239" t="s">
        <v>496</v>
      </c>
      <c r="BD239" t="s">
        <v>2785</v>
      </c>
      <c r="BE239" t="s">
        <v>393</v>
      </c>
      <c r="BF239">
        <v>32011</v>
      </c>
      <c r="BG239" t="s">
        <v>2875</v>
      </c>
      <c r="BH239" t="s">
        <v>2787</v>
      </c>
      <c r="BI239">
        <v>-81.878017210509796</v>
      </c>
      <c r="BJ239">
        <v>30.5127052868561</v>
      </c>
      <c r="BK239" t="s">
        <v>2876</v>
      </c>
      <c r="BL239" t="s">
        <v>2877</v>
      </c>
      <c r="BM239" t="s">
        <v>2878</v>
      </c>
      <c r="BN239" t="s">
        <v>928</v>
      </c>
      <c r="BO239">
        <v>32011</v>
      </c>
      <c r="BP239" t="s">
        <v>404</v>
      </c>
      <c r="BQ239">
        <v>0</v>
      </c>
      <c r="BR239" t="s">
        <v>491</v>
      </c>
      <c r="BS239">
        <v>8001</v>
      </c>
      <c r="BT239" t="s">
        <v>492</v>
      </c>
      <c r="BW239">
        <v>6534</v>
      </c>
      <c r="BX239" t="s">
        <v>407</v>
      </c>
      <c r="BY239" t="s">
        <v>408</v>
      </c>
      <c r="CD239">
        <v>2017</v>
      </c>
      <c r="CE239">
        <v>2250</v>
      </c>
      <c r="CG239">
        <v>2250</v>
      </c>
      <c r="CH239">
        <v>2017</v>
      </c>
      <c r="CI239">
        <v>2250</v>
      </c>
      <c r="CK239">
        <v>2250</v>
      </c>
      <c r="CL239">
        <v>2017</v>
      </c>
      <c r="CM239">
        <v>31.76</v>
      </c>
      <c r="CN239" s="1">
        <v>39167</v>
      </c>
      <c r="CZ239" s="1">
        <v>39167</v>
      </c>
      <c r="DD239" t="s">
        <v>2785</v>
      </c>
      <c r="DF239">
        <v>53</v>
      </c>
      <c r="DG239">
        <v>11</v>
      </c>
      <c r="DL239">
        <v>50503</v>
      </c>
      <c r="DM239" t="s">
        <v>2847</v>
      </c>
      <c r="DO239" t="s">
        <v>2879</v>
      </c>
      <c r="DP239">
        <v>0</v>
      </c>
      <c r="DQ239">
        <v>0</v>
      </c>
      <c r="DR239" t="s">
        <v>411</v>
      </c>
      <c r="DS239" t="b">
        <v>1</v>
      </c>
      <c r="DT239" t="s">
        <v>470</v>
      </c>
      <c r="DU239" t="s">
        <v>471</v>
      </c>
      <c r="DV239" t="s">
        <v>472</v>
      </c>
      <c r="DX239">
        <v>-9999</v>
      </c>
      <c r="DZ239" t="s">
        <v>447</v>
      </c>
      <c r="EA239" t="s">
        <v>448</v>
      </c>
      <c r="EB239" t="s">
        <v>742</v>
      </c>
      <c r="EC239">
        <v>20101217</v>
      </c>
      <c r="ED239" t="s">
        <v>474</v>
      </c>
      <c r="EF239">
        <v>2531.1</v>
      </c>
      <c r="EG239">
        <v>2531.1</v>
      </c>
      <c r="EI239">
        <v>20160407</v>
      </c>
      <c r="EJ239">
        <v>0</v>
      </c>
      <c r="EK239">
        <v>0</v>
      </c>
      <c r="EP239" t="s">
        <v>595</v>
      </c>
      <c r="EQ239" t="s">
        <v>422</v>
      </c>
      <c r="ER239">
        <v>5</v>
      </c>
      <c r="ES239">
        <v>3</v>
      </c>
      <c r="ET239">
        <v>275.99</v>
      </c>
      <c r="EU239">
        <v>126.94</v>
      </c>
      <c r="EV239">
        <v>402.93</v>
      </c>
      <c r="EW239" s="2">
        <v>43222</v>
      </c>
      <c r="EX239" s="1">
        <v>42879</v>
      </c>
      <c r="EY239">
        <v>2016</v>
      </c>
      <c r="EZ239">
        <v>56.88</v>
      </c>
      <c r="FA239" t="s">
        <v>2880</v>
      </c>
      <c r="FB239">
        <v>18</v>
      </c>
      <c r="FC239" t="s">
        <v>603</v>
      </c>
      <c r="FD239" t="s">
        <v>454</v>
      </c>
      <c r="FF239">
        <v>12</v>
      </c>
      <c r="FG239">
        <v>9999999</v>
      </c>
      <c r="FH239" t="s">
        <v>604</v>
      </c>
      <c r="FJ239" s="1">
        <v>42879</v>
      </c>
      <c r="FK239">
        <v>2016</v>
      </c>
      <c r="FL239">
        <v>65.69</v>
      </c>
      <c r="FM239" t="s">
        <v>2880</v>
      </c>
      <c r="FN239">
        <v>18</v>
      </c>
      <c r="FO239" t="s">
        <v>424</v>
      </c>
      <c r="FP239" t="s">
        <v>454</v>
      </c>
      <c r="FR239">
        <v>12</v>
      </c>
      <c r="FS239">
        <v>7685300</v>
      </c>
      <c r="FT239" t="s">
        <v>2881</v>
      </c>
      <c r="FV239" s="1">
        <v>42515</v>
      </c>
      <c r="FW239">
        <v>2015</v>
      </c>
      <c r="FX239">
        <v>51.22</v>
      </c>
      <c r="FY239" t="s">
        <v>2882</v>
      </c>
      <c r="FZ239">
        <v>18</v>
      </c>
      <c r="GA239" t="s">
        <v>603</v>
      </c>
      <c r="GB239" t="s">
        <v>454</v>
      </c>
      <c r="GD239">
        <v>24</v>
      </c>
      <c r="GE239">
        <v>9999999</v>
      </c>
      <c r="GF239" t="s">
        <v>604</v>
      </c>
      <c r="GH239" s="1">
        <v>42151</v>
      </c>
      <c r="GI239">
        <v>2014</v>
      </c>
      <c r="GJ239">
        <v>47.62</v>
      </c>
      <c r="GK239" t="s">
        <v>2883</v>
      </c>
      <c r="GL239">
        <v>18</v>
      </c>
      <c r="GM239" t="s">
        <v>603</v>
      </c>
      <c r="GN239" t="s">
        <v>454</v>
      </c>
      <c r="GP239">
        <v>36</v>
      </c>
      <c r="GQ239">
        <v>9999999</v>
      </c>
      <c r="GR239" t="s">
        <v>604</v>
      </c>
      <c r="GT239" s="1">
        <v>42151</v>
      </c>
      <c r="GU239">
        <v>2014</v>
      </c>
      <c r="GV239">
        <v>54.58</v>
      </c>
      <c r="GW239" t="s">
        <v>2883</v>
      </c>
      <c r="GX239">
        <v>18</v>
      </c>
      <c r="GY239" t="s">
        <v>424</v>
      </c>
      <c r="GZ239" t="s">
        <v>454</v>
      </c>
      <c r="HB239">
        <v>36</v>
      </c>
      <c r="HC239">
        <v>4844951</v>
      </c>
      <c r="HD239" t="s">
        <v>697</v>
      </c>
      <c r="HF239" s="1">
        <v>41423</v>
      </c>
      <c r="HG239">
        <v>2012</v>
      </c>
      <c r="HH239">
        <v>50.25</v>
      </c>
      <c r="HI239" t="s">
        <v>2884</v>
      </c>
      <c r="HJ239">
        <v>16.75</v>
      </c>
      <c r="HK239" t="s">
        <v>424</v>
      </c>
      <c r="HL239" t="s">
        <v>425</v>
      </c>
      <c r="HM239" s="1">
        <v>41697</v>
      </c>
      <c r="HN239">
        <v>9</v>
      </c>
      <c r="HO239">
        <v>2101381</v>
      </c>
      <c r="HP239" t="s">
        <v>605</v>
      </c>
      <c r="HR239" s="1">
        <v>41052</v>
      </c>
      <c r="HS239">
        <v>2011</v>
      </c>
      <c r="HT239">
        <v>47.75</v>
      </c>
      <c r="HU239" t="s">
        <v>2885</v>
      </c>
      <c r="HV239">
        <v>18</v>
      </c>
      <c r="HW239" t="s">
        <v>424</v>
      </c>
      <c r="HX239" t="s">
        <v>425</v>
      </c>
      <c r="HY239" s="1">
        <v>41697</v>
      </c>
      <c r="HZ239">
        <v>21</v>
      </c>
      <c r="IA239">
        <v>10125</v>
      </c>
      <c r="IB239" t="s">
        <v>440</v>
      </c>
      <c r="ID239" s="1">
        <v>40688</v>
      </c>
      <c r="IE239">
        <v>2010</v>
      </c>
      <c r="IF239">
        <v>50.73</v>
      </c>
      <c r="IG239" t="s">
        <v>2886</v>
      </c>
      <c r="IH239">
        <v>12.5</v>
      </c>
      <c r="II239" t="s">
        <v>424</v>
      </c>
      <c r="IJ239" t="s">
        <v>425</v>
      </c>
      <c r="IK239" s="1">
        <v>41333</v>
      </c>
      <c r="IL239">
        <v>21</v>
      </c>
      <c r="IM239">
        <v>105</v>
      </c>
      <c r="IN239" t="s">
        <v>946</v>
      </c>
    </row>
    <row r="240" spans="1:272" x14ac:dyDescent="0.25">
      <c r="A240">
        <v>16485247</v>
      </c>
      <c r="B240">
        <v>239</v>
      </c>
      <c r="C240" t="s">
        <v>393</v>
      </c>
      <c r="D240" t="s">
        <v>394</v>
      </c>
      <c r="F240" t="str">
        <f>"11-1N-24-2180-0056-0010"</f>
        <v>11-1N-24-2180-0056-0010</v>
      </c>
      <c r="H240" t="str">
        <f>"MILLER TRACY DENIEL EST"</f>
        <v>MILLER TRACY DENIEL EST</v>
      </c>
      <c r="I240" t="str">
        <f>"24890 CRAWFORD ROAD"</f>
        <v>24890 CRAWFORD ROAD</v>
      </c>
      <c r="J240" t="str">
        <f t="shared" si="75"/>
        <v>CALLAHAN FL 32011</v>
      </c>
      <c r="K240" t="str">
        <f>"24890 CRAWFORD RD"</f>
        <v>24890 CRAWFORD RD</v>
      </c>
      <c r="L240" t="str">
        <f t="shared" si="73"/>
        <v>CALLAHAN FL 32011</v>
      </c>
      <c r="M240" t="str">
        <f>"PT OF LOT 56 1999 SW/MH BELL IN OR 995/1584 TOWN OF CRAWFORD"</f>
        <v>PT OF LOT 56 1999 SW/MH BELL IN OR 995/1584 TOWN OF CRAWFORD</v>
      </c>
      <c r="N240" t="str">
        <f>""</f>
        <v/>
      </c>
      <c r="O240" t="str">
        <f>"26402"</f>
        <v>26402</v>
      </c>
      <c r="P240" t="str">
        <f t="shared" si="61"/>
        <v>2017</v>
      </c>
      <c r="Q240" t="str">
        <f>""</f>
        <v/>
      </c>
      <c r="R240" t="str">
        <f t="shared" si="74"/>
        <v>N</v>
      </c>
      <c r="S240" t="str">
        <f>"1.25"</f>
        <v>1.25</v>
      </c>
      <c r="T240" t="str">
        <f>"1020.89"</f>
        <v>1020.89</v>
      </c>
      <c r="U240" t="str">
        <f>"67435.00"</f>
        <v>67435.00</v>
      </c>
      <c r="V240" t="str">
        <f>"67435.00"</f>
        <v>67435.00</v>
      </c>
      <c r="W240" t="str">
        <f t="shared" si="62"/>
        <v>2017</v>
      </c>
      <c r="X240" t="str">
        <f>""</f>
        <v/>
      </c>
      <c r="Y240" t="str">
        <f>"1083.52"</f>
        <v>1083.52</v>
      </c>
      <c r="Z240" t="str">
        <f>""</f>
        <v/>
      </c>
      <c r="AA240" t="str">
        <f>"67435.00"</f>
        <v>67435.00</v>
      </c>
      <c r="AB240" t="str">
        <f t="shared" si="71"/>
        <v>Residential</v>
      </c>
      <c r="AC240" t="str">
        <f t="shared" si="64"/>
        <v>0</v>
      </c>
      <c r="AD240" t="str">
        <f>"4"</f>
        <v>4</v>
      </c>
      <c r="AE240" t="str">
        <f>"WOOD (INCLUDE STEEL STUDS)"</f>
        <v>WOOD (INCLUDE STEEL STUDS)</v>
      </c>
      <c r="AF240" t="str">
        <f>"002"</f>
        <v>002</v>
      </c>
      <c r="AG240" t="str">
        <f t="shared" si="72"/>
        <v>FL</v>
      </c>
      <c r="AH240" t="str">
        <f>"54450.00"</f>
        <v>54450.00</v>
      </c>
      <c r="AI240" t="str">
        <f>"18750.00"</f>
        <v>18750.00</v>
      </c>
      <c r="AJ240" t="str">
        <f>"C55-000-586-9112-2"</f>
        <v>C55-000-586-9112-2</v>
      </c>
      <c r="AK240" t="str">
        <f>"3659"</f>
        <v>3659</v>
      </c>
      <c r="AL240">
        <v>1</v>
      </c>
      <c r="AM240">
        <v>277</v>
      </c>
      <c r="AN240">
        <v>1136.0999999999999</v>
      </c>
      <c r="AQ240" t="s">
        <v>2887</v>
      </c>
      <c r="AR240" t="s">
        <v>2887</v>
      </c>
      <c r="AS240" t="s">
        <v>2887</v>
      </c>
      <c r="AU240" t="s">
        <v>396</v>
      </c>
      <c r="AV240">
        <v>2017</v>
      </c>
      <c r="AW240" t="str">
        <f>"11-1N-24-2180-0056-0010 "</f>
        <v xml:space="preserve">11-1N-24-2180-0056-0010 </v>
      </c>
      <c r="AX240">
        <v>24890</v>
      </c>
      <c r="AZ240" t="s">
        <v>2874</v>
      </c>
      <c r="BA240" t="s">
        <v>496</v>
      </c>
      <c r="BD240" t="s">
        <v>2785</v>
      </c>
      <c r="BE240" t="s">
        <v>393</v>
      </c>
      <c r="BF240">
        <v>32011</v>
      </c>
      <c r="BG240" t="s">
        <v>2888</v>
      </c>
      <c r="BH240" t="s">
        <v>2787</v>
      </c>
      <c r="BI240">
        <v>-81.883329813081204</v>
      </c>
      <c r="BJ240">
        <v>30.511101734350198</v>
      </c>
      <c r="BK240" t="s">
        <v>2889</v>
      </c>
      <c r="BM240" t="s">
        <v>2890</v>
      </c>
      <c r="BN240" t="s">
        <v>928</v>
      </c>
      <c r="BO240">
        <v>32011</v>
      </c>
      <c r="BP240" t="s">
        <v>416</v>
      </c>
      <c r="BQ240">
        <v>200</v>
      </c>
      <c r="BR240" t="s">
        <v>405</v>
      </c>
      <c r="BS240">
        <v>1006</v>
      </c>
      <c r="BT240" t="s">
        <v>406</v>
      </c>
      <c r="BW240">
        <v>54450</v>
      </c>
      <c r="BX240" t="s">
        <v>407</v>
      </c>
      <c r="BY240" t="s">
        <v>408</v>
      </c>
      <c r="BZ240">
        <v>4</v>
      </c>
      <c r="CA240">
        <v>1999</v>
      </c>
      <c r="CB240">
        <v>1</v>
      </c>
      <c r="CC240">
        <v>1</v>
      </c>
      <c r="CD240">
        <v>2017</v>
      </c>
      <c r="CE240">
        <v>18750</v>
      </c>
      <c r="CF240">
        <v>48685</v>
      </c>
      <c r="CG240">
        <v>67435</v>
      </c>
      <c r="CH240">
        <v>2017</v>
      </c>
      <c r="CI240">
        <v>18750</v>
      </c>
      <c r="CJ240">
        <v>48685</v>
      </c>
      <c r="CK240">
        <v>67435</v>
      </c>
      <c r="CL240">
        <v>2017</v>
      </c>
      <c r="CM240">
        <v>1020.89</v>
      </c>
      <c r="CN240" s="1">
        <v>37077</v>
      </c>
      <c r="CO240">
        <v>18500</v>
      </c>
      <c r="CV240">
        <v>17000</v>
      </c>
      <c r="CX240" t="s">
        <v>707</v>
      </c>
      <c r="CZ240" s="1">
        <v>37077</v>
      </c>
      <c r="DA240">
        <v>0</v>
      </c>
      <c r="DD240" t="s">
        <v>2785</v>
      </c>
      <c r="DF240">
        <v>56</v>
      </c>
      <c r="DG240">
        <v>11</v>
      </c>
      <c r="DL240">
        <v>50503</v>
      </c>
      <c r="DM240" t="s">
        <v>2847</v>
      </c>
      <c r="DO240" t="s">
        <v>2891</v>
      </c>
      <c r="DP240">
        <v>0</v>
      </c>
      <c r="DQ240">
        <v>0</v>
      </c>
      <c r="DR240" t="s">
        <v>411</v>
      </c>
    </row>
    <row r="241" spans="1:248" x14ac:dyDescent="0.25">
      <c r="A241">
        <v>16485248</v>
      </c>
      <c r="B241">
        <v>240</v>
      </c>
      <c r="C241" t="s">
        <v>393</v>
      </c>
      <c r="D241" t="s">
        <v>394</v>
      </c>
      <c r="F241" t="str">
        <f>"14-1N-24-2180-0089-0000"</f>
        <v>14-1N-24-2180-0089-0000</v>
      </c>
      <c r="H241" t="str">
        <f>"PICKETT CHARLES A EST"</f>
        <v>PICKETT CHARLES A EST</v>
      </c>
      <c r="I241" t="str">
        <f>"542586 US HWY 1"</f>
        <v>542586 US HWY 1</v>
      </c>
      <c r="J241" t="str">
        <f t="shared" si="75"/>
        <v>CALLAHAN FL 32011</v>
      </c>
      <c r="K241" t="str">
        <f t="shared" ref="K241:K249" si="76">"US HWY 301"</f>
        <v>US HWY 301</v>
      </c>
      <c r="L241" t="str">
        <f t="shared" si="73"/>
        <v>CALLAHAN FL 32011</v>
      </c>
      <c r="M241" t="str">
        <f>"LOTS 89 90 91 92 93 94 95 &amp; 96 (EX UTIL ESMT IN OR 1092/951) TOWN OF CRAWFORD S/D IN SEC 14-1N-24E"</f>
        <v>LOTS 89 90 91 92 93 94 95 &amp; 96 (EX UTIL ESMT IN OR 1092/951) TOWN OF CRAWFORD S/D IN SEC 14-1N-24E</v>
      </c>
      <c r="N241" t="str">
        <f>""</f>
        <v/>
      </c>
      <c r="O241" t="str">
        <f>"29764"</f>
        <v>29764</v>
      </c>
      <c r="P241" t="str">
        <f t="shared" si="61"/>
        <v>2017</v>
      </c>
      <c r="Q241" t="str">
        <f>""</f>
        <v/>
      </c>
      <c r="R241" t="str">
        <f t="shared" si="74"/>
        <v>N</v>
      </c>
      <c r="S241" t="str">
        <f>"0.93"</f>
        <v>0.93</v>
      </c>
      <c r="T241" t="str">
        <f>"6.63"</f>
        <v>6.63</v>
      </c>
      <c r="U241" t="str">
        <f>"438.00"</f>
        <v>438.00</v>
      </c>
      <c r="V241" t="str">
        <f>"438.00"</f>
        <v>438.00</v>
      </c>
      <c r="W241" t="str">
        <f t="shared" si="62"/>
        <v>2017</v>
      </c>
      <c r="X241" t="str">
        <f>"8.00"</f>
        <v>8.00</v>
      </c>
      <c r="Y241" t="str">
        <f>"38.83"</f>
        <v>38.83</v>
      </c>
      <c r="Z241" t="str">
        <f>""</f>
        <v/>
      </c>
      <c r="AA241" t="str">
        <f>"438.00"</f>
        <v>438.00</v>
      </c>
      <c r="AB241" t="str">
        <f>"Agricultural"</f>
        <v>Agricultural</v>
      </c>
      <c r="AC241" t="str">
        <f t="shared" si="64"/>
        <v>0</v>
      </c>
      <c r="AD241" t="str">
        <f>""</f>
        <v/>
      </c>
      <c r="AE241" t="str">
        <f>""</f>
        <v/>
      </c>
      <c r="AF241" t="str">
        <f>"055"</f>
        <v>055</v>
      </c>
      <c r="AG241" t="str">
        <f t="shared" si="72"/>
        <v>FL</v>
      </c>
      <c r="AH241" t="str">
        <f>"40597.00"</f>
        <v>40597.00</v>
      </c>
      <c r="AI241" t="str">
        <f>"438.00"</f>
        <v>438.00</v>
      </c>
      <c r="AJ241" t="str">
        <f>"C55-000-587-0054-3"</f>
        <v>C55-000-587-0054-3</v>
      </c>
      <c r="AK241" t="str">
        <f>"3698"</f>
        <v>3698</v>
      </c>
      <c r="AL241">
        <v>1</v>
      </c>
      <c r="AM241">
        <v>278</v>
      </c>
      <c r="AN241">
        <v>39.17</v>
      </c>
      <c r="AQ241" t="s">
        <v>2892</v>
      </c>
      <c r="AR241" t="s">
        <v>2892</v>
      </c>
      <c r="AS241" t="s">
        <v>2892</v>
      </c>
      <c r="AU241" t="s">
        <v>396</v>
      </c>
      <c r="AV241">
        <v>2017</v>
      </c>
      <c r="AW241" t="str">
        <f>"14-1N-24-2180-0089-0000 "</f>
        <v xml:space="preserve">14-1N-24-2180-0089-0000 </v>
      </c>
      <c r="AZ241" t="s">
        <v>2893</v>
      </c>
      <c r="BD241" t="s">
        <v>2785</v>
      </c>
      <c r="BE241" t="s">
        <v>393</v>
      </c>
      <c r="BF241">
        <v>32011</v>
      </c>
      <c r="BG241" t="s">
        <v>2893</v>
      </c>
      <c r="BH241" t="s">
        <v>2787</v>
      </c>
      <c r="BI241">
        <v>-81.879323367379598</v>
      </c>
      <c r="BJ241">
        <v>30.5062377196464</v>
      </c>
      <c r="BK241" t="s">
        <v>2894</v>
      </c>
      <c r="BM241" t="s">
        <v>2895</v>
      </c>
      <c r="BN241" t="s">
        <v>928</v>
      </c>
      <c r="BO241">
        <v>32011</v>
      </c>
      <c r="BP241" t="s">
        <v>404</v>
      </c>
      <c r="BQ241">
        <v>5501</v>
      </c>
      <c r="BR241" t="s">
        <v>1353</v>
      </c>
      <c r="BS241">
        <v>7009</v>
      </c>
      <c r="BT241" t="s">
        <v>418</v>
      </c>
      <c r="BW241">
        <v>40597</v>
      </c>
      <c r="BX241" t="s">
        <v>407</v>
      </c>
      <c r="CD241">
        <v>2017</v>
      </c>
      <c r="CG241">
        <v>438</v>
      </c>
      <c r="CH241">
        <v>2017</v>
      </c>
      <c r="CI241">
        <v>438</v>
      </c>
      <c r="CJ241">
        <v>13542</v>
      </c>
      <c r="CK241">
        <v>13980</v>
      </c>
      <c r="CL241">
        <v>2017</v>
      </c>
      <c r="CM241">
        <v>6.63</v>
      </c>
      <c r="CN241" s="1">
        <v>40892</v>
      </c>
      <c r="CZ241" s="1">
        <v>40892</v>
      </c>
      <c r="DD241" t="s">
        <v>2785</v>
      </c>
      <c r="DG241">
        <v>14</v>
      </c>
      <c r="DL241">
        <v>50504</v>
      </c>
      <c r="DM241" t="s">
        <v>2896</v>
      </c>
      <c r="DO241" t="s">
        <v>2897</v>
      </c>
      <c r="DP241">
        <v>0</v>
      </c>
      <c r="DQ241">
        <v>0</v>
      </c>
      <c r="DR241" t="s">
        <v>411</v>
      </c>
      <c r="DS241" t="s">
        <v>695</v>
      </c>
      <c r="EJ241">
        <v>0</v>
      </c>
      <c r="EK241">
        <v>1</v>
      </c>
      <c r="EP241" t="s">
        <v>421</v>
      </c>
      <c r="EQ241" t="s">
        <v>422</v>
      </c>
      <c r="ER241">
        <v>0</v>
      </c>
      <c r="ES241">
        <v>1</v>
      </c>
      <c r="ET241">
        <v>0</v>
      </c>
      <c r="EU241">
        <v>0</v>
      </c>
      <c r="EV241">
        <v>0</v>
      </c>
      <c r="EW241" s="2">
        <v>43222</v>
      </c>
      <c r="EX241" s="1">
        <v>42515</v>
      </c>
      <c r="EY241">
        <v>2015</v>
      </c>
      <c r="EZ241">
        <v>28.65</v>
      </c>
      <c r="FA241" t="s">
        <v>2898</v>
      </c>
      <c r="FB241">
        <v>18</v>
      </c>
      <c r="FC241" t="s">
        <v>424</v>
      </c>
      <c r="FD241" t="s">
        <v>425</v>
      </c>
      <c r="FE241" s="1">
        <v>42760</v>
      </c>
      <c r="FF241">
        <v>8</v>
      </c>
      <c r="FG241">
        <v>7045082</v>
      </c>
      <c r="FH241" t="s">
        <v>2899</v>
      </c>
    </row>
    <row r="242" spans="1:248" x14ac:dyDescent="0.25">
      <c r="A242">
        <v>16485249</v>
      </c>
      <c r="B242">
        <v>241</v>
      </c>
      <c r="C242" t="s">
        <v>393</v>
      </c>
      <c r="D242" t="s">
        <v>394</v>
      </c>
      <c r="F242" t="str">
        <f>"14-1N-24-2180-0106-0000"</f>
        <v>14-1N-24-2180-0106-0000</v>
      </c>
      <c r="H242" t="str">
        <f>"PICKETT CHARLES A EST"</f>
        <v>PICKETT CHARLES A EST</v>
      </c>
      <c r="I242" t="str">
        <f>"542586 US HWY 1"</f>
        <v>542586 US HWY 1</v>
      </c>
      <c r="J242" t="str">
        <f t="shared" si="75"/>
        <v>CALLAHAN FL 32011</v>
      </c>
      <c r="K242" t="str">
        <f t="shared" si="76"/>
        <v>US HWY 301</v>
      </c>
      <c r="L242" t="str">
        <f t="shared" si="73"/>
        <v>CALLAHAN FL 32011</v>
      </c>
      <c r="M242" t="str">
        <f>"LOTS 104 105 106 107 108 109 110 &amp; 111 (EX PT IN DOT R/W IN OR 1111/219) TOWN OF CRAWFORD S/D IN SEC 14-1N-24E {R498331 &amp; R498332}"</f>
        <v>LOTS 104 105 106 107 108 109 110 &amp; 111 (EX PT IN DOT R/W IN OR 1111/219) TOWN OF CRAWFORD S/D IN SEC 14-1N-24E {R498331 &amp; R498332}</v>
      </c>
      <c r="N242" t="str">
        <f>""</f>
        <v/>
      </c>
      <c r="O242" t="str">
        <f>"29766"</f>
        <v>29766</v>
      </c>
      <c r="P242" t="str">
        <f t="shared" si="61"/>
        <v>2017</v>
      </c>
      <c r="Q242" t="str">
        <f>""</f>
        <v/>
      </c>
      <c r="R242" t="str">
        <f t="shared" si="74"/>
        <v>N</v>
      </c>
      <c r="S242" t="str">
        <f>"0.68"</f>
        <v>0.68</v>
      </c>
      <c r="T242" t="str">
        <f>"406.63"</f>
        <v>406.63</v>
      </c>
      <c r="U242" t="str">
        <f>"26860.00"</f>
        <v>26860.00</v>
      </c>
      <c r="V242" t="str">
        <f>"26860.00"</f>
        <v>26860.00</v>
      </c>
      <c r="W242" t="str">
        <f t="shared" si="62"/>
        <v>2017</v>
      </c>
      <c r="X242" t="str">
        <f>"18.33"</f>
        <v>18.33</v>
      </c>
      <c r="Y242" t="str">
        <f>"450.83"</f>
        <v>450.83</v>
      </c>
      <c r="Z242" t="str">
        <f>""</f>
        <v/>
      </c>
      <c r="AA242" t="str">
        <f>"26860.00"</f>
        <v>26860.00</v>
      </c>
      <c r="AB242" t="str">
        <f t="shared" ref="AB242:AB274" si="77">"Residential"</f>
        <v>Residential</v>
      </c>
      <c r="AC242" t="str">
        <f t="shared" si="64"/>
        <v>0</v>
      </c>
      <c r="AD242" t="str">
        <f>"4"</f>
        <v>4</v>
      </c>
      <c r="AE242" t="str">
        <f>"WOOD (INCLUDE STEEL STUDS)"</f>
        <v>WOOD (INCLUDE STEEL STUDS)</v>
      </c>
      <c r="AF242" t="str">
        <f>"002"</f>
        <v>002</v>
      </c>
      <c r="AG242" t="str">
        <f t="shared" si="72"/>
        <v>FL</v>
      </c>
      <c r="AH242" t="str">
        <f>"29490.00"</f>
        <v>29490.00</v>
      </c>
      <c r="AI242" t="str">
        <f>"10155.00"</f>
        <v>10155.00</v>
      </c>
      <c r="AJ242" t="str">
        <f>"C55-000-587-0055-0"</f>
        <v>C55-000-587-0055-0</v>
      </c>
      <c r="AK242" t="str">
        <f>"3700"</f>
        <v>3700</v>
      </c>
      <c r="AL242">
        <v>1</v>
      </c>
      <c r="AM242">
        <v>279</v>
      </c>
      <c r="AN242">
        <v>471.77</v>
      </c>
      <c r="AQ242" t="s">
        <v>2900</v>
      </c>
      <c r="AR242" t="s">
        <v>2900</v>
      </c>
      <c r="AS242" t="s">
        <v>2900</v>
      </c>
      <c r="AU242" t="s">
        <v>396</v>
      </c>
      <c r="AV242">
        <v>2017</v>
      </c>
      <c r="AW242" t="str">
        <f>"14-1N-24-2180-0106-0000 "</f>
        <v xml:space="preserve">14-1N-24-2180-0106-0000 </v>
      </c>
      <c r="AZ242" t="s">
        <v>2893</v>
      </c>
      <c r="BD242" t="s">
        <v>2785</v>
      </c>
      <c r="BE242" t="s">
        <v>393</v>
      </c>
      <c r="BF242">
        <v>32011</v>
      </c>
      <c r="BG242" t="s">
        <v>2893</v>
      </c>
      <c r="BH242" t="s">
        <v>2787</v>
      </c>
      <c r="BI242">
        <v>-81.877712500000001</v>
      </c>
      <c r="BJ242">
        <v>30.507058000000001</v>
      </c>
      <c r="BK242" t="s">
        <v>2894</v>
      </c>
      <c r="BM242" t="s">
        <v>2895</v>
      </c>
      <c r="BN242" t="s">
        <v>928</v>
      </c>
      <c r="BO242">
        <v>32011</v>
      </c>
      <c r="BP242" t="s">
        <v>404</v>
      </c>
      <c r="BQ242">
        <v>200</v>
      </c>
      <c r="BR242" t="s">
        <v>405</v>
      </c>
      <c r="BS242">
        <v>1006</v>
      </c>
      <c r="BT242" t="s">
        <v>406</v>
      </c>
      <c r="BW242">
        <v>29490</v>
      </c>
      <c r="BX242" t="s">
        <v>407</v>
      </c>
      <c r="BY242" t="s">
        <v>408</v>
      </c>
      <c r="BZ242">
        <v>4</v>
      </c>
      <c r="CA242">
        <v>1973</v>
      </c>
      <c r="CB242">
        <v>1</v>
      </c>
      <c r="CC242">
        <v>1</v>
      </c>
      <c r="CD242">
        <v>2016</v>
      </c>
      <c r="CG242">
        <v>25058</v>
      </c>
      <c r="CH242">
        <v>2017</v>
      </c>
      <c r="CI242">
        <v>10155</v>
      </c>
      <c r="CJ242">
        <v>16705</v>
      </c>
      <c r="CK242">
        <v>26860</v>
      </c>
      <c r="CL242">
        <v>2016</v>
      </c>
      <c r="CM242">
        <v>385</v>
      </c>
      <c r="CN242" s="1">
        <v>37655</v>
      </c>
      <c r="CV242">
        <v>0</v>
      </c>
      <c r="CZ242" s="1">
        <v>37655</v>
      </c>
      <c r="DA242">
        <v>0</v>
      </c>
      <c r="DD242" t="s">
        <v>2785</v>
      </c>
      <c r="DG242">
        <v>14</v>
      </c>
      <c r="DL242">
        <v>50504</v>
      </c>
      <c r="DM242" t="s">
        <v>2896</v>
      </c>
      <c r="DO242" t="s">
        <v>2901</v>
      </c>
      <c r="DP242">
        <v>0</v>
      </c>
      <c r="DQ242">
        <v>0</v>
      </c>
      <c r="DR242" t="s">
        <v>411</v>
      </c>
      <c r="DS242" t="b">
        <v>1</v>
      </c>
      <c r="DT242" t="s">
        <v>470</v>
      </c>
      <c r="DU242" t="s">
        <v>471</v>
      </c>
      <c r="DV242" t="s">
        <v>472</v>
      </c>
      <c r="DX242">
        <v>-9999</v>
      </c>
      <c r="DZ242" t="s">
        <v>447</v>
      </c>
      <c r="EA242" t="s">
        <v>448</v>
      </c>
      <c r="EB242" t="s">
        <v>742</v>
      </c>
      <c r="EC242">
        <v>20101217</v>
      </c>
      <c r="ED242" t="s">
        <v>474</v>
      </c>
      <c r="EF242">
        <v>2794</v>
      </c>
      <c r="EG242">
        <v>2794</v>
      </c>
      <c r="EI242">
        <v>20160407</v>
      </c>
      <c r="EJ242">
        <v>0</v>
      </c>
      <c r="EK242">
        <v>1</v>
      </c>
      <c r="EP242" t="s">
        <v>421</v>
      </c>
      <c r="EQ242" t="s">
        <v>422</v>
      </c>
      <c r="ER242">
        <v>1</v>
      </c>
      <c r="ES242">
        <v>4</v>
      </c>
      <c r="ET242">
        <v>443.01</v>
      </c>
      <c r="EU242">
        <v>28.4</v>
      </c>
      <c r="EV242">
        <v>471.41</v>
      </c>
      <c r="EW242" s="2">
        <v>43222</v>
      </c>
      <c r="EX242" s="1">
        <v>42879</v>
      </c>
      <c r="EY242">
        <v>2016</v>
      </c>
      <c r="EZ242">
        <v>443.01</v>
      </c>
      <c r="FA242" t="s">
        <v>2902</v>
      </c>
      <c r="FB242">
        <v>4.75</v>
      </c>
      <c r="FC242" t="s">
        <v>424</v>
      </c>
      <c r="FD242" t="s">
        <v>454</v>
      </c>
      <c r="FF242">
        <v>12</v>
      </c>
      <c r="FG242">
        <v>2035919</v>
      </c>
      <c r="FH242" t="s">
        <v>507</v>
      </c>
      <c r="FJ242" s="1">
        <v>42515</v>
      </c>
      <c r="FK242">
        <v>2015</v>
      </c>
      <c r="FL242">
        <v>451.05</v>
      </c>
      <c r="FM242" t="s">
        <v>2903</v>
      </c>
      <c r="FN242">
        <v>15.75</v>
      </c>
      <c r="FO242" t="s">
        <v>424</v>
      </c>
      <c r="FP242" t="s">
        <v>425</v>
      </c>
      <c r="FQ242" s="1">
        <v>43161</v>
      </c>
      <c r="FR242">
        <v>22</v>
      </c>
      <c r="FS242">
        <v>10628</v>
      </c>
      <c r="FT242" t="s">
        <v>943</v>
      </c>
      <c r="FV242" s="1">
        <v>42151</v>
      </c>
      <c r="FW242">
        <v>2014</v>
      </c>
      <c r="FX242">
        <v>701.74</v>
      </c>
      <c r="FY242" t="s">
        <v>2904</v>
      </c>
      <c r="FZ242">
        <v>0.25</v>
      </c>
      <c r="GA242" t="s">
        <v>424</v>
      </c>
      <c r="GB242" t="s">
        <v>425</v>
      </c>
      <c r="GC242" s="1">
        <v>42794</v>
      </c>
      <c r="GD242">
        <v>21</v>
      </c>
      <c r="GE242">
        <v>2851116</v>
      </c>
      <c r="GF242" t="s">
        <v>480</v>
      </c>
      <c r="GH242" s="1">
        <v>42151</v>
      </c>
      <c r="GI242">
        <v>2014</v>
      </c>
      <c r="GJ242">
        <v>701.74</v>
      </c>
      <c r="GK242" t="s">
        <v>2904</v>
      </c>
      <c r="GL242">
        <v>0.25</v>
      </c>
      <c r="GM242" t="s">
        <v>424</v>
      </c>
      <c r="GN242" t="s">
        <v>425</v>
      </c>
      <c r="GP242">
        <v>22</v>
      </c>
      <c r="GQ242">
        <v>5410126</v>
      </c>
      <c r="GR242" t="s">
        <v>2905</v>
      </c>
      <c r="GT242" s="1">
        <v>41423</v>
      </c>
      <c r="GU242">
        <v>2012</v>
      </c>
      <c r="GV242">
        <v>353.55</v>
      </c>
      <c r="GW242" t="s">
        <v>2906</v>
      </c>
      <c r="GX242">
        <v>4.5</v>
      </c>
      <c r="GY242" t="s">
        <v>424</v>
      </c>
      <c r="GZ242" t="s">
        <v>425</v>
      </c>
      <c r="HA242" s="1">
        <v>41773</v>
      </c>
      <c r="HB242">
        <v>12</v>
      </c>
      <c r="HC242">
        <v>15399</v>
      </c>
      <c r="HD242" t="s">
        <v>485</v>
      </c>
    </row>
    <row r="243" spans="1:248" x14ac:dyDescent="0.25">
      <c r="A243">
        <v>16485250</v>
      </c>
      <c r="B243">
        <v>242</v>
      </c>
      <c r="C243" t="s">
        <v>393</v>
      </c>
      <c r="D243" t="s">
        <v>394</v>
      </c>
      <c r="F243" t="str">
        <f>"14-1N-24-2180-0517-0000"</f>
        <v>14-1N-24-2180-0517-0000</v>
      </c>
      <c r="H243" t="str">
        <f>"ZINN RICHARD L"</f>
        <v>ZINN RICHARD L</v>
      </c>
      <c r="I243" t="str">
        <f>"3707 SAGE WAY"</f>
        <v>3707 SAGE WAY</v>
      </c>
      <c r="J243" t="str">
        <f>"OCEANSIDE CA 92057"</f>
        <v>OCEANSIDE CA 92057</v>
      </c>
      <c r="K243" t="str">
        <f t="shared" si="76"/>
        <v>US HWY 301</v>
      </c>
      <c r="L243" t="str">
        <f t="shared" si="73"/>
        <v>CALLAHAN FL 32011</v>
      </c>
      <c r="M243" t="str">
        <f>"LOT 517 &amp; E1/2 OF ABAND ST IN RES 2015-13 BEING PAR 1 LYING E THEREOF TOWN OF CRAWFORD S/D IN SEC 14-1N-24E OR 192/440"</f>
        <v>LOT 517 &amp; E1/2 OF ABAND ST IN RES 2015-13 BEING PAR 1 LYING E THEREOF TOWN OF CRAWFORD S/D IN SEC 14-1N-24E OR 192/440</v>
      </c>
      <c r="N243" t="str">
        <f>""</f>
        <v/>
      </c>
      <c r="O243" t="str">
        <f>"29806"</f>
        <v>29806</v>
      </c>
      <c r="P243" t="str">
        <f t="shared" si="61"/>
        <v>2017</v>
      </c>
      <c r="Q243" t="str">
        <f>""</f>
        <v/>
      </c>
      <c r="R243" t="str">
        <f t="shared" si="74"/>
        <v>N</v>
      </c>
      <c r="S243" t="str">
        <f>"0.12"</f>
        <v>0.12</v>
      </c>
      <c r="T243" t="str">
        <f>"25.40"</f>
        <v>25.40</v>
      </c>
      <c r="U243" t="str">
        <f>"1584.00"</f>
        <v>1584.00</v>
      </c>
      <c r="V243" t="str">
        <f>"1584.00"</f>
        <v>1584.00</v>
      </c>
      <c r="W243" t="str">
        <f t="shared" si="62"/>
        <v>2017</v>
      </c>
      <c r="X243" t="str">
        <f>""</f>
        <v/>
      </c>
      <c r="Y243" t="str">
        <f>"58.16"</f>
        <v>58.16</v>
      </c>
      <c r="Z243" t="str">
        <f>""</f>
        <v/>
      </c>
      <c r="AA243" t="str">
        <f>"1800.00"</f>
        <v>1800.00</v>
      </c>
      <c r="AB243" t="str">
        <f t="shared" si="77"/>
        <v>Residential</v>
      </c>
      <c r="AC243" t="str">
        <f t="shared" si="64"/>
        <v>0</v>
      </c>
      <c r="AD243" t="str">
        <f>""</f>
        <v/>
      </c>
      <c r="AE243" t="str">
        <f>""</f>
        <v/>
      </c>
      <c r="AF243" t="str">
        <f t="shared" ref="AF243:AF249" si="78">"000"</f>
        <v>000</v>
      </c>
      <c r="AG243" t="str">
        <f>"CA"</f>
        <v>CA</v>
      </c>
      <c r="AH243" t="str">
        <f>"5227.00"</f>
        <v>5227.00</v>
      </c>
      <c r="AI243" t="str">
        <f>"1800.00"</f>
        <v>1800.00</v>
      </c>
      <c r="AJ243" t="str">
        <f>"C55-000-587-0081-6"</f>
        <v>C55-000-587-0081-6</v>
      </c>
      <c r="AK243" t="str">
        <f>"3727"</f>
        <v>3727</v>
      </c>
      <c r="AL243">
        <v>1</v>
      </c>
      <c r="AM243">
        <v>280</v>
      </c>
      <c r="AN243">
        <v>59.47</v>
      </c>
      <c r="AQ243" t="s">
        <v>2907</v>
      </c>
      <c r="AR243" t="s">
        <v>2907</v>
      </c>
      <c r="AS243" t="s">
        <v>2907</v>
      </c>
      <c r="AU243" t="s">
        <v>396</v>
      </c>
      <c r="AV243">
        <v>2017</v>
      </c>
      <c r="AW243" t="str">
        <f>"14-1N-24-2180-0517-0000 "</f>
        <v xml:space="preserve">14-1N-24-2180-0517-0000 </v>
      </c>
      <c r="AZ243" t="s">
        <v>2893</v>
      </c>
      <c r="BD243" t="s">
        <v>2785</v>
      </c>
      <c r="BE243" t="s">
        <v>393</v>
      </c>
      <c r="BF243">
        <v>32011</v>
      </c>
      <c r="BG243" t="s">
        <v>2893</v>
      </c>
      <c r="BH243" t="s">
        <v>2787</v>
      </c>
      <c r="BI243">
        <v>-81.878224144857796</v>
      </c>
      <c r="BJ243">
        <v>30.504601361396901</v>
      </c>
      <c r="BK243" t="s">
        <v>2908</v>
      </c>
      <c r="BM243" t="s">
        <v>2909</v>
      </c>
      <c r="BN243" t="s">
        <v>2910</v>
      </c>
      <c r="BO243">
        <v>92057</v>
      </c>
      <c r="BP243" t="s">
        <v>404</v>
      </c>
      <c r="BQ243">
        <v>0</v>
      </c>
      <c r="BR243" t="s">
        <v>491</v>
      </c>
      <c r="BS243">
        <v>8001</v>
      </c>
      <c r="BT243" t="s">
        <v>492</v>
      </c>
      <c r="BW243">
        <v>5227</v>
      </c>
      <c r="BX243" t="s">
        <v>407</v>
      </c>
      <c r="BY243" t="s">
        <v>408</v>
      </c>
      <c r="CD243">
        <v>2017</v>
      </c>
      <c r="CE243">
        <v>1800</v>
      </c>
      <c r="CG243">
        <v>1800</v>
      </c>
      <c r="CH243">
        <v>2017</v>
      </c>
      <c r="CI243">
        <v>1800</v>
      </c>
      <c r="CK243">
        <v>1800</v>
      </c>
      <c r="CL243">
        <v>2017</v>
      </c>
      <c r="CM243">
        <v>25.4</v>
      </c>
      <c r="CN243" s="1">
        <v>25934</v>
      </c>
      <c r="CO243">
        <v>2000</v>
      </c>
      <c r="CZ243" s="1">
        <v>25934</v>
      </c>
      <c r="DD243" t="s">
        <v>2785</v>
      </c>
      <c r="DG243">
        <v>14</v>
      </c>
      <c r="DL243">
        <v>50504</v>
      </c>
      <c r="DM243" t="s">
        <v>2896</v>
      </c>
      <c r="DO243" t="s">
        <v>2911</v>
      </c>
      <c r="DP243">
        <v>0</v>
      </c>
      <c r="DQ243">
        <v>0</v>
      </c>
      <c r="DR243" t="s">
        <v>411</v>
      </c>
    </row>
    <row r="244" spans="1:248" x14ac:dyDescent="0.25">
      <c r="A244">
        <v>16485251</v>
      </c>
      <c r="B244">
        <v>243</v>
      </c>
      <c r="C244" t="s">
        <v>393</v>
      </c>
      <c r="D244" t="s">
        <v>394</v>
      </c>
      <c r="F244" t="str">
        <f>"14-1N-24-2180-0539-0000"</f>
        <v>14-1N-24-2180-0539-0000</v>
      </c>
      <c r="H244" t="str">
        <f>"ZINN RICHARD L"</f>
        <v>ZINN RICHARD L</v>
      </c>
      <c r="I244" t="str">
        <f>"3707 SAGE WAY"</f>
        <v>3707 SAGE WAY</v>
      </c>
      <c r="J244" t="str">
        <f>"OCEANSIDE CA 92057"</f>
        <v>OCEANSIDE CA 92057</v>
      </c>
      <c r="K244" t="str">
        <f t="shared" si="76"/>
        <v>US HWY 301</v>
      </c>
      <c r="L244" t="str">
        <f t="shared" si="73"/>
        <v>CALLAHAN FL 32011</v>
      </c>
      <c r="M244" t="str">
        <f>"LOT 539 TOWN OF CRAWFORD S/D IN SEC 14-1N-24E OR 192/440"</f>
        <v>LOT 539 TOWN OF CRAWFORD S/D IN SEC 14-1N-24E OR 192/440</v>
      </c>
      <c r="N244" t="str">
        <f>""</f>
        <v/>
      </c>
      <c r="O244" t="str">
        <f>"29808"</f>
        <v>29808</v>
      </c>
      <c r="P244" t="str">
        <f t="shared" si="61"/>
        <v>2017</v>
      </c>
      <c r="Q244" t="str">
        <f>""</f>
        <v/>
      </c>
      <c r="R244" t="str">
        <f t="shared" si="74"/>
        <v>N</v>
      </c>
      <c r="S244" t="str">
        <f>"0.12"</f>
        <v>0.12</v>
      </c>
      <c r="T244" t="str">
        <f>"24.56"</f>
        <v>24.56</v>
      </c>
      <c r="U244" t="str">
        <f>"1531.00"</f>
        <v>1531.00</v>
      </c>
      <c r="V244" t="str">
        <f>"1531.00"</f>
        <v>1531.00</v>
      </c>
      <c r="W244" t="str">
        <f t="shared" si="62"/>
        <v>2017</v>
      </c>
      <c r="X244" t="str">
        <f>""</f>
        <v/>
      </c>
      <c r="Y244" t="str">
        <f>"57.30"</f>
        <v>57.30</v>
      </c>
      <c r="Z244" t="str">
        <f>""</f>
        <v/>
      </c>
      <c r="AA244" t="str">
        <f>"1740.00"</f>
        <v>1740.00</v>
      </c>
      <c r="AB244" t="str">
        <f t="shared" si="77"/>
        <v>Residential</v>
      </c>
      <c r="AC244" t="str">
        <f t="shared" si="64"/>
        <v>0</v>
      </c>
      <c r="AD244" t="str">
        <f>""</f>
        <v/>
      </c>
      <c r="AE244" t="str">
        <f>""</f>
        <v/>
      </c>
      <c r="AF244" t="str">
        <f t="shared" si="78"/>
        <v>000</v>
      </c>
      <c r="AG244" t="str">
        <f>"CA"</f>
        <v>CA</v>
      </c>
      <c r="AH244" t="str">
        <f>"5080.00"</f>
        <v>5080.00</v>
      </c>
      <c r="AI244" t="str">
        <f>"1740.00"</f>
        <v>1740.00</v>
      </c>
      <c r="AJ244" t="str">
        <f>"C55-001-072-1547-7"</f>
        <v>C55-001-072-1547-7</v>
      </c>
      <c r="AK244" t="str">
        <f>"3729"</f>
        <v>3729</v>
      </c>
      <c r="AL244">
        <v>1</v>
      </c>
      <c r="AM244">
        <v>281</v>
      </c>
      <c r="AN244">
        <v>58.57</v>
      </c>
      <c r="AQ244" t="s">
        <v>2912</v>
      </c>
      <c r="AR244" t="s">
        <v>2912</v>
      </c>
      <c r="AS244" t="s">
        <v>2912</v>
      </c>
      <c r="AU244" t="s">
        <v>396</v>
      </c>
      <c r="AV244">
        <v>2017</v>
      </c>
      <c r="AW244" t="str">
        <f>"14-1N-24-2180-0539-0000 "</f>
        <v xml:space="preserve">14-1N-24-2180-0539-0000 </v>
      </c>
      <c r="AZ244" t="s">
        <v>2893</v>
      </c>
      <c r="BD244" t="s">
        <v>2785</v>
      </c>
      <c r="BE244" t="s">
        <v>393</v>
      </c>
      <c r="BF244">
        <v>32011</v>
      </c>
      <c r="BG244" t="s">
        <v>2893</v>
      </c>
      <c r="BH244" t="s">
        <v>2787</v>
      </c>
      <c r="BI244">
        <v>-81.8777583041268</v>
      </c>
      <c r="BJ244">
        <v>30.503840522601699</v>
      </c>
      <c r="BK244" t="s">
        <v>2908</v>
      </c>
      <c r="BM244" t="s">
        <v>2909</v>
      </c>
      <c r="BN244" t="s">
        <v>2910</v>
      </c>
      <c r="BO244">
        <v>92057</v>
      </c>
      <c r="BP244" t="s">
        <v>404</v>
      </c>
      <c r="BQ244">
        <v>0</v>
      </c>
      <c r="BR244" t="s">
        <v>491</v>
      </c>
      <c r="BS244">
        <v>8001</v>
      </c>
      <c r="BT244" t="s">
        <v>492</v>
      </c>
      <c r="BW244">
        <v>5080</v>
      </c>
      <c r="BX244" t="s">
        <v>407</v>
      </c>
      <c r="CD244">
        <v>2017</v>
      </c>
      <c r="CE244">
        <v>1740</v>
      </c>
      <c r="CG244">
        <v>1740</v>
      </c>
      <c r="CH244">
        <v>2017</v>
      </c>
      <c r="CI244">
        <v>1740</v>
      </c>
      <c r="CK244">
        <v>1740</v>
      </c>
      <c r="CL244">
        <v>2017</v>
      </c>
      <c r="CM244">
        <v>24.56</v>
      </c>
      <c r="DD244" t="s">
        <v>2785</v>
      </c>
      <c r="DG244">
        <v>14</v>
      </c>
      <c r="DL244">
        <v>50504</v>
      </c>
      <c r="DM244" t="s">
        <v>2896</v>
      </c>
      <c r="DO244" t="s">
        <v>2913</v>
      </c>
      <c r="DP244">
        <v>0</v>
      </c>
      <c r="DQ244">
        <v>0</v>
      </c>
      <c r="DR244" t="s">
        <v>411</v>
      </c>
    </row>
    <row r="245" spans="1:248" x14ac:dyDescent="0.25">
      <c r="A245">
        <v>16485252</v>
      </c>
      <c r="B245">
        <v>244</v>
      </c>
      <c r="C245" t="s">
        <v>393</v>
      </c>
      <c r="D245" t="s">
        <v>394</v>
      </c>
      <c r="F245" t="str">
        <f>"14-1N-24-2180-0699-0000"</f>
        <v>14-1N-24-2180-0699-0000</v>
      </c>
      <c r="H245" t="str">
        <f>"HOBBS KATHRYN M"</f>
        <v>HOBBS KATHRYN M</v>
      </c>
      <c r="I245" t="str">
        <f>"7050 SUNSET DR SOUTH 403"</f>
        <v>7050 SUNSET DR SOUTH 403</v>
      </c>
      <c r="J245" t="str">
        <f>"SOUTH PASADENA FL 33707"</f>
        <v>SOUTH PASADENA FL 33707</v>
      </c>
      <c r="K245" t="str">
        <f t="shared" si="76"/>
        <v>US HWY 301</v>
      </c>
      <c r="L245" t="str">
        <f t="shared" si="73"/>
        <v>CALLAHAN FL 32011</v>
      </c>
      <c r="M245" t="str">
        <f>"LOT 699 IN OR 507/265 TOWN OF CRAWFORD S/D IN SEC 14-1N-24E"</f>
        <v>LOT 699 IN OR 507/265 TOWN OF CRAWFORD S/D IN SEC 14-1N-24E</v>
      </c>
      <c r="N245" t="str">
        <f>""</f>
        <v/>
      </c>
      <c r="O245" t="str">
        <f>"29814"</f>
        <v>29814</v>
      </c>
      <c r="P245" t="str">
        <f t="shared" si="61"/>
        <v>2017</v>
      </c>
      <c r="Q245" t="str">
        <f>""</f>
        <v/>
      </c>
      <c r="R245" t="str">
        <f t="shared" si="74"/>
        <v>N</v>
      </c>
      <c r="S245" t="str">
        <f>"0.07"</f>
        <v>0.07</v>
      </c>
      <c r="T245" t="str">
        <f>"5.19"</f>
        <v>5.19</v>
      </c>
      <c r="U245" t="str">
        <f>"323.00"</f>
        <v>323.00</v>
      </c>
      <c r="V245" t="str">
        <f>"323.00"</f>
        <v>323.00</v>
      </c>
      <c r="W245" t="str">
        <f t="shared" si="62"/>
        <v>2017</v>
      </c>
      <c r="X245" t="str">
        <f>""</f>
        <v/>
      </c>
      <c r="Y245" t="str">
        <f>"37.35"</f>
        <v>37.35</v>
      </c>
      <c r="Z245" t="str">
        <f>""</f>
        <v/>
      </c>
      <c r="AA245" t="str">
        <f>"367.00"</f>
        <v>367.00</v>
      </c>
      <c r="AB245" t="str">
        <f t="shared" si="77"/>
        <v>Residential</v>
      </c>
      <c r="AC245" t="str">
        <f t="shared" si="64"/>
        <v>0</v>
      </c>
      <c r="AD245" t="str">
        <f>""</f>
        <v/>
      </c>
      <c r="AE245" t="str">
        <f>""</f>
        <v/>
      </c>
      <c r="AF245" t="str">
        <f t="shared" si="78"/>
        <v>000</v>
      </c>
      <c r="AG245" t="str">
        <f>"FL"</f>
        <v>FL</v>
      </c>
      <c r="AH245" t="str">
        <f>"3049.00"</f>
        <v>3049.00</v>
      </c>
      <c r="AI245" t="str">
        <f>"367.00"</f>
        <v>367.00</v>
      </c>
      <c r="AJ245" t="str">
        <f>"C55-000-587-0085-7"</f>
        <v>C55-000-587-0085-7</v>
      </c>
      <c r="AK245" t="str">
        <f>"3733"</f>
        <v>3733</v>
      </c>
      <c r="AL245">
        <v>1</v>
      </c>
      <c r="AM245">
        <v>282</v>
      </c>
      <c r="AN245">
        <v>37.619999999999997</v>
      </c>
      <c r="AQ245" t="s">
        <v>2914</v>
      </c>
      <c r="AR245" t="s">
        <v>2914</v>
      </c>
      <c r="AS245" t="s">
        <v>2914</v>
      </c>
      <c r="AU245" t="s">
        <v>396</v>
      </c>
      <c r="AV245">
        <v>2017</v>
      </c>
      <c r="AW245" t="str">
        <f>"14-1N-24-2180-0699-0000 "</f>
        <v xml:space="preserve">14-1N-24-2180-0699-0000 </v>
      </c>
      <c r="AZ245" t="s">
        <v>2893</v>
      </c>
      <c r="BD245" t="s">
        <v>2785</v>
      </c>
      <c r="BE245" t="s">
        <v>393</v>
      </c>
      <c r="BF245">
        <v>32011</v>
      </c>
      <c r="BG245" t="s">
        <v>2893</v>
      </c>
      <c r="BH245" t="s">
        <v>2787</v>
      </c>
      <c r="BI245">
        <v>-81.874020600919707</v>
      </c>
      <c r="BJ245">
        <v>30.5037679660112</v>
      </c>
      <c r="BK245" t="s">
        <v>2915</v>
      </c>
      <c r="BM245" t="s">
        <v>2916</v>
      </c>
      <c r="BN245" t="s">
        <v>2917</v>
      </c>
      <c r="BO245">
        <v>33707</v>
      </c>
      <c r="BP245" t="s">
        <v>404</v>
      </c>
      <c r="BQ245">
        <v>0</v>
      </c>
      <c r="BR245" t="s">
        <v>491</v>
      </c>
      <c r="BS245">
        <v>8001</v>
      </c>
      <c r="BT245" t="s">
        <v>492</v>
      </c>
      <c r="BW245">
        <v>3049</v>
      </c>
      <c r="BX245" t="s">
        <v>407</v>
      </c>
      <c r="BY245" t="s">
        <v>408</v>
      </c>
      <c r="CD245">
        <v>2017</v>
      </c>
      <c r="CE245">
        <v>367</v>
      </c>
      <c r="CG245">
        <v>367</v>
      </c>
      <c r="CH245">
        <v>2017</v>
      </c>
      <c r="CI245">
        <v>367</v>
      </c>
      <c r="CK245">
        <v>367</v>
      </c>
      <c r="CL245">
        <v>2017</v>
      </c>
      <c r="CM245">
        <v>5.19</v>
      </c>
      <c r="CN245" s="1">
        <v>31747</v>
      </c>
      <c r="CZ245" s="1">
        <v>31747</v>
      </c>
      <c r="DD245" t="s">
        <v>2785</v>
      </c>
      <c r="DF245">
        <v>699</v>
      </c>
      <c r="DG245">
        <v>14</v>
      </c>
      <c r="DL245">
        <v>50504</v>
      </c>
      <c r="DM245" t="s">
        <v>2896</v>
      </c>
      <c r="DO245" t="s">
        <v>2918</v>
      </c>
      <c r="DP245">
        <v>0</v>
      </c>
      <c r="DQ245">
        <v>0</v>
      </c>
      <c r="DR245" t="s">
        <v>411</v>
      </c>
      <c r="EP245" t="s">
        <v>595</v>
      </c>
      <c r="EQ245" t="s">
        <v>422</v>
      </c>
      <c r="ER245">
        <v>3</v>
      </c>
      <c r="ES245">
        <v>0</v>
      </c>
      <c r="ET245">
        <v>66.61</v>
      </c>
      <c r="EU245">
        <v>95.37</v>
      </c>
      <c r="EV245">
        <v>161.97999999999999</v>
      </c>
      <c r="EW245" s="2">
        <v>43222</v>
      </c>
      <c r="EX245" s="1">
        <v>41052</v>
      </c>
      <c r="EY245">
        <v>2011</v>
      </c>
      <c r="EZ245">
        <v>19.5</v>
      </c>
      <c r="FA245" t="s">
        <v>2919</v>
      </c>
      <c r="FB245">
        <v>14.75</v>
      </c>
      <c r="FC245" t="s">
        <v>424</v>
      </c>
      <c r="FD245" t="s">
        <v>454</v>
      </c>
      <c r="FF245">
        <v>72</v>
      </c>
      <c r="FG245">
        <v>10125</v>
      </c>
      <c r="FH245" t="s">
        <v>440</v>
      </c>
      <c r="FJ245" s="1">
        <v>40688</v>
      </c>
      <c r="FK245">
        <v>2010</v>
      </c>
      <c r="FL245">
        <v>27.97</v>
      </c>
      <c r="FM245" t="s">
        <v>2920</v>
      </c>
      <c r="FN245">
        <v>18</v>
      </c>
      <c r="FO245" t="s">
        <v>424</v>
      </c>
      <c r="FP245" t="s">
        <v>454</v>
      </c>
      <c r="FR245">
        <v>84</v>
      </c>
      <c r="FS245">
        <v>12093</v>
      </c>
      <c r="FT245" t="s">
        <v>2921</v>
      </c>
      <c r="FV245" s="1">
        <v>40688</v>
      </c>
      <c r="FW245">
        <v>2010</v>
      </c>
      <c r="FX245">
        <v>19.14</v>
      </c>
      <c r="FY245" t="s">
        <v>2920</v>
      </c>
      <c r="FZ245">
        <v>18</v>
      </c>
      <c r="GA245" t="s">
        <v>603</v>
      </c>
      <c r="GB245" t="s">
        <v>454</v>
      </c>
      <c r="GD245">
        <v>84</v>
      </c>
      <c r="GE245">
        <v>9999999</v>
      </c>
      <c r="GF245" t="s">
        <v>604</v>
      </c>
    </row>
    <row r="246" spans="1:248" x14ac:dyDescent="0.25">
      <c r="A246">
        <v>16485253</v>
      </c>
      <c r="B246">
        <v>245</v>
      </c>
      <c r="C246" t="s">
        <v>393</v>
      </c>
      <c r="D246" t="s">
        <v>394</v>
      </c>
      <c r="F246" t="str">
        <f>"14-1N-24-2180-0749-0000"</f>
        <v>14-1N-24-2180-0749-0000</v>
      </c>
      <c r="H246" t="str">
        <f>"KUNTZ WALTER F &amp; KENNETH J C/O ANNA J FEARICK"</f>
        <v>KUNTZ WALTER F &amp; KENNETH J C/O ANNA J FEARICK</v>
      </c>
      <c r="I246" t="str">
        <f>"6916 PAR WAY"</f>
        <v>6916 PAR WAY</v>
      </c>
      <c r="J246" t="str">
        <f>"FT MYERS FL 33919"</f>
        <v>FT MYERS FL 33919</v>
      </c>
      <c r="K246" t="str">
        <f t="shared" si="76"/>
        <v>US HWY 301</v>
      </c>
      <c r="L246" t="str">
        <f t="shared" si="73"/>
        <v>CALLAHAN FL 32011</v>
      </c>
      <c r="M246" t="str">
        <f>"LOT 749 TOWN OF CRAWFORD SUB"</f>
        <v>LOT 749 TOWN OF CRAWFORD SUB</v>
      </c>
      <c r="N246" t="str">
        <f>""</f>
        <v/>
      </c>
      <c r="O246" t="str">
        <f>"29821"</f>
        <v>29821</v>
      </c>
      <c r="P246" t="str">
        <f t="shared" si="61"/>
        <v>2017</v>
      </c>
      <c r="Q246" t="str">
        <f>""</f>
        <v/>
      </c>
      <c r="R246" t="str">
        <f t="shared" si="74"/>
        <v>N</v>
      </c>
      <c r="S246" t="str">
        <f>"0.11"</f>
        <v>0.11</v>
      </c>
      <c r="T246" t="str">
        <f>"8.16"</f>
        <v>8.16</v>
      </c>
      <c r="U246" t="str">
        <f>"508.00"</f>
        <v>508.00</v>
      </c>
      <c r="V246" t="str">
        <f>"508.00"</f>
        <v>508.00</v>
      </c>
      <c r="W246" t="str">
        <f t="shared" si="62"/>
        <v>2017</v>
      </c>
      <c r="X246" t="str">
        <f>""</f>
        <v/>
      </c>
      <c r="Y246" t="str">
        <f>"40.40"</f>
        <v>40.40</v>
      </c>
      <c r="Z246" t="str">
        <f>""</f>
        <v/>
      </c>
      <c r="AA246" t="str">
        <f>"577.00"</f>
        <v>577.00</v>
      </c>
      <c r="AB246" t="str">
        <f t="shared" si="77"/>
        <v>Residential</v>
      </c>
      <c r="AC246" t="str">
        <f t="shared" si="64"/>
        <v>0</v>
      </c>
      <c r="AD246" t="str">
        <f>""</f>
        <v/>
      </c>
      <c r="AE246" t="str">
        <f>""</f>
        <v/>
      </c>
      <c r="AF246" t="str">
        <f t="shared" si="78"/>
        <v>000</v>
      </c>
      <c r="AG246" t="str">
        <f>"FL"</f>
        <v>FL</v>
      </c>
      <c r="AH246" t="str">
        <f>"4791.00"</f>
        <v>4791.00</v>
      </c>
      <c r="AI246" t="str">
        <f>"577.00"</f>
        <v>577.00</v>
      </c>
      <c r="AJ246" t="str">
        <f>"C55-000-587-0092-3"</f>
        <v>C55-000-587-0092-3</v>
      </c>
      <c r="AK246" t="str">
        <f>"3736"</f>
        <v>3736</v>
      </c>
      <c r="AL246">
        <v>1</v>
      </c>
      <c r="AM246">
        <v>283</v>
      </c>
      <c r="AN246">
        <v>40.82</v>
      </c>
      <c r="AQ246" t="s">
        <v>2922</v>
      </c>
      <c r="AR246" t="s">
        <v>2922</v>
      </c>
      <c r="AS246" t="s">
        <v>2922</v>
      </c>
      <c r="AU246" t="s">
        <v>396</v>
      </c>
      <c r="AV246">
        <v>2017</v>
      </c>
      <c r="AW246" t="str">
        <f>"14-1N-24-2180-0749-0000 "</f>
        <v xml:space="preserve">14-1N-24-2180-0749-0000 </v>
      </c>
      <c r="AZ246" t="s">
        <v>2893</v>
      </c>
      <c r="BD246" t="s">
        <v>2785</v>
      </c>
      <c r="BE246" t="s">
        <v>393</v>
      </c>
      <c r="BF246">
        <v>32011</v>
      </c>
      <c r="BG246" t="s">
        <v>2893</v>
      </c>
      <c r="BH246" t="s">
        <v>2787</v>
      </c>
      <c r="BI246">
        <v>-81.871933824913995</v>
      </c>
      <c r="BJ246">
        <v>30.504920868348101</v>
      </c>
      <c r="BK246" t="s">
        <v>2923</v>
      </c>
      <c r="BL246" t="s">
        <v>2924</v>
      </c>
      <c r="BM246" t="s">
        <v>2925</v>
      </c>
      <c r="BN246" t="s">
        <v>2926</v>
      </c>
      <c r="BO246">
        <v>33919</v>
      </c>
      <c r="BP246" t="s">
        <v>404</v>
      </c>
      <c r="BQ246">
        <v>0</v>
      </c>
      <c r="BR246" t="s">
        <v>491</v>
      </c>
      <c r="BS246">
        <v>8001</v>
      </c>
      <c r="BT246" t="s">
        <v>492</v>
      </c>
      <c r="BW246">
        <v>4791</v>
      </c>
      <c r="BX246" t="s">
        <v>407</v>
      </c>
      <c r="BY246" t="s">
        <v>408</v>
      </c>
      <c r="CD246">
        <v>2017</v>
      </c>
      <c r="CE246">
        <v>577</v>
      </c>
      <c r="CG246">
        <v>577</v>
      </c>
      <c r="CH246">
        <v>2017</v>
      </c>
      <c r="CI246">
        <v>577</v>
      </c>
      <c r="CK246">
        <v>577</v>
      </c>
      <c r="CL246">
        <v>2017</v>
      </c>
      <c r="CM246">
        <v>8.16</v>
      </c>
      <c r="DD246" t="s">
        <v>2785</v>
      </c>
      <c r="DF246">
        <v>749</v>
      </c>
      <c r="DG246">
        <v>14</v>
      </c>
      <c r="DL246">
        <v>50504</v>
      </c>
      <c r="DM246" t="s">
        <v>2896</v>
      </c>
      <c r="DO246" t="s">
        <v>2927</v>
      </c>
      <c r="DP246">
        <v>0</v>
      </c>
      <c r="DQ246">
        <v>0</v>
      </c>
      <c r="DR246" t="s">
        <v>411</v>
      </c>
      <c r="DS246" t="b">
        <v>1</v>
      </c>
      <c r="DT246" t="s">
        <v>470</v>
      </c>
      <c r="DU246" t="s">
        <v>471</v>
      </c>
      <c r="DV246" t="s">
        <v>472</v>
      </c>
      <c r="DX246">
        <v>-9999</v>
      </c>
      <c r="DZ246" t="s">
        <v>447</v>
      </c>
      <c r="EA246" t="s">
        <v>448</v>
      </c>
      <c r="EB246" t="s">
        <v>742</v>
      </c>
      <c r="EC246">
        <v>20101217</v>
      </c>
      <c r="ED246" t="s">
        <v>474</v>
      </c>
      <c r="EF246">
        <v>2141.6</v>
      </c>
      <c r="EG246">
        <v>2141.6</v>
      </c>
      <c r="EI246">
        <v>20160407</v>
      </c>
      <c r="EJ246">
        <v>0</v>
      </c>
      <c r="EK246">
        <v>0</v>
      </c>
      <c r="EP246" t="s">
        <v>595</v>
      </c>
      <c r="EQ246" t="s">
        <v>422</v>
      </c>
      <c r="ER246">
        <v>8</v>
      </c>
      <c r="ES246">
        <v>0</v>
      </c>
      <c r="ET246">
        <v>227.51</v>
      </c>
      <c r="EU246">
        <v>155.76</v>
      </c>
      <c r="EV246">
        <v>383.27</v>
      </c>
      <c r="EW246" s="2">
        <v>43222</v>
      </c>
      <c r="EX246" s="1">
        <v>42879</v>
      </c>
      <c r="EY246">
        <v>2016</v>
      </c>
      <c r="EZ246">
        <v>34.65</v>
      </c>
      <c r="FA246" t="s">
        <v>2928</v>
      </c>
      <c r="FB246">
        <v>18</v>
      </c>
      <c r="FC246" t="s">
        <v>603</v>
      </c>
      <c r="FD246" t="s">
        <v>454</v>
      </c>
      <c r="FF246">
        <v>12</v>
      </c>
      <c r="FG246">
        <v>9999999</v>
      </c>
      <c r="FH246" t="s">
        <v>604</v>
      </c>
      <c r="FJ246" s="1">
        <v>42515</v>
      </c>
      <c r="FK246">
        <v>2015</v>
      </c>
      <c r="FL246">
        <v>29.5</v>
      </c>
      <c r="FM246" t="s">
        <v>2929</v>
      </c>
      <c r="FN246">
        <v>18</v>
      </c>
      <c r="FO246" t="s">
        <v>424</v>
      </c>
      <c r="FP246" t="s">
        <v>454</v>
      </c>
      <c r="FR246">
        <v>24</v>
      </c>
      <c r="FS246">
        <v>7045082</v>
      </c>
      <c r="FT246" t="s">
        <v>2899</v>
      </c>
      <c r="FV246" s="1">
        <v>42151</v>
      </c>
      <c r="FW246">
        <v>2014</v>
      </c>
      <c r="FX246">
        <v>28.57</v>
      </c>
      <c r="FY246" t="s">
        <v>2930</v>
      </c>
      <c r="FZ246">
        <v>0</v>
      </c>
      <c r="GA246" t="s">
        <v>424</v>
      </c>
      <c r="GB246" t="s">
        <v>454</v>
      </c>
      <c r="GD246">
        <v>36</v>
      </c>
      <c r="GE246">
        <v>651</v>
      </c>
      <c r="GF246" t="s">
        <v>2931</v>
      </c>
      <c r="GH246" s="1">
        <v>41787</v>
      </c>
      <c r="GI246">
        <v>2013</v>
      </c>
      <c r="GJ246">
        <v>28.23</v>
      </c>
      <c r="GK246" t="s">
        <v>2932</v>
      </c>
      <c r="GL246">
        <v>0</v>
      </c>
      <c r="GM246" t="s">
        <v>424</v>
      </c>
      <c r="GN246" t="s">
        <v>454</v>
      </c>
      <c r="GP246">
        <v>48</v>
      </c>
      <c r="GQ246">
        <v>651</v>
      </c>
      <c r="GR246" t="s">
        <v>2931</v>
      </c>
      <c r="GT246" s="1">
        <v>41423</v>
      </c>
      <c r="GU246">
        <v>2012</v>
      </c>
      <c r="GV246">
        <v>29.26</v>
      </c>
      <c r="GW246" t="s">
        <v>2933</v>
      </c>
      <c r="GX246">
        <v>0</v>
      </c>
      <c r="GY246" t="s">
        <v>424</v>
      </c>
      <c r="GZ246" t="s">
        <v>454</v>
      </c>
      <c r="HB246">
        <v>60</v>
      </c>
      <c r="HC246">
        <v>651</v>
      </c>
      <c r="HD246" t="s">
        <v>2931</v>
      </c>
      <c r="HF246" s="1">
        <v>41052</v>
      </c>
      <c r="HG246">
        <v>2011</v>
      </c>
      <c r="HH246">
        <v>22.65</v>
      </c>
      <c r="HI246" t="s">
        <v>2934</v>
      </c>
      <c r="HJ246">
        <v>14.75</v>
      </c>
      <c r="HK246" t="s">
        <v>424</v>
      </c>
      <c r="HL246" t="s">
        <v>454</v>
      </c>
      <c r="HN246">
        <v>72</v>
      </c>
      <c r="HO246">
        <v>10125</v>
      </c>
      <c r="HP246" t="s">
        <v>440</v>
      </c>
      <c r="HR246" s="1">
        <v>40688</v>
      </c>
      <c r="HS246">
        <v>2010</v>
      </c>
      <c r="HT246">
        <v>31.98</v>
      </c>
      <c r="HU246" t="s">
        <v>2935</v>
      </c>
      <c r="HV246">
        <v>18</v>
      </c>
      <c r="HW246" t="s">
        <v>424</v>
      </c>
      <c r="HX246" t="s">
        <v>454</v>
      </c>
      <c r="HZ246">
        <v>84</v>
      </c>
      <c r="IA246">
        <v>12071</v>
      </c>
      <c r="IB246" t="s">
        <v>2936</v>
      </c>
      <c r="ID246" s="1">
        <v>40688</v>
      </c>
      <c r="IE246">
        <v>2010</v>
      </c>
      <c r="IF246">
        <v>22.67</v>
      </c>
      <c r="IG246" t="s">
        <v>2935</v>
      </c>
      <c r="IH246">
        <v>18</v>
      </c>
      <c r="II246" t="s">
        <v>603</v>
      </c>
      <c r="IJ246" t="s">
        <v>454</v>
      </c>
      <c r="IL246">
        <v>84</v>
      </c>
      <c r="IM246">
        <v>9999999</v>
      </c>
      <c r="IN246" t="s">
        <v>604</v>
      </c>
    </row>
    <row r="247" spans="1:248" x14ac:dyDescent="0.25">
      <c r="A247">
        <v>16485254</v>
      </c>
      <c r="B247">
        <v>246</v>
      </c>
      <c r="C247" t="s">
        <v>393</v>
      </c>
      <c r="D247" t="s">
        <v>394</v>
      </c>
      <c r="F247" t="str">
        <f>"14-1N-24-2180-0761-0000"</f>
        <v>14-1N-24-2180-0761-0000</v>
      </c>
      <c r="H247" t="str">
        <f>"SHIRK G M MRS EST OF C/O LORRAINE B PICKETT"</f>
        <v>SHIRK G M MRS EST OF C/O LORRAINE B PICKETT</v>
      </c>
      <c r="I247" t="str">
        <f>"34172 PICKETT FAMILY COURT"</f>
        <v>34172 PICKETT FAMILY COURT</v>
      </c>
      <c r="J247" t="str">
        <f>"CALLAHAN FL 32011"</f>
        <v>CALLAHAN FL 32011</v>
      </c>
      <c r="K247" t="str">
        <f t="shared" si="76"/>
        <v>US HWY 301</v>
      </c>
      <c r="L247" t="str">
        <f t="shared" si="73"/>
        <v>CALLAHAN FL 32011</v>
      </c>
      <c r="M247" t="str">
        <f>"LOT 761 TOWN OF CRAWFORD SUB"</f>
        <v>LOT 761 TOWN OF CRAWFORD SUB</v>
      </c>
      <c r="N247" t="str">
        <f>""</f>
        <v/>
      </c>
      <c r="O247" t="str">
        <f>"29823"</f>
        <v>29823</v>
      </c>
      <c r="P247" t="str">
        <f t="shared" si="61"/>
        <v>2017</v>
      </c>
      <c r="Q247" t="str">
        <f>""</f>
        <v/>
      </c>
      <c r="R247" t="str">
        <f t="shared" si="74"/>
        <v>N</v>
      </c>
      <c r="S247" t="str">
        <f>"0.11"</f>
        <v>0.11</v>
      </c>
      <c r="T247" t="str">
        <f>"8.16"</f>
        <v>8.16</v>
      </c>
      <c r="U247" t="str">
        <f>"508.00"</f>
        <v>508.00</v>
      </c>
      <c r="V247" t="str">
        <f>"508.00"</f>
        <v>508.00</v>
      </c>
      <c r="W247" t="str">
        <f t="shared" si="62"/>
        <v>2017</v>
      </c>
      <c r="X247" t="str">
        <f>""</f>
        <v/>
      </c>
      <c r="Y247" t="str">
        <f>"40.40"</f>
        <v>40.40</v>
      </c>
      <c r="Z247" t="str">
        <f>""</f>
        <v/>
      </c>
      <c r="AA247" t="str">
        <f>"577.00"</f>
        <v>577.00</v>
      </c>
      <c r="AB247" t="str">
        <f t="shared" si="77"/>
        <v>Residential</v>
      </c>
      <c r="AC247" t="str">
        <f t="shared" si="64"/>
        <v>0</v>
      </c>
      <c r="AD247" t="str">
        <f>""</f>
        <v/>
      </c>
      <c r="AE247" t="str">
        <f>""</f>
        <v/>
      </c>
      <c r="AF247" t="str">
        <f t="shared" si="78"/>
        <v>000</v>
      </c>
      <c r="AG247" t="str">
        <f>"FL"</f>
        <v>FL</v>
      </c>
      <c r="AH247" t="str">
        <f>"4791.00"</f>
        <v>4791.00</v>
      </c>
      <c r="AI247" t="str">
        <f>"577.00"</f>
        <v>577.00</v>
      </c>
      <c r="AJ247" t="str">
        <f>"C55-000-587-0093-1"</f>
        <v>C55-000-587-0093-1</v>
      </c>
      <c r="AK247" t="str">
        <f>"3738"</f>
        <v>3738</v>
      </c>
      <c r="AL247">
        <v>1</v>
      </c>
      <c r="AM247">
        <v>284</v>
      </c>
      <c r="AN247">
        <v>40.82</v>
      </c>
      <c r="AQ247" t="s">
        <v>2937</v>
      </c>
      <c r="AR247" t="s">
        <v>2937</v>
      </c>
      <c r="AS247" t="s">
        <v>2937</v>
      </c>
      <c r="AU247" t="s">
        <v>396</v>
      </c>
      <c r="AV247">
        <v>2017</v>
      </c>
      <c r="AW247" t="str">
        <f>"14-1N-24-2180-0761-0000 "</f>
        <v xml:space="preserve">14-1N-24-2180-0761-0000 </v>
      </c>
      <c r="AZ247" t="s">
        <v>2893</v>
      </c>
      <c r="BD247" t="s">
        <v>2785</v>
      </c>
      <c r="BE247" t="s">
        <v>393</v>
      </c>
      <c r="BF247">
        <v>32011</v>
      </c>
      <c r="BG247" t="s">
        <v>2893</v>
      </c>
      <c r="BH247" t="s">
        <v>2787</v>
      </c>
      <c r="BI247">
        <v>-81.871482257812204</v>
      </c>
      <c r="BJ247">
        <v>30.505257837329101</v>
      </c>
      <c r="BK247" t="s">
        <v>2938</v>
      </c>
      <c r="BM247" t="s">
        <v>2939</v>
      </c>
      <c r="BN247" t="s">
        <v>928</v>
      </c>
      <c r="BO247">
        <v>32011</v>
      </c>
      <c r="BP247" t="s">
        <v>404</v>
      </c>
      <c r="BQ247">
        <v>0</v>
      </c>
      <c r="BR247" t="s">
        <v>491</v>
      </c>
      <c r="BS247">
        <v>8001</v>
      </c>
      <c r="BT247" t="s">
        <v>492</v>
      </c>
      <c r="BW247">
        <v>4791</v>
      </c>
      <c r="BX247" t="s">
        <v>407</v>
      </c>
      <c r="BY247" t="s">
        <v>408</v>
      </c>
      <c r="CD247">
        <v>2017</v>
      </c>
      <c r="CE247">
        <v>577</v>
      </c>
      <c r="CG247">
        <v>577</v>
      </c>
      <c r="CH247">
        <v>2017</v>
      </c>
      <c r="CI247">
        <v>577</v>
      </c>
      <c r="CK247">
        <v>577</v>
      </c>
      <c r="CL247">
        <v>2017</v>
      </c>
      <c r="CM247">
        <v>8.16</v>
      </c>
      <c r="CN247" s="1">
        <v>38285</v>
      </c>
      <c r="CV247">
        <v>0</v>
      </c>
      <c r="CZ247" s="1">
        <v>38285</v>
      </c>
      <c r="DA247">
        <v>0</v>
      </c>
      <c r="DD247" t="s">
        <v>2785</v>
      </c>
      <c r="DF247">
        <v>761</v>
      </c>
      <c r="DG247">
        <v>14</v>
      </c>
      <c r="DL247">
        <v>50504</v>
      </c>
      <c r="DM247" t="s">
        <v>2896</v>
      </c>
      <c r="DO247" t="s">
        <v>2940</v>
      </c>
      <c r="DP247">
        <v>0</v>
      </c>
      <c r="DQ247">
        <v>0</v>
      </c>
      <c r="DR247" t="s">
        <v>411</v>
      </c>
      <c r="DS247" t="b">
        <v>1</v>
      </c>
      <c r="DT247" t="s">
        <v>470</v>
      </c>
      <c r="DU247" t="s">
        <v>471</v>
      </c>
      <c r="DV247" t="s">
        <v>472</v>
      </c>
      <c r="DX247">
        <v>-9999</v>
      </c>
      <c r="DZ247" t="s">
        <v>447</v>
      </c>
      <c r="EA247" t="s">
        <v>448</v>
      </c>
      <c r="EB247" t="s">
        <v>742</v>
      </c>
      <c r="EC247">
        <v>20101217</v>
      </c>
      <c r="ED247" t="s">
        <v>474</v>
      </c>
      <c r="EF247">
        <v>1962.8</v>
      </c>
      <c r="EG247">
        <v>1962.8</v>
      </c>
      <c r="EI247">
        <v>20160407</v>
      </c>
      <c r="EJ247">
        <v>0</v>
      </c>
      <c r="EK247">
        <v>0</v>
      </c>
      <c r="EP247" t="s">
        <v>595</v>
      </c>
      <c r="EQ247" t="s">
        <v>422</v>
      </c>
      <c r="ER247">
        <v>8</v>
      </c>
      <c r="ES247">
        <v>0</v>
      </c>
      <c r="ET247">
        <v>225.81</v>
      </c>
      <c r="EU247">
        <v>153.62</v>
      </c>
      <c r="EV247">
        <v>379.43</v>
      </c>
      <c r="EW247" s="2">
        <v>43222</v>
      </c>
      <c r="EX247" s="1">
        <v>42879</v>
      </c>
      <c r="EY247">
        <v>2016</v>
      </c>
      <c r="EZ247">
        <v>34.65</v>
      </c>
      <c r="FA247" t="s">
        <v>2941</v>
      </c>
      <c r="FB247">
        <v>18</v>
      </c>
      <c r="FC247" t="s">
        <v>603</v>
      </c>
      <c r="FD247" t="s">
        <v>454</v>
      </c>
      <c r="FF247">
        <v>12</v>
      </c>
      <c r="FG247">
        <v>9999999</v>
      </c>
      <c r="FH247" t="s">
        <v>604</v>
      </c>
      <c r="FJ247" s="1">
        <v>42515</v>
      </c>
      <c r="FK247">
        <v>2015</v>
      </c>
      <c r="FL247">
        <v>29.5</v>
      </c>
      <c r="FM247" t="s">
        <v>2942</v>
      </c>
      <c r="FN247">
        <v>18</v>
      </c>
      <c r="FO247" t="s">
        <v>424</v>
      </c>
      <c r="FP247" t="s">
        <v>454</v>
      </c>
      <c r="FR247">
        <v>24</v>
      </c>
      <c r="FS247">
        <v>7045082</v>
      </c>
      <c r="FT247" t="s">
        <v>2899</v>
      </c>
      <c r="FV247" s="1">
        <v>42151</v>
      </c>
      <c r="FW247">
        <v>2014</v>
      </c>
      <c r="FX247">
        <v>28.57</v>
      </c>
      <c r="FY247" t="s">
        <v>2943</v>
      </c>
      <c r="FZ247">
        <v>0</v>
      </c>
      <c r="GA247" t="s">
        <v>424</v>
      </c>
      <c r="GB247" t="s">
        <v>454</v>
      </c>
      <c r="GD247">
        <v>36</v>
      </c>
      <c r="GE247">
        <v>651</v>
      </c>
      <c r="GF247" t="s">
        <v>2931</v>
      </c>
      <c r="GH247" s="1">
        <v>41787</v>
      </c>
      <c r="GI247">
        <v>2013</v>
      </c>
      <c r="GJ247">
        <v>28.23</v>
      </c>
      <c r="GK247" t="s">
        <v>2944</v>
      </c>
      <c r="GL247">
        <v>0</v>
      </c>
      <c r="GM247" t="s">
        <v>424</v>
      </c>
      <c r="GN247" t="s">
        <v>454</v>
      </c>
      <c r="GP247">
        <v>48</v>
      </c>
      <c r="GQ247">
        <v>651</v>
      </c>
      <c r="GR247" t="s">
        <v>2931</v>
      </c>
      <c r="GT247" s="1">
        <v>41423</v>
      </c>
      <c r="GU247">
        <v>2012</v>
      </c>
      <c r="GV247">
        <v>29.26</v>
      </c>
      <c r="GW247" t="s">
        <v>2945</v>
      </c>
      <c r="GX247">
        <v>0</v>
      </c>
      <c r="GY247" t="s">
        <v>424</v>
      </c>
      <c r="GZ247" t="s">
        <v>454</v>
      </c>
      <c r="HB247">
        <v>60</v>
      </c>
      <c r="HC247">
        <v>651</v>
      </c>
      <c r="HD247" t="s">
        <v>2931</v>
      </c>
      <c r="HF247" s="1">
        <v>41052</v>
      </c>
      <c r="HG247">
        <v>2011</v>
      </c>
      <c r="HH247">
        <v>22.65</v>
      </c>
      <c r="HI247" t="s">
        <v>2946</v>
      </c>
      <c r="HJ247">
        <v>14.75</v>
      </c>
      <c r="HK247" t="s">
        <v>424</v>
      </c>
      <c r="HL247" t="s">
        <v>454</v>
      </c>
      <c r="HN247">
        <v>72</v>
      </c>
      <c r="HO247">
        <v>10125</v>
      </c>
      <c r="HP247" t="s">
        <v>440</v>
      </c>
      <c r="HR247" s="1">
        <v>40688</v>
      </c>
      <c r="HS247">
        <v>2010</v>
      </c>
      <c r="HT247">
        <v>30.28</v>
      </c>
      <c r="HU247" t="s">
        <v>2947</v>
      </c>
      <c r="HV247">
        <v>18</v>
      </c>
      <c r="HW247" t="s">
        <v>424</v>
      </c>
      <c r="HX247" t="s">
        <v>454</v>
      </c>
      <c r="HZ247">
        <v>84</v>
      </c>
      <c r="IA247">
        <v>11801</v>
      </c>
      <c r="IB247" t="s">
        <v>2948</v>
      </c>
      <c r="ID247" s="1">
        <v>40688</v>
      </c>
      <c r="IE247">
        <v>2010</v>
      </c>
      <c r="IF247">
        <v>22.67</v>
      </c>
      <c r="IG247" t="s">
        <v>2947</v>
      </c>
      <c r="IH247">
        <v>18</v>
      </c>
      <c r="II247" t="s">
        <v>603</v>
      </c>
      <c r="IJ247" t="s">
        <v>454</v>
      </c>
      <c r="IL247">
        <v>84</v>
      </c>
      <c r="IM247">
        <v>9999999</v>
      </c>
      <c r="IN247" t="s">
        <v>604</v>
      </c>
    </row>
    <row r="248" spans="1:248" x14ac:dyDescent="0.25">
      <c r="A248">
        <v>16485255</v>
      </c>
      <c r="B248">
        <v>247</v>
      </c>
      <c r="C248" t="s">
        <v>393</v>
      </c>
      <c r="D248" t="s">
        <v>394</v>
      </c>
      <c r="F248" t="str">
        <f>"14-1N-24-2180-1046-0000"</f>
        <v>14-1N-24-2180-1046-0000</v>
      </c>
      <c r="H248" t="str">
        <f>"SNYDER DONALD"</f>
        <v>SNYDER DONALD</v>
      </c>
      <c r="I248" t="str">
        <f>"1430 FARNHAM RD"</f>
        <v>1430 FARNHAM RD</v>
      </c>
      <c r="J248" t="str">
        <f>"TROY OH 45373"</f>
        <v>TROY OH 45373</v>
      </c>
      <c r="K248" t="str">
        <f t="shared" si="76"/>
        <v>US HWY 301</v>
      </c>
      <c r="L248" t="str">
        <f t="shared" si="73"/>
        <v>CALLAHAN FL 32011</v>
      </c>
      <c r="M248" t="str">
        <f>"LOTS 1046 &amp; 1047 TOWN OF CRAWFORD S/D IN SEC 14-1N-24E"</f>
        <v>LOTS 1046 &amp; 1047 TOWN OF CRAWFORD S/D IN SEC 14-1N-24E</v>
      </c>
      <c r="N248" t="str">
        <f>""</f>
        <v/>
      </c>
      <c r="O248" t="str">
        <f>"29837"</f>
        <v>29837</v>
      </c>
      <c r="P248" t="str">
        <f t="shared" si="61"/>
        <v>2017</v>
      </c>
      <c r="Q248" t="str">
        <f>""</f>
        <v/>
      </c>
      <c r="R248" t="str">
        <f t="shared" si="74"/>
        <v>N</v>
      </c>
      <c r="S248" t="str">
        <f>"0.23"</f>
        <v>0.23</v>
      </c>
      <c r="T248" t="str">
        <f>"36.88"</f>
        <v>36.88</v>
      </c>
      <c r="U248" t="str">
        <f>"1631.00"</f>
        <v>1631.00</v>
      </c>
      <c r="V248" t="str">
        <f>"1631.00"</f>
        <v>1631.00</v>
      </c>
      <c r="W248" t="str">
        <f t="shared" si="62"/>
        <v>2017</v>
      </c>
      <c r="X248" t="str">
        <f>""</f>
        <v/>
      </c>
      <c r="Y248" t="str">
        <f>"69.99"</f>
        <v>69.99</v>
      </c>
      <c r="Z248" t="str">
        <f>""</f>
        <v/>
      </c>
      <c r="AA248" t="str">
        <f>"3480.00"</f>
        <v>3480.00</v>
      </c>
      <c r="AB248" t="str">
        <f t="shared" si="77"/>
        <v>Residential</v>
      </c>
      <c r="AC248" t="str">
        <f t="shared" si="64"/>
        <v>0</v>
      </c>
      <c r="AD248" t="str">
        <f>""</f>
        <v/>
      </c>
      <c r="AE248" t="str">
        <f>""</f>
        <v/>
      </c>
      <c r="AF248" t="str">
        <f t="shared" si="78"/>
        <v>000</v>
      </c>
      <c r="AG248" t="str">
        <f>"OH"</f>
        <v>OH</v>
      </c>
      <c r="AH248" t="str">
        <f>"10105.00"</f>
        <v>10105.00</v>
      </c>
      <c r="AI248" t="str">
        <f>"3480.00"</f>
        <v>3480.00</v>
      </c>
      <c r="AJ248" t="str">
        <f>"C55-000-587-0102-0"</f>
        <v>C55-000-587-0102-0</v>
      </c>
      <c r="AK248" t="str">
        <f>"3746"</f>
        <v>3746</v>
      </c>
      <c r="AL248">
        <v>1</v>
      </c>
      <c r="AM248">
        <v>285</v>
      </c>
      <c r="AN248">
        <v>71.89</v>
      </c>
      <c r="AQ248" t="s">
        <v>2949</v>
      </c>
      <c r="AR248" t="s">
        <v>2949</v>
      </c>
      <c r="AS248" t="s">
        <v>2949</v>
      </c>
      <c r="AU248" t="s">
        <v>396</v>
      </c>
      <c r="AV248">
        <v>2017</v>
      </c>
      <c r="AW248" t="str">
        <f>"14-1N-24-2180-1046-0000 "</f>
        <v xml:space="preserve">14-1N-24-2180-1046-0000 </v>
      </c>
      <c r="AZ248" t="s">
        <v>2893</v>
      </c>
      <c r="BD248" t="s">
        <v>2785</v>
      </c>
      <c r="BE248" t="s">
        <v>393</v>
      </c>
      <c r="BF248">
        <v>32011</v>
      </c>
      <c r="BG248" t="s">
        <v>2893</v>
      </c>
      <c r="BH248" t="s">
        <v>2787</v>
      </c>
      <c r="BI248">
        <v>-81.871469262197493</v>
      </c>
      <c r="BJ248">
        <v>30.503498189782601</v>
      </c>
      <c r="BK248" t="s">
        <v>2950</v>
      </c>
      <c r="BM248" t="s">
        <v>2951</v>
      </c>
      <c r="BN248" t="s">
        <v>2952</v>
      </c>
      <c r="BO248">
        <v>45373</v>
      </c>
      <c r="BP248" t="s">
        <v>404</v>
      </c>
      <c r="BQ248">
        <v>0</v>
      </c>
      <c r="BR248" t="s">
        <v>491</v>
      </c>
      <c r="BS248">
        <v>8001</v>
      </c>
      <c r="BT248" t="s">
        <v>492</v>
      </c>
      <c r="BW248">
        <v>10105</v>
      </c>
      <c r="BX248" t="s">
        <v>407</v>
      </c>
      <c r="BY248" t="s">
        <v>408</v>
      </c>
      <c r="CD248">
        <v>2017</v>
      </c>
      <c r="CE248">
        <v>3480</v>
      </c>
      <c r="CG248">
        <v>3480</v>
      </c>
      <c r="CH248">
        <v>2017</v>
      </c>
      <c r="CI248">
        <v>3480</v>
      </c>
      <c r="CK248">
        <v>3480</v>
      </c>
      <c r="CL248">
        <v>2017</v>
      </c>
      <c r="CM248">
        <v>36.880000000000003</v>
      </c>
      <c r="CN248" s="1">
        <v>29294</v>
      </c>
      <c r="CZ248" s="1">
        <v>29294</v>
      </c>
      <c r="DD248" t="s">
        <v>2785</v>
      </c>
      <c r="DG248">
        <v>14</v>
      </c>
      <c r="DL248">
        <v>50504</v>
      </c>
      <c r="DM248" t="s">
        <v>2896</v>
      </c>
      <c r="DO248" t="s">
        <v>2953</v>
      </c>
      <c r="DP248">
        <v>0</v>
      </c>
      <c r="DQ248">
        <v>0</v>
      </c>
      <c r="DR248" t="s">
        <v>411</v>
      </c>
      <c r="DS248" t="b">
        <v>1</v>
      </c>
      <c r="DT248" t="s">
        <v>470</v>
      </c>
      <c r="DU248" t="s">
        <v>471</v>
      </c>
      <c r="DV248" t="s">
        <v>472</v>
      </c>
      <c r="DX248">
        <v>-9999</v>
      </c>
      <c r="DZ248" t="s">
        <v>447</v>
      </c>
      <c r="EA248" t="s">
        <v>448</v>
      </c>
      <c r="EB248" t="s">
        <v>742</v>
      </c>
      <c r="EC248">
        <v>20101217</v>
      </c>
      <c r="ED248" t="s">
        <v>474</v>
      </c>
      <c r="EF248">
        <v>1870.7</v>
      </c>
      <c r="EG248">
        <v>1870.7</v>
      </c>
      <c r="EI248">
        <v>20160407</v>
      </c>
      <c r="EJ248">
        <v>0</v>
      </c>
      <c r="EK248">
        <v>0</v>
      </c>
      <c r="EP248" t="s">
        <v>595</v>
      </c>
      <c r="EQ248" t="s">
        <v>422</v>
      </c>
      <c r="ER248">
        <v>6</v>
      </c>
      <c r="ES248">
        <v>0</v>
      </c>
      <c r="ET248">
        <v>288.58</v>
      </c>
      <c r="EU248">
        <v>97.97</v>
      </c>
      <c r="EV248">
        <v>386.55</v>
      </c>
      <c r="EW248" s="2">
        <v>43222</v>
      </c>
      <c r="EX248" s="1">
        <v>42879</v>
      </c>
      <c r="EY248">
        <v>2016</v>
      </c>
      <c r="EZ248">
        <v>61.19</v>
      </c>
      <c r="FA248" t="s">
        <v>2954</v>
      </c>
      <c r="FB248">
        <v>18</v>
      </c>
      <c r="FC248" t="s">
        <v>603</v>
      </c>
      <c r="FD248" t="s">
        <v>454</v>
      </c>
      <c r="FF248">
        <v>12</v>
      </c>
      <c r="FG248">
        <v>9999999</v>
      </c>
      <c r="FH248" t="s">
        <v>604</v>
      </c>
      <c r="FJ248" s="1">
        <v>42515</v>
      </c>
      <c r="FK248">
        <v>2015</v>
      </c>
      <c r="FL248">
        <v>56.02</v>
      </c>
      <c r="FM248" t="s">
        <v>2955</v>
      </c>
      <c r="FN248">
        <v>18</v>
      </c>
      <c r="FO248" t="s">
        <v>424</v>
      </c>
      <c r="FP248" t="s">
        <v>454</v>
      </c>
      <c r="FR248">
        <v>24</v>
      </c>
      <c r="FS248">
        <v>7045082</v>
      </c>
      <c r="FT248" t="s">
        <v>2899</v>
      </c>
      <c r="FV248" s="1">
        <v>42151</v>
      </c>
      <c r="FW248">
        <v>2014</v>
      </c>
      <c r="FX248">
        <v>42.94</v>
      </c>
      <c r="FY248" t="s">
        <v>2956</v>
      </c>
      <c r="FZ248">
        <v>0</v>
      </c>
      <c r="GA248" t="s">
        <v>424</v>
      </c>
      <c r="GB248" t="s">
        <v>454</v>
      </c>
      <c r="GD248">
        <v>36</v>
      </c>
      <c r="GE248">
        <v>651</v>
      </c>
      <c r="GF248" t="s">
        <v>2931</v>
      </c>
      <c r="GH248" s="1">
        <v>41787</v>
      </c>
      <c r="GI248">
        <v>2013</v>
      </c>
      <c r="GJ248">
        <v>41.81</v>
      </c>
      <c r="GK248" t="s">
        <v>2957</v>
      </c>
      <c r="GL248">
        <v>0</v>
      </c>
      <c r="GM248" t="s">
        <v>424</v>
      </c>
      <c r="GN248" t="s">
        <v>454</v>
      </c>
      <c r="GP248">
        <v>48</v>
      </c>
      <c r="GQ248">
        <v>651</v>
      </c>
      <c r="GR248" t="s">
        <v>2931</v>
      </c>
      <c r="GT248" s="1">
        <v>41423</v>
      </c>
      <c r="GU248">
        <v>2012</v>
      </c>
      <c r="GV248">
        <v>45.07</v>
      </c>
      <c r="GW248" t="s">
        <v>2958</v>
      </c>
      <c r="GX248">
        <v>0</v>
      </c>
      <c r="GY248" t="s">
        <v>424</v>
      </c>
      <c r="GZ248" t="s">
        <v>454</v>
      </c>
      <c r="HB248">
        <v>60</v>
      </c>
      <c r="HC248">
        <v>651</v>
      </c>
      <c r="HD248" t="s">
        <v>2931</v>
      </c>
      <c r="HF248" s="1">
        <v>41052</v>
      </c>
      <c r="HG248">
        <v>2011</v>
      </c>
      <c r="HH248">
        <v>41.55</v>
      </c>
      <c r="HI248" t="s">
        <v>2959</v>
      </c>
      <c r="HJ248">
        <v>11.75</v>
      </c>
      <c r="HK248" t="s">
        <v>424</v>
      </c>
      <c r="HL248" t="s">
        <v>454</v>
      </c>
      <c r="HN248">
        <v>72</v>
      </c>
      <c r="HO248">
        <v>10125</v>
      </c>
      <c r="HP248" t="s">
        <v>440</v>
      </c>
    </row>
    <row r="249" spans="1:248" x14ac:dyDescent="0.25">
      <c r="A249">
        <v>16485256</v>
      </c>
      <c r="B249">
        <v>248</v>
      </c>
      <c r="C249" t="s">
        <v>393</v>
      </c>
      <c r="D249" t="s">
        <v>394</v>
      </c>
      <c r="F249" t="str">
        <f>"14-1N-24-2180-1049-0000"</f>
        <v>14-1N-24-2180-1049-0000</v>
      </c>
      <c r="H249" t="str">
        <f>"SNYDER DONALD"</f>
        <v>SNYDER DONALD</v>
      </c>
      <c r="I249" t="str">
        <f>"1430 FARNHAM RD"</f>
        <v>1430 FARNHAM RD</v>
      </c>
      <c r="J249" t="str">
        <f>"TROY OH 45373"</f>
        <v>TROY OH 45373</v>
      </c>
      <c r="K249" t="str">
        <f t="shared" si="76"/>
        <v>US HWY 301</v>
      </c>
      <c r="L249" t="str">
        <f t="shared" si="73"/>
        <v>CALLAHAN FL 32011</v>
      </c>
      <c r="M249" t="str">
        <f>"LOT 1049 TOWN OF CRAWFORD S/D IN SEC 14-1N-24E"</f>
        <v>LOT 1049 TOWN OF CRAWFORD S/D IN SEC 14-1N-24E</v>
      </c>
      <c r="N249" t="str">
        <f>""</f>
        <v/>
      </c>
      <c r="O249" t="str">
        <f>"29839"</f>
        <v>29839</v>
      </c>
      <c r="P249" t="str">
        <f t="shared" si="61"/>
        <v>2017</v>
      </c>
      <c r="Q249" t="str">
        <f>""</f>
        <v/>
      </c>
      <c r="R249" t="str">
        <f t="shared" si="74"/>
        <v>N</v>
      </c>
      <c r="S249" t="str">
        <f>"0.12"</f>
        <v>0.12</v>
      </c>
      <c r="T249" t="str">
        <f>"24.56"</f>
        <v>24.56</v>
      </c>
      <c r="U249" t="str">
        <f>"1531.00"</f>
        <v>1531.00</v>
      </c>
      <c r="V249" t="str">
        <f>"1531.00"</f>
        <v>1531.00</v>
      </c>
      <c r="W249" t="str">
        <f t="shared" si="62"/>
        <v>2017</v>
      </c>
      <c r="X249" t="str">
        <f>""</f>
        <v/>
      </c>
      <c r="Y249" t="str">
        <f>"57.30"</f>
        <v>57.30</v>
      </c>
      <c r="Z249" t="str">
        <f>""</f>
        <v/>
      </c>
      <c r="AA249" t="str">
        <f>"1740.00"</f>
        <v>1740.00</v>
      </c>
      <c r="AB249" t="str">
        <f t="shared" si="77"/>
        <v>Residential</v>
      </c>
      <c r="AC249" t="str">
        <f t="shared" si="64"/>
        <v>0</v>
      </c>
      <c r="AD249" t="str">
        <f>""</f>
        <v/>
      </c>
      <c r="AE249" t="str">
        <f>""</f>
        <v/>
      </c>
      <c r="AF249" t="str">
        <f t="shared" si="78"/>
        <v>000</v>
      </c>
      <c r="AG249" t="str">
        <f>"OH"</f>
        <v>OH</v>
      </c>
      <c r="AH249" t="str">
        <f>"5052.00"</f>
        <v>5052.00</v>
      </c>
      <c r="AI249" t="str">
        <f>"1740.00"</f>
        <v>1740.00</v>
      </c>
      <c r="AJ249" t="str">
        <f>"C55-001-072-1551-9"</f>
        <v>C55-001-072-1551-9</v>
      </c>
      <c r="AK249" t="str">
        <f>"3748"</f>
        <v>3748</v>
      </c>
      <c r="AL249">
        <v>1</v>
      </c>
      <c r="AM249">
        <v>286</v>
      </c>
      <c r="AN249">
        <v>58.57</v>
      </c>
      <c r="AQ249" t="s">
        <v>2960</v>
      </c>
      <c r="AR249" t="s">
        <v>2960</v>
      </c>
      <c r="AS249" t="s">
        <v>2960</v>
      </c>
      <c r="AU249" t="s">
        <v>396</v>
      </c>
      <c r="AV249">
        <v>2017</v>
      </c>
      <c r="AW249" t="str">
        <f>"14-1N-24-2180-1049-0000 "</f>
        <v xml:space="preserve">14-1N-24-2180-1049-0000 </v>
      </c>
      <c r="AZ249" t="s">
        <v>2893</v>
      </c>
      <c r="BD249" t="s">
        <v>2785</v>
      </c>
      <c r="BE249" t="s">
        <v>393</v>
      </c>
      <c r="BF249">
        <v>32011</v>
      </c>
      <c r="BG249" t="s">
        <v>2893</v>
      </c>
      <c r="BH249" t="s">
        <v>2787</v>
      </c>
      <c r="BI249">
        <v>-81.871467227757194</v>
      </c>
      <c r="BJ249">
        <v>30.503223244051501</v>
      </c>
      <c r="BK249" t="s">
        <v>2950</v>
      </c>
      <c r="BM249" t="s">
        <v>2951</v>
      </c>
      <c r="BN249" t="s">
        <v>2952</v>
      </c>
      <c r="BO249">
        <v>45373</v>
      </c>
      <c r="BP249" t="s">
        <v>404</v>
      </c>
      <c r="BQ249">
        <v>0</v>
      </c>
      <c r="BR249" t="s">
        <v>491</v>
      </c>
      <c r="BS249">
        <v>8001</v>
      </c>
      <c r="BT249" t="s">
        <v>492</v>
      </c>
      <c r="BW249">
        <v>5052</v>
      </c>
      <c r="BX249" t="s">
        <v>407</v>
      </c>
      <c r="CD249">
        <v>2017</v>
      </c>
      <c r="CE249">
        <v>1740</v>
      </c>
      <c r="CG249">
        <v>1740</v>
      </c>
      <c r="CH249">
        <v>2017</v>
      </c>
      <c r="CI249">
        <v>1740</v>
      </c>
      <c r="CK249">
        <v>1740</v>
      </c>
      <c r="CL249">
        <v>2017</v>
      </c>
      <c r="CM249">
        <v>24.56</v>
      </c>
      <c r="CN249" s="1">
        <v>29294</v>
      </c>
      <c r="CZ249" s="1">
        <v>29294</v>
      </c>
      <c r="DD249" t="s">
        <v>2785</v>
      </c>
      <c r="DG249">
        <v>14</v>
      </c>
      <c r="DL249">
        <v>50504</v>
      </c>
      <c r="DM249" t="s">
        <v>2896</v>
      </c>
      <c r="DO249" t="s">
        <v>2961</v>
      </c>
      <c r="DP249">
        <v>0</v>
      </c>
      <c r="DQ249">
        <v>0</v>
      </c>
      <c r="DR249" t="s">
        <v>411</v>
      </c>
      <c r="DS249" t="s">
        <v>695</v>
      </c>
      <c r="EJ249">
        <v>0</v>
      </c>
      <c r="EK249">
        <v>0</v>
      </c>
      <c r="EP249" t="s">
        <v>595</v>
      </c>
      <c r="EQ249" t="s">
        <v>422</v>
      </c>
      <c r="ER249">
        <v>3</v>
      </c>
      <c r="ES249">
        <v>0</v>
      </c>
      <c r="ET249">
        <v>154.37</v>
      </c>
      <c r="EU249">
        <v>54.76</v>
      </c>
      <c r="EV249">
        <v>209.13</v>
      </c>
      <c r="EW249" s="2">
        <v>43222</v>
      </c>
      <c r="EX249" s="1">
        <v>42879</v>
      </c>
      <c r="EY249">
        <v>2016</v>
      </c>
      <c r="EZ249">
        <v>50.1</v>
      </c>
      <c r="FA249" t="s">
        <v>2962</v>
      </c>
      <c r="FB249">
        <v>18</v>
      </c>
      <c r="FC249" t="s">
        <v>603</v>
      </c>
      <c r="FD249" t="s">
        <v>454</v>
      </c>
      <c r="FF249">
        <v>12</v>
      </c>
      <c r="FG249">
        <v>9999999</v>
      </c>
      <c r="FH249" t="s">
        <v>604</v>
      </c>
      <c r="FJ249" s="1">
        <v>42879</v>
      </c>
      <c r="FK249">
        <v>2016</v>
      </c>
      <c r="FL249">
        <v>58.6</v>
      </c>
      <c r="FM249" t="s">
        <v>2962</v>
      </c>
      <c r="FN249">
        <v>18</v>
      </c>
      <c r="FO249" t="s">
        <v>424</v>
      </c>
      <c r="FP249" t="s">
        <v>454</v>
      </c>
      <c r="FR249">
        <v>12</v>
      </c>
      <c r="FS249">
        <v>7685300</v>
      </c>
      <c r="FT249" t="s">
        <v>2881</v>
      </c>
      <c r="FV249" s="1">
        <v>42515</v>
      </c>
      <c r="FW249">
        <v>2015</v>
      </c>
      <c r="FX249">
        <v>45.67</v>
      </c>
      <c r="FY249" t="s">
        <v>2963</v>
      </c>
      <c r="FZ249">
        <v>18</v>
      </c>
      <c r="GA249" t="s">
        <v>603</v>
      </c>
      <c r="GB249" t="s">
        <v>454</v>
      </c>
      <c r="GD249">
        <v>24</v>
      </c>
      <c r="GE249">
        <v>9999999</v>
      </c>
      <c r="GF249" t="s">
        <v>604</v>
      </c>
    </row>
    <row r="250" spans="1:248" x14ac:dyDescent="0.25">
      <c r="A250">
        <v>16485257</v>
      </c>
      <c r="B250">
        <v>249</v>
      </c>
      <c r="C250" t="s">
        <v>393</v>
      </c>
      <c r="D250" t="s">
        <v>394</v>
      </c>
      <c r="F250" t="str">
        <f>"14-1N-24-2180-1184-0000"</f>
        <v>14-1N-24-2180-1184-0000</v>
      </c>
      <c r="H250" t="str">
        <f>"LINDSEY JAMES &amp; LINDSEY CHARLEE"</f>
        <v>LINDSEY JAMES &amp; LINDSEY CHARLEE</v>
      </c>
      <c r="I250" t="str">
        <f>"PO BOX 2291"</f>
        <v>PO BOX 2291</v>
      </c>
      <c r="J250" t="str">
        <f>"CALLAHAN FL 32011"</f>
        <v>CALLAHAN FL 32011</v>
      </c>
      <c r="K250" t="str">
        <f>"33600 CROSSFIRE TR"</f>
        <v>33600 CROSSFIRE TR</v>
      </c>
      <c r="L250" t="str">
        <f t="shared" si="73"/>
        <v>CALLAHAN FL 32011</v>
      </c>
      <c r="M250" t="str">
        <f>"LOT 1184 IN OR 2060/14 TOWN OF CRAWFORD SUB"</f>
        <v>LOT 1184 IN OR 2060/14 TOWN OF CRAWFORD SUB</v>
      </c>
      <c r="N250" t="str">
        <f>""</f>
        <v/>
      </c>
      <c r="O250" t="str">
        <f>"29851"</f>
        <v>29851</v>
      </c>
      <c r="P250" t="str">
        <f t="shared" si="61"/>
        <v>2017</v>
      </c>
      <c r="Q250" t="str">
        <f>""</f>
        <v/>
      </c>
      <c r="R250" t="str">
        <f t="shared" si="74"/>
        <v>N</v>
      </c>
      <c r="S250" t="str">
        <f>"10.00"</f>
        <v>10.00</v>
      </c>
      <c r="T250" t="str">
        <f>"1891.41"</f>
        <v>1891.41</v>
      </c>
      <c r="U250" t="str">
        <f>"124939.00"</f>
        <v>124939.00</v>
      </c>
      <c r="V250" t="str">
        <f>"124939.00"</f>
        <v>124939.00</v>
      </c>
      <c r="W250" t="str">
        <f t="shared" si="62"/>
        <v>2017</v>
      </c>
      <c r="X250" t="str">
        <f>""</f>
        <v/>
      </c>
      <c r="Y250" t="str">
        <f>"1980.15"</f>
        <v>1980.15</v>
      </c>
      <c r="Z250" t="str">
        <f>""</f>
        <v/>
      </c>
      <c r="AA250" t="str">
        <f>"124939.00"</f>
        <v>124939.00</v>
      </c>
      <c r="AB250" t="str">
        <f t="shared" si="77"/>
        <v>Residential</v>
      </c>
      <c r="AC250" t="str">
        <f t="shared" si="64"/>
        <v>0</v>
      </c>
      <c r="AD250" t="str">
        <f>"4"</f>
        <v>4</v>
      </c>
      <c r="AE250" t="str">
        <f>"WOOD (INCLUDE STEEL STUDS)"</f>
        <v>WOOD (INCLUDE STEEL STUDS)</v>
      </c>
      <c r="AF250" t="str">
        <f>"002"</f>
        <v>002</v>
      </c>
      <c r="AG250" t="str">
        <f t="shared" ref="AG250:AG271" si="79">"FL"</f>
        <v>FL</v>
      </c>
      <c r="AH250" t="str">
        <f>"435600.00"</f>
        <v>435600.00</v>
      </c>
      <c r="AI250" t="str">
        <f>"60000.00"</f>
        <v>60000.00</v>
      </c>
      <c r="AJ250" t="str">
        <f>"C55-001-059-8840-6"</f>
        <v>C55-001-059-8840-6</v>
      </c>
      <c r="AK250" t="str">
        <f>"3760"</f>
        <v>3760</v>
      </c>
      <c r="AL250">
        <v>1</v>
      </c>
      <c r="AM250">
        <v>287</v>
      </c>
      <c r="AN250">
        <v>2077.56</v>
      </c>
      <c r="AQ250" t="s">
        <v>2964</v>
      </c>
      <c r="AR250" t="s">
        <v>2964</v>
      </c>
      <c r="AS250" t="s">
        <v>2964</v>
      </c>
      <c r="AU250" t="s">
        <v>396</v>
      </c>
      <c r="AV250">
        <v>2017</v>
      </c>
      <c r="AW250" t="str">
        <f>"14-1N-24-2180-1184-0000 "</f>
        <v xml:space="preserve">14-1N-24-2180-1184-0000 </v>
      </c>
      <c r="AX250">
        <v>33600</v>
      </c>
      <c r="AZ250" t="s">
        <v>2965</v>
      </c>
      <c r="BD250" t="s">
        <v>2785</v>
      </c>
      <c r="BE250" t="s">
        <v>393</v>
      </c>
      <c r="BF250">
        <v>32011</v>
      </c>
      <c r="BG250" t="s">
        <v>2966</v>
      </c>
      <c r="BH250" t="s">
        <v>2787</v>
      </c>
      <c r="BI250">
        <v>-81.878400510438198</v>
      </c>
      <c r="BJ250">
        <v>30.497230886339999</v>
      </c>
      <c r="BK250" t="s">
        <v>2967</v>
      </c>
      <c r="BL250" t="s">
        <v>2968</v>
      </c>
      <c r="BM250" t="s">
        <v>2969</v>
      </c>
      <c r="BN250" t="s">
        <v>928</v>
      </c>
      <c r="BO250">
        <v>32011</v>
      </c>
      <c r="BP250" t="s">
        <v>404</v>
      </c>
      <c r="BQ250">
        <v>200</v>
      </c>
      <c r="BR250" t="s">
        <v>405</v>
      </c>
      <c r="BS250">
        <v>1006</v>
      </c>
      <c r="BT250" t="s">
        <v>406</v>
      </c>
      <c r="BW250">
        <v>435600</v>
      </c>
      <c r="BX250" t="s">
        <v>407</v>
      </c>
      <c r="BY250" t="s">
        <v>408</v>
      </c>
      <c r="BZ250">
        <v>4</v>
      </c>
      <c r="CA250">
        <v>2016</v>
      </c>
      <c r="CC250">
        <v>1</v>
      </c>
      <c r="CD250">
        <v>2017</v>
      </c>
      <c r="CE250">
        <v>60000</v>
      </c>
      <c r="CF250">
        <v>64939</v>
      </c>
      <c r="CG250">
        <v>124939</v>
      </c>
      <c r="CH250">
        <v>2017</v>
      </c>
      <c r="CI250">
        <v>60000</v>
      </c>
      <c r="CJ250">
        <v>64939</v>
      </c>
      <c r="CK250">
        <v>124939</v>
      </c>
      <c r="CL250">
        <v>2017</v>
      </c>
      <c r="CM250">
        <v>1891.41</v>
      </c>
      <c r="CN250" s="1">
        <v>42565</v>
      </c>
      <c r="CZ250" s="1">
        <v>42565</v>
      </c>
      <c r="DD250" t="s">
        <v>2785</v>
      </c>
      <c r="DF250">
        <v>1184</v>
      </c>
      <c r="DG250">
        <v>14</v>
      </c>
      <c r="DL250">
        <v>50504</v>
      </c>
      <c r="DM250" t="s">
        <v>2896</v>
      </c>
      <c r="DO250" t="s">
        <v>2970</v>
      </c>
      <c r="DP250">
        <v>0</v>
      </c>
      <c r="DQ250">
        <v>0</v>
      </c>
      <c r="DR250" t="s">
        <v>411</v>
      </c>
    </row>
    <row r="251" spans="1:248" x14ac:dyDescent="0.25">
      <c r="A251">
        <v>16485258</v>
      </c>
      <c r="B251">
        <v>250</v>
      </c>
      <c r="C251" t="s">
        <v>393</v>
      </c>
      <c r="D251" t="s">
        <v>394</v>
      </c>
      <c r="F251" t="str">
        <f>"14-1N-24-2180-1190-0000"</f>
        <v>14-1N-24-2180-1190-0000</v>
      </c>
      <c r="H251" t="str">
        <f>"LINDSEY CHARLES R"</f>
        <v>LINDSEY CHARLES R</v>
      </c>
      <c r="I251" t="str">
        <f>"8881 ROSEHILL DR S"</f>
        <v>8881 ROSEHILL DR S</v>
      </c>
      <c r="J251" t="str">
        <f>"JACKSONVILLE FL 32221"</f>
        <v>JACKSONVILLE FL 32221</v>
      </c>
      <c r="K251" t="str">
        <f>"33575 RATTLESNAKE TRL"</f>
        <v>33575 RATTLESNAKE TRL</v>
      </c>
      <c r="L251" t="str">
        <f t="shared" si="73"/>
        <v>CALLAHAN FL 32011</v>
      </c>
      <c r="M251" t="str">
        <f>"LOT 1190 IN OR 1837/1948 TOWN OF CRAWFORD SUB"</f>
        <v>LOT 1190 IN OR 1837/1948 TOWN OF CRAWFORD SUB</v>
      </c>
      <c r="N251" t="str">
        <f>""</f>
        <v/>
      </c>
      <c r="O251" t="str">
        <f>"29854"</f>
        <v>29854</v>
      </c>
      <c r="P251" t="str">
        <f t="shared" si="61"/>
        <v>2017</v>
      </c>
      <c r="Q251" t="str">
        <f>""</f>
        <v/>
      </c>
      <c r="R251" t="str">
        <f t="shared" si="74"/>
        <v>N</v>
      </c>
      <c r="S251" t="str">
        <f>"10.00"</f>
        <v>10.00</v>
      </c>
      <c r="T251" t="str">
        <f>"1356.65"</f>
        <v>1356.65</v>
      </c>
      <c r="U251" t="str">
        <f>"89614.00"</f>
        <v>89614.00</v>
      </c>
      <c r="V251" t="str">
        <f>"89614.00"</f>
        <v>89614.00</v>
      </c>
      <c r="W251" t="str">
        <f t="shared" si="62"/>
        <v>2017</v>
      </c>
      <c r="X251" t="str">
        <f>"13.00"</f>
        <v>13.00</v>
      </c>
      <c r="Y251" t="str">
        <f>"1429.35"</f>
        <v>1429.35</v>
      </c>
      <c r="Z251" t="str">
        <f>""</f>
        <v/>
      </c>
      <c r="AA251" t="str">
        <f>"89614.00"</f>
        <v>89614.00</v>
      </c>
      <c r="AB251" t="str">
        <f t="shared" si="77"/>
        <v>Residential</v>
      </c>
      <c r="AC251" t="str">
        <f t="shared" si="64"/>
        <v>0</v>
      </c>
      <c r="AD251" t="str">
        <f>"4"</f>
        <v>4</v>
      </c>
      <c r="AE251" t="str">
        <f>"WOOD (INCLUDE STEEL STUDS)"</f>
        <v>WOOD (INCLUDE STEEL STUDS)</v>
      </c>
      <c r="AF251" t="str">
        <f>"002"</f>
        <v>002</v>
      </c>
      <c r="AG251" t="str">
        <f t="shared" si="79"/>
        <v>FL</v>
      </c>
      <c r="AH251" t="str">
        <f>"435600.00"</f>
        <v>435600.00</v>
      </c>
      <c r="AI251" t="str">
        <f>"60000.00"</f>
        <v>60000.00</v>
      </c>
      <c r="AJ251" t="str">
        <f>"C55-001-048-1370-4"</f>
        <v>C55-001-048-1370-4</v>
      </c>
      <c r="AK251" t="str">
        <f>"3764"</f>
        <v>3764</v>
      </c>
      <c r="AL251">
        <v>1</v>
      </c>
      <c r="AM251">
        <v>288</v>
      </c>
      <c r="AN251">
        <v>1499.22</v>
      </c>
      <c r="AQ251" t="s">
        <v>2971</v>
      </c>
      <c r="AR251" t="s">
        <v>2971</v>
      </c>
      <c r="AS251" t="s">
        <v>2971</v>
      </c>
      <c r="AU251" t="s">
        <v>396</v>
      </c>
      <c r="AV251">
        <v>2017</v>
      </c>
      <c r="AW251" t="str">
        <f>"14-1N-24-2180-1190-0000 "</f>
        <v xml:space="preserve">14-1N-24-2180-1190-0000 </v>
      </c>
      <c r="AX251">
        <v>33575</v>
      </c>
      <c r="AZ251" t="s">
        <v>2972</v>
      </c>
      <c r="BA251" t="s">
        <v>2497</v>
      </c>
      <c r="BD251" t="s">
        <v>2785</v>
      </c>
      <c r="BE251" t="s">
        <v>393</v>
      </c>
      <c r="BF251">
        <v>32011</v>
      </c>
      <c r="BG251" t="s">
        <v>2973</v>
      </c>
      <c r="BH251" t="s">
        <v>2787</v>
      </c>
      <c r="BI251">
        <v>-81.868020951802393</v>
      </c>
      <c r="BJ251">
        <v>30.495618628884198</v>
      </c>
      <c r="BK251" t="s">
        <v>2974</v>
      </c>
      <c r="BM251" t="s">
        <v>2975</v>
      </c>
      <c r="BN251" t="s">
        <v>548</v>
      </c>
      <c r="BO251">
        <v>32221</v>
      </c>
      <c r="BP251" t="s">
        <v>404</v>
      </c>
      <c r="BQ251">
        <v>200</v>
      </c>
      <c r="BR251" t="s">
        <v>405</v>
      </c>
      <c r="BS251">
        <v>1006</v>
      </c>
      <c r="BT251" t="s">
        <v>406</v>
      </c>
      <c r="BW251">
        <v>435600</v>
      </c>
      <c r="BX251" t="s">
        <v>407</v>
      </c>
      <c r="BZ251">
        <v>4</v>
      </c>
      <c r="CA251">
        <v>1999</v>
      </c>
      <c r="CC251">
        <v>1</v>
      </c>
      <c r="CD251">
        <v>2017</v>
      </c>
      <c r="CE251">
        <v>60000</v>
      </c>
      <c r="CF251">
        <v>29614</v>
      </c>
      <c r="CG251">
        <v>89614</v>
      </c>
      <c r="CH251">
        <v>2017</v>
      </c>
      <c r="CI251">
        <v>60000</v>
      </c>
      <c r="CJ251">
        <v>29614</v>
      </c>
      <c r="CK251">
        <v>89614</v>
      </c>
      <c r="CL251">
        <v>2017</v>
      </c>
      <c r="CM251">
        <v>1356.65</v>
      </c>
      <c r="CN251" s="1">
        <v>41292</v>
      </c>
      <c r="CO251">
        <v>57000</v>
      </c>
      <c r="CZ251" s="1">
        <v>41292</v>
      </c>
      <c r="DD251" t="s">
        <v>2785</v>
      </c>
      <c r="DF251">
        <v>1190</v>
      </c>
      <c r="DG251">
        <v>14</v>
      </c>
      <c r="DL251">
        <v>50504</v>
      </c>
      <c r="DM251" t="s">
        <v>2896</v>
      </c>
      <c r="DO251" t="s">
        <v>2976</v>
      </c>
      <c r="DP251">
        <v>0</v>
      </c>
      <c r="DQ251">
        <v>0</v>
      </c>
      <c r="DR251" t="s">
        <v>411</v>
      </c>
      <c r="DS251" t="b">
        <v>1</v>
      </c>
      <c r="DT251" t="s">
        <v>470</v>
      </c>
      <c r="DU251" t="s">
        <v>471</v>
      </c>
      <c r="DV251" t="s">
        <v>472</v>
      </c>
      <c r="DX251">
        <v>-9999</v>
      </c>
      <c r="DZ251" t="s">
        <v>447</v>
      </c>
      <c r="EA251" t="s">
        <v>448</v>
      </c>
      <c r="EB251" t="s">
        <v>742</v>
      </c>
      <c r="EC251">
        <v>20101217</v>
      </c>
      <c r="ED251" t="s">
        <v>474</v>
      </c>
      <c r="EF251">
        <v>1308.5</v>
      </c>
      <c r="EG251">
        <v>1308.5</v>
      </c>
      <c r="EI251">
        <v>20160407</v>
      </c>
      <c r="EJ251">
        <v>0</v>
      </c>
      <c r="EK251">
        <v>0</v>
      </c>
      <c r="EP251" t="s">
        <v>421</v>
      </c>
      <c r="EQ251" t="s">
        <v>422</v>
      </c>
      <c r="ER251">
        <v>2</v>
      </c>
      <c r="ES251">
        <v>4</v>
      </c>
      <c r="ET251">
        <v>2856.28</v>
      </c>
      <c r="EU251">
        <v>155.31</v>
      </c>
      <c r="EV251">
        <v>3011.59</v>
      </c>
      <c r="EW251" s="2">
        <v>43222</v>
      </c>
      <c r="EX251" s="1">
        <v>42879</v>
      </c>
      <c r="EY251">
        <v>2016</v>
      </c>
      <c r="EZ251">
        <v>1428.14</v>
      </c>
      <c r="FA251" t="s">
        <v>2977</v>
      </c>
      <c r="FB251">
        <v>0.25</v>
      </c>
      <c r="FC251" t="s">
        <v>424</v>
      </c>
      <c r="FD251" t="s">
        <v>454</v>
      </c>
      <c r="FF251">
        <v>12</v>
      </c>
      <c r="FG251">
        <v>2851116</v>
      </c>
      <c r="FH251" t="s">
        <v>480</v>
      </c>
      <c r="FJ251" s="1">
        <v>42879</v>
      </c>
      <c r="FK251">
        <v>2016</v>
      </c>
      <c r="FL251">
        <v>1428.14</v>
      </c>
      <c r="FM251" t="s">
        <v>2977</v>
      </c>
      <c r="FN251">
        <v>0.25</v>
      </c>
      <c r="FO251" t="s">
        <v>424</v>
      </c>
      <c r="FP251" t="s">
        <v>454</v>
      </c>
      <c r="FR251">
        <v>12</v>
      </c>
      <c r="FS251">
        <v>5768221</v>
      </c>
      <c r="FT251" t="s">
        <v>2978</v>
      </c>
      <c r="FV251" s="1">
        <v>42515</v>
      </c>
      <c r="FW251">
        <v>2015</v>
      </c>
      <c r="FX251">
        <v>1372.75</v>
      </c>
      <c r="FY251" t="s">
        <v>2979</v>
      </c>
      <c r="FZ251">
        <v>4.75</v>
      </c>
      <c r="GA251" t="s">
        <v>424</v>
      </c>
      <c r="GB251" t="s">
        <v>425</v>
      </c>
      <c r="GC251" s="1">
        <v>42543</v>
      </c>
      <c r="GD251">
        <v>1</v>
      </c>
      <c r="GE251">
        <v>2035919</v>
      </c>
      <c r="GF251" t="s">
        <v>507</v>
      </c>
      <c r="GH251" s="1">
        <v>42151</v>
      </c>
      <c r="GI251">
        <v>2014</v>
      </c>
      <c r="GJ251">
        <v>1198.56</v>
      </c>
      <c r="GK251" t="s">
        <v>2980</v>
      </c>
      <c r="GL251">
        <v>0.25</v>
      </c>
      <c r="GM251" t="s">
        <v>424</v>
      </c>
      <c r="GN251" t="s">
        <v>425</v>
      </c>
      <c r="GO251" s="1">
        <v>42543</v>
      </c>
      <c r="GP251">
        <v>13</v>
      </c>
      <c r="GQ251">
        <v>4975594</v>
      </c>
      <c r="GR251" t="s">
        <v>457</v>
      </c>
      <c r="GT251" s="1">
        <v>42151</v>
      </c>
      <c r="GU251">
        <v>2014</v>
      </c>
      <c r="GV251">
        <v>1198.56</v>
      </c>
      <c r="GW251" t="s">
        <v>2980</v>
      </c>
      <c r="GX251">
        <v>0.25</v>
      </c>
      <c r="GY251" t="s">
        <v>424</v>
      </c>
      <c r="GZ251" t="s">
        <v>425</v>
      </c>
      <c r="HB251">
        <v>22</v>
      </c>
      <c r="HC251">
        <v>6463955</v>
      </c>
      <c r="HD251" t="s">
        <v>2981</v>
      </c>
      <c r="HF251" s="1">
        <v>41787</v>
      </c>
      <c r="HG251">
        <v>2013</v>
      </c>
      <c r="HH251">
        <v>59.21</v>
      </c>
      <c r="HI251" t="s">
        <v>2982</v>
      </c>
      <c r="HJ251">
        <v>17.75</v>
      </c>
      <c r="HK251" t="s">
        <v>424</v>
      </c>
      <c r="HL251" t="s">
        <v>425</v>
      </c>
      <c r="HM251" s="1">
        <v>42543</v>
      </c>
      <c r="HN251">
        <v>25</v>
      </c>
      <c r="HO251">
        <v>116</v>
      </c>
      <c r="HP251" t="s">
        <v>509</v>
      </c>
    </row>
    <row r="252" spans="1:248" x14ac:dyDescent="0.25">
      <c r="A252">
        <v>16485259</v>
      </c>
      <c r="B252">
        <v>251</v>
      </c>
      <c r="C252" t="s">
        <v>393</v>
      </c>
      <c r="D252" t="s">
        <v>394</v>
      </c>
      <c r="F252" t="str">
        <f>"14-1N-24-2180-1191-0010"</f>
        <v>14-1N-24-2180-1191-0010</v>
      </c>
      <c r="H252" t="str">
        <f>"CHURCH KIM"</f>
        <v>CHURCH KIM</v>
      </c>
      <c r="I252" t="str">
        <f>"33350 CRIPPLE HORSE TRAIL"</f>
        <v>33350 CRIPPLE HORSE TRAIL</v>
      </c>
      <c r="J252" t="str">
        <f>"CALLAHAN FL 32011"</f>
        <v>CALLAHAN FL 32011</v>
      </c>
      <c r="K252" t="str">
        <f>"33350 CRIPPLE HORSE TRL"</f>
        <v>33350 CRIPPLE HORSE TRL</v>
      </c>
      <c r="L252" t="str">
        <f t="shared" si="73"/>
        <v>CALLAHAN FL 32011</v>
      </c>
      <c r="M252" t="str">
        <f>"PT LOT 1191 IN OR 2020/1630 TOWN OF CRAWFORD SUB"</f>
        <v>PT LOT 1191 IN OR 2020/1630 TOWN OF CRAWFORD SUB</v>
      </c>
      <c r="N252" t="str">
        <f>""</f>
        <v/>
      </c>
      <c r="O252" t="str">
        <f>"56155"</f>
        <v>56155</v>
      </c>
      <c r="P252" t="str">
        <f t="shared" si="61"/>
        <v>2017</v>
      </c>
      <c r="Q252" t="str">
        <f>""</f>
        <v/>
      </c>
      <c r="R252" t="str">
        <f t="shared" si="74"/>
        <v>N</v>
      </c>
      <c r="S252" t="str">
        <f>"4.57"</f>
        <v>4.57</v>
      </c>
      <c r="T252" t="str">
        <f>"2541.85"</f>
        <v>2541.85</v>
      </c>
      <c r="U252" t="str">
        <f>"166463.00"</f>
        <v>166463.00</v>
      </c>
      <c r="V252" t="str">
        <f>"166463.00"</f>
        <v>166463.00</v>
      </c>
      <c r="W252" t="str">
        <f t="shared" si="62"/>
        <v>2017</v>
      </c>
      <c r="X252" t="str">
        <f>""</f>
        <v/>
      </c>
      <c r="Y252" t="str">
        <f>"2650.11"</f>
        <v>2650.11</v>
      </c>
      <c r="Z252" t="str">
        <f>""</f>
        <v/>
      </c>
      <c r="AA252" t="str">
        <f>"169767.00"</f>
        <v>169767.00</v>
      </c>
      <c r="AB252" t="str">
        <f t="shared" si="77"/>
        <v>Residential</v>
      </c>
      <c r="AC252" t="str">
        <f t="shared" si="64"/>
        <v>0</v>
      </c>
      <c r="AD252" t="str">
        <f>"4"</f>
        <v>4</v>
      </c>
      <c r="AE252" t="str">
        <f>"WOOD (INCLUDE STEEL STUDS)"</f>
        <v>WOOD (INCLUDE STEEL STUDS)</v>
      </c>
      <c r="AF252" t="str">
        <f>"001"</f>
        <v>001</v>
      </c>
      <c r="AG252" t="str">
        <f t="shared" si="79"/>
        <v>FL</v>
      </c>
      <c r="AH252" t="str">
        <f>"199069.00"</f>
        <v>199069.00</v>
      </c>
      <c r="AI252" t="str">
        <f>"36560.00"</f>
        <v>36560.00</v>
      </c>
      <c r="AJ252" t="str">
        <f>"C55-001-080-4970-1"</f>
        <v>C55-001-080-4970-1</v>
      </c>
      <c r="AK252" t="str">
        <f>"3766"</f>
        <v>3766</v>
      </c>
      <c r="AL252">
        <v>1</v>
      </c>
      <c r="AM252">
        <v>289</v>
      </c>
      <c r="AN252">
        <v>2781.02</v>
      </c>
      <c r="AQ252" t="s">
        <v>2983</v>
      </c>
      <c r="AR252" t="s">
        <v>2983</v>
      </c>
      <c r="AS252" t="s">
        <v>2983</v>
      </c>
      <c r="AU252" t="s">
        <v>396</v>
      </c>
      <c r="AV252">
        <v>2017</v>
      </c>
      <c r="AW252" t="str">
        <f>"14-1N-24-2180-1191-0010 "</f>
        <v xml:space="preserve">14-1N-24-2180-1191-0010 </v>
      </c>
      <c r="AX252">
        <v>33350</v>
      </c>
      <c r="AZ252" t="s">
        <v>2984</v>
      </c>
      <c r="BA252" t="s">
        <v>2497</v>
      </c>
      <c r="BD252" t="s">
        <v>2785</v>
      </c>
      <c r="BE252" t="s">
        <v>393</v>
      </c>
      <c r="BF252">
        <v>32011</v>
      </c>
      <c r="BG252" t="s">
        <v>2985</v>
      </c>
      <c r="BH252" t="s">
        <v>2787</v>
      </c>
      <c r="BI252">
        <v>-81.870023509126995</v>
      </c>
      <c r="BJ252">
        <v>30.496017974720498</v>
      </c>
      <c r="BK252" t="s">
        <v>2986</v>
      </c>
      <c r="BM252" t="s">
        <v>2987</v>
      </c>
      <c r="BN252" t="s">
        <v>928</v>
      </c>
      <c r="BO252">
        <v>32011</v>
      </c>
      <c r="BP252" t="s">
        <v>416</v>
      </c>
      <c r="BQ252">
        <v>100</v>
      </c>
      <c r="BR252" t="s">
        <v>514</v>
      </c>
      <c r="BS252">
        <v>1001</v>
      </c>
      <c r="BT252" t="s">
        <v>515</v>
      </c>
      <c r="BW252">
        <v>199069</v>
      </c>
      <c r="BX252" t="s">
        <v>407</v>
      </c>
      <c r="BZ252">
        <v>4</v>
      </c>
      <c r="CA252">
        <v>2012</v>
      </c>
      <c r="CC252">
        <v>1</v>
      </c>
      <c r="CD252">
        <v>2017</v>
      </c>
      <c r="CE252">
        <v>36560</v>
      </c>
      <c r="CF252">
        <v>133207</v>
      </c>
      <c r="CG252">
        <v>169767</v>
      </c>
      <c r="CH252">
        <v>2017</v>
      </c>
      <c r="CI252">
        <v>36560</v>
      </c>
      <c r="CJ252">
        <v>133207</v>
      </c>
      <c r="CK252">
        <v>169767</v>
      </c>
      <c r="CL252">
        <v>2017</v>
      </c>
      <c r="CM252">
        <v>2541.85</v>
      </c>
      <c r="CN252" s="1">
        <v>42307</v>
      </c>
      <c r="CZ252" s="1">
        <v>42307</v>
      </c>
      <c r="DD252" t="s">
        <v>2785</v>
      </c>
      <c r="DG252">
        <v>14</v>
      </c>
      <c r="DL252">
        <v>50504</v>
      </c>
      <c r="DM252" t="s">
        <v>2896</v>
      </c>
      <c r="DO252" t="s">
        <v>2988</v>
      </c>
      <c r="DP252">
        <v>0</v>
      </c>
      <c r="DQ252">
        <v>0</v>
      </c>
      <c r="DR252" t="s">
        <v>411</v>
      </c>
    </row>
    <row r="253" spans="1:248" x14ac:dyDescent="0.25">
      <c r="A253">
        <v>16485260</v>
      </c>
      <c r="B253">
        <v>252</v>
      </c>
      <c r="C253" t="s">
        <v>393</v>
      </c>
      <c r="D253" t="s">
        <v>394</v>
      </c>
      <c r="F253" t="str">
        <f>"14-1N-24-2180-1191-0020"</f>
        <v>14-1N-24-2180-1191-0020</v>
      </c>
      <c r="H253" t="str">
        <f>"CHURCH JOSEPH R &amp; KIM"</f>
        <v>CHURCH JOSEPH R &amp; KIM</v>
      </c>
      <c r="I253" t="str">
        <f>"36100 SAGEBRUSH LANE"</f>
        <v>36100 SAGEBRUSH LANE</v>
      </c>
      <c r="J253" t="str">
        <f>"CALLAHAN FL 32011"</f>
        <v>CALLAHAN FL 32011</v>
      </c>
      <c r="K253" t="str">
        <f>"SAGEBRUSH LN"</f>
        <v>SAGEBRUSH LN</v>
      </c>
      <c r="L253" t="str">
        <f t="shared" si="73"/>
        <v>CALLAHAN FL 32011</v>
      </c>
      <c r="M253" t="str">
        <f>"PT LOT 1191 IN OR 1456/681 (EX OR 2020/1630 &amp;OR 2141/996) ESMT OR 1521/289 TOWN OF CRAWFORD SUB"</f>
        <v>PT LOT 1191 IN OR 1456/681 (EX OR 2020/1630 &amp;OR 2141/996) ESMT OR 1521/289 TOWN OF CRAWFORD SUB</v>
      </c>
      <c r="N253" t="str">
        <f>""</f>
        <v/>
      </c>
      <c r="O253" t="str">
        <f>"57176"</f>
        <v>57176</v>
      </c>
      <c r="P253" t="str">
        <f t="shared" si="61"/>
        <v>2017</v>
      </c>
      <c r="Q253" t="str">
        <f>""</f>
        <v/>
      </c>
      <c r="R253" t="str">
        <f t="shared" si="74"/>
        <v>N</v>
      </c>
      <c r="S253" t="str">
        <f>"0.25"</f>
        <v>0.25</v>
      </c>
      <c r="T253" t="str">
        <f>"56.77"</f>
        <v>56.77</v>
      </c>
      <c r="U253" t="str">
        <f>"3750.00"</f>
        <v>3750.00</v>
      </c>
      <c r="V253" t="str">
        <f>"3750.00"</f>
        <v>3750.00</v>
      </c>
      <c r="W253" t="str">
        <f t="shared" si="62"/>
        <v>2017</v>
      </c>
      <c r="X253" t="str">
        <f>""</f>
        <v/>
      </c>
      <c r="Y253" t="str">
        <f>"90.47"</f>
        <v>90.47</v>
      </c>
      <c r="Z253" t="str">
        <f>""</f>
        <v/>
      </c>
      <c r="AA253" t="str">
        <f>"3750.00"</f>
        <v>3750.00</v>
      </c>
      <c r="AB253" t="str">
        <f t="shared" si="77"/>
        <v>Residential</v>
      </c>
      <c r="AC253" t="str">
        <f t="shared" si="64"/>
        <v>0</v>
      </c>
      <c r="AD253" t="str">
        <f>""</f>
        <v/>
      </c>
      <c r="AE253" t="str">
        <f>""</f>
        <v/>
      </c>
      <c r="AF253" t="str">
        <f>"000"</f>
        <v>000</v>
      </c>
      <c r="AG253" t="str">
        <f t="shared" si="79"/>
        <v>FL</v>
      </c>
      <c r="AH253" t="str">
        <f>"10890.00"</f>
        <v>10890.00</v>
      </c>
      <c r="AI253" t="str">
        <f>"3750.00"</f>
        <v>3750.00</v>
      </c>
      <c r="AJ253" t="str">
        <f>"C55-001-099-3163-4"</f>
        <v>C55-001-099-3163-4</v>
      </c>
      <c r="AK253" t="str">
        <f>"3767"</f>
        <v>3767</v>
      </c>
      <c r="AL253">
        <v>1</v>
      </c>
      <c r="AM253">
        <v>290</v>
      </c>
      <c r="AN253">
        <v>93.39</v>
      </c>
      <c r="AQ253" t="s">
        <v>2989</v>
      </c>
      <c r="AR253" t="s">
        <v>2989</v>
      </c>
      <c r="AS253" t="s">
        <v>2989</v>
      </c>
      <c r="AU253" t="s">
        <v>396</v>
      </c>
      <c r="AV253">
        <v>2017</v>
      </c>
      <c r="AW253" t="str">
        <f>"14-1N-24-2180-1191-0020 "</f>
        <v xml:space="preserve">14-1N-24-2180-1191-0020 </v>
      </c>
      <c r="AZ253" t="s">
        <v>2990</v>
      </c>
      <c r="BA253" t="s">
        <v>653</v>
      </c>
      <c r="BD253" t="s">
        <v>2785</v>
      </c>
      <c r="BE253" t="s">
        <v>393</v>
      </c>
      <c r="BF253">
        <v>32011</v>
      </c>
      <c r="BG253" t="s">
        <v>2991</v>
      </c>
      <c r="BH253" t="s">
        <v>2787</v>
      </c>
      <c r="BK253" t="s">
        <v>2992</v>
      </c>
      <c r="BM253" t="s">
        <v>2993</v>
      </c>
      <c r="BN253" t="s">
        <v>928</v>
      </c>
      <c r="BO253">
        <v>32011</v>
      </c>
      <c r="BQ253">
        <v>0</v>
      </c>
      <c r="BR253" t="s">
        <v>491</v>
      </c>
      <c r="BS253">
        <v>8001</v>
      </c>
      <c r="BT253" t="s">
        <v>492</v>
      </c>
      <c r="BW253">
        <v>10890</v>
      </c>
      <c r="BX253" t="s">
        <v>407</v>
      </c>
      <c r="CD253">
        <v>2017</v>
      </c>
      <c r="CE253">
        <v>3750</v>
      </c>
      <c r="CG253">
        <v>3750</v>
      </c>
      <c r="CH253">
        <v>2017</v>
      </c>
      <c r="CI253">
        <v>3750</v>
      </c>
      <c r="CK253">
        <v>3750</v>
      </c>
      <c r="CL253">
        <v>2017</v>
      </c>
      <c r="CM253">
        <v>56.77</v>
      </c>
      <c r="DD253" t="s">
        <v>2785</v>
      </c>
      <c r="DM253" t="s">
        <v>2896</v>
      </c>
      <c r="DO253" t="s">
        <v>2994</v>
      </c>
    </row>
    <row r="254" spans="1:248" x14ac:dyDescent="0.25">
      <c r="A254">
        <v>16485261</v>
      </c>
      <c r="B254">
        <v>253</v>
      </c>
      <c r="C254" t="s">
        <v>393</v>
      </c>
      <c r="D254" t="s">
        <v>394</v>
      </c>
      <c r="F254" t="str">
        <f>"15-1N-24-2180-1229-0020"</f>
        <v>15-1N-24-2180-1229-0020</v>
      </c>
      <c r="H254" t="str">
        <f>"WELCH LESLEY JUNIOR EST"</f>
        <v>WELCH LESLEY JUNIOR EST</v>
      </c>
      <c r="I254" t="str">
        <f>"34477 WELCH ROAD"</f>
        <v>34477 WELCH ROAD</v>
      </c>
      <c r="J254" t="str">
        <f>"CALLAHAN FL 32011"</f>
        <v>CALLAHAN FL 32011</v>
      </c>
      <c r="K254" t="str">
        <f>"34477 WELCH RD"</f>
        <v>34477 WELCH RD</v>
      </c>
      <c r="L254" t="str">
        <f t="shared" si="73"/>
        <v>CALLAHAN FL 32011</v>
      </c>
      <c r="M254" t="str">
        <f>"S1/2 LOT 1229 PT OR 890/1197 TOWN OF CRAWFORD SEC 15-1N-24E"</f>
        <v>S1/2 LOT 1229 PT OR 890/1197 TOWN OF CRAWFORD SEC 15-1N-24E</v>
      </c>
      <c r="N254" t="str">
        <f>""</f>
        <v/>
      </c>
      <c r="O254" t="str">
        <f>"30435"</f>
        <v>30435</v>
      </c>
      <c r="P254" t="str">
        <f t="shared" si="61"/>
        <v>2017</v>
      </c>
      <c r="Q254" t="str">
        <f>""</f>
        <v/>
      </c>
      <c r="R254" t="str">
        <f t="shared" si="74"/>
        <v>N</v>
      </c>
      <c r="S254" t="str">
        <f>"4.70"</f>
        <v>4.70</v>
      </c>
      <c r="T254" t="str">
        <f>"592.76"</f>
        <v>592.76</v>
      </c>
      <c r="U254" t="str">
        <f>"39155.00"</f>
        <v>39155.00</v>
      </c>
      <c r="V254" t="str">
        <f>"39155.00"</f>
        <v>39155.00</v>
      </c>
      <c r="W254" t="str">
        <f t="shared" si="62"/>
        <v>2017</v>
      </c>
      <c r="X254" t="str">
        <f>""</f>
        <v/>
      </c>
      <c r="Y254" t="str">
        <f>"642.54"</f>
        <v>642.54</v>
      </c>
      <c r="Z254" t="str">
        <f>""</f>
        <v/>
      </c>
      <c r="AA254" t="str">
        <f>"39155.00"</f>
        <v>39155.00</v>
      </c>
      <c r="AB254" t="str">
        <f t="shared" si="77"/>
        <v>Residential</v>
      </c>
      <c r="AC254" t="str">
        <f t="shared" si="64"/>
        <v>0</v>
      </c>
      <c r="AD254" t="str">
        <f>"4"</f>
        <v>4</v>
      </c>
      <c r="AE254" t="str">
        <f>"WOOD (INCLUDE STEEL STUDS)"</f>
        <v>WOOD (INCLUDE STEEL STUDS)</v>
      </c>
      <c r="AF254" t="str">
        <f>"002"</f>
        <v>002</v>
      </c>
      <c r="AG254" t="str">
        <f t="shared" si="79"/>
        <v>FL</v>
      </c>
      <c r="AH254" t="str">
        <f>"204732.00"</f>
        <v>204732.00</v>
      </c>
      <c r="AI254" t="str">
        <f>"26320.00"</f>
        <v>26320.00</v>
      </c>
      <c r="AJ254" t="str">
        <f>"C55-000-587-0422-2"</f>
        <v>C55-000-587-0422-2</v>
      </c>
      <c r="AK254" t="str">
        <f>"3792"</f>
        <v>3792</v>
      </c>
      <c r="AL254">
        <v>1</v>
      </c>
      <c r="AM254">
        <v>291</v>
      </c>
      <c r="AN254">
        <v>673.07</v>
      </c>
      <c r="AQ254" t="s">
        <v>2995</v>
      </c>
      <c r="AR254" t="s">
        <v>2995</v>
      </c>
      <c r="AS254" t="s">
        <v>2995</v>
      </c>
      <c r="AU254" t="s">
        <v>396</v>
      </c>
      <c r="AV254">
        <v>2017</v>
      </c>
      <c r="AW254" t="str">
        <f>"15-1N-24-2180-1229-0020 "</f>
        <v xml:space="preserve">15-1N-24-2180-1229-0020 </v>
      </c>
      <c r="AX254">
        <v>34477</v>
      </c>
      <c r="AZ254" t="s">
        <v>2996</v>
      </c>
      <c r="BA254" t="s">
        <v>496</v>
      </c>
      <c r="BD254" t="s">
        <v>2785</v>
      </c>
      <c r="BE254" t="s">
        <v>393</v>
      </c>
      <c r="BF254">
        <v>32011</v>
      </c>
      <c r="BG254" t="s">
        <v>2997</v>
      </c>
      <c r="BH254" t="s">
        <v>2787</v>
      </c>
      <c r="BI254">
        <v>-81.899750175286897</v>
      </c>
      <c r="BJ254">
        <v>30.501939108869198</v>
      </c>
      <c r="BK254" t="s">
        <v>2998</v>
      </c>
      <c r="BM254" t="s">
        <v>2999</v>
      </c>
      <c r="BN254" t="s">
        <v>928</v>
      </c>
      <c r="BO254">
        <v>32011</v>
      </c>
      <c r="BP254" t="s">
        <v>416</v>
      </c>
      <c r="BQ254">
        <v>200</v>
      </c>
      <c r="BR254" t="s">
        <v>405</v>
      </c>
      <c r="BS254">
        <v>1006</v>
      </c>
      <c r="BT254" t="s">
        <v>406</v>
      </c>
      <c r="BW254">
        <v>204732</v>
      </c>
      <c r="BX254" t="s">
        <v>407</v>
      </c>
      <c r="BY254" t="s">
        <v>408</v>
      </c>
      <c r="BZ254">
        <v>4</v>
      </c>
      <c r="CA254">
        <v>1968</v>
      </c>
      <c r="CB254">
        <v>1</v>
      </c>
      <c r="CC254">
        <v>1</v>
      </c>
      <c r="CD254">
        <v>2017</v>
      </c>
      <c r="CE254">
        <v>26320</v>
      </c>
      <c r="CF254">
        <v>12835</v>
      </c>
      <c r="CG254">
        <v>39155</v>
      </c>
      <c r="CH254">
        <v>2017</v>
      </c>
      <c r="CI254">
        <v>26320</v>
      </c>
      <c r="CJ254">
        <v>12835</v>
      </c>
      <c r="CK254">
        <v>39155</v>
      </c>
      <c r="CL254">
        <v>2017</v>
      </c>
      <c r="CM254">
        <v>592.76</v>
      </c>
      <c r="CN254" s="1">
        <v>36353</v>
      </c>
      <c r="CO254">
        <v>20000</v>
      </c>
      <c r="CZ254" s="1">
        <v>36353</v>
      </c>
      <c r="DD254" t="s">
        <v>2785</v>
      </c>
      <c r="DF254">
        <v>1229</v>
      </c>
      <c r="DG254">
        <v>15</v>
      </c>
      <c r="DL254">
        <v>50504</v>
      </c>
      <c r="DM254" t="s">
        <v>3000</v>
      </c>
      <c r="DO254" t="s">
        <v>3001</v>
      </c>
      <c r="DP254">
        <v>0</v>
      </c>
      <c r="DQ254">
        <v>0</v>
      </c>
      <c r="DR254" t="s">
        <v>411</v>
      </c>
      <c r="EP254" t="s">
        <v>421</v>
      </c>
      <c r="EQ254" t="s">
        <v>422</v>
      </c>
      <c r="ER254">
        <v>2</v>
      </c>
      <c r="ES254">
        <v>0</v>
      </c>
      <c r="ET254">
        <v>1461.44</v>
      </c>
      <c r="EU254">
        <v>85.57</v>
      </c>
      <c r="EV254">
        <v>1547.01</v>
      </c>
      <c r="EW254" s="2">
        <v>43222</v>
      </c>
      <c r="EX254" s="1">
        <v>42879</v>
      </c>
      <c r="EY254">
        <v>2016</v>
      </c>
      <c r="EZ254">
        <v>730.72</v>
      </c>
      <c r="FA254" t="s">
        <v>3002</v>
      </c>
      <c r="FB254">
        <v>0.25</v>
      </c>
      <c r="FC254" t="s">
        <v>424</v>
      </c>
      <c r="FD254" t="s">
        <v>454</v>
      </c>
      <c r="FF254">
        <v>12</v>
      </c>
      <c r="FG254">
        <v>7400234</v>
      </c>
      <c r="FH254" t="s">
        <v>426</v>
      </c>
      <c r="FJ254" s="1">
        <v>42879</v>
      </c>
      <c r="FK254">
        <v>2016</v>
      </c>
      <c r="FL254">
        <v>730.72</v>
      </c>
      <c r="FM254" t="s">
        <v>3002</v>
      </c>
      <c r="FN254">
        <v>0.25</v>
      </c>
      <c r="FO254" t="s">
        <v>424</v>
      </c>
      <c r="FP254" t="s">
        <v>454</v>
      </c>
      <c r="FR254">
        <v>12</v>
      </c>
      <c r="FS254">
        <v>7455440</v>
      </c>
      <c r="FT254" t="s">
        <v>3003</v>
      </c>
    </row>
    <row r="255" spans="1:248" x14ac:dyDescent="0.25">
      <c r="A255">
        <v>16485262</v>
      </c>
      <c r="B255">
        <v>254</v>
      </c>
      <c r="C255" t="s">
        <v>393</v>
      </c>
      <c r="D255" t="s">
        <v>394</v>
      </c>
      <c r="F255" t="str">
        <f>"15-1N-24-2180-1235-0020"</f>
        <v>15-1N-24-2180-1235-0020</v>
      </c>
      <c r="H255" t="str">
        <f>"HIGGINBOTHAM CHARLES"</f>
        <v>HIGGINBOTHAM CHARLES</v>
      </c>
      <c r="I255" t="str">
        <f>"33414 WOODS LANE"</f>
        <v>33414 WOODS LANE</v>
      </c>
      <c r="J255" t="str">
        <f>"CALLAHAN FL 32011"</f>
        <v>CALLAHAN FL 32011</v>
      </c>
      <c r="K255" t="str">
        <f>"33414 WOODS LN"</f>
        <v>33414 WOODS LN</v>
      </c>
      <c r="L255" t="str">
        <f t="shared" si="73"/>
        <v>CALLAHAN FL 32011</v>
      </c>
      <c r="M255" t="str">
        <f>"PT OF LOT 1235 IN OR 1165/1600 &amp; S1/2 OF ABND R/W LYING N THEREOF IN BY RES 1989-50 TOWN OF CRAWFORD S/D IN SEC 15-1N-24E"</f>
        <v>PT OF LOT 1235 IN OR 1165/1600 &amp; S1/2 OF ABND R/W LYING N THEREOF IN BY RES 1989-50 TOWN OF CRAWFORD S/D IN SEC 15-1N-24E</v>
      </c>
      <c r="N255" t="str">
        <f>""</f>
        <v/>
      </c>
      <c r="O255" t="str">
        <f>"30442"</f>
        <v>30442</v>
      </c>
      <c r="P255" t="str">
        <f t="shared" si="61"/>
        <v>2017</v>
      </c>
      <c r="Q255" t="str">
        <f>""</f>
        <v/>
      </c>
      <c r="R255" t="str">
        <f>"Y"</f>
        <v>Y</v>
      </c>
      <c r="S255" t="str">
        <f>"2.50"</f>
        <v>2.50</v>
      </c>
      <c r="T255" t="str">
        <f>"458.31"</f>
        <v>458.31</v>
      </c>
      <c r="U255" t="str">
        <f>"62099.00"</f>
        <v>62099.00</v>
      </c>
      <c r="V255" t="str">
        <f>"62099.00"</f>
        <v>62099.00</v>
      </c>
      <c r="W255" t="str">
        <f t="shared" si="62"/>
        <v>2017</v>
      </c>
      <c r="X255" t="str">
        <f>"8.50"</f>
        <v>8.50</v>
      </c>
      <c r="Y255" t="str">
        <f>"504.06"</f>
        <v>504.06</v>
      </c>
      <c r="Z255" t="str">
        <f>"25000.00"</f>
        <v>25000.00</v>
      </c>
      <c r="AA255" t="str">
        <f>"37099.00"</f>
        <v>37099.00</v>
      </c>
      <c r="AB255" t="str">
        <f t="shared" si="77"/>
        <v>Residential</v>
      </c>
      <c r="AC255" t="str">
        <f t="shared" si="64"/>
        <v>0</v>
      </c>
      <c r="AD255" t="str">
        <f>"4"</f>
        <v>4</v>
      </c>
      <c r="AE255" t="str">
        <f>"WOOD (INCLUDE STEEL STUDS)"</f>
        <v>WOOD (INCLUDE STEEL STUDS)</v>
      </c>
      <c r="AF255" t="str">
        <f>"001"</f>
        <v>001</v>
      </c>
      <c r="AG255" t="str">
        <f t="shared" si="79"/>
        <v>FL</v>
      </c>
      <c r="AH255" t="str">
        <f>"108900.00"</f>
        <v>108900.00</v>
      </c>
      <c r="AI255" t="str">
        <f>"30000.00"</f>
        <v>30000.00</v>
      </c>
      <c r="AJ255" t="str">
        <f>"C55-000-588-9508-7"</f>
        <v>C55-000-588-9508-7</v>
      </c>
      <c r="AK255" t="str">
        <f>"3797"</f>
        <v>3797</v>
      </c>
      <c r="AL255">
        <v>1</v>
      </c>
      <c r="AM255">
        <v>292</v>
      </c>
      <c r="AN255">
        <v>527.66</v>
      </c>
      <c r="AQ255" t="s">
        <v>3004</v>
      </c>
      <c r="AR255" t="s">
        <v>3004</v>
      </c>
      <c r="AS255" t="s">
        <v>3004</v>
      </c>
      <c r="AU255" t="s">
        <v>396</v>
      </c>
      <c r="AV255">
        <v>2017</v>
      </c>
      <c r="AW255" t="str">
        <f>"15-1N-24-2180-1235-0020 "</f>
        <v xml:space="preserve">15-1N-24-2180-1235-0020 </v>
      </c>
      <c r="AX255">
        <v>33414</v>
      </c>
      <c r="AZ255" t="s">
        <v>2856</v>
      </c>
      <c r="BA255" t="s">
        <v>653</v>
      </c>
      <c r="BD255" t="s">
        <v>2785</v>
      </c>
      <c r="BE255" t="s">
        <v>393</v>
      </c>
      <c r="BF255">
        <v>32011</v>
      </c>
      <c r="BG255" t="s">
        <v>3005</v>
      </c>
      <c r="BH255" t="s">
        <v>2787</v>
      </c>
      <c r="BI255">
        <v>-81.889841895430905</v>
      </c>
      <c r="BJ255">
        <v>30.500601085076902</v>
      </c>
      <c r="BK255" t="s">
        <v>3006</v>
      </c>
      <c r="BM255" t="s">
        <v>3005</v>
      </c>
      <c r="BN255" t="s">
        <v>928</v>
      </c>
      <c r="BO255">
        <v>32011</v>
      </c>
      <c r="BP255" t="s">
        <v>416</v>
      </c>
      <c r="BQ255">
        <v>100</v>
      </c>
      <c r="BR255" t="s">
        <v>514</v>
      </c>
      <c r="BS255">
        <v>1001</v>
      </c>
      <c r="BT255" t="s">
        <v>515</v>
      </c>
      <c r="BW255">
        <v>108900</v>
      </c>
      <c r="BX255" t="s">
        <v>407</v>
      </c>
      <c r="BY255" t="s">
        <v>408</v>
      </c>
      <c r="BZ255">
        <v>4</v>
      </c>
      <c r="CA255">
        <v>1971</v>
      </c>
      <c r="CB255">
        <v>1</v>
      </c>
      <c r="CC255">
        <v>1</v>
      </c>
      <c r="CD255">
        <v>2017</v>
      </c>
      <c r="CG255">
        <v>62099</v>
      </c>
      <c r="CH255">
        <v>2017</v>
      </c>
      <c r="CI255">
        <v>30000</v>
      </c>
      <c r="CJ255">
        <v>40126</v>
      </c>
      <c r="CK255">
        <v>70126</v>
      </c>
      <c r="CL255">
        <v>2017</v>
      </c>
      <c r="CM255">
        <v>458.31</v>
      </c>
      <c r="CN255" s="1">
        <v>37859</v>
      </c>
      <c r="CO255">
        <v>30000</v>
      </c>
      <c r="CZ255" s="1">
        <v>37859</v>
      </c>
      <c r="DD255" t="s">
        <v>2785</v>
      </c>
      <c r="DF255">
        <v>1235</v>
      </c>
      <c r="DG255">
        <v>15</v>
      </c>
      <c r="DL255">
        <v>50504</v>
      </c>
      <c r="DM255" t="s">
        <v>3000</v>
      </c>
      <c r="DO255" t="s">
        <v>3007</v>
      </c>
      <c r="DP255">
        <v>0</v>
      </c>
      <c r="DQ255">
        <v>0</v>
      </c>
      <c r="DR255" t="s">
        <v>411</v>
      </c>
      <c r="DS255" t="b">
        <v>1</v>
      </c>
      <c r="DT255" t="s">
        <v>396</v>
      </c>
      <c r="DV255" t="s">
        <v>446</v>
      </c>
      <c r="DX255">
        <v>-9999</v>
      </c>
      <c r="DZ255" t="s">
        <v>447</v>
      </c>
      <c r="EA255" t="s">
        <v>448</v>
      </c>
      <c r="EB255" t="s">
        <v>3008</v>
      </c>
      <c r="EC255">
        <v>20101217</v>
      </c>
      <c r="ED255" t="s">
        <v>450</v>
      </c>
      <c r="EE255">
        <v>26.1</v>
      </c>
      <c r="EF255">
        <v>0</v>
      </c>
      <c r="EG255">
        <v>0</v>
      </c>
      <c r="EI255">
        <v>20160407</v>
      </c>
      <c r="EJ255">
        <v>0</v>
      </c>
      <c r="EK255">
        <v>0</v>
      </c>
      <c r="EP255" t="s">
        <v>421</v>
      </c>
      <c r="EQ255" t="s">
        <v>422</v>
      </c>
      <c r="ER255">
        <v>0</v>
      </c>
      <c r="ES255">
        <v>4</v>
      </c>
      <c r="ET255">
        <v>0</v>
      </c>
      <c r="EU255">
        <v>0</v>
      </c>
      <c r="EV255">
        <v>0</v>
      </c>
      <c r="EW255" s="2">
        <v>43222</v>
      </c>
      <c r="EX255" s="1">
        <v>42879</v>
      </c>
      <c r="EY255">
        <v>2016</v>
      </c>
      <c r="EZ255">
        <v>521.58000000000004</v>
      </c>
      <c r="FA255" t="s">
        <v>3009</v>
      </c>
      <c r="FB255">
        <v>0.25</v>
      </c>
      <c r="FC255" t="s">
        <v>424</v>
      </c>
      <c r="FD255" t="s">
        <v>425</v>
      </c>
      <c r="FE255" s="1">
        <v>43154</v>
      </c>
      <c r="FF255">
        <v>9</v>
      </c>
      <c r="FG255">
        <v>2851116</v>
      </c>
      <c r="FH255" t="s">
        <v>480</v>
      </c>
      <c r="FJ255" s="1">
        <v>42879</v>
      </c>
      <c r="FK255">
        <v>2016</v>
      </c>
      <c r="FL255">
        <v>521.58000000000004</v>
      </c>
      <c r="FM255" t="s">
        <v>3009</v>
      </c>
      <c r="FN255">
        <v>0.25</v>
      </c>
      <c r="FO255" t="s">
        <v>424</v>
      </c>
      <c r="FP255" t="s">
        <v>425</v>
      </c>
      <c r="FR255">
        <v>22</v>
      </c>
      <c r="FS255">
        <v>4941357</v>
      </c>
      <c r="FT255" t="s">
        <v>3010</v>
      </c>
      <c r="FV255" s="1">
        <v>42515</v>
      </c>
      <c r="FW255">
        <v>2015</v>
      </c>
      <c r="FX255">
        <v>527.59</v>
      </c>
      <c r="FY255" t="s">
        <v>3011</v>
      </c>
      <c r="FZ255">
        <v>0.25</v>
      </c>
      <c r="GA255" t="s">
        <v>424</v>
      </c>
      <c r="GB255" t="s">
        <v>425</v>
      </c>
      <c r="GC255" s="1">
        <v>42754</v>
      </c>
      <c r="GD255">
        <v>8</v>
      </c>
      <c r="GE255">
        <v>2851116</v>
      </c>
      <c r="GF255" t="s">
        <v>480</v>
      </c>
      <c r="GH255" s="1">
        <v>42515</v>
      </c>
      <c r="GI255">
        <v>2015</v>
      </c>
      <c r="GJ255">
        <v>527.59</v>
      </c>
      <c r="GK255" t="s">
        <v>3011</v>
      </c>
      <c r="GL255">
        <v>0.25</v>
      </c>
      <c r="GM255" t="s">
        <v>424</v>
      </c>
      <c r="GN255" t="s">
        <v>425</v>
      </c>
      <c r="GP255">
        <v>22</v>
      </c>
      <c r="GQ255">
        <v>4988891</v>
      </c>
      <c r="GR255" t="s">
        <v>3012</v>
      </c>
    </row>
    <row r="256" spans="1:248" x14ac:dyDescent="0.25">
      <c r="A256">
        <v>16485263</v>
      </c>
      <c r="B256">
        <v>255</v>
      </c>
      <c r="C256" t="s">
        <v>393</v>
      </c>
      <c r="D256" t="s">
        <v>394</v>
      </c>
      <c r="F256" t="str">
        <f>"16-1N-24-2090-0001-0000"</f>
        <v>16-1N-24-2090-0001-0000</v>
      </c>
      <c r="H256" t="str">
        <f>"HARRISON THOMAS J &amp; CARRIE A"</f>
        <v>HARRISON THOMAS J &amp; CARRIE A</v>
      </c>
      <c r="I256" t="str">
        <f>"PO BOX 50"</f>
        <v>PO BOX 50</v>
      </c>
      <c r="J256" t="str">
        <f>"CALLAHAN FL 32011"</f>
        <v>CALLAHAN FL 32011</v>
      </c>
      <c r="K256" t="str">
        <f>"33247 TUPELO LN"</f>
        <v>33247 TUPELO LN</v>
      </c>
      <c r="L256" t="str">
        <f t="shared" si="73"/>
        <v>CALLAHAN FL 32011</v>
      </c>
      <c r="M256" t="str">
        <f>"LOT 1 IN OR 1889/1627 TUPELO PLANTATION PB 7/206"</f>
        <v>LOT 1 IN OR 1889/1627 TUPELO PLANTATION PB 7/206</v>
      </c>
      <c r="N256" t="str">
        <f>""</f>
        <v/>
      </c>
      <c r="O256" t="str">
        <f>"30798"</f>
        <v>30798</v>
      </c>
      <c r="P256" t="str">
        <f t="shared" si="61"/>
        <v>2017</v>
      </c>
      <c r="Q256" t="str">
        <f>""</f>
        <v/>
      </c>
      <c r="R256" t="str">
        <f t="shared" ref="R256:R265" si="80">"N"</f>
        <v>N</v>
      </c>
      <c r="S256" t="str">
        <f>"8.90"</f>
        <v>8.90</v>
      </c>
      <c r="T256" t="str">
        <f>"802.51"</f>
        <v>802.51</v>
      </c>
      <c r="U256" t="str">
        <f>"53010.00"</f>
        <v>53010.00</v>
      </c>
      <c r="V256" t="str">
        <f>"53010.00"</f>
        <v>53010.00</v>
      </c>
      <c r="W256" t="str">
        <f t="shared" si="62"/>
        <v>2017</v>
      </c>
      <c r="X256" t="str">
        <f>"13.20"</f>
        <v>13.20</v>
      </c>
      <c r="Y256" t="str">
        <f>"858.59"</f>
        <v>858.59</v>
      </c>
      <c r="Z256" t="str">
        <f>""</f>
        <v/>
      </c>
      <c r="AA256" t="str">
        <f>"53010.00"</f>
        <v>53010.00</v>
      </c>
      <c r="AB256" t="str">
        <f t="shared" si="77"/>
        <v>Residential</v>
      </c>
      <c r="AC256" t="str">
        <f t="shared" si="64"/>
        <v>0</v>
      </c>
      <c r="AD256" t="str">
        <f>""</f>
        <v/>
      </c>
      <c r="AE256" t="str">
        <f>""</f>
        <v/>
      </c>
      <c r="AF256" t="str">
        <f t="shared" ref="AF256:AF264" si="81">"000"</f>
        <v>000</v>
      </c>
      <c r="AG256" t="str">
        <f t="shared" si="79"/>
        <v>FL</v>
      </c>
      <c r="AH256" t="str">
        <f>"387684.00"</f>
        <v>387684.00</v>
      </c>
      <c r="AI256" t="str">
        <f>"47610.00"</f>
        <v>47610.00</v>
      </c>
      <c r="AJ256" t="str">
        <f>"C55-000-988-1709-1"</f>
        <v>C55-000-988-1709-1</v>
      </c>
      <c r="AK256" t="str">
        <f>"3817"</f>
        <v>3817</v>
      </c>
      <c r="AL256">
        <v>1</v>
      </c>
      <c r="AM256">
        <v>293</v>
      </c>
      <c r="AN256">
        <v>899.92</v>
      </c>
      <c r="AQ256" t="s">
        <v>3013</v>
      </c>
      <c r="AR256" t="s">
        <v>3013</v>
      </c>
      <c r="AS256" t="s">
        <v>3013</v>
      </c>
      <c r="AU256" t="s">
        <v>396</v>
      </c>
      <c r="AV256">
        <v>2017</v>
      </c>
      <c r="AW256" t="str">
        <f>"16-1N-24-2090-0001-0000 "</f>
        <v xml:space="preserve">16-1N-24-2090-0001-0000 </v>
      </c>
      <c r="AX256">
        <v>33247</v>
      </c>
      <c r="AZ256" t="s">
        <v>3014</v>
      </c>
      <c r="BA256" t="s">
        <v>653</v>
      </c>
      <c r="BD256" t="s">
        <v>2785</v>
      </c>
      <c r="BE256" t="s">
        <v>393</v>
      </c>
      <c r="BF256">
        <v>32011</v>
      </c>
      <c r="BG256" t="s">
        <v>3015</v>
      </c>
      <c r="BH256" t="s">
        <v>2787</v>
      </c>
      <c r="BI256">
        <v>-81.898134971906302</v>
      </c>
      <c r="BJ256">
        <v>30.493465234602699</v>
      </c>
      <c r="BK256" t="s">
        <v>3016</v>
      </c>
      <c r="BL256" t="s">
        <v>3017</v>
      </c>
      <c r="BM256" t="s">
        <v>3018</v>
      </c>
      <c r="BN256" t="s">
        <v>928</v>
      </c>
      <c r="BO256">
        <v>32011</v>
      </c>
      <c r="BP256" t="s">
        <v>404</v>
      </c>
      <c r="BQ256">
        <v>1</v>
      </c>
      <c r="BR256" t="s">
        <v>491</v>
      </c>
      <c r="BS256">
        <v>8001</v>
      </c>
      <c r="BT256" t="s">
        <v>492</v>
      </c>
      <c r="BW256">
        <v>387684</v>
      </c>
      <c r="BX256" t="s">
        <v>407</v>
      </c>
      <c r="BY256" t="s">
        <v>3019</v>
      </c>
      <c r="CD256">
        <v>2017</v>
      </c>
      <c r="CE256">
        <v>47610</v>
      </c>
      <c r="CF256">
        <v>5400</v>
      </c>
      <c r="CG256">
        <v>53010</v>
      </c>
      <c r="CH256">
        <v>2017</v>
      </c>
      <c r="CI256">
        <v>47610</v>
      </c>
      <c r="CJ256">
        <v>5400</v>
      </c>
      <c r="CK256">
        <v>53010</v>
      </c>
      <c r="CL256">
        <v>2017</v>
      </c>
      <c r="CM256">
        <v>802.51</v>
      </c>
      <c r="CN256" s="1">
        <v>41597</v>
      </c>
      <c r="CO256">
        <v>55000</v>
      </c>
      <c r="CV256">
        <v>0</v>
      </c>
      <c r="CZ256" s="1">
        <v>41597</v>
      </c>
      <c r="DA256">
        <v>0</v>
      </c>
      <c r="DD256" t="s">
        <v>2785</v>
      </c>
      <c r="DF256">
        <v>1</v>
      </c>
      <c r="DG256">
        <v>16</v>
      </c>
      <c r="DJ256" t="s">
        <v>3020</v>
      </c>
      <c r="DL256">
        <v>50504</v>
      </c>
      <c r="DM256" t="s">
        <v>3021</v>
      </c>
      <c r="DO256" t="s">
        <v>3022</v>
      </c>
      <c r="DP256">
        <v>0</v>
      </c>
      <c r="DQ256">
        <v>0</v>
      </c>
      <c r="DR256" t="s">
        <v>411</v>
      </c>
      <c r="DS256" t="b">
        <v>1</v>
      </c>
      <c r="DT256" t="s">
        <v>470</v>
      </c>
      <c r="DU256" t="s">
        <v>471</v>
      </c>
      <c r="DV256" t="s">
        <v>472</v>
      </c>
      <c r="DX256">
        <v>-9999</v>
      </c>
      <c r="DZ256" t="s">
        <v>447</v>
      </c>
      <c r="EA256" t="s">
        <v>448</v>
      </c>
      <c r="EB256" t="s">
        <v>742</v>
      </c>
      <c r="EC256">
        <v>20101217</v>
      </c>
      <c r="ED256" t="s">
        <v>474</v>
      </c>
      <c r="EF256">
        <v>539.9</v>
      </c>
      <c r="EG256">
        <v>539.9</v>
      </c>
      <c r="EI256">
        <v>20160407</v>
      </c>
      <c r="EJ256">
        <v>0</v>
      </c>
      <c r="EK256">
        <v>0</v>
      </c>
      <c r="EP256" t="s">
        <v>421</v>
      </c>
      <c r="EQ256" t="s">
        <v>422</v>
      </c>
      <c r="ER256">
        <v>0</v>
      </c>
      <c r="ES256">
        <v>3</v>
      </c>
      <c r="ET256">
        <v>0</v>
      </c>
      <c r="EU256">
        <v>0</v>
      </c>
      <c r="EV256">
        <v>0</v>
      </c>
      <c r="EW256" s="2">
        <v>43222</v>
      </c>
      <c r="EX256" s="1">
        <v>42879</v>
      </c>
      <c r="EY256">
        <v>2016</v>
      </c>
      <c r="EZ256">
        <v>824.9</v>
      </c>
      <c r="FA256" t="s">
        <v>3023</v>
      </c>
      <c r="FB256">
        <v>4.75</v>
      </c>
      <c r="FC256" t="s">
        <v>424</v>
      </c>
      <c r="FD256" t="s">
        <v>425</v>
      </c>
      <c r="FE256" s="1">
        <v>43154</v>
      </c>
      <c r="FF256">
        <v>9</v>
      </c>
      <c r="FG256">
        <v>7336745</v>
      </c>
      <c r="FH256" t="s">
        <v>502</v>
      </c>
      <c r="FJ256" s="1">
        <v>42515</v>
      </c>
      <c r="FK256">
        <v>2015</v>
      </c>
      <c r="FL256">
        <v>820</v>
      </c>
      <c r="FM256" t="s">
        <v>3024</v>
      </c>
      <c r="FN256">
        <v>0.25</v>
      </c>
      <c r="FO256" t="s">
        <v>424</v>
      </c>
      <c r="FP256" t="s">
        <v>425</v>
      </c>
      <c r="FR256">
        <v>22</v>
      </c>
      <c r="FS256">
        <v>4854988</v>
      </c>
      <c r="FT256" t="s">
        <v>3025</v>
      </c>
      <c r="FV256" s="1">
        <v>42515</v>
      </c>
      <c r="FW256">
        <v>2015</v>
      </c>
      <c r="FX256">
        <v>820</v>
      </c>
      <c r="FY256" t="s">
        <v>3024</v>
      </c>
      <c r="FZ256">
        <v>0.25</v>
      </c>
      <c r="GA256" t="s">
        <v>424</v>
      </c>
      <c r="GB256" t="s">
        <v>425</v>
      </c>
      <c r="GC256" s="1">
        <v>43154</v>
      </c>
      <c r="GD256">
        <v>21</v>
      </c>
      <c r="GE256">
        <v>2851116</v>
      </c>
      <c r="GF256" t="s">
        <v>480</v>
      </c>
    </row>
    <row r="257" spans="1:236" x14ac:dyDescent="0.25">
      <c r="A257">
        <v>16485264</v>
      </c>
      <c r="B257">
        <v>256</v>
      </c>
      <c r="C257" t="s">
        <v>393</v>
      </c>
      <c r="D257" t="s">
        <v>394</v>
      </c>
      <c r="F257" t="str">
        <f>"16-1N-24-2090-0010-0000"</f>
        <v>16-1N-24-2090-0010-0000</v>
      </c>
      <c r="H257" t="str">
        <f>"DEMPSEY ROBERT T"</f>
        <v>DEMPSEY ROBERT T</v>
      </c>
      <c r="I257" t="str">
        <f>"4446 HENDRICKS AVE 227"</f>
        <v>4446 HENDRICKS AVE 227</v>
      </c>
      <c r="J257" t="str">
        <f>"JACKSONVILLE FL 32207"</f>
        <v>JACKSONVILLE FL 32207</v>
      </c>
      <c r="K257" t="str">
        <f>"WIREGRASS WAY"</f>
        <v>WIREGRASS WAY</v>
      </c>
      <c r="L257" t="str">
        <f t="shared" si="73"/>
        <v>CALLAHAN FL 32011</v>
      </c>
      <c r="M257" t="str">
        <f>"LOT 10 IN OR 1427/1666 TUPELO PLANTATION PB 7/206"</f>
        <v>LOT 10 IN OR 1427/1666 TUPELO PLANTATION PB 7/206</v>
      </c>
      <c r="N257" t="str">
        <f>""</f>
        <v/>
      </c>
      <c r="O257" t="str">
        <f>"30815"</f>
        <v>30815</v>
      </c>
      <c r="P257" t="str">
        <f t="shared" si="61"/>
        <v>2017</v>
      </c>
      <c r="Q257" t="str">
        <f>""</f>
        <v/>
      </c>
      <c r="R257" t="str">
        <f t="shared" si="80"/>
        <v>N</v>
      </c>
      <c r="S257" t="str">
        <f>"10.20"</f>
        <v>10.20</v>
      </c>
      <c r="T257" t="str">
        <f>"694.88"</f>
        <v>694.88</v>
      </c>
      <c r="U257" t="str">
        <f>"45900.00"</f>
        <v>45900.00</v>
      </c>
      <c r="V257" t="str">
        <f>"45900.00"</f>
        <v>45900.00</v>
      </c>
      <c r="W257" t="str">
        <f t="shared" si="62"/>
        <v>2017</v>
      </c>
      <c r="X257" t="str">
        <f>""</f>
        <v/>
      </c>
      <c r="Y257" t="str">
        <f>"747.73"</f>
        <v>747.73</v>
      </c>
      <c r="Z257" t="str">
        <f>""</f>
        <v/>
      </c>
      <c r="AA257" t="str">
        <f>"45900.00"</f>
        <v>45900.00</v>
      </c>
      <c r="AB257" t="str">
        <f t="shared" si="77"/>
        <v>Residential</v>
      </c>
      <c r="AC257" t="str">
        <f t="shared" si="64"/>
        <v>0</v>
      </c>
      <c r="AD257" t="str">
        <f>""</f>
        <v/>
      </c>
      <c r="AE257" t="str">
        <f>""</f>
        <v/>
      </c>
      <c r="AF257" t="str">
        <f t="shared" si="81"/>
        <v>000</v>
      </c>
      <c r="AG257" t="str">
        <f t="shared" si="79"/>
        <v>FL</v>
      </c>
      <c r="AH257" t="str">
        <f>"444312.00"</f>
        <v>444312.00</v>
      </c>
      <c r="AI257" t="str">
        <f>"45900.00"</f>
        <v>45900.00</v>
      </c>
      <c r="AJ257" t="str">
        <f>"C55-000-988-1719-0"</f>
        <v>C55-000-988-1719-0</v>
      </c>
      <c r="AK257" t="str">
        <f>"3826"</f>
        <v>3826</v>
      </c>
      <c r="AL257">
        <v>1</v>
      </c>
      <c r="AM257">
        <v>294</v>
      </c>
      <c r="AN257">
        <v>783.52</v>
      </c>
      <c r="AQ257" t="s">
        <v>3026</v>
      </c>
      <c r="AR257" t="s">
        <v>3026</v>
      </c>
      <c r="AS257" t="s">
        <v>3026</v>
      </c>
      <c r="AU257" t="s">
        <v>396</v>
      </c>
      <c r="AV257">
        <v>2017</v>
      </c>
      <c r="AW257" t="str">
        <f>"16-1N-24-2090-0010-0000 "</f>
        <v xml:space="preserve">16-1N-24-2090-0010-0000 </v>
      </c>
      <c r="AZ257" t="s">
        <v>3027</v>
      </c>
      <c r="BA257" t="s">
        <v>866</v>
      </c>
      <c r="BD257" t="s">
        <v>2785</v>
      </c>
      <c r="BE257" t="s">
        <v>393</v>
      </c>
      <c r="BF257">
        <v>32011</v>
      </c>
      <c r="BG257" t="s">
        <v>3028</v>
      </c>
      <c r="BH257" t="s">
        <v>2787</v>
      </c>
      <c r="BI257">
        <v>-81.915773757072898</v>
      </c>
      <c r="BJ257">
        <v>30.493540540205402</v>
      </c>
      <c r="BK257" t="s">
        <v>3029</v>
      </c>
      <c r="BM257" t="s">
        <v>3030</v>
      </c>
      <c r="BN257" t="s">
        <v>548</v>
      </c>
      <c r="BO257">
        <v>32207</v>
      </c>
      <c r="BP257" t="s">
        <v>404</v>
      </c>
      <c r="BQ257">
        <v>0</v>
      </c>
      <c r="BR257" t="s">
        <v>491</v>
      </c>
      <c r="BS257">
        <v>8001</v>
      </c>
      <c r="BT257" t="s">
        <v>492</v>
      </c>
      <c r="BW257">
        <v>444312</v>
      </c>
      <c r="BX257" t="s">
        <v>407</v>
      </c>
      <c r="BY257" t="s">
        <v>3019</v>
      </c>
      <c r="CD257">
        <v>2017</v>
      </c>
      <c r="CE257">
        <v>45900</v>
      </c>
      <c r="CG257">
        <v>45900</v>
      </c>
      <c r="CH257">
        <v>2017</v>
      </c>
      <c r="CI257">
        <v>45900</v>
      </c>
      <c r="CK257">
        <v>45900</v>
      </c>
      <c r="CL257">
        <v>2017</v>
      </c>
      <c r="CM257">
        <v>694.88</v>
      </c>
      <c r="CN257" s="1">
        <v>43033</v>
      </c>
      <c r="CO257">
        <v>62000</v>
      </c>
      <c r="CV257">
        <v>40000</v>
      </c>
      <c r="CX257" t="s">
        <v>3031</v>
      </c>
      <c r="CZ257" s="1">
        <v>43033</v>
      </c>
      <c r="DA257">
        <v>0</v>
      </c>
      <c r="DD257" t="s">
        <v>2785</v>
      </c>
      <c r="DF257">
        <v>10</v>
      </c>
      <c r="DG257">
        <v>16</v>
      </c>
      <c r="DJ257" t="s">
        <v>3020</v>
      </c>
      <c r="DL257">
        <v>50504</v>
      </c>
      <c r="DM257" t="s">
        <v>3021</v>
      </c>
      <c r="DO257" t="s">
        <v>3032</v>
      </c>
      <c r="DP257">
        <v>0</v>
      </c>
      <c r="DQ257">
        <v>0</v>
      </c>
      <c r="DR257" t="s">
        <v>411</v>
      </c>
      <c r="DS257" t="b">
        <v>1</v>
      </c>
      <c r="DT257" t="s">
        <v>470</v>
      </c>
      <c r="DU257" t="s">
        <v>471</v>
      </c>
      <c r="DV257" t="s">
        <v>472</v>
      </c>
      <c r="DX257">
        <v>-9999</v>
      </c>
      <c r="DZ257" t="s">
        <v>447</v>
      </c>
      <c r="EA257" t="s">
        <v>448</v>
      </c>
      <c r="EB257" t="s">
        <v>742</v>
      </c>
      <c r="EC257">
        <v>20101217</v>
      </c>
      <c r="ED257" t="s">
        <v>474</v>
      </c>
      <c r="EF257">
        <v>669.7</v>
      </c>
      <c r="EG257">
        <v>669.7</v>
      </c>
      <c r="EI257">
        <v>20160407</v>
      </c>
      <c r="EJ257">
        <v>0</v>
      </c>
      <c r="EK257">
        <v>0</v>
      </c>
    </row>
    <row r="258" spans="1:236" x14ac:dyDescent="0.25">
      <c r="A258">
        <v>16485265</v>
      </c>
      <c r="B258">
        <v>257</v>
      </c>
      <c r="C258" t="s">
        <v>393</v>
      </c>
      <c r="D258" t="s">
        <v>394</v>
      </c>
      <c r="F258" t="str">
        <f>"16-1N-24-2090-0013-0000"</f>
        <v>16-1N-24-2090-0013-0000</v>
      </c>
      <c r="H258" t="str">
        <f>"CONGER GARY DANIEL &amp; CONGER TIFFANY MICHELE M (H&amp;W)"</f>
        <v>CONGER GARY DANIEL &amp; CONGER TIFFANY MICHELE M (H&amp;W)</v>
      </c>
      <c r="I258" t="str">
        <f>"27258 W 1ST AVENUE"</f>
        <v>27258 W 1ST AVENUE</v>
      </c>
      <c r="J258" t="str">
        <f>"HILLIARD FL 32046"</f>
        <v>HILLIARD FL 32046</v>
      </c>
      <c r="K258" t="str">
        <f>"33348 HALF HITCH DR"</f>
        <v>33348 HALF HITCH DR</v>
      </c>
      <c r="L258" t="str">
        <f t="shared" si="73"/>
        <v>CALLAHAN FL 32011</v>
      </c>
      <c r="M258" t="str">
        <f>"LOT 13 IN OR 2092/915 TUPELO PLANTATION PB 7/206"</f>
        <v>LOT 13 IN OR 2092/915 TUPELO PLANTATION PB 7/206</v>
      </c>
      <c r="N258" t="str">
        <f>""</f>
        <v/>
      </c>
      <c r="O258" t="str">
        <f>"30818"</f>
        <v>30818</v>
      </c>
      <c r="P258" t="str">
        <f t="shared" ref="P258:P321" si="82">"2017"</f>
        <v>2017</v>
      </c>
      <c r="Q258" t="str">
        <f>""</f>
        <v/>
      </c>
      <c r="R258" t="str">
        <f t="shared" si="80"/>
        <v>N</v>
      </c>
      <c r="S258" t="str">
        <f>"10.30"</f>
        <v>10.30</v>
      </c>
      <c r="T258" t="str">
        <f>"645.83"</f>
        <v>645.83</v>
      </c>
      <c r="U258" t="str">
        <f>"42660.00"</f>
        <v>42660.00</v>
      </c>
      <c r="V258" t="str">
        <f>"42660.00"</f>
        <v>42660.00</v>
      </c>
      <c r="W258" t="str">
        <f t="shared" ref="W258:W321" si="83">"2017"</f>
        <v>2017</v>
      </c>
      <c r="X258" t="str">
        <f>""</f>
        <v/>
      </c>
      <c r="Y258" t="str">
        <f>"697.20"</f>
        <v>697.20</v>
      </c>
      <c r="Z258" t="str">
        <f>""</f>
        <v/>
      </c>
      <c r="AA258" t="str">
        <f>"42660.00"</f>
        <v>42660.00</v>
      </c>
      <c r="AB258" t="str">
        <f t="shared" si="77"/>
        <v>Residential</v>
      </c>
      <c r="AC258" t="str">
        <f t="shared" ref="AC258:AC321" si="84">"0"</f>
        <v>0</v>
      </c>
      <c r="AD258" t="str">
        <f>""</f>
        <v/>
      </c>
      <c r="AE258" t="str">
        <f>""</f>
        <v/>
      </c>
      <c r="AF258" t="str">
        <f t="shared" si="81"/>
        <v>000</v>
      </c>
      <c r="AG258" t="str">
        <f t="shared" si="79"/>
        <v>FL</v>
      </c>
      <c r="AH258" t="str">
        <f>"448668.00"</f>
        <v>448668.00</v>
      </c>
      <c r="AI258" t="str">
        <f>"42660.00"</f>
        <v>42660.00</v>
      </c>
      <c r="AJ258" t="str">
        <f>"C55-000-988-1722-4"</f>
        <v>C55-000-988-1722-4</v>
      </c>
      <c r="AK258" t="str">
        <f>"3829"</f>
        <v>3829</v>
      </c>
      <c r="AL258">
        <v>1</v>
      </c>
      <c r="AM258">
        <v>295</v>
      </c>
      <c r="AN258">
        <v>730.46</v>
      </c>
      <c r="AQ258" t="s">
        <v>3033</v>
      </c>
      <c r="AR258" t="s">
        <v>3033</v>
      </c>
      <c r="AS258" t="s">
        <v>3033</v>
      </c>
      <c r="AU258" t="s">
        <v>396</v>
      </c>
      <c r="AV258">
        <v>2017</v>
      </c>
      <c r="AW258" t="str">
        <f>"16-1N-24-2090-0013-0000 "</f>
        <v xml:space="preserve">16-1N-24-2090-0013-0000 </v>
      </c>
      <c r="AX258">
        <v>33348</v>
      </c>
      <c r="AZ258" t="s">
        <v>3034</v>
      </c>
      <c r="BA258" t="s">
        <v>669</v>
      </c>
      <c r="BD258" t="s">
        <v>2785</v>
      </c>
      <c r="BE258" t="s">
        <v>393</v>
      </c>
      <c r="BF258">
        <v>32011</v>
      </c>
      <c r="BG258" t="s">
        <v>3035</v>
      </c>
      <c r="BH258" t="s">
        <v>2787</v>
      </c>
      <c r="BI258">
        <v>-81.910823049613796</v>
      </c>
      <c r="BJ258">
        <v>30.494663704867399</v>
      </c>
      <c r="BK258" t="s">
        <v>3036</v>
      </c>
      <c r="BM258" t="s">
        <v>3037</v>
      </c>
      <c r="BN258" t="s">
        <v>403</v>
      </c>
      <c r="BO258">
        <v>32046</v>
      </c>
      <c r="BP258" t="s">
        <v>404</v>
      </c>
      <c r="BQ258">
        <v>0</v>
      </c>
      <c r="BR258" t="s">
        <v>491</v>
      </c>
      <c r="BS258">
        <v>8001</v>
      </c>
      <c r="BT258" t="s">
        <v>492</v>
      </c>
      <c r="BW258">
        <v>448668</v>
      </c>
      <c r="BX258" t="s">
        <v>407</v>
      </c>
      <c r="BY258" t="s">
        <v>3019</v>
      </c>
      <c r="CD258">
        <v>2017</v>
      </c>
      <c r="CE258">
        <v>42660</v>
      </c>
      <c r="CG258">
        <v>42660</v>
      </c>
      <c r="CH258">
        <v>2017</v>
      </c>
      <c r="CI258">
        <v>42660</v>
      </c>
      <c r="CK258">
        <v>42660</v>
      </c>
      <c r="CL258">
        <v>2017</v>
      </c>
      <c r="CM258">
        <v>645.83000000000004</v>
      </c>
      <c r="CN258" s="1">
        <v>43020</v>
      </c>
      <c r="CO258">
        <v>65000</v>
      </c>
      <c r="CV258">
        <v>52000</v>
      </c>
      <c r="CX258" t="s">
        <v>675</v>
      </c>
      <c r="CZ258" s="1">
        <v>43020</v>
      </c>
      <c r="DA258">
        <v>0</v>
      </c>
      <c r="DD258" t="s">
        <v>2785</v>
      </c>
      <c r="DF258">
        <v>13</v>
      </c>
      <c r="DG258">
        <v>16</v>
      </c>
      <c r="DJ258" t="s">
        <v>3020</v>
      </c>
      <c r="DL258">
        <v>50504</v>
      </c>
      <c r="DM258" t="s">
        <v>3021</v>
      </c>
      <c r="DO258" t="s">
        <v>3038</v>
      </c>
      <c r="DP258">
        <v>0</v>
      </c>
      <c r="DQ258">
        <v>0</v>
      </c>
      <c r="DR258" t="s">
        <v>411</v>
      </c>
    </row>
    <row r="259" spans="1:236" x14ac:dyDescent="0.25">
      <c r="A259">
        <v>16485266</v>
      </c>
      <c r="B259">
        <v>258</v>
      </c>
      <c r="C259" t="s">
        <v>393</v>
      </c>
      <c r="D259" t="s">
        <v>394</v>
      </c>
      <c r="F259" t="str">
        <f>"16-1N-24-2090-0020-0000"</f>
        <v>16-1N-24-2090-0020-0000</v>
      </c>
      <c r="H259" t="str">
        <f>"BAHRI NABIL &amp; SOHA"</f>
        <v>BAHRI NABIL &amp; SOHA</v>
      </c>
      <c r="I259" t="str">
        <f>"7433 TRAILS END"</f>
        <v>7433 TRAILS END</v>
      </c>
      <c r="J259" t="str">
        <f>"JACKSONVILLE FL 32277"</f>
        <v>JACKSONVILLE FL 32277</v>
      </c>
      <c r="K259" t="str">
        <f>"33250 WIREGRASS WAY"</f>
        <v>33250 WIREGRASS WAY</v>
      </c>
      <c r="L259" t="str">
        <f t="shared" si="73"/>
        <v>CALLAHAN FL 32011</v>
      </c>
      <c r="M259" t="str">
        <f>"LOT 20 IN OR 1891/1933 TUPELO PLANTATION PB 7/206"</f>
        <v>LOT 20 IN OR 1891/1933 TUPELO PLANTATION PB 7/206</v>
      </c>
      <c r="N259" t="str">
        <f>""</f>
        <v/>
      </c>
      <c r="O259" t="str">
        <f>"30825"</f>
        <v>30825</v>
      </c>
      <c r="P259" t="str">
        <f t="shared" si="82"/>
        <v>2017</v>
      </c>
      <c r="Q259" t="str">
        <f>""</f>
        <v/>
      </c>
      <c r="R259" t="str">
        <f t="shared" si="80"/>
        <v>N</v>
      </c>
      <c r="S259" t="str">
        <f>"11.50"</f>
        <v>11.50</v>
      </c>
      <c r="T259" t="str">
        <f>"694.88"</f>
        <v>694.88</v>
      </c>
      <c r="U259" t="str">
        <f>"45900.00"</f>
        <v>45900.00</v>
      </c>
      <c r="V259" t="str">
        <f>"45900.00"</f>
        <v>45900.00</v>
      </c>
      <c r="W259" t="str">
        <f t="shared" si="83"/>
        <v>2017</v>
      </c>
      <c r="X259" t="str">
        <f>"10.75"</f>
        <v>10.75</v>
      </c>
      <c r="Y259" t="str">
        <f>"747.73"</f>
        <v>747.73</v>
      </c>
      <c r="Z259" t="str">
        <f>""</f>
        <v/>
      </c>
      <c r="AA259" t="str">
        <f>"45900.00"</f>
        <v>45900.00</v>
      </c>
      <c r="AB259" t="str">
        <f t="shared" si="77"/>
        <v>Residential</v>
      </c>
      <c r="AC259" t="str">
        <f t="shared" si="84"/>
        <v>0</v>
      </c>
      <c r="AD259" t="str">
        <f>""</f>
        <v/>
      </c>
      <c r="AE259" t="str">
        <f>""</f>
        <v/>
      </c>
      <c r="AF259" t="str">
        <f t="shared" si="81"/>
        <v>000</v>
      </c>
      <c r="AG259" t="str">
        <f t="shared" si="79"/>
        <v>FL</v>
      </c>
      <c r="AH259" t="str">
        <f>"500940.00"</f>
        <v>500940.00</v>
      </c>
      <c r="AI259" t="str">
        <f>"45900.00"</f>
        <v>45900.00</v>
      </c>
      <c r="AJ259" t="str">
        <f>"C55-000-988-1729-9"</f>
        <v>C55-000-988-1729-9</v>
      </c>
      <c r="AK259" t="str">
        <f>"3836"</f>
        <v>3836</v>
      </c>
      <c r="AL259">
        <v>1</v>
      </c>
      <c r="AM259">
        <v>296</v>
      </c>
      <c r="AN259">
        <v>783.52</v>
      </c>
      <c r="AQ259" t="s">
        <v>3039</v>
      </c>
      <c r="AR259" t="s">
        <v>3039</v>
      </c>
      <c r="AS259" t="s">
        <v>3039</v>
      </c>
      <c r="AU259" t="s">
        <v>396</v>
      </c>
      <c r="AV259">
        <v>2017</v>
      </c>
      <c r="AW259" t="str">
        <f>"16-1N-24-2090-0020-0000 "</f>
        <v xml:space="preserve">16-1N-24-2090-0020-0000 </v>
      </c>
      <c r="AX259">
        <v>33250</v>
      </c>
      <c r="AZ259" t="s">
        <v>3027</v>
      </c>
      <c r="BA259" t="s">
        <v>866</v>
      </c>
      <c r="BD259" t="s">
        <v>2785</v>
      </c>
      <c r="BE259" t="s">
        <v>393</v>
      </c>
      <c r="BF259">
        <v>32011</v>
      </c>
      <c r="BG259" t="s">
        <v>3040</v>
      </c>
      <c r="BH259" t="s">
        <v>2787</v>
      </c>
      <c r="BI259">
        <v>-81.911598398090106</v>
      </c>
      <c r="BJ259">
        <v>30.503058113812401</v>
      </c>
      <c r="BK259" t="s">
        <v>3041</v>
      </c>
      <c r="BM259" t="s">
        <v>3042</v>
      </c>
      <c r="BN259" t="s">
        <v>548</v>
      </c>
      <c r="BO259">
        <v>32277</v>
      </c>
      <c r="BP259" t="s">
        <v>404</v>
      </c>
      <c r="BQ259">
        <v>0</v>
      </c>
      <c r="BR259" t="s">
        <v>491</v>
      </c>
      <c r="BS259">
        <v>8001</v>
      </c>
      <c r="BT259" t="s">
        <v>492</v>
      </c>
      <c r="BW259">
        <v>500940</v>
      </c>
      <c r="BX259" t="s">
        <v>407</v>
      </c>
      <c r="BY259" t="s">
        <v>3019</v>
      </c>
      <c r="CD259">
        <v>2017</v>
      </c>
      <c r="CE259">
        <v>45900</v>
      </c>
      <c r="CG259">
        <v>45900</v>
      </c>
      <c r="CH259">
        <v>2017</v>
      </c>
      <c r="CI259">
        <v>45900</v>
      </c>
      <c r="CK259">
        <v>45900</v>
      </c>
      <c r="CL259">
        <v>2017</v>
      </c>
      <c r="CM259">
        <v>694.88</v>
      </c>
      <c r="CN259" s="1">
        <v>41613</v>
      </c>
      <c r="CO259">
        <v>52155</v>
      </c>
      <c r="CV259">
        <v>0</v>
      </c>
      <c r="CZ259" s="1">
        <v>41613</v>
      </c>
      <c r="DA259">
        <v>0</v>
      </c>
      <c r="DD259" t="s">
        <v>2785</v>
      </c>
      <c r="DF259">
        <v>20</v>
      </c>
      <c r="DG259">
        <v>16</v>
      </c>
      <c r="DJ259" t="s">
        <v>3020</v>
      </c>
      <c r="DL259">
        <v>50504</v>
      </c>
      <c r="DM259" t="s">
        <v>3021</v>
      </c>
      <c r="DO259" t="s">
        <v>3043</v>
      </c>
      <c r="DP259">
        <v>0</v>
      </c>
      <c r="DQ259">
        <v>0</v>
      </c>
      <c r="DR259" t="s">
        <v>411</v>
      </c>
      <c r="DS259" t="b">
        <v>1</v>
      </c>
      <c r="DT259" t="s">
        <v>470</v>
      </c>
      <c r="DU259" t="s">
        <v>471</v>
      </c>
      <c r="DV259" t="s">
        <v>472</v>
      </c>
      <c r="DX259">
        <v>-9999</v>
      </c>
      <c r="DZ259" t="s">
        <v>447</v>
      </c>
      <c r="EA259" t="s">
        <v>448</v>
      </c>
      <c r="EB259" t="s">
        <v>742</v>
      </c>
      <c r="EC259">
        <v>20101217</v>
      </c>
      <c r="ED259" t="s">
        <v>474</v>
      </c>
      <c r="EF259">
        <v>269.3</v>
      </c>
      <c r="EG259">
        <v>269.3</v>
      </c>
      <c r="EI259">
        <v>20160407</v>
      </c>
      <c r="EJ259">
        <v>0</v>
      </c>
      <c r="EK259">
        <v>0</v>
      </c>
      <c r="EP259" t="s">
        <v>421</v>
      </c>
      <c r="EQ259" t="s">
        <v>422</v>
      </c>
      <c r="ER259">
        <v>0</v>
      </c>
      <c r="ES259">
        <v>4</v>
      </c>
      <c r="ET259">
        <v>0</v>
      </c>
      <c r="EU259">
        <v>0</v>
      </c>
      <c r="EV259">
        <v>0</v>
      </c>
      <c r="EW259" s="2">
        <v>43222</v>
      </c>
      <c r="EX259" s="1">
        <v>42879</v>
      </c>
      <c r="EY259">
        <v>2016</v>
      </c>
      <c r="EZ259">
        <v>833.02</v>
      </c>
      <c r="FA259" t="s">
        <v>3044</v>
      </c>
      <c r="FB259">
        <v>0.25</v>
      </c>
      <c r="FC259" t="s">
        <v>424</v>
      </c>
      <c r="FD259" t="s">
        <v>425</v>
      </c>
      <c r="FE259" s="1">
        <v>42900</v>
      </c>
      <c r="FF259">
        <v>1</v>
      </c>
      <c r="FG259">
        <v>7336745</v>
      </c>
      <c r="FH259" t="s">
        <v>502</v>
      </c>
      <c r="FJ259" s="1">
        <v>42515</v>
      </c>
      <c r="FK259">
        <v>2015</v>
      </c>
      <c r="FL259">
        <v>810.68</v>
      </c>
      <c r="FM259" t="s">
        <v>3045</v>
      </c>
      <c r="FN259">
        <v>0.25</v>
      </c>
      <c r="FO259" t="s">
        <v>424</v>
      </c>
      <c r="FP259" t="s">
        <v>425</v>
      </c>
      <c r="FQ259" s="1">
        <v>42900</v>
      </c>
      <c r="FR259">
        <v>13</v>
      </c>
      <c r="FS259">
        <v>305</v>
      </c>
      <c r="FT259" t="s">
        <v>1078</v>
      </c>
      <c r="FV259" s="1">
        <v>42151</v>
      </c>
      <c r="FW259">
        <v>2014</v>
      </c>
      <c r="FX259">
        <v>664.81</v>
      </c>
      <c r="FY259" t="s">
        <v>3046</v>
      </c>
      <c r="FZ259">
        <v>0.25</v>
      </c>
      <c r="GA259" t="s">
        <v>424</v>
      </c>
      <c r="GB259" t="s">
        <v>425</v>
      </c>
      <c r="GC259" s="1">
        <v>42900</v>
      </c>
      <c r="GD259">
        <v>25</v>
      </c>
      <c r="GE259">
        <v>2851116</v>
      </c>
      <c r="GF259" t="s">
        <v>480</v>
      </c>
      <c r="GH259" s="1">
        <v>42151</v>
      </c>
      <c r="GI259">
        <v>2014</v>
      </c>
      <c r="GJ259">
        <v>664.81</v>
      </c>
      <c r="GK259" t="s">
        <v>3046</v>
      </c>
      <c r="GL259">
        <v>0.25</v>
      </c>
      <c r="GM259" t="s">
        <v>424</v>
      </c>
      <c r="GN259" t="s">
        <v>425</v>
      </c>
      <c r="GP259">
        <v>22</v>
      </c>
      <c r="GQ259">
        <v>5343851</v>
      </c>
      <c r="GR259" t="s">
        <v>3047</v>
      </c>
    </row>
    <row r="260" spans="1:236" x14ac:dyDescent="0.25">
      <c r="A260">
        <v>16485267</v>
      </c>
      <c r="B260">
        <v>259</v>
      </c>
      <c r="C260" t="s">
        <v>393</v>
      </c>
      <c r="D260" t="s">
        <v>394</v>
      </c>
      <c r="F260" t="str">
        <f>"16-1N-24-2090-0038-0000"</f>
        <v>16-1N-24-2090-0038-0000</v>
      </c>
      <c r="H260" t="str">
        <f>"BLAISE JORDYNE &amp; BLAISE DUMARSAIS (JT/RS)"</f>
        <v>BLAISE JORDYNE &amp; BLAISE DUMARSAIS (JT/RS)</v>
      </c>
      <c r="I260" t="str">
        <f>"12350 NW 2ND ST"</f>
        <v>12350 NW 2ND ST</v>
      </c>
      <c r="J260" t="str">
        <f>"PLANTATION FL 33325"</f>
        <v>PLANTATION FL 33325</v>
      </c>
      <c r="K260" t="str">
        <f>"34978 STEEPLE CHASE WAY"</f>
        <v>34978 STEEPLE CHASE WAY</v>
      </c>
      <c r="L260" t="str">
        <f t="shared" si="73"/>
        <v>CALLAHAN FL 32011</v>
      </c>
      <c r="M260" t="str">
        <f>"LOT 38 IN OR 1907/14 TUPELO PLANTATION PB 7/206"</f>
        <v>LOT 38 IN OR 1907/14 TUPELO PLANTATION PB 7/206</v>
      </c>
      <c r="N260" t="str">
        <f>""</f>
        <v/>
      </c>
      <c r="O260" t="str">
        <f>"30843"</f>
        <v>30843</v>
      </c>
      <c r="P260" t="str">
        <f t="shared" si="82"/>
        <v>2017</v>
      </c>
      <c r="Q260" t="str">
        <f>""</f>
        <v/>
      </c>
      <c r="R260" t="str">
        <f t="shared" si="80"/>
        <v>N</v>
      </c>
      <c r="S260" t="str">
        <f>"13.20"</f>
        <v>13.20</v>
      </c>
      <c r="T260" t="str">
        <f>"591.33"</f>
        <v>591.33</v>
      </c>
      <c r="U260" t="str">
        <f>"39060.00"</f>
        <v>39060.00</v>
      </c>
      <c r="V260" t="str">
        <f>"39060.00"</f>
        <v>39060.00</v>
      </c>
      <c r="W260" t="str">
        <f t="shared" si="83"/>
        <v>2017</v>
      </c>
      <c r="X260" t="str">
        <f>"2.50"</f>
        <v>2.50</v>
      </c>
      <c r="Y260" t="str">
        <f>"641.07"</f>
        <v>641.07</v>
      </c>
      <c r="Z260" t="str">
        <f>""</f>
        <v/>
      </c>
      <c r="AA260" t="str">
        <f>"39060.00"</f>
        <v>39060.00</v>
      </c>
      <c r="AB260" t="str">
        <f t="shared" si="77"/>
        <v>Residential</v>
      </c>
      <c r="AC260" t="str">
        <f t="shared" si="84"/>
        <v>0</v>
      </c>
      <c r="AD260" t="str">
        <f>""</f>
        <v/>
      </c>
      <c r="AE260" t="str">
        <f>""</f>
        <v/>
      </c>
      <c r="AF260" t="str">
        <f t="shared" si="81"/>
        <v>000</v>
      </c>
      <c r="AG260" t="str">
        <f t="shared" si="79"/>
        <v>FL</v>
      </c>
      <c r="AH260" t="str">
        <f>"574992.00"</f>
        <v>574992.00</v>
      </c>
      <c r="AI260" t="str">
        <f>"39060.00"</f>
        <v>39060.00</v>
      </c>
      <c r="AJ260" t="str">
        <f>"C55-000-988-1747-1"</f>
        <v>C55-000-988-1747-1</v>
      </c>
      <c r="AK260" t="str">
        <f>"3854"</f>
        <v>3854</v>
      </c>
      <c r="AL260">
        <v>1</v>
      </c>
      <c r="AM260">
        <v>297</v>
      </c>
      <c r="AN260">
        <v>671.52</v>
      </c>
      <c r="AQ260" t="s">
        <v>3048</v>
      </c>
      <c r="AR260" t="s">
        <v>3048</v>
      </c>
      <c r="AS260" t="s">
        <v>3048</v>
      </c>
      <c r="AU260" t="s">
        <v>396</v>
      </c>
      <c r="AV260">
        <v>2017</v>
      </c>
      <c r="AW260" t="str">
        <f>"16-1N-24-2090-0038-0000 "</f>
        <v xml:space="preserve">16-1N-24-2090-0038-0000 </v>
      </c>
      <c r="AX260">
        <v>34978</v>
      </c>
      <c r="AZ260" t="s">
        <v>3049</v>
      </c>
      <c r="BA260" t="s">
        <v>866</v>
      </c>
      <c r="BD260" t="s">
        <v>2785</v>
      </c>
      <c r="BE260" t="s">
        <v>393</v>
      </c>
      <c r="BF260">
        <v>32011</v>
      </c>
      <c r="BG260" t="s">
        <v>3050</v>
      </c>
      <c r="BH260" t="s">
        <v>2787</v>
      </c>
      <c r="BI260">
        <v>-81.926400378769998</v>
      </c>
      <c r="BJ260">
        <v>30.507890906743899</v>
      </c>
      <c r="BK260" t="s">
        <v>3051</v>
      </c>
      <c r="BM260" t="s">
        <v>3052</v>
      </c>
      <c r="BN260" t="s">
        <v>2640</v>
      </c>
      <c r="BO260">
        <v>33325</v>
      </c>
      <c r="BP260" t="s">
        <v>404</v>
      </c>
      <c r="BQ260">
        <v>0</v>
      </c>
      <c r="BR260" t="s">
        <v>491</v>
      </c>
      <c r="BS260">
        <v>8001</v>
      </c>
      <c r="BT260" t="s">
        <v>492</v>
      </c>
      <c r="BW260">
        <v>574992</v>
      </c>
      <c r="BX260" t="s">
        <v>407</v>
      </c>
      <c r="BY260" t="s">
        <v>3019</v>
      </c>
      <c r="CD260">
        <v>2017</v>
      </c>
      <c r="CE260">
        <v>39060</v>
      </c>
      <c r="CG260">
        <v>39060</v>
      </c>
      <c r="CH260">
        <v>2017</v>
      </c>
      <c r="CI260">
        <v>39060</v>
      </c>
      <c r="CK260">
        <v>39060</v>
      </c>
      <c r="CL260">
        <v>2017</v>
      </c>
      <c r="CM260">
        <v>591.33000000000004</v>
      </c>
      <c r="CN260" s="1">
        <v>41711</v>
      </c>
      <c r="CO260">
        <v>49900</v>
      </c>
      <c r="CV260">
        <v>0</v>
      </c>
      <c r="CZ260" s="1">
        <v>41711</v>
      </c>
      <c r="DA260">
        <v>0</v>
      </c>
      <c r="DD260" t="s">
        <v>2785</v>
      </c>
      <c r="DF260">
        <v>38</v>
      </c>
      <c r="DG260">
        <v>16</v>
      </c>
      <c r="DJ260" t="s">
        <v>3020</v>
      </c>
      <c r="DL260">
        <v>50504</v>
      </c>
      <c r="DM260" t="s">
        <v>3021</v>
      </c>
      <c r="DO260" t="s">
        <v>3053</v>
      </c>
      <c r="DP260">
        <v>0</v>
      </c>
      <c r="DQ260">
        <v>0</v>
      </c>
      <c r="DR260" t="s">
        <v>411</v>
      </c>
      <c r="EP260" t="s">
        <v>421</v>
      </c>
      <c r="EQ260" t="s">
        <v>422</v>
      </c>
      <c r="ER260">
        <v>0</v>
      </c>
      <c r="ES260">
        <v>2</v>
      </c>
      <c r="ET260">
        <v>0</v>
      </c>
      <c r="EU260">
        <v>0</v>
      </c>
      <c r="EV260">
        <v>0</v>
      </c>
      <c r="EW260" s="2">
        <v>43222</v>
      </c>
      <c r="EX260" s="1">
        <v>42879</v>
      </c>
      <c r="EY260">
        <v>2016</v>
      </c>
      <c r="EZ260">
        <v>675.48</v>
      </c>
      <c r="FA260" t="s">
        <v>3054</v>
      </c>
      <c r="FB260">
        <v>0.25</v>
      </c>
      <c r="FC260" t="s">
        <v>424</v>
      </c>
      <c r="FD260" t="s">
        <v>425</v>
      </c>
      <c r="FE260" s="1">
        <v>42893</v>
      </c>
      <c r="FF260">
        <v>1</v>
      </c>
      <c r="FG260">
        <v>2851116</v>
      </c>
      <c r="FH260" t="s">
        <v>480</v>
      </c>
      <c r="FJ260" s="1">
        <v>42879</v>
      </c>
      <c r="FK260">
        <v>2016</v>
      </c>
      <c r="FL260">
        <v>675.48</v>
      </c>
      <c r="FM260" t="s">
        <v>3054</v>
      </c>
      <c r="FN260">
        <v>0.25</v>
      </c>
      <c r="FO260" t="s">
        <v>424</v>
      </c>
      <c r="FP260" t="s">
        <v>425</v>
      </c>
      <c r="FR260">
        <v>22</v>
      </c>
      <c r="FS260">
        <v>5756758</v>
      </c>
      <c r="FT260" t="s">
        <v>3055</v>
      </c>
    </row>
    <row r="261" spans="1:236" x14ac:dyDescent="0.25">
      <c r="A261">
        <v>16485268</v>
      </c>
      <c r="B261">
        <v>260</v>
      </c>
      <c r="C261" t="s">
        <v>393</v>
      </c>
      <c r="D261" t="s">
        <v>394</v>
      </c>
      <c r="F261" t="str">
        <f>"16-1N-24-2090-0071-0000"</f>
        <v>16-1N-24-2090-0071-0000</v>
      </c>
      <c r="H261" t="str">
        <f>"MCKENZIE JAY"</f>
        <v>MCKENZIE JAY</v>
      </c>
      <c r="I261" t="str">
        <f>"12583 SHALLOW BROOKE CIRCLE"</f>
        <v>12583 SHALLOW BROOKE CIRCLE</v>
      </c>
      <c r="J261" t="str">
        <f>"JACKSONVILLE FL 32225"</f>
        <v>JACKSONVILLE FL 32225</v>
      </c>
      <c r="K261" t="str">
        <f>"33250 TUPELO LN"</f>
        <v>33250 TUPELO LN</v>
      </c>
      <c r="L261" t="str">
        <f t="shared" si="73"/>
        <v>CALLAHAN FL 32011</v>
      </c>
      <c r="M261" t="str">
        <f>"LOT 71 IN OR 2144/244 TUPELO PLANTATION PB 7/206"</f>
        <v>LOT 71 IN OR 2144/244 TUPELO PLANTATION PB 7/206</v>
      </c>
      <c r="N261" t="str">
        <f>""</f>
        <v/>
      </c>
      <c r="O261" t="str">
        <f>"30876"</f>
        <v>30876</v>
      </c>
      <c r="P261" t="str">
        <f t="shared" si="82"/>
        <v>2017</v>
      </c>
      <c r="Q261" t="str">
        <f>""</f>
        <v/>
      </c>
      <c r="R261" t="str">
        <f t="shared" si="80"/>
        <v>N</v>
      </c>
      <c r="S261" t="str">
        <f>"9.90"</f>
        <v>9.90</v>
      </c>
      <c r="T261" t="str">
        <f>"686.70"</f>
        <v>686.70</v>
      </c>
      <c r="U261" t="str">
        <f>"45360.00"</f>
        <v>45360.00</v>
      </c>
      <c r="V261" t="str">
        <f>"45360.00"</f>
        <v>45360.00</v>
      </c>
      <c r="W261" t="str">
        <f t="shared" si="83"/>
        <v>2017</v>
      </c>
      <c r="X261" t="str">
        <f>"9.00"</f>
        <v>9.00</v>
      </c>
      <c r="Y261" t="str">
        <f>"739.30"</f>
        <v>739.30</v>
      </c>
      <c r="Z261" t="str">
        <f>""</f>
        <v/>
      </c>
      <c r="AA261" t="str">
        <f>"45360.00"</f>
        <v>45360.00</v>
      </c>
      <c r="AB261" t="str">
        <f t="shared" si="77"/>
        <v>Residential</v>
      </c>
      <c r="AC261" t="str">
        <f t="shared" si="84"/>
        <v>0</v>
      </c>
      <c r="AD261" t="str">
        <f>""</f>
        <v/>
      </c>
      <c r="AE261" t="str">
        <f>""</f>
        <v/>
      </c>
      <c r="AF261" t="str">
        <f t="shared" si="81"/>
        <v>000</v>
      </c>
      <c r="AG261" t="str">
        <f t="shared" si="79"/>
        <v>FL</v>
      </c>
      <c r="AH261" t="str">
        <f>"431244.00"</f>
        <v>431244.00</v>
      </c>
      <c r="AI261" t="str">
        <f>"45360.00"</f>
        <v>45360.00</v>
      </c>
      <c r="AJ261" t="str">
        <f>"C55-000-988-1780-2"</f>
        <v>C55-000-988-1780-2</v>
      </c>
      <c r="AK261" t="str">
        <f>"3887"</f>
        <v>3887</v>
      </c>
      <c r="AL261">
        <v>1</v>
      </c>
      <c r="AM261">
        <v>298</v>
      </c>
      <c r="AN261">
        <v>774.67</v>
      </c>
      <c r="AQ261" t="s">
        <v>3056</v>
      </c>
      <c r="AR261" t="s">
        <v>3056</v>
      </c>
      <c r="AS261" t="s">
        <v>3056</v>
      </c>
      <c r="AU261" t="s">
        <v>396</v>
      </c>
      <c r="AV261">
        <v>2017</v>
      </c>
      <c r="AW261" t="str">
        <f>"16-1N-24-2090-0071-0000 "</f>
        <v xml:space="preserve">16-1N-24-2090-0071-0000 </v>
      </c>
      <c r="AX261">
        <v>33250</v>
      </c>
      <c r="AZ261" t="s">
        <v>3014</v>
      </c>
      <c r="BA261" t="s">
        <v>653</v>
      </c>
      <c r="BD261" t="s">
        <v>2785</v>
      </c>
      <c r="BE261" t="s">
        <v>393</v>
      </c>
      <c r="BF261">
        <v>32011</v>
      </c>
      <c r="BG261" t="s">
        <v>3057</v>
      </c>
      <c r="BH261" t="s">
        <v>2787</v>
      </c>
      <c r="BI261">
        <v>-81.897281297655297</v>
      </c>
      <c r="BJ261">
        <v>30.491777744209401</v>
      </c>
      <c r="BK261" t="s">
        <v>3058</v>
      </c>
      <c r="BM261" t="s">
        <v>3059</v>
      </c>
      <c r="BN261" t="s">
        <v>548</v>
      </c>
      <c r="BO261">
        <v>32225</v>
      </c>
      <c r="BP261" t="s">
        <v>404</v>
      </c>
      <c r="BQ261">
        <v>0</v>
      </c>
      <c r="BR261" t="s">
        <v>491</v>
      </c>
      <c r="BS261">
        <v>8001</v>
      </c>
      <c r="BT261" t="s">
        <v>492</v>
      </c>
      <c r="BW261">
        <v>431244</v>
      </c>
      <c r="BX261" t="s">
        <v>407</v>
      </c>
      <c r="BY261" t="s">
        <v>3019</v>
      </c>
      <c r="CD261">
        <v>2017</v>
      </c>
      <c r="CE261">
        <v>45360</v>
      </c>
      <c r="CG261">
        <v>45360</v>
      </c>
      <c r="CH261">
        <v>2017</v>
      </c>
      <c r="CI261">
        <v>45360</v>
      </c>
      <c r="CK261">
        <v>45360</v>
      </c>
      <c r="CL261">
        <v>2017</v>
      </c>
      <c r="CM261">
        <v>686.7</v>
      </c>
      <c r="CN261" s="1">
        <v>42790</v>
      </c>
      <c r="CO261">
        <v>49900</v>
      </c>
      <c r="CV261">
        <v>44910</v>
      </c>
      <c r="CX261" t="s">
        <v>707</v>
      </c>
      <c r="CZ261" s="1">
        <v>42790</v>
      </c>
      <c r="DA261">
        <v>0</v>
      </c>
      <c r="DD261" t="s">
        <v>2785</v>
      </c>
      <c r="DF261">
        <v>71</v>
      </c>
      <c r="DG261">
        <v>16</v>
      </c>
      <c r="DJ261" t="s">
        <v>3020</v>
      </c>
      <c r="DL261">
        <v>50504</v>
      </c>
      <c r="DM261" t="s">
        <v>3021</v>
      </c>
      <c r="DO261" t="s">
        <v>3060</v>
      </c>
      <c r="DP261">
        <v>0</v>
      </c>
      <c r="DQ261">
        <v>0</v>
      </c>
      <c r="DR261" t="s">
        <v>411</v>
      </c>
    </row>
    <row r="262" spans="1:236" x14ac:dyDescent="0.25">
      <c r="A262">
        <v>16485269</v>
      </c>
      <c r="B262">
        <v>261</v>
      </c>
      <c r="C262" t="s">
        <v>393</v>
      </c>
      <c r="D262" t="s">
        <v>394</v>
      </c>
      <c r="F262" t="str">
        <f>"17-1N-24-2091-0003-0000"</f>
        <v>17-1N-24-2091-0003-0000</v>
      </c>
      <c r="H262" t="str">
        <f>"WOODARD CATHERINE P &amp; BOBBY W"</f>
        <v>WOODARD CATHERINE P &amp; BOBBY W</v>
      </c>
      <c r="I262" t="str">
        <f>"10070 CHESTERTON RD"</f>
        <v>10070 CHESTERTON RD</v>
      </c>
      <c r="J262" t="str">
        <f>"JACKSONVILLE FL 32246"</f>
        <v>JACKSONVILLE FL 32246</v>
      </c>
      <c r="K262" t="str">
        <f>"34507 MITIGATION TR"</f>
        <v>34507 MITIGATION TR</v>
      </c>
      <c r="L262" t="str">
        <f t="shared" ref="L262:L291" si="85">"CALLAHAN FL 32011"</f>
        <v>CALLAHAN FL 32011</v>
      </c>
      <c r="M262" t="str">
        <f>"LOT 3 IN OR 1899/500 TUPELO PLANTATION WEST PB 8/17"</f>
        <v>LOT 3 IN OR 1899/500 TUPELO PLANTATION WEST PB 8/17</v>
      </c>
      <c r="N262" t="str">
        <f>""</f>
        <v/>
      </c>
      <c r="O262" t="str">
        <f>"31735"</f>
        <v>31735</v>
      </c>
      <c r="P262" t="str">
        <f t="shared" si="82"/>
        <v>2017</v>
      </c>
      <c r="Q262" t="str">
        <f>""</f>
        <v/>
      </c>
      <c r="R262" t="str">
        <f t="shared" si="80"/>
        <v>N</v>
      </c>
      <c r="S262" t="str">
        <f>"6.20"</f>
        <v>6.20</v>
      </c>
      <c r="T262" t="str">
        <f>"319.51"</f>
        <v>319.51</v>
      </c>
      <c r="U262" t="str">
        <f>"21105.00"</f>
        <v>21105.00</v>
      </c>
      <c r="V262" t="str">
        <f>"21105.00"</f>
        <v>21105.00</v>
      </c>
      <c r="W262" t="str">
        <f t="shared" si="83"/>
        <v>2017</v>
      </c>
      <c r="X262" t="str">
        <f>""</f>
        <v/>
      </c>
      <c r="Y262" t="str">
        <f>"361.10"</f>
        <v>361.10</v>
      </c>
      <c r="Z262" t="str">
        <f>""</f>
        <v/>
      </c>
      <c r="AA262" t="str">
        <f>"21105.00"</f>
        <v>21105.00</v>
      </c>
      <c r="AB262" t="str">
        <f t="shared" si="77"/>
        <v>Residential</v>
      </c>
      <c r="AC262" t="str">
        <f t="shared" si="84"/>
        <v>0</v>
      </c>
      <c r="AD262" t="str">
        <f>""</f>
        <v/>
      </c>
      <c r="AE262" t="str">
        <f>""</f>
        <v/>
      </c>
      <c r="AF262" t="str">
        <f t="shared" si="81"/>
        <v>000</v>
      </c>
      <c r="AG262" t="str">
        <f t="shared" si="79"/>
        <v>FL</v>
      </c>
      <c r="AH262" t="str">
        <f>"270072.00"</f>
        <v>270072.00</v>
      </c>
      <c r="AI262" t="str">
        <f>"21105.00"</f>
        <v>21105.00</v>
      </c>
      <c r="AJ262" t="str">
        <f>"C55-001-028-2199-8"</f>
        <v>C55-001-028-2199-8</v>
      </c>
      <c r="AK262" t="str">
        <f>"3892"</f>
        <v>3892</v>
      </c>
      <c r="AL262">
        <v>1</v>
      </c>
      <c r="AM262">
        <v>299</v>
      </c>
      <c r="AN262">
        <v>377.56</v>
      </c>
      <c r="AQ262" t="s">
        <v>3061</v>
      </c>
      <c r="AR262" t="s">
        <v>3061</v>
      </c>
      <c r="AS262" t="s">
        <v>3061</v>
      </c>
      <c r="AU262" t="s">
        <v>396</v>
      </c>
      <c r="AV262">
        <v>2017</v>
      </c>
      <c r="AW262" t="str">
        <f>"17-1N-24-2091-0003-0000 "</f>
        <v xml:space="preserve">17-1N-24-2091-0003-0000 </v>
      </c>
      <c r="AX262">
        <v>34507</v>
      </c>
      <c r="AZ262" t="s">
        <v>3062</v>
      </c>
      <c r="BD262" t="s">
        <v>2785</v>
      </c>
      <c r="BE262" t="s">
        <v>393</v>
      </c>
      <c r="BF262">
        <v>32011</v>
      </c>
      <c r="BG262" t="s">
        <v>3063</v>
      </c>
      <c r="BH262" t="s">
        <v>2787</v>
      </c>
      <c r="BI262">
        <v>-81.927316045298497</v>
      </c>
      <c r="BJ262">
        <v>30.495152559236601</v>
      </c>
      <c r="BK262" t="s">
        <v>3064</v>
      </c>
      <c r="BL262" t="s">
        <v>3065</v>
      </c>
      <c r="BM262" t="s">
        <v>3066</v>
      </c>
      <c r="BN262" t="s">
        <v>548</v>
      </c>
      <c r="BO262">
        <v>32246</v>
      </c>
      <c r="BP262" t="s">
        <v>404</v>
      </c>
      <c r="BQ262">
        <v>0</v>
      </c>
      <c r="BR262" t="s">
        <v>491</v>
      </c>
      <c r="BS262">
        <v>8001</v>
      </c>
      <c r="BT262" t="s">
        <v>492</v>
      </c>
      <c r="BW262">
        <v>270072</v>
      </c>
      <c r="BX262" t="s">
        <v>407</v>
      </c>
      <c r="BY262" t="s">
        <v>3019</v>
      </c>
      <c r="CD262">
        <v>2017</v>
      </c>
      <c r="CE262">
        <v>21105</v>
      </c>
      <c r="CG262">
        <v>21105</v>
      </c>
      <c r="CH262">
        <v>2017</v>
      </c>
      <c r="CI262">
        <v>21105</v>
      </c>
      <c r="CK262">
        <v>21105</v>
      </c>
      <c r="CL262">
        <v>2017</v>
      </c>
      <c r="CM262">
        <v>319.51</v>
      </c>
      <c r="CN262" s="1">
        <v>41666</v>
      </c>
      <c r="CO262">
        <v>39900</v>
      </c>
      <c r="CV262">
        <v>0</v>
      </c>
      <c r="CZ262" s="1">
        <v>41666</v>
      </c>
      <c r="DA262">
        <v>0</v>
      </c>
      <c r="DD262" t="s">
        <v>2785</v>
      </c>
      <c r="DF262">
        <v>3</v>
      </c>
      <c r="DG262">
        <v>17</v>
      </c>
      <c r="DJ262" t="s">
        <v>3067</v>
      </c>
      <c r="DM262" t="s">
        <v>3068</v>
      </c>
      <c r="DO262" t="s">
        <v>3069</v>
      </c>
      <c r="DP262">
        <v>0</v>
      </c>
      <c r="DQ262">
        <v>0</v>
      </c>
      <c r="DR262" t="s">
        <v>411</v>
      </c>
    </row>
    <row r="263" spans="1:236" x14ac:dyDescent="0.25">
      <c r="A263">
        <v>16485270</v>
      </c>
      <c r="B263">
        <v>262</v>
      </c>
      <c r="C263" t="s">
        <v>393</v>
      </c>
      <c r="D263" t="s">
        <v>394</v>
      </c>
      <c r="F263" t="str">
        <f>"17-1N-24-2091-0005-0000"</f>
        <v>17-1N-24-2091-0005-0000</v>
      </c>
      <c r="H263" t="str">
        <f>"RAMIREZ KAREN"</f>
        <v>RAMIREZ KAREN</v>
      </c>
      <c r="I263" t="str">
        <f>"6500 NW 114 AVE APT 1038"</f>
        <v>6500 NW 114 AVE APT 1038</v>
      </c>
      <c r="J263" t="str">
        <f>"MIAMI FL 33178"</f>
        <v>MIAMI FL 33178</v>
      </c>
      <c r="K263" t="str">
        <f>"34483 MITIGATION TR"</f>
        <v>34483 MITIGATION TR</v>
      </c>
      <c r="L263" t="str">
        <f t="shared" si="85"/>
        <v>CALLAHAN FL 32011</v>
      </c>
      <c r="M263" t="str">
        <f>"LOT 5 IN OR 1899/1391 TUPELO PLANTATION WEST PB 8/17"</f>
        <v>LOT 5 IN OR 1899/1391 TUPELO PLANTATION WEST PB 8/17</v>
      </c>
      <c r="N263" t="str">
        <f>""</f>
        <v/>
      </c>
      <c r="O263" t="str">
        <f>"31737"</f>
        <v>31737</v>
      </c>
      <c r="P263" t="str">
        <f t="shared" si="82"/>
        <v>2017</v>
      </c>
      <c r="Q263" t="str">
        <f>""</f>
        <v/>
      </c>
      <c r="R263" t="str">
        <f t="shared" si="80"/>
        <v>N</v>
      </c>
      <c r="S263" t="str">
        <f>"4.34"</f>
        <v>4.34</v>
      </c>
      <c r="T263" t="str">
        <f>"500.58"</f>
        <v>500.58</v>
      </c>
      <c r="U263" t="str">
        <f>"33066.00"</f>
        <v>33066.00</v>
      </c>
      <c r="V263" t="str">
        <f>"33066.00"</f>
        <v>33066.00</v>
      </c>
      <c r="W263" t="str">
        <f t="shared" si="83"/>
        <v>2017</v>
      </c>
      <c r="X263" t="str">
        <f>"9.33"</f>
        <v>9.33</v>
      </c>
      <c r="Y263" t="str">
        <f>"547.60"</f>
        <v>547.60</v>
      </c>
      <c r="Z263" t="str">
        <f>""</f>
        <v/>
      </c>
      <c r="AA263" t="str">
        <f>"33066.00"</f>
        <v>33066.00</v>
      </c>
      <c r="AB263" t="str">
        <f t="shared" si="77"/>
        <v>Residential</v>
      </c>
      <c r="AC263" t="str">
        <f t="shared" si="84"/>
        <v>0</v>
      </c>
      <c r="AD263" t="str">
        <f>""</f>
        <v/>
      </c>
      <c r="AE263" t="str">
        <f>""</f>
        <v/>
      </c>
      <c r="AF263" t="str">
        <f t="shared" si="81"/>
        <v>000</v>
      </c>
      <c r="AG263" t="str">
        <f t="shared" si="79"/>
        <v>FL</v>
      </c>
      <c r="AH263" t="str">
        <f>"189050.00"</f>
        <v>189050.00</v>
      </c>
      <c r="AI263" t="str">
        <f>"33066.00"</f>
        <v>33066.00</v>
      </c>
      <c r="AJ263" t="str">
        <f>"C55-001-028-2201-2"</f>
        <v>C55-001-028-2201-2</v>
      </c>
      <c r="AK263" t="str">
        <f>"3894"</f>
        <v>3894</v>
      </c>
      <c r="AL263">
        <v>1</v>
      </c>
      <c r="AM263">
        <v>300</v>
      </c>
      <c r="AN263">
        <v>573.38</v>
      </c>
      <c r="AQ263" t="s">
        <v>3070</v>
      </c>
      <c r="AR263" t="s">
        <v>3070</v>
      </c>
      <c r="AS263" t="s">
        <v>3070</v>
      </c>
      <c r="AU263" t="s">
        <v>396</v>
      </c>
      <c r="AV263">
        <v>2017</v>
      </c>
      <c r="AW263" t="str">
        <f>"17-1N-24-2091-0005-0000 "</f>
        <v xml:space="preserve">17-1N-24-2091-0005-0000 </v>
      </c>
      <c r="AX263">
        <v>34483</v>
      </c>
      <c r="AZ263" t="s">
        <v>3062</v>
      </c>
      <c r="BD263" t="s">
        <v>2785</v>
      </c>
      <c r="BE263" t="s">
        <v>393</v>
      </c>
      <c r="BF263">
        <v>32011</v>
      </c>
      <c r="BG263" t="s">
        <v>3071</v>
      </c>
      <c r="BH263" t="s">
        <v>2787</v>
      </c>
      <c r="BI263">
        <v>-81.928715145745002</v>
      </c>
      <c r="BJ263">
        <v>30.495556216009899</v>
      </c>
      <c r="BK263" t="s">
        <v>3072</v>
      </c>
      <c r="BM263" t="s">
        <v>3073</v>
      </c>
      <c r="BN263" t="s">
        <v>3074</v>
      </c>
      <c r="BO263">
        <v>33178</v>
      </c>
      <c r="BP263" t="s">
        <v>404</v>
      </c>
      <c r="BQ263">
        <v>0</v>
      </c>
      <c r="BR263" t="s">
        <v>491</v>
      </c>
      <c r="BS263">
        <v>8001</v>
      </c>
      <c r="BT263" t="s">
        <v>492</v>
      </c>
      <c r="BW263">
        <v>189050</v>
      </c>
      <c r="BX263" t="s">
        <v>407</v>
      </c>
      <c r="BY263" t="s">
        <v>3019</v>
      </c>
      <c r="CD263">
        <v>2017</v>
      </c>
      <c r="CE263">
        <v>33066</v>
      </c>
      <c r="CG263">
        <v>33066</v>
      </c>
      <c r="CH263">
        <v>2017</v>
      </c>
      <c r="CI263">
        <v>33066</v>
      </c>
      <c r="CK263">
        <v>33066</v>
      </c>
      <c r="CL263">
        <v>2017</v>
      </c>
      <c r="CM263">
        <v>500.58</v>
      </c>
      <c r="CN263" s="1">
        <v>41668</v>
      </c>
      <c r="CO263">
        <v>42900</v>
      </c>
      <c r="CV263">
        <v>0</v>
      </c>
      <c r="CZ263" s="1">
        <v>41668</v>
      </c>
      <c r="DA263">
        <v>0</v>
      </c>
      <c r="DD263" t="s">
        <v>2785</v>
      </c>
      <c r="DF263">
        <v>5</v>
      </c>
      <c r="DG263">
        <v>17</v>
      </c>
      <c r="DJ263" t="s">
        <v>3020</v>
      </c>
      <c r="DL263">
        <v>50503</v>
      </c>
      <c r="DM263" t="s">
        <v>3068</v>
      </c>
      <c r="DO263" t="s">
        <v>3075</v>
      </c>
      <c r="DP263">
        <v>0</v>
      </c>
      <c r="DQ263">
        <v>0</v>
      </c>
      <c r="DR263" t="s">
        <v>411</v>
      </c>
      <c r="DS263" t="b">
        <v>1</v>
      </c>
      <c r="DT263" t="s">
        <v>470</v>
      </c>
      <c r="DU263" t="s">
        <v>471</v>
      </c>
      <c r="DV263" t="s">
        <v>472</v>
      </c>
      <c r="DX263">
        <v>-9999</v>
      </c>
      <c r="DZ263" t="s">
        <v>447</v>
      </c>
      <c r="EA263" t="s">
        <v>448</v>
      </c>
      <c r="EB263" t="s">
        <v>742</v>
      </c>
      <c r="EC263">
        <v>20101217</v>
      </c>
      <c r="ED263" t="s">
        <v>474</v>
      </c>
      <c r="EF263">
        <v>245.3</v>
      </c>
      <c r="EG263">
        <v>245.3</v>
      </c>
      <c r="EI263">
        <v>20160407</v>
      </c>
      <c r="EJ263">
        <v>0</v>
      </c>
      <c r="EK263">
        <v>0</v>
      </c>
      <c r="EP263" t="s">
        <v>421</v>
      </c>
      <c r="EQ263" t="s">
        <v>422</v>
      </c>
      <c r="ER263">
        <v>0</v>
      </c>
      <c r="ES263">
        <v>5</v>
      </c>
      <c r="ET263">
        <v>0</v>
      </c>
      <c r="EU263">
        <v>0</v>
      </c>
      <c r="EV263">
        <v>0</v>
      </c>
      <c r="EW263" s="2">
        <v>43222</v>
      </c>
      <c r="EX263" s="1">
        <v>42879</v>
      </c>
      <c r="EY263">
        <v>2016</v>
      </c>
      <c r="EZ263">
        <v>631.24</v>
      </c>
      <c r="FA263" t="s">
        <v>3076</v>
      </c>
      <c r="FB263">
        <v>0.25</v>
      </c>
      <c r="FC263" t="s">
        <v>424</v>
      </c>
      <c r="FD263" t="s">
        <v>425</v>
      </c>
      <c r="FE263" s="1">
        <v>43087</v>
      </c>
      <c r="FF263">
        <v>7</v>
      </c>
      <c r="FG263">
        <v>2851116</v>
      </c>
      <c r="FH263" t="s">
        <v>480</v>
      </c>
      <c r="FJ263" s="1">
        <v>42879</v>
      </c>
      <c r="FK263">
        <v>2016</v>
      </c>
      <c r="FL263">
        <v>631.24</v>
      </c>
      <c r="FM263" t="s">
        <v>3076</v>
      </c>
      <c r="FN263">
        <v>0.25</v>
      </c>
      <c r="FO263" t="s">
        <v>424</v>
      </c>
      <c r="FP263" t="s">
        <v>425</v>
      </c>
      <c r="FR263">
        <v>22</v>
      </c>
      <c r="FS263">
        <v>4933293</v>
      </c>
      <c r="FT263" t="s">
        <v>3077</v>
      </c>
      <c r="FV263" s="1">
        <v>42515</v>
      </c>
      <c r="FW263">
        <v>2015</v>
      </c>
      <c r="FX263">
        <v>640.91</v>
      </c>
      <c r="FY263" t="s">
        <v>3078</v>
      </c>
      <c r="FZ263">
        <v>0.25</v>
      </c>
      <c r="GA263" t="s">
        <v>424</v>
      </c>
      <c r="GB263" t="s">
        <v>425</v>
      </c>
      <c r="GC263" s="1">
        <v>42816</v>
      </c>
      <c r="GD263">
        <v>10</v>
      </c>
      <c r="GE263">
        <v>2851116</v>
      </c>
      <c r="GF263" t="s">
        <v>480</v>
      </c>
      <c r="GH263" s="1">
        <v>42515</v>
      </c>
      <c r="GI263">
        <v>2015</v>
      </c>
      <c r="GJ263">
        <v>640.91</v>
      </c>
      <c r="GK263" t="s">
        <v>3078</v>
      </c>
      <c r="GL263">
        <v>0.25</v>
      </c>
      <c r="GM263" t="s">
        <v>424</v>
      </c>
      <c r="GN263" t="s">
        <v>425</v>
      </c>
      <c r="GP263">
        <v>22</v>
      </c>
      <c r="GQ263">
        <v>5285641</v>
      </c>
      <c r="GR263" t="s">
        <v>3079</v>
      </c>
      <c r="GT263" s="1">
        <v>42151</v>
      </c>
      <c r="GU263">
        <v>2014</v>
      </c>
      <c r="GV263">
        <v>460.69</v>
      </c>
      <c r="GW263" t="s">
        <v>3080</v>
      </c>
      <c r="GX263">
        <v>4.75</v>
      </c>
      <c r="GY263" t="s">
        <v>424</v>
      </c>
      <c r="GZ263" t="s">
        <v>425</v>
      </c>
      <c r="HA263" s="1">
        <v>42471</v>
      </c>
      <c r="HB263">
        <v>11</v>
      </c>
      <c r="HC263">
        <v>115</v>
      </c>
      <c r="HD263" t="s">
        <v>478</v>
      </c>
    </row>
    <row r="264" spans="1:236" x14ac:dyDescent="0.25">
      <c r="A264">
        <v>16485271</v>
      </c>
      <c r="B264">
        <v>263</v>
      </c>
      <c r="C264" t="s">
        <v>393</v>
      </c>
      <c r="D264" t="s">
        <v>394</v>
      </c>
      <c r="F264" t="str">
        <f>"17-1N-24-2091-0025-0000"</f>
        <v>17-1N-24-2091-0025-0000</v>
      </c>
      <c r="H264" t="str">
        <f>"GRAY DANIEL J &amp; AMANDA K"</f>
        <v>GRAY DANIEL J &amp; AMANDA K</v>
      </c>
      <c r="I264" t="str">
        <f>"3866 WALSH ST"</f>
        <v>3866 WALSH ST</v>
      </c>
      <c r="J264" t="str">
        <f>"JACKSONVILLE FL 32205"</f>
        <v>JACKSONVILLE FL 32205</v>
      </c>
      <c r="K264" t="str">
        <f>"35030 HEARTHSTONE WAY"</f>
        <v>35030 HEARTHSTONE WAY</v>
      </c>
      <c r="L264" t="str">
        <f t="shared" si="85"/>
        <v>CALLAHAN FL 32011</v>
      </c>
      <c r="M264" t="str">
        <f>"LOT 25 IN OR 1908/34 TUPELO PLANTATION WEST PB 8/17"</f>
        <v>LOT 25 IN OR 1908/34 TUPELO PLANTATION WEST PB 8/17</v>
      </c>
      <c r="N264" t="str">
        <f>""</f>
        <v/>
      </c>
      <c r="O264" t="str">
        <f>"31759"</f>
        <v>31759</v>
      </c>
      <c r="P264" t="str">
        <f t="shared" si="82"/>
        <v>2017</v>
      </c>
      <c r="Q264" t="str">
        <f>""</f>
        <v/>
      </c>
      <c r="R264" t="str">
        <f t="shared" si="80"/>
        <v>N</v>
      </c>
      <c r="S264" t="str">
        <f>"3.56"</f>
        <v>3.56</v>
      </c>
      <c r="T264" t="str">
        <f>"485.06"</f>
        <v>485.06</v>
      </c>
      <c r="U264" t="str">
        <f>"32040.00"</f>
        <v>32040.00</v>
      </c>
      <c r="V264" t="str">
        <f>"32040.00"</f>
        <v>32040.00</v>
      </c>
      <c r="W264" t="str">
        <f t="shared" si="83"/>
        <v>2017</v>
      </c>
      <c r="X264" t="str">
        <f>"5.00"</f>
        <v>5.00</v>
      </c>
      <c r="Y264" t="str">
        <f>"531.61"</f>
        <v>531.61</v>
      </c>
      <c r="Z264" t="str">
        <f>""</f>
        <v/>
      </c>
      <c r="AA264" t="str">
        <f>"32040.00"</f>
        <v>32040.00</v>
      </c>
      <c r="AB264" t="str">
        <f t="shared" si="77"/>
        <v>Residential</v>
      </c>
      <c r="AC264" t="str">
        <f t="shared" si="84"/>
        <v>0</v>
      </c>
      <c r="AD264" t="str">
        <f>""</f>
        <v/>
      </c>
      <c r="AE264" t="str">
        <f>""</f>
        <v/>
      </c>
      <c r="AF264" t="str">
        <f t="shared" si="81"/>
        <v>000</v>
      </c>
      <c r="AG264" t="str">
        <f t="shared" si="79"/>
        <v>FL</v>
      </c>
      <c r="AH264" t="str">
        <f>"155073.00"</f>
        <v>155073.00</v>
      </c>
      <c r="AI264" t="str">
        <f>"32040.00"</f>
        <v>32040.00</v>
      </c>
      <c r="AJ264" t="str">
        <f>"C55-001-028-2221-0"</f>
        <v>C55-001-028-2221-0</v>
      </c>
      <c r="AK264" t="str">
        <f>"3914"</f>
        <v>3914</v>
      </c>
      <c r="AL264">
        <v>1</v>
      </c>
      <c r="AM264">
        <v>301</v>
      </c>
      <c r="AN264">
        <v>556.59</v>
      </c>
      <c r="AQ264" t="s">
        <v>3081</v>
      </c>
      <c r="AR264" t="s">
        <v>3081</v>
      </c>
      <c r="AS264" t="s">
        <v>3081</v>
      </c>
      <c r="AU264" t="s">
        <v>396</v>
      </c>
      <c r="AV264">
        <v>2017</v>
      </c>
      <c r="AW264" t="str">
        <f>"17-1N-24-2091-0025-0000 "</f>
        <v xml:space="preserve">17-1N-24-2091-0025-0000 </v>
      </c>
      <c r="AX264">
        <v>35030</v>
      </c>
      <c r="AZ264" t="s">
        <v>3082</v>
      </c>
      <c r="BA264" t="s">
        <v>866</v>
      </c>
      <c r="BD264" t="s">
        <v>2785</v>
      </c>
      <c r="BE264" t="s">
        <v>393</v>
      </c>
      <c r="BF264">
        <v>32011</v>
      </c>
      <c r="BG264" t="s">
        <v>3083</v>
      </c>
      <c r="BH264" t="s">
        <v>2787</v>
      </c>
      <c r="BI264">
        <v>-81.931716616448895</v>
      </c>
      <c r="BJ264">
        <v>30.4954798329182</v>
      </c>
      <c r="BK264" t="s">
        <v>3084</v>
      </c>
      <c r="BM264" t="s">
        <v>3085</v>
      </c>
      <c r="BN264" t="s">
        <v>548</v>
      </c>
      <c r="BO264">
        <v>32205</v>
      </c>
      <c r="BP264" t="s">
        <v>404</v>
      </c>
      <c r="BQ264">
        <v>0</v>
      </c>
      <c r="BR264" t="s">
        <v>491</v>
      </c>
      <c r="BS264">
        <v>8001</v>
      </c>
      <c r="BT264" t="s">
        <v>492</v>
      </c>
      <c r="BW264">
        <v>155073</v>
      </c>
      <c r="BX264" t="s">
        <v>407</v>
      </c>
      <c r="BY264" t="s">
        <v>3019</v>
      </c>
      <c r="CD264">
        <v>2017</v>
      </c>
      <c r="CE264">
        <v>32040</v>
      </c>
      <c r="CG264">
        <v>32040</v>
      </c>
      <c r="CH264">
        <v>2017</v>
      </c>
      <c r="CI264">
        <v>32040</v>
      </c>
      <c r="CK264">
        <v>32040</v>
      </c>
      <c r="CL264">
        <v>2017</v>
      </c>
      <c r="CM264">
        <v>485.06</v>
      </c>
      <c r="CN264" s="1">
        <v>41718</v>
      </c>
      <c r="CO264">
        <v>39900</v>
      </c>
      <c r="CV264">
        <v>28744</v>
      </c>
      <c r="CX264" t="s">
        <v>707</v>
      </c>
      <c r="CZ264" s="1">
        <v>41718</v>
      </c>
      <c r="DA264">
        <v>0</v>
      </c>
      <c r="DD264" t="s">
        <v>2785</v>
      </c>
      <c r="DF264">
        <v>25</v>
      </c>
      <c r="DG264">
        <v>17</v>
      </c>
      <c r="DJ264" t="s">
        <v>3067</v>
      </c>
      <c r="DL264">
        <v>50504</v>
      </c>
      <c r="DM264" t="s">
        <v>3068</v>
      </c>
      <c r="DO264" t="s">
        <v>3086</v>
      </c>
      <c r="DP264">
        <v>0</v>
      </c>
      <c r="DQ264">
        <v>0</v>
      </c>
      <c r="DR264" t="s">
        <v>411</v>
      </c>
      <c r="DS264" t="b">
        <v>1</v>
      </c>
      <c r="DT264" t="s">
        <v>470</v>
      </c>
      <c r="DU264" t="s">
        <v>471</v>
      </c>
      <c r="DV264" t="s">
        <v>472</v>
      </c>
      <c r="DX264">
        <v>-9999</v>
      </c>
      <c r="DZ264" t="s">
        <v>447</v>
      </c>
      <c r="EA264" t="s">
        <v>448</v>
      </c>
      <c r="EB264" t="s">
        <v>742</v>
      </c>
      <c r="EC264">
        <v>20101217</v>
      </c>
      <c r="ED264" t="s">
        <v>474</v>
      </c>
      <c r="EF264">
        <v>1100</v>
      </c>
      <c r="EG264">
        <v>1100</v>
      </c>
      <c r="EI264">
        <v>20160407</v>
      </c>
      <c r="EJ264">
        <v>0</v>
      </c>
      <c r="EK264">
        <v>0</v>
      </c>
      <c r="EP264" t="s">
        <v>421</v>
      </c>
      <c r="EQ264" t="s">
        <v>422</v>
      </c>
      <c r="ER264">
        <v>3</v>
      </c>
      <c r="ES264">
        <v>1</v>
      </c>
      <c r="ET264">
        <v>1692.66</v>
      </c>
      <c r="EU264">
        <v>103.38</v>
      </c>
      <c r="EV264">
        <v>1796.04</v>
      </c>
      <c r="EW264" s="2">
        <v>43222</v>
      </c>
      <c r="EX264" s="1">
        <v>42879</v>
      </c>
      <c r="EY264">
        <v>2016</v>
      </c>
      <c r="EZ264">
        <v>558.94000000000005</v>
      </c>
      <c r="FA264" t="s">
        <v>3087</v>
      </c>
      <c r="FB264">
        <v>4.75</v>
      </c>
      <c r="FC264" t="s">
        <v>424</v>
      </c>
      <c r="FD264" t="s">
        <v>454</v>
      </c>
      <c r="FF264">
        <v>12</v>
      </c>
      <c r="FG264">
        <v>7336745</v>
      </c>
      <c r="FH264" t="s">
        <v>502</v>
      </c>
      <c r="FJ264" s="1">
        <v>42515</v>
      </c>
      <c r="FK264">
        <v>2015</v>
      </c>
      <c r="FL264">
        <v>566.86</v>
      </c>
      <c r="FM264" t="s">
        <v>3088</v>
      </c>
      <c r="FN264">
        <v>0.25</v>
      </c>
      <c r="FO264" t="s">
        <v>424</v>
      </c>
      <c r="FP264" t="s">
        <v>454</v>
      </c>
      <c r="FR264">
        <v>24</v>
      </c>
      <c r="FS264">
        <v>2851116</v>
      </c>
      <c r="FT264" t="s">
        <v>480</v>
      </c>
      <c r="FV264" s="1">
        <v>42515</v>
      </c>
      <c r="FW264">
        <v>2015</v>
      </c>
      <c r="FX264">
        <v>566.86</v>
      </c>
      <c r="FY264" t="s">
        <v>3088</v>
      </c>
      <c r="FZ264">
        <v>0.25</v>
      </c>
      <c r="GA264" t="s">
        <v>424</v>
      </c>
      <c r="GB264" t="s">
        <v>454</v>
      </c>
      <c r="GD264">
        <v>24</v>
      </c>
      <c r="GE264">
        <v>5466508</v>
      </c>
      <c r="GF264" t="s">
        <v>3089</v>
      </c>
      <c r="GH264" s="1">
        <v>42151</v>
      </c>
      <c r="GI264">
        <v>2014</v>
      </c>
      <c r="GJ264">
        <v>455.52</v>
      </c>
      <c r="GK264" t="s">
        <v>3090</v>
      </c>
      <c r="GL264">
        <v>5.5</v>
      </c>
      <c r="GM264" t="s">
        <v>424</v>
      </c>
      <c r="GN264" t="s">
        <v>425</v>
      </c>
      <c r="GO264" s="1">
        <v>42297</v>
      </c>
      <c r="GP264">
        <v>5</v>
      </c>
      <c r="GQ264">
        <v>10125</v>
      </c>
      <c r="GR264" t="s">
        <v>440</v>
      </c>
    </row>
    <row r="265" spans="1:236" x14ac:dyDescent="0.25">
      <c r="A265">
        <v>16485272</v>
      </c>
      <c r="B265">
        <v>264</v>
      </c>
      <c r="C265" t="s">
        <v>393</v>
      </c>
      <c r="D265" t="s">
        <v>394</v>
      </c>
      <c r="F265" t="str">
        <f>"20-1N-24-0000-0002-0090"</f>
        <v>20-1N-24-0000-0002-0090</v>
      </c>
      <c r="H265" t="str">
        <f>"CONLEY DARRELL JR &amp; CRYSTAL"</f>
        <v>CONLEY DARRELL JR &amp; CRYSTAL</v>
      </c>
      <c r="I265" t="str">
        <f>"3458 BARBARA LN"</f>
        <v>3458 BARBARA LN</v>
      </c>
      <c r="J265" t="str">
        <f>"HILLIARD FL 32046"</f>
        <v>HILLIARD FL 32046</v>
      </c>
      <c r="K265" t="str">
        <f>"33354 CONLEY RD"</f>
        <v>33354 CONLEY RD</v>
      </c>
      <c r="L265" t="str">
        <f t="shared" si="85"/>
        <v>CALLAHAN FL 32011</v>
      </c>
      <c r="M265" t="str">
        <f>"IN OR 1140/1850"</f>
        <v>IN OR 1140/1850</v>
      </c>
      <c r="N265" t="str">
        <f>""</f>
        <v/>
      </c>
      <c r="O265" t="str">
        <f>"33073"</f>
        <v>33073</v>
      </c>
      <c r="P265" t="str">
        <f t="shared" si="82"/>
        <v>2017</v>
      </c>
      <c r="Q265" t="str">
        <f>""</f>
        <v/>
      </c>
      <c r="R265" t="str">
        <f t="shared" si="80"/>
        <v>N</v>
      </c>
      <c r="S265" t="str">
        <f>"5.00"</f>
        <v>5.00</v>
      </c>
      <c r="T265" t="str">
        <f>"994.25"</f>
        <v>994.25</v>
      </c>
      <c r="U265" t="str">
        <f>"65676.00"</f>
        <v>65676.00</v>
      </c>
      <c r="V265" t="str">
        <f>"65676.00"</f>
        <v>65676.00</v>
      </c>
      <c r="W265" t="str">
        <f t="shared" si="83"/>
        <v>2017</v>
      </c>
      <c r="X265" t="str">
        <f>"14.73"</f>
        <v>14.73</v>
      </c>
      <c r="Y265" t="str">
        <f>"1056.08"</f>
        <v>1056.08</v>
      </c>
      <c r="Z265" t="str">
        <f>""</f>
        <v/>
      </c>
      <c r="AA265" t="str">
        <f>"65676.00"</f>
        <v>65676.00</v>
      </c>
      <c r="AB265" t="str">
        <f t="shared" si="77"/>
        <v>Residential</v>
      </c>
      <c r="AC265" t="str">
        <f t="shared" si="84"/>
        <v>0</v>
      </c>
      <c r="AD265" t="str">
        <f>"4"</f>
        <v>4</v>
      </c>
      <c r="AE265" t="str">
        <f>"WOOD (INCLUDE STEEL STUDS)"</f>
        <v>WOOD (INCLUDE STEEL STUDS)</v>
      </c>
      <c r="AF265" t="str">
        <f>"002"</f>
        <v>002</v>
      </c>
      <c r="AG265" t="str">
        <f t="shared" si="79"/>
        <v>FL</v>
      </c>
      <c r="AH265" t="str">
        <f>"217800.00"</f>
        <v>217800.00</v>
      </c>
      <c r="AI265" t="str">
        <f>"40000.00"</f>
        <v>40000.00</v>
      </c>
      <c r="AJ265" t="str">
        <f>"C55-000-587-2508-6"</f>
        <v>C55-000-587-2508-6</v>
      </c>
      <c r="AK265" t="str">
        <f>"3934"</f>
        <v>3934</v>
      </c>
      <c r="AL265">
        <v>1</v>
      </c>
      <c r="AM265">
        <v>303</v>
      </c>
      <c r="AN265">
        <v>1107.28</v>
      </c>
      <c r="AQ265" t="s">
        <v>3091</v>
      </c>
      <c r="AR265" t="s">
        <v>3091</v>
      </c>
      <c r="AS265" t="s">
        <v>3091</v>
      </c>
      <c r="AU265" t="s">
        <v>396</v>
      </c>
      <c r="AV265">
        <v>2017</v>
      </c>
      <c r="AW265" t="str">
        <f>"20-1N-24-0000-0002-0090 "</f>
        <v xml:space="preserve">20-1N-24-0000-0002-0090 </v>
      </c>
      <c r="AX265">
        <v>33354</v>
      </c>
      <c r="AZ265" t="s">
        <v>3092</v>
      </c>
      <c r="BA265" t="s">
        <v>496</v>
      </c>
      <c r="BD265" t="s">
        <v>2785</v>
      </c>
      <c r="BE265" t="s">
        <v>393</v>
      </c>
      <c r="BF265">
        <v>32011</v>
      </c>
      <c r="BG265" t="s">
        <v>3093</v>
      </c>
      <c r="BH265" t="s">
        <v>2787</v>
      </c>
      <c r="BI265">
        <v>-81.925613596405</v>
      </c>
      <c r="BJ265">
        <v>30.4880633809899</v>
      </c>
      <c r="BK265" t="s">
        <v>3094</v>
      </c>
      <c r="BM265" t="s">
        <v>1672</v>
      </c>
      <c r="BN265" t="s">
        <v>403</v>
      </c>
      <c r="BO265">
        <v>32046</v>
      </c>
      <c r="BP265" t="s">
        <v>404</v>
      </c>
      <c r="BQ265">
        <v>200</v>
      </c>
      <c r="BR265" t="s">
        <v>405</v>
      </c>
      <c r="BS265">
        <v>1006</v>
      </c>
      <c r="BT265" t="s">
        <v>406</v>
      </c>
      <c r="BW265">
        <v>217800</v>
      </c>
      <c r="BX265" t="s">
        <v>407</v>
      </c>
      <c r="BZ265">
        <v>4</v>
      </c>
      <c r="CA265">
        <v>1995</v>
      </c>
      <c r="CC265">
        <v>1</v>
      </c>
      <c r="CD265">
        <v>2017</v>
      </c>
      <c r="CE265">
        <v>40000</v>
      </c>
      <c r="CF265">
        <v>25676</v>
      </c>
      <c r="CG265">
        <v>65676</v>
      </c>
      <c r="CH265">
        <v>2017</v>
      </c>
      <c r="CI265">
        <v>40000</v>
      </c>
      <c r="CJ265">
        <v>25676</v>
      </c>
      <c r="CK265">
        <v>65676</v>
      </c>
      <c r="CL265">
        <v>2017</v>
      </c>
      <c r="CM265">
        <v>994.25</v>
      </c>
      <c r="CN265" s="1">
        <v>37770</v>
      </c>
      <c r="CZ265" s="1">
        <v>37770</v>
      </c>
      <c r="DD265" t="s">
        <v>2785</v>
      </c>
      <c r="DG265">
        <v>20</v>
      </c>
      <c r="DL265">
        <v>50504</v>
      </c>
      <c r="DM265" t="s">
        <v>3095</v>
      </c>
      <c r="DO265" t="s">
        <v>3096</v>
      </c>
      <c r="DP265">
        <v>0</v>
      </c>
      <c r="DQ265">
        <v>0</v>
      </c>
      <c r="DR265" t="s">
        <v>411</v>
      </c>
      <c r="DS265" t="b">
        <v>1</v>
      </c>
      <c r="DT265" t="s">
        <v>470</v>
      </c>
      <c r="DU265" t="s">
        <v>471</v>
      </c>
      <c r="DV265" t="s">
        <v>472</v>
      </c>
      <c r="DX265">
        <v>-9999</v>
      </c>
      <c r="DZ265" t="s">
        <v>447</v>
      </c>
      <c r="EA265" t="s">
        <v>448</v>
      </c>
      <c r="EB265" t="s">
        <v>742</v>
      </c>
      <c r="EC265">
        <v>20101217</v>
      </c>
      <c r="ED265" t="s">
        <v>474</v>
      </c>
      <c r="EF265">
        <v>659.6</v>
      </c>
      <c r="EG265">
        <v>659.6</v>
      </c>
      <c r="EI265">
        <v>20160407</v>
      </c>
      <c r="EJ265">
        <v>0</v>
      </c>
      <c r="EK265">
        <v>0</v>
      </c>
      <c r="EP265" t="s">
        <v>421</v>
      </c>
      <c r="EQ265" t="s">
        <v>422</v>
      </c>
      <c r="ER265">
        <v>0</v>
      </c>
      <c r="ES265">
        <v>7</v>
      </c>
      <c r="ET265">
        <v>0</v>
      </c>
      <c r="EU265">
        <v>0</v>
      </c>
      <c r="EV265">
        <v>0</v>
      </c>
      <c r="EW265" s="2">
        <v>43222</v>
      </c>
      <c r="EX265" s="1">
        <v>42879</v>
      </c>
      <c r="EY265">
        <v>2016</v>
      </c>
      <c r="EZ265">
        <v>717.96</v>
      </c>
      <c r="FA265" t="s">
        <v>3097</v>
      </c>
      <c r="FB265">
        <v>4.75</v>
      </c>
      <c r="FC265" t="s">
        <v>424</v>
      </c>
      <c r="FD265" t="s">
        <v>425</v>
      </c>
      <c r="FE265" s="1">
        <v>43166</v>
      </c>
      <c r="FF265">
        <v>10</v>
      </c>
      <c r="FG265">
        <v>7336745</v>
      </c>
      <c r="FH265" t="s">
        <v>502</v>
      </c>
      <c r="FJ265" s="1">
        <v>42515</v>
      </c>
      <c r="FK265">
        <v>2015</v>
      </c>
      <c r="FL265">
        <v>727.83</v>
      </c>
      <c r="FM265" t="s">
        <v>3098</v>
      </c>
      <c r="FN265">
        <v>6.25</v>
      </c>
      <c r="FO265" t="s">
        <v>424</v>
      </c>
      <c r="FP265" t="s">
        <v>425</v>
      </c>
      <c r="FQ265" s="1">
        <v>42788</v>
      </c>
      <c r="FR265">
        <v>9</v>
      </c>
      <c r="FS265">
        <v>2035919</v>
      </c>
      <c r="FT265" t="s">
        <v>507</v>
      </c>
      <c r="FV265" s="1">
        <v>42151</v>
      </c>
      <c r="FW265">
        <v>2014</v>
      </c>
      <c r="FX265">
        <v>667.52</v>
      </c>
      <c r="FY265" t="s">
        <v>3099</v>
      </c>
      <c r="FZ265">
        <v>6.75</v>
      </c>
      <c r="GA265" t="s">
        <v>424</v>
      </c>
      <c r="GB265" t="s">
        <v>425</v>
      </c>
      <c r="GC265" s="1">
        <v>42788</v>
      </c>
      <c r="GD265">
        <v>21</v>
      </c>
      <c r="GE265">
        <v>10125</v>
      </c>
      <c r="GF265" t="s">
        <v>440</v>
      </c>
      <c r="GH265" s="1">
        <v>41787</v>
      </c>
      <c r="GI265">
        <v>2013</v>
      </c>
      <c r="GJ265">
        <v>575.4</v>
      </c>
      <c r="GK265" t="s">
        <v>3100</v>
      </c>
      <c r="GL265">
        <v>4.75</v>
      </c>
      <c r="GM265" t="s">
        <v>424</v>
      </c>
      <c r="GN265" t="s">
        <v>425</v>
      </c>
      <c r="GO265" s="1">
        <v>42412</v>
      </c>
      <c r="GP265">
        <v>21</v>
      </c>
      <c r="GQ265">
        <v>116</v>
      </c>
      <c r="GR265" t="s">
        <v>509</v>
      </c>
      <c r="GT265" s="1">
        <v>41423</v>
      </c>
      <c r="GU265">
        <v>2012</v>
      </c>
      <c r="GV265">
        <v>562.29999999999995</v>
      </c>
      <c r="GW265" t="s">
        <v>3101</v>
      </c>
      <c r="GX265">
        <v>4.5</v>
      </c>
      <c r="GY265" t="s">
        <v>424</v>
      </c>
      <c r="GZ265" t="s">
        <v>425</v>
      </c>
      <c r="HA265" s="1">
        <v>41688</v>
      </c>
      <c r="HB265">
        <v>9</v>
      </c>
      <c r="HC265">
        <v>116</v>
      </c>
      <c r="HD265" t="s">
        <v>509</v>
      </c>
      <c r="HF265" s="1">
        <v>41052</v>
      </c>
      <c r="HG265">
        <v>2011</v>
      </c>
      <c r="HH265">
        <v>647.54</v>
      </c>
      <c r="HI265" t="s">
        <v>3102</v>
      </c>
      <c r="HJ265">
        <v>6</v>
      </c>
      <c r="HK265" t="s">
        <v>424</v>
      </c>
      <c r="HL265" t="s">
        <v>425</v>
      </c>
      <c r="HM265" s="1">
        <v>41688</v>
      </c>
      <c r="HN265">
        <v>21</v>
      </c>
      <c r="HO265">
        <v>10125</v>
      </c>
      <c r="HP265" t="s">
        <v>440</v>
      </c>
      <c r="HR265" s="1">
        <v>40688</v>
      </c>
      <c r="HS265">
        <v>2010</v>
      </c>
      <c r="HT265">
        <v>713.3</v>
      </c>
      <c r="HU265" t="s">
        <v>3103</v>
      </c>
      <c r="HV265">
        <v>10</v>
      </c>
      <c r="HW265" t="s">
        <v>424</v>
      </c>
      <c r="HX265" t="s">
        <v>425</v>
      </c>
      <c r="HY265" s="1">
        <v>41330</v>
      </c>
      <c r="HZ265">
        <v>21</v>
      </c>
      <c r="IA265">
        <v>11135</v>
      </c>
      <c r="IB265" t="s">
        <v>1137</v>
      </c>
    </row>
    <row r="266" spans="1:236" x14ac:dyDescent="0.25">
      <c r="A266">
        <v>16485273</v>
      </c>
      <c r="B266">
        <v>265</v>
      </c>
      <c r="C266" t="s">
        <v>393</v>
      </c>
      <c r="D266" t="s">
        <v>394</v>
      </c>
      <c r="F266" t="str">
        <f>"23-1N-24-2180-1270-0010"</f>
        <v>23-1N-24-2180-1270-0010</v>
      </c>
      <c r="H266" t="str">
        <f>"LIGHTSEY LARRY L"</f>
        <v>LIGHTSEY LARRY L</v>
      </c>
      <c r="I266" t="str">
        <f>"33480 RATTLESNAKE TRAIL"</f>
        <v>33480 RATTLESNAKE TRAIL</v>
      </c>
      <c r="J266" t="str">
        <f>"CALLAHAN FL 32011"</f>
        <v>CALLAHAN FL 32011</v>
      </c>
      <c r="K266" t="str">
        <f>"33480 RATTLESNAKE TRL"</f>
        <v>33480 RATTLESNAKE TRL</v>
      </c>
      <c r="L266" t="str">
        <f t="shared" si="85"/>
        <v>CALLAHAN FL 32011</v>
      </c>
      <c r="M266" t="str">
        <f>"N1/2 OF N1/2 OF LOT 1270 IN OR 309 PG 581 2008 JACB DW/MH ESMT OR 1893/1852 TOWN OF CRAWFORD"</f>
        <v>N1/2 OF N1/2 OF LOT 1270 IN OR 309 PG 581 2008 JACB DW/MH ESMT OR 1893/1852 TOWN OF CRAWFORD</v>
      </c>
      <c r="N266" t="str">
        <f>""</f>
        <v/>
      </c>
      <c r="O266" t="str">
        <f>"33939"</f>
        <v>33939</v>
      </c>
      <c r="P266" t="str">
        <f t="shared" si="82"/>
        <v>2017</v>
      </c>
      <c r="Q266" t="str">
        <f>""</f>
        <v/>
      </c>
      <c r="R266" t="str">
        <f>"Y"</f>
        <v>Y</v>
      </c>
      <c r="S266" t="str">
        <f>"2.50"</f>
        <v>2.50</v>
      </c>
      <c r="T266" t="str">
        <f>"776.97"</f>
        <v>776.97</v>
      </c>
      <c r="U266" t="str">
        <f>"90428.00"</f>
        <v>90428.00</v>
      </c>
      <c r="V266" t="str">
        <f>"90428.00"</f>
        <v>90428.00</v>
      </c>
      <c r="W266" t="str">
        <f t="shared" si="83"/>
        <v>2017</v>
      </c>
      <c r="X266" t="str">
        <f>"7.67"</f>
        <v>7.67</v>
      </c>
      <c r="Y266" t="str">
        <f>"832.28"</f>
        <v>832.28</v>
      </c>
      <c r="Z266" t="str">
        <f>"25000.00"</f>
        <v>25000.00</v>
      </c>
      <c r="AA266" t="str">
        <f>"65428.00"</f>
        <v>65428.00</v>
      </c>
      <c r="AB266" t="str">
        <f t="shared" si="77"/>
        <v>Residential</v>
      </c>
      <c r="AC266" t="str">
        <f t="shared" si="84"/>
        <v>0</v>
      </c>
      <c r="AD266" t="str">
        <f>"4"</f>
        <v>4</v>
      </c>
      <c r="AE266" t="str">
        <f>"WOOD (INCLUDE STEEL STUDS)"</f>
        <v>WOOD (INCLUDE STEEL STUDS)</v>
      </c>
      <c r="AF266" t="str">
        <f>"002"</f>
        <v>002</v>
      </c>
      <c r="AG266" t="str">
        <f t="shared" si="79"/>
        <v>FL</v>
      </c>
      <c r="AH266" t="str">
        <f>"108900.00"</f>
        <v>108900.00</v>
      </c>
      <c r="AI266" t="str">
        <f>"30000.00"</f>
        <v>30000.00</v>
      </c>
      <c r="AJ266" t="str">
        <f>"C55-000-587-3124-1"</f>
        <v>C55-000-587-3124-1</v>
      </c>
      <c r="AK266" t="str">
        <f>"3954"</f>
        <v>3954</v>
      </c>
      <c r="AL266">
        <v>1</v>
      </c>
      <c r="AM266">
        <v>304</v>
      </c>
      <c r="AN266">
        <v>872.29</v>
      </c>
      <c r="AQ266" t="s">
        <v>3104</v>
      </c>
      <c r="AR266" t="s">
        <v>3104</v>
      </c>
      <c r="AS266" t="s">
        <v>3104</v>
      </c>
      <c r="AU266" t="s">
        <v>396</v>
      </c>
      <c r="AV266">
        <v>2017</v>
      </c>
      <c r="AW266" t="str">
        <f>"23-1N-24-2180-1270-0010 "</f>
        <v xml:space="preserve">23-1N-24-2180-1270-0010 </v>
      </c>
      <c r="AX266">
        <v>33480</v>
      </c>
      <c r="AZ266" t="s">
        <v>2972</v>
      </c>
      <c r="BA266" t="s">
        <v>2497</v>
      </c>
      <c r="BD266" t="s">
        <v>2785</v>
      </c>
      <c r="BE266" t="s">
        <v>393</v>
      </c>
      <c r="BF266">
        <v>32011</v>
      </c>
      <c r="BG266" t="s">
        <v>3105</v>
      </c>
      <c r="BH266" t="s">
        <v>2787</v>
      </c>
      <c r="BI266">
        <v>-81.867971175789705</v>
      </c>
      <c r="BJ266">
        <v>30.492628926028001</v>
      </c>
      <c r="BK266" t="s">
        <v>3106</v>
      </c>
      <c r="BM266" t="s">
        <v>3105</v>
      </c>
      <c r="BN266" t="s">
        <v>928</v>
      </c>
      <c r="BO266">
        <v>32011</v>
      </c>
      <c r="BP266" t="s">
        <v>416</v>
      </c>
      <c r="BQ266">
        <v>200</v>
      </c>
      <c r="BR266" t="s">
        <v>405</v>
      </c>
      <c r="BS266">
        <v>1006</v>
      </c>
      <c r="BT266" t="s">
        <v>406</v>
      </c>
      <c r="BW266">
        <v>108900</v>
      </c>
      <c r="BX266" t="s">
        <v>407</v>
      </c>
      <c r="BY266" t="s">
        <v>408</v>
      </c>
      <c r="BZ266">
        <v>4</v>
      </c>
      <c r="CA266">
        <v>2008</v>
      </c>
      <c r="CB266">
        <v>1</v>
      </c>
      <c r="CC266">
        <v>1</v>
      </c>
      <c r="CD266">
        <v>2017</v>
      </c>
      <c r="CG266">
        <v>90428</v>
      </c>
      <c r="CH266">
        <v>2017</v>
      </c>
      <c r="CI266">
        <v>30000</v>
      </c>
      <c r="CJ266">
        <v>76120</v>
      </c>
      <c r="CK266">
        <v>106120</v>
      </c>
      <c r="CL266">
        <v>2017</v>
      </c>
      <c r="CM266">
        <v>776.97</v>
      </c>
      <c r="CN266" s="1">
        <v>29252</v>
      </c>
      <c r="CZ266" s="1">
        <v>29252</v>
      </c>
      <c r="DD266" t="s">
        <v>2785</v>
      </c>
      <c r="DF266">
        <v>1270</v>
      </c>
      <c r="DG266">
        <v>23</v>
      </c>
      <c r="DL266">
        <v>50504</v>
      </c>
      <c r="DM266" t="s">
        <v>3107</v>
      </c>
      <c r="DO266" t="s">
        <v>3108</v>
      </c>
      <c r="DP266">
        <v>0</v>
      </c>
      <c r="DQ266">
        <v>0</v>
      </c>
      <c r="DR266" t="s">
        <v>411</v>
      </c>
      <c r="EP266" t="s">
        <v>421</v>
      </c>
      <c r="EQ266" t="s">
        <v>422</v>
      </c>
      <c r="ER266">
        <v>0</v>
      </c>
      <c r="ES266">
        <v>1</v>
      </c>
      <c r="ET266">
        <v>0</v>
      </c>
      <c r="EU266">
        <v>0</v>
      </c>
      <c r="EV266">
        <v>0</v>
      </c>
      <c r="EW266" s="2">
        <v>43222</v>
      </c>
      <c r="EX266" s="1">
        <v>41052</v>
      </c>
      <c r="EY266">
        <v>2011</v>
      </c>
      <c r="EZ266">
        <v>1717.52</v>
      </c>
      <c r="FA266" t="s">
        <v>3109</v>
      </c>
      <c r="FB266">
        <v>5.25</v>
      </c>
      <c r="FC266" t="s">
        <v>424</v>
      </c>
      <c r="FD266" t="s">
        <v>425</v>
      </c>
      <c r="FE266" s="1">
        <v>41106</v>
      </c>
      <c r="FF266">
        <v>2</v>
      </c>
      <c r="FG266">
        <v>10125</v>
      </c>
      <c r="FH266" t="s">
        <v>440</v>
      </c>
    </row>
    <row r="267" spans="1:236" x14ac:dyDescent="0.25">
      <c r="A267">
        <v>16485274</v>
      </c>
      <c r="B267">
        <v>266</v>
      </c>
      <c r="C267" t="s">
        <v>393</v>
      </c>
      <c r="D267" t="s">
        <v>394</v>
      </c>
      <c r="F267" t="str">
        <f>"23-1N-24-2180-1273-0000"</f>
        <v>23-1N-24-2180-1273-0000</v>
      </c>
      <c r="H267" t="str">
        <f>"NELSON BRIAN EDWARD"</f>
        <v>NELSON BRIAN EDWARD</v>
      </c>
      <c r="I267" t="str">
        <f>"2787 HIDDEN VILLAGE DRIVE"</f>
        <v>2787 HIDDEN VILLAGE DRIVE</v>
      </c>
      <c r="J267" t="str">
        <f>"JACKSONVILLE FL 32216"</f>
        <v>JACKSONVILLE FL 32216</v>
      </c>
      <c r="K267" t="str">
        <f>"34100 BREADCRUMB TRL"</f>
        <v>34100 BREADCRUMB TRL</v>
      </c>
      <c r="L267" t="str">
        <f t="shared" si="85"/>
        <v>CALLAHAN FL 32011</v>
      </c>
      <c r="M267" t="str">
        <f>"LOT 1273 IN OR 1493/1971 ESMT PT OR 1541/1242 TOWN OF CRAWFORD"</f>
        <v>LOT 1273 IN OR 1493/1971 ESMT PT OR 1541/1242 TOWN OF CRAWFORD</v>
      </c>
      <c r="N267" t="str">
        <f>""</f>
        <v/>
      </c>
      <c r="O267" t="str">
        <f>"33943"</f>
        <v>33943</v>
      </c>
      <c r="P267" t="str">
        <f t="shared" si="82"/>
        <v>2017</v>
      </c>
      <c r="Q267" t="str">
        <f>""</f>
        <v/>
      </c>
      <c r="R267" t="str">
        <f>"N"</f>
        <v>N</v>
      </c>
      <c r="S267" t="str">
        <f>"10.00"</f>
        <v>10.00</v>
      </c>
      <c r="T267" t="str">
        <f>"908.32"</f>
        <v>908.32</v>
      </c>
      <c r="U267" t="str">
        <f>"60000.00"</f>
        <v>60000.00</v>
      </c>
      <c r="V267" t="str">
        <f>"60000.00"</f>
        <v>60000.00</v>
      </c>
      <c r="W267" t="str">
        <f t="shared" si="83"/>
        <v>2017</v>
      </c>
      <c r="X267" t="str">
        <f>"21.57"</f>
        <v>21.57</v>
      </c>
      <c r="Y267" t="str">
        <f>"967.57"</f>
        <v>967.57</v>
      </c>
      <c r="Z267" t="str">
        <f>""</f>
        <v/>
      </c>
      <c r="AA267" t="str">
        <f>"60000.00"</f>
        <v>60000.00</v>
      </c>
      <c r="AB267" t="str">
        <f t="shared" si="77"/>
        <v>Residential</v>
      </c>
      <c r="AC267" t="str">
        <f t="shared" si="84"/>
        <v>0</v>
      </c>
      <c r="AD267" t="str">
        <f>""</f>
        <v/>
      </c>
      <c r="AE267" t="str">
        <f>""</f>
        <v/>
      </c>
      <c r="AF267" t="str">
        <f>"000"</f>
        <v>000</v>
      </c>
      <c r="AG267" t="str">
        <f t="shared" si="79"/>
        <v>FL</v>
      </c>
      <c r="AH267" t="str">
        <f>"435600.00"</f>
        <v>435600.00</v>
      </c>
      <c r="AI267" t="str">
        <f>"60000.00"</f>
        <v>60000.00</v>
      </c>
      <c r="AJ267" t="str">
        <f>"C55-001-002-4861-6"</f>
        <v>C55-001-002-4861-6</v>
      </c>
      <c r="AK267" t="str">
        <f>"3959"</f>
        <v>3959</v>
      </c>
      <c r="AL267">
        <v>1</v>
      </c>
      <c r="AM267">
        <v>305</v>
      </c>
      <c r="AN267">
        <v>1014.35</v>
      </c>
      <c r="AQ267" t="s">
        <v>3110</v>
      </c>
      <c r="AR267" t="s">
        <v>3110</v>
      </c>
      <c r="AS267" t="s">
        <v>3110</v>
      </c>
      <c r="AU267" t="s">
        <v>396</v>
      </c>
      <c r="AV267">
        <v>2017</v>
      </c>
      <c r="AW267" t="str">
        <f>"23-1N-24-2180-1273-0000 "</f>
        <v xml:space="preserve">23-1N-24-2180-1273-0000 </v>
      </c>
      <c r="AX267">
        <v>34100</v>
      </c>
      <c r="AZ267" t="s">
        <v>3111</v>
      </c>
      <c r="BA267" t="s">
        <v>2497</v>
      </c>
      <c r="BD267" t="s">
        <v>2785</v>
      </c>
      <c r="BE267" t="s">
        <v>393</v>
      </c>
      <c r="BF267">
        <v>32011</v>
      </c>
      <c r="BG267" t="s">
        <v>3112</v>
      </c>
      <c r="BH267" t="s">
        <v>2787</v>
      </c>
      <c r="BI267">
        <v>-81.874150532149997</v>
      </c>
      <c r="BJ267">
        <v>30.491851086529099</v>
      </c>
      <c r="BK267" t="s">
        <v>3113</v>
      </c>
      <c r="BM267" t="s">
        <v>3114</v>
      </c>
      <c r="BN267" t="s">
        <v>548</v>
      </c>
      <c r="BO267">
        <v>32216</v>
      </c>
      <c r="BP267" t="s">
        <v>404</v>
      </c>
      <c r="BQ267">
        <v>0</v>
      </c>
      <c r="BR267" t="s">
        <v>491</v>
      </c>
      <c r="BS267">
        <v>8001</v>
      </c>
      <c r="BT267" t="s">
        <v>492</v>
      </c>
      <c r="BW267">
        <v>435600</v>
      </c>
      <c r="BX267" t="s">
        <v>407</v>
      </c>
      <c r="BY267" t="s">
        <v>408</v>
      </c>
      <c r="CD267">
        <v>2017</v>
      </c>
      <c r="CE267">
        <v>60000</v>
      </c>
      <c r="CG267">
        <v>60000</v>
      </c>
      <c r="CH267">
        <v>2017</v>
      </c>
      <c r="CI267">
        <v>60000</v>
      </c>
      <c r="CK267">
        <v>60000</v>
      </c>
      <c r="CL267">
        <v>2017</v>
      </c>
      <c r="CM267">
        <v>908.32</v>
      </c>
      <c r="CN267" s="1">
        <v>41088</v>
      </c>
      <c r="CZ267" s="1">
        <v>41088</v>
      </c>
      <c r="DD267" t="s">
        <v>2785</v>
      </c>
      <c r="DF267">
        <v>1273</v>
      </c>
      <c r="DG267">
        <v>23</v>
      </c>
      <c r="DL267">
        <v>50504</v>
      </c>
      <c r="DM267" t="s">
        <v>3107</v>
      </c>
      <c r="DO267" t="s">
        <v>3115</v>
      </c>
      <c r="DP267">
        <v>0</v>
      </c>
      <c r="DQ267">
        <v>0</v>
      </c>
      <c r="DR267" t="s">
        <v>411</v>
      </c>
      <c r="DS267" t="b">
        <v>1</v>
      </c>
      <c r="DT267" t="s">
        <v>470</v>
      </c>
      <c r="DU267" t="s">
        <v>471</v>
      </c>
      <c r="DV267" t="s">
        <v>472</v>
      </c>
      <c r="DX267">
        <v>-9999</v>
      </c>
      <c r="DZ267" t="s">
        <v>447</v>
      </c>
      <c r="EA267" t="s">
        <v>448</v>
      </c>
      <c r="EB267" t="s">
        <v>742</v>
      </c>
      <c r="EC267">
        <v>20101217</v>
      </c>
      <c r="ED267" t="s">
        <v>474</v>
      </c>
      <c r="EF267">
        <v>3219.4</v>
      </c>
      <c r="EG267">
        <v>3219.4</v>
      </c>
      <c r="EI267">
        <v>20160407</v>
      </c>
      <c r="EJ267">
        <v>0</v>
      </c>
      <c r="EK267">
        <v>0</v>
      </c>
      <c r="EP267" t="s">
        <v>421</v>
      </c>
      <c r="EQ267" t="s">
        <v>422</v>
      </c>
      <c r="ER267">
        <v>1</v>
      </c>
      <c r="ES267">
        <v>6</v>
      </c>
      <c r="ET267">
        <v>1023.11</v>
      </c>
      <c r="EU267">
        <v>57.41</v>
      </c>
      <c r="EV267">
        <v>1080.52</v>
      </c>
      <c r="EW267" s="2">
        <v>43222</v>
      </c>
      <c r="EX267" s="1">
        <v>42879</v>
      </c>
      <c r="EY267">
        <v>2016</v>
      </c>
      <c r="EZ267">
        <v>1023.11</v>
      </c>
      <c r="FA267" t="s">
        <v>3116</v>
      </c>
      <c r="FB267">
        <v>0.25</v>
      </c>
      <c r="FC267" t="s">
        <v>424</v>
      </c>
      <c r="FD267" t="s">
        <v>454</v>
      </c>
      <c r="FF267">
        <v>12</v>
      </c>
      <c r="FG267">
        <v>7336745</v>
      </c>
      <c r="FH267" t="s">
        <v>502</v>
      </c>
      <c r="FJ267" s="1">
        <v>42515</v>
      </c>
      <c r="FK267">
        <v>2015</v>
      </c>
      <c r="FL267">
        <v>995.98</v>
      </c>
      <c r="FM267" t="s">
        <v>3117</v>
      </c>
      <c r="FN267">
        <v>6.25</v>
      </c>
      <c r="FO267" t="s">
        <v>424</v>
      </c>
      <c r="FP267" t="s">
        <v>425</v>
      </c>
      <c r="FQ267" s="1">
        <v>43158</v>
      </c>
      <c r="FR267">
        <v>21</v>
      </c>
      <c r="FS267">
        <v>2035919</v>
      </c>
      <c r="FT267" t="s">
        <v>507</v>
      </c>
      <c r="FV267" s="1">
        <v>42151</v>
      </c>
      <c r="FW267">
        <v>2014</v>
      </c>
      <c r="FX267">
        <v>876.57</v>
      </c>
      <c r="FY267" t="s">
        <v>3118</v>
      </c>
      <c r="FZ267">
        <v>4.75</v>
      </c>
      <c r="GA267" t="s">
        <v>424</v>
      </c>
      <c r="GB267" t="s">
        <v>425</v>
      </c>
      <c r="GC267" s="1">
        <v>42800</v>
      </c>
      <c r="GD267">
        <v>22</v>
      </c>
      <c r="GE267">
        <v>4975593</v>
      </c>
      <c r="GF267" t="s">
        <v>505</v>
      </c>
      <c r="GH267" s="1">
        <v>41787</v>
      </c>
      <c r="GI267">
        <v>2013</v>
      </c>
      <c r="GJ267">
        <v>992.63</v>
      </c>
      <c r="GK267" t="s">
        <v>3119</v>
      </c>
      <c r="GL267">
        <v>6.75</v>
      </c>
      <c r="GM267" t="s">
        <v>424</v>
      </c>
      <c r="GN267" t="s">
        <v>425</v>
      </c>
      <c r="GO267" s="1">
        <v>42462</v>
      </c>
      <c r="GP267">
        <v>23</v>
      </c>
      <c r="GQ267">
        <v>2035919</v>
      </c>
      <c r="GR267" t="s">
        <v>507</v>
      </c>
      <c r="GT267" s="1">
        <v>41423</v>
      </c>
      <c r="GU267">
        <v>2012</v>
      </c>
      <c r="GV267">
        <v>963.82</v>
      </c>
      <c r="GW267" t="s">
        <v>3120</v>
      </c>
      <c r="GX267">
        <v>4</v>
      </c>
      <c r="GY267" t="s">
        <v>424</v>
      </c>
      <c r="GZ267" t="s">
        <v>425</v>
      </c>
      <c r="HA267" s="1">
        <v>42050</v>
      </c>
      <c r="HB267">
        <v>21</v>
      </c>
      <c r="HC267">
        <v>116</v>
      </c>
      <c r="HD267" t="s">
        <v>509</v>
      </c>
      <c r="HF267" s="1">
        <v>41052</v>
      </c>
      <c r="HG267">
        <v>2011</v>
      </c>
      <c r="HH267">
        <v>1138.96</v>
      </c>
      <c r="HI267" t="s">
        <v>3121</v>
      </c>
      <c r="HJ267">
        <v>4.75</v>
      </c>
      <c r="HK267" t="s">
        <v>424</v>
      </c>
      <c r="HL267" t="s">
        <v>425</v>
      </c>
      <c r="HM267" s="1">
        <v>41697</v>
      </c>
      <c r="HN267">
        <v>21</v>
      </c>
      <c r="HO267">
        <v>10125</v>
      </c>
      <c r="HP267" t="s">
        <v>440</v>
      </c>
      <c r="HR267" s="1">
        <v>40688</v>
      </c>
      <c r="HS267">
        <v>2010</v>
      </c>
      <c r="HT267">
        <v>1269.83</v>
      </c>
      <c r="HU267" t="s">
        <v>3122</v>
      </c>
      <c r="HV267">
        <v>5</v>
      </c>
      <c r="HW267" t="s">
        <v>424</v>
      </c>
      <c r="HX267" t="s">
        <v>425</v>
      </c>
      <c r="HY267" s="1">
        <v>41344</v>
      </c>
      <c r="HZ267">
        <v>22</v>
      </c>
      <c r="IA267">
        <v>287</v>
      </c>
      <c r="IB267" t="s">
        <v>572</v>
      </c>
    </row>
    <row r="268" spans="1:236" x14ac:dyDescent="0.25">
      <c r="A268">
        <v>16485275</v>
      </c>
      <c r="B268">
        <v>267</v>
      </c>
      <c r="C268" t="s">
        <v>393</v>
      </c>
      <c r="D268" t="s">
        <v>394</v>
      </c>
      <c r="F268" t="str">
        <f>"23-1N-24-2180-1287-0000"</f>
        <v>23-1N-24-2180-1287-0000</v>
      </c>
      <c r="H268" t="str">
        <f>"GRIFFIS LAURA MARIE"</f>
        <v>GRIFFIS LAURA MARIE</v>
      </c>
      <c r="I268" t="str">
        <f>"33136 RATTLESNAKE TRAIL"</f>
        <v>33136 RATTLESNAKE TRAIL</v>
      </c>
      <c r="J268" t="str">
        <f>"CALLAHAN FL 32011"</f>
        <v>CALLAHAN FL 32011</v>
      </c>
      <c r="K268" t="str">
        <f>"33136 RATTLESNAKE TRL"</f>
        <v>33136 RATTLESNAKE TRL</v>
      </c>
      <c r="L268" t="str">
        <f t="shared" si="85"/>
        <v>CALLAHAN FL 32011</v>
      </c>
      <c r="M268" t="str">
        <f>"LOT 1287 (EX S-1 &amp; S-2) IN OR 1765/1255 1999 MERIT DW/MH TOWN OF CRAWFORD SUB"</f>
        <v>LOT 1287 (EX S-1 &amp; S-2) IN OR 1765/1255 1999 MERIT DW/MH TOWN OF CRAWFORD SUB</v>
      </c>
      <c r="N268" t="str">
        <f>""</f>
        <v/>
      </c>
      <c r="O268" t="str">
        <f>"33948"</f>
        <v>33948</v>
      </c>
      <c r="P268" t="str">
        <f t="shared" si="82"/>
        <v>2017</v>
      </c>
      <c r="Q268" t="str">
        <f>""</f>
        <v/>
      </c>
      <c r="R268" t="str">
        <f>"Y"</f>
        <v>Y</v>
      </c>
      <c r="S268" t="str">
        <f>"5.08"</f>
        <v>5.08</v>
      </c>
      <c r="T268" t="str">
        <f>"896.88"</f>
        <v>896.88</v>
      </c>
      <c r="U268" t="str">
        <f>"98348.00"</f>
        <v>98348.00</v>
      </c>
      <c r="V268" t="str">
        <f>"98348.00"</f>
        <v>98348.00</v>
      </c>
      <c r="W268" t="str">
        <f t="shared" si="83"/>
        <v>2017</v>
      </c>
      <c r="X268" t="str">
        <f>"13.50"</f>
        <v>13.50</v>
      </c>
      <c r="Y268" t="str">
        <f>"955.79"</f>
        <v>955.79</v>
      </c>
      <c r="Z268" t="str">
        <f>"25000.00"</f>
        <v>25000.00</v>
      </c>
      <c r="AA268" t="str">
        <f>"73348.00"</f>
        <v>73348.00</v>
      </c>
      <c r="AB268" t="str">
        <f t="shared" si="77"/>
        <v>Residential</v>
      </c>
      <c r="AC268" t="str">
        <f t="shared" si="84"/>
        <v>0</v>
      </c>
      <c r="AD268" t="str">
        <f>"4"</f>
        <v>4</v>
      </c>
      <c r="AE268" t="str">
        <f>"WOOD (INCLUDE STEEL STUDS)"</f>
        <v>WOOD (INCLUDE STEEL STUDS)</v>
      </c>
      <c r="AF268" t="str">
        <f>"002"</f>
        <v>002</v>
      </c>
      <c r="AG268" t="str">
        <f t="shared" si="79"/>
        <v>FL</v>
      </c>
      <c r="AH268" t="str">
        <f>"221284.00"</f>
        <v>221284.00</v>
      </c>
      <c r="AI268" t="str">
        <f>"40640.00"</f>
        <v>40640.00</v>
      </c>
      <c r="AJ268" t="str">
        <f>"C55-000-587-3128-2"</f>
        <v>C55-000-587-3128-2</v>
      </c>
      <c r="AK268" t="str">
        <f>"3968"</f>
        <v>3968</v>
      </c>
      <c r="AL268">
        <v>1</v>
      </c>
      <c r="AM268">
        <v>306</v>
      </c>
      <c r="AN268">
        <v>1001.98</v>
      </c>
      <c r="AQ268" t="s">
        <v>3123</v>
      </c>
      <c r="AR268" t="s">
        <v>3123</v>
      </c>
      <c r="AS268" t="s">
        <v>3123</v>
      </c>
      <c r="AU268" t="s">
        <v>396</v>
      </c>
      <c r="AV268">
        <v>2017</v>
      </c>
      <c r="AW268" t="str">
        <f>"23-1N-24-2180-1287-0000 "</f>
        <v xml:space="preserve">23-1N-24-2180-1287-0000 </v>
      </c>
      <c r="AX268">
        <v>33136</v>
      </c>
      <c r="AZ268" t="s">
        <v>2972</v>
      </c>
      <c r="BA268" t="s">
        <v>2497</v>
      </c>
      <c r="BD268" t="s">
        <v>2785</v>
      </c>
      <c r="BE268" t="s">
        <v>393</v>
      </c>
      <c r="BF268">
        <v>32011</v>
      </c>
      <c r="BG268" t="s">
        <v>3124</v>
      </c>
      <c r="BH268" t="s">
        <v>2787</v>
      </c>
      <c r="BI268">
        <v>-81.869890083549507</v>
      </c>
      <c r="BJ268">
        <v>30.488780564137901</v>
      </c>
      <c r="BK268" t="s">
        <v>3125</v>
      </c>
      <c r="BM268" t="s">
        <v>3124</v>
      </c>
      <c r="BN268" t="s">
        <v>928</v>
      </c>
      <c r="BO268">
        <v>32011</v>
      </c>
      <c r="BP268" t="s">
        <v>416</v>
      </c>
      <c r="BQ268">
        <v>200</v>
      </c>
      <c r="BR268" t="s">
        <v>405</v>
      </c>
      <c r="BS268">
        <v>1006</v>
      </c>
      <c r="BT268" t="s">
        <v>406</v>
      </c>
      <c r="BW268">
        <v>221284</v>
      </c>
      <c r="BX268" t="s">
        <v>407</v>
      </c>
      <c r="BY268" t="s">
        <v>408</v>
      </c>
      <c r="BZ268">
        <v>4</v>
      </c>
      <c r="CA268">
        <v>1999</v>
      </c>
      <c r="CB268">
        <v>1</v>
      </c>
      <c r="CC268">
        <v>1</v>
      </c>
      <c r="CD268">
        <v>2017</v>
      </c>
      <c r="CG268">
        <v>98348</v>
      </c>
      <c r="CH268">
        <v>2017</v>
      </c>
      <c r="CI268">
        <v>40640</v>
      </c>
      <c r="CJ268">
        <v>66330</v>
      </c>
      <c r="CK268">
        <v>106970</v>
      </c>
      <c r="CL268">
        <v>2017</v>
      </c>
      <c r="CM268">
        <v>896.88</v>
      </c>
      <c r="CN268" s="1">
        <v>39127</v>
      </c>
      <c r="CO268">
        <v>167000</v>
      </c>
      <c r="CV268">
        <v>0</v>
      </c>
      <c r="CZ268" s="1">
        <v>39127</v>
      </c>
      <c r="DA268">
        <v>0</v>
      </c>
      <c r="DD268" t="s">
        <v>2785</v>
      </c>
      <c r="DF268">
        <v>1287</v>
      </c>
      <c r="DG268">
        <v>23</v>
      </c>
      <c r="DL268">
        <v>50504</v>
      </c>
      <c r="DM268" t="s">
        <v>3107</v>
      </c>
      <c r="DO268" t="s">
        <v>3126</v>
      </c>
      <c r="DP268">
        <v>0</v>
      </c>
      <c r="DQ268">
        <v>0</v>
      </c>
      <c r="DR268" t="s">
        <v>411</v>
      </c>
      <c r="DS268" t="b">
        <v>1</v>
      </c>
      <c r="DT268" t="s">
        <v>470</v>
      </c>
      <c r="DU268" t="s">
        <v>471</v>
      </c>
      <c r="DV268" t="s">
        <v>472</v>
      </c>
      <c r="DX268">
        <v>-9999</v>
      </c>
      <c r="DZ268" t="s">
        <v>447</v>
      </c>
      <c r="EA268" t="s">
        <v>448</v>
      </c>
      <c r="EB268" t="s">
        <v>742</v>
      </c>
      <c r="EC268">
        <v>20101217</v>
      </c>
      <c r="ED268" t="s">
        <v>474</v>
      </c>
      <c r="EF268">
        <v>1595.7</v>
      </c>
      <c r="EG268">
        <v>1595.7</v>
      </c>
      <c r="EI268">
        <v>20160407</v>
      </c>
      <c r="EJ268">
        <v>0</v>
      </c>
      <c r="EK268">
        <v>0</v>
      </c>
      <c r="EP268" t="s">
        <v>421</v>
      </c>
      <c r="EQ268" t="s">
        <v>422</v>
      </c>
      <c r="ER268">
        <v>0</v>
      </c>
      <c r="ES268">
        <v>4</v>
      </c>
      <c r="ET268">
        <v>0</v>
      </c>
      <c r="EU268">
        <v>0</v>
      </c>
      <c r="EV268">
        <v>0</v>
      </c>
      <c r="EW268" s="2">
        <v>43222</v>
      </c>
      <c r="EX268" s="1">
        <v>42515</v>
      </c>
      <c r="EY268">
        <v>2015</v>
      </c>
      <c r="EZ268">
        <v>991.78</v>
      </c>
      <c r="FA268" t="s">
        <v>3127</v>
      </c>
      <c r="FB268">
        <v>0.25</v>
      </c>
      <c r="FC268" t="s">
        <v>424</v>
      </c>
      <c r="FD268" t="s">
        <v>425</v>
      </c>
      <c r="FE268" s="1">
        <v>43192</v>
      </c>
      <c r="FF268">
        <v>23</v>
      </c>
      <c r="FG268">
        <v>11289</v>
      </c>
      <c r="FH268" t="s">
        <v>787</v>
      </c>
      <c r="FJ268" s="1">
        <v>42515</v>
      </c>
      <c r="FK268">
        <v>2015</v>
      </c>
      <c r="FL268">
        <v>991.78</v>
      </c>
      <c r="FM268" t="s">
        <v>3127</v>
      </c>
      <c r="FN268">
        <v>0.25</v>
      </c>
      <c r="FO268" t="s">
        <v>424</v>
      </c>
      <c r="FP268" t="s">
        <v>425</v>
      </c>
      <c r="FR268">
        <v>22</v>
      </c>
      <c r="FS268">
        <v>5143917</v>
      </c>
      <c r="FT268" t="s">
        <v>3128</v>
      </c>
      <c r="FV268" s="1">
        <v>42151</v>
      </c>
      <c r="FW268">
        <v>2014</v>
      </c>
      <c r="FX268">
        <v>984.44</v>
      </c>
      <c r="FY268" t="s">
        <v>3129</v>
      </c>
      <c r="FZ268">
        <v>0.25</v>
      </c>
      <c r="GA268" t="s">
        <v>424</v>
      </c>
      <c r="GB268" t="s">
        <v>425</v>
      </c>
      <c r="GC268" s="1">
        <v>42257</v>
      </c>
      <c r="GD268">
        <v>4</v>
      </c>
      <c r="GE268">
        <v>2851116</v>
      </c>
      <c r="GF268" t="s">
        <v>480</v>
      </c>
      <c r="GH268" s="1">
        <v>42151</v>
      </c>
      <c r="GI268">
        <v>2014</v>
      </c>
      <c r="GJ268">
        <v>984.44</v>
      </c>
      <c r="GK268" t="s">
        <v>3129</v>
      </c>
      <c r="GL268">
        <v>0.25</v>
      </c>
      <c r="GM268" t="s">
        <v>424</v>
      </c>
      <c r="GN268" t="s">
        <v>425</v>
      </c>
      <c r="GP268">
        <v>22</v>
      </c>
      <c r="GQ268">
        <v>4957934</v>
      </c>
      <c r="GR268" t="s">
        <v>3130</v>
      </c>
    </row>
    <row r="269" spans="1:236" x14ac:dyDescent="0.25">
      <c r="A269">
        <v>16485276</v>
      </c>
      <c r="B269">
        <v>268</v>
      </c>
      <c r="C269" t="s">
        <v>393</v>
      </c>
      <c r="D269" t="s">
        <v>394</v>
      </c>
      <c r="F269" t="str">
        <f>"23-1N-24-2180-1296-0050"</f>
        <v>23-1N-24-2180-1296-0050</v>
      </c>
      <c r="H269" t="str">
        <f>"TRUGLIO JOSEPH ANTHONY"</f>
        <v>TRUGLIO JOSEPH ANTHONY</v>
      </c>
      <c r="I269" t="str">
        <f>"55211 SPENCERVILLE ROAD"</f>
        <v>55211 SPENCERVILLE ROAD</v>
      </c>
      <c r="J269" t="str">
        <f>"CALLAHAN FL 32011"</f>
        <v>CALLAHAN FL 32011</v>
      </c>
      <c r="K269" t="str">
        <f>"MEADOWS LN"</f>
        <v>MEADOWS LN</v>
      </c>
      <c r="L269" t="str">
        <f t="shared" si="85"/>
        <v>CALLAHAN FL 32011</v>
      </c>
      <c r="M269" t="str">
        <f>"PT OF LOT 1296 IN OR 2119/884 TOWN OF CRAWFORD S/D IN SEC 23-1N-24E"</f>
        <v>PT OF LOT 1296 IN OR 2119/884 TOWN OF CRAWFORD S/D IN SEC 23-1N-24E</v>
      </c>
      <c r="N269" t="str">
        <f>""</f>
        <v/>
      </c>
      <c r="O269" t="str">
        <f>"33966"</f>
        <v>33966</v>
      </c>
      <c r="P269" t="str">
        <f t="shared" si="82"/>
        <v>2017</v>
      </c>
      <c r="Q269" t="str">
        <f>""</f>
        <v/>
      </c>
      <c r="R269" t="str">
        <f t="shared" ref="R269:R274" si="86">"N"</f>
        <v>N</v>
      </c>
      <c r="S269" t="str">
        <f>"1.62"</f>
        <v>1.62</v>
      </c>
      <c r="T269" t="str">
        <f>"210.44"</f>
        <v>210.44</v>
      </c>
      <c r="U269" t="str">
        <f>"9623.00"</f>
        <v>9623.00</v>
      </c>
      <c r="V269" t="str">
        <f>"9623.00"</f>
        <v>9623.00</v>
      </c>
      <c r="W269" t="str">
        <f t="shared" si="83"/>
        <v>2017</v>
      </c>
      <c r="X269" t="str">
        <f>"5.50"</f>
        <v>5.50</v>
      </c>
      <c r="Y269" t="str">
        <f>"248.75"</f>
        <v>248.75</v>
      </c>
      <c r="Z269" t="str">
        <f>""</f>
        <v/>
      </c>
      <c r="AA269" t="str">
        <f>"19440.00"</f>
        <v>19440.00</v>
      </c>
      <c r="AB269" t="str">
        <f t="shared" si="77"/>
        <v>Residential</v>
      </c>
      <c r="AC269" t="str">
        <f t="shared" si="84"/>
        <v>0</v>
      </c>
      <c r="AD269" t="str">
        <f>""</f>
        <v/>
      </c>
      <c r="AE269" t="str">
        <f>""</f>
        <v/>
      </c>
      <c r="AF269" t="str">
        <f>"000"</f>
        <v>000</v>
      </c>
      <c r="AG269" t="str">
        <f t="shared" si="79"/>
        <v>FL</v>
      </c>
      <c r="AH269" t="str">
        <f>"70567.00"</f>
        <v>70567.00</v>
      </c>
      <c r="AI269" t="str">
        <f>"19440.00"</f>
        <v>19440.00</v>
      </c>
      <c r="AJ269" t="str">
        <f>"C55-000-976-8007-8"</f>
        <v>C55-000-976-8007-8</v>
      </c>
      <c r="AK269" t="str">
        <f>"3981"</f>
        <v>3981</v>
      </c>
      <c r="AL269">
        <v>1</v>
      </c>
      <c r="AM269">
        <v>307</v>
      </c>
      <c r="AN269">
        <v>259.58999999999997</v>
      </c>
      <c r="AQ269" t="s">
        <v>3131</v>
      </c>
      <c r="AR269" t="s">
        <v>3131</v>
      </c>
      <c r="AS269" t="s">
        <v>3131</v>
      </c>
      <c r="AU269" t="s">
        <v>396</v>
      </c>
      <c r="AV269">
        <v>2017</v>
      </c>
      <c r="AW269" t="str">
        <f>"23-1N-24-2180-1296-0050 "</f>
        <v xml:space="preserve">23-1N-24-2180-1296-0050 </v>
      </c>
      <c r="AZ269" t="s">
        <v>3132</v>
      </c>
      <c r="BA269" t="s">
        <v>653</v>
      </c>
      <c r="BD269" t="s">
        <v>2785</v>
      </c>
      <c r="BE269" t="s">
        <v>393</v>
      </c>
      <c r="BF269">
        <v>32011</v>
      </c>
      <c r="BG269" t="s">
        <v>3133</v>
      </c>
      <c r="BH269" t="s">
        <v>2787</v>
      </c>
      <c r="BI269">
        <v>-81.879110951691999</v>
      </c>
      <c r="BJ269">
        <v>30.485915123427901</v>
      </c>
      <c r="BK269" t="s">
        <v>3134</v>
      </c>
      <c r="BL269" t="s">
        <v>3135</v>
      </c>
      <c r="BM269" t="s">
        <v>3136</v>
      </c>
      <c r="BN269" t="s">
        <v>928</v>
      </c>
      <c r="BO269">
        <v>32011</v>
      </c>
      <c r="BP269" t="s">
        <v>404</v>
      </c>
      <c r="BQ269">
        <v>0</v>
      </c>
      <c r="BR269" t="s">
        <v>491</v>
      </c>
      <c r="BS269">
        <v>8001</v>
      </c>
      <c r="BT269" t="s">
        <v>492</v>
      </c>
      <c r="BW269">
        <v>70567</v>
      </c>
      <c r="BX269" t="s">
        <v>407</v>
      </c>
      <c r="BY269" t="s">
        <v>408</v>
      </c>
      <c r="CD269">
        <v>2017</v>
      </c>
      <c r="CE269">
        <v>19440</v>
      </c>
      <c r="CG269">
        <v>19440</v>
      </c>
      <c r="CH269">
        <v>2017</v>
      </c>
      <c r="CI269">
        <v>19440</v>
      </c>
      <c r="CK269">
        <v>19440</v>
      </c>
      <c r="CL269">
        <v>2017</v>
      </c>
      <c r="CM269">
        <v>210.44</v>
      </c>
      <c r="CN269" s="1">
        <v>39897</v>
      </c>
      <c r="CO269">
        <v>110000</v>
      </c>
      <c r="CZ269" s="1">
        <v>39897</v>
      </c>
      <c r="DD269" t="s">
        <v>2785</v>
      </c>
      <c r="DF269">
        <v>1296</v>
      </c>
      <c r="DG269">
        <v>23</v>
      </c>
      <c r="DL269">
        <v>50504</v>
      </c>
      <c r="DM269" t="s">
        <v>3107</v>
      </c>
      <c r="DO269" t="s">
        <v>3137</v>
      </c>
      <c r="DP269">
        <v>0</v>
      </c>
      <c r="DQ269">
        <v>0</v>
      </c>
      <c r="DR269" t="s">
        <v>411</v>
      </c>
      <c r="DS269" t="b">
        <v>1</v>
      </c>
      <c r="DT269" t="s">
        <v>470</v>
      </c>
      <c r="DU269" t="s">
        <v>471</v>
      </c>
      <c r="DV269" t="s">
        <v>472</v>
      </c>
      <c r="DX269">
        <v>-9999</v>
      </c>
      <c r="DZ269" t="s">
        <v>447</v>
      </c>
      <c r="EA269" t="s">
        <v>448</v>
      </c>
      <c r="EB269" t="s">
        <v>742</v>
      </c>
      <c r="EC269">
        <v>20101217</v>
      </c>
      <c r="ED269" t="s">
        <v>474</v>
      </c>
      <c r="EF269">
        <v>2646.3</v>
      </c>
      <c r="EG269">
        <v>2646.3</v>
      </c>
      <c r="EI269">
        <v>20160407</v>
      </c>
      <c r="EJ269">
        <v>0</v>
      </c>
      <c r="EK269">
        <v>0</v>
      </c>
      <c r="EP269" t="s">
        <v>421</v>
      </c>
      <c r="EQ269" t="s">
        <v>422</v>
      </c>
      <c r="ER269">
        <v>2</v>
      </c>
      <c r="ES269">
        <v>3</v>
      </c>
      <c r="ET269">
        <v>336.23</v>
      </c>
      <c r="EU269">
        <v>88.33</v>
      </c>
      <c r="EV269">
        <v>424.56</v>
      </c>
      <c r="EW269" s="2">
        <v>43222</v>
      </c>
      <c r="EX269" s="1">
        <v>42879</v>
      </c>
      <c r="EY269">
        <v>2016</v>
      </c>
      <c r="EZ269">
        <v>172.23</v>
      </c>
      <c r="FA269" t="s">
        <v>3138</v>
      </c>
      <c r="FB269">
        <v>9.75</v>
      </c>
      <c r="FC269" t="s">
        <v>424</v>
      </c>
      <c r="FD269" t="s">
        <v>454</v>
      </c>
      <c r="FF269">
        <v>12</v>
      </c>
      <c r="FG269">
        <v>10021</v>
      </c>
      <c r="FH269" t="s">
        <v>597</v>
      </c>
      <c r="FJ269" s="1">
        <v>42515</v>
      </c>
      <c r="FK269">
        <v>2015</v>
      </c>
      <c r="FL269">
        <v>164</v>
      </c>
      <c r="FM269" t="s">
        <v>3139</v>
      </c>
      <c r="FN269">
        <v>18</v>
      </c>
      <c r="FO269" t="s">
        <v>424</v>
      </c>
      <c r="FP269" t="s">
        <v>454</v>
      </c>
      <c r="FR269">
        <v>24</v>
      </c>
      <c r="FS269">
        <v>10125</v>
      </c>
      <c r="FT269" t="s">
        <v>440</v>
      </c>
      <c r="FV269" s="1">
        <v>42151</v>
      </c>
      <c r="FW269">
        <v>2014</v>
      </c>
      <c r="FX269">
        <v>146.6</v>
      </c>
      <c r="FY269" t="s">
        <v>3140</v>
      </c>
      <c r="FZ269">
        <v>15.75</v>
      </c>
      <c r="GA269" t="s">
        <v>424</v>
      </c>
      <c r="GB269" t="s">
        <v>425</v>
      </c>
      <c r="GC269" s="1">
        <v>42240</v>
      </c>
      <c r="GD269">
        <v>3</v>
      </c>
      <c r="GE269">
        <v>10125</v>
      </c>
      <c r="GF269" t="s">
        <v>440</v>
      </c>
      <c r="GH269" s="1">
        <v>41423</v>
      </c>
      <c r="GI269">
        <v>2012</v>
      </c>
      <c r="GJ269">
        <v>159.31</v>
      </c>
      <c r="GK269" t="s">
        <v>3141</v>
      </c>
      <c r="GL269">
        <v>16.75</v>
      </c>
      <c r="GM269" t="s">
        <v>424</v>
      </c>
      <c r="GN269" t="s">
        <v>425</v>
      </c>
      <c r="GO269" s="1">
        <v>41646</v>
      </c>
      <c r="GP269">
        <v>8</v>
      </c>
      <c r="GQ269">
        <v>1124</v>
      </c>
      <c r="GR269" t="s">
        <v>3142</v>
      </c>
      <c r="GT269" s="1">
        <v>41423</v>
      </c>
      <c r="GU269">
        <v>2012</v>
      </c>
      <c r="GV269">
        <v>159.31</v>
      </c>
      <c r="GW269" t="s">
        <v>3141</v>
      </c>
      <c r="GX269">
        <v>16.75</v>
      </c>
      <c r="GY269" t="s">
        <v>424</v>
      </c>
      <c r="GZ269" t="s">
        <v>425</v>
      </c>
      <c r="HB269">
        <v>22</v>
      </c>
      <c r="HC269">
        <v>2035919</v>
      </c>
      <c r="HD269" t="s">
        <v>507</v>
      </c>
    </row>
    <row r="270" spans="1:236" x14ac:dyDescent="0.25">
      <c r="A270">
        <v>16485277</v>
      </c>
      <c r="B270">
        <v>269</v>
      </c>
      <c r="C270" t="s">
        <v>393</v>
      </c>
      <c r="D270" t="s">
        <v>394</v>
      </c>
      <c r="F270" t="str">
        <f>"23-1N-24-2180-1299-0030"</f>
        <v>23-1N-24-2180-1299-0030</v>
      </c>
      <c r="H270" t="str">
        <f>"HENDRICKS DANIEL R"</f>
        <v>HENDRICKS DANIEL R</v>
      </c>
      <c r="I270" t="str">
        <f>"33585 MEADOWS LN"</f>
        <v>33585 MEADOWS LN</v>
      </c>
      <c r="J270" t="str">
        <f>"CALLAHAN FL 32011"</f>
        <v>CALLAHAN FL 32011</v>
      </c>
      <c r="K270" t="str">
        <f>"33585 MEADOWS LN"</f>
        <v>33585 MEADOWS LN</v>
      </c>
      <c r="L270" t="str">
        <f t="shared" si="85"/>
        <v>CALLAHAN FL 32011</v>
      </c>
      <c r="M270" t="str">
        <f>"PT OF LOT 1299 (S-3) IN OR 2121/767 TOWN OF CRAWFORD 2004 DW/MH DESTINY"</f>
        <v>PT OF LOT 1299 (S-3) IN OR 2121/767 TOWN OF CRAWFORD 2004 DW/MH DESTINY</v>
      </c>
      <c r="N270" t="str">
        <f>""</f>
        <v/>
      </c>
      <c r="O270" t="str">
        <f>"33972"</f>
        <v>33972</v>
      </c>
      <c r="P270" t="str">
        <f t="shared" si="82"/>
        <v>2017</v>
      </c>
      <c r="Q270" t="str">
        <f>""</f>
        <v/>
      </c>
      <c r="R270" t="str">
        <f t="shared" si="86"/>
        <v>N</v>
      </c>
      <c r="S270" t="str">
        <f>"1.50"</f>
        <v>1.50</v>
      </c>
      <c r="T270" t="str">
        <f>"1328.34"</f>
        <v>1328.34</v>
      </c>
      <c r="U270" t="str">
        <f>"85836.00"</f>
        <v>85836.00</v>
      </c>
      <c r="V270" t="str">
        <f>"85836.00"</f>
        <v>85836.00</v>
      </c>
      <c r="W270" t="str">
        <f t="shared" si="83"/>
        <v>2017</v>
      </c>
      <c r="X270" t="str">
        <f>""</f>
        <v/>
      </c>
      <c r="Y270" t="str">
        <f>"1400.19"</f>
        <v>1400.19</v>
      </c>
      <c r="Z270" t="str">
        <f>""</f>
        <v/>
      </c>
      <c r="AA270" t="str">
        <f>"90214.00"</f>
        <v>90214.00</v>
      </c>
      <c r="AB270" t="str">
        <f t="shared" si="77"/>
        <v>Residential</v>
      </c>
      <c r="AC270" t="str">
        <f t="shared" si="84"/>
        <v>0</v>
      </c>
      <c r="AD270" t="str">
        <f>"4"</f>
        <v>4</v>
      </c>
      <c r="AE270" t="str">
        <f>"WOOD (INCLUDE STEEL STUDS)"</f>
        <v>WOOD (INCLUDE STEEL STUDS)</v>
      </c>
      <c r="AF270" t="str">
        <f>"002"</f>
        <v>002</v>
      </c>
      <c r="AG270" t="str">
        <f t="shared" si="79"/>
        <v>FL</v>
      </c>
      <c r="AH270" t="str">
        <f>"65340.00"</f>
        <v>65340.00</v>
      </c>
      <c r="AI270" t="str">
        <f>"22500.00"</f>
        <v>22500.00</v>
      </c>
      <c r="AJ270" t="str">
        <f>"C55-000-589-0830-2"</f>
        <v>C55-000-589-0830-2</v>
      </c>
      <c r="AK270" t="str">
        <f>"3986"</f>
        <v>3986</v>
      </c>
      <c r="AL270">
        <v>1</v>
      </c>
      <c r="AM270">
        <v>308</v>
      </c>
      <c r="AN270">
        <v>1468.6</v>
      </c>
      <c r="AQ270" t="s">
        <v>3143</v>
      </c>
      <c r="AR270" t="s">
        <v>3143</v>
      </c>
      <c r="AS270" t="s">
        <v>3143</v>
      </c>
      <c r="AU270" t="s">
        <v>396</v>
      </c>
      <c r="AV270">
        <v>2017</v>
      </c>
      <c r="AW270" t="str">
        <f>"23-1N-24-2180-1299-0030 "</f>
        <v xml:space="preserve">23-1N-24-2180-1299-0030 </v>
      </c>
      <c r="AX270">
        <v>33585</v>
      </c>
      <c r="AZ270" t="s">
        <v>3132</v>
      </c>
      <c r="BA270" t="s">
        <v>653</v>
      </c>
      <c r="BD270" t="s">
        <v>2785</v>
      </c>
      <c r="BE270" t="s">
        <v>393</v>
      </c>
      <c r="BF270">
        <v>32011</v>
      </c>
      <c r="BG270" t="s">
        <v>3144</v>
      </c>
      <c r="BH270" t="s">
        <v>2787</v>
      </c>
      <c r="BI270">
        <v>-81.872661063323307</v>
      </c>
      <c r="BJ270">
        <v>30.486839386006402</v>
      </c>
      <c r="BK270" t="s">
        <v>3145</v>
      </c>
      <c r="BM270" t="s">
        <v>3144</v>
      </c>
      <c r="BN270" t="s">
        <v>928</v>
      </c>
      <c r="BO270">
        <v>32011</v>
      </c>
      <c r="BP270" t="s">
        <v>416</v>
      </c>
      <c r="BQ270">
        <v>200</v>
      </c>
      <c r="BR270" t="s">
        <v>405</v>
      </c>
      <c r="BS270">
        <v>1006</v>
      </c>
      <c r="BT270" t="s">
        <v>406</v>
      </c>
      <c r="BW270">
        <v>65340</v>
      </c>
      <c r="BX270" t="s">
        <v>407</v>
      </c>
      <c r="BY270" t="s">
        <v>408</v>
      </c>
      <c r="BZ270">
        <v>4</v>
      </c>
      <c r="CA270">
        <v>2004</v>
      </c>
      <c r="CB270">
        <v>1</v>
      </c>
      <c r="CC270">
        <v>1</v>
      </c>
      <c r="CD270">
        <v>2017</v>
      </c>
      <c r="CE270">
        <v>22500</v>
      </c>
      <c r="CF270">
        <v>67714</v>
      </c>
      <c r="CG270">
        <v>90214</v>
      </c>
      <c r="CH270">
        <v>2017</v>
      </c>
      <c r="CI270">
        <v>22500</v>
      </c>
      <c r="CJ270">
        <v>67714</v>
      </c>
      <c r="CK270">
        <v>90214</v>
      </c>
      <c r="CL270">
        <v>2017</v>
      </c>
      <c r="CM270">
        <v>1328.34</v>
      </c>
      <c r="CN270" s="1">
        <v>42874</v>
      </c>
      <c r="CO270">
        <v>80000</v>
      </c>
      <c r="CV270">
        <v>0</v>
      </c>
      <c r="CZ270" s="1">
        <v>42874</v>
      </c>
      <c r="DA270">
        <v>0</v>
      </c>
      <c r="DD270" t="s">
        <v>2785</v>
      </c>
      <c r="DF270">
        <v>1299</v>
      </c>
      <c r="DG270">
        <v>23</v>
      </c>
      <c r="DL270">
        <v>50504</v>
      </c>
      <c r="DM270" t="s">
        <v>3107</v>
      </c>
      <c r="DO270" t="s">
        <v>3146</v>
      </c>
      <c r="DP270">
        <v>0</v>
      </c>
      <c r="DQ270">
        <v>0</v>
      </c>
      <c r="DR270" t="s">
        <v>411</v>
      </c>
    </row>
    <row r="271" spans="1:236" x14ac:dyDescent="0.25">
      <c r="A271">
        <v>16485278</v>
      </c>
      <c r="B271">
        <v>270</v>
      </c>
      <c r="C271" t="s">
        <v>393</v>
      </c>
      <c r="D271" t="s">
        <v>394</v>
      </c>
      <c r="F271" t="str">
        <f>"23-1N-24-2180-1299-0050"</f>
        <v>23-1N-24-2180-1299-0050</v>
      </c>
      <c r="H271" t="str">
        <f>"HENDRICKS DANIEL R"</f>
        <v>HENDRICKS DANIEL R</v>
      </c>
      <c r="I271" t="str">
        <f>"44500 CATIES WAY"</f>
        <v>44500 CATIES WAY</v>
      </c>
      <c r="J271" t="str">
        <f>"CALLAHAN FL 32011"</f>
        <v>CALLAHAN FL 32011</v>
      </c>
      <c r="K271" t="str">
        <f>"33599 MEADOWS LN"</f>
        <v>33599 MEADOWS LN</v>
      </c>
      <c r="L271" t="str">
        <f t="shared" si="85"/>
        <v>CALLAHAN FL 32011</v>
      </c>
      <c r="M271" t="str">
        <f>"PT OF LOT 1299 (S-5) IN OR 2079/380 1986 DW/MH CHAD TOWN OF CRAWFORD"</f>
        <v>PT OF LOT 1299 (S-5) IN OR 2079/380 1986 DW/MH CHAD TOWN OF CRAWFORD</v>
      </c>
      <c r="N271" t="str">
        <f>""</f>
        <v/>
      </c>
      <c r="O271" t="str">
        <f>"33974"</f>
        <v>33974</v>
      </c>
      <c r="P271" t="str">
        <f t="shared" si="82"/>
        <v>2017</v>
      </c>
      <c r="Q271" t="str">
        <f>""</f>
        <v/>
      </c>
      <c r="R271" t="str">
        <f t="shared" si="86"/>
        <v>N</v>
      </c>
      <c r="S271" t="str">
        <f>"1.10"</f>
        <v>1.10</v>
      </c>
      <c r="T271" t="str">
        <f>"605.83"</f>
        <v>605.83</v>
      </c>
      <c r="U271" t="str">
        <f>"40018.00"</f>
        <v>40018.00</v>
      </c>
      <c r="V271" t="str">
        <f>"40018.00"</f>
        <v>40018.00</v>
      </c>
      <c r="W271" t="str">
        <f t="shared" si="83"/>
        <v>2017</v>
      </c>
      <c r="X271" t="str">
        <f>"8.50"</f>
        <v>8.50</v>
      </c>
      <c r="Y271" t="str">
        <f>"656.00"</f>
        <v>656.00</v>
      </c>
      <c r="Z271" t="str">
        <f>""</f>
        <v/>
      </c>
      <c r="AA271" t="str">
        <f>"40018.00"</f>
        <v>40018.00</v>
      </c>
      <c r="AB271" t="str">
        <f t="shared" si="77"/>
        <v>Residential</v>
      </c>
      <c r="AC271" t="str">
        <f t="shared" si="84"/>
        <v>0</v>
      </c>
      <c r="AD271" t="str">
        <f>"4"</f>
        <v>4</v>
      </c>
      <c r="AE271" t="str">
        <f>"WOOD (INCLUDE STEEL STUDS)"</f>
        <v>WOOD (INCLUDE STEEL STUDS)</v>
      </c>
      <c r="AF271" t="str">
        <f>"002"</f>
        <v>002</v>
      </c>
      <c r="AG271" t="str">
        <f t="shared" si="79"/>
        <v>FL</v>
      </c>
      <c r="AH271" t="str">
        <f>"47916.00"</f>
        <v>47916.00</v>
      </c>
      <c r="AI271" t="str">
        <f>"16500.00"</f>
        <v>16500.00</v>
      </c>
      <c r="AJ271" t="str">
        <f>"C55-000-589-0832-8"</f>
        <v>C55-000-589-0832-8</v>
      </c>
      <c r="AK271" t="str">
        <f>"3988"</f>
        <v>3988</v>
      </c>
      <c r="AL271">
        <v>1</v>
      </c>
      <c r="AM271">
        <v>309</v>
      </c>
      <c r="AN271">
        <v>687.2</v>
      </c>
      <c r="AQ271" t="s">
        <v>3147</v>
      </c>
      <c r="AR271" t="s">
        <v>3147</v>
      </c>
      <c r="AS271" t="s">
        <v>3147</v>
      </c>
      <c r="AU271" t="s">
        <v>396</v>
      </c>
      <c r="AV271">
        <v>2017</v>
      </c>
      <c r="AW271" t="str">
        <f>"23-1N-24-2180-1299-0050 "</f>
        <v xml:space="preserve">23-1N-24-2180-1299-0050 </v>
      </c>
      <c r="AX271">
        <v>33599</v>
      </c>
      <c r="AZ271" t="s">
        <v>3132</v>
      </c>
      <c r="BA271" t="s">
        <v>653</v>
      </c>
      <c r="BD271" t="s">
        <v>2785</v>
      </c>
      <c r="BE271" t="s">
        <v>393</v>
      </c>
      <c r="BF271">
        <v>32011</v>
      </c>
      <c r="BG271" t="s">
        <v>3148</v>
      </c>
      <c r="BH271" t="s">
        <v>2787</v>
      </c>
      <c r="BI271">
        <v>-81.871773263412194</v>
      </c>
      <c r="BJ271">
        <v>30.486747992418</v>
      </c>
      <c r="BK271" t="s">
        <v>3145</v>
      </c>
      <c r="BM271" t="s">
        <v>3149</v>
      </c>
      <c r="BN271" t="s">
        <v>928</v>
      </c>
      <c r="BO271">
        <v>32011</v>
      </c>
      <c r="BP271" t="s">
        <v>404</v>
      </c>
      <c r="BQ271">
        <v>200</v>
      </c>
      <c r="BR271" t="s">
        <v>405</v>
      </c>
      <c r="BS271">
        <v>1006</v>
      </c>
      <c r="BT271" t="s">
        <v>406</v>
      </c>
      <c r="BW271">
        <v>47916</v>
      </c>
      <c r="BX271" t="s">
        <v>407</v>
      </c>
      <c r="BY271" t="s">
        <v>408</v>
      </c>
      <c r="BZ271">
        <v>4</v>
      </c>
      <c r="CA271">
        <v>1986</v>
      </c>
      <c r="CB271">
        <v>1</v>
      </c>
      <c r="CC271">
        <v>1</v>
      </c>
      <c r="CD271">
        <v>2017</v>
      </c>
      <c r="CE271">
        <v>16500</v>
      </c>
      <c r="CF271">
        <v>23518</v>
      </c>
      <c r="CG271">
        <v>40018</v>
      </c>
      <c r="CH271">
        <v>2017</v>
      </c>
      <c r="CI271">
        <v>16500</v>
      </c>
      <c r="CJ271">
        <v>23518</v>
      </c>
      <c r="CK271">
        <v>40018</v>
      </c>
      <c r="CL271">
        <v>2017</v>
      </c>
      <c r="CM271">
        <v>605.83000000000004</v>
      </c>
      <c r="CN271" s="1">
        <v>42667</v>
      </c>
      <c r="CO271">
        <v>26000</v>
      </c>
      <c r="CV271">
        <v>0</v>
      </c>
      <c r="CZ271" s="1">
        <v>42667</v>
      </c>
      <c r="DA271">
        <v>0</v>
      </c>
      <c r="DD271" t="s">
        <v>2785</v>
      </c>
      <c r="DF271">
        <v>1299</v>
      </c>
      <c r="DG271">
        <v>23</v>
      </c>
      <c r="DL271">
        <v>50504</v>
      </c>
      <c r="DM271" t="s">
        <v>3107</v>
      </c>
      <c r="DO271" t="s">
        <v>3150</v>
      </c>
      <c r="DP271">
        <v>0</v>
      </c>
      <c r="DQ271">
        <v>0</v>
      </c>
      <c r="DR271" t="s">
        <v>411</v>
      </c>
      <c r="DS271" t="b">
        <v>1</v>
      </c>
      <c r="DT271" t="s">
        <v>470</v>
      </c>
      <c r="DU271" t="s">
        <v>471</v>
      </c>
      <c r="DV271" t="s">
        <v>472</v>
      </c>
      <c r="DX271">
        <v>-9999</v>
      </c>
      <c r="DZ271" t="s">
        <v>447</v>
      </c>
      <c r="EA271" t="s">
        <v>448</v>
      </c>
      <c r="EB271" t="s">
        <v>742</v>
      </c>
      <c r="EC271">
        <v>20101217</v>
      </c>
      <c r="ED271" t="s">
        <v>474</v>
      </c>
      <c r="EF271">
        <v>2227.5</v>
      </c>
      <c r="EG271">
        <v>2227.5</v>
      </c>
      <c r="EI271">
        <v>20160407</v>
      </c>
      <c r="EJ271">
        <v>0</v>
      </c>
      <c r="EK271">
        <v>1</v>
      </c>
      <c r="EP271" t="s">
        <v>421</v>
      </c>
      <c r="EQ271" t="s">
        <v>422</v>
      </c>
      <c r="ER271">
        <v>0</v>
      </c>
      <c r="ES271">
        <v>3</v>
      </c>
      <c r="ET271">
        <v>0</v>
      </c>
      <c r="EU271">
        <v>0</v>
      </c>
      <c r="EV271">
        <v>0</v>
      </c>
      <c r="EW271" s="2">
        <v>43222</v>
      </c>
      <c r="EX271" s="1">
        <v>42879</v>
      </c>
      <c r="EY271">
        <v>2016</v>
      </c>
      <c r="EZ271">
        <v>511</v>
      </c>
      <c r="FA271" t="s">
        <v>3151</v>
      </c>
      <c r="FB271">
        <v>0.25</v>
      </c>
      <c r="FC271" t="s">
        <v>424</v>
      </c>
      <c r="FD271" t="s">
        <v>425</v>
      </c>
      <c r="FE271" s="1">
        <v>43221</v>
      </c>
      <c r="FF271">
        <v>12</v>
      </c>
      <c r="FG271">
        <v>7400234</v>
      </c>
      <c r="FH271" t="s">
        <v>426</v>
      </c>
      <c r="FJ271" s="1">
        <v>42879</v>
      </c>
      <c r="FK271">
        <v>2016</v>
      </c>
      <c r="FL271">
        <v>511</v>
      </c>
      <c r="FM271" t="s">
        <v>3151</v>
      </c>
      <c r="FN271">
        <v>0.25</v>
      </c>
      <c r="FO271" t="s">
        <v>424</v>
      </c>
      <c r="FP271" t="s">
        <v>425</v>
      </c>
      <c r="FR271">
        <v>22</v>
      </c>
      <c r="FS271">
        <v>7430111</v>
      </c>
      <c r="FT271" t="s">
        <v>3152</v>
      </c>
      <c r="FV271" s="1">
        <v>42515</v>
      </c>
      <c r="FW271">
        <v>2015</v>
      </c>
      <c r="FX271">
        <v>640.01</v>
      </c>
      <c r="FY271" t="s">
        <v>3153</v>
      </c>
      <c r="FZ271">
        <v>6.25</v>
      </c>
      <c r="GA271" t="s">
        <v>424</v>
      </c>
      <c r="GB271" t="s">
        <v>425</v>
      </c>
      <c r="GC271" s="1">
        <v>42661</v>
      </c>
      <c r="GD271">
        <v>5</v>
      </c>
      <c r="GE271">
        <v>2035919</v>
      </c>
      <c r="GF271" t="s">
        <v>507</v>
      </c>
    </row>
    <row r="272" spans="1:236" x14ac:dyDescent="0.25">
      <c r="A272">
        <v>16485279</v>
      </c>
      <c r="B272">
        <v>271</v>
      </c>
      <c r="C272" t="s">
        <v>393</v>
      </c>
      <c r="D272" t="s">
        <v>394</v>
      </c>
      <c r="F272" t="str">
        <f>"23-1N-24-2180-1300-0050"</f>
        <v>23-1N-24-2180-1300-0050</v>
      </c>
      <c r="H272" t="str">
        <f>"STRICKLAND RICHARD G"</f>
        <v>STRICKLAND RICHARD G</v>
      </c>
      <c r="I272" t="str">
        <f>"20 MANOUS CIRCLE"</f>
        <v>20 MANOUS CIRCLE</v>
      </c>
      <c r="J272" t="str">
        <f>"HINESVILLE GA 31313"</f>
        <v>HINESVILLE GA 31313</v>
      </c>
      <c r="K272" t="str">
        <f>"33695 MEADOWS LN"</f>
        <v>33695 MEADOWS LN</v>
      </c>
      <c r="L272" t="str">
        <f t="shared" si="85"/>
        <v>CALLAHAN FL 32011</v>
      </c>
      <c r="M272" t="str">
        <f>"ELY 160 FT OF SLY 272.25 FT OF LOT 1300 &amp; S-2 OF LOT 1301 IN OR 1898/1680 R359628 &amp; R433519 &amp; R787922 TOWN OF CRAWFORD"</f>
        <v>ELY 160 FT OF SLY 272.25 FT OF LOT 1300 &amp; S-2 OF LOT 1301 IN OR 1898/1680 R359628 &amp; R433519 &amp; R787922 TOWN OF CRAWFORD</v>
      </c>
      <c r="N272" t="str">
        <f>""</f>
        <v/>
      </c>
      <c r="O272" t="str">
        <f>"33980"</f>
        <v>33980</v>
      </c>
      <c r="P272" t="str">
        <f t="shared" si="82"/>
        <v>2017</v>
      </c>
      <c r="Q272" t="str">
        <f>""</f>
        <v/>
      </c>
      <c r="R272" t="str">
        <f t="shared" si="86"/>
        <v>N</v>
      </c>
      <c r="S272" t="str">
        <f>"1.29"</f>
        <v>1.29</v>
      </c>
      <c r="T272" t="str">
        <f>"313.69"</f>
        <v>313.69</v>
      </c>
      <c r="U272" t="str">
        <f>"20174.00"</f>
        <v>20174.00</v>
      </c>
      <c r="V272" t="str">
        <f>"20174.00"</f>
        <v>20174.00</v>
      </c>
      <c r="W272" t="str">
        <f t="shared" si="83"/>
        <v>2017</v>
      </c>
      <c r="X272" t="str">
        <f>""</f>
        <v/>
      </c>
      <c r="Y272" t="str">
        <f>"355.10"</f>
        <v>355.10</v>
      </c>
      <c r="Z272" t="str">
        <f>""</f>
        <v/>
      </c>
      <c r="AA272" t="str">
        <f>"21427.00"</f>
        <v>21427.00</v>
      </c>
      <c r="AB272" t="str">
        <f t="shared" si="77"/>
        <v>Residential</v>
      </c>
      <c r="AC272" t="str">
        <f t="shared" si="84"/>
        <v>0</v>
      </c>
      <c r="AD272" t="str">
        <f>"4"</f>
        <v>4</v>
      </c>
      <c r="AE272" t="str">
        <f>"WOOD (INCLUDE STEEL STUDS)"</f>
        <v>WOOD (INCLUDE STEEL STUDS)</v>
      </c>
      <c r="AF272" t="str">
        <f>"002"</f>
        <v>002</v>
      </c>
      <c r="AG272" t="str">
        <f>"GA"</f>
        <v>GA</v>
      </c>
      <c r="AH272" t="str">
        <f>"56192.00"</f>
        <v>56192.00</v>
      </c>
      <c r="AI272" t="str">
        <f>"15435.00"</f>
        <v>15435.00</v>
      </c>
      <c r="AJ272" t="str">
        <f>"C55-000-587-3145-6"</f>
        <v>C55-000-587-3145-6</v>
      </c>
      <c r="AK272" t="str">
        <f>"3994"</f>
        <v>3994</v>
      </c>
      <c r="AL272">
        <v>1</v>
      </c>
      <c r="AM272">
        <v>310</v>
      </c>
      <c r="AN272">
        <v>371.26</v>
      </c>
      <c r="AQ272" t="s">
        <v>3154</v>
      </c>
      <c r="AR272" t="s">
        <v>3154</v>
      </c>
      <c r="AS272" t="s">
        <v>3154</v>
      </c>
      <c r="AU272" t="s">
        <v>396</v>
      </c>
      <c r="AV272">
        <v>2017</v>
      </c>
      <c r="AW272" t="str">
        <f>"23-1N-24-2180-1300-0050 "</f>
        <v xml:space="preserve">23-1N-24-2180-1300-0050 </v>
      </c>
      <c r="AX272">
        <v>33695</v>
      </c>
      <c r="AZ272" t="s">
        <v>3132</v>
      </c>
      <c r="BA272" t="s">
        <v>653</v>
      </c>
      <c r="BD272" t="s">
        <v>2785</v>
      </c>
      <c r="BE272" t="s">
        <v>393</v>
      </c>
      <c r="BF272">
        <v>32011</v>
      </c>
      <c r="BG272" t="s">
        <v>3155</v>
      </c>
      <c r="BH272" t="s">
        <v>2787</v>
      </c>
      <c r="BI272">
        <v>-81.868942625026904</v>
      </c>
      <c r="BJ272">
        <v>30.486033763985699</v>
      </c>
      <c r="BK272" t="s">
        <v>3156</v>
      </c>
      <c r="BM272" t="s">
        <v>3157</v>
      </c>
      <c r="BN272" t="s">
        <v>3158</v>
      </c>
      <c r="BO272">
        <v>31313</v>
      </c>
      <c r="BP272" t="s">
        <v>404</v>
      </c>
      <c r="BQ272">
        <v>200</v>
      </c>
      <c r="BR272" t="s">
        <v>405</v>
      </c>
      <c r="BS272">
        <v>1006</v>
      </c>
      <c r="BT272" t="s">
        <v>406</v>
      </c>
      <c r="BW272">
        <v>56192</v>
      </c>
      <c r="BX272" t="s">
        <v>407</v>
      </c>
      <c r="BY272" t="s">
        <v>408</v>
      </c>
      <c r="BZ272">
        <v>4</v>
      </c>
      <c r="CA272">
        <v>1983</v>
      </c>
      <c r="CB272">
        <v>1</v>
      </c>
      <c r="CC272">
        <v>1</v>
      </c>
      <c r="CD272">
        <v>2017</v>
      </c>
      <c r="CE272">
        <v>15435</v>
      </c>
      <c r="CF272">
        <v>5992</v>
      </c>
      <c r="CG272">
        <v>21427</v>
      </c>
      <c r="CH272">
        <v>2017</v>
      </c>
      <c r="CI272">
        <v>15435</v>
      </c>
      <c r="CJ272">
        <v>5992</v>
      </c>
      <c r="CK272">
        <v>21427</v>
      </c>
      <c r="CL272">
        <v>2017</v>
      </c>
      <c r="CM272">
        <v>313.69</v>
      </c>
      <c r="CN272" s="1">
        <v>41660</v>
      </c>
      <c r="CZ272" s="1">
        <v>41660</v>
      </c>
      <c r="DD272" t="s">
        <v>2785</v>
      </c>
      <c r="DG272">
        <v>23</v>
      </c>
      <c r="DL272">
        <v>50504</v>
      </c>
      <c r="DM272" t="s">
        <v>3107</v>
      </c>
      <c r="DO272" t="s">
        <v>3159</v>
      </c>
      <c r="DP272">
        <v>0</v>
      </c>
      <c r="DQ272">
        <v>0</v>
      </c>
      <c r="DR272" t="s">
        <v>411</v>
      </c>
    </row>
    <row r="273" spans="1:284" x14ac:dyDescent="0.25">
      <c r="A273">
        <v>16485280</v>
      </c>
      <c r="B273">
        <v>272</v>
      </c>
      <c r="C273" t="s">
        <v>393</v>
      </c>
      <c r="D273" t="s">
        <v>394</v>
      </c>
      <c r="F273" t="str">
        <f>"23-1N-24-2180-1300-0070"</f>
        <v>23-1N-24-2180-1300-0070</v>
      </c>
      <c r="H273" t="str">
        <f>"TRUGLIO JOSEPH"</f>
        <v>TRUGLIO JOSEPH</v>
      </c>
      <c r="I273" t="str">
        <f>"55211 SPENCERVILLE ROAD"</f>
        <v>55211 SPENCERVILLE ROAD</v>
      </c>
      <c r="J273" t="str">
        <f>"CALLAHAN FL 32011"</f>
        <v>CALLAHAN FL 32011</v>
      </c>
      <c r="K273" t="str">
        <f>"MEADOWS LN"</f>
        <v>MEADOWS LN</v>
      </c>
      <c r="L273" t="str">
        <f t="shared" si="85"/>
        <v>CALLAHAN FL 32011</v>
      </c>
      <c r="M273" t="str">
        <f>"PT OF LOT 1300 (S-7) PT OR 2119/880 TOWN OF CRAWFORD SUB"</f>
        <v>PT OF LOT 1300 (S-7) PT OR 2119/880 TOWN OF CRAWFORD SUB</v>
      </c>
      <c r="N273" t="str">
        <f>""</f>
        <v/>
      </c>
      <c r="O273" t="str">
        <f>"33982"</f>
        <v>33982</v>
      </c>
      <c r="P273" t="str">
        <f t="shared" si="82"/>
        <v>2017</v>
      </c>
      <c r="Q273" t="str">
        <f>""</f>
        <v/>
      </c>
      <c r="R273" t="str">
        <f t="shared" si="86"/>
        <v>N</v>
      </c>
      <c r="S273" t="str">
        <f>"1.86"</f>
        <v>1.86</v>
      </c>
      <c r="T273" t="str">
        <f>"346.46"</f>
        <v>346.46</v>
      </c>
      <c r="U273" t="str">
        <f>"21166.00"</f>
        <v>21166.00</v>
      </c>
      <c r="V273" t="str">
        <f>"21166.00"</f>
        <v>21166.00</v>
      </c>
      <c r="W273" t="str">
        <f t="shared" si="83"/>
        <v>2017</v>
      </c>
      <c r="X273" t="str">
        <f>"5.75"</f>
        <v>5.75</v>
      </c>
      <c r="Y273" t="str">
        <f>"388.85"</f>
        <v>388.85</v>
      </c>
      <c r="Z273" t="str">
        <f>""</f>
        <v/>
      </c>
      <c r="AA273" t="str">
        <f>"25110.00"</f>
        <v>25110.00</v>
      </c>
      <c r="AB273" t="str">
        <f t="shared" si="77"/>
        <v>Residential</v>
      </c>
      <c r="AC273" t="str">
        <f t="shared" si="84"/>
        <v>0</v>
      </c>
      <c r="AD273" t="str">
        <f>""</f>
        <v/>
      </c>
      <c r="AE273" t="str">
        <f>""</f>
        <v/>
      </c>
      <c r="AF273" t="str">
        <f>"000"</f>
        <v>000</v>
      </c>
      <c r="AG273" t="str">
        <f t="shared" ref="AG273:AG296" si="87">"FL"</f>
        <v>FL</v>
      </c>
      <c r="AH273" t="str">
        <f>"81021.00"</f>
        <v>81021.00</v>
      </c>
      <c r="AI273" t="str">
        <f>"25110.00"</f>
        <v>25110.00</v>
      </c>
      <c r="AJ273" t="str">
        <f>"C55-000-589-0018-4"</f>
        <v>C55-000-589-0018-4</v>
      </c>
      <c r="AK273" t="str">
        <f>"3996"</f>
        <v>3996</v>
      </c>
      <c r="AL273">
        <v>1</v>
      </c>
      <c r="AM273">
        <v>312</v>
      </c>
      <c r="AN273">
        <v>406.69</v>
      </c>
      <c r="AQ273" t="s">
        <v>3160</v>
      </c>
      <c r="AR273" t="s">
        <v>3160</v>
      </c>
      <c r="AS273" t="s">
        <v>3160</v>
      </c>
      <c r="AU273" t="s">
        <v>396</v>
      </c>
      <c r="AV273">
        <v>2017</v>
      </c>
      <c r="AW273" t="str">
        <f>"23-1N-24-2180-1300-0070 "</f>
        <v xml:space="preserve">23-1N-24-2180-1300-0070 </v>
      </c>
      <c r="AZ273" t="s">
        <v>3132</v>
      </c>
      <c r="BA273" t="s">
        <v>653</v>
      </c>
      <c r="BD273" t="s">
        <v>2785</v>
      </c>
      <c r="BE273" t="s">
        <v>393</v>
      </c>
      <c r="BF273">
        <v>32011</v>
      </c>
      <c r="BG273" t="s">
        <v>3133</v>
      </c>
      <c r="BH273" t="s">
        <v>2787</v>
      </c>
      <c r="BI273">
        <v>-81.869126844906305</v>
      </c>
      <c r="BJ273">
        <v>30.4868129797762</v>
      </c>
      <c r="BK273" t="s">
        <v>3134</v>
      </c>
      <c r="BM273" t="s">
        <v>3161</v>
      </c>
      <c r="BN273" t="s">
        <v>3162</v>
      </c>
      <c r="BO273">
        <v>33801</v>
      </c>
      <c r="BP273" t="s">
        <v>404</v>
      </c>
      <c r="BQ273">
        <v>0</v>
      </c>
      <c r="BR273" t="s">
        <v>491</v>
      </c>
      <c r="BS273">
        <v>8001</v>
      </c>
      <c r="BT273" t="s">
        <v>492</v>
      </c>
      <c r="BW273">
        <v>81021</v>
      </c>
      <c r="BX273" t="s">
        <v>407</v>
      </c>
      <c r="BY273" t="s">
        <v>408</v>
      </c>
      <c r="CD273">
        <v>2017</v>
      </c>
      <c r="CE273">
        <v>25110</v>
      </c>
      <c r="CG273">
        <v>25110</v>
      </c>
      <c r="CH273">
        <v>2017</v>
      </c>
      <c r="CI273">
        <v>25110</v>
      </c>
      <c r="CK273">
        <v>25110</v>
      </c>
      <c r="CL273">
        <v>2017</v>
      </c>
      <c r="CM273">
        <v>346.46</v>
      </c>
      <c r="CN273" s="1">
        <v>40003</v>
      </c>
      <c r="CO273">
        <v>50000</v>
      </c>
      <c r="CV273">
        <v>0</v>
      </c>
      <c r="CZ273" s="1">
        <v>40003</v>
      </c>
      <c r="DA273">
        <v>0</v>
      </c>
      <c r="DD273" t="s">
        <v>2785</v>
      </c>
      <c r="DF273">
        <v>1300</v>
      </c>
      <c r="DG273">
        <v>23</v>
      </c>
      <c r="DL273">
        <v>50504</v>
      </c>
      <c r="DM273" t="s">
        <v>3107</v>
      </c>
      <c r="DO273" t="s">
        <v>3163</v>
      </c>
      <c r="DP273">
        <v>0</v>
      </c>
      <c r="DQ273">
        <v>0</v>
      </c>
      <c r="DR273" t="s">
        <v>411</v>
      </c>
      <c r="DS273" t="b">
        <v>1</v>
      </c>
      <c r="DT273" t="s">
        <v>470</v>
      </c>
      <c r="DU273" t="s">
        <v>471</v>
      </c>
      <c r="DV273" t="s">
        <v>472</v>
      </c>
      <c r="DX273">
        <v>-9999</v>
      </c>
      <c r="DZ273" t="s">
        <v>447</v>
      </c>
      <c r="EA273" t="s">
        <v>448</v>
      </c>
      <c r="EB273" t="s">
        <v>742</v>
      </c>
      <c r="EC273">
        <v>20101217</v>
      </c>
      <c r="ED273" t="s">
        <v>474</v>
      </c>
      <c r="EF273">
        <v>1419.3</v>
      </c>
      <c r="EG273">
        <v>1419.3</v>
      </c>
      <c r="EI273">
        <v>20160407</v>
      </c>
      <c r="EJ273">
        <v>0</v>
      </c>
      <c r="EK273">
        <v>0</v>
      </c>
      <c r="EP273" t="s">
        <v>421</v>
      </c>
      <c r="EQ273" t="s">
        <v>422</v>
      </c>
      <c r="ER273">
        <v>3</v>
      </c>
      <c r="ES273">
        <v>3</v>
      </c>
      <c r="ET273">
        <v>1031.77</v>
      </c>
      <c r="EU273">
        <v>75.63</v>
      </c>
      <c r="EV273">
        <v>1107.4000000000001</v>
      </c>
      <c r="EW273" s="2">
        <v>43222</v>
      </c>
      <c r="EX273" s="1">
        <v>42879</v>
      </c>
      <c r="EY273">
        <v>2016</v>
      </c>
      <c r="EZ273">
        <v>352.67</v>
      </c>
      <c r="FA273" t="s">
        <v>3164</v>
      </c>
      <c r="FB273">
        <v>6.5</v>
      </c>
      <c r="FC273" t="s">
        <v>424</v>
      </c>
      <c r="FD273" t="s">
        <v>454</v>
      </c>
      <c r="FF273">
        <v>12</v>
      </c>
      <c r="FG273">
        <v>10125</v>
      </c>
      <c r="FH273" t="s">
        <v>440</v>
      </c>
      <c r="FJ273" s="1">
        <v>42515</v>
      </c>
      <c r="FK273">
        <v>2015</v>
      </c>
      <c r="FL273">
        <v>339.55</v>
      </c>
      <c r="FM273" t="s">
        <v>3165</v>
      </c>
      <c r="FN273">
        <v>0.25</v>
      </c>
      <c r="FO273" t="s">
        <v>424</v>
      </c>
      <c r="FP273" t="s">
        <v>454</v>
      </c>
      <c r="FR273">
        <v>24</v>
      </c>
      <c r="FS273">
        <v>7336671</v>
      </c>
      <c r="FT273" t="s">
        <v>437</v>
      </c>
      <c r="FV273" s="1">
        <v>42515</v>
      </c>
      <c r="FW273">
        <v>2015</v>
      </c>
      <c r="FX273">
        <v>339.55</v>
      </c>
      <c r="FY273" t="s">
        <v>3165</v>
      </c>
      <c r="FZ273">
        <v>0.25</v>
      </c>
      <c r="GA273" t="s">
        <v>424</v>
      </c>
      <c r="GB273" t="s">
        <v>454</v>
      </c>
      <c r="GD273">
        <v>24</v>
      </c>
      <c r="GE273">
        <v>7016078</v>
      </c>
      <c r="GF273" t="s">
        <v>3166</v>
      </c>
      <c r="GH273" s="1">
        <v>42151</v>
      </c>
      <c r="GI273">
        <v>2014</v>
      </c>
      <c r="GJ273">
        <v>293.81</v>
      </c>
      <c r="GK273" t="s">
        <v>3167</v>
      </c>
      <c r="GL273">
        <v>0.25</v>
      </c>
      <c r="GM273" t="s">
        <v>424</v>
      </c>
      <c r="GN273" t="s">
        <v>425</v>
      </c>
      <c r="GO273" s="1">
        <v>42240</v>
      </c>
      <c r="GP273">
        <v>3</v>
      </c>
      <c r="GQ273">
        <v>13026</v>
      </c>
      <c r="GR273" t="s">
        <v>2129</v>
      </c>
      <c r="GT273" s="1">
        <v>42151</v>
      </c>
      <c r="GU273">
        <v>2014</v>
      </c>
      <c r="GV273">
        <v>293.81</v>
      </c>
      <c r="GW273" t="s">
        <v>3167</v>
      </c>
      <c r="GX273">
        <v>0.25</v>
      </c>
      <c r="GY273" t="s">
        <v>424</v>
      </c>
      <c r="GZ273" t="s">
        <v>425</v>
      </c>
      <c r="HB273">
        <v>22</v>
      </c>
      <c r="HC273">
        <v>4699360</v>
      </c>
      <c r="HD273" t="s">
        <v>3168</v>
      </c>
      <c r="HF273" s="1">
        <v>41423</v>
      </c>
      <c r="HG273">
        <v>2012</v>
      </c>
      <c r="HH273">
        <v>305.77</v>
      </c>
      <c r="HI273" t="s">
        <v>3169</v>
      </c>
      <c r="HJ273">
        <v>5.75</v>
      </c>
      <c r="HK273" t="s">
        <v>424</v>
      </c>
      <c r="HL273" t="s">
        <v>425</v>
      </c>
      <c r="HM273" s="1">
        <v>41646</v>
      </c>
      <c r="HN273">
        <v>8</v>
      </c>
      <c r="HO273">
        <v>2101381</v>
      </c>
      <c r="HP273" t="s">
        <v>605</v>
      </c>
    </row>
    <row r="274" spans="1:284" x14ac:dyDescent="0.25">
      <c r="A274">
        <v>16485281</v>
      </c>
      <c r="B274">
        <v>273</v>
      </c>
      <c r="C274" t="s">
        <v>393</v>
      </c>
      <c r="D274" t="s">
        <v>394</v>
      </c>
      <c r="F274" t="str">
        <f>"23-1N-24-2180-1307-0000"</f>
        <v>23-1N-24-2180-1307-0000</v>
      </c>
      <c r="H274" t="str">
        <f>"TRUGLIO JOSEPH ANTHONY"</f>
        <v>TRUGLIO JOSEPH ANTHONY</v>
      </c>
      <c r="I274" t="str">
        <f>"55211 SPENCERVILLE ROAD"</f>
        <v>55211 SPENCERVILLE ROAD</v>
      </c>
      <c r="J274" t="str">
        <f>"CALLAHAN FL 32011"</f>
        <v>CALLAHAN FL 32011</v>
      </c>
      <c r="K274" t="str">
        <f>"MEADOWS LN"</f>
        <v>MEADOWS LN</v>
      </c>
      <c r="L274" t="str">
        <f t="shared" si="85"/>
        <v>CALLAHAN FL 32011</v>
      </c>
      <c r="M274" t="str">
        <f>"LOT 1307 &amp; E1/2 OF ABND R/W LYING W THEREOF BY RES 1987-48 TOWN OF CRAWFORD S/D IN SEC 23-1N-24E"</f>
        <v>LOT 1307 &amp; E1/2 OF ABND R/W LYING W THEREOF BY RES 1987-48 TOWN OF CRAWFORD S/D IN SEC 23-1N-24E</v>
      </c>
      <c r="N274" t="str">
        <f>""</f>
        <v/>
      </c>
      <c r="O274" t="str">
        <f>"33992"</f>
        <v>33992</v>
      </c>
      <c r="P274" t="str">
        <f t="shared" si="82"/>
        <v>2017</v>
      </c>
      <c r="Q274" t="str">
        <f>""</f>
        <v/>
      </c>
      <c r="R274" t="str">
        <f t="shared" si="86"/>
        <v>N</v>
      </c>
      <c r="S274" t="str">
        <f>"10.18"</f>
        <v>10.18</v>
      </c>
      <c r="T274" t="str">
        <f>"924.68"</f>
        <v>924.68</v>
      </c>
      <c r="U274" t="str">
        <f>"61080.00"</f>
        <v>61080.00</v>
      </c>
      <c r="V274" t="str">
        <f>"61080.00"</f>
        <v>61080.00</v>
      </c>
      <c r="W274" t="str">
        <f t="shared" si="83"/>
        <v>2017</v>
      </c>
      <c r="X274" t="str">
        <f>"10.25"</f>
        <v>10.25</v>
      </c>
      <c r="Y274" t="str">
        <f>"984.42"</f>
        <v>984.42</v>
      </c>
      <c r="Z274" t="str">
        <f>""</f>
        <v/>
      </c>
      <c r="AA274" t="str">
        <f>"61080.00"</f>
        <v>61080.00</v>
      </c>
      <c r="AB274" t="str">
        <f t="shared" si="77"/>
        <v>Residential</v>
      </c>
      <c r="AC274" t="str">
        <f t="shared" si="84"/>
        <v>0</v>
      </c>
      <c r="AD274" t="str">
        <f>""</f>
        <v/>
      </c>
      <c r="AE274" t="str">
        <f>""</f>
        <v/>
      </c>
      <c r="AF274" t="str">
        <f>"000"</f>
        <v>000</v>
      </c>
      <c r="AG274" t="str">
        <f t="shared" si="87"/>
        <v>FL</v>
      </c>
      <c r="AH274" t="str">
        <f>"443440.00"</f>
        <v>443440.00</v>
      </c>
      <c r="AI274" t="str">
        <f>"61080.00"</f>
        <v>61080.00</v>
      </c>
      <c r="AJ274" t="str">
        <f>"C55-000-588-8602-9"</f>
        <v>C55-000-588-8602-9</v>
      </c>
      <c r="AK274" t="str">
        <f>"4005"</f>
        <v>4005</v>
      </c>
      <c r="AL274">
        <v>1</v>
      </c>
      <c r="AM274">
        <v>313</v>
      </c>
      <c r="AN274">
        <v>1032.04</v>
      </c>
      <c r="AQ274" t="s">
        <v>3170</v>
      </c>
      <c r="AR274" t="s">
        <v>3170</v>
      </c>
      <c r="AS274" t="s">
        <v>3170</v>
      </c>
      <c r="AU274" t="s">
        <v>396</v>
      </c>
      <c r="AV274">
        <v>2017</v>
      </c>
      <c r="AW274" t="str">
        <f>"23-1N-24-2180-1307-0000 "</f>
        <v xml:space="preserve">23-1N-24-2180-1307-0000 </v>
      </c>
      <c r="AZ274" t="s">
        <v>3132</v>
      </c>
      <c r="BA274" t="s">
        <v>653</v>
      </c>
      <c r="BD274" t="s">
        <v>2785</v>
      </c>
      <c r="BE274" t="s">
        <v>393</v>
      </c>
      <c r="BF274">
        <v>32011</v>
      </c>
      <c r="BG274" t="s">
        <v>3133</v>
      </c>
      <c r="BH274" t="s">
        <v>2787</v>
      </c>
      <c r="BI274">
        <v>-81.878372251919302</v>
      </c>
      <c r="BJ274">
        <v>30.484521199224201</v>
      </c>
      <c r="BK274" t="s">
        <v>3134</v>
      </c>
      <c r="BL274" t="s">
        <v>3135</v>
      </c>
      <c r="BM274" t="s">
        <v>3136</v>
      </c>
      <c r="BN274" t="s">
        <v>928</v>
      </c>
      <c r="BO274">
        <v>32011</v>
      </c>
      <c r="BP274" t="s">
        <v>404</v>
      </c>
      <c r="BQ274">
        <v>0</v>
      </c>
      <c r="BR274" t="s">
        <v>491</v>
      </c>
      <c r="BS274">
        <v>8001</v>
      </c>
      <c r="BT274" t="s">
        <v>492</v>
      </c>
      <c r="BW274">
        <v>443440</v>
      </c>
      <c r="BX274" t="s">
        <v>407</v>
      </c>
      <c r="CD274">
        <v>2017</v>
      </c>
      <c r="CE274">
        <v>61080</v>
      </c>
      <c r="CG274">
        <v>61080</v>
      </c>
      <c r="CH274">
        <v>2017</v>
      </c>
      <c r="CI274">
        <v>61080</v>
      </c>
      <c r="CK274">
        <v>61080</v>
      </c>
      <c r="CL274">
        <v>2017</v>
      </c>
      <c r="CM274">
        <v>924.68</v>
      </c>
      <c r="CN274" s="1">
        <v>38825</v>
      </c>
      <c r="CO274">
        <v>80000</v>
      </c>
      <c r="CV274">
        <v>0</v>
      </c>
      <c r="CZ274" s="1">
        <v>38825</v>
      </c>
      <c r="DA274">
        <v>0</v>
      </c>
      <c r="DD274" t="s">
        <v>2785</v>
      </c>
      <c r="DF274">
        <v>1307</v>
      </c>
      <c r="DG274">
        <v>23</v>
      </c>
      <c r="DL274">
        <v>50504</v>
      </c>
      <c r="DM274" t="s">
        <v>3107</v>
      </c>
      <c r="DO274" t="s">
        <v>3171</v>
      </c>
      <c r="DP274">
        <v>0</v>
      </c>
      <c r="DQ274">
        <v>0</v>
      </c>
      <c r="DR274" t="s">
        <v>411</v>
      </c>
      <c r="DS274" t="b">
        <v>1</v>
      </c>
      <c r="DT274" t="s">
        <v>470</v>
      </c>
      <c r="DU274" t="s">
        <v>471</v>
      </c>
      <c r="DV274" t="s">
        <v>472</v>
      </c>
      <c r="DX274">
        <v>-9999</v>
      </c>
      <c r="DZ274" t="s">
        <v>447</v>
      </c>
      <c r="EA274" t="s">
        <v>448</v>
      </c>
      <c r="EB274" t="s">
        <v>742</v>
      </c>
      <c r="EC274">
        <v>20101217</v>
      </c>
      <c r="ED274" t="s">
        <v>474</v>
      </c>
      <c r="EF274">
        <v>2211.5</v>
      </c>
      <c r="EG274">
        <v>2211.5</v>
      </c>
      <c r="EI274">
        <v>20160407</v>
      </c>
      <c r="EJ274">
        <v>0</v>
      </c>
      <c r="EK274">
        <v>0</v>
      </c>
      <c r="EP274" t="s">
        <v>421</v>
      </c>
      <c r="EQ274" t="s">
        <v>422</v>
      </c>
      <c r="ER274">
        <v>3</v>
      </c>
      <c r="ES274">
        <v>4</v>
      </c>
      <c r="ET274">
        <v>3068.05</v>
      </c>
      <c r="EU274">
        <v>172.15</v>
      </c>
      <c r="EV274">
        <v>3240.2</v>
      </c>
      <c r="EW274" s="2">
        <v>43222</v>
      </c>
      <c r="EX274" s="1">
        <v>42879</v>
      </c>
      <c r="EY274">
        <v>2016</v>
      </c>
      <c r="EZ274">
        <v>1041.05</v>
      </c>
      <c r="FA274" t="s">
        <v>3172</v>
      </c>
      <c r="FB274">
        <v>0.25</v>
      </c>
      <c r="FC274" t="s">
        <v>424</v>
      </c>
      <c r="FD274" t="s">
        <v>454</v>
      </c>
      <c r="FF274">
        <v>12</v>
      </c>
      <c r="FG274">
        <v>7336745</v>
      </c>
      <c r="FH274" t="s">
        <v>502</v>
      </c>
      <c r="FJ274" s="1">
        <v>42515</v>
      </c>
      <c r="FK274">
        <v>2015</v>
      </c>
      <c r="FL274">
        <v>1013.5</v>
      </c>
      <c r="FM274" t="s">
        <v>3173</v>
      </c>
      <c r="FN274">
        <v>0.25</v>
      </c>
      <c r="FO274" t="s">
        <v>424</v>
      </c>
      <c r="FP274" t="s">
        <v>454</v>
      </c>
      <c r="FR274">
        <v>24</v>
      </c>
      <c r="FS274">
        <v>2851116</v>
      </c>
      <c r="FT274" t="s">
        <v>480</v>
      </c>
      <c r="FV274" s="1">
        <v>42515</v>
      </c>
      <c r="FW274">
        <v>2015</v>
      </c>
      <c r="FX274">
        <v>1013.5</v>
      </c>
      <c r="FY274" t="s">
        <v>3173</v>
      </c>
      <c r="FZ274">
        <v>0.25</v>
      </c>
      <c r="GA274" t="s">
        <v>424</v>
      </c>
      <c r="GB274" t="s">
        <v>454</v>
      </c>
      <c r="GD274">
        <v>24</v>
      </c>
      <c r="GE274">
        <v>5499832</v>
      </c>
      <c r="GF274" t="s">
        <v>3174</v>
      </c>
      <c r="GH274" s="1">
        <v>42151</v>
      </c>
      <c r="GI274">
        <v>2014</v>
      </c>
      <c r="GJ274">
        <v>891.94</v>
      </c>
      <c r="GK274" t="s">
        <v>3175</v>
      </c>
      <c r="GL274">
        <v>4.75</v>
      </c>
      <c r="GM274" t="s">
        <v>424</v>
      </c>
      <c r="GN274" t="s">
        <v>425</v>
      </c>
      <c r="GO274" s="1">
        <v>42240</v>
      </c>
      <c r="GP274">
        <v>3</v>
      </c>
      <c r="GQ274">
        <v>4975593</v>
      </c>
      <c r="GR274" t="s">
        <v>505</v>
      </c>
      <c r="GT274" s="1">
        <v>41787</v>
      </c>
      <c r="GU274">
        <v>2013</v>
      </c>
      <c r="GV274">
        <v>984.38</v>
      </c>
      <c r="GW274" t="s">
        <v>3176</v>
      </c>
      <c r="GX274">
        <v>6.75</v>
      </c>
      <c r="GY274" t="s">
        <v>424</v>
      </c>
      <c r="GZ274" t="s">
        <v>425</v>
      </c>
      <c r="HA274" s="1">
        <v>42151</v>
      </c>
      <c r="HB274">
        <v>12</v>
      </c>
      <c r="HC274">
        <v>2035919</v>
      </c>
      <c r="HD274" t="s">
        <v>507</v>
      </c>
      <c r="HF274" s="1">
        <v>41423</v>
      </c>
      <c r="HG274">
        <v>2012</v>
      </c>
      <c r="HH274">
        <v>884.9</v>
      </c>
      <c r="HI274" t="s">
        <v>3177</v>
      </c>
      <c r="HJ274">
        <v>0.25</v>
      </c>
      <c r="HK274" t="s">
        <v>424</v>
      </c>
      <c r="HL274" t="s">
        <v>425</v>
      </c>
      <c r="HM274" s="1">
        <v>42151</v>
      </c>
      <c r="HN274">
        <v>24</v>
      </c>
      <c r="HO274">
        <v>11340</v>
      </c>
      <c r="HP274" t="s">
        <v>1230</v>
      </c>
      <c r="HR274" s="1">
        <v>40688</v>
      </c>
      <c r="HS274">
        <v>2010</v>
      </c>
      <c r="HT274">
        <v>1164.48</v>
      </c>
      <c r="HU274" t="s">
        <v>3178</v>
      </c>
      <c r="HV274">
        <v>8.25</v>
      </c>
      <c r="HW274" t="s">
        <v>424</v>
      </c>
      <c r="HX274" t="s">
        <v>425</v>
      </c>
      <c r="HY274" s="1">
        <v>40735</v>
      </c>
      <c r="HZ274">
        <v>2</v>
      </c>
      <c r="IA274">
        <v>10548</v>
      </c>
      <c r="IB274" t="s">
        <v>589</v>
      </c>
    </row>
    <row r="275" spans="1:284" x14ac:dyDescent="0.25">
      <c r="A275">
        <v>16485282</v>
      </c>
      <c r="B275">
        <v>274</v>
      </c>
      <c r="C275" t="s">
        <v>393</v>
      </c>
      <c r="D275" t="s">
        <v>394</v>
      </c>
      <c r="F275" t="str">
        <f>"24-1N-24-0150-0001-0000"</f>
        <v>24-1N-24-0150-0001-0000</v>
      </c>
      <c r="H275" t="str">
        <f>"NIGHTINGALE THATCHER C"</f>
        <v>NIGHTINGALE THATCHER C</v>
      </c>
      <c r="I275" t="str">
        <f>"43235 BLAIR CT"</f>
        <v>43235 BLAIR CT</v>
      </c>
      <c r="J275" t="str">
        <f>"CALLAHAN FL 32011"</f>
        <v>CALLAHAN FL 32011</v>
      </c>
      <c r="K275" t="str">
        <f>"43235 BLAIR CT"</f>
        <v>43235 BLAIR CT</v>
      </c>
      <c r="L275" t="str">
        <f t="shared" si="85"/>
        <v>CALLAHAN FL 32011</v>
      </c>
      <c r="M275" t="str">
        <f>"LOTS 1 (EX S-1) &amp; 13 IN OR 1830/773 ESMT OR 1717/1499 1996 CLAY SW/MH BROOK BLAIR EST PB 5/390"</f>
        <v>LOTS 1 (EX S-1) &amp; 13 IN OR 1830/773 ESMT OR 1717/1499 1996 CLAY SW/MH BROOK BLAIR EST PB 5/390</v>
      </c>
      <c r="N275" t="str">
        <f>""</f>
        <v/>
      </c>
      <c r="O275" t="str">
        <f>"34340"</f>
        <v>34340</v>
      </c>
      <c r="P275" t="str">
        <f t="shared" si="82"/>
        <v>2017</v>
      </c>
      <c r="Q275" t="str">
        <f>""</f>
        <v/>
      </c>
      <c r="R275" t="str">
        <f>"Y"</f>
        <v>Y</v>
      </c>
      <c r="S275" t="str">
        <f>"18.16"</f>
        <v>18.16</v>
      </c>
      <c r="T275" t="str">
        <f>"279.81"</f>
        <v>279.81</v>
      </c>
      <c r="U275" t="str">
        <f>"43483.00"</f>
        <v>43483.00</v>
      </c>
      <c r="V275" t="str">
        <f>"43483.00"</f>
        <v>43483.00</v>
      </c>
      <c r="W275" t="str">
        <f t="shared" si="83"/>
        <v>2017</v>
      </c>
      <c r="X275" t="str">
        <f>"2.75"</f>
        <v>2.75</v>
      </c>
      <c r="Y275" t="str">
        <f>"320.20"</f>
        <v>320.20</v>
      </c>
      <c r="Z275" t="str">
        <f>"25000.00"</f>
        <v>25000.00</v>
      </c>
      <c r="AA275" t="str">
        <f>"18483.00"</f>
        <v>18483.00</v>
      </c>
      <c r="AB275" t="str">
        <f>"Agricultural"</f>
        <v>Agricultural</v>
      </c>
      <c r="AC275" t="str">
        <f t="shared" si="84"/>
        <v>0</v>
      </c>
      <c r="AD275" t="str">
        <f>"4"</f>
        <v>4</v>
      </c>
      <c r="AE275" t="str">
        <f>"WOOD (INCLUDE STEEL STUDS)"</f>
        <v>WOOD (INCLUDE STEEL STUDS)</v>
      </c>
      <c r="AF275" t="str">
        <f>"055"</f>
        <v>055</v>
      </c>
      <c r="AG275" t="str">
        <f t="shared" si="87"/>
        <v>FL</v>
      </c>
      <c r="AH275" t="str">
        <f>"791049.00"</f>
        <v>791049.00</v>
      </c>
      <c r="AI275" t="str">
        <f>"26567.00"</f>
        <v>26567.00</v>
      </c>
      <c r="AJ275" t="str">
        <f>"C55-000-587-3424-5"</f>
        <v>C55-000-587-3424-5</v>
      </c>
      <c r="AK275" t="str">
        <f>"4012"</f>
        <v>4012</v>
      </c>
      <c r="AL275">
        <v>1</v>
      </c>
      <c r="AM275">
        <v>314</v>
      </c>
      <c r="AN275">
        <v>334.61</v>
      </c>
      <c r="AQ275" t="s">
        <v>3179</v>
      </c>
      <c r="AR275" t="s">
        <v>3179</v>
      </c>
      <c r="AS275" t="s">
        <v>3179</v>
      </c>
      <c r="AU275" t="s">
        <v>396</v>
      </c>
      <c r="AV275">
        <v>2017</v>
      </c>
      <c r="AW275" t="str">
        <f>"24-1N-24-0150-0001-0000 "</f>
        <v xml:space="preserve">24-1N-24-0150-0001-0000 </v>
      </c>
      <c r="AX275">
        <v>43235</v>
      </c>
      <c r="AZ275" t="s">
        <v>3180</v>
      </c>
      <c r="BA275" t="s">
        <v>3181</v>
      </c>
      <c r="BD275" t="s">
        <v>2785</v>
      </c>
      <c r="BE275" t="s">
        <v>393</v>
      </c>
      <c r="BF275">
        <v>32011</v>
      </c>
      <c r="BG275" t="s">
        <v>3182</v>
      </c>
      <c r="BH275" t="s">
        <v>2787</v>
      </c>
      <c r="BI275">
        <v>-81.846350225052106</v>
      </c>
      <c r="BJ275">
        <v>30.488529789375701</v>
      </c>
      <c r="BK275" t="s">
        <v>3183</v>
      </c>
      <c r="BM275" t="s">
        <v>3182</v>
      </c>
      <c r="BN275" t="s">
        <v>928</v>
      </c>
      <c r="BO275">
        <v>32011</v>
      </c>
      <c r="BP275" t="s">
        <v>416</v>
      </c>
      <c r="BQ275">
        <v>5500</v>
      </c>
      <c r="BR275" t="s">
        <v>1353</v>
      </c>
      <c r="BS275">
        <v>7009</v>
      </c>
      <c r="BT275" t="s">
        <v>418</v>
      </c>
      <c r="BW275">
        <v>791049</v>
      </c>
      <c r="BX275" t="s">
        <v>407</v>
      </c>
      <c r="BY275" t="s">
        <v>408</v>
      </c>
      <c r="BZ275">
        <v>4</v>
      </c>
      <c r="CA275">
        <v>1996</v>
      </c>
      <c r="CC275">
        <v>1</v>
      </c>
      <c r="CD275">
        <v>2017</v>
      </c>
      <c r="CG275">
        <v>43483</v>
      </c>
      <c r="CH275">
        <v>2017</v>
      </c>
      <c r="CI275">
        <v>26567</v>
      </c>
      <c r="CJ275">
        <v>92849</v>
      </c>
      <c r="CK275">
        <v>119416</v>
      </c>
      <c r="CL275">
        <v>2017</v>
      </c>
      <c r="CM275">
        <v>279.81</v>
      </c>
      <c r="CN275" s="1">
        <v>41261</v>
      </c>
      <c r="CO275">
        <v>95000</v>
      </c>
      <c r="CV275">
        <v>95000</v>
      </c>
      <c r="CX275" t="s">
        <v>707</v>
      </c>
      <c r="CZ275" s="1">
        <v>41261</v>
      </c>
      <c r="DA275">
        <v>0</v>
      </c>
      <c r="DD275" t="s">
        <v>2785</v>
      </c>
      <c r="DG275">
        <v>24</v>
      </c>
      <c r="DL275">
        <v>50502</v>
      </c>
      <c r="DM275" t="s">
        <v>3184</v>
      </c>
      <c r="DO275" t="s">
        <v>3185</v>
      </c>
      <c r="DP275">
        <v>0</v>
      </c>
      <c r="DQ275">
        <v>0</v>
      </c>
      <c r="DR275" t="s">
        <v>411</v>
      </c>
      <c r="DS275" t="b">
        <v>1</v>
      </c>
      <c r="DT275" t="s">
        <v>470</v>
      </c>
      <c r="DU275" t="s">
        <v>471</v>
      </c>
      <c r="DV275" t="s">
        <v>472</v>
      </c>
      <c r="DX275">
        <v>-9999</v>
      </c>
      <c r="DZ275" t="s">
        <v>447</v>
      </c>
      <c r="EA275" t="s">
        <v>448</v>
      </c>
      <c r="EB275" t="s">
        <v>742</v>
      </c>
      <c r="EC275">
        <v>20101217</v>
      </c>
      <c r="ED275" t="s">
        <v>474</v>
      </c>
      <c r="EF275">
        <v>755.8</v>
      </c>
      <c r="EG275">
        <v>755.8</v>
      </c>
      <c r="EI275">
        <v>20160407</v>
      </c>
      <c r="EJ275">
        <v>0</v>
      </c>
      <c r="EK275">
        <v>0</v>
      </c>
      <c r="EP275" t="s">
        <v>421</v>
      </c>
      <c r="EQ275" t="s">
        <v>422</v>
      </c>
      <c r="ER275">
        <v>0</v>
      </c>
      <c r="ES275">
        <v>7</v>
      </c>
      <c r="ET275">
        <v>0</v>
      </c>
      <c r="EU275">
        <v>0</v>
      </c>
      <c r="EV275">
        <v>0</v>
      </c>
      <c r="EW275" s="2">
        <v>43222</v>
      </c>
      <c r="EX275" s="1">
        <v>42879</v>
      </c>
      <c r="EY275">
        <v>2016</v>
      </c>
      <c r="EZ275">
        <v>316.52</v>
      </c>
      <c r="FA275" t="s">
        <v>3186</v>
      </c>
      <c r="FB275">
        <v>0.25</v>
      </c>
      <c r="FC275" t="s">
        <v>424</v>
      </c>
      <c r="FD275" t="s">
        <v>425</v>
      </c>
      <c r="FE275" s="1">
        <v>42969</v>
      </c>
      <c r="FF275">
        <v>3</v>
      </c>
      <c r="FG275">
        <v>2851116</v>
      </c>
      <c r="FH275" t="s">
        <v>480</v>
      </c>
      <c r="FJ275" s="1">
        <v>42879</v>
      </c>
      <c r="FK275">
        <v>2016</v>
      </c>
      <c r="FL275">
        <v>316.52</v>
      </c>
      <c r="FM275" t="s">
        <v>3186</v>
      </c>
      <c r="FN275">
        <v>0.25</v>
      </c>
      <c r="FO275" t="s">
        <v>424</v>
      </c>
      <c r="FP275" t="s">
        <v>425</v>
      </c>
      <c r="FR275">
        <v>22</v>
      </c>
      <c r="FS275">
        <v>5751673</v>
      </c>
      <c r="FT275" t="s">
        <v>3187</v>
      </c>
      <c r="FV275" s="1">
        <v>42515</v>
      </c>
      <c r="FW275">
        <v>2015</v>
      </c>
      <c r="FX275">
        <v>309.27999999999997</v>
      </c>
      <c r="FY275" t="s">
        <v>3188</v>
      </c>
      <c r="FZ275">
        <v>0.25</v>
      </c>
      <c r="GA275" t="s">
        <v>424</v>
      </c>
      <c r="GB275" t="s">
        <v>425</v>
      </c>
      <c r="GC275" s="1">
        <v>42604</v>
      </c>
      <c r="GD275">
        <v>3</v>
      </c>
      <c r="GE275">
        <v>2851116</v>
      </c>
      <c r="GF275" t="s">
        <v>480</v>
      </c>
      <c r="GH275" s="1">
        <v>42515</v>
      </c>
      <c r="GI275">
        <v>2015</v>
      </c>
      <c r="GJ275">
        <v>309.27999999999997</v>
      </c>
      <c r="GK275" t="s">
        <v>3188</v>
      </c>
      <c r="GL275">
        <v>0.25</v>
      </c>
      <c r="GM275" t="s">
        <v>424</v>
      </c>
      <c r="GN275" t="s">
        <v>425</v>
      </c>
      <c r="GP275">
        <v>22</v>
      </c>
      <c r="GQ275">
        <v>5743904</v>
      </c>
      <c r="GR275" t="s">
        <v>3189</v>
      </c>
      <c r="GT275" s="1">
        <v>42151</v>
      </c>
      <c r="GU275">
        <v>2014</v>
      </c>
      <c r="GV275">
        <v>303.99</v>
      </c>
      <c r="GW275" t="s">
        <v>3190</v>
      </c>
      <c r="GX275">
        <v>0.25</v>
      </c>
      <c r="GY275" t="s">
        <v>424</v>
      </c>
      <c r="GZ275" t="s">
        <v>425</v>
      </c>
      <c r="HA275" s="1">
        <v>42180</v>
      </c>
      <c r="HB275">
        <v>1</v>
      </c>
      <c r="HC275">
        <v>2851116</v>
      </c>
      <c r="HD275" t="s">
        <v>480</v>
      </c>
      <c r="HF275" s="1">
        <v>42151</v>
      </c>
      <c r="HG275">
        <v>2014</v>
      </c>
      <c r="HH275">
        <v>303.99</v>
      </c>
      <c r="HI275" t="s">
        <v>3190</v>
      </c>
      <c r="HJ275">
        <v>0.25</v>
      </c>
      <c r="HK275" t="s">
        <v>424</v>
      </c>
      <c r="HL275" t="s">
        <v>425</v>
      </c>
      <c r="HN275">
        <v>22</v>
      </c>
      <c r="HO275">
        <v>5012984</v>
      </c>
      <c r="HP275" t="s">
        <v>3191</v>
      </c>
      <c r="HR275" s="1">
        <v>41787</v>
      </c>
      <c r="HS275">
        <v>2013</v>
      </c>
      <c r="HT275">
        <v>365.96</v>
      </c>
      <c r="HU275" t="s">
        <v>3192</v>
      </c>
      <c r="HV275">
        <v>0.25</v>
      </c>
      <c r="HW275" t="s">
        <v>424</v>
      </c>
      <c r="HX275" t="s">
        <v>425</v>
      </c>
      <c r="HY275" s="1">
        <v>41900</v>
      </c>
      <c r="HZ275">
        <v>4</v>
      </c>
      <c r="IA275">
        <v>4695390</v>
      </c>
      <c r="IB275" t="s">
        <v>3193</v>
      </c>
    </row>
    <row r="276" spans="1:284" x14ac:dyDescent="0.25">
      <c r="A276">
        <v>16485283</v>
      </c>
      <c r="B276">
        <v>275</v>
      </c>
      <c r="C276" t="s">
        <v>393</v>
      </c>
      <c r="D276" t="s">
        <v>394</v>
      </c>
      <c r="F276" t="str">
        <f>"24-1N-24-0150-0008-0000"</f>
        <v>24-1N-24-0150-0008-0000</v>
      </c>
      <c r="H276" t="str">
        <f>"SPENCER ZACHARY W &amp; CANDICE J"</f>
        <v>SPENCER ZACHARY W &amp; CANDICE J</v>
      </c>
      <c r="I276" t="str">
        <f>"43428 THOMAS CREEK RD"</f>
        <v>43428 THOMAS CREEK RD</v>
      </c>
      <c r="J276" t="str">
        <f>"CALLAHAN FL 32011"</f>
        <v>CALLAHAN FL 32011</v>
      </c>
      <c r="K276" t="str">
        <f>"43428 THOMAS CREEK RD"</f>
        <v>43428 THOMAS CREEK RD</v>
      </c>
      <c r="L276" t="str">
        <f t="shared" si="85"/>
        <v>CALLAHAN FL 32011</v>
      </c>
      <c r="M276" t="str">
        <f>"LOT 8 2000/FTWD/SW/MH IN OR 1986/1942 BROOK BLAIR EST PB 5/390"</f>
        <v>LOT 8 2000/FTWD/SW/MH IN OR 1986/1942 BROOK BLAIR EST PB 5/390</v>
      </c>
      <c r="N276" t="str">
        <f>""</f>
        <v/>
      </c>
      <c r="O276" t="str">
        <f>"34348"</f>
        <v>34348</v>
      </c>
      <c r="P276" t="str">
        <f t="shared" si="82"/>
        <v>2017</v>
      </c>
      <c r="Q276" t="str">
        <f>""</f>
        <v/>
      </c>
      <c r="R276" t="str">
        <f>"Y"</f>
        <v>Y</v>
      </c>
      <c r="S276" t="str">
        <f>"1.27"</f>
        <v>1.27</v>
      </c>
      <c r="T276" t="str">
        <f>"262.83"</f>
        <v>262.83</v>
      </c>
      <c r="U276" t="str">
        <f>"42361.00"</f>
        <v>42361.00</v>
      </c>
      <c r="V276" t="str">
        <f>"42361.00"</f>
        <v>42361.00</v>
      </c>
      <c r="W276" t="str">
        <f t="shared" si="83"/>
        <v>2017</v>
      </c>
      <c r="X276" t="str">
        <f>"11.00"</f>
        <v>11.00</v>
      </c>
      <c r="Y276" t="str">
        <f>"302.71"</f>
        <v>302.71</v>
      </c>
      <c r="Z276" t="str">
        <f>"25000.00"</f>
        <v>25000.00</v>
      </c>
      <c r="AA276" t="str">
        <f>"17361.00"</f>
        <v>17361.00</v>
      </c>
      <c r="AB276" t="str">
        <f t="shared" ref="AB276:AB290" si="88">"Residential"</f>
        <v>Residential</v>
      </c>
      <c r="AC276" t="str">
        <f t="shared" si="84"/>
        <v>0</v>
      </c>
      <c r="AD276" t="str">
        <f>"4"</f>
        <v>4</v>
      </c>
      <c r="AE276" t="str">
        <f>"WOOD (INCLUDE STEEL STUDS)"</f>
        <v>WOOD (INCLUDE STEEL STUDS)</v>
      </c>
      <c r="AF276" t="str">
        <f>"002"</f>
        <v>002</v>
      </c>
      <c r="AG276" t="str">
        <f t="shared" si="87"/>
        <v>FL</v>
      </c>
      <c r="AH276" t="str">
        <f>"55321.00"</f>
        <v>55321.00</v>
      </c>
      <c r="AI276" t="str">
        <f>"19050.00"</f>
        <v>19050.00</v>
      </c>
      <c r="AJ276" t="str">
        <f>"C55-000-587-3431-0"</f>
        <v>C55-000-587-3431-0</v>
      </c>
      <c r="AK276" t="str">
        <f>"4020"</f>
        <v>4020</v>
      </c>
      <c r="AL276">
        <v>1</v>
      </c>
      <c r="AM276">
        <v>316</v>
      </c>
      <c r="AN276">
        <v>316.25</v>
      </c>
      <c r="AQ276" t="s">
        <v>3194</v>
      </c>
      <c r="AR276" t="s">
        <v>3194</v>
      </c>
      <c r="AS276" t="s">
        <v>3194</v>
      </c>
      <c r="AU276" t="s">
        <v>396</v>
      </c>
      <c r="AV276">
        <v>2017</v>
      </c>
      <c r="AW276" t="str">
        <f>"24-1N-24-0150-0008-0000 "</f>
        <v xml:space="preserve">24-1N-24-0150-0008-0000 </v>
      </c>
      <c r="AX276">
        <v>43428</v>
      </c>
      <c r="AZ276" t="s">
        <v>3195</v>
      </c>
      <c r="BA276" t="s">
        <v>496</v>
      </c>
      <c r="BD276" t="s">
        <v>2785</v>
      </c>
      <c r="BE276" t="s">
        <v>393</v>
      </c>
      <c r="BF276">
        <v>32011</v>
      </c>
      <c r="BG276" t="s">
        <v>3196</v>
      </c>
      <c r="BH276" t="s">
        <v>2787</v>
      </c>
      <c r="BI276">
        <v>-81.851773286537494</v>
      </c>
      <c r="BJ276">
        <v>30.4887436472814</v>
      </c>
      <c r="BK276" t="s">
        <v>3197</v>
      </c>
      <c r="BL276" t="s">
        <v>3198</v>
      </c>
      <c r="BM276" t="s">
        <v>3196</v>
      </c>
      <c r="BN276" t="s">
        <v>928</v>
      </c>
      <c r="BO276">
        <v>32011</v>
      </c>
      <c r="BP276" t="s">
        <v>416</v>
      </c>
      <c r="BQ276">
        <v>200</v>
      </c>
      <c r="BR276" t="s">
        <v>405</v>
      </c>
      <c r="BS276">
        <v>1006</v>
      </c>
      <c r="BT276" t="s">
        <v>406</v>
      </c>
      <c r="BW276">
        <v>55321</v>
      </c>
      <c r="BX276" t="s">
        <v>407</v>
      </c>
      <c r="BY276" t="s">
        <v>408</v>
      </c>
      <c r="BZ276">
        <v>4</v>
      </c>
      <c r="CA276">
        <v>2000</v>
      </c>
      <c r="CC276">
        <v>1</v>
      </c>
      <c r="CD276">
        <v>2017</v>
      </c>
      <c r="CE276">
        <v>19050</v>
      </c>
      <c r="CF276">
        <v>23311</v>
      </c>
      <c r="CG276">
        <v>42361</v>
      </c>
      <c r="CH276">
        <v>2017</v>
      </c>
      <c r="CI276">
        <v>19050</v>
      </c>
      <c r="CJ276">
        <v>23311</v>
      </c>
      <c r="CK276">
        <v>42361</v>
      </c>
      <c r="CL276">
        <v>2017</v>
      </c>
      <c r="CM276">
        <v>262.83</v>
      </c>
      <c r="CN276" s="1">
        <v>42178</v>
      </c>
      <c r="CO276">
        <v>31000</v>
      </c>
      <c r="CV276">
        <v>0</v>
      </c>
      <c r="CZ276" s="1">
        <v>42178</v>
      </c>
      <c r="DA276">
        <v>0</v>
      </c>
      <c r="DD276" t="s">
        <v>2785</v>
      </c>
      <c r="DF276">
        <v>8</v>
      </c>
      <c r="DG276">
        <v>24</v>
      </c>
      <c r="DJ276" t="s">
        <v>3199</v>
      </c>
      <c r="DL276">
        <v>50502</v>
      </c>
      <c r="DM276" t="s">
        <v>3184</v>
      </c>
      <c r="DO276" t="s">
        <v>3200</v>
      </c>
      <c r="DP276">
        <v>0</v>
      </c>
      <c r="DQ276">
        <v>0</v>
      </c>
      <c r="DR276" t="s">
        <v>411</v>
      </c>
      <c r="EP276" t="s">
        <v>421</v>
      </c>
      <c r="EQ276" t="s">
        <v>422</v>
      </c>
      <c r="ER276">
        <v>0</v>
      </c>
      <c r="ES276">
        <v>1</v>
      </c>
      <c r="ET276">
        <v>0</v>
      </c>
      <c r="EU276">
        <v>0</v>
      </c>
      <c r="EV276">
        <v>0</v>
      </c>
      <c r="EW276" s="2">
        <v>43222</v>
      </c>
      <c r="EX276" s="1">
        <v>41787</v>
      </c>
      <c r="EY276">
        <v>2013</v>
      </c>
      <c r="EZ276">
        <v>601.95000000000005</v>
      </c>
      <c r="FA276" t="s">
        <v>3201</v>
      </c>
      <c r="FB276">
        <v>0.25</v>
      </c>
      <c r="FC276" t="s">
        <v>424</v>
      </c>
      <c r="FD276" t="s">
        <v>425</v>
      </c>
      <c r="FE276" s="1">
        <v>42116</v>
      </c>
      <c r="FF276">
        <v>11</v>
      </c>
      <c r="FG276">
        <v>2407503</v>
      </c>
      <c r="FH276" t="s">
        <v>461</v>
      </c>
    </row>
    <row r="277" spans="1:284" x14ac:dyDescent="0.25">
      <c r="A277">
        <v>16485284</v>
      </c>
      <c r="B277">
        <v>276</v>
      </c>
      <c r="C277" t="s">
        <v>393</v>
      </c>
      <c r="D277" t="s">
        <v>394</v>
      </c>
      <c r="F277" t="str">
        <f>"24-1N-24-0150-0012-0000"</f>
        <v>24-1N-24-0150-0012-0000</v>
      </c>
      <c r="H277" t="str">
        <f>"TINDOL BOBBY C"</f>
        <v>TINDOL BOBBY C</v>
      </c>
      <c r="I277" t="str">
        <f>"3067 WEST 19TH STREET"</f>
        <v>3067 WEST 19TH STREET</v>
      </c>
      <c r="J277" t="str">
        <f>"JACKSONVILLE FL 32254"</f>
        <v>JACKSONVILLE FL 32254</v>
      </c>
      <c r="K277" t="str">
        <f>"43180 BLAIR CT"</f>
        <v>43180 BLAIR CT</v>
      </c>
      <c r="L277" t="str">
        <f t="shared" si="85"/>
        <v>CALLAHAN FL 32011</v>
      </c>
      <c r="M277" t="str">
        <f>"LOT 12 IN OR 1329/1383 BROOK BLAIR EST PB 5/390"</f>
        <v>LOT 12 IN OR 1329/1383 BROOK BLAIR EST PB 5/390</v>
      </c>
      <c r="N277" t="str">
        <f>""</f>
        <v/>
      </c>
      <c r="O277" t="str">
        <f>"34352"</f>
        <v>34352</v>
      </c>
      <c r="P277" t="str">
        <f t="shared" si="82"/>
        <v>2017</v>
      </c>
      <c r="Q277" t="str">
        <f>""</f>
        <v/>
      </c>
      <c r="R277" t="str">
        <f>"N"</f>
        <v>N</v>
      </c>
      <c r="S277" t="str">
        <f>"1.44"</f>
        <v>1.44</v>
      </c>
      <c r="T277" t="str">
        <f>"672.65"</f>
        <v>672.65</v>
      </c>
      <c r="U277" t="str">
        <f>"39739.00"</f>
        <v>39739.00</v>
      </c>
      <c r="V277" t="str">
        <f>"39739.00"</f>
        <v>39739.00</v>
      </c>
      <c r="W277" t="str">
        <f t="shared" si="83"/>
        <v>2017</v>
      </c>
      <c r="X277" t="str">
        <f>"13.86"</f>
        <v>13.86</v>
      </c>
      <c r="Y277" t="str">
        <f>"724.83"</f>
        <v>724.83</v>
      </c>
      <c r="Z277" t="str">
        <f>""</f>
        <v/>
      </c>
      <c r="AA277" t="str">
        <f>"50509.00"</f>
        <v>50509.00</v>
      </c>
      <c r="AB277" t="str">
        <f t="shared" si="88"/>
        <v>Residential</v>
      </c>
      <c r="AC277" t="str">
        <f t="shared" si="84"/>
        <v>0</v>
      </c>
      <c r="AD277" t="str">
        <f>"4"</f>
        <v>4</v>
      </c>
      <c r="AE277" t="str">
        <f>"WOOD (INCLUDE STEEL STUDS)"</f>
        <v>WOOD (INCLUDE STEEL STUDS)</v>
      </c>
      <c r="AF277" t="str">
        <f>"002"</f>
        <v>002</v>
      </c>
      <c r="AG277" t="str">
        <f t="shared" si="87"/>
        <v>FL</v>
      </c>
      <c r="AH277" t="str">
        <f>"62726.00"</f>
        <v>62726.00</v>
      </c>
      <c r="AI277" t="str">
        <f>"21600.00"</f>
        <v>21600.00</v>
      </c>
      <c r="AJ277" t="str">
        <f>"C55-000-587-3435-1"</f>
        <v>C55-000-587-3435-1</v>
      </c>
      <c r="AK277" t="str">
        <f>"4024"</f>
        <v>4024</v>
      </c>
      <c r="AL277">
        <v>1</v>
      </c>
      <c r="AM277">
        <v>317</v>
      </c>
      <c r="AN277">
        <v>759.47</v>
      </c>
      <c r="AQ277" t="s">
        <v>3202</v>
      </c>
      <c r="AR277" t="s">
        <v>3202</v>
      </c>
      <c r="AS277" t="s">
        <v>3202</v>
      </c>
      <c r="AU277" t="s">
        <v>396</v>
      </c>
      <c r="AV277">
        <v>2017</v>
      </c>
      <c r="AW277" t="str">
        <f>"24-1N-24-0150-0012-0000 "</f>
        <v xml:space="preserve">24-1N-24-0150-0012-0000 </v>
      </c>
      <c r="AX277">
        <v>43180</v>
      </c>
      <c r="AZ277" t="s">
        <v>3180</v>
      </c>
      <c r="BA277" t="s">
        <v>3181</v>
      </c>
      <c r="BD277" t="s">
        <v>2785</v>
      </c>
      <c r="BE277" t="s">
        <v>393</v>
      </c>
      <c r="BF277">
        <v>32011</v>
      </c>
      <c r="BG277" t="s">
        <v>3203</v>
      </c>
      <c r="BH277" t="s">
        <v>2787</v>
      </c>
      <c r="BI277">
        <v>-81.8489401464157</v>
      </c>
      <c r="BJ277">
        <v>30.488075395994301</v>
      </c>
      <c r="BK277" t="s">
        <v>3204</v>
      </c>
      <c r="BM277" t="s">
        <v>3205</v>
      </c>
      <c r="BN277" t="s">
        <v>548</v>
      </c>
      <c r="BO277">
        <v>32254</v>
      </c>
      <c r="BP277" t="s">
        <v>404</v>
      </c>
      <c r="BQ277">
        <v>200</v>
      </c>
      <c r="BR277" t="s">
        <v>405</v>
      </c>
      <c r="BS277">
        <v>1006</v>
      </c>
      <c r="BT277" t="s">
        <v>406</v>
      </c>
      <c r="BW277">
        <v>62726</v>
      </c>
      <c r="BX277" t="s">
        <v>407</v>
      </c>
      <c r="BY277" t="s">
        <v>408</v>
      </c>
      <c r="BZ277">
        <v>4</v>
      </c>
      <c r="CA277">
        <v>1993</v>
      </c>
      <c r="CC277">
        <v>1</v>
      </c>
      <c r="CD277">
        <v>2017</v>
      </c>
      <c r="CE277">
        <v>21600</v>
      </c>
      <c r="CF277">
        <v>28909</v>
      </c>
      <c r="CG277">
        <v>50509</v>
      </c>
      <c r="CH277">
        <v>2017</v>
      </c>
      <c r="CI277">
        <v>21600</v>
      </c>
      <c r="CJ277">
        <v>28909</v>
      </c>
      <c r="CK277">
        <v>50509</v>
      </c>
      <c r="CL277">
        <v>2017</v>
      </c>
      <c r="CM277">
        <v>672.65</v>
      </c>
      <c r="CN277" s="1">
        <v>38533</v>
      </c>
      <c r="CO277">
        <v>30000</v>
      </c>
      <c r="CV277">
        <v>27270</v>
      </c>
      <c r="CX277" t="s">
        <v>675</v>
      </c>
      <c r="CZ277" s="1">
        <v>38533</v>
      </c>
      <c r="DA277">
        <v>0</v>
      </c>
      <c r="DD277" t="s">
        <v>2785</v>
      </c>
      <c r="DF277">
        <v>12</v>
      </c>
      <c r="DG277">
        <v>24</v>
      </c>
      <c r="DJ277" t="s">
        <v>3199</v>
      </c>
      <c r="DL277">
        <v>50502</v>
      </c>
      <c r="DM277" t="s">
        <v>3184</v>
      </c>
      <c r="DO277" t="s">
        <v>3206</v>
      </c>
      <c r="DP277">
        <v>0</v>
      </c>
      <c r="DQ277">
        <v>0</v>
      </c>
      <c r="DR277" t="s">
        <v>411</v>
      </c>
      <c r="DS277" t="b">
        <v>1</v>
      </c>
      <c r="DT277" t="s">
        <v>470</v>
      </c>
      <c r="DU277" t="s">
        <v>471</v>
      </c>
      <c r="DV277" t="s">
        <v>472</v>
      </c>
      <c r="DX277">
        <v>-9999</v>
      </c>
      <c r="DZ277" t="s">
        <v>447</v>
      </c>
      <c r="EA277" t="s">
        <v>448</v>
      </c>
      <c r="EB277" t="s">
        <v>742</v>
      </c>
      <c r="EC277">
        <v>20101217</v>
      </c>
      <c r="ED277" t="s">
        <v>474</v>
      </c>
      <c r="EF277">
        <v>670.2</v>
      </c>
      <c r="EG277">
        <v>670.2</v>
      </c>
      <c r="EI277">
        <v>20160407</v>
      </c>
      <c r="EJ277">
        <v>0</v>
      </c>
      <c r="EK277">
        <v>0</v>
      </c>
      <c r="EP277" t="s">
        <v>421</v>
      </c>
      <c r="EQ277" t="s">
        <v>422</v>
      </c>
      <c r="ER277">
        <v>2</v>
      </c>
      <c r="ES277">
        <v>7</v>
      </c>
      <c r="ET277">
        <v>1253.54</v>
      </c>
      <c r="EU277">
        <v>75.180000000000007</v>
      </c>
      <c r="EV277">
        <v>1328.72</v>
      </c>
      <c r="EW277" s="2">
        <v>43222</v>
      </c>
      <c r="EX277" s="1">
        <v>42879</v>
      </c>
      <c r="EY277">
        <v>2016</v>
      </c>
      <c r="EZ277">
        <v>626.77</v>
      </c>
      <c r="FA277" t="s">
        <v>3207</v>
      </c>
      <c r="FB277">
        <v>0.25</v>
      </c>
      <c r="FC277" t="s">
        <v>424</v>
      </c>
      <c r="FD277" t="s">
        <v>454</v>
      </c>
      <c r="FF277">
        <v>12</v>
      </c>
      <c r="FG277">
        <v>2851116</v>
      </c>
      <c r="FH277" t="s">
        <v>480</v>
      </c>
      <c r="FJ277" s="1">
        <v>42879</v>
      </c>
      <c r="FK277">
        <v>2016</v>
      </c>
      <c r="FL277">
        <v>626.77</v>
      </c>
      <c r="FM277" t="s">
        <v>3207</v>
      </c>
      <c r="FN277">
        <v>0.25</v>
      </c>
      <c r="FO277" t="s">
        <v>424</v>
      </c>
      <c r="FP277" t="s">
        <v>454</v>
      </c>
      <c r="FR277">
        <v>12</v>
      </c>
      <c r="FS277">
        <v>5397521</v>
      </c>
      <c r="FT277" t="s">
        <v>3208</v>
      </c>
      <c r="FV277" s="1">
        <v>42515</v>
      </c>
      <c r="FW277">
        <v>2015</v>
      </c>
      <c r="FX277">
        <v>691.02</v>
      </c>
      <c r="FY277" t="s">
        <v>3209</v>
      </c>
      <c r="FZ277">
        <v>0.25</v>
      </c>
      <c r="GA277" t="s">
        <v>424</v>
      </c>
      <c r="GB277" t="s">
        <v>425</v>
      </c>
      <c r="GC277" s="1">
        <v>42789</v>
      </c>
      <c r="GD277">
        <v>9</v>
      </c>
      <c r="GE277">
        <v>2851116</v>
      </c>
      <c r="GF277" t="s">
        <v>480</v>
      </c>
      <c r="GH277" s="1">
        <v>42515</v>
      </c>
      <c r="GI277">
        <v>2015</v>
      </c>
      <c r="GJ277">
        <v>691.02</v>
      </c>
      <c r="GK277" t="s">
        <v>3209</v>
      </c>
      <c r="GL277">
        <v>0.25</v>
      </c>
      <c r="GM277" t="s">
        <v>424</v>
      </c>
      <c r="GN277" t="s">
        <v>425</v>
      </c>
      <c r="GP277">
        <v>22</v>
      </c>
      <c r="GQ277">
        <v>4940187</v>
      </c>
      <c r="GR277" t="s">
        <v>3210</v>
      </c>
      <c r="GT277" s="1">
        <v>42151</v>
      </c>
      <c r="GU277">
        <v>2014</v>
      </c>
      <c r="GV277">
        <v>597.37</v>
      </c>
      <c r="GW277" t="s">
        <v>3211</v>
      </c>
      <c r="GX277">
        <v>0.25</v>
      </c>
      <c r="GY277" t="s">
        <v>424</v>
      </c>
      <c r="GZ277" t="s">
        <v>425</v>
      </c>
      <c r="HA277" s="1">
        <v>42789</v>
      </c>
      <c r="HB277">
        <v>21</v>
      </c>
      <c r="HC277">
        <v>2851116</v>
      </c>
      <c r="HD277" t="s">
        <v>480</v>
      </c>
      <c r="HF277" s="1">
        <v>42151</v>
      </c>
      <c r="HG277">
        <v>2014</v>
      </c>
      <c r="HH277">
        <v>597.37</v>
      </c>
      <c r="HI277" t="s">
        <v>3211</v>
      </c>
      <c r="HJ277">
        <v>0.25</v>
      </c>
      <c r="HK277" t="s">
        <v>424</v>
      </c>
      <c r="HL277" t="s">
        <v>425</v>
      </c>
      <c r="HN277">
        <v>22</v>
      </c>
      <c r="HO277">
        <v>5039165</v>
      </c>
      <c r="HP277" t="s">
        <v>3212</v>
      </c>
      <c r="HR277" s="1">
        <v>41787</v>
      </c>
      <c r="HS277">
        <v>2013</v>
      </c>
      <c r="HT277">
        <v>659.93</v>
      </c>
      <c r="HU277" t="s">
        <v>3213</v>
      </c>
      <c r="HV277">
        <v>0.25</v>
      </c>
      <c r="HW277" t="s">
        <v>424</v>
      </c>
      <c r="HX277" t="s">
        <v>425</v>
      </c>
      <c r="HY277" s="1">
        <v>42044</v>
      </c>
      <c r="HZ277">
        <v>9</v>
      </c>
      <c r="IA277">
        <v>2407503</v>
      </c>
      <c r="IB277" t="s">
        <v>461</v>
      </c>
      <c r="ID277" s="1">
        <v>41423</v>
      </c>
      <c r="IE277">
        <v>2012</v>
      </c>
      <c r="IF277">
        <v>728.27</v>
      </c>
      <c r="IG277" t="s">
        <v>3214</v>
      </c>
      <c r="IH277">
        <v>4.5</v>
      </c>
      <c r="II277" t="s">
        <v>424</v>
      </c>
      <c r="IJ277" t="s">
        <v>425</v>
      </c>
      <c r="IK277" s="1">
        <v>42044</v>
      </c>
      <c r="IL277">
        <v>21</v>
      </c>
      <c r="IM277">
        <v>15399</v>
      </c>
      <c r="IN277" t="s">
        <v>485</v>
      </c>
      <c r="IP277" s="1">
        <v>40688</v>
      </c>
      <c r="IQ277">
        <v>2010</v>
      </c>
      <c r="IR277">
        <v>493.09</v>
      </c>
      <c r="IS277" t="s">
        <v>3215</v>
      </c>
      <c r="IT277">
        <v>10</v>
      </c>
      <c r="IU277" t="s">
        <v>424</v>
      </c>
      <c r="IV277" t="s">
        <v>425</v>
      </c>
      <c r="IW277" s="1">
        <v>40956</v>
      </c>
      <c r="IX277">
        <v>9</v>
      </c>
      <c r="IY277">
        <v>11135</v>
      </c>
      <c r="IZ277" t="s">
        <v>1137</v>
      </c>
    </row>
    <row r="278" spans="1:284" x14ac:dyDescent="0.25">
      <c r="A278">
        <v>16485285</v>
      </c>
      <c r="B278">
        <v>277</v>
      </c>
      <c r="C278" t="s">
        <v>393</v>
      </c>
      <c r="D278" t="s">
        <v>394</v>
      </c>
      <c r="F278" t="str">
        <f>"24-1N-24-0750-0001-0091"</f>
        <v>24-1N-24-0750-0001-0091</v>
      </c>
      <c r="H278" t="str">
        <f>"RODRIGUEZ MELISSA L"</f>
        <v>RODRIGUEZ MELISSA L</v>
      </c>
      <c r="I278" t="str">
        <f>"43338 THOMAS CREEK RD"</f>
        <v>43338 THOMAS CREEK RD</v>
      </c>
      <c r="J278" t="str">
        <f t="shared" ref="J278:J286" si="89">"CALLAHAN FL 32011"</f>
        <v>CALLAHAN FL 32011</v>
      </c>
      <c r="K278" t="str">
        <f>"43338 THOMAS CREEK RD"</f>
        <v>43338 THOMAS CREEK RD</v>
      </c>
      <c r="L278" t="str">
        <f t="shared" si="85"/>
        <v>CALLAHAN FL 32011</v>
      </c>
      <c r="M278" t="str">
        <f>"BLOCK 1 PT OF LOT 9 (S-1) IN OR 1947/841 1997 MERI DW HILLS at THOMAS CREEK 5/65"</f>
        <v>BLOCK 1 PT OF LOT 9 (S-1) IN OR 1947/841 1997 MERI DW HILLS at THOMAS CREEK 5/65</v>
      </c>
      <c r="N278" t="str">
        <f>""</f>
        <v/>
      </c>
      <c r="O278" t="str">
        <f>"34384"</f>
        <v>34384</v>
      </c>
      <c r="P278" t="str">
        <f t="shared" si="82"/>
        <v>2017</v>
      </c>
      <c r="Q278" t="str">
        <f>""</f>
        <v/>
      </c>
      <c r="R278" t="str">
        <f>"Y"</f>
        <v>Y</v>
      </c>
      <c r="S278" t="str">
        <f>"3.00"</f>
        <v>3.00</v>
      </c>
      <c r="T278" t="str">
        <f>"513.37"</f>
        <v>513.37</v>
      </c>
      <c r="U278" t="str">
        <f>"70444.00"</f>
        <v>70444.00</v>
      </c>
      <c r="V278" t="str">
        <f>"70444.00"</f>
        <v>70444.00</v>
      </c>
      <c r="W278" t="str">
        <f t="shared" si="83"/>
        <v>2017</v>
      </c>
      <c r="X278" t="str">
        <f>""</f>
        <v/>
      </c>
      <c r="Y278" t="str">
        <f>"560.77"</f>
        <v>560.77</v>
      </c>
      <c r="Z278" t="str">
        <f>"25000.00"</f>
        <v>25000.00</v>
      </c>
      <c r="AA278" t="str">
        <f>"45444.00"</f>
        <v>45444.00</v>
      </c>
      <c r="AB278" t="str">
        <f t="shared" si="88"/>
        <v>Residential</v>
      </c>
      <c r="AC278" t="str">
        <f t="shared" si="84"/>
        <v>0</v>
      </c>
      <c r="AD278" t="str">
        <f>"4"</f>
        <v>4</v>
      </c>
      <c r="AE278" t="str">
        <f>"WOOD (INCLUDE STEEL STUDS)"</f>
        <v>WOOD (INCLUDE STEEL STUDS)</v>
      </c>
      <c r="AF278" t="str">
        <f>"002"</f>
        <v>002</v>
      </c>
      <c r="AG278" t="str">
        <f t="shared" si="87"/>
        <v>FL</v>
      </c>
      <c r="AH278" t="str">
        <f>"130680.00"</f>
        <v>130680.00</v>
      </c>
      <c r="AI278" t="str">
        <f>"24000.00"</f>
        <v>24000.00</v>
      </c>
      <c r="AJ278" t="str">
        <f>"C55-000-587-3459-1"</f>
        <v>C55-000-587-3459-1</v>
      </c>
      <c r="AK278" t="str">
        <f>"4051"</f>
        <v>4051</v>
      </c>
      <c r="AL278">
        <v>1</v>
      </c>
      <c r="AM278">
        <v>318</v>
      </c>
      <c r="AN278">
        <v>587.21</v>
      </c>
      <c r="AQ278" t="s">
        <v>3216</v>
      </c>
      <c r="AR278" t="s">
        <v>3216</v>
      </c>
      <c r="AS278" t="s">
        <v>3216</v>
      </c>
      <c r="AU278" t="s">
        <v>396</v>
      </c>
      <c r="AV278">
        <v>2017</v>
      </c>
      <c r="AW278" t="str">
        <f>"24-1N-24-0750-0001-0091 "</f>
        <v xml:space="preserve">24-1N-24-0750-0001-0091 </v>
      </c>
      <c r="AX278">
        <v>43338</v>
      </c>
      <c r="AZ278" t="s">
        <v>3195</v>
      </c>
      <c r="BA278" t="s">
        <v>496</v>
      </c>
      <c r="BD278" t="s">
        <v>2785</v>
      </c>
      <c r="BE278" t="s">
        <v>393</v>
      </c>
      <c r="BF278">
        <v>32011</v>
      </c>
      <c r="BG278" t="s">
        <v>3217</v>
      </c>
      <c r="BH278" t="s">
        <v>2787</v>
      </c>
      <c r="BI278">
        <v>-81.846538921701296</v>
      </c>
      <c r="BJ278">
        <v>30.483877395753598</v>
      </c>
      <c r="BK278" t="s">
        <v>3218</v>
      </c>
      <c r="BM278" t="s">
        <v>3217</v>
      </c>
      <c r="BN278" t="s">
        <v>928</v>
      </c>
      <c r="BO278">
        <v>32011</v>
      </c>
      <c r="BP278" t="s">
        <v>416</v>
      </c>
      <c r="BQ278">
        <v>200</v>
      </c>
      <c r="BR278" t="s">
        <v>405</v>
      </c>
      <c r="BS278">
        <v>1006</v>
      </c>
      <c r="BT278" t="s">
        <v>406</v>
      </c>
      <c r="BW278">
        <v>130680</v>
      </c>
      <c r="BX278" t="s">
        <v>407</v>
      </c>
      <c r="BZ278">
        <v>4</v>
      </c>
      <c r="CA278">
        <v>1997</v>
      </c>
      <c r="CC278">
        <v>1</v>
      </c>
      <c r="CD278">
        <v>2017</v>
      </c>
      <c r="CG278">
        <v>70444</v>
      </c>
      <c r="CH278">
        <v>2017</v>
      </c>
      <c r="CI278">
        <v>24000</v>
      </c>
      <c r="CJ278">
        <v>58476</v>
      </c>
      <c r="CK278">
        <v>82476</v>
      </c>
      <c r="CL278">
        <v>2017</v>
      </c>
      <c r="CM278">
        <v>513.37</v>
      </c>
      <c r="CN278" s="1">
        <v>41957</v>
      </c>
      <c r="CO278">
        <v>38000</v>
      </c>
      <c r="CV278">
        <v>0</v>
      </c>
      <c r="CZ278" s="1">
        <v>41957</v>
      </c>
      <c r="DA278">
        <v>0</v>
      </c>
      <c r="DD278" t="s">
        <v>2785</v>
      </c>
      <c r="DF278">
        <v>9</v>
      </c>
      <c r="DG278">
        <v>19</v>
      </c>
      <c r="DL278">
        <v>50502</v>
      </c>
      <c r="DM278" t="s">
        <v>3219</v>
      </c>
      <c r="DO278" t="s">
        <v>3220</v>
      </c>
      <c r="DP278">
        <v>0</v>
      </c>
      <c r="DQ278">
        <v>0</v>
      </c>
      <c r="DR278" t="s">
        <v>411</v>
      </c>
    </row>
    <row r="279" spans="1:284" x14ac:dyDescent="0.25">
      <c r="A279">
        <v>16485286</v>
      </c>
      <c r="B279">
        <v>278</v>
      </c>
      <c r="C279" t="s">
        <v>393</v>
      </c>
      <c r="D279" t="s">
        <v>394</v>
      </c>
      <c r="F279" t="str">
        <f>"24-1N-24-0750-0002-0013"</f>
        <v>24-1N-24-0750-0002-0013</v>
      </c>
      <c r="H279" t="str">
        <f>"EBY PETER JOHN &amp; JOHNSON ELIZABETH E"</f>
        <v>EBY PETER JOHN &amp; JOHNSON ELIZABETH E</v>
      </c>
      <c r="I279" t="str">
        <f>"431042 KEEN CEMETERY RD"</f>
        <v>431042 KEEN CEMETERY RD</v>
      </c>
      <c r="J279" t="str">
        <f t="shared" si="89"/>
        <v>CALLAHAN FL 32011</v>
      </c>
      <c r="K279" t="str">
        <f>"431066 KEEN CEMETERY RD"</f>
        <v>431066 KEEN CEMETERY RD</v>
      </c>
      <c r="L279" t="str">
        <f t="shared" si="85"/>
        <v>CALLAHAN FL 32011</v>
      </c>
      <c r="M279" t="str">
        <f>"BLOCK 2 PT OF LOT 1 IN OR 1828/1415 HILLS AT THOMAS CREEK PB 5/65"</f>
        <v>BLOCK 2 PT OF LOT 1 IN OR 1828/1415 HILLS AT THOMAS CREEK PB 5/65</v>
      </c>
      <c r="N279" t="str">
        <f>""</f>
        <v/>
      </c>
      <c r="O279" t="str">
        <f>"34387"</f>
        <v>34387</v>
      </c>
      <c r="P279" t="str">
        <f t="shared" si="82"/>
        <v>2017</v>
      </c>
      <c r="Q279" t="str">
        <f>""</f>
        <v/>
      </c>
      <c r="R279" t="str">
        <f>"N"</f>
        <v>N</v>
      </c>
      <c r="S279" t="str">
        <f>"3.69"</f>
        <v>3.69</v>
      </c>
      <c r="T279" t="str">
        <f>"618.66"</f>
        <v>618.66</v>
      </c>
      <c r="U279" t="str">
        <f>"40704.00"</f>
        <v>40704.00</v>
      </c>
      <c r="V279" t="str">
        <f>"40704.00"</f>
        <v>40704.00</v>
      </c>
      <c r="W279" t="str">
        <f t="shared" si="83"/>
        <v>2017</v>
      </c>
      <c r="X279" t="str">
        <f>""</f>
        <v/>
      </c>
      <c r="Y279" t="str">
        <f>"669.22"</f>
        <v>669.22</v>
      </c>
      <c r="Z279" t="str">
        <f>""</f>
        <v/>
      </c>
      <c r="AA279" t="str">
        <f>"41077.00"</f>
        <v>41077.00</v>
      </c>
      <c r="AB279" t="str">
        <f t="shared" si="88"/>
        <v>Residential</v>
      </c>
      <c r="AC279" t="str">
        <f t="shared" si="84"/>
        <v>0</v>
      </c>
      <c r="AD279" t="str">
        <f>""</f>
        <v/>
      </c>
      <c r="AE279" t="str">
        <f>""</f>
        <v/>
      </c>
      <c r="AF279" t="str">
        <f>"000"</f>
        <v>000</v>
      </c>
      <c r="AG279" t="str">
        <f t="shared" si="87"/>
        <v>FL</v>
      </c>
      <c r="AH279" t="str">
        <f>"160736.00"</f>
        <v>160736.00</v>
      </c>
      <c r="AI279" t="str">
        <f>"29520.00"</f>
        <v>29520.00</v>
      </c>
      <c r="AJ279" t="str">
        <f>"C55-000-587-3462-5"</f>
        <v>C55-000-587-3462-5</v>
      </c>
      <c r="AK279" t="str">
        <f>"4054"</f>
        <v>4054</v>
      </c>
      <c r="AL279">
        <v>1</v>
      </c>
      <c r="AM279">
        <v>319</v>
      </c>
      <c r="AN279">
        <v>701.08</v>
      </c>
      <c r="AQ279" t="s">
        <v>3221</v>
      </c>
      <c r="AR279" t="s">
        <v>3221</v>
      </c>
      <c r="AS279" t="s">
        <v>3221</v>
      </c>
      <c r="AU279" t="s">
        <v>396</v>
      </c>
      <c r="AV279">
        <v>2017</v>
      </c>
      <c r="AW279" t="str">
        <f>"24-1N-24-0750-0002-0013 "</f>
        <v xml:space="preserve">24-1N-24-0750-0002-0013 </v>
      </c>
      <c r="AX279">
        <v>431066</v>
      </c>
      <c r="AZ279" t="s">
        <v>3222</v>
      </c>
      <c r="BA279" t="s">
        <v>496</v>
      </c>
      <c r="BD279" t="s">
        <v>2785</v>
      </c>
      <c r="BE279" t="s">
        <v>393</v>
      </c>
      <c r="BF279">
        <v>32011</v>
      </c>
      <c r="BG279" t="s">
        <v>3223</v>
      </c>
      <c r="BH279" t="s">
        <v>2787</v>
      </c>
      <c r="BI279">
        <v>-81.854650417936995</v>
      </c>
      <c r="BJ279">
        <v>30.486941048706498</v>
      </c>
      <c r="BK279" t="s">
        <v>3224</v>
      </c>
      <c r="BM279" t="s">
        <v>3225</v>
      </c>
      <c r="BN279" t="s">
        <v>928</v>
      </c>
      <c r="BO279">
        <v>32011</v>
      </c>
      <c r="BP279" t="s">
        <v>404</v>
      </c>
      <c r="BQ279">
        <v>1</v>
      </c>
      <c r="BR279" t="s">
        <v>491</v>
      </c>
      <c r="BS279">
        <v>8001</v>
      </c>
      <c r="BT279" t="s">
        <v>492</v>
      </c>
      <c r="BW279">
        <v>160736</v>
      </c>
      <c r="BX279" t="s">
        <v>407</v>
      </c>
      <c r="CD279">
        <v>2017</v>
      </c>
      <c r="CE279">
        <v>29520</v>
      </c>
      <c r="CF279">
        <v>11557</v>
      </c>
      <c r="CG279">
        <v>41077</v>
      </c>
      <c r="CH279">
        <v>2017</v>
      </c>
      <c r="CI279">
        <v>29520</v>
      </c>
      <c r="CJ279">
        <v>11557</v>
      </c>
      <c r="CK279">
        <v>41077</v>
      </c>
      <c r="CL279">
        <v>2017</v>
      </c>
      <c r="CM279">
        <v>618.66</v>
      </c>
      <c r="CN279" s="1">
        <v>41249</v>
      </c>
      <c r="CO279">
        <v>34000</v>
      </c>
      <c r="CV279">
        <v>34000</v>
      </c>
      <c r="CX279" t="s">
        <v>707</v>
      </c>
      <c r="CZ279" s="1">
        <v>41249</v>
      </c>
      <c r="DA279">
        <v>0</v>
      </c>
      <c r="DD279" t="s">
        <v>2785</v>
      </c>
      <c r="DF279">
        <v>1</v>
      </c>
      <c r="DG279">
        <v>24</v>
      </c>
      <c r="DJ279" t="s">
        <v>3226</v>
      </c>
      <c r="DL279">
        <v>50504</v>
      </c>
      <c r="DM279" t="s">
        <v>3184</v>
      </c>
      <c r="DO279" t="s">
        <v>3227</v>
      </c>
      <c r="DP279">
        <v>0</v>
      </c>
      <c r="DQ279">
        <v>0</v>
      </c>
      <c r="DR279" t="s">
        <v>411</v>
      </c>
    </row>
    <row r="280" spans="1:284" x14ac:dyDescent="0.25">
      <c r="A280">
        <v>16485287</v>
      </c>
      <c r="B280">
        <v>279</v>
      </c>
      <c r="C280" t="s">
        <v>393</v>
      </c>
      <c r="D280" t="s">
        <v>394</v>
      </c>
      <c r="F280" t="str">
        <f>"24-1N-24-0750-0003-0080"</f>
        <v>24-1N-24-0750-0003-0080</v>
      </c>
      <c r="H280" t="str">
        <f>"JARVIS KENNETH &amp; ANNETTE"</f>
        <v>JARVIS KENNETH &amp; ANNETTE</v>
      </c>
      <c r="I280" t="str">
        <f>"43257 CLAXTON CIRCLE"</f>
        <v>43257 CLAXTON CIRCLE</v>
      </c>
      <c r="J280" t="str">
        <f t="shared" si="89"/>
        <v>CALLAHAN FL 32011</v>
      </c>
      <c r="K280" t="str">
        <f>"43257 CLAXTON CIR"</f>
        <v>43257 CLAXTON CIR</v>
      </c>
      <c r="L280" t="str">
        <f t="shared" si="85"/>
        <v>CALLAHAN FL 32011</v>
      </c>
      <c r="M280" t="str">
        <f>"BLOCK 3 LOT 8 (EX S-1) R583689 IN OR 1912/504 SEC 24-1N-24 ESMT RELEASE OR 507/920 EX ESMT OR 549/715 HILLS AT THOMAS CREEK PB 5/65"</f>
        <v>BLOCK 3 LOT 8 (EX S-1) R583689 IN OR 1912/504 SEC 24-1N-24 ESMT RELEASE OR 507/920 EX ESMT OR 549/715 HILLS AT THOMAS CREEK PB 5/65</v>
      </c>
      <c r="N280" t="str">
        <f>""</f>
        <v/>
      </c>
      <c r="O280" t="str">
        <f>"34424"</f>
        <v>34424</v>
      </c>
      <c r="P280" t="str">
        <f t="shared" si="82"/>
        <v>2017</v>
      </c>
      <c r="Q280" t="str">
        <f>""</f>
        <v/>
      </c>
      <c r="R280" t="str">
        <f>"Y"</f>
        <v>Y</v>
      </c>
      <c r="S280" t="str">
        <f>"20.00"</f>
        <v>20.00</v>
      </c>
      <c r="T280" t="str">
        <f>"2483.32"</f>
        <v>2483.32</v>
      </c>
      <c r="U280" t="str">
        <f>"203141.00"</f>
        <v>203141.00</v>
      </c>
      <c r="V280" t="str">
        <f>"203141.00"</f>
        <v>203141.00</v>
      </c>
      <c r="W280" t="str">
        <f t="shared" si="83"/>
        <v>2017</v>
      </c>
      <c r="X280" t="str">
        <f>"10.50"</f>
        <v>10.50</v>
      </c>
      <c r="Y280" t="str">
        <f>"2589.82"</f>
        <v>2589.82</v>
      </c>
      <c r="Z280" t="str">
        <f>"25000.00"</f>
        <v>25000.00</v>
      </c>
      <c r="AA280" t="str">
        <f>"178141.00"</f>
        <v>178141.00</v>
      </c>
      <c r="AB280" t="str">
        <f t="shared" si="88"/>
        <v>Residential</v>
      </c>
      <c r="AC280" t="str">
        <f t="shared" si="84"/>
        <v>0</v>
      </c>
      <c r="AD280" t="str">
        <f>"4"</f>
        <v>4</v>
      </c>
      <c r="AE280" t="str">
        <f>"WOOD (INCLUDE STEEL STUDS)"</f>
        <v>WOOD (INCLUDE STEEL STUDS)</v>
      </c>
      <c r="AF280" t="str">
        <f>"001"</f>
        <v>001</v>
      </c>
      <c r="AG280" t="str">
        <f t="shared" si="87"/>
        <v>FL</v>
      </c>
      <c r="AH280" t="str">
        <f>"871200.00"</f>
        <v>871200.00</v>
      </c>
      <c r="AI280" t="str">
        <f>"97500.00"</f>
        <v>97500.00</v>
      </c>
      <c r="AJ280" t="str">
        <f>"C55-000-587-3493-0"</f>
        <v>C55-000-587-3493-0</v>
      </c>
      <c r="AK280" t="str">
        <f>"4086"</f>
        <v>4086</v>
      </c>
      <c r="AL280">
        <v>1</v>
      </c>
      <c r="AM280">
        <v>320</v>
      </c>
      <c r="AN280">
        <v>2717.71</v>
      </c>
      <c r="AQ280" t="s">
        <v>3228</v>
      </c>
      <c r="AR280" t="s">
        <v>3228</v>
      </c>
      <c r="AS280" t="s">
        <v>3228</v>
      </c>
      <c r="AU280" t="s">
        <v>396</v>
      </c>
      <c r="AV280">
        <v>2017</v>
      </c>
      <c r="AW280" t="str">
        <f>"24-1N-24-0750-0003-0080 "</f>
        <v xml:space="preserve">24-1N-24-0750-0003-0080 </v>
      </c>
      <c r="AX280">
        <v>43257</v>
      </c>
      <c r="AZ280" t="s">
        <v>3229</v>
      </c>
      <c r="BA280" t="s">
        <v>1799</v>
      </c>
      <c r="BD280" t="s">
        <v>2785</v>
      </c>
      <c r="BE280" t="s">
        <v>393</v>
      </c>
      <c r="BF280">
        <v>32011</v>
      </c>
      <c r="BG280" t="s">
        <v>3230</v>
      </c>
      <c r="BH280" t="s">
        <v>2787</v>
      </c>
      <c r="BI280">
        <v>-81.865878003977798</v>
      </c>
      <c r="BJ280">
        <v>30.485058775152901</v>
      </c>
      <c r="BK280" t="s">
        <v>3231</v>
      </c>
      <c r="BM280" t="s">
        <v>3232</v>
      </c>
      <c r="BN280" t="s">
        <v>928</v>
      </c>
      <c r="BO280">
        <v>32011</v>
      </c>
      <c r="BP280" t="s">
        <v>416</v>
      </c>
      <c r="BQ280">
        <v>100</v>
      </c>
      <c r="BR280" t="s">
        <v>514</v>
      </c>
      <c r="BS280">
        <v>1001</v>
      </c>
      <c r="BT280" t="s">
        <v>515</v>
      </c>
      <c r="BW280">
        <v>871200</v>
      </c>
      <c r="BX280" t="s">
        <v>407</v>
      </c>
      <c r="BY280" t="s">
        <v>408</v>
      </c>
      <c r="BZ280">
        <v>4</v>
      </c>
      <c r="CA280">
        <v>1970</v>
      </c>
      <c r="CB280">
        <v>1</v>
      </c>
      <c r="CC280">
        <v>2</v>
      </c>
      <c r="CD280">
        <v>2017</v>
      </c>
      <c r="CE280">
        <v>97500</v>
      </c>
      <c r="CF280">
        <v>105641</v>
      </c>
      <c r="CG280">
        <v>203141</v>
      </c>
      <c r="CH280">
        <v>2017</v>
      </c>
      <c r="CI280">
        <v>97500</v>
      </c>
      <c r="CJ280">
        <v>105641</v>
      </c>
      <c r="CK280">
        <v>203141</v>
      </c>
      <c r="CL280">
        <v>2017</v>
      </c>
      <c r="CM280">
        <v>2483.3200000000002</v>
      </c>
      <c r="CN280" s="1">
        <v>41744</v>
      </c>
      <c r="CO280">
        <v>75000</v>
      </c>
      <c r="CV280">
        <v>0</v>
      </c>
      <c r="CZ280" s="1">
        <v>41744</v>
      </c>
      <c r="DA280">
        <v>0</v>
      </c>
      <c r="DD280" t="s">
        <v>2785</v>
      </c>
      <c r="DF280">
        <v>8</v>
      </c>
      <c r="DG280">
        <v>24</v>
      </c>
      <c r="DL280">
        <v>50504</v>
      </c>
      <c r="DM280" t="s">
        <v>3184</v>
      </c>
      <c r="DO280" t="s">
        <v>3233</v>
      </c>
      <c r="DP280">
        <v>0</v>
      </c>
      <c r="DQ280">
        <v>0</v>
      </c>
      <c r="DR280" t="s">
        <v>411</v>
      </c>
      <c r="DS280" t="b">
        <v>1</v>
      </c>
      <c r="DT280" t="s">
        <v>470</v>
      </c>
      <c r="DU280" t="s">
        <v>471</v>
      </c>
      <c r="DV280" t="s">
        <v>472</v>
      </c>
      <c r="DX280">
        <v>-9999</v>
      </c>
      <c r="DZ280" t="s">
        <v>447</v>
      </c>
      <c r="EA280" t="s">
        <v>448</v>
      </c>
      <c r="EB280" t="s">
        <v>742</v>
      </c>
      <c r="EC280">
        <v>20101217</v>
      </c>
      <c r="ED280" t="s">
        <v>474</v>
      </c>
      <c r="EF280">
        <v>799.8</v>
      </c>
      <c r="EG280">
        <v>799.8</v>
      </c>
      <c r="EI280">
        <v>20160407</v>
      </c>
      <c r="EJ280">
        <v>0</v>
      </c>
      <c r="EK280">
        <v>0</v>
      </c>
      <c r="EP280" t="s">
        <v>421</v>
      </c>
      <c r="EQ280" t="s">
        <v>422</v>
      </c>
      <c r="ER280">
        <v>2</v>
      </c>
      <c r="ES280">
        <v>4</v>
      </c>
      <c r="ET280">
        <v>6874.14</v>
      </c>
      <c r="EU280">
        <v>356.21</v>
      </c>
      <c r="EV280">
        <v>7230.35</v>
      </c>
      <c r="EW280" s="2">
        <v>43222</v>
      </c>
      <c r="EX280" s="1">
        <v>42879</v>
      </c>
      <c r="EY280">
        <v>2016</v>
      </c>
      <c r="EZ280">
        <v>3437.07</v>
      </c>
      <c r="FA280" t="s">
        <v>3234</v>
      </c>
      <c r="FB280">
        <v>0.25</v>
      </c>
      <c r="FC280" t="s">
        <v>424</v>
      </c>
      <c r="FD280" t="s">
        <v>454</v>
      </c>
      <c r="FF280">
        <v>12</v>
      </c>
      <c r="FG280">
        <v>11289</v>
      </c>
      <c r="FH280" t="s">
        <v>787</v>
      </c>
      <c r="FJ280" s="1">
        <v>42879</v>
      </c>
      <c r="FK280">
        <v>2016</v>
      </c>
      <c r="FL280">
        <v>3437.07</v>
      </c>
      <c r="FM280" t="s">
        <v>3234</v>
      </c>
      <c r="FN280">
        <v>0.25</v>
      </c>
      <c r="FO280" t="s">
        <v>424</v>
      </c>
      <c r="FP280" t="s">
        <v>454</v>
      </c>
      <c r="FR280">
        <v>12</v>
      </c>
      <c r="FS280">
        <v>7087219</v>
      </c>
      <c r="FT280" t="s">
        <v>3235</v>
      </c>
      <c r="FV280" s="1">
        <v>42515</v>
      </c>
      <c r="FW280">
        <v>2015</v>
      </c>
      <c r="FX280">
        <v>3543.58</v>
      </c>
      <c r="FY280" t="s">
        <v>3236</v>
      </c>
      <c r="FZ280">
        <v>0.25</v>
      </c>
      <c r="GA280" t="s">
        <v>424</v>
      </c>
      <c r="GB280" t="s">
        <v>425</v>
      </c>
      <c r="GC280" s="1">
        <v>42955</v>
      </c>
      <c r="GD280">
        <v>15</v>
      </c>
      <c r="GE280">
        <v>11289</v>
      </c>
      <c r="GF280" t="s">
        <v>787</v>
      </c>
      <c r="GH280" s="1">
        <v>42515</v>
      </c>
      <c r="GI280">
        <v>2015</v>
      </c>
      <c r="GJ280">
        <v>3543.58</v>
      </c>
      <c r="GK280" t="s">
        <v>3236</v>
      </c>
      <c r="GL280">
        <v>0.25</v>
      </c>
      <c r="GM280" t="s">
        <v>424</v>
      </c>
      <c r="GN280" t="s">
        <v>425</v>
      </c>
      <c r="GP280">
        <v>22</v>
      </c>
      <c r="GQ280">
        <v>7112204</v>
      </c>
      <c r="GR280" t="s">
        <v>3237</v>
      </c>
      <c r="GT280" s="1">
        <v>42151</v>
      </c>
      <c r="GU280">
        <v>2014</v>
      </c>
      <c r="GV280">
        <v>1218.46</v>
      </c>
      <c r="GW280" t="s">
        <v>3238</v>
      </c>
      <c r="GX280">
        <v>0.25</v>
      </c>
      <c r="GY280" t="s">
        <v>424</v>
      </c>
      <c r="GZ280" t="s">
        <v>425</v>
      </c>
      <c r="HA280" s="1">
        <v>42317</v>
      </c>
      <c r="HB280">
        <v>6</v>
      </c>
      <c r="HC280">
        <v>2851116</v>
      </c>
      <c r="HD280" t="s">
        <v>480</v>
      </c>
      <c r="HF280" s="1">
        <v>42151</v>
      </c>
      <c r="HG280">
        <v>2014</v>
      </c>
      <c r="HH280">
        <v>1218.46</v>
      </c>
      <c r="HI280" t="s">
        <v>3238</v>
      </c>
      <c r="HJ280">
        <v>0.25</v>
      </c>
      <c r="HK280" t="s">
        <v>424</v>
      </c>
      <c r="HL280" t="s">
        <v>425</v>
      </c>
      <c r="HN280">
        <v>22</v>
      </c>
      <c r="HO280">
        <v>5078982</v>
      </c>
      <c r="HP280" t="s">
        <v>3239</v>
      </c>
    </row>
    <row r="281" spans="1:284" x14ac:dyDescent="0.25">
      <c r="A281">
        <v>16485288</v>
      </c>
      <c r="B281">
        <v>280</v>
      </c>
      <c r="C281" t="s">
        <v>393</v>
      </c>
      <c r="D281" t="s">
        <v>394</v>
      </c>
      <c r="F281" t="str">
        <f>"24-1N-24-0750-0003-0124"</f>
        <v>24-1N-24-0750-0003-0124</v>
      </c>
      <c r="H281" t="str">
        <f>"TANNER JUSTIN E &amp; MISINEC ERIN N"</f>
        <v>TANNER JUSTIN E &amp; MISINEC ERIN N</v>
      </c>
      <c r="I281" t="str">
        <f>"44108 OAKWOOD LN"</f>
        <v>44108 OAKWOOD LN</v>
      </c>
      <c r="J281" t="str">
        <f t="shared" si="89"/>
        <v>CALLAHAN FL 32011</v>
      </c>
      <c r="K281" t="str">
        <f>"IMAGINE LN"</f>
        <v>IMAGINE LN</v>
      </c>
      <c r="L281" t="str">
        <f t="shared" si="85"/>
        <v>CALLAHAN FL 32011</v>
      </c>
      <c r="M281" t="str">
        <f>"BLK 3 PT OF LOT 12 IN OR 2065/237 HILLS AT THOMAS CREEK PBK 5/65"</f>
        <v>BLK 3 PT OF LOT 12 IN OR 2065/237 HILLS AT THOMAS CREEK PBK 5/65</v>
      </c>
      <c r="N281" t="str">
        <f>""</f>
        <v/>
      </c>
      <c r="O281" t="str">
        <f>"57219"</f>
        <v>57219</v>
      </c>
      <c r="P281" t="str">
        <f t="shared" si="82"/>
        <v>2017</v>
      </c>
      <c r="Q281" t="str">
        <f>""</f>
        <v/>
      </c>
      <c r="R281" t="str">
        <f>"N"</f>
        <v>N</v>
      </c>
      <c r="S281" t="str">
        <f>"1.65"</f>
        <v>1.65</v>
      </c>
      <c r="T281" t="str">
        <f>"488.23"</f>
        <v>488.23</v>
      </c>
      <c r="U281" t="str">
        <f>"32250.00"</f>
        <v>32250.00</v>
      </c>
      <c r="V281" t="str">
        <f>"32250.00"</f>
        <v>32250.00</v>
      </c>
      <c r="W281" t="str">
        <f t="shared" si="83"/>
        <v>2017</v>
      </c>
      <c r="X281" t="str">
        <f>""</f>
        <v/>
      </c>
      <c r="Y281" t="str">
        <f>"534.88"</f>
        <v>534.88</v>
      </c>
      <c r="Z281" t="str">
        <f>""</f>
        <v/>
      </c>
      <c r="AA281" t="str">
        <f>"32250.00"</f>
        <v>32250.00</v>
      </c>
      <c r="AB281" t="str">
        <f t="shared" si="88"/>
        <v>Residential</v>
      </c>
      <c r="AC281" t="str">
        <f t="shared" si="84"/>
        <v>0</v>
      </c>
      <c r="AD281" t="str">
        <f>""</f>
        <v/>
      </c>
      <c r="AE281" t="str">
        <f>""</f>
        <v/>
      </c>
      <c r="AF281" t="str">
        <f>"000"</f>
        <v>000</v>
      </c>
      <c r="AG281" t="str">
        <f t="shared" si="87"/>
        <v>FL</v>
      </c>
      <c r="AH281" t="str">
        <f>"71874.00"</f>
        <v>71874.00</v>
      </c>
      <c r="AI281" t="str">
        <f>"24750.00"</f>
        <v>24750.00</v>
      </c>
      <c r="AJ281" t="str">
        <f>"C55-001-092-7989-3"</f>
        <v>C55-001-092-7989-3</v>
      </c>
      <c r="AK281" t="str">
        <f>"4097"</f>
        <v>4097</v>
      </c>
      <c r="AL281">
        <v>1</v>
      </c>
      <c r="AM281">
        <v>321</v>
      </c>
      <c r="AN281">
        <v>560.02</v>
      </c>
      <c r="AQ281" t="s">
        <v>3240</v>
      </c>
      <c r="AR281" t="s">
        <v>3240</v>
      </c>
      <c r="AS281" t="s">
        <v>3240</v>
      </c>
      <c r="AU281" t="s">
        <v>396</v>
      </c>
      <c r="AV281">
        <v>2017</v>
      </c>
      <c r="AW281" t="str">
        <f>"24-1N-24-0750-0003-0124 "</f>
        <v xml:space="preserve">24-1N-24-0750-0003-0124 </v>
      </c>
      <c r="AZ281" t="s">
        <v>3241</v>
      </c>
      <c r="BA281" t="s">
        <v>653</v>
      </c>
      <c r="BD281" t="s">
        <v>2785</v>
      </c>
      <c r="BE281" t="s">
        <v>393</v>
      </c>
      <c r="BF281">
        <v>32011</v>
      </c>
      <c r="BG281" t="s">
        <v>3242</v>
      </c>
      <c r="BH281" t="s">
        <v>2787</v>
      </c>
      <c r="BK281" t="s">
        <v>3243</v>
      </c>
      <c r="BM281" t="s">
        <v>3244</v>
      </c>
      <c r="BN281" t="s">
        <v>928</v>
      </c>
      <c r="BO281">
        <v>32011</v>
      </c>
      <c r="BQ281">
        <v>1</v>
      </c>
      <c r="BR281" t="s">
        <v>491</v>
      </c>
      <c r="BS281">
        <v>8001</v>
      </c>
      <c r="BT281" t="s">
        <v>492</v>
      </c>
      <c r="BW281">
        <v>71874</v>
      </c>
      <c r="BX281" t="s">
        <v>407</v>
      </c>
      <c r="CD281">
        <v>2017</v>
      </c>
      <c r="CE281">
        <v>24750</v>
      </c>
      <c r="CF281">
        <v>7500</v>
      </c>
      <c r="CG281">
        <v>32250</v>
      </c>
      <c r="CH281">
        <v>2017</v>
      </c>
      <c r="CI281">
        <v>24750</v>
      </c>
      <c r="CJ281">
        <v>7500</v>
      </c>
      <c r="CK281">
        <v>32250</v>
      </c>
      <c r="CL281">
        <v>2017</v>
      </c>
      <c r="CM281">
        <v>488.23</v>
      </c>
      <c r="DD281" t="s">
        <v>2785</v>
      </c>
      <c r="DM281" t="s">
        <v>3184</v>
      </c>
      <c r="DO281" t="s">
        <v>3245</v>
      </c>
    </row>
    <row r="282" spans="1:284" x14ac:dyDescent="0.25">
      <c r="A282">
        <v>16485289</v>
      </c>
      <c r="B282">
        <v>281</v>
      </c>
      <c r="C282" t="s">
        <v>393</v>
      </c>
      <c r="D282" t="s">
        <v>394</v>
      </c>
      <c r="F282" t="str">
        <f>"24-1N-24-0750-0003-0282"</f>
        <v>24-1N-24-0750-0003-0282</v>
      </c>
      <c r="H282" t="str">
        <f>"LAND THOMAS F JR"</f>
        <v>LAND THOMAS F JR</v>
      </c>
      <c r="I282" t="str">
        <f>"43013 LARSEN ROAD"</f>
        <v>43013 LARSEN ROAD</v>
      </c>
      <c r="J282" t="str">
        <f t="shared" si="89"/>
        <v>CALLAHAN FL 32011</v>
      </c>
      <c r="K282" t="str">
        <f>"43013 LARSEN RD"</f>
        <v>43013 LARSEN RD</v>
      </c>
      <c r="L282" t="str">
        <f t="shared" si="85"/>
        <v>CALLAHAN FL 32011</v>
      </c>
      <c r="M282" t="str">
        <f>"BLOCK 3 PT OF LOT 28 R787732 IN OR 1924/1670 SEC 30-1N-25 HILLS AT THOMAS CREEK PB 5/65 2004 MIRA H180068G(LR)"</f>
        <v>BLOCK 3 PT OF LOT 28 R787732 IN OR 1924/1670 SEC 30-1N-25 HILLS AT THOMAS CREEK PB 5/65 2004 MIRA H180068G(LR)</v>
      </c>
      <c r="N282" t="str">
        <f>""</f>
        <v/>
      </c>
      <c r="O282" t="str">
        <f>"34472"</f>
        <v>34472</v>
      </c>
      <c r="P282" t="str">
        <f t="shared" si="82"/>
        <v>2017</v>
      </c>
      <c r="Q282" t="str">
        <f>""</f>
        <v/>
      </c>
      <c r="R282" t="str">
        <f>"Y"</f>
        <v>Y</v>
      </c>
      <c r="S282" t="str">
        <f>"2.00"</f>
        <v>2.00</v>
      </c>
      <c r="T282" t="str">
        <f>"666.22"</f>
        <v>666.22</v>
      </c>
      <c r="U282" t="str">
        <f>"81985.00"</f>
        <v>81985.00</v>
      </c>
      <c r="V282" t="str">
        <f>"81985.00"</f>
        <v>81985.00</v>
      </c>
      <c r="W282" t="str">
        <f t="shared" si="83"/>
        <v>2017</v>
      </c>
      <c r="X282" t="str">
        <f>"6.80"</f>
        <v>6.80</v>
      </c>
      <c r="Y282" t="str">
        <f>"718.21"</f>
        <v>718.21</v>
      </c>
      <c r="Z282" t="str">
        <f>"25000.00"</f>
        <v>25000.00</v>
      </c>
      <c r="AA282" t="str">
        <f>"57987.00"</f>
        <v>57987.00</v>
      </c>
      <c r="AB282" t="str">
        <f t="shared" si="88"/>
        <v>Residential</v>
      </c>
      <c r="AC282" t="str">
        <f t="shared" si="84"/>
        <v>0</v>
      </c>
      <c r="AD282" t="str">
        <f>"4"</f>
        <v>4</v>
      </c>
      <c r="AE282" t="str">
        <f>"WOOD (INCLUDE STEEL STUDS)"</f>
        <v>WOOD (INCLUDE STEEL STUDS)</v>
      </c>
      <c r="AF282" t="str">
        <f>"002"</f>
        <v>002</v>
      </c>
      <c r="AG282" t="str">
        <f t="shared" si="87"/>
        <v>FL</v>
      </c>
      <c r="AH282" t="str">
        <f>"87120.00"</f>
        <v>87120.00</v>
      </c>
      <c r="AI282" t="str">
        <f>"24000.00"</f>
        <v>24000.00</v>
      </c>
      <c r="AJ282" t="str">
        <f>"C55-000-587-3533-3"</f>
        <v>C55-000-587-3533-3</v>
      </c>
      <c r="AK282" t="str">
        <f>"4131"</f>
        <v>4131</v>
      </c>
      <c r="AL282">
        <v>1</v>
      </c>
      <c r="AM282">
        <v>322</v>
      </c>
      <c r="AN282">
        <v>752.52</v>
      </c>
      <c r="AQ282" t="s">
        <v>3246</v>
      </c>
      <c r="AR282" t="s">
        <v>3246</v>
      </c>
      <c r="AS282" t="s">
        <v>3246</v>
      </c>
      <c r="AU282" t="s">
        <v>396</v>
      </c>
      <c r="AV282">
        <v>2017</v>
      </c>
      <c r="AW282" t="str">
        <f>"24-1N-24-0750-0003-0282 "</f>
        <v xml:space="preserve">24-1N-24-0750-0003-0282 </v>
      </c>
      <c r="AX282">
        <v>43013</v>
      </c>
      <c r="AZ282" t="s">
        <v>3247</v>
      </c>
      <c r="BA282" t="s">
        <v>496</v>
      </c>
      <c r="BD282" t="s">
        <v>2785</v>
      </c>
      <c r="BE282" t="s">
        <v>393</v>
      </c>
      <c r="BF282">
        <v>32011</v>
      </c>
      <c r="BG282" t="s">
        <v>3248</v>
      </c>
      <c r="BH282" t="s">
        <v>2787</v>
      </c>
      <c r="BI282">
        <v>-81.841566971429899</v>
      </c>
      <c r="BJ282">
        <v>30.4750073997598</v>
      </c>
      <c r="BK282" t="s">
        <v>3249</v>
      </c>
      <c r="BM282" t="s">
        <v>3250</v>
      </c>
      <c r="BN282" t="s">
        <v>928</v>
      </c>
      <c r="BO282">
        <v>32011</v>
      </c>
      <c r="BP282" t="s">
        <v>416</v>
      </c>
      <c r="BQ282">
        <v>200</v>
      </c>
      <c r="BR282" t="s">
        <v>405</v>
      </c>
      <c r="BS282">
        <v>1006</v>
      </c>
      <c r="BT282" t="s">
        <v>406</v>
      </c>
      <c r="BW282">
        <v>87120</v>
      </c>
      <c r="BX282" t="s">
        <v>407</v>
      </c>
      <c r="BY282" t="s">
        <v>408</v>
      </c>
      <c r="BZ282">
        <v>4</v>
      </c>
      <c r="CA282">
        <v>1985</v>
      </c>
      <c r="CB282">
        <v>1</v>
      </c>
      <c r="CC282">
        <v>2</v>
      </c>
      <c r="CD282">
        <v>2017</v>
      </c>
      <c r="CG282">
        <v>82987</v>
      </c>
      <c r="CH282">
        <v>2017</v>
      </c>
      <c r="CI282">
        <v>24000</v>
      </c>
      <c r="CJ282">
        <v>67018</v>
      </c>
      <c r="CK282">
        <v>91018</v>
      </c>
      <c r="CL282">
        <v>2017</v>
      </c>
      <c r="CM282">
        <v>666.22</v>
      </c>
      <c r="CN282" s="1">
        <v>41813</v>
      </c>
      <c r="CZ282" s="1">
        <v>41813</v>
      </c>
      <c r="DD282" t="s">
        <v>2785</v>
      </c>
      <c r="DF282">
        <v>28</v>
      </c>
      <c r="DG282">
        <v>30</v>
      </c>
      <c r="DJ282" t="s">
        <v>3251</v>
      </c>
      <c r="DL282">
        <v>50502</v>
      </c>
      <c r="DM282" t="s">
        <v>3252</v>
      </c>
      <c r="DO282" t="s">
        <v>3253</v>
      </c>
      <c r="DP282">
        <v>0</v>
      </c>
      <c r="DQ282">
        <v>1</v>
      </c>
      <c r="DR282" t="s">
        <v>1479</v>
      </c>
      <c r="DS282" t="b">
        <v>1</v>
      </c>
      <c r="DT282" t="s">
        <v>470</v>
      </c>
      <c r="DU282" t="s">
        <v>471</v>
      </c>
      <c r="DV282" t="s">
        <v>472</v>
      </c>
      <c r="DX282">
        <v>-9999</v>
      </c>
      <c r="DZ282" t="s">
        <v>447</v>
      </c>
      <c r="EA282" t="s">
        <v>448</v>
      </c>
      <c r="EB282" t="s">
        <v>742</v>
      </c>
      <c r="EC282">
        <v>20101217</v>
      </c>
      <c r="ED282" t="s">
        <v>474</v>
      </c>
      <c r="EF282">
        <v>344</v>
      </c>
      <c r="EG282">
        <v>344</v>
      </c>
      <c r="EI282">
        <v>20160407</v>
      </c>
      <c r="EJ282">
        <v>0</v>
      </c>
      <c r="EK282">
        <v>0</v>
      </c>
      <c r="EP282" t="s">
        <v>421</v>
      </c>
      <c r="EQ282" t="s">
        <v>422</v>
      </c>
      <c r="ER282">
        <v>0</v>
      </c>
      <c r="ES282">
        <v>9</v>
      </c>
      <c r="ET282">
        <v>0</v>
      </c>
      <c r="EU282">
        <v>0</v>
      </c>
      <c r="EV282">
        <v>0</v>
      </c>
      <c r="EW282" s="2">
        <v>43222</v>
      </c>
      <c r="EX282" s="1">
        <v>42879</v>
      </c>
      <c r="EY282">
        <v>2016</v>
      </c>
      <c r="EZ282">
        <v>749.12</v>
      </c>
      <c r="FA282" t="s">
        <v>3254</v>
      </c>
      <c r="FB282">
        <v>0.25</v>
      </c>
      <c r="FC282" t="s">
        <v>424</v>
      </c>
      <c r="FD282" t="s">
        <v>425</v>
      </c>
      <c r="FE282" s="1">
        <v>43000</v>
      </c>
      <c r="FF282">
        <v>4</v>
      </c>
      <c r="FG282">
        <v>7336671</v>
      </c>
      <c r="FH282" t="s">
        <v>437</v>
      </c>
      <c r="FJ282" s="1">
        <v>42879</v>
      </c>
      <c r="FK282">
        <v>2016</v>
      </c>
      <c r="FL282">
        <v>749.12</v>
      </c>
      <c r="FM282" t="s">
        <v>3254</v>
      </c>
      <c r="FN282">
        <v>0.25</v>
      </c>
      <c r="FO282" t="s">
        <v>424</v>
      </c>
      <c r="FP282" t="s">
        <v>425</v>
      </c>
      <c r="FR282">
        <v>22</v>
      </c>
      <c r="FS282">
        <v>6755348</v>
      </c>
      <c r="FT282" t="s">
        <v>3255</v>
      </c>
      <c r="FV282" s="1">
        <v>42515</v>
      </c>
      <c r="FW282">
        <v>2015</v>
      </c>
      <c r="FX282">
        <v>798.91</v>
      </c>
      <c r="FY282" t="s">
        <v>3256</v>
      </c>
      <c r="FZ282">
        <v>0.25</v>
      </c>
      <c r="GA282" t="s">
        <v>424</v>
      </c>
      <c r="GB282" t="s">
        <v>425</v>
      </c>
      <c r="GC282" s="1">
        <v>42548</v>
      </c>
      <c r="GD282">
        <v>1</v>
      </c>
      <c r="GE282">
        <v>2851116</v>
      </c>
      <c r="GF282" t="s">
        <v>480</v>
      </c>
      <c r="GH282" s="1">
        <v>42515</v>
      </c>
      <c r="GI282">
        <v>2015</v>
      </c>
      <c r="GJ282">
        <v>798.91</v>
      </c>
      <c r="GK282" t="s">
        <v>3256</v>
      </c>
      <c r="GL282">
        <v>0.25</v>
      </c>
      <c r="GM282" t="s">
        <v>424</v>
      </c>
      <c r="GN282" t="s">
        <v>425</v>
      </c>
      <c r="GP282">
        <v>22</v>
      </c>
      <c r="GQ282">
        <v>5627886</v>
      </c>
      <c r="GR282" t="s">
        <v>3257</v>
      </c>
      <c r="GT282" s="1">
        <v>42151</v>
      </c>
      <c r="GU282">
        <v>2014</v>
      </c>
      <c r="GV282">
        <v>756.69</v>
      </c>
      <c r="GW282" t="s">
        <v>3258</v>
      </c>
      <c r="GX282">
        <v>0.25</v>
      </c>
      <c r="GY282" t="s">
        <v>424</v>
      </c>
      <c r="GZ282" t="s">
        <v>425</v>
      </c>
      <c r="HA282" s="1">
        <v>42548</v>
      </c>
      <c r="HB282">
        <v>13</v>
      </c>
      <c r="HC282">
        <v>2851116</v>
      </c>
      <c r="HD282" t="s">
        <v>480</v>
      </c>
      <c r="HF282" s="1">
        <v>42151</v>
      </c>
      <c r="HG282">
        <v>2014</v>
      </c>
      <c r="HH282">
        <v>756.69</v>
      </c>
      <c r="HI282" t="s">
        <v>3258</v>
      </c>
      <c r="HJ282">
        <v>0.25</v>
      </c>
      <c r="HK282" t="s">
        <v>424</v>
      </c>
      <c r="HL282" t="s">
        <v>425</v>
      </c>
      <c r="HN282">
        <v>22</v>
      </c>
      <c r="HO282">
        <v>5378283</v>
      </c>
      <c r="HP282" t="s">
        <v>3259</v>
      </c>
      <c r="HR282" s="1">
        <v>41423</v>
      </c>
      <c r="HS282">
        <v>2012</v>
      </c>
      <c r="HT282">
        <v>933.54</v>
      </c>
      <c r="HU282" t="s">
        <v>3260</v>
      </c>
      <c r="HV282">
        <v>0.25</v>
      </c>
      <c r="HW282" t="s">
        <v>424</v>
      </c>
      <c r="HX282" t="s">
        <v>425</v>
      </c>
      <c r="HY282" s="1">
        <v>41479</v>
      </c>
      <c r="HZ282">
        <v>2</v>
      </c>
      <c r="IA282">
        <v>15399</v>
      </c>
      <c r="IB282" t="s">
        <v>485</v>
      </c>
      <c r="ID282" s="1">
        <v>41052</v>
      </c>
      <c r="IE282">
        <v>2011</v>
      </c>
      <c r="IF282">
        <v>1309.08</v>
      </c>
      <c r="IG282" t="s">
        <v>3261</v>
      </c>
      <c r="IH282">
        <v>4.25</v>
      </c>
      <c r="II282" t="s">
        <v>424</v>
      </c>
      <c r="IJ282" t="s">
        <v>425</v>
      </c>
      <c r="IK282" s="1">
        <v>41479</v>
      </c>
      <c r="IL282">
        <v>14</v>
      </c>
      <c r="IM282">
        <v>12407</v>
      </c>
      <c r="IN282" t="s">
        <v>838</v>
      </c>
      <c r="IP282" s="1">
        <v>40688</v>
      </c>
      <c r="IQ282">
        <v>2010</v>
      </c>
      <c r="IR282">
        <v>1288.96</v>
      </c>
      <c r="IS282" t="s">
        <v>3262</v>
      </c>
      <c r="IT282">
        <v>5</v>
      </c>
      <c r="IU282" t="s">
        <v>424</v>
      </c>
      <c r="IV282" t="s">
        <v>425</v>
      </c>
      <c r="IW282" s="1">
        <v>40765</v>
      </c>
      <c r="IX282">
        <v>3</v>
      </c>
      <c r="IY282">
        <v>287</v>
      </c>
      <c r="IZ282" t="s">
        <v>572</v>
      </c>
    </row>
    <row r="283" spans="1:284" x14ac:dyDescent="0.25">
      <c r="A283">
        <v>16485290</v>
      </c>
      <c r="B283">
        <v>282</v>
      </c>
      <c r="C283" t="s">
        <v>393</v>
      </c>
      <c r="D283" t="s">
        <v>394</v>
      </c>
      <c r="F283" t="str">
        <f>"24-1N-24-0750-0003-0285"</f>
        <v>24-1N-24-0750-0003-0285</v>
      </c>
      <c r="H283" t="str">
        <f>"SHELBY ASHLEY R"</f>
        <v>SHELBY ASHLEY R</v>
      </c>
      <c r="I283" t="str">
        <f>"43212 THOMAS CREEK RD"</f>
        <v>43212 THOMAS CREEK RD</v>
      </c>
      <c r="J283" t="str">
        <f t="shared" si="89"/>
        <v>CALLAHAN FL 32011</v>
      </c>
      <c r="K283" t="str">
        <f>"43212 THOMAS CREEK RD"</f>
        <v>43212 THOMAS CREEK RD</v>
      </c>
      <c r="L283" t="str">
        <f t="shared" si="85"/>
        <v>CALLAHAN FL 32011</v>
      </c>
      <c r="M283" t="str">
        <f>"BLK 3 PT OF LOT 28 IN OR 1770/292 HILLS OF THOMAS CREEK PBK 5/65 {R583688}"</f>
        <v>BLK 3 PT OF LOT 28 IN OR 1770/292 HILLS OF THOMAS CREEK PBK 5/65 {R583688}</v>
      </c>
      <c r="N283" t="str">
        <f>""</f>
        <v/>
      </c>
      <c r="O283" t="str">
        <f>"34475"</f>
        <v>34475</v>
      </c>
      <c r="P283" t="str">
        <f t="shared" si="82"/>
        <v>2017</v>
      </c>
      <c r="Q283" t="str">
        <f>""</f>
        <v/>
      </c>
      <c r="R283" t="str">
        <f>"N"</f>
        <v>N</v>
      </c>
      <c r="S283" t="str">
        <f>"1.75"</f>
        <v>1.75</v>
      </c>
      <c r="T283" t="str">
        <f>"611.71"</f>
        <v>611.71</v>
      </c>
      <c r="U283" t="str">
        <f>"37518.00"</f>
        <v>37518.00</v>
      </c>
      <c r="V283" t="str">
        <f>"37518.00"</f>
        <v>37518.00</v>
      </c>
      <c r="W283" t="str">
        <f t="shared" si="83"/>
        <v>2017</v>
      </c>
      <c r="X283" t="str">
        <f>"17.25"</f>
        <v>17.25</v>
      </c>
      <c r="Y283" t="str">
        <f>"662.06"</f>
        <v>662.06</v>
      </c>
      <c r="Z283" t="str">
        <f>""</f>
        <v/>
      </c>
      <c r="AA283" t="str">
        <f>"44147.00"</f>
        <v>44147.00</v>
      </c>
      <c r="AB283" t="str">
        <f t="shared" si="88"/>
        <v>Residential</v>
      </c>
      <c r="AC283" t="str">
        <f t="shared" si="84"/>
        <v>0</v>
      </c>
      <c r="AD283" t="str">
        <f>"4"</f>
        <v>4</v>
      </c>
      <c r="AE283" t="str">
        <f>"WOOD (INCLUDE STEEL STUDS)"</f>
        <v>WOOD (INCLUDE STEEL STUDS)</v>
      </c>
      <c r="AF283" t="str">
        <f>"002"</f>
        <v>002</v>
      </c>
      <c r="AG283" t="str">
        <f t="shared" si="87"/>
        <v>FL</v>
      </c>
      <c r="AH283" t="str">
        <f>"76230.00"</f>
        <v>76230.00</v>
      </c>
      <c r="AI283" t="str">
        <f>"22312.00"</f>
        <v>22312.00</v>
      </c>
      <c r="AJ283" t="str">
        <f>"C55-000-587-3536-6"</f>
        <v>C55-000-587-3536-6</v>
      </c>
      <c r="AK283" t="str">
        <f>"4134"</f>
        <v>4134</v>
      </c>
      <c r="AL283">
        <v>1</v>
      </c>
      <c r="AM283">
        <v>323</v>
      </c>
      <c r="AN283">
        <v>693.56</v>
      </c>
      <c r="AQ283" t="s">
        <v>3263</v>
      </c>
      <c r="AR283" t="s">
        <v>3263</v>
      </c>
      <c r="AS283" t="s">
        <v>3263</v>
      </c>
      <c r="AU283" t="s">
        <v>396</v>
      </c>
      <c r="AV283">
        <v>2017</v>
      </c>
      <c r="AW283" t="str">
        <f>"24-1N-24-0750-0003-0285 "</f>
        <v xml:space="preserve">24-1N-24-0750-0003-0285 </v>
      </c>
      <c r="AX283">
        <v>43212</v>
      </c>
      <c r="AZ283" t="s">
        <v>3195</v>
      </c>
      <c r="BA283" t="s">
        <v>496</v>
      </c>
      <c r="BD283" t="s">
        <v>2785</v>
      </c>
      <c r="BE283" t="s">
        <v>393</v>
      </c>
      <c r="BF283">
        <v>32011</v>
      </c>
      <c r="BG283" t="s">
        <v>3264</v>
      </c>
      <c r="BH283" t="s">
        <v>2787</v>
      </c>
      <c r="BI283">
        <v>-81.841890303349402</v>
      </c>
      <c r="BJ283">
        <v>30.477048357616901</v>
      </c>
      <c r="BK283" t="s">
        <v>3265</v>
      </c>
      <c r="BM283" t="s">
        <v>3264</v>
      </c>
      <c r="BN283" t="s">
        <v>928</v>
      </c>
      <c r="BO283">
        <v>32011</v>
      </c>
      <c r="BP283" t="s">
        <v>416</v>
      </c>
      <c r="BQ283">
        <v>200</v>
      </c>
      <c r="BR283" t="s">
        <v>405</v>
      </c>
      <c r="BS283">
        <v>1006</v>
      </c>
      <c r="BT283" t="s">
        <v>406</v>
      </c>
      <c r="BW283">
        <v>76230</v>
      </c>
      <c r="BX283" t="s">
        <v>407</v>
      </c>
      <c r="BY283" t="s">
        <v>408</v>
      </c>
      <c r="BZ283">
        <v>4</v>
      </c>
      <c r="CA283">
        <v>1994</v>
      </c>
      <c r="CB283">
        <v>1</v>
      </c>
      <c r="CC283">
        <v>1</v>
      </c>
      <c r="CD283">
        <v>2017</v>
      </c>
      <c r="CE283">
        <v>22312</v>
      </c>
      <c r="CF283">
        <v>21835</v>
      </c>
      <c r="CG283">
        <v>44147</v>
      </c>
      <c r="CH283">
        <v>2017</v>
      </c>
      <c r="CI283">
        <v>22312</v>
      </c>
      <c r="CJ283">
        <v>21835</v>
      </c>
      <c r="CK283">
        <v>44147</v>
      </c>
      <c r="CL283">
        <v>2017</v>
      </c>
      <c r="CM283">
        <v>611.71</v>
      </c>
      <c r="CN283" s="1">
        <v>40898</v>
      </c>
      <c r="CO283">
        <v>52000</v>
      </c>
      <c r="CV283">
        <v>0</v>
      </c>
      <c r="CZ283" s="1">
        <v>40898</v>
      </c>
      <c r="DA283">
        <v>0</v>
      </c>
      <c r="DD283" t="s">
        <v>2785</v>
      </c>
      <c r="DF283">
        <v>28</v>
      </c>
      <c r="DG283">
        <v>24</v>
      </c>
      <c r="DL283">
        <v>50502</v>
      </c>
      <c r="DM283" t="s">
        <v>3184</v>
      </c>
      <c r="DO283" t="s">
        <v>3266</v>
      </c>
      <c r="DP283">
        <v>0</v>
      </c>
      <c r="DQ283">
        <v>0</v>
      </c>
      <c r="DR283" t="s">
        <v>411</v>
      </c>
      <c r="DS283" t="b">
        <v>1</v>
      </c>
      <c r="DT283" t="s">
        <v>470</v>
      </c>
      <c r="DU283" t="s">
        <v>471</v>
      </c>
      <c r="DV283" t="s">
        <v>472</v>
      </c>
      <c r="DX283">
        <v>-9999</v>
      </c>
      <c r="DZ283" t="s">
        <v>447</v>
      </c>
      <c r="EA283" t="s">
        <v>448</v>
      </c>
      <c r="EB283" t="s">
        <v>742</v>
      </c>
      <c r="EC283">
        <v>20101217</v>
      </c>
      <c r="ED283" t="s">
        <v>474</v>
      </c>
      <c r="EF283">
        <v>1</v>
      </c>
      <c r="EG283">
        <v>1</v>
      </c>
      <c r="EI283">
        <v>20160407</v>
      </c>
      <c r="EJ283">
        <v>0</v>
      </c>
      <c r="EK283">
        <v>0</v>
      </c>
      <c r="EP283" t="s">
        <v>421</v>
      </c>
      <c r="EQ283" t="s">
        <v>452</v>
      </c>
      <c r="ER283">
        <v>1</v>
      </c>
      <c r="ES283">
        <v>8</v>
      </c>
      <c r="ET283">
        <v>593.24</v>
      </c>
      <c r="EU283">
        <v>113.03</v>
      </c>
      <c r="EV283">
        <v>706.27</v>
      </c>
      <c r="EW283" s="2">
        <v>43222</v>
      </c>
      <c r="EX283" s="1">
        <v>42879</v>
      </c>
      <c r="EY283">
        <v>2016</v>
      </c>
      <c r="EZ283">
        <v>593.24</v>
      </c>
      <c r="FA283" t="s">
        <v>3267</v>
      </c>
      <c r="FB283">
        <v>18</v>
      </c>
      <c r="FC283" t="s">
        <v>424</v>
      </c>
      <c r="FD283" t="s">
        <v>454</v>
      </c>
      <c r="FF283">
        <v>12</v>
      </c>
      <c r="FG283">
        <v>10021</v>
      </c>
      <c r="FH283" t="s">
        <v>597</v>
      </c>
      <c r="FJ283" s="1">
        <v>42515</v>
      </c>
      <c r="FK283">
        <v>2015</v>
      </c>
      <c r="FL283">
        <v>649.05999999999995</v>
      </c>
      <c r="FM283" t="s">
        <v>3268</v>
      </c>
      <c r="FN283">
        <v>0.25</v>
      </c>
      <c r="FO283" t="s">
        <v>424</v>
      </c>
      <c r="FP283" t="s">
        <v>425</v>
      </c>
      <c r="FQ283" s="1">
        <v>42640</v>
      </c>
      <c r="FR283">
        <v>4</v>
      </c>
      <c r="FS283">
        <v>2851116</v>
      </c>
      <c r="FT283" t="s">
        <v>480</v>
      </c>
      <c r="FU283" t="s">
        <v>458</v>
      </c>
      <c r="FV283" s="1">
        <v>42515</v>
      </c>
      <c r="FW283">
        <v>2015</v>
      </c>
      <c r="FX283">
        <v>649.05999999999995</v>
      </c>
      <c r="FY283" t="s">
        <v>3268</v>
      </c>
      <c r="FZ283">
        <v>0.25</v>
      </c>
      <c r="GA283" t="s">
        <v>424</v>
      </c>
      <c r="GB283" t="s">
        <v>425</v>
      </c>
      <c r="GD283">
        <v>22</v>
      </c>
      <c r="GE283">
        <v>5332435</v>
      </c>
      <c r="GF283" t="s">
        <v>3269</v>
      </c>
      <c r="GG283" t="s">
        <v>458</v>
      </c>
      <c r="GH283" s="1">
        <v>42151</v>
      </c>
      <c r="GI283">
        <v>2014</v>
      </c>
      <c r="GJ283">
        <v>579.11</v>
      </c>
      <c r="GK283" t="s">
        <v>3270</v>
      </c>
      <c r="GL283">
        <v>0.25</v>
      </c>
      <c r="GM283" t="s">
        <v>424</v>
      </c>
      <c r="GN283" t="s">
        <v>425</v>
      </c>
      <c r="GO283" s="1">
        <v>42640</v>
      </c>
      <c r="GP283">
        <v>16</v>
      </c>
      <c r="GQ283">
        <v>4975594</v>
      </c>
      <c r="GR283" t="s">
        <v>457</v>
      </c>
      <c r="GS283" t="s">
        <v>458</v>
      </c>
      <c r="GT283" s="1">
        <v>42151</v>
      </c>
      <c r="GU283">
        <v>2014</v>
      </c>
      <c r="GV283">
        <v>579.11</v>
      </c>
      <c r="GW283" t="s">
        <v>3270</v>
      </c>
      <c r="GX283">
        <v>0.25</v>
      </c>
      <c r="GY283" t="s">
        <v>424</v>
      </c>
      <c r="GZ283" t="s">
        <v>425</v>
      </c>
      <c r="HB283">
        <v>22</v>
      </c>
      <c r="HC283">
        <v>6670751</v>
      </c>
      <c r="HD283" t="s">
        <v>3271</v>
      </c>
      <c r="HE283" t="s">
        <v>458</v>
      </c>
      <c r="HF283" s="1">
        <v>41787</v>
      </c>
      <c r="HG283">
        <v>2013</v>
      </c>
      <c r="HH283">
        <v>275.86</v>
      </c>
      <c r="HI283" t="s">
        <v>3272</v>
      </c>
      <c r="HJ283">
        <v>2.25</v>
      </c>
      <c r="HK283" t="s">
        <v>424</v>
      </c>
      <c r="HL283" t="s">
        <v>425</v>
      </c>
      <c r="HN283">
        <v>22</v>
      </c>
      <c r="HO283">
        <v>15399</v>
      </c>
      <c r="HP283" t="s">
        <v>485</v>
      </c>
      <c r="HQ283" t="s">
        <v>458</v>
      </c>
      <c r="HR283" s="1">
        <v>41787</v>
      </c>
      <c r="HS283">
        <v>2013</v>
      </c>
      <c r="HT283">
        <v>275.86</v>
      </c>
      <c r="HU283" t="s">
        <v>3272</v>
      </c>
      <c r="HV283">
        <v>2.25</v>
      </c>
      <c r="HW283" t="s">
        <v>424</v>
      </c>
      <c r="HX283" t="s">
        <v>425</v>
      </c>
      <c r="HZ283">
        <v>22</v>
      </c>
      <c r="IA283">
        <v>7336692</v>
      </c>
      <c r="IB283" t="s">
        <v>822</v>
      </c>
      <c r="IC283" t="s">
        <v>458</v>
      </c>
      <c r="ID283" s="1">
        <v>41787</v>
      </c>
      <c r="IE283">
        <v>2013</v>
      </c>
      <c r="IF283">
        <v>275.86</v>
      </c>
      <c r="IG283" t="s">
        <v>3272</v>
      </c>
      <c r="IH283">
        <v>2.25</v>
      </c>
      <c r="II283" t="s">
        <v>424</v>
      </c>
      <c r="IJ283" t="s">
        <v>425</v>
      </c>
      <c r="IL283">
        <v>22</v>
      </c>
      <c r="IM283">
        <v>7336698</v>
      </c>
      <c r="IN283" t="s">
        <v>823</v>
      </c>
      <c r="IO283" t="s">
        <v>458</v>
      </c>
      <c r="IP283" s="1">
        <v>41423</v>
      </c>
      <c r="IQ283">
        <v>2012</v>
      </c>
      <c r="IR283">
        <v>337.35</v>
      </c>
      <c r="IS283" t="s">
        <v>3273</v>
      </c>
      <c r="IT283">
        <v>4.5</v>
      </c>
      <c r="IU283" t="s">
        <v>424</v>
      </c>
      <c r="IV283" t="s">
        <v>425</v>
      </c>
      <c r="IW283" s="1">
        <v>42048</v>
      </c>
      <c r="IX283">
        <v>21</v>
      </c>
      <c r="IY283">
        <v>15399</v>
      </c>
      <c r="IZ283" t="s">
        <v>485</v>
      </c>
    </row>
    <row r="284" spans="1:284" x14ac:dyDescent="0.25">
      <c r="A284">
        <v>16485291</v>
      </c>
      <c r="B284">
        <v>283</v>
      </c>
      <c r="C284" t="s">
        <v>393</v>
      </c>
      <c r="D284" t="s">
        <v>394</v>
      </c>
      <c r="F284" t="str">
        <f>"24-1N-24-0750-0004-0072"</f>
        <v>24-1N-24-0750-0004-0072</v>
      </c>
      <c r="H284" t="str">
        <f>"MORRIS DENNIS E &amp; MARY M"</f>
        <v>MORRIS DENNIS E &amp; MARY M</v>
      </c>
      <c r="I284" t="str">
        <f>"PO BOX 1540"</f>
        <v>PO BOX 1540</v>
      </c>
      <c r="J284" t="str">
        <f t="shared" si="89"/>
        <v>CALLAHAN FL 32011</v>
      </c>
      <c r="K284" t="str">
        <f>"43114 MORRIS DR"</f>
        <v>43114 MORRIS DR</v>
      </c>
      <c r="L284" t="str">
        <f t="shared" si="85"/>
        <v>CALLAHAN FL 32011</v>
      </c>
      <c r="M284" t="str">
        <f>"BLOCK 4 PT OF LOT 7 (S-2) OR 491/1305 SEC 19-1N-25 HILLS AT THOMAS CREEK PB 5/65"</f>
        <v>BLOCK 4 PT OF LOT 7 (S-2) OR 491/1305 SEC 19-1N-25 HILLS AT THOMAS CREEK PB 5/65</v>
      </c>
      <c r="N284" t="str">
        <f>""</f>
        <v/>
      </c>
      <c r="O284" t="str">
        <f>"34497"</f>
        <v>34497</v>
      </c>
      <c r="P284" t="str">
        <f t="shared" si="82"/>
        <v>2017</v>
      </c>
      <c r="Q284" t="str">
        <f>""</f>
        <v/>
      </c>
      <c r="R284" t="str">
        <f>"Y"</f>
        <v>Y</v>
      </c>
      <c r="S284" t="str">
        <f>"3.26"</f>
        <v>3.26</v>
      </c>
      <c r="T284" t="str">
        <f>"1193.64"</f>
        <v>1193.64</v>
      </c>
      <c r="U284" t="str">
        <f>"117951.00"</f>
        <v>117951.00</v>
      </c>
      <c r="V284" t="str">
        <f>"117951.00"</f>
        <v>117951.00</v>
      </c>
      <c r="W284" t="str">
        <f t="shared" si="83"/>
        <v>2017</v>
      </c>
      <c r="X284" t="str">
        <f>""</f>
        <v/>
      </c>
      <c r="Y284" t="str">
        <f>"1261.45"</f>
        <v>1261.45</v>
      </c>
      <c r="Z284" t="str">
        <f>"25000.00"</f>
        <v>25000.00</v>
      </c>
      <c r="AA284" t="str">
        <f>"92951.00"</f>
        <v>92951.00</v>
      </c>
      <c r="AB284" t="str">
        <f t="shared" si="88"/>
        <v>Residential</v>
      </c>
      <c r="AC284" t="str">
        <f t="shared" si="84"/>
        <v>0</v>
      </c>
      <c r="AD284" t="str">
        <f>"4"</f>
        <v>4</v>
      </c>
      <c r="AE284" t="str">
        <f>"WOOD (INCLUDE STEEL STUDS)"</f>
        <v>WOOD (INCLUDE STEEL STUDS)</v>
      </c>
      <c r="AF284" t="str">
        <f>"001"</f>
        <v>001</v>
      </c>
      <c r="AG284" t="str">
        <f t="shared" si="87"/>
        <v>FL</v>
      </c>
      <c r="AH284" t="str">
        <f>"142005.00"</f>
        <v>142005.00</v>
      </c>
      <c r="AI284" t="str">
        <f>"26080.00"</f>
        <v>26080.00</v>
      </c>
      <c r="AJ284" t="str">
        <f>"C55-000-587-3553-1"</f>
        <v>C55-000-587-3553-1</v>
      </c>
      <c r="AK284" t="str">
        <f>"4153"</f>
        <v>4153</v>
      </c>
      <c r="AL284">
        <v>1</v>
      </c>
      <c r="AM284">
        <v>324</v>
      </c>
      <c r="AN284">
        <v>1322.92</v>
      </c>
      <c r="AQ284" t="s">
        <v>3274</v>
      </c>
      <c r="AR284" t="s">
        <v>3274</v>
      </c>
      <c r="AS284" t="s">
        <v>3274</v>
      </c>
      <c r="AU284" t="s">
        <v>396</v>
      </c>
      <c r="AV284">
        <v>2017</v>
      </c>
      <c r="AW284" t="str">
        <f>"24-1N-24-0750-0004-0072 "</f>
        <v xml:space="preserve">24-1N-24-0750-0004-0072 </v>
      </c>
      <c r="AX284">
        <v>43114</v>
      </c>
      <c r="AZ284" t="s">
        <v>3275</v>
      </c>
      <c r="BA284" t="s">
        <v>669</v>
      </c>
      <c r="BD284" t="s">
        <v>2785</v>
      </c>
      <c r="BE284" t="s">
        <v>393</v>
      </c>
      <c r="BF284">
        <v>32011</v>
      </c>
      <c r="BG284" t="s">
        <v>3276</v>
      </c>
      <c r="BH284" t="s">
        <v>2787</v>
      </c>
      <c r="BI284">
        <v>-81.838949848459706</v>
      </c>
      <c r="BJ284">
        <v>30.482267983279399</v>
      </c>
      <c r="BK284" t="s">
        <v>3277</v>
      </c>
      <c r="BM284" t="s">
        <v>3278</v>
      </c>
      <c r="BN284" t="s">
        <v>928</v>
      </c>
      <c r="BO284">
        <v>32011</v>
      </c>
      <c r="BP284" t="s">
        <v>404</v>
      </c>
      <c r="BQ284">
        <v>100</v>
      </c>
      <c r="BR284" t="s">
        <v>514</v>
      </c>
      <c r="BS284">
        <v>1001</v>
      </c>
      <c r="BT284" t="s">
        <v>515</v>
      </c>
      <c r="BW284">
        <v>142005</v>
      </c>
      <c r="BX284" t="s">
        <v>407</v>
      </c>
      <c r="BY284" t="s">
        <v>408</v>
      </c>
      <c r="BZ284">
        <v>4</v>
      </c>
      <c r="CA284">
        <v>1994</v>
      </c>
      <c r="CB284">
        <v>1</v>
      </c>
      <c r="CC284">
        <v>1</v>
      </c>
      <c r="CD284">
        <v>2017</v>
      </c>
      <c r="CG284">
        <v>117951</v>
      </c>
      <c r="CH284">
        <v>2017</v>
      </c>
      <c r="CI284">
        <v>26080</v>
      </c>
      <c r="CJ284">
        <v>128455</v>
      </c>
      <c r="CK284">
        <v>154535</v>
      </c>
      <c r="CL284">
        <v>2017</v>
      </c>
      <c r="CM284">
        <v>1193.6400000000001</v>
      </c>
      <c r="CN284" s="1">
        <v>31589</v>
      </c>
      <c r="CZ284" s="1">
        <v>31589</v>
      </c>
      <c r="DD284" t="s">
        <v>2785</v>
      </c>
      <c r="DF284">
        <v>7</v>
      </c>
      <c r="DG284">
        <v>24</v>
      </c>
      <c r="DJ284" t="s">
        <v>3279</v>
      </c>
      <c r="DL284">
        <v>50502</v>
      </c>
      <c r="DM284" t="s">
        <v>3184</v>
      </c>
      <c r="DO284" t="s">
        <v>3280</v>
      </c>
      <c r="DP284">
        <v>0</v>
      </c>
      <c r="DQ284">
        <v>0</v>
      </c>
      <c r="DR284" t="s">
        <v>411</v>
      </c>
      <c r="DS284" t="b">
        <v>1</v>
      </c>
      <c r="DT284" t="s">
        <v>470</v>
      </c>
      <c r="DU284" t="s">
        <v>471</v>
      </c>
      <c r="DV284" t="s">
        <v>472</v>
      </c>
      <c r="DX284">
        <v>-9999</v>
      </c>
      <c r="DZ284" t="s">
        <v>447</v>
      </c>
      <c r="EA284" t="s">
        <v>448</v>
      </c>
      <c r="EB284" t="s">
        <v>742</v>
      </c>
      <c r="EC284">
        <v>20101217</v>
      </c>
      <c r="ED284" t="s">
        <v>474</v>
      </c>
      <c r="EF284">
        <v>66.099999999999994</v>
      </c>
      <c r="EG284">
        <v>66.099999999999994</v>
      </c>
      <c r="EI284">
        <v>20160407</v>
      </c>
      <c r="EJ284">
        <v>0</v>
      </c>
      <c r="EK284">
        <v>0</v>
      </c>
    </row>
    <row r="285" spans="1:284" x14ac:dyDescent="0.25">
      <c r="A285">
        <v>16485292</v>
      </c>
      <c r="B285">
        <v>284</v>
      </c>
      <c r="C285" t="s">
        <v>393</v>
      </c>
      <c r="D285" t="s">
        <v>394</v>
      </c>
      <c r="F285" t="str">
        <f>"24-1N-24-0750-0004-0090"</f>
        <v>24-1N-24-0750-0004-0090</v>
      </c>
      <c r="H285" t="str">
        <f>"WILKES SHEILA D L/E CHRISTINE HUMPHRIES"</f>
        <v>WILKES SHEILA D L/E CHRISTINE HUMPHRIES</v>
      </c>
      <c r="I285" t="str">
        <f>"43002 KIDS COACH LANE"</f>
        <v>43002 KIDS COACH LANE</v>
      </c>
      <c r="J285" t="str">
        <f t="shared" si="89"/>
        <v>CALLAHAN FL 32011</v>
      </c>
      <c r="K285" t="str">
        <f>"43002 KIDS COACH LN"</f>
        <v>43002 KIDS COACH LN</v>
      </c>
      <c r="L285" t="str">
        <f t="shared" si="85"/>
        <v>CALLAHAN FL 32011</v>
      </c>
      <c r="M285" t="str">
        <f>"BLOCK 4 LOT 9 (19-1N-25) IN OR 1657/813 R672202 &amp; R672203 HILLS AT THOMAS CREEK PB 5/65"</f>
        <v>BLOCK 4 LOT 9 (19-1N-25) IN OR 1657/813 R672202 &amp; R672203 HILLS AT THOMAS CREEK PB 5/65</v>
      </c>
      <c r="N285" t="str">
        <f>""</f>
        <v/>
      </c>
      <c r="O285" t="str">
        <f>"34502"</f>
        <v>34502</v>
      </c>
      <c r="P285" t="str">
        <f t="shared" si="82"/>
        <v>2017</v>
      </c>
      <c r="Q285" t="str">
        <f>""</f>
        <v/>
      </c>
      <c r="R285" t="str">
        <f>"Y"</f>
        <v>Y</v>
      </c>
      <c r="S285" t="str">
        <f>"11.56"</f>
        <v>11.56</v>
      </c>
      <c r="T285" t="str">
        <f>"1625.97"</f>
        <v>1625.97</v>
      </c>
      <c r="U285" t="str">
        <f>"146508.00"</f>
        <v>146508.00</v>
      </c>
      <c r="V285" t="str">
        <f>"146508.00"</f>
        <v>146508.00</v>
      </c>
      <c r="W285" t="str">
        <f t="shared" si="83"/>
        <v>2017</v>
      </c>
      <c r="X285" t="str">
        <f>"18.83"</f>
        <v>18.83</v>
      </c>
      <c r="Y285" t="str">
        <f>"1706.75"</f>
        <v>1706.75</v>
      </c>
      <c r="Z285" t="str">
        <f>"25000.00"</f>
        <v>25000.00</v>
      </c>
      <c r="AA285" t="str">
        <f>"121508.00"</f>
        <v>121508.00</v>
      </c>
      <c r="AB285" t="str">
        <f t="shared" si="88"/>
        <v>Residential</v>
      </c>
      <c r="AC285" t="str">
        <f t="shared" si="84"/>
        <v>0</v>
      </c>
      <c r="AD285" t="str">
        <f>"4"</f>
        <v>4</v>
      </c>
      <c r="AE285" t="str">
        <f>"WOOD (INCLUDE STEEL STUDS)"</f>
        <v>WOOD (INCLUDE STEEL STUDS)</v>
      </c>
      <c r="AF285" t="str">
        <f>"002"</f>
        <v>002</v>
      </c>
      <c r="AG285" t="str">
        <f t="shared" si="87"/>
        <v>FL</v>
      </c>
      <c r="AH285" t="str">
        <f>"503553.00"</f>
        <v>503553.00</v>
      </c>
      <c r="AI285" t="str">
        <f>"63580.00"</f>
        <v>63580.00</v>
      </c>
      <c r="AJ285" t="str">
        <f>"C55-000-587-3559-8"</f>
        <v>C55-000-587-3559-8</v>
      </c>
      <c r="AK285" t="str">
        <f>"4158"</f>
        <v>4158</v>
      </c>
      <c r="AL285">
        <v>1</v>
      </c>
      <c r="AM285">
        <v>325</v>
      </c>
      <c r="AN285">
        <v>1790.49</v>
      </c>
      <c r="AQ285" t="s">
        <v>3281</v>
      </c>
      <c r="AR285" t="s">
        <v>3281</v>
      </c>
      <c r="AS285" t="s">
        <v>3281</v>
      </c>
      <c r="AU285" t="s">
        <v>396</v>
      </c>
      <c r="AV285">
        <v>2017</v>
      </c>
      <c r="AW285" t="str">
        <f>"24-1N-24-0750-0004-0090 "</f>
        <v xml:space="preserve">24-1N-24-0750-0004-0090 </v>
      </c>
      <c r="AX285">
        <v>43002</v>
      </c>
      <c r="AZ285" t="s">
        <v>3282</v>
      </c>
      <c r="BA285" t="s">
        <v>653</v>
      </c>
      <c r="BD285" t="s">
        <v>2785</v>
      </c>
      <c r="BE285" t="s">
        <v>393</v>
      </c>
      <c r="BF285">
        <v>32011</v>
      </c>
      <c r="BG285" t="s">
        <v>3283</v>
      </c>
      <c r="BH285" t="s">
        <v>2787</v>
      </c>
      <c r="BI285">
        <v>-81.841998053872103</v>
      </c>
      <c r="BJ285">
        <v>30.483242581872599</v>
      </c>
      <c r="BK285" t="s">
        <v>3284</v>
      </c>
      <c r="BM285" t="s">
        <v>3285</v>
      </c>
      <c r="BN285" t="s">
        <v>928</v>
      </c>
      <c r="BO285">
        <v>32011</v>
      </c>
      <c r="BP285" t="s">
        <v>416</v>
      </c>
      <c r="BQ285">
        <v>200</v>
      </c>
      <c r="BR285" t="s">
        <v>405</v>
      </c>
      <c r="BS285">
        <v>1006</v>
      </c>
      <c r="BT285" t="s">
        <v>406</v>
      </c>
      <c r="BW285">
        <v>503553</v>
      </c>
      <c r="BX285" t="s">
        <v>407</v>
      </c>
      <c r="BY285" t="s">
        <v>408</v>
      </c>
      <c r="BZ285">
        <v>4</v>
      </c>
      <c r="CA285">
        <v>1994</v>
      </c>
      <c r="CB285">
        <v>1</v>
      </c>
      <c r="CC285">
        <v>2</v>
      </c>
      <c r="CD285">
        <v>2017</v>
      </c>
      <c r="CG285">
        <v>146508</v>
      </c>
      <c r="CH285">
        <v>2017</v>
      </c>
      <c r="CI285">
        <v>63580</v>
      </c>
      <c r="CJ285">
        <v>117127</v>
      </c>
      <c r="CK285">
        <v>180707</v>
      </c>
      <c r="CL285">
        <v>2017</v>
      </c>
      <c r="CM285">
        <v>1625.97</v>
      </c>
      <c r="CN285" s="1">
        <v>34989</v>
      </c>
      <c r="CZ285" s="1">
        <v>34989</v>
      </c>
      <c r="DD285" t="s">
        <v>2785</v>
      </c>
      <c r="DF285">
        <v>9</v>
      </c>
      <c r="DG285">
        <v>19</v>
      </c>
      <c r="DL285">
        <v>50502</v>
      </c>
      <c r="DM285" t="s">
        <v>3219</v>
      </c>
      <c r="DO285" t="s">
        <v>3286</v>
      </c>
      <c r="DP285">
        <v>0</v>
      </c>
      <c r="DQ285">
        <v>0</v>
      </c>
      <c r="DR285" t="s">
        <v>411</v>
      </c>
      <c r="DS285" t="b">
        <v>1</v>
      </c>
      <c r="DT285" t="s">
        <v>470</v>
      </c>
      <c r="DU285" t="s">
        <v>471</v>
      </c>
      <c r="DV285" t="s">
        <v>472</v>
      </c>
      <c r="DX285">
        <v>-9999</v>
      </c>
      <c r="DZ285" t="s">
        <v>447</v>
      </c>
      <c r="EA285" t="s">
        <v>448</v>
      </c>
      <c r="EB285" t="s">
        <v>742</v>
      </c>
      <c r="EC285">
        <v>20101217</v>
      </c>
      <c r="ED285" t="s">
        <v>474</v>
      </c>
      <c r="EF285">
        <v>246.8</v>
      </c>
      <c r="EG285">
        <v>246.8</v>
      </c>
      <c r="EI285">
        <v>20160407</v>
      </c>
      <c r="EJ285">
        <v>0</v>
      </c>
      <c r="EK285">
        <v>0</v>
      </c>
      <c r="EP285" t="s">
        <v>421</v>
      </c>
      <c r="EQ285" t="s">
        <v>422</v>
      </c>
      <c r="ER285">
        <v>4</v>
      </c>
      <c r="ES285">
        <v>7</v>
      </c>
      <c r="ET285">
        <v>7102.48</v>
      </c>
      <c r="EU285">
        <v>380.12</v>
      </c>
      <c r="EV285">
        <v>7482.6</v>
      </c>
      <c r="EW285" s="2">
        <v>43222</v>
      </c>
      <c r="EX285" s="1">
        <v>42879</v>
      </c>
      <c r="EY285">
        <v>2016</v>
      </c>
      <c r="EZ285">
        <v>1762.89</v>
      </c>
      <c r="FA285" t="s">
        <v>3287</v>
      </c>
      <c r="FB285">
        <v>0.25</v>
      </c>
      <c r="FC285" t="s">
        <v>424</v>
      </c>
      <c r="FD285" t="s">
        <v>454</v>
      </c>
      <c r="FF285">
        <v>12</v>
      </c>
      <c r="FG285">
        <v>2851116</v>
      </c>
      <c r="FH285" t="s">
        <v>480</v>
      </c>
      <c r="FJ285" s="1">
        <v>42879</v>
      </c>
      <c r="FK285">
        <v>2016</v>
      </c>
      <c r="FL285">
        <v>1762.89</v>
      </c>
      <c r="FM285" t="s">
        <v>3287</v>
      </c>
      <c r="FN285">
        <v>0.25</v>
      </c>
      <c r="FO285" t="s">
        <v>424</v>
      </c>
      <c r="FP285" t="s">
        <v>454</v>
      </c>
      <c r="FR285">
        <v>12</v>
      </c>
      <c r="FS285">
        <v>4955073</v>
      </c>
      <c r="FT285" t="s">
        <v>3288</v>
      </c>
      <c r="FV285" s="1">
        <v>42515</v>
      </c>
      <c r="FW285">
        <v>2015</v>
      </c>
      <c r="FX285">
        <v>1788.35</v>
      </c>
      <c r="FY285" t="s">
        <v>3289</v>
      </c>
      <c r="FZ285">
        <v>0.25</v>
      </c>
      <c r="GA285" t="s">
        <v>424</v>
      </c>
      <c r="GB285" t="s">
        <v>454</v>
      </c>
      <c r="GD285">
        <v>24</v>
      </c>
      <c r="GE285">
        <v>2851116</v>
      </c>
      <c r="GF285" t="s">
        <v>480</v>
      </c>
      <c r="GH285" s="1">
        <v>42515</v>
      </c>
      <c r="GI285">
        <v>2015</v>
      </c>
      <c r="GJ285">
        <v>1788.35</v>
      </c>
      <c r="GK285" t="s">
        <v>3289</v>
      </c>
      <c r="GL285">
        <v>0.25</v>
      </c>
      <c r="GM285" t="s">
        <v>424</v>
      </c>
      <c r="GN285" t="s">
        <v>454</v>
      </c>
      <c r="GP285">
        <v>24</v>
      </c>
      <c r="GQ285">
        <v>5753914</v>
      </c>
      <c r="GR285" t="s">
        <v>3290</v>
      </c>
      <c r="GT285" s="1">
        <v>42151</v>
      </c>
      <c r="GU285">
        <v>2014</v>
      </c>
      <c r="GV285">
        <v>1778.69</v>
      </c>
      <c r="GW285" t="s">
        <v>3291</v>
      </c>
      <c r="GX285">
        <v>0.25</v>
      </c>
      <c r="GY285" t="s">
        <v>424</v>
      </c>
      <c r="GZ285" t="s">
        <v>425</v>
      </c>
      <c r="HA285" s="1">
        <v>42809</v>
      </c>
      <c r="HB285">
        <v>22</v>
      </c>
      <c r="HC285">
        <v>2851116</v>
      </c>
      <c r="HD285" t="s">
        <v>480</v>
      </c>
      <c r="HF285" s="1">
        <v>42151</v>
      </c>
      <c r="HG285">
        <v>2014</v>
      </c>
      <c r="HH285">
        <v>1778.69</v>
      </c>
      <c r="HI285" t="s">
        <v>3291</v>
      </c>
      <c r="HJ285">
        <v>0.25</v>
      </c>
      <c r="HK285" t="s">
        <v>424</v>
      </c>
      <c r="HL285" t="s">
        <v>425</v>
      </c>
      <c r="HN285">
        <v>22</v>
      </c>
      <c r="HO285">
        <v>5227656</v>
      </c>
      <c r="HP285" t="s">
        <v>3292</v>
      </c>
      <c r="HR285" s="1">
        <v>41787</v>
      </c>
      <c r="HS285">
        <v>2013</v>
      </c>
      <c r="HT285">
        <v>1665.24</v>
      </c>
      <c r="HU285" t="s">
        <v>3293</v>
      </c>
      <c r="HV285">
        <v>0.25</v>
      </c>
      <c r="HW285" t="s">
        <v>424</v>
      </c>
      <c r="HX285" t="s">
        <v>425</v>
      </c>
      <c r="HY285" s="1">
        <v>42425</v>
      </c>
      <c r="HZ285">
        <v>21</v>
      </c>
      <c r="IA285">
        <v>2851116</v>
      </c>
      <c r="IB285" t="s">
        <v>480</v>
      </c>
      <c r="ID285" s="1">
        <v>41423</v>
      </c>
      <c r="IE285">
        <v>2012</v>
      </c>
      <c r="IF285">
        <v>1650.14</v>
      </c>
      <c r="IG285" t="s">
        <v>3294</v>
      </c>
      <c r="IH285">
        <v>0.25</v>
      </c>
      <c r="II285" t="s">
        <v>424</v>
      </c>
      <c r="IJ285" t="s">
        <v>425</v>
      </c>
      <c r="IK285" s="1">
        <v>42081</v>
      </c>
      <c r="IL285">
        <v>22</v>
      </c>
      <c r="IM285">
        <v>1155951</v>
      </c>
      <c r="IN285" t="s">
        <v>1451</v>
      </c>
      <c r="IP285" s="1">
        <v>41052</v>
      </c>
      <c r="IQ285">
        <v>2011</v>
      </c>
      <c r="IR285">
        <v>1607.74</v>
      </c>
      <c r="IS285" t="s">
        <v>3295</v>
      </c>
      <c r="IT285">
        <v>3.75</v>
      </c>
      <c r="IU285" t="s">
        <v>424</v>
      </c>
      <c r="IV285" t="s">
        <v>425</v>
      </c>
      <c r="IW285" s="1">
        <v>41723</v>
      </c>
      <c r="IX285">
        <v>22</v>
      </c>
      <c r="IY285">
        <v>11325</v>
      </c>
      <c r="IZ285" t="s">
        <v>2402</v>
      </c>
      <c r="JB285" s="1">
        <v>41052</v>
      </c>
      <c r="JC285">
        <v>2011</v>
      </c>
      <c r="JD285">
        <v>1607.74</v>
      </c>
      <c r="JE285" t="s">
        <v>3295</v>
      </c>
      <c r="JF285">
        <v>3.75</v>
      </c>
      <c r="JG285" t="s">
        <v>424</v>
      </c>
      <c r="JH285" t="s">
        <v>425</v>
      </c>
      <c r="JJ285">
        <v>22</v>
      </c>
      <c r="JK285">
        <v>11287</v>
      </c>
      <c r="JL285" t="s">
        <v>511</v>
      </c>
      <c r="JN285" s="1">
        <v>40688</v>
      </c>
      <c r="JO285">
        <v>2010</v>
      </c>
      <c r="JP285">
        <v>1600.79</v>
      </c>
      <c r="JQ285" t="s">
        <v>3296</v>
      </c>
      <c r="JR285">
        <v>0.25</v>
      </c>
      <c r="JS285" t="s">
        <v>424</v>
      </c>
      <c r="JT285" t="s">
        <v>425</v>
      </c>
      <c r="JU285" s="1">
        <v>41376</v>
      </c>
      <c r="JV285">
        <v>23</v>
      </c>
      <c r="JW285">
        <v>10079</v>
      </c>
      <c r="JX285" t="s">
        <v>3297</v>
      </c>
    </row>
    <row r="286" spans="1:284" x14ac:dyDescent="0.25">
      <c r="A286">
        <v>16485293</v>
      </c>
      <c r="B286">
        <v>285</v>
      </c>
      <c r="C286" t="s">
        <v>393</v>
      </c>
      <c r="D286" t="s">
        <v>394</v>
      </c>
      <c r="F286" t="str">
        <f>"24-1N-24-0750-0004-0101"</f>
        <v>24-1N-24-0750-0004-0101</v>
      </c>
      <c r="H286" t="str">
        <f>"WILKES SHEILA D &amp; HUMPHRIES CHRISTINE"</f>
        <v>WILKES SHEILA D &amp; HUMPHRIES CHRISTINE</v>
      </c>
      <c r="I286" t="str">
        <f>"43002 KIDS COACH LANE"</f>
        <v>43002 KIDS COACH LANE</v>
      </c>
      <c r="J286" t="str">
        <f t="shared" si="89"/>
        <v>CALLAHAN FL 32011</v>
      </c>
      <c r="K286" t="str">
        <f>"43087 KIDS COACH LN"</f>
        <v>43087 KIDS COACH LN</v>
      </c>
      <c r="L286" t="str">
        <f t="shared" si="85"/>
        <v>CALLAHAN FL 32011</v>
      </c>
      <c r="M286" t="str">
        <f>"BLOCK 4 S-1 &amp; S-2 OF LOT 10 PT OR 1677/632 SEC 19-1N-25 HILLS AT THOMAS CREEK PB 5/65"</f>
        <v>BLOCK 4 S-1 &amp; S-2 OF LOT 10 PT OR 1677/632 SEC 19-1N-25 HILLS AT THOMAS CREEK PB 5/65</v>
      </c>
      <c r="N286" t="str">
        <f>""</f>
        <v/>
      </c>
      <c r="O286" t="str">
        <f>"34503"</f>
        <v>34503</v>
      </c>
      <c r="P286" t="str">
        <f t="shared" si="82"/>
        <v>2017</v>
      </c>
      <c r="Q286" t="str">
        <f>""</f>
        <v/>
      </c>
      <c r="R286" t="str">
        <f>"N"</f>
        <v>N</v>
      </c>
      <c r="S286" t="str">
        <f>"10.81"</f>
        <v>10.81</v>
      </c>
      <c r="T286" t="str">
        <f>"1027.33"</f>
        <v>1027.33</v>
      </c>
      <c r="U286" t="str">
        <f>"67860.00"</f>
        <v>67860.00</v>
      </c>
      <c r="V286" t="str">
        <f>"67860.00"</f>
        <v>67860.00</v>
      </c>
      <c r="W286" t="str">
        <f t="shared" si="83"/>
        <v>2017</v>
      </c>
      <c r="X286" t="str">
        <f>"3.00"</f>
        <v>3.00</v>
      </c>
      <c r="Y286" t="str">
        <f>"1090.15"</f>
        <v>1090.15</v>
      </c>
      <c r="Z286" t="str">
        <f>""</f>
        <v/>
      </c>
      <c r="AA286" t="str">
        <f>"67860.00"</f>
        <v>67860.00</v>
      </c>
      <c r="AB286" t="str">
        <f t="shared" si="88"/>
        <v>Residential</v>
      </c>
      <c r="AC286" t="str">
        <f t="shared" si="84"/>
        <v>0</v>
      </c>
      <c r="AD286" t="str">
        <f>""</f>
        <v/>
      </c>
      <c r="AE286" t="str">
        <f>""</f>
        <v/>
      </c>
      <c r="AF286" t="str">
        <f>"000"</f>
        <v>000</v>
      </c>
      <c r="AG286" t="str">
        <f t="shared" si="87"/>
        <v>FL</v>
      </c>
      <c r="AH286" t="str">
        <f>"470883.00"</f>
        <v>470883.00</v>
      </c>
      <c r="AI286" t="str">
        <f>"64860.00"</f>
        <v>64860.00</v>
      </c>
      <c r="AJ286" t="str">
        <f>"C55-000-587-3560-6"</f>
        <v>C55-000-587-3560-6</v>
      </c>
      <c r="AK286" t="str">
        <f>"4159"</f>
        <v>4159</v>
      </c>
      <c r="AL286">
        <v>1</v>
      </c>
      <c r="AM286">
        <v>326</v>
      </c>
      <c r="AN286">
        <v>1143.06</v>
      </c>
      <c r="AQ286" t="s">
        <v>3298</v>
      </c>
      <c r="AR286" t="s">
        <v>3298</v>
      </c>
      <c r="AS286" t="s">
        <v>3298</v>
      </c>
      <c r="AU286" t="s">
        <v>396</v>
      </c>
      <c r="AV286">
        <v>2017</v>
      </c>
      <c r="AW286" t="str">
        <f>"24-1N-24-0750-0004-0101 "</f>
        <v xml:space="preserve">24-1N-24-0750-0004-0101 </v>
      </c>
      <c r="AX286">
        <v>43087</v>
      </c>
      <c r="AZ286" t="s">
        <v>3282</v>
      </c>
      <c r="BA286" t="s">
        <v>653</v>
      </c>
      <c r="BD286" t="s">
        <v>2785</v>
      </c>
      <c r="BE286" t="s">
        <v>393</v>
      </c>
      <c r="BF286">
        <v>32011</v>
      </c>
      <c r="BG286" t="s">
        <v>3299</v>
      </c>
      <c r="BH286" t="s">
        <v>2787</v>
      </c>
      <c r="BI286">
        <v>-81.843290873055295</v>
      </c>
      <c r="BJ286">
        <v>30.4825918850403</v>
      </c>
      <c r="BK286" t="s">
        <v>3300</v>
      </c>
      <c r="BM286" t="s">
        <v>3301</v>
      </c>
      <c r="BN286" t="s">
        <v>928</v>
      </c>
      <c r="BO286">
        <v>32011</v>
      </c>
      <c r="BP286" t="s">
        <v>404</v>
      </c>
      <c r="BQ286">
        <v>1</v>
      </c>
      <c r="BR286" t="s">
        <v>491</v>
      </c>
      <c r="BS286">
        <v>8001</v>
      </c>
      <c r="BT286" t="s">
        <v>492</v>
      </c>
      <c r="BW286">
        <v>470883</v>
      </c>
      <c r="BX286" t="s">
        <v>407</v>
      </c>
      <c r="CD286">
        <v>2017</v>
      </c>
      <c r="CE286">
        <v>64860</v>
      </c>
      <c r="CF286">
        <v>3000</v>
      </c>
      <c r="CG286">
        <v>67860</v>
      </c>
      <c r="CH286">
        <v>2017</v>
      </c>
      <c r="CI286">
        <v>64860</v>
      </c>
      <c r="CJ286">
        <v>3000</v>
      </c>
      <c r="CK286">
        <v>67860</v>
      </c>
      <c r="CL286">
        <v>2017</v>
      </c>
      <c r="CM286">
        <v>1027.33</v>
      </c>
      <c r="CN286" s="1">
        <v>40302</v>
      </c>
      <c r="CZ286" s="1">
        <v>40302</v>
      </c>
      <c r="DD286" t="s">
        <v>2785</v>
      </c>
      <c r="DF286">
        <v>10</v>
      </c>
      <c r="DG286">
        <v>24</v>
      </c>
      <c r="DJ286" t="s">
        <v>3279</v>
      </c>
      <c r="DL286">
        <v>50502</v>
      </c>
      <c r="DM286" t="s">
        <v>3184</v>
      </c>
      <c r="DO286" t="s">
        <v>3302</v>
      </c>
      <c r="DP286">
        <v>0</v>
      </c>
      <c r="DQ286">
        <v>0</v>
      </c>
      <c r="DR286" t="s">
        <v>411</v>
      </c>
      <c r="DS286" t="b">
        <v>1</v>
      </c>
      <c r="DT286" t="s">
        <v>470</v>
      </c>
      <c r="DU286" t="s">
        <v>471</v>
      </c>
      <c r="DV286" t="s">
        <v>472</v>
      </c>
      <c r="DX286">
        <v>-9999</v>
      </c>
      <c r="DZ286" t="s">
        <v>447</v>
      </c>
      <c r="EA286" t="s">
        <v>448</v>
      </c>
      <c r="EB286" t="s">
        <v>742</v>
      </c>
      <c r="EC286">
        <v>20101217</v>
      </c>
      <c r="ED286" t="s">
        <v>474</v>
      </c>
      <c r="EF286">
        <v>474.8</v>
      </c>
      <c r="EG286">
        <v>474.8</v>
      </c>
      <c r="EI286">
        <v>20160407</v>
      </c>
      <c r="EJ286">
        <v>0</v>
      </c>
      <c r="EK286">
        <v>0</v>
      </c>
      <c r="EP286" t="s">
        <v>421</v>
      </c>
      <c r="EQ286" t="s">
        <v>422</v>
      </c>
      <c r="ER286">
        <v>8</v>
      </c>
      <c r="ES286">
        <v>0</v>
      </c>
      <c r="ET286">
        <v>7508.75</v>
      </c>
      <c r="EU286">
        <v>2128.7600000000002</v>
      </c>
      <c r="EV286">
        <v>9637.51</v>
      </c>
      <c r="EW286" s="2">
        <v>43222</v>
      </c>
      <c r="EX286" s="1">
        <v>42879</v>
      </c>
      <c r="EY286">
        <v>2016</v>
      </c>
      <c r="EZ286">
        <v>1128.7</v>
      </c>
      <c r="FA286" t="s">
        <v>3303</v>
      </c>
      <c r="FB286">
        <v>0.25</v>
      </c>
      <c r="FC286" t="s">
        <v>424</v>
      </c>
      <c r="FD286" t="s">
        <v>454</v>
      </c>
      <c r="FF286">
        <v>12</v>
      </c>
      <c r="FG286">
        <v>1155951</v>
      </c>
      <c r="FH286" t="s">
        <v>1451</v>
      </c>
      <c r="FJ286" s="1">
        <v>42515</v>
      </c>
      <c r="FK286">
        <v>2015</v>
      </c>
      <c r="FL286">
        <v>1150.46</v>
      </c>
      <c r="FM286" t="s">
        <v>3304</v>
      </c>
      <c r="FN286">
        <v>4.75</v>
      </c>
      <c r="FO286" t="s">
        <v>424</v>
      </c>
      <c r="FP286" t="s">
        <v>454</v>
      </c>
      <c r="FR286">
        <v>24</v>
      </c>
      <c r="FS286">
        <v>7336670</v>
      </c>
      <c r="FT286" t="s">
        <v>2102</v>
      </c>
      <c r="FV286" s="1">
        <v>42151</v>
      </c>
      <c r="FW286">
        <v>2014</v>
      </c>
      <c r="FX286">
        <v>1156.18</v>
      </c>
      <c r="FY286" t="s">
        <v>3305</v>
      </c>
      <c r="FZ286">
        <v>18</v>
      </c>
      <c r="GA286" t="s">
        <v>424</v>
      </c>
      <c r="GB286" t="s">
        <v>454</v>
      </c>
      <c r="GD286">
        <v>36</v>
      </c>
      <c r="GE286">
        <v>10125</v>
      </c>
      <c r="GF286" t="s">
        <v>440</v>
      </c>
      <c r="GH286" s="1">
        <v>41787</v>
      </c>
      <c r="GI286">
        <v>2013</v>
      </c>
      <c r="GJ286">
        <v>1069.42</v>
      </c>
      <c r="GK286" t="s">
        <v>3306</v>
      </c>
      <c r="GL286">
        <v>8.75</v>
      </c>
      <c r="GM286" t="s">
        <v>424</v>
      </c>
      <c r="GN286" t="s">
        <v>454</v>
      </c>
      <c r="GP286">
        <v>48</v>
      </c>
      <c r="GQ286">
        <v>2035919</v>
      </c>
      <c r="GR286" t="s">
        <v>507</v>
      </c>
      <c r="GT286" s="1">
        <v>41787</v>
      </c>
      <c r="GU286">
        <v>2013</v>
      </c>
      <c r="GV286">
        <v>1069.42</v>
      </c>
      <c r="GW286" t="s">
        <v>3306</v>
      </c>
      <c r="GX286">
        <v>8.75</v>
      </c>
      <c r="GY286" t="s">
        <v>424</v>
      </c>
      <c r="GZ286" t="s">
        <v>454</v>
      </c>
      <c r="HB286">
        <v>48</v>
      </c>
      <c r="HC286">
        <v>7336670</v>
      </c>
      <c r="HD286" t="s">
        <v>2102</v>
      </c>
      <c r="HF286" s="1">
        <v>41423</v>
      </c>
      <c r="HG286">
        <v>2012</v>
      </c>
      <c r="HH286">
        <v>962.85</v>
      </c>
      <c r="HI286" t="s">
        <v>3307</v>
      </c>
      <c r="HJ286">
        <v>4</v>
      </c>
      <c r="HK286" t="s">
        <v>424</v>
      </c>
      <c r="HL286" t="s">
        <v>454</v>
      </c>
      <c r="HN286">
        <v>60</v>
      </c>
      <c r="HO286">
        <v>116</v>
      </c>
      <c r="HP286" t="s">
        <v>509</v>
      </c>
      <c r="HR286" s="1">
        <v>41052</v>
      </c>
      <c r="HS286">
        <v>2011</v>
      </c>
      <c r="HT286">
        <v>914.57</v>
      </c>
      <c r="HU286" t="s">
        <v>3308</v>
      </c>
      <c r="HV286">
        <v>5.75</v>
      </c>
      <c r="HW286" t="s">
        <v>424</v>
      </c>
      <c r="HX286" t="s">
        <v>454</v>
      </c>
      <c r="HZ286">
        <v>72</v>
      </c>
      <c r="IA286">
        <v>10125</v>
      </c>
      <c r="IB286" t="s">
        <v>440</v>
      </c>
      <c r="ID286" s="1">
        <v>40688</v>
      </c>
      <c r="IE286">
        <v>2010</v>
      </c>
      <c r="IF286">
        <v>57.15</v>
      </c>
      <c r="IG286" t="s">
        <v>3309</v>
      </c>
      <c r="IH286">
        <v>8</v>
      </c>
      <c r="II286" t="s">
        <v>424</v>
      </c>
      <c r="IJ286" t="s">
        <v>454</v>
      </c>
      <c r="IL286">
        <v>84</v>
      </c>
      <c r="IM286">
        <v>116</v>
      </c>
      <c r="IN286" t="s">
        <v>509</v>
      </c>
    </row>
    <row r="287" spans="1:284" x14ac:dyDescent="0.25">
      <c r="A287">
        <v>16485294</v>
      </c>
      <c r="B287">
        <v>286</v>
      </c>
      <c r="C287" t="s">
        <v>393</v>
      </c>
      <c r="D287" t="s">
        <v>394</v>
      </c>
      <c r="F287" t="str">
        <f>"24-1N-24-0750-0004-0152"</f>
        <v>24-1N-24-0750-0004-0152</v>
      </c>
      <c r="H287" t="str">
        <f>"BUDZEAK ALAN"</f>
        <v>BUDZEAK ALAN</v>
      </c>
      <c r="I287" t="str">
        <f>"10644 MEADOWLEA DR"</f>
        <v>10644 MEADOWLEA DR</v>
      </c>
      <c r="J287" t="str">
        <f>"JACKSONVILLE FL 32218"</f>
        <v>JACKSONVILLE FL 32218</v>
      </c>
      <c r="K287" t="str">
        <f>"43377 LARSEN RD"</f>
        <v>43377 LARSEN RD</v>
      </c>
      <c r="L287" t="str">
        <f t="shared" si="85"/>
        <v>CALLAHAN FL 32011</v>
      </c>
      <c r="M287" t="str">
        <f>"BLOCK 4 PT OF LOT 15 (S-2) IN OR 1816/1684 R433738 &amp; R433739 HILLS AT THOMAS CREEK PB 5/65"</f>
        <v>BLOCK 4 PT OF LOT 15 (S-2) IN OR 1816/1684 R433738 &amp; R433739 HILLS AT THOMAS CREEK PB 5/65</v>
      </c>
      <c r="N287" t="str">
        <f>""</f>
        <v/>
      </c>
      <c r="O287" t="str">
        <f>"34519"</f>
        <v>34519</v>
      </c>
      <c r="P287" t="str">
        <f t="shared" si="82"/>
        <v>2017</v>
      </c>
      <c r="Q287" t="str">
        <f>""</f>
        <v/>
      </c>
      <c r="R287" t="str">
        <f>"N"</f>
        <v>N</v>
      </c>
      <c r="S287" t="str">
        <f>"1.00"</f>
        <v>1.00</v>
      </c>
      <c r="T287" t="str">
        <f>"551.00"</f>
        <v>551.00</v>
      </c>
      <c r="U287" t="str">
        <f>"32764.00"</f>
        <v>32764.00</v>
      </c>
      <c r="V287" t="str">
        <f>"32764.00"</f>
        <v>32764.00</v>
      </c>
      <c r="W287" t="str">
        <f t="shared" si="83"/>
        <v>2017</v>
      </c>
      <c r="X287" t="str">
        <f>"12.33"</f>
        <v>12.33</v>
      </c>
      <c r="Y287" t="str">
        <f>"599.53"</f>
        <v>599.53</v>
      </c>
      <c r="Z287" t="str">
        <f>""</f>
        <v/>
      </c>
      <c r="AA287" t="str">
        <f>"41098.00"</f>
        <v>41098.00</v>
      </c>
      <c r="AB287" t="str">
        <f t="shared" si="88"/>
        <v>Residential</v>
      </c>
      <c r="AC287" t="str">
        <f t="shared" si="84"/>
        <v>0</v>
      </c>
      <c r="AD287" t="str">
        <f>"4"</f>
        <v>4</v>
      </c>
      <c r="AE287" t="str">
        <f>"WOOD (INCLUDE STEEL STUDS)"</f>
        <v>WOOD (INCLUDE STEEL STUDS)</v>
      </c>
      <c r="AF287" t="str">
        <f>"002"</f>
        <v>002</v>
      </c>
      <c r="AG287" t="str">
        <f t="shared" si="87"/>
        <v>FL</v>
      </c>
      <c r="AH287" t="str">
        <f>"43560.00"</f>
        <v>43560.00</v>
      </c>
      <c r="AI287" t="str">
        <f>"15000.00"</f>
        <v>15000.00</v>
      </c>
      <c r="AJ287" t="str">
        <f>"C55-000-587-3572-1"</f>
        <v>C55-000-587-3572-1</v>
      </c>
      <c r="AK287" t="str">
        <f>"4172"</f>
        <v>4172</v>
      </c>
      <c r="AL287">
        <v>1</v>
      </c>
      <c r="AM287">
        <v>327</v>
      </c>
      <c r="AN287">
        <v>627.91</v>
      </c>
      <c r="AQ287" t="s">
        <v>3310</v>
      </c>
      <c r="AR287" t="s">
        <v>3310</v>
      </c>
      <c r="AS287" t="s">
        <v>3310</v>
      </c>
      <c r="AU287" t="s">
        <v>396</v>
      </c>
      <c r="AV287">
        <v>2017</v>
      </c>
      <c r="AW287" t="str">
        <f>"24-1N-24-0750-0004-0152 "</f>
        <v xml:space="preserve">24-1N-24-0750-0004-0152 </v>
      </c>
      <c r="AX287">
        <v>43377</v>
      </c>
      <c r="AZ287" t="s">
        <v>3247</v>
      </c>
      <c r="BA287" t="s">
        <v>496</v>
      </c>
      <c r="BD287" t="s">
        <v>2785</v>
      </c>
      <c r="BE287" t="s">
        <v>393</v>
      </c>
      <c r="BF287">
        <v>32011</v>
      </c>
      <c r="BG287" t="s">
        <v>3311</v>
      </c>
      <c r="BH287" t="s">
        <v>2787</v>
      </c>
      <c r="BI287">
        <v>-81.836850304950701</v>
      </c>
      <c r="BJ287">
        <v>30.477952703088999</v>
      </c>
      <c r="BK287" t="s">
        <v>3312</v>
      </c>
      <c r="BM287" t="s">
        <v>3313</v>
      </c>
      <c r="BN287" t="s">
        <v>548</v>
      </c>
      <c r="BO287">
        <v>32218</v>
      </c>
      <c r="BP287" t="s">
        <v>404</v>
      </c>
      <c r="BQ287">
        <v>200</v>
      </c>
      <c r="BR287" t="s">
        <v>405</v>
      </c>
      <c r="BS287">
        <v>1006</v>
      </c>
      <c r="BT287" t="s">
        <v>406</v>
      </c>
      <c r="BW287">
        <v>43560</v>
      </c>
      <c r="BX287" t="s">
        <v>407</v>
      </c>
      <c r="BY287" t="s">
        <v>408</v>
      </c>
      <c r="BZ287">
        <v>4</v>
      </c>
      <c r="CA287">
        <v>1986</v>
      </c>
      <c r="CB287">
        <v>1</v>
      </c>
      <c r="CC287">
        <v>1</v>
      </c>
      <c r="CD287">
        <v>2017</v>
      </c>
      <c r="CE287">
        <v>15000</v>
      </c>
      <c r="CF287">
        <v>26098</v>
      </c>
      <c r="CG287">
        <v>41098</v>
      </c>
      <c r="CH287">
        <v>2017</v>
      </c>
      <c r="CI287">
        <v>15000</v>
      </c>
      <c r="CJ287">
        <v>26098</v>
      </c>
      <c r="CK287">
        <v>41098</v>
      </c>
      <c r="CL287">
        <v>2017</v>
      </c>
      <c r="CM287">
        <v>551</v>
      </c>
      <c r="CN287" s="1">
        <v>40772</v>
      </c>
      <c r="CO287">
        <v>20000</v>
      </c>
      <c r="CV287">
        <v>0</v>
      </c>
      <c r="CZ287" s="1">
        <v>40772</v>
      </c>
      <c r="DA287">
        <v>0</v>
      </c>
      <c r="DD287" t="s">
        <v>2785</v>
      </c>
      <c r="DF287">
        <v>15</v>
      </c>
      <c r="DG287">
        <v>24</v>
      </c>
      <c r="DL287">
        <v>50502</v>
      </c>
      <c r="DM287" t="s">
        <v>3184</v>
      </c>
      <c r="DO287" t="s">
        <v>3314</v>
      </c>
      <c r="DP287">
        <v>0</v>
      </c>
      <c r="DQ287">
        <v>0</v>
      </c>
      <c r="DR287" t="s">
        <v>411</v>
      </c>
      <c r="DS287" t="b">
        <v>1</v>
      </c>
      <c r="DT287" t="s">
        <v>470</v>
      </c>
      <c r="DU287" t="s">
        <v>471</v>
      </c>
      <c r="DV287" t="s">
        <v>472</v>
      </c>
      <c r="DX287">
        <v>-9999</v>
      </c>
      <c r="DZ287" t="s">
        <v>447</v>
      </c>
      <c r="EA287" t="s">
        <v>448</v>
      </c>
      <c r="EB287" t="s">
        <v>742</v>
      </c>
      <c r="EC287">
        <v>20101217</v>
      </c>
      <c r="ED287" t="s">
        <v>474</v>
      </c>
      <c r="EF287">
        <v>104.1</v>
      </c>
      <c r="EG287">
        <v>104.1</v>
      </c>
      <c r="EH287" t="s">
        <v>451</v>
      </c>
      <c r="EI287">
        <v>20140731</v>
      </c>
      <c r="EJ287">
        <v>0</v>
      </c>
      <c r="EK287">
        <v>0</v>
      </c>
      <c r="EP287" t="s">
        <v>421</v>
      </c>
      <c r="EQ287" t="s">
        <v>452</v>
      </c>
      <c r="ER287">
        <v>1</v>
      </c>
      <c r="ES287">
        <v>3</v>
      </c>
      <c r="ET287">
        <v>521.49</v>
      </c>
      <c r="EU287">
        <v>32.32</v>
      </c>
      <c r="EV287">
        <v>553.80999999999995</v>
      </c>
      <c r="EW287" s="2">
        <v>43222</v>
      </c>
      <c r="EX287" s="1">
        <v>42879</v>
      </c>
      <c r="EY287">
        <v>2016</v>
      </c>
      <c r="EZ287">
        <v>521.49</v>
      </c>
      <c r="FA287" t="s">
        <v>3315</v>
      </c>
      <c r="FB287">
        <v>0.25</v>
      </c>
      <c r="FC287" t="s">
        <v>424</v>
      </c>
      <c r="FD287" t="s">
        <v>454</v>
      </c>
      <c r="FF287">
        <v>12</v>
      </c>
      <c r="FG287">
        <v>7336745</v>
      </c>
      <c r="FH287" t="s">
        <v>502</v>
      </c>
      <c r="FJ287" s="1">
        <v>42151</v>
      </c>
      <c r="FK287">
        <v>2014</v>
      </c>
      <c r="FL287">
        <v>459.59</v>
      </c>
      <c r="FM287" t="s">
        <v>3316</v>
      </c>
      <c r="FN287">
        <v>4.75</v>
      </c>
      <c r="FO287" t="s">
        <v>424</v>
      </c>
      <c r="FP287" t="s">
        <v>425</v>
      </c>
      <c r="FQ287" s="1">
        <v>42475</v>
      </c>
      <c r="FR287">
        <v>11</v>
      </c>
      <c r="FS287">
        <v>4975593</v>
      </c>
      <c r="FT287" t="s">
        <v>505</v>
      </c>
      <c r="FU287" t="s">
        <v>458</v>
      </c>
      <c r="FV287" s="1">
        <v>41787</v>
      </c>
      <c r="FW287">
        <v>2013</v>
      </c>
      <c r="FX287">
        <v>628.4</v>
      </c>
      <c r="FY287" t="s">
        <v>3317</v>
      </c>
      <c r="FZ287">
        <v>0.25</v>
      </c>
      <c r="GA287" t="s">
        <v>424</v>
      </c>
      <c r="GB287" t="s">
        <v>425</v>
      </c>
      <c r="GD287">
        <v>22</v>
      </c>
      <c r="GE287">
        <v>2407503</v>
      </c>
      <c r="GF287" t="s">
        <v>461</v>
      </c>
      <c r="GG287" t="s">
        <v>458</v>
      </c>
      <c r="GH287" s="1">
        <v>41423</v>
      </c>
      <c r="GI287">
        <v>2012</v>
      </c>
      <c r="GJ287">
        <v>698.79</v>
      </c>
      <c r="GK287" t="s">
        <v>3318</v>
      </c>
      <c r="GL287">
        <v>4.5</v>
      </c>
      <c r="GM287" t="s">
        <v>424</v>
      </c>
      <c r="GN287" t="s">
        <v>425</v>
      </c>
      <c r="GO287" s="1">
        <v>41491</v>
      </c>
      <c r="GP287">
        <v>3</v>
      </c>
      <c r="GQ287">
        <v>15399</v>
      </c>
      <c r="GR287" t="s">
        <v>485</v>
      </c>
    </row>
    <row r="288" spans="1:284" x14ac:dyDescent="0.25">
      <c r="A288">
        <v>16485295</v>
      </c>
      <c r="B288">
        <v>287</v>
      </c>
      <c r="C288" t="s">
        <v>393</v>
      </c>
      <c r="D288" t="s">
        <v>394</v>
      </c>
      <c r="F288" t="str">
        <f>"24-1N-24-0750-0004-0161"</f>
        <v>24-1N-24-0750-0004-0161</v>
      </c>
      <c r="H288" t="str">
        <f>"WILKES SHEILA D"</f>
        <v>WILKES SHEILA D</v>
      </c>
      <c r="I288" t="str">
        <f>"43002 KIDS COACH LANE"</f>
        <v>43002 KIDS COACH LANE</v>
      </c>
      <c r="J288" t="str">
        <f>"CALLAHAN FL 32011"</f>
        <v>CALLAHAN FL 32011</v>
      </c>
      <c r="K288" t="str">
        <f>"BRANDON WAY"</f>
        <v>BRANDON WAY</v>
      </c>
      <c r="L288" t="str">
        <f t="shared" si="85"/>
        <v>CALLAHAN FL 32011</v>
      </c>
      <c r="M288" t="str">
        <f>"BLK 4 E1/2 LOT 16 IN OR 1677/641 BEING ONLY PARAGRAPH 2 (EX PT IN OR 1727/22 &amp; OR 1910/1975 &amp; OR 1925/330) HILLS AT THOMAS CREEK SUB PBK 5/65"</f>
        <v>BLK 4 E1/2 LOT 16 IN OR 1677/641 BEING ONLY PARAGRAPH 2 (EX PT IN OR 1727/22 &amp; OR 1910/1975 &amp; OR 1925/330) HILLS AT THOMAS CREEK SUB PBK 5/65</v>
      </c>
      <c r="N288" t="str">
        <f>""</f>
        <v/>
      </c>
      <c r="O288" t="str">
        <f>"34523"</f>
        <v>34523</v>
      </c>
      <c r="P288" t="str">
        <f t="shared" si="82"/>
        <v>2017</v>
      </c>
      <c r="Q288" t="str">
        <f>""</f>
        <v/>
      </c>
      <c r="R288" t="str">
        <f>"N"</f>
        <v>N</v>
      </c>
      <c r="S288" t="str">
        <f>"2.88"</f>
        <v>2.88</v>
      </c>
      <c r="T288" t="str">
        <f>"261.35"</f>
        <v>261.35</v>
      </c>
      <c r="U288" t="str">
        <f>"17250.00"</f>
        <v>17250.00</v>
      </c>
      <c r="V288" t="str">
        <f>"17250.00"</f>
        <v>17250.00</v>
      </c>
      <c r="W288" t="str">
        <f t="shared" si="83"/>
        <v>2017</v>
      </c>
      <c r="X288" t="str">
        <f>"14.67"</f>
        <v>14.67</v>
      </c>
      <c r="Y288" t="str">
        <f>"301.19"</f>
        <v>301.19</v>
      </c>
      <c r="Z288" t="str">
        <f>""</f>
        <v/>
      </c>
      <c r="AA288" t="str">
        <f>"17280.00"</f>
        <v>17280.00</v>
      </c>
      <c r="AB288" t="str">
        <f t="shared" si="88"/>
        <v>Residential</v>
      </c>
      <c r="AC288" t="str">
        <f t="shared" si="84"/>
        <v>0</v>
      </c>
      <c r="AD288" t="str">
        <f>""</f>
        <v/>
      </c>
      <c r="AE288" t="str">
        <f>""</f>
        <v/>
      </c>
      <c r="AF288" t="str">
        <f>"000"</f>
        <v>000</v>
      </c>
      <c r="AG288" t="str">
        <f t="shared" si="87"/>
        <v>FL</v>
      </c>
      <c r="AH288" t="str">
        <f>"125452.00"</f>
        <v>125452.00</v>
      </c>
      <c r="AI288" t="str">
        <f>"17280.00"</f>
        <v>17280.00</v>
      </c>
      <c r="AJ288" t="str">
        <f>"C55-000-587-3575-4"</f>
        <v>C55-000-587-3575-4</v>
      </c>
      <c r="AK288" t="str">
        <f>"4176"</f>
        <v>4176</v>
      </c>
      <c r="AL288">
        <v>1</v>
      </c>
      <c r="AM288">
        <v>329</v>
      </c>
      <c r="AN288">
        <v>314.64999999999998</v>
      </c>
      <c r="AQ288" t="s">
        <v>3319</v>
      </c>
      <c r="AR288" t="s">
        <v>3319</v>
      </c>
      <c r="AS288" t="s">
        <v>3319</v>
      </c>
      <c r="AU288" t="s">
        <v>396</v>
      </c>
      <c r="AV288">
        <v>2017</v>
      </c>
      <c r="AW288" t="str">
        <f>"24-1N-24-0750-0004-0161 "</f>
        <v xml:space="preserve">24-1N-24-0750-0004-0161 </v>
      </c>
      <c r="AZ288" t="s">
        <v>3320</v>
      </c>
      <c r="BA288" t="s">
        <v>866</v>
      </c>
      <c r="BD288" t="s">
        <v>2785</v>
      </c>
      <c r="BE288" t="s">
        <v>393</v>
      </c>
      <c r="BF288">
        <v>32011</v>
      </c>
      <c r="BG288" t="s">
        <v>3321</v>
      </c>
      <c r="BH288" t="s">
        <v>2787</v>
      </c>
      <c r="BI288">
        <v>-81.837165294053406</v>
      </c>
      <c r="BJ288">
        <v>30.480781269523099</v>
      </c>
      <c r="BK288" t="s">
        <v>3322</v>
      </c>
      <c r="BM288" t="s">
        <v>3323</v>
      </c>
      <c r="BN288" t="s">
        <v>928</v>
      </c>
      <c r="BO288">
        <v>32011</v>
      </c>
      <c r="BP288" t="s">
        <v>404</v>
      </c>
      <c r="BQ288">
        <v>0</v>
      </c>
      <c r="BR288" t="s">
        <v>491</v>
      </c>
      <c r="BS288">
        <v>8001</v>
      </c>
      <c r="BT288" t="s">
        <v>492</v>
      </c>
      <c r="BW288">
        <v>125452</v>
      </c>
      <c r="BX288" t="s">
        <v>407</v>
      </c>
      <c r="CD288">
        <v>2017</v>
      </c>
      <c r="CE288">
        <v>17280</v>
      </c>
      <c r="CG288">
        <v>17280</v>
      </c>
      <c r="CH288">
        <v>2017</v>
      </c>
      <c r="CI288">
        <v>17280</v>
      </c>
      <c r="CK288">
        <v>17280</v>
      </c>
      <c r="CL288">
        <v>2017</v>
      </c>
      <c r="CM288">
        <v>261.35000000000002</v>
      </c>
      <c r="CN288" s="1">
        <v>40315</v>
      </c>
      <c r="CO288">
        <v>156300</v>
      </c>
      <c r="CV288">
        <v>0</v>
      </c>
      <c r="CZ288" s="1">
        <v>40315</v>
      </c>
      <c r="DA288">
        <v>0</v>
      </c>
      <c r="DD288" t="s">
        <v>2785</v>
      </c>
      <c r="DF288">
        <v>16</v>
      </c>
      <c r="DG288">
        <v>30</v>
      </c>
      <c r="DL288">
        <v>50502</v>
      </c>
      <c r="DM288" t="s">
        <v>3252</v>
      </c>
      <c r="DO288" t="s">
        <v>3324</v>
      </c>
      <c r="DP288">
        <v>0</v>
      </c>
      <c r="DQ288">
        <v>0</v>
      </c>
      <c r="DR288" t="s">
        <v>411</v>
      </c>
      <c r="DS288" t="b">
        <v>1</v>
      </c>
      <c r="DT288" t="s">
        <v>396</v>
      </c>
      <c r="DV288" t="s">
        <v>446</v>
      </c>
      <c r="DX288">
        <v>-9999</v>
      </c>
      <c r="DZ288" t="s">
        <v>447</v>
      </c>
      <c r="EA288" t="s">
        <v>448</v>
      </c>
      <c r="EB288" t="s">
        <v>2792</v>
      </c>
      <c r="EC288">
        <v>20101217</v>
      </c>
      <c r="ED288" t="s">
        <v>450</v>
      </c>
      <c r="EE288">
        <v>19.3</v>
      </c>
      <c r="EF288">
        <v>0</v>
      </c>
      <c r="EG288">
        <v>0</v>
      </c>
      <c r="EI288">
        <v>20160407</v>
      </c>
      <c r="EJ288">
        <v>0</v>
      </c>
      <c r="EK288">
        <v>0</v>
      </c>
      <c r="EP288" t="s">
        <v>421</v>
      </c>
      <c r="EQ288" t="s">
        <v>422</v>
      </c>
      <c r="ER288">
        <v>0</v>
      </c>
      <c r="ES288">
        <v>6</v>
      </c>
      <c r="ET288">
        <v>0</v>
      </c>
      <c r="EU288">
        <v>0</v>
      </c>
      <c r="EV288">
        <v>0</v>
      </c>
      <c r="EW288" s="2">
        <v>43222</v>
      </c>
      <c r="EX288" s="1">
        <v>42879</v>
      </c>
      <c r="EY288">
        <v>2016</v>
      </c>
      <c r="EZ288">
        <v>299.08999999999997</v>
      </c>
      <c r="FA288" t="s">
        <v>3325</v>
      </c>
      <c r="FB288">
        <v>14</v>
      </c>
      <c r="FC288" t="s">
        <v>424</v>
      </c>
      <c r="FD288" t="s">
        <v>425</v>
      </c>
      <c r="FE288" s="1">
        <v>42935</v>
      </c>
      <c r="FF288">
        <v>2</v>
      </c>
      <c r="FG288">
        <v>10125</v>
      </c>
      <c r="FH288" t="s">
        <v>440</v>
      </c>
      <c r="FJ288" s="1">
        <v>42515</v>
      </c>
      <c r="FK288">
        <v>2015</v>
      </c>
      <c r="FL288">
        <v>287.83</v>
      </c>
      <c r="FM288" t="s">
        <v>3326</v>
      </c>
      <c r="FN288">
        <v>14.75</v>
      </c>
      <c r="FO288" t="s">
        <v>424</v>
      </c>
      <c r="FP288" t="s">
        <v>425</v>
      </c>
      <c r="FQ288" s="1">
        <v>42935</v>
      </c>
      <c r="FR288">
        <v>14</v>
      </c>
      <c r="FS288">
        <v>7336143</v>
      </c>
      <c r="FT288" t="s">
        <v>539</v>
      </c>
      <c r="FV288" s="1">
        <v>42151</v>
      </c>
      <c r="FW288">
        <v>2014</v>
      </c>
      <c r="FX288">
        <v>243.51</v>
      </c>
      <c r="FY288" t="s">
        <v>3327</v>
      </c>
      <c r="FZ288">
        <v>4.75</v>
      </c>
      <c r="GA288" t="s">
        <v>424</v>
      </c>
      <c r="GB288" t="s">
        <v>425</v>
      </c>
      <c r="GC288" s="1">
        <v>42935</v>
      </c>
      <c r="GD288">
        <v>26</v>
      </c>
      <c r="GE288">
        <v>4975593</v>
      </c>
      <c r="GF288" t="s">
        <v>505</v>
      </c>
      <c r="GH288" s="1">
        <v>41423</v>
      </c>
      <c r="GI288">
        <v>2012</v>
      </c>
      <c r="GJ288">
        <v>714.15</v>
      </c>
      <c r="GK288" t="s">
        <v>3328</v>
      </c>
      <c r="GL288">
        <v>0.25</v>
      </c>
      <c r="GM288" t="s">
        <v>424</v>
      </c>
      <c r="GN288" t="s">
        <v>425</v>
      </c>
      <c r="GO288" s="1">
        <v>41821</v>
      </c>
      <c r="GP288">
        <v>14</v>
      </c>
      <c r="GQ288">
        <v>606981</v>
      </c>
      <c r="GR288" t="s">
        <v>792</v>
      </c>
      <c r="GT288" s="1">
        <v>41052</v>
      </c>
      <c r="GU288">
        <v>2011</v>
      </c>
      <c r="GV288">
        <v>1834.91</v>
      </c>
      <c r="GW288" t="s">
        <v>3329</v>
      </c>
      <c r="GX288">
        <v>5.25</v>
      </c>
      <c r="GY288" t="s">
        <v>424</v>
      </c>
      <c r="GZ288" t="s">
        <v>425</v>
      </c>
      <c r="HA288" s="1">
        <v>41701</v>
      </c>
      <c r="HB288">
        <v>22</v>
      </c>
      <c r="HC288">
        <v>10125</v>
      </c>
      <c r="HD288" t="s">
        <v>440</v>
      </c>
      <c r="HF288" s="1">
        <v>40688</v>
      </c>
      <c r="HG288">
        <v>2010</v>
      </c>
      <c r="HH288">
        <v>1610.14</v>
      </c>
      <c r="HI288" t="s">
        <v>3330</v>
      </c>
      <c r="HJ288">
        <v>5</v>
      </c>
      <c r="HK288" t="s">
        <v>424</v>
      </c>
      <c r="HL288" t="s">
        <v>425</v>
      </c>
      <c r="HM288" s="1">
        <v>40990</v>
      </c>
      <c r="HN288">
        <v>10</v>
      </c>
      <c r="HO288">
        <v>287</v>
      </c>
      <c r="HP288" t="s">
        <v>572</v>
      </c>
    </row>
    <row r="289" spans="1:284" x14ac:dyDescent="0.25">
      <c r="A289">
        <v>16485296</v>
      </c>
      <c r="B289">
        <v>288</v>
      </c>
      <c r="C289" t="s">
        <v>393</v>
      </c>
      <c r="D289" t="s">
        <v>394</v>
      </c>
      <c r="F289" t="str">
        <f>"24-1N-24-0750-0004-0170"</f>
        <v>24-1N-24-0750-0004-0170</v>
      </c>
      <c r="H289" t="str">
        <f>"MERCHANT JOHN R &amp; HOUSEHOLDER KATHARINE M"</f>
        <v>MERCHANT JOHN R &amp; HOUSEHOLDER KATHARINE M</v>
      </c>
      <c r="I289" t="str">
        <f>"43075 CHEROKEE TRAIL"</f>
        <v>43075 CHEROKEE TRAIL</v>
      </c>
      <c r="J289" t="str">
        <f>"CALLAHAN FL 32011"</f>
        <v>CALLAHAN FL 32011</v>
      </c>
      <c r="K289" t="str">
        <f>"43075 CHEROKEE TRL"</f>
        <v>43075 CHEROKEE TRL</v>
      </c>
      <c r="L289" t="str">
        <f t="shared" si="85"/>
        <v>CALLAHAN FL 32011</v>
      </c>
      <c r="M289" t="str">
        <f>"BLOCK 4 LOT 17 SKYO 1999 TW IN OR 2055/1586 PT IN SECS 19-1N-25 &amp; 30-1N-25 EX S-1 &amp; S-2 HILLS AT THOMAS CREEK PB 5/65"</f>
        <v>BLOCK 4 LOT 17 SKYO 1999 TW IN OR 2055/1586 PT IN SECS 19-1N-25 &amp; 30-1N-25 EX S-1 &amp; S-2 HILLS AT THOMAS CREEK PB 5/65</v>
      </c>
      <c r="N289" t="str">
        <f>""</f>
        <v/>
      </c>
      <c r="O289" t="str">
        <f>"34530"</f>
        <v>34530</v>
      </c>
      <c r="P289" t="str">
        <f t="shared" si="82"/>
        <v>2017</v>
      </c>
      <c r="Q289" t="str">
        <f>""</f>
        <v/>
      </c>
      <c r="R289" t="str">
        <f>"N"</f>
        <v>N</v>
      </c>
      <c r="S289" t="str">
        <f>"4.80"</f>
        <v>4.80</v>
      </c>
      <c r="T289" t="str">
        <f>"1333.12"</f>
        <v>1333.12</v>
      </c>
      <c r="U289" t="str">
        <f>"88059.00"</f>
        <v>88059.00</v>
      </c>
      <c r="V289" t="str">
        <f>"88059.00"</f>
        <v>88059.00</v>
      </c>
      <c r="W289" t="str">
        <f t="shared" si="83"/>
        <v>2017</v>
      </c>
      <c r="X289" t="str">
        <f>"9.75"</f>
        <v>9.75</v>
      </c>
      <c r="Y289" t="str">
        <f>"1405.11"</f>
        <v>1405.11</v>
      </c>
      <c r="Z289" t="str">
        <f>""</f>
        <v/>
      </c>
      <c r="AA289" t="str">
        <f>"88059.00"</f>
        <v>88059.00</v>
      </c>
      <c r="AB289" t="str">
        <f t="shared" si="88"/>
        <v>Residential</v>
      </c>
      <c r="AC289" t="str">
        <f t="shared" si="84"/>
        <v>0</v>
      </c>
      <c r="AD289" t="str">
        <f>"4"</f>
        <v>4</v>
      </c>
      <c r="AE289" t="str">
        <f>"WOOD (INCLUDE STEEL STUDS)"</f>
        <v>WOOD (INCLUDE STEEL STUDS)</v>
      </c>
      <c r="AF289" t="str">
        <f>"002"</f>
        <v>002</v>
      </c>
      <c r="AG289" t="str">
        <f t="shared" si="87"/>
        <v>FL</v>
      </c>
      <c r="AH289" t="str">
        <f>"209088.00"</f>
        <v>209088.00</v>
      </c>
      <c r="AI289" t="str">
        <f>"30720.00"</f>
        <v>30720.00</v>
      </c>
      <c r="AJ289" t="str">
        <f>"C55-000-587-3577-0"</f>
        <v>C55-000-587-3577-0</v>
      </c>
      <c r="AK289" t="str">
        <f>"4183"</f>
        <v>4183</v>
      </c>
      <c r="AL289">
        <v>2</v>
      </c>
      <c r="AM289">
        <v>330</v>
      </c>
      <c r="AN289">
        <v>1473.77</v>
      </c>
      <c r="AQ289" t="s">
        <v>3331</v>
      </c>
      <c r="AR289" t="s">
        <v>3331</v>
      </c>
      <c r="AS289" t="s">
        <v>3331</v>
      </c>
      <c r="AU289" t="s">
        <v>396</v>
      </c>
      <c r="AV289">
        <v>2017</v>
      </c>
      <c r="AW289" t="str">
        <f>"24-1N-24-0750-0004-0170 "</f>
        <v xml:space="preserve">24-1N-24-0750-0004-0170 </v>
      </c>
      <c r="AX289">
        <v>43075</v>
      </c>
      <c r="AZ289" t="s">
        <v>3332</v>
      </c>
      <c r="BA289" t="s">
        <v>2497</v>
      </c>
      <c r="BD289" t="s">
        <v>2785</v>
      </c>
      <c r="BE289" t="s">
        <v>393</v>
      </c>
      <c r="BF289">
        <v>32011</v>
      </c>
      <c r="BG289" t="s">
        <v>3333</v>
      </c>
      <c r="BH289" t="s">
        <v>2787</v>
      </c>
      <c r="BI289">
        <v>-81.836358537326504</v>
      </c>
      <c r="BJ289">
        <v>30.4804299023622</v>
      </c>
      <c r="BK289" t="s">
        <v>3334</v>
      </c>
      <c r="BL289" t="s">
        <v>3335</v>
      </c>
      <c r="BM289" t="s">
        <v>3333</v>
      </c>
      <c r="BN289" t="s">
        <v>928</v>
      </c>
      <c r="BO289">
        <v>32011</v>
      </c>
      <c r="BP289" t="s">
        <v>416</v>
      </c>
      <c r="BQ289">
        <v>200</v>
      </c>
      <c r="BR289" t="s">
        <v>405</v>
      </c>
      <c r="BS289">
        <v>1006</v>
      </c>
      <c r="BT289" t="s">
        <v>406</v>
      </c>
      <c r="BW289">
        <v>209088</v>
      </c>
      <c r="BX289" t="s">
        <v>407</v>
      </c>
      <c r="BY289" t="s">
        <v>408</v>
      </c>
      <c r="BZ289">
        <v>4</v>
      </c>
      <c r="CA289">
        <v>1999</v>
      </c>
      <c r="CB289">
        <v>1</v>
      </c>
      <c r="CC289">
        <v>1</v>
      </c>
      <c r="CD289">
        <v>2017</v>
      </c>
      <c r="CE289">
        <v>30720</v>
      </c>
      <c r="CF289">
        <v>57339</v>
      </c>
      <c r="CG289">
        <v>88059</v>
      </c>
      <c r="CH289">
        <v>2017</v>
      </c>
      <c r="CI289">
        <v>30720</v>
      </c>
      <c r="CJ289">
        <v>57339</v>
      </c>
      <c r="CK289">
        <v>88059</v>
      </c>
      <c r="CL289">
        <v>2017</v>
      </c>
      <c r="CM289">
        <v>1333.12</v>
      </c>
      <c r="CN289" s="1">
        <v>40393</v>
      </c>
      <c r="CO289">
        <v>40000</v>
      </c>
      <c r="CV289">
        <v>0</v>
      </c>
      <c r="CZ289" s="1">
        <v>40393</v>
      </c>
      <c r="DA289">
        <v>0</v>
      </c>
      <c r="DD289" t="s">
        <v>2785</v>
      </c>
      <c r="DF289">
        <v>17</v>
      </c>
      <c r="DG289">
        <v>19</v>
      </c>
      <c r="DL289">
        <v>50502</v>
      </c>
      <c r="DM289" t="s">
        <v>3219</v>
      </c>
      <c r="DO289" t="s">
        <v>3336</v>
      </c>
      <c r="DP289">
        <v>0</v>
      </c>
      <c r="DQ289">
        <v>0</v>
      </c>
      <c r="DR289" t="s">
        <v>411</v>
      </c>
      <c r="EP289" t="s">
        <v>421</v>
      </c>
      <c r="EQ289" t="s">
        <v>422</v>
      </c>
      <c r="ER289">
        <v>0</v>
      </c>
      <c r="ES289">
        <v>1</v>
      </c>
      <c r="ET289">
        <v>0</v>
      </c>
      <c r="EU289">
        <v>0</v>
      </c>
      <c r="EV289">
        <v>0</v>
      </c>
      <c r="EW289" s="2">
        <v>43222</v>
      </c>
      <c r="EX289" s="1">
        <v>40688</v>
      </c>
      <c r="EY289">
        <v>2010</v>
      </c>
      <c r="EZ289">
        <v>1364.68</v>
      </c>
      <c r="FA289" t="s">
        <v>3337</v>
      </c>
      <c r="FB289">
        <v>5</v>
      </c>
      <c r="FC289" t="s">
        <v>424</v>
      </c>
      <c r="FD289" t="s">
        <v>425</v>
      </c>
      <c r="FE289" s="1">
        <v>40788</v>
      </c>
      <c r="FF289">
        <v>4</v>
      </c>
      <c r="FG289">
        <v>287</v>
      </c>
      <c r="FH289" t="s">
        <v>572</v>
      </c>
    </row>
    <row r="290" spans="1:284" x14ac:dyDescent="0.25">
      <c r="A290">
        <v>16485297</v>
      </c>
      <c r="B290">
        <v>289</v>
      </c>
      <c r="C290" t="s">
        <v>393</v>
      </c>
      <c r="D290" t="s">
        <v>394</v>
      </c>
      <c r="F290" t="str">
        <f>"25-1N-24-0080-0001-0000"</f>
        <v>25-1N-24-0080-0001-0000</v>
      </c>
      <c r="H290" t="str">
        <f>"ARENBURGH WILLIAM PAUL"</f>
        <v>ARENBURGH WILLIAM PAUL</v>
      </c>
      <c r="I290" t="str">
        <f>"43201 ELLIS AVE"</f>
        <v>43201 ELLIS AVE</v>
      </c>
      <c r="J290" t="str">
        <f>"CALLAHAN FL 32011"</f>
        <v>CALLAHAN FL 32011</v>
      </c>
      <c r="K290" t="str">
        <f>"43201 ELLIS AVE"</f>
        <v>43201 ELLIS AVE</v>
      </c>
      <c r="L290" t="str">
        <f t="shared" si="85"/>
        <v>CALLAHAN FL 32011</v>
      </c>
      <c r="M290" t="str">
        <f>"LOT 1 IN OR 799/1104 R673250 &amp; R673251 &amp; R673252 ESMT OR 1048/1616 ARENBURGH ACRES PB 5/384"</f>
        <v>LOT 1 IN OR 799/1104 R673250 &amp; R673251 &amp; R673252 ESMT OR 1048/1616 ARENBURGH ACRES PB 5/384</v>
      </c>
      <c r="N290" t="str">
        <f>""</f>
        <v/>
      </c>
      <c r="O290" t="str">
        <f>"34910"</f>
        <v>34910</v>
      </c>
      <c r="P290" t="str">
        <f t="shared" si="82"/>
        <v>2017</v>
      </c>
      <c r="Q290" t="str">
        <f>""</f>
        <v/>
      </c>
      <c r="R290" t="str">
        <f>"Y"</f>
        <v>Y</v>
      </c>
      <c r="S290" t="str">
        <f>"8.78"</f>
        <v>8.78</v>
      </c>
      <c r="T290" t="str">
        <f>"492.60"</f>
        <v>492.60</v>
      </c>
      <c r="U290" t="str">
        <f>"68447.00"</f>
        <v>68447.00</v>
      </c>
      <c r="V290" t="str">
        <f>"68447.00"</f>
        <v>68447.00</v>
      </c>
      <c r="W290" t="str">
        <f t="shared" si="83"/>
        <v>2017</v>
      </c>
      <c r="X290" t="str">
        <f>"10.00"</f>
        <v>10.00</v>
      </c>
      <c r="Y290" t="str">
        <f>"539.38"</f>
        <v>539.38</v>
      </c>
      <c r="Z290" t="str">
        <f>"25500.00"</f>
        <v>25500.00</v>
      </c>
      <c r="AA290" t="str">
        <f>"42947.00"</f>
        <v>42947.00</v>
      </c>
      <c r="AB290" t="str">
        <f t="shared" si="88"/>
        <v>Residential</v>
      </c>
      <c r="AC290" t="str">
        <f t="shared" si="84"/>
        <v>0</v>
      </c>
      <c r="AD290" t="str">
        <f>"4"</f>
        <v>4</v>
      </c>
      <c r="AE290" t="str">
        <f>"WOOD (INCLUDE STEEL STUDS)"</f>
        <v>WOOD (INCLUDE STEEL STUDS)</v>
      </c>
      <c r="AF290" t="str">
        <f>"002"</f>
        <v>002</v>
      </c>
      <c r="AG290" t="str">
        <f t="shared" si="87"/>
        <v>FL</v>
      </c>
      <c r="AH290" t="str">
        <f>"382456.00"</f>
        <v>382456.00</v>
      </c>
      <c r="AI290" t="str">
        <f>"26340.00"</f>
        <v>26340.00</v>
      </c>
      <c r="AJ290" t="str">
        <f>"C55-000-587-3846-9"</f>
        <v>C55-000-587-3846-9</v>
      </c>
      <c r="AK290" t="str">
        <f>"4199"</f>
        <v>4199</v>
      </c>
      <c r="AL290">
        <v>2</v>
      </c>
      <c r="AM290">
        <v>332</v>
      </c>
      <c r="AN290">
        <v>564.75</v>
      </c>
      <c r="AQ290" t="s">
        <v>3338</v>
      </c>
      <c r="AR290" t="s">
        <v>3338</v>
      </c>
      <c r="AS290" t="s">
        <v>3338</v>
      </c>
      <c r="AU290" t="s">
        <v>396</v>
      </c>
      <c r="AV290">
        <v>2017</v>
      </c>
      <c r="AW290" t="str">
        <f>"25-1N-24-0080-0001-0000 "</f>
        <v xml:space="preserve">25-1N-24-0080-0001-0000 </v>
      </c>
      <c r="AX290">
        <v>43201</v>
      </c>
      <c r="AZ290" t="s">
        <v>3339</v>
      </c>
      <c r="BA290" t="s">
        <v>1112</v>
      </c>
      <c r="BD290" t="s">
        <v>2785</v>
      </c>
      <c r="BE290" t="s">
        <v>393</v>
      </c>
      <c r="BF290">
        <v>32011</v>
      </c>
      <c r="BG290" t="s">
        <v>3340</v>
      </c>
      <c r="BH290" t="s">
        <v>2787</v>
      </c>
      <c r="BI290">
        <v>-81.858192258088295</v>
      </c>
      <c r="BJ290">
        <v>30.475498400948599</v>
      </c>
      <c r="BK290" t="s">
        <v>3341</v>
      </c>
      <c r="BM290" t="s">
        <v>3342</v>
      </c>
      <c r="BN290" t="s">
        <v>928</v>
      </c>
      <c r="BO290">
        <v>32011</v>
      </c>
      <c r="BP290" t="s">
        <v>416</v>
      </c>
      <c r="BQ290">
        <v>200</v>
      </c>
      <c r="BR290" t="s">
        <v>405</v>
      </c>
      <c r="BS290">
        <v>1006</v>
      </c>
      <c r="BT290" t="s">
        <v>406</v>
      </c>
      <c r="BW290">
        <v>382456</v>
      </c>
      <c r="BX290" t="s">
        <v>407</v>
      </c>
      <c r="BY290" t="s">
        <v>408</v>
      </c>
      <c r="BZ290">
        <v>4</v>
      </c>
      <c r="CA290">
        <v>1995</v>
      </c>
      <c r="CB290">
        <v>1</v>
      </c>
      <c r="CC290">
        <v>2</v>
      </c>
      <c r="CD290">
        <v>2017</v>
      </c>
      <c r="CG290">
        <v>68447</v>
      </c>
      <c r="CH290">
        <v>2017</v>
      </c>
      <c r="CI290">
        <v>26340</v>
      </c>
      <c r="CJ290">
        <v>57447</v>
      </c>
      <c r="CK290">
        <v>83787</v>
      </c>
      <c r="CL290">
        <v>2017</v>
      </c>
      <c r="CM290">
        <v>492.6</v>
      </c>
      <c r="CN290" s="1">
        <v>35625</v>
      </c>
      <c r="CZ290" s="1">
        <v>35625</v>
      </c>
      <c r="DD290" t="s">
        <v>2785</v>
      </c>
      <c r="DF290">
        <v>1</v>
      </c>
      <c r="DG290">
        <v>25</v>
      </c>
      <c r="DL290">
        <v>50504</v>
      </c>
      <c r="DM290" t="s">
        <v>3343</v>
      </c>
      <c r="DO290" t="s">
        <v>3344</v>
      </c>
      <c r="DP290">
        <v>0</v>
      </c>
      <c r="DQ290">
        <v>0</v>
      </c>
      <c r="DR290" t="s">
        <v>411</v>
      </c>
      <c r="DS290" t="b">
        <v>1</v>
      </c>
      <c r="DT290" t="s">
        <v>470</v>
      </c>
      <c r="DU290" t="s">
        <v>471</v>
      </c>
      <c r="DV290" t="s">
        <v>472</v>
      </c>
      <c r="DX290">
        <v>-9999</v>
      </c>
      <c r="DZ290" t="s">
        <v>447</v>
      </c>
      <c r="EA290" t="s">
        <v>448</v>
      </c>
      <c r="EB290" t="s">
        <v>742</v>
      </c>
      <c r="EC290">
        <v>20101217</v>
      </c>
      <c r="ED290" t="s">
        <v>474</v>
      </c>
      <c r="EF290">
        <v>161.30000000000001</v>
      </c>
      <c r="EG290">
        <v>161.30000000000001</v>
      </c>
      <c r="EH290" t="s">
        <v>451</v>
      </c>
      <c r="EI290">
        <v>20140731</v>
      </c>
      <c r="EJ290">
        <v>0</v>
      </c>
      <c r="EK290">
        <v>0</v>
      </c>
      <c r="EP290" t="s">
        <v>421</v>
      </c>
      <c r="EQ290" t="s">
        <v>422</v>
      </c>
      <c r="ER290">
        <v>2</v>
      </c>
      <c r="ES290">
        <v>2</v>
      </c>
      <c r="ET290">
        <v>1117.9000000000001</v>
      </c>
      <c r="EU290">
        <v>68.400000000000006</v>
      </c>
      <c r="EV290">
        <v>1186.3</v>
      </c>
      <c r="EW290" s="2">
        <v>43222</v>
      </c>
      <c r="EX290" s="1">
        <v>42879</v>
      </c>
      <c r="EY290">
        <v>2016</v>
      </c>
      <c r="EZ290">
        <v>558.95000000000005</v>
      </c>
      <c r="FA290" t="s">
        <v>3345</v>
      </c>
      <c r="FB290">
        <v>0.25</v>
      </c>
      <c r="FC290" t="s">
        <v>424</v>
      </c>
      <c r="FD290" t="s">
        <v>454</v>
      </c>
      <c r="FF290">
        <v>12</v>
      </c>
      <c r="FG290">
        <v>7400234</v>
      </c>
      <c r="FH290" t="s">
        <v>426</v>
      </c>
      <c r="FJ290" s="1">
        <v>42879</v>
      </c>
      <c r="FK290">
        <v>2016</v>
      </c>
      <c r="FL290">
        <v>558.95000000000005</v>
      </c>
      <c r="FM290" t="s">
        <v>3345</v>
      </c>
      <c r="FN290">
        <v>0.25</v>
      </c>
      <c r="FO290" t="s">
        <v>424</v>
      </c>
      <c r="FP290" t="s">
        <v>454</v>
      </c>
      <c r="FR290">
        <v>12</v>
      </c>
      <c r="FS290">
        <v>7551050</v>
      </c>
      <c r="FT290" t="s">
        <v>3346</v>
      </c>
      <c r="FV290" s="1">
        <v>42151</v>
      </c>
      <c r="FW290">
        <v>2014</v>
      </c>
      <c r="FX290">
        <v>565.95000000000005</v>
      </c>
      <c r="FY290" t="s">
        <v>3347</v>
      </c>
      <c r="FZ290">
        <v>0.25</v>
      </c>
      <c r="GA290" t="s">
        <v>424</v>
      </c>
      <c r="GB290" t="s">
        <v>425</v>
      </c>
      <c r="GC290" s="1">
        <v>42460</v>
      </c>
      <c r="GD290">
        <v>10</v>
      </c>
      <c r="GE290">
        <v>2851116</v>
      </c>
      <c r="GF290" t="s">
        <v>480</v>
      </c>
      <c r="GH290" s="1">
        <v>42151</v>
      </c>
      <c r="GI290">
        <v>2014</v>
      </c>
      <c r="GJ290">
        <v>565.95000000000005</v>
      </c>
      <c r="GK290" t="s">
        <v>3347</v>
      </c>
      <c r="GL290">
        <v>0.25</v>
      </c>
      <c r="GM290" t="s">
        <v>424</v>
      </c>
      <c r="GN290" t="s">
        <v>425</v>
      </c>
      <c r="GP290">
        <v>22</v>
      </c>
      <c r="GQ290">
        <v>5060036</v>
      </c>
      <c r="GR290" t="s">
        <v>3348</v>
      </c>
    </row>
    <row r="291" spans="1:284" x14ac:dyDescent="0.25">
      <c r="A291">
        <v>16485298</v>
      </c>
      <c r="B291">
        <v>290</v>
      </c>
      <c r="C291" t="s">
        <v>393</v>
      </c>
      <c r="D291" t="s">
        <v>394</v>
      </c>
      <c r="F291" t="str">
        <f>"25-1N-24-0080-0004-0000"</f>
        <v>25-1N-24-0080-0004-0000</v>
      </c>
      <c r="H291" t="str">
        <f>"ARENBURGH SUSAN"</f>
        <v>ARENBURGH SUSAN</v>
      </c>
      <c r="I291" t="str">
        <f>"8622 HARE AVE"</f>
        <v>8622 HARE AVE</v>
      </c>
      <c r="J291" t="str">
        <f>"JACKSONVILLE FL 32211"</f>
        <v>JACKSONVILLE FL 32211</v>
      </c>
      <c r="K291" t="str">
        <f>"HARVEY DR"</f>
        <v>HARVEY DR</v>
      </c>
      <c r="L291" t="str">
        <f t="shared" si="85"/>
        <v>CALLAHAN FL 32011</v>
      </c>
      <c r="M291" t="str">
        <f>"LOT 4 IN OR 772 PG 1826 F/K/A 24-1N-24-0750-0003-0113 ARENBURGH ACRES PB 5/384"</f>
        <v>LOT 4 IN OR 772 PG 1826 F/K/A 24-1N-24-0750-0003-0113 ARENBURGH ACRES PB 5/384</v>
      </c>
      <c r="N291" t="str">
        <f>""</f>
        <v/>
      </c>
      <c r="O291" t="str">
        <f>"34913"</f>
        <v>34913</v>
      </c>
      <c r="P291" t="str">
        <f t="shared" si="82"/>
        <v>2017</v>
      </c>
      <c r="Q291" t="str">
        <f>""</f>
        <v/>
      </c>
      <c r="R291" t="str">
        <f t="shared" ref="R291:R304" si="90">"N"</f>
        <v>N</v>
      </c>
      <c r="S291" t="str">
        <f>"10.00"</f>
        <v>10.00</v>
      </c>
      <c r="T291" t="str">
        <f>"36.34"</f>
        <v>36.34</v>
      </c>
      <c r="U291" t="str">
        <f>"2400.00"</f>
        <v>2400.00</v>
      </c>
      <c r="V291" t="str">
        <f>"2400.00"</f>
        <v>2400.00</v>
      </c>
      <c r="W291" t="str">
        <f t="shared" si="83"/>
        <v>2017</v>
      </c>
      <c r="X291" t="str">
        <f>""</f>
        <v/>
      </c>
      <c r="Y291" t="str">
        <f>"69.43"</f>
        <v>69.43</v>
      </c>
      <c r="Z291" t="str">
        <f>""</f>
        <v/>
      </c>
      <c r="AA291" t="str">
        <f>"2400.00"</f>
        <v>2400.00</v>
      </c>
      <c r="AB291" t="str">
        <f>"Agricultural"</f>
        <v>Agricultural</v>
      </c>
      <c r="AC291" t="str">
        <f t="shared" si="84"/>
        <v>0</v>
      </c>
      <c r="AD291" t="str">
        <f>""</f>
        <v/>
      </c>
      <c r="AE291" t="str">
        <f>""</f>
        <v/>
      </c>
      <c r="AF291" t="str">
        <f>"057"</f>
        <v>057</v>
      </c>
      <c r="AG291" t="str">
        <f t="shared" si="87"/>
        <v>FL</v>
      </c>
      <c r="AH291" t="str">
        <f>"435600.00"</f>
        <v>435600.00</v>
      </c>
      <c r="AI291" t="str">
        <f>"2400.00"</f>
        <v>2400.00</v>
      </c>
      <c r="AJ291" t="str">
        <f>"C55-000-587-3849-3"</f>
        <v>C55-000-587-3849-3</v>
      </c>
      <c r="AK291" t="str">
        <f>"4202"</f>
        <v>4202</v>
      </c>
      <c r="AL291">
        <v>2</v>
      </c>
      <c r="AM291">
        <v>333</v>
      </c>
      <c r="AN291">
        <v>71.3</v>
      </c>
      <c r="AQ291" t="s">
        <v>3349</v>
      </c>
      <c r="AR291" t="s">
        <v>3349</v>
      </c>
      <c r="AS291" t="s">
        <v>3349</v>
      </c>
      <c r="AU291" t="s">
        <v>396</v>
      </c>
      <c r="AV291">
        <v>2017</v>
      </c>
      <c r="AW291" t="str">
        <f>"25-1N-24-0080-0004-0000 "</f>
        <v xml:space="preserve">25-1N-24-0080-0004-0000 </v>
      </c>
      <c r="AZ291" t="s">
        <v>3350</v>
      </c>
      <c r="BA291" t="s">
        <v>669</v>
      </c>
      <c r="BD291" t="s">
        <v>2785</v>
      </c>
      <c r="BE291" t="s">
        <v>393</v>
      </c>
      <c r="BF291">
        <v>32011</v>
      </c>
      <c r="BG291" t="s">
        <v>3351</v>
      </c>
      <c r="BH291" t="s">
        <v>2787</v>
      </c>
      <c r="BI291">
        <v>-81.8611632528238</v>
      </c>
      <c r="BJ291">
        <v>30.473640696542098</v>
      </c>
      <c r="BK291" t="s">
        <v>3352</v>
      </c>
      <c r="BM291" t="s">
        <v>3353</v>
      </c>
      <c r="BN291" t="s">
        <v>548</v>
      </c>
      <c r="BO291">
        <v>32211</v>
      </c>
      <c r="BP291" t="s">
        <v>404</v>
      </c>
      <c r="BQ291">
        <v>5700</v>
      </c>
      <c r="BR291" t="s">
        <v>3354</v>
      </c>
      <c r="BS291">
        <v>7009</v>
      </c>
      <c r="BT291" t="s">
        <v>418</v>
      </c>
      <c r="BW291">
        <v>435600</v>
      </c>
      <c r="BX291" t="s">
        <v>407</v>
      </c>
      <c r="BY291" t="s">
        <v>408</v>
      </c>
      <c r="CD291">
        <v>2017</v>
      </c>
      <c r="CG291">
        <v>2400</v>
      </c>
      <c r="CH291">
        <v>2017</v>
      </c>
      <c r="CI291">
        <v>2400</v>
      </c>
      <c r="CJ291">
        <v>57600</v>
      </c>
      <c r="CK291">
        <v>60000</v>
      </c>
      <c r="CL291">
        <v>2017</v>
      </c>
      <c r="CM291">
        <v>36.340000000000003</v>
      </c>
      <c r="CN291" s="1">
        <v>35341</v>
      </c>
      <c r="CZ291" s="1">
        <v>35341</v>
      </c>
      <c r="DD291" t="s">
        <v>2785</v>
      </c>
      <c r="DF291">
        <v>4</v>
      </c>
      <c r="DG291">
        <v>25</v>
      </c>
      <c r="DL291">
        <v>50504</v>
      </c>
      <c r="DM291" t="s">
        <v>3343</v>
      </c>
      <c r="DO291" t="s">
        <v>3355</v>
      </c>
      <c r="DP291">
        <v>0</v>
      </c>
      <c r="DQ291">
        <v>0</v>
      </c>
      <c r="DR291" t="s">
        <v>411</v>
      </c>
    </row>
    <row r="292" spans="1:284" x14ac:dyDescent="0.25">
      <c r="A292">
        <v>16485299</v>
      </c>
      <c r="B292">
        <v>291</v>
      </c>
      <c r="C292" t="s">
        <v>393</v>
      </c>
      <c r="D292" t="s">
        <v>394</v>
      </c>
      <c r="F292" t="str">
        <f>"28-1N-24-0000-0001-0210"</f>
        <v>28-1N-24-0000-0001-0210</v>
      </c>
      <c r="H292" t="str">
        <f>"ROWLAND WENDELL D"</f>
        <v>ROWLAND WENDELL D</v>
      </c>
      <c r="I292" t="str">
        <f>"8236 BROOKS RD"</f>
        <v>8236 BROOKS RD</v>
      </c>
      <c r="J292" t="str">
        <f>"BRYCEVILLE FL 32009"</f>
        <v>BRYCEVILLE FL 32009</v>
      </c>
      <c r="K292" t="str">
        <f>"BROOKS RD"</f>
        <v>BROOKS RD</v>
      </c>
      <c r="L292" t="str">
        <f t="shared" ref="L292:L305" si="91">"BRYCEVILLE FL 32009"</f>
        <v>BRYCEVILLE FL 32009</v>
      </c>
      <c r="M292" t="str">
        <f>"PT OF NE1/4 OF SW1/4 OF SEC 28-1N-24E IN OR 1958/1881 &amp; OR 2008/685"</f>
        <v>PT OF NE1/4 OF SW1/4 OF SEC 28-1N-24E IN OR 1958/1881 &amp; OR 2008/685</v>
      </c>
      <c r="N292" t="str">
        <f>""</f>
        <v/>
      </c>
      <c r="O292" t="str">
        <f>"37993"</f>
        <v>37993</v>
      </c>
      <c r="P292" t="str">
        <f t="shared" si="82"/>
        <v>2017</v>
      </c>
      <c r="Q292" t="str">
        <f>""</f>
        <v/>
      </c>
      <c r="R292" t="str">
        <f t="shared" si="90"/>
        <v>N</v>
      </c>
      <c r="S292" t="str">
        <f>"2.59"</f>
        <v>2.59</v>
      </c>
      <c r="T292" t="str">
        <f>"470.51"</f>
        <v>470.51</v>
      </c>
      <c r="U292" t="str">
        <f>"31080.00"</f>
        <v>31080.00</v>
      </c>
      <c r="V292" t="str">
        <f>"31080.00"</f>
        <v>31080.00</v>
      </c>
      <c r="W292" t="str">
        <f t="shared" si="83"/>
        <v>2017</v>
      </c>
      <c r="X292" t="str">
        <f>""</f>
        <v/>
      </c>
      <c r="Y292" t="str">
        <f>"516.63"</f>
        <v>516.63</v>
      </c>
      <c r="Z292" t="str">
        <f>""</f>
        <v/>
      </c>
      <c r="AA292" t="str">
        <f>"31080.00"</f>
        <v>31080.00</v>
      </c>
      <c r="AB292" t="str">
        <f>"Residential"</f>
        <v>Residential</v>
      </c>
      <c r="AC292" t="str">
        <f t="shared" si="84"/>
        <v>0</v>
      </c>
      <c r="AD292" t="str">
        <f>""</f>
        <v/>
      </c>
      <c r="AE292" t="str">
        <f>""</f>
        <v/>
      </c>
      <c r="AF292" t="str">
        <f>"000"</f>
        <v>000</v>
      </c>
      <c r="AG292" t="str">
        <f t="shared" si="87"/>
        <v>FL</v>
      </c>
      <c r="AH292" t="str">
        <f>"112820.00"</f>
        <v>112820.00</v>
      </c>
      <c r="AI292" t="str">
        <f>"31080.00"</f>
        <v>31080.00</v>
      </c>
      <c r="AJ292" t="str">
        <f>"C55-001-066-3907-3"</f>
        <v>C55-001-066-3907-3</v>
      </c>
      <c r="AK292" t="str">
        <f>"4239"</f>
        <v>4239</v>
      </c>
      <c r="AL292">
        <v>2</v>
      </c>
      <c r="AM292">
        <v>335</v>
      </c>
      <c r="AN292">
        <v>540.86</v>
      </c>
      <c r="AQ292" t="s">
        <v>3356</v>
      </c>
      <c r="AR292" t="s">
        <v>3356</v>
      </c>
      <c r="AS292" t="s">
        <v>3356</v>
      </c>
      <c r="AU292" t="s">
        <v>396</v>
      </c>
      <c r="AV292">
        <v>2017</v>
      </c>
      <c r="AW292" t="str">
        <f>"28-1N-24-0000-0001-0210 "</f>
        <v xml:space="preserve">28-1N-24-0000-0001-0210 </v>
      </c>
      <c r="AZ292" t="s">
        <v>3357</v>
      </c>
      <c r="BA292" t="s">
        <v>496</v>
      </c>
      <c r="BD292" t="s">
        <v>553</v>
      </c>
      <c r="BE292" t="s">
        <v>393</v>
      </c>
      <c r="BF292">
        <v>32009</v>
      </c>
      <c r="BG292" t="s">
        <v>3358</v>
      </c>
      <c r="BH292" t="s">
        <v>555</v>
      </c>
      <c r="BI292">
        <v>-81.910324901309195</v>
      </c>
      <c r="BJ292">
        <v>30.4718234921144</v>
      </c>
      <c r="BK292" t="s">
        <v>3359</v>
      </c>
      <c r="BM292" t="s">
        <v>3360</v>
      </c>
      <c r="BN292" t="s">
        <v>558</v>
      </c>
      <c r="BO292">
        <v>32009</v>
      </c>
      <c r="BP292" t="s">
        <v>404</v>
      </c>
      <c r="BQ292">
        <v>0</v>
      </c>
      <c r="BR292" t="s">
        <v>491</v>
      </c>
      <c r="BS292">
        <v>8001</v>
      </c>
      <c r="BT292" t="s">
        <v>492</v>
      </c>
      <c r="BW292">
        <v>112820</v>
      </c>
      <c r="BX292" t="s">
        <v>407</v>
      </c>
      <c r="CD292">
        <v>2017</v>
      </c>
      <c r="CE292">
        <v>31080</v>
      </c>
      <c r="CG292">
        <v>31080</v>
      </c>
      <c r="CH292">
        <v>2017</v>
      </c>
      <c r="CI292">
        <v>31080</v>
      </c>
      <c r="CK292">
        <v>31080</v>
      </c>
      <c r="CL292">
        <v>2017</v>
      </c>
      <c r="CM292">
        <v>470.51</v>
      </c>
      <c r="CN292" s="1">
        <v>42289</v>
      </c>
      <c r="CZ292" s="1">
        <v>42289</v>
      </c>
      <c r="DD292" t="s">
        <v>553</v>
      </c>
      <c r="DG292">
        <v>28</v>
      </c>
      <c r="DL292">
        <v>50504</v>
      </c>
      <c r="DM292" t="s">
        <v>3361</v>
      </c>
      <c r="DO292" t="s">
        <v>3362</v>
      </c>
      <c r="DP292">
        <v>0</v>
      </c>
      <c r="DQ292">
        <v>0</v>
      </c>
      <c r="DR292" t="s">
        <v>411</v>
      </c>
    </row>
    <row r="293" spans="1:284" x14ac:dyDescent="0.25">
      <c r="A293">
        <v>16485300</v>
      </c>
      <c r="B293">
        <v>292</v>
      </c>
      <c r="C293" t="s">
        <v>393</v>
      </c>
      <c r="D293" t="s">
        <v>394</v>
      </c>
      <c r="F293" t="str">
        <f>"33-1N-24-0000-0001-0140"</f>
        <v>33-1N-24-0000-0001-0140</v>
      </c>
      <c r="H293" t="str">
        <f>"BUSTION GERALD W &amp; CYNTHIA A"</f>
        <v>BUSTION GERALD W &amp; CYNTHIA A</v>
      </c>
      <c r="I293" t="str">
        <f>"7901 PODER PLACE"</f>
        <v>7901 PODER PLACE</v>
      </c>
      <c r="J293" t="str">
        <f>"BRYCEVILLE FL 32009"</f>
        <v>BRYCEVILLE FL 32009</v>
      </c>
      <c r="K293" t="str">
        <f>"13499 OPUS RD"</f>
        <v>13499 OPUS RD</v>
      </c>
      <c r="L293" t="str">
        <f t="shared" si="91"/>
        <v>BRYCEVILLE FL 32009</v>
      </c>
      <c r="M293" t="str">
        <f>"PT OR 690/827 R/W OR 953/1105 ESMT OR 986/874 1995 PALM TW/MH 1992 SKYL DW/MH"</f>
        <v>PT OR 690/827 R/W OR 953/1105 ESMT OR 986/874 1995 PALM TW/MH 1992 SKYL DW/MH</v>
      </c>
      <c r="N293" t="str">
        <f>""</f>
        <v/>
      </c>
      <c r="O293" t="str">
        <f>"40738"</f>
        <v>40738</v>
      </c>
      <c r="P293" t="str">
        <f t="shared" si="82"/>
        <v>2017</v>
      </c>
      <c r="Q293" t="str">
        <f>""</f>
        <v/>
      </c>
      <c r="R293" t="str">
        <f t="shared" si="90"/>
        <v>N</v>
      </c>
      <c r="S293" t="str">
        <f>"3.60"</f>
        <v>3.60</v>
      </c>
      <c r="T293" t="str">
        <f>"1527.63"</f>
        <v>1527.63</v>
      </c>
      <c r="U293" t="str">
        <f>"96182.00"</f>
        <v>96182.00</v>
      </c>
      <c r="V293" t="str">
        <f>"96182.00"</f>
        <v>96182.00</v>
      </c>
      <c r="W293" t="str">
        <f t="shared" si="83"/>
        <v>2017</v>
      </c>
      <c r="X293" t="str">
        <f>"21.88"</f>
        <v>21.88</v>
      </c>
      <c r="Y293" t="str">
        <f>"1605.46"</f>
        <v>1605.46</v>
      </c>
      <c r="Z293" t="str">
        <f>""</f>
        <v/>
      </c>
      <c r="AA293" t="str">
        <f>"107026.00"</f>
        <v>107026.00</v>
      </c>
      <c r="AB293" t="str">
        <f>"Agricultural"</f>
        <v>Agricultural</v>
      </c>
      <c r="AC293" t="str">
        <f t="shared" si="84"/>
        <v>0</v>
      </c>
      <c r="AD293" t="str">
        <f>"4"</f>
        <v>4</v>
      </c>
      <c r="AE293" t="str">
        <f>"WOOD (INCLUDE STEEL STUDS)"</f>
        <v>WOOD (INCLUDE STEEL STUDS)</v>
      </c>
      <c r="AF293" t="str">
        <f>"050"</f>
        <v>050</v>
      </c>
      <c r="AG293" t="str">
        <f t="shared" si="87"/>
        <v>FL</v>
      </c>
      <c r="AH293" t="str">
        <f>"156816.00"</f>
        <v>156816.00</v>
      </c>
      <c r="AI293" t="str">
        <f>"24552.00"</f>
        <v>24552.00</v>
      </c>
      <c r="AJ293" t="str">
        <f>"C55-001-011-3484-9"</f>
        <v>C55-001-011-3484-9</v>
      </c>
      <c r="AK293" t="str">
        <f>"4275"</f>
        <v>4275</v>
      </c>
      <c r="AL293">
        <v>2</v>
      </c>
      <c r="AM293">
        <v>337</v>
      </c>
      <c r="AN293">
        <v>1684.13</v>
      </c>
      <c r="AQ293" t="s">
        <v>3363</v>
      </c>
      <c r="AR293" t="s">
        <v>3363</v>
      </c>
      <c r="AS293" t="s">
        <v>3363</v>
      </c>
      <c r="AU293" t="s">
        <v>396</v>
      </c>
      <c r="AV293">
        <v>2017</v>
      </c>
      <c r="AW293" t="str">
        <f>"33-1N-24-0000-0001-0140 "</f>
        <v xml:space="preserve">33-1N-24-0000-0001-0140 </v>
      </c>
      <c r="AX293">
        <v>13499</v>
      </c>
      <c r="AZ293" t="s">
        <v>3364</v>
      </c>
      <c r="BA293" t="s">
        <v>496</v>
      </c>
      <c r="BD293" t="s">
        <v>553</v>
      </c>
      <c r="BE293" t="s">
        <v>393</v>
      </c>
      <c r="BF293">
        <v>32009</v>
      </c>
      <c r="BG293" t="s">
        <v>3365</v>
      </c>
      <c r="BH293" t="s">
        <v>555</v>
      </c>
      <c r="BI293">
        <v>-81.912907699172806</v>
      </c>
      <c r="BJ293">
        <v>30.463816961878599</v>
      </c>
      <c r="BK293" t="s">
        <v>3366</v>
      </c>
      <c r="BL293" t="s">
        <v>3367</v>
      </c>
      <c r="BM293" t="s">
        <v>3368</v>
      </c>
      <c r="BN293" t="s">
        <v>558</v>
      </c>
      <c r="BO293">
        <v>32009</v>
      </c>
      <c r="BP293" t="s">
        <v>404</v>
      </c>
      <c r="BQ293">
        <v>5000</v>
      </c>
      <c r="BR293" t="s">
        <v>664</v>
      </c>
      <c r="BS293">
        <v>7000</v>
      </c>
      <c r="BT293" t="s">
        <v>665</v>
      </c>
      <c r="BW293">
        <v>156816</v>
      </c>
      <c r="BX293" t="s">
        <v>407</v>
      </c>
      <c r="BY293" t="s">
        <v>408</v>
      </c>
      <c r="BZ293">
        <v>4</v>
      </c>
      <c r="CA293">
        <v>1995</v>
      </c>
      <c r="CB293">
        <v>1</v>
      </c>
      <c r="CC293">
        <v>2</v>
      </c>
      <c r="CD293">
        <v>2017</v>
      </c>
      <c r="CG293">
        <v>107026</v>
      </c>
      <c r="CH293">
        <v>2017</v>
      </c>
      <c r="CI293">
        <v>24552</v>
      </c>
      <c r="CJ293">
        <v>107522</v>
      </c>
      <c r="CK293">
        <v>132074</v>
      </c>
      <c r="CL293">
        <v>2017</v>
      </c>
      <c r="CM293">
        <v>1527.63</v>
      </c>
      <c r="DD293" t="s">
        <v>553</v>
      </c>
      <c r="DG293">
        <v>33</v>
      </c>
      <c r="DL293">
        <v>50504</v>
      </c>
      <c r="DM293" t="s">
        <v>3369</v>
      </c>
      <c r="DO293" t="s">
        <v>3370</v>
      </c>
      <c r="DP293">
        <v>0</v>
      </c>
      <c r="DQ293">
        <v>0</v>
      </c>
      <c r="DR293" t="s">
        <v>411</v>
      </c>
      <c r="DS293" t="b">
        <v>1</v>
      </c>
      <c r="DT293" t="s">
        <v>470</v>
      </c>
      <c r="DU293" t="s">
        <v>471</v>
      </c>
      <c r="DV293" t="s">
        <v>472</v>
      </c>
      <c r="DX293">
        <v>-9999</v>
      </c>
      <c r="DZ293" t="s">
        <v>447</v>
      </c>
      <c r="EA293" t="s">
        <v>448</v>
      </c>
      <c r="EB293" t="s">
        <v>742</v>
      </c>
      <c r="EC293">
        <v>20101217</v>
      </c>
      <c r="ED293" t="s">
        <v>474</v>
      </c>
      <c r="EF293">
        <v>938.1</v>
      </c>
      <c r="EG293">
        <v>938.1</v>
      </c>
      <c r="EI293">
        <v>20160407</v>
      </c>
      <c r="EJ293">
        <v>0</v>
      </c>
      <c r="EK293">
        <v>0</v>
      </c>
      <c r="EP293" t="s">
        <v>421</v>
      </c>
      <c r="EQ293" t="s">
        <v>422</v>
      </c>
      <c r="ER293">
        <v>2</v>
      </c>
      <c r="ES293">
        <v>9</v>
      </c>
      <c r="ET293">
        <v>2958.42</v>
      </c>
      <c r="EU293">
        <v>160.41999999999999</v>
      </c>
      <c r="EV293">
        <v>3118.84</v>
      </c>
      <c r="EW293" s="2">
        <v>43222</v>
      </c>
      <c r="EX293" s="1">
        <v>42879</v>
      </c>
      <c r="EY293">
        <v>2016</v>
      </c>
      <c r="EZ293">
        <v>1479.21</v>
      </c>
      <c r="FA293" t="s">
        <v>3371</v>
      </c>
      <c r="FB293">
        <v>0.25</v>
      </c>
      <c r="FC293" t="s">
        <v>424</v>
      </c>
      <c r="FD293" t="s">
        <v>454</v>
      </c>
      <c r="FF293">
        <v>12</v>
      </c>
      <c r="FG293">
        <v>7400234</v>
      </c>
      <c r="FH293" t="s">
        <v>426</v>
      </c>
      <c r="FJ293" s="1">
        <v>42879</v>
      </c>
      <c r="FK293">
        <v>2016</v>
      </c>
      <c r="FL293">
        <v>1479.21</v>
      </c>
      <c r="FM293" t="s">
        <v>3371</v>
      </c>
      <c r="FN293">
        <v>0.25</v>
      </c>
      <c r="FO293" t="s">
        <v>424</v>
      </c>
      <c r="FP293" t="s">
        <v>454</v>
      </c>
      <c r="FR293">
        <v>12</v>
      </c>
      <c r="FS293">
        <v>7565885</v>
      </c>
      <c r="FT293" t="s">
        <v>3372</v>
      </c>
      <c r="FV293" s="1">
        <v>42515</v>
      </c>
      <c r="FW293">
        <v>2015</v>
      </c>
      <c r="FX293">
        <v>1571.04</v>
      </c>
      <c r="FY293" t="s">
        <v>3373</v>
      </c>
      <c r="FZ293">
        <v>0.25</v>
      </c>
      <c r="GA293" t="s">
        <v>424</v>
      </c>
      <c r="GB293" t="s">
        <v>425</v>
      </c>
      <c r="GC293" s="1">
        <v>43150</v>
      </c>
      <c r="GD293">
        <v>21</v>
      </c>
      <c r="GE293">
        <v>7336671</v>
      </c>
      <c r="GF293" t="s">
        <v>437</v>
      </c>
      <c r="GH293" s="1">
        <v>42515</v>
      </c>
      <c r="GI293">
        <v>2015</v>
      </c>
      <c r="GJ293">
        <v>1571.04</v>
      </c>
      <c r="GK293" t="s">
        <v>3373</v>
      </c>
      <c r="GL293">
        <v>0.25</v>
      </c>
      <c r="GM293" t="s">
        <v>424</v>
      </c>
      <c r="GN293" t="s">
        <v>425</v>
      </c>
      <c r="GP293">
        <v>22</v>
      </c>
      <c r="GQ293">
        <v>6884962</v>
      </c>
      <c r="GR293" t="s">
        <v>3374</v>
      </c>
      <c r="GT293" s="1">
        <v>42151</v>
      </c>
      <c r="GU293">
        <v>2014</v>
      </c>
      <c r="GV293">
        <v>1374.49</v>
      </c>
      <c r="GW293" t="s">
        <v>3375</v>
      </c>
      <c r="GX293">
        <v>0.25</v>
      </c>
      <c r="GY293" t="s">
        <v>424</v>
      </c>
      <c r="GZ293" t="s">
        <v>425</v>
      </c>
      <c r="HA293" s="1">
        <v>42802</v>
      </c>
      <c r="HB293">
        <v>22</v>
      </c>
      <c r="HC293">
        <v>4975594</v>
      </c>
      <c r="HD293" t="s">
        <v>457</v>
      </c>
      <c r="HF293" s="1">
        <v>42151</v>
      </c>
      <c r="HG293">
        <v>2014</v>
      </c>
      <c r="HH293">
        <v>1374.49</v>
      </c>
      <c r="HI293" t="s">
        <v>3375</v>
      </c>
      <c r="HJ293">
        <v>0.25</v>
      </c>
      <c r="HK293" t="s">
        <v>424</v>
      </c>
      <c r="HL293" t="s">
        <v>425</v>
      </c>
      <c r="HN293">
        <v>22</v>
      </c>
      <c r="HO293">
        <v>6682329</v>
      </c>
      <c r="HP293" t="s">
        <v>3376</v>
      </c>
      <c r="HR293" s="1">
        <v>41787</v>
      </c>
      <c r="HS293">
        <v>2013</v>
      </c>
      <c r="HT293">
        <v>1695.33</v>
      </c>
      <c r="HU293" t="s">
        <v>3377</v>
      </c>
      <c r="HV293">
        <v>0.25</v>
      </c>
      <c r="HW293" t="s">
        <v>424</v>
      </c>
      <c r="HX293" t="s">
        <v>425</v>
      </c>
      <c r="HZ293">
        <v>22</v>
      </c>
      <c r="IA293">
        <v>11289</v>
      </c>
      <c r="IB293" t="s">
        <v>787</v>
      </c>
      <c r="ID293" s="1">
        <v>41787</v>
      </c>
      <c r="IE293">
        <v>2013</v>
      </c>
      <c r="IF293">
        <v>1695.33</v>
      </c>
      <c r="IG293" t="s">
        <v>3377</v>
      </c>
      <c r="IH293">
        <v>0.25</v>
      </c>
      <c r="II293" t="s">
        <v>424</v>
      </c>
      <c r="IJ293" t="s">
        <v>425</v>
      </c>
      <c r="IK293" s="1">
        <v>42453</v>
      </c>
      <c r="IL293">
        <v>22</v>
      </c>
      <c r="IM293">
        <v>4844954</v>
      </c>
      <c r="IN293" t="s">
        <v>1719</v>
      </c>
      <c r="IP293" s="1">
        <v>41423</v>
      </c>
      <c r="IQ293">
        <v>2012</v>
      </c>
      <c r="IR293">
        <v>1783.28</v>
      </c>
      <c r="IS293" t="s">
        <v>3378</v>
      </c>
      <c r="IT293">
        <v>0.25</v>
      </c>
      <c r="IU293" t="s">
        <v>424</v>
      </c>
      <c r="IV293" t="s">
        <v>425</v>
      </c>
      <c r="IW293" s="1">
        <v>42082</v>
      </c>
      <c r="IX293">
        <v>22</v>
      </c>
      <c r="IY293">
        <v>15259</v>
      </c>
      <c r="IZ293" t="s">
        <v>891</v>
      </c>
      <c r="JB293" s="1">
        <v>41052</v>
      </c>
      <c r="JC293">
        <v>2011</v>
      </c>
      <c r="JD293">
        <v>1901.74</v>
      </c>
      <c r="JE293" t="s">
        <v>3379</v>
      </c>
      <c r="JF293">
        <v>4.25</v>
      </c>
      <c r="JG293" t="s">
        <v>424</v>
      </c>
      <c r="JH293" t="s">
        <v>425</v>
      </c>
      <c r="JI293" s="1">
        <v>41722</v>
      </c>
      <c r="JJ293">
        <v>22</v>
      </c>
      <c r="JK293">
        <v>13057</v>
      </c>
      <c r="JL293" t="s">
        <v>1926</v>
      </c>
      <c r="JN293" s="1">
        <v>40688</v>
      </c>
      <c r="JO293">
        <v>2010</v>
      </c>
      <c r="JP293">
        <v>1930.06</v>
      </c>
      <c r="JQ293" t="s">
        <v>3380</v>
      </c>
      <c r="JR293">
        <v>0.25</v>
      </c>
      <c r="JS293" t="s">
        <v>424</v>
      </c>
      <c r="JT293" t="s">
        <v>425</v>
      </c>
      <c r="JU293" s="1">
        <v>41355</v>
      </c>
      <c r="JV293">
        <v>22</v>
      </c>
      <c r="JW293">
        <v>11177</v>
      </c>
      <c r="JX293" t="s">
        <v>650</v>
      </c>
    </row>
    <row r="294" spans="1:284" x14ac:dyDescent="0.25">
      <c r="A294">
        <v>16485301</v>
      </c>
      <c r="B294">
        <v>293</v>
      </c>
      <c r="C294" t="s">
        <v>393</v>
      </c>
      <c r="D294" t="s">
        <v>394</v>
      </c>
      <c r="F294" t="str">
        <f>"33-1N-24-2050-0007-0000"</f>
        <v>33-1N-24-2050-0007-0000</v>
      </c>
      <c r="H294" t="str">
        <f>"SMITH JULIE A"</f>
        <v>SMITH JULIE A</v>
      </c>
      <c r="I294" t="str">
        <f>"701 SPANISH MAIN DR 234"</f>
        <v>701 SPANISH MAIN DR 234</v>
      </c>
      <c r="J294" t="str">
        <f>"CUDJOE KEY FL 33042"</f>
        <v>CUDJOE KEY FL 33042</v>
      </c>
      <c r="K294" t="str">
        <f>"13268 US HWY 301"</f>
        <v>13268 US HWY 301</v>
      </c>
      <c r="L294" t="str">
        <f t="shared" si="91"/>
        <v>BRYCEVILLE FL 32009</v>
      </c>
      <c r="M294" t="str">
        <f>"LOT 7 IN OR 1022/933 EX R/W OR 1051/542 THE PINES UNIT 1 PB 5/78 &amp; 79"</f>
        <v>LOT 7 IN OR 1022/933 EX R/W OR 1051/542 THE PINES UNIT 1 PB 5/78 &amp; 79</v>
      </c>
      <c r="N294" t="str">
        <f>""</f>
        <v/>
      </c>
      <c r="O294" t="str">
        <f>"40761"</f>
        <v>40761</v>
      </c>
      <c r="P294" t="str">
        <f t="shared" si="82"/>
        <v>2017</v>
      </c>
      <c r="Q294" t="str">
        <f>""</f>
        <v/>
      </c>
      <c r="R294" t="str">
        <f t="shared" si="90"/>
        <v>N</v>
      </c>
      <c r="S294" t="str">
        <f>"1.00"</f>
        <v>1.00</v>
      </c>
      <c r="T294" t="str">
        <f>"322.86"</f>
        <v>322.86</v>
      </c>
      <c r="U294" t="str">
        <f>"19716.00"</f>
        <v>19716.00</v>
      </c>
      <c r="V294" t="str">
        <f>"19716.00"</f>
        <v>19716.00</v>
      </c>
      <c r="W294" t="str">
        <f t="shared" si="83"/>
        <v>2017</v>
      </c>
      <c r="X294" t="str">
        <f>"24.67"</f>
        <v>24.67</v>
      </c>
      <c r="Y294" t="str">
        <f>"364.55"</f>
        <v>364.55</v>
      </c>
      <c r="Z294" t="str">
        <f>""</f>
        <v/>
      </c>
      <c r="AA294" t="str">
        <f>"23413.00"</f>
        <v>23413.00</v>
      </c>
      <c r="AB294" t="str">
        <f t="shared" ref="AB294:AB320" si="92">"Residential"</f>
        <v>Residential</v>
      </c>
      <c r="AC294" t="str">
        <f t="shared" si="84"/>
        <v>0</v>
      </c>
      <c r="AD294" t="str">
        <f>""</f>
        <v/>
      </c>
      <c r="AE294" t="str">
        <f>""</f>
        <v/>
      </c>
      <c r="AF294" t="str">
        <f>"000"</f>
        <v>000</v>
      </c>
      <c r="AG294" t="str">
        <f t="shared" si="87"/>
        <v>FL</v>
      </c>
      <c r="AH294" t="str">
        <f>"43560.00"</f>
        <v>43560.00</v>
      </c>
      <c r="AI294" t="str">
        <f>"15000.00"</f>
        <v>15000.00</v>
      </c>
      <c r="AJ294" t="str">
        <f>"C55-000-587-7161-9"</f>
        <v>C55-000-587-7161-9</v>
      </c>
      <c r="AK294" t="str">
        <f>"4290"</f>
        <v>4290</v>
      </c>
      <c r="AL294">
        <v>2</v>
      </c>
      <c r="AM294">
        <v>338</v>
      </c>
      <c r="AN294">
        <v>381.18</v>
      </c>
      <c r="AQ294" t="s">
        <v>3381</v>
      </c>
      <c r="AR294" t="s">
        <v>3381</v>
      </c>
      <c r="AS294" t="s">
        <v>3381</v>
      </c>
      <c r="AU294" t="s">
        <v>396</v>
      </c>
      <c r="AV294">
        <v>2017</v>
      </c>
      <c r="AW294" t="str">
        <f>"33-1N-24-2050-0007-0000 "</f>
        <v xml:space="preserve">33-1N-24-2050-0007-0000 </v>
      </c>
      <c r="AX294">
        <v>13268</v>
      </c>
      <c r="AZ294" t="s">
        <v>2893</v>
      </c>
      <c r="BD294" t="s">
        <v>553</v>
      </c>
      <c r="BE294" t="s">
        <v>393</v>
      </c>
      <c r="BF294">
        <v>32009</v>
      </c>
      <c r="BG294" t="s">
        <v>3382</v>
      </c>
      <c r="BH294" t="s">
        <v>555</v>
      </c>
      <c r="BI294">
        <v>-81.912387924563902</v>
      </c>
      <c r="BJ294">
        <v>30.461451731719698</v>
      </c>
      <c r="BK294" t="s">
        <v>3383</v>
      </c>
      <c r="BM294" t="s">
        <v>3384</v>
      </c>
      <c r="BN294" t="s">
        <v>3385</v>
      </c>
      <c r="BO294">
        <v>33042</v>
      </c>
      <c r="BP294" t="s">
        <v>404</v>
      </c>
      <c r="BQ294">
        <v>1</v>
      </c>
      <c r="BR294" t="s">
        <v>491</v>
      </c>
      <c r="BS294">
        <v>8001</v>
      </c>
      <c r="BT294" t="s">
        <v>492</v>
      </c>
      <c r="BW294">
        <v>43560</v>
      </c>
      <c r="BX294" t="s">
        <v>407</v>
      </c>
      <c r="BY294" t="s">
        <v>408</v>
      </c>
      <c r="CD294">
        <v>2017</v>
      </c>
      <c r="CE294">
        <v>15000</v>
      </c>
      <c r="CF294">
        <v>8413</v>
      </c>
      <c r="CG294">
        <v>23413</v>
      </c>
      <c r="CH294">
        <v>2017</v>
      </c>
      <c r="CI294">
        <v>15000</v>
      </c>
      <c r="CJ294">
        <v>8413</v>
      </c>
      <c r="CK294">
        <v>23413</v>
      </c>
      <c r="CL294">
        <v>2017</v>
      </c>
      <c r="CM294">
        <v>322.86</v>
      </c>
      <c r="CN294" s="1">
        <v>37369</v>
      </c>
      <c r="CV294">
        <v>0</v>
      </c>
      <c r="CZ294" s="1">
        <v>37369</v>
      </c>
      <c r="DA294">
        <v>0</v>
      </c>
      <c r="DD294" t="s">
        <v>553</v>
      </c>
      <c r="DF294">
        <v>7</v>
      </c>
      <c r="DG294">
        <v>33</v>
      </c>
      <c r="DL294">
        <v>50504</v>
      </c>
      <c r="DM294" t="s">
        <v>3369</v>
      </c>
      <c r="DO294" t="s">
        <v>3386</v>
      </c>
      <c r="DP294">
        <v>0</v>
      </c>
      <c r="DQ294">
        <v>0</v>
      </c>
      <c r="DR294" t="s">
        <v>411</v>
      </c>
      <c r="DS294" t="s">
        <v>695</v>
      </c>
      <c r="EJ294">
        <v>0</v>
      </c>
      <c r="EK294">
        <v>0</v>
      </c>
      <c r="EP294" t="s">
        <v>421</v>
      </c>
      <c r="EQ294" t="s">
        <v>452</v>
      </c>
      <c r="ER294">
        <v>2</v>
      </c>
      <c r="ES294">
        <v>5</v>
      </c>
      <c r="ET294">
        <v>649.12</v>
      </c>
      <c r="EU294">
        <v>44.96</v>
      </c>
      <c r="EV294">
        <v>694.08</v>
      </c>
      <c r="EW294" s="2">
        <v>43222</v>
      </c>
      <c r="EX294" s="1">
        <v>42879</v>
      </c>
      <c r="EY294">
        <v>2016</v>
      </c>
      <c r="EZ294">
        <v>324.56</v>
      </c>
      <c r="FA294" t="s">
        <v>3387</v>
      </c>
      <c r="FB294">
        <v>0.25</v>
      </c>
      <c r="FC294" t="s">
        <v>424</v>
      </c>
      <c r="FD294" t="s">
        <v>454</v>
      </c>
      <c r="FF294">
        <v>12</v>
      </c>
      <c r="FG294">
        <v>7336671</v>
      </c>
      <c r="FH294" t="s">
        <v>437</v>
      </c>
      <c r="FJ294" s="1">
        <v>42879</v>
      </c>
      <c r="FK294">
        <v>2016</v>
      </c>
      <c r="FL294">
        <v>324.56</v>
      </c>
      <c r="FM294" t="s">
        <v>3387</v>
      </c>
      <c r="FN294">
        <v>0.25</v>
      </c>
      <c r="FO294" t="s">
        <v>424</v>
      </c>
      <c r="FP294" t="s">
        <v>454</v>
      </c>
      <c r="FR294">
        <v>12</v>
      </c>
      <c r="FS294">
        <v>6956435</v>
      </c>
      <c r="FT294" t="s">
        <v>3388</v>
      </c>
      <c r="FV294" s="1">
        <v>42151</v>
      </c>
      <c r="FW294">
        <v>2014</v>
      </c>
      <c r="FX294">
        <v>294.74</v>
      </c>
      <c r="FY294" t="s">
        <v>3389</v>
      </c>
      <c r="FZ294">
        <v>15.5</v>
      </c>
      <c r="GA294" t="s">
        <v>424</v>
      </c>
      <c r="GB294" t="s">
        <v>425</v>
      </c>
      <c r="GC294" s="1">
        <v>42338</v>
      </c>
      <c r="GD294">
        <v>6</v>
      </c>
      <c r="GE294">
        <v>10125</v>
      </c>
      <c r="GF294" t="s">
        <v>440</v>
      </c>
      <c r="GG294" t="s">
        <v>458</v>
      </c>
      <c r="GH294" s="1">
        <v>41787</v>
      </c>
      <c r="GI294">
        <v>2013</v>
      </c>
      <c r="GJ294">
        <v>336.95</v>
      </c>
      <c r="GK294" t="s">
        <v>3390</v>
      </c>
      <c r="GL294">
        <v>9.75</v>
      </c>
      <c r="GM294" t="s">
        <v>424</v>
      </c>
      <c r="GN294" t="s">
        <v>425</v>
      </c>
      <c r="GO294" s="1">
        <v>42338</v>
      </c>
      <c r="GP294">
        <v>18</v>
      </c>
      <c r="GQ294">
        <v>2035919</v>
      </c>
      <c r="GR294" t="s">
        <v>507</v>
      </c>
      <c r="GS294" t="s">
        <v>458</v>
      </c>
      <c r="GT294" s="1">
        <v>41423</v>
      </c>
      <c r="GU294">
        <v>2012</v>
      </c>
      <c r="GV294">
        <v>341.05</v>
      </c>
      <c r="GW294" t="s">
        <v>3391</v>
      </c>
      <c r="GX294">
        <v>6.25</v>
      </c>
      <c r="GY294" t="s">
        <v>424</v>
      </c>
      <c r="GZ294" t="s">
        <v>425</v>
      </c>
      <c r="HB294">
        <v>22</v>
      </c>
      <c r="HC294">
        <v>2101381</v>
      </c>
      <c r="HD294" t="s">
        <v>605</v>
      </c>
      <c r="HE294" t="s">
        <v>458</v>
      </c>
      <c r="HF294" s="1">
        <v>41052</v>
      </c>
      <c r="HG294">
        <v>2011</v>
      </c>
      <c r="HH294">
        <v>363.81</v>
      </c>
      <c r="HI294" t="s">
        <v>3392</v>
      </c>
      <c r="HJ294">
        <v>6</v>
      </c>
      <c r="HK294" t="s">
        <v>424</v>
      </c>
      <c r="HL294" t="s">
        <v>425</v>
      </c>
      <c r="HM294" s="1">
        <v>42136</v>
      </c>
      <c r="HN294">
        <v>36</v>
      </c>
      <c r="HO294">
        <v>375</v>
      </c>
      <c r="HP294" t="s">
        <v>776</v>
      </c>
      <c r="HR294" s="1">
        <v>40688</v>
      </c>
      <c r="HS294">
        <v>2010</v>
      </c>
      <c r="HT294">
        <v>364.91</v>
      </c>
      <c r="HU294" t="s">
        <v>3393</v>
      </c>
      <c r="HV294">
        <v>10</v>
      </c>
      <c r="HW294" t="s">
        <v>424</v>
      </c>
      <c r="HX294" t="s">
        <v>425</v>
      </c>
      <c r="HY294" s="1">
        <v>41345</v>
      </c>
      <c r="HZ294">
        <v>22</v>
      </c>
      <c r="IA294">
        <v>11135</v>
      </c>
      <c r="IB294" t="s">
        <v>1137</v>
      </c>
    </row>
    <row r="295" spans="1:284" x14ac:dyDescent="0.25">
      <c r="A295">
        <v>16485302</v>
      </c>
      <c r="B295">
        <v>294</v>
      </c>
      <c r="C295" t="s">
        <v>393</v>
      </c>
      <c r="D295" t="s">
        <v>394</v>
      </c>
      <c r="F295" t="str">
        <f>"33-1N-24-2050-0011-0000"</f>
        <v>33-1N-24-2050-0011-0000</v>
      </c>
      <c r="H295" t="str">
        <f>"ERVIN-HURD PATRICIA F"</f>
        <v>ERVIN-HURD PATRICIA F</v>
      </c>
      <c r="I295" t="str">
        <f>"13086 US HWY 301"</f>
        <v>13086 US HWY 301</v>
      </c>
      <c r="J295" t="str">
        <f>"BRYCEVILLE FL 32009"</f>
        <v>BRYCEVILLE FL 32009</v>
      </c>
      <c r="K295" t="str">
        <f>"13128 US HWY 301"</f>
        <v>13128 US HWY 301</v>
      </c>
      <c r="L295" t="str">
        <f t="shared" si="91"/>
        <v>BRYCEVILLE FL 32009</v>
      </c>
      <c r="M295" t="str">
        <f>"LOT 11 R107667 IN OR 705 PG 1205 EX R/W OR 997/857 THE PINES 1 PB 5/78 &amp; 79"</f>
        <v>LOT 11 R107667 IN OR 705 PG 1205 EX R/W OR 997/857 THE PINES 1 PB 5/78 &amp; 79</v>
      </c>
      <c r="N295" t="str">
        <f>""</f>
        <v/>
      </c>
      <c r="O295" t="str">
        <f>"40765"</f>
        <v>40765</v>
      </c>
      <c r="P295" t="str">
        <f t="shared" si="82"/>
        <v>2017</v>
      </c>
      <c r="Q295" t="str">
        <f>""</f>
        <v/>
      </c>
      <c r="R295" t="str">
        <f t="shared" si="90"/>
        <v>N</v>
      </c>
      <c r="S295" t="str">
        <f>"1.00"</f>
        <v>1.00</v>
      </c>
      <c r="T295" t="str">
        <f>"335.61"</f>
        <v>335.61</v>
      </c>
      <c r="U295" t="str">
        <f>"21057.00"</f>
        <v>21057.00</v>
      </c>
      <c r="V295" t="str">
        <f>"21057.00"</f>
        <v>21057.00</v>
      </c>
      <c r="W295" t="str">
        <f t="shared" si="83"/>
        <v>2017</v>
      </c>
      <c r="X295" t="str">
        <f>""</f>
        <v/>
      </c>
      <c r="Y295" t="str">
        <f>"377.68"</f>
        <v>377.68</v>
      </c>
      <c r="Z295" t="str">
        <f>""</f>
        <v/>
      </c>
      <c r="AA295" t="str">
        <f>"23609.00"</f>
        <v>23609.00</v>
      </c>
      <c r="AB295" t="str">
        <f t="shared" si="92"/>
        <v>Residential</v>
      </c>
      <c r="AC295" t="str">
        <f t="shared" si="84"/>
        <v>0</v>
      </c>
      <c r="AD295" t="str">
        <f>"4"</f>
        <v>4</v>
      </c>
      <c r="AE295" t="str">
        <f>"WOOD (INCLUDE STEEL STUDS)"</f>
        <v>WOOD (INCLUDE STEEL STUDS)</v>
      </c>
      <c r="AF295" t="str">
        <f>"002"</f>
        <v>002</v>
      </c>
      <c r="AG295" t="str">
        <f t="shared" si="87"/>
        <v>FL</v>
      </c>
      <c r="AH295" t="str">
        <f>"43560.00"</f>
        <v>43560.00</v>
      </c>
      <c r="AI295" t="str">
        <f>"15000.00"</f>
        <v>15000.00</v>
      </c>
      <c r="AJ295" t="str">
        <f>"C55-000-587-7165-0"</f>
        <v>C55-000-587-7165-0</v>
      </c>
      <c r="AK295" t="str">
        <f>"4294"</f>
        <v>4294</v>
      </c>
      <c r="AL295">
        <v>2</v>
      </c>
      <c r="AM295">
        <v>340</v>
      </c>
      <c r="AN295">
        <v>394.96</v>
      </c>
      <c r="AQ295" t="s">
        <v>3394</v>
      </c>
      <c r="AR295" t="s">
        <v>3394</v>
      </c>
      <c r="AS295" t="s">
        <v>3394</v>
      </c>
      <c r="AU295" t="s">
        <v>396</v>
      </c>
      <c r="AV295">
        <v>2017</v>
      </c>
      <c r="AW295" t="str">
        <f>"33-1N-24-2050-0011-0000 "</f>
        <v xml:space="preserve">33-1N-24-2050-0011-0000 </v>
      </c>
      <c r="AX295">
        <v>13128</v>
      </c>
      <c r="AZ295" t="s">
        <v>2893</v>
      </c>
      <c r="BD295" t="s">
        <v>553</v>
      </c>
      <c r="BE295" t="s">
        <v>393</v>
      </c>
      <c r="BF295">
        <v>32009</v>
      </c>
      <c r="BG295" t="s">
        <v>3395</v>
      </c>
      <c r="BH295" t="s">
        <v>555</v>
      </c>
      <c r="BI295">
        <v>-81.913177908142302</v>
      </c>
      <c r="BJ295">
        <v>30.459391389100801</v>
      </c>
      <c r="BK295" t="s">
        <v>3396</v>
      </c>
      <c r="BM295" t="s">
        <v>3397</v>
      </c>
      <c r="BN295" t="s">
        <v>558</v>
      </c>
      <c r="BO295">
        <v>32009</v>
      </c>
      <c r="BP295" t="s">
        <v>404</v>
      </c>
      <c r="BQ295">
        <v>200</v>
      </c>
      <c r="BR295" t="s">
        <v>405</v>
      </c>
      <c r="BS295">
        <v>1006</v>
      </c>
      <c r="BT295" t="s">
        <v>406</v>
      </c>
      <c r="BW295">
        <v>43560</v>
      </c>
      <c r="BX295" t="s">
        <v>407</v>
      </c>
      <c r="BY295" t="s">
        <v>408</v>
      </c>
      <c r="BZ295">
        <v>4</v>
      </c>
      <c r="CA295">
        <v>1985</v>
      </c>
      <c r="CB295">
        <v>1</v>
      </c>
      <c r="CC295">
        <v>1</v>
      </c>
      <c r="CD295">
        <v>2017</v>
      </c>
      <c r="CE295">
        <v>15000</v>
      </c>
      <c r="CF295">
        <v>8609</v>
      </c>
      <c r="CG295">
        <v>23609</v>
      </c>
      <c r="CH295">
        <v>2017</v>
      </c>
      <c r="CI295">
        <v>15000</v>
      </c>
      <c r="CJ295">
        <v>8609</v>
      </c>
      <c r="CK295">
        <v>23609</v>
      </c>
      <c r="CL295">
        <v>2017</v>
      </c>
      <c r="CM295">
        <v>335.61</v>
      </c>
      <c r="CN295" s="1">
        <v>37084</v>
      </c>
      <c r="CV295">
        <v>0</v>
      </c>
      <c r="CZ295" s="1">
        <v>37084</v>
      </c>
      <c r="DA295">
        <v>0</v>
      </c>
      <c r="DD295" t="s">
        <v>553</v>
      </c>
      <c r="DG295">
        <v>33</v>
      </c>
      <c r="DL295">
        <v>50504</v>
      </c>
      <c r="DM295" t="s">
        <v>3369</v>
      </c>
      <c r="DO295" t="s">
        <v>3398</v>
      </c>
      <c r="DP295">
        <v>0</v>
      </c>
      <c r="DQ295">
        <v>0</v>
      </c>
      <c r="DR295" t="s">
        <v>411</v>
      </c>
    </row>
    <row r="296" spans="1:284" x14ac:dyDescent="0.25">
      <c r="A296">
        <v>16485303</v>
      </c>
      <c r="B296">
        <v>295</v>
      </c>
      <c r="C296" t="s">
        <v>393</v>
      </c>
      <c r="D296" t="s">
        <v>394</v>
      </c>
      <c r="F296" t="str">
        <f>"33-1N-24-2050-0014-0000"</f>
        <v>33-1N-24-2050-0014-0000</v>
      </c>
      <c r="H296" t="str">
        <f>"BUSTION GERALD W &amp; CYNTHIA A"</f>
        <v>BUSTION GERALD W &amp; CYNTHIA A</v>
      </c>
      <c r="I296" t="str">
        <f>"7901 PODER PLACE"</f>
        <v>7901 PODER PLACE</v>
      </c>
      <c r="J296" t="str">
        <f>"BRYCEVILLE FL 32009"</f>
        <v>BRYCEVILLE FL 32009</v>
      </c>
      <c r="K296" t="str">
        <f>"8095 PODER PL"</f>
        <v>8095 PODER PL</v>
      </c>
      <c r="L296" t="str">
        <f t="shared" si="91"/>
        <v>BRYCEVILLE FL 32009</v>
      </c>
      <c r="M296" t="str">
        <f>"LOT 14 PT OR 690/827 1994 BELL SW/MH ESMT OR 691/1011 EX R/W OR 953/1106 EX R/W 1027/1726 FEE SIMPLE LIMITED ACCESS RIGHTS ONLY THE PINES UNIT 1 PB 5/78 &amp; 79"</f>
        <v>LOT 14 PT OR 690/827 1994 BELL SW/MH ESMT OR 691/1011 EX R/W OR 953/1106 EX R/W 1027/1726 FEE SIMPLE LIMITED ACCESS RIGHTS ONLY THE PINES UNIT 1 PB 5/78 &amp; 79</v>
      </c>
      <c r="N296" t="str">
        <f>""</f>
        <v/>
      </c>
      <c r="O296" t="str">
        <f>"40768"</f>
        <v>40768</v>
      </c>
      <c r="P296" t="str">
        <f t="shared" si="82"/>
        <v>2017</v>
      </c>
      <c r="Q296" t="str">
        <f>""</f>
        <v/>
      </c>
      <c r="R296" t="str">
        <f t="shared" si="90"/>
        <v>N</v>
      </c>
      <c r="S296" t="str">
        <f>"1.00"</f>
        <v>1.00</v>
      </c>
      <c r="T296" t="str">
        <f>"399.54"</f>
        <v>399.54</v>
      </c>
      <c r="U296" t="str">
        <f>"24055.00"</f>
        <v>24055.00</v>
      </c>
      <c r="V296" t="str">
        <f>"24055.00"</f>
        <v>24055.00</v>
      </c>
      <c r="W296" t="str">
        <f t="shared" si="83"/>
        <v>2017</v>
      </c>
      <c r="X296" t="str">
        <f>"20.57"</f>
        <v>20.57</v>
      </c>
      <c r="Y296" t="str">
        <f>"443.53"</f>
        <v>443.53</v>
      </c>
      <c r="Z296" t="str">
        <f>""</f>
        <v/>
      </c>
      <c r="AA296" t="str">
        <f>"29417.00"</f>
        <v>29417.00</v>
      </c>
      <c r="AB296" t="str">
        <f t="shared" si="92"/>
        <v>Residential</v>
      </c>
      <c r="AC296" t="str">
        <f t="shared" si="84"/>
        <v>0</v>
      </c>
      <c r="AD296" t="str">
        <f>"4"</f>
        <v>4</v>
      </c>
      <c r="AE296" t="str">
        <f>"WOOD (INCLUDE STEEL STUDS)"</f>
        <v>WOOD (INCLUDE STEEL STUDS)</v>
      </c>
      <c r="AF296" t="str">
        <f>"002"</f>
        <v>002</v>
      </c>
      <c r="AG296" t="str">
        <f t="shared" si="87"/>
        <v>FL</v>
      </c>
      <c r="AH296" t="str">
        <f>"43560.00"</f>
        <v>43560.00</v>
      </c>
      <c r="AI296" t="str">
        <f>"15000.00"</f>
        <v>15000.00</v>
      </c>
      <c r="AJ296" t="str">
        <f>"C55-000-587-7168-4"</f>
        <v>C55-000-587-7168-4</v>
      </c>
      <c r="AK296" t="str">
        <f>"4297"</f>
        <v>4297</v>
      </c>
      <c r="AL296">
        <v>2</v>
      </c>
      <c r="AM296">
        <v>341</v>
      </c>
      <c r="AN296">
        <v>464.11</v>
      </c>
      <c r="AQ296" t="s">
        <v>3399</v>
      </c>
      <c r="AR296" t="s">
        <v>3399</v>
      </c>
      <c r="AS296" t="s">
        <v>3399</v>
      </c>
      <c r="AU296" t="s">
        <v>396</v>
      </c>
      <c r="AV296">
        <v>2017</v>
      </c>
      <c r="AW296" t="str">
        <f>"33-1N-24-2050-0014-0000 "</f>
        <v xml:space="preserve">33-1N-24-2050-0014-0000 </v>
      </c>
      <c r="AX296">
        <v>8095</v>
      </c>
      <c r="AZ296" t="s">
        <v>3400</v>
      </c>
      <c r="BA296" t="s">
        <v>641</v>
      </c>
      <c r="BD296" t="s">
        <v>553</v>
      </c>
      <c r="BE296" t="s">
        <v>393</v>
      </c>
      <c r="BF296">
        <v>32009</v>
      </c>
      <c r="BG296" t="s">
        <v>3401</v>
      </c>
      <c r="BH296" t="s">
        <v>555</v>
      </c>
      <c r="BI296">
        <v>-81.913744271024299</v>
      </c>
      <c r="BJ296">
        <v>30.457914306232599</v>
      </c>
      <c r="BK296" t="s">
        <v>3366</v>
      </c>
      <c r="BL296" t="s">
        <v>3367</v>
      </c>
      <c r="BM296" t="s">
        <v>3368</v>
      </c>
      <c r="BN296" t="s">
        <v>558</v>
      </c>
      <c r="BO296">
        <v>32009</v>
      </c>
      <c r="BP296" t="s">
        <v>404</v>
      </c>
      <c r="BQ296">
        <v>200</v>
      </c>
      <c r="BR296" t="s">
        <v>405</v>
      </c>
      <c r="BS296">
        <v>1006</v>
      </c>
      <c r="BT296" t="s">
        <v>406</v>
      </c>
      <c r="BW296">
        <v>43560</v>
      </c>
      <c r="BX296" t="s">
        <v>407</v>
      </c>
      <c r="BY296" t="s">
        <v>408</v>
      </c>
      <c r="BZ296">
        <v>4</v>
      </c>
      <c r="CA296">
        <v>1994</v>
      </c>
      <c r="CC296">
        <v>1</v>
      </c>
      <c r="CD296">
        <v>2017</v>
      </c>
      <c r="CE296">
        <v>15000</v>
      </c>
      <c r="CF296">
        <v>14417</v>
      </c>
      <c r="CG296">
        <v>29417</v>
      </c>
      <c r="CH296">
        <v>2017</v>
      </c>
      <c r="CI296">
        <v>15000</v>
      </c>
      <c r="CJ296">
        <v>14417</v>
      </c>
      <c r="CK296">
        <v>29417</v>
      </c>
      <c r="CL296">
        <v>2017</v>
      </c>
      <c r="CM296">
        <v>399.54</v>
      </c>
      <c r="CN296" s="1">
        <v>37256</v>
      </c>
      <c r="CV296">
        <v>0</v>
      </c>
      <c r="CZ296" s="1">
        <v>37256</v>
      </c>
      <c r="DA296">
        <v>0</v>
      </c>
      <c r="DD296" t="s">
        <v>553</v>
      </c>
      <c r="DF296">
        <v>14</v>
      </c>
      <c r="DG296">
        <v>33</v>
      </c>
      <c r="DL296">
        <v>50504</v>
      </c>
      <c r="DM296" t="s">
        <v>3369</v>
      </c>
      <c r="DO296" t="s">
        <v>3402</v>
      </c>
      <c r="DP296">
        <v>0</v>
      </c>
      <c r="DQ296">
        <v>0</v>
      </c>
      <c r="DR296" t="s">
        <v>411</v>
      </c>
      <c r="DS296" t="b">
        <v>1</v>
      </c>
      <c r="DT296" t="s">
        <v>470</v>
      </c>
      <c r="DU296" t="s">
        <v>471</v>
      </c>
      <c r="DV296" t="s">
        <v>472</v>
      </c>
      <c r="DX296">
        <v>-9999</v>
      </c>
      <c r="DZ296" t="s">
        <v>447</v>
      </c>
      <c r="EA296" t="s">
        <v>448</v>
      </c>
      <c r="EB296" t="s">
        <v>742</v>
      </c>
      <c r="EC296">
        <v>20101217</v>
      </c>
      <c r="ED296" t="s">
        <v>474</v>
      </c>
      <c r="EF296">
        <v>627.70000000000005</v>
      </c>
      <c r="EG296">
        <v>627.70000000000005</v>
      </c>
      <c r="EI296">
        <v>20160407</v>
      </c>
      <c r="EJ296">
        <v>0</v>
      </c>
      <c r="EK296">
        <v>0</v>
      </c>
      <c r="EP296" t="s">
        <v>421</v>
      </c>
      <c r="EQ296" t="s">
        <v>422</v>
      </c>
      <c r="ER296">
        <v>1</v>
      </c>
      <c r="ES296">
        <v>7</v>
      </c>
      <c r="ET296">
        <v>390.06</v>
      </c>
      <c r="EU296">
        <v>31.6</v>
      </c>
      <c r="EV296">
        <v>421.66</v>
      </c>
      <c r="EW296" s="2">
        <v>43222</v>
      </c>
      <c r="EX296" s="1">
        <v>42879</v>
      </c>
      <c r="EY296">
        <v>2016</v>
      </c>
      <c r="EZ296">
        <v>390.06</v>
      </c>
      <c r="FA296" t="s">
        <v>3403</v>
      </c>
      <c r="FB296">
        <v>6.5</v>
      </c>
      <c r="FC296" t="s">
        <v>424</v>
      </c>
      <c r="FD296" t="s">
        <v>454</v>
      </c>
      <c r="FF296">
        <v>12</v>
      </c>
      <c r="FG296">
        <v>10125</v>
      </c>
      <c r="FH296" t="s">
        <v>440</v>
      </c>
      <c r="FJ296" s="1">
        <v>42515</v>
      </c>
      <c r="FK296">
        <v>2015</v>
      </c>
      <c r="FL296">
        <v>419.64</v>
      </c>
      <c r="FM296" t="s">
        <v>3404</v>
      </c>
      <c r="FN296">
        <v>6.25</v>
      </c>
      <c r="FO296" t="s">
        <v>424</v>
      </c>
      <c r="FP296" t="s">
        <v>425</v>
      </c>
      <c r="FQ296" s="1">
        <v>43184</v>
      </c>
      <c r="FR296">
        <v>22</v>
      </c>
      <c r="FS296">
        <v>7336143</v>
      </c>
      <c r="FT296" t="s">
        <v>539</v>
      </c>
      <c r="FV296" s="1">
        <v>42151</v>
      </c>
      <c r="FW296">
        <v>2014</v>
      </c>
      <c r="FX296">
        <v>368.44</v>
      </c>
      <c r="FY296" t="s">
        <v>3405</v>
      </c>
      <c r="FZ296">
        <v>3.75</v>
      </c>
      <c r="GA296" t="s">
        <v>424</v>
      </c>
      <c r="GB296" t="s">
        <v>425</v>
      </c>
      <c r="GC296" s="1">
        <v>42802</v>
      </c>
      <c r="GD296">
        <v>22</v>
      </c>
      <c r="GE296">
        <v>4975593</v>
      </c>
      <c r="GF296" t="s">
        <v>505</v>
      </c>
      <c r="GH296" s="1">
        <v>41787</v>
      </c>
      <c r="GI296">
        <v>2013</v>
      </c>
      <c r="GJ296">
        <v>467.92</v>
      </c>
      <c r="GK296" t="s">
        <v>3406</v>
      </c>
      <c r="GL296">
        <v>9.75</v>
      </c>
      <c r="GM296" t="s">
        <v>424</v>
      </c>
      <c r="GN296" t="s">
        <v>425</v>
      </c>
      <c r="GO296" s="1">
        <v>42453</v>
      </c>
      <c r="GP296">
        <v>22</v>
      </c>
      <c r="GQ296">
        <v>2035919</v>
      </c>
      <c r="GR296" t="s">
        <v>507</v>
      </c>
      <c r="GT296" s="1">
        <v>41423</v>
      </c>
      <c r="GU296">
        <v>2012</v>
      </c>
      <c r="GV296">
        <v>480.9</v>
      </c>
      <c r="GW296" t="s">
        <v>3407</v>
      </c>
      <c r="GX296">
        <v>4.5</v>
      </c>
      <c r="GY296" t="s">
        <v>424</v>
      </c>
      <c r="GZ296" t="s">
        <v>425</v>
      </c>
      <c r="HA296" s="1">
        <v>42082</v>
      </c>
      <c r="HB296">
        <v>22</v>
      </c>
      <c r="HC296">
        <v>15399</v>
      </c>
      <c r="HD296" t="s">
        <v>485</v>
      </c>
      <c r="HF296" s="1">
        <v>41052</v>
      </c>
      <c r="HG296">
        <v>2011</v>
      </c>
      <c r="HH296">
        <v>534.97</v>
      </c>
      <c r="HI296" t="s">
        <v>3408</v>
      </c>
      <c r="HJ296">
        <v>5.75</v>
      </c>
      <c r="HK296" t="s">
        <v>424</v>
      </c>
      <c r="HL296" t="s">
        <v>425</v>
      </c>
      <c r="HM296" s="1">
        <v>41722</v>
      </c>
      <c r="HN296">
        <v>22</v>
      </c>
      <c r="HO296">
        <v>1625515</v>
      </c>
      <c r="HP296" t="s">
        <v>487</v>
      </c>
      <c r="HR296" s="1">
        <v>41052</v>
      </c>
      <c r="HS296">
        <v>2011</v>
      </c>
      <c r="HT296">
        <v>534.97</v>
      </c>
      <c r="HU296" t="s">
        <v>3408</v>
      </c>
      <c r="HV296">
        <v>5.75</v>
      </c>
      <c r="HW296" t="s">
        <v>424</v>
      </c>
      <c r="HX296" t="s">
        <v>425</v>
      </c>
      <c r="HZ296">
        <v>22</v>
      </c>
      <c r="IA296">
        <v>10579</v>
      </c>
      <c r="IB296" t="s">
        <v>488</v>
      </c>
      <c r="ID296" s="1">
        <v>40688</v>
      </c>
      <c r="IE296">
        <v>2010</v>
      </c>
      <c r="IF296">
        <v>545.35</v>
      </c>
      <c r="IG296" t="s">
        <v>3409</v>
      </c>
      <c r="IH296">
        <v>7</v>
      </c>
      <c r="II296" t="s">
        <v>424</v>
      </c>
      <c r="IJ296" t="s">
        <v>425</v>
      </c>
      <c r="IK296" s="1">
        <v>41355</v>
      </c>
      <c r="IL296">
        <v>22</v>
      </c>
      <c r="IM296">
        <v>10579</v>
      </c>
      <c r="IN296" t="s">
        <v>488</v>
      </c>
    </row>
    <row r="297" spans="1:284" x14ac:dyDescent="0.25">
      <c r="A297">
        <v>16485304</v>
      </c>
      <c r="B297">
        <v>296</v>
      </c>
      <c r="C297" t="s">
        <v>393</v>
      </c>
      <c r="D297" t="s">
        <v>394</v>
      </c>
      <c r="F297" t="str">
        <f>"33-1N-24-2050-0017-0000"</f>
        <v>33-1N-24-2050-0017-0000</v>
      </c>
      <c r="H297" t="str">
        <f>"MOODY WANELL"</f>
        <v>MOODY WANELL</v>
      </c>
      <c r="I297" t="str">
        <f>"586 DEENS LANDING RD"</f>
        <v>586 DEENS LANDING RD</v>
      </c>
      <c r="J297" t="str">
        <f>"BAXLEY GA 31513"</f>
        <v>BAXLEY GA 31513</v>
      </c>
      <c r="K297" t="str">
        <f>"12918 US HWY 301"</f>
        <v>12918 US HWY 301</v>
      </c>
      <c r="L297" t="str">
        <f t="shared" si="91"/>
        <v>BRYCEVILLE FL 32009</v>
      </c>
      <c r="M297" t="str">
        <f>"LOT 17 IN OR 2058/1428 EX R/W OR 1004/784 THE PINES 1 PB 5/78 &amp; 79"</f>
        <v>LOT 17 IN OR 2058/1428 EX R/W OR 1004/784 THE PINES 1 PB 5/78 &amp; 79</v>
      </c>
      <c r="N297" t="str">
        <f>""</f>
        <v/>
      </c>
      <c r="O297" t="str">
        <f>"40771"</f>
        <v>40771</v>
      </c>
      <c r="P297" t="str">
        <f t="shared" si="82"/>
        <v>2017</v>
      </c>
      <c r="Q297" t="str">
        <f>""</f>
        <v/>
      </c>
      <c r="R297" t="str">
        <f t="shared" si="90"/>
        <v>N</v>
      </c>
      <c r="S297" t="str">
        <f>"1.00"</f>
        <v>1.00</v>
      </c>
      <c r="T297" t="str">
        <f>"1213.61"</f>
        <v>1213.61</v>
      </c>
      <c r="U297" t="str">
        <f>"80165.00"</f>
        <v>80165.00</v>
      </c>
      <c r="V297" t="str">
        <f>"80165.00"</f>
        <v>80165.00</v>
      </c>
      <c r="W297" t="str">
        <f t="shared" si="83"/>
        <v>2017</v>
      </c>
      <c r="X297" t="str">
        <f>"2.00"</f>
        <v>2.00</v>
      </c>
      <c r="Y297" t="str">
        <f>"1282.02"</f>
        <v>1282.02</v>
      </c>
      <c r="Z297" t="str">
        <f>""</f>
        <v/>
      </c>
      <c r="AA297" t="str">
        <f>"80165.00"</f>
        <v>80165.00</v>
      </c>
      <c r="AB297" t="str">
        <f t="shared" si="92"/>
        <v>Residential</v>
      </c>
      <c r="AC297" t="str">
        <f t="shared" si="84"/>
        <v>0</v>
      </c>
      <c r="AD297" t="str">
        <f>"3"</f>
        <v>3</v>
      </c>
      <c r="AE297" t="str">
        <f>"MASONRY"</f>
        <v>MASONRY</v>
      </c>
      <c r="AF297" t="str">
        <f>"002"</f>
        <v>002</v>
      </c>
      <c r="AG297" t="str">
        <f>"GA"</f>
        <v>GA</v>
      </c>
      <c r="AH297" t="str">
        <f>"43560.00"</f>
        <v>43560.00</v>
      </c>
      <c r="AI297" t="str">
        <f>"15000.00"</f>
        <v>15000.00</v>
      </c>
      <c r="AJ297" t="str">
        <f>"C55-000-587-7171-8"</f>
        <v>C55-000-587-7171-8</v>
      </c>
      <c r="AK297" t="str">
        <f>"4300"</f>
        <v>4300</v>
      </c>
      <c r="AL297">
        <v>2</v>
      </c>
      <c r="AM297">
        <v>342</v>
      </c>
      <c r="AN297">
        <v>1344.52</v>
      </c>
      <c r="AQ297" t="s">
        <v>3410</v>
      </c>
      <c r="AR297" t="s">
        <v>3410</v>
      </c>
      <c r="AS297" t="s">
        <v>3410</v>
      </c>
      <c r="AU297" t="s">
        <v>396</v>
      </c>
      <c r="AV297">
        <v>2017</v>
      </c>
      <c r="AW297" t="str">
        <f>"33-1N-24-2050-0017-0000 "</f>
        <v xml:space="preserve">33-1N-24-2050-0017-0000 </v>
      </c>
      <c r="AX297">
        <v>12918</v>
      </c>
      <c r="AZ297" t="s">
        <v>2893</v>
      </c>
      <c r="BD297" t="s">
        <v>553</v>
      </c>
      <c r="BE297" t="s">
        <v>393</v>
      </c>
      <c r="BF297">
        <v>32009</v>
      </c>
      <c r="BG297" t="s">
        <v>3411</v>
      </c>
      <c r="BH297" t="s">
        <v>555</v>
      </c>
      <c r="BI297">
        <v>-81.914304521471806</v>
      </c>
      <c r="BJ297">
        <v>30.456453041449102</v>
      </c>
      <c r="BK297" t="s">
        <v>3412</v>
      </c>
      <c r="BM297" t="s">
        <v>3413</v>
      </c>
      <c r="BN297" t="s">
        <v>3414</v>
      </c>
      <c r="BO297">
        <v>31513</v>
      </c>
      <c r="BP297" t="s">
        <v>404</v>
      </c>
      <c r="BQ297">
        <v>200</v>
      </c>
      <c r="BR297" t="s">
        <v>405</v>
      </c>
      <c r="BS297">
        <v>1006</v>
      </c>
      <c r="BT297" t="s">
        <v>406</v>
      </c>
      <c r="BW297">
        <v>43560</v>
      </c>
      <c r="BX297" t="s">
        <v>407</v>
      </c>
      <c r="BY297" t="s">
        <v>408</v>
      </c>
      <c r="BZ297">
        <v>3</v>
      </c>
      <c r="CA297">
        <v>2001</v>
      </c>
      <c r="CC297">
        <v>1</v>
      </c>
      <c r="CD297">
        <v>2016</v>
      </c>
      <c r="CG297">
        <v>58538</v>
      </c>
      <c r="CH297">
        <v>2017</v>
      </c>
      <c r="CI297">
        <v>15000</v>
      </c>
      <c r="CJ297">
        <v>65165</v>
      </c>
      <c r="CK297">
        <v>80165</v>
      </c>
      <c r="CL297">
        <v>2016</v>
      </c>
      <c r="CM297">
        <v>899</v>
      </c>
      <c r="CN297" s="1">
        <v>42566</v>
      </c>
      <c r="CO297">
        <v>28100</v>
      </c>
      <c r="CV297">
        <v>0</v>
      </c>
      <c r="CZ297" s="1">
        <v>42566</v>
      </c>
      <c r="DA297">
        <v>0</v>
      </c>
      <c r="DD297" t="s">
        <v>553</v>
      </c>
      <c r="DF297">
        <v>17</v>
      </c>
      <c r="DG297">
        <v>33</v>
      </c>
      <c r="DL297">
        <v>50504</v>
      </c>
      <c r="DM297" t="s">
        <v>3369</v>
      </c>
      <c r="DO297" t="s">
        <v>3415</v>
      </c>
      <c r="DP297">
        <v>0</v>
      </c>
      <c r="DQ297">
        <v>0</v>
      </c>
      <c r="DR297" t="s">
        <v>411</v>
      </c>
      <c r="EP297" t="s">
        <v>421</v>
      </c>
      <c r="EQ297" t="s">
        <v>422</v>
      </c>
      <c r="ER297">
        <v>0</v>
      </c>
      <c r="ES297">
        <v>2</v>
      </c>
      <c r="ET297">
        <v>0</v>
      </c>
      <c r="EU297">
        <v>0</v>
      </c>
      <c r="EV297">
        <v>0</v>
      </c>
      <c r="EW297" s="2">
        <v>43222</v>
      </c>
      <c r="EX297" s="1">
        <v>42879</v>
      </c>
      <c r="EY297">
        <v>2016</v>
      </c>
      <c r="EZ297">
        <v>998.85</v>
      </c>
      <c r="FA297" t="s">
        <v>3416</v>
      </c>
      <c r="FB297">
        <v>0.25</v>
      </c>
      <c r="FC297" t="s">
        <v>424</v>
      </c>
      <c r="FD297" t="s">
        <v>425</v>
      </c>
      <c r="FE297" s="1">
        <v>42944</v>
      </c>
      <c r="FF297">
        <v>2</v>
      </c>
      <c r="FG297">
        <v>2851116</v>
      </c>
      <c r="FH297" t="s">
        <v>480</v>
      </c>
      <c r="FJ297" s="1">
        <v>42879</v>
      </c>
      <c r="FK297">
        <v>2016</v>
      </c>
      <c r="FL297">
        <v>998.85</v>
      </c>
      <c r="FM297" t="s">
        <v>3416</v>
      </c>
      <c r="FN297">
        <v>0.25</v>
      </c>
      <c r="FO297" t="s">
        <v>424</v>
      </c>
      <c r="FP297" t="s">
        <v>425</v>
      </c>
      <c r="FR297">
        <v>22</v>
      </c>
      <c r="FS297">
        <v>5745094</v>
      </c>
      <c r="FT297" t="s">
        <v>3417</v>
      </c>
    </row>
    <row r="298" spans="1:284" x14ac:dyDescent="0.25">
      <c r="A298">
        <v>16485305</v>
      </c>
      <c r="B298">
        <v>297</v>
      </c>
      <c r="C298" t="s">
        <v>393</v>
      </c>
      <c r="D298" t="s">
        <v>394</v>
      </c>
      <c r="F298" t="str">
        <f>"33-1N-24-2050-0020-0000"</f>
        <v>33-1N-24-2050-0020-0000</v>
      </c>
      <c r="H298" t="str">
        <f>"THOMAS ADRAIN R"</f>
        <v>THOMAS ADRAIN R</v>
      </c>
      <c r="I298" t="str">
        <f>"12808 US HWY 301"</f>
        <v>12808 US HWY 301</v>
      </c>
      <c r="J298" t="str">
        <f>"BRYCEVILLE FL 32009"</f>
        <v>BRYCEVILLE FL 32009</v>
      </c>
      <c r="K298" t="str">
        <f>"12808 US HWY 301"</f>
        <v>12808 US HWY 301</v>
      </c>
      <c r="L298" t="str">
        <f t="shared" si="91"/>
        <v>BRYCEVILLE FL 32009</v>
      </c>
      <c r="M298" t="str">
        <f>"LOT 20 R360131 IN OR 802 PG 764 EX R/W OR 997/1799 THE PINES UNIT 1 PB 5/78 &amp; 79"</f>
        <v>LOT 20 R360131 IN OR 802 PG 764 EX R/W OR 997/1799 THE PINES UNIT 1 PB 5/78 &amp; 79</v>
      </c>
      <c r="N298" t="str">
        <f>""</f>
        <v/>
      </c>
      <c r="O298" t="str">
        <f>"40774"</f>
        <v>40774</v>
      </c>
      <c r="P298" t="str">
        <f t="shared" si="82"/>
        <v>2017</v>
      </c>
      <c r="Q298" t="str">
        <f>""</f>
        <v/>
      </c>
      <c r="R298" t="str">
        <f t="shared" si="90"/>
        <v>N</v>
      </c>
      <c r="S298" t="str">
        <f>"1.00"</f>
        <v>1.00</v>
      </c>
      <c r="T298" t="str">
        <f>"323.70"</f>
        <v>323.70</v>
      </c>
      <c r="U298" t="str">
        <f>"20275.00"</f>
        <v>20275.00</v>
      </c>
      <c r="V298" t="str">
        <f>"20275.00"</f>
        <v>20275.00</v>
      </c>
      <c r="W298" t="str">
        <f t="shared" si="83"/>
        <v>2017</v>
      </c>
      <c r="X298" t="str">
        <f>"19.57"</f>
        <v>19.57</v>
      </c>
      <c r="Y298" t="str">
        <f>"365.41"</f>
        <v>365.41</v>
      </c>
      <c r="Z298" t="str">
        <f>""</f>
        <v/>
      </c>
      <c r="AA298" t="str">
        <f>"22814.00"</f>
        <v>22814.00</v>
      </c>
      <c r="AB298" t="str">
        <f t="shared" si="92"/>
        <v>Residential</v>
      </c>
      <c r="AC298" t="str">
        <f t="shared" si="84"/>
        <v>0</v>
      </c>
      <c r="AD298" t="str">
        <f>"4"</f>
        <v>4</v>
      </c>
      <c r="AE298" t="str">
        <f>"WOOD (INCLUDE STEEL STUDS)"</f>
        <v>WOOD (INCLUDE STEEL STUDS)</v>
      </c>
      <c r="AF298" t="str">
        <f>"002"</f>
        <v>002</v>
      </c>
      <c r="AG298" t="str">
        <f t="shared" ref="AG298:AG329" si="93">"FL"</f>
        <v>FL</v>
      </c>
      <c r="AH298" t="str">
        <f>"43560.00"</f>
        <v>43560.00</v>
      </c>
      <c r="AI298" t="str">
        <f>"15000.00"</f>
        <v>15000.00</v>
      </c>
      <c r="AJ298" t="str">
        <f>"C55-000-587-7174-2"</f>
        <v>C55-000-587-7174-2</v>
      </c>
      <c r="AK298" t="str">
        <f>"4303"</f>
        <v>4303</v>
      </c>
      <c r="AL298">
        <v>2</v>
      </c>
      <c r="AM298">
        <v>343</v>
      </c>
      <c r="AN298">
        <v>382.08</v>
      </c>
      <c r="AQ298" t="s">
        <v>3418</v>
      </c>
      <c r="AR298" t="s">
        <v>3418</v>
      </c>
      <c r="AS298" t="s">
        <v>3418</v>
      </c>
      <c r="AU298" t="s">
        <v>396</v>
      </c>
      <c r="AV298">
        <v>2017</v>
      </c>
      <c r="AW298" t="str">
        <f>"33-1N-24-2050-0020-0000 "</f>
        <v xml:space="preserve">33-1N-24-2050-0020-0000 </v>
      </c>
      <c r="AX298">
        <v>12808</v>
      </c>
      <c r="AZ298" t="s">
        <v>2893</v>
      </c>
      <c r="BD298" t="s">
        <v>553</v>
      </c>
      <c r="BE298" t="s">
        <v>393</v>
      </c>
      <c r="BF298">
        <v>32009</v>
      </c>
      <c r="BG298" t="s">
        <v>3419</v>
      </c>
      <c r="BH298" t="s">
        <v>555</v>
      </c>
      <c r="BI298">
        <v>-81.914858846712903</v>
      </c>
      <c r="BJ298">
        <v>30.455007175077299</v>
      </c>
      <c r="BK298" t="s">
        <v>3420</v>
      </c>
      <c r="BM298" t="s">
        <v>3419</v>
      </c>
      <c r="BN298" t="s">
        <v>558</v>
      </c>
      <c r="BO298">
        <v>32009</v>
      </c>
      <c r="BP298" t="s">
        <v>416</v>
      </c>
      <c r="BQ298">
        <v>200</v>
      </c>
      <c r="BR298" t="s">
        <v>405</v>
      </c>
      <c r="BS298">
        <v>1006</v>
      </c>
      <c r="BT298" t="s">
        <v>406</v>
      </c>
      <c r="BW298">
        <v>43560</v>
      </c>
      <c r="BX298" t="s">
        <v>407</v>
      </c>
      <c r="BY298" t="s">
        <v>408</v>
      </c>
      <c r="BZ298">
        <v>4</v>
      </c>
      <c r="CA298">
        <v>1983</v>
      </c>
      <c r="CB298">
        <v>1</v>
      </c>
      <c r="CC298">
        <v>1</v>
      </c>
      <c r="CD298">
        <v>2017</v>
      </c>
      <c r="CE298">
        <v>15000</v>
      </c>
      <c r="CF298">
        <v>7814</v>
      </c>
      <c r="CG298">
        <v>22814</v>
      </c>
      <c r="CH298">
        <v>2017</v>
      </c>
      <c r="CI298">
        <v>15000</v>
      </c>
      <c r="CJ298">
        <v>7814</v>
      </c>
      <c r="CK298">
        <v>22814</v>
      </c>
      <c r="CL298">
        <v>2017</v>
      </c>
      <c r="CM298">
        <v>323.7</v>
      </c>
      <c r="CN298" s="1">
        <v>35649</v>
      </c>
      <c r="CO298">
        <v>21500</v>
      </c>
      <c r="CZ298" s="1">
        <v>35649</v>
      </c>
      <c r="DD298" t="s">
        <v>553</v>
      </c>
      <c r="DG298">
        <v>33</v>
      </c>
      <c r="DL298">
        <v>50504</v>
      </c>
      <c r="DM298" t="s">
        <v>3369</v>
      </c>
      <c r="DO298" t="s">
        <v>3421</v>
      </c>
      <c r="DP298">
        <v>0</v>
      </c>
      <c r="DQ298">
        <v>0</v>
      </c>
      <c r="DR298" t="s">
        <v>411</v>
      </c>
      <c r="DS298" t="b">
        <v>1</v>
      </c>
      <c r="DT298" t="s">
        <v>470</v>
      </c>
      <c r="DU298" t="s">
        <v>471</v>
      </c>
      <c r="DV298" t="s">
        <v>472</v>
      </c>
      <c r="DX298">
        <v>-9999</v>
      </c>
      <c r="DZ298" t="s">
        <v>447</v>
      </c>
      <c r="EA298" t="s">
        <v>448</v>
      </c>
      <c r="EB298" t="s">
        <v>742</v>
      </c>
      <c r="EC298">
        <v>20101217</v>
      </c>
      <c r="ED298" t="s">
        <v>474</v>
      </c>
      <c r="EF298">
        <v>879.5</v>
      </c>
      <c r="EG298">
        <v>879.5</v>
      </c>
      <c r="EI298">
        <v>20160407</v>
      </c>
      <c r="EJ298">
        <v>0</v>
      </c>
      <c r="EK298">
        <v>0</v>
      </c>
      <c r="EP298" t="s">
        <v>421</v>
      </c>
      <c r="EQ298" t="s">
        <v>422</v>
      </c>
      <c r="ER298">
        <v>0</v>
      </c>
      <c r="ES298">
        <v>10</v>
      </c>
      <c r="ET298">
        <v>0</v>
      </c>
      <c r="EU298">
        <v>0</v>
      </c>
      <c r="EV298">
        <v>0</v>
      </c>
      <c r="EW298" s="2">
        <v>43222</v>
      </c>
      <c r="EX298" s="1">
        <v>42515</v>
      </c>
      <c r="EY298">
        <v>2015</v>
      </c>
      <c r="EZ298">
        <v>330.61</v>
      </c>
      <c r="FA298" t="s">
        <v>3422</v>
      </c>
      <c r="FB298">
        <v>14.75</v>
      </c>
      <c r="FC298" t="s">
        <v>424</v>
      </c>
      <c r="FD298" t="s">
        <v>425</v>
      </c>
      <c r="FE298" s="1">
        <v>42824</v>
      </c>
      <c r="FF298">
        <v>10</v>
      </c>
      <c r="FG298">
        <v>7336143</v>
      </c>
      <c r="FH298" t="s">
        <v>539</v>
      </c>
      <c r="FJ298" s="1">
        <v>42151</v>
      </c>
      <c r="FK298">
        <v>2014</v>
      </c>
      <c r="FL298">
        <v>282.36</v>
      </c>
      <c r="FM298" t="s">
        <v>3423</v>
      </c>
      <c r="FN298">
        <v>4</v>
      </c>
      <c r="FO298" t="s">
        <v>424</v>
      </c>
      <c r="FP298" t="s">
        <v>425</v>
      </c>
      <c r="FR298">
        <v>22</v>
      </c>
      <c r="FS298">
        <v>15399</v>
      </c>
      <c r="FT298" t="s">
        <v>485</v>
      </c>
      <c r="FV298" s="1">
        <v>42151</v>
      </c>
      <c r="FW298">
        <v>2014</v>
      </c>
      <c r="FX298">
        <v>282.36</v>
      </c>
      <c r="FY298" t="s">
        <v>3423</v>
      </c>
      <c r="FZ298">
        <v>4</v>
      </c>
      <c r="GA298" t="s">
        <v>424</v>
      </c>
      <c r="GB298" t="s">
        <v>425</v>
      </c>
      <c r="GD298">
        <v>22</v>
      </c>
      <c r="GE298">
        <v>7045025</v>
      </c>
      <c r="GF298" t="s">
        <v>3424</v>
      </c>
      <c r="GH298" s="1">
        <v>42151</v>
      </c>
      <c r="GI298">
        <v>2014</v>
      </c>
      <c r="GJ298">
        <v>282.36</v>
      </c>
      <c r="GK298" t="s">
        <v>3423</v>
      </c>
      <c r="GL298">
        <v>4</v>
      </c>
      <c r="GM298" t="s">
        <v>424</v>
      </c>
      <c r="GN298" t="s">
        <v>425</v>
      </c>
      <c r="GP298">
        <v>22</v>
      </c>
      <c r="GQ298">
        <v>7336692</v>
      </c>
      <c r="GR298" t="s">
        <v>822</v>
      </c>
      <c r="GT298" s="1">
        <v>42151</v>
      </c>
      <c r="GU298">
        <v>2014</v>
      </c>
      <c r="GV298">
        <v>282.36</v>
      </c>
      <c r="GW298" t="s">
        <v>3423</v>
      </c>
      <c r="GX298">
        <v>4</v>
      </c>
      <c r="GY298" t="s">
        <v>424</v>
      </c>
      <c r="GZ298" t="s">
        <v>425</v>
      </c>
      <c r="HA298" s="1">
        <v>42794</v>
      </c>
      <c r="HB298">
        <v>21</v>
      </c>
      <c r="HC298">
        <v>7336698</v>
      </c>
      <c r="HD298" t="s">
        <v>823</v>
      </c>
      <c r="HF298" s="1">
        <v>41787</v>
      </c>
      <c r="HG298">
        <v>2013</v>
      </c>
      <c r="HH298">
        <v>387.13</v>
      </c>
      <c r="HI298" t="s">
        <v>3425</v>
      </c>
      <c r="HJ298">
        <v>9.75</v>
      </c>
      <c r="HK298" t="s">
        <v>424</v>
      </c>
      <c r="HL298" t="s">
        <v>425</v>
      </c>
      <c r="HM298" s="1">
        <v>42418</v>
      </c>
      <c r="HN298">
        <v>21</v>
      </c>
      <c r="HO298">
        <v>2035919</v>
      </c>
      <c r="HP298" t="s">
        <v>507</v>
      </c>
      <c r="HR298" s="1">
        <v>41423</v>
      </c>
      <c r="HS298">
        <v>2012</v>
      </c>
      <c r="HT298">
        <v>406</v>
      </c>
      <c r="HU298" t="s">
        <v>3426</v>
      </c>
      <c r="HV298">
        <v>4.5</v>
      </c>
      <c r="HW298" t="s">
        <v>424</v>
      </c>
      <c r="HX298" t="s">
        <v>425</v>
      </c>
      <c r="HY298" s="1">
        <v>42060</v>
      </c>
      <c r="HZ298">
        <v>21</v>
      </c>
      <c r="IA298">
        <v>15399</v>
      </c>
      <c r="IB298" t="s">
        <v>485</v>
      </c>
      <c r="ID298" s="1">
        <v>41052</v>
      </c>
      <c r="IE298">
        <v>2011</v>
      </c>
      <c r="IF298">
        <v>461.27</v>
      </c>
      <c r="IG298" t="s">
        <v>3427</v>
      </c>
      <c r="IH298">
        <v>5.75</v>
      </c>
      <c r="II298" t="s">
        <v>424</v>
      </c>
      <c r="IJ298" t="s">
        <v>425</v>
      </c>
      <c r="IK298" s="1">
        <v>41708</v>
      </c>
      <c r="IL298">
        <v>22</v>
      </c>
      <c r="IM298">
        <v>1625515</v>
      </c>
      <c r="IN298" t="s">
        <v>487</v>
      </c>
      <c r="IP298" s="1">
        <v>41052</v>
      </c>
      <c r="IQ298">
        <v>2011</v>
      </c>
      <c r="IR298">
        <v>461.27</v>
      </c>
      <c r="IS298" t="s">
        <v>3427</v>
      </c>
      <c r="IT298">
        <v>5.75</v>
      </c>
      <c r="IU298" t="s">
        <v>424</v>
      </c>
      <c r="IV298" t="s">
        <v>425</v>
      </c>
      <c r="IX298">
        <v>22</v>
      </c>
      <c r="IY298">
        <v>10579</v>
      </c>
      <c r="IZ298" t="s">
        <v>488</v>
      </c>
      <c r="JB298" s="1">
        <v>40688</v>
      </c>
      <c r="JC298">
        <v>2010</v>
      </c>
      <c r="JD298">
        <v>463.64</v>
      </c>
      <c r="JE298" t="s">
        <v>3428</v>
      </c>
      <c r="JF298">
        <v>7</v>
      </c>
      <c r="JG298" t="s">
        <v>424</v>
      </c>
      <c r="JH298" t="s">
        <v>425</v>
      </c>
      <c r="JI298" s="1">
        <v>41325</v>
      </c>
      <c r="JJ298">
        <v>21</v>
      </c>
      <c r="JK298">
        <v>10579</v>
      </c>
      <c r="JL298" t="s">
        <v>488</v>
      </c>
    </row>
    <row r="299" spans="1:284" x14ac:dyDescent="0.25">
      <c r="A299">
        <v>16485306</v>
      </c>
      <c r="B299">
        <v>298</v>
      </c>
      <c r="C299" t="s">
        <v>393</v>
      </c>
      <c r="D299" t="s">
        <v>394</v>
      </c>
      <c r="F299" t="str">
        <f>"33-1N-24-2051-0005-0000"</f>
        <v>33-1N-24-2051-0005-0000</v>
      </c>
      <c r="H299" t="str">
        <f>"TOM FORD BUILDERS LLC"</f>
        <v>TOM FORD BUILDERS LLC</v>
      </c>
      <c r="I299" t="str">
        <f>"2120 CORPORATE SQUARE BLVD"</f>
        <v>2120 CORPORATE SQUARE BLVD</v>
      </c>
      <c r="J299" t="str">
        <f>"JACKSONVILLE FL 32216"</f>
        <v>JACKSONVILLE FL 32216</v>
      </c>
      <c r="K299" t="str">
        <f>"12801 US HWY 301"</f>
        <v>12801 US HWY 301</v>
      </c>
      <c r="L299" t="str">
        <f t="shared" si="91"/>
        <v>BRYCEVILLE FL 32009</v>
      </c>
      <c r="M299" t="str">
        <f>"LOT 5 PT OR 1462/1041 EX R/W CASE 03-319-CA THE PINES 2 PB 5/128-129"</f>
        <v>LOT 5 PT OR 1462/1041 EX R/W CASE 03-319-CA THE PINES 2 PB 5/128-129</v>
      </c>
      <c r="N299" t="str">
        <f>""</f>
        <v/>
      </c>
      <c r="O299" t="str">
        <f>"40789"</f>
        <v>40789</v>
      </c>
      <c r="P299" t="str">
        <f t="shared" si="82"/>
        <v>2017</v>
      </c>
      <c r="Q299" t="str">
        <f>""</f>
        <v/>
      </c>
      <c r="R299" t="str">
        <f t="shared" si="90"/>
        <v>N</v>
      </c>
      <c r="S299" t="str">
        <f>"1.15"</f>
        <v>1.15</v>
      </c>
      <c r="T299" t="str">
        <f>"243.48"</f>
        <v>243.48</v>
      </c>
      <c r="U299" t="str">
        <f>"15180.00"</f>
        <v>15180.00</v>
      </c>
      <c r="V299" t="str">
        <f>"15180.00"</f>
        <v>15180.00</v>
      </c>
      <c r="W299" t="str">
        <f t="shared" si="83"/>
        <v>2017</v>
      </c>
      <c r="X299" t="str">
        <f>"25.67"</f>
        <v>25.67</v>
      </c>
      <c r="Y299" t="str">
        <f>"282.78"</f>
        <v>282.78</v>
      </c>
      <c r="Z299" t="str">
        <f>""</f>
        <v/>
      </c>
      <c r="AA299" t="str">
        <f>"17250.00"</f>
        <v>17250.00</v>
      </c>
      <c r="AB299" t="str">
        <f t="shared" si="92"/>
        <v>Residential</v>
      </c>
      <c r="AC299" t="str">
        <f t="shared" si="84"/>
        <v>0</v>
      </c>
      <c r="AD299" t="str">
        <f>""</f>
        <v/>
      </c>
      <c r="AE299" t="str">
        <f>""</f>
        <v/>
      </c>
      <c r="AF299" t="str">
        <f>"000"</f>
        <v>000</v>
      </c>
      <c r="AG299" t="str">
        <f t="shared" si="93"/>
        <v>FL</v>
      </c>
      <c r="AH299" t="str">
        <f>"50094.00"</f>
        <v>50094.00</v>
      </c>
      <c r="AI299" t="str">
        <f>"17250.00"</f>
        <v>17250.00</v>
      </c>
      <c r="AJ299" t="str">
        <f>"C55-000-587-7187-4"</f>
        <v>C55-000-587-7187-4</v>
      </c>
      <c r="AK299" t="str">
        <f>"4318"</f>
        <v>4318</v>
      </c>
      <c r="AL299">
        <v>2</v>
      </c>
      <c r="AM299">
        <v>344</v>
      </c>
      <c r="AN299">
        <v>295.32</v>
      </c>
      <c r="AQ299" t="s">
        <v>3429</v>
      </c>
      <c r="AR299" t="s">
        <v>3429</v>
      </c>
      <c r="AS299" t="s">
        <v>3429</v>
      </c>
      <c r="AU299" t="s">
        <v>396</v>
      </c>
      <c r="AV299">
        <v>2017</v>
      </c>
      <c r="AW299" t="str">
        <f>"33-1N-24-2051-0005-0000 "</f>
        <v xml:space="preserve">33-1N-24-2051-0005-0000 </v>
      </c>
      <c r="AX299">
        <v>12801</v>
      </c>
      <c r="AZ299" t="s">
        <v>2893</v>
      </c>
      <c r="BD299" t="s">
        <v>553</v>
      </c>
      <c r="BE299" t="s">
        <v>393</v>
      </c>
      <c r="BF299">
        <v>32009</v>
      </c>
      <c r="BG299" t="s">
        <v>3430</v>
      </c>
      <c r="BH299" t="s">
        <v>555</v>
      </c>
      <c r="BI299">
        <v>-81.913098015431203</v>
      </c>
      <c r="BJ299">
        <v>30.454600080281999</v>
      </c>
      <c r="BK299" t="s">
        <v>3431</v>
      </c>
      <c r="BM299" t="s">
        <v>3432</v>
      </c>
      <c r="BN299" t="s">
        <v>548</v>
      </c>
      <c r="BO299">
        <v>32216</v>
      </c>
      <c r="BP299" t="s">
        <v>404</v>
      </c>
      <c r="BQ299">
        <v>0</v>
      </c>
      <c r="BR299" t="s">
        <v>491</v>
      </c>
      <c r="BS299">
        <v>8001</v>
      </c>
      <c r="BT299" t="s">
        <v>492</v>
      </c>
      <c r="BW299">
        <v>50094</v>
      </c>
      <c r="BX299" t="s">
        <v>407</v>
      </c>
      <c r="BY299" t="s">
        <v>408</v>
      </c>
      <c r="CD299">
        <v>2017</v>
      </c>
      <c r="CE299">
        <v>17250</v>
      </c>
      <c r="CG299">
        <v>17250</v>
      </c>
      <c r="CH299">
        <v>2017</v>
      </c>
      <c r="CI299">
        <v>17250</v>
      </c>
      <c r="CK299">
        <v>17250</v>
      </c>
      <c r="CL299">
        <v>2017</v>
      </c>
      <c r="CM299">
        <v>243.48</v>
      </c>
      <c r="CN299" s="1">
        <v>39051</v>
      </c>
      <c r="CO299">
        <v>112000</v>
      </c>
      <c r="CZ299" s="1">
        <v>39051</v>
      </c>
      <c r="DD299" t="s">
        <v>553</v>
      </c>
      <c r="DF299">
        <v>5</v>
      </c>
      <c r="DG299">
        <v>33</v>
      </c>
      <c r="DL299">
        <v>50504</v>
      </c>
      <c r="DM299" t="s">
        <v>3369</v>
      </c>
      <c r="DO299" t="s">
        <v>3433</v>
      </c>
      <c r="DP299">
        <v>0</v>
      </c>
      <c r="DQ299">
        <v>0</v>
      </c>
      <c r="DR299" t="s">
        <v>411</v>
      </c>
      <c r="DS299" t="b">
        <v>1</v>
      </c>
      <c r="DT299" t="s">
        <v>470</v>
      </c>
      <c r="DU299" t="s">
        <v>471</v>
      </c>
      <c r="DV299" t="s">
        <v>472</v>
      </c>
      <c r="DX299">
        <v>-9999</v>
      </c>
      <c r="DZ299" t="s">
        <v>447</v>
      </c>
      <c r="EA299" t="s">
        <v>448</v>
      </c>
      <c r="EB299" t="s">
        <v>742</v>
      </c>
      <c r="EC299">
        <v>20101217</v>
      </c>
      <c r="ED299" t="s">
        <v>474</v>
      </c>
      <c r="EF299">
        <v>777.1</v>
      </c>
      <c r="EG299">
        <v>777.1</v>
      </c>
      <c r="EI299">
        <v>20160407</v>
      </c>
      <c r="EJ299">
        <v>0</v>
      </c>
      <c r="EK299">
        <v>0</v>
      </c>
      <c r="EP299" t="s">
        <v>421</v>
      </c>
      <c r="EQ299" t="s">
        <v>422</v>
      </c>
      <c r="ER299">
        <v>9</v>
      </c>
      <c r="ES299">
        <v>0</v>
      </c>
      <c r="ET299">
        <v>2302.58</v>
      </c>
      <c r="EU299">
        <v>1730.05</v>
      </c>
      <c r="EV299">
        <v>4032.63</v>
      </c>
      <c r="EW299" s="2">
        <v>43222</v>
      </c>
      <c r="EX299" s="1">
        <v>42879</v>
      </c>
      <c r="EY299">
        <v>2016</v>
      </c>
      <c r="EZ299">
        <v>256.08999999999997</v>
      </c>
      <c r="FA299" t="s">
        <v>3434</v>
      </c>
      <c r="FB299">
        <v>18</v>
      </c>
      <c r="FC299" t="s">
        <v>424</v>
      </c>
      <c r="FD299" t="s">
        <v>454</v>
      </c>
      <c r="FF299">
        <v>12</v>
      </c>
      <c r="FG299">
        <v>10125</v>
      </c>
      <c r="FH299" t="s">
        <v>440</v>
      </c>
      <c r="FJ299" s="1">
        <v>42515</v>
      </c>
      <c r="FK299">
        <v>2015</v>
      </c>
      <c r="FL299">
        <v>246</v>
      </c>
      <c r="FM299" t="s">
        <v>3435</v>
      </c>
      <c r="FN299">
        <v>18</v>
      </c>
      <c r="FO299" t="s">
        <v>424</v>
      </c>
      <c r="FP299" t="s">
        <v>454</v>
      </c>
      <c r="FR299">
        <v>24</v>
      </c>
      <c r="FS299">
        <v>10125</v>
      </c>
      <c r="FT299" t="s">
        <v>440</v>
      </c>
      <c r="FV299" s="1">
        <v>42151</v>
      </c>
      <c r="FW299">
        <v>2014</v>
      </c>
      <c r="FX299">
        <v>218.55</v>
      </c>
      <c r="FY299" t="s">
        <v>3436</v>
      </c>
      <c r="FZ299">
        <v>18</v>
      </c>
      <c r="GA299" t="s">
        <v>424</v>
      </c>
      <c r="GB299" t="s">
        <v>454</v>
      </c>
      <c r="GD299">
        <v>36</v>
      </c>
      <c r="GE299">
        <v>10125</v>
      </c>
      <c r="GF299" t="s">
        <v>440</v>
      </c>
      <c r="GH299" s="1">
        <v>41787</v>
      </c>
      <c r="GI299">
        <v>2013</v>
      </c>
      <c r="GJ299">
        <v>240.4</v>
      </c>
      <c r="GK299" t="s">
        <v>3437</v>
      </c>
      <c r="GL299">
        <v>16.5</v>
      </c>
      <c r="GM299" t="s">
        <v>424</v>
      </c>
      <c r="GN299" t="s">
        <v>454</v>
      </c>
      <c r="GP299">
        <v>48</v>
      </c>
      <c r="GQ299">
        <v>10125</v>
      </c>
      <c r="GR299" t="s">
        <v>440</v>
      </c>
      <c r="GT299" s="1">
        <v>41423</v>
      </c>
      <c r="GU299">
        <v>2012</v>
      </c>
      <c r="GV299">
        <v>243.12</v>
      </c>
      <c r="GW299" t="s">
        <v>3438</v>
      </c>
      <c r="GX299">
        <v>16.75</v>
      </c>
      <c r="GY299" t="s">
        <v>424</v>
      </c>
      <c r="GZ299" t="s">
        <v>454</v>
      </c>
      <c r="HB299">
        <v>60</v>
      </c>
      <c r="HC299">
        <v>1124</v>
      </c>
      <c r="HD299" t="s">
        <v>3142</v>
      </c>
      <c r="HF299" s="1">
        <v>41423</v>
      </c>
      <c r="HG299">
        <v>2012</v>
      </c>
      <c r="HH299">
        <v>243.12</v>
      </c>
      <c r="HI299" t="s">
        <v>3438</v>
      </c>
      <c r="HJ299">
        <v>16.75</v>
      </c>
      <c r="HK299" t="s">
        <v>424</v>
      </c>
      <c r="HL299" t="s">
        <v>454</v>
      </c>
      <c r="HN299">
        <v>60</v>
      </c>
      <c r="HO299">
        <v>2035919</v>
      </c>
      <c r="HP299" t="s">
        <v>507</v>
      </c>
      <c r="HR299" s="1">
        <v>41423</v>
      </c>
      <c r="HS299">
        <v>2012</v>
      </c>
      <c r="HT299">
        <v>243.12</v>
      </c>
      <c r="HU299" t="s">
        <v>3438</v>
      </c>
      <c r="HV299">
        <v>16.75</v>
      </c>
      <c r="HW299" t="s">
        <v>424</v>
      </c>
      <c r="HX299" t="s">
        <v>454</v>
      </c>
      <c r="HZ299">
        <v>60</v>
      </c>
      <c r="IA299">
        <v>14996</v>
      </c>
      <c r="IB299" t="s">
        <v>3439</v>
      </c>
      <c r="ID299" s="1">
        <v>41052</v>
      </c>
      <c r="IE299">
        <v>2011</v>
      </c>
      <c r="IF299">
        <v>264.02</v>
      </c>
      <c r="IG299" t="s">
        <v>3440</v>
      </c>
      <c r="IH299">
        <v>15.75</v>
      </c>
      <c r="II299" t="s">
        <v>424</v>
      </c>
      <c r="IJ299" t="s">
        <v>454</v>
      </c>
      <c r="IL299">
        <v>72</v>
      </c>
      <c r="IM299">
        <v>10125</v>
      </c>
      <c r="IN299" t="s">
        <v>440</v>
      </c>
      <c r="IP299" s="1">
        <v>40688</v>
      </c>
      <c r="IQ299">
        <v>2010</v>
      </c>
      <c r="IR299">
        <v>348.16</v>
      </c>
      <c r="IS299" t="s">
        <v>3441</v>
      </c>
      <c r="IT299">
        <v>16.5</v>
      </c>
      <c r="IU299" t="s">
        <v>424</v>
      </c>
      <c r="IV299" t="s">
        <v>454</v>
      </c>
      <c r="IX299">
        <v>84</v>
      </c>
      <c r="IY299">
        <v>10125</v>
      </c>
      <c r="IZ299" t="s">
        <v>440</v>
      </c>
    </row>
    <row r="300" spans="1:284" x14ac:dyDescent="0.25">
      <c r="A300">
        <v>16485307</v>
      </c>
      <c r="B300">
        <v>299</v>
      </c>
      <c r="C300" t="s">
        <v>393</v>
      </c>
      <c r="D300" t="s">
        <v>394</v>
      </c>
      <c r="F300" t="str">
        <f>"33-1N-24-2051-000A-0000"</f>
        <v>33-1N-24-2051-000A-0000</v>
      </c>
      <c r="H300" t="str">
        <f>"TOM FORD BUILDERS LLC"</f>
        <v>TOM FORD BUILDERS LLC</v>
      </c>
      <c r="I300" t="str">
        <f>"2120 CORPORATE SQUARE BLVD"</f>
        <v>2120 CORPORATE SQUARE BLVD</v>
      </c>
      <c r="J300" t="str">
        <f>"JACKSONVILLE FL 32216"</f>
        <v>JACKSONVILLE FL 32216</v>
      </c>
      <c r="K300" t="str">
        <f>"12775 US HWY 301"</f>
        <v>12775 US HWY 301</v>
      </c>
      <c r="L300" t="str">
        <f t="shared" si="91"/>
        <v>BRYCEVILLE FL 32009</v>
      </c>
      <c r="M300" t="str">
        <f>"TRACT A PT OR 1462/1041 EX R/W CASE 03-319-CA THE PINES 2 PB 5/128-129"</f>
        <v>TRACT A PT OR 1462/1041 EX R/W CASE 03-319-CA THE PINES 2 PB 5/128-129</v>
      </c>
      <c r="N300" t="str">
        <f>""</f>
        <v/>
      </c>
      <c r="O300" t="str">
        <f>"40794"</f>
        <v>40794</v>
      </c>
      <c r="P300" t="str">
        <f t="shared" si="82"/>
        <v>2017</v>
      </c>
      <c r="Q300" t="str">
        <f>""</f>
        <v/>
      </c>
      <c r="R300" t="str">
        <f t="shared" si="90"/>
        <v>N</v>
      </c>
      <c r="S300" t="str">
        <f>"1.08"</f>
        <v>1.08</v>
      </c>
      <c r="T300" t="str">
        <f>"228.65"</f>
        <v>228.65</v>
      </c>
      <c r="U300" t="str">
        <f>"14256.00"</f>
        <v>14256.00</v>
      </c>
      <c r="V300" t="str">
        <f>"14256.00"</f>
        <v>14256.00</v>
      </c>
      <c r="W300" t="str">
        <f t="shared" si="83"/>
        <v>2017</v>
      </c>
      <c r="X300" t="str">
        <f>"16.75"</f>
        <v>16.75</v>
      </c>
      <c r="Y300" t="str">
        <f>"267.51"</f>
        <v>267.51</v>
      </c>
      <c r="Z300" t="str">
        <f>""</f>
        <v/>
      </c>
      <c r="AA300" t="str">
        <f>"16200.00"</f>
        <v>16200.00</v>
      </c>
      <c r="AB300" t="str">
        <f t="shared" si="92"/>
        <v>Residential</v>
      </c>
      <c r="AC300" t="str">
        <f t="shared" si="84"/>
        <v>0</v>
      </c>
      <c r="AD300" t="str">
        <f>""</f>
        <v/>
      </c>
      <c r="AE300" t="str">
        <f>""</f>
        <v/>
      </c>
      <c r="AF300" t="str">
        <f>"000"</f>
        <v>000</v>
      </c>
      <c r="AG300" t="str">
        <f t="shared" si="93"/>
        <v>FL</v>
      </c>
      <c r="AH300" t="str">
        <f>"47044.00"</f>
        <v>47044.00</v>
      </c>
      <c r="AI300" t="str">
        <f>"16200.00"</f>
        <v>16200.00</v>
      </c>
      <c r="AJ300" t="str">
        <f>"C55-000-587-7192-4"</f>
        <v>C55-000-587-7192-4</v>
      </c>
      <c r="AK300" t="str">
        <f>"4312"</f>
        <v>4312</v>
      </c>
      <c r="AL300">
        <v>2</v>
      </c>
      <c r="AM300">
        <v>345</v>
      </c>
      <c r="AN300">
        <v>279.29000000000002</v>
      </c>
      <c r="AQ300" t="s">
        <v>3442</v>
      </c>
      <c r="AR300" t="s">
        <v>3442</v>
      </c>
      <c r="AS300" t="s">
        <v>3442</v>
      </c>
      <c r="AU300" t="s">
        <v>396</v>
      </c>
      <c r="AV300">
        <v>2017</v>
      </c>
      <c r="AW300" t="str">
        <f>"33-1N-24-2051-000A-0000 "</f>
        <v xml:space="preserve">33-1N-24-2051-000A-0000 </v>
      </c>
      <c r="AX300">
        <v>12775</v>
      </c>
      <c r="AZ300" t="s">
        <v>2893</v>
      </c>
      <c r="BD300" t="s">
        <v>553</v>
      </c>
      <c r="BE300" t="s">
        <v>393</v>
      </c>
      <c r="BF300">
        <v>32009</v>
      </c>
      <c r="BG300" t="s">
        <v>3443</v>
      </c>
      <c r="BH300" t="s">
        <v>555</v>
      </c>
      <c r="BI300">
        <v>-81.913214449620099</v>
      </c>
      <c r="BJ300">
        <v>30.454335605478501</v>
      </c>
      <c r="BK300" t="s">
        <v>3431</v>
      </c>
      <c r="BM300" t="s">
        <v>3432</v>
      </c>
      <c r="BN300" t="s">
        <v>548</v>
      </c>
      <c r="BO300">
        <v>32216</v>
      </c>
      <c r="BP300" t="s">
        <v>404</v>
      </c>
      <c r="BQ300">
        <v>0</v>
      </c>
      <c r="BR300" t="s">
        <v>491</v>
      </c>
      <c r="BS300">
        <v>8001</v>
      </c>
      <c r="BT300" t="s">
        <v>492</v>
      </c>
      <c r="BW300">
        <v>47044</v>
      </c>
      <c r="BX300" t="s">
        <v>407</v>
      </c>
      <c r="BY300" t="s">
        <v>408</v>
      </c>
      <c r="CD300">
        <v>2017</v>
      </c>
      <c r="CE300">
        <v>16200</v>
      </c>
      <c r="CG300">
        <v>16200</v>
      </c>
      <c r="CH300">
        <v>2017</v>
      </c>
      <c r="CI300">
        <v>16200</v>
      </c>
      <c r="CK300">
        <v>16200</v>
      </c>
      <c r="CL300">
        <v>2017</v>
      </c>
      <c r="CM300">
        <v>228.65</v>
      </c>
      <c r="CN300" s="1">
        <v>39051</v>
      </c>
      <c r="CO300">
        <v>112000</v>
      </c>
      <c r="CZ300" s="1">
        <v>39051</v>
      </c>
      <c r="DD300" t="s">
        <v>553</v>
      </c>
      <c r="DG300">
        <v>33</v>
      </c>
      <c r="DL300">
        <v>50504</v>
      </c>
      <c r="DM300" t="s">
        <v>3369</v>
      </c>
      <c r="DO300" t="s">
        <v>3444</v>
      </c>
      <c r="DP300">
        <v>0</v>
      </c>
      <c r="DQ300">
        <v>0</v>
      </c>
      <c r="DR300" t="s">
        <v>411</v>
      </c>
      <c r="DS300" t="b">
        <v>1</v>
      </c>
      <c r="DT300" t="s">
        <v>470</v>
      </c>
      <c r="DU300" t="s">
        <v>471</v>
      </c>
      <c r="DV300" t="s">
        <v>472</v>
      </c>
      <c r="DX300">
        <v>-9999</v>
      </c>
      <c r="DZ300" t="s">
        <v>447</v>
      </c>
      <c r="EA300" t="s">
        <v>448</v>
      </c>
      <c r="EB300" t="s">
        <v>742</v>
      </c>
      <c r="EC300">
        <v>20101217</v>
      </c>
      <c r="ED300" t="s">
        <v>474</v>
      </c>
      <c r="EF300">
        <v>674.2</v>
      </c>
      <c r="EG300">
        <v>674.2</v>
      </c>
      <c r="EI300">
        <v>20160407</v>
      </c>
      <c r="EJ300">
        <v>0</v>
      </c>
      <c r="EK300">
        <v>0</v>
      </c>
      <c r="EP300" t="s">
        <v>421</v>
      </c>
      <c r="EQ300" t="s">
        <v>452</v>
      </c>
      <c r="ER300">
        <v>0</v>
      </c>
      <c r="ES300">
        <v>8</v>
      </c>
      <c r="ET300">
        <v>0</v>
      </c>
      <c r="EU300">
        <v>0</v>
      </c>
      <c r="EV300">
        <v>0</v>
      </c>
      <c r="EW300" s="2">
        <v>43222</v>
      </c>
      <c r="EX300" s="1">
        <v>42515</v>
      </c>
      <c r="EY300">
        <v>2015</v>
      </c>
      <c r="EZ300">
        <v>232.38</v>
      </c>
      <c r="FA300" t="s">
        <v>3445</v>
      </c>
      <c r="FB300">
        <v>14.75</v>
      </c>
      <c r="FC300" t="s">
        <v>424</v>
      </c>
      <c r="FD300" t="s">
        <v>425</v>
      </c>
      <c r="FF300">
        <v>22</v>
      </c>
      <c r="FG300">
        <v>7336670</v>
      </c>
      <c r="FH300" t="s">
        <v>2102</v>
      </c>
      <c r="FI300" t="s">
        <v>458</v>
      </c>
      <c r="FJ300" s="1">
        <v>42151</v>
      </c>
      <c r="FK300">
        <v>2014</v>
      </c>
      <c r="FL300">
        <v>206.58</v>
      </c>
      <c r="FM300" t="s">
        <v>3446</v>
      </c>
      <c r="FN300">
        <v>5.5</v>
      </c>
      <c r="FO300" t="s">
        <v>424</v>
      </c>
      <c r="FP300" t="s">
        <v>425</v>
      </c>
      <c r="FQ300" s="1">
        <v>42551</v>
      </c>
      <c r="FR300">
        <v>13</v>
      </c>
      <c r="FS300">
        <v>10125</v>
      </c>
      <c r="FT300" t="s">
        <v>440</v>
      </c>
      <c r="FU300" t="s">
        <v>458</v>
      </c>
      <c r="FV300" s="1">
        <v>41787</v>
      </c>
      <c r="FW300">
        <v>2013</v>
      </c>
      <c r="FX300">
        <v>345.56</v>
      </c>
      <c r="FY300" t="s">
        <v>3447</v>
      </c>
      <c r="FZ300">
        <v>9.75</v>
      </c>
      <c r="GA300" t="s">
        <v>424</v>
      </c>
      <c r="GB300" t="s">
        <v>425</v>
      </c>
      <c r="GD300">
        <v>22</v>
      </c>
      <c r="GE300">
        <v>2035919</v>
      </c>
      <c r="GF300" t="s">
        <v>507</v>
      </c>
      <c r="GG300" t="s">
        <v>458</v>
      </c>
      <c r="GH300" s="1">
        <v>41787</v>
      </c>
      <c r="GI300">
        <v>2013</v>
      </c>
      <c r="GJ300">
        <v>345.56</v>
      </c>
      <c r="GK300" t="s">
        <v>3447</v>
      </c>
      <c r="GL300">
        <v>9.75</v>
      </c>
      <c r="GM300" t="s">
        <v>424</v>
      </c>
      <c r="GN300" t="s">
        <v>425</v>
      </c>
      <c r="GP300">
        <v>22</v>
      </c>
      <c r="GQ300">
        <v>7336670</v>
      </c>
      <c r="GR300" t="s">
        <v>2102</v>
      </c>
      <c r="GS300" t="s">
        <v>458</v>
      </c>
      <c r="GT300" s="1">
        <v>41423</v>
      </c>
      <c r="GU300">
        <v>2012</v>
      </c>
      <c r="GV300">
        <v>349.6</v>
      </c>
      <c r="GW300" t="s">
        <v>3448</v>
      </c>
      <c r="GX300">
        <v>8.25</v>
      </c>
      <c r="GY300" t="s">
        <v>424</v>
      </c>
      <c r="GZ300" t="s">
        <v>425</v>
      </c>
      <c r="HA300" s="1">
        <v>41526</v>
      </c>
      <c r="HB300">
        <v>4</v>
      </c>
      <c r="HC300">
        <v>2035919</v>
      </c>
      <c r="HD300" t="s">
        <v>507</v>
      </c>
      <c r="HE300" t="s">
        <v>458</v>
      </c>
      <c r="HF300" s="1">
        <v>41052</v>
      </c>
      <c r="HG300">
        <v>2011</v>
      </c>
      <c r="HH300">
        <v>347.33</v>
      </c>
      <c r="HI300" t="s">
        <v>3449</v>
      </c>
      <c r="HJ300">
        <v>15.75</v>
      </c>
      <c r="HK300" t="s">
        <v>424</v>
      </c>
      <c r="HL300" t="s">
        <v>425</v>
      </c>
      <c r="HM300" s="1">
        <v>41526</v>
      </c>
      <c r="HN300">
        <v>16</v>
      </c>
      <c r="HO300">
        <v>10125</v>
      </c>
      <c r="HP300" t="s">
        <v>440</v>
      </c>
      <c r="HQ300" t="s">
        <v>458</v>
      </c>
      <c r="HR300" s="1">
        <v>40688</v>
      </c>
      <c r="HS300">
        <v>2010</v>
      </c>
      <c r="HT300">
        <v>348.16</v>
      </c>
      <c r="HU300" t="s">
        <v>3450</v>
      </c>
      <c r="HV300">
        <v>8.25</v>
      </c>
      <c r="HW300" t="s">
        <v>424</v>
      </c>
      <c r="HX300" t="s">
        <v>425</v>
      </c>
      <c r="HZ300">
        <v>22</v>
      </c>
      <c r="IA300">
        <v>15175</v>
      </c>
      <c r="IB300" t="s">
        <v>588</v>
      </c>
      <c r="IC300" t="s">
        <v>458</v>
      </c>
      <c r="ID300" s="1">
        <v>40688</v>
      </c>
      <c r="IE300">
        <v>2010</v>
      </c>
      <c r="IF300">
        <v>348.16</v>
      </c>
      <c r="IG300" t="s">
        <v>3450</v>
      </c>
      <c r="IH300">
        <v>8.25</v>
      </c>
      <c r="II300" t="s">
        <v>424</v>
      </c>
      <c r="IJ300" t="s">
        <v>425</v>
      </c>
      <c r="IL300">
        <v>22</v>
      </c>
      <c r="IM300">
        <v>10548</v>
      </c>
      <c r="IN300" t="s">
        <v>589</v>
      </c>
      <c r="IO300" t="s">
        <v>458</v>
      </c>
    </row>
    <row r="301" spans="1:284" x14ac:dyDescent="0.25">
      <c r="A301">
        <v>16485308</v>
      </c>
      <c r="B301">
        <v>300</v>
      </c>
      <c r="C301" t="s">
        <v>393</v>
      </c>
      <c r="D301" t="s">
        <v>394</v>
      </c>
      <c r="F301" t="str">
        <f>"33-1N-24-2052-0006-0000"</f>
        <v>33-1N-24-2052-0006-0000</v>
      </c>
      <c r="H301" t="str">
        <f>"WYATT LUKEVA F EST &amp; GEORGE HAZEL J"</f>
        <v>WYATT LUKEVA F EST &amp; GEORGE HAZEL J</v>
      </c>
      <c r="I301" t="str">
        <f>"13397 US HIGHWAY 301"</f>
        <v>13397 US HIGHWAY 301</v>
      </c>
      <c r="J301" t="str">
        <f>"BRYCEVILLE FL 32009"</f>
        <v>BRYCEVILLE FL 32009</v>
      </c>
      <c r="K301" t="str">
        <f>"13397 US HWY 301"</f>
        <v>13397 US HWY 301</v>
      </c>
      <c r="L301" t="str">
        <f t="shared" si="91"/>
        <v>BRYCEVILLE FL 32009</v>
      </c>
      <c r="M301" t="str">
        <f>"LOT 6 IN OR 1298/580 EX R/W PT OR 963/751 R672759 &amp; R672760 ESMT OR 1442/1665 THE PINES 3 PB 5/331-332"</f>
        <v>LOT 6 IN OR 1298/580 EX R/W PT OR 963/751 R672759 &amp; R672760 ESMT OR 1442/1665 THE PINES 3 PB 5/331-332</v>
      </c>
      <c r="N301" t="str">
        <f>""</f>
        <v/>
      </c>
      <c r="O301" t="str">
        <f>"40810"</f>
        <v>40810</v>
      </c>
      <c r="P301" t="str">
        <f t="shared" si="82"/>
        <v>2017</v>
      </c>
      <c r="Q301" t="str">
        <f>""</f>
        <v/>
      </c>
      <c r="R301" t="str">
        <f t="shared" si="90"/>
        <v>N</v>
      </c>
      <c r="S301" t="str">
        <f>"1.14"</f>
        <v>1.14</v>
      </c>
      <c r="T301" t="str">
        <f>"365.79"</f>
        <v>365.79</v>
      </c>
      <c r="U301" t="str">
        <f>"23718.00"</f>
        <v>23718.00</v>
      </c>
      <c r="V301" t="str">
        <f>"23718.00"</f>
        <v>23718.00</v>
      </c>
      <c r="W301" t="str">
        <f t="shared" si="83"/>
        <v>2017</v>
      </c>
      <c r="X301" t="str">
        <f>"12.13"</f>
        <v>12.13</v>
      </c>
      <c r="Y301" t="str">
        <f>"408.76"</f>
        <v>408.76</v>
      </c>
      <c r="Z301" t="str">
        <f>""</f>
        <v/>
      </c>
      <c r="AA301" t="str">
        <f>"24737.00"</f>
        <v>24737.00</v>
      </c>
      <c r="AB301" t="str">
        <f t="shared" si="92"/>
        <v>Residential</v>
      </c>
      <c r="AC301" t="str">
        <f t="shared" si="84"/>
        <v>0</v>
      </c>
      <c r="AD301" t="str">
        <f>""</f>
        <v/>
      </c>
      <c r="AE301" t="str">
        <f>""</f>
        <v/>
      </c>
      <c r="AF301" t="str">
        <f>"002"</f>
        <v>002</v>
      </c>
      <c r="AG301" t="str">
        <f t="shared" si="93"/>
        <v>FL</v>
      </c>
      <c r="AH301" t="str">
        <f>"49658.00"</f>
        <v>49658.00</v>
      </c>
      <c r="AI301" t="str">
        <f>"17100.00"</f>
        <v>17100.00</v>
      </c>
      <c r="AJ301" t="str">
        <f>"C55-000-587-7205-4"</f>
        <v>C55-000-587-7205-4</v>
      </c>
      <c r="AK301" t="str">
        <f>"4335"</f>
        <v>4335</v>
      </c>
      <c r="AL301">
        <v>2</v>
      </c>
      <c r="AM301">
        <v>346</v>
      </c>
      <c r="AN301">
        <v>427.6</v>
      </c>
      <c r="AQ301" t="s">
        <v>3451</v>
      </c>
      <c r="AR301" t="s">
        <v>3451</v>
      </c>
      <c r="AS301" t="s">
        <v>3451</v>
      </c>
      <c r="AU301" t="s">
        <v>396</v>
      </c>
      <c r="AV301">
        <v>2017</v>
      </c>
      <c r="AW301" t="str">
        <f>"33-1N-24-2052-0006-0000 "</f>
        <v xml:space="preserve">33-1N-24-2052-0006-0000 </v>
      </c>
      <c r="AX301">
        <v>13397</v>
      </c>
      <c r="AZ301" t="s">
        <v>2893</v>
      </c>
      <c r="BD301" t="s">
        <v>553</v>
      </c>
      <c r="BE301" t="s">
        <v>393</v>
      </c>
      <c r="BF301">
        <v>32009</v>
      </c>
      <c r="BG301" t="s">
        <v>3452</v>
      </c>
      <c r="BH301" t="s">
        <v>555</v>
      </c>
      <c r="BI301">
        <v>-81.909952122429004</v>
      </c>
      <c r="BJ301">
        <v>30.462775603552998</v>
      </c>
      <c r="BK301" t="s">
        <v>3453</v>
      </c>
      <c r="BM301" t="s">
        <v>3454</v>
      </c>
      <c r="BN301" t="s">
        <v>558</v>
      </c>
      <c r="BO301">
        <v>32009</v>
      </c>
      <c r="BP301" t="s">
        <v>416</v>
      </c>
      <c r="BQ301">
        <v>200</v>
      </c>
      <c r="BR301" t="s">
        <v>405</v>
      </c>
      <c r="BS301">
        <v>1006</v>
      </c>
      <c r="BT301" t="s">
        <v>406</v>
      </c>
      <c r="BW301">
        <v>49658</v>
      </c>
      <c r="BX301" t="s">
        <v>407</v>
      </c>
      <c r="BY301" t="s">
        <v>408</v>
      </c>
      <c r="CB301">
        <v>1</v>
      </c>
      <c r="CD301">
        <v>2017</v>
      </c>
      <c r="CE301">
        <v>17100</v>
      </c>
      <c r="CF301">
        <v>7637</v>
      </c>
      <c r="CG301">
        <v>24737</v>
      </c>
      <c r="CH301">
        <v>2017</v>
      </c>
      <c r="CI301">
        <v>17100</v>
      </c>
      <c r="CJ301">
        <v>7637</v>
      </c>
      <c r="CK301">
        <v>24737</v>
      </c>
      <c r="CL301">
        <v>2017</v>
      </c>
      <c r="CM301">
        <v>365.79</v>
      </c>
      <c r="CN301" s="1">
        <v>38411</v>
      </c>
      <c r="CO301">
        <v>55300</v>
      </c>
      <c r="CV301">
        <v>0</v>
      </c>
      <c r="CZ301" s="1">
        <v>38411</v>
      </c>
      <c r="DA301">
        <v>0</v>
      </c>
      <c r="DD301" t="s">
        <v>553</v>
      </c>
      <c r="DF301">
        <v>6</v>
      </c>
      <c r="DG301">
        <v>33</v>
      </c>
      <c r="DL301">
        <v>50504</v>
      </c>
      <c r="DM301" t="s">
        <v>3369</v>
      </c>
      <c r="DO301" t="s">
        <v>3455</v>
      </c>
      <c r="DP301">
        <v>0</v>
      </c>
      <c r="DQ301">
        <v>0</v>
      </c>
      <c r="DR301" t="s">
        <v>411</v>
      </c>
      <c r="DS301" t="b">
        <v>1</v>
      </c>
      <c r="DT301" t="s">
        <v>470</v>
      </c>
      <c r="DU301" t="s">
        <v>471</v>
      </c>
      <c r="DV301" t="s">
        <v>472</v>
      </c>
      <c r="DX301">
        <v>-9999</v>
      </c>
      <c r="DZ301" t="s">
        <v>447</v>
      </c>
      <c r="EA301" t="s">
        <v>448</v>
      </c>
      <c r="EB301" t="s">
        <v>742</v>
      </c>
      <c r="EC301">
        <v>20101217</v>
      </c>
      <c r="ED301" t="s">
        <v>474</v>
      </c>
      <c r="EF301">
        <v>1027.8</v>
      </c>
      <c r="EG301">
        <v>1027.8</v>
      </c>
      <c r="EH301" t="s">
        <v>451</v>
      </c>
      <c r="EI301">
        <v>20140731</v>
      </c>
      <c r="EJ301">
        <v>0</v>
      </c>
      <c r="EK301">
        <v>0</v>
      </c>
      <c r="EP301" t="s">
        <v>595</v>
      </c>
      <c r="EQ301" t="s">
        <v>422</v>
      </c>
      <c r="ER301">
        <v>0</v>
      </c>
      <c r="ES301">
        <v>7</v>
      </c>
      <c r="ET301">
        <v>0</v>
      </c>
      <c r="EU301">
        <v>0</v>
      </c>
      <c r="EV301">
        <v>0</v>
      </c>
      <c r="EW301" s="2">
        <v>43222</v>
      </c>
      <c r="EX301" s="1">
        <v>42879</v>
      </c>
      <c r="EY301">
        <v>2016</v>
      </c>
      <c r="EZ301">
        <v>167.35</v>
      </c>
      <c r="FA301" t="s">
        <v>3456</v>
      </c>
      <c r="FB301">
        <v>18</v>
      </c>
      <c r="FC301" t="s">
        <v>603</v>
      </c>
      <c r="FD301" t="s">
        <v>425</v>
      </c>
      <c r="FE301" s="1">
        <v>42913</v>
      </c>
      <c r="FF301">
        <v>1</v>
      </c>
      <c r="FG301">
        <v>9999999</v>
      </c>
      <c r="FH301" t="s">
        <v>604</v>
      </c>
      <c r="FJ301" s="1">
        <v>42151</v>
      </c>
      <c r="FK301">
        <v>2014</v>
      </c>
      <c r="FL301">
        <v>445.47</v>
      </c>
      <c r="FM301" t="s">
        <v>3457</v>
      </c>
      <c r="FN301">
        <v>0.25</v>
      </c>
      <c r="FO301" t="s">
        <v>424</v>
      </c>
      <c r="FP301" t="s">
        <v>425</v>
      </c>
      <c r="FQ301" s="1">
        <v>42395</v>
      </c>
      <c r="FR301">
        <v>8</v>
      </c>
      <c r="FS301">
        <v>2851116</v>
      </c>
      <c r="FT301" t="s">
        <v>480</v>
      </c>
      <c r="FV301" s="1">
        <v>42151</v>
      </c>
      <c r="FW301">
        <v>2014</v>
      </c>
      <c r="FX301">
        <v>445.47</v>
      </c>
      <c r="FY301" t="s">
        <v>3457</v>
      </c>
      <c r="FZ301">
        <v>0.25</v>
      </c>
      <c r="GA301" t="s">
        <v>424</v>
      </c>
      <c r="GB301" t="s">
        <v>425</v>
      </c>
      <c r="GD301">
        <v>22</v>
      </c>
      <c r="GE301">
        <v>5352688</v>
      </c>
      <c r="GF301" t="s">
        <v>3458</v>
      </c>
      <c r="GH301" s="1">
        <v>41787</v>
      </c>
      <c r="GI301">
        <v>2013</v>
      </c>
      <c r="GJ301">
        <v>622.65</v>
      </c>
      <c r="GK301" t="s">
        <v>3459</v>
      </c>
      <c r="GL301">
        <v>0.25</v>
      </c>
      <c r="GM301" t="s">
        <v>424</v>
      </c>
      <c r="GN301" t="s">
        <v>425</v>
      </c>
      <c r="GO301" s="1">
        <v>42395</v>
      </c>
      <c r="GP301">
        <v>20</v>
      </c>
      <c r="GQ301">
        <v>2407503</v>
      </c>
      <c r="GR301" t="s">
        <v>461</v>
      </c>
      <c r="GT301" s="1">
        <v>41423</v>
      </c>
      <c r="GU301">
        <v>2012</v>
      </c>
      <c r="GV301">
        <v>682.7</v>
      </c>
      <c r="GW301" t="s">
        <v>3460</v>
      </c>
      <c r="GX301">
        <v>0.25</v>
      </c>
      <c r="GY301" t="s">
        <v>424</v>
      </c>
      <c r="GZ301" t="s">
        <v>425</v>
      </c>
      <c r="HA301" s="1">
        <v>42039</v>
      </c>
      <c r="HB301">
        <v>21</v>
      </c>
      <c r="HC301">
        <v>1155951</v>
      </c>
      <c r="HD301" t="s">
        <v>1451</v>
      </c>
      <c r="HF301" s="1">
        <v>41052</v>
      </c>
      <c r="HG301">
        <v>2011</v>
      </c>
      <c r="HH301">
        <v>674.89</v>
      </c>
      <c r="HI301" t="s">
        <v>3461</v>
      </c>
      <c r="HJ301">
        <v>6</v>
      </c>
      <c r="HK301" t="s">
        <v>424</v>
      </c>
      <c r="HL301" t="s">
        <v>425</v>
      </c>
      <c r="HM301" s="1">
        <v>41326</v>
      </c>
      <c r="HN301">
        <v>9</v>
      </c>
      <c r="HO301">
        <v>1109</v>
      </c>
      <c r="HP301" t="s">
        <v>852</v>
      </c>
      <c r="HR301" s="1">
        <v>40688</v>
      </c>
      <c r="HS301">
        <v>2010</v>
      </c>
      <c r="HT301">
        <v>748.8</v>
      </c>
      <c r="HU301" t="s">
        <v>3462</v>
      </c>
      <c r="HV301">
        <v>5</v>
      </c>
      <c r="HW301" t="s">
        <v>424</v>
      </c>
      <c r="HX301" t="s">
        <v>425</v>
      </c>
      <c r="HY301" s="1">
        <v>41064</v>
      </c>
      <c r="HZ301">
        <v>13</v>
      </c>
      <c r="IA301">
        <v>287</v>
      </c>
      <c r="IB301" t="s">
        <v>572</v>
      </c>
    </row>
    <row r="302" spans="1:284" x14ac:dyDescent="0.25">
      <c r="A302">
        <v>16485309</v>
      </c>
      <c r="B302">
        <v>301</v>
      </c>
      <c r="C302" t="s">
        <v>393</v>
      </c>
      <c r="D302" t="s">
        <v>394</v>
      </c>
      <c r="F302" t="str">
        <f>"33-1N-24-2052-0025-0000"</f>
        <v>33-1N-24-2052-0025-0000</v>
      </c>
      <c r="H302" t="str">
        <f>"TOM FORD BUILDERS LLC"</f>
        <v>TOM FORD BUILDERS LLC</v>
      </c>
      <c r="I302" t="str">
        <f>"2120 CORPORATE SQUARE BLVD"</f>
        <v>2120 CORPORATE SQUARE BLVD</v>
      </c>
      <c r="J302" t="str">
        <f>"JACKSONVILLE FL 32216"</f>
        <v>JACKSONVILLE FL 32216</v>
      </c>
      <c r="K302" t="str">
        <f>"US HWY 301"</f>
        <v>US HWY 301</v>
      </c>
      <c r="L302" t="str">
        <f t="shared" si="91"/>
        <v>BRYCEVILLE FL 32009</v>
      </c>
      <c r="M302" t="str">
        <f>"LOT 25 PT OR 1462/1041 THE PINES 3 PB 5/331-332"</f>
        <v>LOT 25 PT OR 1462/1041 THE PINES 3 PB 5/331-332</v>
      </c>
      <c r="N302" t="str">
        <f>""</f>
        <v/>
      </c>
      <c r="O302" t="str">
        <f>"40825"</f>
        <v>40825</v>
      </c>
      <c r="P302" t="str">
        <f t="shared" si="82"/>
        <v>2017</v>
      </c>
      <c r="Q302" t="str">
        <f>""</f>
        <v/>
      </c>
      <c r="R302" t="str">
        <f t="shared" si="90"/>
        <v>N</v>
      </c>
      <c r="S302" t="str">
        <f>"1.14"</f>
        <v>1.14</v>
      </c>
      <c r="T302" t="str">
        <f>"241.35"</f>
        <v>241.35</v>
      </c>
      <c r="U302" t="str">
        <f>"15048.00"</f>
        <v>15048.00</v>
      </c>
      <c r="V302" t="str">
        <f>"15048.00"</f>
        <v>15048.00</v>
      </c>
      <c r="W302" t="str">
        <f t="shared" si="83"/>
        <v>2017</v>
      </c>
      <c r="X302" t="str">
        <f>"16.78"</f>
        <v>16.78</v>
      </c>
      <c r="Y302" t="str">
        <f>"280.59"</f>
        <v>280.59</v>
      </c>
      <c r="Z302" t="str">
        <f>""</f>
        <v/>
      </c>
      <c r="AA302" t="str">
        <f>"17100.00"</f>
        <v>17100.00</v>
      </c>
      <c r="AB302" t="str">
        <f t="shared" si="92"/>
        <v>Residential</v>
      </c>
      <c r="AC302" t="str">
        <f t="shared" si="84"/>
        <v>0</v>
      </c>
      <c r="AD302" t="str">
        <f>""</f>
        <v/>
      </c>
      <c r="AE302" t="str">
        <f>""</f>
        <v/>
      </c>
      <c r="AF302" t="str">
        <f>"000"</f>
        <v>000</v>
      </c>
      <c r="AG302" t="str">
        <f t="shared" si="93"/>
        <v>FL</v>
      </c>
      <c r="AH302" t="str">
        <f>"49658.00"</f>
        <v>49658.00</v>
      </c>
      <c r="AI302" t="str">
        <f>"17100.00"</f>
        <v>17100.00</v>
      </c>
      <c r="AJ302" t="str">
        <f>"C55-000-587-7217-9"</f>
        <v>C55-000-587-7217-9</v>
      </c>
      <c r="AK302" t="str">
        <f>"4349"</f>
        <v>4349</v>
      </c>
      <c r="AL302">
        <v>2</v>
      </c>
      <c r="AM302">
        <v>347</v>
      </c>
      <c r="AN302">
        <v>293.02</v>
      </c>
      <c r="AQ302" t="s">
        <v>3463</v>
      </c>
      <c r="AR302" t="s">
        <v>3463</v>
      </c>
      <c r="AS302" t="s">
        <v>3463</v>
      </c>
      <c r="AU302" t="s">
        <v>396</v>
      </c>
      <c r="AV302">
        <v>2017</v>
      </c>
      <c r="AW302" t="str">
        <f>"33-1N-24-2052-0025-0000 "</f>
        <v xml:space="preserve">33-1N-24-2052-0025-0000 </v>
      </c>
      <c r="AZ302" t="s">
        <v>2893</v>
      </c>
      <c r="BD302" t="s">
        <v>553</v>
      </c>
      <c r="BE302" t="s">
        <v>393</v>
      </c>
      <c r="BF302">
        <v>32009</v>
      </c>
      <c r="BG302" t="s">
        <v>2893</v>
      </c>
      <c r="BH302" t="s">
        <v>555</v>
      </c>
      <c r="BI302">
        <v>-81.912190587921401</v>
      </c>
      <c r="BJ302">
        <v>30.457025930696702</v>
      </c>
      <c r="BK302" t="s">
        <v>3431</v>
      </c>
      <c r="BM302" t="s">
        <v>3432</v>
      </c>
      <c r="BN302" t="s">
        <v>548</v>
      </c>
      <c r="BO302">
        <v>32216</v>
      </c>
      <c r="BP302" t="s">
        <v>404</v>
      </c>
      <c r="BQ302">
        <v>0</v>
      </c>
      <c r="BR302" t="s">
        <v>491</v>
      </c>
      <c r="BS302">
        <v>8001</v>
      </c>
      <c r="BT302" t="s">
        <v>492</v>
      </c>
      <c r="BW302">
        <v>49658</v>
      </c>
      <c r="BX302" t="s">
        <v>407</v>
      </c>
      <c r="BY302" t="s">
        <v>408</v>
      </c>
      <c r="CD302">
        <v>2017</v>
      </c>
      <c r="CE302">
        <v>17100</v>
      </c>
      <c r="CG302">
        <v>17100</v>
      </c>
      <c r="CH302">
        <v>2017</v>
      </c>
      <c r="CI302">
        <v>17100</v>
      </c>
      <c r="CK302">
        <v>17100</v>
      </c>
      <c r="CL302">
        <v>2017</v>
      </c>
      <c r="CM302">
        <v>241.35</v>
      </c>
      <c r="CN302" s="1">
        <v>39051</v>
      </c>
      <c r="CO302">
        <v>112000</v>
      </c>
      <c r="CZ302" s="1">
        <v>39051</v>
      </c>
      <c r="DD302" t="s">
        <v>553</v>
      </c>
      <c r="DF302">
        <v>25</v>
      </c>
      <c r="DG302">
        <v>33</v>
      </c>
      <c r="DJ302" t="s">
        <v>3464</v>
      </c>
      <c r="DL302">
        <v>50504</v>
      </c>
      <c r="DM302" t="s">
        <v>3369</v>
      </c>
      <c r="DO302" t="s">
        <v>3465</v>
      </c>
      <c r="DP302">
        <v>0</v>
      </c>
      <c r="DQ302">
        <v>0</v>
      </c>
      <c r="DR302" t="s">
        <v>411</v>
      </c>
      <c r="DS302" t="b">
        <v>1</v>
      </c>
      <c r="DT302" t="s">
        <v>470</v>
      </c>
      <c r="DU302" t="s">
        <v>471</v>
      </c>
      <c r="DV302" t="s">
        <v>472</v>
      </c>
      <c r="DX302">
        <v>-9999</v>
      </c>
      <c r="DZ302" t="s">
        <v>447</v>
      </c>
      <c r="EA302" t="s">
        <v>448</v>
      </c>
      <c r="EB302" t="s">
        <v>742</v>
      </c>
      <c r="EC302">
        <v>20101217</v>
      </c>
      <c r="ED302" t="s">
        <v>474</v>
      </c>
      <c r="EF302">
        <v>501.4</v>
      </c>
      <c r="EG302">
        <v>501.4</v>
      </c>
      <c r="EI302">
        <v>20160407</v>
      </c>
      <c r="EJ302">
        <v>0</v>
      </c>
      <c r="EK302">
        <v>0</v>
      </c>
      <c r="EP302" t="s">
        <v>421</v>
      </c>
      <c r="EQ302" t="s">
        <v>452</v>
      </c>
      <c r="ER302">
        <v>0</v>
      </c>
      <c r="ES302">
        <v>8</v>
      </c>
      <c r="ET302">
        <v>0</v>
      </c>
      <c r="EU302">
        <v>0</v>
      </c>
      <c r="EV302">
        <v>0</v>
      </c>
      <c r="EW302" s="2">
        <v>43222</v>
      </c>
      <c r="EX302" s="1">
        <v>42515</v>
      </c>
      <c r="EY302">
        <v>2015</v>
      </c>
      <c r="EZ302">
        <v>244.05</v>
      </c>
      <c r="FA302" t="s">
        <v>3466</v>
      </c>
      <c r="FB302">
        <v>14.75</v>
      </c>
      <c r="FC302" t="s">
        <v>424</v>
      </c>
      <c r="FD302" t="s">
        <v>425</v>
      </c>
      <c r="FF302">
        <v>22</v>
      </c>
      <c r="FG302">
        <v>7336670</v>
      </c>
      <c r="FH302" t="s">
        <v>2102</v>
      </c>
      <c r="FI302" t="s">
        <v>458</v>
      </c>
      <c r="FJ302" s="1">
        <v>42151</v>
      </c>
      <c r="FK302">
        <v>2014</v>
      </c>
      <c r="FL302">
        <v>216.84</v>
      </c>
      <c r="FM302" t="s">
        <v>3467</v>
      </c>
      <c r="FN302">
        <v>5.5</v>
      </c>
      <c r="FO302" t="s">
        <v>424</v>
      </c>
      <c r="FP302" t="s">
        <v>425</v>
      </c>
      <c r="FQ302" s="1">
        <v>42551</v>
      </c>
      <c r="FR302">
        <v>13</v>
      </c>
      <c r="FS302">
        <v>10125</v>
      </c>
      <c r="FT302" t="s">
        <v>440</v>
      </c>
      <c r="FU302" t="s">
        <v>458</v>
      </c>
      <c r="FV302" s="1">
        <v>41787</v>
      </c>
      <c r="FW302">
        <v>2013</v>
      </c>
      <c r="FX302">
        <v>240.4</v>
      </c>
      <c r="FY302" t="s">
        <v>3468</v>
      </c>
      <c r="FZ302">
        <v>12</v>
      </c>
      <c r="GA302" t="s">
        <v>424</v>
      </c>
      <c r="GB302" t="s">
        <v>425</v>
      </c>
      <c r="GD302">
        <v>22</v>
      </c>
      <c r="GE302">
        <v>2035919</v>
      </c>
      <c r="GF302" t="s">
        <v>507</v>
      </c>
      <c r="GG302" t="s">
        <v>458</v>
      </c>
      <c r="GH302" s="1">
        <v>41787</v>
      </c>
      <c r="GI302">
        <v>2013</v>
      </c>
      <c r="GJ302">
        <v>240.4</v>
      </c>
      <c r="GK302" t="s">
        <v>3468</v>
      </c>
      <c r="GL302">
        <v>12</v>
      </c>
      <c r="GM302" t="s">
        <v>424</v>
      </c>
      <c r="GN302" t="s">
        <v>425</v>
      </c>
      <c r="GP302">
        <v>22</v>
      </c>
      <c r="GQ302">
        <v>7336670</v>
      </c>
      <c r="GR302" t="s">
        <v>2102</v>
      </c>
      <c r="GS302" t="s">
        <v>458</v>
      </c>
      <c r="GT302" s="1">
        <v>41423</v>
      </c>
      <c r="GU302">
        <v>2012</v>
      </c>
      <c r="GV302">
        <v>243.12</v>
      </c>
      <c r="GW302" t="s">
        <v>3469</v>
      </c>
      <c r="GX302">
        <v>16.75</v>
      </c>
      <c r="GY302" t="s">
        <v>424</v>
      </c>
      <c r="GZ302" t="s">
        <v>425</v>
      </c>
      <c r="HA302" s="1">
        <v>41526</v>
      </c>
      <c r="HB302">
        <v>4</v>
      </c>
      <c r="HC302">
        <v>2035919</v>
      </c>
      <c r="HD302" t="s">
        <v>507</v>
      </c>
      <c r="HE302" t="s">
        <v>458</v>
      </c>
      <c r="HF302" s="1">
        <v>41052</v>
      </c>
      <c r="HG302">
        <v>2011</v>
      </c>
      <c r="HH302">
        <v>264.02</v>
      </c>
      <c r="HI302" t="s">
        <v>3470</v>
      </c>
      <c r="HJ302">
        <v>15.75</v>
      </c>
      <c r="HK302" t="s">
        <v>424</v>
      </c>
      <c r="HL302" t="s">
        <v>425</v>
      </c>
      <c r="HM302" s="1">
        <v>41526</v>
      </c>
      <c r="HN302">
        <v>16</v>
      </c>
      <c r="HO302">
        <v>10125</v>
      </c>
      <c r="HP302" t="s">
        <v>440</v>
      </c>
      <c r="HQ302" t="s">
        <v>458</v>
      </c>
      <c r="HR302" s="1">
        <v>40688</v>
      </c>
      <c r="HS302">
        <v>2010</v>
      </c>
      <c r="HT302">
        <v>348.16</v>
      </c>
      <c r="HU302" t="s">
        <v>3471</v>
      </c>
      <c r="HV302">
        <v>8.25</v>
      </c>
      <c r="HW302" t="s">
        <v>424</v>
      </c>
      <c r="HX302" t="s">
        <v>425</v>
      </c>
      <c r="HZ302">
        <v>22</v>
      </c>
      <c r="IA302">
        <v>15175</v>
      </c>
      <c r="IB302" t="s">
        <v>588</v>
      </c>
      <c r="IC302" t="s">
        <v>458</v>
      </c>
      <c r="ID302" s="1">
        <v>40688</v>
      </c>
      <c r="IE302">
        <v>2010</v>
      </c>
      <c r="IF302">
        <v>348.16</v>
      </c>
      <c r="IG302" t="s">
        <v>3471</v>
      </c>
      <c r="IH302">
        <v>8.25</v>
      </c>
      <c r="II302" t="s">
        <v>424</v>
      </c>
      <c r="IJ302" t="s">
        <v>425</v>
      </c>
      <c r="IL302">
        <v>22</v>
      </c>
      <c r="IM302">
        <v>10548</v>
      </c>
      <c r="IN302" t="s">
        <v>589</v>
      </c>
      <c r="IO302" t="s">
        <v>458</v>
      </c>
    </row>
    <row r="303" spans="1:284" x14ac:dyDescent="0.25">
      <c r="A303">
        <v>16485310</v>
      </c>
      <c r="B303">
        <v>302</v>
      </c>
      <c r="C303" t="s">
        <v>393</v>
      </c>
      <c r="D303" t="s">
        <v>394</v>
      </c>
      <c r="F303" t="str">
        <f>"33-1N-24-2052-0026-0000"</f>
        <v>33-1N-24-2052-0026-0000</v>
      </c>
      <c r="H303" t="str">
        <f>"TOM FORD BUILDERS LLC"</f>
        <v>TOM FORD BUILDERS LLC</v>
      </c>
      <c r="I303" t="str">
        <f>"2120 CORPORATE SQUARE BLVD"</f>
        <v>2120 CORPORATE SQUARE BLVD</v>
      </c>
      <c r="J303" t="str">
        <f>"JACKSONVILLE FL 32216"</f>
        <v>JACKSONVILLE FL 32216</v>
      </c>
      <c r="K303" t="str">
        <f>"US HWY 301"</f>
        <v>US HWY 301</v>
      </c>
      <c r="L303" t="str">
        <f t="shared" si="91"/>
        <v>BRYCEVILLE FL 32009</v>
      </c>
      <c r="M303" t="str">
        <f>"LOT 26 IN OR 1639/645 EX R/W CASE 03-319-CA THE PINES 3 PB 5/331-332"</f>
        <v>LOT 26 IN OR 1639/645 EX R/W CASE 03-319-CA THE PINES 3 PB 5/331-332</v>
      </c>
      <c r="N303" t="str">
        <f>""</f>
        <v/>
      </c>
      <c r="O303" t="str">
        <f>"40826"</f>
        <v>40826</v>
      </c>
      <c r="P303" t="str">
        <f t="shared" si="82"/>
        <v>2017</v>
      </c>
      <c r="Q303" t="str">
        <f>""</f>
        <v/>
      </c>
      <c r="R303" t="str">
        <f t="shared" si="90"/>
        <v>N</v>
      </c>
      <c r="S303" t="str">
        <f>"1.07"</f>
        <v>1.07</v>
      </c>
      <c r="T303" t="str">
        <f>"226.53"</f>
        <v>226.53</v>
      </c>
      <c r="U303" t="str">
        <f>"14124.00"</f>
        <v>14124.00</v>
      </c>
      <c r="V303" t="str">
        <f>"14124.00"</f>
        <v>14124.00</v>
      </c>
      <c r="W303" t="str">
        <f t="shared" si="83"/>
        <v>2017</v>
      </c>
      <c r="X303" t="str">
        <f>"13.29"</f>
        <v>13.29</v>
      </c>
      <c r="Y303" t="str">
        <f>"265.33"</f>
        <v>265.33</v>
      </c>
      <c r="Z303" t="str">
        <f>""</f>
        <v/>
      </c>
      <c r="AA303" t="str">
        <f>"16050.00"</f>
        <v>16050.00</v>
      </c>
      <c r="AB303" t="str">
        <f t="shared" si="92"/>
        <v>Residential</v>
      </c>
      <c r="AC303" t="str">
        <f t="shared" si="84"/>
        <v>0</v>
      </c>
      <c r="AD303" t="str">
        <f>""</f>
        <v/>
      </c>
      <c r="AE303" t="str">
        <f>""</f>
        <v/>
      </c>
      <c r="AF303" t="str">
        <f>"000"</f>
        <v>000</v>
      </c>
      <c r="AG303" t="str">
        <f t="shared" si="93"/>
        <v>FL</v>
      </c>
      <c r="AH303" t="str">
        <f>"46609.00"</f>
        <v>46609.00</v>
      </c>
      <c r="AI303" t="str">
        <f>"16050.00"</f>
        <v>16050.00</v>
      </c>
      <c r="AJ303" t="str">
        <f>"C55-000-587-7218-7"</f>
        <v>C55-000-587-7218-7</v>
      </c>
      <c r="AK303" t="str">
        <f>"4350"</f>
        <v>4350</v>
      </c>
      <c r="AL303">
        <v>2</v>
      </c>
      <c r="AM303">
        <v>348</v>
      </c>
      <c r="AN303">
        <v>277</v>
      </c>
      <c r="AQ303" t="s">
        <v>3472</v>
      </c>
      <c r="AR303" t="s">
        <v>3472</v>
      </c>
      <c r="AS303" t="s">
        <v>3472</v>
      </c>
      <c r="AU303" t="s">
        <v>396</v>
      </c>
      <c r="AV303">
        <v>2017</v>
      </c>
      <c r="AW303" t="str">
        <f>"33-1N-24-2052-0026-0000 "</f>
        <v xml:space="preserve">33-1N-24-2052-0026-0000 </v>
      </c>
      <c r="AZ303" t="s">
        <v>2893</v>
      </c>
      <c r="BD303" t="s">
        <v>553</v>
      </c>
      <c r="BE303" t="s">
        <v>393</v>
      </c>
      <c r="BF303">
        <v>32009</v>
      </c>
      <c r="BG303" t="s">
        <v>2893</v>
      </c>
      <c r="BH303" t="s">
        <v>555</v>
      </c>
      <c r="BI303">
        <v>-81.912289957676094</v>
      </c>
      <c r="BJ303">
        <v>30.456764828331998</v>
      </c>
      <c r="BK303" t="s">
        <v>3431</v>
      </c>
      <c r="BM303" t="s">
        <v>3432</v>
      </c>
      <c r="BN303" t="s">
        <v>548</v>
      </c>
      <c r="BO303">
        <v>32216</v>
      </c>
      <c r="BP303" t="s">
        <v>404</v>
      </c>
      <c r="BQ303">
        <v>0</v>
      </c>
      <c r="BR303" t="s">
        <v>491</v>
      </c>
      <c r="BS303">
        <v>8001</v>
      </c>
      <c r="BT303" t="s">
        <v>492</v>
      </c>
      <c r="BW303">
        <v>46609</v>
      </c>
      <c r="BX303" t="s">
        <v>407</v>
      </c>
      <c r="BY303" t="s">
        <v>408</v>
      </c>
      <c r="CD303">
        <v>2017</v>
      </c>
      <c r="CE303">
        <v>16050</v>
      </c>
      <c r="CG303">
        <v>16050</v>
      </c>
      <c r="CH303">
        <v>2017</v>
      </c>
      <c r="CI303">
        <v>16050</v>
      </c>
      <c r="CK303">
        <v>16050</v>
      </c>
      <c r="CL303">
        <v>2017</v>
      </c>
      <c r="CM303">
        <v>226.53</v>
      </c>
      <c r="CN303" s="1">
        <v>40070</v>
      </c>
      <c r="CO303">
        <v>5000</v>
      </c>
      <c r="CZ303" s="1">
        <v>40070</v>
      </c>
      <c r="DD303" t="s">
        <v>553</v>
      </c>
      <c r="DF303">
        <v>26</v>
      </c>
      <c r="DG303">
        <v>33</v>
      </c>
      <c r="DL303">
        <v>50504</v>
      </c>
      <c r="DM303" t="s">
        <v>3369</v>
      </c>
      <c r="DO303" t="s">
        <v>3473</v>
      </c>
      <c r="DP303">
        <v>0</v>
      </c>
      <c r="DQ303">
        <v>0</v>
      </c>
      <c r="DR303" t="s">
        <v>411</v>
      </c>
      <c r="DS303" t="b">
        <v>1</v>
      </c>
      <c r="DT303" t="s">
        <v>470</v>
      </c>
      <c r="DU303" t="s">
        <v>471</v>
      </c>
      <c r="DV303" t="s">
        <v>472</v>
      </c>
      <c r="DX303">
        <v>-9999</v>
      </c>
      <c r="DZ303" t="s">
        <v>447</v>
      </c>
      <c r="EA303" t="s">
        <v>448</v>
      </c>
      <c r="EB303" t="s">
        <v>742</v>
      </c>
      <c r="EC303">
        <v>20101217</v>
      </c>
      <c r="ED303" t="s">
        <v>474</v>
      </c>
      <c r="EF303">
        <v>574</v>
      </c>
      <c r="EG303">
        <v>574</v>
      </c>
      <c r="EI303">
        <v>20160407</v>
      </c>
      <c r="EJ303">
        <v>0</v>
      </c>
      <c r="EK303">
        <v>0</v>
      </c>
      <c r="EP303" t="s">
        <v>421</v>
      </c>
      <c r="EQ303" t="s">
        <v>452</v>
      </c>
      <c r="ER303">
        <v>0</v>
      </c>
      <c r="ES303">
        <v>8</v>
      </c>
      <c r="ET303">
        <v>0</v>
      </c>
      <c r="EU303">
        <v>0</v>
      </c>
      <c r="EV303">
        <v>0</v>
      </c>
      <c r="EW303" s="2">
        <v>43222</v>
      </c>
      <c r="EX303" s="1">
        <v>42515</v>
      </c>
      <c r="EY303">
        <v>2015</v>
      </c>
      <c r="EZ303">
        <v>230.43</v>
      </c>
      <c r="FA303" t="s">
        <v>3474</v>
      </c>
      <c r="FB303">
        <v>14.75</v>
      </c>
      <c r="FC303" t="s">
        <v>424</v>
      </c>
      <c r="FD303" t="s">
        <v>425</v>
      </c>
      <c r="FF303">
        <v>22</v>
      </c>
      <c r="FG303">
        <v>7336670</v>
      </c>
      <c r="FH303" t="s">
        <v>2102</v>
      </c>
      <c r="FI303" t="s">
        <v>458</v>
      </c>
      <c r="FJ303" s="1">
        <v>42151</v>
      </c>
      <c r="FK303">
        <v>2014</v>
      </c>
      <c r="FL303">
        <v>204.88</v>
      </c>
      <c r="FM303" t="s">
        <v>3475</v>
      </c>
      <c r="FN303">
        <v>5.5</v>
      </c>
      <c r="FO303" t="s">
        <v>424</v>
      </c>
      <c r="FP303" t="s">
        <v>425</v>
      </c>
      <c r="FQ303" s="1">
        <v>42551</v>
      </c>
      <c r="FR303">
        <v>13</v>
      </c>
      <c r="FS303">
        <v>10125</v>
      </c>
      <c r="FT303" t="s">
        <v>440</v>
      </c>
      <c r="FU303" t="s">
        <v>458</v>
      </c>
      <c r="FV303" s="1">
        <v>41787</v>
      </c>
      <c r="FW303">
        <v>2013</v>
      </c>
      <c r="FX303">
        <v>185.79</v>
      </c>
      <c r="FY303" t="s">
        <v>3476</v>
      </c>
      <c r="FZ303">
        <v>12</v>
      </c>
      <c r="GA303" t="s">
        <v>424</v>
      </c>
      <c r="GB303" t="s">
        <v>425</v>
      </c>
      <c r="GD303">
        <v>22</v>
      </c>
      <c r="GE303">
        <v>2035919</v>
      </c>
      <c r="GF303" t="s">
        <v>507</v>
      </c>
      <c r="GG303" t="s">
        <v>458</v>
      </c>
      <c r="GH303" s="1">
        <v>41787</v>
      </c>
      <c r="GI303">
        <v>2013</v>
      </c>
      <c r="GJ303">
        <v>185.79</v>
      </c>
      <c r="GK303" t="s">
        <v>3476</v>
      </c>
      <c r="GL303">
        <v>12</v>
      </c>
      <c r="GM303" t="s">
        <v>424</v>
      </c>
      <c r="GN303" t="s">
        <v>425</v>
      </c>
      <c r="GP303">
        <v>22</v>
      </c>
      <c r="GQ303">
        <v>7336670</v>
      </c>
      <c r="GR303" t="s">
        <v>2102</v>
      </c>
      <c r="GS303" t="s">
        <v>458</v>
      </c>
      <c r="GT303" s="1">
        <v>41423</v>
      </c>
      <c r="GU303">
        <v>2012</v>
      </c>
      <c r="GV303">
        <v>187.84</v>
      </c>
      <c r="GW303" t="s">
        <v>3477</v>
      </c>
      <c r="GX303">
        <v>5.75</v>
      </c>
      <c r="GY303" t="s">
        <v>424</v>
      </c>
      <c r="GZ303" t="s">
        <v>425</v>
      </c>
      <c r="HA303" s="1">
        <v>41526</v>
      </c>
      <c r="HB303">
        <v>4</v>
      </c>
      <c r="HC303">
        <v>2101381</v>
      </c>
      <c r="HD303" t="s">
        <v>605</v>
      </c>
      <c r="HE303" t="s">
        <v>458</v>
      </c>
      <c r="HF303" s="1">
        <v>41052</v>
      </c>
      <c r="HG303">
        <v>2011</v>
      </c>
      <c r="HH303">
        <v>201.5</v>
      </c>
      <c r="HI303" t="s">
        <v>3478</v>
      </c>
      <c r="HJ303">
        <v>15.75</v>
      </c>
      <c r="HK303" t="s">
        <v>424</v>
      </c>
      <c r="HL303" t="s">
        <v>425</v>
      </c>
      <c r="HM303" s="1">
        <v>41526</v>
      </c>
      <c r="HN303">
        <v>16</v>
      </c>
      <c r="HO303">
        <v>10125</v>
      </c>
      <c r="HP303" t="s">
        <v>440</v>
      </c>
      <c r="HQ303" t="s">
        <v>458</v>
      </c>
      <c r="HR303" s="1">
        <v>40688</v>
      </c>
      <c r="HS303">
        <v>2010</v>
      </c>
      <c r="HT303">
        <v>264.37</v>
      </c>
      <c r="HU303" t="s">
        <v>3479</v>
      </c>
      <c r="HV303">
        <v>8.25</v>
      </c>
      <c r="HW303" t="s">
        <v>424</v>
      </c>
      <c r="HX303" t="s">
        <v>425</v>
      </c>
      <c r="HZ303">
        <v>22</v>
      </c>
      <c r="IA303">
        <v>15175</v>
      </c>
      <c r="IB303" t="s">
        <v>588</v>
      </c>
      <c r="IC303" t="s">
        <v>458</v>
      </c>
      <c r="ID303" s="1">
        <v>40688</v>
      </c>
      <c r="IE303">
        <v>2010</v>
      </c>
      <c r="IF303">
        <v>264.37</v>
      </c>
      <c r="IG303" t="s">
        <v>3479</v>
      </c>
      <c r="IH303">
        <v>8.25</v>
      </c>
      <c r="II303" t="s">
        <v>424</v>
      </c>
      <c r="IJ303" t="s">
        <v>425</v>
      </c>
      <c r="IL303">
        <v>22</v>
      </c>
      <c r="IM303">
        <v>10548</v>
      </c>
      <c r="IN303" t="s">
        <v>589</v>
      </c>
      <c r="IO303" t="s">
        <v>458</v>
      </c>
    </row>
    <row r="304" spans="1:284" x14ac:dyDescent="0.25">
      <c r="A304">
        <v>16485311</v>
      </c>
      <c r="B304">
        <v>303</v>
      </c>
      <c r="C304" t="s">
        <v>393</v>
      </c>
      <c r="D304" t="s">
        <v>394</v>
      </c>
      <c r="F304" t="str">
        <f>"33-1N-24-2052-0027-0000"</f>
        <v>33-1N-24-2052-0027-0000</v>
      </c>
      <c r="H304" t="str">
        <f>"TOM FORD BUILDERS LLC"</f>
        <v>TOM FORD BUILDERS LLC</v>
      </c>
      <c r="I304" t="str">
        <f>"2120 CORPORATE SQUARE BLVD"</f>
        <v>2120 CORPORATE SQUARE BLVD</v>
      </c>
      <c r="J304" t="str">
        <f>"JACKSONVILLE FL 32216"</f>
        <v>JACKSONVILLE FL 32216</v>
      </c>
      <c r="K304" t="str">
        <f>"US HWY 301"</f>
        <v>US HWY 301</v>
      </c>
      <c r="L304" t="str">
        <f t="shared" si="91"/>
        <v>BRYCEVILLE FL 32009</v>
      </c>
      <c r="M304" t="str">
        <f>"LOT 27 PT OR 1462/1041 EX R/W CASE 03-319-CA THE PINES 3 PB 5/331-332"</f>
        <v>LOT 27 PT OR 1462/1041 EX R/W CASE 03-319-CA THE PINES 3 PB 5/331-332</v>
      </c>
      <c r="N304" t="str">
        <f>""</f>
        <v/>
      </c>
      <c r="O304" t="str">
        <f>"40827"</f>
        <v>40827</v>
      </c>
      <c r="P304" t="str">
        <f t="shared" si="82"/>
        <v>2017</v>
      </c>
      <c r="Q304" t="str">
        <f>""</f>
        <v/>
      </c>
      <c r="R304" t="str">
        <f t="shared" si="90"/>
        <v>N</v>
      </c>
      <c r="S304" t="str">
        <f>"1.07"</f>
        <v>1.07</v>
      </c>
      <c r="T304" t="str">
        <f>"226.53"</f>
        <v>226.53</v>
      </c>
      <c r="U304" t="str">
        <f>"14124.00"</f>
        <v>14124.00</v>
      </c>
      <c r="V304" t="str">
        <f>"14124.00"</f>
        <v>14124.00</v>
      </c>
      <c r="W304" t="str">
        <f t="shared" si="83"/>
        <v>2017</v>
      </c>
      <c r="X304" t="str">
        <f>"16.78"</f>
        <v>16.78</v>
      </c>
      <c r="Y304" t="str">
        <f>"265.33"</f>
        <v>265.33</v>
      </c>
      <c r="Z304" t="str">
        <f>""</f>
        <v/>
      </c>
      <c r="AA304" t="str">
        <f>"16050.00"</f>
        <v>16050.00</v>
      </c>
      <c r="AB304" t="str">
        <f t="shared" si="92"/>
        <v>Residential</v>
      </c>
      <c r="AC304" t="str">
        <f t="shared" si="84"/>
        <v>0</v>
      </c>
      <c r="AD304" t="str">
        <f>""</f>
        <v/>
      </c>
      <c r="AE304" t="str">
        <f>""</f>
        <v/>
      </c>
      <c r="AF304" t="str">
        <f>"000"</f>
        <v>000</v>
      </c>
      <c r="AG304" t="str">
        <f t="shared" si="93"/>
        <v>FL</v>
      </c>
      <c r="AH304" t="str">
        <f>"46609.00"</f>
        <v>46609.00</v>
      </c>
      <c r="AI304" t="str">
        <f>"16050.00"</f>
        <v>16050.00</v>
      </c>
      <c r="AJ304" t="str">
        <f>"C55-000-587-7219-5"</f>
        <v>C55-000-587-7219-5</v>
      </c>
      <c r="AK304" t="str">
        <f>"4351"</f>
        <v>4351</v>
      </c>
      <c r="AL304">
        <v>2</v>
      </c>
      <c r="AM304">
        <v>349</v>
      </c>
      <c r="AN304">
        <v>277</v>
      </c>
      <c r="AQ304" t="s">
        <v>3480</v>
      </c>
      <c r="AR304" t="s">
        <v>3480</v>
      </c>
      <c r="AS304" t="s">
        <v>3480</v>
      </c>
      <c r="AU304" t="s">
        <v>396</v>
      </c>
      <c r="AV304">
        <v>2017</v>
      </c>
      <c r="AW304" t="str">
        <f>"33-1N-24-2052-0027-0000 "</f>
        <v xml:space="preserve">33-1N-24-2052-0027-0000 </v>
      </c>
      <c r="AZ304" t="s">
        <v>2893</v>
      </c>
      <c r="BD304" t="s">
        <v>553</v>
      </c>
      <c r="BE304" t="s">
        <v>393</v>
      </c>
      <c r="BF304">
        <v>32009</v>
      </c>
      <c r="BG304" t="s">
        <v>2893</v>
      </c>
      <c r="BH304" t="s">
        <v>555</v>
      </c>
      <c r="BI304">
        <v>-81.9123893230595</v>
      </c>
      <c r="BJ304">
        <v>30.456503721752</v>
      </c>
      <c r="BK304" t="s">
        <v>3431</v>
      </c>
      <c r="BM304" t="s">
        <v>3432</v>
      </c>
      <c r="BN304" t="s">
        <v>548</v>
      </c>
      <c r="BO304">
        <v>32216</v>
      </c>
      <c r="BP304" t="s">
        <v>404</v>
      </c>
      <c r="BQ304">
        <v>0</v>
      </c>
      <c r="BR304" t="s">
        <v>491</v>
      </c>
      <c r="BS304">
        <v>8001</v>
      </c>
      <c r="BT304" t="s">
        <v>492</v>
      </c>
      <c r="BW304">
        <v>46609</v>
      </c>
      <c r="BX304" t="s">
        <v>407</v>
      </c>
      <c r="BY304" t="s">
        <v>408</v>
      </c>
      <c r="CD304">
        <v>2017</v>
      </c>
      <c r="CE304">
        <v>16050</v>
      </c>
      <c r="CG304">
        <v>16050</v>
      </c>
      <c r="CH304">
        <v>2017</v>
      </c>
      <c r="CI304">
        <v>16050</v>
      </c>
      <c r="CK304">
        <v>16050</v>
      </c>
      <c r="CL304">
        <v>2017</v>
      </c>
      <c r="CM304">
        <v>226.53</v>
      </c>
      <c r="CN304" s="1">
        <v>39051</v>
      </c>
      <c r="CO304">
        <v>112000</v>
      </c>
      <c r="CZ304" s="1">
        <v>39051</v>
      </c>
      <c r="DD304" t="s">
        <v>553</v>
      </c>
      <c r="DF304">
        <v>27</v>
      </c>
      <c r="DG304">
        <v>33</v>
      </c>
      <c r="DL304">
        <v>50504</v>
      </c>
      <c r="DM304" t="s">
        <v>3369</v>
      </c>
      <c r="DO304" t="s">
        <v>3481</v>
      </c>
      <c r="DP304">
        <v>0</v>
      </c>
      <c r="DQ304">
        <v>0</v>
      </c>
      <c r="DR304" t="s">
        <v>411</v>
      </c>
      <c r="DS304" t="b">
        <v>1</v>
      </c>
      <c r="DT304" t="s">
        <v>470</v>
      </c>
      <c r="DU304" t="s">
        <v>471</v>
      </c>
      <c r="DV304" t="s">
        <v>472</v>
      </c>
      <c r="DX304">
        <v>-9999</v>
      </c>
      <c r="DZ304" t="s">
        <v>447</v>
      </c>
      <c r="EA304" t="s">
        <v>448</v>
      </c>
      <c r="EB304" t="s">
        <v>742</v>
      </c>
      <c r="EC304">
        <v>20101217</v>
      </c>
      <c r="ED304" t="s">
        <v>474</v>
      </c>
      <c r="EF304">
        <v>653.6</v>
      </c>
      <c r="EG304">
        <v>653.6</v>
      </c>
      <c r="EI304">
        <v>20160407</v>
      </c>
      <c r="EJ304">
        <v>0</v>
      </c>
      <c r="EK304">
        <v>0</v>
      </c>
      <c r="EP304" t="s">
        <v>421</v>
      </c>
      <c r="EQ304" t="s">
        <v>452</v>
      </c>
      <c r="ER304">
        <v>0</v>
      </c>
      <c r="ES304">
        <v>8</v>
      </c>
      <c r="ET304">
        <v>0</v>
      </c>
      <c r="EU304">
        <v>0</v>
      </c>
      <c r="EV304">
        <v>0</v>
      </c>
      <c r="EW304" s="2">
        <v>43222</v>
      </c>
      <c r="EX304" s="1">
        <v>42515</v>
      </c>
      <c r="EY304">
        <v>2015</v>
      </c>
      <c r="EZ304">
        <v>230.43</v>
      </c>
      <c r="FA304" t="s">
        <v>3482</v>
      </c>
      <c r="FB304">
        <v>14.75</v>
      </c>
      <c r="FC304" t="s">
        <v>424</v>
      </c>
      <c r="FD304" t="s">
        <v>425</v>
      </c>
      <c r="FF304">
        <v>22</v>
      </c>
      <c r="FG304">
        <v>7336670</v>
      </c>
      <c r="FH304" t="s">
        <v>2102</v>
      </c>
      <c r="FI304" t="s">
        <v>458</v>
      </c>
      <c r="FJ304" s="1">
        <v>42151</v>
      </c>
      <c r="FK304">
        <v>2014</v>
      </c>
      <c r="FL304">
        <v>204.88</v>
      </c>
      <c r="FM304" t="s">
        <v>3483</v>
      </c>
      <c r="FN304">
        <v>5.5</v>
      </c>
      <c r="FO304" t="s">
        <v>424</v>
      </c>
      <c r="FP304" t="s">
        <v>425</v>
      </c>
      <c r="FQ304" s="1">
        <v>42551</v>
      </c>
      <c r="FR304">
        <v>13</v>
      </c>
      <c r="FS304">
        <v>10125</v>
      </c>
      <c r="FT304" t="s">
        <v>440</v>
      </c>
      <c r="FU304" t="s">
        <v>458</v>
      </c>
      <c r="FV304" s="1">
        <v>41787</v>
      </c>
      <c r="FW304">
        <v>2013</v>
      </c>
      <c r="FX304">
        <v>185.79</v>
      </c>
      <c r="FY304" t="s">
        <v>3484</v>
      </c>
      <c r="FZ304">
        <v>12</v>
      </c>
      <c r="GA304" t="s">
        <v>424</v>
      </c>
      <c r="GB304" t="s">
        <v>425</v>
      </c>
      <c r="GD304">
        <v>22</v>
      </c>
      <c r="GE304">
        <v>2035919</v>
      </c>
      <c r="GF304" t="s">
        <v>507</v>
      </c>
      <c r="GG304" t="s">
        <v>458</v>
      </c>
      <c r="GH304" s="1">
        <v>41787</v>
      </c>
      <c r="GI304">
        <v>2013</v>
      </c>
      <c r="GJ304">
        <v>185.79</v>
      </c>
      <c r="GK304" t="s">
        <v>3484</v>
      </c>
      <c r="GL304">
        <v>12</v>
      </c>
      <c r="GM304" t="s">
        <v>424</v>
      </c>
      <c r="GN304" t="s">
        <v>425</v>
      </c>
      <c r="GP304">
        <v>22</v>
      </c>
      <c r="GQ304">
        <v>7336670</v>
      </c>
      <c r="GR304" t="s">
        <v>2102</v>
      </c>
      <c r="GS304" t="s">
        <v>458</v>
      </c>
      <c r="GT304" s="1">
        <v>41423</v>
      </c>
      <c r="GU304">
        <v>2012</v>
      </c>
      <c r="GV304">
        <v>187.84</v>
      </c>
      <c r="GW304" t="s">
        <v>3485</v>
      </c>
      <c r="GX304">
        <v>6.75</v>
      </c>
      <c r="GY304" t="s">
        <v>424</v>
      </c>
      <c r="GZ304" t="s">
        <v>425</v>
      </c>
      <c r="HA304" s="1">
        <v>41526</v>
      </c>
      <c r="HB304">
        <v>4</v>
      </c>
      <c r="HC304">
        <v>15399</v>
      </c>
      <c r="HD304" t="s">
        <v>485</v>
      </c>
      <c r="HE304" t="s">
        <v>458</v>
      </c>
      <c r="HF304" s="1">
        <v>41052</v>
      </c>
      <c r="HG304">
        <v>2011</v>
      </c>
      <c r="HH304">
        <v>201.5</v>
      </c>
      <c r="HI304" t="s">
        <v>3486</v>
      </c>
      <c r="HJ304">
        <v>15.75</v>
      </c>
      <c r="HK304" t="s">
        <v>424</v>
      </c>
      <c r="HL304" t="s">
        <v>425</v>
      </c>
      <c r="HM304" s="1">
        <v>41526</v>
      </c>
      <c r="HN304">
        <v>16</v>
      </c>
      <c r="HO304">
        <v>10125</v>
      </c>
      <c r="HP304" t="s">
        <v>440</v>
      </c>
      <c r="HQ304" t="s">
        <v>458</v>
      </c>
      <c r="HR304" s="1">
        <v>40688</v>
      </c>
      <c r="HS304">
        <v>2010</v>
      </c>
      <c r="HT304">
        <v>264.37</v>
      </c>
      <c r="HU304" t="s">
        <v>3487</v>
      </c>
      <c r="HV304">
        <v>8.25</v>
      </c>
      <c r="HW304" t="s">
        <v>424</v>
      </c>
      <c r="HX304" t="s">
        <v>425</v>
      </c>
      <c r="HZ304">
        <v>22</v>
      </c>
      <c r="IA304">
        <v>15175</v>
      </c>
      <c r="IB304" t="s">
        <v>588</v>
      </c>
      <c r="IC304" t="s">
        <v>458</v>
      </c>
      <c r="ID304" s="1">
        <v>40688</v>
      </c>
      <c r="IE304">
        <v>2010</v>
      </c>
      <c r="IF304">
        <v>264.37</v>
      </c>
      <c r="IG304" t="s">
        <v>3487</v>
      </c>
      <c r="IH304">
        <v>8.25</v>
      </c>
      <c r="II304" t="s">
        <v>424</v>
      </c>
      <c r="IJ304" t="s">
        <v>425</v>
      </c>
      <c r="IL304">
        <v>22</v>
      </c>
      <c r="IM304">
        <v>10548</v>
      </c>
      <c r="IN304" t="s">
        <v>589</v>
      </c>
      <c r="IO304" t="s">
        <v>458</v>
      </c>
    </row>
    <row r="305" spans="1:285" x14ac:dyDescent="0.25">
      <c r="A305">
        <v>16485312</v>
      </c>
      <c r="B305">
        <v>304</v>
      </c>
      <c r="C305" t="s">
        <v>393</v>
      </c>
      <c r="D305" t="s">
        <v>394</v>
      </c>
      <c r="F305" t="str">
        <f>"33-1N-24-2052-0028-0000"</f>
        <v>33-1N-24-2052-0028-0000</v>
      </c>
      <c r="H305" t="str">
        <f>"MANNING WILLIAM A &amp; ALLISON J"</f>
        <v>MANNING WILLIAM A &amp; ALLISON J</v>
      </c>
      <c r="I305" t="str">
        <f>"12909 HWY 301 NORTH"</f>
        <v>12909 HWY 301 NORTH</v>
      </c>
      <c r="J305" t="str">
        <f>"BRYCEVILLE FL 32009"</f>
        <v>BRYCEVILLE FL 32009</v>
      </c>
      <c r="K305" t="str">
        <f>"12909 US HWY 301"</f>
        <v>12909 US HWY 301</v>
      </c>
      <c r="L305" t="str">
        <f t="shared" si="91"/>
        <v>BRYCEVILLE FL 32009</v>
      </c>
      <c r="M305" t="str">
        <f>"LOTS 28 &amp; 29 IN OR 837/1739 R788169 &amp; R788170 EX R/W PT OR 993/1127 THE PINES 3 PB 5/331-332"</f>
        <v>LOTS 28 &amp; 29 IN OR 837/1739 R788169 &amp; R788170 EX R/W PT OR 993/1127 THE PINES 3 PB 5/331-332</v>
      </c>
      <c r="N305" t="str">
        <f>""</f>
        <v/>
      </c>
      <c r="O305" t="str">
        <f>"40828"</f>
        <v>40828</v>
      </c>
      <c r="P305" t="str">
        <f t="shared" si="82"/>
        <v>2017</v>
      </c>
      <c r="Q305" t="str">
        <f>""</f>
        <v/>
      </c>
      <c r="R305" t="str">
        <f>"Y"</f>
        <v>Y</v>
      </c>
      <c r="S305" t="str">
        <f>"2.28"</f>
        <v>2.28</v>
      </c>
      <c r="T305" t="str">
        <f>"507.16"</f>
        <v>507.16</v>
      </c>
      <c r="U305" t="str">
        <f>"69503.00"</f>
        <v>69503.00</v>
      </c>
      <c r="V305" t="str">
        <f>"69503.00"</f>
        <v>69503.00</v>
      </c>
      <c r="W305" t="str">
        <f t="shared" si="83"/>
        <v>2017</v>
      </c>
      <c r="X305" t="str">
        <f>"8.75"</f>
        <v>8.75</v>
      </c>
      <c r="Y305" t="str">
        <f>"554.37"</f>
        <v>554.37</v>
      </c>
      <c r="Z305" t="str">
        <f>"25000.00"</f>
        <v>25000.00</v>
      </c>
      <c r="AA305" t="str">
        <f>"44503.00"</f>
        <v>44503.00</v>
      </c>
      <c r="AB305" t="str">
        <f t="shared" si="92"/>
        <v>Residential</v>
      </c>
      <c r="AC305" t="str">
        <f t="shared" si="84"/>
        <v>0</v>
      </c>
      <c r="AD305" t="str">
        <f t="shared" ref="AD305:AD312" si="94">"4"</f>
        <v>4</v>
      </c>
      <c r="AE305" t="str">
        <f t="shared" ref="AE305:AE312" si="95">"WOOD (INCLUDE STEEL STUDS)"</f>
        <v>WOOD (INCLUDE STEEL STUDS)</v>
      </c>
      <c r="AF305" t="str">
        <f>"002"</f>
        <v>002</v>
      </c>
      <c r="AG305" t="str">
        <f t="shared" si="93"/>
        <v>FL</v>
      </c>
      <c r="AH305" t="str">
        <f>"99316.00"</f>
        <v>99316.00</v>
      </c>
      <c r="AI305" t="str">
        <f>"27360.00"</f>
        <v>27360.00</v>
      </c>
      <c r="AJ305" t="str">
        <f>"C55-000-587-7220-3"</f>
        <v>C55-000-587-7220-3</v>
      </c>
      <c r="AK305" t="str">
        <f>"4352"</f>
        <v>4352</v>
      </c>
      <c r="AL305">
        <v>2</v>
      </c>
      <c r="AM305">
        <v>350</v>
      </c>
      <c r="AN305">
        <v>580.49</v>
      </c>
      <c r="AQ305" t="s">
        <v>3488</v>
      </c>
      <c r="AR305" t="s">
        <v>3488</v>
      </c>
      <c r="AS305" t="s">
        <v>3488</v>
      </c>
      <c r="AU305" t="s">
        <v>396</v>
      </c>
      <c r="AV305">
        <v>2017</v>
      </c>
      <c r="AW305" t="str">
        <f>"33-1N-24-2052-0028-0000 "</f>
        <v xml:space="preserve">33-1N-24-2052-0028-0000 </v>
      </c>
      <c r="AX305">
        <v>12909</v>
      </c>
      <c r="AZ305" t="s">
        <v>2893</v>
      </c>
      <c r="BD305" t="s">
        <v>553</v>
      </c>
      <c r="BE305" t="s">
        <v>393</v>
      </c>
      <c r="BF305">
        <v>32009</v>
      </c>
      <c r="BG305" t="s">
        <v>3489</v>
      </c>
      <c r="BH305" t="s">
        <v>555</v>
      </c>
      <c r="BI305">
        <v>-81.912493176100796</v>
      </c>
      <c r="BJ305">
        <v>30.456099149360199</v>
      </c>
      <c r="BK305" t="s">
        <v>3490</v>
      </c>
      <c r="BL305" t="s">
        <v>3491</v>
      </c>
      <c r="BM305" t="s">
        <v>3492</v>
      </c>
      <c r="BN305" t="s">
        <v>558</v>
      </c>
      <c r="BO305">
        <v>32009</v>
      </c>
      <c r="BP305" t="s">
        <v>404</v>
      </c>
      <c r="BQ305">
        <v>200</v>
      </c>
      <c r="BR305" t="s">
        <v>405</v>
      </c>
      <c r="BS305">
        <v>1006</v>
      </c>
      <c r="BT305" t="s">
        <v>406</v>
      </c>
      <c r="BW305">
        <v>99316</v>
      </c>
      <c r="BX305" t="s">
        <v>407</v>
      </c>
      <c r="BY305" t="s">
        <v>408</v>
      </c>
      <c r="BZ305">
        <v>4</v>
      </c>
      <c r="CA305">
        <v>1998</v>
      </c>
      <c r="CB305">
        <v>1</v>
      </c>
      <c r="CC305">
        <v>1</v>
      </c>
      <c r="CD305">
        <v>2017</v>
      </c>
      <c r="CG305">
        <v>69503</v>
      </c>
      <c r="CH305">
        <v>2017</v>
      </c>
      <c r="CI305">
        <v>27360</v>
      </c>
      <c r="CJ305">
        <v>52924</v>
      </c>
      <c r="CK305">
        <v>80284</v>
      </c>
      <c r="CL305">
        <v>2017</v>
      </c>
      <c r="CM305">
        <v>507.16</v>
      </c>
      <c r="CN305" s="1">
        <v>37064</v>
      </c>
      <c r="CV305">
        <v>0</v>
      </c>
      <c r="CZ305" s="1">
        <v>37064</v>
      </c>
      <c r="DA305">
        <v>0</v>
      </c>
      <c r="DD305" t="s">
        <v>553</v>
      </c>
      <c r="DG305">
        <v>33</v>
      </c>
      <c r="DL305">
        <v>50504</v>
      </c>
      <c r="DM305" t="s">
        <v>3369</v>
      </c>
      <c r="DO305" t="s">
        <v>3493</v>
      </c>
      <c r="DP305">
        <v>0</v>
      </c>
      <c r="DQ305">
        <v>0</v>
      </c>
      <c r="DR305" t="s">
        <v>411</v>
      </c>
      <c r="EP305" t="s">
        <v>421</v>
      </c>
      <c r="EQ305" t="s">
        <v>452</v>
      </c>
      <c r="ER305">
        <v>0</v>
      </c>
      <c r="ES305">
        <v>5</v>
      </c>
      <c r="ET305">
        <v>0</v>
      </c>
      <c r="EU305">
        <v>0</v>
      </c>
      <c r="EV305">
        <v>0</v>
      </c>
      <c r="EW305" s="2">
        <v>43222</v>
      </c>
      <c r="EX305" s="1">
        <v>41787</v>
      </c>
      <c r="EY305">
        <v>2013</v>
      </c>
      <c r="EZ305">
        <v>598.84</v>
      </c>
      <c r="FA305" t="s">
        <v>3494</v>
      </c>
      <c r="FB305">
        <v>0.25</v>
      </c>
      <c r="FC305" t="s">
        <v>424</v>
      </c>
      <c r="FD305" t="s">
        <v>425</v>
      </c>
      <c r="FE305" s="1">
        <v>42097</v>
      </c>
      <c r="FF305">
        <v>11</v>
      </c>
      <c r="FG305">
        <v>2407503</v>
      </c>
      <c r="FH305" t="s">
        <v>461</v>
      </c>
      <c r="FJ305" s="1">
        <v>41423</v>
      </c>
      <c r="FK305">
        <v>2012</v>
      </c>
      <c r="FL305">
        <v>621.88</v>
      </c>
      <c r="FM305" t="s">
        <v>3495</v>
      </c>
      <c r="FN305">
        <v>0.25</v>
      </c>
      <c r="FO305" t="s">
        <v>424</v>
      </c>
      <c r="FP305" t="s">
        <v>425</v>
      </c>
      <c r="FQ305" s="1">
        <v>41526</v>
      </c>
      <c r="FR305">
        <v>4</v>
      </c>
      <c r="FS305">
        <v>1155951</v>
      </c>
      <c r="FT305" t="s">
        <v>1451</v>
      </c>
      <c r="FU305" t="s">
        <v>458</v>
      </c>
      <c r="FV305" s="1">
        <v>41052</v>
      </c>
      <c r="FW305">
        <v>2011</v>
      </c>
      <c r="FX305">
        <v>642.99</v>
      </c>
      <c r="FY305" t="s">
        <v>3496</v>
      </c>
      <c r="FZ305">
        <v>6</v>
      </c>
      <c r="GA305" t="s">
        <v>424</v>
      </c>
      <c r="GB305" t="s">
        <v>425</v>
      </c>
      <c r="GC305" s="1">
        <v>41526</v>
      </c>
      <c r="GD305">
        <v>16</v>
      </c>
      <c r="GE305">
        <v>1109</v>
      </c>
      <c r="GF305" t="s">
        <v>852</v>
      </c>
      <c r="GG305" t="s">
        <v>458</v>
      </c>
      <c r="GH305" s="1">
        <v>40688</v>
      </c>
      <c r="GI305">
        <v>2010</v>
      </c>
      <c r="GJ305">
        <v>781.97</v>
      </c>
      <c r="GK305" t="s">
        <v>3497</v>
      </c>
      <c r="GL305">
        <v>8</v>
      </c>
      <c r="GM305" t="s">
        <v>424</v>
      </c>
      <c r="GN305" t="s">
        <v>425</v>
      </c>
      <c r="GP305">
        <v>22</v>
      </c>
      <c r="GQ305">
        <v>15175</v>
      </c>
      <c r="GR305" t="s">
        <v>588</v>
      </c>
      <c r="GS305" t="s">
        <v>458</v>
      </c>
      <c r="GT305" s="1">
        <v>40688</v>
      </c>
      <c r="GU305">
        <v>2010</v>
      </c>
      <c r="GV305">
        <v>781.97</v>
      </c>
      <c r="GW305" t="s">
        <v>3497</v>
      </c>
      <c r="GX305">
        <v>8</v>
      </c>
      <c r="GY305" t="s">
        <v>424</v>
      </c>
      <c r="GZ305" t="s">
        <v>425</v>
      </c>
      <c r="HB305">
        <v>22</v>
      </c>
      <c r="HC305">
        <v>10548</v>
      </c>
      <c r="HD305" t="s">
        <v>589</v>
      </c>
      <c r="HE305" t="s">
        <v>458</v>
      </c>
    </row>
    <row r="306" spans="1:285" x14ac:dyDescent="0.25">
      <c r="A306">
        <v>16485313</v>
      </c>
      <c r="B306">
        <v>305</v>
      </c>
      <c r="C306" t="s">
        <v>393</v>
      </c>
      <c r="D306" t="s">
        <v>394</v>
      </c>
      <c r="F306" t="str">
        <f>"37-1N-24-2220-0002-0070"</f>
        <v>37-1N-24-2220-0002-0070</v>
      </c>
      <c r="H306" t="str">
        <f>"GARNER DAVID M"</f>
        <v>GARNER DAVID M</v>
      </c>
      <c r="I306" t="str">
        <f>"445073 US HWY 301"</f>
        <v>445073 US HWY 301</v>
      </c>
      <c r="J306" t="str">
        <f>"CALLAHAN FL 32011"</f>
        <v>CALLAHAN FL 32011</v>
      </c>
      <c r="K306" t="str">
        <f>"445073 US HWY 301"</f>
        <v>445073 US HWY 301</v>
      </c>
      <c r="L306" t="str">
        <f>"CALLAHAN FL 32011"</f>
        <v>CALLAHAN FL 32011</v>
      </c>
      <c r="M306" t="str">
        <f>"PT OF LOT 2 (S-7 &amp; S-8) IN OR 1902/1887 2001 MERT DW/MH ESMT IN OR 884/1015 EX R/W OR 1005/1213 ESMT OR 1327/1539 J H WHITTEMORE HEIRS SUB PB 39/311"</f>
        <v>PT OF LOT 2 (S-7 &amp; S-8) IN OR 1902/1887 2001 MERT DW/MH ESMT IN OR 884/1015 EX R/W OR 1005/1213 ESMT OR 1327/1539 J H WHITTEMORE HEIRS SUB PB 39/311</v>
      </c>
      <c r="N306" t="str">
        <f>""</f>
        <v/>
      </c>
      <c r="O306" t="str">
        <f>"42250"</f>
        <v>42250</v>
      </c>
      <c r="P306" t="str">
        <f t="shared" si="82"/>
        <v>2017</v>
      </c>
      <c r="Q306" t="str">
        <f>""</f>
        <v/>
      </c>
      <c r="R306" t="str">
        <f>"Y"</f>
        <v>Y</v>
      </c>
      <c r="S306" t="str">
        <f>"4.75"</f>
        <v>4.75</v>
      </c>
      <c r="T306" t="str">
        <f>"519.77"</f>
        <v>519.77</v>
      </c>
      <c r="U306" t="str">
        <f>"71414.00"</f>
        <v>71414.00</v>
      </c>
      <c r="V306" t="str">
        <f>"71414.00"</f>
        <v>71414.00</v>
      </c>
      <c r="W306" t="str">
        <f t="shared" si="83"/>
        <v>2017</v>
      </c>
      <c r="X306" t="str">
        <f>"2.67"</f>
        <v>2.67</v>
      </c>
      <c r="Y306" t="str">
        <f>"567.36"</f>
        <v>567.36</v>
      </c>
      <c r="Z306" t="str">
        <f>"25000.00"</f>
        <v>25000.00</v>
      </c>
      <c r="AA306" t="str">
        <f>"46414.00"</f>
        <v>46414.00</v>
      </c>
      <c r="AB306" t="str">
        <f t="shared" si="92"/>
        <v>Residential</v>
      </c>
      <c r="AC306" t="str">
        <f t="shared" si="84"/>
        <v>0</v>
      </c>
      <c r="AD306" t="str">
        <f t="shared" si="94"/>
        <v>4</v>
      </c>
      <c r="AE306" t="str">
        <f t="shared" si="95"/>
        <v>WOOD (INCLUDE STEEL STUDS)</v>
      </c>
      <c r="AF306" t="str">
        <f>"002"</f>
        <v>002</v>
      </c>
      <c r="AG306" t="str">
        <f t="shared" si="93"/>
        <v>FL</v>
      </c>
      <c r="AH306" t="str">
        <f>"206910.00"</f>
        <v>206910.00</v>
      </c>
      <c r="AI306" t="str">
        <f>"30400.00"</f>
        <v>30400.00</v>
      </c>
      <c r="AJ306" t="str">
        <f>"C55-000-587-8242-6"</f>
        <v>C55-000-587-8242-6</v>
      </c>
      <c r="AK306" t="str">
        <f>"4383"</f>
        <v>4383</v>
      </c>
      <c r="AL306">
        <v>2</v>
      </c>
      <c r="AM306">
        <v>351</v>
      </c>
      <c r="AN306">
        <v>594.13</v>
      </c>
      <c r="AQ306" t="s">
        <v>3498</v>
      </c>
      <c r="AR306" t="s">
        <v>3498</v>
      </c>
      <c r="AS306" t="s">
        <v>3498</v>
      </c>
      <c r="AU306" t="s">
        <v>396</v>
      </c>
      <c r="AV306">
        <v>2017</v>
      </c>
      <c r="AW306" t="str">
        <f>"37-1N-24-2220-0002-0070 "</f>
        <v xml:space="preserve">37-1N-24-2220-0002-0070 </v>
      </c>
      <c r="AX306">
        <v>445073</v>
      </c>
      <c r="AZ306" t="s">
        <v>2893</v>
      </c>
      <c r="BD306" t="s">
        <v>2785</v>
      </c>
      <c r="BE306" t="s">
        <v>393</v>
      </c>
      <c r="BF306">
        <v>32011</v>
      </c>
      <c r="BG306" t="s">
        <v>3499</v>
      </c>
      <c r="BH306" t="s">
        <v>2787</v>
      </c>
      <c r="BI306">
        <v>-81.904620041289803</v>
      </c>
      <c r="BJ306">
        <v>30.477395382014201</v>
      </c>
      <c r="BK306" t="s">
        <v>3500</v>
      </c>
      <c r="BM306" t="s">
        <v>3499</v>
      </c>
      <c r="BN306" t="s">
        <v>928</v>
      </c>
      <c r="BO306">
        <v>32011</v>
      </c>
      <c r="BP306" t="s">
        <v>416</v>
      </c>
      <c r="BQ306">
        <v>200</v>
      </c>
      <c r="BR306" t="s">
        <v>405</v>
      </c>
      <c r="BS306">
        <v>1006</v>
      </c>
      <c r="BT306" t="s">
        <v>406</v>
      </c>
      <c r="BW306">
        <v>206910</v>
      </c>
      <c r="BX306" t="s">
        <v>407</v>
      </c>
      <c r="BY306" t="s">
        <v>408</v>
      </c>
      <c r="BZ306">
        <v>4</v>
      </c>
      <c r="CA306">
        <v>2001</v>
      </c>
      <c r="CC306">
        <v>1</v>
      </c>
      <c r="CD306">
        <v>2017</v>
      </c>
      <c r="CG306">
        <v>71414</v>
      </c>
      <c r="CH306">
        <v>2017</v>
      </c>
      <c r="CI306">
        <v>30400</v>
      </c>
      <c r="CJ306">
        <v>68238</v>
      </c>
      <c r="CK306">
        <v>98638</v>
      </c>
      <c r="CL306">
        <v>2017</v>
      </c>
      <c r="CM306">
        <v>519.77</v>
      </c>
      <c r="CN306" s="1">
        <v>41684</v>
      </c>
      <c r="CO306">
        <v>39500</v>
      </c>
      <c r="CV306">
        <v>0</v>
      </c>
      <c r="CZ306" s="1">
        <v>41684</v>
      </c>
      <c r="DA306">
        <v>0</v>
      </c>
      <c r="DD306" t="s">
        <v>2785</v>
      </c>
      <c r="DF306">
        <v>2</v>
      </c>
      <c r="DG306">
        <v>37</v>
      </c>
      <c r="DL306">
        <v>50504</v>
      </c>
      <c r="DM306" t="s">
        <v>3501</v>
      </c>
      <c r="DO306" t="s">
        <v>3502</v>
      </c>
      <c r="DP306">
        <v>0</v>
      </c>
      <c r="DQ306">
        <v>0</v>
      </c>
      <c r="DR306" t="s">
        <v>411</v>
      </c>
      <c r="DS306" t="b">
        <v>1</v>
      </c>
      <c r="DT306" t="s">
        <v>396</v>
      </c>
      <c r="DV306" t="s">
        <v>446</v>
      </c>
      <c r="DX306">
        <v>-9999</v>
      </c>
      <c r="DZ306" t="s">
        <v>447</v>
      </c>
      <c r="EA306" t="s">
        <v>448</v>
      </c>
      <c r="EB306" t="s">
        <v>3503</v>
      </c>
      <c r="EC306">
        <v>20101217</v>
      </c>
      <c r="ED306" t="s">
        <v>450</v>
      </c>
      <c r="EE306">
        <v>29.9</v>
      </c>
      <c r="EF306">
        <v>0</v>
      </c>
      <c r="EG306">
        <v>0</v>
      </c>
      <c r="EI306">
        <v>20160407</v>
      </c>
      <c r="EJ306">
        <v>0</v>
      </c>
      <c r="EK306">
        <v>0</v>
      </c>
      <c r="EP306" t="s">
        <v>421</v>
      </c>
      <c r="EQ306" t="s">
        <v>422</v>
      </c>
      <c r="ER306">
        <v>0</v>
      </c>
      <c r="ES306">
        <v>6</v>
      </c>
      <c r="ET306">
        <v>0</v>
      </c>
      <c r="EU306">
        <v>0</v>
      </c>
      <c r="EV306">
        <v>0</v>
      </c>
      <c r="EW306" s="2">
        <v>43222</v>
      </c>
      <c r="EX306" s="1">
        <v>42879</v>
      </c>
      <c r="EY306">
        <v>2016</v>
      </c>
      <c r="EZ306">
        <v>588.6</v>
      </c>
      <c r="FA306" t="s">
        <v>3504</v>
      </c>
      <c r="FB306">
        <v>0.25</v>
      </c>
      <c r="FC306" t="s">
        <v>424</v>
      </c>
      <c r="FD306" t="s">
        <v>425</v>
      </c>
      <c r="FE306" s="1">
        <v>43018</v>
      </c>
      <c r="FF306">
        <v>5</v>
      </c>
      <c r="FG306">
        <v>2851116</v>
      </c>
      <c r="FH306" t="s">
        <v>480</v>
      </c>
      <c r="FJ306" s="1">
        <v>42879</v>
      </c>
      <c r="FK306">
        <v>2016</v>
      </c>
      <c r="FL306">
        <v>588.6</v>
      </c>
      <c r="FM306" t="s">
        <v>3504</v>
      </c>
      <c r="FN306">
        <v>0.25</v>
      </c>
      <c r="FO306" t="s">
        <v>424</v>
      </c>
      <c r="FP306" t="s">
        <v>425</v>
      </c>
      <c r="FR306">
        <v>22</v>
      </c>
      <c r="FS306">
        <v>5304065</v>
      </c>
      <c r="FT306" t="s">
        <v>3505</v>
      </c>
      <c r="FV306" s="1">
        <v>42515</v>
      </c>
      <c r="FW306">
        <v>2015</v>
      </c>
      <c r="FX306">
        <v>634.17999999999995</v>
      </c>
      <c r="FY306" t="s">
        <v>3506</v>
      </c>
      <c r="FZ306">
        <v>0.25</v>
      </c>
      <c r="GA306" t="s">
        <v>424</v>
      </c>
      <c r="GB306" t="s">
        <v>425</v>
      </c>
      <c r="GC306" s="1">
        <v>42558</v>
      </c>
      <c r="GD306">
        <v>2</v>
      </c>
      <c r="GE306">
        <v>7045074</v>
      </c>
      <c r="GF306" t="s">
        <v>580</v>
      </c>
      <c r="GH306" s="1">
        <v>42515</v>
      </c>
      <c r="GI306">
        <v>2015</v>
      </c>
      <c r="GJ306">
        <v>634.17999999999995</v>
      </c>
      <c r="GK306" t="s">
        <v>3506</v>
      </c>
      <c r="GL306">
        <v>0.25</v>
      </c>
      <c r="GM306" t="s">
        <v>424</v>
      </c>
      <c r="GN306" t="s">
        <v>425</v>
      </c>
      <c r="GP306">
        <v>22</v>
      </c>
      <c r="GQ306">
        <v>6610786</v>
      </c>
      <c r="GR306" t="s">
        <v>3507</v>
      </c>
      <c r="GT306" s="1">
        <v>42151</v>
      </c>
      <c r="GU306">
        <v>2014</v>
      </c>
      <c r="GV306">
        <v>1369.53</v>
      </c>
      <c r="GW306" t="s">
        <v>3508</v>
      </c>
      <c r="GX306">
        <v>0.25</v>
      </c>
      <c r="GY306" t="s">
        <v>424</v>
      </c>
      <c r="GZ306" t="s">
        <v>425</v>
      </c>
      <c r="HA306" s="1">
        <v>42164</v>
      </c>
      <c r="HB306">
        <v>1</v>
      </c>
      <c r="HC306">
        <v>2851116</v>
      </c>
      <c r="HD306" t="s">
        <v>480</v>
      </c>
      <c r="HF306" s="1">
        <v>42151</v>
      </c>
      <c r="HG306">
        <v>2014</v>
      </c>
      <c r="HH306">
        <v>1369.53</v>
      </c>
      <c r="HI306" t="s">
        <v>3508</v>
      </c>
      <c r="HJ306">
        <v>0.25</v>
      </c>
      <c r="HK306" t="s">
        <v>424</v>
      </c>
      <c r="HL306" t="s">
        <v>425</v>
      </c>
      <c r="HN306">
        <v>22</v>
      </c>
      <c r="HO306">
        <v>4979152</v>
      </c>
      <c r="HP306" t="s">
        <v>3509</v>
      </c>
    </row>
    <row r="307" spans="1:285" x14ac:dyDescent="0.25">
      <c r="A307">
        <v>16485314</v>
      </c>
      <c r="B307">
        <v>306</v>
      </c>
      <c r="C307" t="s">
        <v>393</v>
      </c>
      <c r="D307" t="s">
        <v>394</v>
      </c>
      <c r="F307" t="str">
        <f>"02-1S-24-0000-0001-0120"</f>
        <v>02-1S-24-0000-0001-0120</v>
      </c>
      <c r="H307" t="str">
        <f>"KREDELL SAMUEL"</f>
        <v>KREDELL SAMUEL</v>
      </c>
      <c r="I307" t="str">
        <f>"1122 WOODRUFF AVE 1"</f>
        <v>1122 WOODRUFF AVE 1</v>
      </c>
      <c r="J307" t="str">
        <f>"JACKSONVILLE FL 32205"</f>
        <v>JACKSONVILLE FL 32205</v>
      </c>
      <c r="K307" t="str">
        <f>"12076 THORNHILL PL"</f>
        <v>12076 THORNHILL PL</v>
      </c>
      <c r="L307" t="str">
        <f t="shared" ref="L307:L321" si="96">"BRYCEVILLE FL 32009"</f>
        <v>BRYCEVILLE FL 32009</v>
      </c>
      <c r="M307" t="str">
        <f>"IN OR 1472/701 1979 SATI DW/MH"</f>
        <v>IN OR 1472/701 1979 SATI DW/MH</v>
      </c>
      <c r="N307" t="str">
        <f>""</f>
        <v/>
      </c>
      <c r="O307" t="str">
        <f>"17689"</f>
        <v>17689</v>
      </c>
      <c r="P307" t="str">
        <f t="shared" si="82"/>
        <v>2017</v>
      </c>
      <c r="Q307" t="str">
        <f>""</f>
        <v/>
      </c>
      <c r="R307" t="str">
        <f>"N"</f>
        <v>N</v>
      </c>
      <c r="S307" t="str">
        <f>"10.12"</f>
        <v>10.12</v>
      </c>
      <c r="T307" t="str">
        <f>"1104.63"</f>
        <v>1104.63</v>
      </c>
      <c r="U307" t="str">
        <f>"72967.00"</f>
        <v>72967.00</v>
      </c>
      <c r="V307" t="str">
        <f>"72967.00"</f>
        <v>72967.00</v>
      </c>
      <c r="W307" t="str">
        <f t="shared" si="83"/>
        <v>2017</v>
      </c>
      <c r="X307" t="str">
        <f>"11.67"</f>
        <v>11.67</v>
      </c>
      <c r="Y307" t="str">
        <f>"1169.77"</f>
        <v>1169.77</v>
      </c>
      <c r="Z307" t="str">
        <f>""</f>
        <v/>
      </c>
      <c r="AA307" t="str">
        <f>"72967.00"</f>
        <v>72967.00</v>
      </c>
      <c r="AB307" t="str">
        <f t="shared" si="92"/>
        <v>Residential</v>
      </c>
      <c r="AC307" t="str">
        <f t="shared" si="84"/>
        <v>0</v>
      </c>
      <c r="AD307" t="str">
        <f t="shared" si="94"/>
        <v>4</v>
      </c>
      <c r="AE307" t="str">
        <f t="shared" si="95"/>
        <v>WOOD (INCLUDE STEEL STUDS)</v>
      </c>
      <c r="AF307" t="str">
        <f>"002"</f>
        <v>002</v>
      </c>
      <c r="AG307" t="str">
        <f t="shared" si="93"/>
        <v>FL</v>
      </c>
      <c r="AH307" t="str">
        <f>"440827.00"</f>
        <v>440827.00</v>
      </c>
      <c r="AI307" t="str">
        <f>"60720.00"</f>
        <v>60720.00</v>
      </c>
      <c r="AJ307" t="str">
        <f>"C55-001-002-4807-9"</f>
        <v>C55-001-002-4807-9</v>
      </c>
      <c r="AK307" t="str">
        <f>"9029"</f>
        <v>9029</v>
      </c>
      <c r="AL307">
        <v>2</v>
      </c>
      <c r="AM307">
        <v>354</v>
      </c>
      <c r="AN307">
        <v>1226.6600000000001</v>
      </c>
      <c r="AQ307" t="s">
        <v>3510</v>
      </c>
      <c r="AR307" t="s">
        <v>3510</v>
      </c>
      <c r="AS307" t="s">
        <v>3510</v>
      </c>
      <c r="AU307" t="s">
        <v>396</v>
      </c>
      <c r="AV307">
        <v>2017</v>
      </c>
      <c r="AW307" t="str">
        <f>"02-1S-24-0000-0001-0120 "</f>
        <v xml:space="preserve">02-1S-24-0000-0001-0120 </v>
      </c>
      <c r="AX307">
        <v>12076</v>
      </c>
      <c r="AZ307" t="s">
        <v>3511</v>
      </c>
      <c r="BA307" t="s">
        <v>641</v>
      </c>
      <c r="BD307" t="s">
        <v>553</v>
      </c>
      <c r="BE307" t="s">
        <v>393</v>
      </c>
      <c r="BF307">
        <v>32009</v>
      </c>
      <c r="BG307" t="s">
        <v>3512</v>
      </c>
      <c r="BH307" t="s">
        <v>555</v>
      </c>
      <c r="BI307">
        <v>-81.880821166906998</v>
      </c>
      <c r="BJ307">
        <v>30.4487509851059</v>
      </c>
      <c r="BK307" t="s">
        <v>3513</v>
      </c>
      <c r="BM307" t="s">
        <v>3514</v>
      </c>
      <c r="BN307" t="s">
        <v>548</v>
      </c>
      <c r="BO307">
        <v>32205</v>
      </c>
      <c r="BP307" t="s">
        <v>404</v>
      </c>
      <c r="BQ307">
        <v>200</v>
      </c>
      <c r="BR307" t="s">
        <v>405</v>
      </c>
      <c r="BS307">
        <v>1006</v>
      </c>
      <c r="BT307" t="s">
        <v>406</v>
      </c>
      <c r="BW307">
        <v>440827</v>
      </c>
      <c r="BX307" t="s">
        <v>407</v>
      </c>
      <c r="BY307" t="s">
        <v>408</v>
      </c>
      <c r="BZ307">
        <v>4</v>
      </c>
      <c r="CA307">
        <v>1979</v>
      </c>
      <c r="CC307">
        <v>1</v>
      </c>
      <c r="CD307">
        <v>2017</v>
      </c>
      <c r="CE307">
        <v>60720</v>
      </c>
      <c r="CF307">
        <v>12247</v>
      </c>
      <c r="CG307">
        <v>72967</v>
      </c>
      <c r="CH307">
        <v>2017</v>
      </c>
      <c r="CI307">
        <v>60720</v>
      </c>
      <c r="CJ307">
        <v>12247</v>
      </c>
      <c r="CK307">
        <v>72967</v>
      </c>
      <c r="CL307">
        <v>2017</v>
      </c>
      <c r="CM307">
        <v>1104.6300000000001</v>
      </c>
      <c r="CN307" s="1">
        <v>39099</v>
      </c>
      <c r="CO307">
        <v>125000</v>
      </c>
      <c r="CV307">
        <v>95000</v>
      </c>
      <c r="CX307" t="s">
        <v>675</v>
      </c>
      <c r="CZ307" s="1">
        <v>39099</v>
      </c>
      <c r="DA307">
        <v>0</v>
      </c>
      <c r="DD307" t="s">
        <v>553</v>
      </c>
      <c r="DG307">
        <v>2</v>
      </c>
      <c r="DL307">
        <v>50504</v>
      </c>
      <c r="DM307" t="s">
        <v>3515</v>
      </c>
      <c r="DO307" t="s">
        <v>3516</v>
      </c>
      <c r="DP307">
        <v>0</v>
      </c>
      <c r="DQ307">
        <v>0</v>
      </c>
      <c r="DR307" t="s">
        <v>411</v>
      </c>
      <c r="EP307" t="s">
        <v>421</v>
      </c>
      <c r="EQ307" t="s">
        <v>422</v>
      </c>
      <c r="ER307">
        <v>2</v>
      </c>
      <c r="ES307">
        <v>3</v>
      </c>
      <c r="ET307">
        <v>2443.8000000000002</v>
      </c>
      <c r="EU307">
        <v>134.69</v>
      </c>
      <c r="EV307">
        <v>2578.4899999999998</v>
      </c>
      <c r="EW307" s="2">
        <v>43222</v>
      </c>
      <c r="EX307" s="1">
        <v>42879</v>
      </c>
      <c r="EY307">
        <v>2016</v>
      </c>
      <c r="EZ307">
        <v>1221.9000000000001</v>
      </c>
      <c r="FA307" t="s">
        <v>3517</v>
      </c>
      <c r="FB307">
        <v>0.25</v>
      </c>
      <c r="FC307" t="s">
        <v>424</v>
      </c>
      <c r="FD307" t="s">
        <v>454</v>
      </c>
      <c r="FF307">
        <v>12</v>
      </c>
      <c r="FG307">
        <v>7400234</v>
      </c>
      <c r="FH307" t="s">
        <v>426</v>
      </c>
      <c r="FJ307" s="1">
        <v>42879</v>
      </c>
      <c r="FK307">
        <v>2016</v>
      </c>
      <c r="FL307">
        <v>1221.9000000000001</v>
      </c>
      <c r="FM307" t="s">
        <v>3517</v>
      </c>
      <c r="FN307">
        <v>0.25</v>
      </c>
      <c r="FO307" t="s">
        <v>424</v>
      </c>
      <c r="FP307" t="s">
        <v>454</v>
      </c>
      <c r="FR307">
        <v>12</v>
      </c>
      <c r="FS307">
        <v>7565279</v>
      </c>
      <c r="FT307" t="s">
        <v>3518</v>
      </c>
      <c r="FV307" s="1">
        <v>41787</v>
      </c>
      <c r="FW307">
        <v>2013</v>
      </c>
      <c r="FX307">
        <v>1029.5</v>
      </c>
      <c r="FY307" t="s">
        <v>3519</v>
      </c>
      <c r="FZ307">
        <v>0.25</v>
      </c>
      <c r="GA307" t="s">
        <v>424</v>
      </c>
      <c r="GB307" t="s">
        <v>425</v>
      </c>
      <c r="GC307" s="1">
        <v>41814</v>
      </c>
      <c r="GD307">
        <v>1</v>
      </c>
      <c r="GE307">
        <v>2851116</v>
      </c>
      <c r="GF307" t="s">
        <v>480</v>
      </c>
      <c r="GH307" s="1">
        <v>41052</v>
      </c>
      <c r="GI307">
        <v>2011</v>
      </c>
      <c r="GJ307">
        <v>1358.64</v>
      </c>
      <c r="GK307" t="s">
        <v>3520</v>
      </c>
      <c r="GL307">
        <v>6</v>
      </c>
      <c r="GM307" t="s">
        <v>424</v>
      </c>
      <c r="GN307" t="s">
        <v>425</v>
      </c>
      <c r="GO307" s="1">
        <v>41429</v>
      </c>
      <c r="GP307">
        <v>13</v>
      </c>
      <c r="GQ307">
        <v>10125</v>
      </c>
      <c r="GR307" t="s">
        <v>440</v>
      </c>
      <c r="GT307" s="1">
        <v>40688</v>
      </c>
      <c r="GU307">
        <v>2010</v>
      </c>
      <c r="GV307">
        <v>1520.15</v>
      </c>
      <c r="GW307" t="s">
        <v>3521</v>
      </c>
      <c r="GX307">
        <v>5</v>
      </c>
      <c r="GY307" t="s">
        <v>424</v>
      </c>
      <c r="GZ307" t="s">
        <v>425</v>
      </c>
      <c r="HA307" s="1">
        <v>41333</v>
      </c>
      <c r="HB307">
        <v>21</v>
      </c>
      <c r="HC307">
        <v>287</v>
      </c>
      <c r="HD307" t="s">
        <v>572</v>
      </c>
    </row>
    <row r="308" spans="1:285" x14ac:dyDescent="0.25">
      <c r="A308">
        <v>16485315</v>
      </c>
      <c r="B308">
        <v>307</v>
      </c>
      <c r="C308" t="s">
        <v>393</v>
      </c>
      <c r="D308" t="s">
        <v>394</v>
      </c>
      <c r="F308" t="str">
        <f>"02-1S-24-0000-0002-0050"</f>
        <v>02-1S-24-0000-0002-0050</v>
      </c>
      <c r="H308" t="str">
        <f>"GANDY JAMES N JR ETAL HARTJE NAOMI R (JTROS)"</f>
        <v>GANDY JAMES N JR ETAL HARTJE NAOMI R (JTROS)</v>
      </c>
      <c r="I308" t="str">
        <f>"11385 GOLDEN EAGLE PLACE"</f>
        <v>11385 GOLDEN EAGLE PLACE</v>
      </c>
      <c r="J308" t="str">
        <f>"BRYCEVILLE FL 32009"</f>
        <v>BRYCEVILLE FL 32009</v>
      </c>
      <c r="K308" t="str">
        <f>"11385 GOLDEN EAGLE PL"</f>
        <v>11385 GOLDEN EAGLE PL</v>
      </c>
      <c r="L308" t="str">
        <f t="shared" si="96"/>
        <v>BRYCEVILLE FL 32009</v>
      </c>
      <c r="M308" t="str">
        <f>"PT SW1/4 OF SW1/4 OF SEC 2-1S-24E &amp; PT SE1/4 OF SE1/4 OF SEC 3-1S-24E IN OR 1513/1049 (EX ESMTS IN OR 1497/1044 &amp; OR 1513/1049)"</f>
        <v>PT SW1/4 OF SW1/4 OF SEC 2-1S-24E &amp; PT SE1/4 OF SE1/4 OF SEC 3-1S-24E IN OR 1513/1049 (EX ESMTS IN OR 1497/1044 &amp; OR 1513/1049)</v>
      </c>
      <c r="N308" t="str">
        <f>""</f>
        <v/>
      </c>
      <c r="O308" t="str">
        <f>"17694"</f>
        <v>17694</v>
      </c>
      <c r="P308" t="str">
        <f t="shared" si="82"/>
        <v>2017</v>
      </c>
      <c r="Q308" t="str">
        <f>""</f>
        <v/>
      </c>
      <c r="R308" t="str">
        <f>"Y"</f>
        <v>Y</v>
      </c>
      <c r="S308" t="str">
        <f>"7.62"</f>
        <v>7.62</v>
      </c>
      <c r="T308" t="str">
        <f>"894.57"</f>
        <v>894.57</v>
      </c>
      <c r="U308" t="str">
        <f>"98196.00"</f>
        <v>98196.00</v>
      </c>
      <c r="V308" t="str">
        <f>"98196.00"</f>
        <v>98196.00</v>
      </c>
      <c r="W308" t="str">
        <f t="shared" si="83"/>
        <v>2017</v>
      </c>
      <c r="X308" t="str">
        <f>""</f>
        <v/>
      </c>
      <c r="Y308" t="str">
        <f>"953.41"</f>
        <v>953.41</v>
      </c>
      <c r="Z308" t="str">
        <f>"25000.00"</f>
        <v>25000.00</v>
      </c>
      <c r="AA308" t="str">
        <f>"73196.00"</f>
        <v>73196.00</v>
      </c>
      <c r="AB308" t="str">
        <f t="shared" si="92"/>
        <v>Residential</v>
      </c>
      <c r="AC308" t="str">
        <f t="shared" si="84"/>
        <v>0</v>
      </c>
      <c r="AD308" t="str">
        <f t="shared" si="94"/>
        <v>4</v>
      </c>
      <c r="AE308" t="str">
        <f t="shared" si="95"/>
        <v>WOOD (INCLUDE STEEL STUDS)</v>
      </c>
      <c r="AF308" t="str">
        <f>"001"</f>
        <v>001</v>
      </c>
      <c r="AG308" t="str">
        <f t="shared" si="93"/>
        <v>FL</v>
      </c>
      <c r="AH308" t="str">
        <f>"331927.00"</f>
        <v>331927.00</v>
      </c>
      <c r="AI308" t="str">
        <f>"45720.00"</f>
        <v>45720.00</v>
      </c>
      <c r="AJ308" t="str">
        <f>"C55-000-586-3678-8"</f>
        <v>C55-000-586-3678-8</v>
      </c>
      <c r="AK308" t="str">
        <f>"9034"</f>
        <v>9034</v>
      </c>
      <c r="AL308">
        <v>2</v>
      </c>
      <c r="AM308">
        <v>355</v>
      </c>
      <c r="AN308">
        <v>999.48</v>
      </c>
      <c r="AQ308" t="s">
        <v>3522</v>
      </c>
      <c r="AR308" t="s">
        <v>3522</v>
      </c>
      <c r="AS308" t="s">
        <v>3522</v>
      </c>
      <c r="AU308" t="s">
        <v>396</v>
      </c>
      <c r="AV308">
        <v>2017</v>
      </c>
      <c r="AW308" t="str">
        <f>"02-1S-24-0000-0002-0050 "</f>
        <v xml:space="preserve">02-1S-24-0000-0002-0050 </v>
      </c>
      <c r="AX308">
        <v>11385</v>
      </c>
      <c r="AZ308" t="s">
        <v>3523</v>
      </c>
      <c r="BA308" t="s">
        <v>641</v>
      </c>
      <c r="BD308" t="s">
        <v>553</v>
      </c>
      <c r="BE308" t="s">
        <v>393</v>
      </c>
      <c r="BF308">
        <v>32009</v>
      </c>
      <c r="BG308" t="s">
        <v>3524</v>
      </c>
      <c r="BH308" t="s">
        <v>555</v>
      </c>
      <c r="BI308">
        <v>-81.882583738376596</v>
      </c>
      <c r="BJ308">
        <v>30.4378496240071</v>
      </c>
      <c r="BK308" t="s">
        <v>3525</v>
      </c>
      <c r="BM308" t="s">
        <v>3526</v>
      </c>
      <c r="BN308" t="s">
        <v>558</v>
      </c>
      <c r="BO308">
        <v>32009</v>
      </c>
      <c r="BP308" t="s">
        <v>416</v>
      </c>
      <c r="BQ308">
        <v>100</v>
      </c>
      <c r="BR308" t="s">
        <v>514</v>
      </c>
      <c r="BS308">
        <v>1001</v>
      </c>
      <c r="BT308" t="s">
        <v>515</v>
      </c>
      <c r="BW308">
        <v>331927</v>
      </c>
      <c r="BX308" t="s">
        <v>407</v>
      </c>
      <c r="BY308" t="s">
        <v>408</v>
      </c>
      <c r="BZ308">
        <v>4</v>
      </c>
      <c r="CA308">
        <v>1956</v>
      </c>
      <c r="CB308">
        <v>1</v>
      </c>
      <c r="CC308">
        <v>1</v>
      </c>
      <c r="CD308">
        <v>2017</v>
      </c>
      <c r="CG308">
        <v>98196</v>
      </c>
      <c r="CH308">
        <v>2017</v>
      </c>
      <c r="CI308">
        <v>45720</v>
      </c>
      <c r="CJ308">
        <v>60116</v>
      </c>
      <c r="CK308">
        <v>105836</v>
      </c>
      <c r="CL308">
        <v>2017</v>
      </c>
      <c r="CM308">
        <v>894.57</v>
      </c>
      <c r="CN308" s="1">
        <v>39282</v>
      </c>
      <c r="CO308">
        <v>180000</v>
      </c>
      <c r="CV308">
        <v>100000</v>
      </c>
      <c r="CX308" t="s">
        <v>3527</v>
      </c>
      <c r="CZ308" s="1">
        <v>39282</v>
      </c>
      <c r="DA308">
        <v>0</v>
      </c>
      <c r="DD308" t="s">
        <v>553</v>
      </c>
      <c r="DG308">
        <v>2</v>
      </c>
      <c r="DL308">
        <v>50504</v>
      </c>
      <c r="DM308" t="s">
        <v>3515</v>
      </c>
      <c r="DO308" t="s">
        <v>3528</v>
      </c>
      <c r="DP308">
        <v>0</v>
      </c>
      <c r="DQ308">
        <v>0</v>
      </c>
      <c r="DR308" t="s">
        <v>411</v>
      </c>
    </row>
    <row r="309" spans="1:285" x14ac:dyDescent="0.25">
      <c r="A309">
        <v>16485316</v>
      </c>
      <c r="B309">
        <v>308</v>
      </c>
      <c r="C309" t="s">
        <v>393</v>
      </c>
      <c r="D309" t="s">
        <v>394</v>
      </c>
      <c r="F309" t="str">
        <f>"02-1S-24-1990-0017-0000"</f>
        <v>02-1S-24-1990-0017-0000</v>
      </c>
      <c r="H309" t="str">
        <f>"CARTER ARTHUR M &amp; DONNA LYNN"</f>
        <v>CARTER ARTHUR M &amp; DONNA LYNN</v>
      </c>
      <c r="I309" t="str">
        <f>"11773 SUNOWA SPRINGS TRAIL"</f>
        <v>11773 SUNOWA SPRINGS TRAIL</v>
      </c>
      <c r="J309" t="str">
        <f>"BRYCEVILLE FL 32009"</f>
        <v>BRYCEVILLE FL 32009</v>
      </c>
      <c r="K309" t="str">
        <f>"11773 SUNOWA SPRINGS TR"</f>
        <v>11773 SUNOWA SPRINGS TR</v>
      </c>
      <c r="L309" t="str">
        <f t="shared" si="96"/>
        <v>BRYCEVILLE FL 32009</v>
      </c>
      <c r="M309" t="str">
        <f>"LOT 17 IN OR 473 PG 399 SUNOWA SPRINGS 1 PB 4/75 &amp; 76"</f>
        <v>LOT 17 IN OR 473 PG 399 SUNOWA SPRINGS 1 PB 4/75 &amp; 76</v>
      </c>
      <c r="N309" t="str">
        <f>""</f>
        <v/>
      </c>
      <c r="O309" t="str">
        <f>"17716"</f>
        <v>17716</v>
      </c>
      <c r="P309" t="str">
        <f t="shared" si="82"/>
        <v>2017</v>
      </c>
      <c r="Q309" t="str">
        <f>""</f>
        <v/>
      </c>
      <c r="R309" t="str">
        <f>"Y"</f>
        <v>Y</v>
      </c>
      <c r="S309" t="str">
        <f>"2.54"</f>
        <v>2.54</v>
      </c>
      <c r="T309" t="str">
        <f>"388.20"</f>
        <v>388.20</v>
      </c>
      <c r="U309" t="str">
        <f>"51473.00"</f>
        <v>51473.00</v>
      </c>
      <c r="V309" t="str">
        <f>"51473.00"</f>
        <v>51473.00</v>
      </c>
      <c r="W309" t="str">
        <f t="shared" si="83"/>
        <v>2017</v>
      </c>
      <c r="X309" t="str">
        <f>"10.78"</f>
        <v>10.78</v>
      </c>
      <c r="Y309" t="str">
        <f>"431.85"</f>
        <v>431.85</v>
      </c>
      <c r="Z309" t="str">
        <f>"25000.00"</f>
        <v>25000.00</v>
      </c>
      <c r="AA309" t="str">
        <f>"26473.00"</f>
        <v>26473.00</v>
      </c>
      <c r="AB309" t="str">
        <f t="shared" si="92"/>
        <v>Residential</v>
      </c>
      <c r="AC309" t="str">
        <f t="shared" si="84"/>
        <v>0</v>
      </c>
      <c r="AD309" t="str">
        <f t="shared" si="94"/>
        <v>4</v>
      </c>
      <c r="AE309" t="str">
        <f t="shared" si="95"/>
        <v>WOOD (INCLUDE STEEL STUDS)</v>
      </c>
      <c r="AF309" t="str">
        <f>"001"</f>
        <v>001</v>
      </c>
      <c r="AG309" t="str">
        <f t="shared" si="93"/>
        <v>FL</v>
      </c>
      <c r="AH309" t="str">
        <f>"110642.00"</f>
        <v>110642.00</v>
      </c>
      <c r="AI309" t="str">
        <f>"30480.00"</f>
        <v>30480.00</v>
      </c>
      <c r="AJ309" t="str">
        <f>"C55-000-586-3700-0"</f>
        <v>C55-000-586-3700-0</v>
      </c>
      <c r="AK309" t="str">
        <f>"9055"</f>
        <v>9055</v>
      </c>
      <c r="AL309">
        <v>2</v>
      </c>
      <c r="AM309">
        <v>356</v>
      </c>
      <c r="AN309">
        <v>451.84</v>
      </c>
      <c r="AQ309" t="s">
        <v>3529</v>
      </c>
      <c r="AR309" t="s">
        <v>3529</v>
      </c>
      <c r="AS309" t="s">
        <v>3529</v>
      </c>
      <c r="AU309" t="s">
        <v>396</v>
      </c>
      <c r="AV309">
        <v>2017</v>
      </c>
      <c r="AW309" t="str">
        <f>"02-1S-24-1990-0017-0000 "</f>
        <v xml:space="preserve">02-1S-24-1990-0017-0000 </v>
      </c>
      <c r="AX309">
        <v>11773</v>
      </c>
      <c r="AZ309" t="s">
        <v>3530</v>
      </c>
      <c r="BD309" t="s">
        <v>553</v>
      </c>
      <c r="BE309" t="s">
        <v>393</v>
      </c>
      <c r="BF309">
        <v>32009</v>
      </c>
      <c r="BG309" t="s">
        <v>3531</v>
      </c>
      <c r="BH309" t="s">
        <v>555</v>
      </c>
      <c r="BI309">
        <v>-81.867481291177697</v>
      </c>
      <c r="BJ309">
        <v>30.4433358190715</v>
      </c>
      <c r="BK309" t="s">
        <v>3532</v>
      </c>
      <c r="BM309" t="s">
        <v>3533</v>
      </c>
      <c r="BN309" t="s">
        <v>558</v>
      </c>
      <c r="BO309">
        <v>32009</v>
      </c>
      <c r="BP309" t="s">
        <v>416</v>
      </c>
      <c r="BQ309">
        <v>100</v>
      </c>
      <c r="BR309" t="s">
        <v>514</v>
      </c>
      <c r="BS309">
        <v>1001</v>
      </c>
      <c r="BT309" t="s">
        <v>515</v>
      </c>
      <c r="BW309">
        <v>110642</v>
      </c>
      <c r="BX309" t="s">
        <v>407</v>
      </c>
      <c r="BY309" t="s">
        <v>408</v>
      </c>
      <c r="BZ309">
        <v>4</v>
      </c>
      <c r="CA309">
        <v>1989</v>
      </c>
      <c r="CB309">
        <v>1</v>
      </c>
      <c r="CC309">
        <v>1</v>
      </c>
      <c r="CD309">
        <v>2017</v>
      </c>
      <c r="CG309">
        <v>51473</v>
      </c>
      <c r="CH309">
        <v>2017</v>
      </c>
      <c r="CI309">
        <v>30480</v>
      </c>
      <c r="CJ309">
        <v>26822</v>
      </c>
      <c r="CK309">
        <v>57302</v>
      </c>
      <c r="CL309">
        <v>2017</v>
      </c>
      <c r="CM309">
        <v>388.2</v>
      </c>
      <c r="CN309" s="1">
        <v>31352</v>
      </c>
      <c r="CO309">
        <v>14000</v>
      </c>
      <c r="CZ309" s="1">
        <v>31352</v>
      </c>
      <c r="DD309" t="s">
        <v>553</v>
      </c>
      <c r="DF309">
        <v>17</v>
      </c>
      <c r="DG309">
        <v>2</v>
      </c>
      <c r="DJ309" t="s">
        <v>3534</v>
      </c>
      <c r="DL309">
        <v>50504</v>
      </c>
      <c r="DM309" t="s">
        <v>3515</v>
      </c>
      <c r="DO309" t="s">
        <v>3535</v>
      </c>
      <c r="DP309">
        <v>0</v>
      </c>
      <c r="DQ309">
        <v>0</v>
      </c>
      <c r="DR309" t="s">
        <v>411</v>
      </c>
      <c r="DS309" t="b">
        <v>1</v>
      </c>
      <c r="DT309" t="s">
        <v>396</v>
      </c>
      <c r="DV309" t="s">
        <v>446</v>
      </c>
      <c r="DX309">
        <v>-9999</v>
      </c>
      <c r="DZ309" t="s">
        <v>447</v>
      </c>
      <c r="EA309" t="s">
        <v>448</v>
      </c>
      <c r="EB309" t="s">
        <v>3008</v>
      </c>
      <c r="EC309">
        <v>20101217</v>
      </c>
      <c r="ED309" t="s">
        <v>450</v>
      </c>
      <c r="EE309">
        <v>18.8</v>
      </c>
      <c r="EF309">
        <v>0</v>
      </c>
      <c r="EG309">
        <v>0</v>
      </c>
      <c r="EI309">
        <v>20160407</v>
      </c>
      <c r="EJ309">
        <v>0</v>
      </c>
      <c r="EK309">
        <v>0</v>
      </c>
      <c r="EP309" t="s">
        <v>421</v>
      </c>
      <c r="EQ309" t="s">
        <v>422</v>
      </c>
      <c r="ER309">
        <v>2</v>
      </c>
      <c r="ES309">
        <v>8</v>
      </c>
      <c r="ET309">
        <v>819.3</v>
      </c>
      <c r="EU309">
        <v>53.46</v>
      </c>
      <c r="EV309">
        <v>872.76</v>
      </c>
      <c r="EW309" s="2">
        <v>43222</v>
      </c>
      <c r="EX309" s="1">
        <v>42879</v>
      </c>
      <c r="EY309">
        <v>2016</v>
      </c>
      <c r="EZ309">
        <v>409.65</v>
      </c>
      <c r="FA309" t="s">
        <v>3536</v>
      </c>
      <c r="FB309">
        <v>0.25</v>
      </c>
      <c r="FC309" t="s">
        <v>424</v>
      </c>
      <c r="FD309" t="s">
        <v>454</v>
      </c>
      <c r="FF309">
        <v>12</v>
      </c>
      <c r="FG309">
        <v>2851116</v>
      </c>
      <c r="FH309" t="s">
        <v>480</v>
      </c>
      <c r="FJ309" s="1">
        <v>42879</v>
      </c>
      <c r="FK309">
        <v>2016</v>
      </c>
      <c r="FL309">
        <v>409.65</v>
      </c>
      <c r="FM309" t="s">
        <v>3536</v>
      </c>
      <c r="FN309">
        <v>0.25</v>
      </c>
      <c r="FO309" t="s">
        <v>424</v>
      </c>
      <c r="FP309" t="s">
        <v>454</v>
      </c>
      <c r="FR309">
        <v>12</v>
      </c>
      <c r="FS309">
        <v>4976152</v>
      </c>
      <c r="FT309" t="s">
        <v>3537</v>
      </c>
      <c r="FV309" s="1">
        <v>42515</v>
      </c>
      <c r="FW309">
        <v>2015</v>
      </c>
      <c r="FX309">
        <v>408.25</v>
      </c>
      <c r="FY309" t="s">
        <v>3538</v>
      </c>
      <c r="FZ309">
        <v>0.25</v>
      </c>
      <c r="GA309" t="s">
        <v>424</v>
      </c>
      <c r="GB309" t="s">
        <v>425</v>
      </c>
      <c r="GC309" s="1">
        <v>42999</v>
      </c>
      <c r="GD309">
        <v>16</v>
      </c>
      <c r="GE309">
        <v>2851116</v>
      </c>
      <c r="GF309" t="s">
        <v>480</v>
      </c>
      <c r="GH309" s="1">
        <v>42515</v>
      </c>
      <c r="GI309">
        <v>2015</v>
      </c>
      <c r="GJ309">
        <v>408.25</v>
      </c>
      <c r="GK309" t="s">
        <v>3538</v>
      </c>
      <c r="GL309">
        <v>0.25</v>
      </c>
      <c r="GM309" t="s">
        <v>424</v>
      </c>
      <c r="GN309" t="s">
        <v>425</v>
      </c>
      <c r="GP309">
        <v>22</v>
      </c>
      <c r="GQ309">
        <v>4868414</v>
      </c>
      <c r="GR309" t="s">
        <v>3539</v>
      </c>
      <c r="GT309" s="1">
        <v>42151</v>
      </c>
      <c r="GU309">
        <v>2014</v>
      </c>
      <c r="GV309">
        <v>403.74</v>
      </c>
      <c r="GW309" t="s">
        <v>3540</v>
      </c>
      <c r="GX309">
        <v>0.25</v>
      </c>
      <c r="GY309" t="s">
        <v>424</v>
      </c>
      <c r="GZ309" t="s">
        <v>425</v>
      </c>
      <c r="HA309" s="1">
        <v>42468</v>
      </c>
      <c r="HB309">
        <v>11</v>
      </c>
      <c r="HC309">
        <v>2851116</v>
      </c>
      <c r="HD309" t="s">
        <v>480</v>
      </c>
      <c r="HF309" s="1">
        <v>42151</v>
      </c>
      <c r="HG309">
        <v>2014</v>
      </c>
      <c r="HH309">
        <v>403.74</v>
      </c>
      <c r="HI309" t="s">
        <v>3540</v>
      </c>
      <c r="HJ309">
        <v>0.25</v>
      </c>
      <c r="HK309" t="s">
        <v>424</v>
      </c>
      <c r="HL309" t="s">
        <v>425</v>
      </c>
      <c r="HN309">
        <v>22</v>
      </c>
      <c r="HO309">
        <v>5287506</v>
      </c>
      <c r="HP309" t="s">
        <v>3541</v>
      </c>
      <c r="HR309" s="1">
        <v>41787</v>
      </c>
      <c r="HS309">
        <v>2013</v>
      </c>
      <c r="HT309">
        <v>372</v>
      </c>
      <c r="HU309" t="s">
        <v>3542</v>
      </c>
      <c r="HV309">
        <v>0.25</v>
      </c>
      <c r="HW309" t="s">
        <v>424</v>
      </c>
      <c r="HX309" t="s">
        <v>425</v>
      </c>
      <c r="HY309" s="1">
        <v>42197</v>
      </c>
      <c r="HZ309">
        <v>14</v>
      </c>
      <c r="IA309">
        <v>2101382</v>
      </c>
      <c r="IB309" t="s">
        <v>993</v>
      </c>
      <c r="ID309" s="1">
        <v>41423</v>
      </c>
      <c r="IE309">
        <v>2012</v>
      </c>
      <c r="IF309">
        <v>353.37</v>
      </c>
      <c r="IG309" t="s">
        <v>3543</v>
      </c>
      <c r="IH309">
        <v>0.25</v>
      </c>
      <c r="II309" t="s">
        <v>424</v>
      </c>
      <c r="IJ309" t="s">
        <v>425</v>
      </c>
      <c r="IK309" s="1">
        <v>41512</v>
      </c>
      <c r="IL309">
        <v>3</v>
      </c>
      <c r="IM309">
        <v>15407</v>
      </c>
      <c r="IN309" t="s">
        <v>1134</v>
      </c>
      <c r="IP309" s="1">
        <v>41052</v>
      </c>
      <c r="IQ309">
        <v>2011</v>
      </c>
      <c r="IR309">
        <v>329.22</v>
      </c>
      <c r="IS309" t="s">
        <v>3544</v>
      </c>
      <c r="IT309">
        <v>0.25</v>
      </c>
      <c r="IU309" t="s">
        <v>424</v>
      </c>
      <c r="IV309" t="s">
        <v>425</v>
      </c>
      <c r="IW309" s="1">
        <v>41512</v>
      </c>
      <c r="IX309">
        <v>15</v>
      </c>
      <c r="IY309">
        <v>13368</v>
      </c>
      <c r="IZ309" t="s">
        <v>1740</v>
      </c>
      <c r="JB309" s="1">
        <v>40688</v>
      </c>
      <c r="JC309">
        <v>2010</v>
      </c>
      <c r="JD309">
        <v>319.08</v>
      </c>
      <c r="JE309" t="s">
        <v>3545</v>
      </c>
      <c r="JF309">
        <v>9</v>
      </c>
      <c r="JG309" t="s">
        <v>424</v>
      </c>
      <c r="JH309" t="s">
        <v>425</v>
      </c>
      <c r="JI309" s="1">
        <v>40802</v>
      </c>
      <c r="JJ309">
        <v>4</v>
      </c>
      <c r="JK309">
        <v>62</v>
      </c>
      <c r="JL309" t="s">
        <v>463</v>
      </c>
    </row>
    <row r="310" spans="1:285" x14ac:dyDescent="0.25">
      <c r="A310">
        <v>16485317</v>
      </c>
      <c r="B310">
        <v>309</v>
      </c>
      <c r="C310" t="s">
        <v>393</v>
      </c>
      <c r="D310" t="s">
        <v>394</v>
      </c>
      <c r="F310" t="str">
        <f>"03-1S-24-0000-0002-0100"</f>
        <v>03-1S-24-0000-0002-0100</v>
      </c>
      <c r="H310" t="str">
        <f>"CANTRELL WILLIAM &amp; TERESA"</f>
        <v>CANTRELL WILLIAM &amp; TERESA</v>
      </c>
      <c r="I310" t="str">
        <f>"11331 WATERLOO PL"</f>
        <v>11331 WATERLOO PL</v>
      </c>
      <c r="J310" t="str">
        <f>"BRYCEVILLE FL 32009"</f>
        <v>BRYCEVILLE FL 32009</v>
      </c>
      <c r="K310" t="str">
        <f>"11331 WATERLOO LN"</f>
        <v>11331 WATERLOO LN</v>
      </c>
      <c r="L310" t="str">
        <f t="shared" si="96"/>
        <v>BRYCEVILLE FL 32009</v>
      </c>
      <c r="M310" t="str">
        <f>"PT OF SE1/4 OF SE1/4 OF SEC 3-1S-24E IN OR 1991/1973"</f>
        <v>PT OF SE1/4 OF SE1/4 OF SEC 3-1S-24E IN OR 1991/1973</v>
      </c>
      <c r="N310" t="str">
        <f>""</f>
        <v/>
      </c>
      <c r="O310" t="str">
        <f>"18835"</f>
        <v>18835</v>
      </c>
      <c r="P310" t="str">
        <f t="shared" si="82"/>
        <v>2017</v>
      </c>
      <c r="Q310" t="str">
        <f>""</f>
        <v/>
      </c>
      <c r="R310" t="str">
        <f>"Y"</f>
        <v>Y</v>
      </c>
      <c r="S310" t="str">
        <f>"0.65"</f>
        <v>0.65</v>
      </c>
      <c r="T310" t="str">
        <f>"635.08"</f>
        <v>635.08</v>
      </c>
      <c r="U310" t="str">
        <f>"81055.00"</f>
        <v>81055.00</v>
      </c>
      <c r="V310" t="str">
        <f>"81055.00"</f>
        <v>81055.00</v>
      </c>
      <c r="W310" t="str">
        <f t="shared" si="83"/>
        <v>2017</v>
      </c>
      <c r="X310" t="str">
        <f>"1.00"</f>
        <v>1.00</v>
      </c>
      <c r="Y310" t="str">
        <f>"686.13"</f>
        <v>686.13</v>
      </c>
      <c r="Z310" t="str">
        <f>"25000.00"</f>
        <v>25000.00</v>
      </c>
      <c r="AA310" t="str">
        <f>"56055.00"</f>
        <v>56055.00</v>
      </c>
      <c r="AB310" t="str">
        <f t="shared" si="92"/>
        <v>Residential</v>
      </c>
      <c r="AC310" t="str">
        <f t="shared" si="84"/>
        <v>0</v>
      </c>
      <c r="AD310" t="str">
        <f t="shared" si="94"/>
        <v>4</v>
      </c>
      <c r="AE310" t="str">
        <f t="shared" si="95"/>
        <v>WOOD (INCLUDE STEEL STUDS)</v>
      </c>
      <c r="AF310" t="str">
        <f>"001"</f>
        <v>001</v>
      </c>
      <c r="AG310" t="str">
        <f t="shared" si="93"/>
        <v>FL</v>
      </c>
      <c r="AH310" t="str">
        <f>"28314.00"</f>
        <v>28314.00</v>
      </c>
      <c r="AI310" t="str">
        <f>"12187.00"</f>
        <v>12187.00</v>
      </c>
      <c r="AJ310" t="str">
        <f>"C55-000-586-4368-5"</f>
        <v>C55-000-586-4368-5</v>
      </c>
      <c r="AK310" t="str">
        <f>"9154"</f>
        <v>9154</v>
      </c>
      <c r="AL310">
        <v>2</v>
      </c>
      <c r="AM310">
        <v>357</v>
      </c>
      <c r="AN310">
        <v>718.84</v>
      </c>
      <c r="AQ310" t="s">
        <v>3546</v>
      </c>
      <c r="AR310" t="s">
        <v>3546</v>
      </c>
      <c r="AS310" t="s">
        <v>3546</v>
      </c>
      <c r="AU310" t="s">
        <v>396</v>
      </c>
      <c r="AV310">
        <v>2017</v>
      </c>
      <c r="AW310" t="str">
        <f>"03-1S-24-0000-0002-0100 "</f>
        <v xml:space="preserve">03-1S-24-0000-0002-0100 </v>
      </c>
      <c r="AX310">
        <v>11331</v>
      </c>
      <c r="AZ310" t="s">
        <v>3547</v>
      </c>
      <c r="BA310" t="s">
        <v>653</v>
      </c>
      <c r="BD310" t="s">
        <v>553</v>
      </c>
      <c r="BE310" t="s">
        <v>393</v>
      </c>
      <c r="BF310">
        <v>32009</v>
      </c>
      <c r="BG310" t="s">
        <v>3548</v>
      </c>
      <c r="BH310" t="s">
        <v>555</v>
      </c>
      <c r="BI310">
        <v>-81.885572139782397</v>
      </c>
      <c r="BJ310">
        <v>30.4372151837225</v>
      </c>
      <c r="BK310" t="s">
        <v>3549</v>
      </c>
      <c r="BL310" t="s">
        <v>3550</v>
      </c>
      <c r="BM310" t="s">
        <v>3548</v>
      </c>
      <c r="BN310" t="s">
        <v>558</v>
      </c>
      <c r="BO310">
        <v>32009</v>
      </c>
      <c r="BP310" t="s">
        <v>416</v>
      </c>
      <c r="BQ310">
        <v>100</v>
      </c>
      <c r="BR310" t="s">
        <v>514</v>
      </c>
      <c r="BS310">
        <v>1001</v>
      </c>
      <c r="BT310" t="s">
        <v>515</v>
      </c>
      <c r="BW310">
        <v>28314</v>
      </c>
      <c r="BX310" t="s">
        <v>407</v>
      </c>
      <c r="BY310" t="s">
        <v>408</v>
      </c>
      <c r="BZ310">
        <v>4</v>
      </c>
      <c r="CA310">
        <v>1986</v>
      </c>
      <c r="CB310">
        <v>1</v>
      </c>
      <c r="CC310">
        <v>1</v>
      </c>
      <c r="CD310">
        <v>2017</v>
      </c>
      <c r="CG310">
        <v>81055</v>
      </c>
      <c r="CH310">
        <v>2017</v>
      </c>
      <c r="CI310">
        <v>12187</v>
      </c>
      <c r="CJ310">
        <v>69232</v>
      </c>
      <c r="CK310">
        <v>81419</v>
      </c>
      <c r="CL310">
        <v>2017</v>
      </c>
      <c r="CM310">
        <v>635.08000000000004</v>
      </c>
      <c r="CN310" s="1">
        <v>42205</v>
      </c>
      <c r="CO310">
        <v>40000</v>
      </c>
      <c r="CV310">
        <v>0</v>
      </c>
      <c r="CZ310" s="1">
        <v>42205</v>
      </c>
      <c r="DA310">
        <v>0</v>
      </c>
      <c r="DD310" t="s">
        <v>553</v>
      </c>
      <c r="DG310">
        <v>3</v>
      </c>
      <c r="DL310">
        <v>50504</v>
      </c>
      <c r="DM310" t="s">
        <v>3551</v>
      </c>
      <c r="DO310" t="s">
        <v>3552</v>
      </c>
      <c r="DP310">
        <v>0</v>
      </c>
      <c r="DQ310">
        <v>0</v>
      </c>
      <c r="DR310" t="s">
        <v>411</v>
      </c>
    </row>
    <row r="311" spans="1:285" x14ac:dyDescent="0.25">
      <c r="A311">
        <v>16485318</v>
      </c>
      <c r="B311">
        <v>310</v>
      </c>
      <c r="C311" t="s">
        <v>393</v>
      </c>
      <c r="D311" t="s">
        <v>394</v>
      </c>
      <c r="F311" t="str">
        <f>"04-1S-24-0000-0007-0010"</f>
        <v>04-1S-24-0000-0007-0010</v>
      </c>
      <c r="H311" t="str">
        <f>"PARKER MARIAN S EST"</f>
        <v>PARKER MARIAN S EST</v>
      </c>
      <c r="I311" t="str">
        <f>"8278 FORD RD"</f>
        <v>8278 FORD RD</v>
      </c>
      <c r="J311" t="str">
        <f>"BRYCEVILLE FL 32009"</f>
        <v>BRYCEVILLE FL 32009</v>
      </c>
      <c r="K311" t="str">
        <f>"8278 FORD RD"</f>
        <v>8278 FORD RD</v>
      </c>
      <c r="L311" t="str">
        <f t="shared" si="96"/>
        <v>BRYCEVILLE FL 32009</v>
      </c>
      <c r="M311" t="str">
        <f>"IN OR 259 PG 26 EX 7-4 &amp; 7-5 &amp; 7-6 &amp; 7-7 &amp; 7-8"</f>
        <v>IN OR 259 PG 26 EX 7-4 &amp; 7-5 &amp; 7-6 &amp; 7-7 &amp; 7-8</v>
      </c>
      <c r="N311" t="str">
        <f>""</f>
        <v/>
      </c>
      <c r="O311" t="str">
        <f>"20021"</f>
        <v>20021</v>
      </c>
      <c r="P311" t="str">
        <f t="shared" si="82"/>
        <v>2017</v>
      </c>
      <c r="Q311" t="str">
        <f>""</f>
        <v/>
      </c>
      <c r="R311" t="str">
        <f>"Y"</f>
        <v>Y</v>
      </c>
      <c r="S311" t="str">
        <f>"17.73"</f>
        <v>17.73</v>
      </c>
      <c r="T311" t="str">
        <f>"2832.30"</f>
        <v>2832.30</v>
      </c>
      <c r="U311" t="str">
        <f>"226193.00"</f>
        <v>226193.00</v>
      </c>
      <c r="V311" t="str">
        <f>"226193.00"</f>
        <v>226193.00</v>
      </c>
      <c r="W311" t="str">
        <f t="shared" si="83"/>
        <v>2017</v>
      </c>
      <c r="X311" t="str">
        <f>"21.00"</f>
        <v>21.00</v>
      </c>
      <c r="Y311" t="str">
        <f>"2949.27"</f>
        <v>2949.27</v>
      </c>
      <c r="Z311" t="str">
        <f>"25000.00"</f>
        <v>25000.00</v>
      </c>
      <c r="AA311" t="str">
        <f>"201193.00"</f>
        <v>201193.00</v>
      </c>
      <c r="AB311" t="str">
        <f t="shared" si="92"/>
        <v>Residential</v>
      </c>
      <c r="AC311" t="str">
        <f t="shared" si="84"/>
        <v>0</v>
      </c>
      <c r="AD311" t="str">
        <f t="shared" si="94"/>
        <v>4</v>
      </c>
      <c r="AE311" t="str">
        <f t="shared" si="95"/>
        <v>WOOD (INCLUDE STEEL STUDS)</v>
      </c>
      <c r="AF311" t="str">
        <f>"001"</f>
        <v>001</v>
      </c>
      <c r="AG311" t="str">
        <f t="shared" si="93"/>
        <v>FL</v>
      </c>
      <c r="AH311" t="str">
        <f>"772318.00"</f>
        <v>772318.00</v>
      </c>
      <c r="AI311" t="str">
        <f>"79785.00"</f>
        <v>79785.00</v>
      </c>
      <c r="AJ311" t="str">
        <f>"C55-000-586-5133-2"</f>
        <v>C55-000-586-5133-2</v>
      </c>
      <c r="AK311" t="str">
        <f>"9200"</f>
        <v>9200</v>
      </c>
      <c r="AL311">
        <v>2</v>
      </c>
      <c r="AM311">
        <v>358</v>
      </c>
      <c r="AN311">
        <v>3095.13</v>
      </c>
      <c r="AQ311" t="s">
        <v>3553</v>
      </c>
      <c r="AR311" t="s">
        <v>3553</v>
      </c>
      <c r="AS311" t="s">
        <v>3553</v>
      </c>
      <c r="AU311" t="s">
        <v>396</v>
      </c>
      <c r="AV311">
        <v>2017</v>
      </c>
      <c r="AW311" t="str">
        <f>"04-1S-24-0000-0007-0010 "</f>
        <v xml:space="preserve">04-1S-24-0000-0007-0010 </v>
      </c>
      <c r="AX311">
        <v>8278</v>
      </c>
      <c r="AZ311" t="s">
        <v>3554</v>
      </c>
      <c r="BA311" t="s">
        <v>496</v>
      </c>
      <c r="BD311" t="s">
        <v>553</v>
      </c>
      <c r="BE311" t="s">
        <v>393</v>
      </c>
      <c r="BF311">
        <v>32009</v>
      </c>
      <c r="BG311" t="s">
        <v>3555</v>
      </c>
      <c r="BH311" t="s">
        <v>555</v>
      </c>
      <c r="BI311">
        <v>-81.909821211461505</v>
      </c>
      <c r="BJ311">
        <v>30.436819041727102</v>
      </c>
      <c r="BK311" t="s">
        <v>3556</v>
      </c>
      <c r="BM311" t="s">
        <v>3555</v>
      </c>
      <c r="BN311" t="s">
        <v>558</v>
      </c>
      <c r="BO311">
        <v>32009</v>
      </c>
      <c r="BP311" t="s">
        <v>416</v>
      </c>
      <c r="BQ311">
        <v>100</v>
      </c>
      <c r="BR311" t="s">
        <v>514</v>
      </c>
      <c r="BS311">
        <v>1001</v>
      </c>
      <c r="BT311" t="s">
        <v>515</v>
      </c>
      <c r="BW311">
        <v>772318</v>
      </c>
      <c r="BX311" t="s">
        <v>407</v>
      </c>
      <c r="BY311" t="s">
        <v>408</v>
      </c>
      <c r="BZ311">
        <v>4</v>
      </c>
      <c r="CA311">
        <v>1958</v>
      </c>
      <c r="CB311">
        <v>1</v>
      </c>
      <c r="CC311">
        <v>3</v>
      </c>
      <c r="CD311">
        <v>2017</v>
      </c>
      <c r="CG311">
        <v>226193</v>
      </c>
      <c r="CH311">
        <v>2017</v>
      </c>
      <c r="CI311">
        <v>79785</v>
      </c>
      <c r="CJ311">
        <v>154464</v>
      </c>
      <c r="CK311">
        <v>234249</v>
      </c>
      <c r="CL311">
        <v>2017</v>
      </c>
      <c r="CM311">
        <v>2832.3</v>
      </c>
      <c r="CN311" s="1">
        <v>28522</v>
      </c>
      <c r="CZ311" s="1">
        <v>28522</v>
      </c>
      <c r="DD311" t="s">
        <v>553</v>
      </c>
      <c r="DG311">
        <v>4</v>
      </c>
      <c r="DL311">
        <v>50504</v>
      </c>
      <c r="DM311" t="s">
        <v>3557</v>
      </c>
      <c r="DO311" t="s">
        <v>3558</v>
      </c>
      <c r="DP311">
        <v>0</v>
      </c>
      <c r="DQ311">
        <v>0</v>
      </c>
      <c r="DR311" t="s">
        <v>411</v>
      </c>
      <c r="DS311" t="b">
        <v>1</v>
      </c>
      <c r="DT311" t="s">
        <v>470</v>
      </c>
      <c r="DU311" t="s">
        <v>471</v>
      </c>
      <c r="DV311" t="s">
        <v>472</v>
      </c>
      <c r="DX311">
        <v>-9999</v>
      </c>
      <c r="DZ311" t="s">
        <v>447</v>
      </c>
      <c r="EA311" t="s">
        <v>448</v>
      </c>
      <c r="EB311" t="s">
        <v>742</v>
      </c>
      <c r="EC311">
        <v>20101217</v>
      </c>
      <c r="ED311" t="s">
        <v>474</v>
      </c>
      <c r="EF311">
        <v>140.6</v>
      </c>
      <c r="EG311">
        <v>140.6</v>
      </c>
      <c r="EI311">
        <v>20160407</v>
      </c>
      <c r="EJ311">
        <v>0</v>
      </c>
      <c r="EK311">
        <v>0</v>
      </c>
      <c r="EP311" t="s">
        <v>421</v>
      </c>
      <c r="EQ311" t="s">
        <v>422</v>
      </c>
      <c r="ER311">
        <v>2</v>
      </c>
      <c r="ES311">
        <v>9</v>
      </c>
      <c r="ET311">
        <v>5984</v>
      </c>
      <c r="EU311">
        <v>311.7</v>
      </c>
      <c r="EV311">
        <v>6295.7</v>
      </c>
      <c r="EW311" s="2">
        <v>43222</v>
      </c>
      <c r="EX311" s="1">
        <v>42879</v>
      </c>
      <c r="EY311">
        <v>2016</v>
      </c>
      <c r="EZ311">
        <v>2992</v>
      </c>
      <c r="FA311" t="s">
        <v>3559</v>
      </c>
      <c r="FB311">
        <v>0.25</v>
      </c>
      <c r="FC311" t="s">
        <v>424</v>
      </c>
      <c r="FD311" t="s">
        <v>454</v>
      </c>
      <c r="FF311">
        <v>12</v>
      </c>
      <c r="FG311">
        <v>2851116</v>
      </c>
      <c r="FH311" t="s">
        <v>480</v>
      </c>
      <c r="FJ311" s="1">
        <v>42879</v>
      </c>
      <c r="FK311">
        <v>2016</v>
      </c>
      <c r="FL311">
        <v>2992</v>
      </c>
      <c r="FM311" t="s">
        <v>3559</v>
      </c>
      <c r="FN311">
        <v>0.25</v>
      </c>
      <c r="FO311" t="s">
        <v>424</v>
      </c>
      <c r="FP311" t="s">
        <v>454</v>
      </c>
      <c r="FR311">
        <v>12</v>
      </c>
      <c r="FS311">
        <v>4925206</v>
      </c>
      <c r="FT311" t="s">
        <v>3560</v>
      </c>
      <c r="FV311" s="1">
        <v>42515</v>
      </c>
      <c r="FW311">
        <v>2015</v>
      </c>
      <c r="FX311">
        <v>2943.23</v>
      </c>
      <c r="FY311" t="s">
        <v>3561</v>
      </c>
      <c r="FZ311">
        <v>0.25</v>
      </c>
      <c r="GA311" t="s">
        <v>424</v>
      </c>
      <c r="GB311" t="s">
        <v>425</v>
      </c>
      <c r="GC311" s="1">
        <v>43157</v>
      </c>
      <c r="GD311">
        <v>21</v>
      </c>
      <c r="GE311">
        <v>7336671</v>
      </c>
      <c r="GF311" t="s">
        <v>437</v>
      </c>
      <c r="GH311" s="1">
        <v>42515</v>
      </c>
      <c r="GI311">
        <v>2015</v>
      </c>
      <c r="GJ311">
        <v>2943.23</v>
      </c>
      <c r="GK311" t="s">
        <v>3561</v>
      </c>
      <c r="GL311">
        <v>0.25</v>
      </c>
      <c r="GM311" t="s">
        <v>424</v>
      </c>
      <c r="GN311" t="s">
        <v>425</v>
      </c>
      <c r="GP311">
        <v>22</v>
      </c>
      <c r="GQ311">
        <v>6859649</v>
      </c>
      <c r="GR311" t="s">
        <v>3562</v>
      </c>
      <c r="GT311" s="1">
        <v>42151</v>
      </c>
      <c r="GU311">
        <v>2014</v>
      </c>
      <c r="GV311">
        <v>2833.63</v>
      </c>
      <c r="GW311" t="s">
        <v>3563</v>
      </c>
      <c r="GX311">
        <v>0.25</v>
      </c>
      <c r="GY311" t="s">
        <v>424</v>
      </c>
      <c r="GZ311" t="s">
        <v>425</v>
      </c>
      <c r="HA311" s="1">
        <v>42793</v>
      </c>
      <c r="HB311">
        <v>21</v>
      </c>
      <c r="HC311">
        <v>2851116</v>
      </c>
      <c r="HD311" t="s">
        <v>480</v>
      </c>
      <c r="HF311" s="1">
        <v>42151</v>
      </c>
      <c r="HG311">
        <v>2014</v>
      </c>
      <c r="HH311">
        <v>2833.63</v>
      </c>
      <c r="HI311" t="s">
        <v>3563</v>
      </c>
      <c r="HJ311">
        <v>0.25</v>
      </c>
      <c r="HK311" t="s">
        <v>424</v>
      </c>
      <c r="HL311" t="s">
        <v>425</v>
      </c>
      <c r="HN311">
        <v>22</v>
      </c>
      <c r="HO311">
        <v>5267099</v>
      </c>
      <c r="HP311" t="s">
        <v>3564</v>
      </c>
      <c r="HR311" s="1">
        <v>41787</v>
      </c>
      <c r="HS311">
        <v>2013</v>
      </c>
      <c r="HT311">
        <v>2645.35</v>
      </c>
      <c r="HU311" t="s">
        <v>3565</v>
      </c>
      <c r="HV311">
        <v>0.25</v>
      </c>
      <c r="HW311" t="s">
        <v>424</v>
      </c>
      <c r="HX311" t="s">
        <v>425</v>
      </c>
      <c r="HY311" s="1">
        <v>42426</v>
      </c>
      <c r="HZ311">
        <v>21</v>
      </c>
      <c r="IA311">
        <v>2757457</v>
      </c>
      <c r="IB311" t="s">
        <v>648</v>
      </c>
      <c r="ID311" s="1">
        <v>41423</v>
      </c>
      <c r="IE311">
        <v>2012</v>
      </c>
      <c r="IF311">
        <v>2649.6</v>
      </c>
      <c r="IG311" t="s">
        <v>3566</v>
      </c>
      <c r="IH311">
        <v>0.25</v>
      </c>
      <c r="II311" t="s">
        <v>424</v>
      </c>
      <c r="IJ311" t="s">
        <v>425</v>
      </c>
      <c r="IK311" s="1">
        <v>42060</v>
      </c>
      <c r="IL311">
        <v>21</v>
      </c>
      <c r="IM311">
        <v>15970</v>
      </c>
      <c r="IN311" t="s">
        <v>1435</v>
      </c>
      <c r="IP311" s="1">
        <v>41052</v>
      </c>
      <c r="IQ311">
        <v>2011</v>
      </c>
      <c r="IR311">
        <v>2617.5</v>
      </c>
      <c r="IS311" t="s">
        <v>3567</v>
      </c>
      <c r="IT311">
        <v>0.25</v>
      </c>
      <c r="IU311" t="s">
        <v>424</v>
      </c>
      <c r="IV311" t="s">
        <v>425</v>
      </c>
      <c r="IW311" s="1">
        <v>41698</v>
      </c>
      <c r="IX311">
        <v>21</v>
      </c>
      <c r="IY311">
        <v>13104</v>
      </c>
      <c r="IZ311" t="s">
        <v>888</v>
      </c>
      <c r="JB311" s="1">
        <v>41052</v>
      </c>
      <c r="JC311">
        <v>2011</v>
      </c>
      <c r="JD311">
        <v>2617.5</v>
      </c>
      <c r="JE311" t="s">
        <v>3567</v>
      </c>
      <c r="JF311">
        <v>0.25</v>
      </c>
      <c r="JG311" t="s">
        <v>424</v>
      </c>
      <c r="JH311" t="s">
        <v>425</v>
      </c>
      <c r="JJ311">
        <v>22</v>
      </c>
      <c r="JK311">
        <v>13682</v>
      </c>
      <c r="JL311" t="s">
        <v>889</v>
      </c>
      <c r="JN311" s="1">
        <v>40688</v>
      </c>
      <c r="JO311">
        <v>2010</v>
      </c>
      <c r="JP311">
        <v>2596.23</v>
      </c>
      <c r="JQ311" t="s">
        <v>3568</v>
      </c>
      <c r="JR311">
        <v>0.25</v>
      </c>
      <c r="JS311" t="s">
        <v>424</v>
      </c>
      <c r="JT311" t="s">
        <v>425</v>
      </c>
      <c r="JU311" s="1">
        <v>41331</v>
      </c>
      <c r="JV311">
        <v>21</v>
      </c>
      <c r="JW311">
        <v>11141</v>
      </c>
      <c r="JX311" t="s">
        <v>1723</v>
      </c>
    </row>
    <row r="312" spans="1:285" x14ac:dyDescent="0.25">
      <c r="A312">
        <v>16485319</v>
      </c>
      <c r="B312">
        <v>311</v>
      </c>
      <c r="C312" t="s">
        <v>393</v>
      </c>
      <c r="D312" t="s">
        <v>394</v>
      </c>
      <c r="F312" t="str">
        <f>"04-1S-24-0000-0007-0060"</f>
        <v>04-1S-24-0000-0007-0060</v>
      </c>
      <c r="H312" t="str">
        <f>"FRITTON ARTHUR J EST C/O MARK FRITTON"</f>
        <v>FRITTON ARTHUR J EST C/O MARK FRITTON</v>
      </c>
      <c r="I312" t="str">
        <f>"PO BOX 586"</f>
        <v>PO BOX 586</v>
      </c>
      <c r="J312" t="str">
        <f>"CALLAHAN FL 32011"</f>
        <v>CALLAHAN FL 32011</v>
      </c>
      <c r="K312" t="str">
        <f>"11313 VERDIE CEMETERY RD"</f>
        <v>11313 VERDIE CEMETERY RD</v>
      </c>
      <c r="L312" t="str">
        <f t="shared" si="96"/>
        <v>BRYCEVILLE FL 32009</v>
      </c>
      <c r="M312" t="str">
        <f>"IN OR 304 PG 127"</f>
        <v>IN OR 304 PG 127</v>
      </c>
      <c r="N312" t="str">
        <f>""</f>
        <v/>
      </c>
      <c r="O312" t="str">
        <f>"20026"</f>
        <v>20026</v>
      </c>
      <c r="P312" t="str">
        <f t="shared" si="82"/>
        <v>2017</v>
      </c>
      <c r="Q312" t="str">
        <f>""</f>
        <v/>
      </c>
      <c r="R312" t="str">
        <f>"N"</f>
        <v>N</v>
      </c>
      <c r="S312" t="str">
        <f>"1.00"</f>
        <v>1.00</v>
      </c>
      <c r="T312" t="str">
        <f>"1152.20"</f>
        <v>1152.20</v>
      </c>
      <c r="U312" t="str">
        <f>"76109.00"</f>
        <v>76109.00</v>
      </c>
      <c r="V312" t="str">
        <f>"76109.00"</f>
        <v>76109.00</v>
      </c>
      <c r="W312" t="str">
        <f t="shared" si="83"/>
        <v>2017</v>
      </c>
      <c r="X312" t="str">
        <f>"15.14"</f>
        <v>15.14</v>
      </c>
      <c r="Y312" t="str">
        <f>"1218.77"</f>
        <v>1218.77</v>
      </c>
      <c r="Z312" t="str">
        <f>""</f>
        <v/>
      </c>
      <c r="AA312" t="str">
        <f>"76109.00"</f>
        <v>76109.00</v>
      </c>
      <c r="AB312" t="str">
        <f t="shared" si="92"/>
        <v>Residential</v>
      </c>
      <c r="AC312" t="str">
        <f t="shared" si="84"/>
        <v>0</v>
      </c>
      <c r="AD312" t="str">
        <f t="shared" si="94"/>
        <v>4</v>
      </c>
      <c r="AE312" t="str">
        <f t="shared" si="95"/>
        <v>WOOD (INCLUDE STEEL STUDS)</v>
      </c>
      <c r="AF312" t="str">
        <f>"001"</f>
        <v>001</v>
      </c>
      <c r="AG312" t="str">
        <f t="shared" si="93"/>
        <v>FL</v>
      </c>
      <c r="AH312" t="str">
        <f>"43560.00"</f>
        <v>43560.00</v>
      </c>
      <c r="AI312" t="str">
        <f>"15000.00"</f>
        <v>15000.00</v>
      </c>
      <c r="AJ312" t="str">
        <f>"C55-000-586-5138-1"</f>
        <v>C55-000-586-5138-1</v>
      </c>
      <c r="AK312" t="str">
        <f>"9205"</f>
        <v>9205</v>
      </c>
      <c r="AL312">
        <v>2</v>
      </c>
      <c r="AM312">
        <v>359</v>
      </c>
      <c r="AN312">
        <v>1278.1099999999999</v>
      </c>
      <c r="AQ312" t="s">
        <v>3569</v>
      </c>
      <c r="AR312" t="s">
        <v>3569</v>
      </c>
      <c r="AS312" t="s">
        <v>3569</v>
      </c>
      <c r="AU312" t="s">
        <v>396</v>
      </c>
      <c r="AV312">
        <v>2017</v>
      </c>
      <c r="AW312" t="str">
        <f>"04-1S-24-0000-0007-0060 "</f>
        <v xml:space="preserve">04-1S-24-0000-0007-0060 </v>
      </c>
      <c r="AX312">
        <v>11313</v>
      </c>
      <c r="AZ312" t="s">
        <v>3570</v>
      </c>
      <c r="BA312" t="s">
        <v>496</v>
      </c>
      <c r="BD312" t="s">
        <v>553</v>
      </c>
      <c r="BE312" t="s">
        <v>393</v>
      </c>
      <c r="BF312">
        <v>32009</v>
      </c>
      <c r="BG312" t="s">
        <v>3571</v>
      </c>
      <c r="BH312" t="s">
        <v>555</v>
      </c>
      <c r="BI312">
        <v>-81.911601729499196</v>
      </c>
      <c r="BJ312">
        <v>30.436902978774999</v>
      </c>
      <c r="BK312" t="s">
        <v>3572</v>
      </c>
      <c r="BM312" t="s">
        <v>3573</v>
      </c>
      <c r="BN312" t="s">
        <v>928</v>
      </c>
      <c r="BO312">
        <v>32011</v>
      </c>
      <c r="BP312" t="s">
        <v>404</v>
      </c>
      <c r="BQ312">
        <v>100</v>
      </c>
      <c r="BR312" t="s">
        <v>514</v>
      </c>
      <c r="BS312">
        <v>1001</v>
      </c>
      <c r="BT312" t="s">
        <v>515</v>
      </c>
      <c r="BW312">
        <v>43560</v>
      </c>
      <c r="BX312" t="s">
        <v>407</v>
      </c>
      <c r="BY312" t="s">
        <v>408</v>
      </c>
      <c r="BZ312">
        <v>4</v>
      </c>
      <c r="CA312">
        <v>1980</v>
      </c>
      <c r="CB312">
        <v>1</v>
      </c>
      <c r="CC312">
        <v>1</v>
      </c>
      <c r="CD312">
        <v>2017</v>
      </c>
      <c r="CE312">
        <v>15000</v>
      </c>
      <c r="CF312">
        <v>61109</v>
      </c>
      <c r="CG312">
        <v>76109</v>
      </c>
      <c r="CH312">
        <v>2017</v>
      </c>
      <c r="CI312">
        <v>15000</v>
      </c>
      <c r="CJ312">
        <v>61109</v>
      </c>
      <c r="CK312">
        <v>76109</v>
      </c>
      <c r="CL312">
        <v>2017</v>
      </c>
      <c r="CM312">
        <v>1152.2</v>
      </c>
      <c r="CN312" s="1">
        <v>29160</v>
      </c>
      <c r="CO312">
        <v>5000</v>
      </c>
      <c r="CZ312" s="1">
        <v>29160</v>
      </c>
      <c r="DD312" t="s">
        <v>553</v>
      </c>
      <c r="DG312">
        <v>4</v>
      </c>
      <c r="DL312">
        <v>50504</v>
      </c>
      <c r="DM312" t="s">
        <v>3557</v>
      </c>
      <c r="DO312" t="s">
        <v>3574</v>
      </c>
      <c r="DP312">
        <v>0</v>
      </c>
      <c r="DQ312">
        <v>0</v>
      </c>
      <c r="DR312" t="s">
        <v>411</v>
      </c>
      <c r="DS312" t="b">
        <v>1</v>
      </c>
      <c r="DT312" t="s">
        <v>396</v>
      </c>
      <c r="DV312" t="s">
        <v>446</v>
      </c>
      <c r="DX312">
        <v>-9999</v>
      </c>
      <c r="DZ312" t="s">
        <v>447</v>
      </c>
      <c r="EA312" t="s">
        <v>448</v>
      </c>
      <c r="EB312" t="s">
        <v>3008</v>
      </c>
      <c r="EC312">
        <v>20101217</v>
      </c>
      <c r="ED312" t="s">
        <v>450</v>
      </c>
      <c r="EE312">
        <v>33.700000000000003</v>
      </c>
      <c r="EF312">
        <v>0</v>
      </c>
      <c r="EG312">
        <v>0</v>
      </c>
      <c r="EI312">
        <v>20160407</v>
      </c>
      <c r="EJ312">
        <v>0</v>
      </c>
      <c r="EK312">
        <v>0</v>
      </c>
      <c r="EP312" t="s">
        <v>421</v>
      </c>
      <c r="EQ312" t="s">
        <v>422</v>
      </c>
      <c r="ER312">
        <v>2</v>
      </c>
      <c r="ES312">
        <v>8</v>
      </c>
      <c r="ET312">
        <v>2487.2800000000002</v>
      </c>
      <c r="EU312">
        <v>136.86000000000001</v>
      </c>
      <c r="EV312">
        <v>2624.14</v>
      </c>
      <c r="EW312" s="2">
        <v>43222</v>
      </c>
      <c r="EX312" s="1">
        <v>42879</v>
      </c>
      <c r="EY312">
        <v>2016</v>
      </c>
      <c r="EZ312">
        <v>1243.6400000000001</v>
      </c>
      <c r="FA312" t="s">
        <v>3575</v>
      </c>
      <c r="FB312">
        <v>0.25</v>
      </c>
      <c r="FC312" t="s">
        <v>424</v>
      </c>
      <c r="FD312" t="s">
        <v>454</v>
      </c>
      <c r="FF312">
        <v>12</v>
      </c>
      <c r="FG312">
        <v>5857474</v>
      </c>
      <c r="FH312" t="s">
        <v>900</v>
      </c>
      <c r="FJ312" s="1">
        <v>42879</v>
      </c>
      <c r="FK312">
        <v>2016</v>
      </c>
      <c r="FL312">
        <v>1243.6400000000001</v>
      </c>
      <c r="FM312" t="s">
        <v>3575</v>
      </c>
      <c r="FN312">
        <v>0.25</v>
      </c>
      <c r="FO312" t="s">
        <v>424</v>
      </c>
      <c r="FP312" t="s">
        <v>454</v>
      </c>
      <c r="FR312">
        <v>12</v>
      </c>
      <c r="FS312">
        <v>6441510</v>
      </c>
      <c r="FT312" t="s">
        <v>3576</v>
      </c>
      <c r="FV312" s="1">
        <v>42515</v>
      </c>
      <c r="FW312">
        <v>2015</v>
      </c>
      <c r="FX312">
        <v>1258.32</v>
      </c>
      <c r="FY312" t="s">
        <v>3577</v>
      </c>
      <c r="FZ312">
        <v>0.25</v>
      </c>
      <c r="GA312" t="s">
        <v>424</v>
      </c>
      <c r="GB312" t="s">
        <v>425</v>
      </c>
      <c r="GC312" s="1">
        <v>42635</v>
      </c>
      <c r="GD312">
        <v>4</v>
      </c>
      <c r="GE312">
        <v>7045074</v>
      </c>
      <c r="GF312" t="s">
        <v>580</v>
      </c>
      <c r="GH312" s="1">
        <v>42515</v>
      </c>
      <c r="GI312">
        <v>2015</v>
      </c>
      <c r="GJ312">
        <v>1258.32</v>
      </c>
      <c r="GK312" t="s">
        <v>3577</v>
      </c>
      <c r="GL312">
        <v>0.25</v>
      </c>
      <c r="GM312" t="s">
        <v>424</v>
      </c>
      <c r="GN312" t="s">
        <v>425</v>
      </c>
      <c r="GP312">
        <v>22</v>
      </c>
      <c r="GQ312">
        <v>6451702</v>
      </c>
      <c r="GR312" t="s">
        <v>3578</v>
      </c>
      <c r="GT312" s="1">
        <v>42151</v>
      </c>
      <c r="GU312">
        <v>2014</v>
      </c>
      <c r="GV312">
        <v>1141.8599999999999</v>
      </c>
      <c r="GW312" t="s">
        <v>3579</v>
      </c>
      <c r="GX312">
        <v>0.25</v>
      </c>
      <c r="GY312" t="s">
        <v>424</v>
      </c>
      <c r="GZ312" t="s">
        <v>425</v>
      </c>
      <c r="HA312" s="1">
        <v>42635</v>
      </c>
      <c r="HB312">
        <v>16</v>
      </c>
      <c r="HC312">
        <v>4975594</v>
      </c>
      <c r="HD312" t="s">
        <v>457</v>
      </c>
      <c r="HF312" s="1">
        <v>42151</v>
      </c>
      <c r="HG312">
        <v>2014</v>
      </c>
      <c r="HH312">
        <v>1141.8599999999999</v>
      </c>
      <c r="HI312" t="s">
        <v>3579</v>
      </c>
      <c r="HJ312">
        <v>0.25</v>
      </c>
      <c r="HK312" t="s">
        <v>424</v>
      </c>
      <c r="HL312" t="s">
        <v>425</v>
      </c>
      <c r="HN312">
        <v>22</v>
      </c>
      <c r="HO312">
        <v>6277214</v>
      </c>
      <c r="HP312" t="s">
        <v>3580</v>
      </c>
      <c r="HR312" s="1">
        <v>41787</v>
      </c>
      <c r="HS312">
        <v>2013</v>
      </c>
      <c r="HT312">
        <v>1009.97</v>
      </c>
      <c r="HU312" t="s">
        <v>3581</v>
      </c>
      <c r="HV312">
        <v>0.25</v>
      </c>
      <c r="HW312" t="s">
        <v>424</v>
      </c>
      <c r="HX312" t="s">
        <v>425</v>
      </c>
      <c r="HY312" s="1">
        <v>41920</v>
      </c>
      <c r="HZ312">
        <v>5</v>
      </c>
      <c r="IA312">
        <v>2407503</v>
      </c>
      <c r="IB312" t="s">
        <v>461</v>
      </c>
      <c r="ID312" s="1">
        <v>41423</v>
      </c>
      <c r="IE312">
        <v>2012</v>
      </c>
      <c r="IF312">
        <v>1053.17</v>
      </c>
      <c r="IG312" t="s">
        <v>3582</v>
      </c>
      <c r="IH312">
        <v>0.25</v>
      </c>
      <c r="II312" t="s">
        <v>424</v>
      </c>
      <c r="IJ312" t="s">
        <v>425</v>
      </c>
      <c r="IK312" s="1">
        <v>41920</v>
      </c>
      <c r="IL312">
        <v>17</v>
      </c>
      <c r="IM312">
        <v>15970</v>
      </c>
      <c r="IN312" t="s">
        <v>1435</v>
      </c>
      <c r="IP312" s="1">
        <v>41052</v>
      </c>
      <c r="IQ312">
        <v>2011</v>
      </c>
      <c r="IR312">
        <v>1065.6500000000001</v>
      </c>
      <c r="IS312" t="s">
        <v>3583</v>
      </c>
      <c r="IT312">
        <v>6.5</v>
      </c>
      <c r="IU312" t="s">
        <v>424</v>
      </c>
      <c r="IV312" t="s">
        <v>425</v>
      </c>
      <c r="IW312" s="1">
        <v>41920</v>
      </c>
      <c r="IX312">
        <v>29</v>
      </c>
      <c r="IY312">
        <v>62</v>
      </c>
      <c r="IZ312" t="s">
        <v>463</v>
      </c>
      <c r="JB312" s="1">
        <v>40688</v>
      </c>
      <c r="JC312">
        <v>2010</v>
      </c>
      <c r="JD312">
        <v>1100.6500000000001</v>
      </c>
      <c r="JE312" t="s">
        <v>3584</v>
      </c>
      <c r="JF312">
        <v>4</v>
      </c>
      <c r="JG312" t="s">
        <v>424</v>
      </c>
      <c r="JH312" t="s">
        <v>425</v>
      </c>
      <c r="JI312" s="1">
        <v>41162</v>
      </c>
      <c r="JJ312">
        <v>16</v>
      </c>
      <c r="JK312">
        <v>11244</v>
      </c>
      <c r="JL312" t="s">
        <v>3585</v>
      </c>
    </row>
    <row r="313" spans="1:285" x14ac:dyDescent="0.25">
      <c r="A313">
        <v>16485320</v>
      </c>
      <c r="B313">
        <v>312</v>
      </c>
      <c r="C313" t="s">
        <v>393</v>
      </c>
      <c r="D313" t="s">
        <v>394</v>
      </c>
      <c r="F313" t="str">
        <f>"05-1S-24-0000-0004-0180"</f>
        <v>05-1S-24-0000-0004-0180</v>
      </c>
      <c r="H313" t="str">
        <f>"TRNKA KRISTINA BROWN"</f>
        <v>TRNKA KRISTINA BROWN</v>
      </c>
      <c r="I313" t="str">
        <f>"12033 HWY 301"</f>
        <v>12033 HWY 301</v>
      </c>
      <c r="J313" t="str">
        <f t="shared" ref="J313:J318" si="97">"BRYCEVILLE FL 32009"</f>
        <v>BRYCEVILLE FL 32009</v>
      </c>
      <c r="K313" t="str">
        <f>"12039 US HWY 301"</f>
        <v>12039 US HWY 301</v>
      </c>
      <c r="L313" t="str">
        <f t="shared" si="96"/>
        <v>BRYCEVILLE FL 32009</v>
      </c>
      <c r="M313" t="str">
        <f>"PT OF ELY 1/2 IN OR 1868/597 EX R/W IN OR 958/627 EX 4-23"</f>
        <v>PT OF ELY 1/2 IN OR 1868/597 EX R/W IN OR 958/627 EX 4-23</v>
      </c>
      <c r="N313" t="str">
        <f>""</f>
        <v/>
      </c>
      <c r="O313" t="str">
        <f>"20668"</f>
        <v>20668</v>
      </c>
      <c r="P313" t="str">
        <f t="shared" si="82"/>
        <v>2017</v>
      </c>
      <c r="Q313" t="str">
        <f>""</f>
        <v/>
      </c>
      <c r="R313" t="str">
        <f>"N"</f>
        <v>N</v>
      </c>
      <c r="S313" t="str">
        <f>"2.00"</f>
        <v>2.00</v>
      </c>
      <c r="T313" t="str">
        <f>"491.23"</f>
        <v>491.23</v>
      </c>
      <c r="U313" t="str">
        <f>"29979.00"</f>
        <v>29979.00</v>
      </c>
      <c r="V313" t="str">
        <f>"29979.00"</f>
        <v>29979.00</v>
      </c>
      <c r="W313" t="str">
        <f t="shared" si="83"/>
        <v>2017</v>
      </c>
      <c r="X313" t="str">
        <f>"15.25"</f>
        <v>15.25</v>
      </c>
      <c r="Y313" t="str">
        <f>"537.97"</f>
        <v>537.97</v>
      </c>
      <c r="Z313" t="str">
        <f>""</f>
        <v/>
      </c>
      <c r="AA313" t="str">
        <f>"35643.00"</f>
        <v>35643.00</v>
      </c>
      <c r="AB313" t="str">
        <f t="shared" si="92"/>
        <v>Residential</v>
      </c>
      <c r="AC313" t="str">
        <f t="shared" si="84"/>
        <v>0</v>
      </c>
      <c r="AD313" t="str">
        <f>""</f>
        <v/>
      </c>
      <c r="AE313" t="str">
        <f>""</f>
        <v/>
      </c>
      <c r="AF313" t="str">
        <f>"000"</f>
        <v>000</v>
      </c>
      <c r="AG313" t="str">
        <f t="shared" si="93"/>
        <v>FL</v>
      </c>
      <c r="AH313" t="str">
        <f>"87120.00"</f>
        <v>87120.00</v>
      </c>
      <c r="AI313" t="str">
        <f>"20400.00"</f>
        <v>20400.00</v>
      </c>
      <c r="AJ313" t="str">
        <f>"C55-000-586-5536-6"</f>
        <v>C55-000-586-5536-6</v>
      </c>
      <c r="AK313" t="str">
        <f>"9240"</f>
        <v>9240</v>
      </c>
      <c r="AL313">
        <v>2</v>
      </c>
      <c r="AM313">
        <v>361</v>
      </c>
      <c r="AN313">
        <v>563.27</v>
      </c>
      <c r="AQ313" t="s">
        <v>3586</v>
      </c>
      <c r="AR313" t="s">
        <v>3586</v>
      </c>
      <c r="AS313" t="s">
        <v>3586</v>
      </c>
      <c r="AU313" t="s">
        <v>396</v>
      </c>
      <c r="AV313">
        <v>2017</v>
      </c>
      <c r="AW313" t="str">
        <f>"05-1S-24-0000-0004-0180 "</f>
        <v xml:space="preserve">05-1S-24-0000-0004-0180 </v>
      </c>
      <c r="AX313">
        <v>12039</v>
      </c>
      <c r="AZ313" t="s">
        <v>2893</v>
      </c>
      <c r="BD313" t="s">
        <v>553</v>
      </c>
      <c r="BE313" t="s">
        <v>393</v>
      </c>
      <c r="BF313">
        <v>32009</v>
      </c>
      <c r="BG313" t="s">
        <v>3587</v>
      </c>
      <c r="BH313" t="s">
        <v>555</v>
      </c>
      <c r="BI313">
        <v>-81.917409997613206</v>
      </c>
      <c r="BJ313">
        <v>30.443803507540999</v>
      </c>
      <c r="BK313" t="s">
        <v>3588</v>
      </c>
      <c r="BM313" t="s">
        <v>3589</v>
      </c>
      <c r="BN313" t="s">
        <v>558</v>
      </c>
      <c r="BO313">
        <v>32009</v>
      </c>
      <c r="BP313" t="s">
        <v>404</v>
      </c>
      <c r="BQ313">
        <v>1</v>
      </c>
      <c r="BR313" t="s">
        <v>491</v>
      </c>
      <c r="BS313">
        <v>8001</v>
      </c>
      <c r="BT313" t="s">
        <v>492</v>
      </c>
      <c r="BW313">
        <v>87120</v>
      </c>
      <c r="BX313" t="s">
        <v>407</v>
      </c>
      <c r="BY313" t="s">
        <v>408</v>
      </c>
      <c r="CD313">
        <v>2017</v>
      </c>
      <c r="CE313">
        <v>20400</v>
      </c>
      <c r="CF313">
        <v>15243</v>
      </c>
      <c r="CG313">
        <v>35643</v>
      </c>
      <c r="CH313">
        <v>2017</v>
      </c>
      <c r="CI313">
        <v>20400</v>
      </c>
      <c r="CJ313">
        <v>15243</v>
      </c>
      <c r="CK313">
        <v>35643</v>
      </c>
      <c r="CL313">
        <v>2017</v>
      </c>
      <c r="CM313">
        <v>491.23</v>
      </c>
      <c r="CN313" s="1">
        <v>36844</v>
      </c>
      <c r="CV313">
        <v>0</v>
      </c>
      <c r="CZ313" s="1">
        <v>36844</v>
      </c>
      <c r="DA313">
        <v>0</v>
      </c>
      <c r="DD313" t="s">
        <v>553</v>
      </c>
      <c r="DG313">
        <v>5</v>
      </c>
      <c r="DL313">
        <v>50504</v>
      </c>
      <c r="DM313" t="s">
        <v>3590</v>
      </c>
      <c r="DO313" t="s">
        <v>3591</v>
      </c>
      <c r="DP313">
        <v>0</v>
      </c>
      <c r="DQ313">
        <v>0</v>
      </c>
      <c r="DR313" t="s">
        <v>411</v>
      </c>
      <c r="DS313" t="b">
        <v>1</v>
      </c>
      <c r="DT313" t="s">
        <v>470</v>
      </c>
      <c r="DU313" t="s">
        <v>471</v>
      </c>
      <c r="DV313" t="s">
        <v>472</v>
      </c>
      <c r="DX313">
        <v>-9999</v>
      </c>
      <c r="DZ313" t="s">
        <v>447</v>
      </c>
      <c r="EA313" t="s">
        <v>448</v>
      </c>
      <c r="EB313" t="s">
        <v>742</v>
      </c>
      <c r="EC313">
        <v>20101217</v>
      </c>
      <c r="ED313" t="s">
        <v>474</v>
      </c>
      <c r="EF313">
        <v>335</v>
      </c>
      <c r="EG313">
        <v>335</v>
      </c>
      <c r="EI313">
        <v>20160407</v>
      </c>
      <c r="EJ313">
        <v>0</v>
      </c>
      <c r="EK313">
        <v>1</v>
      </c>
      <c r="EP313" t="s">
        <v>421</v>
      </c>
      <c r="EQ313" t="s">
        <v>452</v>
      </c>
      <c r="ER313">
        <v>0</v>
      </c>
      <c r="ES313">
        <v>3</v>
      </c>
      <c r="ET313">
        <v>0</v>
      </c>
      <c r="EU313">
        <v>0</v>
      </c>
      <c r="EV313">
        <v>0</v>
      </c>
      <c r="EW313" s="2">
        <v>43222</v>
      </c>
      <c r="EX313" s="1">
        <v>42515</v>
      </c>
      <c r="EY313">
        <v>2015</v>
      </c>
      <c r="EZ313">
        <v>369.11</v>
      </c>
      <c r="FA313" t="s">
        <v>3592</v>
      </c>
      <c r="FB313">
        <v>6.25</v>
      </c>
      <c r="FC313" t="s">
        <v>424</v>
      </c>
      <c r="FD313" t="s">
        <v>425</v>
      </c>
      <c r="FE313" s="1">
        <v>42852</v>
      </c>
      <c r="FF313">
        <v>11</v>
      </c>
      <c r="FG313">
        <v>7336143</v>
      </c>
      <c r="FH313" t="s">
        <v>539</v>
      </c>
      <c r="FI313" t="s">
        <v>458</v>
      </c>
      <c r="FJ313" s="1">
        <v>42151</v>
      </c>
      <c r="FK313">
        <v>2014</v>
      </c>
      <c r="FL313">
        <v>267.45</v>
      </c>
      <c r="FM313" t="s">
        <v>3593</v>
      </c>
      <c r="FN313">
        <v>4.75</v>
      </c>
      <c r="FO313" t="s">
        <v>424</v>
      </c>
      <c r="FP313" t="s">
        <v>425</v>
      </c>
      <c r="FR313">
        <v>22</v>
      </c>
      <c r="FS313">
        <v>4975593</v>
      </c>
      <c r="FT313" t="s">
        <v>505</v>
      </c>
      <c r="FU313" t="s">
        <v>458</v>
      </c>
      <c r="FV313" s="1">
        <v>40688</v>
      </c>
      <c r="FW313">
        <v>2010</v>
      </c>
      <c r="FX313">
        <v>613.20000000000005</v>
      </c>
      <c r="FY313" t="s">
        <v>3594</v>
      </c>
      <c r="FZ313">
        <v>10</v>
      </c>
      <c r="GA313" t="s">
        <v>424</v>
      </c>
      <c r="GB313" t="s">
        <v>425</v>
      </c>
      <c r="GC313" s="1">
        <v>41347</v>
      </c>
      <c r="GD313">
        <v>22</v>
      </c>
      <c r="GE313">
        <v>11135</v>
      </c>
      <c r="GF313" t="s">
        <v>1137</v>
      </c>
    </row>
    <row r="314" spans="1:285" x14ac:dyDescent="0.25">
      <c r="A314">
        <v>16485321</v>
      </c>
      <c r="B314">
        <v>313</v>
      </c>
      <c r="C314" t="s">
        <v>393</v>
      </c>
      <c r="D314" t="s">
        <v>394</v>
      </c>
      <c r="F314" t="str">
        <f>"05-1S-24-0000-0004-0190"</f>
        <v>05-1S-24-0000-0004-0190</v>
      </c>
      <c r="H314" t="str">
        <f>"GRIFFIN VICKY &amp; ROBERT KELLY (JT/RS)"</f>
        <v>GRIFFIN VICKY &amp; ROBERT KELLY (JT/RS)</v>
      </c>
      <c r="I314" t="str">
        <f>"11935 US HWY 301"</f>
        <v>11935 US HWY 301</v>
      </c>
      <c r="J314" t="str">
        <f t="shared" si="97"/>
        <v>BRYCEVILLE FL 32009</v>
      </c>
      <c r="K314" t="str">
        <f>"11935 US HWY 301"</f>
        <v>11935 US HWY 301</v>
      </c>
      <c r="L314" t="str">
        <f t="shared" si="96"/>
        <v>BRYCEVILLE FL 32009</v>
      </c>
      <c r="M314" t="str">
        <f>"PT OF ELY 1/2 IN OR 2083/873 EX R/W OR 948/527"</f>
        <v>PT OF ELY 1/2 IN OR 2083/873 EX R/W OR 948/527</v>
      </c>
      <c r="N314" t="str">
        <f>""</f>
        <v/>
      </c>
      <c r="O314" t="str">
        <f>"20669"</f>
        <v>20669</v>
      </c>
      <c r="P314" t="str">
        <f t="shared" si="82"/>
        <v>2017</v>
      </c>
      <c r="Q314" t="str">
        <f>""</f>
        <v/>
      </c>
      <c r="R314" t="str">
        <f>"N"</f>
        <v>N</v>
      </c>
      <c r="S314" t="str">
        <f>"3.91"</f>
        <v>3.91</v>
      </c>
      <c r="T314" t="str">
        <f>"1062.40"</f>
        <v>1062.40</v>
      </c>
      <c r="U314" t="str">
        <f>"70177.00"</f>
        <v>70177.00</v>
      </c>
      <c r="V314" t="str">
        <f>"70177.00"</f>
        <v>70177.00</v>
      </c>
      <c r="W314" t="str">
        <f t="shared" si="83"/>
        <v>2017</v>
      </c>
      <c r="X314" t="str">
        <f>""</f>
        <v/>
      </c>
      <c r="Y314" t="str">
        <f>"1126.27"</f>
        <v>1126.27</v>
      </c>
      <c r="Z314" t="str">
        <f>""</f>
        <v/>
      </c>
      <c r="AA314" t="str">
        <f>"70177.00"</f>
        <v>70177.00</v>
      </c>
      <c r="AB314" t="str">
        <f t="shared" si="92"/>
        <v>Residential</v>
      </c>
      <c r="AC314" t="str">
        <f t="shared" si="84"/>
        <v>0</v>
      </c>
      <c r="AD314" t="str">
        <f t="shared" ref="AD314:AD329" si="98">"4"</f>
        <v>4</v>
      </c>
      <c r="AE314" t="str">
        <f t="shared" ref="AE314:AE329" si="99">"WOOD (INCLUDE STEEL STUDS)"</f>
        <v>WOOD (INCLUDE STEEL STUDS)</v>
      </c>
      <c r="AF314" t="str">
        <f>"001"</f>
        <v>001</v>
      </c>
      <c r="AG314" t="str">
        <f t="shared" si="93"/>
        <v>FL</v>
      </c>
      <c r="AH314" t="str">
        <f>"170319.00"</f>
        <v>170319.00</v>
      </c>
      <c r="AI314" t="str">
        <f>"31280.00"</f>
        <v>31280.00</v>
      </c>
      <c r="AJ314" t="str">
        <f>"C55-000-586-5537-4"</f>
        <v>C55-000-586-5537-4</v>
      </c>
      <c r="AK314" t="str">
        <f>"9241"</f>
        <v>9241</v>
      </c>
      <c r="AL314">
        <v>2</v>
      </c>
      <c r="AM314">
        <v>362</v>
      </c>
      <c r="AN314">
        <v>1180.98</v>
      </c>
      <c r="AQ314" t="s">
        <v>3595</v>
      </c>
      <c r="AR314" t="s">
        <v>3595</v>
      </c>
      <c r="AS314" t="s">
        <v>3595</v>
      </c>
      <c r="AU314" t="s">
        <v>396</v>
      </c>
      <c r="AV314">
        <v>2017</v>
      </c>
      <c r="AW314" t="str">
        <f>"05-1S-24-0000-0004-0190 "</f>
        <v xml:space="preserve">05-1S-24-0000-0004-0190 </v>
      </c>
      <c r="AX314">
        <v>11935</v>
      </c>
      <c r="AZ314" t="s">
        <v>2893</v>
      </c>
      <c r="BD314" t="s">
        <v>553</v>
      </c>
      <c r="BE314" t="s">
        <v>393</v>
      </c>
      <c r="BF314">
        <v>32009</v>
      </c>
      <c r="BG314" t="s">
        <v>3596</v>
      </c>
      <c r="BH314" t="s">
        <v>555</v>
      </c>
      <c r="BI314">
        <v>-81.917638268844499</v>
      </c>
      <c r="BJ314">
        <v>30.442481073017898</v>
      </c>
      <c r="BK314" t="s">
        <v>3597</v>
      </c>
      <c r="BL314" t="s">
        <v>3598</v>
      </c>
      <c r="BM314" t="s">
        <v>3599</v>
      </c>
      <c r="BN314" t="s">
        <v>558</v>
      </c>
      <c r="BO314">
        <v>32009</v>
      </c>
      <c r="BP314" t="s">
        <v>416</v>
      </c>
      <c r="BQ314">
        <v>100</v>
      </c>
      <c r="BR314" t="s">
        <v>514</v>
      </c>
      <c r="BS314">
        <v>1001</v>
      </c>
      <c r="BT314" t="s">
        <v>515</v>
      </c>
      <c r="BW314">
        <v>170319</v>
      </c>
      <c r="BX314" t="s">
        <v>407</v>
      </c>
      <c r="BY314" t="s">
        <v>408</v>
      </c>
      <c r="BZ314">
        <v>4</v>
      </c>
      <c r="CA314">
        <v>2006</v>
      </c>
      <c r="CB314">
        <v>1</v>
      </c>
      <c r="CC314">
        <v>1</v>
      </c>
      <c r="CD314">
        <v>2017</v>
      </c>
      <c r="CE314">
        <v>31280</v>
      </c>
      <c r="CF314">
        <v>38897</v>
      </c>
      <c r="CG314">
        <v>70177</v>
      </c>
      <c r="CH314">
        <v>2017</v>
      </c>
      <c r="CI314">
        <v>31280</v>
      </c>
      <c r="CJ314">
        <v>38897</v>
      </c>
      <c r="CK314">
        <v>70177</v>
      </c>
      <c r="CL314">
        <v>2017</v>
      </c>
      <c r="CM314">
        <v>1062.4000000000001</v>
      </c>
      <c r="CN314" s="1">
        <v>42688</v>
      </c>
      <c r="CO314">
        <v>53600</v>
      </c>
      <c r="CV314">
        <v>0</v>
      </c>
      <c r="CZ314" s="1">
        <v>42688</v>
      </c>
      <c r="DA314">
        <v>0</v>
      </c>
      <c r="DD314" t="s">
        <v>553</v>
      </c>
      <c r="DG314">
        <v>5</v>
      </c>
      <c r="DL314">
        <v>50504</v>
      </c>
      <c r="DM314" t="s">
        <v>3590</v>
      </c>
      <c r="DO314" t="s">
        <v>3600</v>
      </c>
      <c r="DP314">
        <v>0</v>
      </c>
      <c r="DQ314">
        <v>0</v>
      </c>
      <c r="DR314" t="s">
        <v>411</v>
      </c>
    </row>
    <row r="315" spans="1:285" x14ac:dyDescent="0.25">
      <c r="A315">
        <v>16485322</v>
      </c>
      <c r="B315">
        <v>314</v>
      </c>
      <c r="C315" t="s">
        <v>393</v>
      </c>
      <c r="D315" t="s">
        <v>394</v>
      </c>
      <c r="F315" t="str">
        <f>"05-1S-24-0000-0014-0010"</f>
        <v>05-1S-24-0000-0014-0010</v>
      </c>
      <c r="H315" t="str">
        <f>"FORD THOMAS R"</f>
        <v>FORD THOMAS R</v>
      </c>
      <c r="I315" t="str">
        <f>"7790 FORD ROAD"</f>
        <v>7790 FORD ROAD</v>
      </c>
      <c r="J315" t="str">
        <f t="shared" si="97"/>
        <v>BRYCEVILLE FL 32009</v>
      </c>
      <c r="K315" t="str">
        <f>"7790 FORD RD"</f>
        <v>7790 FORD RD</v>
      </c>
      <c r="L315" t="str">
        <f t="shared" si="96"/>
        <v>BRYCEVILLE FL 32009</v>
      </c>
      <c r="M315" t="str">
        <f>"PT OF SE1/4 OF SE1/4 IN OR 350 PG 612 (EX R/W IN OR 1635/81) ESMT OR 1635/84"</f>
        <v>PT OF SE1/4 OF SE1/4 IN OR 350 PG 612 (EX R/W IN OR 1635/81) ESMT OR 1635/84</v>
      </c>
      <c r="N315" t="str">
        <f>""</f>
        <v/>
      </c>
      <c r="O315" t="str">
        <f>"20685"</f>
        <v>20685</v>
      </c>
      <c r="P315" t="str">
        <f t="shared" si="82"/>
        <v>2017</v>
      </c>
      <c r="Q315" t="str">
        <f>""</f>
        <v/>
      </c>
      <c r="R315" t="str">
        <f>"Y"</f>
        <v>Y</v>
      </c>
      <c r="S315" t="str">
        <f>"7.88"</f>
        <v>7.88</v>
      </c>
      <c r="T315" t="str">
        <f>"1111.32"</f>
        <v>1111.32</v>
      </c>
      <c r="U315" t="str">
        <f>"112512.00"</f>
        <v>112512.00</v>
      </c>
      <c r="V315" t="str">
        <f>"112512.00"</f>
        <v>112512.00</v>
      </c>
      <c r="W315" t="str">
        <f t="shared" si="83"/>
        <v>2017</v>
      </c>
      <c r="X315" t="str">
        <f>"9.50"</f>
        <v>9.50</v>
      </c>
      <c r="Y315" t="str">
        <f>"1176.66"</f>
        <v>1176.66</v>
      </c>
      <c r="Z315" t="str">
        <f>"25000.00"</f>
        <v>25000.00</v>
      </c>
      <c r="AA315" t="str">
        <f>"87512.00"</f>
        <v>87512.00</v>
      </c>
      <c r="AB315" t="str">
        <f t="shared" si="92"/>
        <v>Residential</v>
      </c>
      <c r="AC315" t="str">
        <f t="shared" si="84"/>
        <v>0</v>
      </c>
      <c r="AD315" t="str">
        <f t="shared" si="98"/>
        <v>4</v>
      </c>
      <c r="AE315" t="str">
        <f t="shared" si="99"/>
        <v>WOOD (INCLUDE STEEL STUDS)</v>
      </c>
      <c r="AF315" t="str">
        <f>"001"</f>
        <v>001</v>
      </c>
      <c r="AG315" t="str">
        <f t="shared" si="93"/>
        <v>FL</v>
      </c>
      <c r="AH315" t="str">
        <f>"343252.00"</f>
        <v>343252.00</v>
      </c>
      <c r="AI315" t="str">
        <f>"47280.00"</f>
        <v>47280.00</v>
      </c>
      <c r="AJ315" t="str">
        <f>"C55-000-586-5551-5"</f>
        <v>C55-000-586-5551-5</v>
      </c>
      <c r="AK315" t="str">
        <f>"9257"</f>
        <v>9257</v>
      </c>
      <c r="AL315">
        <v>2</v>
      </c>
      <c r="AM315">
        <v>363</v>
      </c>
      <c r="AN315">
        <v>1233.8900000000001</v>
      </c>
      <c r="AQ315" t="s">
        <v>3601</v>
      </c>
      <c r="AR315" t="s">
        <v>3601</v>
      </c>
      <c r="AS315" t="s">
        <v>3601</v>
      </c>
      <c r="AU315" t="s">
        <v>396</v>
      </c>
      <c r="AV315">
        <v>2017</v>
      </c>
      <c r="AW315" t="str">
        <f>"05-1S-24-0000-0014-0010 "</f>
        <v xml:space="preserve">05-1S-24-0000-0014-0010 </v>
      </c>
      <c r="AX315">
        <v>7790</v>
      </c>
      <c r="AZ315" t="s">
        <v>3554</v>
      </c>
      <c r="BA315" t="s">
        <v>496</v>
      </c>
      <c r="BD315" t="s">
        <v>553</v>
      </c>
      <c r="BE315" t="s">
        <v>393</v>
      </c>
      <c r="BF315">
        <v>32009</v>
      </c>
      <c r="BG315" t="s">
        <v>3602</v>
      </c>
      <c r="BH315" t="s">
        <v>555</v>
      </c>
      <c r="BI315">
        <v>-81.918889613917798</v>
      </c>
      <c r="BJ315">
        <v>30.436286751760601</v>
      </c>
      <c r="BK315" t="s">
        <v>3603</v>
      </c>
      <c r="BM315" t="s">
        <v>3604</v>
      </c>
      <c r="BN315" t="s">
        <v>558</v>
      </c>
      <c r="BO315">
        <v>32009</v>
      </c>
      <c r="BP315" t="s">
        <v>416</v>
      </c>
      <c r="BQ315">
        <v>100</v>
      </c>
      <c r="BR315" t="s">
        <v>514</v>
      </c>
      <c r="BS315">
        <v>1001</v>
      </c>
      <c r="BT315" t="s">
        <v>515</v>
      </c>
      <c r="BW315">
        <v>343252</v>
      </c>
      <c r="BX315" t="s">
        <v>407</v>
      </c>
      <c r="BY315" t="s">
        <v>408</v>
      </c>
      <c r="BZ315">
        <v>4</v>
      </c>
      <c r="CA315">
        <v>1963</v>
      </c>
      <c r="CB315">
        <v>1</v>
      </c>
      <c r="CC315">
        <v>1</v>
      </c>
      <c r="CD315">
        <v>2017</v>
      </c>
      <c r="CG315">
        <v>112512</v>
      </c>
      <c r="CH315">
        <v>2017</v>
      </c>
      <c r="CI315">
        <v>47280</v>
      </c>
      <c r="CJ315">
        <v>75903</v>
      </c>
      <c r="CK315">
        <v>123183</v>
      </c>
      <c r="CL315">
        <v>2017</v>
      </c>
      <c r="CM315">
        <v>1111.32</v>
      </c>
      <c r="CN315" s="1">
        <v>29342</v>
      </c>
      <c r="CO315">
        <v>1000</v>
      </c>
      <c r="CZ315" s="1">
        <v>29342</v>
      </c>
      <c r="DD315" t="s">
        <v>553</v>
      </c>
      <c r="DG315">
        <v>5</v>
      </c>
      <c r="DL315">
        <v>50504</v>
      </c>
      <c r="DM315" t="s">
        <v>3590</v>
      </c>
      <c r="DO315" t="s">
        <v>3605</v>
      </c>
      <c r="DP315">
        <v>0</v>
      </c>
      <c r="DQ315">
        <v>0</v>
      </c>
      <c r="DR315" t="s">
        <v>411</v>
      </c>
      <c r="DS315" t="b">
        <v>1</v>
      </c>
      <c r="DT315" t="s">
        <v>470</v>
      </c>
      <c r="DU315" t="s">
        <v>471</v>
      </c>
      <c r="DV315" t="s">
        <v>472</v>
      </c>
      <c r="DX315">
        <v>-9999</v>
      </c>
      <c r="DZ315" t="s">
        <v>447</v>
      </c>
      <c r="EA315" t="s">
        <v>448</v>
      </c>
      <c r="EB315" t="s">
        <v>742</v>
      </c>
      <c r="EC315">
        <v>20101217</v>
      </c>
      <c r="ED315" t="s">
        <v>474</v>
      </c>
      <c r="EF315">
        <v>413.5</v>
      </c>
      <c r="EG315">
        <v>413.5</v>
      </c>
      <c r="EI315">
        <v>20160407</v>
      </c>
      <c r="EJ315">
        <v>0</v>
      </c>
      <c r="EK315">
        <v>0</v>
      </c>
      <c r="EP315" t="s">
        <v>421</v>
      </c>
      <c r="EQ315" t="s">
        <v>452</v>
      </c>
      <c r="ER315">
        <v>4</v>
      </c>
      <c r="ES315">
        <v>7</v>
      </c>
      <c r="ET315">
        <v>4872.34</v>
      </c>
      <c r="EU315">
        <v>268.62</v>
      </c>
      <c r="EV315">
        <v>5140.96</v>
      </c>
      <c r="EW315" s="2">
        <v>43222</v>
      </c>
      <c r="EX315" s="1">
        <v>42879</v>
      </c>
      <c r="EY315">
        <v>2016</v>
      </c>
      <c r="EZ315">
        <v>1210.1099999999999</v>
      </c>
      <c r="FA315" t="s">
        <v>3606</v>
      </c>
      <c r="FB315">
        <v>0.25</v>
      </c>
      <c r="FC315" t="s">
        <v>424</v>
      </c>
      <c r="FD315" t="s">
        <v>454</v>
      </c>
      <c r="FF315">
        <v>12</v>
      </c>
      <c r="FG315">
        <v>7336671</v>
      </c>
      <c r="FH315" t="s">
        <v>437</v>
      </c>
      <c r="FJ315" s="1">
        <v>42879</v>
      </c>
      <c r="FK315">
        <v>2016</v>
      </c>
      <c r="FL315">
        <v>1210.1099999999999</v>
      </c>
      <c r="FM315" t="s">
        <v>3606</v>
      </c>
      <c r="FN315">
        <v>0.25</v>
      </c>
      <c r="FO315" t="s">
        <v>424</v>
      </c>
      <c r="FP315" t="s">
        <v>454</v>
      </c>
      <c r="FR315">
        <v>12</v>
      </c>
      <c r="FS315">
        <v>6886753</v>
      </c>
      <c r="FT315" t="s">
        <v>3607</v>
      </c>
      <c r="FV315" s="1">
        <v>42515</v>
      </c>
      <c r="FW315">
        <v>2015</v>
      </c>
      <c r="FX315">
        <v>1226.06</v>
      </c>
      <c r="FY315" t="s">
        <v>3608</v>
      </c>
      <c r="FZ315">
        <v>0.25</v>
      </c>
      <c r="GA315" t="s">
        <v>424</v>
      </c>
      <c r="GB315" t="s">
        <v>454</v>
      </c>
      <c r="GD315">
        <v>24</v>
      </c>
      <c r="GE315">
        <v>2851116</v>
      </c>
      <c r="GF315" t="s">
        <v>480</v>
      </c>
      <c r="GH315" s="1">
        <v>42515</v>
      </c>
      <c r="GI315">
        <v>2015</v>
      </c>
      <c r="GJ315">
        <v>1226.06</v>
      </c>
      <c r="GK315" t="s">
        <v>3608</v>
      </c>
      <c r="GL315">
        <v>0.25</v>
      </c>
      <c r="GM315" t="s">
        <v>424</v>
      </c>
      <c r="GN315" t="s">
        <v>454</v>
      </c>
      <c r="GP315">
        <v>24</v>
      </c>
      <c r="GQ315">
        <v>5574201</v>
      </c>
      <c r="GR315" t="s">
        <v>3609</v>
      </c>
      <c r="GT315" s="1">
        <v>42151</v>
      </c>
      <c r="GU315">
        <v>2014</v>
      </c>
      <c r="GV315">
        <v>1218.02</v>
      </c>
      <c r="GW315" t="s">
        <v>3610</v>
      </c>
      <c r="GX315">
        <v>0.25</v>
      </c>
      <c r="GY315" t="s">
        <v>424</v>
      </c>
      <c r="GZ315" t="s">
        <v>425</v>
      </c>
      <c r="HA315" s="1">
        <v>42283</v>
      </c>
      <c r="HB315">
        <v>5</v>
      </c>
      <c r="HC315">
        <v>4975594</v>
      </c>
      <c r="HD315" t="s">
        <v>457</v>
      </c>
      <c r="HF315" s="1">
        <v>42151</v>
      </c>
      <c r="HG315">
        <v>2014</v>
      </c>
      <c r="HH315">
        <v>1218.02</v>
      </c>
      <c r="HI315" t="s">
        <v>3610</v>
      </c>
      <c r="HJ315">
        <v>0.25</v>
      </c>
      <c r="HK315" t="s">
        <v>424</v>
      </c>
      <c r="HL315" t="s">
        <v>425</v>
      </c>
      <c r="HN315">
        <v>22</v>
      </c>
      <c r="HO315">
        <v>6422275</v>
      </c>
      <c r="HP315" t="s">
        <v>3611</v>
      </c>
      <c r="HR315" s="1">
        <v>41423</v>
      </c>
      <c r="HS315">
        <v>2012</v>
      </c>
      <c r="HT315">
        <v>1071.44</v>
      </c>
      <c r="HU315" t="s">
        <v>3612</v>
      </c>
      <c r="HV315">
        <v>0.25</v>
      </c>
      <c r="HW315" t="s">
        <v>424</v>
      </c>
      <c r="HX315" t="s">
        <v>425</v>
      </c>
      <c r="HY315" s="1">
        <v>41638</v>
      </c>
      <c r="HZ315">
        <v>7</v>
      </c>
      <c r="IA315">
        <v>15259</v>
      </c>
      <c r="IB315" t="s">
        <v>891</v>
      </c>
      <c r="IC315" t="s">
        <v>458</v>
      </c>
      <c r="ID315" s="1">
        <v>41052</v>
      </c>
      <c r="IE315">
        <v>2011</v>
      </c>
      <c r="IF315">
        <v>1036.08</v>
      </c>
      <c r="IG315" t="s">
        <v>3613</v>
      </c>
      <c r="IH315">
        <v>0.25</v>
      </c>
      <c r="II315" t="s">
        <v>424</v>
      </c>
      <c r="IJ315" t="s">
        <v>425</v>
      </c>
      <c r="IK315" s="1">
        <v>41638</v>
      </c>
      <c r="IL315">
        <v>19</v>
      </c>
      <c r="IM315">
        <v>13104</v>
      </c>
      <c r="IN315" t="s">
        <v>888</v>
      </c>
      <c r="IO315" t="s">
        <v>458</v>
      </c>
      <c r="IP315" s="1">
        <v>41052</v>
      </c>
      <c r="IQ315">
        <v>2011</v>
      </c>
      <c r="IR315">
        <v>1036.08</v>
      </c>
      <c r="IS315" t="s">
        <v>3613</v>
      </c>
      <c r="IT315">
        <v>0.25</v>
      </c>
      <c r="IU315" t="s">
        <v>424</v>
      </c>
      <c r="IV315" t="s">
        <v>425</v>
      </c>
      <c r="IX315">
        <v>22</v>
      </c>
      <c r="IY315">
        <v>13700</v>
      </c>
      <c r="IZ315" t="s">
        <v>3614</v>
      </c>
      <c r="JA315" t="s">
        <v>458</v>
      </c>
      <c r="JB315" s="1">
        <v>40688</v>
      </c>
      <c r="JC315">
        <v>2010</v>
      </c>
      <c r="JD315">
        <v>1015.1</v>
      </c>
      <c r="JE315" t="s">
        <v>3615</v>
      </c>
      <c r="JF315">
        <v>0.25</v>
      </c>
      <c r="JG315" t="s">
        <v>424</v>
      </c>
      <c r="JH315" t="s">
        <v>425</v>
      </c>
      <c r="JJ315">
        <v>22</v>
      </c>
      <c r="JK315">
        <v>14996</v>
      </c>
      <c r="JL315" t="s">
        <v>3439</v>
      </c>
      <c r="JM315" t="s">
        <v>458</v>
      </c>
      <c r="JN315" s="1">
        <v>40688</v>
      </c>
      <c r="JO315">
        <v>2010</v>
      </c>
      <c r="JP315">
        <v>1015.1</v>
      </c>
      <c r="JQ315" t="s">
        <v>3615</v>
      </c>
      <c r="JR315">
        <v>0.25</v>
      </c>
      <c r="JS315" t="s">
        <v>424</v>
      </c>
      <c r="JT315" t="s">
        <v>425</v>
      </c>
      <c r="JV315">
        <v>22</v>
      </c>
      <c r="JW315">
        <v>11141</v>
      </c>
      <c r="JX315" t="s">
        <v>1723</v>
      </c>
      <c r="JY315" t="s">
        <v>458</v>
      </c>
    </row>
    <row r="316" spans="1:285" x14ac:dyDescent="0.25">
      <c r="A316">
        <v>16485323</v>
      </c>
      <c r="B316">
        <v>315</v>
      </c>
      <c r="C316" t="s">
        <v>393</v>
      </c>
      <c r="D316" t="s">
        <v>394</v>
      </c>
      <c r="F316" t="str">
        <f>"08-1S-24-1610-0008-0000"</f>
        <v>08-1S-24-1610-0008-0000</v>
      </c>
      <c r="H316" t="str">
        <f>"GREEN RONALD L SR &amp; LYNN W"</f>
        <v>GREEN RONALD L SR &amp; LYNN W</v>
      </c>
      <c r="I316" t="str">
        <f>"11143 US HWY 301"</f>
        <v>11143 US HWY 301</v>
      </c>
      <c r="J316" t="str">
        <f t="shared" si="97"/>
        <v>BRYCEVILLE FL 32009</v>
      </c>
      <c r="K316" t="str">
        <f>"11143 HWY 301"</f>
        <v>11143 HWY 301</v>
      </c>
      <c r="L316" t="str">
        <f t="shared" si="96"/>
        <v>BRYCEVILLE FL 32009</v>
      </c>
      <c r="M316" t="str">
        <f>"LOT 8 IN OR 818/995 EX R/W OR 993/1140 ESMT OR 1024/59 PARKWOOD PB 6/77"</f>
        <v>LOT 8 IN OR 818/995 EX R/W OR 993/1140 ESMT OR 1024/59 PARKWOOD PB 6/77</v>
      </c>
      <c r="N316" t="str">
        <f>""</f>
        <v/>
      </c>
      <c r="O316" t="str">
        <f>"23010"</f>
        <v>23010</v>
      </c>
      <c r="P316" t="str">
        <f t="shared" si="82"/>
        <v>2017</v>
      </c>
      <c r="Q316" t="str">
        <f>""</f>
        <v/>
      </c>
      <c r="R316" t="str">
        <f>"Y"</f>
        <v>Y</v>
      </c>
      <c r="S316" t="str">
        <f>"4.85"</f>
        <v>4.85</v>
      </c>
      <c r="T316" t="str">
        <f>"2099.66"</f>
        <v>2099.66</v>
      </c>
      <c r="U316" t="str">
        <f>"177798.00"</f>
        <v>177798.00</v>
      </c>
      <c r="V316" t="str">
        <f>"177798.00"</f>
        <v>177798.00</v>
      </c>
      <c r="W316" t="str">
        <f t="shared" si="83"/>
        <v>2017</v>
      </c>
      <c r="X316" t="str">
        <f>"16.86"</f>
        <v>16.86</v>
      </c>
      <c r="Y316" t="str">
        <f>"2194.65"</f>
        <v>2194.65</v>
      </c>
      <c r="Z316" t="str">
        <f>"25000.00"</f>
        <v>25000.00</v>
      </c>
      <c r="AA316" t="str">
        <f>"152798.00"</f>
        <v>152798.00</v>
      </c>
      <c r="AB316" t="str">
        <f t="shared" si="92"/>
        <v>Residential</v>
      </c>
      <c r="AC316" t="str">
        <f t="shared" si="84"/>
        <v>0</v>
      </c>
      <c r="AD316" t="str">
        <f t="shared" si="98"/>
        <v>4</v>
      </c>
      <c r="AE316" t="str">
        <f t="shared" si="99"/>
        <v>WOOD (INCLUDE STEEL STUDS)</v>
      </c>
      <c r="AF316" t="str">
        <f>"001"</f>
        <v>001</v>
      </c>
      <c r="AG316" t="str">
        <f t="shared" si="93"/>
        <v>FL</v>
      </c>
      <c r="AH316" t="str">
        <f>"211266.00"</f>
        <v>211266.00</v>
      </c>
      <c r="AI316" t="str">
        <f>"38800.00"</f>
        <v>38800.00</v>
      </c>
      <c r="AJ316" t="str">
        <f>"C55-000-586-7201-5"</f>
        <v>C55-000-586-7201-5</v>
      </c>
      <c r="AK316" t="str">
        <f>"9289"</f>
        <v>9289</v>
      </c>
      <c r="AL316">
        <v>2</v>
      </c>
      <c r="AM316">
        <v>364</v>
      </c>
      <c r="AN316">
        <v>2302.7800000000002</v>
      </c>
      <c r="AQ316" t="s">
        <v>3616</v>
      </c>
      <c r="AR316" t="s">
        <v>3616</v>
      </c>
      <c r="AS316" t="s">
        <v>3616</v>
      </c>
      <c r="AU316" t="s">
        <v>396</v>
      </c>
      <c r="AV316">
        <v>2017</v>
      </c>
      <c r="AW316" t="str">
        <f>"08-1S-24-1610-0008-0000 "</f>
        <v xml:space="preserve">08-1S-24-1610-0008-0000 </v>
      </c>
      <c r="AX316">
        <v>11143</v>
      </c>
      <c r="AZ316" t="s">
        <v>3617</v>
      </c>
      <c r="BD316" t="s">
        <v>553</v>
      </c>
      <c r="BE316" t="s">
        <v>393</v>
      </c>
      <c r="BF316">
        <v>32009</v>
      </c>
      <c r="BG316" t="s">
        <v>3618</v>
      </c>
      <c r="BH316" t="s">
        <v>555</v>
      </c>
      <c r="BI316">
        <v>-81.920863392573594</v>
      </c>
      <c r="BJ316">
        <v>30.432033700336198</v>
      </c>
      <c r="BK316" t="s">
        <v>3619</v>
      </c>
      <c r="BM316" t="s">
        <v>3620</v>
      </c>
      <c r="BN316" t="s">
        <v>558</v>
      </c>
      <c r="BO316">
        <v>32009</v>
      </c>
      <c r="BP316" t="s">
        <v>404</v>
      </c>
      <c r="BQ316">
        <v>100</v>
      </c>
      <c r="BR316" t="s">
        <v>514</v>
      </c>
      <c r="BS316">
        <v>1001</v>
      </c>
      <c r="BT316" t="s">
        <v>515</v>
      </c>
      <c r="BW316">
        <v>211266</v>
      </c>
      <c r="BX316" t="s">
        <v>407</v>
      </c>
      <c r="BY316" t="s">
        <v>408</v>
      </c>
      <c r="BZ316">
        <v>4</v>
      </c>
      <c r="CA316">
        <v>2016</v>
      </c>
      <c r="CC316">
        <v>1</v>
      </c>
      <c r="CD316">
        <v>2017</v>
      </c>
      <c r="CE316">
        <v>38800</v>
      </c>
      <c r="CF316">
        <v>138998</v>
      </c>
      <c r="CG316">
        <v>177798</v>
      </c>
      <c r="CH316">
        <v>2017</v>
      </c>
      <c r="CI316">
        <v>38800</v>
      </c>
      <c r="CJ316">
        <v>138998</v>
      </c>
      <c r="CK316">
        <v>177798</v>
      </c>
      <c r="CL316">
        <v>2017</v>
      </c>
      <c r="CM316">
        <v>2099.66</v>
      </c>
      <c r="CN316" s="1">
        <v>37064</v>
      </c>
      <c r="CV316">
        <v>0</v>
      </c>
      <c r="CZ316" s="1">
        <v>37064</v>
      </c>
      <c r="DA316">
        <v>0</v>
      </c>
      <c r="DD316" t="s">
        <v>553</v>
      </c>
      <c r="DF316">
        <v>8</v>
      </c>
      <c r="DG316">
        <v>8</v>
      </c>
      <c r="DL316">
        <v>50504</v>
      </c>
      <c r="DM316" t="s">
        <v>3621</v>
      </c>
      <c r="DO316" t="s">
        <v>3622</v>
      </c>
      <c r="DP316">
        <v>0</v>
      </c>
      <c r="DQ316">
        <v>0</v>
      </c>
      <c r="DR316" t="s">
        <v>411</v>
      </c>
      <c r="DS316" t="b">
        <v>1</v>
      </c>
      <c r="DT316" t="s">
        <v>470</v>
      </c>
      <c r="DU316" t="s">
        <v>471</v>
      </c>
      <c r="DV316" t="s">
        <v>472</v>
      </c>
      <c r="DX316">
        <v>-9999</v>
      </c>
      <c r="DZ316" t="s">
        <v>447</v>
      </c>
      <c r="EA316" t="s">
        <v>448</v>
      </c>
      <c r="EB316" t="s">
        <v>742</v>
      </c>
      <c r="EC316">
        <v>20101217</v>
      </c>
      <c r="ED316" t="s">
        <v>474</v>
      </c>
      <c r="EF316">
        <v>1206.5</v>
      </c>
      <c r="EG316">
        <v>1206.5</v>
      </c>
      <c r="EI316">
        <v>20160407</v>
      </c>
      <c r="EJ316">
        <v>0</v>
      </c>
      <c r="EK316">
        <v>0</v>
      </c>
      <c r="EP316" t="s">
        <v>421</v>
      </c>
      <c r="EQ316" t="s">
        <v>422</v>
      </c>
      <c r="ER316">
        <v>1</v>
      </c>
      <c r="ES316">
        <v>7</v>
      </c>
      <c r="ET316">
        <v>671.14</v>
      </c>
      <c r="EU316">
        <v>39.81</v>
      </c>
      <c r="EV316">
        <v>710.95</v>
      </c>
      <c r="EW316" s="2">
        <v>43222</v>
      </c>
      <c r="EX316" s="1">
        <v>42879</v>
      </c>
      <c r="EY316">
        <v>2016</v>
      </c>
      <c r="EZ316">
        <v>671.14</v>
      </c>
      <c r="FA316" t="s">
        <v>3623</v>
      </c>
      <c r="FB316">
        <v>4.5</v>
      </c>
      <c r="FC316" t="s">
        <v>424</v>
      </c>
      <c r="FD316" t="s">
        <v>454</v>
      </c>
      <c r="FF316">
        <v>12</v>
      </c>
      <c r="FG316">
        <v>7336745</v>
      </c>
      <c r="FH316" t="s">
        <v>502</v>
      </c>
      <c r="FJ316" s="1">
        <v>42515</v>
      </c>
      <c r="FK316">
        <v>2015</v>
      </c>
      <c r="FL316">
        <v>681.79</v>
      </c>
      <c r="FM316" t="s">
        <v>3624</v>
      </c>
      <c r="FN316">
        <v>6.25</v>
      </c>
      <c r="FO316" t="s">
        <v>424</v>
      </c>
      <c r="FP316" t="s">
        <v>425</v>
      </c>
      <c r="FQ316" s="1">
        <v>43159</v>
      </c>
      <c r="FR316">
        <v>21</v>
      </c>
      <c r="FS316">
        <v>2035919</v>
      </c>
      <c r="FT316" t="s">
        <v>507</v>
      </c>
      <c r="FV316" s="1">
        <v>41787</v>
      </c>
      <c r="FW316">
        <v>2013</v>
      </c>
      <c r="FX316">
        <v>610.42999999999995</v>
      </c>
      <c r="FY316" t="s">
        <v>3625</v>
      </c>
      <c r="FZ316">
        <v>3</v>
      </c>
      <c r="GA316" t="s">
        <v>424</v>
      </c>
      <c r="GB316" t="s">
        <v>425</v>
      </c>
      <c r="GC316" s="1">
        <v>42031</v>
      </c>
      <c r="GD316">
        <v>8</v>
      </c>
      <c r="GE316">
        <v>116</v>
      </c>
      <c r="GF316" t="s">
        <v>509</v>
      </c>
      <c r="GH316" s="1">
        <v>41423</v>
      </c>
      <c r="GI316">
        <v>2012</v>
      </c>
      <c r="GJ316">
        <v>772.7</v>
      </c>
      <c r="GK316" t="s">
        <v>3626</v>
      </c>
      <c r="GL316">
        <v>5.75</v>
      </c>
      <c r="GM316" t="s">
        <v>424</v>
      </c>
      <c r="GN316" t="s">
        <v>425</v>
      </c>
      <c r="GO316" s="1">
        <v>42031</v>
      </c>
      <c r="GP316">
        <v>20</v>
      </c>
      <c r="GQ316">
        <v>15407</v>
      </c>
      <c r="GR316" t="s">
        <v>1134</v>
      </c>
      <c r="GT316" s="1">
        <v>41052</v>
      </c>
      <c r="GU316">
        <v>2011</v>
      </c>
      <c r="GV316">
        <v>777.83</v>
      </c>
      <c r="GW316" t="s">
        <v>3627</v>
      </c>
      <c r="GX316">
        <v>6</v>
      </c>
      <c r="GY316" t="s">
        <v>424</v>
      </c>
      <c r="GZ316" t="s">
        <v>425</v>
      </c>
      <c r="HA316" s="1">
        <v>41698</v>
      </c>
      <c r="HB316">
        <v>21</v>
      </c>
      <c r="HC316">
        <v>1625515</v>
      </c>
      <c r="HD316" t="s">
        <v>487</v>
      </c>
      <c r="HF316" s="1">
        <v>41052</v>
      </c>
      <c r="HG316">
        <v>2011</v>
      </c>
      <c r="HH316">
        <v>777.83</v>
      </c>
      <c r="HI316" t="s">
        <v>3627</v>
      </c>
      <c r="HJ316">
        <v>6</v>
      </c>
      <c r="HK316" t="s">
        <v>424</v>
      </c>
      <c r="HL316" t="s">
        <v>425</v>
      </c>
      <c r="HN316">
        <v>22</v>
      </c>
      <c r="HO316">
        <v>10579</v>
      </c>
      <c r="HP316" t="s">
        <v>488</v>
      </c>
      <c r="HR316" s="1">
        <v>40688</v>
      </c>
      <c r="HS316">
        <v>2010</v>
      </c>
      <c r="HT316">
        <v>866.37</v>
      </c>
      <c r="HU316" t="s">
        <v>3628</v>
      </c>
      <c r="HV316">
        <v>8.25</v>
      </c>
      <c r="HW316" t="s">
        <v>424</v>
      </c>
      <c r="HX316" t="s">
        <v>425</v>
      </c>
      <c r="HY316" s="1">
        <v>41330</v>
      </c>
      <c r="HZ316">
        <v>21</v>
      </c>
      <c r="IA316">
        <v>15175</v>
      </c>
      <c r="IB316" t="s">
        <v>588</v>
      </c>
      <c r="ID316" s="1">
        <v>40688</v>
      </c>
      <c r="IE316">
        <v>2010</v>
      </c>
      <c r="IF316">
        <v>866.37</v>
      </c>
      <c r="IG316" t="s">
        <v>3628</v>
      </c>
      <c r="IH316">
        <v>8.25</v>
      </c>
      <c r="II316" t="s">
        <v>424</v>
      </c>
      <c r="IJ316" t="s">
        <v>425</v>
      </c>
      <c r="IL316">
        <v>22</v>
      </c>
      <c r="IM316">
        <v>10548</v>
      </c>
      <c r="IN316" t="s">
        <v>589</v>
      </c>
    </row>
    <row r="317" spans="1:285" x14ac:dyDescent="0.25">
      <c r="A317">
        <v>16485324</v>
      </c>
      <c r="B317">
        <v>316</v>
      </c>
      <c r="C317" t="s">
        <v>393</v>
      </c>
      <c r="D317" t="s">
        <v>394</v>
      </c>
      <c r="F317" t="str">
        <f>"19-1S-24-0000-0004-0170"</f>
        <v>19-1S-24-0000-0004-0170</v>
      </c>
      <c r="H317" t="str">
        <f>"WHITTEMORE MANCIL"</f>
        <v>WHITTEMORE MANCIL</v>
      </c>
      <c r="I317" t="str">
        <f>"6593 CR 119"</f>
        <v>6593 CR 119</v>
      </c>
      <c r="J317" t="str">
        <f t="shared" si="97"/>
        <v>BRYCEVILLE FL 32009</v>
      </c>
      <c r="K317" t="str">
        <f>"6625 CR 119"</f>
        <v>6625 CR 119</v>
      </c>
      <c r="L317" t="str">
        <f t="shared" si="96"/>
        <v>BRYCEVILLE FL 32009</v>
      </c>
      <c r="M317" t="str">
        <f>"OR 1917/1730 EX 4-23 EX ESMT OR 568/569 EX ESMT IN OR 795/745"</f>
        <v>OR 1917/1730 EX 4-23 EX ESMT OR 568/569 EX ESMT IN OR 795/745</v>
      </c>
      <c r="N317" t="str">
        <f>""</f>
        <v/>
      </c>
      <c r="O317" t="str">
        <f>"32639"</f>
        <v>32639</v>
      </c>
      <c r="P317" t="str">
        <f t="shared" si="82"/>
        <v>2017</v>
      </c>
      <c r="Q317" t="str">
        <f>""</f>
        <v/>
      </c>
      <c r="R317" t="str">
        <f>"N"</f>
        <v>N</v>
      </c>
      <c r="S317" t="str">
        <f>"2.60"</f>
        <v>2.60</v>
      </c>
      <c r="T317" t="str">
        <f>"1019.59"</f>
        <v>1019.59</v>
      </c>
      <c r="U317" t="str">
        <f>"67349.00"</f>
        <v>67349.00</v>
      </c>
      <c r="V317" t="str">
        <f>"67349.00"</f>
        <v>67349.00</v>
      </c>
      <c r="W317" t="str">
        <f t="shared" si="83"/>
        <v>2017</v>
      </c>
      <c r="X317" t="str">
        <f>"14.00"</f>
        <v>14.00</v>
      </c>
      <c r="Y317" t="str">
        <f>"1082.18"</f>
        <v>1082.18</v>
      </c>
      <c r="Z317" t="str">
        <f>""</f>
        <v/>
      </c>
      <c r="AA317" t="str">
        <f>"67349.00"</f>
        <v>67349.00</v>
      </c>
      <c r="AB317" t="str">
        <f t="shared" si="92"/>
        <v>Residential</v>
      </c>
      <c r="AC317" t="str">
        <f t="shared" si="84"/>
        <v>0</v>
      </c>
      <c r="AD317" t="str">
        <f t="shared" si="98"/>
        <v>4</v>
      </c>
      <c r="AE317" t="str">
        <f t="shared" si="99"/>
        <v>WOOD (INCLUDE STEEL STUDS)</v>
      </c>
      <c r="AF317" t="str">
        <f>"001"</f>
        <v>001</v>
      </c>
      <c r="AG317" t="str">
        <f t="shared" si="93"/>
        <v>FL</v>
      </c>
      <c r="AH317" t="str">
        <f>"113256.00"</f>
        <v>113256.00</v>
      </c>
      <c r="AI317" t="str">
        <f>"31200.00"</f>
        <v>31200.00</v>
      </c>
      <c r="AJ317" t="str">
        <f>"C55-000-587-2121-8"</f>
        <v>C55-000-587-2121-8</v>
      </c>
      <c r="AK317" t="str">
        <f>"9454"</f>
        <v>9454</v>
      </c>
      <c r="AL317">
        <v>2</v>
      </c>
      <c r="AM317">
        <v>366</v>
      </c>
      <c r="AN317">
        <v>1134.69</v>
      </c>
      <c r="AQ317" t="s">
        <v>3629</v>
      </c>
      <c r="AR317" t="s">
        <v>3629</v>
      </c>
      <c r="AS317" t="s">
        <v>3629</v>
      </c>
      <c r="AU317" t="s">
        <v>396</v>
      </c>
      <c r="AV317">
        <v>2017</v>
      </c>
      <c r="AW317" t="str">
        <f>"19-1S-24-0000-0004-0170 "</f>
        <v xml:space="preserve">19-1S-24-0000-0004-0170 </v>
      </c>
      <c r="AX317">
        <v>6625</v>
      </c>
      <c r="AZ317" t="s">
        <v>1003</v>
      </c>
      <c r="BD317" t="s">
        <v>553</v>
      </c>
      <c r="BE317" t="s">
        <v>393</v>
      </c>
      <c r="BF317">
        <v>32009</v>
      </c>
      <c r="BG317" t="s">
        <v>3630</v>
      </c>
      <c r="BH317" t="s">
        <v>555</v>
      </c>
      <c r="BI317">
        <v>-81.945187298099498</v>
      </c>
      <c r="BJ317">
        <v>30.3927432261566</v>
      </c>
      <c r="BK317" t="s">
        <v>3631</v>
      </c>
      <c r="BM317" t="s">
        <v>3632</v>
      </c>
      <c r="BN317" t="s">
        <v>558</v>
      </c>
      <c r="BO317">
        <v>32009</v>
      </c>
      <c r="BP317" t="s">
        <v>404</v>
      </c>
      <c r="BQ317">
        <v>100</v>
      </c>
      <c r="BR317" t="s">
        <v>514</v>
      </c>
      <c r="BS317">
        <v>1001</v>
      </c>
      <c r="BT317" t="s">
        <v>515</v>
      </c>
      <c r="BW317">
        <v>113256</v>
      </c>
      <c r="BX317" t="s">
        <v>407</v>
      </c>
      <c r="BY317" t="s">
        <v>408</v>
      </c>
      <c r="BZ317">
        <v>4</v>
      </c>
      <c r="CA317">
        <v>1947</v>
      </c>
      <c r="CB317">
        <v>1</v>
      </c>
      <c r="CC317">
        <v>1</v>
      </c>
      <c r="CD317">
        <v>2017</v>
      </c>
      <c r="CE317">
        <v>31200</v>
      </c>
      <c r="CF317">
        <v>36149</v>
      </c>
      <c r="CG317">
        <v>67349</v>
      </c>
      <c r="CH317">
        <v>2017</v>
      </c>
      <c r="CI317">
        <v>31200</v>
      </c>
      <c r="CJ317">
        <v>36149</v>
      </c>
      <c r="CK317">
        <v>67349</v>
      </c>
      <c r="CL317">
        <v>2017</v>
      </c>
      <c r="CM317">
        <v>1019.59</v>
      </c>
      <c r="CN317" s="1">
        <v>42311</v>
      </c>
      <c r="CV317">
        <v>0</v>
      </c>
      <c r="CZ317" s="1">
        <v>42311</v>
      </c>
      <c r="DA317">
        <v>0</v>
      </c>
      <c r="DD317" t="s">
        <v>553</v>
      </c>
      <c r="DG317">
        <v>19</v>
      </c>
      <c r="DL317">
        <v>50504</v>
      </c>
      <c r="DM317" t="s">
        <v>3633</v>
      </c>
      <c r="DO317" t="s">
        <v>3634</v>
      </c>
      <c r="DP317">
        <v>0</v>
      </c>
      <c r="DQ317">
        <v>0</v>
      </c>
      <c r="DR317" t="s">
        <v>411</v>
      </c>
      <c r="DS317" t="b">
        <v>1</v>
      </c>
      <c r="DT317" t="s">
        <v>470</v>
      </c>
      <c r="DU317" t="s">
        <v>471</v>
      </c>
      <c r="DV317" t="s">
        <v>472</v>
      </c>
      <c r="DX317">
        <v>-9999</v>
      </c>
      <c r="DZ317" t="s">
        <v>447</v>
      </c>
      <c r="EA317" t="s">
        <v>448</v>
      </c>
      <c r="EB317" t="s">
        <v>742</v>
      </c>
      <c r="EC317">
        <v>20101217</v>
      </c>
      <c r="ED317" t="s">
        <v>474</v>
      </c>
      <c r="EF317">
        <v>242.5</v>
      </c>
      <c r="EG317">
        <v>242.5</v>
      </c>
      <c r="EI317">
        <v>20160407</v>
      </c>
      <c r="EJ317">
        <v>0</v>
      </c>
      <c r="EK317">
        <v>0</v>
      </c>
      <c r="EP317" t="s">
        <v>421</v>
      </c>
      <c r="EQ317" t="s">
        <v>422</v>
      </c>
      <c r="ER317">
        <v>0</v>
      </c>
      <c r="ES317">
        <v>11</v>
      </c>
      <c r="ET317">
        <v>0</v>
      </c>
      <c r="EU317">
        <v>0</v>
      </c>
      <c r="EV317">
        <v>0</v>
      </c>
      <c r="EW317" s="2">
        <v>43222</v>
      </c>
      <c r="EX317" s="1">
        <v>42879</v>
      </c>
      <c r="EY317">
        <v>2016</v>
      </c>
      <c r="EZ317">
        <v>1151.6600000000001</v>
      </c>
      <c r="FA317" t="s">
        <v>3635</v>
      </c>
      <c r="FB317">
        <v>0.25</v>
      </c>
      <c r="FC317" t="s">
        <v>424</v>
      </c>
      <c r="FD317" t="s">
        <v>425</v>
      </c>
      <c r="FE317" s="1">
        <v>43111</v>
      </c>
      <c r="FF317">
        <v>8</v>
      </c>
      <c r="FG317">
        <v>11289</v>
      </c>
      <c r="FH317" t="s">
        <v>787</v>
      </c>
      <c r="FJ317" s="1">
        <v>42879</v>
      </c>
      <c r="FK317">
        <v>2016</v>
      </c>
      <c r="FL317">
        <v>1151.6600000000001</v>
      </c>
      <c r="FM317" t="s">
        <v>3635</v>
      </c>
      <c r="FN317">
        <v>0.25</v>
      </c>
      <c r="FO317" t="s">
        <v>424</v>
      </c>
      <c r="FP317" t="s">
        <v>425</v>
      </c>
      <c r="FR317">
        <v>22</v>
      </c>
      <c r="FS317">
        <v>7251168</v>
      </c>
      <c r="FT317" t="s">
        <v>3636</v>
      </c>
      <c r="FV317" s="1">
        <v>42515</v>
      </c>
      <c r="FW317">
        <v>2015</v>
      </c>
      <c r="FX317">
        <v>1137.1099999999999</v>
      </c>
      <c r="FY317" t="s">
        <v>3637</v>
      </c>
      <c r="FZ317">
        <v>0.25</v>
      </c>
      <c r="GA317" t="s">
        <v>424</v>
      </c>
      <c r="GB317" t="s">
        <v>425</v>
      </c>
      <c r="GC317" s="1">
        <v>42781</v>
      </c>
      <c r="GD317">
        <v>9</v>
      </c>
      <c r="GE317">
        <v>2851116</v>
      </c>
      <c r="GF317" t="s">
        <v>480</v>
      </c>
      <c r="GH317" s="1">
        <v>42515</v>
      </c>
      <c r="GI317">
        <v>2015</v>
      </c>
      <c r="GJ317">
        <v>1137.1099999999999</v>
      </c>
      <c r="GK317" t="s">
        <v>3637</v>
      </c>
      <c r="GL317">
        <v>0.25</v>
      </c>
      <c r="GM317" t="s">
        <v>424</v>
      </c>
      <c r="GN317" t="s">
        <v>425</v>
      </c>
      <c r="GP317">
        <v>22</v>
      </c>
      <c r="GQ317">
        <v>4978429</v>
      </c>
      <c r="GR317" t="s">
        <v>3638</v>
      </c>
      <c r="GT317" s="1">
        <v>42151</v>
      </c>
      <c r="GU317">
        <v>2014</v>
      </c>
      <c r="GV317">
        <v>1024.05</v>
      </c>
      <c r="GW317" t="s">
        <v>3639</v>
      </c>
      <c r="GX317">
        <v>0.25</v>
      </c>
      <c r="GY317" t="s">
        <v>424</v>
      </c>
      <c r="GZ317" t="s">
        <v>425</v>
      </c>
      <c r="HA317" s="1">
        <v>42480</v>
      </c>
      <c r="HB317">
        <v>11</v>
      </c>
      <c r="HC317">
        <v>2101382</v>
      </c>
      <c r="HD317" t="s">
        <v>993</v>
      </c>
      <c r="HF317" s="1">
        <v>42151</v>
      </c>
      <c r="HG317">
        <v>2014</v>
      </c>
      <c r="HH317">
        <v>1024.05</v>
      </c>
      <c r="HI317" t="s">
        <v>3639</v>
      </c>
      <c r="HJ317">
        <v>0.25</v>
      </c>
      <c r="HK317" t="s">
        <v>424</v>
      </c>
      <c r="HL317" t="s">
        <v>425</v>
      </c>
      <c r="HN317">
        <v>22</v>
      </c>
      <c r="HO317">
        <v>5532549</v>
      </c>
      <c r="HP317" t="s">
        <v>3640</v>
      </c>
      <c r="HR317" s="1">
        <v>41787</v>
      </c>
      <c r="HS317">
        <v>2013</v>
      </c>
      <c r="HT317">
        <v>870.57</v>
      </c>
      <c r="HU317" t="s">
        <v>3641</v>
      </c>
      <c r="HV317">
        <v>0.25</v>
      </c>
      <c r="HW317" t="s">
        <v>424</v>
      </c>
      <c r="HX317" t="s">
        <v>425</v>
      </c>
      <c r="HY317" s="1">
        <v>42132</v>
      </c>
      <c r="HZ317">
        <v>12</v>
      </c>
      <c r="IA317">
        <v>2101382</v>
      </c>
      <c r="IB317" t="s">
        <v>993</v>
      </c>
      <c r="ID317" s="1">
        <v>41423</v>
      </c>
      <c r="IE317">
        <v>2012</v>
      </c>
      <c r="IF317">
        <v>965.92</v>
      </c>
      <c r="IG317" t="s">
        <v>3642</v>
      </c>
      <c r="IH317">
        <v>0.25</v>
      </c>
      <c r="II317" t="s">
        <v>424</v>
      </c>
      <c r="IJ317" t="s">
        <v>425</v>
      </c>
      <c r="IK317" s="1">
        <v>41896</v>
      </c>
      <c r="IL317">
        <v>16</v>
      </c>
      <c r="IM317">
        <v>11153</v>
      </c>
      <c r="IN317" t="s">
        <v>3643</v>
      </c>
      <c r="IP317" s="1">
        <v>41052</v>
      </c>
      <c r="IQ317">
        <v>2011</v>
      </c>
      <c r="IR317">
        <v>1049.27</v>
      </c>
      <c r="IS317" t="s">
        <v>3644</v>
      </c>
      <c r="IT317">
        <v>5</v>
      </c>
      <c r="IU317" t="s">
        <v>424</v>
      </c>
      <c r="IV317" t="s">
        <v>425</v>
      </c>
      <c r="IW317" s="1">
        <v>41695</v>
      </c>
      <c r="IX317">
        <v>21</v>
      </c>
      <c r="IY317">
        <v>1625515</v>
      </c>
      <c r="IZ317" t="s">
        <v>487</v>
      </c>
      <c r="JB317" s="1">
        <v>41052</v>
      </c>
      <c r="JC317">
        <v>2011</v>
      </c>
      <c r="JD317">
        <v>1049.27</v>
      </c>
      <c r="JE317" t="s">
        <v>3644</v>
      </c>
      <c r="JF317">
        <v>5</v>
      </c>
      <c r="JG317" t="s">
        <v>424</v>
      </c>
      <c r="JH317" t="s">
        <v>425</v>
      </c>
      <c r="JJ317">
        <v>22</v>
      </c>
      <c r="JK317">
        <v>10579</v>
      </c>
      <c r="JL317" t="s">
        <v>488</v>
      </c>
      <c r="JN317" s="1">
        <v>40688</v>
      </c>
      <c r="JO317">
        <v>2010</v>
      </c>
      <c r="JP317">
        <v>1111.49</v>
      </c>
      <c r="JQ317" t="s">
        <v>3645</v>
      </c>
      <c r="JR317">
        <v>0.25</v>
      </c>
      <c r="JS317" t="s">
        <v>424</v>
      </c>
      <c r="JT317" t="s">
        <v>425</v>
      </c>
      <c r="JU317" s="1">
        <v>41330</v>
      </c>
      <c r="JV317">
        <v>21</v>
      </c>
      <c r="JW317">
        <v>11287</v>
      </c>
      <c r="JX317" t="s">
        <v>511</v>
      </c>
    </row>
    <row r="318" spans="1:285" x14ac:dyDescent="0.25">
      <c r="A318">
        <v>16485325</v>
      </c>
      <c r="B318">
        <v>317</v>
      </c>
      <c r="C318" t="s">
        <v>393</v>
      </c>
      <c r="D318" t="s">
        <v>394</v>
      </c>
      <c r="F318" t="str">
        <f>"29-1S-24-0000-0003-0130"</f>
        <v>29-1S-24-0000-0003-0130</v>
      </c>
      <c r="H318" t="str">
        <f>"WILLIAMS TERRI E ETAL"</f>
        <v>WILLIAMS TERRI E ETAL</v>
      </c>
      <c r="I318" t="str">
        <f>"8020 ANDREA PLACE"</f>
        <v>8020 ANDREA PLACE</v>
      </c>
      <c r="J318" t="str">
        <f t="shared" si="97"/>
        <v>BRYCEVILLE FL 32009</v>
      </c>
      <c r="K318" t="str">
        <f>"8070 ANDREA PL"</f>
        <v>8070 ANDREA PL</v>
      </c>
      <c r="L318" t="str">
        <f t="shared" si="96"/>
        <v>BRYCEVILLE FL 32009</v>
      </c>
      <c r="M318" t="str">
        <f>"W135 FT OF E1485 FT OF N485.17 FT OF N1/2 OF NW1/4 OF SEC 29 &amp; W135 FT OF E1485 FT OF SW1/4 OF SEC 20 (LYING SOUTH OF RD) IN OR 694/1807 (EX ESMT IN OR 713/1992)"</f>
        <v>W135 FT OF E1485 FT OF N485.17 FT OF N1/2 OF NW1/4 OF SEC 29 &amp; W135 FT OF E1485 FT OF SW1/4 OF SEC 20 (LYING SOUTH OF RD) IN OR 694/1807 (EX ESMT IN OR 713/1992)</v>
      </c>
      <c r="N318" t="str">
        <f>""</f>
        <v/>
      </c>
      <c r="O318" t="str">
        <f>"38405"</f>
        <v>38405</v>
      </c>
      <c r="P318" t="str">
        <f t="shared" si="82"/>
        <v>2017</v>
      </c>
      <c r="Q318" t="str">
        <f>""</f>
        <v/>
      </c>
      <c r="R318" t="str">
        <f>"N"</f>
        <v>N</v>
      </c>
      <c r="S318" t="str">
        <f>"1.50"</f>
        <v>1.50</v>
      </c>
      <c r="T318" t="str">
        <f>"748.30"</f>
        <v>748.30</v>
      </c>
      <c r="U318" t="str">
        <f>"49429.00"</f>
        <v>49429.00</v>
      </c>
      <c r="V318" t="str">
        <f>"49429.00"</f>
        <v>49429.00</v>
      </c>
      <c r="W318" t="str">
        <f t="shared" si="83"/>
        <v>2017</v>
      </c>
      <c r="X318" t="str">
        <f>"12.50"</f>
        <v>12.50</v>
      </c>
      <c r="Y318" t="str">
        <f>"802.75"</f>
        <v>802.75</v>
      </c>
      <c r="Z318" t="str">
        <f>""</f>
        <v/>
      </c>
      <c r="AA318" t="str">
        <f>"49429.00"</f>
        <v>49429.00</v>
      </c>
      <c r="AB318" t="str">
        <f t="shared" si="92"/>
        <v>Residential</v>
      </c>
      <c r="AC318" t="str">
        <f t="shared" si="84"/>
        <v>0</v>
      </c>
      <c r="AD318" t="str">
        <f t="shared" si="98"/>
        <v>4</v>
      </c>
      <c r="AE318" t="str">
        <f t="shared" si="99"/>
        <v>WOOD (INCLUDE STEEL STUDS)</v>
      </c>
      <c r="AF318" t="str">
        <f>"001"</f>
        <v>001</v>
      </c>
      <c r="AG318" t="str">
        <f t="shared" si="93"/>
        <v>FL</v>
      </c>
      <c r="AH318" t="str">
        <f>"65340.00"</f>
        <v>65340.00</v>
      </c>
      <c r="AI318" t="str">
        <f>"22500.00"</f>
        <v>22500.00</v>
      </c>
      <c r="AJ318" t="str">
        <f>"C55-000-587-5519-0"</f>
        <v>C55-000-587-5519-0</v>
      </c>
      <c r="AK318" t="str">
        <f>"9502"</f>
        <v>9502</v>
      </c>
      <c r="AL318">
        <v>2</v>
      </c>
      <c r="AM318">
        <v>367</v>
      </c>
      <c r="AN318">
        <v>841.29</v>
      </c>
      <c r="AQ318" t="s">
        <v>3646</v>
      </c>
      <c r="AR318" t="s">
        <v>3646</v>
      </c>
      <c r="AS318" t="s">
        <v>3646</v>
      </c>
      <c r="AU318" t="s">
        <v>396</v>
      </c>
      <c r="AV318">
        <v>2017</v>
      </c>
      <c r="AW318" t="str">
        <f>"29-1S-24-0000-0003-0130 "</f>
        <v xml:space="preserve">29-1S-24-0000-0003-0130 </v>
      </c>
      <c r="AX318">
        <v>8070</v>
      </c>
      <c r="AZ318" t="s">
        <v>3647</v>
      </c>
      <c r="BA318" t="s">
        <v>641</v>
      </c>
      <c r="BD318" t="s">
        <v>553</v>
      </c>
      <c r="BE318" t="s">
        <v>393</v>
      </c>
      <c r="BF318">
        <v>32009</v>
      </c>
      <c r="BG318" t="s">
        <v>3648</v>
      </c>
      <c r="BH318" t="s">
        <v>555</v>
      </c>
      <c r="BI318">
        <v>-81.9292153963912</v>
      </c>
      <c r="BJ318">
        <v>30.3906816443899</v>
      </c>
      <c r="BK318" t="s">
        <v>3649</v>
      </c>
      <c r="BL318" t="s">
        <v>3650</v>
      </c>
      <c r="BM318" t="s">
        <v>3651</v>
      </c>
      <c r="BN318" t="s">
        <v>558</v>
      </c>
      <c r="BO318">
        <v>32009</v>
      </c>
      <c r="BP318" t="s">
        <v>404</v>
      </c>
      <c r="BQ318">
        <v>100</v>
      </c>
      <c r="BR318" t="s">
        <v>514</v>
      </c>
      <c r="BS318">
        <v>1001</v>
      </c>
      <c r="BT318" t="s">
        <v>515</v>
      </c>
      <c r="BW318">
        <v>65340</v>
      </c>
      <c r="BX318" t="s">
        <v>407</v>
      </c>
      <c r="BY318" t="s">
        <v>408</v>
      </c>
      <c r="BZ318">
        <v>4</v>
      </c>
      <c r="CA318">
        <v>1945</v>
      </c>
      <c r="CB318">
        <v>1</v>
      </c>
      <c r="CC318">
        <v>1</v>
      </c>
      <c r="CD318">
        <v>2017</v>
      </c>
      <c r="CE318">
        <v>22500</v>
      </c>
      <c r="CF318">
        <v>26929</v>
      </c>
      <c r="CG318">
        <v>49429</v>
      </c>
      <c r="CH318">
        <v>2017</v>
      </c>
      <c r="CI318">
        <v>22500</v>
      </c>
      <c r="CJ318">
        <v>26929</v>
      </c>
      <c r="CK318">
        <v>49429</v>
      </c>
      <c r="CL318">
        <v>2017</v>
      </c>
      <c r="CM318">
        <v>748.3</v>
      </c>
      <c r="CN318" s="1">
        <v>39758</v>
      </c>
      <c r="CZ318" s="1">
        <v>39758</v>
      </c>
      <c r="DD318" t="s">
        <v>553</v>
      </c>
      <c r="DG318">
        <v>29</v>
      </c>
      <c r="DL318">
        <v>50504</v>
      </c>
      <c r="DM318" t="s">
        <v>3652</v>
      </c>
      <c r="DO318" t="s">
        <v>3653</v>
      </c>
      <c r="DP318">
        <v>0</v>
      </c>
      <c r="DQ318">
        <v>0</v>
      </c>
      <c r="DR318" t="s">
        <v>411</v>
      </c>
      <c r="DS318" t="b">
        <v>1</v>
      </c>
      <c r="DT318" t="s">
        <v>470</v>
      </c>
      <c r="DU318" t="s">
        <v>471</v>
      </c>
      <c r="DV318" t="s">
        <v>472</v>
      </c>
      <c r="DX318">
        <v>-9999</v>
      </c>
      <c r="DZ318" t="s">
        <v>447</v>
      </c>
      <c r="EA318" t="s">
        <v>448</v>
      </c>
      <c r="EB318" t="s">
        <v>742</v>
      </c>
      <c r="EC318">
        <v>20101217</v>
      </c>
      <c r="ED318" t="s">
        <v>474</v>
      </c>
      <c r="EF318">
        <v>836.4</v>
      </c>
      <c r="EG318">
        <v>836.4</v>
      </c>
      <c r="EI318">
        <v>20160407</v>
      </c>
      <c r="EJ318">
        <v>0</v>
      </c>
      <c r="EK318">
        <v>0</v>
      </c>
      <c r="EP318" t="s">
        <v>421</v>
      </c>
      <c r="EQ318" t="s">
        <v>422</v>
      </c>
      <c r="ER318">
        <v>2</v>
      </c>
      <c r="ES318">
        <v>7</v>
      </c>
      <c r="ET318">
        <v>1556.22</v>
      </c>
      <c r="EU318">
        <v>90.31</v>
      </c>
      <c r="EV318">
        <v>1646.53</v>
      </c>
      <c r="EW318" s="2">
        <v>43222</v>
      </c>
      <c r="EX318" s="1">
        <v>42879</v>
      </c>
      <c r="EY318">
        <v>2016</v>
      </c>
      <c r="EZ318">
        <v>778.11</v>
      </c>
      <c r="FA318" t="s">
        <v>3654</v>
      </c>
      <c r="FB318">
        <v>0.25</v>
      </c>
      <c r="FC318" t="s">
        <v>424</v>
      </c>
      <c r="FD318" t="s">
        <v>454</v>
      </c>
      <c r="FF318">
        <v>12</v>
      </c>
      <c r="FG318">
        <v>11289</v>
      </c>
      <c r="FH318" t="s">
        <v>787</v>
      </c>
      <c r="FJ318" s="1">
        <v>42879</v>
      </c>
      <c r="FK318">
        <v>2016</v>
      </c>
      <c r="FL318">
        <v>778.11</v>
      </c>
      <c r="FM318" t="s">
        <v>3654</v>
      </c>
      <c r="FN318">
        <v>0.25</v>
      </c>
      <c r="FO318" t="s">
        <v>424</v>
      </c>
      <c r="FP318" t="s">
        <v>454</v>
      </c>
      <c r="FR318">
        <v>12</v>
      </c>
      <c r="FS318">
        <v>7061067</v>
      </c>
      <c r="FT318" t="s">
        <v>3655</v>
      </c>
      <c r="FV318" s="1">
        <v>42515</v>
      </c>
      <c r="FW318">
        <v>2015</v>
      </c>
      <c r="FX318">
        <v>786.09</v>
      </c>
      <c r="FY318" t="s">
        <v>3656</v>
      </c>
      <c r="FZ318">
        <v>0.25</v>
      </c>
      <c r="GA318" t="s">
        <v>424</v>
      </c>
      <c r="GB318" t="s">
        <v>425</v>
      </c>
      <c r="GC318" s="1">
        <v>43147</v>
      </c>
      <c r="GD318">
        <v>21</v>
      </c>
      <c r="GE318">
        <v>2851116</v>
      </c>
      <c r="GF318" t="s">
        <v>480</v>
      </c>
      <c r="GH318" s="1">
        <v>42515</v>
      </c>
      <c r="GI318">
        <v>2015</v>
      </c>
      <c r="GJ318">
        <v>786.09</v>
      </c>
      <c r="GK318" t="s">
        <v>3656</v>
      </c>
      <c r="GL318">
        <v>0.25</v>
      </c>
      <c r="GM318" t="s">
        <v>424</v>
      </c>
      <c r="GN318" t="s">
        <v>425</v>
      </c>
      <c r="GP318">
        <v>22</v>
      </c>
      <c r="GQ318">
        <v>5709257</v>
      </c>
      <c r="GR318" t="s">
        <v>3657</v>
      </c>
      <c r="GT318" s="1">
        <v>42151</v>
      </c>
      <c r="GU318">
        <v>2014</v>
      </c>
      <c r="GV318">
        <v>712.05</v>
      </c>
      <c r="GW318" t="s">
        <v>3658</v>
      </c>
      <c r="GX318">
        <v>0.25</v>
      </c>
      <c r="GY318" t="s">
        <v>424</v>
      </c>
      <c r="GZ318" t="s">
        <v>425</v>
      </c>
      <c r="HA318" s="1">
        <v>42765</v>
      </c>
      <c r="HB318">
        <v>20</v>
      </c>
      <c r="HC318">
        <v>2851116</v>
      </c>
      <c r="HD318" t="s">
        <v>480</v>
      </c>
      <c r="HF318" s="1">
        <v>42151</v>
      </c>
      <c r="HG318">
        <v>2014</v>
      </c>
      <c r="HH318">
        <v>712.05</v>
      </c>
      <c r="HI318" t="s">
        <v>3658</v>
      </c>
      <c r="HJ318">
        <v>0.25</v>
      </c>
      <c r="HK318" t="s">
        <v>424</v>
      </c>
      <c r="HL318" t="s">
        <v>425</v>
      </c>
      <c r="HN318">
        <v>22</v>
      </c>
      <c r="HO318">
        <v>5047904</v>
      </c>
      <c r="HP318" t="s">
        <v>3659</v>
      </c>
      <c r="HR318" s="1">
        <v>41787</v>
      </c>
      <c r="HS318">
        <v>2013</v>
      </c>
      <c r="HT318">
        <v>651.48</v>
      </c>
      <c r="HU318" t="s">
        <v>3660</v>
      </c>
      <c r="HV318">
        <v>0.25</v>
      </c>
      <c r="HW318" t="s">
        <v>424</v>
      </c>
      <c r="HX318" t="s">
        <v>425</v>
      </c>
      <c r="HY318" s="1">
        <v>42131</v>
      </c>
      <c r="HZ318">
        <v>12</v>
      </c>
      <c r="IA318">
        <v>13026</v>
      </c>
      <c r="IB318" t="s">
        <v>2129</v>
      </c>
      <c r="ID318" s="1">
        <v>41423</v>
      </c>
      <c r="IE318">
        <v>2012</v>
      </c>
      <c r="IF318">
        <v>701.25</v>
      </c>
      <c r="IG318" t="s">
        <v>3661</v>
      </c>
      <c r="IH318">
        <v>3.5</v>
      </c>
      <c r="II318" t="s">
        <v>424</v>
      </c>
      <c r="IJ318" t="s">
        <v>425</v>
      </c>
      <c r="IK318" s="1">
        <v>41752</v>
      </c>
      <c r="IL318">
        <v>11</v>
      </c>
      <c r="IM318">
        <v>15399</v>
      </c>
      <c r="IN318" t="s">
        <v>485</v>
      </c>
      <c r="IP318" s="1">
        <v>41052</v>
      </c>
      <c r="IQ318">
        <v>2011</v>
      </c>
      <c r="IR318">
        <v>760.22</v>
      </c>
      <c r="IS318" t="s">
        <v>3662</v>
      </c>
      <c r="IT318">
        <v>4.5</v>
      </c>
      <c r="IU318" t="s">
        <v>424</v>
      </c>
      <c r="IV318" t="s">
        <v>425</v>
      </c>
      <c r="IW318" s="1">
        <v>41352</v>
      </c>
      <c r="IX318">
        <v>10</v>
      </c>
      <c r="IY318">
        <v>10579</v>
      </c>
      <c r="IZ318" t="s">
        <v>488</v>
      </c>
    </row>
    <row r="319" spans="1:285" x14ac:dyDescent="0.25">
      <c r="A319">
        <v>16485326</v>
      </c>
      <c r="B319">
        <v>318</v>
      </c>
      <c r="C319" t="s">
        <v>393</v>
      </c>
      <c r="D319" t="s">
        <v>394</v>
      </c>
      <c r="F319" t="str">
        <f>"30-1S-24-0000-0018-0050"</f>
        <v>30-1S-24-0000-0018-0050</v>
      </c>
      <c r="H319" t="str">
        <f>"CARR RONALD LEWIS JR"</f>
        <v>CARR RONALD LEWIS JR</v>
      </c>
      <c r="I319" t="str">
        <f>"2112 LA VALLE DR"</f>
        <v>2112 LA VALLE DR</v>
      </c>
      <c r="J319" t="str">
        <f>"JACKSONVILLE FL 32009"</f>
        <v>JACKSONVILLE FL 32009</v>
      </c>
      <c r="K319" t="str">
        <f>"7998 RAILROAD RD"</f>
        <v>7998 RAILROAD RD</v>
      </c>
      <c r="L319" t="str">
        <f t="shared" si="96"/>
        <v>BRYCEVILLE FL 32009</v>
      </c>
      <c r="M319" t="str">
        <f>"PT OF N1/4 OF SEC 30-1S-24E IN OR 2083/1296 ESMT OR 1934/1543 {R621748}"</f>
        <v>PT OF N1/4 OF SEC 30-1S-24E IN OR 2083/1296 ESMT OR 1934/1543 {R621748}</v>
      </c>
      <c r="N319" t="str">
        <f>""</f>
        <v/>
      </c>
      <c r="O319" t="str">
        <f>"39195"</f>
        <v>39195</v>
      </c>
      <c r="P319" t="str">
        <f t="shared" si="82"/>
        <v>2017</v>
      </c>
      <c r="Q319" t="str">
        <f>""</f>
        <v/>
      </c>
      <c r="R319" t="str">
        <f>"N"</f>
        <v>N</v>
      </c>
      <c r="S319" t="str">
        <f>"1.00"</f>
        <v>1.00</v>
      </c>
      <c r="T319" t="str">
        <f>"422.03"</f>
        <v>422.03</v>
      </c>
      <c r="U319" t="str">
        <f>"27878.00"</f>
        <v>27878.00</v>
      </c>
      <c r="V319" t="str">
        <f>"27878.00"</f>
        <v>27878.00</v>
      </c>
      <c r="W319" t="str">
        <f t="shared" si="83"/>
        <v>2017</v>
      </c>
      <c r="X319" t="str">
        <f>""</f>
        <v/>
      </c>
      <c r="Y319" t="str">
        <f>"466.69"</f>
        <v>466.69</v>
      </c>
      <c r="Z319" t="str">
        <f>""</f>
        <v/>
      </c>
      <c r="AA319" t="str">
        <f>"27878.00"</f>
        <v>27878.00</v>
      </c>
      <c r="AB319" t="str">
        <f t="shared" si="92"/>
        <v>Residential</v>
      </c>
      <c r="AC319" t="str">
        <f t="shared" si="84"/>
        <v>0</v>
      </c>
      <c r="AD319" t="str">
        <f t="shared" si="98"/>
        <v>4</v>
      </c>
      <c r="AE319" t="str">
        <f t="shared" si="99"/>
        <v>WOOD (INCLUDE STEEL STUDS)</v>
      </c>
      <c r="AF319" t="str">
        <f>"002"</f>
        <v>002</v>
      </c>
      <c r="AG319" t="str">
        <f t="shared" si="93"/>
        <v>FL</v>
      </c>
      <c r="AH319" t="str">
        <f>"43560.00"</f>
        <v>43560.00</v>
      </c>
      <c r="AI319" t="str">
        <f>"15000.00"</f>
        <v>15000.00</v>
      </c>
      <c r="AJ319" t="str">
        <f>"C55-000-587-6083-6"</f>
        <v>C55-000-587-6083-6</v>
      </c>
      <c r="AK319" t="str">
        <f>"9549"</f>
        <v>9549</v>
      </c>
      <c r="AL319">
        <v>2</v>
      </c>
      <c r="AM319">
        <v>368</v>
      </c>
      <c r="AN319">
        <v>488.42</v>
      </c>
      <c r="AQ319" t="s">
        <v>3663</v>
      </c>
      <c r="AR319" t="s">
        <v>3663</v>
      </c>
      <c r="AS319" t="s">
        <v>3663</v>
      </c>
      <c r="AU319" t="s">
        <v>396</v>
      </c>
      <c r="AV319">
        <v>2017</v>
      </c>
      <c r="AW319" t="str">
        <f>"30-1S-24-0000-0018-0050 "</f>
        <v xml:space="preserve">30-1S-24-0000-0018-0050 </v>
      </c>
      <c r="AX319">
        <v>7998</v>
      </c>
      <c r="AZ319" t="s">
        <v>3664</v>
      </c>
      <c r="BA319" t="s">
        <v>496</v>
      </c>
      <c r="BD319" t="s">
        <v>553</v>
      </c>
      <c r="BE319" t="s">
        <v>393</v>
      </c>
      <c r="BF319">
        <v>32009</v>
      </c>
      <c r="BG319" t="s">
        <v>3665</v>
      </c>
      <c r="BH319" t="s">
        <v>555</v>
      </c>
      <c r="BI319">
        <v>-81.941617184921498</v>
      </c>
      <c r="BJ319">
        <v>30.388985739340999</v>
      </c>
      <c r="BK319" t="s">
        <v>3666</v>
      </c>
      <c r="BM319" t="s">
        <v>3667</v>
      </c>
      <c r="BN319" t="s">
        <v>548</v>
      </c>
      <c r="BO319">
        <v>32009</v>
      </c>
      <c r="BP319" t="s">
        <v>404</v>
      </c>
      <c r="BQ319">
        <v>200</v>
      </c>
      <c r="BR319" t="s">
        <v>405</v>
      </c>
      <c r="BS319">
        <v>1006</v>
      </c>
      <c r="BT319" t="s">
        <v>406</v>
      </c>
      <c r="BW319">
        <v>43560</v>
      </c>
      <c r="BX319" t="s">
        <v>407</v>
      </c>
      <c r="BZ319">
        <v>4</v>
      </c>
      <c r="CA319">
        <v>1978</v>
      </c>
      <c r="CB319">
        <v>1</v>
      </c>
      <c r="CC319">
        <v>1</v>
      </c>
      <c r="CD319">
        <v>2017</v>
      </c>
      <c r="CE319">
        <v>15000</v>
      </c>
      <c r="CF319">
        <v>12878</v>
      </c>
      <c r="CG319">
        <v>27878</v>
      </c>
      <c r="CH319">
        <v>2017</v>
      </c>
      <c r="CI319">
        <v>15000</v>
      </c>
      <c r="CJ319">
        <v>12878</v>
      </c>
      <c r="CK319">
        <v>27878</v>
      </c>
      <c r="CL319">
        <v>2017</v>
      </c>
      <c r="CM319">
        <v>422.03</v>
      </c>
      <c r="CN319" s="1">
        <v>42280</v>
      </c>
      <c r="CO319">
        <v>5000</v>
      </c>
      <c r="CZ319" s="1">
        <v>42280</v>
      </c>
      <c r="DD319" t="s">
        <v>553</v>
      </c>
      <c r="DG319">
        <v>30</v>
      </c>
      <c r="DL319">
        <v>50504</v>
      </c>
      <c r="DM319" t="s">
        <v>3668</v>
      </c>
      <c r="DO319" t="s">
        <v>3669</v>
      </c>
      <c r="DP319">
        <v>0</v>
      </c>
      <c r="DQ319">
        <v>0</v>
      </c>
      <c r="DR319" t="s">
        <v>411</v>
      </c>
    </row>
    <row r="320" spans="1:285" x14ac:dyDescent="0.25">
      <c r="A320">
        <v>16485327</v>
      </c>
      <c r="B320">
        <v>319</v>
      </c>
      <c r="C320" t="s">
        <v>393</v>
      </c>
      <c r="D320" t="s">
        <v>394</v>
      </c>
      <c r="F320" t="str">
        <f>"30-1S-24-2120-0020-0000"</f>
        <v>30-1S-24-2120-0020-0000</v>
      </c>
      <c r="H320" t="str">
        <f>"ABERNATHY MIA L &amp; PAUL E"</f>
        <v>ABERNATHY MIA L &amp; PAUL E</v>
      </c>
      <c r="I320" t="str">
        <f>"7699 HWY 301"</f>
        <v>7699 HWY 301</v>
      </c>
      <c r="J320" t="str">
        <f>"BRYCEVILLE FL 32009"</f>
        <v>BRYCEVILLE FL 32009</v>
      </c>
      <c r="K320" t="str">
        <f>"7699 US HWY 301"</f>
        <v>7699 US HWY 301</v>
      </c>
      <c r="L320" t="str">
        <f t="shared" si="96"/>
        <v>BRYCEVILLE FL 32009</v>
      </c>
      <c r="M320" t="str">
        <f>"LOTS 20 21 36 &amp; 37 IN OR 1967/75 PINE VIEW SUB PB 3/64"</f>
        <v>LOTS 20 21 36 &amp; 37 IN OR 1967/75 PINE VIEW SUB PB 3/64</v>
      </c>
      <c r="N320" t="str">
        <f>""</f>
        <v/>
      </c>
      <c r="O320" t="str">
        <f>"39212"</f>
        <v>39212</v>
      </c>
      <c r="P320" t="str">
        <f t="shared" si="82"/>
        <v>2017</v>
      </c>
      <c r="Q320" t="str">
        <f>""</f>
        <v/>
      </c>
      <c r="R320" t="str">
        <f>"Y"</f>
        <v>Y</v>
      </c>
      <c r="S320" t="str">
        <f>"1.06"</f>
        <v>1.06</v>
      </c>
      <c r="T320" t="str">
        <f>"2282.24"</f>
        <v>2282.24</v>
      </c>
      <c r="U320" t="str">
        <f>"189858.00"</f>
        <v>189858.00</v>
      </c>
      <c r="V320" t="str">
        <f>"189858.00"</f>
        <v>189858.00</v>
      </c>
      <c r="W320" t="str">
        <f t="shared" si="83"/>
        <v>2017</v>
      </c>
      <c r="X320" t="str">
        <f>"16.00"</f>
        <v>16.00</v>
      </c>
      <c r="Y320" t="str">
        <f>"2382.71"</f>
        <v>2382.71</v>
      </c>
      <c r="Z320" t="str">
        <f>"25000.00"</f>
        <v>25000.00</v>
      </c>
      <c r="AA320" t="str">
        <f>"164858.00"</f>
        <v>164858.00</v>
      </c>
      <c r="AB320" t="str">
        <f t="shared" si="92"/>
        <v>Residential</v>
      </c>
      <c r="AC320" t="str">
        <f t="shared" si="84"/>
        <v>0</v>
      </c>
      <c r="AD320" t="str">
        <f t="shared" si="98"/>
        <v>4</v>
      </c>
      <c r="AE320" t="str">
        <f t="shared" si="99"/>
        <v>WOOD (INCLUDE STEEL STUDS)</v>
      </c>
      <c r="AF320" t="str">
        <f>"001"</f>
        <v>001</v>
      </c>
      <c r="AG320" t="str">
        <f t="shared" si="93"/>
        <v>FL</v>
      </c>
      <c r="AH320" t="str">
        <f>"46173.00"</f>
        <v>46173.00</v>
      </c>
      <c r="AI320" t="str">
        <f>"15900.00"</f>
        <v>15900.00</v>
      </c>
      <c r="AJ320" t="str">
        <f>"C55-000-587-6099-2"</f>
        <v>C55-000-587-6099-2</v>
      </c>
      <c r="AK320" t="str">
        <f>"9563"</f>
        <v>9563</v>
      </c>
      <c r="AL320">
        <v>2</v>
      </c>
      <c r="AM320">
        <v>369</v>
      </c>
      <c r="AN320">
        <v>2500.25</v>
      </c>
      <c r="AQ320" t="s">
        <v>3670</v>
      </c>
      <c r="AR320" t="s">
        <v>3670</v>
      </c>
      <c r="AS320" t="s">
        <v>3670</v>
      </c>
      <c r="AU320" t="s">
        <v>396</v>
      </c>
      <c r="AV320">
        <v>2017</v>
      </c>
      <c r="AW320" t="str">
        <f>"30-1S-24-2120-0020-0000 "</f>
        <v xml:space="preserve">30-1S-24-2120-0020-0000 </v>
      </c>
      <c r="AX320">
        <v>7699</v>
      </c>
      <c r="AZ320" t="s">
        <v>2893</v>
      </c>
      <c r="BD320" t="s">
        <v>553</v>
      </c>
      <c r="BE320" t="s">
        <v>393</v>
      </c>
      <c r="BF320">
        <v>32009</v>
      </c>
      <c r="BG320" t="s">
        <v>3671</v>
      </c>
      <c r="BH320" t="s">
        <v>555</v>
      </c>
      <c r="BI320">
        <v>-81.938299232441096</v>
      </c>
      <c r="BJ320">
        <v>30.383925589346799</v>
      </c>
      <c r="BK320" t="s">
        <v>3672</v>
      </c>
      <c r="BL320" t="s">
        <v>3673</v>
      </c>
      <c r="BM320" t="s">
        <v>3674</v>
      </c>
      <c r="BN320" t="s">
        <v>558</v>
      </c>
      <c r="BO320">
        <v>32009</v>
      </c>
      <c r="BP320" t="s">
        <v>404</v>
      </c>
      <c r="BQ320">
        <v>100</v>
      </c>
      <c r="BR320" t="s">
        <v>514</v>
      </c>
      <c r="BS320">
        <v>1001</v>
      </c>
      <c r="BT320" t="s">
        <v>515</v>
      </c>
      <c r="BW320">
        <v>46173</v>
      </c>
      <c r="BX320" t="s">
        <v>407</v>
      </c>
      <c r="BY320" t="s">
        <v>2221</v>
      </c>
      <c r="BZ320">
        <v>4</v>
      </c>
      <c r="CA320">
        <v>1968</v>
      </c>
      <c r="CB320">
        <v>1</v>
      </c>
      <c r="CC320">
        <v>2</v>
      </c>
      <c r="CD320">
        <v>2017</v>
      </c>
      <c r="CE320">
        <v>15900</v>
      </c>
      <c r="CF320">
        <v>173958</v>
      </c>
      <c r="CG320">
        <v>189858</v>
      </c>
      <c r="CH320">
        <v>2017</v>
      </c>
      <c r="CI320">
        <v>15900</v>
      </c>
      <c r="CJ320">
        <v>173958</v>
      </c>
      <c r="CK320">
        <v>189858</v>
      </c>
      <c r="CL320">
        <v>2017</v>
      </c>
      <c r="CM320">
        <v>2282.2399999999998</v>
      </c>
      <c r="CN320" s="1">
        <v>42061</v>
      </c>
      <c r="CZ320" s="1">
        <v>42061</v>
      </c>
      <c r="DD320" t="s">
        <v>553</v>
      </c>
      <c r="DG320">
        <v>30</v>
      </c>
      <c r="DJ320" t="s">
        <v>3675</v>
      </c>
      <c r="DL320">
        <v>50504</v>
      </c>
      <c r="DM320" t="s">
        <v>3668</v>
      </c>
      <c r="DO320" t="s">
        <v>3676</v>
      </c>
      <c r="DP320">
        <v>0</v>
      </c>
      <c r="DQ320">
        <v>1</v>
      </c>
      <c r="DR320" t="s">
        <v>411</v>
      </c>
      <c r="DS320" t="b">
        <v>1</v>
      </c>
      <c r="DT320" t="s">
        <v>470</v>
      </c>
      <c r="DU320" t="s">
        <v>471</v>
      </c>
      <c r="DV320" t="s">
        <v>472</v>
      </c>
      <c r="DX320">
        <v>-9999</v>
      </c>
      <c r="DZ320" t="s">
        <v>447</v>
      </c>
      <c r="EA320" t="s">
        <v>448</v>
      </c>
      <c r="EB320" t="s">
        <v>3677</v>
      </c>
      <c r="EC320">
        <v>20101217</v>
      </c>
      <c r="ED320" t="s">
        <v>474</v>
      </c>
      <c r="EF320">
        <v>602.29999999999995</v>
      </c>
      <c r="EG320">
        <v>602.29999999999995</v>
      </c>
      <c r="EI320">
        <v>20160407</v>
      </c>
      <c r="EJ320">
        <v>0</v>
      </c>
      <c r="EK320">
        <v>0</v>
      </c>
      <c r="EP320" t="s">
        <v>421</v>
      </c>
      <c r="EQ320" t="s">
        <v>422</v>
      </c>
      <c r="ER320">
        <v>2</v>
      </c>
      <c r="ES320">
        <v>3</v>
      </c>
      <c r="ET320">
        <v>6212.04</v>
      </c>
      <c r="EU320">
        <v>323.10000000000002</v>
      </c>
      <c r="EV320">
        <v>6535.14</v>
      </c>
      <c r="EW320" s="2">
        <v>43222</v>
      </c>
      <c r="EX320" s="1">
        <v>42879</v>
      </c>
      <c r="EY320">
        <v>2016</v>
      </c>
      <c r="EZ320">
        <v>3106.02</v>
      </c>
      <c r="FA320" t="s">
        <v>3678</v>
      </c>
      <c r="FB320">
        <v>0.25</v>
      </c>
      <c r="FC320" t="s">
        <v>424</v>
      </c>
      <c r="FD320" t="s">
        <v>454</v>
      </c>
      <c r="FF320">
        <v>12</v>
      </c>
      <c r="FG320">
        <v>2851116</v>
      </c>
      <c r="FH320" t="s">
        <v>480</v>
      </c>
      <c r="FJ320" s="1">
        <v>42879</v>
      </c>
      <c r="FK320">
        <v>2016</v>
      </c>
      <c r="FL320">
        <v>3106.02</v>
      </c>
      <c r="FM320" t="s">
        <v>3678</v>
      </c>
      <c r="FN320">
        <v>0.25</v>
      </c>
      <c r="FO320" t="s">
        <v>424</v>
      </c>
      <c r="FP320" t="s">
        <v>454</v>
      </c>
      <c r="FR320">
        <v>12</v>
      </c>
      <c r="FS320">
        <v>5408713</v>
      </c>
      <c r="FT320" t="s">
        <v>3679</v>
      </c>
      <c r="FV320" s="1">
        <v>42515</v>
      </c>
      <c r="FW320">
        <v>2015</v>
      </c>
      <c r="FX320">
        <v>3204.77</v>
      </c>
      <c r="FY320" t="s">
        <v>3680</v>
      </c>
      <c r="FZ320">
        <v>0.25</v>
      </c>
      <c r="GA320" t="s">
        <v>424</v>
      </c>
      <c r="GB320" t="s">
        <v>425</v>
      </c>
      <c r="GC320" s="1">
        <v>43145</v>
      </c>
      <c r="GD320">
        <v>21</v>
      </c>
      <c r="GE320">
        <v>7045074</v>
      </c>
      <c r="GF320" t="s">
        <v>580</v>
      </c>
      <c r="GH320" s="1">
        <v>42515</v>
      </c>
      <c r="GI320">
        <v>2015</v>
      </c>
      <c r="GJ320">
        <v>3204.77</v>
      </c>
      <c r="GK320" t="s">
        <v>3680</v>
      </c>
      <c r="GL320">
        <v>0.25</v>
      </c>
      <c r="GM320" t="s">
        <v>424</v>
      </c>
      <c r="GN320" t="s">
        <v>425</v>
      </c>
      <c r="GP320">
        <v>22</v>
      </c>
      <c r="GQ320">
        <v>6200544</v>
      </c>
      <c r="GR320" t="s">
        <v>3681</v>
      </c>
      <c r="GT320" s="1">
        <v>41787</v>
      </c>
      <c r="GU320">
        <v>2013</v>
      </c>
      <c r="GV320">
        <v>1880.13</v>
      </c>
      <c r="GW320" t="s">
        <v>3682</v>
      </c>
      <c r="GX320">
        <v>0.25</v>
      </c>
      <c r="GY320" t="s">
        <v>424</v>
      </c>
      <c r="GZ320" t="s">
        <v>425</v>
      </c>
      <c r="HA320" s="1">
        <v>42109</v>
      </c>
      <c r="HB320">
        <v>11</v>
      </c>
      <c r="HC320">
        <v>2662137</v>
      </c>
      <c r="HD320" t="s">
        <v>916</v>
      </c>
    </row>
    <row r="321" spans="1:284" x14ac:dyDescent="0.25">
      <c r="A321">
        <v>16485328</v>
      </c>
      <c r="B321">
        <v>320</v>
      </c>
      <c r="C321" t="s">
        <v>393</v>
      </c>
      <c r="D321" t="s">
        <v>394</v>
      </c>
      <c r="F321" t="str">
        <f>"30-1S-24-2120-0022-0000"</f>
        <v>30-1S-24-2120-0022-0000</v>
      </c>
      <c r="H321" t="str">
        <f>"ABERNATHY MIA L &amp; PAUL E"</f>
        <v>ABERNATHY MIA L &amp; PAUL E</v>
      </c>
      <c r="I321" t="str">
        <f>"7699 HWY 301"</f>
        <v>7699 HWY 301</v>
      </c>
      <c r="J321" t="str">
        <f>"BRYCEVILLE FL 32009"</f>
        <v>BRYCEVILLE FL 32009</v>
      </c>
      <c r="K321" t="str">
        <f>"7677 US HY 301"</f>
        <v>7677 US HY 301</v>
      </c>
      <c r="L321" t="str">
        <f t="shared" si="96"/>
        <v>BRYCEVILLE FL 32009</v>
      </c>
      <c r="M321" t="str">
        <f>"LOTS 22 23 34 35 IN OR 1967/75 ESMT IN OR 303/340 PINE VIEW SUB PB 3/64"</f>
        <v>LOTS 22 23 34 35 IN OR 1967/75 ESMT IN OR 303/340 PINE VIEW SUB PB 3/64</v>
      </c>
      <c r="N321" t="str">
        <f>""</f>
        <v/>
      </c>
      <c r="O321" t="str">
        <f>"39213"</f>
        <v>39213</v>
      </c>
      <c r="P321" t="str">
        <f t="shared" si="82"/>
        <v>2017</v>
      </c>
      <c r="Q321" t="str">
        <f>""</f>
        <v/>
      </c>
      <c r="R321" t="str">
        <f>"N"</f>
        <v>N</v>
      </c>
      <c r="S321" t="str">
        <f>"1.06"</f>
        <v>1.06</v>
      </c>
      <c r="T321" t="str">
        <f>"449.09"</f>
        <v>449.09</v>
      </c>
      <c r="U321" t="str">
        <f>"29665.00"</f>
        <v>29665.00</v>
      </c>
      <c r="V321" t="str">
        <f>"29665.00"</f>
        <v>29665.00</v>
      </c>
      <c r="W321" t="str">
        <f t="shared" si="83"/>
        <v>2017</v>
      </c>
      <c r="X321" t="str">
        <f>"16.00"</f>
        <v>16.00</v>
      </c>
      <c r="Y321" t="str">
        <f>"494.56"</f>
        <v>494.56</v>
      </c>
      <c r="Z321" t="str">
        <f>""</f>
        <v/>
      </c>
      <c r="AA321" t="str">
        <f>"29665.00"</f>
        <v>29665.00</v>
      </c>
      <c r="AB321" t="str">
        <f>"Commercial"</f>
        <v>Commercial</v>
      </c>
      <c r="AC321" t="str">
        <f t="shared" si="84"/>
        <v>0</v>
      </c>
      <c r="AD321" t="str">
        <f t="shared" si="98"/>
        <v>4</v>
      </c>
      <c r="AE321" t="str">
        <f t="shared" si="99"/>
        <v>WOOD (INCLUDE STEEL STUDS)</v>
      </c>
      <c r="AF321" t="str">
        <f>"017"</f>
        <v>017</v>
      </c>
      <c r="AG321" t="str">
        <f t="shared" si="93"/>
        <v>FL</v>
      </c>
      <c r="AH321" t="str">
        <f>"46000.00"</f>
        <v>46000.00</v>
      </c>
      <c r="AI321" t="str">
        <f>"18480.00"</f>
        <v>18480.00</v>
      </c>
      <c r="AJ321" t="str">
        <f>"C55-000-587-6100-8"</f>
        <v>C55-000-587-6100-8</v>
      </c>
      <c r="AK321" t="str">
        <f>"9564"</f>
        <v>9564</v>
      </c>
      <c r="AL321">
        <v>2</v>
      </c>
      <c r="AM321">
        <v>370</v>
      </c>
      <c r="AN321">
        <v>517.69000000000005</v>
      </c>
      <c r="AQ321" t="s">
        <v>3683</v>
      </c>
      <c r="AR321" t="s">
        <v>3683</v>
      </c>
      <c r="AS321" t="s">
        <v>3683</v>
      </c>
      <c r="AU321" t="s">
        <v>396</v>
      </c>
      <c r="AV321">
        <v>2017</v>
      </c>
      <c r="AW321" t="str">
        <f>"30-1S-24-2120-0022-0000 "</f>
        <v xml:space="preserve">30-1S-24-2120-0022-0000 </v>
      </c>
      <c r="AX321">
        <v>7677</v>
      </c>
      <c r="AZ321" t="s">
        <v>3684</v>
      </c>
      <c r="BC321">
        <v>301</v>
      </c>
      <c r="BD321" t="s">
        <v>553</v>
      </c>
      <c r="BE321" t="s">
        <v>393</v>
      </c>
      <c r="BF321">
        <v>32009</v>
      </c>
      <c r="BG321" t="s">
        <v>3685</v>
      </c>
      <c r="BH321" t="s">
        <v>555</v>
      </c>
      <c r="BI321">
        <v>-81.938496518471396</v>
      </c>
      <c r="BJ321">
        <v>30.383403003634399</v>
      </c>
      <c r="BK321" t="s">
        <v>3672</v>
      </c>
      <c r="BL321" t="s">
        <v>3673</v>
      </c>
      <c r="BM321" t="s">
        <v>3674</v>
      </c>
      <c r="BN321" t="s">
        <v>558</v>
      </c>
      <c r="BO321">
        <v>32009</v>
      </c>
      <c r="BP321" t="s">
        <v>404</v>
      </c>
      <c r="BQ321">
        <v>1700</v>
      </c>
      <c r="BR321" t="s">
        <v>3686</v>
      </c>
      <c r="BS321">
        <v>3003</v>
      </c>
      <c r="BT321" t="s">
        <v>3687</v>
      </c>
      <c r="BW321">
        <v>46000</v>
      </c>
      <c r="BX321" t="s">
        <v>407</v>
      </c>
      <c r="BY321" t="s">
        <v>2221</v>
      </c>
      <c r="BZ321">
        <v>4</v>
      </c>
      <c r="CA321">
        <v>1979</v>
      </c>
      <c r="CB321">
        <v>1</v>
      </c>
      <c r="CD321">
        <v>2017</v>
      </c>
      <c r="CE321">
        <v>18480</v>
      </c>
      <c r="CF321">
        <v>11185</v>
      </c>
      <c r="CG321">
        <v>29665</v>
      </c>
      <c r="CH321">
        <v>2017</v>
      </c>
      <c r="CI321">
        <v>18480</v>
      </c>
      <c r="CJ321">
        <v>11185</v>
      </c>
      <c r="CK321">
        <v>29665</v>
      </c>
      <c r="CL321">
        <v>2017</v>
      </c>
      <c r="CM321">
        <v>449.09</v>
      </c>
      <c r="CN321" s="1">
        <v>42061</v>
      </c>
      <c r="CZ321" s="1">
        <v>42061</v>
      </c>
      <c r="DD321" t="s">
        <v>553</v>
      </c>
      <c r="DG321">
        <v>30</v>
      </c>
      <c r="DL321">
        <v>50504</v>
      </c>
      <c r="DM321" t="s">
        <v>3668</v>
      </c>
      <c r="DO321" t="s">
        <v>3688</v>
      </c>
      <c r="DP321">
        <v>0</v>
      </c>
      <c r="DQ321">
        <v>1</v>
      </c>
      <c r="DR321" t="s">
        <v>411</v>
      </c>
      <c r="DS321" t="b">
        <v>1</v>
      </c>
      <c r="DT321" t="s">
        <v>470</v>
      </c>
      <c r="DU321" t="s">
        <v>471</v>
      </c>
      <c r="DV321" t="s">
        <v>472</v>
      </c>
      <c r="DX321">
        <v>-9999</v>
      </c>
      <c r="DZ321" t="s">
        <v>447</v>
      </c>
      <c r="EA321" t="s">
        <v>448</v>
      </c>
      <c r="EB321" t="s">
        <v>3677</v>
      </c>
      <c r="EC321">
        <v>20101217</v>
      </c>
      <c r="ED321" t="s">
        <v>474</v>
      </c>
      <c r="EF321">
        <v>409.2</v>
      </c>
      <c r="EG321">
        <v>409.2</v>
      </c>
      <c r="EI321">
        <v>20160407</v>
      </c>
      <c r="EJ321">
        <v>0</v>
      </c>
      <c r="EK321">
        <v>0</v>
      </c>
      <c r="EP321" t="s">
        <v>421</v>
      </c>
      <c r="EQ321" t="s">
        <v>422</v>
      </c>
      <c r="ER321">
        <v>1</v>
      </c>
      <c r="ES321">
        <v>2</v>
      </c>
      <c r="ET321">
        <v>500.66</v>
      </c>
      <c r="EU321">
        <v>31.28</v>
      </c>
      <c r="EV321">
        <v>531.94000000000005</v>
      </c>
      <c r="EW321" s="2">
        <v>43222</v>
      </c>
      <c r="EX321" s="1">
        <v>42879</v>
      </c>
      <c r="EY321">
        <v>2016</v>
      </c>
      <c r="EZ321">
        <v>500.66</v>
      </c>
      <c r="FA321" t="s">
        <v>3689</v>
      </c>
      <c r="FB321">
        <v>0.25</v>
      </c>
      <c r="FC321" t="s">
        <v>424</v>
      </c>
      <c r="FD321" t="s">
        <v>454</v>
      </c>
      <c r="FF321">
        <v>12</v>
      </c>
      <c r="FG321">
        <v>7336745</v>
      </c>
      <c r="FH321" t="s">
        <v>502</v>
      </c>
      <c r="FJ321" s="1">
        <v>42515</v>
      </c>
      <c r="FK321">
        <v>2015</v>
      </c>
      <c r="FL321">
        <v>465.11</v>
      </c>
      <c r="FM321" t="s">
        <v>3690</v>
      </c>
      <c r="FN321">
        <v>6.25</v>
      </c>
      <c r="FO321" t="s">
        <v>424</v>
      </c>
      <c r="FP321" t="s">
        <v>425</v>
      </c>
      <c r="FQ321" s="1">
        <v>43145</v>
      </c>
      <c r="FR321">
        <v>21</v>
      </c>
      <c r="FS321">
        <v>7336143</v>
      </c>
      <c r="FT321" t="s">
        <v>539</v>
      </c>
      <c r="FV321" s="1">
        <v>41787</v>
      </c>
      <c r="FW321">
        <v>2013</v>
      </c>
      <c r="FX321">
        <v>495.58</v>
      </c>
      <c r="FY321" t="s">
        <v>3691</v>
      </c>
      <c r="FZ321">
        <v>2.25</v>
      </c>
      <c r="GA321" t="s">
        <v>424</v>
      </c>
      <c r="GB321" t="s">
        <v>425</v>
      </c>
      <c r="GC321" s="1">
        <v>42109</v>
      </c>
      <c r="GD321">
        <v>11</v>
      </c>
      <c r="GE321">
        <v>15399</v>
      </c>
      <c r="GF321" t="s">
        <v>485</v>
      </c>
    </row>
    <row r="322" spans="1:284" x14ac:dyDescent="0.25">
      <c r="A322">
        <v>16485329</v>
      </c>
      <c r="B322">
        <v>321</v>
      </c>
      <c r="C322" t="s">
        <v>393</v>
      </c>
      <c r="D322" t="s">
        <v>394</v>
      </c>
      <c r="F322" t="str">
        <f>"02-2N-24-0000-0001-0070"</f>
        <v>02-2N-24-0000-0001-0070</v>
      </c>
      <c r="H322" t="str">
        <f>"RAY RICHARD C &amp; DARA L"</f>
        <v>RAY RICHARD C &amp; DARA L</v>
      </c>
      <c r="I322" t="str">
        <f>"85294 TRINITY CIR"</f>
        <v>85294 TRINITY CIR</v>
      </c>
      <c r="J322" t="str">
        <f>"YULEE FL 32097"</f>
        <v>YULEE FL 32097</v>
      </c>
      <c r="K322" t="str">
        <f>"36227 FAIRVIEW LN"</f>
        <v>36227 FAIRVIEW LN</v>
      </c>
      <c r="L322" t="str">
        <f t="shared" ref="L322:L365" si="100">"CALLAHAN FL 32011"</f>
        <v>CALLAHAN FL 32011</v>
      </c>
      <c r="M322" t="str">
        <f>"PT OF E1/2 OF NW1/4 IN OR 2046/436 1995 HORTON SW/MH"</f>
        <v>PT OF E1/2 OF NW1/4 IN OR 2046/436 1995 HORTON SW/MH</v>
      </c>
      <c r="N322" t="str">
        <f>""</f>
        <v/>
      </c>
      <c r="O322" t="str">
        <f>"17884"</f>
        <v>17884</v>
      </c>
      <c r="P322" t="str">
        <f t="shared" ref="P322:P385" si="101">"2017"</f>
        <v>2017</v>
      </c>
      <c r="Q322" t="str">
        <f>""</f>
        <v/>
      </c>
      <c r="R322" t="str">
        <f>"N"</f>
        <v>N</v>
      </c>
      <c r="S322" t="str">
        <f>"5.00"</f>
        <v>5.00</v>
      </c>
      <c r="T322" t="str">
        <f>"937.91"</f>
        <v>937.91</v>
      </c>
      <c r="U322" t="str">
        <f>"61954.00"</f>
        <v>61954.00</v>
      </c>
      <c r="V322" t="str">
        <f>"61954.00"</f>
        <v>61954.00</v>
      </c>
      <c r="W322" t="str">
        <f t="shared" ref="W322:W385" si="102">"2017"</f>
        <v>2017</v>
      </c>
      <c r="X322" t="str">
        <f>"15.25"</f>
        <v>15.25</v>
      </c>
      <c r="Y322" t="str">
        <f>"998.05"</f>
        <v>998.05</v>
      </c>
      <c r="Z322" t="str">
        <f>""</f>
        <v/>
      </c>
      <c r="AA322" t="str">
        <f>"61954.00"</f>
        <v>61954.00</v>
      </c>
      <c r="AB322" t="str">
        <f t="shared" ref="AB322:AB331" si="103">"Residential"</f>
        <v>Residential</v>
      </c>
      <c r="AC322" t="str">
        <f t="shared" ref="AC322:AC385" si="104">"0"</f>
        <v>0</v>
      </c>
      <c r="AD322" t="str">
        <f t="shared" si="98"/>
        <v>4</v>
      </c>
      <c r="AE322" t="str">
        <f t="shared" si="99"/>
        <v>WOOD (INCLUDE STEEL STUDS)</v>
      </c>
      <c r="AF322" t="str">
        <f>"002"</f>
        <v>002</v>
      </c>
      <c r="AG322" t="str">
        <f t="shared" si="93"/>
        <v>FL</v>
      </c>
      <c r="AH322" t="str">
        <f>"217800.00"</f>
        <v>217800.00</v>
      </c>
      <c r="AI322" t="str">
        <f>"40000.00"</f>
        <v>40000.00</v>
      </c>
      <c r="AJ322" t="str">
        <f>"C55-000-586-3838-8"</f>
        <v>C55-000-586-3838-8</v>
      </c>
      <c r="AK322" t="str">
        <f>"4411"</f>
        <v>4411</v>
      </c>
      <c r="AL322">
        <v>2</v>
      </c>
      <c r="AM322">
        <v>371</v>
      </c>
      <c r="AN322">
        <v>1046.3499999999999</v>
      </c>
      <c r="AQ322" t="s">
        <v>3692</v>
      </c>
      <c r="AR322" t="s">
        <v>3692</v>
      </c>
      <c r="AS322" t="s">
        <v>3692</v>
      </c>
      <c r="AU322" t="s">
        <v>396</v>
      </c>
      <c r="AV322">
        <v>2017</v>
      </c>
      <c r="AW322" t="str">
        <f>"02-2N-24-0000-0001-0070 "</f>
        <v xml:space="preserve">02-2N-24-0000-0001-0070 </v>
      </c>
      <c r="AX322">
        <v>36227</v>
      </c>
      <c r="AZ322" t="s">
        <v>3693</v>
      </c>
      <c r="BA322" t="s">
        <v>653</v>
      </c>
      <c r="BD322" t="s">
        <v>2785</v>
      </c>
      <c r="BE322" t="s">
        <v>393</v>
      </c>
      <c r="BF322">
        <v>32011</v>
      </c>
      <c r="BG322" t="s">
        <v>3694</v>
      </c>
      <c r="BH322" t="s">
        <v>2787</v>
      </c>
      <c r="BI322">
        <v>-81.881019741640301</v>
      </c>
      <c r="BJ322">
        <v>30.6207867229963</v>
      </c>
      <c r="BK322" t="s">
        <v>3695</v>
      </c>
      <c r="BM322" t="s">
        <v>3696</v>
      </c>
      <c r="BN322" t="s">
        <v>1778</v>
      </c>
      <c r="BO322">
        <v>32097</v>
      </c>
      <c r="BP322" t="s">
        <v>404</v>
      </c>
      <c r="BQ322">
        <v>200</v>
      </c>
      <c r="BR322" t="s">
        <v>405</v>
      </c>
      <c r="BS322">
        <v>1006</v>
      </c>
      <c r="BT322" t="s">
        <v>406</v>
      </c>
      <c r="BW322">
        <v>217800</v>
      </c>
      <c r="BX322" t="s">
        <v>407</v>
      </c>
      <c r="BY322" t="s">
        <v>408</v>
      </c>
      <c r="BZ322">
        <v>4</v>
      </c>
      <c r="CA322">
        <v>1995</v>
      </c>
      <c r="CC322">
        <v>1</v>
      </c>
      <c r="CD322">
        <v>2017</v>
      </c>
      <c r="CE322">
        <v>40000</v>
      </c>
      <c r="CF322">
        <v>21954</v>
      </c>
      <c r="CG322">
        <v>61954</v>
      </c>
      <c r="CH322">
        <v>2017</v>
      </c>
      <c r="CI322">
        <v>40000</v>
      </c>
      <c r="CJ322">
        <v>21954</v>
      </c>
      <c r="CK322">
        <v>61954</v>
      </c>
      <c r="CL322">
        <v>2017</v>
      </c>
      <c r="CM322">
        <v>937.91</v>
      </c>
      <c r="CN322" s="1">
        <v>42507</v>
      </c>
      <c r="CO322">
        <v>55000</v>
      </c>
      <c r="CV322">
        <v>29500</v>
      </c>
      <c r="CX322" t="s">
        <v>707</v>
      </c>
      <c r="CZ322" s="1">
        <v>42507</v>
      </c>
      <c r="DA322">
        <v>0</v>
      </c>
      <c r="DD322" t="s">
        <v>2785</v>
      </c>
      <c r="DG322">
        <v>2</v>
      </c>
      <c r="DL322">
        <v>50400</v>
      </c>
      <c r="DM322" t="s">
        <v>3697</v>
      </c>
      <c r="DO322" t="s">
        <v>3698</v>
      </c>
      <c r="DP322">
        <v>0</v>
      </c>
      <c r="DQ322">
        <v>0</v>
      </c>
      <c r="DR322" t="s">
        <v>411</v>
      </c>
      <c r="DS322" t="b">
        <v>1</v>
      </c>
      <c r="DT322" t="s">
        <v>470</v>
      </c>
      <c r="DU322" t="s">
        <v>471</v>
      </c>
      <c r="DV322" t="s">
        <v>472</v>
      </c>
      <c r="DX322">
        <v>-9999</v>
      </c>
      <c r="DZ322" t="s">
        <v>447</v>
      </c>
      <c r="EA322" t="s">
        <v>448</v>
      </c>
      <c r="EB322" t="s">
        <v>742</v>
      </c>
      <c r="EC322">
        <v>20101217</v>
      </c>
      <c r="ED322" t="s">
        <v>474</v>
      </c>
      <c r="EF322">
        <v>379.8</v>
      </c>
      <c r="EG322">
        <v>379.8</v>
      </c>
      <c r="EH322" t="s">
        <v>451</v>
      </c>
      <c r="EI322">
        <v>20140731</v>
      </c>
      <c r="EJ322">
        <v>0</v>
      </c>
      <c r="EK322">
        <v>0</v>
      </c>
      <c r="EP322" t="s">
        <v>421</v>
      </c>
      <c r="EQ322" t="s">
        <v>422</v>
      </c>
      <c r="ER322">
        <v>0</v>
      </c>
      <c r="ES322">
        <v>3</v>
      </c>
      <c r="ET322">
        <v>0</v>
      </c>
      <c r="EU322">
        <v>0</v>
      </c>
      <c r="EV322">
        <v>0</v>
      </c>
      <c r="EW322" s="2">
        <v>43222</v>
      </c>
      <c r="EX322" s="1">
        <v>42151</v>
      </c>
      <c r="EY322">
        <v>2014</v>
      </c>
      <c r="EZ322">
        <v>878.09</v>
      </c>
      <c r="FA322" t="s">
        <v>3699</v>
      </c>
      <c r="FB322">
        <v>4.75</v>
      </c>
      <c r="FC322" t="s">
        <v>424</v>
      </c>
      <c r="FD322" t="s">
        <v>425</v>
      </c>
      <c r="FE322" s="1">
        <v>42398</v>
      </c>
      <c r="FF322">
        <v>8</v>
      </c>
      <c r="FG322">
        <v>4975593</v>
      </c>
      <c r="FH322" t="s">
        <v>505</v>
      </c>
      <c r="FJ322" s="1">
        <v>41787</v>
      </c>
      <c r="FK322">
        <v>2013</v>
      </c>
      <c r="FL322">
        <v>499.69</v>
      </c>
      <c r="FM322" t="s">
        <v>3700</v>
      </c>
      <c r="FN322">
        <v>2.25</v>
      </c>
      <c r="FO322" t="s">
        <v>424</v>
      </c>
      <c r="FP322" t="s">
        <v>425</v>
      </c>
      <c r="FQ322" s="1">
        <v>42398</v>
      </c>
      <c r="FR322">
        <v>20</v>
      </c>
      <c r="FS322">
        <v>15399</v>
      </c>
      <c r="FT322" t="s">
        <v>485</v>
      </c>
      <c r="FV322" s="1">
        <v>41423</v>
      </c>
      <c r="FW322">
        <v>2012</v>
      </c>
      <c r="FX322">
        <v>620.73</v>
      </c>
      <c r="FY322" t="s">
        <v>3701</v>
      </c>
      <c r="FZ322">
        <v>0.25</v>
      </c>
      <c r="GA322" t="s">
        <v>424</v>
      </c>
      <c r="GB322" t="s">
        <v>425</v>
      </c>
      <c r="GC322" s="1">
        <v>42398</v>
      </c>
      <c r="GD322">
        <v>32</v>
      </c>
      <c r="GE322">
        <v>1155951</v>
      </c>
      <c r="GF322" t="s">
        <v>1451</v>
      </c>
    </row>
    <row r="323" spans="1:284" x14ac:dyDescent="0.25">
      <c r="A323">
        <v>16485330</v>
      </c>
      <c r="B323">
        <v>322</v>
      </c>
      <c r="C323" t="s">
        <v>393</v>
      </c>
      <c r="D323" t="s">
        <v>394</v>
      </c>
      <c r="F323" t="str">
        <f>"02-2N-24-0000-0003-0040"</f>
        <v>02-2N-24-0000-0003-0040</v>
      </c>
      <c r="H323" t="str">
        <f>"SAWYER MICHAEL J"</f>
        <v>SAWYER MICHAEL J</v>
      </c>
      <c r="I323" t="str">
        <f>"36070 DYAL RD"</f>
        <v>36070 DYAL RD</v>
      </c>
      <c r="J323" t="str">
        <f t="shared" ref="J323:J342" si="105">"CALLAHAN FL 32011"</f>
        <v>CALLAHAN FL 32011</v>
      </c>
      <c r="K323" t="str">
        <f>"36070 DYAL RD"</f>
        <v>36070 DYAL RD</v>
      </c>
      <c r="L323" t="str">
        <f t="shared" si="100"/>
        <v>CALLAHAN FL 32011</v>
      </c>
      <c r="M323" t="str">
        <f>"PT OF SW1/4 R672153 IN OR 1765/1338 EX R/W IN OR 723/698"</f>
        <v>PT OF SW1/4 R672153 IN OR 1765/1338 EX R/W IN OR 723/698</v>
      </c>
      <c r="N323" t="str">
        <f>""</f>
        <v/>
      </c>
      <c r="O323" t="str">
        <f>"17900"</f>
        <v>17900</v>
      </c>
      <c r="P323" t="str">
        <f t="shared" si="101"/>
        <v>2017</v>
      </c>
      <c r="Q323" t="str">
        <f>""</f>
        <v/>
      </c>
      <c r="R323" t="str">
        <f>"N"</f>
        <v>N</v>
      </c>
      <c r="S323" t="str">
        <f>"1.00"</f>
        <v>1.00</v>
      </c>
      <c r="T323" t="str">
        <f>"427.33"</f>
        <v>427.33</v>
      </c>
      <c r="U323" t="str">
        <f>"25235.00"</f>
        <v>25235.00</v>
      </c>
      <c r="V323" t="str">
        <f>"25235.00"</f>
        <v>25235.00</v>
      </c>
      <c r="W323" t="str">
        <f t="shared" si="102"/>
        <v>2017</v>
      </c>
      <c r="X323" t="str">
        <f>"14.00"</f>
        <v>14.00</v>
      </c>
      <c r="Y323" t="str">
        <f>"472.15"</f>
        <v>472.15</v>
      </c>
      <c r="Z323" t="str">
        <f>""</f>
        <v/>
      </c>
      <c r="AA323" t="str">
        <f>"32100.00"</f>
        <v>32100.00</v>
      </c>
      <c r="AB323" t="str">
        <f t="shared" si="103"/>
        <v>Residential</v>
      </c>
      <c r="AC323" t="str">
        <f t="shared" si="104"/>
        <v>0</v>
      </c>
      <c r="AD323" t="str">
        <f t="shared" si="98"/>
        <v>4</v>
      </c>
      <c r="AE323" t="str">
        <f t="shared" si="99"/>
        <v>WOOD (INCLUDE STEEL STUDS)</v>
      </c>
      <c r="AF323" t="str">
        <f>"002"</f>
        <v>002</v>
      </c>
      <c r="AG323" t="str">
        <f t="shared" si="93"/>
        <v>FL</v>
      </c>
      <c r="AH323" t="str">
        <f>"43560.00"</f>
        <v>43560.00</v>
      </c>
      <c r="AI323" t="str">
        <f>"15000.00"</f>
        <v>15000.00</v>
      </c>
      <c r="AJ323" t="str">
        <f>"C55-000-586-3849-5"</f>
        <v>C55-000-586-3849-5</v>
      </c>
      <c r="AK323" t="str">
        <f>"4423"</f>
        <v>4423</v>
      </c>
      <c r="AL323">
        <v>2</v>
      </c>
      <c r="AM323">
        <v>372</v>
      </c>
      <c r="AN323">
        <v>494.16</v>
      </c>
      <c r="AQ323" t="s">
        <v>3702</v>
      </c>
      <c r="AR323" t="s">
        <v>3702</v>
      </c>
      <c r="AS323" t="s">
        <v>3702</v>
      </c>
      <c r="AU323" t="s">
        <v>396</v>
      </c>
      <c r="AV323">
        <v>2017</v>
      </c>
      <c r="AW323" t="str">
        <f>"02-2N-24-0000-0003-0040 "</f>
        <v xml:space="preserve">02-2N-24-0000-0003-0040 </v>
      </c>
      <c r="AX323">
        <v>36070</v>
      </c>
      <c r="AZ323" t="s">
        <v>3703</v>
      </c>
      <c r="BA323" t="s">
        <v>496</v>
      </c>
      <c r="BD323" t="s">
        <v>2785</v>
      </c>
      <c r="BE323" t="s">
        <v>393</v>
      </c>
      <c r="BF323">
        <v>32011</v>
      </c>
      <c r="BG323" t="s">
        <v>3704</v>
      </c>
      <c r="BH323" t="s">
        <v>2787</v>
      </c>
      <c r="BI323">
        <v>-81.878009539483102</v>
      </c>
      <c r="BJ323">
        <v>30.616095872699798</v>
      </c>
      <c r="BK323" t="s">
        <v>3705</v>
      </c>
      <c r="BM323" t="s">
        <v>3704</v>
      </c>
      <c r="BN323" t="s">
        <v>928</v>
      </c>
      <c r="BO323">
        <v>32011</v>
      </c>
      <c r="BP323" t="s">
        <v>416</v>
      </c>
      <c r="BQ323">
        <v>200</v>
      </c>
      <c r="BR323" t="s">
        <v>405</v>
      </c>
      <c r="BS323">
        <v>1006</v>
      </c>
      <c r="BT323" t="s">
        <v>406</v>
      </c>
      <c r="BW323">
        <v>43560</v>
      </c>
      <c r="BX323" t="s">
        <v>407</v>
      </c>
      <c r="BY323" t="s">
        <v>408</v>
      </c>
      <c r="BZ323">
        <v>4</v>
      </c>
      <c r="CA323">
        <v>1993</v>
      </c>
      <c r="CB323">
        <v>1</v>
      </c>
      <c r="CC323">
        <v>1</v>
      </c>
      <c r="CD323">
        <v>2017</v>
      </c>
      <c r="CE323">
        <v>15000</v>
      </c>
      <c r="CF323">
        <v>17100</v>
      </c>
      <c r="CG323">
        <v>32100</v>
      </c>
      <c r="CH323">
        <v>2017</v>
      </c>
      <c r="CI323">
        <v>15000</v>
      </c>
      <c r="CJ323">
        <v>17100</v>
      </c>
      <c r="CK323">
        <v>32100</v>
      </c>
      <c r="CL323">
        <v>2017</v>
      </c>
      <c r="CM323">
        <v>427.33</v>
      </c>
      <c r="CN323" s="1">
        <v>40749</v>
      </c>
      <c r="CZ323" s="1">
        <v>40749</v>
      </c>
      <c r="DD323" t="s">
        <v>2785</v>
      </c>
      <c r="DG323">
        <v>2</v>
      </c>
      <c r="DL323">
        <v>50503</v>
      </c>
      <c r="DM323" t="s">
        <v>3697</v>
      </c>
      <c r="DO323" t="s">
        <v>3706</v>
      </c>
      <c r="DP323">
        <v>0</v>
      </c>
      <c r="DQ323">
        <v>0</v>
      </c>
      <c r="DR323" t="s">
        <v>411</v>
      </c>
      <c r="DS323" t="b">
        <v>1</v>
      </c>
      <c r="DT323" t="s">
        <v>470</v>
      </c>
      <c r="DU323" t="s">
        <v>471</v>
      </c>
      <c r="DV323" t="s">
        <v>472</v>
      </c>
      <c r="DX323">
        <v>-9999</v>
      </c>
      <c r="DZ323" t="s">
        <v>447</v>
      </c>
      <c r="EA323" t="s">
        <v>448</v>
      </c>
      <c r="EB323" t="s">
        <v>742</v>
      </c>
      <c r="EC323">
        <v>20101217</v>
      </c>
      <c r="ED323" t="s">
        <v>474</v>
      </c>
      <c r="EF323">
        <v>195.6</v>
      </c>
      <c r="EG323">
        <v>195.6</v>
      </c>
      <c r="EI323">
        <v>20160407</v>
      </c>
      <c r="EJ323">
        <v>0</v>
      </c>
      <c r="EK323">
        <v>0</v>
      </c>
      <c r="EP323" t="s">
        <v>421</v>
      </c>
      <c r="EQ323" t="s">
        <v>422</v>
      </c>
      <c r="ER323">
        <v>1</v>
      </c>
      <c r="ES323">
        <v>3</v>
      </c>
      <c r="ET323">
        <v>407.86</v>
      </c>
      <c r="EU323">
        <v>26.64</v>
      </c>
      <c r="EV323">
        <v>434.5</v>
      </c>
      <c r="EW323" s="2">
        <v>43222</v>
      </c>
      <c r="EX323" s="1">
        <v>42879</v>
      </c>
      <c r="EY323">
        <v>2016</v>
      </c>
      <c r="EZ323">
        <v>407.86</v>
      </c>
      <c r="FA323" t="s">
        <v>3707</v>
      </c>
      <c r="FB323">
        <v>4.5</v>
      </c>
      <c r="FC323" t="s">
        <v>424</v>
      </c>
      <c r="FD323" t="s">
        <v>454</v>
      </c>
      <c r="FF323">
        <v>12</v>
      </c>
      <c r="FG323">
        <v>2035919</v>
      </c>
      <c r="FH323" t="s">
        <v>507</v>
      </c>
      <c r="FJ323" s="1">
        <v>42515</v>
      </c>
      <c r="FK323">
        <v>2015</v>
      </c>
      <c r="FL323">
        <v>446.01</v>
      </c>
      <c r="FM323" t="s">
        <v>3708</v>
      </c>
      <c r="FN323">
        <v>6.25</v>
      </c>
      <c r="FO323" t="s">
        <v>424</v>
      </c>
      <c r="FP323" t="s">
        <v>425</v>
      </c>
      <c r="FQ323" s="1">
        <v>43154</v>
      </c>
      <c r="FR323">
        <v>21</v>
      </c>
      <c r="FS323">
        <v>7336143</v>
      </c>
      <c r="FT323" t="s">
        <v>539</v>
      </c>
      <c r="FV323" s="1">
        <v>41787</v>
      </c>
      <c r="FW323">
        <v>2013</v>
      </c>
      <c r="FX323">
        <v>455.62</v>
      </c>
      <c r="FY323" t="s">
        <v>3709</v>
      </c>
      <c r="FZ323">
        <v>0.25</v>
      </c>
      <c r="GA323" t="s">
        <v>424</v>
      </c>
      <c r="GB323" t="s">
        <v>425</v>
      </c>
      <c r="GC323" s="1">
        <v>42118</v>
      </c>
      <c r="GD323">
        <v>11</v>
      </c>
      <c r="GE323">
        <v>13026</v>
      </c>
      <c r="GF323" t="s">
        <v>2129</v>
      </c>
      <c r="GH323" s="1">
        <v>41423</v>
      </c>
      <c r="GI323">
        <v>2012</v>
      </c>
      <c r="GJ323">
        <v>536.94000000000005</v>
      </c>
      <c r="GK323" t="s">
        <v>3710</v>
      </c>
      <c r="GL323">
        <v>4.5</v>
      </c>
      <c r="GM323" t="s">
        <v>424</v>
      </c>
      <c r="GN323" t="s">
        <v>425</v>
      </c>
      <c r="GO323" s="1">
        <v>41723</v>
      </c>
      <c r="GP323">
        <v>10</v>
      </c>
      <c r="GQ323">
        <v>15399</v>
      </c>
      <c r="GR323" t="s">
        <v>485</v>
      </c>
    </row>
    <row r="324" spans="1:284" x14ac:dyDescent="0.25">
      <c r="A324">
        <v>16485331</v>
      </c>
      <c r="B324">
        <v>323</v>
      </c>
      <c r="C324" t="s">
        <v>393</v>
      </c>
      <c r="D324" t="s">
        <v>394</v>
      </c>
      <c r="F324" t="str">
        <f>"02-2N-24-0000-0003-0090"</f>
        <v>02-2N-24-0000-0003-0090</v>
      </c>
      <c r="H324" t="str">
        <f>"GRIFFIN CAROLYN A &amp; GEIGER LINDA S (JT/RS)"</f>
        <v>GRIFFIN CAROLYN A &amp; GEIGER LINDA S (JT/RS)</v>
      </c>
      <c r="I324" t="str">
        <f>"452322 OLD DIXIE HWY"</f>
        <v>452322 OLD DIXIE HWY</v>
      </c>
      <c r="J324" t="str">
        <f t="shared" si="105"/>
        <v>CALLAHAN FL 32011</v>
      </c>
      <c r="K324" t="str">
        <f>"452314 OLD DIXIE HWY"</f>
        <v>452314 OLD DIXIE HWY</v>
      </c>
      <c r="L324" t="str">
        <f t="shared" si="100"/>
        <v>CALLAHAN FL 32011</v>
      </c>
      <c r="M324" t="str">
        <f>"IN OR 1655/826"</f>
        <v>IN OR 1655/826</v>
      </c>
      <c r="N324" t="str">
        <f>""</f>
        <v/>
      </c>
      <c r="O324" t="str">
        <f>"17905"</f>
        <v>17905</v>
      </c>
      <c r="P324" t="str">
        <f t="shared" si="101"/>
        <v>2017</v>
      </c>
      <c r="Q324" t="str">
        <f>""</f>
        <v/>
      </c>
      <c r="R324" t="str">
        <f>"N"</f>
        <v>N</v>
      </c>
      <c r="S324" t="str">
        <f>"3.37"</f>
        <v>3.37</v>
      </c>
      <c r="T324" t="str">
        <f>"987.54"</f>
        <v>987.54</v>
      </c>
      <c r="U324" t="str">
        <f>"65232.00"</f>
        <v>65232.00</v>
      </c>
      <c r="V324" t="str">
        <f>"65232.00"</f>
        <v>65232.00</v>
      </c>
      <c r="W324" t="str">
        <f t="shared" si="102"/>
        <v>2017</v>
      </c>
      <c r="X324" t="str">
        <f>"1.00"</f>
        <v>1.00</v>
      </c>
      <c r="Y324" t="str">
        <f>"1049.17"</f>
        <v>1049.17</v>
      </c>
      <c r="Z324" t="str">
        <f>""</f>
        <v/>
      </c>
      <c r="AA324" t="str">
        <f>"65232.00"</f>
        <v>65232.00</v>
      </c>
      <c r="AB324" t="str">
        <f t="shared" si="103"/>
        <v>Residential</v>
      </c>
      <c r="AC324" t="str">
        <f t="shared" si="104"/>
        <v>0</v>
      </c>
      <c r="AD324" t="str">
        <f t="shared" si="98"/>
        <v>4</v>
      </c>
      <c r="AE324" t="str">
        <f t="shared" si="99"/>
        <v>WOOD (INCLUDE STEEL STUDS)</v>
      </c>
      <c r="AF324" t="str">
        <f>"001"</f>
        <v>001</v>
      </c>
      <c r="AG324" t="str">
        <f t="shared" si="93"/>
        <v>FL</v>
      </c>
      <c r="AH324" t="str">
        <f>"146797.00"</f>
        <v>146797.00</v>
      </c>
      <c r="AI324" t="str">
        <f>"26960.00"</f>
        <v>26960.00</v>
      </c>
      <c r="AJ324" t="str">
        <f>"C55-000-586-3853-7"</f>
        <v>C55-000-586-3853-7</v>
      </c>
      <c r="AK324" t="str">
        <f>"4428"</f>
        <v>4428</v>
      </c>
      <c r="AL324">
        <v>2</v>
      </c>
      <c r="AM324">
        <v>373</v>
      </c>
      <c r="AN324">
        <v>1100.03</v>
      </c>
      <c r="AQ324" t="s">
        <v>3711</v>
      </c>
      <c r="AR324" t="s">
        <v>3711</v>
      </c>
      <c r="AS324" t="s">
        <v>3711</v>
      </c>
      <c r="AU324" t="s">
        <v>396</v>
      </c>
      <c r="AV324">
        <v>2017</v>
      </c>
      <c r="AW324" t="str">
        <f>"02-2N-24-0000-0003-0090 "</f>
        <v xml:space="preserve">02-2N-24-0000-0003-0090 </v>
      </c>
      <c r="AX324">
        <v>452314</v>
      </c>
      <c r="AZ324" t="s">
        <v>3712</v>
      </c>
      <c r="BA324" t="s">
        <v>3713</v>
      </c>
      <c r="BD324" t="s">
        <v>2785</v>
      </c>
      <c r="BE324" t="s">
        <v>393</v>
      </c>
      <c r="BF324">
        <v>32011</v>
      </c>
      <c r="BG324" t="s">
        <v>3714</v>
      </c>
      <c r="BH324" t="s">
        <v>2787</v>
      </c>
      <c r="BI324">
        <v>-81.882977297969802</v>
      </c>
      <c r="BJ324">
        <v>30.618931878015701</v>
      </c>
      <c r="BK324" t="s">
        <v>3715</v>
      </c>
      <c r="BL324" t="s">
        <v>3716</v>
      </c>
      <c r="BM324" t="s">
        <v>3717</v>
      </c>
      <c r="BN324" t="s">
        <v>928</v>
      </c>
      <c r="BO324">
        <v>32011</v>
      </c>
      <c r="BP324" t="s">
        <v>404</v>
      </c>
      <c r="BQ324">
        <v>100</v>
      </c>
      <c r="BR324" t="s">
        <v>514</v>
      </c>
      <c r="BS324">
        <v>1001</v>
      </c>
      <c r="BT324" t="s">
        <v>515</v>
      </c>
      <c r="BW324">
        <v>146797</v>
      </c>
      <c r="BX324" t="s">
        <v>407</v>
      </c>
      <c r="BZ324">
        <v>4</v>
      </c>
      <c r="CA324">
        <v>1950</v>
      </c>
      <c r="CB324">
        <v>1</v>
      </c>
      <c r="CC324">
        <v>2</v>
      </c>
      <c r="CD324">
        <v>2017</v>
      </c>
      <c r="CE324">
        <v>26960</v>
      </c>
      <c r="CF324">
        <v>38272</v>
      </c>
      <c r="CG324">
        <v>65232</v>
      </c>
      <c r="CH324">
        <v>2017</v>
      </c>
      <c r="CI324">
        <v>26960</v>
      </c>
      <c r="CJ324">
        <v>38272</v>
      </c>
      <c r="CK324">
        <v>65232</v>
      </c>
      <c r="CL324">
        <v>2017</v>
      </c>
      <c r="CM324">
        <v>987.54</v>
      </c>
      <c r="CN324" s="1">
        <v>40175</v>
      </c>
      <c r="CZ324" s="1">
        <v>40175</v>
      </c>
      <c r="DD324" t="s">
        <v>2785</v>
      </c>
      <c r="DG324">
        <v>2</v>
      </c>
      <c r="DL324">
        <v>50400</v>
      </c>
      <c r="DM324" t="s">
        <v>3697</v>
      </c>
      <c r="DO324" t="s">
        <v>3718</v>
      </c>
      <c r="DP324">
        <v>0</v>
      </c>
      <c r="DQ324">
        <v>0</v>
      </c>
      <c r="DR324" t="s">
        <v>411</v>
      </c>
      <c r="DS324" t="b">
        <v>1</v>
      </c>
      <c r="DT324" t="s">
        <v>470</v>
      </c>
      <c r="DU324" t="s">
        <v>471</v>
      </c>
      <c r="DV324" t="s">
        <v>472</v>
      </c>
      <c r="DX324">
        <v>-9999</v>
      </c>
      <c r="DZ324" t="s">
        <v>447</v>
      </c>
      <c r="EA324" t="s">
        <v>448</v>
      </c>
      <c r="EB324" t="s">
        <v>742</v>
      </c>
      <c r="EC324">
        <v>20101217</v>
      </c>
      <c r="ED324" t="s">
        <v>474</v>
      </c>
      <c r="EF324">
        <v>1514.3</v>
      </c>
      <c r="EG324">
        <v>1514.3</v>
      </c>
      <c r="EH324" t="s">
        <v>451</v>
      </c>
      <c r="EI324">
        <v>20140731</v>
      </c>
      <c r="EJ324">
        <v>0</v>
      </c>
      <c r="EK324">
        <v>0</v>
      </c>
      <c r="EP324" t="s">
        <v>421</v>
      </c>
      <c r="EQ324" t="s">
        <v>422</v>
      </c>
      <c r="ER324">
        <v>0</v>
      </c>
      <c r="ES324">
        <v>1</v>
      </c>
      <c r="ET324">
        <v>0</v>
      </c>
      <c r="EU324">
        <v>0</v>
      </c>
      <c r="EV324">
        <v>0</v>
      </c>
      <c r="EW324" s="2">
        <v>43222</v>
      </c>
      <c r="EX324" s="1">
        <v>41787</v>
      </c>
      <c r="EY324">
        <v>2013</v>
      </c>
      <c r="EZ324">
        <v>831.12</v>
      </c>
      <c r="FA324" t="s">
        <v>3719</v>
      </c>
      <c r="FB324">
        <v>0.25</v>
      </c>
      <c r="FC324" t="s">
        <v>424</v>
      </c>
      <c r="FD324" t="s">
        <v>425</v>
      </c>
      <c r="FE324" s="1">
        <v>41813</v>
      </c>
      <c r="FF324">
        <v>1</v>
      </c>
      <c r="FG324">
        <v>2101382</v>
      </c>
      <c r="FH324" t="s">
        <v>993</v>
      </c>
    </row>
    <row r="325" spans="1:284" x14ac:dyDescent="0.25">
      <c r="A325">
        <v>16485332</v>
      </c>
      <c r="B325">
        <v>324</v>
      </c>
      <c r="C325" t="s">
        <v>393</v>
      </c>
      <c r="D325" t="s">
        <v>394</v>
      </c>
      <c r="F325" t="str">
        <f>"02-2N-24-0000-0003-0100"</f>
        <v>02-2N-24-0000-0003-0100</v>
      </c>
      <c r="H325" t="str">
        <f>"BRANDT STEPHEN &amp; GARRETT PATRICIA (JT/RS)"</f>
        <v>BRANDT STEPHEN &amp; GARRETT PATRICIA (JT/RS)</v>
      </c>
      <c r="I325" t="str">
        <f>"36160 FAIRVIEW LN"</f>
        <v>36160 FAIRVIEW LN</v>
      </c>
      <c r="J325" t="str">
        <f t="shared" si="105"/>
        <v>CALLAHAN FL 32011</v>
      </c>
      <c r="K325" t="str">
        <f>"36160 FAIRVIEW LN"</f>
        <v>36160 FAIRVIEW LN</v>
      </c>
      <c r="L325" t="str">
        <f t="shared" si="100"/>
        <v>CALLAHAN FL 32011</v>
      </c>
      <c r="M325" t="str">
        <f>"PT SEC 2-2N-24E IN OR 1994/1837 (EX OR 1987/1322)"</f>
        <v>PT SEC 2-2N-24E IN OR 1994/1837 (EX OR 1987/1322)</v>
      </c>
      <c r="N325" t="str">
        <f>""</f>
        <v/>
      </c>
      <c r="O325" t="str">
        <f>"17906"</f>
        <v>17906</v>
      </c>
      <c r="P325" t="str">
        <f t="shared" si="101"/>
        <v>2017</v>
      </c>
      <c r="Q325" t="str">
        <f>""</f>
        <v/>
      </c>
      <c r="R325" t="str">
        <f>"Y"</f>
        <v>Y</v>
      </c>
      <c r="S325" t="str">
        <f>"2.50"</f>
        <v>2.50</v>
      </c>
      <c r="T325" t="str">
        <f>"1292.42"</f>
        <v>1292.42</v>
      </c>
      <c r="U325" t="str">
        <f>"124475.00"</f>
        <v>124475.00</v>
      </c>
      <c r="V325" t="str">
        <f>"124475.00"</f>
        <v>124475.00</v>
      </c>
      <c r="W325" t="str">
        <f t="shared" si="102"/>
        <v>2017</v>
      </c>
      <c r="X325" t="str">
        <f>"12.33"</f>
        <v>12.33</v>
      </c>
      <c r="Y325" t="str">
        <f>"1363.19"</f>
        <v>1363.19</v>
      </c>
      <c r="Z325" t="str">
        <f>"25000.00"</f>
        <v>25000.00</v>
      </c>
      <c r="AA325" t="str">
        <f>"99475.00"</f>
        <v>99475.00</v>
      </c>
      <c r="AB325" t="str">
        <f t="shared" si="103"/>
        <v>Residential</v>
      </c>
      <c r="AC325" t="str">
        <f t="shared" si="104"/>
        <v>0</v>
      </c>
      <c r="AD325" t="str">
        <f t="shared" si="98"/>
        <v>4</v>
      </c>
      <c r="AE325" t="str">
        <f t="shared" si="99"/>
        <v>WOOD (INCLUDE STEEL STUDS)</v>
      </c>
      <c r="AF325" t="str">
        <f>"002"</f>
        <v>002</v>
      </c>
      <c r="AG325" t="str">
        <f t="shared" si="93"/>
        <v>FL</v>
      </c>
      <c r="AH325" t="str">
        <f>"108900.00"</f>
        <v>108900.00</v>
      </c>
      <c r="AI325" t="str">
        <f>"30000.00"</f>
        <v>30000.00</v>
      </c>
      <c r="AJ325" t="str">
        <f>"C55-000-586-3854-5"</f>
        <v>C55-000-586-3854-5</v>
      </c>
      <c r="AK325" t="str">
        <f>"4429"</f>
        <v>4429</v>
      </c>
      <c r="AL325">
        <v>2</v>
      </c>
      <c r="AM325">
        <v>374</v>
      </c>
      <c r="AN325">
        <v>1429.75</v>
      </c>
      <c r="AQ325" t="s">
        <v>3720</v>
      </c>
      <c r="AR325" t="s">
        <v>3720</v>
      </c>
      <c r="AS325" t="s">
        <v>3720</v>
      </c>
      <c r="AU325" t="s">
        <v>396</v>
      </c>
      <c r="AV325">
        <v>2017</v>
      </c>
      <c r="AW325" t="str">
        <f>"02-2N-24-0000-0003-0100 "</f>
        <v xml:space="preserve">02-2N-24-0000-0003-0100 </v>
      </c>
      <c r="AX325">
        <v>36160</v>
      </c>
      <c r="AZ325" t="s">
        <v>3693</v>
      </c>
      <c r="BA325" t="s">
        <v>653</v>
      </c>
      <c r="BD325" t="s">
        <v>2785</v>
      </c>
      <c r="BE325" t="s">
        <v>393</v>
      </c>
      <c r="BF325">
        <v>32011</v>
      </c>
      <c r="BG325" t="s">
        <v>3721</v>
      </c>
      <c r="BH325" t="s">
        <v>2787</v>
      </c>
      <c r="BI325">
        <v>-81.880575243518194</v>
      </c>
      <c r="BJ325">
        <v>30.6190004516186</v>
      </c>
      <c r="BK325" t="s">
        <v>3722</v>
      </c>
      <c r="BM325" t="s">
        <v>3723</v>
      </c>
      <c r="BN325" t="s">
        <v>928</v>
      </c>
      <c r="BO325">
        <v>32011</v>
      </c>
      <c r="BP325" t="s">
        <v>416</v>
      </c>
      <c r="BQ325">
        <v>200</v>
      </c>
      <c r="BR325" t="s">
        <v>405</v>
      </c>
      <c r="BS325">
        <v>1006</v>
      </c>
      <c r="BT325" t="s">
        <v>406</v>
      </c>
      <c r="BW325">
        <v>108900</v>
      </c>
      <c r="BX325" t="s">
        <v>407</v>
      </c>
      <c r="BZ325">
        <v>4</v>
      </c>
      <c r="CA325">
        <v>2015</v>
      </c>
      <c r="CC325">
        <v>1</v>
      </c>
      <c r="CD325">
        <v>2017</v>
      </c>
      <c r="CE325">
        <v>30000</v>
      </c>
      <c r="CF325">
        <v>94475</v>
      </c>
      <c r="CG325">
        <v>124475</v>
      </c>
      <c r="CH325">
        <v>2017</v>
      </c>
      <c r="CI325">
        <v>30000</v>
      </c>
      <c r="CJ325">
        <v>94475</v>
      </c>
      <c r="CK325">
        <v>124475</v>
      </c>
      <c r="CL325">
        <v>2017</v>
      </c>
      <c r="CM325">
        <v>1292.42</v>
      </c>
      <c r="CN325" s="1">
        <v>42219</v>
      </c>
      <c r="CO325">
        <v>25000</v>
      </c>
      <c r="CV325">
        <v>0</v>
      </c>
      <c r="CZ325" s="1">
        <v>42219</v>
      </c>
      <c r="DA325">
        <v>0</v>
      </c>
      <c r="DD325" t="s">
        <v>2785</v>
      </c>
      <c r="DG325">
        <v>2</v>
      </c>
      <c r="DL325">
        <v>50400</v>
      </c>
      <c r="DM325" t="s">
        <v>3724</v>
      </c>
      <c r="DO325" t="s">
        <v>3725</v>
      </c>
      <c r="DP325">
        <v>0</v>
      </c>
      <c r="DQ325">
        <v>0</v>
      </c>
      <c r="DR325" t="s">
        <v>411</v>
      </c>
      <c r="DS325" t="s">
        <v>695</v>
      </c>
      <c r="EJ325">
        <v>0</v>
      </c>
      <c r="EK325">
        <v>0</v>
      </c>
      <c r="EP325" t="s">
        <v>421</v>
      </c>
      <c r="EQ325" t="s">
        <v>422</v>
      </c>
      <c r="ER325">
        <v>0</v>
      </c>
      <c r="ES325">
        <v>2</v>
      </c>
      <c r="ET325">
        <v>0</v>
      </c>
      <c r="EU325">
        <v>0</v>
      </c>
      <c r="EV325">
        <v>0</v>
      </c>
      <c r="EW325" s="2">
        <v>43222</v>
      </c>
      <c r="EX325" s="1">
        <v>41787</v>
      </c>
      <c r="EY325">
        <v>2013</v>
      </c>
      <c r="EZ325">
        <v>628.64</v>
      </c>
      <c r="FA325" t="s">
        <v>3726</v>
      </c>
      <c r="FB325">
        <v>13.25</v>
      </c>
      <c r="FC325" t="s">
        <v>424</v>
      </c>
      <c r="FD325" t="s">
        <v>425</v>
      </c>
      <c r="FE325" s="1">
        <v>42150</v>
      </c>
      <c r="FF325">
        <v>12</v>
      </c>
      <c r="FG325">
        <v>10125</v>
      </c>
      <c r="FH325" t="s">
        <v>440</v>
      </c>
      <c r="FJ325" s="1">
        <v>41423</v>
      </c>
      <c r="FK325">
        <v>2012</v>
      </c>
      <c r="FL325">
        <v>685.38</v>
      </c>
      <c r="FM325" t="s">
        <v>3727</v>
      </c>
      <c r="FN325">
        <v>0.25</v>
      </c>
      <c r="FO325" t="s">
        <v>424</v>
      </c>
      <c r="FP325" t="s">
        <v>425</v>
      </c>
      <c r="FQ325" s="1">
        <v>42150</v>
      </c>
      <c r="FR325">
        <v>24</v>
      </c>
      <c r="FS325">
        <v>11340</v>
      </c>
      <c r="FT325" t="s">
        <v>1230</v>
      </c>
    </row>
    <row r="326" spans="1:284" x14ac:dyDescent="0.25">
      <c r="A326">
        <v>16485333</v>
      </c>
      <c r="B326">
        <v>325</v>
      </c>
      <c r="C326" t="s">
        <v>393</v>
      </c>
      <c r="D326" t="s">
        <v>394</v>
      </c>
      <c r="F326" t="str">
        <f>"11-2N-24-0000-0004-0000"</f>
        <v>11-2N-24-0000-0004-0000</v>
      </c>
      <c r="H326" t="str">
        <f>"JOHNSON MARVIN EDWIN &amp; TONIA R"</f>
        <v>JOHNSON MARVIN EDWIN &amp; TONIA R</v>
      </c>
      <c r="I326" t="str">
        <f>"35502 GLORY ROAD"</f>
        <v>35502 GLORY ROAD</v>
      </c>
      <c r="J326" t="str">
        <f t="shared" si="105"/>
        <v>CALLAHAN FL 32011</v>
      </c>
      <c r="K326" t="str">
        <f>"35502 GLORY RD"</f>
        <v>35502 GLORY RD</v>
      </c>
      <c r="L326" t="str">
        <f t="shared" si="100"/>
        <v>CALLAHAN FL 32011</v>
      </c>
      <c r="M326" t="str">
        <f>"PT OF E1/2 OF SE1/4 OF SE1/4 IN OR 593/450 R788005 &amp; 788006"</f>
        <v>PT OF E1/2 OF SE1/4 OF SE1/4 IN OR 593/450 R788005 &amp; 788006</v>
      </c>
      <c r="N326" t="str">
        <f>""</f>
        <v/>
      </c>
      <c r="O326" t="str">
        <f>"26488"</f>
        <v>26488</v>
      </c>
      <c r="P326" t="str">
        <f t="shared" si="101"/>
        <v>2017</v>
      </c>
      <c r="Q326" t="str">
        <f>""</f>
        <v/>
      </c>
      <c r="R326" t="str">
        <f>"Y"</f>
        <v>Y</v>
      </c>
      <c r="S326" t="str">
        <f>"2.05"</f>
        <v>2.05</v>
      </c>
      <c r="T326" t="str">
        <f>"383.09"</f>
        <v>383.09</v>
      </c>
      <c r="U326" t="str">
        <f>"50698.00"</f>
        <v>50698.00</v>
      </c>
      <c r="V326" t="str">
        <f>"50698.00"</f>
        <v>50698.00</v>
      </c>
      <c r="W326" t="str">
        <f t="shared" si="102"/>
        <v>2017</v>
      </c>
      <c r="X326" t="str">
        <f>"16.00"</f>
        <v>16.00</v>
      </c>
      <c r="Y326" t="str">
        <f>"426.58"</f>
        <v>426.58</v>
      </c>
      <c r="Z326" t="str">
        <f>"25000.00"</f>
        <v>25000.00</v>
      </c>
      <c r="AA326" t="str">
        <f>"25698.00"</f>
        <v>25698.00</v>
      </c>
      <c r="AB326" t="str">
        <f t="shared" si="103"/>
        <v>Residential</v>
      </c>
      <c r="AC326" t="str">
        <f t="shared" si="104"/>
        <v>0</v>
      </c>
      <c r="AD326" t="str">
        <f t="shared" si="98"/>
        <v>4</v>
      </c>
      <c r="AE326" t="str">
        <f t="shared" si="99"/>
        <v>WOOD (INCLUDE STEEL STUDS)</v>
      </c>
      <c r="AF326" t="str">
        <f>"002"</f>
        <v>002</v>
      </c>
      <c r="AG326" t="str">
        <f t="shared" si="93"/>
        <v>FL</v>
      </c>
      <c r="AH326" t="str">
        <f>"89298.00"</f>
        <v>89298.00</v>
      </c>
      <c r="AI326" t="str">
        <f>"20910.00"</f>
        <v>20910.00</v>
      </c>
      <c r="AJ326" t="str">
        <f>"C55-000-586-9186-6"</f>
        <v>C55-000-586-9186-6</v>
      </c>
      <c r="AK326" t="str">
        <f>"5005"</f>
        <v>5005</v>
      </c>
      <c r="AL326">
        <v>2</v>
      </c>
      <c r="AM326">
        <v>378</v>
      </c>
      <c r="AN326">
        <v>446.31</v>
      </c>
      <c r="AQ326" t="s">
        <v>3728</v>
      </c>
      <c r="AR326" t="s">
        <v>3728</v>
      </c>
      <c r="AS326" t="s">
        <v>3728</v>
      </c>
      <c r="AU326" t="s">
        <v>396</v>
      </c>
      <c r="AV326">
        <v>2017</v>
      </c>
      <c r="AW326" t="str">
        <f>"11-2N-24-0000-0004-0000 "</f>
        <v xml:space="preserve">11-2N-24-0000-0004-0000 </v>
      </c>
      <c r="AX326">
        <v>35502</v>
      </c>
      <c r="AZ326" t="s">
        <v>3729</v>
      </c>
      <c r="BA326" t="s">
        <v>496</v>
      </c>
      <c r="BD326" t="s">
        <v>2785</v>
      </c>
      <c r="BE326" t="s">
        <v>393</v>
      </c>
      <c r="BF326">
        <v>32011</v>
      </c>
      <c r="BG326" t="s">
        <v>3730</v>
      </c>
      <c r="BH326" t="s">
        <v>2787</v>
      </c>
      <c r="BI326">
        <v>-81.869952601060504</v>
      </c>
      <c r="BJ326">
        <v>30.597519971020699</v>
      </c>
      <c r="BK326" t="s">
        <v>3731</v>
      </c>
      <c r="BL326" t="s">
        <v>3732</v>
      </c>
      <c r="BM326" t="s">
        <v>3730</v>
      </c>
      <c r="BN326" t="s">
        <v>928</v>
      </c>
      <c r="BO326">
        <v>32011</v>
      </c>
      <c r="BP326" t="s">
        <v>416</v>
      </c>
      <c r="BQ326">
        <v>200</v>
      </c>
      <c r="BR326" t="s">
        <v>405</v>
      </c>
      <c r="BS326">
        <v>1006</v>
      </c>
      <c r="BT326" t="s">
        <v>406</v>
      </c>
      <c r="BW326">
        <v>89298</v>
      </c>
      <c r="BX326" t="s">
        <v>407</v>
      </c>
      <c r="BY326" t="s">
        <v>408</v>
      </c>
      <c r="BZ326">
        <v>4</v>
      </c>
      <c r="CA326">
        <v>1996</v>
      </c>
      <c r="CB326">
        <v>1</v>
      </c>
      <c r="CC326">
        <v>1</v>
      </c>
      <c r="CD326">
        <v>2017</v>
      </c>
      <c r="CG326">
        <v>50698</v>
      </c>
      <c r="CH326">
        <v>2017</v>
      </c>
      <c r="CI326">
        <v>20910</v>
      </c>
      <c r="CJ326">
        <v>42869</v>
      </c>
      <c r="CK326">
        <v>63779</v>
      </c>
      <c r="CL326">
        <v>2017</v>
      </c>
      <c r="CM326">
        <v>383.09</v>
      </c>
      <c r="CN326" s="1">
        <v>32954</v>
      </c>
      <c r="CO326">
        <v>18000</v>
      </c>
      <c r="CZ326" s="1">
        <v>32954</v>
      </c>
      <c r="DD326" t="s">
        <v>2785</v>
      </c>
      <c r="DG326">
        <v>11</v>
      </c>
      <c r="DL326">
        <v>50503</v>
      </c>
      <c r="DM326" t="s">
        <v>3733</v>
      </c>
      <c r="DO326" t="s">
        <v>3734</v>
      </c>
      <c r="DP326">
        <v>0</v>
      </c>
      <c r="DQ326">
        <v>0</v>
      </c>
      <c r="DR326" t="s">
        <v>411</v>
      </c>
      <c r="DS326" t="b">
        <v>1</v>
      </c>
      <c r="DT326" t="s">
        <v>470</v>
      </c>
      <c r="DU326" t="s">
        <v>471</v>
      </c>
      <c r="DV326" t="s">
        <v>472</v>
      </c>
      <c r="DX326">
        <v>-9999</v>
      </c>
      <c r="DZ326" t="s">
        <v>447</v>
      </c>
      <c r="EA326" t="s">
        <v>448</v>
      </c>
      <c r="EB326" t="s">
        <v>742</v>
      </c>
      <c r="EC326">
        <v>20101217</v>
      </c>
      <c r="ED326" t="s">
        <v>474</v>
      </c>
      <c r="EF326">
        <v>294.8</v>
      </c>
      <c r="EG326">
        <v>294.8</v>
      </c>
      <c r="EI326">
        <v>20160407</v>
      </c>
      <c r="EJ326">
        <v>0</v>
      </c>
      <c r="EK326">
        <v>0</v>
      </c>
      <c r="EP326" t="s">
        <v>421</v>
      </c>
      <c r="EQ326" t="s">
        <v>422</v>
      </c>
      <c r="ER326">
        <v>2</v>
      </c>
      <c r="ES326">
        <v>9</v>
      </c>
      <c r="ET326">
        <v>872.64</v>
      </c>
      <c r="EU326">
        <v>56.13</v>
      </c>
      <c r="EV326">
        <v>928.77</v>
      </c>
      <c r="EW326" s="2">
        <v>43222</v>
      </c>
      <c r="EX326" s="1">
        <v>42879</v>
      </c>
      <c r="EY326">
        <v>2016</v>
      </c>
      <c r="EZ326">
        <v>436.32</v>
      </c>
      <c r="FA326" t="s">
        <v>3735</v>
      </c>
      <c r="FB326">
        <v>0.25</v>
      </c>
      <c r="FC326" t="s">
        <v>424</v>
      </c>
      <c r="FD326" t="s">
        <v>454</v>
      </c>
      <c r="FF326">
        <v>12</v>
      </c>
      <c r="FG326">
        <v>7336671</v>
      </c>
      <c r="FH326" t="s">
        <v>437</v>
      </c>
      <c r="FJ326" s="1">
        <v>42879</v>
      </c>
      <c r="FK326">
        <v>2016</v>
      </c>
      <c r="FL326">
        <v>436.32</v>
      </c>
      <c r="FM326" t="s">
        <v>3735</v>
      </c>
      <c r="FN326">
        <v>0.25</v>
      </c>
      <c r="FO326" t="s">
        <v>424</v>
      </c>
      <c r="FP326" t="s">
        <v>454</v>
      </c>
      <c r="FR326">
        <v>12</v>
      </c>
      <c r="FS326">
        <v>6965546</v>
      </c>
      <c r="FT326" t="s">
        <v>3736</v>
      </c>
      <c r="FV326" s="1">
        <v>42515</v>
      </c>
      <c r="FW326">
        <v>2015</v>
      </c>
      <c r="FX326">
        <v>435.4</v>
      </c>
      <c r="FY326" t="s">
        <v>3737</v>
      </c>
      <c r="FZ326">
        <v>0.25</v>
      </c>
      <c r="GA326" t="s">
        <v>424</v>
      </c>
      <c r="GB326" t="s">
        <v>425</v>
      </c>
      <c r="GC326" s="1">
        <v>42852</v>
      </c>
      <c r="GD326">
        <v>11</v>
      </c>
      <c r="GE326">
        <v>2851116</v>
      </c>
      <c r="GF326" t="s">
        <v>480</v>
      </c>
      <c r="GH326" s="1">
        <v>42515</v>
      </c>
      <c r="GI326">
        <v>2015</v>
      </c>
      <c r="GJ326">
        <v>435.4</v>
      </c>
      <c r="GK326" t="s">
        <v>3737</v>
      </c>
      <c r="GL326">
        <v>0.25</v>
      </c>
      <c r="GM326" t="s">
        <v>424</v>
      </c>
      <c r="GN326" t="s">
        <v>425</v>
      </c>
      <c r="GP326">
        <v>22</v>
      </c>
      <c r="GQ326">
        <v>5087741</v>
      </c>
      <c r="GR326" t="s">
        <v>3738</v>
      </c>
      <c r="GT326" s="1">
        <v>42151</v>
      </c>
      <c r="GU326">
        <v>2014</v>
      </c>
      <c r="GV326">
        <v>430.82</v>
      </c>
      <c r="GW326" t="s">
        <v>3739</v>
      </c>
      <c r="GX326">
        <v>0.25</v>
      </c>
      <c r="GY326" t="s">
        <v>424</v>
      </c>
      <c r="GZ326" t="s">
        <v>425</v>
      </c>
      <c r="HA326" s="1">
        <v>42465</v>
      </c>
      <c r="HB326">
        <v>11</v>
      </c>
      <c r="HC326">
        <v>2851116</v>
      </c>
      <c r="HD326" t="s">
        <v>480</v>
      </c>
      <c r="HF326" s="1">
        <v>42151</v>
      </c>
      <c r="HG326">
        <v>2014</v>
      </c>
      <c r="HH326">
        <v>430.82</v>
      </c>
      <c r="HI326" t="s">
        <v>3739</v>
      </c>
      <c r="HJ326">
        <v>0.25</v>
      </c>
      <c r="HK326" t="s">
        <v>424</v>
      </c>
      <c r="HL326" t="s">
        <v>425</v>
      </c>
      <c r="HN326">
        <v>22</v>
      </c>
      <c r="HO326">
        <v>5237086</v>
      </c>
      <c r="HP326" t="s">
        <v>3740</v>
      </c>
      <c r="HR326" s="1">
        <v>41787</v>
      </c>
      <c r="HS326">
        <v>2013</v>
      </c>
      <c r="HT326">
        <v>475.51</v>
      </c>
      <c r="HU326" t="s">
        <v>3741</v>
      </c>
      <c r="HV326">
        <v>2.5</v>
      </c>
      <c r="HW326" t="s">
        <v>424</v>
      </c>
      <c r="HX326" t="s">
        <v>425</v>
      </c>
      <c r="HY326" s="1">
        <v>42115</v>
      </c>
      <c r="HZ326">
        <v>11</v>
      </c>
      <c r="IA326">
        <v>2035919</v>
      </c>
      <c r="IB326" t="s">
        <v>507</v>
      </c>
      <c r="ID326" s="1">
        <v>41423</v>
      </c>
      <c r="IE326">
        <v>2012</v>
      </c>
      <c r="IF326">
        <v>547.4</v>
      </c>
      <c r="IG326" t="s">
        <v>3742</v>
      </c>
      <c r="IH326">
        <v>3.5</v>
      </c>
      <c r="II326" t="s">
        <v>424</v>
      </c>
      <c r="IJ326" t="s">
        <v>425</v>
      </c>
      <c r="IK326" s="1">
        <v>41778</v>
      </c>
      <c r="IL326">
        <v>12</v>
      </c>
      <c r="IM326">
        <v>15399</v>
      </c>
      <c r="IN326" t="s">
        <v>485</v>
      </c>
      <c r="IP326" s="1">
        <v>41052</v>
      </c>
      <c r="IQ326">
        <v>2011</v>
      </c>
      <c r="IR326">
        <v>535.65</v>
      </c>
      <c r="IS326" t="s">
        <v>3743</v>
      </c>
      <c r="IT326">
        <v>5.75</v>
      </c>
      <c r="IU326" t="s">
        <v>424</v>
      </c>
      <c r="IV326" t="s">
        <v>425</v>
      </c>
      <c r="IW326" s="1">
        <v>41695</v>
      </c>
      <c r="IX326">
        <v>21</v>
      </c>
      <c r="IY326">
        <v>10125</v>
      </c>
      <c r="IZ326" t="s">
        <v>440</v>
      </c>
      <c r="JB326" s="1">
        <v>40688</v>
      </c>
      <c r="JC326">
        <v>2010</v>
      </c>
      <c r="JD326">
        <v>530.29</v>
      </c>
      <c r="JE326" t="s">
        <v>3744</v>
      </c>
      <c r="JF326">
        <v>8</v>
      </c>
      <c r="JG326" t="s">
        <v>424</v>
      </c>
      <c r="JH326" t="s">
        <v>425</v>
      </c>
      <c r="JI326" s="1">
        <v>41326</v>
      </c>
      <c r="JJ326">
        <v>21</v>
      </c>
      <c r="JK326">
        <v>15175</v>
      </c>
      <c r="JL326" t="s">
        <v>588</v>
      </c>
      <c r="JN326" s="1">
        <v>40688</v>
      </c>
      <c r="JO326">
        <v>2010</v>
      </c>
      <c r="JP326">
        <v>530.29</v>
      </c>
      <c r="JQ326" t="s">
        <v>3744</v>
      </c>
      <c r="JR326">
        <v>8</v>
      </c>
      <c r="JS326" t="s">
        <v>424</v>
      </c>
      <c r="JT326" t="s">
        <v>425</v>
      </c>
      <c r="JV326">
        <v>22</v>
      </c>
      <c r="JW326">
        <v>10548</v>
      </c>
      <c r="JX326" t="s">
        <v>589</v>
      </c>
    </row>
    <row r="327" spans="1:284" x14ac:dyDescent="0.25">
      <c r="A327">
        <v>16485334</v>
      </c>
      <c r="B327">
        <v>326</v>
      </c>
      <c r="C327" t="s">
        <v>393</v>
      </c>
      <c r="D327" t="s">
        <v>394</v>
      </c>
      <c r="F327" t="str">
        <f>"11-2N-24-1641-0002-0000"</f>
        <v>11-2N-24-1641-0002-0000</v>
      </c>
      <c r="H327" t="str">
        <f>"GODWIN NADINE TAYLOR"</f>
        <v>GODWIN NADINE TAYLOR</v>
      </c>
      <c r="I327" t="str">
        <f>"35121 PERRET PLANTATION ROAD"</f>
        <v>35121 PERRET PLANTATION ROAD</v>
      </c>
      <c r="J327" t="str">
        <f t="shared" si="105"/>
        <v>CALLAHAN FL 32011</v>
      </c>
      <c r="K327" t="str">
        <f>"35121 PERRET PLANTATION RD"</f>
        <v>35121 PERRET PLANTATION RD</v>
      </c>
      <c r="L327" t="str">
        <f t="shared" si="100"/>
        <v>CALLAHAN FL 32011</v>
      </c>
      <c r="M327" t="str">
        <f>"LOT 2 2001 SKYLINE DW/MH IN OR 984/1778 PERRET PLANTATION 2 PB 6/201"</f>
        <v>LOT 2 2001 SKYLINE DW/MH IN OR 984/1778 PERRET PLANTATION 2 PB 6/201</v>
      </c>
      <c r="N327" t="str">
        <f>""</f>
        <v/>
      </c>
      <c r="O327" t="str">
        <f>"26597"</f>
        <v>26597</v>
      </c>
      <c r="P327" t="str">
        <f t="shared" si="101"/>
        <v>2017</v>
      </c>
      <c r="Q327" t="str">
        <f>""</f>
        <v/>
      </c>
      <c r="R327" t="str">
        <f>"Y"</f>
        <v>Y</v>
      </c>
      <c r="S327" t="str">
        <f>"1.00"</f>
        <v>1.00</v>
      </c>
      <c r="T327" t="str">
        <f>"304.41"</f>
        <v>304.41</v>
      </c>
      <c r="U327" t="str">
        <f>"45108.00"</f>
        <v>45108.00</v>
      </c>
      <c r="V327" t="str">
        <f>"45108.00"</f>
        <v>45108.00</v>
      </c>
      <c r="W327" t="str">
        <f t="shared" si="102"/>
        <v>2017</v>
      </c>
      <c r="X327" t="str">
        <f>""</f>
        <v/>
      </c>
      <c r="Y327" t="str">
        <f>"345.54"</f>
        <v>345.54</v>
      </c>
      <c r="Z327" t="str">
        <f>"25000.00"</f>
        <v>25000.00</v>
      </c>
      <c r="AA327" t="str">
        <f>"20108.00"</f>
        <v>20108.00</v>
      </c>
      <c r="AB327" t="str">
        <f t="shared" si="103"/>
        <v>Residential</v>
      </c>
      <c r="AC327" t="str">
        <f t="shared" si="104"/>
        <v>0</v>
      </c>
      <c r="AD327" t="str">
        <f t="shared" si="98"/>
        <v>4</v>
      </c>
      <c r="AE327" t="str">
        <f t="shared" si="99"/>
        <v>WOOD (INCLUDE STEEL STUDS)</v>
      </c>
      <c r="AF327" t="str">
        <f>"002"</f>
        <v>002</v>
      </c>
      <c r="AG327" t="str">
        <f t="shared" si="93"/>
        <v>FL</v>
      </c>
      <c r="AH327" t="str">
        <f>"43560.00"</f>
        <v>43560.00</v>
      </c>
      <c r="AI327" t="str">
        <f>"15000.00"</f>
        <v>15000.00</v>
      </c>
      <c r="AJ327" t="str">
        <f>"C55-000-586-9190-8"</f>
        <v>C55-000-586-9190-8</v>
      </c>
      <c r="AK327" t="str">
        <f>"5010"</f>
        <v>5010</v>
      </c>
      <c r="AL327">
        <v>2</v>
      </c>
      <c r="AM327">
        <v>379</v>
      </c>
      <c r="AN327">
        <v>361.22</v>
      </c>
      <c r="AQ327" t="s">
        <v>3745</v>
      </c>
      <c r="AR327" t="s">
        <v>3745</v>
      </c>
      <c r="AS327" t="s">
        <v>3745</v>
      </c>
      <c r="AU327" t="s">
        <v>396</v>
      </c>
      <c r="AV327">
        <v>2017</v>
      </c>
      <c r="AW327" t="str">
        <f>"11-2N-24-1641-0002-0000 "</f>
        <v xml:space="preserve">11-2N-24-1641-0002-0000 </v>
      </c>
      <c r="AX327">
        <v>35121</v>
      </c>
      <c r="AZ327" t="s">
        <v>3746</v>
      </c>
      <c r="BA327" t="s">
        <v>496</v>
      </c>
      <c r="BD327" t="s">
        <v>2785</v>
      </c>
      <c r="BE327" t="s">
        <v>393</v>
      </c>
      <c r="BF327">
        <v>32011</v>
      </c>
      <c r="BG327" t="s">
        <v>3747</v>
      </c>
      <c r="BH327" t="s">
        <v>2787</v>
      </c>
      <c r="BI327">
        <v>-81.869684836495907</v>
      </c>
      <c r="BJ327">
        <v>30.602503637819801</v>
      </c>
      <c r="BK327" t="s">
        <v>3748</v>
      </c>
      <c r="BM327" t="s">
        <v>3749</v>
      </c>
      <c r="BN327" t="s">
        <v>928</v>
      </c>
      <c r="BO327">
        <v>32011</v>
      </c>
      <c r="BP327" t="s">
        <v>416</v>
      </c>
      <c r="BQ327">
        <v>200</v>
      </c>
      <c r="BR327" t="s">
        <v>405</v>
      </c>
      <c r="BS327">
        <v>1006</v>
      </c>
      <c r="BT327" t="s">
        <v>406</v>
      </c>
      <c r="BW327">
        <v>43560</v>
      </c>
      <c r="BX327" t="s">
        <v>407</v>
      </c>
      <c r="BZ327">
        <v>4</v>
      </c>
      <c r="CA327">
        <v>2001</v>
      </c>
      <c r="CC327">
        <v>1</v>
      </c>
      <c r="CD327">
        <v>2017</v>
      </c>
      <c r="CG327">
        <v>45108</v>
      </c>
      <c r="CH327">
        <v>2017</v>
      </c>
      <c r="CI327">
        <v>15000</v>
      </c>
      <c r="CJ327">
        <v>44454</v>
      </c>
      <c r="CK327">
        <v>59454</v>
      </c>
      <c r="CL327">
        <v>2017</v>
      </c>
      <c r="CM327">
        <v>304.41000000000003</v>
      </c>
      <c r="CN327" s="1">
        <v>37018</v>
      </c>
      <c r="CO327">
        <v>32500</v>
      </c>
      <c r="CV327">
        <v>68801</v>
      </c>
      <c r="CX327" t="s">
        <v>2501</v>
      </c>
      <c r="CZ327" s="1">
        <v>37018</v>
      </c>
      <c r="DA327">
        <v>0</v>
      </c>
      <c r="DD327" t="s">
        <v>2785</v>
      </c>
      <c r="DF327">
        <v>2</v>
      </c>
      <c r="DG327">
        <v>11</v>
      </c>
      <c r="DJ327" t="s">
        <v>3746</v>
      </c>
      <c r="DL327">
        <v>50503</v>
      </c>
      <c r="DM327" t="s">
        <v>3733</v>
      </c>
      <c r="DO327" t="s">
        <v>3750</v>
      </c>
      <c r="DP327">
        <v>0</v>
      </c>
      <c r="DQ327">
        <v>0</v>
      </c>
      <c r="DR327" t="s">
        <v>411</v>
      </c>
      <c r="EP327" t="s">
        <v>421</v>
      </c>
      <c r="EQ327" t="s">
        <v>422</v>
      </c>
      <c r="ER327">
        <v>2</v>
      </c>
      <c r="ES327">
        <v>0</v>
      </c>
      <c r="ET327">
        <v>690.84</v>
      </c>
      <c r="EU327">
        <v>47.04</v>
      </c>
      <c r="EV327">
        <v>737.88</v>
      </c>
      <c r="EW327" s="2">
        <v>43222</v>
      </c>
      <c r="EX327" s="1">
        <v>42879</v>
      </c>
      <c r="EY327">
        <v>2016</v>
      </c>
      <c r="EZ327">
        <v>345.42</v>
      </c>
      <c r="FA327" t="s">
        <v>3751</v>
      </c>
      <c r="FB327">
        <v>0.25</v>
      </c>
      <c r="FC327" t="s">
        <v>424</v>
      </c>
      <c r="FD327" t="s">
        <v>454</v>
      </c>
      <c r="FF327">
        <v>12</v>
      </c>
      <c r="FG327">
        <v>11289</v>
      </c>
      <c r="FH327" t="s">
        <v>787</v>
      </c>
      <c r="FJ327" s="1">
        <v>42879</v>
      </c>
      <c r="FK327">
        <v>2016</v>
      </c>
      <c r="FL327">
        <v>345.42</v>
      </c>
      <c r="FM327" t="s">
        <v>3751</v>
      </c>
      <c r="FN327">
        <v>0.25</v>
      </c>
      <c r="FO327" t="s">
        <v>424</v>
      </c>
      <c r="FP327" t="s">
        <v>454</v>
      </c>
      <c r="FR327">
        <v>12</v>
      </c>
      <c r="FS327">
        <v>7085933</v>
      </c>
      <c r="FT327" t="s">
        <v>3752</v>
      </c>
    </row>
    <row r="328" spans="1:284" x14ac:dyDescent="0.25">
      <c r="A328">
        <v>16485335</v>
      </c>
      <c r="B328">
        <v>327</v>
      </c>
      <c r="C328" t="s">
        <v>393</v>
      </c>
      <c r="D328" t="s">
        <v>394</v>
      </c>
      <c r="F328" t="str">
        <f>"11-2N-24-1641-0010-0000"</f>
        <v>11-2N-24-1641-0010-0000</v>
      </c>
      <c r="H328" t="str">
        <f>"BELL DIANE &amp; SLOVAK JEAN"</f>
        <v>BELL DIANE &amp; SLOVAK JEAN</v>
      </c>
      <c r="I328" t="str">
        <f>"35041 DUCKPOND CT"</f>
        <v>35041 DUCKPOND CT</v>
      </c>
      <c r="J328" t="str">
        <f t="shared" si="105"/>
        <v>CALLAHAN FL 32011</v>
      </c>
      <c r="K328" t="str">
        <f>"35041 DUCKPOND CT"</f>
        <v>35041 DUCKPOND CT</v>
      </c>
      <c r="L328" t="str">
        <f t="shared" si="100"/>
        <v>CALLAHAN FL 32011</v>
      </c>
      <c r="M328" t="str">
        <f>"LOT 10 IN OR 1388/1621 PERRET PLANTATION 2 PB 6/201"</f>
        <v>LOT 10 IN OR 1388/1621 PERRET PLANTATION 2 PB 6/201</v>
      </c>
      <c r="N328" t="str">
        <f>""</f>
        <v/>
      </c>
      <c r="O328" t="str">
        <f>"26605"</f>
        <v>26605</v>
      </c>
      <c r="P328" t="str">
        <f t="shared" si="101"/>
        <v>2017</v>
      </c>
      <c r="Q328" t="str">
        <f>""</f>
        <v/>
      </c>
      <c r="R328" t="str">
        <f>"N"</f>
        <v>N</v>
      </c>
      <c r="S328" t="str">
        <f>"1.00"</f>
        <v>1.00</v>
      </c>
      <c r="T328" t="str">
        <f>"1091.24"</f>
        <v>1091.24</v>
      </c>
      <c r="U328" t="str">
        <f>"67425.00"</f>
        <v>67425.00</v>
      </c>
      <c r="V328" t="str">
        <f>"67425.00"</f>
        <v>67425.00</v>
      </c>
      <c r="W328" t="str">
        <f t="shared" si="102"/>
        <v>2017</v>
      </c>
      <c r="X328" t="str">
        <f>"5.75"</f>
        <v>5.75</v>
      </c>
      <c r="Y328" t="str">
        <f>"1155.98"</f>
        <v>1155.98</v>
      </c>
      <c r="Z328" t="str">
        <f>""</f>
        <v/>
      </c>
      <c r="AA328" t="str">
        <f>"78110.00"</f>
        <v>78110.00</v>
      </c>
      <c r="AB328" t="str">
        <f t="shared" si="103"/>
        <v>Residential</v>
      </c>
      <c r="AC328" t="str">
        <f t="shared" si="104"/>
        <v>0</v>
      </c>
      <c r="AD328" t="str">
        <f t="shared" si="98"/>
        <v>4</v>
      </c>
      <c r="AE328" t="str">
        <f t="shared" si="99"/>
        <v>WOOD (INCLUDE STEEL STUDS)</v>
      </c>
      <c r="AF328" t="str">
        <f>"002"</f>
        <v>002</v>
      </c>
      <c r="AG328" t="str">
        <f t="shared" si="93"/>
        <v>FL</v>
      </c>
      <c r="AH328" t="str">
        <f>"43560.00"</f>
        <v>43560.00</v>
      </c>
      <c r="AI328" t="str">
        <f>"15000.00"</f>
        <v>15000.00</v>
      </c>
      <c r="AJ328" t="str">
        <f>"C55-000-586-9198-1"</f>
        <v>C55-000-586-9198-1</v>
      </c>
      <c r="AK328" t="str">
        <f>"5018"</f>
        <v>5018</v>
      </c>
      <c r="AL328">
        <v>2</v>
      </c>
      <c r="AM328">
        <v>381</v>
      </c>
      <c r="AN328">
        <v>1212.18</v>
      </c>
      <c r="AQ328" t="s">
        <v>3753</v>
      </c>
      <c r="AR328" t="s">
        <v>3753</v>
      </c>
      <c r="AS328" t="s">
        <v>3753</v>
      </c>
      <c r="AU328" t="s">
        <v>396</v>
      </c>
      <c r="AV328">
        <v>2017</v>
      </c>
      <c r="AW328" t="str">
        <f>"11-2N-24-1641-0010-0000 "</f>
        <v xml:space="preserve">11-2N-24-1641-0010-0000 </v>
      </c>
      <c r="AX328">
        <v>35041</v>
      </c>
      <c r="AZ328" t="s">
        <v>3754</v>
      </c>
      <c r="BA328" t="s">
        <v>3181</v>
      </c>
      <c r="BD328" t="s">
        <v>2785</v>
      </c>
      <c r="BE328" t="s">
        <v>393</v>
      </c>
      <c r="BF328">
        <v>32011</v>
      </c>
      <c r="BG328" t="s">
        <v>3755</v>
      </c>
      <c r="BH328" t="s">
        <v>2787</v>
      </c>
      <c r="BI328">
        <v>-81.869087023903106</v>
      </c>
      <c r="BJ328">
        <v>30.601289233580701</v>
      </c>
      <c r="BK328" t="s">
        <v>3756</v>
      </c>
      <c r="BM328" t="s">
        <v>3755</v>
      </c>
      <c r="BN328" t="s">
        <v>928</v>
      </c>
      <c r="BO328">
        <v>32011</v>
      </c>
      <c r="BP328" t="s">
        <v>416</v>
      </c>
      <c r="BQ328">
        <v>200</v>
      </c>
      <c r="BR328" t="s">
        <v>405</v>
      </c>
      <c r="BS328">
        <v>1006</v>
      </c>
      <c r="BT328" t="s">
        <v>406</v>
      </c>
      <c r="BW328">
        <v>43560</v>
      </c>
      <c r="BX328" t="s">
        <v>407</v>
      </c>
      <c r="BZ328">
        <v>4</v>
      </c>
      <c r="CA328">
        <v>1997</v>
      </c>
      <c r="CC328">
        <v>1</v>
      </c>
      <c r="CD328">
        <v>2017</v>
      </c>
      <c r="CE328">
        <v>15000</v>
      </c>
      <c r="CF328">
        <v>63110</v>
      </c>
      <c r="CG328">
        <v>78110</v>
      </c>
      <c r="CH328">
        <v>2017</v>
      </c>
      <c r="CI328">
        <v>15000</v>
      </c>
      <c r="CJ328">
        <v>63110</v>
      </c>
      <c r="CK328">
        <v>78110</v>
      </c>
      <c r="CL328">
        <v>2017</v>
      </c>
      <c r="CM328">
        <v>1091.24</v>
      </c>
      <c r="CN328" s="1">
        <v>38761</v>
      </c>
      <c r="CO328">
        <v>74900</v>
      </c>
      <c r="CV328">
        <v>0</v>
      </c>
      <c r="CZ328" s="1">
        <v>38761</v>
      </c>
      <c r="DA328">
        <v>0</v>
      </c>
      <c r="DD328" t="s">
        <v>2785</v>
      </c>
      <c r="DF328">
        <v>10</v>
      </c>
      <c r="DG328">
        <v>11</v>
      </c>
      <c r="DJ328" t="s">
        <v>3746</v>
      </c>
      <c r="DL328">
        <v>50503</v>
      </c>
      <c r="DM328" t="s">
        <v>3733</v>
      </c>
      <c r="DO328" t="s">
        <v>3757</v>
      </c>
      <c r="DP328">
        <v>0</v>
      </c>
      <c r="DQ328">
        <v>0</v>
      </c>
      <c r="DR328" t="s">
        <v>411</v>
      </c>
      <c r="DS328" t="b">
        <v>1</v>
      </c>
      <c r="DT328" t="s">
        <v>470</v>
      </c>
      <c r="DU328" t="s">
        <v>471</v>
      </c>
      <c r="DV328" t="s">
        <v>472</v>
      </c>
      <c r="DX328">
        <v>-9999</v>
      </c>
      <c r="DZ328" t="s">
        <v>447</v>
      </c>
      <c r="EA328" t="s">
        <v>448</v>
      </c>
      <c r="EB328" t="s">
        <v>742</v>
      </c>
      <c r="EC328">
        <v>20101217</v>
      </c>
      <c r="ED328" t="s">
        <v>474</v>
      </c>
      <c r="EF328">
        <v>1132.0999999999999</v>
      </c>
      <c r="EG328">
        <v>1132.0999999999999</v>
      </c>
      <c r="EH328" t="s">
        <v>451</v>
      </c>
      <c r="EI328">
        <v>20140731</v>
      </c>
      <c r="EJ328">
        <v>0</v>
      </c>
      <c r="EK328">
        <v>0</v>
      </c>
      <c r="EP328" t="s">
        <v>421</v>
      </c>
      <c r="EQ328" t="s">
        <v>422</v>
      </c>
      <c r="ER328">
        <v>0</v>
      </c>
      <c r="ES328">
        <v>5</v>
      </c>
      <c r="ET328">
        <v>0</v>
      </c>
      <c r="EU328">
        <v>0</v>
      </c>
      <c r="EV328">
        <v>0</v>
      </c>
      <c r="EW328" s="2">
        <v>43222</v>
      </c>
      <c r="EX328" s="1">
        <v>42879</v>
      </c>
      <c r="EY328">
        <v>2016</v>
      </c>
      <c r="EZ328">
        <v>1044.6199999999999</v>
      </c>
      <c r="FA328" t="s">
        <v>3758</v>
      </c>
      <c r="FB328">
        <v>0.25</v>
      </c>
      <c r="FC328" t="s">
        <v>424</v>
      </c>
      <c r="FD328" t="s">
        <v>425</v>
      </c>
      <c r="FE328" s="1">
        <v>42944</v>
      </c>
      <c r="FF328">
        <v>2</v>
      </c>
      <c r="FG328">
        <v>7336671</v>
      </c>
      <c r="FH328" t="s">
        <v>437</v>
      </c>
      <c r="FJ328" s="1">
        <v>42879</v>
      </c>
      <c r="FK328">
        <v>2016</v>
      </c>
      <c r="FL328">
        <v>1044.6199999999999</v>
      </c>
      <c r="FM328" t="s">
        <v>3758</v>
      </c>
      <c r="FN328">
        <v>0.25</v>
      </c>
      <c r="FO328" t="s">
        <v>424</v>
      </c>
      <c r="FP328" t="s">
        <v>425</v>
      </c>
      <c r="FR328">
        <v>22</v>
      </c>
      <c r="FS328">
        <v>7024937</v>
      </c>
      <c r="FT328" t="s">
        <v>3759</v>
      </c>
      <c r="FV328" s="1">
        <v>42151</v>
      </c>
      <c r="FW328">
        <v>2014</v>
      </c>
      <c r="FX328">
        <v>932.63</v>
      </c>
      <c r="FY328" t="s">
        <v>3760</v>
      </c>
      <c r="FZ328">
        <v>0.25</v>
      </c>
      <c r="GA328" t="s">
        <v>424</v>
      </c>
      <c r="GB328" t="s">
        <v>425</v>
      </c>
      <c r="GC328" s="1">
        <v>42480</v>
      </c>
      <c r="GD328">
        <v>11</v>
      </c>
      <c r="GE328">
        <v>2851116</v>
      </c>
      <c r="GF328" t="s">
        <v>480</v>
      </c>
      <c r="GH328" s="1">
        <v>42151</v>
      </c>
      <c r="GI328">
        <v>2014</v>
      </c>
      <c r="GJ328">
        <v>932.63</v>
      </c>
      <c r="GK328" t="s">
        <v>3760</v>
      </c>
      <c r="GL328">
        <v>0.25</v>
      </c>
      <c r="GM328" t="s">
        <v>424</v>
      </c>
      <c r="GN328" t="s">
        <v>425</v>
      </c>
      <c r="GP328">
        <v>22</v>
      </c>
      <c r="GQ328">
        <v>5311835</v>
      </c>
      <c r="GR328" t="s">
        <v>3761</v>
      </c>
      <c r="GT328" s="1">
        <v>41423</v>
      </c>
      <c r="GU328">
        <v>2012</v>
      </c>
      <c r="GV328">
        <v>1097.1500000000001</v>
      </c>
      <c r="GW328" t="s">
        <v>3762</v>
      </c>
      <c r="GX328">
        <v>0.25</v>
      </c>
      <c r="GY328" t="s">
        <v>424</v>
      </c>
      <c r="GZ328" t="s">
        <v>425</v>
      </c>
      <c r="HA328" s="1">
        <v>41543</v>
      </c>
      <c r="HB328">
        <v>4</v>
      </c>
      <c r="HC328">
        <v>606981</v>
      </c>
      <c r="HD328" t="s">
        <v>792</v>
      </c>
    </row>
    <row r="329" spans="1:284" x14ac:dyDescent="0.25">
      <c r="A329">
        <v>16485336</v>
      </c>
      <c r="B329">
        <v>328</v>
      </c>
      <c r="C329" t="s">
        <v>393</v>
      </c>
      <c r="D329" t="s">
        <v>394</v>
      </c>
      <c r="F329" t="str">
        <f>"12-2N-24-0000-0003-0080"</f>
        <v>12-2N-24-0000-0003-0080</v>
      </c>
      <c r="H329" t="str">
        <f>"FOURAKER JOYCE B"</f>
        <v>FOURAKER JOYCE B</v>
      </c>
      <c r="I329" t="str">
        <f>"35488 BRADDOCK RD"</f>
        <v>35488 BRADDOCK RD</v>
      </c>
      <c r="J329" t="str">
        <f t="shared" si="105"/>
        <v>CALLAHAN FL 32011</v>
      </c>
      <c r="K329" t="str">
        <f>"35488 BRADDOCK RD"</f>
        <v>35488 BRADDOCK RD</v>
      </c>
      <c r="L329" t="str">
        <f t="shared" si="100"/>
        <v>CALLAHAN FL 32011</v>
      </c>
      <c r="M329" t="str">
        <f>"PT SE1/4 &amp; SW 1/4 OF NW 1/4 IN OR 338/145 ESMT OR 1733/660"</f>
        <v>PT SE1/4 &amp; SW 1/4 OF NW 1/4 IN OR 338/145 ESMT OR 1733/660</v>
      </c>
      <c r="N329" t="str">
        <f>""</f>
        <v/>
      </c>
      <c r="O329" t="str">
        <f>"27876"</f>
        <v>27876</v>
      </c>
      <c r="P329" t="str">
        <f t="shared" si="101"/>
        <v>2017</v>
      </c>
      <c r="Q329" t="str">
        <f>""</f>
        <v/>
      </c>
      <c r="R329" t="str">
        <f>"Y"</f>
        <v>Y</v>
      </c>
      <c r="S329" t="str">
        <f>"2.25"</f>
        <v>2.25</v>
      </c>
      <c r="T329" t="str">
        <f>"936.95"</f>
        <v>936.95</v>
      </c>
      <c r="U329" t="str">
        <f>"101495.00"</f>
        <v>101495.00</v>
      </c>
      <c r="V329" t="str">
        <f>"101495.00"</f>
        <v>101495.00</v>
      </c>
      <c r="W329" t="str">
        <f t="shared" si="102"/>
        <v>2017</v>
      </c>
      <c r="X329" t="str">
        <f>"10.80"</f>
        <v>10.80</v>
      </c>
      <c r="Y329" t="str">
        <f>"997.06"</f>
        <v>997.06</v>
      </c>
      <c r="Z329" t="str">
        <f>"25500.00"</f>
        <v>25500.00</v>
      </c>
      <c r="AA329" t="str">
        <f>"75995.00"</f>
        <v>75995.00</v>
      </c>
      <c r="AB329" t="str">
        <f t="shared" si="103"/>
        <v>Residential</v>
      </c>
      <c r="AC329" t="str">
        <f t="shared" si="104"/>
        <v>0</v>
      </c>
      <c r="AD329" t="str">
        <f t="shared" si="98"/>
        <v>4</v>
      </c>
      <c r="AE329" t="str">
        <f t="shared" si="99"/>
        <v>WOOD (INCLUDE STEEL STUDS)</v>
      </c>
      <c r="AF329" t="str">
        <f>"001"</f>
        <v>001</v>
      </c>
      <c r="AG329" t="str">
        <f t="shared" si="93"/>
        <v>FL</v>
      </c>
      <c r="AH329" t="str">
        <f>"98010.00"</f>
        <v>98010.00</v>
      </c>
      <c r="AI329" t="str">
        <f>"27000.00"</f>
        <v>27000.00</v>
      </c>
      <c r="AJ329" t="str">
        <f>"C55-000-586-9362-3"</f>
        <v>C55-000-586-9362-3</v>
      </c>
      <c r="AK329" t="str">
        <f>"5053"</f>
        <v>5053</v>
      </c>
      <c r="AL329">
        <v>2</v>
      </c>
      <c r="AM329">
        <v>383</v>
      </c>
      <c r="AN329">
        <v>1045.31</v>
      </c>
      <c r="AQ329" t="s">
        <v>3763</v>
      </c>
      <c r="AR329" t="s">
        <v>3763</v>
      </c>
      <c r="AS329" t="s">
        <v>3763</v>
      </c>
      <c r="AU329" t="s">
        <v>396</v>
      </c>
      <c r="AV329">
        <v>2017</v>
      </c>
      <c r="AW329" t="str">
        <f>"12-2N-24-0000-0003-0080 "</f>
        <v xml:space="preserve">12-2N-24-0000-0003-0080 </v>
      </c>
      <c r="AX329">
        <v>35488</v>
      </c>
      <c r="AZ329" t="s">
        <v>3764</v>
      </c>
      <c r="BA329" t="s">
        <v>496</v>
      </c>
      <c r="BD329" t="s">
        <v>2785</v>
      </c>
      <c r="BE329" t="s">
        <v>393</v>
      </c>
      <c r="BF329">
        <v>32011</v>
      </c>
      <c r="BG329" t="s">
        <v>3765</v>
      </c>
      <c r="BH329" t="s">
        <v>2787</v>
      </c>
      <c r="BI329">
        <v>-81.864980838879902</v>
      </c>
      <c r="BJ329">
        <v>30.608302361330601</v>
      </c>
      <c r="BK329" t="s">
        <v>3766</v>
      </c>
      <c r="BM329" t="s">
        <v>3765</v>
      </c>
      <c r="BN329" t="s">
        <v>928</v>
      </c>
      <c r="BO329">
        <v>32011</v>
      </c>
      <c r="BP329" t="s">
        <v>416</v>
      </c>
      <c r="BQ329">
        <v>100</v>
      </c>
      <c r="BR329" t="s">
        <v>514</v>
      </c>
      <c r="BS329">
        <v>1001</v>
      </c>
      <c r="BT329" t="s">
        <v>515</v>
      </c>
      <c r="BW329">
        <v>98010</v>
      </c>
      <c r="BX329" t="s">
        <v>407</v>
      </c>
      <c r="BY329" t="s">
        <v>408</v>
      </c>
      <c r="BZ329">
        <v>4</v>
      </c>
      <c r="CA329">
        <v>1981</v>
      </c>
      <c r="CB329">
        <v>1.5</v>
      </c>
      <c r="CC329">
        <v>1</v>
      </c>
      <c r="CD329">
        <v>2017</v>
      </c>
      <c r="CG329">
        <v>101495</v>
      </c>
      <c r="CH329">
        <v>2017</v>
      </c>
      <c r="CI329">
        <v>27000</v>
      </c>
      <c r="CJ329">
        <v>100724</v>
      </c>
      <c r="CK329">
        <v>127724</v>
      </c>
      <c r="CL329">
        <v>2017</v>
      </c>
      <c r="CM329">
        <v>936.95</v>
      </c>
      <c r="CN329" s="1">
        <v>29738</v>
      </c>
      <c r="CZ329" s="1">
        <v>29738</v>
      </c>
      <c r="DD329" t="s">
        <v>2785</v>
      </c>
      <c r="DG329">
        <v>12</v>
      </c>
      <c r="DL329">
        <v>50503</v>
      </c>
      <c r="DM329" t="s">
        <v>3767</v>
      </c>
      <c r="DO329" t="s">
        <v>3768</v>
      </c>
      <c r="DP329">
        <v>0</v>
      </c>
      <c r="DQ329">
        <v>0</v>
      </c>
      <c r="DR329" t="s">
        <v>411</v>
      </c>
      <c r="DS329" t="b">
        <v>1</v>
      </c>
      <c r="DT329" t="s">
        <v>470</v>
      </c>
      <c r="DU329" t="s">
        <v>471</v>
      </c>
      <c r="DV329" t="s">
        <v>472</v>
      </c>
      <c r="DX329">
        <v>-9999</v>
      </c>
      <c r="DZ329" t="s">
        <v>447</v>
      </c>
      <c r="EA329" t="s">
        <v>448</v>
      </c>
      <c r="EB329" t="s">
        <v>742</v>
      </c>
      <c r="EC329">
        <v>20101217</v>
      </c>
      <c r="ED329" t="s">
        <v>474</v>
      </c>
      <c r="EF329">
        <v>2814.5</v>
      </c>
      <c r="EG329">
        <v>2814.5</v>
      </c>
      <c r="EI329">
        <v>20160407</v>
      </c>
      <c r="EJ329">
        <v>0</v>
      </c>
      <c r="EK329">
        <v>0</v>
      </c>
      <c r="EP329" t="s">
        <v>421</v>
      </c>
      <c r="EQ329" t="s">
        <v>422</v>
      </c>
      <c r="ER329">
        <v>2</v>
      </c>
      <c r="ES329">
        <v>5</v>
      </c>
      <c r="ET329">
        <v>2045.3</v>
      </c>
      <c r="EU329">
        <v>114.76</v>
      </c>
      <c r="EV329">
        <v>2160.06</v>
      </c>
      <c r="EW329" s="2">
        <v>43222</v>
      </c>
      <c r="EX329" s="1">
        <v>42879</v>
      </c>
      <c r="EY329">
        <v>2016</v>
      </c>
      <c r="EZ329">
        <v>1022.65</v>
      </c>
      <c r="FA329" t="s">
        <v>3769</v>
      </c>
      <c r="FB329">
        <v>0.25</v>
      </c>
      <c r="FC329" t="s">
        <v>424</v>
      </c>
      <c r="FD329" t="s">
        <v>454</v>
      </c>
      <c r="FF329">
        <v>12</v>
      </c>
      <c r="FG329">
        <v>7336671</v>
      </c>
      <c r="FH329" t="s">
        <v>437</v>
      </c>
      <c r="FJ329" s="1">
        <v>42879</v>
      </c>
      <c r="FK329">
        <v>2016</v>
      </c>
      <c r="FL329">
        <v>1022.65</v>
      </c>
      <c r="FM329" t="s">
        <v>3769</v>
      </c>
      <c r="FN329">
        <v>0.25</v>
      </c>
      <c r="FO329" t="s">
        <v>424</v>
      </c>
      <c r="FP329" t="s">
        <v>454</v>
      </c>
      <c r="FR329">
        <v>12</v>
      </c>
      <c r="FS329">
        <v>5215130</v>
      </c>
      <c r="FT329" t="s">
        <v>3770</v>
      </c>
      <c r="FV329" s="1">
        <v>42515</v>
      </c>
      <c r="FW329">
        <v>2015</v>
      </c>
      <c r="FX329">
        <v>1035.32</v>
      </c>
      <c r="FY329" t="s">
        <v>3771</v>
      </c>
      <c r="FZ329">
        <v>0.25</v>
      </c>
      <c r="GA329" t="s">
        <v>424</v>
      </c>
      <c r="GB329" t="s">
        <v>425</v>
      </c>
      <c r="GC329" s="1">
        <v>42825</v>
      </c>
      <c r="GD329">
        <v>10</v>
      </c>
      <c r="GE329">
        <v>7336671</v>
      </c>
      <c r="GF329" t="s">
        <v>437</v>
      </c>
      <c r="GH329" s="1">
        <v>42515</v>
      </c>
      <c r="GI329">
        <v>2015</v>
      </c>
      <c r="GJ329">
        <v>1035.32</v>
      </c>
      <c r="GK329" t="s">
        <v>3771</v>
      </c>
      <c r="GL329">
        <v>0.25</v>
      </c>
      <c r="GM329" t="s">
        <v>424</v>
      </c>
      <c r="GN329" t="s">
        <v>425</v>
      </c>
      <c r="GP329">
        <v>22</v>
      </c>
      <c r="GQ329">
        <v>6822563</v>
      </c>
      <c r="GR329" t="s">
        <v>3772</v>
      </c>
      <c r="GT329" s="1">
        <v>42151</v>
      </c>
      <c r="GU329">
        <v>2014</v>
      </c>
      <c r="GV329">
        <v>1036.3399999999999</v>
      </c>
      <c r="GW329" t="s">
        <v>3773</v>
      </c>
      <c r="GX329">
        <v>0.25</v>
      </c>
      <c r="GY329" t="s">
        <v>424</v>
      </c>
      <c r="GZ329" t="s">
        <v>425</v>
      </c>
      <c r="HA329" s="1">
        <v>42817</v>
      </c>
      <c r="HB329">
        <v>22</v>
      </c>
      <c r="HC329">
        <v>2101382</v>
      </c>
      <c r="HD329" t="s">
        <v>993</v>
      </c>
      <c r="HF329" s="1">
        <v>42151</v>
      </c>
      <c r="HG329">
        <v>2014</v>
      </c>
      <c r="HH329">
        <v>1036.3399999999999</v>
      </c>
      <c r="HI329" t="s">
        <v>3773</v>
      </c>
      <c r="HJ329">
        <v>0.25</v>
      </c>
      <c r="HK329" t="s">
        <v>424</v>
      </c>
      <c r="HL329" t="s">
        <v>425</v>
      </c>
      <c r="HN329">
        <v>22</v>
      </c>
      <c r="HO329">
        <v>5447088</v>
      </c>
      <c r="HP329" t="s">
        <v>3774</v>
      </c>
      <c r="HR329" s="1">
        <v>41423</v>
      </c>
      <c r="HS329">
        <v>2012</v>
      </c>
      <c r="HT329">
        <v>910.01</v>
      </c>
      <c r="HU329" t="s">
        <v>3775</v>
      </c>
      <c r="HV329">
        <v>0.25</v>
      </c>
      <c r="HW329" t="s">
        <v>424</v>
      </c>
      <c r="HX329" t="s">
        <v>425</v>
      </c>
      <c r="HY329" s="1">
        <v>41745</v>
      </c>
      <c r="HZ329">
        <v>11</v>
      </c>
      <c r="IA329">
        <v>15401</v>
      </c>
      <c r="IB329" t="s">
        <v>3776</v>
      </c>
    </row>
    <row r="330" spans="1:284" x14ac:dyDescent="0.25">
      <c r="A330">
        <v>16485337</v>
      </c>
      <c r="B330">
        <v>329</v>
      </c>
      <c r="C330" t="s">
        <v>393</v>
      </c>
      <c r="D330" t="s">
        <v>394</v>
      </c>
      <c r="F330" t="str">
        <f>"12-2N-24-0000-0003-0120"</f>
        <v>12-2N-24-0000-0003-0120</v>
      </c>
      <c r="H330" t="str">
        <f>"BIANCO RICHARD &amp; EILEEN"</f>
        <v>BIANCO RICHARD &amp; EILEEN</v>
      </c>
      <c r="I330" t="str">
        <f>"35086 BRADDOCK ROAD"</f>
        <v>35086 BRADDOCK ROAD</v>
      </c>
      <c r="J330" t="str">
        <f t="shared" si="105"/>
        <v>CALLAHAN FL 32011</v>
      </c>
      <c r="K330" t="str">
        <f>"35086 BRADDOCK RD"</f>
        <v>35086 BRADDOCK RD</v>
      </c>
      <c r="L330" t="str">
        <f t="shared" si="100"/>
        <v>CALLAHAN FL 32011</v>
      </c>
      <c r="M330" t="str">
        <f>"PT NW1/4 &amp; PT SW1/4 OF SEC 12-2N-24E IN OR 2141/1676"</f>
        <v>PT NW1/4 &amp; PT SW1/4 OF SEC 12-2N-24E IN OR 2141/1676</v>
      </c>
      <c r="N330" t="str">
        <f>""</f>
        <v/>
      </c>
      <c r="O330" t="str">
        <f>"27882"</f>
        <v>27882</v>
      </c>
      <c r="P330" t="str">
        <f t="shared" si="101"/>
        <v>2017</v>
      </c>
      <c r="Q330" t="str">
        <f>""</f>
        <v/>
      </c>
      <c r="R330" t="str">
        <f t="shared" ref="R330:R335" si="106">"N"</f>
        <v>N</v>
      </c>
      <c r="S330" t="str">
        <f>"1.50"</f>
        <v>1.50</v>
      </c>
      <c r="T330" t="str">
        <f>"1202.33"</f>
        <v>1202.33</v>
      </c>
      <c r="U330" t="str">
        <f>"79421.00"</f>
        <v>79421.00</v>
      </c>
      <c r="V330" t="str">
        <f>"77321.00"</f>
        <v>77321.00</v>
      </c>
      <c r="W330" t="str">
        <f t="shared" si="102"/>
        <v>2017</v>
      </c>
      <c r="X330" t="str">
        <f>"1.00"</f>
        <v>1.00</v>
      </c>
      <c r="Y330" t="str">
        <f>"1270.40"</f>
        <v>1270.40</v>
      </c>
      <c r="Z330" t="str">
        <f>""</f>
        <v/>
      </c>
      <c r="AA330" t="str">
        <f>"79421.00"</f>
        <v>79421.00</v>
      </c>
      <c r="AB330" t="str">
        <f t="shared" si="103"/>
        <v>Residential</v>
      </c>
      <c r="AC330" t="str">
        <f t="shared" si="104"/>
        <v>0</v>
      </c>
      <c r="AD330" t="str">
        <f>"3"</f>
        <v>3</v>
      </c>
      <c r="AE330" t="str">
        <f>"MASONRY"</f>
        <v>MASONRY</v>
      </c>
      <c r="AF330" t="str">
        <f>"001"</f>
        <v>001</v>
      </c>
      <c r="AG330" t="str">
        <f t="shared" ref="AG330:AG347" si="107">"FL"</f>
        <v>FL</v>
      </c>
      <c r="AH330" t="str">
        <f>"59241.00"</f>
        <v>59241.00</v>
      </c>
      <c r="AI330" t="str">
        <f>"20400.00"</f>
        <v>20400.00</v>
      </c>
      <c r="AJ330" t="str">
        <f>"C55-000-589-0803-9"</f>
        <v>C55-000-589-0803-9</v>
      </c>
      <c r="AK330" t="str">
        <f>"5058"</f>
        <v>5058</v>
      </c>
      <c r="AL330">
        <v>2</v>
      </c>
      <c r="AM330">
        <v>384</v>
      </c>
      <c r="AN330">
        <v>1332.32</v>
      </c>
      <c r="AQ330" t="s">
        <v>3777</v>
      </c>
      <c r="AR330" t="s">
        <v>3777</v>
      </c>
      <c r="AS330" t="s">
        <v>3777</v>
      </c>
      <c r="AU330" t="s">
        <v>396</v>
      </c>
      <c r="AV330">
        <v>2017</v>
      </c>
      <c r="AW330" t="str">
        <f>"12-2N-24-0000-0003-0120 "</f>
        <v xml:space="preserve">12-2N-24-0000-0003-0120 </v>
      </c>
      <c r="AX330">
        <v>35086</v>
      </c>
      <c r="AZ330" t="s">
        <v>3764</v>
      </c>
      <c r="BA330" t="s">
        <v>496</v>
      </c>
      <c r="BD330" t="s">
        <v>2785</v>
      </c>
      <c r="BE330" t="s">
        <v>393</v>
      </c>
      <c r="BF330">
        <v>32011</v>
      </c>
      <c r="BG330" t="s">
        <v>3778</v>
      </c>
      <c r="BH330" t="s">
        <v>2787</v>
      </c>
      <c r="BI330">
        <v>-81.865516354367401</v>
      </c>
      <c r="BJ330">
        <v>30.6028389414389</v>
      </c>
      <c r="BK330" t="s">
        <v>3779</v>
      </c>
      <c r="BM330" t="s">
        <v>3780</v>
      </c>
      <c r="BN330" t="s">
        <v>928</v>
      </c>
      <c r="BO330">
        <v>32011</v>
      </c>
      <c r="BP330" t="s">
        <v>404</v>
      </c>
      <c r="BQ330">
        <v>100</v>
      </c>
      <c r="BR330" t="s">
        <v>514</v>
      </c>
      <c r="BS330">
        <v>1001</v>
      </c>
      <c r="BT330" t="s">
        <v>515</v>
      </c>
      <c r="BW330">
        <v>1731510</v>
      </c>
      <c r="BX330" t="s">
        <v>407</v>
      </c>
      <c r="BY330" t="s">
        <v>408</v>
      </c>
      <c r="BZ330">
        <v>3</v>
      </c>
      <c r="CA330">
        <v>1948</v>
      </c>
      <c r="CB330">
        <v>1</v>
      </c>
      <c r="CC330">
        <v>1</v>
      </c>
      <c r="CD330">
        <v>2017</v>
      </c>
      <c r="CE330">
        <v>20400</v>
      </c>
      <c r="CF330">
        <v>56921</v>
      </c>
      <c r="CG330">
        <v>77321</v>
      </c>
      <c r="CH330">
        <v>2017</v>
      </c>
      <c r="CI330">
        <v>20400</v>
      </c>
      <c r="CJ330">
        <v>56921</v>
      </c>
      <c r="CK330">
        <v>77321</v>
      </c>
      <c r="CL330">
        <v>2017</v>
      </c>
      <c r="CM330">
        <v>1170.55</v>
      </c>
      <c r="CN330" s="1">
        <v>42971</v>
      </c>
      <c r="CO330">
        <v>378000</v>
      </c>
      <c r="CV330">
        <v>0</v>
      </c>
      <c r="CZ330" s="1">
        <v>42971</v>
      </c>
      <c r="DA330">
        <v>0</v>
      </c>
      <c r="DD330" t="s">
        <v>2785</v>
      </c>
      <c r="DG330">
        <v>12</v>
      </c>
      <c r="DL330">
        <v>50503</v>
      </c>
      <c r="DM330" t="s">
        <v>3767</v>
      </c>
      <c r="DO330" t="s">
        <v>3781</v>
      </c>
      <c r="DP330">
        <v>0</v>
      </c>
      <c r="DQ330">
        <v>0</v>
      </c>
      <c r="DR330" t="s">
        <v>411</v>
      </c>
      <c r="DS330" t="b">
        <v>1</v>
      </c>
      <c r="DT330" t="s">
        <v>470</v>
      </c>
      <c r="DU330" t="s">
        <v>471</v>
      </c>
      <c r="DV330" t="s">
        <v>472</v>
      </c>
      <c r="DX330">
        <v>-9999</v>
      </c>
      <c r="DZ330" t="s">
        <v>447</v>
      </c>
      <c r="EA330" t="s">
        <v>448</v>
      </c>
      <c r="EB330" t="s">
        <v>742</v>
      </c>
      <c r="EC330">
        <v>20101217</v>
      </c>
      <c r="ED330" t="s">
        <v>474</v>
      </c>
      <c r="EF330">
        <v>2342.5</v>
      </c>
      <c r="EG330">
        <v>2342.5</v>
      </c>
      <c r="EI330">
        <v>20160407</v>
      </c>
      <c r="EJ330">
        <v>0</v>
      </c>
      <c r="EK330">
        <v>0</v>
      </c>
      <c r="EP330" t="s">
        <v>421</v>
      </c>
      <c r="EQ330" t="s">
        <v>422</v>
      </c>
      <c r="ER330">
        <v>0</v>
      </c>
      <c r="ES330">
        <v>4</v>
      </c>
      <c r="ET330">
        <v>0</v>
      </c>
      <c r="EU330">
        <v>0</v>
      </c>
      <c r="EV330">
        <v>0</v>
      </c>
      <c r="EW330" s="2">
        <v>43222</v>
      </c>
      <c r="EX330" s="1">
        <v>42879</v>
      </c>
      <c r="EY330">
        <v>2016</v>
      </c>
      <c r="EZ330">
        <v>3427.08</v>
      </c>
      <c r="FA330" t="s">
        <v>3782</v>
      </c>
      <c r="FB330">
        <v>0.25</v>
      </c>
      <c r="FC330" t="s">
        <v>424</v>
      </c>
      <c r="FD330" t="s">
        <v>425</v>
      </c>
      <c r="FE330" s="1">
        <v>42893</v>
      </c>
      <c r="FF330">
        <v>1</v>
      </c>
      <c r="FG330">
        <v>7336671</v>
      </c>
      <c r="FH330" t="s">
        <v>437</v>
      </c>
      <c r="FJ330" s="1">
        <v>42879</v>
      </c>
      <c r="FK330">
        <v>2016</v>
      </c>
      <c r="FL330">
        <v>3427.08</v>
      </c>
      <c r="FM330" t="s">
        <v>3782</v>
      </c>
      <c r="FN330">
        <v>0.25</v>
      </c>
      <c r="FO330" t="s">
        <v>424</v>
      </c>
      <c r="FP330" t="s">
        <v>425</v>
      </c>
      <c r="FR330">
        <v>22</v>
      </c>
      <c r="FS330">
        <v>6756463</v>
      </c>
      <c r="FT330" t="s">
        <v>3783</v>
      </c>
      <c r="FV330" s="1">
        <v>42515</v>
      </c>
      <c r="FW330">
        <v>2015</v>
      </c>
      <c r="FX330">
        <v>3935.09</v>
      </c>
      <c r="FY330" t="s">
        <v>3784</v>
      </c>
      <c r="FZ330">
        <v>0.25</v>
      </c>
      <c r="GA330" t="s">
        <v>424</v>
      </c>
      <c r="GB330" t="s">
        <v>425</v>
      </c>
      <c r="GC330" s="1">
        <v>42536</v>
      </c>
      <c r="GD330">
        <v>1</v>
      </c>
      <c r="GE330">
        <v>11289</v>
      </c>
      <c r="GF330" t="s">
        <v>787</v>
      </c>
      <c r="GH330" s="1">
        <v>42515</v>
      </c>
      <c r="GI330">
        <v>2015</v>
      </c>
      <c r="GJ330">
        <v>3935.09</v>
      </c>
      <c r="GK330" t="s">
        <v>3784</v>
      </c>
      <c r="GL330">
        <v>0.25</v>
      </c>
      <c r="GM330" t="s">
        <v>424</v>
      </c>
      <c r="GN330" t="s">
        <v>425</v>
      </c>
      <c r="GP330">
        <v>22</v>
      </c>
      <c r="GQ330">
        <v>7198090</v>
      </c>
      <c r="GR330" t="s">
        <v>3785</v>
      </c>
    </row>
    <row r="331" spans="1:284" x14ac:dyDescent="0.25">
      <c r="A331">
        <v>16485338</v>
      </c>
      <c r="B331">
        <v>330</v>
      </c>
      <c r="C331" t="s">
        <v>393</v>
      </c>
      <c r="D331" t="s">
        <v>394</v>
      </c>
      <c r="F331" t="str">
        <f>"12-2N-24-0000-0003-0140"</f>
        <v>12-2N-24-0000-0003-0140</v>
      </c>
      <c r="H331" t="str">
        <f>"FOURAKER BRANDON &amp; SALLY"</f>
        <v>FOURAKER BRANDON &amp; SALLY</v>
      </c>
      <c r="I331" t="str">
        <f>"35488 BRADDOCK RD"</f>
        <v>35488 BRADDOCK RD</v>
      </c>
      <c r="J331" t="str">
        <f t="shared" si="105"/>
        <v>CALLAHAN FL 32011</v>
      </c>
      <c r="K331" t="str">
        <f>"35518 BRADDOCK RD"</f>
        <v>35518 BRADDOCK RD</v>
      </c>
      <c r="L331" t="str">
        <f t="shared" si="100"/>
        <v>CALLAHAN FL 32011</v>
      </c>
      <c r="M331" t="str">
        <f>"NW1/4 OF NW1/4 &amp; NE1/4 OF NW1/4 IN OR 1859/1272"</f>
        <v>NW1/4 OF NW1/4 &amp; NE1/4 OF NW1/4 IN OR 1859/1272</v>
      </c>
      <c r="N331" t="str">
        <f>""</f>
        <v/>
      </c>
      <c r="O331" t="str">
        <f>"27884"</f>
        <v>27884</v>
      </c>
      <c r="P331" t="str">
        <f t="shared" si="101"/>
        <v>2017</v>
      </c>
      <c r="Q331" t="str">
        <f>""</f>
        <v/>
      </c>
      <c r="R331" t="str">
        <f t="shared" si="106"/>
        <v>N</v>
      </c>
      <c r="S331" t="str">
        <f>"1.00"</f>
        <v>1.00</v>
      </c>
      <c r="T331" t="str">
        <f>"401.68"</f>
        <v>401.68</v>
      </c>
      <c r="U331" t="str">
        <f>"24187.00"</f>
        <v>24187.00</v>
      </c>
      <c r="V331" t="str">
        <f>"24187.00"</f>
        <v>24187.00</v>
      </c>
      <c r="W331" t="str">
        <f t="shared" si="102"/>
        <v>2017</v>
      </c>
      <c r="X331" t="str">
        <f>"22.00"</f>
        <v>22.00</v>
      </c>
      <c r="Y331" t="str">
        <f>"445.73"</f>
        <v>445.73</v>
      </c>
      <c r="Z331" t="str">
        <f>""</f>
        <v/>
      </c>
      <c r="AA331" t="str">
        <f>"29570.00"</f>
        <v>29570.00</v>
      </c>
      <c r="AB331" t="str">
        <f t="shared" si="103"/>
        <v>Residential</v>
      </c>
      <c r="AC331" t="str">
        <f t="shared" si="104"/>
        <v>0</v>
      </c>
      <c r="AD331" t="str">
        <f>""</f>
        <v/>
      </c>
      <c r="AE331" t="str">
        <f>""</f>
        <v/>
      </c>
      <c r="AF331" t="str">
        <f>"002"</f>
        <v>002</v>
      </c>
      <c r="AG331" t="str">
        <f t="shared" si="107"/>
        <v>FL</v>
      </c>
      <c r="AH331" t="str">
        <f>"43560.00"</f>
        <v>43560.00</v>
      </c>
      <c r="AI331" t="str">
        <f>"15000.00"</f>
        <v>15000.00</v>
      </c>
      <c r="AJ331" t="str">
        <f>"C55-001-050-5002-5"</f>
        <v>C55-001-050-5002-5</v>
      </c>
      <c r="AK331" t="str">
        <f>"5059"</f>
        <v>5059</v>
      </c>
      <c r="AL331">
        <v>2</v>
      </c>
      <c r="AM331">
        <v>385</v>
      </c>
      <c r="AN331">
        <v>466.42</v>
      </c>
      <c r="AQ331" t="s">
        <v>3786</v>
      </c>
      <c r="AR331" t="s">
        <v>3786</v>
      </c>
      <c r="AS331" t="s">
        <v>3786</v>
      </c>
      <c r="AU331" t="s">
        <v>396</v>
      </c>
      <c r="AV331">
        <v>2017</v>
      </c>
      <c r="AW331" t="str">
        <f>"12-2N-24-0000-0003-0140 "</f>
        <v xml:space="preserve">12-2N-24-0000-0003-0140 </v>
      </c>
      <c r="AX331">
        <v>35518</v>
      </c>
      <c r="AZ331" t="s">
        <v>3764</v>
      </c>
      <c r="BA331" t="s">
        <v>496</v>
      </c>
      <c r="BD331" t="s">
        <v>2785</v>
      </c>
      <c r="BE331" t="s">
        <v>393</v>
      </c>
      <c r="BF331">
        <v>32011</v>
      </c>
      <c r="BG331" t="s">
        <v>3787</v>
      </c>
      <c r="BH331" t="s">
        <v>2787</v>
      </c>
      <c r="BI331">
        <v>-81.865045351977798</v>
      </c>
      <c r="BJ331">
        <v>30.6091685676259</v>
      </c>
      <c r="BK331" t="s">
        <v>3788</v>
      </c>
      <c r="BL331" t="s">
        <v>3789</v>
      </c>
      <c r="BM331" t="s">
        <v>3765</v>
      </c>
      <c r="BN331" t="s">
        <v>928</v>
      </c>
      <c r="BO331">
        <v>32011</v>
      </c>
      <c r="BP331" t="s">
        <v>404</v>
      </c>
      <c r="BQ331">
        <v>200</v>
      </c>
      <c r="BR331" t="s">
        <v>405</v>
      </c>
      <c r="BS331">
        <v>1006</v>
      </c>
      <c r="BT331" t="s">
        <v>406</v>
      </c>
      <c r="BW331">
        <v>43560</v>
      </c>
      <c r="BX331" t="s">
        <v>407</v>
      </c>
      <c r="BY331" t="s">
        <v>408</v>
      </c>
      <c r="CA331">
        <v>1973</v>
      </c>
      <c r="CB331">
        <v>1</v>
      </c>
      <c r="CC331">
        <v>1</v>
      </c>
      <c r="CD331">
        <v>2017</v>
      </c>
      <c r="CE331">
        <v>15000</v>
      </c>
      <c r="CF331">
        <v>14570</v>
      </c>
      <c r="CG331">
        <v>29570</v>
      </c>
      <c r="CH331">
        <v>2017</v>
      </c>
      <c r="CI331">
        <v>15000</v>
      </c>
      <c r="CJ331">
        <v>14570</v>
      </c>
      <c r="CK331">
        <v>29570</v>
      </c>
      <c r="CL331">
        <v>2017</v>
      </c>
      <c r="CM331">
        <v>401.68</v>
      </c>
      <c r="CN331" s="1">
        <v>41428</v>
      </c>
      <c r="CO331">
        <v>20000</v>
      </c>
      <c r="CZ331" s="1">
        <v>41428</v>
      </c>
      <c r="DD331" t="s">
        <v>2785</v>
      </c>
      <c r="DG331">
        <v>12</v>
      </c>
      <c r="DL331">
        <v>50503</v>
      </c>
      <c r="DM331" t="s">
        <v>3767</v>
      </c>
      <c r="DO331" t="s">
        <v>3790</v>
      </c>
      <c r="DP331">
        <v>0</v>
      </c>
      <c r="DQ331">
        <v>0</v>
      </c>
      <c r="DR331" t="s">
        <v>411</v>
      </c>
      <c r="DS331" t="b">
        <v>1</v>
      </c>
      <c r="DT331" t="s">
        <v>470</v>
      </c>
      <c r="DU331" t="s">
        <v>471</v>
      </c>
      <c r="DV331" t="s">
        <v>472</v>
      </c>
      <c r="DX331">
        <v>-9999</v>
      </c>
      <c r="DZ331" t="s">
        <v>447</v>
      </c>
      <c r="EA331" t="s">
        <v>448</v>
      </c>
      <c r="EB331" t="s">
        <v>742</v>
      </c>
      <c r="EC331">
        <v>20101217</v>
      </c>
      <c r="ED331" t="s">
        <v>474</v>
      </c>
      <c r="EF331">
        <v>2592.6999999999998</v>
      </c>
      <c r="EG331">
        <v>2592.6999999999998</v>
      </c>
      <c r="EI331">
        <v>20160407</v>
      </c>
      <c r="EJ331">
        <v>0</v>
      </c>
      <c r="EK331">
        <v>0</v>
      </c>
      <c r="EP331" t="s">
        <v>421</v>
      </c>
      <c r="EQ331" t="s">
        <v>422</v>
      </c>
      <c r="ER331">
        <v>1</v>
      </c>
      <c r="ES331">
        <v>2</v>
      </c>
      <c r="ET331">
        <v>425.71</v>
      </c>
      <c r="EU331">
        <v>27.54</v>
      </c>
      <c r="EV331">
        <v>453.25</v>
      </c>
      <c r="EW331" s="2">
        <v>43222</v>
      </c>
      <c r="EX331" s="1">
        <v>42879</v>
      </c>
      <c r="EY331">
        <v>2016</v>
      </c>
      <c r="EZ331">
        <v>425.71</v>
      </c>
      <c r="FA331" t="s">
        <v>3791</v>
      </c>
      <c r="FB331">
        <v>4.5</v>
      </c>
      <c r="FC331" t="s">
        <v>424</v>
      </c>
      <c r="FD331" t="s">
        <v>454</v>
      </c>
      <c r="FF331">
        <v>12</v>
      </c>
      <c r="FG331">
        <v>2035919</v>
      </c>
      <c r="FH331" t="s">
        <v>507</v>
      </c>
      <c r="FJ331" s="1">
        <v>42515</v>
      </c>
      <c r="FK331">
        <v>2015</v>
      </c>
      <c r="FL331">
        <v>375.25</v>
      </c>
      <c r="FM331" t="s">
        <v>3792</v>
      </c>
      <c r="FN331">
        <v>15.75</v>
      </c>
      <c r="FO331" t="s">
        <v>424</v>
      </c>
      <c r="FP331" t="s">
        <v>425</v>
      </c>
      <c r="FQ331" s="1">
        <v>43192</v>
      </c>
      <c r="FR331">
        <v>23</v>
      </c>
      <c r="FS331">
        <v>10125</v>
      </c>
      <c r="FT331" t="s">
        <v>440</v>
      </c>
      <c r="FV331" s="1">
        <v>42151</v>
      </c>
      <c r="FW331">
        <v>2014</v>
      </c>
      <c r="FX331">
        <v>332.6</v>
      </c>
      <c r="FY331" t="s">
        <v>3793</v>
      </c>
      <c r="FZ331">
        <v>15.75</v>
      </c>
      <c r="GA331" t="s">
        <v>424</v>
      </c>
      <c r="GB331" t="s">
        <v>425</v>
      </c>
      <c r="GC331" s="1">
        <v>42793</v>
      </c>
      <c r="GD331">
        <v>21</v>
      </c>
      <c r="GE331">
        <v>10125</v>
      </c>
      <c r="GF331" t="s">
        <v>440</v>
      </c>
    </row>
    <row r="332" spans="1:284" x14ac:dyDescent="0.25">
      <c r="A332">
        <v>16485339</v>
      </c>
      <c r="B332">
        <v>331</v>
      </c>
      <c r="C332" t="s">
        <v>393</v>
      </c>
      <c r="D332" t="s">
        <v>394</v>
      </c>
      <c r="F332" t="str">
        <f>"12-2N-24-0000-0003-0150"</f>
        <v>12-2N-24-0000-0003-0150</v>
      </c>
      <c r="H332" t="str">
        <f>"GRAHAM SHARI T"</f>
        <v>GRAHAM SHARI T</v>
      </c>
      <c r="I332" t="str">
        <f>"P O BOX 1694"</f>
        <v>P O BOX 1694</v>
      </c>
      <c r="J332" t="str">
        <f t="shared" si="105"/>
        <v>CALLAHAN FL 32011</v>
      </c>
      <c r="K332" t="str">
        <f>"BRADDOCK RD"</f>
        <v>BRADDOCK RD</v>
      </c>
      <c r="L332" t="str">
        <f t="shared" si="100"/>
        <v>CALLAHAN FL 32011</v>
      </c>
      <c r="M332" t="str">
        <f>"PT W1/2 &amp; PT OF SE1/4 OF SEC 12-2N-24E IN OR 1931/799 (EX OR 1936/950 &amp; OR 2122/1891 &amp; OR 2128/439)"</f>
        <v>PT W1/2 &amp; PT OF SE1/4 OF SEC 12-2N-24E IN OR 1931/799 (EX OR 1936/950 &amp; OR 2122/1891 &amp; OR 2128/439)</v>
      </c>
      <c r="N332" t="str">
        <f>""</f>
        <v/>
      </c>
      <c r="O332" t="str">
        <f>"27885"</f>
        <v>27885</v>
      </c>
      <c r="P332" t="str">
        <f t="shared" si="101"/>
        <v>2017</v>
      </c>
      <c r="Q332" t="str">
        <f>""</f>
        <v/>
      </c>
      <c r="R332" t="str">
        <f t="shared" si="106"/>
        <v>N</v>
      </c>
      <c r="S332" t="str">
        <f>"60.73"</f>
        <v>60.73</v>
      </c>
      <c r="T332" t="str">
        <f>"2758.15"</f>
        <v>2758.15</v>
      </c>
      <c r="U332" t="str">
        <f>"182190.00"</f>
        <v>182190.00</v>
      </c>
      <c r="V332" t="str">
        <f>"178830.00"</f>
        <v>178830.00</v>
      </c>
      <c r="W332" t="str">
        <f t="shared" si="102"/>
        <v>2017</v>
      </c>
      <c r="X332" t="str">
        <f>"7.00"</f>
        <v>7.00</v>
      </c>
      <c r="Y332" t="str">
        <f>"2872.89"</f>
        <v>2872.89</v>
      </c>
      <c r="Z332" t="str">
        <f>""</f>
        <v/>
      </c>
      <c r="AA332" t="str">
        <f>"182190.00"</f>
        <v>182190.00</v>
      </c>
      <c r="AB332" t="str">
        <f>"Miscellaneous"</f>
        <v>Miscellaneous</v>
      </c>
      <c r="AC332" t="str">
        <f t="shared" si="104"/>
        <v>0</v>
      </c>
      <c r="AD332" t="str">
        <f>""</f>
        <v/>
      </c>
      <c r="AE332" t="str">
        <f>""</f>
        <v/>
      </c>
      <c r="AF332" t="str">
        <f>"099"</f>
        <v>099</v>
      </c>
      <c r="AG332" t="str">
        <f t="shared" si="107"/>
        <v>FL</v>
      </c>
      <c r="AH332" t="str">
        <f>"2596611.00"</f>
        <v>2596611.00</v>
      </c>
      <c r="AI332" t="str">
        <f>"178830.00"</f>
        <v>178830.00</v>
      </c>
      <c r="AJ332" t="str">
        <f>"C55-001-060-7653-2"</f>
        <v>C55-001-060-7653-2</v>
      </c>
      <c r="AK332" t="str">
        <f>"5060"</f>
        <v>5060</v>
      </c>
      <c r="AL332">
        <v>2</v>
      </c>
      <c r="AM332">
        <v>386</v>
      </c>
      <c r="AN332">
        <v>3014.93</v>
      </c>
      <c r="AQ332" t="s">
        <v>3794</v>
      </c>
      <c r="AR332" t="s">
        <v>3794</v>
      </c>
      <c r="AS332" t="s">
        <v>3794</v>
      </c>
      <c r="AU332" t="s">
        <v>396</v>
      </c>
      <c r="AV332">
        <v>2017</v>
      </c>
      <c r="AW332" t="str">
        <f>"12-2N-24-0000-0003-0150 "</f>
        <v xml:space="preserve">12-2N-24-0000-0003-0150 </v>
      </c>
      <c r="AZ332" t="s">
        <v>3764</v>
      </c>
      <c r="BA332" t="s">
        <v>496</v>
      </c>
      <c r="BD332" t="s">
        <v>2785</v>
      </c>
      <c r="BE332" t="s">
        <v>393</v>
      </c>
      <c r="BF332">
        <v>32011</v>
      </c>
      <c r="BG332" t="s">
        <v>3795</v>
      </c>
      <c r="BH332" t="s">
        <v>2787</v>
      </c>
      <c r="BI332">
        <v>-81.860637058367899</v>
      </c>
      <c r="BJ332">
        <v>30.601168288059299</v>
      </c>
      <c r="BK332" t="s">
        <v>3796</v>
      </c>
      <c r="BM332" t="s">
        <v>3797</v>
      </c>
      <c r="BN332" t="s">
        <v>928</v>
      </c>
      <c r="BO332">
        <v>32011</v>
      </c>
      <c r="BP332" t="s">
        <v>404</v>
      </c>
      <c r="BQ332">
        <v>9900</v>
      </c>
      <c r="BR332" t="s">
        <v>3798</v>
      </c>
      <c r="BS332">
        <v>8000</v>
      </c>
      <c r="BT332" t="s">
        <v>3799</v>
      </c>
      <c r="BW332">
        <v>3745288</v>
      </c>
      <c r="BX332" t="s">
        <v>407</v>
      </c>
      <c r="CD332">
        <v>2017</v>
      </c>
      <c r="CE332">
        <v>178830</v>
      </c>
      <c r="CG332">
        <v>178830</v>
      </c>
      <c r="CH332">
        <v>2017</v>
      </c>
      <c r="CI332">
        <v>178830</v>
      </c>
      <c r="CK332">
        <v>178830</v>
      </c>
      <c r="CL332">
        <v>2017</v>
      </c>
      <c r="CM332">
        <v>2707.27</v>
      </c>
      <c r="CN332" s="1">
        <v>42907</v>
      </c>
      <c r="CO332">
        <v>222000</v>
      </c>
      <c r="CV332">
        <v>177600</v>
      </c>
      <c r="CX332" t="s">
        <v>675</v>
      </c>
      <c r="CZ332" s="1">
        <v>42907</v>
      </c>
      <c r="DA332">
        <v>0</v>
      </c>
      <c r="DD332" t="s">
        <v>2785</v>
      </c>
      <c r="DG332">
        <v>12</v>
      </c>
      <c r="DL332">
        <v>50503</v>
      </c>
      <c r="DM332" t="s">
        <v>3767</v>
      </c>
      <c r="DO332" t="s">
        <v>3800</v>
      </c>
      <c r="DP332">
        <v>0</v>
      </c>
      <c r="DQ332">
        <v>0</v>
      </c>
      <c r="DR332" t="s">
        <v>411</v>
      </c>
      <c r="DS332" t="b">
        <v>1</v>
      </c>
      <c r="DT332" t="s">
        <v>470</v>
      </c>
      <c r="DU332" t="s">
        <v>471</v>
      </c>
      <c r="DV332" t="s">
        <v>472</v>
      </c>
      <c r="DX332">
        <v>-9999</v>
      </c>
      <c r="DZ332" t="s">
        <v>447</v>
      </c>
      <c r="EA332" t="s">
        <v>448</v>
      </c>
      <c r="EB332" t="s">
        <v>742</v>
      </c>
      <c r="EC332">
        <v>20101217</v>
      </c>
      <c r="ED332" t="s">
        <v>474</v>
      </c>
      <c r="EF332">
        <v>743.9</v>
      </c>
      <c r="EG332">
        <v>743.9</v>
      </c>
      <c r="EI332">
        <v>20160407</v>
      </c>
      <c r="EJ332">
        <v>0</v>
      </c>
      <c r="EK332">
        <v>0</v>
      </c>
      <c r="EP332" t="s">
        <v>421</v>
      </c>
      <c r="EQ332" t="s">
        <v>422</v>
      </c>
      <c r="ER332">
        <v>0</v>
      </c>
      <c r="ES332">
        <v>4</v>
      </c>
      <c r="ET332">
        <v>0</v>
      </c>
      <c r="EU332">
        <v>0</v>
      </c>
      <c r="EV332">
        <v>0</v>
      </c>
      <c r="EW332" s="2">
        <v>43222</v>
      </c>
      <c r="EX332" s="1">
        <v>42879</v>
      </c>
      <c r="EY332">
        <v>2016</v>
      </c>
      <c r="EZ332">
        <v>4309.33</v>
      </c>
      <c r="FA332" t="s">
        <v>3801</v>
      </c>
      <c r="FB332">
        <v>0.25</v>
      </c>
      <c r="FC332" t="s">
        <v>424</v>
      </c>
      <c r="FD332" t="s">
        <v>425</v>
      </c>
      <c r="FE332" s="1">
        <v>42893</v>
      </c>
      <c r="FF332">
        <v>1</v>
      </c>
      <c r="FG332">
        <v>7400234</v>
      </c>
      <c r="FH332" t="s">
        <v>426</v>
      </c>
      <c r="FJ332" s="1">
        <v>42879</v>
      </c>
      <c r="FK332">
        <v>2016</v>
      </c>
      <c r="FL332">
        <v>4309.33</v>
      </c>
      <c r="FM332" t="s">
        <v>3801</v>
      </c>
      <c r="FN332">
        <v>0.25</v>
      </c>
      <c r="FO332" t="s">
        <v>424</v>
      </c>
      <c r="FP332" t="s">
        <v>425</v>
      </c>
      <c r="FR332">
        <v>22</v>
      </c>
      <c r="FS332">
        <v>7566448</v>
      </c>
      <c r="FT332" t="s">
        <v>3802</v>
      </c>
      <c r="FV332" s="1">
        <v>42515</v>
      </c>
      <c r="FW332">
        <v>2015</v>
      </c>
      <c r="FX332">
        <v>4408.32</v>
      </c>
      <c r="FY332" t="s">
        <v>3803</v>
      </c>
      <c r="FZ332">
        <v>0.25</v>
      </c>
      <c r="GA332" t="s">
        <v>424</v>
      </c>
      <c r="GB332" t="s">
        <v>425</v>
      </c>
      <c r="GC332" s="1">
        <v>42891</v>
      </c>
      <c r="GD332">
        <v>13</v>
      </c>
      <c r="GE332">
        <v>5916895</v>
      </c>
      <c r="GF332" t="s">
        <v>1390</v>
      </c>
      <c r="GH332" s="1">
        <v>42515</v>
      </c>
      <c r="GI332">
        <v>2015</v>
      </c>
      <c r="GJ332">
        <v>4408.32</v>
      </c>
      <c r="GK332" t="s">
        <v>3803</v>
      </c>
      <c r="GL332">
        <v>0.25</v>
      </c>
      <c r="GM332" t="s">
        <v>424</v>
      </c>
      <c r="GN332" t="s">
        <v>425</v>
      </c>
      <c r="GP332">
        <v>22</v>
      </c>
      <c r="GQ332">
        <v>5978086</v>
      </c>
      <c r="GR332" t="s">
        <v>3804</v>
      </c>
    </row>
    <row r="333" spans="1:284" x14ac:dyDescent="0.25">
      <c r="A333">
        <v>16485340</v>
      </c>
      <c r="B333">
        <v>332</v>
      </c>
      <c r="C333" t="s">
        <v>393</v>
      </c>
      <c r="D333" t="s">
        <v>394</v>
      </c>
      <c r="F333" t="str">
        <f>"12-2N-24-0000-0003-0220"</f>
        <v>12-2N-24-0000-0003-0220</v>
      </c>
      <c r="H333" t="str">
        <f>"MAXWELL KYLE &amp; GENEVA N"</f>
        <v>MAXWELL KYLE &amp; GENEVA N</v>
      </c>
      <c r="I333" t="str">
        <f>"615720 RIVER ROAD"</f>
        <v>615720 RIVER ROAD</v>
      </c>
      <c r="J333" t="str">
        <f t="shared" si="105"/>
        <v>CALLAHAN FL 32011</v>
      </c>
      <c r="K333" t="str">
        <f>"BRADDOCK RD"</f>
        <v>BRADDOCK RD</v>
      </c>
      <c r="L333" t="str">
        <f t="shared" si="100"/>
        <v>CALLAHAN FL 32011</v>
      </c>
      <c r="M333" t="str">
        <f>"PT OF SEC 12-2N-24E IN OR 2128/439"</f>
        <v>PT OF SEC 12-2N-24E IN OR 2128/439</v>
      </c>
      <c r="N333" t="str">
        <f>""</f>
        <v/>
      </c>
      <c r="O333" t="str">
        <f>"57080"</f>
        <v>57080</v>
      </c>
      <c r="P333" t="str">
        <f t="shared" si="101"/>
        <v>2017</v>
      </c>
      <c r="Q333" t="str">
        <f>""</f>
        <v/>
      </c>
      <c r="R333" t="str">
        <f t="shared" si="106"/>
        <v>N</v>
      </c>
      <c r="S333" t="str">
        <f>"30.00"</f>
        <v>30.00</v>
      </c>
      <c r="T333" t="str">
        <f>"2043.74"</f>
        <v>2043.74</v>
      </c>
      <c r="U333" t="str">
        <f>"135000.00"</f>
        <v>135000.00</v>
      </c>
      <c r="V333" t="str">
        <f>"127215.00"</f>
        <v>127215.00</v>
      </c>
      <c r="W333" t="str">
        <f t="shared" si="102"/>
        <v>2017</v>
      </c>
      <c r="X333" t="str">
        <f>""</f>
        <v/>
      </c>
      <c r="Y333" t="str">
        <f>"2137.05"</f>
        <v>2137.05</v>
      </c>
      <c r="Z333" t="str">
        <f>""</f>
        <v/>
      </c>
      <c r="AA333" t="str">
        <f>"135000.00"</f>
        <v>135000.00</v>
      </c>
      <c r="AB333" t="str">
        <f>"Miscellaneous"</f>
        <v>Miscellaneous</v>
      </c>
      <c r="AC333" t="str">
        <f t="shared" si="104"/>
        <v>0</v>
      </c>
      <c r="AD333" t="str">
        <f>""</f>
        <v/>
      </c>
      <c r="AE333" t="str">
        <f>""</f>
        <v/>
      </c>
      <c r="AF333" t="str">
        <f>"099"</f>
        <v>099</v>
      </c>
      <c r="AG333" t="str">
        <f t="shared" si="107"/>
        <v>FL</v>
      </c>
      <c r="AH333" t="str">
        <f>"1231441.00"</f>
        <v>1231441.00</v>
      </c>
      <c r="AI333" t="str">
        <f>"127215.00"</f>
        <v>127215.00</v>
      </c>
      <c r="AJ333" t="str">
        <f>"C55-001-099-3159-2"</f>
        <v>C55-001-099-3159-2</v>
      </c>
      <c r="AK333" t="str">
        <f>"5066"</f>
        <v>5066</v>
      </c>
      <c r="AL333">
        <v>2</v>
      </c>
      <c r="AM333">
        <v>387</v>
      </c>
      <c r="AN333">
        <v>2242.3000000000002</v>
      </c>
      <c r="AQ333" t="s">
        <v>3805</v>
      </c>
      <c r="AR333" t="s">
        <v>3805</v>
      </c>
      <c r="AS333" t="s">
        <v>3805</v>
      </c>
      <c r="AU333" t="s">
        <v>396</v>
      </c>
      <c r="AV333">
        <v>2017</v>
      </c>
      <c r="AW333" t="str">
        <f>"12-2N-24-0000-0003-0220 "</f>
        <v xml:space="preserve">12-2N-24-0000-0003-0220 </v>
      </c>
      <c r="AZ333" t="s">
        <v>3764</v>
      </c>
      <c r="BA333" t="s">
        <v>496</v>
      </c>
      <c r="BD333" t="s">
        <v>2785</v>
      </c>
      <c r="BE333" t="s">
        <v>393</v>
      </c>
      <c r="BF333">
        <v>32011</v>
      </c>
      <c r="BG333" t="s">
        <v>3795</v>
      </c>
      <c r="BH333" t="s">
        <v>2787</v>
      </c>
      <c r="BK333" t="s">
        <v>3806</v>
      </c>
      <c r="BM333" t="s">
        <v>3807</v>
      </c>
      <c r="BN333" t="s">
        <v>928</v>
      </c>
      <c r="BO333">
        <v>32011</v>
      </c>
      <c r="BQ333">
        <v>9900</v>
      </c>
      <c r="BR333" t="s">
        <v>3798</v>
      </c>
      <c r="BS333">
        <v>8000</v>
      </c>
      <c r="BT333" t="s">
        <v>3799</v>
      </c>
      <c r="BW333">
        <v>1231441</v>
      </c>
      <c r="BX333" t="s">
        <v>407</v>
      </c>
      <c r="CD333">
        <v>2017</v>
      </c>
      <c r="CE333">
        <v>127215</v>
      </c>
      <c r="CG333">
        <v>127215</v>
      </c>
      <c r="CH333">
        <v>2017</v>
      </c>
      <c r="CI333">
        <v>127215</v>
      </c>
      <c r="CK333">
        <v>127215</v>
      </c>
      <c r="CL333">
        <v>2017</v>
      </c>
      <c r="CM333">
        <v>1925.88</v>
      </c>
      <c r="DD333" t="s">
        <v>2785</v>
      </c>
      <c r="DM333" t="s">
        <v>3767</v>
      </c>
      <c r="DO333" t="s">
        <v>3808</v>
      </c>
    </row>
    <row r="334" spans="1:284" x14ac:dyDescent="0.25">
      <c r="A334">
        <v>16485341</v>
      </c>
      <c r="B334">
        <v>333</v>
      </c>
      <c r="C334" t="s">
        <v>393</v>
      </c>
      <c r="D334" t="s">
        <v>394</v>
      </c>
      <c r="F334" t="str">
        <f>"12-2N-24-0000-0003-0230"</f>
        <v>12-2N-24-0000-0003-0230</v>
      </c>
      <c r="H334" t="str">
        <f>"G&amp;H LAND &amp; TIMBER INVESTMENTS LLC"</f>
        <v>G&amp;H LAND &amp; TIMBER INVESTMENTS LLC</v>
      </c>
      <c r="I334" t="str">
        <f>"PO BOX 1694"</f>
        <v>PO BOX 1694</v>
      </c>
      <c r="J334" t="str">
        <f t="shared" si="105"/>
        <v>CALLAHAN FL 32011</v>
      </c>
      <c r="K334" t="str">
        <f>"OLD DIXIE HWY"</f>
        <v>OLD DIXIE HWY</v>
      </c>
      <c r="L334" t="str">
        <f t="shared" si="100"/>
        <v>CALLAHAN FL 32011</v>
      </c>
      <c r="M334" t="str">
        <f>"PT OF NE1/4 OF SW1/4 OF SEC 12-2N-24E IN OR 1931/794 (EX OR 2122/1891 &amp; OR 2128/439) OR 2141/1676 &amp; OR 2052/1678"</f>
        <v>PT OF NE1/4 OF SW1/4 OF SEC 12-2N-24E IN OR 1931/794 (EX OR 2122/1891 &amp; OR 2128/439) OR 2141/1676 &amp; OR 2052/1678</v>
      </c>
      <c r="N334" t="str">
        <f>""</f>
        <v/>
      </c>
      <c r="O334" t="str">
        <f>"57081"</f>
        <v>57081</v>
      </c>
      <c r="P334" t="str">
        <f t="shared" si="101"/>
        <v>2017</v>
      </c>
      <c r="Q334" t="str">
        <f>""</f>
        <v/>
      </c>
      <c r="R334" t="str">
        <f t="shared" si="106"/>
        <v>N</v>
      </c>
      <c r="S334" t="str">
        <f>"1.78"</f>
        <v>1.78</v>
      </c>
      <c r="T334" t="str">
        <f>"404.20"</f>
        <v>404.20</v>
      </c>
      <c r="U334" t="str">
        <f>"26700.00"</f>
        <v>26700.00</v>
      </c>
      <c r="V334" t="str">
        <f>"26700.00"</f>
        <v>26700.00</v>
      </c>
      <c r="W334" t="str">
        <f t="shared" si="102"/>
        <v>2017</v>
      </c>
      <c r="X334" t="str">
        <f>""</f>
        <v/>
      </c>
      <c r="Y334" t="str">
        <f>"448.33"</f>
        <v>448.33</v>
      </c>
      <c r="Z334" t="str">
        <f>""</f>
        <v/>
      </c>
      <c r="AA334" t="str">
        <f>"26700.00"</f>
        <v>26700.00</v>
      </c>
      <c r="AB334" t="str">
        <f>"Residential"</f>
        <v>Residential</v>
      </c>
      <c r="AC334" t="str">
        <f t="shared" si="104"/>
        <v>0</v>
      </c>
      <c r="AD334" t="str">
        <f>""</f>
        <v/>
      </c>
      <c r="AE334" t="str">
        <f>""</f>
        <v/>
      </c>
      <c r="AF334" t="str">
        <f>"000"</f>
        <v>000</v>
      </c>
      <c r="AG334" t="str">
        <f t="shared" si="107"/>
        <v>FL</v>
      </c>
      <c r="AH334" t="str">
        <f>"77536.00"</f>
        <v>77536.00</v>
      </c>
      <c r="AI334" t="str">
        <f>"26700.00"</f>
        <v>26700.00</v>
      </c>
      <c r="AJ334" t="str">
        <f>"C55-001-099-3160-0"</f>
        <v>C55-001-099-3160-0</v>
      </c>
      <c r="AK334" t="str">
        <f>"5067"</f>
        <v>5067</v>
      </c>
      <c r="AL334">
        <v>2</v>
      </c>
      <c r="AM334">
        <v>388</v>
      </c>
      <c r="AN334">
        <v>469.15</v>
      </c>
      <c r="AQ334" t="s">
        <v>3809</v>
      </c>
      <c r="AR334" t="s">
        <v>3809</v>
      </c>
      <c r="AS334" t="s">
        <v>3809</v>
      </c>
      <c r="AU334" t="s">
        <v>396</v>
      </c>
      <c r="AV334">
        <v>2017</v>
      </c>
      <c r="AW334" t="str">
        <f>"12-2N-24-0000-0003-0230 "</f>
        <v xml:space="preserve">12-2N-24-0000-0003-0230 </v>
      </c>
      <c r="AZ334" t="s">
        <v>3712</v>
      </c>
      <c r="BA334" t="s">
        <v>3713</v>
      </c>
      <c r="BD334" t="s">
        <v>2785</v>
      </c>
      <c r="BE334" t="s">
        <v>393</v>
      </c>
      <c r="BF334">
        <v>32011</v>
      </c>
      <c r="BG334" t="s">
        <v>3810</v>
      </c>
      <c r="BH334" t="s">
        <v>2787</v>
      </c>
      <c r="BK334" t="s">
        <v>3811</v>
      </c>
      <c r="BM334" t="s">
        <v>1631</v>
      </c>
      <c r="BN334" t="s">
        <v>928</v>
      </c>
      <c r="BO334">
        <v>32011</v>
      </c>
      <c r="BQ334">
        <v>0</v>
      </c>
      <c r="BR334" t="s">
        <v>491</v>
      </c>
      <c r="BS334">
        <v>8001</v>
      </c>
      <c r="BT334" t="s">
        <v>492</v>
      </c>
      <c r="BW334">
        <v>77536</v>
      </c>
      <c r="BX334" t="s">
        <v>407</v>
      </c>
      <c r="CD334">
        <v>2017</v>
      </c>
      <c r="CE334">
        <v>26700</v>
      </c>
      <c r="CG334">
        <v>26700</v>
      </c>
      <c r="CH334">
        <v>2017</v>
      </c>
      <c r="CI334">
        <v>26700</v>
      </c>
      <c r="CK334">
        <v>26700</v>
      </c>
      <c r="CL334">
        <v>2017</v>
      </c>
      <c r="CM334">
        <v>404.2</v>
      </c>
      <c r="DD334" t="s">
        <v>2785</v>
      </c>
      <c r="DM334" t="s">
        <v>3767</v>
      </c>
      <c r="DO334" t="s">
        <v>3812</v>
      </c>
    </row>
    <row r="335" spans="1:284" x14ac:dyDescent="0.25">
      <c r="A335">
        <v>16485342</v>
      </c>
      <c r="B335">
        <v>334</v>
      </c>
      <c r="C335" t="s">
        <v>393</v>
      </c>
      <c r="D335" t="s">
        <v>394</v>
      </c>
      <c r="F335" t="str">
        <f>"12-2N-24-0000-0004-0070"</f>
        <v>12-2N-24-0000-0004-0070</v>
      </c>
      <c r="H335" t="str">
        <f>"BRADDOCK DOROTHY T L/E FOURAKER JOYCE LYNN"</f>
        <v>BRADDOCK DOROTHY T L/E FOURAKER JOYCE LYNN</v>
      </c>
      <c r="I335" t="str">
        <f>"35427 BRADDOCK RD"</f>
        <v>35427 BRADDOCK RD</v>
      </c>
      <c r="J335" t="str">
        <f t="shared" si="105"/>
        <v>CALLAHAN FL 32011</v>
      </c>
      <c r="K335" t="str">
        <f>"BRADDOCK RD"</f>
        <v>BRADDOCK RD</v>
      </c>
      <c r="L335" t="str">
        <f t="shared" si="100"/>
        <v>CALLAHAN FL 32011</v>
      </c>
      <c r="M335" t="str">
        <f>"PT SE1/4 OF NW1/4 L/E OR 1713/1889 &amp; OR 1754/804 &amp; OR 1941/445"</f>
        <v>PT SE1/4 OF NW1/4 L/E OR 1713/1889 &amp; OR 1754/804 &amp; OR 1941/445</v>
      </c>
      <c r="N335" t="str">
        <f>""</f>
        <v/>
      </c>
      <c r="O335" t="str">
        <f>"27896"</f>
        <v>27896</v>
      </c>
      <c r="P335" t="str">
        <f t="shared" si="101"/>
        <v>2017</v>
      </c>
      <c r="Q335" t="str">
        <f>""</f>
        <v/>
      </c>
      <c r="R335" t="str">
        <f t="shared" si="106"/>
        <v>N</v>
      </c>
      <c r="S335" t="str">
        <f>"2.64"</f>
        <v>2.64</v>
      </c>
      <c r="T335" t="str">
        <f>"359.69"</f>
        <v>359.69</v>
      </c>
      <c r="U335" t="str">
        <f>"23760.00"</f>
        <v>23760.00</v>
      </c>
      <c r="V335" t="str">
        <f>"23760.00"</f>
        <v>23760.00</v>
      </c>
      <c r="W335" t="str">
        <f t="shared" si="102"/>
        <v>2017</v>
      </c>
      <c r="X335" t="str">
        <f>"1.00"</f>
        <v>1.00</v>
      </c>
      <c r="Y335" t="str">
        <f>"402.48"</f>
        <v>402.48</v>
      </c>
      <c r="Z335" t="str">
        <f>""</f>
        <v/>
      </c>
      <c r="AA335" t="str">
        <f>"23760.00"</f>
        <v>23760.00</v>
      </c>
      <c r="AB335" t="str">
        <f>"Residential"</f>
        <v>Residential</v>
      </c>
      <c r="AC335" t="str">
        <f t="shared" si="104"/>
        <v>0</v>
      </c>
      <c r="AD335" t="str">
        <f>""</f>
        <v/>
      </c>
      <c r="AE335" t="str">
        <f>""</f>
        <v/>
      </c>
      <c r="AF335" t="str">
        <f>"000"</f>
        <v>000</v>
      </c>
      <c r="AG335" t="str">
        <f t="shared" si="107"/>
        <v>FL</v>
      </c>
      <c r="AH335" t="str">
        <f>"114998.00"</f>
        <v>114998.00</v>
      </c>
      <c r="AI335" t="str">
        <f>"23760.00"</f>
        <v>23760.00</v>
      </c>
      <c r="AJ335" t="str">
        <f>"C55-001-042-9435-0"</f>
        <v>C55-001-042-9435-0</v>
      </c>
      <c r="AK335" t="str">
        <f>"5075"</f>
        <v>5075</v>
      </c>
      <c r="AL335">
        <v>2</v>
      </c>
      <c r="AM335">
        <v>389</v>
      </c>
      <c r="AN335">
        <v>421</v>
      </c>
      <c r="AQ335" t="s">
        <v>3813</v>
      </c>
      <c r="AR335" t="s">
        <v>3813</v>
      </c>
      <c r="AS335" t="s">
        <v>3813</v>
      </c>
      <c r="AU335" t="s">
        <v>396</v>
      </c>
      <c r="AV335">
        <v>2017</v>
      </c>
      <c r="AW335" t="str">
        <f>"12-2N-24-0000-0004-0070 "</f>
        <v xml:space="preserve">12-2N-24-0000-0004-0070 </v>
      </c>
      <c r="AZ335" t="s">
        <v>3764</v>
      </c>
      <c r="BA335" t="s">
        <v>496</v>
      </c>
      <c r="BD335" t="s">
        <v>2785</v>
      </c>
      <c r="BE335" t="s">
        <v>393</v>
      </c>
      <c r="BF335">
        <v>32011</v>
      </c>
      <c r="BG335" t="s">
        <v>3795</v>
      </c>
      <c r="BH335" t="s">
        <v>2787</v>
      </c>
      <c r="BI335">
        <v>-81.863374618812699</v>
      </c>
      <c r="BJ335">
        <v>30.605262652964601</v>
      </c>
      <c r="BK335" t="s">
        <v>3814</v>
      </c>
      <c r="BM335" t="s">
        <v>3815</v>
      </c>
      <c r="BN335" t="s">
        <v>928</v>
      </c>
      <c r="BO335">
        <v>32011</v>
      </c>
      <c r="BP335" t="s">
        <v>404</v>
      </c>
      <c r="BQ335">
        <v>0</v>
      </c>
      <c r="BR335" t="s">
        <v>491</v>
      </c>
      <c r="BS335">
        <v>8001</v>
      </c>
      <c r="BT335" t="s">
        <v>492</v>
      </c>
      <c r="BW335">
        <v>114998</v>
      </c>
      <c r="BX335" t="s">
        <v>407</v>
      </c>
      <c r="BY335" t="s">
        <v>408</v>
      </c>
      <c r="CD335">
        <v>2017</v>
      </c>
      <c r="CE335">
        <v>23760</v>
      </c>
      <c r="CG335">
        <v>23760</v>
      </c>
      <c r="CH335">
        <v>2017</v>
      </c>
      <c r="CI335">
        <v>23760</v>
      </c>
      <c r="CK335">
        <v>23760</v>
      </c>
      <c r="CL335">
        <v>2017</v>
      </c>
      <c r="CM335">
        <v>359.69</v>
      </c>
      <c r="CN335" s="1">
        <v>41890</v>
      </c>
      <c r="CZ335" s="1">
        <v>41890</v>
      </c>
      <c r="DD335" t="s">
        <v>2785</v>
      </c>
      <c r="DG335">
        <v>12</v>
      </c>
      <c r="DL335">
        <v>50503</v>
      </c>
      <c r="DM335" t="s">
        <v>3767</v>
      </c>
      <c r="DO335" t="s">
        <v>3816</v>
      </c>
      <c r="DP335">
        <v>0</v>
      </c>
      <c r="DQ335">
        <v>0</v>
      </c>
      <c r="DR335" t="s">
        <v>411</v>
      </c>
      <c r="DS335" t="b">
        <v>1</v>
      </c>
      <c r="DT335" t="s">
        <v>470</v>
      </c>
      <c r="DU335" t="s">
        <v>471</v>
      </c>
      <c r="DV335" t="s">
        <v>472</v>
      </c>
      <c r="DX335">
        <v>-9999</v>
      </c>
      <c r="DZ335" t="s">
        <v>447</v>
      </c>
      <c r="EA335" t="s">
        <v>448</v>
      </c>
      <c r="EB335" t="s">
        <v>742</v>
      </c>
      <c r="EC335">
        <v>20101217</v>
      </c>
      <c r="ED335" t="s">
        <v>474</v>
      </c>
      <c r="EF335">
        <v>2797.4</v>
      </c>
      <c r="EG335">
        <v>2797.4</v>
      </c>
      <c r="EH335" t="s">
        <v>451</v>
      </c>
      <c r="EI335">
        <v>20140731</v>
      </c>
      <c r="EJ335">
        <v>0</v>
      </c>
      <c r="EK335">
        <v>0</v>
      </c>
      <c r="EP335" t="s">
        <v>421</v>
      </c>
      <c r="EQ335" t="s">
        <v>422</v>
      </c>
      <c r="ER335">
        <v>0</v>
      </c>
      <c r="ES335">
        <v>1</v>
      </c>
      <c r="ET335">
        <v>0</v>
      </c>
      <c r="EU335">
        <v>0</v>
      </c>
      <c r="EV335">
        <v>0</v>
      </c>
      <c r="EW335" s="2">
        <v>43222</v>
      </c>
      <c r="EX335" s="1">
        <v>42151</v>
      </c>
      <c r="EY335">
        <v>2014</v>
      </c>
      <c r="EZ335">
        <v>360.4</v>
      </c>
      <c r="FA335" t="s">
        <v>3817</v>
      </c>
      <c r="FB335">
        <v>5.5</v>
      </c>
      <c r="FC335" t="s">
        <v>424</v>
      </c>
      <c r="FD335" t="s">
        <v>425</v>
      </c>
      <c r="FE335" s="1">
        <v>42164</v>
      </c>
      <c r="FF335">
        <v>1</v>
      </c>
      <c r="FG335">
        <v>10125</v>
      </c>
      <c r="FH335" t="s">
        <v>440</v>
      </c>
    </row>
    <row r="336" spans="1:284" x14ac:dyDescent="0.25">
      <c r="A336">
        <v>16485343</v>
      </c>
      <c r="B336">
        <v>335</v>
      </c>
      <c r="C336" t="s">
        <v>393</v>
      </c>
      <c r="D336" t="s">
        <v>394</v>
      </c>
      <c r="F336" t="str">
        <f>"12-2N-24-1640-0009-0000"</f>
        <v>12-2N-24-1640-0009-0000</v>
      </c>
      <c r="H336" t="str">
        <f>"REGISTER CHARLES D"</f>
        <v>REGISTER CHARLES D</v>
      </c>
      <c r="I336" t="str">
        <f>"451431 OLD DIXIE HIGHWAY"</f>
        <v>451431 OLD DIXIE HIGHWAY</v>
      </c>
      <c r="J336" t="str">
        <f t="shared" si="105"/>
        <v>CALLAHAN FL 32011</v>
      </c>
      <c r="K336" t="str">
        <f>"451431 OLD DIXIE HWY"</f>
        <v>451431 OLD DIXIE HWY</v>
      </c>
      <c r="L336" t="str">
        <f t="shared" si="100"/>
        <v>CALLAHAN FL 32011</v>
      </c>
      <c r="M336" t="str">
        <f>"LOT 9 IN OR 942/190 2000 FLEETWOOD DW/MH PERRET PLANTATION PHASE 1 PB 6/144-145"</f>
        <v>LOT 9 IN OR 942/190 2000 FLEETWOOD DW/MH PERRET PLANTATION PHASE 1 PB 6/144-145</v>
      </c>
      <c r="N336" t="str">
        <f>""</f>
        <v/>
      </c>
      <c r="O336" t="str">
        <f>"27917"</f>
        <v>27917</v>
      </c>
      <c r="P336" t="str">
        <f t="shared" si="101"/>
        <v>2017</v>
      </c>
      <c r="Q336" t="str">
        <f>""</f>
        <v/>
      </c>
      <c r="R336" t="str">
        <f>"Y"</f>
        <v>Y</v>
      </c>
      <c r="S336" t="str">
        <f>"1.03"</f>
        <v>1.03</v>
      </c>
      <c r="T336" t="str">
        <f>"361.65"</f>
        <v>361.65</v>
      </c>
      <c r="U336" t="str">
        <f>"48889.00"</f>
        <v>48889.00</v>
      </c>
      <c r="V336" t="str">
        <f>"48889.00"</f>
        <v>48889.00</v>
      </c>
      <c r="W336" t="str">
        <f t="shared" si="102"/>
        <v>2017</v>
      </c>
      <c r="X336" t="str">
        <f>"18.33"</f>
        <v>18.33</v>
      </c>
      <c r="Y336" t="str">
        <f>"404.50"</f>
        <v>404.50</v>
      </c>
      <c r="Z336" t="str">
        <f>"25000.00"</f>
        <v>25000.00</v>
      </c>
      <c r="AA336" t="str">
        <f>"23889.00"</f>
        <v>23889.00</v>
      </c>
      <c r="AB336" t="str">
        <f>"Residential"</f>
        <v>Residential</v>
      </c>
      <c r="AC336" t="str">
        <f t="shared" si="104"/>
        <v>0</v>
      </c>
      <c r="AD336" t="str">
        <f t="shared" ref="AD336:AD342" si="108">"4"</f>
        <v>4</v>
      </c>
      <c r="AE336" t="str">
        <f t="shared" ref="AE336:AE342" si="109">"WOOD (INCLUDE STEEL STUDS)"</f>
        <v>WOOD (INCLUDE STEEL STUDS)</v>
      </c>
      <c r="AF336" t="str">
        <f>"002"</f>
        <v>002</v>
      </c>
      <c r="AG336" t="str">
        <f t="shared" si="107"/>
        <v>FL</v>
      </c>
      <c r="AH336" t="str">
        <f>"44866.00"</f>
        <v>44866.00</v>
      </c>
      <c r="AI336" t="str">
        <f>"15450.00"</f>
        <v>15450.00</v>
      </c>
      <c r="AJ336" t="str">
        <f>"C55-000-586-9389-6"</f>
        <v>C55-000-586-9389-6</v>
      </c>
      <c r="AK336" t="str">
        <f>"5091"</f>
        <v>5091</v>
      </c>
      <c r="AL336">
        <v>2</v>
      </c>
      <c r="AM336">
        <v>390</v>
      </c>
      <c r="AN336">
        <v>423.13</v>
      </c>
      <c r="AQ336" t="s">
        <v>3818</v>
      </c>
      <c r="AR336" t="s">
        <v>3818</v>
      </c>
      <c r="AS336" t="s">
        <v>3818</v>
      </c>
      <c r="AU336" t="s">
        <v>396</v>
      </c>
      <c r="AV336">
        <v>2017</v>
      </c>
      <c r="AW336" t="str">
        <f>"12-2N-24-1640-0009-0000 "</f>
        <v xml:space="preserve">12-2N-24-1640-0009-0000 </v>
      </c>
      <c r="AX336">
        <v>451431</v>
      </c>
      <c r="AZ336" t="s">
        <v>3712</v>
      </c>
      <c r="BA336" t="s">
        <v>3713</v>
      </c>
      <c r="BD336" t="s">
        <v>2785</v>
      </c>
      <c r="BE336" t="s">
        <v>393</v>
      </c>
      <c r="BF336">
        <v>32011</v>
      </c>
      <c r="BG336" t="s">
        <v>3819</v>
      </c>
      <c r="BH336" t="s">
        <v>2787</v>
      </c>
      <c r="BI336">
        <v>-81.864824463789503</v>
      </c>
      <c r="BJ336">
        <v>30.598907474814101</v>
      </c>
      <c r="BK336" t="s">
        <v>3820</v>
      </c>
      <c r="BM336" t="s">
        <v>3819</v>
      </c>
      <c r="BN336" t="s">
        <v>928</v>
      </c>
      <c r="BO336">
        <v>32011</v>
      </c>
      <c r="BP336" t="s">
        <v>416</v>
      </c>
      <c r="BQ336">
        <v>200</v>
      </c>
      <c r="BR336" t="s">
        <v>405</v>
      </c>
      <c r="BS336">
        <v>1006</v>
      </c>
      <c r="BT336" t="s">
        <v>406</v>
      </c>
      <c r="BW336">
        <v>44866</v>
      </c>
      <c r="BX336" t="s">
        <v>407</v>
      </c>
      <c r="BZ336">
        <v>4</v>
      </c>
      <c r="CA336">
        <v>2000</v>
      </c>
      <c r="CC336">
        <v>1</v>
      </c>
      <c r="CD336">
        <v>2017</v>
      </c>
      <c r="CG336">
        <v>48889</v>
      </c>
      <c r="CH336">
        <v>2017</v>
      </c>
      <c r="CI336">
        <v>15450</v>
      </c>
      <c r="CJ336">
        <v>45776</v>
      </c>
      <c r="CK336">
        <v>61226</v>
      </c>
      <c r="CL336">
        <v>2017</v>
      </c>
      <c r="CM336">
        <v>361.65</v>
      </c>
      <c r="CN336" s="1">
        <v>36731</v>
      </c>
      <c r="CO336">
        <v>35000</v>
      </c>
      <c r="CV336">
        <v>84033</v>
      </c>
      <c r="CX336" t="s">
        <v>2501</v>
      </c>
      <c r="CZ336" s="1">
        <v>36731</v>
      </c>
      <c r="DA336">
        <v>0</v>
      </c>
      <c r="DD336" t="s">
        <v>2785</v>
      </c>
      <c r="DF336">
        <v>9</v>
      </c>
      <c r="DG336">
        <v>12</v>
      </c>
      <c r="DJ336" t="s">
        <v>3746</v>
      </c>
      <c r="DL336">
        <v>50503</v>
      </c>
      <c r="DM336" t="s">
        <v>3767</v>
      </c>
      <c r="DO336" t="s">
        <v>3821</v>
      </c>
      <c r="DP336">
        <v>0</v>
      </c>
      <c r="DQ336">
        <v>0</v>
      </c>
      <c r="DR336" t="s">
        <v>411</v>
      </c>
      <c r="DS336" t="b">
        <v>1</v>
      </c>
      <c r="DT336" t="s">
        <v>470</v>
      </c>
      <c r="DU336" t="s">
        <v>471</v>
      </c>
      <c r="DV336" t="s">
        <v>472</v>
      </c>
      <c r="DX336">
        <v>-9999</v>
      </c>
      <c r="DZ336" t="s">
        <v>447</v>
      </c>
      <c r="EA336" t="s">
        <v>448</v>
      </c>
      <c r="EB336" t="s">
        <v>742</v>
      </c>
      <c r="EC336">
        <v>20101217</v>
      </c>
      <c r="ED336" t="s">
        <v>474</v>
      </c>
      <c r="EF336">
        <v>1357.5</v>
      </c>
      <c r="EG336">
        <v>1357.5</v>
      </c>
      <c r="EI336">
        <v>20160407</v>
      </c>
      <c r="EJ336">
        <v>0</v>
      </c>
      <c r="EK336">
        <v>0</v>
      </c>
      <c r="EP336" t="s">
        <v>421</v>
      </c>
      <c r="EQ336" t="s">
        <v>452</v>
      </c>
      <c r="ER336">
        <v>2</v>
      </c>
      <c r="ES336">
        <v>9</v>
      </c>
      <c r="ET336">
        <v>813.78</v>
      </c>
      <c r="EU336">
        <v>53.19</v>
      </c>
      <c r="EV336">
        <v>866.97</v>
      </c>
      <c r="EW336" s="2">
        <v>43222</v>
      </c>
      <c r="EX336" s="1">
        <v>42879</v>
      </c>
      <c r="EY336">
        <v>2016</v>
      </c>
      <c r="EZ336">
        <v>406.89</v>
      </c>
      <c r="FA336" t="s">
        <v>3822</v>
      </c>
      <c r="FB336">
        <v>0.25</v>
      </c>
      <c r="FC336" t="s">
        <v>424</v>
      </c>
      <c r="FD336" t="s">
        <v>454</v>
      </c>
      <c r="FF336">
        <v>12</v>
      </c>
      <c r="FG336">
        <v>7400234</v>
      </c>
      <c r="FH336" t="s">
        <v>426</v>
      </c>
      <c r="FJ336" s="1">
        <v>42879</v>
      </c>
      <c r="FK336">
        <v>2016</v>
      </c>
      <c r="FL336">
        <v>406.89</v>
      </c>
      <c r="FM336" t="s">
        <v>3822</v>
      </c>
      <c r="FN336">
        <v>0.25</v>
      </c>
      <c r="FO336" t="s">
        <v>424</v>
      </c>
      <c r="FP336" t="s">
        <v>454</v>
      </c>
      <c r="FR336">
        <v>12</v>
      </c>
      <c r="FS336">
        <v>7565635</v>
      </c>
      <c r="FT336" t="s">
        <v>3823</v>
      </c>
      <c r="FV336" s="1">
        <v>42515</v>
      </c>
      <c r="FW336">
        <v>2015</v>
      </c>
      <c r="FX336">
        <v>405.47</v>
      </c>
      <c r="FY336" t="s">
        <v>3824</v>
      </c>
      <c r="FZ336">
        <v>0.25</v>
      </c>
      <c r="GA336" t="s">
        <v>424</v>
      </c>
      <c r="GB336" t="s">
        <v>425</v>
      </c>
      <c r="GC336" s="1">
        <v>42640</v>
      </c>
      <c r="GD336">
        <v>4</v>
      </c>
      <c r="GE336">
        <v>2035919</v>
      </c>
      <c r="GF336" t="s">
        <v>507</v>
      </c>
      <c r="GG336" t="s">
        <v>458</v>
      </c>
      <c r="GH336" s="1">
        <v>42151</v>
      </c>
      <c r="GI336">
        <v>2014</v>
      </c>
      <c r="GJ336">
        <v>470.2</v>
      </c>
      <c r="GK336" t="s">
        <v>3825</v>
      </c>
      <c r="GL336">
        <v>0.25</v>
      </c>
      <c r="GM336" t="s">
        <v>424</v>
      </c>
      <c r="GN336" t="s">
        <v>425</v>
      </c>
      <c r="GO336" s="1">
        <v>42640</v>
      </c>
      <c r="GP336">
        <v>16</v>
      </c>
      <c r="GQ336">
        <v>2851116</v>
      </c>
      <c r="GR336" t="s">
        <v>480</v>
      </c>
      <c r="GS336" t="s">
        <v>458</v>
      </c>
      <c r="GT336" s="1">
        <v>42151</v>
      </c>
      <c r="GU336">
        <v>2014</v>
      </c>
      <c r="GV336">
        <v>470.2</v>
      </c>
      <c r="GW336" t="s">
        <v>3825</v>
      </c>
      <c r="GX336">
        <v>0.25</v>
      </c>
      <c r="GY336" t="s">
        <v>424</v>
      </c>
      <c r="GZ336" t="s">
        <v>425</v>
      </c>
      <c r="HB336">
        <v>22</v>
      </c>
      <c r="HC336">
        <v>5042152</v>
      </c>
      <c r="HD336" t="s">
        <v>3826</v>
      </c>
      <c r="HE336" t="s">
        <v>458</v>
      </c>
      <c r="HF336" s="1">
        <v>41787</v>
      </c>
      <c r="HG336">
        <v>2013</v>
      </c>
      <c r="HH336">
        <v>473.58</v>
      </c>
      <c r="HI336" t="s">
        <v>3827</v>
      </c>
      <c r="HJ336">
        <v>2.25</v>
      </c>
      <c r="HK336" t="s">
        <v>424</v>
      </c>
      <c r="HL336" t="s">
        <v>425</v>
      </c>
      <c r="HN336">
        <v>22</v>
      </c>
      <c r="HO336">
        <v>15399</v>
      </c>
      <c r="HP336" t="s">
        <v>485</v>
      </c>
      <c r="HQ336" t="s">
        <v>458</v>
      </c>
      <c r="HR336" s="1">
        <v>41787</v>
      </c>
      <c r="HS336">
        <v>2013</v>
      </c>
      <c r="HT336">
        <v>473.58</v>
      </c>
      <c r="HU336" t="s">
        <v>3827</v>
      </c>
      <c r="HV336">
        <v>2.25</v>
      </c>
      <c r="HW336" t="s">
        <v>424</v>
      </c>
      <c r="HX336" t="s">
        <v>425</v>
      </c>
      <c r="HZ336">
        <v>22</v>
      </c>
      <c r="IA336">
        <v>7336692</v>
      </c>
      <c r="IB336" t="s">
        <v>822</v>
      </c>
      <c r="IC336" t="s">
        <v>458</v>
      </c>
      <c r="ID336" s="1">
        <v>41787</v>
      </c>
      <c r="IE336">
        <v>2013</v>
      </c>
      <c r="IF336">
        <v>473.58</v>
      </c>
      <c r="IG336" t="s">
        <v>3827</v>
      </c>
      <c r="IH336">
        <v>2.25</v>
      </c>
      <c r="II336" t="s">
        <v>424</v>
      </c>
      <c r="IJ336" t="s">
        <v>425</v>
      </c>
      <c r="IL336">
        <v>22</v>
      </c>
      <c r="IM336">
        <v>7336698</v>
      </c>
      <c r="IN336" t="s">
        <v>823</v>
      </c>
      <c r="IO336" t="s">
        <v>458</v>
      </c>
      <c r="IP336" s="1">
        <v>41423</v>
      </c>
      <c r="IQ336">
        <v>2012</v>
      </c>
      <c r="IR336">
        <v>502.27</v>
      </c>
      <c r="IS336" t="s">
        <v>3828</v>
      </c>
      <c r="IT336">
        <v>3.5</v>
      </c>
      <c r="IU336" t="s">
        <v>424</v>
      </c>
      <c r="IV336" t="s">
        <v>425</v>
      </c>
      <c r="IW336" s="1">
        <v>42065</v>
      </c>
      <c r="IX336">
        <v>22</v>
      </c>
      <c r="IY336">
        <v>15399</v>
      </c>
      <c r="IZ336" t="s">
        <v>485</v>
      </c>
      <c r="JB336" s="1">
        <v>41052</v>
      </c>
      <c r="JC336">
        <v>2011</v>
      </c>
      <c r="JD336">
        <v>597.79999999999995</v>
      </c>
      <c r="JE336" t="s">
        <v>3829</v>
      </c>
      <c r="JF336">
        <v>6</v>
      </c>
      <c r="JG336" t="s">
        <v>424</v>
      </c>
      <c r="JH336" t="s">
        <v>425</v>
      </c>
      <c r="JI336" s="1">
        <v>41694</v>
      </c>
      <c r="JJ336">
        <v>21</v>
      </c>
      <c r="JK336">
        <v>10125</v>
      </c>
      <c r="JL336" t="s">
        <v>440</v>
      </c>
      <c r="JN336" s="1">
        <v>40688</v>
      </c>
      <c r="JO336">
        <v>2010</v>
      </c>
      <c r="JP336">
        <v>610.02</v>
      </c>
      <c r="JQ336" t="s">
        <v>3830</v>
      </c>
      <c r="JR336">
        <v>5</v>
      </c>
      <c r="JS336" t="s">
        <v>424</v>
      </c>
      <c r="JT336" t="s">
        <v>425</v>
      </c>
      <c r="JU336" s="1">
        <v>41330</v>
      </c>
      <c r="JV336">
        <v>21</v>
      </c>
      <c r="JW336">
        <v>287</v>
      </c>
      <c r="JX336" t="s">
        <v>572</v>
      </c>
    </row>
    <row r="337" spans="1:308" x14ac:dyDescent="0.25">
      <c r="A337">
        <v>16485344</v>
      </c>
      <c r="B337">
        <v>336</v>
      </c>
      <c r="C337" t="s">
        <v>393</v>
      </c>
      <c r="D337" t="s">
        <v>394</v>
      </c>
      <c r="F337" t="str">
        <f>"12-2N-24-1640-0014-0000"</f>
        <v>12-2N-24-1640-0014-0000</v>
      </c>
      <c r="H337" t="str">
        <f>"LAURAMORE RODNEY W"</f>
        <v>LAURAMORE RODNEY W</v>
      </c>
      <c r="I337" t="str">
        <f>"35579 GLORY RD"</f>
        <v>35579 GLORY RD</v>
      </c>
      <c r="J337" t="str">
        <f t="shared" si="105"/>
        <v>CALLAHAN FL 32011</v>
      </c>
      <c r="K337" t="str">
        <f>"35579 GLORY RD"</f>
        <v>35579 GLORY RD</v>
      </c>
      <c r="L337" t="str">
        <f t="shared" si="100"/>
        <v>CALLAHAN FL 32011</v>
      </c>
      <c r="M337" t="str">
        <f>"LOT 14 OR 881/1404 R787647 &amp; R787648 PERRET PLANTATION PHASE 1 PB 6/144-145"</f>
        <v>LOT 14 OR 881/1404 R787647 &amp; R787648 PERRET PLANTATION PHASE 1 PB 6/144-145</v>
      </c>
      <c r="N337" t="str">
        <f>""</f>
        <v/>
      </c>
      <c r="O337" t="str">
        <f>"27922"</f>
        <v>27922</v>
      </c>
      <c r="P337" t="str">
        <f t="shared" si="101"/>
        <v>2017</v>
      </c>
      <c r="Q337" t="str">
        <f>""</f>
        <v/>
      </c>
      <c r="R337" t="str">
        <f>"Y"</f>
        <v>Y</v>
      </c>
      <c r="S337" t="str">
        <f>"1.00"</f>
        <v>1.00</v>
      </c>
      <c r="T337" t="str">
        <f>"296.76"</f>
        <v>296.76</v>
      </c>
      <c r="U337" t="str">
        <f>"44602.00"</f>
        <v>44602.00</v>
      </c>
      <c r="V337" t="str">
        <f>"44602.00"</f>
        <v>44602.00</v>
      </c>
      <c r="W337" t="str">
        <f t="shared" si="102"/>
        <v>2017</v>
      </c>
      <c r="X337" t="str">
        <f>"10.33"</f>
        <v>10.33</v>
      </c>
      <c r="Y337" t="str">
        <f>"337.66"</f>
        <v>337.66</v>
      </c>
      <c r="Z337" t="str">
        <f>"25000.00"</f>
        <v>25000.00</v>
      </c>
      <c r="AA337" t="str">
        <f>"19602.00"</f>
        <v>19602.00</v>
      </c>
      <c r="AB337" t="str">
        <f>"Residential"</f>
        <v>Residential</v>
      </c>
      <c r="AC337" t="str">
        <f t="shared" si="104"/>
        <v>0</v>
      </c>
      <c r="AD337" t="str">
        <f t="shared" si="108"/>
        <v>4</v>
      </c>
      <c r="AE337" t="str">
        <f t="shared" si="109"/>
        <v>WOOD (INCLUDE STEEL STUDS)</v>
      </c>
      <c r="AF337" t="str">
        <f>"002"</f>
        <v>002</v>
      </c>
      <c r="AG337" t="str">
        <f t="shared" si="107"/>
        <v>FL</v>
      </c>
      <c r="AH337" t="str">
        <f>"43560.00"</f>
        <v>43560.00</v>
      </c>
      <c r="AI337" t="str">
        <f>"15000.00"</f>
        <v>15000.00</v>
      </c>
      <c r="AJ337" t="str">
        <f>"C55-000-586-9394-6"</f>
        <v>C55-000-586-9394-6</v>
      </c>
      <c r="AK337" t="str">
        <f>"5096"</f>
        <v>5096</v>
      </c>
      <c r="AL337">
        <v>2</v>
      </c>
      <c r="AM337">
        <v>391</v>
      </c>
      <c r="AN337">
        <v>352.94</v>
      </c>
      <c r="AQ337" t="s">
        <v>3831</v>
      </c>
      <c r="AR337" t="s">
        <v>3831</v>
      </c>
      <c r="AS337" t="s">
        <v>3831</v>
      </c>
      <c r="AU337" t="s">
        <v>396</v>
      </c>
      <c r="AV337">
        <v>2017</v>
      </c>
      <c r="AW337" t="str">
        <f>"12-2N-24-1640-0014-0000 "</f>
        <v xml:space="preserve">12-2N-24-1640-0014-0000 </v>
      </c>
      <c r="AX337">
        <v>35579</v>
      </c>
      <c r="AZ337" t="s">
        <v>3729</v>
      </c>
      <c r="BA337" t="s">
        <v>496</v>
      </c>
      <c r="BD337" t="s">
        <v>2785</v>
      </c>
      <c r="BE337" t="s">
        <v>393</v>
      </c>
      <c r="BF337">
        <v>32011</v>
      </c>
      <c r="BG337" t="s">
        <v>3832</v>
      </c>
      <c r="BH337" t="s">
        <v>2787</v>
      </c>
      <c r="BI337">
        <v>-81.866878665218195</v>
      </c>
      <c r="BJ337">
        <v>30.597408268166301</v>
      </c>
      <c r="BK337" t="s">
        <v>3833</v>
      </c>
      <c r="BL337" t="s">
        <v>3834</v>
      </c>
      <c r="BM337" t="s">
        <v>3832</v>
      </c>
      <c r="BN337" t="s">
        <v>928</v>
      </c>
      <c r="BO337">
        <v>32011</v>
      </c>
      <c r="BP337" t="s">
        <v>416</v>
      </c>
      <c r="BQ337">
        <v>200</v>
      </c>
      <c r="BR337" t="s">
        <v>405</v>
      </c>
      <c r="BS337">
        <v>1006</v>
      </c>
      <c r="BT337" t="s">
        <v>406</v>
      </c>
      <c r="BW337">
        <v>43560</v>
      </c>
      <c r="BX337" t="s">
        <v>407</v>
      </c>
      <c r="BZ337">
        <v>4</v>
      </c>
      <c r="CA337">
        <v>1999</v>
      </c>
      <c r="CB337">
        <v>1</v>
      </c>
      <c r="CC337">
        <v>1</v>
      </c>
      <c r="CD337">
        <v>2017</v>
      </c>
      <c r="CG337">
        <v>44602</v>
      </c>
      <c r="CH337">
        <v>2017</v>
      </c>
      <c r="CI337">
        <v>15000</v>
      </c>
      <c r="CJ337">
        <v>38377</v>
      </c>
      <c r="CK337">
        <v>53377</v>
      </c>
      <c r="CL337">
        <v>2017</v>
      </c>
      <c r="CM337">
        <v>296.76</v>
      </c>
      <c r="CN337" s="1">
        <v>36285</v>
      </c>
      <c r="CO337">
        <v>27500</v>
      </c>
      <c r="CZ337" s="1">
        <v>36285</v>
      </c>
      <c r="DD337" t="s">
        <v>2785</v>
      </c>
      <c r="DF337">
        <v>14</v>
      </c>
      <c r="DG337">
        <v>13</v>
      </c>
      <c r="DL337">
        <v>50503</v>
      </c>
      <c r="DM337" t="s">
        <v>3835</v>
      </c>
      <c r="DO337" t="s">
        <v>3836</v>
      </c>
      <c r="DP337">
        <v>0</v>
      </c>
      <c r="DQ337">
        <v>0</v>
      </c>
      <c r="DR337" t="s">
        <v>411</v>
      </c>
      <c r="DS337" t="b">
        <v>1</v>
      </c>
      <c r="DT337" t="s">
        <v>470</v>
      </c>
      <c r="DU337" t="s">
        <v>471</v>
      </c>
      <c r="DV337" t="s">
        <v>472</v>
      </c>
      <c r="DX337">
        <v>-9999</v>
      </c>
      <c r="DZ337" t="s">
        <v>447</v>
      </c>
      <c r="EA337" t="s">
        <v>448</v>
      </c>
      <c r="EB337" t="s">
        <v>742</v>
      </c>
      <c r="EC337">
        <v>20101217</v>
      </c>
      <c r="ED337" t="s">
        <v>474</v>
      </c>
      <c r="EF337">
        <v>1127.2</v>
      </c>
      <c r="EG337">
        <v>1127.2</v>
      </c>
      <c r="EI337">
        <v>20160407</v>
      </c>
      <c r="EJ337">
        <v>0</v>
      </c>
      <c r="EK337">
        <v>0</v>
      </c>
      <c r="EP337" t="s">
        <v>421</v>
      </c>
      <c r="EQ337" t="s">
        <v>422</v>
      </c>
      <c r="ER337">
        <v>0</v>
      </c>
      <c r="ES337">
        <v>4</v>
      </c>
      <c r="ET337">
        <v>0</v>
      </c>
      <c r="EU337">
        <v>0</v>
      </c>
      <c r="EV337">
        <v>0</v>
      </c>
      <c r="EW337" s="2">
        <v>43222</v>
      </c>
      <c r="EX337" s="1">
        <v>42515</v>
      </c>
      <c r="EY337">
        <v>2015</v>
      </c>
      <c r="EZ337">
        <v>334.59</v>
      </c>
      <c r="FA337" t="s">
        <v>3837</v>
      </c>
      <c r="FB337">
        <v>0.25</v>
      </c>
      <c r="FC337" t="s">
        <v>424</v>
      </c>
      <c r="FD337" t="s">
        <v>425</v>
      </c>
      <c r="FE337" s="1">
        <v>42815</v>
      </c>
      <c r="FF337">
        <v>10</v>
      </c>
      <c r="FG337">
        <v>2851116</v>
      </c>
      <c r="FH337" t="s">
        <v>480</v>
      </c>
      <c r="FJ337" s="1">
        <v>42515</v>
      </c>
      <c r="FK337">
        <v>2015</v>
      </c>
      <c r="FL337">
        <v>334.59</v>
      </c>
      <c r="FM337" t="s">
        <v>3837</v>
      </c>
      <c r="FN337">
        <v>0.25</v>
      </c>
      <c r="FO337" t="s">
        <v>424</v>
      </c>
      <c r="FP337" t="s">
        <v>425</v>
      </c>
      <c r="FR337">
        <v>22</v>
      </c>
      <c r="FS337">
        <v>5086390</v>
      </c>
      <c r="FT337" t="s">
        <v>3838</v>
      </c>
      <c r="FV337" s="1">
        <v>41787</v>
      </c>
      <c r="FW337">
        <v>2013</v>
      </c>
      <c r="FX337">
        <v>367.36</v>
      </c>
      <c r="FY337" t="s">
        <v>3839</v>
      </c>
      <c r="FZ337">
        <v>0.25</v>
      </c>
      <c r="GA337" t="s">
        <v>424</v>
      </c>
      <c r="GB337" t="s">
        <v>425</v>
      </c>
      <c r="GC337" s="1">
        <v>42048</v>
      </c>
      <c r="GD337">
        <v>9</v>
      </c>
      <c r="GE337">
        <v>13026</v>
      </c>
      <c r="GF337" t="s">
        <v>2129</v>
      </c>
      <c r="GH337" s="1">
        <v>41052</v>
      </c>
      <c r="GI337">
        <v>2011</v>
      </c>
      <c r="GJ337">
        <v>449.91</v>
      </c>
      <c r="GK337" t="s">
        <v>3840</v>
      </c>
      <c r="GL337">
        <v>5.75</v>
      </c>
      <c r="GM337" t="s">
        <v>424</v>
      </c>
      <c r="GN337" t="s">
        <v>425</v>
      </c>
      <c r="GO337" s="1">
        <v>41408</v>
      </c>
      <c r="GP337">
        <v>12</v>
      </c>
      <c r="GQ337">
        <v>10125</v>
      </c>
      <c r="GR337" t="s">
        <v>440</v>
      </c>
    </row>
    <row r="338" spans="1:308" x14ac:dyDescent="0.25">
      <c r="A338">
        <v>16485345</v>
      </c>
      <c r="B338">
        <v>337</v>
      </c>
      <c r="C338" t="s">
        <v>393</v>
      </c>
      <c r="D338" t="s">
        <v>394</v>
      </c>
      <c r="F338" t="str">
        <f>"13-2N-24-0000-0002-0200"</f>
        <v>13-2N-24-0000-0002-0200</v>
      </c>
      <c r="H338" t="str">
        <f>"HALL NANCY J &amp; DARRELL L"</f>
        <v>HALL NANCY J &amp; DARRELL L</v>
      </c>
      <c r="I338" t="str">
        <f>"35286 CHESTNUT LN"</f>
        <v>35286 CHESTNUT LN</v>
      </c>
      <c r="J338" t="str">
        <f t="shared" si="105"/>
        <v>CALLAHAN FL 32011</v>
      </c>
      <c r="K338" t="str">
        <f>"450827 OLD DIXIE HWY"</f>
        <v>450827 OLD DIXIE HWY</v>
      </c>
      <c r="L338" t="str">
        <f t="shared" si="100"/>
        <v>CALLAHAN FL 32011</v>
      </c>
      <c r="M338" t="str">
        <f>"IN OR 2131/1459 R235861 &amp; R235862"</f>
        <v>IN OR 2131/1459 R235861 &amp; R235862</v>
      </c>
      <c r="N338" t="str">
        <f>""</f>
        <v/>
      </c>
      <c r="O338" t="str">
        <f>"29180"</f>
        <v>29180</v>
      </c>
      <c r="P338" t="str">
        <f t="shared" si="101"/>
        <v>2017</v>
      </c>
      <c r="Q338" t="str">
        <f>""</f>
        <v/>
      </c>
      <c r="R338" t="str">
        <f>"Y"</f>
        <v>Y</v>
      </c>
      <c r="S338" t="str">
        <f>"20.00"</f>
        <v>20.00</v>
      </c>
      <c r="T338" t="str">
        <f>"222.55"</f>
        <v>222.55</v>
      </c>
      <c r="U338" t="str">
        <f>"38916.00"</f>
        <v>38916.00</v>
      </c>
      <c r="V338" t="str">
        <f>"38916.00"</f>
        <v>38916.00</v>
      </c>
      <c r="W338" t="str">
        <f t="shared" si="102"/>
        <v>2017</v>
      </c>
      <c r="X338" t="str">
        <f>""</f>
        <v/>
      </c>
      <c r="Y338" t="str">
        <f>"261.23"</f>
        <v>261.23</v>
      </c>
      <c r="Z338" t="str">
        <f>"25000.00"</f>
        <v>25000.00</v>
      </c>
      <c r="AA338" t="str">
        <f>"15716.00"</f>
        <v>15716.00</v>
      </c>
      <c r="AB338" t="str">
        <f>"Agricultural"</f>
        <v>Agricultural</v>
      </c>
      <c r="AC338" t="str">
        <f t="shared" si="104"/>
        <v>0</v>
      </c>
      <c r="AD338" t="str">
        <f t="shared" si="108"/>
        <v>4</v>
      </c>
      <c r="AE338" t="str">
        <f t="shared" si="109"/>
        <v>WOOD (INCLUDE STEEL STUDS)</v>
      </c>
      <c r="AF338" t="str">
        <f>"050"</f>
        <v>050</v>
      </c>
      <c r="AG338" t="str">
        <f t="shared" si="107"/>
        <v>FL</v>
      </c>
      <c r="AH338" t="str">
        <f>"871200.00"</f>
        <v>871200.00</v>
      </c>
      <c r="AI338" t="str">
        <f>"34770.00"</f>
        <v>34770.00</v>
      </c>
      <c r="AJ338" t="str">
        <f>"C55-000-586-9876-2"</f>
        <v>C55-000-586-9876-2</v>
      </c>
      <c r="AK338" t="str">
        <f>"5116"</f>
        <v>5116</v>
      </c>
      <c r="AL338">
        <v>2</v>
      </c>
      <c r="AM338">
        <v>392</v>
      </c>
      <c r="AN338">
        <v>272.69</v>
      </c>
      <c r="AQ338" t="s">
        <v>3841</v>
      </c>
      <c r="AR338" t="s">
        <v>3841</v>
      </c>
      <c r="AS338" t="s">
        <v>3841</v>
      </c>
      <c r="AU338" t="s">
        <v>396</v>
      </c>
      <c r="AV338">
        <v>2017</v>
      </c>
      <c r="AW338" t="str">
        <f>"13-2N-24-0000-0002-0200 "</f>
        <v xml:space="preserve">13-2N-24-0000-0002-0200 </v>
      </c>
      <c r="AX338">
        <v>450827</v>
      </c>
      <c r="AZ338" t="s">
        <v>3712</v>
      </c>
      <c r="BA338" t="s">
        <v>3713</v>
      </c>
      <c r="BD338" t="s">
        <v>2785</v>
      </c>
      <c r="BE338" t="s">
        <v>393</v>
      </c>
      <c r="BF338">
        <v>32011</v>
      </c>
      <c r="BG338" t="s">
        <v>3842</v>
      </c>
      <c r="BH338" t="s">
        <v>2787</v>
      </c>
      <c r="BI338">
        <v>-81.861029632418706</v>
      </c>
      <c r="BJ338">
        <v>30.5842025299015</v>
      </c>
      <c r="BK338" t="s">
        <v>3843</v>
      </c>
      <c r="BM338" t="s">
        <v>3844</v>
      </c>
      <c r="BN338" t="s">
        <v>928</v>
      </c>
      <c r="BO338">
        <v>32011</v>
      </c>
      <c r="BP338" t="s">
        <v>416</v>
      </c>
      <c r="BQ338">
        <v>5000</v>
      </c>
      <c r="BR338" t="s">
        <v>664</v>
      </c>
      <c r="BS338">
        <v>7000</v>
      </c>
      <c r="BT338" t="s">
        <v>665</v>
      </c>
      <c r="BW338">
        <v>871200</v>
      </c>
      <c r="BX338" t="s">
        <v>407</v>
      </c>
      <c r="BY338" t="s">
        <v>408</v>
      </c>
      <c r="BZ338">
        <v>4</v>
      </c>
      <c r="CA338">
        <v>1985</v>
      </c>
      <c r="CB338">
        <v>1</v>
      </c>
      <c r="CC338">
        <v>1</v>
      </c>
      <c r="CD338">
        <v>2017</v>
      </c>
      <c r="CG338">
        <v>40716</v>
      </c>
      <c r="CH338">
        <v>2017</v>
      </c>
      <c r="CI338">
        <v>34770</v>
      </c>
      <c r="CJ338">
        <v>82176</v>
      </c>
      <c r="CK338">
        <v>116946</v>
      </c>
      <c r="CL338">
        <v>2017</v>
      </c>
      <c r="CM338">
        <v>222.55</v>
      </c>
      <c r="CN338" s="1">
        <v>39877</v>
      </c>
      <c r="CZ338" s="1">
        <v>39877</v>
      </c>
      <c r="DD338" t="s">
        <v>2785</v>
      </c>
      <c r="DG338">
        <v>13</v>
      </c>
      <c r="DL338">
        <v>50503</v>
      </c>
      <c r="DM338" t="s">
        <v>3835</v>
      </c>
      <c r="DO338" t="s">
        <v>3845</v>
      </c>
      <c r="DP338">
        <v>0</v>
      </c>
      <c r="DQ338">
        <v>0</v>
      </c>
      <c r="DR338" t="s">
        <v>411</v>
      </c>
    </row>
    <row r="339" spans="1:308" x14ac:dyDescent="0.25">
      <c r="A339">
        <v>16485346</v>
      </c>
      <c r="B339">
        <v>338</v>
      </c>
      <c r="C339" t="s">
        <v>393</v>
      </c>
      <c r="D339" t="s">
        <v>394</v>
      </c>
      <c r="F339" t="str">
        <f>"13-2N-24-0212-0024-0000"</f>
        <v>13-2N-24-0212-0024-0000</v>
      </c>
      <c r="H339" t="str">
        <f>"WHALEY KENNETH M &amp; WHALEY TERRY ANNE"</f>
        <v>WHALEY KENNETH M &amp; WHALEY TERRY ANNE</v>
      </c>
      <c r="I339" t="str">
        <f>"P O BOX 2154"</f>
        <v>P O BOX 2154</v>
      </c>
      <c r="J339" t="str">
        <f t="shared" si="105"/>
        <v>CALLAHAN FL 32011</v>
      </c>
      <c r="K339" t="str">
        <f>"45272 GAIL DR"</f>
        <v>45272 GAIL DR</v>
      </c>
      <c r="L339" t="str">
        <f t="shared" si="100"/>
        <v>CALLAHAN FL 32011</v>
      </c>
      <c r="M339" t="str">
        <f>"LOT 24 IN OR 1661/1954 1989 CHAD DW/MH CALLAHAN PINES PB 5/285-286"</f>
        <v>LOT 24 IN OR 1661/1954 1989 CHAD DW/MH CALLAHAN PINES PB 5/285-286</v>
      </c>
      <c r="N339" t="str">
        <f>""</f>
        <v/>
      </c>
      <c r="O339" t="str">
        <f>"29250"</f>
        <v>29250</v>
      </c>
      <c r="P339" t="str">
        <f t="shared" si="101"/>
        <v>2017</v>
      </c>
      <c r="Q339" t="str">
        <f>""</f>
        <v/>
      </c>
      <c r="R339" t="str">
        <f>"N"</f>
        <v>N</v>
      </c>
      <c r="S339" t="str">
        <f>"1.03"</f>
        <v>1.03</v>
      </c>
      <c r="T339" t="str">
        <f>"562.97"</f>
        <v>562.97</v>
      </c>
      <c r="U339" t="str">
        <f>"32709.00"</f>
        <v>32709.00</v>
      </c>
      <c r="V339" t="str">
        <f>"32709.00"</f>
        <v>32709.00</v>
      </c>
      <c r="W339" t="str">
        <f t="shared" si="102"/>
        <v>2017</v>
      </c>
      <c r="X339" t="str">
        <f>"22.89"</f>
        <v>22.89</v>
      </c>
      <c r="Y339" t="str">
        <f>"611.86"</f>
        <v>611.86</v>
      </c>
      <c r="Z339" t="str">
        <f>""</f>
        <v/>
      </c>
      <c r="AA339" t="str">
        <f>"42985.00"</f>
        <v>42985.00</v>
      </c>
      <c r="AB339" t="str">
        <f t="shared" ref="AB339:AB347" si="110">"Residential"</f>
        <v>Residential</v>
      </c>
      <c r="AC339" t="str">
        <f t="shared" si="104"/>
        <v>0</v>
      </c>
      <c r="AD339" t="str">
        <f t="shared" si="108"/>
        <v>4</v>
      </c>
      <c r="AE339" t="str">
        <f t="shared" si="109"/>
        <v>WOOD (INCLUDE STEEL STUDS)</v>
      </c>
      <c r="AF339" t="str">
        <f>"002"</f>
        <v>002</v>
      </c>
      <c r="AG339" t="str">
        <f t="shared" si="107"/>
        <v>FL</v>
      </c>
      <c r="AH339" t="str">
        <f>"44866.00"</f>
        <v>44866.00</v>
      </c>
      <c r="AI339" t="str">
        <f>"15450.00"</f>
        <v>15450.00</v>
      </c>
      <c r="AJ339" t="str">
        <f>"C55-000-586-9932-3"</f>
        <v>C55-000-586-9932-3</v>
      </c>
      <c r="AK339" t="str">
        <f>"5179"</f>
        <v>5179</v>
      </c>
      <c r="AL339">
        <v>2</v>
      </c>
      <c r="AM339">
        <v>393</v>
      </c>
      <c r="AN339">
        <v>640.85</v>
      </c>
      <c r="AQ339" t="s">
        <v>3846</v>
      </c>
      <c r="AR339" t="s">
        <v>3846</v>
      </c>
      <c r="AS339" t="s">
        <v>3846</v>
      </c>
      <c r="AU339" t="s">
        <v>396</v>
      </c>
      <c r="AV339">
        <v>2017</v>
      </c>
      <c r="AW339" t="str">
        <f>"13-2N-24-0212-0024-0000 "</f>
        <v xml:space="preserve">13-2N-24-0212-0024-0000 </v>
      </c>
      <c r="AX339">
        <v>45272</v>
      </c>
      <c r="AZ339" t="s">
        <v>3847</v>
      </c>
      <c r="BA339" t="s">
        <v>669</v>
      </c>
      <c r="BD339" t="s">
        <v>2785</v>
      </c>
      <c r="BE339" t="s">
        <v>393</v>
      </c>
      <c r="BF339">
        <v>32011</v>
      </c>
      <c r="BG339" t="s">
        <v>3848</v>
      </c>
      <c r="BH339" t="s">
        <v>2787</v>
      </c>
      <c r="BI339">
        <v>-81.852057475166504</v>
      </c>
      <c r="BJ339">
        <v>30.586299300771</v>
      </c>
      <c r="BK339" t="s">
        <v>3849</v>
      </c>
      <c r="BM339" t="s">
        <v>3850</v>
      </c>
      <c r="BN339" t="s">
        <v>928</v>
      </c>
      <c r="BO339">
        <v>32011</v>
      </c>
      <c r="BP339" t="s">
        <v>404</v>
      </c>
      <c r="BQ339">
        <v>200</v>
      </c>
      <c r="BR339" t="s">
        <v>405</v>
      </c>
      <c r="BS339">
        <v>1006</v>
      </c>
      <c r="BT339" t="s">
        <v>406</v>
      </c>
      <c r="BW339">
        <v>44866</v>
      </c>
      <c r="BX339" t="s">
        <v>407</v>
      </c>
      <c r="BY339" t="s">
        <v>408</v>
      </c>
      <c r="BZ339">
        <v>4</v>
      </c>
      <c r="CA339">
        <v>1989</v>
      </c>
      <c r="CC339">
        <v>1</v>
      </c>
      <c r="CD339">
        <v>2017</v>
      </c>
      <c r="CE339">
        <v>15450</v>
      </c>
      <c r="CF339">
        <v>27535</v>
      </c>
      <c r="CG339">
        <v>42985</v>
      </c>
      <c r="CH339">
        <v>2017</v>
      </c>
      <c r="CI339">
        <v>15450</v>
      </c>
      <c r="CJ339">
        <v>27535</v>
      </c>
      <c r="CK339">
        <v>42985</v>
      </c>
      <c r="CL339">
        <v>2017</v>
      </c>
      <c r="CM339">
        <v>562.97</v>
      </c>
      <c r="CN339" s="1">
        <v>39852</v>
      </c>
      <c r="CZ339" s="1">
        <v>39852</v>
      </c>
      <c r="DD339" t="s">
        <v>2785</v>
      </c>
      <c r="DF339">
        <v>24</v>
      </c>
      <c r="DG339">
        <v>13</v>
      </c>
      <c r="DL339">
        <v>50503</v>
      </c>
      <c r="DM339" t="s">
        <v>3835</v>
      </c>
      <c r="DO339" t="s">
        <v>3851</v>
      </c>
      <c r="DP339">
        <v>0</v>
      </c>
      <c r="DQ339">
        <v>0</v>
      </c>
      <c r="DR339" t="s">
        <v>411</v>
      </c>
      <c r="DS339" t="b">
        <v>1</v>
      </c>
      <c r="DT339" t="s">
        <v>470</v>
      </c>
      <c r="DU339" t="s">
        <v>471</v>
      </c>
      <c r="DV339" t="s">
        <v>472</v>
      </c>
      <c r="DX339">
        <v>-9999</v>
      </c>
      <c r="DZ339" t="s">
        <v>447</v>
      </c>
      <c r="EA339" t="s">
        <v>448</v>
      </c>
      <c r="EB339" t="s">
        <v>742</v>
      </c>
      <c r="EC339">
        <v>20101217</v>
      </c>
      <c r="ED339" t="s">
        <v>474</v>
      </c>
      <c r="EF339">
        <v>254.6</v>
      </c>
      <c r="EG339">
        <v>254.6</v>
      </c>
      <c r="EI339">
        <v>20160407</v>
      </c>
      <c r="EJ339">
        <v>0</v>
      </c>
      <c r="EK339">
        <v>0</v>
      </c>
      <c r="EP339" t="s">
        <v>421</v>
      </c>
      <c r="EQ339" t="s">
        <v>452</v>
      </c>
      <c r="ER339">
        <v>2</v>
      </c>
      <c r="ES339">
        <v>11</v>
      </c>
      <c r="ET339">
        <v>1041.32</v>
      </c>
      <c r="EU339">
        <v>64.569999999999993</v>
      </c>
      <c r="EV339">
        <v>1105.8900000000001</v>
      </c>
      <c r="EW339" s="2">
        <v>43222</v>
      </c>
      <c r="EX339" s="1">
        <v>42879</v>
      </c>
      <c r="EY339">
        <v>2016</v>
      </c>
      <c r="EZ339">
        <v>520.66</v>
      </c>
      <c r="FA339" t="s">
        <v>3852</v>
      </c>
      <c r="FB339">
        <v>0.25</v>
      </c>
      <c r="FC339" t="s">
        <v>424</v>
      </c>
      <c r="FD339" t="s">
        <v>454</v>
      </c>
      <c r="FF339">
        <v>12</v>
      </c>
      <c r="FG339">
        <v>7400234</v>
      </c>
      <c r="FH339" t="s">
        <v>426</v>
      </c>
      <c r="FJ339" s="1">
        <v>42879</v>
      </c>
      <c r="FK339">
        <v>2016</v>
      </c>
      <c r="FL339">
        <v>520.66</v>
      </c>
      <c r="FM339" t="s">
        <v>3852</v>
      </c>
      <c r="FN339">
        <v>0.25</v>
      </c>
      <c r="FO339" t="s">
        <v>424</v>
      </c>
      <c r="FP339" t="s">
        <v>454</v>
      </c>
      <c r="FR339">
        <v>12</v>
      </c>
      <c r="FS339">
        <v>7569543</v>
      </c>
      <c r="FT339" t="s">
        <v>3853</v>
      </c>
      <c r="FV339" s="1">
        <v>42515</v>
      </c>
      <c r="FW339">
        <v>2015</v>
      </c>
      <c r="FX339">
        <v>580.04999999999995</v>
      </c>
      <c r="FY339" t="s">
        <v>3854</v>
      </c>
      <c r="FZ339">
        <v>6.25</v>
      </c>
      <c r="GA339" t="s">
        <v>424</v>
      </c>
      <c r="GB339" t="s">
        <v>425</v>
      </c>
      <c r="GC339" s="1">
        <v>42640</v>
      </c>
      <c r="GD339">
        <v>4</v>
      </c>
      <c r="GE339">
        <v>2035919</v>
      </c>
      <c r="GF339" t="s">
        <v>507</v>
      </c>
      <c r="GG339" t="s">
        <v>458</v>
      </c>
      <c r="GH339" s="1">
        <v>42151</v>
      </c>
      <c r="GI339">
        <v>2014</v>
      </c>
      <c r="GJ339">
        <v>435.06</v>
      </c>
      <c r="GK339" t="s">
        <v>3855</v>
      </c>
      <c r="GL339">
        <v>4</v>
      </c>
      <c r="GM339" t="s">
        <v>424</v>
      </c>
      <c r="GN339" t="s">
        <v>425</v>
      </c>
      <c r="GP339">
        <v>22</v>
      </c>
      <c r="GQ339">
        <v>15399</v>
      </c>
      <c r="GR339" t="s">
        <v>485</v>
      </c>
      <c r="GS339" t="s">
        <v>458</v>
      </c>
      <c r="GT339" s="1">
        <v>42151</v>
      </c>
      <c r="GU339">
        <v>2014</v>
      </c>
      <c r="GV339">
        <v>435.06</v>
      </c>
      <c r="GW339" t="s">
        <v>3855</v>
      </c>
      <c r="GX339">
        <v>4</v>
      </c>
      <c r="GY339" t="s">
        <v>424</v>
      </c>
      <c r="GZ339" t="s">
        <v>425</v>
      </c>
      <c r="HB339">
        <v>22</v>
      </c>
      <c r="HC339">
        <v>7045023</v>
      </c>
      <c r="HD339" t="s">
        <v>821</v>
      </c>
      <c r="HE339" t="s">
        <v>458</v>
      </c>
      <c r="HF339" s="1">
        <v>42151</v>
      </c>
      <c r="HG339">
        <v>2014</v>
      </c>
      <c r="HH339">
        <v>435.06</v>
      </c>
      <c r="HI339" t="s">
        <v>3855</v>
      </c>
      <c r="HJ339">
        <v>4</v>
      </c>
      <c r="HK339" t="s">
        <v>424</v>
      </c>
      <c r="HL339" t="s">
        <v>425</v>
      </c>
      <c r="HN339">
        <v>22</v>
      </c>
      <c r="HO339">
        <v>7336692</v>
      </c>
      <c r="HP339" t="s">
        <v>822</v>
      </c>
      <c r="HQ339" t="s">
        <v>458</v>
      </c>
      <c r="HR339" s="1">
        <v>42151</v>
      </c>
      <c r="HS339">
        <v>2014</v>
      </c>
      <c r="HT339">
        <v>435.06</v>
      </c>
      <c r="HU339" t="s">
        <v>3855</v>
      </c>
      <c r="HV339">
        <v>4</v>
      </c>
      <c r="HW339" t="s">
        <v>424</v>
      </c>
      <c r="HX339" t="s">
        <v>425</v>
      </c>
      <c r="HZ339">
        <v>22</v>
      </c>
      <c r="IA339">
        <v>7336698</v>
      </c>
      <c r="IB339" t="s">
        <v>823</v>
      </c>
      <c r="IC339" t="s">
        <v>458</v>
      </c>
      <c r="ID339" s="1">
        <v>41787</v>
      </c>
      <c r="IE339">
        <v>2013</v>
      </c>
      <c r="IF339">
        <v>610.70000000000005</v>
      </c>
      <c r="IG339" t="s">
        <v>3856</v>
      </c>
      <c r="IH339">
        <v>2.75</v>
      </c>
      <c r="II339" t="s">
        <v>424</v>
      </c>
      <c r="IJ339" t="s">
        <v>425</v>
      </c>
      <c r="IL339">
        <v>22</v>
      </c>
      <c r="IM339">
        <v>15399</v>
      </c>
      <c r="IN339" t="s">
        <v>485</v>
      </c>
      <c r="IO339" t="s">
        <v>458</v>
      </c>
      <c r="IP339" s="1">
        <v>41787</v>
      </c>
      <c r="IQ339">
        <v>2013</v>
      </c>
      <c r="IR339">
        <v>610.70000000000005</v>
      </c>
      <c r="IS339" t="s">
        <v>3856</v>
      </c>
      <c r="IT339">
        <v>2.75</v>
      </c>
      <c r="IU339" t="s">
        <v>424</v>
      </c>
      <c r="IV339" t="s">
        <v>425</v>
      </c>
      <c r="IX339">
        <v>22</v>
      </c>
      <c r="IY339">
        <v>7336692</v>
      </c>
      <c r="IZ339" t="s">
        <v>822</v>
      </c>
      <c r="JA339" t="s">
        <v>458</v>
      </c>
      <c r="JB339" s="1">
        <v>41787</v>
      </c>
      <c r="JC339">
        <v>2013</v>
      </c>
      <c r="JD339">
        <v>610.70000000000005</v>
      </c>
      <c r="JE339" t="s">
        <v>3856</v>
      </c>
      <c r="JF339">
        <v>2.75</v>
      </c>
      <c r="JG339" t="s">
        <v>424</v>
      </c>
      <c r="JH339" t="s">
        <v>425</v>
      </c>
      <c r="JJ339">
        <v>22</v>
      </c>
      <c r="JK339">
        <v>7336698</v>
      </c>
      <c r="JL339" t="s">
        <v>823</v>
      </c>
      <c r="JM339" t="s">
        <v>458</v>
      </c>
      <c r="JN339" s="1">
        <v>41423</v>
      </c>
      <c r="JO339">
        <v>2012</v>
      </c>
      <c r="JP339">
        <v>678.68</v>
      </c>
      <c r="JQ339" t="s">
        <v>3857</v>
      </c>
      <c r="JR339">
        <v>4.5</v>
      </c>
      <c r="JS339" t="s">
        <v>424</v>
      </c>
      <c r="JT339" t="s">
        <v>425</v>
      </c>
      <c r="JV339">
        <v>22</v>
      </c>
      <c r="JW339">
        <v>15399</v>
      </c>
      <c r="JX339" t="s">
        <v>485</v>
      </c>
      <c r="JZ339" s="1">
        <v>41423</v>
      </c>
      <c r="KA339">
        <v>2012</v>
      </c>
      <c r="KB339">
        <v>678.68</v>
      </c>
      <c r="KC339" t="s">
        <v>3857</v>
      </c>
      <c r="KD339">
        <v>4.5</v>
      </c>
      <c r="KE339" t="s">
        <v>424</v>
      </c>
      <c r="KF339" t="s">
        <v>425</v>
      </c>
      <c r="KG339" s="1">
        <v>42367</v>
      </c>
      <c r="KH339">
        <v>31</v>
      </c>
      <c r="KI339">
        <v>13027</v>
      </c>
      <c r="KJ339" t="s">
        <v>826</v>
      </c>
      <c r="KL339" s="1">
        <v>41052</v>
      </c>
      <c r="KM339">
        <v>2011</v>
      </c>
      <c r="KN339">
        <v>754.61</v>
      </c>
      <c r="KO339" t="s">
        <v>3858</v>
      </c>
      <c r="KP339">
        <v>5.75</v>
      </c>
      <c r="KQ339" t="s">
        <v>424</v>
      </c>
      <c r="KR339" t="s">
        <v>425</v>
      </c>
      <c r="KS339" s="1">
        <v>42367</v>
      </c>
      <c r="KT339">
        <v>43</v>
      </c>
      <c r="KU339">
        <v>10125</v>
      </c>
      <c r="KV339" t="s">
        <v>440</v>
      </c>
    </row>
    <row r="340" spans="1:308" x14ac:dyDescent="0.25">
      <c r="A340">
        <v>16485347</v>
      </c>
      <c r="B340">
        <v>339</v>
      </c>
      <c r="C340" t="s">
        <v>393</v>
      </c>
      <c r="D340" t="s">
        <v>394</v>
      </c>
      <c r="F340" t="str">
        <f>"14-2N-24-0000-0004-0100"</f>
        <v>14-2N-24-0000-0004-0100</v>
      </c>
      <c r="H340" t="str">
        <f>"HESSONG JOHN &amp; CONSTANCE"</f>
        <v>HESSONG JOHN &amp; CONSTANCE</v>
      </c>
      <c r="I340" t="str">
        <f>"35027 QUAIL ROAD"</f>
        <v>35027 QUAIL ROAD</v>
      </c>
      <c r="J340" t="str">
        <f t="shared" si="105"/>
        <v>CALLAHAN FL 32011</v>
      </c>
      <c r="K340" t="str">
        <f>"35027 QUAIL RD"</f>
        <v>35027 QUAIL RD</v>
      </c>
      <c r="L340" t="str">
        <f t="shared" si="100"/>
        <v>CALLAHAN FL 32011</v>
      </c>
      <c r="M340" t="str">
        <f>"IN OR 236 PG 666"</f>
        <v>IN OR 236 PG 666</v>
      </c>
      <c r="N340" t="str">
        <f>""</f>
        <v/>
      </c>
      <c r="O340" t="str">
        <f>"29873"</f>
        <v>29873</v>
      </c>
      <c r="P340" t="str">
        <f t="shared" si="101"/>
        <v>2017</v>
      </c>
      <c r="Q340" t="str">
        <f>""</f>
        <v/>
      </c>
      <c r="R340" t="str">
        <f>"Y"</f>
        <v>Y</v>
      </c>
      <c r="S340" t="str">
        <f>"1.02"</f>
        <v>1.02</v>
      </c>
      <c r="T340" t="str">
        <f>"536.71"</f>
        <v>536.71</v>
      </c>
      <c r="U340" t="str">
        <f>"65357.00"</f>
        <v>65357.00</v>
      </c>
      <c r="V340" t="str">
        <f>"65357.00"</f>
        <v>65357.00</v>
      </c>
      <c r="W340" t="str">
        <f t="shared" si="102"/>
        <v>2017</v>
      </c>
      <c r="X340" t="str">
        <f>"16.00"</f>
        <v>16.00</v>
      </c>
      <c r="Y340" t="str">
        <f>"584.81"</f>
        <v>584.81</v>
      </c>
      <c r="Z340" t="str">
        <f>"25000.00"</f>
        <v>25000.00</v>
      </c>
      <c r="AA340" t="str">
        <f>"40357.00"</f>
        <v>40357.00</v>
      </c>
      <c r="AB340" t="str">
        <f t="shared" si="110"/>
        <v>Residential</v>
      </c>
      <c r="AC340" t="str">
        <f t="shared" si="104"/>
        <v>0</v>
      </c>
      <c r="AD340" t="str">
        <f t="shared" si="108"/>
        <v>4</v>
      </c>
      <c r="AE340" t="str">
        <f t="shared" si="109"/>
        <v>WOOD (INCLUDE STEEL STUDS)</v>
      </c>
      <c r="AF340" t="str">
        <f>"001"</f>
        <v>001</v>
      </c>
      <c r="AG340" t="str">
        <f t="shared" si="107"/>
        <v>FL</v>
      </c>
      <c r="AH340" t="str">
        <f>"44431.00"</f>
        <v>44431.00</v>
      </c>
      <c r="AI340" t="str">
        <f>"15300.00"</f>
        <v>15300.00</v>
      </c>
      <c r="AJ340" t="str">
        <f>"C55-000-587-0128-5"</f>
        <v>C55-000-587-0128-5</v>
      </c>
      <c r="AK340" t="str">
        <f>"5209"</f>
        <v>5209</v>
      </c>
      <c r="AL340">
        <v>2</v>
      </c>
      <c r="AM340">
        <v>396</v>
      </c>
      <c r="AN340">
        <v>612.45000000000005</v>
      </c>
      <c r="AQ340" t="s">
        <v>3859</v>
      </c>
      <c r="AR340" t="s">
        <v>3859</v>
      </c>
      <c r="AS340" t="s">
        <v>3859</v>
      </c>
      <c r="AU340" t="s">
        <v>396</v>
      </c>
      <c r="AV340">
        <v>2017</v>
      </c>
      <c r="AW340" t="str">
        <f>"14-2N-24-0000-0004-0100 "</f>
        <v xml:space="preserve">14-2N-24-0000-0004-0100 </v>
      </c>
      <c r="AX340">
        <v>35027</v>
      </c>
      <c r="AZ340" t="s">
        <v>3860</v>
      </c>
      <c r="BA340" t="s">
        <v>496</v>
      </c>
      <c r="BD340" t="s">
        <v>2785</v>
      </c>
      <c r="BE340" t="s">
        <v>393</v>
      </c>
      <c r="BF340">
        <v>32011</v>
      </c>
      <c r="BG340" t="s">
        <v>3861</v>
      </c>
      <c r="BH340" t="s">
        <v>2787</v>
      </c>
      <c r="BI340">
        <v>-81.882986240302102</v>
      </c>
      <c r="BJ340">
        <v>30.584645886019501</v>
      </c>
      <c r="BK340" t="s">
        <v>3862</v>
      </c>
      <c r="BL340" t="s">
        <v>3863</v>
      </c>
      <c r="BM340" t="s">
        <v>3861</v>
      </c>
      <c r="BN340" t="s">
        <v>928</v>
      </c>
      <c r="BO340">
        <v>32011</v>
      </c>
      <c r="BP340" t="s">
        <v>416</v>
      </c>
      <c r="BQ340">
        <v>100</v>
      </c>
      <c r="BR340" t="s">
        <v>514</v>
      </c>
      <c r="BS340">
        <v>1001</v>
      </c>
      <c r="BT340" t="s">
        <v>515</v>
      </c>
      <c r="BW340">
        <v>44431</v>
      </c>
      <c r="BX340" t="s">
        <v>407</v>
      </c>
      <c r="BY340" t="s">
        <v>408</v>
      </c>
      <c r="BZ340">
        <v>4</v>
      </c>
      <c r="CA340">
        <v>1985</v>
      </c>
      <c r="CB340">
        <v>1</v>
      </c>
      <c r="CC340">
        <v>2</v>
      </c>
      <c r="CD340">
        <v>2017</v>
      </c>
      <c r="CG340">
        <v>65357</v>
      </c>
      <c r="CH340">
        <v>2017</v>
      </c>
      <c r="CI340">
        <v>15300</v>
      </c>
      <c r="CJ340">
        <v>67858</v>
      </c>
      <c r="CK340">
        <v>83158</v>
      </c>
      <c r="CL340">
        <v>2017</v>
      </c>
      <c r="CM340">
        <v>536.71</v>
      </c>
      <c r="CN340" s="1">
        <v>28216</v>
      </c>
      <c r="CO340">
        <v>2500</v>
      </c>
      <c r="CZ340" s="1">
        <v>28216</v>
      </c>
      <c r="DD340" t="s">
        <v>2785</v>
      </c>
      <c r="DG340">
        <v>14</v>
      </c>
      <c r="DL340">
        <v>50503</v>
      </c>
      <c r="DM340" t="s">
        <v>3864</v>
      </c>
      <c r="DO340" t="s">
        <v>3865</v>
      </c>
      <c r="DP340">
        <v>0</v>
      </c>
      <c r="DQ340">
        <v>0</v>
      </c>
      <c r="DR340" t="s">
        <v>411</v>
      </c>
      <c r="DS340" t="b">
        <v>1</v>
      </c>
      <c r="DT340" t="s">
        <v>470</v>
      </c>
      <c r="DU340" t="s">
        <v>471</v>
      </c>
      <c r="DV340" t="s">
        <v>472</v>
      </c>
      <c r="DX340">
        <v>-9999</v>
      </c>
      <c r="DZ340" t="s">
        <v>447</v>
      </c>
      <c r="EA340" t="s">
        <v>448</v>
      </c>
      <c r="EB340" t="s">
        <v>742</v>
      </c>
      <c r="EC340">
        <v>20101217</v>
      </c>
      <c r="ED340" t="s">
        <v>474</v>
      </c>
      <c r="EF340">
        <v>1038.5999999999999</v>
      </c>
      <c r="EG340">
        <v>1038.5999999999999</v>
      </c>
      <c r="EI340">
        <v>20160407</v>
      </c>
      <c r="EJ340">
        <v>0</v>
      </c>
      <c r="EK340">
        <v>0</v>
      </c>
      <c r="EP340" t="s">
        <v>421</v>
      </c>
      <c r="EQ340" t="s">
        <v>422</v>
      </c>
      <c r="ER340">
        <v>2</v>
      </c>
      <c r="ES340">
        <v>7</v>
      </c>
      <c r="ET340">
        <v>1217.9000000000001</v>
      </c>
      <c r="EU340">
        <v>73.400000000000006</v>
      </c>
      <c r="EV340">
        <v>1291.3</v>
      </c>
      <c r="EW340" s="2">
        <v>43222</v>
      </c>
      <c r="EX340" s="1">
        <v>42879</v>
      </c>
      <c r="EY340">
        <v>2016</v>
      </c>
      <c r="EZ340">
        <v>608.95000000000005</v>
      </c>
      <c r="FA340" t="s">
        <v>3866</v>
      </c>
      <c r="FB340">
        <v>0.25</v>
      </c>
      <c r="FC340" t="s">
        <v>424</v>
      </c>
      <c r="FD340" t="s">
        <v>454</v>
      </c>
      <c r="FF340">
        <v>12</v>
      </c>
      <c r="FG340">
        <v>7336671</v>
      </c>
      <c r="FH340" t="s">
        <v>437</v>
      </c>
      <c r="FJ340" s="1">
        <v>42879</v>
      </c>
      <c r="FK340">
        <v>2016</v>
      </c>
      <c r="FL340">
        <v>608.95000000000005</v>
      </c>
      <c r="FM340" t="s">
        <v>3866</v>
      </c>
      <c r="FN340">
        <v>0.25</v>
      </c>
      <c r="FO340" t="s">
        <v>424</v>
      </c>
      <c r="FP340" t="s">
        <v>454</v>
      </c>
      <c r="FR340">
        <v>12</v>
      </c>
      <c r="FS340">
        <v>6834954</v>
      </c>
      <c r="FT340" t="s">
        <v>3867</v>
      </c>
      <c r="FV340" s="1">
        <v>42515</v>
      </c>
      <c r="FW340">
        <v>2015</v>
      </c>
      <c r="FX340">
        <v>619.07000000000005</v>
      </c>
      <c r="FY340" t="s">
        <v>3868</v>
      </c>
      <c r="FZ340">
        <v>0.25</v>
      </c>
      <c r="GA340" t="s">
        <v>424</v>
      </c>
      <c r="GB340" t="s">
        <v>425</v>
      </c>
      <c r="GC340" s="1">
        <v>43131</v>
      </c>
      <c r="GD340">
        <v>20</v>
      </c>
      <c r="GE340">
        <v>7045074</v>
      </c>
      <c r="GF340" t="s">
        <v>580</v>
      </c>
      <c r="GH340" s="1">
        <v>42515</v>
      </c>
      <c r="GI340">
        <v>2015</v>
      </c>
      <c r="GJ340">
        <v>619.07000000000005</v>
      </c>
      <c r="GK340" t="s">
        <v>3868</v>
      </c>
      <c r="GL340">
        <v>0.25</v>
      </c>
      <c r="GM340" t="s">
        <v>424</v>
      </c>
      <c r="GN340" t="s">
        <v>425</v>
      </c>
      <c r="GP340">
        <v>22</v>
      </c>
      <c r="GQ340">
        <v>6527546</v>
      </c>
      <c r="GR340" t="s">
        <v>3869</v>
      </c>
      <c r="GT340" s="1">
        <v>42151</v>
      </c>
      <c r="GU340">
        <v>2014</v>
      </c>
      <c r="GV340">
        <v>620.04</v>
      </c>
      <c r="GW340" t="s">
        <v>3870</v>
      </c>
      <c r="GX340">
        <v>0.25</v>
      </c>
      <c r="GY340" t="s">
        <v>424</v>
      </c>
      <c r="GZ340" t="s">
        <v>425</v>
      </c>
      <c r="HA340" s="1">
        <v>42781</v>
      </c>
      <c r="HB340">
        <v>21</v>
      </c>
      <c r="HC340">
        <v>2101382</v>
      </c>
      <c r="HD340" t="s">
        <v>993</v>
      </c>
      <c r="HF340" s="1">
        <v>42151</v>
      </c>
      <c r="HG340">
        <v>2014</v>
      </c>
      <c r="HH340">
        <v>620.04</v>
      </c>
      <c r="HI340" t="s">
        <v>3870</v>
      </c>
      <c r="HJ340">
        <v>0.25</v>
      </c>
      <c r="HK340" t="s">
        <v>424</v>
      </c>
      <c r="HL340" t="s">
        <v>425</v>
      </c>
      <c r="HN340">
        <v>22</v>
      </c>
      <c r="HO340">
        <v>5618488</v>
      </c>
      <c r="HP340" t="s">
        <v>3871</v>
      </c>
      <c r="HR340" s="1">
        <v>41787</v>
      </c>
      <c r="HS340">
        <v>2013</v>
      </c>
      <c r="HT340">
        <v>586.42999999999995</v>
      </c>
      <c r="HU340" t="s">
        <v>3872</v>
      </c>
      <c r="HV340">
        <v>0.25</v>
      </c>
      <c r="HW340" t="s">
        <v>424</v>
      </c>
      <c r="HX340" t="s">
        <v>425</v>
      </c>
      <c r="HY340" s="1">
        <v>42412</v>
      </c>
      <c r="HZ340">
        <v>21</v>
      </c>
      <c r="IA340">
        <v>2101382</v>
      </c>
      <c r="IB340" t="s">
        <v>993</v>
      </c>
      <c r="ID340" s="1">
        <v>41052</v>
      </c>
      <c r="IE340">
        <v>2011</v>
      </c>
      <c r="IF340">
        <v>621.55999999999995</v>
      </c>
      <c r="IG340" t="s">
        <v>3873</v>
      </c>
      <c r="IH340">
        <v>0.25</v>
      </c>
      <c r="II340" t="s">
        <v>424</v>
      </c>
      <c r="IJ340" t="s">
        <v>425</v>
      </c>
      <c r="IK340" s="1">
        <v>41366</v>
      </c>
      <c r="IL340">
        <v>11</v>
      </c>
      <c r="IM340">
        <v>13297</v>
      </c>
      <c r="IN340" t="s">
        <v>1471</v>
      </c>
      <c r="IP340" s="1">
        <v>40688</v>
      </c>
      <c r="IQ340">
        <v>2010</v>
      </c>
      <c r="IR340">
        <v>617.77</v>
      </c>
      <c r="IS340" t="s">
        <v>3874</v>
      </c>
      <c r="IT340">
        <v>0.25</v>
      </c>
      <c r="IU340" t="s">
        <v>424</v>
      </c>
      <c r="IV340" t="s">
        <v>425</v>
      </c>
      <c r="IW340" s="1">
        <v>40982</v>
      </c>
      <c r="IX340">
        <v>10</v>
      </c>
      <c r="IY340">
        <v>11141</v>
      </c>
      <c r="IZ340" t="s">
        <v>1723</v>
      </c>
    </row>
    <row r="341" spans="1:308" x14ac:dyDescent="0.25">
      <c r="A341">
        <v>16485348</v>
      </c>
      <c r="B341">
        <v>340</v>
      </c>
      <c r="C341" t="s">
        <v>393</v>
      </c>
      <c r="D341" t="s">
        <v>394</v>
      </c>
      <c r="F341" t="str">
        <f>"14-2N-24-0000-0004-0110"</f>
        <v>14-2N-24-0000-0004-0110</v>
      </c>
      <c r="H341" t="str">
        <f>"MCRAE DAVID A &amp; PATRICIA A"</f>
        <v>MCRAE DAVID A &amp; PATRICIA A</v>
      </c>
      <c r="I341" t="str">
        <f>"35033 QUAIL RD"</f>
        <v>35033 QUAIL RD</v>
      </c>
      <c r="J341" t="str">
        <f t="shared" si="105"/>
        <v>CALLAHAN FL 32011</v>
      </c>
      <c r="K341" t="str">
        <f>"35033 QUAIL RD"</f>
        <v>35033 QUAIL RD</v>
      </c>
      <c r="L341" t="str">
        <f t="shared" si="100"/>
        <v>CALLAHAN FL 32011</v>
      </c>
      <c r="M341" t="str">
        <f>"SW1/4 IN OR 763 PG 294 R673176 &amp; R673177"</f>
        <v>SW1/4 IN OR 763 PG 294 R673176 &amp; R673177</v>
      </c>
      <c r="N341" t="str">
        <f>""</f>
        <v/>
      </c>
      <c r="O341" t="str">
        <f>"29874"</f>
        <v>29874</v>
      </c>
      <c r="P341" t="str">
        <f t="shared" si="101"/>
        <v>2017</v>
      </c>
      <c r="Q341" t="str">
        <f>""</f>
        <v/>
      </c>
      <c r="R341" t="str">
        <f>"Y"</f>
        <v>Y</v>
      </c>
      <c r="S341" t="str">
        <f>"1.00"</f>
        <v>1.00</v>
      </c>
      <c r="T341" t="str">
        <f>"279.39"</f>
        <v>279.39</v>
      </c>
      <c r="U341" t="str">
        <f>"43455.00"</f>
        <v>43455.00</v>
      </c>
      <c r="V341" t="str">
        <f>"43455.00"</f>
        <v>43455.00</v>
      </c>
      <c r="W341" t="str">
        <f t="shared" si="102"/>
        <v>2017</v>
      </c>
      <c r="X341" t="str">
        <f>"40.00"</f>
        <v>40.00</v>
      </c>
      <c r="Y341" t="str">
        <f>"319.77"</f>
        <v>319.77</v>
      </c>
      <c r="Z341" t="str">
        <f>"25000.00"</f>
        <v>25000.00</v>
      </c>
      <c r="AA341" t="str">
        <f>"18455.00"</f>
        <v>18455.00</v>
      </c>
      <c r="AB341" t="str">
        <f t="shared" si="110"/>
        <v>Residential</v>
      </c>
      <c r="AC341" t="str">
        <f t="shared" si="104"/>
        <v>0</v>
      </c>
      <c r="AD341" t="str">
        <f t="shared" si="108"/>
        <v>4</v>
      </c>
      <c r="AE341" t="str">
        <f t="shared" si="109"/>
        <v>WOOD (INCLUDE STEEL STUDS)</v>
      </c>
      <c r="AF341" t="str">
        <f>"002"</f>
        <v>002</v>
      </c>
      <c r="AG341" t="str">
        <f t="shared" si="107"/>
        <v>FL</v>
      </c>
      <c r="AH341" t="str">
        <f>"43560.00"</f>
        <v>43560.00</v>
      </c>
      <c r="AI341" t="str">
        <f>"15000.00"</f>
        <v>15000.00</v>
      </c>
      <c r="AJ341" t="str">
        <f>"C55-000-587-0129-3"</f>
        <v>C55-000-587-0129-3</v>
      </c>
      <c r="AK341" t="str">
        <f>"5210"</f>
        <v>5210</v>
      </c>
      <c r="AL341">
        <v>2</v>
      </c>
      <c r="AM341">
        <v>397</v>
      </c>
      <c r="AN341">
        <v>334.16</v>
      </c>
      <c r="AQ341" t="s">
        <v>3875</v>
      </c>
      <c r="AR341" t="s">
        <v>3875</v>
      </c>
      <c r="AS341" t="s">
        <v>3875</v>
      </c>
      <c r="AU341" t="s">
        <v>396</v>
      </c>
      <c r="AV341">
        <v>2017</v>
      </c>
      <c r="AW341" t="str">
        <f>"14-2N-24-0000-0004-0110 "</f>
        <v xml:space="preserve">14-2N-24-0000-0004-0110 </v>
      </c>
      <c r="AX341">
        <v>35033</v>
      </c>
      <c r="AZ341" t="s">
        <v>3860</v>
      </c>
      <c r="BA341" t="s">
        <v>496</v>
      </c>
      <c r="BD341" t="s">
        <v>2785</v>
      </c>
      <c r="BE341" t="s">
        <v>393</v>
      </c>
      <c r="BF341">
        <v>32011</v>
      </c>
      <c r="BG341" t="s">
        <v>3876</v>
      </c>
      <c r="BH341" t="s">
        <v>2787</v>
      </c>
      <c r="BI341">
        <v>-81.884084341368407</v>
      </c>
      <c r="BJ341">
        <v>30.584702017482499</v>
      </c>
      <c r="BK341" t="s">
        <v>3877</v>
      </c>
      <c r="BM341" t="s">
        <v>3876</v>
      </c>
      <c r="BN341" t="s">
        <v>928</v>
      </c>
      <c r="BO341">
        <v>32011</v>
      </c>
      <c r="BP341" t="s">
        <v>416</v>
      </c>
      <c r="BQ341">
        <v>200</v>
      </c>
      <c r="BR341" t="s">
        <v>405</v>
      </c>
      <c r="BS341">
        <v>1006</v>
      </c>
      <c r="BT341" t="s">
        <v>406</v>
      </c>
      <c r="BW341">
        <v>43560</v>
      </c>
      <c r="BX341" t="s">
        <v>407</v>
      </c>
      <c r="BZ341">
        <v>4</v>
      </c>
      <c r="CA341">
        <v>1996</v>
      </c>
      <c r="CB341">
        <v>1</v>
      </c>
      <c r="CC341">
        <v>1</v>
      </c>
      <c r="CD341">
        <v>2017</v>
      </c>
      <c r="CG341">
        <v>43455</v>
      </c>
      <c r="CH341">
        <v>2017</v>
      </c>
      <c r="CI341">
        <v>15000</v>
      </c>
      <c r="CJ341">
        <v>42133</v>
      </c>
      <c r="CK341">
        <v>57133</v>
      </c>
      <c r="CL341">
        <v>2017</v>
      </c>
      <c r="CM341">
        <v>279.39</v>
      </c>
      <c r="CN341" s="1">
        <v>35233</v>
      </c>
      <c r="CZ341" s="1">
        <v>35233</v>
      </c>
      <c r="DD341" t="s">
        <v>2785</v>
      </c>
      <c r="DG341">
        <v>14</v>
      </c>
      <c r="DL341">
        <v>50503</v>
      </c>
      <c r="DM341" t="s">
        <v>3864</v>
      </c>
      <c r="DO341" t="s">
        <v>3878</v>
      </c>
      <c r="DP341">
        <v>0</v>
      </c>
      <c r="DQ341">
        <v>0</v>
      </c>
      <c r="DR341" t="s">
        <v>411</v>
      </c>
      <c r="DS341" t="b">
        <v>1</v>
      </c>
      <c r="DT341" t="s">
        <v>470</v>
      </c>
      <c r="DU341" t="s">
        <v>471</v>
      </c>
      <c r="DV341" t="s">
        <v>472</v>
      </c>
      <c r="DX341">
        <v>-9999</v>
      </c>
      <c r="DZ341" t="s">
        <v>447</v>
      </c>
      <c r="EA341" t="s">
        <v>448</v>
      </c>
      <c r="EB341" t="s">
        <v>742</v>
      </c>
      <c r="EC341">
        <v>20101217</v>
      </c>
      <c r="ED341" t="s">
        <v>474</v>
      </c>
      <c r="EF341">
        <v>1304.3</v>
      </c>
      <c r="EG341">
        <v>1304.3</v>
      </c>
      <c r="EI341">
        <v>20160407</v>
      </c>
      <c r="EJ341">
        <v>0</v>
      </c>
      <c r="EK341">
        <v>0</v>
      </c>
      <c r="EP341" t="s">
        <v>421</v>
      </c>
      <c r="EQ341" t="s">
        <v>422</v>
      </c>
      <c r="ER341">
        <v>2</v>
      </c>
      <c r="ES341">
        <v>10</v>
      </c>
      <c r="ET341">
        <v>637.1</v>
      </c>
      <c r="EU341">
        <v>44.36</v>
      </c>
      <c r="EV341">
        <v>681.46</v>
      </c>
      <c r="EW341" s="2">
        <v>43222</v>
      </c>
      <c r="EX341" s="1">
        <v>42879</v>
      </c>
      <c r="EY341">
        <v>2016</v>
      </c>
      <c r="EZ341">
        <v>318.55</v>
      </c>
      <c r="FA341" t="s">
        <v>3879</v>
      </c>
      <c r="FB341">
        <v>0.25</v>
      </c>
      <c r="FC341" t="s">
        <v>424</v>
      </c>
      <c r="FD341" t="s">
        <v>454</v>
      </c>
      <c r="FF341">
        <v>12</v>
      </c>
      <c r="FG341">
        <v>2851116</v>
      </c>
      <c r="FH341" t="s">
        <v>480</v>
      </c>
      <c r="FJ341" s="1">
        <v>42879</v>
      </c>
      <c r="FK341">
        <v>2016</v>
      </c>
      <c r="FL341">
        <v>318.55</v>
      </c>
      <c r="FM341" t="s">
        <v>3879</v>
      </c>
      <c r="FN341">
        <v>0.25</v>
      </c>
      <c r="FO341" t="s">
        <v>424</v>
      </c>
      <c r="FP341" t="s">
        <v>454</v>
      </c>
      <c r="FR341">
        <v>12</v>
      </c>
      <c r="FS341">
        <v>5321377</v>
      </c>
      <c r="FT341" t="s">
        <v>3880</v>
      </c>
      <c r="FV341" s="1">
        <v>42515</v>
      </c>
      <c r="FW341">
        <v>2015</v>
      </c>
      <c r="FX341">
        <v>805.7</v>
      </c>
      <c r="FY341" t="s">
        <v>3881</v>
      </c>
      <c r="FZ341">
        <v>0.25</v>
      </c>
      <c r="GA341" t="s">
        <v>424</v>
      </c>
      <c r="GB341" t="s">
        <v>425</v>
      </c>
      <c r="GC341" s="1">
        <v>43159</v>
      </c>
      <c r="GD341">
        <v>21</v>
      </c>
      <c r="GE341">
        <v>7045074</v>
      </c>
      <c r="GF341" t="s">
        <v>580</v>
      </c>
      <c r="GH341" s="1">
        <v>42515</v>
      </c>
      <c r="GI341">
        <v>2015</v>
      </c>
      <c r="GJ341">
        <v>805.7</v>
      </c>
      <c r="GK341" t="s">
        <v>3881</v>
      </c>
      <c r="GL341">
        <v>0.25</v>
      </c>
      <c r="GM341" t="s">
        <v>424</v>
      </c>
      <c r="GN341" t="s">
        <v>425</v>
      </c>
      <c r="GP341">
        <v>22</v>
      </c>
      <c r="GQ341">
        <v>6540775</v>
      </c>
      <c r="GR341" t="s">
        <v>3882</v>
      </c>
      <c r="GT341" s="1">
        <v>42151</v>
      </c>
      <c r="GU341">
        <v>2014</v>
      </c>
      <c r="GV341">
        <v>289.19</v>
      </c>
      <c r="GW341" t="s">
        <v>3883</v>
      </c>
      <c r="GX341">
        <v>0.25</v>
      </c>
      <c r="GY341" t="s">
        <v>424</v>
      </c>
      <c r="GZ341" t="s">
        <v>425</v>
      </c>
      <c r="HA341" s="1">
        <v>42794</v>
      </c>
      <c r="HB341">
        <v>21</v>
      </c>
      <c r="HC341">
        <v>2851116</v>
      </c>
      <c r="HD341" t="s">
        <v>480</v>
      </c>
      <c r="HF341" s="1">
        <v>42151</v>
      </c>
      <c r="HG341">
        <v>2014</v>
      </c>
      <c r="HH341">
        <v>289.19</v>
      </c>
      <c r="HI341" t="s">
        <v>3883</v>
      </c>
      <c r="HJ341">
        <v>0.25</v>
      </c>
      <c r="HK341" t="s">
        <v>424</v>
      </c>
      <c r="HL341" t="s">
        <v>425</v>
      </c>
      <c r="HN341">
        <v>22</v>
      </c>
      <c r="HO341">
        <v>5283895</v>
      </c>
      <c r="HP341" t="s">
        <v>3884</v>
      </c>
      <c r="HR341" s="1">
        <v>41787</v>
      </c>
      <c r="HS341">
        <v>2013</v>
      </c>
      <c r="HT341">
        <v>390.84</v>
      </c>
      <c r="HU341" t="s">
        <v>3885</v>
      </c>
      <c r="HV341">
        <v>2.5</v>
      </c>
      <c r="HW341" t="s">
        <v>424</v>
      </c>
      <c r="HX341" t="s">
        <v>425</v>
      </c>
      <c r="HY341" s="1">
        <v>42426</v>
      </c>
      <c r="HZ341">
        <v>21</v>
      </c>
      <c r="IA341">
        <v>2035919</v>
      </c>
      <c r="IB341" t="s">
        <v>507</v>
      </c>
      <c r="ID341" s="1">
        <v>41423</v>
      </c>
      <c r="IE341">
        <v>2012</v>
      </c>
      <c r="IF341">
        <v>479.84</v>
      </c>
      <c r="IG341" t="s">
        <v>3886</v>
      </c>
      <c r="IH341">
        <v>3.5</v>
      </c>
      <c r="II341" t="s">
        <v>424</v>
      </c>
      <c r="IJ341" t="s">
        <v>425</v>
      </c>
      <c r="IK341" s="1">
        <v>42062</v>
      </c>
      <c r="IL341">
        <v>21</v>
      </c>
      <c r="IM341">
        <v>15399</v>
      </c>
      <c r="IN341" t="s">
        <v>485</v>
      </c>
      <c r="IP341" s="1">
        <v>41052</v>
      </c>
      <c r="IQ341">
        <v>2011</v>
      </c>
      <c r="IR341">
        <v>468.86</v>
      </c>
      <c r="IS341" t="s">
        <v>3887</v>
      </c>
      <c r="IT341">
        <v>18</v>
      </c>
      <c r="IU341" t="s">
        <v>424</v>
      </c>
      <c r="IV341" t="s">
        <v>425</v>
      </c>
      <c r="IW341" s="1">
        <v>41697</v>
      </c>
      <c r="IX341">
        <v>21</v>
      </c>
      <c r="IY341">
        <v>10125</v>
      </c>
      <c r="IZ341" t="s">
        <v>440</v>
      </c>
      <c r="JB341" s="1">
        <v>40688</v>
      </c>
      <c r="JC341">
        <v>2010</v>
      </c>
      <c r="JD341">
        <v>478.4</v>
      </c>
      <c r="JE341" t="s">
        <v>3888</v>
      </c>
      <c r="JF341">
        <v>8</v>
      </c>
      <c r="JG341" t="s">
        <v>424</v>
      </c>
      <c r="JH341" t="s">
        <v>425</v>
      </c>
      <c r="JI341" s="1">
        <v>41361</v>
      </c>
      <c r="JJ341">
        <v>22</v>
      </c>
      <c r="JK341">
        <v>305</v>
      </c>
      <c r="JL341" t="s">
        <v>1078</v>
      </c>
      <c r="JN341" s="1">
        <v>40688</v>
      </c>
      <c r="JO341">
        <v>2008</v>
      </c>
      <c r="JP341">
        <v>654.61</v>
      </c>
      <c r="JQ341" t="s">
        <v>3889</v>
      </c>
      <c r="JR341">
        <v>10</v>
      </c>
      <c r="JS341" t="s">
        <v>424</v>
      </c>
      <c r="JT341" t="s">
        <v>425</v>
      </c>
      <c r="JU341" s="1">
        <v>41333</v>
      </c>
      <c r="JV341">
        <v>21</v>
      </c>
      <c r="JW341">
        <v>10125</v>
      </c>
      <c r="JX341" t="s">
        <v>440</v>
      </c>
      <c r="JZ341" s="1">
        <v>40688</v>
      </c>
      <c r="KA341">
        <v>2007</v>
      </c>
      <c r="KB341">
        <v>772.64</v>
      </c>
      <c r="KC341" t="s">
        <v>3890</v>
      </c>
      <c r="KD341">
        <v>10</v>
      </c>
      <c r="KE341" t="s">
        <v>424</v>
      </c>
      <c r="KF341" t="s">
        <v>425</v>
      </c>
      <c r="KG341" s="1">
        <v>41333</v>
      </c>
      <c r="KH341">
        <v>21</v>
      </c>
      <c r="KI341">
        <v>10125</v>
      </c>
      <c r="KJ341" t="s">
        <v>440</v>
      </c>
    </row>
    <row r="342" spans="1:308" x14ac:dyDescent="0.25">
      <c r="A342">
        <v>16485349</v>
      </c>
      <c r="B342">
        <v>341</v>
      </c>
      <c r="C342" t="s">
        <v>393</v>
      </c>
      <c r="D342" t="s">
        <v>394</v>
      </c>
      <c r="F342" t="str">
        <f>"14-2N-24-0000-0004-0120"</f>
        <v>14-2N-24-0000-0004-0120</v>
      </c>
      <c r="H342" t="str">
        <f>"COPE MORGAN &amp; KATHY"</f>
        <v>COPE MORGAN &amp; KATHY</v>
      </c>
      <c r="I342" t="str">
        <f>"35023 QUAIL ROAD"</f>
        <v>35023 QUAIL ROAD</v>
      </c>
      <c r="J342" t="str">
        <f t="shared" si="105"/>
        <v>CALLAHAN FL 32011</v>
      </c>
      <c r="K342" t="str">
        <f>"35023 QUAIL RD"</f>
        <v>35023 QUAIL RD</v>
      </c>
      <c r="L342" t="str">
        <f t="shared" si="100"/>
        <v>CALLAHAN FL 32011</v>
      </c>
      <c r="M342" t="str">
        <f>"PT OF SW1/4 IN OR 1188/335"</f>
        <v>PT OF SW1/4 IN OR 1188/335</v>
      </c>
      <c r="N342" t="str">
        <f>""</f>
        <v/>
      </c>
      <c r="O342" t="str">
        <f>"29875"</f>
        <v>29875</v>
      </c>
      <c r="P342" t="str">
        <f t="shared" si="101"/>
        <v>2017</v>
      </c>
      <c r="Q342" t="str">
        <f>""</f>
        <v/>
      </c>
      <c r="R342" t="str">
        <f>"Y"</f>
        <v>Y</v>
      </c>
      <c r="S342" t="str">
        <f>"1.00"</f>
        <v>1.00</v>
      </c>
      <c r="T342" t="str">
        <f>"890.12"</f>
        <v>890.12</v>
      </c>
      <c r="U342" t="str">
        <f>"97901.00"</f>
        <v>97901.00</v>
      </c>
      <c r="V342" t="str">
        <f>"97901.00"</f>
        <v>97901.00</v>
      </c>
      <c r="W342" t="str">
        <f t="shared" si="102"/>
        <v>2017</v>
      </c>
      <c r="X342" t="str">
        <f>"13.00"</f>
        <v>13.00</v>
      </c>
      <c r="Y342" t="str">
        <f>"948.82"</f>
        <v>948.82</v>
      </c>
      <c r="Z342" t="str">
        <f>"25000.00"</f>
        <v>25000.00</v>
      </c>
      <c r="AA342" t="str">
        <f>"72901.00"</f>
        <v>72901.00</v>
      </c>
      <c r="AB342" t="str">
        <f t="shared" si="110"/>
        <v>Residential</v>
      </c>
      <c r="AC342" t="str">
        <f t="shared" si="104"/>
        <v>0</v>
      </c>
      <c r="AD342" t="str">
        <f t="shared" si="108"/>
        <v>4</v>
      </c>
      <c r="AE342" t="str">
        <f t="shared" si="109"/>
        <v>WOOD (INCLUDE STEEL STUDS)</v>
      </c>
      <c r="AF342" t="str">
        <f>"001"</f>
        <v>001</v>
      </c>
      <c r="AG342" t="str">
        <f t="shared" si="107"/>
        <v>FL</v>
      </c>
      <c r="AH342" t="str">
        <f>"43560.00"</f>
        <v>43560.00</v>
      </c>
      <c r="AI342" t="str">
        <f>"15000.00"</f>
        <v>15000.00</v>
      </c>
      <c r="AJ342" t="str">
        <f>"C55-000-587-0130-1"</f>
        <v>C55-000-587-0130-1</v>
      </c>
      <c r="AK342" t="str">
        <f>"5211"</f>
        <v>5211</v>
      </c>
      <c r="AL342">
        <v>2</v>
      </c>
      <c r="AM342">
        <v>398</v>
      </c>
      <c r="AN342">
        <v>994.66</v>
      </c>
      <c r="AQ342" t="s">
        <v>3891</v>
      </c>
      <c r="AR342" t="s">
        <v>3891</v>
      </c>
      <c r="AS342" t="s">
        <v>3891</v>
      </c>
      <c r="AU342" t="s">
        <v>396</v>
      </c>
      <c r="AV342">
        <v>2017</v>
      </c>
      <c r="AW342" t="str">
        <f>"14-2N-24-0000-0004-0120 "</f>
        <v xml:space="preserve">14-2N-24-0000-0004-0120 </v>
      </c>
      <c r="AX342">
        <v>35023</v>
      </c>
      <c r="AZ342" t="s">
        <v>3860</v>
      </c>
      <c r="BA342" t="s">
        <v>496</v>
      </c>
      <c r="BD342" t="s">
        <v>2785</v>
      </c>
      <c r="BE342" t="s">
        <v>393</v>
      </c>
      <c r="BF342">
        <v>32011</v>
      </c>
      <c r="BG342" t="s">
        <v>3892</v>
      </c>
      <c r="BH342" t="s">
        <v>2787</v>
      </c>
      <c r="BI342">
        <v>-81.8833235065689</v>
      </c>
      <c r="BJ342">
        <v>30.585223557764198</v>
      </c>
      <c r="BK342" t="s">
        <v>3893</v>
      </c>
      <c r="BM342" t="s">
        <v>3894</v>
      </c>
      <c r="BN342" t="s">
        <v>928</v>
      </c>
      <c r="BO342">
        <v>32011</v>
      </c>
      <c r="BP342" t="s">
        <v>416</v>
      </c>
      <c r="BQ342">
        <v>100</v>
      </c>
      <c r="BR342" t="s">
        <v>514</v>
      </c>
      <c r="BS342">
        <v>1001</v>
      </c>
      <c r="BT342" t="s">
        <v>515</v>
      </c>
      <c r="BW342">
        <v>43560</v>
      </c>
      <c r="BX342" t="s">
        <v>407</v>
      </c>
      <c r="BY342" t="s">
        <v>408</v>
      </c>
      <c r="BZ342">
        <v>4</v>
      </c>
      <c r="CA342">
        <v>2001</v>
      </c>
      <c r="CB342">
        <v>1</v>
      </c>
      <c r="CC342">
        <v>1</v>
      </c>
      <c r="CD342">
        <v>2017</v>
      </c>
      <c r="CG342">
        <v>97901</v>
      </c>
      <c r="CH342">
        <v>2017</v>
      </c>
      <c r="CI342">
        <v>15000</v>
      </c>
      <c r="CJ342">
        <v>93358</v>
      </c>
      <c r="CK342">
        <v>108358</v>
      </c>
      <c r="CL342">
        <v>2017</v>
      </c>
      <c r="CM342">
        <v>890.12</v>
      </c>
      <c r="CN342" s="1">
        <v>37937</v>
      </c>
      <c r="CZ342" s="1">
        <v>37937</v>
      </c>
      <c r="DD342" t="s">
        <v>2785</v>
      </c>
      <c r="DG342">
        <v>14</v>
      </c>
      <c r="DL342">
        <v>50503</v>
      </c>
      <c r="DM342" t="s">
        <v>3864</v>
      </c>
      <c r="DO342" t="s">
        <v>3895</v>
      </c>
      <c r="DP342">
        <v>0</v>
      </c>
      <c r="DQ342">
        <v>0</v>
      </c>
      <c r="DR342" t="s">
        <v>411</v>
      </c>
      <c r="DS342" t="b">
        <v>1</v>
      </c>
      <c r="DT342" t="s">
        <v>470</v>
      </c>
      <c r="DU342" t="s">
        <v>471</v>
      </c>
      <c r="DV342" t="s">
        <v>472</v>
      </c>
      <c r="DX342">
        <v>-9999</v>
      </c>
      <c r="DZ342" t="s">
        <v>447</v>
      </c>
      <c r="EA342" t="s">
        <v>448</v>
      </c>
      <c r="EB342" t="s">
        <v>742</v>
      </c>
      <c r="EC342">
        <v>20101217</v>
      </c>
      <c r="ED342" t="s">
        <v>474</v>
      </c>
      <c r="EF342">
        <v>1265</v>
      </c>
      <c r="EG342">
        <v>1265</v>
      </c>
      <c r="EI342">
        <v>20160407</v>
      </c>
      <c r="EJ342">
        <v>0</v>
      </c>
      <c r="EK342">
        <v>0</v>
      </c>
      <c r="EP342" t="s">
        <v>421</v>
      </c>
      <c r="EQ342" t="s">
        <v>452</v>
      </c>
      <c r="ER342">
        <v>0</v>
      </c>
      <c r="ES342">
        <v>12</v>
      </c>
      <c r="ET342">
        <v>0</v>
      </c>
      <c r="EU342">
        <v>0</v>
      </c>
      <c r="EV342">
        <v>0</v>
      </c>
      <c r="EW342" s="2">
        <v>43222</v>
      </c>
      <c r="EX342" s="1">
        <v>42879</v>
      </c>
      <c r="EY342">
        <v>2016</v>
      </c>
      <c r="EZ342">
        <v>972.51</v>
      </c>
      <c r="FA342" t="s">
        <v>3896</v>
      </c>
      <c r="FB342">
        <v>0.25</v>
      </c>
      <c r="FC342" t="s">
        <v>424</v>
      </c>
      <c r="FD342" t="s">
        <v>425</v>
      </c>
      <c r="FE342" s="1">
        <v>43038</v>
      </c>
      <c r="FF342">
        <v>5</v>
      </c>
      <c r="FG342">
        <v>11289</v>
      </c>
      <c r="FH342" t="s">
        <v>787</v>
      </c>
      <c r="FJ342" s="1">
        <v>42879</v>
      </c>
      <c r="FK342">
        <v>2016</v>
      </c>
      <c r="FL342">
        <v>972.51</v>
      </c>
      <c r="FM342" t="s">
        <v>3896</v>
      </c>
      <c r="FN342">
        <v>0.25</v>
      </c>
      <c r="FO342" t="s">
        <v>424</v>
      </c>
      <c r="FP342" t="s">
        <v>425</v>
      </c>
      <c r="FR342">
        <v>22</v>
      </c>
      <c r="FS342">
        <v>7135510</v>
      </c>
      <c r="FT342" t="s">
        <v>3897</v>
      </c>
      <c r="FV342" s="1">
        <v>42515</v>
      </c>
      <c r="FW342">
        <v>2015</v>
      </c>
      <c r="FX342">
        <v>984.38</v>
      </c>
      <c r="FY342" t="s">
        <v>3898</v>
      </c>
      <c r="FZ342">
        <v>0.25</v>
      </c>
      <c r="GA342" t="s">
        <v>424</v>
      </c>
      <c r="GB342" t="s">
        <v>425</v>
      </c>
      <c r="GC342" s="1">
        <v>42752</v>
      </c>
      <c r="GD342">
        <v>8</v>
      </c>
      <c r="GE342">
        <v>7336671</v>
      </c>
      <c r="GF342" t="s">
        <v>437</v>
      </c>
      <c r="GH342" s="1">
        <v>42515</v>
      </c>
      <c r="GI342">
        <v>2015</v>
      </c>
      <c r="GJ342">
        <v>984.38</v>
      </c>
      <c r="GK342" t="s">
        <v>3898</v>
      </c>
      <c r="GL342">
        <v>0.25</v>
      </c>
      <c r="GM342" t="s">
        <v>424</v>
      </c>
      <c r="GN342" t="s">
        <v>425</v>
      </c>
      <c r="GP342">
        <v>22</v>
      </c>
      <c r="GQ342">
        <v>6837277</v>
      </c>
      <c r="GR342" t="s">
        <v>3899</v>
      </c>
      <c r="GT342" s="1">
        <v>42151</v>
      </c>
      <c r="GU342">
        <v>2014</v>
      </c>
      <c r="GV342">
        <v>977.05</v>
      </c>
      <c r="GW342" t="s">
        <v>3900</v>
      </c>
      <c r="GX342">
        <v>0.25</v>
      </c>
      <c r="GY342" t="s">
        <v>424</v>
      </c>
      <c r="GZ342" t="s">
        <v>425</v>
      </c>
      <c r="HA342" s="1">
        <v>42394</v>
      </c>
      <c r="HB342">
        <v>8</v>
      </c>
      <c r="HC342">
        <v>4844983</v>
      </c>
      <c r="HD342" t="s">
        <v>3901</v>
      </c>
      <c r="HF342" s="1">
        <v>42151</v>
      </c>
      <c r="HG342">
        <v>2014</v>
      </c>
      <c r="HH342">
        <v>977.05</v>
      </c>
      <c r="HI342" t="s">
        <v>3900</v>
      </c>
      <c r="HJ342">
        <v>0.25</v>
      </c>
      <c r="HK342" t="s">
        <v>424</v>
      </c>
      <c r="HL342" t="s">
        <v>425</v>
      </c>
      <c r="HN342">
        <v>22</v>
      </c>
      <c r="HO342">
        <v>6052190</v>
      </c>
      <c r="HP342" t="s">
        <v>3902</v>
      </c>
      <c r="HR342" s="1">
        <v>41787</v>
      </c>
      <c r="HS342">
        <v>2013</v>
      </c>
      <c r="HT342">
        <v>917.7</v>
      </c>
      <c r="HU342" t="s">
        <v>3903</v>
      </c>
      <c r="HV342">
        <v>0.25</v>
      </c>
      <c r="HW342" t="s">
        <v>424</v>
      </c>
      <c r="HX342" t="s">
        <v>425</v>
      </c>
      <c r="HZ342">
        <v>22</v>
      </c>
      <c r="IA342">
        <v>11289</v>
      </c>
      <c r="IB342" t="s">
        <v>787</v>
      </c>
      <c r="IC342" t="s">
        <v>458</v>
      </c>
      <c r="ID342" s="1">
        <v>41787</v>
      </c>
      <c r="IE342">
        <v>2013</v>
      </c>
      <c r="IF342">
        <v>917.7</v>
      </c>
      <c r="IG342" t="s">
        <v>3903</v>
      </c>
      <c r="IH342">
        <v>0.25</v>
      </c>
      <c r="II342" t="s">
        <v>424</v>
      </c>
      <c r="IJ342" t="s">
        <v>425</v>
      </c>
      <c r="IK342" s="1">
        <v>41927</v>
      </c>
      <c r="IL342">
        <v>5</v>
      </c>
      <c r="IM342">
        <v>4844954</v>
      </c>
      <c r="IN342" t="s">
        <v>1719</v>
      </c>
      <c r="IO342" t="s">
        <v>458</v>
      </c>
      <c r="IP342" s="1">
        <v>41423</v>
      </c>
      <c r="IQ342">
        <v>2012</v>
      </c>
      <c r="IR342">
        <v>1032.48</v>
      </c>
      <c r="IS342" t="s">
        <v>3904</v>
      </c>
      <c r="IT342">
        <v>0.25</v>
      </c>
      <c r="IU342" t="s">
        <v>424</v>
      </c>
      <c r="IV342" t="s">
        <v>425</v>
      </c>
      <c r="IW342" s="1">
        <v>41927</v>
      </c>
      <c r="IX342">
        <v>17</v>
      </c>
      <c r="IY342">
        <v>15398</v>
      </c>
      <c r="IZ342" t="s">
        <v>1180</v>
      </c>
      <c r="JA342" t="s">
        <v>458</v>
      </c>
      <c r="JB342" s="1">
        <v>41052</v>
      </c>
      <c r="JC342">
        <v>2011</v>
      </c>
      <c r="JD342">
        <v>1058.46</v>
      </c>
      <c r="JE342" t="s">
        <v>3905</v>
      </c>
      <c r="JF342">
        <v>0.25</v>
      </c>
      <c r="JG342" t="s">
        <v>424</v>
      </c>
      <c r="JH342" t="s">
        <v>425</v>
      </c>
      <c r="JJ342">
        <v>22</v>
      </c>
      <c r="JK342">
        <v>1124</v>
      </c>
      <c r="JL342" t="s">
        <v>3142</v>
      </c>
      <c r="JM342" t="s">
        <v>458</v>
      </c>
      <c r="JN342" s="1">
        <v>41052</v>
      </c>
      <c r="JO342">
        <v>2011</v>
      </c>
      <c r="JP342">
        <v>1058.46</v>
      </c>
      <c r="JQ342" t="s">
        <v>3905</v>
      </c>
      <c r="JR342">
        <v>0.25</v>
      </c>
      <c r="JS342" t="s">
        <v>424</v>
      </c>
      <c r="JT342" t="s">
        <v>425</v>
      </c>
      <c r="JV342">
        <v>22</v>
      </c>
      <c r="JW342">
        <v>11287</v>
      </c>
      <c r="JX342" t="s">
        <v>511</v>
      </c>
      <c r="JY342" t="s">
        <v>458</v>
      </c>
      <c r="JZ342" s="1">
        <v>40688</v>
      </c>
      <c r="KA342">
        <v>2010</v>
      </c>
      <c r="KB342">
        <v>1098.43</v>
      </c>
      <c r="KC342" t="s">
        <v>3906</v>
      </c>
      <c r="KD342">
        <v>0.25</v>
      </c>
      <c r="KE342" t="s">
        <v>424</v>
      </c>
      <c r="KF342" t="s">
        <v>425</v>
      </c>
      <c r="KG342" s="1">
        <v>41332</v>
      </c>
      <c r="KH342">
        <v>21</v>
      </c>
      <c r="KI342">
        <v>11177</v>
      </c>
      <c r="KJ342" t="s">
        <v>650</v>
      </c>
    </row>
    <row r="343" spans="1:308" x14ac:dyDescent="0.25">
      <c r="A343">
        <v>16485350</v>
      </c>
      <c r="B343">
        <v>342</v>
      </c>
      <c r="C343" t="s">
        <v>393</v>
      </c>
      <c r="D343" t="s">
        <v>394</v>
      </c>
      <c r="F343" t="str">
        <f>"23-2N-24-0000-0001-0220"</f>
        <v>23-2N-24-0000-0001-0220</v>
      </c>
      <c r="H343" t="str">
        <f>"FRESHWATER CHARLES &amp; JENNIFER"</f>
        <v>FRESHWATER CHARLES &amp; JENNIFER</v>
      </c>
      <c r="I343" t="str">
        <f>"PO BOX 51047"</f>
        <v>PO BOX 51047</v>
      </c>
      <c r="J343" t="str">
        <f>"JACKSONVILLE BEACH FL 32240"</f>
        <v>JACKSONVILLE BEACH FL 32240</v>
      </c>
      <c r="K343" t="str">
        <f>"QUAIL RD"</f>
        <v>QUAIL RD</v>
      </c>
      <c r="L343" t="str">
        <f t="shared" si="100"/>
        <v>CALLAHAN FL 32011</v>
      </c>
      <c r="M343" t="str">
        <f>"PT OF NE1/4 IN OR 1572/476"</f>
        <v>PT OF NE1/4 IN OR 1572/476</v>
      </c>
      <c r="N343" t="str">
        <f>""</f>
        <v/>
      </c>
      <c r="O343" t="str">
        <f>"34111"</f>
        <v>34111</v>
      </c>
      <c r="P343" t="str">
        <f t="shared" si="101"/>
        <v>2017</v>
      </c>
      <c r="Q343" t="str">
        <f>""</f>
        <v/>
      </c>
      <c r="R343" t="str">
        <f>"N"</f>
        <v>N</v>
      </c>
      <c r="S343" t="str">
        <f>"1.52"</f>
        <v>1.52</v>
      </c>
      <c r="T343" t="str">
        <f>"314.58"</f>
        <v>314.58</v>
      </c>
      <c r="U343" t="str">
        <f>"19219.00"</f>
        <v>19219.00</v>
      </c>
      <c r="V343" t="str">
        <f>"19219.00"</f>
        <v>19219.00</v>
      </c>
      <c r="W343" t="str">
        <f t="shared" si="102"/>
        <v>2017</v>
      </c>
      <c r="X343" t="str">
        <f>"3.00"</f>
        <v>3.00</v>
      </c>
      <c r="Y343" t="str">
        <f>"356.02"</f>
        <v>356.02</v>
      </c>
      <c r="Z343" t="str">
        <f>""</f>
        <v/>
      </c>
      <c r="AA343" t="str">
        <f>"22800.00"</f>
        <v>22800.00</v>
      </c>
      <c r="AB343" t="str">
        <f t="shared" si="110"/>
        <v>Residential</v>
      </c>
      <c r="AC343" t="str">
        <f t="shared" si="104"/>
        <v>0</v>
      </c>
      <c r="AD343" t="str">
        <f>""</f>
        <v/>
      </c>
      <c r="AE343" t="str">
        <f>""</f>
        <v/>
      </c>
      <c r="AF343" t="str">
        <f>"000"</f>
        <v>000</v>
      </c>
      <c r="AG343" t="str">
        <f t="shared" si="107"/>
        <v>FL</v>
      </c>
      <c r="AH343" t="str">
        <f>"66211.00"</f>
        <v>66211.00</v>
      </c>
      <c r="AI343" t="str">
        <f>"22800.00"</f>
        <v>22800.00</v>
      </c>
      <c r="AJ343" t="str">
        <f>"C55-001-026-2108-3"</f>
        <v>C55-001-026-2108-3</v>
      </c>
      <c r="AK343" t="str">
        <f>"5241"</f>
        <v>5241</v>
      </c>
      <c r="AL343">
        <v>2</v>
      </c>
      <c r="AM343">
        <v>400</v>
      </c>
      <c r="AN343">
        <v>372.22</v>
      </c>
      <c r="AQ343" t="s">
        <v>3907</v>
      </c>
      <c r="AR343" t="s">
        <v>3907</v>
      </c>
      <c r="AS343" t="s">
        <v>3907</v>
      </c>
      <c r="AU343" t="s">
        <v>396</v>
      </c>
      <c r="AV343">
        <v>2017</v>
      </c>
      <c r="AW343" t="str">
        <f>"23-2N-24-0000-0001-0220 "</f>
        <v xml:space="preserve">23-2N-24-0000-0001-0220 </v>
      </c>
      <c r="AZ343" t="s">
        <v>3860</v>
      </c>
      <c r="BA343" t="s">
        <v>496</v>
      </c>
      <c r="BD343" t="s">
        <v>2785</v>
      </c>
      <c r="BE343" t="s">
        <v>393</v>
      </c>
      <c r="BF343">
        <v>32011</v>
      </c>
      <c r="BG343" t="s">
        <v>3908</v>
      </c>
      <c r="BH343" t="s">
        <v>2787</v>
      </c>
      <c r="BI343">
        <v>-81.868036506115004</v>
      </c>
      <c r="BJ343">
        <v>30.576948456896201</v>
      </c>
      <c r="BK343" t="s">
        <v>3909</v>
      </c>
      <c r="BL343" t="s">
        <v>3910</v>
      </c>
      <c r="BM343" t="s">
        <v>3911</v>
      </c>
      <c r="BN343" t="s">
        <v>3912</v>
      </c>
      <c r="BO343">
        <v>32240</v>
      </c>
      <c r="BP343" t="s">
        <v>404</v>
      </c>
      <c r="BQ343">
        <v>0</v>
      </c>
      <c r="BR343" t="s">
        <v>491</v>
      </c>
      <c r="BS343">
        <v>8001</v>
      </c>
      <c r="BT343" t="s">
        <v>492</v>
      </c>
      <c r="BW343">
        <v>66211</v>
      </c>
      <c r="BX343" t="s">
        <v>407</v>
      </c>
      <c r="BY343" t="s">
        <v>408</v>
      </c>
      <c r="CD343">
        <v>2017</v>
      </c>
      <c r="CE343">
        <v>22800</v>
      </c>
      <c r="CG343">
        <v>22800</v>
      </c>
      <c r="CH343">
        <v>2017</v>
      </c>
      <c r="CI343">
        <v>22800</v>
      </c>
      <c r="CK343">
        <v>22800</v>
      </c>
      <c r="CL343">
        <v>2017</v>
      </c>
      <c r="CM343">
        <v>314.58</v>
      </c>
      <c r="CN343" s="1">
        <v>39616</v>
      </c>
      <c r="CZ343" s="1">
        <v>39616</v>
      </c>
      <c r="DD343" t="s">
        <v>2785</v>
      </c>
      <c r="DG343">
        <v>23</v>
      </c>
      <c r="DL343">
        <v>50503</v>
      </c>
      <c r="DM343" t="s">
        <v>3913</v>
      </c>
      <c r="DO343" t="s">
        <v>3914</v>
      </c>
      <c r="DP343">
        <v>0</v>
      </c>
      <c r="DQ343">
        <v>0</v>
      </c>
      <c r="DR343" t="s">
        <v>411</v>
      </c>
      <c r="EP343" t="s">
        <v>421</v>
      </c>
      <c r="EQ343" t="s">
        <v>422</v>
      </c>
      <c r="ER343">
        <v>0</v>
      </c>
      <c r="ES343">
        <v>1</v>
      </c>
      <c r="ET343">
        <v>0</v>
      </c>
      <c r="EU343">
        <v>0</v>
      </c>
      <c r="EV343">
        <v>0</v>
      </c>
      <c r="EW343" s="2">
        <v>43222</v>
      </c>
      <c r="EX343" s="1">
        <v>40688</v>
      </c>
      <c r="EY343">
        <v>2010</v>
      </c>
      <c r="EZ343">
        <v>337.21</v>
      </c>
      <c r="FA343" t="s">
        <v>3915</v>
      </c>
      <c r="FB343">
        <v>8.25</v>
      </c>
      <c r="FC343" t="s">
        <v>424</v>
      </c>
      <c r="FD343" t="s">
        <v>425</v>
      </c>
      <c r="FE343" s="1">
        <v>40820</v>
      </c>
      <c r="FF343">
        <v>5</v>
      </c>
      <c r="FG343">
        <v>10548</v>
      </c>
      <c r="FH343" t="s">
        <v>589</v>
      </c>
    </row>
    <row r="344" spans="1:308" x14ac:dyDescent="0.25">
      <c r="A344">
        <v>16485351</v>
      </c>
      <c r="B344">
        <v>343</v>
      </c>
      <c r="C344" t="s">
        <v>393</v>
      </c>
      <c r="D344" t="s">
        <v>394</v>
      </c>
      <c r="F344" t="str">
        <f>"24-2N-24-0000-0011-0000"</f>
        <v>24-2N-24-0000-0011-0000</v>
      </c>
      <c r="H344" t="str">
        <f>"JOHNSON JOHN K III &amp; TAMMY R"</f>
        <v>JOHNSON JOHN K III &amp; TAMMY R</v>
      </c>
      <c r="I344" t="str">
        <f>"35739 QUAIL RD"</f>
        <v>35739 QUAIL RD</v>
      </c>
      <c r="J344" t="str">
        <f>"CALLAHAN FL 32011"</f>
        <v>CALLAHAN FL 32011</v>
      </c>
      <c r="K344" t="str">
        <f>"6029 QUAIL RD"</f>
        <v>6029 QUAIL RD</v>
      </c>
      <c r="L344" t="str">
        <f t="shared" si="100"/>
        <v>CALLAHAN FL 32011</v>
      </c>
      <c r="M344" t="str">
        <f>"IN OR 1945/1098 (EX 11-1 &amp; 11-2) (EX R/W OR 247/161)"</f>
        <v>IN OR 1945/1098 (EX 11-1 &amp; 11-2) (EX R/W OR 247/161)</v>
      </c>
      <c r="N344" t="str">
        <f>""</f>
        <v/>
      </c>
      <c r="O344" t="str">
        <f>"34600"</f>
        <v>34600</v>
      </c>
      <c r="P344" t="str">
        <f t="shared" si="101"/>
        <v>2017</v>
      </c>
      <c r="Q344" t="str">
        <f>""</f>
        <v/>
      </c>
      <c r="R344" t="str">
        <f>"N"</f>
        <v>N</v>
      </c>
      <c r="S344" t="str">
        <f>"8.66"</f>
        <v>8.66</v>
      </c>
      <c r="T344" t="str">
        <f>"406.17"</f>
        <v>406.17</v>
      </c>
      <c r="U344" t="str">
        <f>"26829.00"</f>
        <v>26829.00</v>
      </c>
      <c r="V344" t="str">
        <f>"26829.00"</f>
        <v>26829.00</v>
      </c>
      <c r="W344" t="str">
        <f t="shared" si="102"/>
        <v>2017</v>
      </c>
      <c r="X344" t="str">
        <f>"13.00"</f>
        <v>13.00</v>
      </c>
      <c r="Y344" t="str">
        <f>"450.36"</f>
        <v>450.36</v>
      </c>
      <c r="Z344" t="str">
        <f>""</f>
        <v/>
      </c>
      <c r="AA344" t="str">
        <f>"26829.00"</f>
        <v>26829.00</v>
      </c>
      <c r="AB344" t="str">
        <f t="shared" si="110"/>
        <v>Residential</v>
      </c>
      <c r="AC344" t="str">
        <f t="shared" si="104"/>
        <v>0</v>
      </c>
      <c r="AD344" t="str">
        <f>""</f>
        <v/>
      </c>
      <c r="AE344" t="str">
        <f>""</f>
        <v/>
      </c>
      <c r="AF344" t="str">
        <f>"000"</f>
        <v>000</v>
      </c>
      <c r="AG344" t="str">
        <f t="shared" si="107"/>
        <v>FL</v>
      </c>
      <c r="AH344" t="str">
        <f>"377229.00"</f>
        <v>377229.00</v>
      </c>
      <c r="AI344" t="str">
        <f>"25980.00"</f>
        <v>25980.00</v>
      </c>
      <c r="AJ344" t="str">
        <f>"C55-000-587-3631-5"</f>
        <v>C55-000-587-3631-5</v>
      </c>
      <c r="AK344" t="str">
        <f>"5292"</f>
        <v>5292</v>
      </c>
      <c r="AL344">
        <v>2</v>
      </c>
      <c r="AM344">
        <v>401</v>
      </c>
      <c r="AN344">
        <v>471.28</v>
      </c>
      <c r="AQ344" t="s">
        <v>3916</v>
      </c>
      <c r="AR344" t="s">
        <v>3916</v>
      </c>
      <c r="AS344" t="s">
        <v>3916</v>
      </c>
      <c r="AU344" t="s">
        <v>396</v>
      </c>
      <c r="AV344">
        <v>2017</v>
      </c>
      <c r="AW344" t="str">
        <f>"24-2N-24-0000-0011-0000 "</f>
        <v xml:space="preserve">24-2N-24-0000-0011-0000 </v>
      </c>
      <c r="AX344">
        <v>6029</v>
      </c>
      <c r="AZ344" t="s">
        <v>3860</v>
      </c>
      <c r="BA344" t="s">
        <v>496</v>
      </c>
      <c r="BD344" t="s">
        <v>2785</v>
      </c>
      <c r="BE344" t="s">
        <v>393</v>
      </c>
      <c r="BF344">
        <v>32011</v>
      </c>
      <c r="BG344" t="s">
        <v>3917</v>
      </c>
      <c r="BH344" t="s">
        <v>2787</v>
      </c>
      <c r="BI344">
        <v>-81.852324222525397</v>
      </c>
      <c r="BJ344">
        <v>30.578633596513001</v>
      </c>
      <c r="BK344" t="s">
        <v>3918</v>
      </c>
      <c r="BL344" t="s">
        <v>3919</v>
      </c>
      <c r="BM344" t="s">
        <v>3920</v>
      </c>
      <c r="BN344" t="s">
        <v>928</v>
      </c>
      <c r="BO344">
        <v>32011</v>
      </c>
      <c r="BP344" t="s">
        <v>404</v>
      </c>
      <c r="BQ344">
        <v>1</v>
      </c>
      <c r="BR344" t="s">
        <v>491</v>
      </c>
      <c r="BS344">
        <v>8001</v>
      </c>
      <c r="BT344" t="s">
        <v>492</v>
      </c>
      <c r="BW344">
        <v>377229</v>
      </c>
      <c r="BX344" t="s">
        <v>407</v>
      </c>
      <c r="CD344">
        <v>2017</v>
      </c>
      <c r="CE344">
        <v>25980</v>
      </c>
      <c r="CF344">
        <v>849</v>
      </c>
      <c r="CG344">
        <v>26829</v>
      </c>
      <c r="CH344">
        <v>2017</v>
      </c>
      <c r="CI344">
        <v>25980</v>
      </c>
      <c r="CJ344">
        <v>849</v>
      </c>
      <c r="CK344">
        <v>26829</v>
      </c>
      <c r="CL344">
        <v>2017</v>
      </c>
      <c r="CM344">
        <v>406.17</v>
      </c>
      <c r="CN344" s="1">
        <v>41943</v>
      </c>
      <c r="CZ344" s="1">
        <v>41943</v>
      </c>
      <c r="DD344" t="s">
        <v>2785</v>
      </c>
      <c r="DG344">
        <v>24</v>
      </c>
      <c r="DL344">
        <v>50503</v>
      </c>
      <c r="DM344" t="s">
        <v>3921</v>
      </c>
      <c r="DO344" t="s">
        <v>3922</v>
      </c>
      <c r="DP344">
        <v>0</v>
      </c>
      <c r="DQ344">
        <v>0</v>
      </c>
      <c r="DR344" t="s">
        <v>411</v>
      </c>
      <c r="DS344" t="b">
        <v>1</v>
      </c>
      <c r="DT344" t="s">
        <v>470</v>
      </c>
      <c r="DU344" t="s">
        <v>471</v>
      </c>
      <c r="DV344" t="s">
        <v>472</v>
      </c>
      <c r="DX344">
        <v>-9999</v>
      </c>
      <c r="DZ344" t="s">
        <v>447</v>
      </c>
      <c r="EA344" t="s">
        <v>448</v>
      </c>
      <c r="EB344" t="s">
        <v>742</v>
      </c>
      <c r="EC344">
        <v>20101217</v>
      </c>
      <c r="ED344" t="s">
        <v>474</v>
      </c>
      <c r="EF344">
        <v>51.8</v>
      </c>
      <c r="EG344">
        <v>51.8</v>
      </c>
      <c r="EI344">
        <v>20160407</v>
      </c>
      <c r="EJ344">
        <v>0</v>
      </c>
      <c r="EK344">
        <v>0</v>
      </c>
      <c r="EP344" t="s">
        <v>421</v>
      </c>
      <c r="EQ344" t="s">
        <v>422</v>
      </c>
      <c r="ER344">
        <v>2</v>
      </c>
      <c r="ES344">
        <v>4</v>
      </c>
      <c r="ET344">
        <v>950.68</v>
      </c>
      <c r="EU344">
        <v>167.64</v>
      </c>
      <c r="EV344">
        <v>1118.32</v>
      </c>
      <c r="EW344" s="2">
        <v>43222</v>
      </c>
      <c r="EX344" s="1">
        <v>42879</v>
      </c>
      <c r="EY344">
        <v>2016</v>
      </c>
      <c r="EZ344">
        <v>472.43</v>
      </c>
      <c r="FA344" t="s">
        <v>3923</v>
      </c>
      <c r="FB344">
        <v>4.75</v>
      </c>
      <c r="FC344" t="s">
        <v>424</v>
      </c>
      <c r="FD344" t="s">
        <v>454</v>
      </c>
      <c r="FF344">
        <v>12</v>
      </c>
      <c r="FG344">
        <v>10021</v>
      </c>
      <c r="FH344" t="s">
        <v>597</v>
      </c>
      <c r="FJ344" s="1">
        <v>42515</v>
      </c>
      <c r="FK344">
        <v>2015</v>
      </c>
      <c r="FL344">
        <v>478.25</v>
      </c>
      <c r="FM344" t="s">
        <v>3924</v>
      </c>
      <c r="FN344">
        <v>13.75</v>
      </c>
      <c r="FO344" t="s">
        <v>424</v>
      </c>
      <c r="FP344" t="s">
        <v>454</v>
      </c>
      <c r="FR344">
        <v>24</v>
      </c>
      <c r="FS344">
        <v>10125</v>
      </c>
      <c r="FT344" t="s">
        <v>440</v>
      </c>
      <c r="FV344" s="1">
        <v>42151</v>
      </c>
      <c r="FW344">
        <v>2014</v>
      </c>
      <c r="FX344">
        <v>480.56</v>
      </c>
      <c r="FY344" t="s">
        <v>3925</v>
      </c>
      <c r="FZ344">
        <v>4.75</v>
      </c>
      <c r="GA344" t="s">
        <v>424</v>
      </c>
      <c r="GB344" t="s">
        <v>425</v>
      </c>
      <c r="GC344" s="1">
        <v>42793</v>
      </c>
      <c r="GD344">
        <v>21</v>
      </c>
      <c r="GE344">
        <v>4975593</v>
      </c>
      <c r="GF344" t="s">
        <v>505</v>
      </c>
      <c r="GH344" s="1">
        <v>41423</v>
      </c>
      <c r="GI344">
        <v>2012</v>
      </c>
      <c r="GJ344">
        <v>514.64</v>
      </c>
      <c r="GK344" t="s">
        <v>3926</v>
      </c>
      <c r="GL344">
        <v>4.75</v>
      </c>
      <c r="GM344" t="s">
        <v>424</v>
      </c>
      <c r="GN344" t="s">
        <v>425</v>
      </c>
      <c r="GO344" s="1">
        <v>41613</v>
      </c>
      <c r="GP344">
        <v>7</v>
      </c>
      <c r="GQ344">
        <v>15407</v>
      </c>
      <c r="GR344" t="s">
        <v>1134</v>
      </c>
      <c r="GT344" s="1">
        <v>41052</v>
      </c>
      <c r="GU344">
        <v>2011</v>
      </c>
      <c r="GV344">
        <v>515.24</v>
      </c>
      <c r="GW344" t="s">
        <v>3927</v>
      </c>
      <c r="GX344">
        <v>5.75</v>
      </c>
      <c r="GY344" t="s">
        <v>424</v>
      </c>
      <c r="GZ344" t="s">
        <v>425</v>
      </c>
      <c r="HA344" s="1">
        <v>41613</v>
      </c>
      <c r="HB344">
        <v>19</v>
      </c>
      <c r="HC344">
        <v>10125</v>
      </c>
      <c r="HD344" t="s">
        <v>440</v>
      </c>
      <c r="HF344" s="1">
        <v>40688</v>
      </c>
      <c r="HG344">
        <v>2010</v>
      </c>
      <c r="HH344">
        <v>571.41999999999996</v>
      </c>
      <c r="HI344" t="s">
        <v>3928</v>
      </c>
      <c r="HJ344">
        <v>9.75</v>
      </c>
      <c r="HK344" t="s">
        <v>424</v>
      </c>
      <c r="HL344" t="s">
        <v>425</v>
      </c>
      <c r="HM344" s="1">
        <v>40794</v>
      </c>
      <c r="HN344">
        <v>4</v>
      </c>
      <c r="HO344">
        <v>375</v>
      </c>
      <c r="HP344" t="s">
        <v>776</v>
      </c>
    </row>
    <row r="345" spans="1:308" x14ac:dyDescent="0.25">
      <c r="A345">
        <v>16485352</v>
      </c>
      <c r="B345">
        <v>344</v>
      </c>
      <c r="C345" t="s">
        <v>393</v>
      </c>
      <c r="D345" t="s">
        <v>394</v>
      </c>
      <c r="F345" t="str">
        <f>"24-2N-24-0000-0012-0010"</f>
        <v>24-2N-24-0000-0012-0010</v>
      </c>
      <c r="H345" t="str">
        <f>"CLINE MARK ALLEN"</f>
        <v>CLINE MARK ALLEN</v>
      </c>
      <c r="I345" t="str">
        <f>"35752 QUAIL ROAD"</f>
        <v>35752 QUAIL ROAD</v>
      </c>
      <c r="J345" t="str">
        <f>"CALLAHAN FL 32011"</f>
        <v>CALLAHAN FL 32011</v>
      </c>
      <c r="K345" t="str">
        <f>"35752 QUAIL RD"</f>
        <v>35752 QUAIL RD</v>
      </c>
      <c r="L345" t="str">
        <f t="shared" si="100"/>
        <v>CALLAHAN FL 32011</v>
      </c>
      <c r="M345" t="str">
        <f>"PT OF E1/2 OF SE1/4 OF NE1/4 IN OR 1887/1468"</f>
        <v>PT OF E1/2 OF SE1/4 OF NE1/4 IN OR 1887/1468</v>
      </c>
      <c r="N345" t="str">
        <f>""</f>
        <v/>
      </c>
      <c r="O345" t="str">
        <f>"34605"</f>
        <v>34605</v>
      </c>
      <c r="P345" t="str">
        <f t="shared" si="101"/>
        <v>2017</v>
      </c>
      <c r="Q345" t="str">
        <f>""</f>
        <v/>
      </c>
      <c r="R345" t="str">
        <f>"N"</f>
        <v>N</v>
      </c>
      <c r="S345" t="str">
        <f>"2.87"</f>
        <v>2.87</v>
      </c>
      <c r="T345" t="str">
        <f>"1289.29"</f>
        <v>1289.29</v>
      </c>
      <c r="U345" t="str">
        <f>"82766.00"</f>
        <v>82766.00</v>
      </c>
      <c r="V345" t="str">
        <f>"82766.00"</f>
        <v>82766.00</v>
      </c>
      <c r="W345" t="str">
        <f t="shared" si="102"/>
        <v>2017</v>
      </c>
      <c r="X345" t="str">
        <f>"21.20"</f>
        <v>21.20</v>
      </c>
      <c r="Y345" t="str">
        <f>"1359.97"</f>
        <v>1359.97</v>
      </c>
      <c r="Z345" t="str">
        <f>""</f>
        <v/>
      </c>
      <c r="AA345" t="str">
        <f>"88268.00"</f>
        <v>88268.00</v>
      </c>
      <c r="AB345" t="str">
        <f t="shared" si="110"/>
        <v>Residential</v>
      </c>
      <c r="AC345" t="str">
        <f t="shared" si="104"/>
        <v>0</v>
      </c>
      <c r="AD345" t="str">
        <f>"4"</f>
        <v>4</v>
      </c>
      <c r="AE345" t="str">
        <f>"WOOD (INCLUDE STEEL STUDS)"</f>
        <v>WOOD (INCLUDE STEEL STUDS)</v>
      </c>
      <c r="AF345" t="str">
        <f>"002"</f>
        <v>002</v>
      </c>
      <c r="AG345" t="str">
        <f t="shared" si="107"/>
        <v>FL</v>
      </c>
      <c r="AH345" t="str">
        <f>"125017.00"</f>
        <v>125017.00</v>
      </c>
      <c r="AI345" t="str">
        <f>"43050.00"</f>
        <v>43050.00</v>
      </c>
      <c r="AJ345" t="str">
        <f>"C55-000-587-3636-4"</f>
        <v>C55-000-587-3636-4</v>
      </c>
      <c r="AK345" t="str">
        <f>"5297"</f>
        <v>5297</v>
      </c>
      <c r="AL345">
        <v>2</v>
      </c>
      <c r="AM345">
        <v>402</v>
      </c>
      <c r="AN345">
        <v>1426.37</v>
      </c>
      <c r="AQ345" t="s">
        <v>3929</v>
      </c>
      <c r="AR345" t="s">
        <v>3929</v>
      </c>
      <c r="AS345" t="s">
        <v>3929</v>
      </c>
      <c r="AU345" t="s">
        <v>396</v>
      </c>
      <c r="AV345">
        <v>2017</v>
      </c>
      <c r="AW345" t="str">
        <f>"24-2N-24-0000-0012-0010 "</f>
        <v xml:space="preserve">24-2N-24-0000-0012-0010 </v>
      </c>
      <c r="AX345">
        <v>35752</v>
      </c>
      <c r="AZ345" t="s">
        <v>3860</v>
      </c>
      <c r="BA345" t="s">
        <v>496</v>
      </c>
      <c r="BD345" t="s">
        <v>2785</v>
      </c>
      <c r="BE345" t="s">
        <v>393</v>
      </c>
      <c r="BF345">
        <v>32011</v>
      </c>
      <c r="BG345" t="s">
        <v>3930</v>
      </c>
      <c r="BH345" t="s">
        <v>2787</v>
      </c>
      <c r="BI345">
        <v>-81.851762218041102</v>
      </c>
      <c r="BJ345">
        <v>30.576305735382299</v>
      </c>
      <c r="BK345" t="s">
        <v>3931</v>
      </c>
      <c r="BM345" t="s">
        <v>3932</v>
      </c>
      <c r="BN345" t="s">
        <v>928</v>
      </c>
      <c r="BO345">
        <v>32011</v>
      </c>
      <c r="BP345" t="s">
        <v>416</v>
      </c>
      <c r="BQ345">
        <v>200</v>
      </c>
      <c r="BR345" t="s">
        <v>405</v>
      </c>
      <c r="BS345">
        <v>1006</v>
      </c>
      <c r="BT345" t="s">
        <v>406</v>
      </c>
      <c r="BW345">
        <v>81457</v>
      </c>
      <c r="BX345" t="s">
        <v>407</v>
      </c>
      <c r="BY345" t="s">
        <v>408</v>
      </c>
      <c r="BZ345">
        <v>4</v>
      </c>
      <c r="CA345">
        <v>1999</v>
      </c>
      <c r="CC345">
        <v>1</v>
      </c>
      <c r="CD345">
        <v>2017</v>
      </c>
      <c r="CE345">
        <v>43050</v>
      </c>
      <c r="CF345">
        <v>45218</v>
      </c>
      <c r="CG345">
        <v>88268</v>
      </c>
      <c r="CH345">
        <v>2017</v>
      </c>
      <c r="CI345">
        <v>43050</v>
      </c>
      <c r="CJ345">
        <v>45218</v>
      </c>
      <c r="CK345">
        <v>88268</v>
      </c>
      <c r="CL345">
        <v>2017</v>
      </c>
      <c r="CM345">
        <v>1289.29</v>
      </c>
      <c r="CN345" s="1">
        <v>41576</v>
      </c>
      <c r="CZ345" s="1">
        <v>41576</v>
      </c>
      <c r="DD345" t="s">
        <v>2785</v>
      </c>
      <c r="DG345">
        <v>24</v>
      </c>
      <c r="DL345">
        <v>50503</v>
      </c>
      <c r="DM345" t="s">
        <v>3921</v>
      </c>
      <c r="DO345" t="s">
        <v>3933</v>
      </c>
      <c r="DP345">
        <v>0</v>
      </c>
      <c r="DQ345">
        <v>0</v>
      </c>
      <c r="DR345" t="s">
        <v>411</v>
      </c>
      <c r="DS345" t="b">
        <v>1</v>
      </c>
      <c r="DT345" t="s">
        <v>396</v>
      </c>
      <c r="DV345" t="s">
        <v>446</v>
      </c>
      <c r="DX345">
        <v>-9999</v>
      </c>
      <c r="DZ345" t="s">
        <v>447</v>
      </c>
      <c r="EA345" t="s">
        <v>448</v>
      </c>
      <c r="EB345" t="s">
        <v>449</v>
      </c>
      <c r="EC345">
        <v>20101217</v>
      </c>
      <c r="ED345" t="s">
        <v>450</v>
      </c>
      <c r="EE345">
        <v>17.600000000000001</v>
      </c>
      <c r="EF345">
        <v>0</v>
      </c>
      <c r="EG345">
        <v>0</v>
      </c>
      <c r="EH345" t="s">
        <v>451</v>
      </c>
      <c r="EI345">
        <v>20140731</v>
      </c>
      <c r="EJ345">
        <v>0</v>
      </c>
      <c r="EK345">
        <v>0</v>
      </c>
      <c r="EP345" t="s">
        <v>421</v>
      </c>
      <c r="EQ345" t="s">
        <v>452</v>
      </c>
      <c r="ER345">
        <v>0</v>
      </c>
      <c r="ES345">
        <v>6</v>
      </c>
      <c r="ET345">
        <v>0</v>
      </c>
      <c r="EU345">
        <v>0</v>
      </c>
      <c r="EV345">
        <v>0</v>
      </c>
      <c r="EW345" s="2">
        <v>43222</v>
      </c>
      <c r="EX345" s="1">
        <v>42151</v>
      </c>
      <c r="EY345">
        <v>2014</v>
      </c>
      <c r="EZ345">
        <v>1152.28</v>
      </c>
      <c r="FA345" t="s">
        <v>3934</v>
      </c>
      <c r="FB345">
        <v>0.25</v>
      </c>
      <c r="FC345" t="s">
        <v>424</v>
      </c>
      <c r="FD345" t="s">
        <v>425</v>
      </c>
      <c r="FE345" s="1">
        <v>42320</v>
      </c>
      <c r="FF345">
        <v>6</v>
      </c>
      <c r="FG345">
        <v>4975594</v>
      </c>
      <c r="FH345" t="s">
        <v>457</v>
      </c>
      <c r="FJ345" s="1">
        <v>42151</v>
      </c>
      <c r="FK345">
        <v>2014</v>
      </c>
      <c r="FL345">
        <v>1152.28</v>
      </c>
      <c r="FM345" t="s">
        <v>3934</v>
      </c>
      <c r="FN345">
        <v>0.25</v>
      </c>
      <c r="FO345" t="s">
        <v>424</v>
      </c>
      <c r="FP345" t="s">
        <v>425</v>
      </c>
      <c r="FR345">
        <v>22</v>
      </c>
      <c r="FS345">
        <v>6396830</v>
      </c>
      <c r="FT345" t="s">
        <v>3935</v>
      </c>
      <c r="FV345" s="1">
        <v>41423</v>
      </c>
      <c r="FW345">
        <v>2012</v>
      </c>
      <c r="FX345">
        <v>899.61</v>
      </c>
      <c r="FY345" t="s">
        <v>3936</v>
      </c>
      <c r="FZ345">
        <v>10.75</v>
      </c>
      <c r="GA345" t="s">
        <v>424</v>
      </c>
      <c r="GB345" t="s">
        <v>425</v>
      </c>
      <c r="GC345" s="1">
        <v>41453</v>
      </c>
      <c r="GD345">
        <v>1</v>
      </c>
      <c r="GE345">
        <v>15407</v>
      </c>
      <c r="GF345" t="s">
        <v>1134</v>
      </c>
      <c r="GG345" t="s">
        <v>458</v>
      </c>
      <c r="GH345" s="1">
        <v>41052</v>
      </c>
      <c r="GI345">
        <v>2011</v>
      </c>
      <c r="GJ345">
        <v>1008.72</v>
      </c>
      <c r="GK345" t="s">
        <v>3937</v>
      </c>
      <c r="GL345">
        <v>14.75</v>
      </c>
      <c r="GM345" t="s">
        <v>424</v>
      </c>
      <c r="GN345" t="s">
        <v>425</v>
      </c>
      <c r="GO345" s="1">
        <v>41453</v>
      </c>
      <c r="GP345">
        <v>13</v>
      </c>
      <c r="GQ345">
        <v>10125</v>
      </c>
      <c r="GR345" t="s">
        <v>440</v>
      </c>
      <c r="GS345" t="s">
        <v>458</v>
      </c>
      <c r="GT345" s="1">
        <v>40688</v>
      </c>
      <c r="GU345">
        <v>2010</v>
      </c>
      <c r="GV345">
        <v>1048.81</v>
      </c>
      <c r="GW345" t="s">
        <v>3938</v>
      </c>
      <c r="GX345">
        <v>7.75</v>
      </c>
      <c r="GY345" t="s">
        <v>424</v>
      </c>
      <c r="GZ345" t="s">
        <v>425</v>
      </c>
      <c r="HB345">
        <v>22</v>
      </c>
      <c r="HC345">
        <v>1117</v>
      </c>
      <c r="HD345" t="s">
        <v>3939</v>
      </c>
      <c r="HE345" t="s">
        <v>458</v>
      </c>
      <c r="HF345" s="1">
        <v>40688</v>
      </c>
      <c r="HG345">
        <v>2010</v>
      </c>
      <c r="HH345">
        <v>1048.81</v>
      </c>
      <c r="HI345" t="s">
        <v>3938</v>
      </c>
      <c r="HJ345">
        <v>7.75</v>
      </c>
      <c r="HK345" t="s">
        <v>424</v>
      </c>
      <c r="HL345" t="s">
        <v>425</v>
      </c>
      <c r="HN345">
        <v>22</v>
      </c>
      <c r="HO345">
        <v>11302</v>
      </c>
      <c r="HP345" t="s">
        <v>3940</v>
      </c>
      <c r="HQ345" t="s">
        <v>458</v>
      </c>
    </row>
    <row r="346" spans="1:308" x14ac:dyDescent="0.25">
      <c r="A346">
        <v>16485353</v>
      </c>
      <c r="B346">
        <v>345</v>
      </c>
      <c r="C346" t="s">
        <v>393</v>
      </c>
      <c r="D346" t="s">
        <v>394</v>
      </c>
      <c r="F346" t="str">
        <f>"24-2N-24-0000-0014-0050"</f>
        <v>24-2N-24-0000-0014-0050</v>
      </c>
      <c r="H346" t="str">
        <f>"SIMMONS IDELIA"</f>
        <v>SIMMONS IDELIA</v>
      </c>
      <c r="I346" t="str">
        <f>"450225 OLD DIXIE HWY"</f>
        <v>450225 OLD DIXIE HWY</v>
      </c>
      <c r="J346" t="str">
        <f>"CALLAHAN FL 32011"</f>
        <v>CALLAHAN FL 32011</v>
      </c>
      <c r="K346" t="str">
        <f>"OFF QUAIL RD"</f>
        <v>OFF QUAIL RD</v>
      </c>
      <c r="L346" t="str">
        <f t="shared" si="100"/>
        <v>CALLAHAN FL 32011</v>
      </c>
      <c r="M346" t="str">
        <f>"PT OF SE1/4 IN OR 1179/330 (EX 14-19)"</f>
        <v>PT OF SE1/4 IN OR 1179/330 (EX 14-19)</v>
      </c>
      <c r="N346" t="str">
        <f>""</f>
        <v/>
      </c>
      <c r="O346" t="str">
        <f>"34613"</f>
        <v>34613</v>
      </c>
      <c r="P346" t="str">
        <f t="shared" si="101"/>
        <v>2017</v>
      </c>
      <c r="Q346" t="str">
        <f>""</f>
        <v/>
      </c>
      <c r="R346" t="str">
        <f>"N"</f>
        <v>N</v>
      </c>
      <c r="S346" t="str">
        <f>"9.72"</f>
        <v>9.72</v>
      </c>
      <c r="T346" t="str">
        <f>"706.31"</f>
        <v>706.31</v>
      </c>
      <c r="U346" t="str">
        <f>"46656.00"</f>
        <v>46656.00</v>
      </c>
      <c r="V346" t="str">
        <f>"46656.00"</f>
        <v>46656.00</v>
      </c>
      <c r="W346" t="str">
        <f t="shared" si="102"/>
        <v>2017</v>
      </c>
      <c r="X346" t="str">
        <f>"9.00"</f>
        <v>9.00</v>
      </c>
      <c r="Y346" t="str">
        <f>"759.50"</f>
        <v>759.50</v>
      </c>
      <c r="Z346" t="str">
        <f>""</f>
        <v/>
      </c>
      <c r="AA346" t="str">
        <f>"46656.00"</f>
        <v>46656.00</v>
      </c>
      <c r="AB346" t="str">
        <f t="shared" si="110"/>
        <v>Residential</v>
      </c>
      <c r="AC346" t="str">
        <f t="shared" si="104"/>
        <v>0</v>
      </c>
      <c r="AD346" t="str">
        <f>""</f>
        <v/>
      </c>
      <c r="AE346" t="str">
        <f>""</f>
        <v/>
      </c>
      <c r="AF346" t="str">
        <f>"000"</f>
        <v>000</v>
      </c>
      <c r="AG346" t="str">
        <f t="shared" si="107"/>
        <v>FL</v>
      </c>
      <c r="AH346" t="str">
        <f>"423403.00"</f>
        <v>423403.00</v>
      </c>
      <c r="AI346" t="str">
        <f>"46656.00"</f>
        <v>46656.00</v>
      </c>
      <c r="AJ346" t="str">
        <f>"C55-000-587-3644-8"</f>
        <v>C55-000-587-3644-8</v>
      </c>
      <c r="AK346" t="str">
        <f>"5305"</f>
        <v>5305</v>
      </c>
      <c r="AL346">
        <v>2</v>
      </c>
      <c r="AM346">
        <v>403</v>
      </c>
      <c r="AN346">
        <v>795.88</v>
      </c>
      <c r="AQ346" t="s">
        <v>3941</v>
      </c>
      <c r="AR346" t="s">
        <v>3941</v>
      </c>
      <c r="AS346" t="s">
        <v>3941</v>
      </c>
      <c r="AU346" t="s">
        <v>396</v>
      </c>
      <c r="AV346">
        <v>2017</v>
      </c>
      <c r="AW346" t="str">
        <f>"24-2N-24-0000-0014-0050 "</f>
        <v xml:space="preserve">24-2N-24-0000-0014-0050 </v>
      </c>
      <c r="AZ346" t="s">
        <v>3942</v>
      </c>
      <c r="BA346" t="s">
        <v>496</v>
      </c>
      <c r="BD346" t="s">
        <v>2785</v>
      </c>
      <c r="BE346" t="s">
        <v>393</v>
      </c>
      <c r="BF346">
        <v>32011</v>
      </c>
      <c r="BG346" t="s">
        <v>3943</v>
      </c>
      <c r="BH346" t="s">
        <v>2787</v>
      </c>
      <c r="BI346">
        <v>-81.853731360459193</v>
      </c>
      <c r="BJ346">
        <v>30.5745003184113</v>
      </c>
      <c r="BK346" t="s">
        <v>3944</v>
      </c>
      <c r="BM346" t="s">
        <v>3945</v>
      </c>
      <c r="BN346" t="s">
        <v>928</v>
      </c>
      <c r="BO346">
        <v>32011</v>
      </c>
      <c r="BP346" t="s">
        <v>404</v>
      </c>
      <c r="BQ346">
        <v>0</v>
      </c>
      <c r="BR346" t="s">
        <v>491</v>
      </c>
      <c r="BS346">
        <v>8001</v>
      </c>
      <c r="BT346" t="s">
        <v>492</v>
      </c>
      <c r="BW346">
        <v>423403</v>
      </c>
      <c r="BX346" t="s">
        <v>407</v>
      </c>
      <c r="BY346" t="s">
        <v>408</v>
      </c>
      <c r="CD346">
        <v>2017</v>
      </c>
      <c r="CE346">
        <v>46656</v>
      </c>
      <c r="CG346">
        <v>46656</v>
      </c>
      <c r="CH346">
        <v>2017</v>
      </c>
      <c r="CI346">
        <v>46656</v>
      </c>
      <c r="CK346">
        <v>46656</v>
      </c>
      <c r="CL346">
        <v>2017</v>
      </c>
      <c r="CM346">
        <v>706.31</v>
      </c>
      <c r="CN346" s="1">
        <v>37902</v>
      </c>
      <c r="CZ346" s="1">
        <v>37902</v>
      </c>
      <c r="DD346" t="s">
        <v>2785</v>
      </c>
      <c r="DG346">
        <v>24</v>
      </c>
      <c r="DL346">
        <v>50503</v>
      </c>
      <c r="DM346" t="s">
        <v>3921</v>
      </c>
      <c r="DO346" t="s">
        <v>3946</v>
      </c>
      <c r="DP346">
        <v>0</v>
      </c>
      <c r="DQ346">
        <v>0</v>
      </c>
      <c r="DR346" t="s">
        <v>411</v>
      </c>
      <c r="DS346" t="b">
        <v>1</v>
      </c>
      <c r="DT346" t="s">
        <v>396</v>
      </c>
      <c r="DV346" t="s">
        <v>446</v>
      </c>
      <c r="DX346">
        <v>-9999</v>
      </c>
      <c r="DZ346" t="s">
        <v>447</v>
      </c>
      <c r="EA346" t="s">
        <v>448</v>
      </c>
      <c r="EB346" t="s">
        <v>449</v>
      </c>
      <c r="EC346">
        <v>20101217</v>
      </c>
      <c r="ED346" t="s">
        <v>450</v>
      </c>
      <c r="EE346">
        <v>17.899999999999999</v>
      </c>
      <c r="EF346">
        <v>0</v>
      </c>
      <c r="EG346">
        <v>0</v>
      </c>
      <c r="EI346">
        <v>20160407</v>
      </c>
      <c r="EJ346">
        <v>0</v>
      </c>
      <c r="EK346">
        <v>0</v>
      </c>
      <c r="EP346" t="s">
        <v>421</v>
      </c>
      <c r="EQ346" t="s">
        <v>422</v>
      </c>
      <c r="ER346">
        <v>0</v>
      </c>
      <c r="ES346">
        <v>6</v>
      </c>
      <c r="ET346">
        <v>0</v>
      </c>
      <c r="EU346">
        <v>0</v>
      </c>
      <c r="EV346">
        <v>0</v>
      </c>
      <c r="EW346" s="2">
        <v>43222</v>
      </c>
      <c r="EX346" s="1">
        <v>42879</v>
      </c>
      <c r="EY346">
        <v>2016</v>
      </c>
      <c r="EZ346">
        <v>801.59</v>
      </c>
      <c r="FA346" t="s">
        <v>3947</v>
      </c>
      <c r="FB346">
        <v>4.5</v>
      </c>
      <c r="FC346" t="s">
        <v>424</v>
      </c>
      <c r="FD346" t="s">
        <v>425</v>
      </c>
      <c r="FE346" s="1">
        <v>43104</v>
      </c>
      <c r="FF346">
        <v>8</v>
      </c>
      <c r="FG346">
        <v>7336745</v>
      </c>
      <c r="FH346" t="s">
        <v>502</v>
      </c>
      <c r="FJ346" s="1">
        <v>42515</v>
      </c>
      <c r="FK346">
        <v>2015</v>
      </c>
      <c r="FL346">
        <v>779.37</v>
      </c>
      <c r="FM346" t="s">
        <v>3948</v>
      </c>
      <c r="FN346">
        <v>0.25</v>
      </c>
      <c r="FO346" t="s">
        <v>424</v>
      </c>
      <c r="FP346" t="s">
        <v>425</v>
      </c>
      <c r="FQ346" s="1">
        <v>43104</v>
      </c>
      <c r="FR346">
        <v>20</v>
      </c>
      <c r="FS346">
        <v>7336671</v>
      </c>
      <c r="FT346" t="s">
        <v>437</v>
      </c>
      <c r="FV346" s="1">
        <v>42515</v>
      </c>
      <c r="FW346">
        <v>2015</v>
      </c>
      <c r="FX346">
        <v>779.37</v>
      </c>
      <c r="FY346" t="s">
        <v>3948</v>
      </c>
      <c r="FZ346">
        <v>0.25</v>
      </c>
      <c r="GA346" t="s">
        <v>424</v>
      </c>
      <c r="GB346" t="s">
        <v>425</v>
      </c>
      <c r="GD346">
        <v>22</v>
      </c>
      <c r="GE346">
        <v>6989305</v>
      </c>
      <c r="GF346" t="s">
        <v>3949</v>
      </c>
      <c r="GH346" s="1">
        <v>42151</v>
      </c>
      <c r="GI346">
        <v>2014</v>
      </c>
      <c r="GJ346">
        <v>686.49</v>
      </c>
      <c r="GK346" t="s">
        <v>3950</v>
      </c>
      <c r="GL346">
        <v>0.25</v>
      </c>
      <c r="GM346" t="s">
        <v>424</v>
      </c>
      <c r="GN346" t="s">
        <v>425</v>
      </c>
      <c r="GO346" s="1">
        <v>42194</v>
      </c>
      <c r="GP346">
        <v>2</v>
      </c>
      <c r="GQ346">
        <v>2101382</v>
      </c>
      <c r="GR346" t="s">
        <v>993</v>
      </c>
      <c r="GT346" s="1">
        <v>42151</v>
      </c>
      <c r="GU346">
        <v>2014</v>
      </c>
      <c r="GV346">
        <v>686.49</v>
      </c>
      <c r="GW346" t="s">
        <v>3950</v>
      </c>
      <c r="GX346">
        <v>0.25</v>
      </c>
      <c r="GY346" t="s">
        <v>424</v>
      </c>
      <c r="GZ346" t="s">
        <v>425</v>
      </c>
      <c r="HB346">
        <v>22</v>
      </c>
      <c r="HC346">
        <v>5537885</v>
      </c>
      <c r="HD346" t="s">
        <v>3951</v>
      </c>
      <c r="HF346" s="1">
        <v>41787</v>
      </c>
      <c r="HG346">
        <v>2013</v>
      </c>
      <c r="HH346">
        <v>749.21</v>
      </c>
      <c r="HI346" t="s">
        <v>3952</v>
      </c>
      <c r="HJ346">
        <v>0.25</v>
      </c>
      <c r="HK346" t="s">
        <v>424</v>
      </c>
      <c r="HL346" t="s">
        <v>425</v>
      </c>
      <c r="HM346" s="1">
        <v>41949</v>
      </c>
      <c r="HN346">
        <v>6</v>
      </c>
      <c r="HO346">
        <v>2101385</v>
      </c>
      <c r="HP346" t="s">
        <v>810</v>
      </c>
    </row>
    <row r="347" spans="1:308" x14ac:dyDescent="0.25">
      <c r="A347">
        <v>16485354</v>
      </c>
      <c r="B347">
        <v>346</v>
      </c>
      <c r="C347" t="s">
        <v>393</v>
      </c>
      <c r="D347" t="s">
        <v>394</v>
      </c>
      <c r="F347" t="str">
        <f>"24-2N-24-0000-0014-0060"</f>
        <v>24-2N-24-0000-0014-0060</v>
      </c>
      <c r="H347" t="str">
        <f>"RAYSOR CHARLES H &amp; PAULINE F"</f>
        <v>RAYSOR CHARLES H &amp; PAULINE F</v>
      </c>
      <c r="I347" t="str">
        <f>"P O BOX 207"</f>
        <v>P O BOX 207</v>
      </c>
      <c r="J347" t="str">
        <f>"CALLAHAN FL 32011"</f>
        <v>CALLAHAN FL 32011</v>
      </c>
      <c r="K347" t="str">
        <f>"45275 BROWNS FARM RD"</f>
        <v>45275 BROWNS FARM RD</v>
      </c>
      <c r="L347" t="str">
        <f t="shared" si="100"/>
        <v>CALLAHAN FL 32011</v>
      </c>
      <c r="M347" t="str">
        <f>"PT NW1/4 OF SEC 24-2N-24E IN OR 868/310 {FLHMLCF157423149A &amp; FLHMLCF15723149B}"</f>
        <v>PT NW1/4 OF SEC 24-2N-24E IN OR 868/310 {FLHMLCF157423149A &amp; FLHMLCF15723149B}</v>
      </c>
      <c r="N347" t="str">
        <f>""</f>
        <v/>
      </c>
      <c r="O347" t="str">
        <f>"34614"</f>
        <v>34614</v>
      </c>
      <c r="P347" t="str">
        <f t="shared" si="101"/>
        <v>2017</v>
      </c>
      <c r="Q347" t="str">
        <f>""</f>
        <v/>
      </c>
      <c r="R347" t="str">
        <f>"Y"</f>
        <v>Y</v>
      </c>
      <c r="S347" t="str">
        <f>"3.81"</f>
        <v>3.81</v>
      </c>
      <c r="T347" t="str">
        <f>"470.25"</f>
        <v>470.25</v>
      </c>
      <c r="U347" t="str">
        <f>"63909.00"</f>
        <v>63909.00</v>
      </c>
      <c r="V347" t="str">
        <f>"63909.00"</f>
        <v>63909.00</v>
      </c>
      <c r="W347" t="str">
        <f t="shared" si="102"/>
        <v>2017</v>
      </c>
      <c r="X347" t="str">
        <f>"15.29"</f>
        <v>15.29</v>
      </c>
      <c r="Y347" t="str">
        <f>"516.36"</f>
        <v>516.36</v>
      </c>
      <c r="Z347" t="str">
        <f>"25000.00"</f>
        <v>25000.00</v>
      </c>
      <c r="AA347" t="str">
        <f>"38909.00"</f>
        <v>38909.00</v>
      </c>
      <c r="AB347" t="str">
        <f t="shared" si="110"/>
        <v>Residential</v>
      </c>
      <c r="AC347" t="str">
        <f t="shared" si="104"/>
        <v>0</v>
      </c>
      <c r="AD347" t="str">
        <f>"4"</f>
        <v>4</v>
      </c>
      <c r="AE347" t="str">
        <f>"WOOD (INCLUDE STEEL STUDS)"</f>
        <v>WOOD (INCLUDE STEEL STUDS)</v>
      </c>
      <c r="AF347" t="str">
        <f>"002"</f>
        <v>002</v>
      </c>
      <c r="AG347" t="str">
        <f t="shared" si="107"/>
        <v>FL</v>
      </c>
      <c r="AH347" t="str">
        <f>"165963.00"</f>
        <v>165963.00</v>
      </c>
      <c r="AI347" t="str">
        <f>"30480.00"</f>
        <v>30480.00</v>
      </c>
      <c r="AJ347" t="str">
        <f>"C55-000-587-3645-5"</f>
        <v>C55-000-587-3645-5</v>
      </c>
      <c r="AK347" t="str">
        <f>"5306"</f>
        <v>5306</v>
      </c>
      <c r="AL347">
        <v>2</v>
      </c>
      <c r="AM347">
        <v>404</v>
      </c>
      <c r="AN347">
        <v>540.58000000000004</v>
      </c>
      <c r="AQ347" t="s">
        <v>3953</v>
      </c>
      <c r="AR347" t="s">
        <v>3953</v>
      </c>
      <c r="AS347" t="s">
        <v>3953</v>
      </c>
      <c r="AU347" t="s">
        <v>396</v>
      </c>
      <c r="AV347">
        <v>2017</v>
      </c>
      <c r="AW347" t="str">
        <f>"24-2N-24-0000-0014-0060 "</f>
        <v xml:space="preserve">24-2N-24-0000-0014-0060 </v>
      </c>
      <c r="AX347">
        <v>45275</v>
      </c>
      <c r="AZ347" t="s">
        <v>3954</v>
      </c>
      <c r="BA347" t="s">
        <v>496</v>
      </c>
      <c r="BD347" t="s">
        <v>2785</v>
      </c>
      <c r="BE347" t="s">
        <v>393</v>
      </c>
      <c r="BF347">
        <v>32011</v>
      </c>
      <c r="BG347" t="s">
        <v>3955</v>
      </c>
      <c r="BH347" t="s">
        <v>2787</v>
      </c>
      <c r="BI347">
        <v>-81.860076910552706</v>
      </c>
      <c r="BJ347">
        <v>30.576393298502701</v>
      </c>
      <c r="BK347" t="s">
        <v>3956</v>
      </c>
      <c r="BM347" t="s">
        <v>3957</v>
      </c>
      <c r="BN347" t="s">
        <v>928</v>
      </c>
      <c r="BO347">
        <v>32011</v>
      </c>
      <c r="BP347" t="s">
        <v>404</v>
      </c>
      <c r="BQ347">
        <v>200</v>
      </c>
      <c r="BR347" t="s">
        <v>405</v>
      </c>
      <c r="BS347">
        <v>1006</v>
      </c>
      <c r="BT347" t="s">
        <v>406</v>
      </c>
      <c r="BW347">
        <v>165963</v>
      </c>
      <c r="BX347" t="s">
        <v>407</v>
      </c>
      <c r="BY347" t="s">
        <v>408</v>
      </c>
      <c r="BZ347">
        <v>4</v>
      </c>
      <c r="CA347">
        <v>2000</v>
      </c>
      <c r="CB347">
        <v>1</v>
      </c>
      <c r="CC347">
        <v>1</v>
      </c>
      <c r="CD347">
        <v>2017</v>
      </c>
      <c r="CG347">
        <v>63909</v>
      </c>
      <c r="CH347">
        <v>2017</v>
      </c>
      <c r="CI347">
        <v>30480</v>
      </c>
      <c r="CJ347">
        <v>41327</v>
      </c>
      <c r="CK347">
        <v>71807</v>
      </c>
      <c r="CL347">
        <v>2017</v>
      </c>
      <c r="CM347">
        <v>470.25</v>
      </c>
      <c r="CN347" s="1">
        <v>36208</v>
      </c>
      <c r="CO347">
        <v>11000</v>
      </c>
      <c r="CZ347" s="1">
        <v>36208</v>
      </c>
      <c r="DD347" t="s">
        <v>2785</v>
      </c>
      <c r="DG347">
        <v>24</v>
      </c>
      <c r="DL347">
        <v>50503</v>
      </c>
      <c r="DM347" t="s">
        <v>3921</v>
      </c>
      <c r="DO347" t="s">
        <v>3958</v>
      </c>
      <c r="DP347">
        <v>0</v>
      </c>
      <c r="DQ347">
        <v>0</v>
      </c>
      <c r="DR347" t="s">
        <v>411</v>
      </c>
      <c r="DS347" t="b">
        <v>1</v>
      </c>
      <c r="DT347" t="s">
        <v>470</v>
      </c>
      <c r="DU347" t="s">
        <v>471</v>
      </c>
      <c r="DV347" t="s">
        <v>472</v>
      </c>
      <c r="DX347">
        <v>-9999</v>
      </c>
      <c r="DZ347" t="s">
        <v>447</v>
      </c>
      <c r="EA347" t="s">
        <v>448</v>
      </c>
      <c r="EB347" t="s">
        <v>742</v>
      </c>
      <c r="EC347">
        <v>20101217</v>
      </c>
      <c r="ED347" t="s">
        <v>474</v>
      </c>
      <c r="EF347">
        <v>569.79999999999995</v>
      </c>
      <c r="EG347">
        <v>569.79999999999995</v>
      </c>
      <c r="EH347" t="s">
        <v>451</v>
      </c>
      <c r="EI347">
        <v>20140731</v>
      </c>
      <c r="EJ347">
        <v>0</v>
      </c>
      <c r="EK347">
        <v>0</v>
      </c>
      <c r="EP347" t="s">
        <v>421</v>
      </c>
      <c r="EQ347" t="s">
        <v>422</v>
      </c>
      <c r="ER347">
        <v>2</v>
      </c>
      <c r="ES347">
        <v>4</v>
      </c>
      <c r="ET347">
        <v>1069.2</v>
      </c>
      <c r="EU347">
        <v>65.959999999999994</v>
      </c>
      <c r="EV347">
        <v>1135.1600000000001</v>
      </c>
      <c r="EW347" s="2">
        <v>43222</v>
      </c>
      <c r="EX347" s="1">
        <v>42879</v>
      </c>
      <c r="EY347">
        <v>2016</v>
      </c>
      <c r="EZ347">
        <v>534.6</v>
      </c>
      <c r="FA347" t="s">
        <v>3959</v>
      </c>
      <c r="FB347">
        <v>0.25</v>
      </c>
      <c r="FC347" t="s">
        <v>424</v>
      </c>
      <c r="FD347" t="s">
        <v>454</v>
      </c>
      <c r="FF347">
        <v>12</v>
      </c>
      <c r="FG347">
        <v>2851116</v>
      </c>
      <c r="FH347" t="s">
        <v>480</v>
      </c>
      <c r="FJ347" s="1">
        <v>42879</v>
      </c>
      <c r="FK347">
        <v>2016</v>
      </c>
      <c r="FL347">
        <v>534.6</v>
      </c>
      <c r="FM347" t="s">
        <v>3959</v>
      </c>
      <c r="FN347">
        <v>0.25</v>
      </c>
      <c r="FO347" t="s">
        <v>424</v>
      </c>
      <c r="FP347" t="s">
        <v>454</v>
      </c>
      <c r="FR347">
        <v>12</v>
      </c>
      <c r="FS347">
        <v>5770239</v>
      </c>
      <c r="FT347" t="s">
        <v>3960</v>
      </c>
      <c r="FV347" s="1">
        <v>42151</v>
      </c>
      <c r="FW347">
        <v>2014</v>
      </c>
      <c r="FX347">
        <v>582.53</v>
      </c>
      <c r="FY347" t="s">
        <v>3961</v>
      </c>
      <c r="FZ347">
        <v>0.25</v>
      </c>
      <c r="GA347" t="s">
        <v>424</v>
      </c>
      <c r="GB347" t="s">
        <v>425</v>
      </c>
      <c r="GC347" s="1">
        <v>42773</v>
      </c>
      <c r="GD347">
        <v>21</v>
      </c>
      <c r="GE347">
        <v>2101382</v>
      </c>
      <c r="GF347" t="s">
        <v>993</v>
      </c>
      <c r="GH347" s="1">
        <v>42151</v>
      </c>
      <c r="GI347">
        <v>2014</v>
      </c>
      <c r="GJ347">
        <v>582.53</v>
      </c>
      <c r="GK347" t="s">
        <v>3961</v>
      </c>
      <c r="GL347">
        <v>0.25</v>
      </c>
      <c r="GM347" t="s">
        <v>424</v>
      </c>
      <c r="GN347" t="s">
        <v>425</v>
      </c>
      <c r="GP347">
        <v>22</v>
      </c>
      <c r="GQ347">
        <v>5631758</v>
      </c>
      <c r="GR347" t="s">
        <v>3962</v>
      </c>
      <c r="GT347" s="1">
        <v>41423</v>
      </c>
      <c r="GU347">
        <v>2012</v>
      </c>
      <c r="GV347">
        <v>609.29999999999995</v>
      </c>
      <c r="GW347" t="s">
        <v>3963</v>
      </c>
      <c r="GX347">
        <v>3.5</v>
      </c>
      <c r="GY347" t="s">
        <v>424</v>
      </c>
      <c r="GZ347" t="s">
        <v>425</v>
      </c>
      <c r="HA347" s="1">
        <v>41744</v>
      </c>
      <c r="HB347">
        <v>11</v>
      </c>
      <c r="HC347">
        <v>15399</v>
      </c>
      <c r="HD347" t="s">
        <v>485</v>
      </c>
      <c r="HF347" s="1">
        <v>41052</v>
      </c>
      <c r="HG347">
        <v>2011</v>
      </c>
      <c r="HH347">
        <v>720.38</v>
      </c>
      <c r="HI347" t="s">
        <v>3964</v>
      </c>
      <c r="HJ347">
        <v>4.25</v>
      </c>
      <c r="HK347" t="s">
        <v>424</v>
      </c>
      <c r="HL347" t="s">
        <v>425</v>
      </c>
      <c r="HM347" s="1">
        <v>41382</v>
      </c>
      <c r="HN347">
        <v>11</v>
      </c>
      <c r="HO347">
        <v>12407</v>
      </c>
      <c r="HP347" t="s">
        <v>838</v>
      </c>
    </row>
    <row r="348" spans="1:308" x14ac:dyDescent="0.25">
      <c r="A348">
        <v>16485355</v>
      </c>
      <c r="B348">
        <v>347</v>
      </c>
      <c r="C348" t="s">
        <v>393</v>
      </c>
      <c r="D348" t="s">
        <v>394</v>
      </c>
      <c r="F348" t="str">
        <f>"24-2N-24-0000-0014-0110"</f>
        <v>24-2N-24-0000-0014-0110</v>
      </c>
      <c r="H348" t="str">
        <f>"NELSON FREDEVA M (1/2 INT) &amp; NELSON CAROL L (1/4 INT) &amp; ELLIS RAY (1/4 INT)"</f>
        <v>NELSON FREDEVA M (1/2 INT) &amp; NELSON CAROL L (1/4 INT) &amp; ELLIS RAY (1/4 INT)</v>
      </c>
      <c r="I348" t="str">
        <f>""</f>
        <v/>
      </c>
      <c r="J348" t="str">
        <f>"OXFORD GA 30054"</f>
        <v>OXFORD GA 30054</v>
      </c>
      <c r="K348" t="str">
        <f>"QUAIL RD"</f>
        <v>QUAIL RD</v>
      </c>
      <c r="L348" t="str">
        <f t="shared" si="100"/>
        <v>CALLAHAN FL 32011</v>
      </c>
      <c r="M348" t="str">
        <f>"PT OF SW1/4 PT OR 1390/172 CASE 50-2006-CP-000548 XXXX MB"</f>
        <v>PT OF SW1/4 PT OR 1390/172 CASE 50-2006-CP-000548 XXXX MB</v>
      </c>
      <c r="N348" t="str">
        <f>""</f>
        <v/>
      </c>
      <c r="O348" t="str">
        <f>"34619"</f>
        <v>34619</v>
      </c>
      <c r="P348" t="str">
        <f t="shared" si="101"/>
        <v>2017</v>
      </c>
      <c r="Q348" t="str">
        <f>""</f>
        <v/>
      </c>
      <c r="R348" t="str">
        <f>"N"</f>
        <v>N</v>
      </c>
      <c r="S348" t="str">
        <f>"47.63"</f>
        <v>47.63</v>
      </c>
      <c r="T348" t="str">
        <f>"181.83"</f>
        <v>181.83</v>
      </c>
      <c r="U348" t="str">
        <f>"12012.00"</f>
        <v>12012.00</v>
      </c>
      <c r="V348" t="str">
        <f>"12012.00"</f>
        <v>12012.00</v>
      </c>
      <c r="W348" t="str">
        <f t="shared" si="102"/>
        <v>2017</v>
      </c>
      <c r="X348" t="str">
        <f>""</f>
        <v/>
      </c>
      <c r="Y348" t="str">
        <f>"219.28"</f>
        <v>219.28</v>
      </c>
      <c r="Z348" t="str">
        <f>""</f>
        <v/>
      </c>
      <c r="AA348" t="str">
        <f>"12012.00"</f>
        <v>12012.00</v>
      </c>
      <c r="AB348" t="str">
        <f>"Agricultural"</f>
        <v>Agricultural</v>
      </c>
      <c r="AC348" t="str">
        <f t="shared" si="104"/>
        <v>0</v>
      </c>
      <c r="AD348" t="str">
        <f>""</f>
        <v/>
      </c>
      <c r="AE348" t="str">
        <f>""</f>
        <v/>
      </c>
      <c r="AF348" t="str">
        <f>"056"</f>
        <v>056</v>
      </c>
      <c r="AG348" t="str">
        <f>"GA"</f>
        <v>GA</v>
      </c>
      <c r="AH348" t="str">
        <f>"2074762.00"</f>
        <v>2074762.00</v>
      </c>
      <c r="AI348" t="str">
        <f>"12012.00"</f>
        <v>12012.00</v>
      </c>
      <c r="AJ348" t="str">
        <f>"C55-000-587-3650-5"</f>
        <v>C55-000-587-3650-5</v>
      </c>
      <c r="AK348" t="str">
        <f>"5311"</f>
        <v>5311</v>
      </c>
      <c r="AL348">
        <v>2</v>
      </c>
      <c r="AM348">
        <v>405</v>
      </c>
      <c r="AN348">
        <v>228.64</v>
      </c>
      <c r="AQ348" t="s">
        <v>3965</v>
      </c>
      <c r="AR348" t="s">
        <v>3965</v>
      </c>
      <c r="AS348" t="s">
        <v>3965</v>
      </c>
      <c r="AU348" t="s">
        <v>396</v>
      </c>
      <c r="AV348">
        <v>2017</v>
      </c>
      <c r="AW348" t="str">
        <f>"24-2N-24-0000-0014-0110 "</f>
        <v xml:space="preserve">24-2N-24-0000-0014-0110 </v>
      </c>
      <c r="AZ348" t="s">
        <v>3860</v>
      </c>
      <c r="BA348" t="s">
        <v>496</v>
      </c>
      <c r="BD348" t="s">
        <v>2785</v>
      </c>
      <c r="BE348" t="s">
        <v>393</v>
      </c>
      <c r="BF348">
        <v>32011</v>
      </c>
      <c r="BG348" t="s">
        <v>3908</v>
      </c>
      <c r="BH348" t="s">
        <v>2787</v>
      </c>
      <c r="BI348">
        <v>-81.865231946964897</v>
      </c>
      <c r="BJ348">
        <v>30.573283027455901</v>
      </c>
      <c r="BK348" t="s">
        <v>3966</v>
      </c>
      <c r="BM348" t="s">
        <v>3967</v>
      </c>
      <c r="BN348" t="s">
        <v>3968</v>
      </c>
      <c r="BO348">
        <v>30054</v>
      </c>
      <c r="BP348" t="s">
        <v>404</v>
      </c>
      <c r="BQ348">
        <v>5600</v>
      </c>
      <c r="BR348" t="s">
        <v>417</v>
      </c>
      <c r="BS348">
        <v>7009</v>
      </c>
      <c r="BT348" t="s">
        <v>418</v>
      </c>
      <c r="BW348">
        <v>2074762</v>
      </c>
      <c r="BX348" t="s">
        <v>407</v>
      </c>
      <c r="BY348" t="s">
        <v>408</v>
      </c>
      <c r="CD348">
        <v>2017</v>
      </c>
      <c r="CG348">
        <v>12012</v>
      </c>
      <c r="CH348">
        <v>2017</v>
      </c>
      <c r="CI348">
        <v>12012</v>
      </c>
      <c r="CJ348">
        <v>154693</v>
      </c>
      <c r="CK348">
        <v>166705</v>
      </c>
      <c r="CL348">
        <v>2017</v>
      </c>
      <c r="CM348">
        <v>181.83</v>
      </c>
      <c r="CN348" s="1">
        <v>39351</v>
      </c>
      <c r="CO348">
        <v>15000</v>
      </c>
      <c r="CV348">
        <v>5000</v>
      </c>
      <c r="CX348" t="s">
        <v>707</v>
      </c>
      <c r="CZ348" s="1">
        <v>39351</v>
      </c>
      <c r="DA348">
        <v>0</v>
      </c>
      <c r="DD348" t="s">
        <v>2785</v>
      </c>
      <c r="DG348">
        <v>24</v>
      </c>
      <c r="DL348">
        <v>50503</v>
      </c>
      <c r="DM348" t="s">
        <v>3921</v>
      </c>
      <c r="DO348" t="s">
        <v>3969</v>
      </c>
      <c r="DP348">
        <v>0</v>
      </c>
      <c r="DQ348">
        <v>0</v>
      </c>
      <c r="DR348" t="s">
        <v>411</v>
      </c>
    </row>
    <row r="349" spans="1:308" x14ac:dyDescent="0.25">
      <c r="A349">
        <v>16485356</v>
      </c>
      <c r="B349">
        <v>348</v>
      </c>
      <c r="C349" t="s">
        <v>393</v>
      </c>
      <c r="D349" t="s">
        <v>394</v>
      </c>
      <c r="F349" t="str">
        <f>"24-2N-24-0000-0014-0150"</f>
        <v>24-2N-24-0000-0014-0150</v>
      </c>
      <c r="H349" t="str">
        <f>"SIMMONS DERREL L"</f>
        <v>SIMMONS DERREL L</v>
      </c>
      <c r="I349" t="str">
        <f>"450225 OLD DIXIE HIGHWAY"</f>
        <v>450225 OLD DIXIE HIGHWAY</v>
      </c>
      <c r="J349" t="str">
        <f>"CALLAHAN FL 32011"</f>
        <v>CALLAHAN FL 32011</v>
      </c>
      <c r="K349" t="str">
        <f>"QUAIL RD"</f>
        <v>QUAIL RD</v>
      </c>
      <c r="L349" t="str">
        <f t="shared" si="100"/>
        <v>CALLAHAN FL 32011</v>
      </c>
      <c r="M349" t="str">
        <f>"IN OR 672/144"</f>
        <v>IN OR 672/144</v>
      </c>
      <c r="N349" t="str">
        <f>""</f>
        <v/>
      </c>
      <c r="O349" t="str">
        <f>"34623"</f>
        <v>34623</v>
      </c>
      <c r="P349" t="str">
        <f t="shared" si="101"/>
        <v>2017</v>
      </c>
      <c r="Q349" t="str">
        <f>""</f>
        <v/>
      </c>
      <c r="R349" t="str">
        <f>"N"</f>
        <v>N</v>
      </c>
      <c r="S349" t="str">
        <f>"2.00"</f>
        <v>2.00</v>
      </c>
      <c r="T349" t="str">
        <f>"181.66"</f>
        <v>181.66</v>
      </c>
      <c r="U349" t="str">
        <f>"12000.00"</f>
        <v>12000.00</v>
      </c>
      <c r="V349" t="str">
        <f>"12000.00"</f>
        <v>12000.00</v>
      </c>
      <c r="W349" t="str">
        <f t="shared" si="102"/>
        <v>2017</v>
      </c>
      <c r="X349" t="str">
        <f>"12.22"</f>
        <v>12.22</v>
      </c>
      <c r="Y349" t="str">
        <f>"219.11"</f>
        <v>219.11</v>
      </c>
      <c r="Z349" t="str">
        <f>""</f>
        <v/>
      </c>
      <c r="AA349" t="str">
        <f>"12000.00"</f>
        <v>12000.00</v>
      </c>
      <c r="AB349" t="str">
        <f>"Residential"</f>
        <v>Residential</v>
      </c>
      <c r="AC349" t="str">
        <f t="shared" si="104"/>
        <v>0</v>
      </c>
      <c r="AD349" t="str">
        <f>""</f>
        <v/>
      </c>
      <c r="AE349" t="str">
        <f>""</f>
        <v/>
      </c>
      <c r="AF349" t="str">
        <f>"000"</f>
        <v>000</v>
      </c>
      <c r="AG349" t="str">
        <f t="shared" ref="AG349:AG359" si="111">"FL"</f>
        <v>FL</v>
      </c>
      <c r="AH349" t="str">
        <f>"87120.00"</f>
        <v>87120.00</v>
      </c>
      <c r="AI349" t="str">
        <f>"12000.00"</f>
        <v>12000.00</v>
      </c>
      <c r="AJ349" t="str">
        <f>"C55-000-587-3654-7"</f>
        <v>C55-000-587-3654-7</v>
      </c>
      <c r="AK349" t="str">
        <f>"5314"</f>
        <v>5314</v>
      </c>
      <c r="AL349">
        <v>2</v>
      </c>
      <c r="AM349">
        <v>406</v>
      </c>
      <c r="AN349">
        <v>228.47</v>
      </c>
      <c r="AQ349" t="s">
        <v>3970</v>
      </c>
      <c r="AR349" t="s">
        <v>3970</v>
      </c>
      <c r="AS349" t="s">
        <v>3970</v>
      </c>
      <c r="AU349" t="s">
        <v>396</v>
      </c>
      <c r="AV349">
        <v>2017</v>
      </c>
      <c r="AW349" t="str">
        <f>"24-2N-24-0000-0014-0150 "</f>
        <v xml:space="preserve">24-2N-24-0000-0014-0150 </v>
      </c>
      <c r="AZ349" t="s">
        <v>3860</v>
      </c>
      <c r="BA349" t="s">
        <v>496</v>
      </c>
      <c r="BD349" t="s">
        <v>2785</v>
      </c>
      <c r="BE349" t="s">
        <v>393</v>
      </c>
      <c r="BF349">
        <v>32011</v>
      </c>
      <c r="BG349" t="s">
        <v>3908</v>
      </c>
      <c r="BH349" t="s">
        <v>2787</v>
      </c>
      <c r="BI349">
        <v>-81.864470723584503</v>
      </c>
      <c r="BJ349">
        <v>30.579335141911301</v>
      </c>
      <c r="BK349" t="s">
        <v>3971</v>
      </c>
      <c r="BM349" t="s">
        <v>3945</v>
      </c>
      <c r="BN349" t="s">
        <v>928</v>
      </c>
      <c r="BO349">
        <v>32011</v>
      </c>
      <c r="BP349" t="s">
        <v>404</v>
      </c>
      <c r="BQ349">
        <v>0</v>
      </c>
      <c r="BR349" t="s">
        <v>491</v>
      </c>
      <c r="BS349">
        <v>8001</v>
      </c>
      <c r="BT349" t="s">
        <v>492</v>
      </c>
      <c r="BW349">
        <v>87120</v>
      </c>
      <c r="BX349" t="s">
        <v>407</v>
      </c>
      <c r="BY349" t="s">
        <v>408</v>
      </c>
      <c r="CD349">
        <v>2017</v>
      </c>
      <c r="CE349">
        <v>12000</v>
      </c>
      <c r="CG349">
        <v>12000</v>
      </c>
      <c r="CH349">
        <v>2017</v>
      </c>
      <c r="CI349">
        <v>12000</v>
      </c>
      <c r="CK349">
        <v>12000</v>
      </c>
      <c r="CL349">
        <v>2017</v>
      </c>
      <c r="CM349">
        <v>181.66</v>
      </c>
      <c r="CN349" s="1">
        <v>33954</v>
      </c>
      <c r="CZ349" s="1">
        <v>33954</v>
      </c>
      <c r="DD349" t="s">
        <v>2785</v>
      </c>
      <c r="DG349">
        <v>24</v>
      </c>
      <c r="DL349">
        <v>50503</v>
      </c>
      <c r="DM349" t="s">
        <v>3921</v>
      </c>
      <c r="DO349" t="s">
        <v>3972</v>
      </c>
      <c r="DP349">
        <v>0</v>
      </c>
      <c r="DQ349">
        <v>0</v>
      </c>
      <c r="DR349" t="s">
        <v>411</v>
      </c>
      <c r="DS349" t="b">
        <v>1</v>
      </c>
      <c r="DT349" t="s">
        <v>396</v>
      </c>
      <c r="DV349" t="s">
        <v>446</v>
      </c>
      <c r="DX349">
        <v>-9999</v>
      </c>
      <c r="DZ349" t="s">
        <v>447</v>
      </c>
      <c r="EA349" t="s">
        <v>448</v>
      </c>
      <c r="EB349" t="s">
        <v>449</v>
      </c>
      <c r="EC349">
        <v>20101217</v>
      </c>
      <c r="ED349" t="s">
        <v>450</v>
      </c>
      <c r="EE349">
        <v>18.5</v>
      </c>
      <c r="EF349">
        <v>0</v>
      </c>
      <c r="EG349">
        <v>0</v>
      </c>
      <c r="EI349">
        <v>20160407</v>
      </c>
      <c r="EJ349">
        <v>0</v>
      </c>
      <c r="EK349">
        <v>0</v>
      </c>
      <c r="EP349" t="s">
        <v>421</v>
      </c>
      <c r="EQ349" t="s">
        <v>422</v>
      </c>
      <c r="ER349">
        <v>0</v>
      </c>
      <c r="ES349">
        <v>7</v>
      </c>
      <c r="ET349">
        <v>0</v>
      </c>
      <c r="EU349">
        <v>0</v>
      </c>
      <c r="EV349">
        <v>0</v>
      </c>
      <c r="EW349" s="2">
        <v>43222</v>
      </c>
      <c r="EX349" s="1">
        <v>42879</v>
      </c>
      <c r="EY349">
        <v>2016</v>
      </c>
      <c r="EZ349">
        <v>226.22</v>
      </c>
      <c r="FA349" t="s">
        <v>3973</v>
      </c>
      <c r="FB349">
        <v>4.75</v>
      </c>
      <c r="FC349" t="s">
        <v>424</v>
      </c>
      <c r="FD349" t="s">
        <v>425</v>
      </c>
      <c r="FE349" s="1">
        <v>43024</v>
      </c>
      <c r="FF349">
        <v>5</v>
      </c>
      <c r="FG349">
        <v>10021</v>
      </c>
      <c r="FH349" t="s">
        <v>597</v>
      </c>
      <c r="FJ349" s="1">
        <v>42515</v>
      </c>
      <c r="FK349">
        <v>2015</v>
      </c>
      <c r="FL349">
        <v>216.8</v>
      </c>
      <c r="FM349" t="s">
        <v>3974</v>
      </c>
      <c r="FN349">
        <v>0.25</v>
      </c>
      <c r="FO349" t="s">
        <v>424</v>
      </c>
      <c r="FP349" t="s">
        <v>425</v>
      </c>
      <c r="FQ349" s="1">
        <v>43024</v>
      </c>
      <c r="FR349">
        <v>17</v>
      </c>
      <c r="FS349">
        <v>7336671</v>
      </c>
      <c r="FT349" t="s">
        <v>437</v>
      </c>
      <c r="FV349" s="1">
        <v>42515</v>
      </c>
      <c r="FW349">
        <v>2015</v>
      </c>
      <c r="FX349">
        <v>216.8</v>
      </c>
      <c r="FY349" t="s">
        <v>3974</v>
      </c>
      <c r="FZ349">
        <v>0.25</v>
      </c>
      <c r="GA349" t="s">
        <v>424</v>
      </c>
      <c r="GB349" t="s">
        <v>425</v>
      </c>
      <c r="GD349">
        <v>22</v>
      </c>
      <c r="GE349">
        <v>6852986</v>
      </c>
      <c r="GF349" t="s">
        <v>3975</v>
      </c>
      <c r="GH349" s="1">
        <v>41787</v>
      </c>
      <c r="GI349">
        <v>2013</v>
      </c>
      <c r="GJ349">
        <v>183.77</v>
      </c>
      <c r="GK349" t="s">
        <v>3976</v>
      </c>
      <c r="GL349">
        <v>12</v>
      </c>
      <c r="GM349" t="s">
        <v>424</v>
      </c>
      <c r="GN349" t="s">
        <v>425</v>
      </c>
      <c r="GO349" s="1">
        <v>42108</v>
      </c>
      <c r="GP349">
        <v>11</v>
      </c>
      <c r="GQ349">
        <v>2035919</v>
      </c>
      <c r="GR349" t="s">
        <v>507</v>
      </c>
      <c r="GT349" s="1">
        <v>41423</v>
      </c>
      <c r="GU349">
        <v>2012</v>
      </c>
      <c r="GV349">
        <v>397.9</v>
      </c>
      <c r="GW349" t="s">
        <v>3977</v>
      </c>
      <c r="GX349">
        <v>5.75</v>
      </c>
      <c r="GY349" t="s">
        <v>424</v>
      </c>
      <c r="GZ349" t="s">
        <v>425</v>
      </c>
      <c r="HA349" s="1">
        <v>41750</v>
      </c>
      <c r="HB349">
        <v>11</v>
      </c>
      <c r="HC349">
        <v>2101381</v>
      </c>
      <c r="HD349" t="s">
        <v>605</v>
      </c>
      <c r="HF349" s="1">
        <v>41052</v>
      </c>
      <c r="HG349">
        <v>2011</v>
      </c>
      <c r="HH349">
        <v>396.47</v>
      </c>
      <c r="HI349" t="s">
        <v>3978</v>
      </c>
      <c r="HJ349">
        <v>5.75</v>
      </c>
      <c r="HK349" t="s">
        <v>424</v>
      </c>
      <c r="HL349" t="s">
        <v>425</v>
      </c>
      <c r="HM349" s="1">
        <v>41123</v>
      </c>
      <c r="HN349">
        <v>3</v>
      </c>
      <c r="HO349">
        <v>10125</v>
      </c>
      <c r="HP349" t="s">
        <v>440</v>
      </c>
      <c r="HR349" s="1">
        <v>40688</v>
      </c>
      <c r="HS349">
        <v>2010</v>
      </c>
      <c r="HT349">
        <v>440.31</v>
      </c>
      <c r="HU349" t="s">
        <v>3979</v>
      </c>
      <c r="HV349">
        <v>8</v>
      </c>
      <c r="HW349" t="s">
        <v>424</v>
      </c>
      <c r="HX349" t="s">
        <v>425</v>
      </c>
      <c r="HY349" s="1">
        <v>41123</v>
      </c>
      <c r="HZ349">
        <v>15</v>
      </c>
      <c r="IA349">
        <v>305</v>
      </c>
      <c r="IB349" t="s">
        <v>1078</v>
      </c>
    </row>
    <row r="350" spans="1:308" x14ac:dyDescent="0.25">
      <c r="A350">
        <v>16485357</v>
      </c>
      <c r="B350">
        <v>349</v>
      </c>
      <c r="C350" t="s">
        <v>393</v>
      </c>
      <c r="D350" t="s">
        <v>394</v>
      </c>
      <c r="F350" t="str">
        <f>"24-2N-24-0000-0016-0060"</f>
        <v>24-2N-24-0000-0016-0060</v>
      </c>
      <c r="H350" t="str">
        <f>"BALDERSON JERRY M"</f>
        <v>BALDERSON JERRY M</v>
      </c>
      <c r="I350" t="str">
        <f>"PO BOX 15142"</f>
        <v>PO BOX 15142</v>
      </c>
      <c r="J350" t="str">
        <f>"FERNANDINA BEACH FL 32035"</f>
        <v>FERNANDINA BEACH FL 32035</v>
      </c>
      <c r="K350" t="str">
        <f>"QUAIL RD"</f>
        <v>QUAIL RD</v>
      </c>
      <c r="L350" t="str">
        <f t="shared" si="100"/>
        <v>CALLAHAN FL 32011</v>
      </c>
      <c r="M350" t="str">
        <f>"IN OR 1358/1820 EX 16-8 &amp; 16-9"</f>
        <v>IN OR 1358/1820 EX 16-8 &amp; 16-9</v>
      </c>
      <c r="N350" t="str">
        <f>""</f>
        <v/>
      </c>
      <c r="O350" t="str">
        <f>"34642"</f>
        <v>34642</v>
      </c>
      <c r="P350" t="str">
        <f t="shared" si="101"/>
        <v>2017</v>
      </c>
      <c r="Q350" t="str">
        <f>""</f>
        <v/>
      </c>
      <c r="R350" t="str">
        <f>"N"</f>
        <v>N</v>
      </c>
      <c r="S350" t="str">
        <f>"1.06"</f>
        <v>1.06</v>
      </c>
      <c r="T350" t="str">
        <f>"112.20"</f>
        <v>112.20</v>
      </c>
      <c r="U350" t="str">
        <f>"6996.00"</f>
        <v>6996.00</v>
      </c>
      <c r="V350" t="str">
        <f>"6996.00"</f>
        <v>6996.00</v>
      </c>
      <c r="W350" t="str">
        <f t="shared" si="102"/>
        <v>2017</v>
      </c>
      <c r="X350" t="str">
        <f>"1.00"</f>
        <v>1.00</v>
      </c>
      <c r="Y350" t="str">
        <f>"147.57"</f>
        <v>147.57</v>
      </c>
      <c r="Z350" t="str">
        <f>""</f>
        <v/>
      </c>
      <c r="AA350" t="str">
        <f>"7950.00"</f>
        <v>7950.00</v>
      </c>
      <c r="AB350" t="str">
        <f>"Residential"</f>
        <v>Residential</v>
      </c>
      <c r="AC350" t="str">
        <f t="shared" si="104"/>
        <v>0</v>
      </c>
      <c r="AD350" t="str">
        <f>""</f>
        <v/>
      </c>
      <c r="AE350" t="str">
        <f>""</f>
        <v/>
      </c>
      <c r="AF350" t="str">
        <f>"000"</f>
        <v>000</v>
      </c>
      <c r="AG350" t="str">
        <f t="shared" si="111"/>
        <v>FL</v>
      </c>
      <c r="AH350" t="str">
        <f>"46173.00"</f>
        <v>46173.00</v>
      </c>
      <c r="AI350" t="str">
        <f>"7950.00"</f>
        <v>7950.00</v>
      </c>
      <c r="AJ350" t="str">
        <f>"C55-000-589-2579-3"</f>
        <v>C55-000-589-2579-3</v>
      </c>
      <c r="AK350" t="str">
        <f>"5329"</f>
        <v>5329</v>
      </c>
      <c r="AL350">
        <v>2</v>
      </c>
      <c r="AM350">
        <v>407</v>
      </c>
      <c r="AN350">
        <v>153.35</v>
      </c>
      <c r="AQ350" t="s">
        <v>3980</v>
      </c>
      <c r="AR350" t="s">
        <v>3980</v>
      </c>
      <c r="AS350" t="s">
        <v>3980</v>
      </c>
      <c r="AU350" t="s">
        <v>396</v>
      </c>
      <c r="AV350">
        <v>2017</v>
      </c>
      <c r="AW350" t="str">
        <f>"24-2N-24-0000-0016-0060 "</f>
        <v xml:space="preserve">24-2N-24-0000-0016-0060 </v>
      </c>
      <c r="AZ350" t="s">
        <v>3860</v>
      </c>
      <c r="BA350" t="s">
        <v>496</v>
      </c>
      <c r="BD350" t="s">
        <v>2785</v>
      </c>
      <c r="BE350" t="s">
        <v>393</v>
      </c>
      <c r="BF350">
        <v>32011</v>
      </c>
      <c r="BG350" t="s">
        <v>3908</v>
      </c>
      <c r="BH350" t="s">
        <v>2787</v>
      </c>
      <c r="BI350">
        <v>-81.863017090002103</v>
      </c>
      <c r="BJ350">
        <v>30.577694994235401</v>
      </c>
      <c r="BK350" t="s">
        <v>3981</v>
      </c>
      <c r="BM350" t="s">
        <v>3982</v>
      </c>
      <c r="BN350" t="s">
        <v>3983</v>
      </c>
      <c r="BO350">
        <v>32035</v>
      </c>
      <c r="BP350" t="s">
        <v>404</v>
      </c>
      <c r="BQ350">
        <v>0</v>
      </c>
      <c r="BR350" t="s">
        <v>491</v>
      </c>
      <c r="BS350">
        <v>8001</v>
      </c>
      <c r="BT350" t="s">
        <v>492</v>
      </c>
      <c r="BW350">
        <v>46173</v>
      </c>
      <c r="BX350" t="s">
        <v>407</v>
      </c>
      <c r="BY350" t="s">
        <v>408</v>
      </c>
      <c r="CD350">
        <v>2017</v>
      </c>
      <c r="CE350">
        <v>7950</v>
      </c>
      <c r="CG350">
        <v>7950</v>
      </c>
      <c r="CH350">
        <v>2017</v>
      </c>
      <c r="CI350">
        <v>7950</v>
      </c>
      <c r="CK350">
        <v>7950</v>
      </c>
      <c r="CL350">
        <v>2017</v>
      </c>
      <c r="CM350">
        <v>112.2</v>
      </c>
      <c r="CN350" s="1">
        <v>38639</v>
      </c>
      <c r="CV350">
        <v>0</v>
      </c>
      <c r="CZ350" s="1">
        <v>38639</v>
      </c>
      <c r="DA350">
        <v>0</v>
      </c>
      <c r="DD350" t="s">
        <v>2785</v>
      </c>
      <c r="DG350">
        <v>24</v>
      </c>
      <c r="DL350">
        <v>50503</v>
      </c>
      <c r="DM350" t="s">
        <v>3921</v>
      </c>
      <c r="DO350" t="s">
        <v>3984</v>
      </c>
      <c r="DP350">
        <v>0</v>
      </c>
      <c r="DQ350">
        <v>0</v>
      </c>
      <c r="DR350" t="s">
        <v>411</v>
      </c>
      <c r="DS350" t="b">
        <v>1</v>
      </c>
      <c r="DT350" t="s">
        <v>470</v>
      </c>
      <c r="DU350" t="s">
        <v>471</v>
      </c>
      <c r="DV350" t="s">
        <v>472</v>
      </c>
      <c r="DX350">
        <v>-9999</v>
      </c>
      <c r="DZ350" t="s">
        <v>447</v>
      </c>
      <c r="EA350" t="s">
        <v>448</v>
      </c>
      <c r="EB350" t="s">
        <v>742</v>
      </c>
      <c r="EC350">
        <v>20101217</v>
      </c>
      <c r="ED350" t="s">
        <v>474</v>
      </c>
      <c r="EF350">
        <v>5.4</v>
      </c>
      <c r="EG350">
        <v>5.4</v>
      </c>
      <c r="EI350">
        <v>20160407</v>
      </c>
      <c r="EJ350">
        <v>0</v>
      </c>
      <c r="EK350">
        <v>0</v>
      </c>
      <c r="EP350" t="s">
        <v>421</v>
      </c>
      <c r="EQ350" t="s">
        <v>422</v>
      </c>
      <c r="ER350">
        <v>2</v>
      </c>
      <c r="ES350">
        <v>1</v>
      </c>
      <c r="ET350">
        <v>257.83</v>
      </c>
      <c r="EU350">
        <v>64.88</v>
      </c>
      <c r="EV350">
        <v>322.70999999999998</v>
      </c>
      <c r="EW350" s="2">
        <v>43222</v>
      </c>
      <c r="EX350" s="1">
        <v>42879</v>
      </c>
      <c r="EY350">
        <v>2016</v>
      </c>
      <c r="EZ350">
        <v>132.59</v>
      </c>
      <c r="FA350" t="s">
        <v>3985</v>
      </c>
      <c r="FB350">
        <v>9.75</v>
      </c>
      <c r="FC350" t="s">
        <v>424</v>
      </c>
      <c r="FD350" t="s">
        <v>454</v>
      </c>
      <c r="FF350">
        <v>12</v>
      </c>
      <c r="FG350">
        <v>10021</v>
      </c>
      <c r="FH350" t="s">
        <v>597</v>
      </c>
      <c r="FJ350" s="1">
        <v>42515</v>
      </c>
      <c r="FK350">
        <v>2015</v>
      </c>
      <c r="FL350">
        <v>125.24</v>
      </c>
      <c r="FM350" t="s">
        <v>3986</v>
      </c>
      <c r="FN350">
        <v>15.75</v>
      </c>
      <c r="FO350" t="s">
        <v>424</v>
      </c>
      <c r="FP350" t="s">
        <v>454</v>
      </c>
      <c r="FR350">
        <v>24</v>
      </c>
      <c r="FS350">
        <v>10125</v>
      </c>
      <c r="FT350" t="s">
        <v>440</v>
      </c>
      <c r="FV350" s="1">
        <v>41787</v>
      </c>
      <c r="FW350">
        <v>2013</v>
      </c>
      <c r="FX350">
        <v>107.74</v>
      </c>
      <c r="FY350" t="s">
        <v>3987</v>
      </c>
      <c r="FZ350">
        <v>15.25</v>
      </c>
      <c r="GA350" t="s">
        <v>424</v>
      </c>
      <c r="GB350" t="s">
        <v>425</v>
      </c>
      <c r="GC350" s="1">
        <v>41810</v>
      </c>
      <c r="GD350">
        <v>1</v>
      </c>
      <c r="GE350">
        <v>10125</v>
      </c>
      <c r="GF350" t="s">
        <v>440</v>
      </c>
    </row>
    <row r="351" spans="1:308" x14ac:dyDescent="0.25">
      <c r="A351">
        <v>16485358</v>
      </c>
      <c r="B351">
        <v>350</v>
      </c>
      <c r="C351" t="s">
        <v>393</v>
      </c>
      <c r="D351" t="s">
        <v>394</v>
      </c>
      <c r="F351" t="str">
        <f>"24-2N-24-0000-0018-0010"</f>
        <v>24-2N-24-0000-0018-0010</v>
      </c>
      <c r="H351" t="str">
        <f>"SIMMONS IDELIA"</f>
        <v>SIMMONS IDELIA</v>
      </c>
      <c r="I351" t="str">
        <f>"450225 OLD DIXIE HWY"</f>
        <v>450225 OLD DIXIE HWY</v>
      </c>
      <c r="J351" t="str">
        <f t="shared" ref="J351:J357" si="112">"CALLAHAN FL 32011"</f>
        <v>CALLAHAN FL 32011</v>
      </c>
      <c r="K351" t="str">
        <f>"QUAIL RD"</f>
        <v>QUAIL RD</v>
      </c>
      <c r="L351" t="str">
        <f t="shared" si="100"/>
        <v>CALLAHAN FL 32011</v>
      </c>
      <c r="M351" t="str">
        <f>"PT OF S1/2 PT OR 570 PG 413"</f>
        <v>PT OF S1/2 PT OR 570 PG 413</v>
      </c>
      <c r="N351" t="str">
        <f>""</f>
        <v/>
      </c>
      <c r="O351" t="str">
        <f>"34649"</f>
        <v>34649</v>
      </c>
      <c r="P351" t="str">
        <f t="shared" si="101"/>
        <v>2017</v>
      </c>
      <c r="Q351" t="str">
        <f>""</f>
        <v/>
      </c>
      <c r="R351" t="str">
        <f>"N"</f>
        <v>N</v>
      </c>
      <c r="S351" t="str">
        <f>"29.40"</f>
        <v>29.40</v>
      </c>
      <c r="T351" t="str">
        <f>"11.13"</f>
        <v>11.13</v>
      </c>
      <c r="U351" t="str">
        <f>"735.00"</f>
        <v>735.00</v>
      </c>
      <c r="V351" t="str">
        <f>"735.00"</f>
        <v>735.00</v>
      </c>
      <c r="W351" t="str">
        <f t="shared" si="102"/>
        <v>2017</v>
      </c>
      <c r="X351" t="str">
        <f>"5.33"</f>
        <v>5.33</v>
      </c>
      <c r="Y351" t="str">
        <f>"43.46"</f>
        <v>43.46</v>
      </c>
      <c r="Z351" t="str">
        <f>""</f>
        <v/>
      </c>
      <c r="AA351" t="str">
        <f>"735.00"</f>
        <v>735.00</v>
      </c>
      <c r="AB351" t="str">
        <f>"Residential"</f>
        <v>Residential</v>
      </c>
      <c r="AC351" t="str">
        <f t="shared" si="104"/>
        <v>0</v>
      </c>
      <c r="AD351" t="str">
        <f>""</f>
        <v/>
      </c>
      <c r="AE351" t="str">
        <f>""</f>
        <v/>
      </c>
      <c r="AF351" t="str">
        <f>"000"</f>
        <v>000</v>
      </c>
      <c r="AG351" t="str">
        <f t="shared" si="111"/>
        <v>FL</v>
      </c>
      <c r="AH351" t="str">
        <f>"1280664.00"</f>
        <v>1280664.00</v>
      </c>
      <c r="AI351" t="str">
        <f>"735.00"</f>
        <v>735.00</v>
      </c>
      <c r="AJ351" t="str">
        <f>"C55-000-587-3663-8"</f>
        <v>C55-000-587-3663-8</v>
      </c>
      <c r="AK351" t="str">
        <f>"5335"</f>
        <v>5335</v>
      </c>
      <c r="AL351">
        <v>2</v>
      </c>
      <c r="AM351">
        <v>408</v>
      </c>
      <c r="AN351">
        <v>44.03</v>
      </c>
      <c r="AQ351" t="s">
        <v>3988</v>
      </c>
      <c r="AR351" t="s">
        <v>3988</v>
      </c>
      <c r="AS351" t="s">
        <v>3988</v>
      </c>
      <c r="AU351" t="s">
        <v>396</v>
      </c>
      <c r="AV351">
        <v>2017</v>
      </c>
      <c r="AW351" t="str">
        <f>"24-2N-24-0000-0018-0010 "</f>
        <v xml:space="preserve">24-2N-24-0000-0018-0010 </v>
      </c>
      <c r="AZ351" t="s">
        <v>3860</v>
      </c>
      <c r="BA351" t="s">
        <v>496</v>
      </c>
      <c r="BD351" t="s">
        <v>2785</v>
      </c>
      <c r="BE351" t="s">
        <v>393</v>
      </c>
      <c r="BF351">
        <v>32011</v>
      </c>
      <c r="BG351" t="s">
        <v>3908</v>
      </c>
      <c r="BH351" t="s">
        <v>2787</v>
      </c>
      <c r="BI351">
        <v>-81.860311033855993</v>
      </c>
      <c r="BJ351">
        <v>30.572926777265099</v>
      </c>
      <c r="BK351" t="s">
        <v>3944</v>
      </c>
      <c r="BM351" t="s">
        <v>3945</v>
      </c>
      <c r="BN351" t="s">
        <v>928</v>
      </c>
      <c r="BO351">
        <v>32011</v>
      </c>
      <c r="BP351" t="s">
        <v>404</v>
      </c>
      <c r="BQ351">
        <v>0</v>
      </c>
      <c r="BR351" t="s">
        <v>491</v>
      </c>
      <c r="BS351">
        <v>8001</v>
      </c>
      <c r="BT351" t="s">
        <v>492</v>
      </c>
      <c r="BW351">
        <v>1280664</v>
      </c>
      <c r="BX351" t="s">
        <v>407</v>
      </c>
      <c r="BY351" t="s">
        <v>408</v>
      </c>
      <c r="CD351">
        <v>2017</v>
      </c>
      <c r="CE351">
        <v>735</v>
      </c>
      <c r="CG351">
        <v>735</v>
      </c>
      <c r="CH351">
        <v>2017</v>
      </c>
      <c r="CI351">
        <v>735</v>
      </c>
      <c r="CK351">
        <v>735</v>
      </c>
      <c r="CL351">
        <v>2017</v>
      </c>
      <c r="CM351">
        <v>11.13</v>
      </c>
      <c r="CN351" s="1">
        <v>32646</v>
      </c>
      <c r="CZ351" s="1">
        <v>32646</v>
      </c>
      <c r="DD351" t="s">
        <v>2785</v>
      </c>
      <c r="DG351">
        <v>24</v>
      </c>
      <c r="DL351">
        <v>50503</v>
      </c>
      <c r="DM351" t="s">
        <v>3921</v>
      </c>
      <c r="DO351" t="s">
        <v>3989</v>
      </c>
      <c r="DP351">
        <v>0</v>
      </c>
      <c r="DQ351">
        <v>0</v>
      </c>
      <c r="DR351" t="s">
        <v>411</v>
      </c>
      <c r="DS351" t="s">
        <v>695</v>
      </c>
      <c r="EJ351">
        <v>1</v>
      </c>
      <c r="EK351">
        <v>0</v>
      </c>
      <c r="EP351" t="s">
        <v>595</v>
      </c>
      <c r="EQ351" t="s">
        <v>422</v>
      </c>
      <c r="ER351">
        <v>0</v>
      </c>
      <c r="ES351">
        <v>3</v>
      </c>
      <c r="ET351">
        <v>0</v>
      </c>
      <c r="EU351">
        <v>0</v>
      </c>
      <c r="EV351">
        <v>0</v>
      </c>
      <c r="EW351" s="2">
        <v>43222</v>
      </c>
      <c r="EX351" s="1">
        <v>42879</v>
      </c>
      <c r="EY351">
        <v>2016</v>
      </c>
      <c r="EZ351">
        <v>39.200000000000003</v>
      </c>
      <c r="FA351" t="s">
        <v>3990</v>
      </c>
      <c r="FB351">
        <v>7.5</v>
      </c>
      <c r="FC351" t="s">
        <v>424</v>
      </c>
      <c r="FD351" t="s">
        <v>425</v>
      </c>
      <c r="FE351" s="1">
        <v>43104</v>
      </c>
      <c r="FF351">
        <v>8</v>
      </c>
      <c r="FG351">
        <v>7685285</v>
      </c>
      <c r="FH351" t="s">
        <v>3991</v>
      </c>
      <c r="FJ351" s="1">
        <v>42151</v>
      </c>
      <c r="FK351">
        <v>2014</v>
      </c>
      <c r="FL351">
        <v>34.57</v>
      </c>
      <c r="FM351" t="s">
        <v>3992</v>
      </c>
      <c r="FN351">
        <v>17.75</v>
      </c>
      <c r="FO351" t="s">
        <v>424</v>
      </c>
      <c r="FP351" t="s">
        <v>425</v>
      </c>
      <c r="FQ351" s="1">
        <v>42194</v>
      </c>
      <c r="FR351">
        <v>2</v>
      </c>
      <c r="FS351">
        <v>4844942</v>
      </c>
      <c r="FT351" t="s">
        <v>2472</v>
      </c>
      <c r="FV351" s="1">
        <v>41787</v>
      </c>
      <c r="FW351">
        <v>2013</v>
      </c>
      <c r="FX351">
        <v>33.9</v>
      </c>
      <c r="FY351" t="s">
        <v>3993</v>
      </c>
      <c r="FZ351">
        <v>18</v>
      </c>
      <c r="GA351" t="s">
        <v>603</v>
      </c>
      <c r="GB351" t="s">
        <v>425</v>
      </c>
      <c r="GC351" s="1">
        <v>41949</v>
      </c>
      <c r="GD351">
        <v>6</v>
      </c>
      <c r="GE351">
        <v>9999999</v>
      </c>
      <c r="GF351" t="s">
        <v>604</v>
      </c>
    </row>
    <row r="352" spans="1:308" x14ac:dyDescent="0.25">
      <c r="A352">
        <v>16485359</v>
      </c>
      <c r="B352">
        <v>351</v>
      </c>
      <c r="C352" t="s">
        <v>393</v>
      </c>
      <c r="D352" t="s">
        <v>394</v>
      </c>
      <c r="F352" t="str">
        <f>"25-2N-24-0000-0017-0010"</f>
        <v>25-2N-24-0000-0017-0010</v>
      </c>
      <c r="H352" t="str">
        <f>"PERRET MARY S"</f>
        <v>PERRET MARY S</v>
      </c>
      <c r="I352" t="str">
        <f>"615550 RIVER RD"</f>
        <v>615550 RIVER RD</v>
      </c>
      <c r="J352" t="str">
        <f t="shared" si="112"/>
        <v>CALLAHAN FL 32011</v>
      </c>
      <c r="K352" t="str">
        <f>"34706 HATHAWAY DR"</f>
        <v>34706 HATHAWAY DR</v>
      </c>
      <c r="L352" t="str">
        <f t="shared" si="100"/>
        <v>CALLAHAN FL 32011</v>
      </c>
      <c r="M352" t="str">
        <f>"IN OR 1852/822 (EX 17-4) UTILITY ESMT IN OR 867/1830"</f>
        <v>IN OR 1852/822 (EX 17-4) UTILITY ESMT IN OR 867/1830</v>
      </c>
      <c r="N352" t="str">
        <f>""</f>
        <v/>
      </c>
      <c r="O352" t="str">
        <f>"34989"</f>
        <v>34989</v>
      </c>
      <c r="P352" t="str">
        <f t="shared" si="101"/>
        <v>2017</v>
      </c>
      <c r="Q352" t="str">
        <f>""</f>
        <v/>
      </c>
      <c r="R352" t="str">
        <f>"N"</f>
        <v>N</v>
      </c>
      <c r="S352" t="str">
        <f>"9.53"</f>
        <v>9.53</v>
      </c>
      <c r="T352" t="str">
        <f>"1119.40"</f>
        <v>1119.40</v>
      </c>
      <c r="U352" t="str">
        <f>"73942.00"</f>
        <v>73942.00</v>
      </c>
      <c r="V352" t="str">
        <f>"73942.00"</f>
        <v>73942.00</v>
      </c>
      <c r="W352" t="str">
        <f t="shared" si="102"/>
        <v>2017</v>
      </c>
      <c r="X352" t="str">
        <f>"14.14"</f>
        <v>14.14</v>
      </c>
      <c r="Y352" t="str">
        <f>"1184.98"</f>
        <v>1184.98</v>
      </c>
      <c r="Z352" t="str">
        <f>""</f>
        <v/>
      </c>
      <c r="AA352" t="str">
        <f>"73942.00"</f>
        <v>73942.00</v>
      </c>
      <c r="AB352" t="str">
        <f>"Residential"</f>
        <v>Residential</v>
      </c>
      <c r="AC352" t="str">
        <f t="shared" si="104"/>
        <v>0</v>
      </c>
      <c r="AD352" t="str">
        <f>""</f>
        <v/>
      </c>
      <c r="AE352" t="str">
        <f>""</f>
        <v/>
      </c>
      <c r="AF352" t="str">
        <f>"000"</f>
        <v>000</v>
      </c>
      <c r="AG352" t="str">
        <f t="shared" si="111"/>
        <v>FL</v>
      </c>
      <c r="AH352" t="str">
        <f>"415126.00"</f>
        <v>415126.00</v>
      </c>
      <c r="AI352" t="str">
        <f>"57180.00"</f>
        <v>57180.00</v>
      </c>
      <c r="AJ352" t="str">
        <f>"C55-000-587-3917-8"</f>
        <v>C55-000-587-3917-8</v>
      </c>
      <c r="AK352" t="str">
        <f>"5385"</f>
        <v>5385</v>
      </c>
      <c r="AL352">
        <v>2</v>
      </c>
      <c r="AM352">
        <v>410</v>
      </c>
      <c r="AN352">
        <v>1242.6300000000001</v>
      </c>
      <c r="AQ352" t="s">
        <v>3994</v>
      </c>
      <c r="AR352" t="s">
        <v>3994</v>
      </c>
      <c r="AS352" t="s">
        <v>3994</v>
      </c>
      <c r="AU352" t="s">
        <v>396</v>
      </c>
      <c r="AV352">
        <v>2017</v>
      </c>
      <c r="AW352" t="str">
        <f>"25-2N-24-0000-0017-0010 "</f>
        <v xml:space="preserve">25-2N-24-0000-0017-0010 </v>
      </c>
      <c r="AX352">
        <v>34706</v>
      </c>
      <c r="AZ352" t="s">
        <v>3995</v>
      </c>
      <c r="BA352" t="s">
        <v>669</v>
      </c>
      <c r="BD352" t="s">
        <v>2785</v>
      </c>
      <c r="BE352" t="s">
        <v>393</v>
      </c>
      <c r="BF352">
        <v>32011</v>
      </c>
      <c r="BG352" t="s">
        <v>3996</v>
      </c>
      <c r="BH352" t="s">
        <v>2787</v>
      </c>
      <c r="BI352">
        <v>-81.862667834720199</v>
      </c>
      <c r="BJ352">
        <v>30.556551573744098</v>
      </c>
      <c r="BK352" t="s">
        <v>3997</v>
      </c>
      <c r="BM352" t="s">
        <v>3998</v>
      </c>
      <c r="BN352" t="s">
        <v>928</v>
      </c>
      <c r="BO352">
        <v>32011</v>
      </c>
      <c r="BP352" t="s">
        <v>404</v>
      </c>
      <c r="BQ352">
        <v>1</v>
      </c>
      <c r="BR352" t="s">
        <v>491</v>
      </c>
      <c r="BS352">
        <v>8001</v>
      </c>
      <c r="BT352" t="s">
        <v>492</v>
      </c>
      <c r="BW352">
        <v>415126</v>
      </c>
      <c r="BX352" t="s">
        <v>407</v>
      </c>
      <c r="BY352" t="s">
        <v>408</v>
      </c>
      <c r="CD352">
        <v>2017</v>
      </c>
      <c r="CE352">
        <v>57180</v>
      </c>
      <c r="CF352">
        <v>16762</v>
      </c>
      <c r="CG352">
        <v>73942</v>
      </c>
      <c r="CH352">
        <v>2017</v>
      </c>
      <c r="CI352">
        <v>57180</v>
      </c>
      <c r="CJ352">
        <v>16762</v>
      </c>
      <c r="CK352">
        <v>73942</v>
      </c>
      <c r="CL352">
        <v>2017</v>
      </c>
      <c r="CM352">
        <v>1119.4000000000001</v>
      </c>
      <c r="CN352" s="1">
        <v>41366</v>
      </c>
      <c r="CO352">
        <v>46571</v>
      </c>
      <c r="CZ352" s="1">
        <v>41366</v>
      </c>
      <c r="DD352" t="s">
        <v>2785</v>
      </c>
      <c r="DG352">
        <v>25</v>
      </c>
      <c r="DL352">
        <v>50503</v>
      </c>
      <c r="DM352" t="s">
        <v>3999</v>
      </c>
      <c r="DO352" t="s">
        <v>4000</v>
      </c>
      <c r="DP352">
        <v>0</v>
      </c>
      <c r="DQ352">
        <v>0</v>
      </c>
      <c r="DR352" t="s">
        <v>411</v>
      </c>
      <c r="DS352" t="b">
        <v>1</v>
      </c>
      <c r="DT352" t="s">
        <v>470</v>
      </c>
      <c r="DU352" t="s">
        <v>471</v>
      </c>
      <c r="DV352" t="s">
        <v>472</v>
      </c>
      <c r="DX352">
        <v>-9999</v>
      </c>
      <c r="DZ352" t="s">
        <v>447</v>
      </c>
      <c r="EA352" t="s">
        <v>448</v>
      </c>
      <c r="EB352" t="s">
        <v>742</v>
      </c>
      <c r="EC352">
        <v>20101217</v>
      </c>
      <c r="ED352" t="s">
        <v>474</v>
      </c>
      <c r="EF352">
        <v>955.2</v>
      </c>
      <c r="EG352">
        <v>955.2</v>
      </c>
      <c r="EI352">
        <v>20160407</v>
      </c>
      <c r="EJ352">
        <v>0</v>
      </c>
      <c r="EK352">
        <v>0</v>
      </c>
      <c r="EP352" t="s">
        <v>421</v>
      </c>
      <c r="EQ352" t="s">
        <v>422</v>
      </c>
      <c r="ER352">
        <v>0</v>
      </c>
      <c r="ES352">
        <v>7</v>
      </c>
      <c r="ET352">
        <v>0</v>
      </c>
      <c r="EU352">
        <v>0</v>
      </c>
      <c r="EV352">
        <v>0</v>
      </c>
      <c r="EW352" s="2">
        <v>43222</v>
      </c>
      <c r="EX352" s="1">
        <v>42515</v>
      </c>
      <c r="EY352">
        <v>2015</v>
      </c>
      <c r="EZ352">
        <v>1236.45</v>
      </c>
      <c r="FA352" t="s">
        <v>4001</v>
      </c>
      <c r="FB352">
        <v>0.25</v>
      </c>
      <c r="FC352" t="s">
        <v>424</v>
      </c>
      <c r="FD352" t="s">
        <v>425</v>
      </c>
      <c r="FE352" s="1">
        <v>42732</v>
      </c>
      <c r="FF352">
        <v>7</v>
      </c>
      <c r="FG352">
        <v>7336671</v>
      </c>
      <c r="FH352" t="s">
        <v>437</v>
      </c>
      <c r="FJ352" s="1">
        <v>42515</v>
      </c>
      <c r="FK352">
        <v>2015</v>
      </c>
      <c r="FL352">
        <v>1236.45</v>
      </c>
      <c r="FM352" t="s">
        <v>4001</v>
      </c>
      <c r="FN352">
        <v>0.25</v>
      </c>
      <c r="FO352" t="s">
        <v>424</v>
      </c>
      <c r="FP352" t="s">
        <v>425</v>
      </c>
      <c r="FR352">
        <v>22</v>
      </c>
      <c r="FS352">
        <v>6951785</v>
      </c>
      <c r="FT352" t="s">
        <v>4002</v>
      </c>
      <c r="FV352" s="1">
        <v>42151</v>
      </c>
      <c r="FW352">
        <v>2014</v>
      </c>
      <c r="FX352">
        <v>1114.1300000000001</v>
      </c>
      <c r="FY352" t="s">
        <v>4003</v>
      </c>
      <c r="FZ352">
        <v>4.75</v>
      </c>
      <c r="GA352" t="s">
        <v>424</v>
      </c>
      <c r="GB352" t="s">
        <v>425</v>
      </c>
      <c r="GC352" s="1">
        <v>42222</v>
      </c>
      <c r="GD352">
        <v>3</v>
      </c>
      <c r="GE352">
        <v>4975593</v>
      </c>
      <c r="GF352" t="s">
        <v>505</v>
      </c>
      <c r="GH352" s="1">
        <v>41787</v>
      </c>
      <c r="GI352">
        <v>2013</v>
      </c>
      <c r="GJ352">
        <v>501.31</v>
      </c>
      <c r="GK352" t="s">
        <v>4004</v>
      </c>
      <c r="GL352">
        <v>3.75</v>
      </c>
      <c r="GM352" t="s">
        <v>424</v>
      </c>
      <c r="GN352" t="s">
        <v>425</v>
      </c>
      <c r="GO352" s="1">
        <v>42222</v>
      </c>
      <c r="GP352">
        <v>15</v>
      </c>
      <c r="GQ352">
        <v>116</v>
      </c>
      <c r="GR352" t="s">
        <v>509</v>
      </c>
      <c r="GT352" s="1">
        <v>41423</v>
      </c>
      <c r="GU352">
        <v>2012</v>
      </c>
      <c r="GV352">
        <v>555.57000000000005</v>
      </c>
      <c r="GW352" t="s">
        <v>4005</v>
      </c>
      <c r="GX352">
        <v>3.75</v>
      </c>
      <c r="GY352" t="s">
        <v>424</v>
      </c>
      <c r="GZ352" t="s">
        <v>425</v>
      </c>
      <c r="HA352" s="1">
        <v>42116</v>
      </c>
      <c r="HB352">
        <v>23</v>
      </c>
      <c r="HC352">
        <v>116</v>
      </c>
      <c r="HD352" t="s">
        <v>509</v>
      </c>
      <c r="HF352" s="1">
        <v>41052</v>
      </c>
      <c r="HG352">
        <v>2011</v>
      </c>
      <c r="HH352">
        <v>937.77</v>
      </c>
      <c r="HI352" t="s">
        <v>4006</v>
      </c>
      <c r="HJ352">
        <v>4.75</v>
      </c>
      <c r="HK352" t="s">
        <v>424</v>
      </c>
      <c r="HL352" t="s">
        <v>425</v>
      </c>
      <c r="HM352" s="1">
        <v>41729</v>
      </c>
      <c r="HN352">
        <v>22</v>
      </c>
      <c r="HO352">
        <v>10125</v>
      </c>
      <c r="HP352" t="s">
        <v>440</v>
      </c>
      <c r="HR352" s="1">
        <v>40688</v>
      </c>
      <c r="HS352">
        <v>2010</v>
      </c>
      <c r="HT352">
        <v>1042.74</v>
      </c>
      <c r="HU352" t="s">
        <v>4007</v>
      </c>
      <c r="HV352">
        <v>0.25</v>
      </c>
      <c r="HW352" t="s">
        <v>424</v>
      </c>
      <c r="HX352" t="s">
        <v>425</v>
      </c>
      <c r="HY352" s="1">
        <v>41361</v>
      </c>
      <c r="HZ352">
        <v>22</v>
      </c>
      <c r="IA352">
        <v>11296</v>
      </c>
      <c r="IB352" t="s">
        <v>4008</v>
      </c>
    </row>
    <row r="353" spans="1:272" x14ac:dyDescent="0.25">
      <c r="A353">
        <v>16485360</v>
      </c>
      <c r="B353">
        <v>352</v>
      </c>
      <c r="C353" t="s">
        <v>393</v>
      </c>
      <c r="D353" t="s">
        <v>394</v>
      </c>
      <c r="F353" t="str">
        <f>"25-2N-24-0000-0017-0040"</f>
        <v>25-2N-24-0000-0017-0040</v>
      </c>
      <c r="H353" t="str">
        <f>"PERRET MICHAEL E JR"</f>
        <v>PERRET MICHAEL E JR</v>
      </c>
      <c r="I353" t="str">
        <f>"615550 RIVER ROAD"</f>
        <v>615550 RIVER ROAD</v>
      </c>
      <c r="J353" t="str">
        <f t="shared" si="112"/>
        <v>CALLAHAN FL 32011</v>
      </c>
      <c r="K353" t="str">
        <f>"615550 RIVER RD"</f>
        <v>615550 RIVER RD</v>
      </c>
      <c r="L353" t="str">
        <f t="shared" si="100"/>
        <v>CALLAHAN FL 32011</v>
      </c>
      <c r="M353" t="str">
        <f>"PT OF GOVT LOT 6 IN OR 1321/743 UTILITY ESMT IN OR 869/965"</f>
        <v>PT OF GOVT LOT 6 IN OR 1321/743 UTILITY ESMT IN OR 869/965</v>
      </c>
      <c r="N353" t="str">
        <f>""</f>
        <v/>
      </c>
      <c r="O353" t="str">
        <f>"34992"</f>
        <v>34992</v>
      </c>
      <c r="P353" t="str">
        <f t="shared" si="101"/>
        <v>2017</v>
      </c>
      <c r="Q353" t="str">
        <f>""</f>
        <v/>
      </c>
      <c r="R353" t="str">
        <f>"Y"</f>
        <v>Y</v>
      </c>
      <c r="S353" t="str">
        <f>"0.69"</f>
        <v>0.69</v>
      </c>
      <c r="T353" t="str">
        <f>"997.89"</f>
        <v>997.89</v>
      </c>
      <c r="U353" t="str">
        <f>"105020.00"</f>
        <v>105020.00</v>
      </c>
      <c r="V353" t="str">
        <f>"105020.00"</f>
        <v>105020.00</v>
      </c>
      <c r="W353" t="str">
        <f t="shared" si="102"/>
        <v>2017</v>
      </c>
      <c r="X353" t="str">
        <f>"2.50"</f>
        <v>2.50</v>
      </c>
      <c r="Y353" t="str">
        <f>"1059.83"</f>
        <v>1059.83</v>
      </c>
      <c r="Z353" t="str">
        <f>"25000.00"</f>
        <v>25000.00</v>
      </c>
      <c r="AA353" t="str">
        <f>"80020.00"</f>
        <v>80020.00</v>
      </c>
      <c r="AB353" t="str">
        <f>"Residential"</f>
        <v>Residential</v>
      </c>
      <c r="AC353" t="str">
        <f t="shared" si="104"/>
        <v>0</v>
      </c>
      <c r="AD353" t="str">
        <f>"3"</f>
        <v>3</v>
      </c>
      <c r="AE353" t="str">
        <f>"MASONRY"</f>
        <v>MASONRY</v>
      </c>
      <c r="AF353" t="str">
        <f>"001"</f>
        <v>001</v>
      </c>
      <c r="AG353" t="str">
        <f t="shared" si="111"/>
        <v>FL</v>
      </c>
      <c r="AH353" t="str">
        <f>"30056.00"</f>
        <v>30056.00</v>
      </c>
      <c r="AI353" t="str">
        <f>"12937.00"</f>
        <v>12937.00</v>
      </c>
      <c r="AJ353" t="str">
        <f>"C55-000-587-3920-2"</f>
        <v>C55-000-587-3920-2</v>
      </c>
      <c r="AK353" t="str">
        <f>"5388"</f>
        <v>5388</v>
      </c>
      <c r="AL353">
        <v>2</v>
      </c>
      <c r="AM353">
        <v>411</v>
      </c>
      <c r="AN353">
        <v>1111.22</v>
      </c>
      <c r="AQ353" t="s">
        <v>4009</v>
      </c>
      <c r="AR353" t="s">
        <v>4009</v>
      </c>
      <c r="AS353" t="s">
        <v>4009</v>
      </c>
      <c r="AU353" t="s">
        <v>396</v>
      </c>
      <c r="AV353">
        <v>2017</v>
      </c>
      <c r="AW353" t="str">
        <f>"25-2N-24-0000-0017-0040 "</f>
        <v xml:space="preserve">25-2N-24-0000-0017-0040 </v>
      </c>
      <c r="AX353">
        <v>615550</v>
      </c>
      <c r="AZ353" t="s">
        <v>1369</v>
      </c>
      <c r="BA353" t="s">
        <v>496</v>
      </c>
      <c r="BD353" t="s">
        <v>2785</v>
      </c>
      <c r="BE353" t="s">
        <v>393</v>
      </c>
      <c r="BF353">
        <v>32011</v>
      </c>
      <c r="BG353" t="s">
        <v>3998</v>
      </c>
      <c r="BH353" t="s">
        <v>2787</v>
      </c>
      <c r="BI353">
        <v>-81.862972966609107</v>
      </c>
      <c r="BJ353">
        <v>30.5582710989117</v>
      </c>
      <c r="BK353" t="s">
        <v>4010</v>
      </c>
      <c r="BM353" t="s">
        <v>4011</v>
      </c>
      <c r="BN353" t="s">
        <v>928</v>
      </c>
      <c r="BO353">
        <v>32011</v>
      </c>
      <c r="BP353" t="s">
        <v>416</v>
      </c>
      <c r="BQ353">
        <v>100</v>
      </c>
      <c r="BR353" t="s">
        <v>514</v>
      </c>
      <c r="BS353">
        <v>1001</v>
      </c>
      <c r="BT353" t="s">
        <v>515</v>
      </c>
      <c r="BW353">
        <v>30056</v>
      </c>
      <c r="BX353" t="s">
        <v>407</v>
      </c>
      <c r="BY353" t="s">
        <v>408</v>
      </c>
      <c r="BZ353">
        <v>3</v>
      </c>
      <c r="CA353">
        <v>1956</v>
      </c>
      <c r="CB353">
        <v>1</v>
      </c>
      <c r="CC353">
        <v>1</v>
      </c>
      <c r="CD353">
        <v>2017</v>
      </c>
      <c r="CG353">
        <v>105020</v>
      </c>
      <c r="CH353">
        <v>2017</v>
      </c>
      <c r="CI353">
        <v>12937</v>
      </c>
      <c r="CJ353">
        <v>98520</v>
      </c>
      <c r="CK353">
        <v>111457</v>
      </c>
      <c r="CL353">
        <v>2017</v>
      </c>
      <c r="CM353">
        <v>997.89</v>
      </c>
      <c r="CN353" s="1">
        <v>38504</v>
      </c>
      <c r="CO353">
        <v>181500</v>
      </c>
      <c r="CV353">
        <v>145200</v>
      </c>
      <c r="CX353" t="s">
        <v>2312</v>
      </c>
      <c r="CZ353" s="1">
        <v>38504</v>
      </c>
      <c r="DA353">
        <v>0</v>
      </c>
      <c r="DD353" t="s">
        <v>2785</v>
      </c>
      <c r="DF353">
        <v>6</v>
      </c>
      <c r="DG353">
        <v>25</v>
      </c>
      <c r="DL353">
        <v>50503</v>
      </c>
      <c r="DM353" t="s">
        <v>3999</v>
      </c>
      <c r="DO353" t="s">
        <v>4012</v>
      </c>
      <c r="DP353">
        <v>0</v>
      </c>
      <c r="DQ353">
        <v>0</v>
      </c>
      <c r="DR353" t="s">
        <v>411</v>
      </c>
      <c r="DS353" t="b">
        <v>1</v>
      </c>
      <c r="DT353" t="s">
        <v>470</v>
      </c>
      <c r="DU353" t="s">
        <v>471</v>
      </c>
      <c r="DV353" t="s">
        <v>472</v>
      </c>
      <c r="DX353">
        <v>-9999</v>
      </c>
      <c r="DZ353" t="s">
        <v>447</v>
      </c>
      <c r="EA353" t="s">
        <v>448</v>
      </c>
      <c r="EB353" t="s">
        <v>742</v>
      </c>
      <c r="EC353">
        <v>20101217</v>
      </c>
      <c r="ED353" t="s">
        <v>474</v>
      </c>
      <c r="EF353">
        <v>1045.2</v>
      </c>
      <c r="EG353">
        <v>1045.2</v>
      </c>
      <c r="EI353">
        <v>20160407</v>
      </c>
      <c r="EJ353">
        <v>0</v>
      </c>
      <c r="EK353">
        <v>0</v>
      </c>
      <c r="EP353" t="s">
        <v>421</v>
      </c>
      <c r="EQ353" t="s">
        <v>422</v>
      </c>
      <c r="ER353">
        <v>0</v>
      </c>
      <c r="ES353">
        <v>6</v>
      </c>
      <c r="ET353">
        <v>0</v>
      </c>
      <c r="EU353">
        <v>0</v>
      </c>
      <c r="EV353">
        <v>0</v>
      </c>
      <c r="EW353" s="2">
        <v>43222</v>
      </c>
      <c r="EX353" s="1">
        <v>42879</v>
      </c>
      <c r="EY353">
        <v>2016</v>
      </c>
      <c r="EZ353">
        <v>1088.27</v>
      </c>
      <c r="FA353" t="s">
        <v>4013</v>
      </c>
      <c r="FB353">
        <v>0.25</v>
      </c>
      <c r="FC353" t="s">
        <v>424</v>
      </c>
      <c r="FD353" t="s">
        <v>425</v>
      </c>
      <c r="FE353" s="1">
        <v>42907</v>
      </c>
      <c r="FF353">
        <v>1</v>
      </c>
      <c r="FG353">
        <v>5857474</v>
      </c>
      <c r="FH353" t="s">
        <v>900</v>
      </c>
      <c r="FJ353" s="1">
        <v>42879</v>
      </c>
      <c r="FK353">
        <v>2016</v>
      </c>
      <c r="FL353">
        <v>1088.27</v>
      </c>
      <c r="FM353" t="s">
        <v>4013</v>
      </c>
      <c r="FN353">
        <v>0.25</v>
      </c>
      <c r="FO353" t="s">
        <v>424</v>
      </c>
      <c r="FP353" t="s">
        <v>425</v>
      </c>
      <c r="FR353">
        <v>22</v>
      </c>
      <c r="FS353">
        <v>6686501</v>
      </c>
      <c r="FT353" t="s">
        <v>4014</v>
      </c>
      <c r="FV353" s="1">
        <v>42515</v>
      </c>
      <c r="FW353">
        <v>2015</v>
      </c>
      <c r="FX353">
        <v>1102.1400000000001</v>
      </c>
      <c r="FY353" t="s">
        <v>4015</v>
      </c>
      <c r="FZ353">
        <v>0.25</v>
      </c>
      <c r="GA353" t="s">
        <v>424</v>
      </c>
      <c r="GB353" t="s">
        <v>425</v>
      </c>
      <c r="GC353" s="1">
        <v>42605</v>
      </c>
      <c r="GD353">
        <v>3</v>
      </c>
      <c r="GE353">
        <v>7045074</v>
      </c>
      <c r="GF353" t="s">
        <v>580</v>
      </c>
      <c r="GH353" s="1">
        <v>42515</v>
      </c>
      <c r="GI353">
        <v>2015</v>
      </c>
      <c r="GJ353">
        <v>1102.1400000000001</v>
      </c>
      <c r="GK353" t="s">
        <v>4015</v>
      </c>
      <c r="GL353">
        <v>0.25</v>
      </c>
      <c r="GM353" t="s">
        <v>424</v>
      </c>
      <c r="GN353" t="s">
        <v>425</v>
      </c>
      <c r="GP353">
        <v>22</v>
      </c>
      <c r="GQ353">
        <v>6272401</v>
      </c>
      <c r="GR353" t="s">
        <v>4016</v>
      </c>
      <c r="GT353" s="1">
        <v>42151</v>
      </c>
      <c r="GU353">
        <v>2014</v>
      </c>
      <c r="GV353">
        <v>1094.47</v>
      </c>
      <c r="GW353" t="s">
        <v>4017</v>
      </c>
      <c r="GX353">
        <v>0.25</v>
      </c>
      <c r="GY353" t="s">
        <v>424</v>
      </c>
      <c r="GZ353" t="s">
        <v>425</v>
      </c>
      <c r="HA353" s="1">
        <v>42242</v>
      </c>
      <c r="HB353">
        <v>3</v>
      </c>
      <c r="HC353">
        <v>11289</v>
      </c>
      <c r="HD353" t="s">
        <v>787</v>
      </c>
      <c r="HF353" s="1">
        <v>42151</v>
      </c>
      <c r="HG353">
        <v>2014</v>
      </c>
      <c r="HH353">
        <v>1094.47</v>
      </c>
      <c r="HI353" t="s">
        <v>4017</v>
      </c>
      <c r="HJ353">
        <v>0.25</v>
      </c>
      <c r="HK353" t="s">
        <v>424</v>
      </c>
      <c r="HL353" t="s">
        <v>425</v>
      </c>
      <c r="HN353">
        <v>22</v>
      </c>
      <c r="HO353">
        <v>5203104</v>
      </c>
      <c r="HP353" t="s">
        <v>4018</v>
      </c>
    </row>
    <row r="354" spans="1:272" x14ac:dyDescent="0.25">
      <c r="A354">
        <v>16485361</v>
      </c>
      <c r="B354">
        <v>353</v>
      </c>
      <c r="C354" t="s">
        <v>393</v>
      </c>
      <c r="D354" t="s">
        <v>394</v>
      </c>
      <c r="F354" t="str">
        <f>"25-2N-24-0000-0017-0070"</f>
        <v>25-2N-24-0000-0017-0070</v>
      </c>
      <c r="H354" t="str">
        <f>"PERRET MARY S"</f>
        <v>PERRET MARY S</v>
      </c>
      <c r="I354" t="str">
        <f>"615550 RIVER ROAD"</f>
        <v>615550 RIVER ROAD</v>
      </c>
      <c r="J354" t="str">
        <f t="shared" si="112"/>
        <v>CALLAHAN FL 32011</v>
      </c>
      <c r="K354" t="str">
        <f>"RIVER RD"</f>
        <v>RIVER RD</v>
      </c>
      <c r="L354" t="str">
        <f t="shared" si="100"/>
        <v>CALLAHAN FL 32011</v>
      </c>
      <c r="M354" t="str">
        <f>"PT JOHN LOWE MILL GRANT SEC 51-3N-27E IN OR 1852/820 (EX UTIL ESMT IN OR 867/1832 &amp; EX PT IN OR 2084/1685)"</f>
        <v>PT JOHN LOWE MILL GRANT SEC 51-3N-27E IN OR 1852/820 (EX UTIL ESMT IN OR 867/1832 &amp; EX PT IN OR 2084/1685)</v>
      </c>
      <c r="N354" t="str">
        <f>""</f>
        <v/>
      </c>
      <c r="O354" t="str">
        <f>"57370"</f>
        <v>57370</v>
      </c>
      <c r="P354" t="str">
        <f t="shared" si="101"/>
        <v>2017</v>
      </c>
      <c r="Q354" t="str">
        <f>""</f>
        <v/>
      </c>
      <c r="R354" t="str">
        <f>"N"</f>
        <v>N</v>
      </c>
      <c r="S354" t="str">
        <f>"8.09"</f>
        <v>8.09</v>
      </c>
      <c r="T354" t="str">
        <f>"56.33"</f>
        <v>56.33</v>
      </c>
      <c r="U354" t="str">
        <f>"3721.00"</f>
        <v>3721.00</v>
      </c>
      <c r="V354" t="str">
        <f>"3721.00"</f>
        <v>3721.00</v>
      </c>
      <c r="W354" t="str">
        <f t="shared" si="102"/>
        <v>2017</v>
      </c>
      <c r="X354" t="str">
        <f>""</f>
        <v/>
      </c>
      <c r="Y354" t="str">
        <f>"90.02"</f>
        <v>90.02</v>
      </c>
      <c r="Z354" t="str">
        <f>""</f>
        <v/>
      </c>
      <c r="AA354" t="str">
        <f>"3721.00"</f>
        <v>3721.00</v>
      </c>
      <c r="AB354" t="str">
        <f>"Agricultural"</f>
        <v>Agricultural</v>
      </c>
      <c r="AC354" t="str">
        <f t="shared" si="104"/>
        <v>0</v>
      </c>
      <c r="AD354" t="str">
        <f>""</f>
        <v/>
      </c>
      <c r="AE354" t="str">
        <f>""</f>
        <v/>
      </c>
      <c r="AF354" t="str">
        <f>"055"</f>
        <v>055</v>
      </c>
      <c r="AG354" t="str">
        <f t="shared" si="111"/>
        <v>FL</v>
      </c>
      <c r="AH354" t="str">
        <f>"352400.00"</f>
        <v>352400.00</v>
      </c>
      <c r="AI354" t="str">
        <f>"3721.00"</f>
        <v>3721.00</v>
      </c>
      <c r="AJ354" t="str">
        <f>"C55-001-092-8136-0"</f>
        <v>C55-001-092-8136-0</v>
      </c>
      <c r="AK354" t="str">
        <f>"5391"</f>
        <v>5391</v>
      </c>
      <c r="AL354">
        <v>2</v>
      </c>
      <c r="AM354">
        <v>412</v>
      </c>
      <c r="AN354">
        <v>92.92</v>
      </c>
      <c r="AQ354" t="s">
        <v>4019</v>
      </c>
      <c r="AR354" t="s">
        <v>4019</v>
      </c>
      <c r="AS354" t="s">
        <v>4019</v>
      </c>
      <c r="AU354" t="s">
        <v>396</v>
      </c>
      <c r="AV354">
        <v>2017</v>
      </c>
      <c r="AW354" t="str">
        <f>"25-2N-24-0000-0017-0070 "</f>
        <v xml:space="preserve">25-2N-24-0000-0017-0070 </v>
      </c>
      <c r="AZ354" t="s">
        <v>1369</v>
      </c>
      <c r="BA354" t="s">
        <v>496</v>
      </c>
      <c r="BD354" t="s">
        <v>2785</v>
      </c>
      <c r="BE354" t="s">
        <v>393</v>
      </c>
      <c r="BF354">
        <v>32011</v>
      </c>
      <c r="BG354" t="s">
        <v>1370</v>
      </c>
      <c r="BH354" t="s">
        <v>2787</v>
      </c>
      <c r="BK354" t="s">
        <v>3997</v>
      </c>
      <c r="BM354" t="s">
        <v>4011</v>
      </c>
      <c r="BN354" t="s">
        <v>928</v>
      </c>
      <c r="BO354">
        <v>32011</v>
      </c>
      <c r="BQ354">
        <v>5500</v>
      </c>
      <c r="BR354" t="s">
        <v>1353</v>
      </c>
      <c r="BS354">
        <v>7009</v>
      </c>
      <c r="BT354" t="s">
        <v>418</v>
      </c>
      <c r="BW354">
        <v>352400</v>
      </c>
      <c r="BX354" t="s">
        <v>407</v>
      </c>
      <c r="CD354">
        <v>2017</v>
      </c>
      <c r="CG354">
        <v>3721</v>
      </c>
      <c r="CH354">
        <v>2017</v>
      </c>
      <c r="CI354">
        <v>3721</v>
      </c>
      <c r="CJ354">
        <v>44819</v>
      </c>
      <c r="CK354">
        <v>48540</v>
      </c>
      <c r="CL354">
        <v>2017</v>
      </c>
      <c r="CM354">
        <v>56.33</v>
      </c>
      <c r="DD354" t="s">
        <v>2785</v>
      </c>
      <c r="DM354" t="s">
        <v>3999</v>
      </c>
      <c r="DO354" t="s">
        <v>4020</v>
      </c>
    </row>
    <row r="355" spans="1:272" x14ac:dyDescent="0.25">
      <c r="A355">
        <v>16485362</v>
      </c>
      <c r="B355">
        <v>354</v>
      </c>
      <c r="C355" t="s">
        <v>393</v>
      </c>
      <c r="D355" t="s">
        <v>394</v>
      </c>
      <c r="F355" t="str">
        <f>"25-2N-24-226B-0060-0040"</f>
        <v>25-2N-24-226B-0060-0040</v>
      </c>
      <c r="H355" t="str">
        <f>"REDDISH LINDA SUE &amp; REDDISH DALE ROBERT JR &amp; RATLIFF AMANDA GAIL REDDISH"</f>
        <v>REDDISH LINDA SUE &amp; REDDISH DALE ROBERT JR &amp; RATLIFF AMANDA GAIL REDDISH</v>
      </c>
      <c r="I355" t="str">
        <f>""</f>
        <v/>
      </c>
      <c r="J355" t="str">
        <f t="shared" si="112"/>
        <v>CALLAHAN FL 32011</v>
      </c>
      <c r="K355" t="str">
        <f>"35262 GOODBREAD RD"</f>
        <v>35262 GOODBREAD RD</v>
      </c>
      <c r="L355" t="str">
        <f t="shared" si="100"/>
        <v>CALLAHAN FL 32011</v>
      </c>
      <c r="M355" t="str">
        <f>"PT OF LOT 60 IN OR 1956/617 A E EWING SUB 2 PB 5/20"</f>
        <v>PT OF LOT 60 IN OR 1956/617 A E EWING SUB 2 PB 5/20</v>
      </c>
      <c r="N355" t="str">
        <f>""</f>
        <v/>
      </c>
      <c r="O355" t="str">
        <f>"35056"</f>
        <v>35056</v>
      </c>
      <c r="P355" t="str">
        <f t="shared" si="101"/>
        <v>2017</v>
      </c>
      <c r="Q355" t="str">
        <f>""</f>
        <v/>
      </c>
      <c r="R355" t="str">
        <f>"Y"</f>
        <v>Y</v>
      </c>
      <c r="S355" t="str">
        <f>"1.00"</f>
        <v>1.00</v>
      </c>
      <c r="T355" t="str">
        <f>"1219.64"</f>
        <v>1219.64</v>
      </c>
      <c r="U355" t="str">
        <f>"105564.00"</f>
        <v>105564.00</v>
      </c>
      <c r="V355" t="str">
        <f>"105564.00"</f>
        <v>105564.00</v>
      </c>
      <c r="W355" t="str">
        <f t="shared" si="102"/>
        <v>2017</v>
      </c>
      <c r="X355" t="str">
        <f>""</f>
        <v/>
      </c>
      <c r="Y355" t="str">
        <f>"356.50"</f>
        <v>356.50</v>
      </c>
      <c r="Z355" t="str">
        <f>"25000.00"</f>
        <v>25000.00</v>
      </c>
      <c r="AA355" t="str">
        <f>"80564.00"</f>
        <v>80564.00</v>
      </c>
      <c r="AB355" t="str">
        <f t="shared" ref="AB355:AB374" si="113">"Residential"</f>
        <v>Residential</v>
      </c>
      <c r="AC355" t="str">
        <f t="shared" si="104"/>
        <v>0</v>
      </c>
      <c r="AD355" t="str">
        <f>"4"</f>
        <v>4</v>
      </c>
      <c r="AE355" t="str">
        <f>"WOOD (INCLUDE STEEL STUDS)"</f>
        <v>WOOD (INCLUDE STEEL STUDS)</v>
      </c>
      <c r="AF355" t="str">
        <f>"001"</f>
        <v>001</v>
      </c>
      <c r="AG355" t="str">
        <f t="shared" si="111"/>
        <v>FL</v>
      </c>
      <c r="AH355" t="str">
        <f>"43560.00"</f>
        <v>43560.00</v>
      </c>
      <c r="AI355" t="str">
        <f>"15000.00"</f>
        <v>15000.00</v>
      </c>
      <c r="AJ355" t="str">
        <f>"C55-000-587-3976-4"</f>
        <v>C55-000-587-3976-4</v>
      </c>
      <c r="AK355" t="str">
        <f>"5443"</f>
        <v>5443</v>
      </c>
      <c r="AL355">
        <v>2</v>
      </c>
      <c r="AM355">
        <v>413</v>
      </c>
      <c r="AN355">
        <v>372.73</v>
      </c>
      <c r="AQ355" t="s">
        <v>4021</v>
      </c>
      <c r="AR355" t="s">
        <v>4021</v>
      </c>
      <c r="AS355" t="s">
        <v>4021</v>
      </c>
      <c r="AU355" t="s">
        <v>396</v>
      </c>
      <c r="AV355">
        <v>2017</v>
      </c>
      <c r="AW355" t="str">
        <f>"25-2N-24-226B-0060-0040 "</f>
        <v xml:space="preserve">25-2N-24-226B-0060-0040 </v>
      </c>
      <c r="AX355">
        <v>35262</v>
      </c>
      <c r="AZ355" t="s">
        <v>4022</v>
      </c>
      <c r="BA355" t="s">
        <v>496</v>
      </c>
      <c r="BD355" t="s">
        <v>2785</v>
      </c>
      <c r="BE355" t="s">
        <v>393</v>
      </c>
      <c r="BF355">
        <v>32011</v>
      </c>
      <c r="BG355" t="s">
        <v>4023</v>
      </c>
      <c r="BH355" t="s">
        <v>2787</v>
      </c>
      <c r="BI355">
        <v>-81.865123269998705</v>
      </c>
      <c r="BJ355">
        <v>30.562022477200301</v>
      </c>
      <c r="BK355" t="s">
        <v>4024</v>
      </c>
      <c r="BL355" t="s">
        <v>4025</v>
      </c>
      <c r="BM355" t="s">
        <v>4023</v>
      </c>
      <c r="BN355" t="s">
        <v>928</v>
      </c>
      <c r="BO355">
        <v>32011</v>
      </c>
      <c r="BP355" t="s">
        <v>416</v>
      </c>
      <c r="BQ355">
        <v>100</v>
      </c>
      <c r="BR355" t="s">
        <v>514</v>
      </c>
      <c r="BS355">
        <v>1001</v>
      </c>
      <c r="BT355" t="s">
        <v>515</v>
      </c>
      <c r="BW355">
        <v>43560</v>
      </c>
      <c r="BX355" t="s">
        <v>407</v>
      </c>
      <c r="BY355" t="s">
        <v>2729</v>
      </c>
      <c r="BZ355">
        <v>4</v>
      </c>
      <c r="CA355">
        <v>1994</v>
      </c>
      <c r="CB355">
        <v>1</v>
      </c>
      <c r="CC355">
        <v>1</v>
      </c>
      <c r="CD355">
        <v>2017</v>
      </c>
      <c r="CG355">
        <v>105564</v>
      </c>
      <c r="CH355">
        <v>2017</v>
      </c>
      <c r="CI355">
        <v>15000</v>
      </c>
      <c r="CJ355">
        <v>94172</v>
      </c>
      <c r="CK355">
        <v>109172</v>
      </c>
      <c r="CL355">
        <v>2017</v>
      </c>
      <c r="CM355">
        <v>1219.6400000000001</v>
      </c>
      <c r="CN355" s="1">
        <v>41960</v>
      </c>
      <c r="CZ355" s="1">
        <v>41960</v>
      </c>
      <c r="DD355" t="s">
        <v>2785</v>
      </c>
      <c r="DF355">
        <v>60</v>
      </c>
      <c r="DG355">
        <v>25</v>
      </c>
      <c r="DJ355" t="s">
        <v>4026</v>
      </c>
      <c r="DL355">
        <v>50503</v>
      </c>
      <c r="DM355" t="s">
        <v>3999</v>
      </c>
      <c r="DO355" t="s">
        <v>4027</v>
      </c>
      <c r="DP355">
        <v>0</v>
      </c>
      <c r="DQ355">
        <v>0</v>
      </c>
      <c r="DR355" t="s">
        <v>411</v>
      </c>
    </row>
    <row r="356" spans="1:272" x14ac:dyDescent="0.25">
      <c r="A356">
        <v>16485363</v>
      </c>
      <c r="B356">
        <v>355</v>
      </c>
      <c r="C356" t="s">
        <v>393</v>
      </c>
      <c r="D356" t="s">
        <v>394</v>
      </c>
      <c r="F356" t="str">
        <f>"26-2N-24-0000-0004-0140"</f>
        <v>26-2N-24-0000-0004-0140</v>
      </c>
      <c r="H356" t="str">
        <f>"HURST RONNIE HOWARD JR"</f>
        <v>HURST RONNIE HOWARD JR</v>
      </c>
      <c r="I356" t="str">
        <f>"35056 MARY ROAD"</f>
        <v>35056 MARY ROAD</v>
      </c>
      <c r="J356" t="str">
        <f t="shared" si="112"/>
        <v>CALLAHAN FL 32011</v>
      </c>
      <c r="K356" t="str">
        <f>"35056 MARY RD"</f>
        <v>35056 MARY RD</v>
      </c>
      <c r="L356" t="str">
        <f t="shared" si="100"/>
        <v>CALLAHAN FL 32011</v>
      </c>
      <c r="M356" t="str">
        <f>"IN OR 1770/38 R583685"</f>
        <v>IN OR 1770/38 R583685</v>
      </c>
      <c r="N356" t="str">
        <f>""</f>
        <v/>
      </c>
      <c r="O356" t="str">
        <f>"36012"</f>
        <v>36012</v>
      </c>
      <c r="P356" t="str">
        <f t="shared" si="101"/>
        <v>2017</v>
      </c>
      <c r="Q356" t="str">
        <f>""</f>
        <v/>
      </c>
      <c r="R356" t="str">
        <f>"Y"</f>
        <v>Y</v>
      </c>
      <c r="S356" t="str">
        <f>"1.00"</f>
        <v>1.00</v>
      </c>
      <c r="T356" t="str">
        <f>"497.73"</f>
        <v>497.73</v>
      </c>
      <c r="U356" t="str">
        <f>"68074.00"</f>
        <v>68074.00</v>
      </c>
      <c r="V356" t="str">
        <f>"68074.00"</f>
        <v>68074.00</v>
      </c>
      <c r="W356" t="str">
        <f t="shared" si="102"/>
        <v>2017</v>
      </c>
      <c r="X356" t="str">
        <f>"17.00"</f>
        <v>17.00</v>
      </c>
      <c r="Y356" t="str">
        <f>"544.66"</f>
        <v>544.66</v>
      </c>
      <c r="Z356" t="str">
        <f>"25000.00"</f>
        <v>25000.00</v>
      </c>
      <c r="AA356" t="str">
        <f>"43074.00"</f>
        <v>43074.00</v>
      </c>
      <c r="AB356" t="str">
        <f t="shared" si="113"/>
        <v>Residential</v>
      </c>
      <c r="AC356" t="str">
        <f t="shared" si="104"/>
        <v>0</v>
      </c>
      <c r="AD356" t="str">
        <f>"4"</f>
        <v>4</v>
      </c>
      <c r="AE356" t="str">
        <f>"WOOD (INCLUDE STEEL STUDS)"</f>
        <v>WOOD (INCLUDE STEEL STUDS)</v>
      </c>
      <c r="AF356" t="str">
        <f>"002"</f>
        <v>002</v>
      </c>
      <c r="AG356" t="str">
        <f t="shared" si="111"/>
        <v>FL</v>
      </c>
      <c r="AH356" t="str">
        <f>"43560.00"</f>
        <v>43560.00</v>
      </c>
      <c r="AI356" t="str">
        <f>"15000.00"</f>
        <v>15000.00</v>
      </c>
      <c r="AJ356" t="str">
        <f>"C55-000-587-4493-9"</f>
        <v>C55-000-587-4493-9</v>
      </c>
      <c r="AK356" t="str">
        <f>"5465"</f>
        <v>5465</v>
      </c>
      <c r="AL356">
        <v>2</v>
      </c>
      <c r="AM356">
        <v>414</v>
      </c>
      <c r="AN356">
        <v>570.29</v>
      </c>
      <c r="AQ356" t="s">
        <v>4028</v>
      </c>
      <c r="AR356" t="s">
        <v>4028</v>
      </c>
      <c r="AS356" t="s">
        <v>4028</v>
      </c>
      <c r="AU356" t="s">
        <v>396</v>
      </c>
      <c r="AV356">
        <v>2017</v>
      </c>
      <c r="AW356" t="str">
        <f>"26-2N-24-0000-0004-0140 "</f>
        <v xml:space="preserve">26-2N-24-0000-0004-0140 </v>
      </c>
      <c r="AX356">
        <v>35056</v>
      </c>
      <c r="AZ356" t="s">
        <v>4029</v>
      </c>
      <c r="BA356" t="s">
        <v>496</v>
      </c>
      <c r="BD356" t="s">
        <v>2785</v>
      </c>
      <c r="BE356" t="s">
        <v>393</v>
      </c>
      <c r="BF356">
        <v>32011</v>
      </c>
      <c r="BG356" t="s">
        <v>4030</v>
      </c>
      <c r="BH356" t="s">
        <v>2787</v>
      </c>
      <c r="BI356">
        <v>-81.878332209116905</v>
      </c>
      <c r="BJ356">
        <v>30.5586046907843</v>
      </c>
      <c r="BK356" t="s">
        <v>4031</v>
      </c>
      <c r="BM356" t="s">
        <v>4032</v>
      </c>
      <c r="BN356" t="s">
        <v>928</v>
      </c>
      <c r="BO356">
        <v>32011</v>
      </c>
      <c r="BP356" t="s">
        <v>416</v>
      </c>
      <c r="BQ356">
        <v>200</v>
      </c>
      <c r="BR356" t="s">
        <v>405</v>
      </c>
      <c r="BS356">
        <v>1006</v>
      </c>
      <c r="BT356" t="s">
        <v>406</v>
      </c>
      <c r="BW356">
        <v>43560</v>
      </c>
      <c r="BX356" t="s">
        <v>407</v>
      </c>
      <c r="BY356" t="s">
        <v>408</v>
      </c>
      <c r="BZ356">
        <v>4</v>
      </c>
      <c r="CA356">
        <v>2000</v>
      </c>
      <c r="CB356">
        <v>1</v>
      </c>
      <c r="CC356">
        <v>1</v>
      </c>
      <c r="CD356">
        <v>2017</v>
      </c>
      <c r="CG356">
        <v>68074</v>
      </c>
      <c r="CH356">
        <v>2017</v>
      </c>
      <c r="CI356">
        <v>15000</v>
      </c>
      <c r="CJ356">
        <v>67136</v>
      </c>
      <c r="CK356">
        <v>82136</v>
      </c>
      <c r="CL356">
        <v>2017</v>
      </c>
      <c r="CM356">
        <v>497.73</v>
      </c>
      <c r="CN356" s="1">
        <v>40887</v>
      </c>
      <c r="CZ356" s="1">
        <v>40887</v>
      </c>
      <c r="DD356" t="s">
        <v>2785</v>
      </c>
      <c r="DG356">
        <v>26</v>
      </c>
      <c r="DL356">
        <v>50503</v>
      </c>
      <c r="DM356" t="s">
        <v>4033</v>
      </c>
      <c r="DO356" t="s">
        <v>4034</v>
      </c>
      <c r="DP356">
        <v>0</v>
      </c>
      <c r="DQ356">
        <v>0</v>
      </c>
      <c r="DR356" t="s">
        <v>411</v>
      </c>
      <c r="DS356" t="b">
        <v>1</v>
      </c>
      <c r="DT356" t="s">
        <v>470</v>
      </c>
      <c r="DU356" t="s">
        <v>471</v>
      </c>
      <c r="DV356" t="s">
        <v>472</v>
      </c>
      <c r="DX356">
        <v>-9999</v>
      </c>
      <c r="DZ356" t="s">
        <v>447</v>
      </c>
      <c r="EA356" t="s">
        <v>448</v>
      </c>
      <c r="EB356" t="s">
        <v>742</v>
      </c>
      <c r="EC356">
        <v>20101217</v>
      </c>
      <c r="ED356" t="s">
        <v>474</v>
      </c>
      <c r="EF356">
        <v>1644.7</v>
      </c>
      <c r="EG356">
        <v>1644.7</v>
      </c>
      <c r="EI356">
        <v>20160407</v>
      </c>
      <c r="EJ356">
        <v>0</v>
      </c>
      <c r="EK356">
        <v>0</v>
      </c>
      <c r="EP356" t="s">
        <v>421</v>
      </c>
      <c r="EQ356" t="s">
        <v>422</v>
      </c>
      <c r="ER356">
        <v>2</v>
      </c>
      <c r="ES356">
        <v>3</v>
      </c>
      <c r="ET356">
        <v>1129.1600000000001</v>
      </c>
      <c r="EU356">
        <v>68.959999999999994</v>
      </c>
      <c r="EV356">
        <v>1198.1199999999999</v>
      </c>
      <c r="EW356" s="2">
        <v>43222</v>
      </c>
      <c r="EX356" s="1">
        <v>42879</v>
      </c>
      <c r="EY356">
        <v>2016</v>
      </c>
      <c r="EZ356">
        <v>564.58000000000004</v>
      </c>
      <c r="FA356" t="s">
        <v>4035</v>
      </c>
      <c r="FB356">
        <v>0.25</v>
      </c>
      <c r="FC356" t="s">
        <v>424</v>
      </c>
      <c r="FD356" t="s">
        <v>454</v>
      </c>
      <c r="FF356">
        <v>12</v>
      </c>
      <c r="FG356">
        <v>2851116</v>
      </c>
      <c r="FH356" t="s">
        <v>480</v>
      </c>
      <c r="FJ356" s="1">
        <v>42879</v>
      </c>
      <c r="FK356">
        <v>2016</v>
      </c>
      <c r="FL356">
        <v>564.58000000000004</v>
      </c>
      <c r="FM356" t="s">
        <v>4035</v>
      </c>
      <c r="FN356">
        <v>0.25</v>
      </c>
      <c r="FO356" t="s">
        <v>424</v>
      </c>
      <c r="FP356" t="s">
        <v>454</v>
      </c>
      <c r="FR356">
        <v>12</v>
      </c>
      <c r="FS356">
        <v>5015104</v>
      </c>
      <c r="FT356" t="s">
        <v>4036</v>
      </c>
      <c r="FV356" s="1">
        <v>42515</v>
      </c>
      <c r="FW356">
        <v>2015</v>
      </c>
      <c r="FX356">
        <v>572.54999999999995</v>
      </c>
      <c r="FY356" t="s">
        <v>4037</v>
      </c>
      <c r="FZ356">
        <v>0.25</v>
      </c>
      <c r="GA356" t="s">
        <v>424</v>
      </c>
      <c r="GB356" t="s">
        <v>425</v>
      </c>
      <c r="GC356" s="1">
        <v>42901</v>
      </c>
      <c r="GD356">
        <v>13</v>
      </c>
      <c r="GE356">
        <v>11289</v>
      </c>
      <c r="GF356" t="s">
        <v>787</v>
      </c>
      <c r="GH356" s="1">
        <v>42515</v>
      </c>
      <c r="GI356">
        <v>2015</v>
      </c>
      <c r="GJ356">
        <v>572.54999999999995</v>
      </c>
      <c r="GK356" t="s">
        <v>4037</v>
      </c>
      <c r="GL356">
        <v>0.25</v>
      </c>
      <c r="GM356" t="s">
        <v>424</v>
      </c>
      <c r="GN356" t="s">
        <v>425</v>
      </c>
      <c r="GP356">
        <v>22</v>
      </c>
      <c r="GQ356">
        <v>5150614</v>
      </c>
      <c r="GR356" t="s">
        <v>4038</v>
      </c>
      <c r="GT356" s="1">
        <v>41052</v>
      </c>
      <c r="GU356">
        <v>2011</v>
      </c>
      <c r="GV356">
        <v>495.39</v>
      </c>
      <c r="GW356" t="s">
        <v>4039</v>
      </c>
      <c r="GX356">
        <v>5.75</v>
      </c>
      <c r="GY356" t="s">
        <v>424</v>
      </c>
      <c r="GZ356" t="s">
        <v>425</v>
      </c>
      <c r="HA356" s="1">
        <v>41688</v>
      </c>
      <c r="HB356">
        <v>21</v>
      </c>
      <c r="HC356">
        <v>10125</v>
      </c>
      <c r="HD356" t="s">
        <v>440</v>
      </c>
    </row>
    <row r="357" spans="1:272" x14ac:dyDescent="0.25">
      <c r="A357">
        <v>16485364</v>
      </c>
      <c r="B357">
        <v>356</v>
      </c>
      <c r="C357" t="s">
        <v>393</v>
      </c>
      <c r="D357" t="s">
        <v>394</v>
      </c>
      <c r="F357" t="str">
        <f>"26-2N-24-0000-0004-0170"</f>
        <v>26-2N-24-0000-0004-0170</v>
      </c>
      <c r="H357" t="str">
        <f>"HURST RONNIE &amp; HEATHER"</f>
        <v>HURST RONNIE &amp; HEATHER</v>
      </c>
      <c r="I357" t="str">
        <f>"35019 MARY RD"</f>
        <v>35019 MARY RD</v>
      </c>
      <c r="J357" t="str">
        <f t="shared" si="112"/>
        <v>CALLAHAN FL 32011</v>
      </c>
      <c r="K357" t="str">
        <f>"35019 MARY RD"</f>
        <v>35019 MARY RD</v>
      </c>
      <c r="L357" t="str">
        <f t="shared" si="100"/>
        <v>CALLAHAN FL 32011</v>
      </c>
      <c r="M357" t="str">
        <f>"PT NE 1/4 OF SW 1/4 OF SEC 26-2N-24E RECD IN OR 1988/1270 (EX 4-22 &amp; 4-26)"</f>
        <v>PT NE 1/4 OF SW 1/4 OF SEC 26-2N-24E RECD IN OR 1988/1270 (EX 4-22 &amp; 4-26)</v>
      </c>
      <c r="N357" t="str">
        <f>""</f>
        <v/>
      </c>
      <c r="O357" t="str">
        <f>"36015"</f>
        <v>36015</v>
      </c>
      <c r="P357" t="str">
        <f t="shared" si="101"/>
        <v>2017</v>
      </c>
      <c r="Q357" t="str">
        <f>""</f>
        <v/>
      </c>
      <c r="R357" t="str">
        <f>"Y"</f>
        <v>Y</v>
      </c>
      <c r="S357" t="str">
        <f>"1.00"</f>
        <v>1.00</v>
      </c>
      <c r="T357" t="str">
        <f>"1470.89"</f>
        <v>1470.89</v>
      </c>
      <c r="U357" t="str">
        <f>"136264.00"</f>
        <v>136264.00</v>
      </c>
      <c r="V357" t="str">
        <f>"136264.00"</f>
        <v>136264.00</v>
      </c>
      <c r="W357" t="str">
        <f t="shared" si="102"/>
        <v>2017</v>
      </c>
      <c r="X357" t="str">
        <f>"5.00"</f>
        <v>5.00</v>
      </c>
      <c r="Y357" t="str">
        <f>"1547.02"</f>
        <v>1547.02</v>
      </c>
      <c r="Z357" t="str">
        <f>"25000.00"</f>
        <v>25000.00</v>
      </c>
      <c r="AA357" t="str">
        <f>"111264.00"</f>
        <v>111264.00</v>
      </c>
      <c r="AB357" t="str">
        <f t="shared" si="113"/>
        <v>Residential</v>
      </c>
      <c r="AC357" t="str">
        <f t="shared" si="104"/>
        <v>0</v>
      </c>
      <c r="AD357" t="str">
        <f>"4"</f>
        <v>4</v>
      </c>
      <c r="AE357" t="str">
        <f>"WOOD (INCLUDE STEEL STUDS)"</f>
        <v>WOOD (INCLUDE STEEL STUDS)</v>
      </c>
      <c r="AF357" t="str">
        <f>"001"</f>
        <v>001</v>
      </c>
      <c r="AG357" t="str">
        <f t="shared" si="111"/>
        <v>FL</v>
      </c>
      <c r="AH357" t="str">
        <f>"43560.00"</f>
        <v>43560.00</v>
      </c>
      <c r="AI357" t="str">
        <f>"15000.00"</f>
        <v>15000.00</v>
      </c>
      <c r="AJ357" t="str">
        <f>"C55-000-587-4496-2"</f>
        <v>C55-000-587-4496-2</v>
      </c>
      <c r="AK357" t="str">
        <f>"5468"</f>
        <v>5468</v>
      </c>
      <c r="AL357">
        <v>2</v>
      </c>
      <c r="AM357">
        <v>415</v>
      </c>
      <c r="AN357">
        <v>1622.77</v>
      </c>
      <c r="AQ357" t="s">
        <v>4040</v>
      </c>
      <c r="AR357" t="s">
        <v>4040</v>
      </c>
      <c r="AS357" t="s">
        <v>4040</v>
      </c>
      <c r="AU357" t="s">
        <v>396</v>
      </c>
      <c r="AV357">
        <v>2017</v>
      </c>
      <c r="AW357" t="str">
        <f>"26-2N-24-0000-0004-0170 "</f>
        <v xml:space="preserve">26-2N-24-0000-0004-0170 </v>
      </c>
      <c r="AX357">
        <v>35019</v>
      </c>
      <c r="AZ357" t="s">
        <v>4029</v>
      </c>
      <c r="BA357" t="s">
        <v>496</v>
      </c>
      <c r="BD357" t="s">
        <v>2785</v>
      </c>
      <c r="BE357" t="s">
        <v>393</v>
      </c>
      <c r="BF357">
        <v>32011</v>
      </c>
      <c r="BG357" t="s">
        <v>4041</v>
      </c>
      <c r="BH357" t="s">
        <v>2787</v>
      </c>
      <c r="BI357">
        <v>-81.878921430940693</v>
      </c>
      <c r="BJ357">
        <v>30.559390206226801</v>
      </c>
      <c r="BK357" t="s">
        <v>4042</v>
      </c>
      <c r="BM357" t="s">
        <v>4041</v>
      </c>
      <c r="BN357" t="s">
        <v>928</v>
      </c>
      <c r="BO357">
        <v>32011</v>
      </c>
      <c r="BP357" t="s">
        <v>416</v>
      </c>
      <c r="BQ357">
        <v>100</v>
      </c>
      <c r="BR357" t="s">
        <v>514</v>
      </c>
      <c r="BS357">
        <v>1001</v>
      </c>
      <c r="BT357" t="s">
        <v>515</v>
      </c>
      <c r="BW357">
        <v>43560</v>
      </c>
      <c r="BX357" t="s">
        <v>407</v>
      </c>
      <c r="BY357" t="s">
        <v>408</v>
      </c>
      <c r="BZ357">
        <v>4</v>
      </c>
      <c r="CA357">
        <v>1999</v>
      </c>
      <c r="CB357">
        <v>1</v>
      </c>
      <c r="CC357">
        <v>1</v>
      </c>
      <c r="CD357">
        <v>2017</v>
      </c>
      <c r="CE357">
        <v>15000</v>
      </c>
      <c r="CF357">
        <v>121264</v>
      </c>
      <c r="CG357">
        <v>136264</v>
      </c>
      <c r="CH357">
        <v>2017</v>
      </c>
      <c r="CI357">
        <v>15000</v>
      </c>
      <c r="CJ357">
        <v>121264</v>
      </c>
      <c r="CK357">
        <v>136264</v>
      </c>
      <c r="CL357">
        <v>2017</v>
      </c>
      <c r="CM357">
        <v>1470.89</v>
      </c>
      <c r="CN357" s="1">
        <v>42186</v>
      </c>
      <c r="CO357">
        <v>120000</v>
      </c>
      <c r="CV357">
        <v>0</v>
      </c>
      <c r="CZ357" s="1">
        <v>42186</v>
      </c>
      <c r="DA357">
        <v>0</v>
      </c>
      <c r="DD357" t="s">
        <v>2785</v>
      </c>
      <c r="DG357">
        <v>26</v>
      </c>
      <c r="DL357">
        <v>50503</v>
      </c>
      <c r="DM357" t="s">
        <v>4033</v>
      </c>
      <c r="DO357" t="s">
        <v>4043</v>
      </c>
      <c r="DP357">
        <v>0</v>
      </c>
      <c r="DQ357">
        <v>0</v>
      </c>
      <c r="DR357" t="s">
        <v>411</v>
      </c>
      <c r="DS357" t="b">
        <v>1</v>
      </c>
      <c r="DT357" t="s">
        <v>470</v>
      </c>
      <c r="DU357" t="s">
        <v>471</v>
      </c>
      <c r="DV357" t="s">
        <v>472</v>
      </c>
      <c r="DX357">
        <v>-9999</v>
      </c>
      <c r="DZ357" t="s">
        <v>447</v>
      </c>
      <c r="EA357" t="s">
        <v>448</v>
      </c>
      <c r="EB357" t="s">
        <v>742</v>
      </c>
      <c r="EC357">
        <v>20101217</v>
      </c>
      <c r="ED357" t="s">
        <v>474</v>
      </c>
      <c r="EF357">
        <v>1459.4</v>
      </c>
      <c r="EG357">
        <v>1459.4</v>
      </c>
      <c r="EI357">
        <v>20160407</v>
      </c>
      <c r="EJ357">
        <v>0</v>
      </c>
      <c r="EK357">
        <v>0</v>
      </c>
      <c r="EP357" t="s">
        <v>421</v>
      </c>
      <c r="EQ357" t="s">
        <v>422</v>
      </c>
      <c r="ER357">
        <v>0</v>
      </c>
      <c r="ES357">
        <v>4</v>
      </c>
      <c r="ET357">
        <v>0</v>
      </c>
      <c r="EU357">
        <v>0</v>
      </c>
      <c r="EV357">
        <v>0</v>
      </c>
      <c r="EW357" s="2">
        <v>43222</v>
      </c>
      <c r="EX357" s="1">
        <v>42515</v>
      </c>
      <c r="EY357">
        <v>2015</v>
      </c>
      <c r="EZ357">
        <v>2312.16</v>
      </c>
      <c r="FA357" t="s">
        <v>4044</v>
      </c>
      <c r="FB357">
        <v>0.25</v>
      </c>
      <c r="FC357" t="s">
        <v>424</v>
      </c>
      <c r="FD357" t="s">
        <v>425</v>
      </c>
      <c r="FE357" s="1">
        <v>42793</v>
      </c>
      <c r="FF357">
        <v>9</v>
      </c>
      <c r="FG357">
        <v>5916895</v>
      </c>
      <c r="FH357" t="s">
        <v>1390</v>
      </c>
      <c r="FJ357" s="1">
        <v>42515</v>
      </c>
      <c r="FK357">
        <v>2015</v>
      </c>
      <c r="FL357">
        <v>2312.16</v>
      </c>
      <c r="FM357" t="s">
        <v>4044</v>
      </c>
      <c r="FN357">
        <v>0.25</v>
      </c>
      <c r="FO357" t="s">
        <v>424</v>
      </c>
      <c r="FP357" t="s">
        <v>425</v>
      </c>
      <c r="FR357">
        <v>22</v>
      </c>
      <c r="FS357">
        <v>6049933</v>
      </c>
      <c r="FT357" t="s">
        <v>4045</v>
      </c>
      <c r="FV357" s="1">
        <v>42151</v>
      </c>
      <c r="FW357">
        <v>2014</v>
      </c>
      <c r="FX357">
        <v>2104.38</v>
      </c>
      <c r="FY357" t="s">
        <v>4046</v>
      </c>
      <c r="FZ357">
        <v>0.25</v>
      </c>
      <c r="GA357" t="s">
        <v>424</v>
      </c>
      <c r="GB357" t="s">
        <v>425</v>
      </c>
      <c r="GC357" s="1">
        <v>42185</v>
      </c>
      <c r="GD357">
        <v>1</v>
      </c>
      <c r="GE357">
        <v>2851116</v>
      </c>
      <c r="GF357" t="s">
        <v>480</v>
      </c>
      <c r="GH357" s="1">
        <v>42151</v>
      </c>
      <c r="GI357">
        <v>2014</v>
      </c>
      <c r="GJ357">
        <v>2104.38</v>
      </c>
      <c r="GK357" t="s">
        <v>4046</v>
      </c>
      <c r="GL357">
        <v>0.25</v>
      </c>
      <c r="GM357" t="s">
        <v>424</v>
      </c>
      <c r="GN357" t="s">
        <v>425</v>
      </c>
      <c r="GP357">
        <v>22</v>
      </c>
      <c r="GQ357">
        <v>5078497</v>
      </c>
      <c r="GR357" t="s">
        <v>4047</v>
      </c>
    </row>
    <row r="358" spans="1:272" x14ac:dyDescent="0.25">
      <c r="A358">
        <v>16485365</v>
      </c>
      <c r="B358">
        <v>357</v>
      </c>
      <c r="C358" t="s">
        <v>393</v>
      </c>
      <c r="D358" t="s">
        <v>394</v>
      </c>
      <c r="F358" t="str">
        <f>"26-2N-24-0000-0015-0000"</f>
        <v>26-2N-24-0000-0015-0000</v>
      </c>
      <c r="H358" t="str">
        <f>"UNKNOWN"</f>
        <v>UNKNOWN</v>
      </c>
      <c r="I358" t="str">
        <f>""</f>
        <v/>
      </c>
      <c r="J358" t="str">
        <f>"HILLIARD FL 32046"</f>
        <v>HILLIARD FL 32046</v>
      </c>
      <c r="K358" t="str">
        <f>"RIVER RD"</f>
        <v>RIVER RD</v>
      </c>
      <c r="L358" t="str">
        <f t="shared" si="100"/>
        <v>CALLAHAN FL 32011</v>
      </c>
      <c r="M358" t="str">
        <f>"UNKNOWN"</f>
        <v>UNKNOWN</v>
      </c>
      <c r="N358" t="str">
        <f>""</f>
        <v/>
      </c>
      <c r="O358" t="str">
        <f>"36070"</f>
        <v>36070</v>
      </c>
      <c r="P358" t="str">
        <f t="shared" si="101"/>
        <v>2017</v>
      </c>
      <c r="Q358" t="str">
        <f>""</f>
        <v/>
      </c>
      <c r="R358" t="str">
        <f>"N"</f>
        <v>N</v>
      </c>
      <c r="S358" t="str">
        <f>"0.12"</f>
        <v>0.12</v>
      </c>
      <c r="T358" t="str">
        <f>"5.45"</f>
        <v>5.45</v>
      </c>
      <c r="U358" t="str">
        <f>"360.00"</f>
        <v>360.00</v>
      </c>
      <c r="V358" t="str">
        <f>"360.00"</f>
        <v>360.00</v>
      </c>
      <c r="W358" t="str">
        <f t="shared" si="102"/>
        <v>2017</v>
      </c>
      <c r="X358" t="str">
        <f>""</f>
        <v/>
      </c>
      <c r="Y358" t="str">
        <f>"37.61"</f>
        <v>37.61</v>
      </c>
      <c r="Z358" t="str">
        <f>""</f>
        <v/>
      </c>
      <c r="AA358" t="str">
        <f>"360.00"</f>
        <v>360.00</v>
      </c>
      <c r="AB358" t="str">
        <f t="shared" si="113"/>
        <v>Residential</v>
      </c>
      <c r="AC358" t="str">
        <f t="shared" si="104"/>
        <v>0</v>
      </c>
      <c r="AD358" t="str">
        <f>""</f>
        <v/>
      </c>
      <c r="AE358" t="str">
        <f>""</f>
        <v/>
      </c>
      <c r="AF358" t="str">
        <f>"000"</f>
        <v>000</v>
      </c>
      <c r="AG358" t="str">
        <f t="shared" si="111"/>
        <v>FL</v>
      </c>
      <c r="AH358" t="str">
        <f>"5227.00"</f>
        <v>5227.00</v>
      </c>
      <c r="AI358" t="str">
        <f>"360.00"</f>
        <v>360.00</v>
      </c>
      <c r="AJ358" t="str">
        <f>"C55-000-588-9598-8"</f>
        <v>C55-000-588-9598-8</v>
      </c>
      <c r="AK358" t="str">
        <f>"5522"</f>
        <v>5522</v>
      </c>
      <c r="AL358">
        <v>2</v>
      </c>
      <c r="AM358">
        <v>417</v>
      </c>
      <c r="AN358">
        <v>37.89</v>
      </c>
      <c r="AQ358" t="s">
        <v>4048</v>
      </c>
      <c r="AR358" t="s">
        <v>4048</v>
      </c>
      <c r="AS358" t="s">
        <v>4048</v>
      </c>
      <c r="AU358" t="s">
        <v>396</v>
      </c>
      <c r="AV358">
        <v>2017</v>
      </c>
      <c r="AW358" t="str">
        <f>"26-2N-24-0000-0015-0000 "</f>
        <v xml:space="preserve">26-2N-24-0000-0015-0000 </v>
      </c>
      <c r="AZ358" t="s">
        <v>1369</v>
      </c>
      <c r="BA358" t="s">
        <v>496</v>
      </c>
      <c r="BD358" t="s">
        <v>2785</v>
      </c>
      <c r="BE358" t="s">
        <v>393</v>
      </c>
      <c r="BF358">
        <v>32011</v>
      </c>
      <c r="BG358" t="s">
        <v>1370</v>
      </c>
      <c r="BH358" t="s">
        <v>2787</v>
      </c>
      <c r="BI358">
        <v>-81.869754729671101</v>
      </c>
      <c r="BJ358">
        <v>30.5569658917425</v>
      </c>
      <c r="BK358" t="s">
        <v>675</v>
      </c>
      <c r="BM358">
        <v>0</v>
      </c>
      <c r="BN358" t="s">
        <v>403</v>
      </c>
      <c r="BO358">
        <v>32046</v>
      </c>
      <c r="BP358" t="s">
        <v>404</v>
      </c>
      <c r="BQ358">
        <v>0</v>
      </c>
      <c r="BR358" t="s">
        <v>491</v>
      </c>
      <c r="BS358">
        <v>8001</v>
      </c>
      <c r="BT358" t="s">
        <v>492</v>
      </c>
      <c r="BW358">
        <v>5227</v>
      </c>
      <c r="BX358" t="s">
        <v>407</v>
      </c>
      <c r="CD358">
        <v>2017</v>
      </c>
      <c r="CE358">
        <v>360</v>
      </c>
      <c r="CG358">
        <v>360</v>
      </c>
      <c r="CH358">
        <v>2017</v>
      </c>
      <c r="CI358">
        <v>360</v>
      </c>
      <c r="CK358">
        <v>360</v>
      </c>
      <c r="CL358">
        <v>2017</v>
      </c>
      <c r="CM358">
        <v>5.45</v>
      </c>
      <c r="DD358" t="s">
        <v>2785</v>
      </c>
      <c r="DG358">
        <v>26</v>
      </c>
      <c r="DM358" t="s">
        <v>4033</v>
      </c>
      <c r="DO358" t="s">
        <v>675</v>
      </c>
      <c r="DP358">
        <v>0</v>
      </c>
      <c r="DQ358">
        <v>0</v>
      </c>
      <c r="DR358" t="s">
        <v>411</v>
      </c>
      <c r="DS358" t="b">
        <v>1</v>
      </c>
      <c r="DT358" t="s">
        <v>470</v>
      </c>
      <c r="DU358" t="s">
        <v>471</v>
      </c>
      <c r="DV358" t="s">
        <v>472</v>
      </c>
      <c r="DX358">
        <v>-9999</v>
      </c>
      <c r="DZ358" t="s">
        <v>447</v>
      </c>
      <c r="EA358" t="s">
        <v>448</v>
      </c>
      <c r="EB358" t="s">
        <v>742</v>
      </c>
      <c r="EC358">
        <v>20101217</v>
      </c>
      <c r="ED358" t="s">
        <v>474</v>
      </c>
      <c r="EF358">
        <v>620.79999999999995</v>
      </c>
      <c r="EG358">
        <v>620.79999999999995</v>
      </c>
      <c r="EI358">
        <v>20160407</v>
      </c>
      <c r="EJ358">
        <v>0</v>
      </c>
      <c r="EK358">
        <v>0</v>
      </c>
      <c r="EP358" t="s">
        <v>595</v>
      </c>
      <c r="EQ358" t="s">
        <v>422</v>
      </c>
      <c r="ER358">
        <v>9</v>
      </c>
      <c r="ES358">
        <v>0</v>
      </c>
      <c r="ET358">
        <v>420</v>
      </c>
      <c r="EU358">
        <v>371.64</v>
      </c>
      <c r="EV358">
        <v>791.64</v>
      </c>
      <c r="EW358" s="2">
        <v>43222</v>
      </c>
      <c r="EX358" s="1">
        <v>42879</v>
      </c>
      <c r="EY358">
        <v>2016</v>
      </c>
      <c r="EZ358">
        <v>50.91</v>
      </c>
      <c r="FA358" t="s">
        <v>4049</v>
      </c>
      <c r="FB358">
        <v>18</v>
      </c>
      <c r="FC358" t="s">
        <v>603</v>
      </c>
      <c r="FD358" t="s">
        <v>454</v>
      </c>
      <c r="FF358">
        <v>12</v>
      </c>
      <c r="FG358">
        <v>9999999</v>
      </c>
      <c r="FH358" t="s">
        <v>604</v>
      </c>
      <c r="FJ358" s="1">
        <v>42515</v>
      </c>
      <c r="FK358">
        <v>2015</v>
      </c>
      <c r="FL358">
        <v>45.37</v>
      </c>
      <c r="FM358" t="s">
        <v>4050</v>
      </c>
      <c r="FN358">
        <v>18</v>
      </c>
      <c r="FO358" t="s">
        <v>603</v>
      </c>
      <c r="FP358" t="s">
        <v>454</v>
      </c>
      <c r="FR358">
        <v>24</v>
      </c>
      <c r="FS358">
        <v>9999999</v>
      </c>
      <c r="FT358" t="s">
        <v>604</v>
      </c>
      <c r="FV358" s="1">
        <v>42151</v>
      </c>
      <c r="FW358">
        <v>2014</v>
      </c>
      <c r="FX358">
        <v>42.51</v>
      </c>
      <c r="FY358" t="s">
        <v>4051</v>
      </c>
      <c r="FZ358">
        <v>18</v>
      </c>
      <c r="GA358" t="s">
        <v>603</v>
      </c>
      <c r="GB358" t="s">
        <v>454</v>
      </c>
      <c r="GD358">
        <v>36</v>
      </c>
      <c r="GE358">
        <v>9999999</v>
      </c>
      <c r="GF358" t="s">
        <v>604</v>
      </c>
      <c r="GH358" s="1">
        <v>41787</v>
      </c>
      <c r="GI358">
        <v>2013</v>
      </c>
      <c r="GJ358">
        <v>41.4</v>
      </c>
      <c r="GK358" t="s">
        <v>4052</v>
      </c>
      <c r="GL358">
        <v>18</v>
      </c>
      <c r="GM358" t="s">
        <v>603</v>
      </c>
      <c r="GN358" t="s">
        <v>454</v>
      </c>
      <c r="GP358">
        <v>48</v>
      </c>
      <c r="GQ358">
        <v>9999999</v>
      </c>
      <c r="GR358" t="s">
        <v>604</v>
      </c>
      <c r="GT358" s="1">
        <v>41787</v>
      </c>
      <c r="GU358">
        <v>2013</v>
      </c>
      <c r="GV358">
        <v>55.1</v>
      </c>
      <c r="GW358" t="s">
        <v>4052</v>
      </c>
      <c r="GX358">
        <v>18</v>
      </c>
      <c r="GY358" t="s">
        <v>424</v>
      </c>
      <c r="GZ358" t="s">
        <v>454</v>
      </c>
      <c r="HB358">
        <v>48</v>
      </c>
      <c r="HC358">
        <v>7045033</v>
      </c>
      <c r="HD358" t="s">
        <v>4053</v>
      </c>
      <c r="HF358" s="1">
        <v>41423</v>
      </c>
      <c r="HG358">
        <v>2012</v>
      </c>
      <c r="HH358">
        <v>48.54</v>
      </c>
      <c r="HI358" t="s">
        <v>4054</v>
      </c>
      <c r="HJ358">
        <v>17</v>
      </c>
      <c r="HK358" t="s">
        <v>424</v>
      </c>
      <c r="HL358" t="s">
        <v>454</v>
      </c>
      <c r="HN358">
        <v>60</v>
      </c>
      <c r="HO358">
        <v>10125</v>
      </c>
      <c r="HP358" t="s">
        <v>440</v>
      </c>
      <c r="HR358" s="1">
        <v>41052</v>
      </c>
      <c r="HS358">
        <v>2011</v>
      </c>
      <c r="HT358">
        <v>41.01</v>
      </c>
      <c r="HU358" t="s">
        <v>4055</v>
      </c>
      <c r="HV358">
        <v>14.75</v>
      </c>
      <c r="HW358" t="s">
        <v>424</v>
      </c>
      <c r="HX358" t="s">
        <v>454</v>
      </c>
      <c r="HZ358">
        <v>72</v>
      </c>
      <c r="IA358">
        <v>10125</v>
      </c>
      <c r="IB358" t="s">
        <v>440</v>
      </c>
      <c r="ID358" s="1">
        <v>40688</v>
      </c>
      <c r="IE358">
        <v>2010</v>
      </c>
      <c r="IF358">
        <v>52</v>
      </c>
      <c r="IG358" t="s">
        <v>4056</v>
      </c>
      <c r="IH358">
        <v>18</v>
      </c>
      <c r="II358" t="s">
        <v>424</v>
      </c>
      <c r="IJ358" t="s">
        <v>454</v>
      </c>
      <c r="IL358">
        <v>84</v>
      </c>
      <c r="IM358">
        <v>11804</v>
      </c>
      <c r="IN358" t="s">
        <v>4057</v>
      </c>
      <c r="IP358" s="1">
        <v>40688</v>
      </c>
      <c r="IQ358">
        <v>2010</v>
      </c>
      <c r="IR358">
        <v>43.16</v>
      </c>
      <c r="IS358" t="s">
        <v>4056</v>
      </c>
      <c r="IT358">
        <v>18</v>
      </c>
      <c r="IU358" t="s">
        <v>603</v>
      </c>
      <c r="IV358" t="s">
        <v>454</v>
      </c>
      <c r="IX358">
        <v>84</v>
      </c>
      <c r="IY358">
        <v>9999999</v>
      </c>
      <c r="IZ358" t="s">
        <v>604</v>
      </c>
    </row>
    <row r="359" spans="1:272" x14ac:dyDescent="0.25">
      <c r="A359">
        <v>16485366</v>
      </c>
      <c r="B359">
        <v>358</v>
      </c>
      <c r="C359" t="s">
        <v>393</v>
      </c>
      <c r="D359" t="s">
        <v>394</v>
      </c>
      <c r="F359" t="str">
        <f>"27-2N-24-0000-0002-0060"</f>
        <v>27-2N-24-0000-0002-0060</v>
      </c>
      <c r="H359" t="str">
        <f>"SMITH DAVID P"</f>
        <v>SMITH DAVID P</v>
      </c>
      <c r="I359" t="str">
        <f>"613386 RIVER ROAD"</f>
        <v>613386 RIVER ROAD</v>
      </c>
      <c r="J359" t="str">
        <f>"CALLAHAN FL 32011"</f>
        <v>CALLAHAN FL 32011</v>
      </c>
      <c r="K359" t="str">
        <f>"613386 RIVER RD"</f>
        <v>613386 RIVER RD</v>
      </c>
      <c r="L359" t="str">
        <f t="shared" si="100"/>
        <v>CALLAHAN FL 32011</v>
      </c>
      <c r="M359" t="str">
        <f>"IN OR 1625/1846 UTILITY ESMT IN OR 869/962"</f>
        <v>IN OR 1625/1846 UTILITY ESMT IN OR 869/962</v>
      </c>
      <c r="N359" t="str">
        <f>""</f>
        <v/>
      </c>
      <c r="O359" t="str">
        <f>"37049"</f>
        <v>37049</v>
      </c>
      <c r="P359" t="str">
        <f t="shared" si="101"/>
        <v>2017</v>
      </c>
      <c r="Q359" t="str">
        <f>""</f>
        <v/>
      </c>
      <c r="R359" t="str">
        <f>"Y"</f>
        <v>Y</v>
      </c>
      <c r="S359" t="str">
        <f>"2.04"</f>
        <v>2.04</v>
      </c>
      <c r="T359" t="str">
        <f>"1680.20"</f>
        <v>1680.20</v>
      </c>
      <c r="U359" t="str">
        <f>"150091.00"</f>
        <v>150091.00</v>
      </c>
      <c r="V359" t="str">
        <f>"150091.00"</f>
        <v>150091.00</v>
      </c>
      <c r="W359" t="str">
        <f t="shared" si="102"/>
        <v>2017</v>
      </c>
      <c r="X359" t="str">
        <f>"15.67"</f>
        <v>15.67</v>
      </c>
      <c r="Y359" t="str">
        <f>"1762.61"</f>
        <v>1762.61</v>
      </c>
      <c r="Z359" t="str">
        <f>"25000.00"</f>
        <v>25000.00</v>
      </c>
      <c r="AA359" t="str">
        <f>"125091.00"</f>
        <v>125091.00</v>
      </c>
      <c r="AB359" t="str">
        <f t="shared" si="113"/>
        <v>Residential</v>
      </c>
      <c r="AC359" t="str">
        <f t="shared" si="104"/>
        <v>0</v>
      </c>
      <c r="AD359" t="str">
        <f>"4"</f>
        <v>4</v>
      </c>
      <c r="AE359" t="str">
        <f>"WOOD (INCLUDE STEEL STUDS)"</f>
        <v>WOOD (INCLUDE STEEL STUDS)</v>
      </c>
      <c r="AF359" t="str">
        <f>"001"</f>
        <v>001</v>
      </c>
      <c r="AG359" t="str">
        <f t="shared" si="111"/>
        <v>FL</v>
      </c>
      <c r="AH359" t="str">
        <f>"88862.00"</f>
        <v>88862.00</v>
      </c>
      <c r="AI359" t="str">
        <f>"24480.00"</f>
        <v>24480.00</v>
      </c>
      <c r="AJ359" t="str">
        <f>"C55-000-587-4779-1"</f>
        <v>C55-000-587-4779-1</v>
      </c>
      <c r="AK359" t="str">
        <f>"5527"</f>
        <v>5527</v>
      </c>
      <c r="AL359">
        <v>2</v>
      </c>
      <c r="AM359">
        <v>418</v>
      </c>
      <c r="AN359">
        <v>1849.14</v>
      </c>
      <c r="AQ359" t="s">
        <v>4058</v>
      </c>
      <c r="AR359" t="s">
        <v>4058</v>
      </c>
      <c r="AS359" t="s">
        <v>4058</v>
      </c>
      <c r="AU359" t="s">
        <v>396</v>
      </c>
      <c r="AV359">
        <v>2017</v>
      </c>
      <c r="AW359" t="str">
        <f>"27-2N-24-0000-0002-0060 "</f>
        <v xml:space="preserve">27-2N-24-0000-0002-0060 </v>
      </c>
      <c r="AX359">
        <v>613386</v>
      </c>
      <c r="AZ359" t="s">
        <v>1369</v>
      </c>
      <c r="BA359" t="s">
        <v>496</v>
      </c>
      <c r="BD359" t="s">
        <v>2785</v>
      </c>
      <c r="BE359" t="s">
        <v>393</v>
      </c>
      <c r="BF359">
        <v>32011</v>
      </c>
      <c r="BG359" t="s">
        <v>4059</v>
      </c>
      <c r="BH359" t="s">
        <v>2787</v>
      </c>
      <c r="BI359">
        <v>-81.898702382875101</v>
      </c>
      <c r="BJ359">
        <v>30.553431449805601</v>
      </c>
      <c r="BK359" t="s">
        <v>4060</v>
      </c>
      <c r="BM359" t="s">
        <v>4061</v>
      </c>
      <c r="BN359" t="s">
        <v>928</v>
      </c>
      <c r="BO359">
        <v>32011</v>
      </c>
      <c r="BP359" t="s">
        <v>416</v>
      </c>
      <c r="BQ359">
        <v>100</v>
      </c>
      <c r="BR359" t="s">
        <v>514</v>
      </c>
      <c r="BS359">
        <v>1001</v>
      </c>
      <c r="BT359" t="s">
        <v>515</v>
      </c>
      <c r="BW359">
        <v>88862</v>
      </c>
      <c r="BX359" t="s">
        <v>407</v>
      </c>
      <c r="BY359" t="s">
        <v>408</v>
      </c>
      <c r="BZ359">
        <v>4</v>
      </c>
      <c r="CA359">
        <v>1960</v>
      </c>
      <c r="CB359">
        <v>1</v>
      </c>
      <c r="CC359">
        <v>2</v>
      </c>
      <c r="CD359">
        <v>2017</v>
      </c>
      <c r="CG359">
        <v>150091</v>
      </c>
      <c r="CH359">
        <v>2017</v>
      </c>
      <c r="CI359">
        <v>24480</v>
      </c>
      <c r="CJ359">
        <v>125680</v>
      </c>
      <c r="CK359">
        <v>150160</v>
      </c>
      <c r="CL359">
        <v>2017</v>
      </c>
      <c r="CM359">
        <v>1680.2</v>
      </c>
      <c r="CN359" s="1">
        <v>39986</v>
      </c>
      <c r="CO359">
        <v>232000</v>
      </c>
      <c r="CV359">
        <v>0</v>
      </c>
      <c r="CZ359" s="1">
        <v>39986</v>
      </c>
      <c r="DA359">
        <v>0</v>
      </c>
      <c r="DD359" t="s">
        <v>2785</v>
      </c>
      <c r="DG359">
        <v>27</v>
      </c>
      <c r="DL359">
        <v>50503</v>
      </c>
      <c r="DM359" t="s">
        <v>4062</v>
      </c>
      <c r="DO359" t="s">
        <v>4063</v>
      </c>
      <c r="DP359">
        <v>0</v>
      </c>
      <c r="DQ359">
        <v>0</v>
      </c>
      <c r="DR359" t="s">
        <v>411</v>
      </c>
      <c r="DS359" t="b">
        <v>1</v>
      </c>
      <c r="DT359" t="s">
        <v>470</v>
      </c>
      <c r="DU359" t="s">
        <v>471</v>
      </c>
      <c r="DV359" t="s">
        <v>472</v>
      </c>
      <c r="DX359">
        <v>-9999</v>
      </c>
      <c r="DZ359" t="s">
        <v>447</v>
      </c>
      <c r="EA359" t="s">
        <v>448</v>
      </c>
      <c r="EB359" t="s">
        <v>742</v>
      </c>
      <c r="EC359">
        <v>20101217</v>
      </c>
      <c r="ED359" t="s">
        <v>474</v>
      </c>
      <c r="EF359">
        <v>249.8</v>
      </c>
      <c r="EG359">
        <v>249.8</v>
      </c>
      <c r="EI359">
        <v>20160407</v>
      </c>
      <c r="EJ359">
        <v>0</v>
      </c>
      <c r="EK359">
        <v>0</v>
      </c>
      <c r="EP359" t="s">
        <v>421</v>
      </c>
      <c r="EQ359" t="s">
        <v>422</v>
      </c>
      <c r="ER359">
        <v>2</v>
      </c>
      <c r="ES359">
        <v>5</v>
      </c>
      <c r="ET359">
        <v>3642.32</v>
      </c>
      <c r="EU359">
        <v>194.62</v>
      </c>
      <c r="EV359">
        <v>3836.94</v>
      </c>
      <c r="EW359" s="2">
        <v>43222</v>
      </c>
      <c r="EX359" s="1">
        <v>42879</v>
      </c>
      <c r="EY359">
        <v>2016</v>
      </c>
      <c r="EZ359">
        <v>1821.16</v>
      </c>
      <c r="FA359" t="s">
        <v>4064</v>
      </c>
      <c r="FB359">
        <v>0.25</v>
      </c>
      <c r="FC359" t="s">
        <v>424</v>
      </c>
      <c r="FD359" t="s">
        <v>454</v>
      </c>
      <c r="FF359">
        <v>12</v>
      </c>
      <c r="FG359">
        <v>5857474</v>
      </c>
      <c r="FH359" t="s">
        <v>900</v>
      </c>
      <c r="FJ359" s="1">
        <v>42879</v>
      </c>
      <c r="FK359">
        <v>2016</v>
      </c>
      <c r="FL359">
        <v>1821.16</v>
      </c>
      <c r="FM359" t="s">
        <v>4064</v>
      </c>
      <c r="FN359">
        <v>0.25</v>
      </c>
      <c r="FO359" t="s">
        <v>424</v>
      </c>
      <c r="FP359" t="s">
        <v>454</v>
      </c>
      <c r="FR359">
        <v>12</v>
      </c>
      <c r="FS359">
        <v>6529048</v>
      </c>
      <c r="FT359" t="s">
        <v>4065</v>
      </c>
      <c r="FV359" s="1">
        <v>42515</v>
      </c>
      <c r="FW359">
        <v>2015</v>
      </c>
      <c r="FX359">
        <v>1880.07</v>
      </c>
      <c r="FY359" t="s">
        <v>4066</v>
      </c>
      <c r="FZ359">
        <v>0.25</v>
      </c>
      <c r="GA359" t="s">
        <v>424</v>
      </c>
      <c r="GB359" t="s">
        <v>425</v>
      </c>
      <c r="GC359" s="1">
        <v>43213</v>
      </c>
      <c r="GD359">
        <v>23</v>
      </c>
      <c r="GE359">
        <v>2851116</v>
      </c>
      <c r="GF359" t="s">
        <v>480</v>
      </c>
      <c r="GH359" s="1">
        <v>42515</v>
      </c>
      <c r="GI359">
        <v>2015</v>
      </c>
      <c r="GJ359">
        <v>1880.07</v>
      </c>
      <c r="GK359" t="s">
        <v>4066</v>
      </c>
      <c r="GL359">
        <v>0.25</v>
      </c>
      <c r="GM359" t="s">
        <v>424</v>
      </c>
      <c r="GN359" t="s">
        <v>425</v>
      </c>
      <c r="GP359">
        <v>22</v>
      </c>
      <c r="GQ359">
        <v>5013708</v>
      </c>
      <c r="GR359" t="s">
        <v>4067</v>
      </c>
      <c r="GT359" s="1">
        <v>42151</v>
      </c>
      <c r="GU359">
        <v>2014</v>
      </c>
      <c r="GV359">
        <v>2364.2800000000002</v>
      </c>
      <c r="GW359" t="s">
        <v>4068</v>
      </c>
      <c r="GX359">
        <v>0.25</v>
      </c>
      <c r="GY359" t="s">
        <v>424</v>
      </c>
      <c r="GZ359" t="s">
        <v>425</v>
      </c>
      <c r="HA359" s="1">
        <v>42558</v>
      </c>
      <c r="HB359">
        <v>14</v>
      </c>
      <c r="HC359">
        <v>11289</v>
      </c>
      <c r="HD359" t="s">
        <v>787</v>
      </c>
      <c r="HF359" s="1">
        <v>42151</v>
      </c>
      <c r="HG359">
        <v>2014</v>
      </c>
      <c r="HH359">
        <v>2364.2800000000002</v>
      </c>
      <c r="HI359" t="s">
        <v>4068</v>
      </c>
      <c r="HJ359">
        <v>0.25</v>
      </c>
      <c r="HK359" t="s">
        <v>424</v>
      </c>
      <c r="HL359" t="s">
        <v>425</v>
      </c>
      <c r="HN359">
        <v>22</v>
      </c>
      <c r="HO359">
        <v>5138511</v>
      </c>
      <c r="HP359" t="s">
        <v>4069</v>
      </c>
      <c r="HR359" s="1">
        <v>41787</v>
      </c>
      <c r="HS359">
        <v>2013</v>
      </c>
      <c r="HT359">
        <v>2029.84</v>
      </c>
      <c r="HU359" t="s">
        <v>4070</v>
      </c>
      <c r="HV359">
        <v>0.25</v>
      </c>
      <c r="HW359" t="s">
        <v>424</v>
      </c>
      <c r="HX359" t="s">
        <v>425</v>
      </c>
      <c r="HY359" s="1">
        <v>42093</v>
      </c>
      <c r="HZ359">
        <v>10</v>
      </c>
      <c r="IA359">
        <v>2407503</v>
      </c>
      <c r="IB359" t="s">
        <v>461</v>
      </c>
    </row>
    <row r="360" spans="1:272" x14ac:dyDescent="0.25">
      <c r="A360">
        <v>16485367</v>
      </c>
      <c r="B360">
        <v>359</v>
      </c>
      <c r="C360" t="s">
        <v>393</v>
      </c>
      <c r="D360" t="s">
        <v>394</v>
      </c>
      <c r="F360" t="str">
        <f>"27-2N-24-228D-0059-0030"</f>
        <v>27-2N-24-228D-0059-0030</v>
      </c>
      <c r="H360" t="str">
        <f>"WALTER ERNEST ESTATE C/O ERNEST DAWAL"</f>
        <v>WALTER ERNEST ESTATE C/O ERNEST DAWAL</v>
      </c>
      <c r="I360" t="str">
        <f>"155 S HIDDENBROOKE DR"</f>
        <v>155 S HIDDENBROOKE DR</v>
      </c>
      <c r="J360" t="str">
        <f>"ADVANCE NC 27006"</f>
        <v>ADVANCE NC 27006</v>
      </c>
      <c r="K360" t="str">
        <f>"RIVER RD"</f>
        <v>RIVER RD</v>
      </c>
      <c r="L360" t="str">
        <f t="shared" si="100"/>
        <v>CALLAHAN FL 32011</v>
      </c>
      <c r="M360" t="str">
        <f>"BLK 59 LOTS 3 &amp; 4 JAX PARK SUB UNIT D PBK 2/7"</f>
        <v>BLK 59 LOTS 3 &amp; 4 JAX PARK SUB UNIT D PBK 2/7</v>
      </c>
      <c r="N360" t="str">
        <f>""</f>
        <v/>
      </c>
      <c r="O360" t="str">
        <f>"57406"</f>
        <v>57406</v>
      </c>
      <c r="P360" t="str">
        <f t="shared" si="101"/>
        <v>2017</v>
      </c>
      <c r="Q360" t="str">
        <f>""</f>
        <v/>
      </c>
      <c r="R360" t="str">
        <f>"N"</f>
        <v>N</v>
      </c>
      <c r="S360" t="str">
        <f>"0.11"</f>
        <v>0.11</v>
      </c>
      <c r="T360" t="str">
        <f>"9.05"</f>
        <v>9.05</v>
      </c>
      <c r="U360" t="str">
        <f>"598.00"</f>
        <v>598.00</v>
      </c>
      <c r="V360" t="str">
        <f>"598.00"</f>
        <v>598.00</v>
      </c>
      <c r="W360" t="str">
        <f t="shared" si="102"/>
        <v>2017</v>
      </c>
      <c r="X360" t="str">
        <f>""</f>
        <v/>
      </c>
      <c r="Y360" t="str">
        <f>"41.32"</f>
        <v>41.32</v>
      </c>
      <c r="Z360" t="str">
        <f>""</f>
        <v/>
      </c>
      <c r="AA360" t="str">
        <f>"598.00"</f>
        <v>598.00</v>
      </c>
      <c r="AB360" t="str">
        <f t="shared" si="113"/>
        <v>Residential</v>
      </c>
      <c r="AC360" t="str">
        <f t="shared" si="104"/>
        <v>0</v>
      </c>
      <c r="AD360" t="str">
        <f>""</f>
        <v/>
      </c>
      <c r="AE360" t="str">
        <f>""</f>
        <v/>
      </c>
      <c r="AF360" t="str">
        <f>"000"</f>
        <v>000</v>
      </c>
      <c r="AG360" t="str">
        <f>"NC"</f>
        <v>NC</v>
      </c>
      <c r="AH360" t="str">
        <f>"5000.00"</f>
        <v>5000.00</v>
      </c>
      <c r="AI360" t="str">
        <f>"598.00"</f>
        <v>598.00</v>
      </c>
      <c r="AJ360" t="str">
        <f>"C55-001-092-8154-3"</f>
        <v>C55-001-092-8154-3</v>
      </c>
      <c r="AK360" t="str">
        <f>"5539"</f>
        <v>5539</v>
      </c>
      <c r="AL360">
        <v>2</v>
      </c>
      <c r="AM360">
        <v>419</v>
      </c>
      <c r="AN360">
        <v>41.79</v>
      </c>
      <c r="AQ360" t="s">
        <v>4071</v>
      </c>
      <c r="AR360" t="s">
        <v>4071</v>
      </c>
      <c r="AS360" t="s">
        <v>4071</v>
      </c>
      <c r="AU360" t="s">
        <v>396</v>
      </c>
      <c r="AV360">
        <v>2017</v>
      </c>
      <c r="AW360" t="str">
        <f>"27-2N-24-228D-0059-0030 "</f>
        <v xml:space="preserve">27-2N-24-228D-0059-0030 </v>
      </c>
      <c r="AZ360" t="s">
        <v>1369</v>
      </c>
      <c r="BA360" t="s">
        <v>496</v>
      </c>
      <c r="BD360" t="s">
        <v>2785</v>
      </c>
      <c r="BE360" t="s">
        <v>393</v>
      </c>
      <c r="BF360">
        <v>32011</v>
      </c>
      <c r="BG360" t="s">
        <v>1370</v>
      </c>
      <c r="BH360" t="s">
        <v>2787</v>
      </c>
      <c r="BK360" t="s">
        <v>4072</v>
      </c>
      <c r="BL360" t="s">
        <v>4073</v>
      </c>
      <c r="BM360" t="s">
        <v>4074</v>
      </c>
      <c r="BN360" t="s">
        <v>4075</v>
      </c>
      <c r="BO360">
        <v>27006</v>
      </c>
      <c r="BQ360">
        <v>0</v>
      </c>
      <c r="BR360" t="s">
        <v>491</v>
      </c>
      <c r="BS360">
        <v>8001</v>
      </c>
      <c r="BT360" t="s">
        <v>492</v>
      </c>
      <c r="BW360">
        <v>5000</v>
      </c>
      <c r="BX360" t="s">
        <v>407</v>
      </c>
      <c r="CD360">
        <v>2017</v>
      </c>
      <c r="CE360">
        <v>598</v>
      </c>
      <c r="CG360">
        <v>598</v>
      </c>
      <c r="CH360">
        <v>2017</v>
      </c>
      <c r="CI360">
        <v>598</v>
      </c>
      <c r="CK360">
        <v>598</v>
      </c>
      <c r="CL360">
        <v>2017</v>
      </c>
      <c r="CM360">
        <v>9.0500000000000007</v>
      </c>
      <c r="DD360" t="s">
        <v>2785</v>
      </c>
      <c r="DM360" t="s">
        <v>4062</v>
      </c>
      <c r="DO360" t="s">
        <v>4076</v>
      </c>
    </row>
    <row r="361" spans="1:272" x14ac:dyDescent="0.25">
      <c r="A361">
        <v>16485368</v>
      </c>
      <c r="B361">
        <v>360</v>
      </c>
      <c r="C361" t="s">
        <v>393</v>
      </c>
      <c r="D361" t="s">
        <v>394</v>
      </c>
      <c r="F361" t="str">
        <f>"28-2N-24-0000-0007-0040"</f>
        <v>28-2N-24-0000-0007-0040</v>
      </c>
      <c r="H361" t="str">
        <f>"REAVES SHAWN C"</f>
        <v>REAVES SHAWN C</v>
      </c>
      <c r="I361" t="str">
        <f>"613048 RIVER ROAD"</f>
        <v>613048 RIVER ROAD</v>
      </c>
      <c r="J361" t="str">
        <f>"CALLAHAN FL 32011"</f>
        <v>CALLAHAN FL 32011</v>
      </c>
      <c r="K361" t="str">
        <f>"613048 RIVER RD"</f>
        <v>613048 RIVER RD</v>
      </c>
      <c r="L361" t="str">
        <f t="shared" si="100"/>
        <v>CALLAHAN FL 32011</v>
      </c>
      <c r="M361" t="str">
        <f>"PT OF SE1/4 OF SE1/4 IN OR 1508/1671 EX 7-6 7-12 &amp; 7-13 UTILITY ESMT IN OR 885/1578"</f>
        <v>PT OF SE1/4 OF SE1/4 IN OR 1508/1671 EX 7-6 7-12 &amp; 7-13 UTILITY ESMT IN OR 885/1578</v>
      </c>
      <c r="N361" t="str">
        <f>""</f>
        <v/>
      </c>
      <c r="O361" t="str">
        <f>"38047"</f>
        <v>38047</v>
      </c>
      <c r="P361" t="str">
        <f t="shared" si="101"/>
        <v>2017</v>
      </c>
      <c r="Q361" t="str">
        <f>""</f>
        <v/>
      </c>
      <c r="R361" t="str">
        <f>"Y"</f>
        <v>Y</v>
      </c>
      <c r="S361" t="str">
        <f>"4.40"</f>
        <v>4.40</v>
      </c>
      <c r="T361" t="str">
        <f>"3474.74"</f>
        <v>3474.74</v>
      </c>
      <c r="U361" t="str">
        <f>"268629.00"</f>
        <v>268629.00</v>
      </c>
      <c r="V361" t="str">
        <f>"268629.00"</f>
        <v>268629.00</v>
      </c>
      <c r="W361" t="str">
        <f t="shared" si="102"/>
        <v>2017</v>
      </c>
      <c r="X361" t="str">
        <f>"9.33"</f>
        <v>9.33</v>
      </c>
      <c r="Y361" t="str">
        <f>"3610.98"</f>
        <v>3610.98</v>
      </c>
      <c r="Z361" t="str">
        <f>"25000.00"</f>
        <v>25000.00</v>
      </c>
      <c r="AA361" t="str">
        <f>"243629.00"</f>
        <v>243629.00</v>
      </c>
      <c r="AB361" t="str">
        <f t="shared" si="113"/>
        <v>Residential</v>
      </c>
      <c r="AC361" t="str">
        <f t="shared" si="104"/>
        <v>0</v>
      </c>
      <c r="AD361" t="str">
        <f>"4"</f>
        <v>4</v>
      </c>
      <c r="AE361" t="str">
        <f>"WOOD (INCLUDE STEEL STUDS)"</f>
        <v>WOOD (INCLUDE STEEL STUDS)</v>
      </c>
      <c r="AF361" t="str">
        <f>"001"</f>
        <v>001</v>
      </c>
      <c r="AG361" t="str">
        <f>"FL"</f>
        <v>FL</v>
      </c>
      <c r="AH361" t="str">
        <f>"191664.00"</f>
        <v>191664.00</v>
      </c>
      <c r="AI361" t="str">
        <f>"35200.00"</f>
        <v>35200.00</v>
      </c>
      <c r="AJ361" t="str">
        <f>"C55-000-587-5212-2"</f>
        <v>C55-000-587-5212-2</v>
      </c>
      <c r="AK361" t="str">
        <f>"5554"</f>
        <v>5554</v>
      </c>
      <c r="AL361">
        <v>2</v>
      </c>
      <c r="AM361">
        <v>420</v>
      </c>
      <c r="AN361">
        <v>3789.93</v>
      </c>
      <c r="AQ361" t="s">
        <v>4077</v>
      </c>
      <c r="AR361" t="s">
        <v>4077</v>
      </c>
      <c r="AS361" t="s">
        <v>4077</v>
      </c>
      <c r="AU361" t="s">
        <v>396</v>
      </c>
      <c r="AV361">
        <v>2017</v>
      </c>
      <c r="AW361" t="str">
        <f>"28-2N-24-0000-0007-0040 "</f>
        <v xml:space="preserve">28-2N-24-0000-0007-0040 </v>
      </c>
      <c r="AX361">
        <v>613048</v>
      </c>
      <c r="AZ361" t="s">
        <v>1369</v>
      </c>
      <c r="BA361" t="s">
        <v>496</v>
      </c>
      <c r="BD361" t="s">
        <v>2785</v>
      </c>
      <c r="BE361" t="s">
        <v>393</v>
      </c>
      <c r="BF361">
        <v>32011</v>
      </c>
      <c r="BG361" t="s">
        <v>4078</v>
      </c>
      <c r="BH361" t="s">
        <v>2787</v>
      </c>
      <c r="BI361">
        <v>-81.905115029295303</v>
      </c>
      <c r="BJ361">
        <v>30.553825351373899</v>
      </c>
      <c r="BK361" t="s">
        <v>2803</v>
      </c>
      <c r="BM361" t="s">
        <v>4079</v>
      </c>
      <c r="BN361" t="s">
        <v>928</v>
      </c>
      <c r="BO361">
        <v>32011</v>
      </c>
      <c r="BP361" t="s">
        <v>416</v>
      </c>
      <c r="BQ361">
        <v>100</v>
      </c>
      <c r="BR361" t="s">
        <v>514</v>
      </c>
      <c r="BS361">
        <v>1001</v>
      </c>
      <c r="BT361" t="s">
        <v>515</v>
      </c>
      <c r="BW361">
        <v>191664</v>
      </c>
      <c r="BX361" t="s">
        <v>407</v>
      </c>
      <c r="BY361" t="s">
        <v>408</v>
      </c>
      <c r="BZ361">
        <v>4</v>
      </c>
      <c r="CA361">
        <v>1991</v>
      </c>
      <c r="CB361">
        <v>1.5</v>
      </c>
      <c r="CC361">
        <v>2</v>
      </c>
      <c r="CD361">
        <v>2017</v>
      </c>
      <c r="CG361">
        <v>268629</v>
      </c>
      <c r="CH361">
        <v>2017</v>
      </c>
      <c r="CI361">
        <v>35200</v>
      </c>
      <c r="CJ361">
        <v>267101</v>
      </c>
      <c r="CK361">
        <v>302301</v>
      </c>
      <c r="CL361">
        <v>2017</v>
      </c>
      <c r="CM361">
        <v>3474.74</v>
      </c>
      <c r="CN361" s="1">
        <v>39261</v>
      </c>
      <c r="CZ361" s="1">
        <v>39261</v>
      </c>
      <c r="DD361" t="s">
        <v>2785</v>
      </c>
      <c r="DG361">
        <v>28</v>
      </c>
      <c r="DL361">
        <v>50503</v>
      </c>
      <c r="DM361" t="s">
        <v>4080</v>
      </c>
      <c r="DO361" t="s">
        <v>4081</v>
      </c>
      <c r="DP361">
        <v>0</v>
      </c>
      <c r="DQ361">
        <v>0</v>
      </c>
      <c r="DR361" t="s">
        <v>411</v>
      </c>
      <c r="DS361" t="b">
        <v>1</v>
      </c>
      <c r="DT361" t="s">
        <v>470</v>
      </c>
      <c r="DU361" t="s">
        <v>471</v>
      </c>
      <c r="DV361" t="s">
        <v>472</v>
      </c>
      <c r="DX361">
        <v>-9999</v>
      </c>
      <c r="DZ361" t="s">
        <v>447</v>
      </c>
      <c r="EA361" t="s">
        <v>448</v>
      </c>
      <c r="EB361" t="s">
        <v>742</v>
      </c>
      <c r="EC361">
        <v>20101217</v>
      </c>
      <c r="ED361" t="s">
        <v>474</v>
      </c>
      <c r="EF361">
        <v>286.7</v>
      </c>
      <c r="EG361">
        <v>286.7</v>
      </c>
      <c r="EH361" t="s">
        <v>451</v>
      </c>
      <c r="EI361">
        <v>20140731</v>
      </c>
      <c r="EJ361">
        <v>1</v>
      </c>
      <c r="EK361">
        <v>0</v>
      </c>
      <c r="EP361" t="s">
        <v>421</v>
      </c>
      <c r="EQ361" t="s">
        <v>422</v>
      </c>
      <c r="ER361">
        <v>2</v>
      </c>
      <c r="ES361">
        <v>4</v>
      </c>
      <c r="ET361">
        <v>7537.38</v>
      </c>
      <c r="EU361">
        <v>389.37</v>
      </c>
      <c r="EV361">
        <v>7926.75</v>
      </c>
      <c r="EW361" s="2">
        <v>43222</v>
      </c>
      <c r="EX361" s="1">
        <v>42879</v>
      </c>
      <c r="EY361">
        <v>2016</v>
      </c>
      <c r="EZ361">
        <v>3768.69</v>
      </c>
      <c r="FA361" t="s">
        <v>4082</v>
      </c>
      <c r="FB361">
        <v>0.25</v>
      </c>
      <c r="FC361" t="s">
        <v>424</v>
      </c>
      <c r="FD361" t="s">
        <v>454</v>
      </c>
      <c r="FF361">
        <v>12</v>
      </c>
      <c r="FG361">
        <v>2851116</v>
      </c>
      <c r="FH361" t="s">
        <v>480</v>
      </c>
      <c r="FJ361" s="1">
        <v>42879</v>
      </c>
      <c r="FK361">
        <v>2016</v>
      </c>
      <c r="FL361">
        <v>3768.69</v>
      </c>
      <c r="FM361" t="s">
        <v>4082</v>
      </c>
      <c r="FN361">
        <v>0.25</v>
      </c>
      <c r="FO361" t="s">
        <v>424</v>
      </c>
      <c r="FP361" t="s">
        <v>454</v>
      </c>
      <c r="FR361">
        <v>12</v>
      </c>
      <c r="FS361">
        <v>5758296</v>
      </c>
      <c r="FT361" t="s">
        <v>4083</v>
      </c>
      <c r="FV361" s="1">
        <v>42151</v>
      </c>
      <c r="FW361">
        <v>2014</v>
      </c>
      <c r="FX361">
        <v>3834.51</v>
      </c>
      <c r="FY361" t="s">
        <v>4084</v>
      </c>
      <c r="FZ361">
        <v>0.25</v>
      </c>
      <c r="GA361" t="s">
        <v>424</v>
      </c>
      <c r="GB361" t="s">
        <v>425</v>
      </c>
      <c r="GC361" s="1">
        <v>42258</v>
      </c>
      <c r="GD361">
        <v>4</v>
      </c>
      <c r="GE361">
        <v>2851116</v>
      </c>
      <c r="GF361" t="s">
        <v>480</v>
      </c>
      <c r="GH361" s="1">
        <v>42151</v>
      </c>
      <c r="GI361">
        <v>2014</v>
      </c>
      <c r="GJ361">
        <v>3834.51</v>
      </c>
      <c r="GK361" t="s">
        <v>4084</v>
      </c>
      <c r="GL361">
        <v>0.25</v>
      </c>
      <c r="GM361" t="s">
        <v>424</v>
      </c>
      <c r="GN361" t="s">
        <v>425</v>
      </c>
      <c r="GP361">
        <v>22</v>
      </c>
      <c r="GQ361">
        <v>5036419</v>
      </c>
      <c r="GR361" t="s">
        <v>4085</v>
      </c>
      <c r="GT361" s="1">
        <v>41787</v>
      </c>
      <c r="GU361">
        <v>2013</v>
      </c>
      <c r="GV361">
        <v>3598.01</v>
      </c>
      <c r="GW361" t="s">
        <v>4086</v>
      </c>
      <c r="GX361">
        <v>0.25</v>
      </c>
      <c r="GY361" t="s">
        <v>424</v>
      </c>
      <c r="GZ361" t="s">
        <v>425</v>
      </c>
      <c r="HA361" s="1">
        <v>42258</v>
      </c>
      <c r="HB361">
        <v>16</v>
      </c>
      <c r="HC361">
        <v>2757457</v>
      </c>
      <c r="HD361" t="s">
        <v>648</v>
      </c>
      <c r="HF361" s="1">
        <v>41052</v>
      </c>
      <c r="HG361">
        <v>2011</v>
      </c>
      <c r="HH361">
        <v>3360.49</v>
      </c>
      <c r="HI361" t="s">
        <v>4087</v>
      </c>
      <c r="HJ361">
        <v>0.25</v>
      </c>
      <c r="HK361" t="s">
        <v>424</v>
      </c>
      <c r="HL361" t="s">
        <v>425</v>
      </c>
      <c r="HM361" s="1">
        <v>41305</v>
      </c>
      <c r="HN361">
        <v>8</v>
      </c>
      <c r="HO361">
        <v>14245</v>
      </c>
      <c r="HP361" t="s">
        <v>4088</v>
      </c>
    </row>
    <row r="362" spans="1:272" x14ac:dyDescent="0.25">
      <c r="A362">
        <v>16485369</v>
      </c>
      <c r="B362">
        <v>361</v>
      </c>
      <c r="C362" t="s">
        <v>393</v>
      </c>
      <c r="D362" t="s">
        <v>394</v>
      </c>
      <c r="F362" t="str">
        <f>"35-2N-24-0000-0002-0080"</f>
        <v>35-2N-24-0000-0002-0080</v>
      </c>
      <c r="H362" t="str">
        <f>"DYAL TERRANCE WARREN JR"</f>
        <v>DYAL TERRANCE WARREN JR</v>
      </c>
      <c r="I362" t="str">
        <f>"34002 SIX CAR LN"</f>
        <v>34002 SIX CAR LN</v>
      </c>
      <c r="J362" t="str">
        <f>"CALLAHAN FL 32011"</f>
        <v>CALLAHAN FL 32011</v>
      </c>
      <c r="K362" t="str">
        <f>"34002 SIX CAR LN"</f>
        <v>34002 SIX CAR LN</v>
      </c>
      <c r="L362" t="str">
        <f t="shared" si="100"/>
        <v>CALLAHAN FL 32011</v>
      </c>
      <c r="M362" t="str">
        <f>"PT OF SW1/4 OF NW1/4 L/E OR 661 PG 906 R498093 ESMT OR 542/216"</f>
        <v>PT OF SW1/4 OF NW1/4 L/E OR 661 PG 906 R498093 ESMT OR 542/216</v>
      </c>
      <c r="N362" t="str">
        <f>""</f>
        <v/>
      </c>
      <c r="O362" t="str">
        <f>"41627"</f>
        <v>41627</v>
      </c>
      <c r="P362" t="str">
        <f t="shared" si="101"/>
        <v>2017</v>
      </c>
      <c r="Q362" t="str">
        <f>""</f>
        <v/>
      </c>
      <c r="R362" t="str">
        <f>"Y"</f>
        <v>Y</v>
      </c>
      <c r="S362" t="str">
        <f>"5.00"</f>
        <v>5.00</v>
      </c>
      <c r="T362" t="str">
        <f>"323.36"</f>
        <v>323.36</v>
      </c>
      <c r="U362" t="str">
        <f>"46077.00"</f>
        <v>46077.00</v>
      </c>
      <c r="V362" t="str">
        <f>"46077.00"</f>
        <v>46077.00</v>
      </c>
      <c r="W362" t="str">
        <f t="shared" si="102"/>
        <v>2017</v>
      </c>
      <c r="X362" t="str">
        <f>"31.95"</f>
        <v>31.95</v>
      </c>
      <c r="Y362" t="str">
        <f>"365.06"</f>
        <v>365.06</v>
      </c>
      <c r="Z362" t="str">
        <f>"25000.00"</f>
        <v>25000.00</v>
      </c>
      <c r="AA362" t="str">
        <f>"21727.00"</f>
        <v>21727.00</v>
      </c>
      <c r="AB362" t="str">
        <f t="shared" si="113"/>
        <v>Residential</v>
      </c>
      <c r="AC362" t="str">
        <f t="shared" si="104"/>
        <v>0</v>
      </c>
      <c r="AD362" t="str">
        <f>"4"</f>
        <v>4</v>
      </c>
      <c r="AE362" t="str">
        <f>"WOOD (INCLUDE STEEL STUDS)"</f>
        <v>WOOD (INCLUDE STEEL STUDS)</v>
      </c>
      <c r="AF362" t="str">
        <f>"002"</f>
        <v>002</v>
      </c>
      <c r="AG362" t="str">
        <f>"FL"</f>
        <v>FL</v>
      </c>
      <c r="AH362" t="str">
        <f>"217800.00"</f>
        <v>217800.00</v>
      </c>
      <c r="AI362" t="str">
        <f>"40000.00"</f>
        <v>40000.00</v>
      </c>
      <c r="AJ362" t="str">
        <f>"C55-000-587-7781-4"</f>
        <v>C55-000-587-7781-4</v>
      </c>
      <c r="AK362" t="str">
        <f>"5607"</f>
        <v>5607</v>
      </c>
      <c r="AL362">
        <v>2</v>
      </c>
      <c r="AM362">
        <v>421</v>
      </c>
      <c r="AN362">
        <v>381.71</v>
      </c>
      <c r="AQ362" t="s">
        <v>4089</v>
      </c>
      <c r="AR362" t="s">
        <v>4089</v>
      </c>
      <c r="AS362" t="s">
        <v>4089</v>
      </c>
      <c r="AU362" t="s">
        <v>396</v>
      </c>
      <c r="AV362">
        <v>2017</v>
      </c>
      <c r="AW362" t="str">
        <f>"35-2N-24-0000-0002-0080 "</f>
        <v xml:space="preserve">35-2N-24-0000-0002-0080 </v>
      </c>
      <c r="AX362">
        <v>34002</v>
      </c>
      <c r="AZ362" t="s">
        <v>4090</v>
      </c>
      <c r="BA362" t="s">
        <v>653</v>
      </c>
      <c r="BD362" t="s">
        <v>2785</v>
      </c>
      <c r="BE362" t="s">
        <v>393</v>
      </c>
      <c r="BF362">
        <v>32011</v>
      </c>
      <c r="BG362" t="s">
        <v>4091</v>
      </c>
      <c r="BH362" t="s">
        <v>2787</v>
      </c>
      <c r="BI362">
        <v>-81.880578074255297</v>
      </c>
      <c r="BJ362">
        <v>30.547353211228799</v>
      </c>
      <c r="BK362" t="s">
        <v>4092</v>
      </c>
      <c r="BM362" t="s">
        <v>4091</v>
      </c>
      <c r="BN362" t="s">
        <v>928</v>
      </c>
      <c r="BO362">
        <v>32011</v>
      </c>
      <c r="BP362" t="s">
        <v>416</v>
      </c>
      <c r="BQ362">
        <v>200</v>
      </c>
      <c r="BR362" t="s">
        <v>405</v>
      </c>
      <c r="BS362">
        <v>1006</v>
      </c>
      <c r="BT362" t="s">
        <v>406</v>
      </c>
      <c r="BW362">
        <v>217800</v>
      </c>
      <c r="BX362" t="s">
        <v>407</v>
      </c>
      <c r="BY362" t="s">
        <v>408</v>
      </c>
      <c r="BZ362">
        <v>4</v>
      </c>
      <c r="CA362">
        <v>1988</v>
      </c>
      <c r="CB362">
        <v>1</v>
      </c>
      <c r="CC362">
        <v>1</v>
      </c>
      <c r="CD362">
        <v>2017</v>
      </c>
      <c r="CG362">
        <v>46727</v>
      </c>
      <c r="CH362">
        <v>2017</v>
      </c>
      <c r="CI362">
        <v>40000</v>
      </c>
      <c r="CJ362">
        <v>17273</v>
      </c>
      <c r="CK362">
        <v>57273</v>
      </c>
      <c r="CL362">
        <v>2017</v>
      </c>
      <c r="CM362">
        <v>323.36</v>
      </c>
      <c r="CN362" s="1">
        <v>33771</v>
      </c>
      <c r="CZ362" s="1">
        <v>33771</v>
      </c>
      <c r="DD362" t="s">
        <v>2785</v>
      </c>
      <c r="DG362">
        <v>35</v>
      </c>
      <c r="DL362">
        <v>50503</v>
      </c>
      <c r="DM362" t="s">
        <v>4093</v>
      </c>
      <c r="DO362" t="s">
        <v>4094</v>
      </c>
      <c r="DP362">
        <v>0</v>
      </c>
      <c r="DQ362">
        <v>0</v>
      </c>
      <c r="DR362" t="s">
        <v>411</v>
      </c>
      <c r="DS362" t="b">
        <v>1</v>
      </c>
      <c r="DT362" t="s">
        <v>470</v>
      </c>
      <c r="DU362" t="s">
        <v>471</v>
      </c>
      <c r="DV362" t="s">
        <v>472</v>
      </c>
      <c r="DX362">
        <v>-9999</v>
      </c>
      <c r="DZ362" t="s">
        <v>447</v>
      </c>
      <c r="EA362" t="s">
        <v>448</v>
      </c>
      <c r="EB362" t="s">
        <v>742</v>
      </c>
      <c r="EC362">
        <v>20101217</v>
      </c>
      <c r="ED362" t="s">
        <v>474</v>
      </c>
      <c r="EF362">
        <v>191.6</v>
      </c>
      <c r="EG362">
        <v>191.6</v>
      </c>
      <c r="EI362">
        <v>20160407</v>
      </c>
      <c r="EJ362">
        <v>0</v>
      </c>
      <c r="EK362">
        <v>0</v>
      </c>
      <c r="EP362" t="s">
        <v>421</v>
      </c>
      <c r="EQ362" t="s">
        <v>422</v>
      </c>
      <c r="ER362">
        <v>2</v>
      </c>
      <c r="ES362">
        <v>8</v>
      </c>
      <c r="ET362">
        <v>713.38</v>
      </c>
      <c r="EU362">
        <v>48.17</v>
      </c>
      <c r="EV362">
        <v>761.55</v>
      </c>
      <c r="EW362" s="2">
        <v>43222</v>
      </c>
      <c r="EX362" s="1">
        <v>42879</v>
      </c>
      <c r="EY362">
        <v>2016</v>
      </c>
      <c r="EZ362">
        <v>356.69</v>
      </c>
      <c r="FA362" t="s">
        <v>4095</v>
      </c>
      <c r="FB362">
        <v>0.25</v>
      </c>
      <c r="FC362" t="s">
        <v>424</v>
      </c>
      <c r="FD362" t="s">
        <v>454</v>
      </c>
      <c r="FF362">
        <v>12</v>
      </c>
      <c r="FG362">
        <v>2851116</v>
      </c>
      <c r="FH362" t="s">
        <v>480</v>
      </c>
      <c r="FJ362" s="1">
        <v>42879</v>
      </c>
      <c r="FK362">
        <v>2016</v>
      </c>
      <c r="FL362">
        <v>356.69</v>
      </c>
      <c r="FM362" t="s">
        <v>4095</v>
      </c>
      <c r="FN362">
        <v>0.25</v>
      </c>
      <c r="FO362" t="s">
        <v>424</v>
      </c>
      <c r="FP362" t="s">
        <v>454</v>
      </c>
      <c r="FR362">
        <v>12</v>
      </c>
      <c r="FS362">
        <v>5264741</v>
      </c>
      <c r="FT362" t="s">
        <v>4096</v>
      </c>
      <c r="FV362" s="1">
        <v>42515</v>
      </c>
      <c r="FW362">
        <v>2015</v>
      </c>
      <c r="FX362">
        <v>354.81</v>
      </c>
      <c r="FY362" t="s">
        <v>4097</v>
      </c>
      <c r="FZ362">
        <v>0.25</v>
      </c>
      <c r="GA362" t="s">
        <v>424</v>
      </c>
      <c r="GB362" t="s">
        <v>425</v>
      </c>
      <c r="GC362" s="1">
        <v>43180</v>
      </c>
      <c r="GD362">
        <v>22</v>
      </c>
      <c r="GE362">
        <v>2851116</v>
      </c>
      <c r="GF362" t="s">
        <v>480</v>
      </c>
      <c r="GH362" s="1">
        <v>42515</v>
      </c>
      <c r="GI362">
        <v>2015</v>
      </c>
      <c r="GJ362">
        <v>354.81</v>
      </c>
      <c r="GK362" t="s">
        <v>4097</v>
      </c>
      <c r="GL362">
        <v>0.25</v>
      </c>
      <c r="GM362" t="s">
        <v>424</v>
      </c>
      <c r="GN362" t="s">
        <v>425</v>
      </c>
      <c r="GP362">
        <v>22</v>
      </c>
      <c r="GQ362">
        <v>5519969</v>
      </c>
      <c r="GR362" t="s">
        <v>4098</v>
      </c>
      <c r="GT362" s="1">
        <v>42151</v>
      </c>
      <c r="GU362">
        <v>2014</v>
      </c>
      <c r="GV362">
        <v>350.91</v>
      </c>
      <c r="GW362" t="s">
        <v>4099</v>
      </c>
      <c r="GX362">
        <v>0.25</v>
      </c>
      <c r="GY362" t="s">
        <v>424</v>
      </c>
      <c r="GZ362" t="s">
        <v>425</v>
      </c>
      <c r="HA362" s="1">
        <v>42865</v>
      </c>
      <c r="HB362">
        <v>24</v>
      </c>
      <c r="HC362">
        <v>2851116</v>
      </c>
      <c r="HD362" t="s">
        <v>480</v>
      </c>
      <c r="HF362" s="1">
        <v>42151</v>
      </c>
      <c r="HG362">
        <v>2014</v>
      </c>
      <c r="HH362">
        <v>350.91</v>
      </c>
      <c r="HI362" t="s">
        <v>4099</v>
      </c>
      <c r="HJ362">
        <v>0.25</v>
      </c>
      <c r="HK362" t="s">
        <v>424</v>
      </c>
      <c r="HL362" t="s">
        <v>425</v>
      </c>
      <c r="HN362">
        <v>22</v>
      </c>
      <c r="HO362">
        <v>5339713</v>
      </c>
      <c r="HP362" t="s">
        <v>4100</v>
      </c>
      <c r="HR362" s="1">
        <v>41787</v>
      </c>
      <c r="HS362">
        <v>2013</v>
      </c>
      <c r="HT362">
        <v>376.89</v>
      </c>
      <c r="HU362" t="s">
        <v>4101</v>
      </c>
      <c r="HV362">
        <v>2.25</v>
      </c>
      <c r="HW362" t="s">
        <v>424</v>
      </c>
      <c r="HX362" t="s">
        <v>425</v>
      </c>
      <c r="HY362" s="1">
        <v>42424</v>
      </c>
      <c r="HZ362">
        <v>21</v>
      </c>
      <c r="IA362">
        <v>15399</v>
      </c>
      <c r="IB362" t="s">
        <v>485</v>
      </c>
      <c r="ID362" s="1">
        <v>41423</v>
      </c>
      <c r="IE362">
        <v>2012</v>
      </c>
      <c r="IF362">
        <v>502.4</v>
      </c>
      <c r="IG362" t="s">
        <v>4102</v>
      </c>
      <c r="IH362">
        <v>3</v>
      </c>
      <c r="II362" t="s">
        <v>424</v>
      </c>
      <c r="IJ362" t="s">
        <v>425</v>
      </c>
      <c r="IK362" s="1">
        <v>42048</v>
      </c>
      <c r="IL362">
        <v>21</v>
      </c>
      <c r="IM362">
        <v>15399</v>
      </c>
      <c r="IN362" t="s">
        <v>485</v>
      </c>
      <c r="IP362" s="1">
        <v>41052</v>
      </c>
      <c r="IQ362">
        <v>2011</v>
      </c>
      <c r="IR362">
        <v>517.12</v>
      </c>
      <c r="IS362" t="s">
        <v>4103</v>
      </c>
      <c r="IT362">
        <v>6</v>
      </c>
      <c r="IU362" t="s">
        <v>424</v>
      </c>
      <c r="IV362" t="s">
        <v>425</v>
      </c>
      <c r="IW362" s="1">
        <v>41690</v>
      </c>
      <c r="IX362">
        <v>21</v>
      </c>
      <c r="IY362">
        <v>1109</v>
      </c>
      <c r="IZ362" t="s">
        <v>852</v>
      </c>
      <c r="JB362" s="1">
        <v>40688</v>
      </c>
      <c r="JC362">
        <v>2010</v>
      </c>
      <c r="JD362">
        <v>553.65</v>
      </c>
      <c r="JE362" t="s">
        <v>4104</v>
      </c>
      <c r="JF362">
        <v>7.75</v>
      </c>
      <c r="JG362" t="s">
        <v>424</v>
      </c>
      <c r="JH362" t="s">
        <v>425</v>
      </c>
      <c r="JI362" s="1">
        <v>41330</v>
      </c>
      <c r="JJ362">
        <v>21</v>
      </c>
      <c r="JK362">
        <v>305</v>
      </c>
      <c r="JL362" t="s">
        <v>1078</v>
      </c>
    </row>
    <row r="363" spans="1:272" x14ac:dyDescent="0.25">
      <c r="A363">
        <v>16485370</v>
      </c>
      <c r="B363">
        <v>362</v>
      </c>
      <c r="C363" t="s">
        <v>393</v>
      </c>
      <c r="D363" t="s">
        <v>394</v>
      </c>
      <c r="F363" t="str">
        <f>"36-2N-24-0000-0003-0030"</f>
        <v>36-2N-24-0000-0003-0030</v>
      </c>
      <c r="H363" t="str">
        <f>"BARBER ROY E"</f>
        <v>BARBER ROY E</v>
      </c>
      <c r="I363" t="str">
        <f>"6213 ALFREDO DRIVE WEST"</f>
        <v>6213 ALFREDO DRIVE WEST</v>
      </c>
      <c r="J363" t="str">
        <f>"JACKSONVILLE FL 32244"</f>
        <v>JACKSONVILLE FL 32244</v>
      </c>
      <c r="K363" t="str">
        <f>"COQUINA WAY"</f>
        <v>COQUINA WAY</v>
      </c>
      <c r="L363" t="str">
        <f t="shared" si="100"/>
        <v>CALLAHAN FL 32011</v>
      </c>
      <c r="M363" t="str">
        <f>"PT S1/2 OF NE1/4 OF NW1/4 OF SEC 36-2N-28E IN OR 1131/1384"</f>
        <v>PT S1/2 OF NE1/4 OF NW1/4 OF SEC 36-2N-28E IN OR 1131/1384</v>
      </c>
      <c r="N363" t="str">
        <f>""</f>
        <v/>
      </c>
      <c r="O363" t="str">
        <f>"41981"</f>
        <v>41981</v>
      </c>
      <c r="P363" t="str">
        <f t="shared" si="101"/>
        <v>2017</v>
      </c>
      <c r="Q363" t="str">
        <f>""</f>
        <v/>
      </c>
      <c r="R363" t="str">
        <f>"N"</f>
        <v>N</v>
      </c>
      <c r="S363" t="str">
        <f>"2.23"</f>
        <v>2.23</v>
      </c>
      <c r="T363" t="str">
        <f>"405.12"</f>
        <v>405.12</v>
      </c>
      <c r="U363" t="str">
        <f>"26760.00"</f>
        <v>26760.00</v>
      </c>
      <c r="V363" t="str">
        <f>"26760.00"</f>
        <v>26760.00</v>
      </c>
      <c r="W363" t="str">
        <f t="shared" si="102"/>
        <v>2017</v>
      </c>
      <c r="X363" t="str">
        <f>""</f>
        <v/>
      </c>
      <c r="Y363" t="str">
        <f>"449.27"</f>
        <v>449.27</v>
      </c>
      <c r="Z363" t="str">
        <f>""</f>
        <v/>
      </c>
      <c r="AA363" t="str">
        <f>"26760.00"</f>
        <v>26760.00</v>
      </c>
      <c r="AB363" t="str">
        <f t="shared" si="113"/>
        <v>Residential</v>
      </c>
      <c r="AC363" t="str">
        <f t="shared" si="104"/>
        <v>0</v>
      </c>
      <c r="AD363" t="str">
        <f>""</f>
        <v/>
      </c>
      <c r="AE363" t="str">
        <f>""</f>
        <v/>
      </c>
      <c r="AF363" t="str">
        <f>"000"</f>
        <v>000</v>
      </c>
      <c r="AG363" t="str">
        <f>"FL"</f>
        <v>FL</v>
      </c>
      <c r="AH363" t="str">
        <f>"97138.00"</f>
        <v>97138.00</v>
      </c>
      <c r="AI363" t="str">
        <f>"26760.00"</f>
        <v>26760.00</v>
      </c>
      <c r="AJ363" t="str">
        <f>"C55-000-588-8790-2"</f>
        <v>C55-000-588-8790-2</v>
      </c>
      <c r="AK363" t="str">
        <f>"5621"</f>
        <v>5621</v>
      </c>
      <c r="AL363">
        <v>2</v>
      </c>
      <c r="AM363">
        <v>422</v>
      </c>
      <c r="AN363">
        <v>470.13</v>
      </c>
      <c r="AQ363" t="s">
        <v>4105</v>
      </c>
      <c r="AR363" t="s">
        <v>4105</v>
      </c>
      <c r="AS363" t="s">
        <v>4105</v>
      </c>
      <c r="AU363" t="s">
        <v>396</v>
      </c>
      <c r="AV363">
        <v>2017</v>
      </c>
      <c r="AW363" t="str">
        <f>"36-2N-24-0000-0003-0030 "</f>
        <v xml:space="preserve">36-2N-24-0000-0003-0030 </v>
      </c>
      <c r="AZ363" t="s">
        <v>4106</v>
      </c>
      <c r="BA363" t="s">
        <v>866</v>
      </c>
      <c r="BD363" t="s">
        <v>2785</v>
      </c>
      <c r="BE363" t="s">
        <v>393</v>
      </c>
      <c r="BF363">
        <v>32011</v>
      </c>
      <c r="BG363" t="s">
        <v>4107</v>
      </c>
      <c r="BH363" t="s">
        <v>2787</v>
      </c>
      <c r="BI363">
        <v>-81.862092046690606</v>
      </c>
      <c r="BJ363">
        <v>30.550430800082299</v>
      </c>
      <c r="BK363" t="s">
        <v>4108</v>
      </c>
      <c r="BM363" t="s">
        <v>4109</v>
      </c>
      <c r="BN363" t="s">
        <v>548</v>
      </c>
      <c r="BO363">
        <v>32244</v>
      </c>
      <c r="BP363" t="s">
        <v>404</v>
      </c>
      <c r="BQ363">
        <v>0</v>
      </c>
      <c r="BR363" t="s">
        <v>491</v>
      </c>
      <c r="BS363">
        <v>8001</v>
      </c>
      <c r="BT363" t="s">
        <v>492</v>
      </c>
      <c r="BW363">
        <v>97138</v>
      </c>
      <c r="BX363" t="s">
        <v>407</v>
      </c>
      <c r="BY363" t="s">
        <v>408</v>
      </c>
      <c r="CD363">
        <v>2017</v>
      </c>
      <c r="CE363">
        <v>26760</v>
      </c>
      <c r="CG363">
        <v>26760</v>
      </c>
      <c r="CH363">
        <v>2017</v>
      </c>
      <c r="CI363">
        <v>26760</v>
      </c>
      <c r="CK363">
        <v>26760</v>
      </c>
      <c r="CL363">
        <v>2017</v>
      </c>
      <c r="CM363">
        <v>405.12</v>
      </c>
      <c r="CN363" s="1">
        <v>37734</v>
      </c>
      <c r="CZ363" s="1">
        <v>37734</v>
      </c>
      <c r="DD363" t="s">
        <v>2785</v>
      </c>
      <c r="DG363">
        <v>36</v>
      </c>
      <c r="DL363">
        <v>50503</v>
      </c>
      <c r="DM363" t="s">
        <v>4110</v>
      </c>
      <c r="DO363" t="s">
        <v>4111</v>
      </c>
      <c r="DP363">
        <v>0</v>
      </c>
      <c r="DQ363">
        <v>0</v>
      </c>
      <c r="DR363" t="s">
        <v>411</v>
      </c>
    </row>
    <row r="364" spans="1:272" x14ac:dyDescent="0.25">
      <c r="A364">
        <v>16485371</v>
      </c>
      <c r="B364">
        <v>363</v>
      </c>
      <c r="C364" t="s">
        <v>393</v>
      </c>
      <c r="D364" t="s">
        <v>394</v>
      </c>
      <c r="F364" t="str">
        <f>"38-2N-24-0000-0002-0040"</f>
        <v>38-2N-24-0000-0002-0040</v>
      </c>
      <c r="H364" t="str">
        <f>"MIZELL WALTER S"</f>
        <v>MIZELL WALTER S</v>
      </c>
      <c r="I364" t="str">
        <f>"45200 DORMAN PLACE"</f>
        <v>45200 DORMAN PLACE</v>
      </c>
      <c r="J364" t="str">
        <f>"CALLAHAN FL 32011"</f>
        <v>CALLAHAN FL 32011</v>
      </c>
      <c r="K364" t="str">
        <f>"36059 ATKINSON LN"</f>
        <v>36059 ATKINSON LN</v>
      </c>
      <c r="L364" t="str">
        <f t="shared" si="100"/>
        <v>CALLAHAN FL 32011</v>
      </c>
      <c r="M364" t="str">
        <f>"IN OR 1627/1643 EX R/W IN OR 723/702 1986 GREE DW/MH"</f>
        <v>IN OR 1627/1643 EX R/W IN OR 723/702 1986 GREE DW/MH</v>
      </c>
      <c r="N364" t="str">
        <f>""</f>
        <v/>
      </c>
      <c r="O364" t="str">
        <f>"44936"</f>
        <v>44936</v>
      </c>
      <c r="P364" t="str">
        <f t="shared" si="101"/>
        <v>2017</v>
      </c>
      <c r="Q364" t="str">
        <f>""</f>
        <v/>
      </c>
      <c r="R364" t="str">
        <f>"N"</f>
        <v>N</v>
      </c>
      <c r="S364" t="str">
        <f>"1.95"</f>
        <v>1.95</v>
      </c>
      <c r="T364" t="str">
        <f>"1079.21"</f>
        <v>1079.21</v>
      </c>
      <c r="U364" t="str">
        <f>"68910.00"</f>
        <v>68910.00</v>
      </c>
      <c r="V364" t="str">
        <f>"68910.00"</f>
        <v>68910.00</v>
      </c>
      <c r="W364" t="str">
        <f t="shared" si="102"/>
        <v>2017</v>
      </c>
      <c r="X364" t="str">
        <f>"2.00"</f>
        <v>2.00</v>
      </c>
      <c r="Y364" t="str">
        <f>"1143.59"</f>
        <v>1143.59</v>
      </c>
      <c r="Z364" t="str">
        <f>""</f>
        <v/>
      </c>
      <c r="AA364" t="str">
        <f>"74366.00"</f>
        <v>74366.00</v>
      </c>
      <c r="AB364" t="str">
        <f t="shared" si="113"/>
        <v>Residential</v>
      </c>
      <c r="AC364" t="str">
        <f t="shared" si="104"/>
        <v>0</v>
      </c>
      <c r="AD364" t="str">
        <f>"4"</f>
        <v>4</v>
      </c>
      <c r="AE364" t="str">
        <f>"WOOD (INCLUDE STEEL STUDS)"</f>
        <v>WOOD (INCLUDE STEEL STUDS)</v>
      </c>
      <c r="AF364" t="str">
        <f>"001"</f>
        <v>001</v>
      </c>
      <c r="AG364" t="str">
        <f>"FL"</f>
        <v>FL</v>
      </c>
      <c r="AH364" t="str">
        <f>"84942.00"</f>
        <v>84942.00</v>
      </c>
      <c r="AI364" t="str">
        <f>"29250.00"</f>
        <v>29250.00</v>
      </c>
      <c r="AJ364" t="str">
        <f>"C55-000-587-9958-6"</f>
        <v>C55-000-587-9958-6</v>
      </c>
      <c r="AK364" t="str">
        <f>"5680"</f>
        <v>5680</v>
      </c>
      <c r="AL364">
        <v>2</v>
      </c>
      <c r="AM364">
        <v>423</v>
      </c>
      <c r="AN364">
        <v>1199.17</v>
      </c>
      <c r="AQ364" t="s">
        <v>4112</v>
      </c>
      <c r="AR364" t="s">
        <v>4112</v>
      </c>
      <c r="AS364" t="s">
        <v>4112</v>
      </c>
      <c r="AU364" t="s">
        <v>396</v>
      </c>
      <c r="AV364">
        <v>2017</v>
      </c>
      <c r="AW364" t="str">
        <f>"38-2N-24-0000-0002-0040 "</f>
        <v xml:space="preserve">38-2N-24-0000-0002-0040 </v>
      </c>
      <c r="AX364">
        <v>36059</v>
      </c>
      <c r="AZ364" t="s">
        <v>4113</v>
      </c>
      <c r="BA364" t="s">
        <v>653</v>
      </c>
      <c r="BD364" t="s">
        <v>2785</v>
      </c>
      <c r="BE364" t="s">
        <v>393</v>
      </c>
      <c r="BF364">
        <v>32011</v>
      </c>
      <c r="BG364" t="s">
        <v>4114</v>
      </c>
      <c r="BH364" t="s">
        <v>2787</v>
      </c>
      <c r="BI364">
        <v>-81.870827537714604</v>
      </c>
      <c r="BJ364">
        <v>30.621774936281</v>
      </c>
      <c r="BK364" t="s">
        <v>4115</v>
      </c>
      <c r="BM364" t="s">
        <v>4116</v>
      </c>
      <c r="BN364" t="s">
        <v>928</v>
      </c>
      <c r="BO364">
        <v>32011</v>
      </c>
      <c r="BP364" t="s">
        <v>404</v>
      </c>
      <c r="BQ364">
        <v>100</v>
      </c>
      <c r="BR364" t="s">
        <v>514</v>
      </c>
      <c r="BS364">
        <v>1001</v>
      </c>
      <c r="BT364" t="s">
        <v>515</v>
      </c>
      <c r="BW364">
        <v>84942</v>
      </c>
      <c r="BX364" t="s">
        <v>407</v>
      </c>
      <c r="BY364" t="s">
        <v>408</v>
      </c>
      <c r="BZ364">
        <v>4</v>
      </c>
      <c r="CA364">
        <v>1952</v>
      </c>
      <c r="CB364">
        <v>1</v>
      </c>
      <c r="CC364">
        <v>2</v>
      </c>
      <c r="CD364">
        <v>2017</v>
      </c>
      <c r="CE364">
        <v>29250</v>
      </c>
      <c r="CF364">
        <v>45116</v>
      </c>
      <c r="CG364">
        <v>74366</v>
      </c>
      <c r="CH364">
        <v>2017</v>
      </c>
      <c r="CI364">
        <v>29250</v>
      </c>
      <c r="CJ364">
        <v>45116</v>
      </c>
      <c r="CK364">
        <v>74366</v>
      </c>
      <c r="CL364">
        <v>2017</v>
      </c>
      <c r="CM364">
        <v>1079.21</v>
      </c>
      <c r="CN364" s="1">
        <v>39996</v>
      </c>
      <c r="CO364">
        <v>150000</v>
      </c>
      <c r="CV364">
        <v>0</v>
      </c>
      <c r="CZ364" s="1">
        <v>39996</v>
      </c>
      <c r="DA364">
        <v>0</v>
      </c>
      <c r="DD364" t="s">
        <v>2785</v>
      </c>
      <c r="DG364">
        <v>38</v>
      </c>
      <c r="DL364">
        <v>50400</v>
      </c>
      <c r="DM364" t="s">
        <v>4117</v>
      </c>
      <c r="DO364" t="s">
        <v>4118</v>
      </c>
      <c r="DP364">
        <v>0</v>
      </c>
      <c r="DQ364">
        <v>0</v>
      </c>
      <c r="DR364" t="s">
        <v>411</v>
      </c>
      <c r="DS364" t="b">
        <v>1</v>
      </c>
      <c r="DT364" t="s">
        <v>470</v>
      </c>
      <c r="DU364" t="s">
        <v>471</v>
      </c>
      <c r="DV364" t="s">
        <v>472</v>
      </c>
      <c r="DX364">
        <v>-9999</v>
      </c>
      <c r="DZ364" t="s">
        <v>447</v>
      </c>
      <c r="EA364" t="s">
        <v>448</v>
      </c>
      <c r="EB364" t="s">
        <v>742</v>
      </c>
      <c r="EC364">
        <v>20101217</v>
      </c>
      <c r="ED364" t="s">
        <v>474</v>
      </c>
      <c r="EF364">
        <v>971</v>
      </c>
      <c r="EG364">
        <v>971</v>
      </c>
      <c r="EI364">
        <v>20160407</v>
      </c>
      <c r="EJ364">
        <v>0</v>
      </c>
      <c r="EK364">
        <v>0</v>
      </c>
      <c r="EP364" t="s">
        <v>421</v>
      </c>
      <c r="EQ364" t="s">
        <v>422</v>
      </c>
      <c r="ER364">
        <v>0</v>
      </c>
      <c r="ES364">
        <v>2</v>
      </c>
      <c r="ET364">
        <v>0</v>
      </c>
      <c r="EU364">
        <v>0</v>
      </c>
      <c r="EV364">
        <v>0</v>
      </c>
      <c r="EW364" s="2">
        <v>43222</v>
      </c>
      <c r="EX364" s="1">
        <v>42879</v>
      </c>
      <c r="EY364">
        <v>2016</v>
      </c>
      <c r="EZ364">
        <v>1067.03</v>
      </c>
      <c r="FA364" t="s">
        <v>4119</v>
      </c>
      <c r="FB364">
        <v>0.25</v>
      </c>
      <c r="FC364" t="s">
        <v>424</v>
      </c>
      <c r="FD364" t="s">
        <v>425</v>
      </c>
      <c r="FE364" s="1">
        <v>42933</v>
      </c>
      <c r="FF364">
        <v>2</v>
      </c>
      <c r="FG364">
        <v>2851116</v>
      </c>
      <c r="FH364" t="s">
        <v>480</v>
      </c>
      <c r="FJ364" s="1">
        <v>42879</v>
      </c>
      <c r="FK364">
        <v>2016</v>
      </c>
      <c r="FL364">
        <v>1067.03</v>
      </c>
      <c r="FM364" t="s">
        <v>4119</v>
      </c>
      <c r="FN364">
        <v>0.25</v>
      </c>
      <c r="FO364" t="s">
        <v>424</v>
      </c>
      <c r="FP364" t="s">
        <v>425</v>
      </c>
      <c r="FR364">
        <v>22</v>
      </c>
      <c r="FS364">
        <v>5062090</v>
      </c>
      <c r="FT364" t="s">
        <v>4120</v>
      </c>
    </row>
    <row r="365" spans="1:272" x14ac:dyDescent="0.25">
      <c r="A365">
        <v>16485372</v>
      </c>
      <c r="B365">
        <v>364</v>
      </c>
      <c r="C365" t="s">
        <v>393</v>
      </c>
      <c r="D365" t="s">
        <v>394</v>
      </c>
      <c r="F365" t="str">
        <f>"38-2N-24-0000-0002-0100"</f>
        <v>38-2N-24-0000-0002-0100</v>
      </c>
      <c r="H365" t="str">
        <f>"HIGGINBOTHAM CHRISTINE &amp; HIGGINBOTHAM WILLIAM R (H&amp;W)"</f>
        <v>HIGGINBOTHAM CHRISTINE &amp; HIGGINBOTHAM WILLIAM R (H&amp;W)</v>
      </c>
      <c r="I365" t="str">
        <f>"3518 WOODMERE LANE"</f>
        <v>3518 WOODMERE LANE</v>
      </c>
      <c r="J365" t="str">
        <f>"SUGARLAND TX 77478"</f>
        <v>SUGARLAND TX 77478</v>
      </c>
      <c r="K365" t="str">
        <f>"36160 COTTONMOUTH LN"</f>
        <v>36160 COTTONMOUTH LN</v>
      </c>
      <c r="L365" t="str">
        <f t="shared" si="100"/>
        <v>CALLAHAN FL 32011</v>
      </c>
      <c r="M365" t="str">
        <f>"IN OR 1009/1139 2002 MERT-DW"</f>
        <v>IN OR 1009/1139 2002 MERT-DW</v>
      </c>
      <c r="N365" t="str">
        <f>""</f>
        <v/>
      </c>
      <c r="O365" t="str">
        <f>"44942"</f>
        <v>44942</v>
      </c>
      <c r="P365" t="str">
        <f t="shared" si="101"/>
        <v>2017</v>
      </c>
      <c r="Q365" t="str">
        <f>""</f>
        <v/>
      </c>
      <c r="R365" t="str">
        <f>"N"</f>
        <v>N</v>
      </c>
      <c r="S365" t="str">
        <f>"8.02"</f>
        <v>8.02</v>
      </c>
      <c r="T365" t="str">
        <f>"1291.05"</f>
        <v>1291.05</v>
      </c>
      <c r="U365" t="str">
        <f>"79308.00"</f>
        <v>79308.00</v>
      </c>
      <c r="V365" t="str">
        <f>"79308.00"</f>
        <v>79308.00</v>
      </c>
      <c r="W365" t="str">
        <f t="shared" si="102"/>
        <v>2017</v>
      </c>
      <c r="X365" t="str">
        <f>"17.30"</f>
        <v>17.30</v>
      </c>
      <c r="Y365" t="str">
        <f>"1361.78"</f>
        <v>1361.78</v>
      </c>
      <c r="Z365" t="str">
        <f>""</f>
        <v/>
      </c>
      <c r="AA365" t="str">
        <f>"93012.00"</f>
        <v>93012.00</v>
      </c>
      <c r="AB365" t="str">
        <f t="shared" si="113"/>
        <v>Residential</v>
      </c>
      <c r="AC365" t="str">
        <f t="shared" si="104"/>
        <v>0</v>
      </c>
      <c r="AD365" t="str">
        <f>"4"</f>
        <v>4</v>
      </c>
      <c r="AE365" t="str">
        <f>"WOOD (INCLUDE STEEL STUDS)"</f>
        <v>WOOD (INCLUDE STEEL STUDS)</v>
      </c>
      <c r="AF365" t="str">
        <f>"002"</f>
        <v>002</v>
      </c>
      <c r="AG365" t="str">
        <f>"TX"</f>
        <v>TX</v>
      </c>
      <c r="AH365" t="str">
        <f>"349351.00"</f>
        <v>349351.00</v>
      </c>
      <c r="AI365" t="str">
        <f>"26466.00"</f>
        <v>26466.00</v>
      </c>
      <c r="AJ365" t="str">
        <f>"C55-000-587-9964-4"</f>
        <v>C55-000-587-9964-4</v>
      </c>
      <c r="AK365" t="str">
        <f>"5686"</f>
        <v>5686</v>
      </c>
      <c r="AL365">
        <v>2</v>
      </c>
      <c r="AM365">
        <v>424</v>
      </c>
      <c r="AN365">
        <v>1428.27</v>
      </c>
      <c r="AQ365" t="s">
        <v>4121</v>
      </c>
      <c r="AR365" t="s">
        <v>4121</v>
      </c>
      <c r="AS365" t="s">
        <v>4121</v>
      </c>
      <c r="AU365" t="s">
        <v>396</v>
      </c>
      <c r="AV365">
        <v>2017</v>
      </c>
      <c r="AW365" t="str">
        <f>"38-2N-24-0000-0002-0100 "</f>
        <v xml:space="preserve">38-2N-24-0000-0002-0100 </v>
      </c>
      <c r="AX365">
        <v>36160</v>
      </c>
      <c r="AZ365" t="s">
        <v>4122</v>
      </c>
      <c r="BA365" t="s">
        <v>653</v>
      </c>
      <c r="BD365" t="s">
        <v>2785</v>
      </c>
      <c r="BE365" t="s">
        <v>393</v>
      </c>
      <c r="BF365">
        <v>32011</v>
      </c>
      <c r="BG365" t="s">
        <v>4123</v>
      </c>
      <c r="BH365" t="s">
        <v>2787</v>
      </c>
      <c r="BI365">
        <v>-81.871497846563003</v>
      </c>
      <c r="BJ365">
        <v>30.624813465959001</v>
      </c>
      <c r="BK365" t="s">
        <v>4124</v>
      </c>
      <c r="BL365" t="s">
        <v>4125</v>
      </c>
      <c r="BM365" t="s">
        <v>4126</v>
      </c>
      <c r="BN365" t="s">
        <v>4127</v>
      </c>
      <c r="BO365">
        <v>77478</v>
      </c>
      <c r="BP365" t="s">
        <v>404</v>
      </c>
      <c r="BQ365">
        <v>200</v>
      </c>
      <c r="BR365" t="s">
        <v>405</v>
      </c>
      <c r="BS365">
        <v>1006</v>
      </c>
      <c r="BT365" t="s">
        <v>406</v>
      </c>
      <c r="BW365">
        <v>349351</v>
      </c>
      <c r="BX365" t="s">
        <v>407</v>
      </c>
      <c r="BY365" t="s">
        <v>408</v>
      </c>
      <c r="BZ365">
        <v>4</v>
      </c>
      <c r="CA365">
        <v>2001</v>
      </c>
      <c r="CB365">
        <v>1</v>
      </c>
      <c r="CC365">
        <v>1</v>
      </c>
      <c r="CD365">
        <v>2017</v>
      </c>
      <c r="CE365">
        <v>26466</v>
      </c>
      <c r="CF365">
        <v>66546</v>
      </c>
      <c r="CG365">
        <v>93012</v>
      </c>
      <c r="CH365">
        <v>2017</v>
      </c>
      <c r="CI365">
        <v>26466</v>
      </c>
      <c r="CJ365">
        <v>66546</v>
      </c>
      <c r="CK365">
        <v>93012</v>
      </c>
      <c r="CL365">
        <v>2017</v>
      </c>
      <c r="CM365">
        <v>1291.05</v>
      </c>
      <c r="CN365" s="1">
        <v>37160</v>
      </c>
      <c r="CZ365" s="1">
        <v>37160</v>
      </c>
      <c r="DD365" t="s">
        <v>2785</v>
      </c>
      <c r="DG365">
        <v>38</v>
      </c>
      <c r="DL365">
        <v>50400</v>
      </c>
      <c r="DM365" t="s">
        <v>4117</v>
      </c>
      <c r="DO365" t="s">
        <v>4128</v>
      </c>
      <c r="DP365">
        <v>0</v>
      </c>
      <c r="DQ365">
        <v>0</v>
      </c>
      <c r="DR365" t="s">
        <v>411</v>
      </c>
      <c r="DS365" t="b">
        <v>1</v>
      </c>
      <c r="DT365" t="s">
        <v>470</v>
      </c>
      <c r="DU365" t="s">
        <v>471</v>
      </c>
      <c r="DV365" t="s">
        <v>472</v>
      </c>
      <c r="DX365">
        <v>-9999</v>
      </c>
      <c r="DZ365" t="s">
        <v>447</v>
      </c>
      <c r="EA365" t="s">
        <v>448</v>
      </c>
      <c r="EB365" t="s">
        <v>742</v>
      </c>
      <c r="EC365">
        <v>20101217</v>
      </c>
      <c r="ED365" t="s">
        <v>474</v>
      </c>
      <c r="EF365">
        <v>334.9</v>
      </c>
      <c r="EG365">
        <v>334.9</v>
      </c>
      <c r="EI365">
        <v>20160407</v>
      </c>
      <c r="EJ365">
        <v>0</v>
      </c>
      <c r="EK365">
        <v>0</v>
      </c>
      <c r="EP365" t="s">
        <v>421</v>
      </c>
      <c r="EQ365" t="s">
        <v>422</v>
      </c>
      <c r="ER365">
        <v>0</v>
      </c>
      <c r="ES365">
        <v>10</v>
      </c>
      <c r="ET365">
        <v>0</v>
      </c>
      <c r="EU365">
        <v>0</v>
      </c>
      <c r="EV365">
        <v>0</v>
      </c>
      <c r="EW365" s="2">
        <v>43222</v>
      </c>
      <c r="EX365" s="1">
        <v>42879</v>
      </c>
      <c r="EY365">
        <v>2016</v>
      </c>
      <c r="EZ365">
        <v>1223.98</v>
      </c>
      <c r="FA365" t="s">
        <v>4129</v>
      </c>
      <c r="FB365">
        <v>0.25</v>
      </c>
      <c r="FC365" t="s">
        <v>424</v>
      </c>
      <c r="FD365" t="s">
        <v>425</v>
      </c>
      <c r="FE365" s="1">
        <v>43185</v>
      </c>
      <c r="FF365">
        <v>10</v>
      </c>
      <c r="FG365">
        <v>11289</v>
      </c>
      <c r="FH365" t="s">
        <v>787</v>
      </c>
      <c r="FJ365" s="1">
        <v>42879</v>
      </c>
      <c r="FK365">
        <v>2016</v>
      </c>
      <c r="FL365">
        <v>1223.98</v>
      </c>
      <c r="FM365" t="s">
        <v>4129</v>
      </c>
      <c r="FN365">
        <v>0.25</v>
      </c>
      <c r="FO365" t="s">
        <v>424</v>
      </c>
      <c r="FP365" t="s">
        <v>425</v>
      </c>
      <c r="FR365">
        <v>22</v>
      </c>
      <c r="FS365">
        <v>7151908</v>
      </c>
      <c r="FT365" t="s">
        <v>4130</v>
      </c>
      <c r="FV365" s="1">
        <v>42515</v>
      </c>
      <c r="FW365">
        <v>2015</v>
      </c>
      <c r="FX365">
        <v>1333.42</v>
      </c>
      <c r="FY365" t="s">
        <v>4131</v>
      </c>
      <c r="FZ365">
        <v>0.25</v>
      </c>
      <c r="GA365" t="s">
        <v>424</v>
      </c>
      <c r="GB365" t="s">
        <v>425</v>
      </c>
      <c r="GC365" s="1">
        <v>43185</v>
      </c>
      <c r="GD365">
        <v>22</v>
      </c>
      <c r="GE365">
        <v>2851116</v>
      </c>
      <c r="GF365" t="s">
        <v>480</v>
      </c>
      <c r="GH365" s="1">
        <v>42515</v>
      </c>
      <c r="GI365">
        <v>2015</v>
      </c>
      <c r="GJ365">
        <v>1333.42</v>
      </c>
      <c r="GK365" t="s">
        <v>4131</v>
      </c>
      <c r="GL365">
        <v>0.25</v>
      </c>
      <c r="GM365" t="s">
        <v>424</v>
      </c>
      <c r="GN365" t="s">
        <v>425</v>
      </c>
      <c r="GP365">
        <v>22</v>
      </c>
      <c r="GQ365">
        <v>5333211</v>
      </c>
      <c r="GR365" t="s">
        <v>4132</v>
      </c>
      <c r="GT365" s="1">
        <v>42151</v>
      </c>
      <c r="GU365">
        <v>2014</v>
      </c>
      <c r="GV365">
        <v>1397.8</v>
      </c>
      <c r="GW365" t="s">
        <v>4133</v>
      </c>
      <c r="GX365">
        <v>0.25</v>
      </c>
      <c r="GY365" t="s">
        <v>424</v>
      </c>
      <c r="GZ365" t="s">
        <v>425</v>
      </c>
      <c r="HA365" s="1">
        <v>42416</v>
      </c>
      <c r="HB365">
        <v>9</v>
      </c>
      <c r="HC365">
        <v>4975594</v>
      </c>
      <c r="HD365" t="s">
        <v>457</v>
      </c>
      <c r="HF365" s="1">
        <v>42151</v>
      </c>
      <c r="HG365">
        <v>2014</v>
      </c>
      <c r="HH365">
        <v>1397.8</v>
      </c>
      <c r="HI365" t="s">
        <v>4133</v>
      </c>
      <c r="HJ365">
        <v>0.25</v>
      </c>
      <c r="HK365" t="s">
        <v>424</v>
      </c>
      <c r="HL365" t="s">
        <v>425</v>
      </c>
      <c r="HN365">
        <v>22</v>
      </c>
      <c r="HO365">
        <v>6386670</v>
      </c>
      <c r="HP365" t="s">
        <v>4134</v>
      </c>
      <c r="HR365" s="1">
        <v>41787</v>
      </c>
      <c r="HS365">
        <v>2013</v>
      </c>
      <c r="HT365">
        <v>1454.23</v>
      </c>
      <c r="HU365" t="s">
        <v>4135</v>
      </c>
      <c r="HV365">
        <v>0.25</v>
      </c>
      <c r="HW365" t="s">
        <v>424</v>
      </c>
      <c r="HX365" t="s">
        <v>425</v>
      </c>
      <c r="HY365" s="1">
        <v>42416</v>
      </c>
      <c r="HZ365">
        <v>21</v>
      </c>
      <c r="IA365">
        <v>2851116</v>
      </c>
      <c r="IB365" t="s">
        <v>480</v>
      </c>
      <c r="ID365" s="1">
        <v>41423</v>
      </c>
      <c r="IE365">
        <v>2012</v>
      </c>
      <c r="IF365">
        <v>1991.84</v>
      </c>
      <c r="IG365" t="s">
        <v>4136</v>
      </c>
      <c r="IH365">
        <v>0.25</v>
      </c>
      <c r="II365" t="s">
        <v>424</v>
      </c>
      <c r="IJ365" t="s">
        <v>425</v>
      </c>
      <c r="IK365" s="1">
        <v>42059</v>
      </c>
      <c r="IL365">
        <v>21</v>
      </c>
      <c r="IM365">
        <v>606981</v>
      </c>
      <c r="IN365" t="s">
        <v>792</v>
      </c>
      <c r="IP365" s="1">
        <v>41052</v>
      </c>
      <c r="IQ365">
        <v>2011</v>
      </c>
      <c r="IR365">
        <v>2274.81</v>
      </c>
      <c r="IS365" t="s">
        <v>4137</v>
      </c>
      <c r="IT365">
        <v>0.25</v>
      </c>
      <c r="IU365" t="s">
        <v>424</v>
      </c>
      <c r="IV365" t="s">
        <v>425</v>
      </c>
      <c r="IW365" s="1">
        <v>41702</v>
      </c>
      <c r="IX365">
        <v>22</v>
      </c>
      <c r="IY365">
        <v>13254</v>
      </c>
      <c r="IZ365" t="s">
        <v>4138</v>
      </c>
      <c r="JB365" s="1">
        <v>40688</v>
      </c>
      <c r="JC365">
        <v>2010</v>
      </c>
      <c r="JD365">
        <v>2459.36</v>
      </c>
      <c r="JE365" t="s">
        <v>4139</v>
      </c>
      <c r="JF365">
        <v>7</v>
      </c>
      <c r="JG365" t="s">
        <v>424</v>
      </c>
      <c r="JH365" t="s">
        <v>425</v>
      </c>
      <c r="JI365" s="1">
        <v>41365</v>
      </c>
      <c r="JJ365">
        <v>23</v>
      </c>
      <c r="JK365">
        <v>10579</v>
      </c>
      <c r="JL365" t="s">
        <v>488</v>
      </c>
    </row>
    <row r="366" spans="1:272" x14ac:dyDescent="0.25">
      <c r="A366">
        <v>16485373</v>
      </c>
      <c r="B366">
        <v>365</v>
      </c>
      <c r="C366" t="s">
        <v>393</v>
      </c>
      <c r="D366" t="s">
        <v>394</v>
      </c>
      <c r="F366" t="str">
        <f>"03-3N-24-0000-0001-0030"</f>
        <v>03-3N-24-0000-0001-0030</v>
      </c>
      <c r="H366" t="str">
        <f>"REED HUBERT E"</f>
        <v>REED HUBERT E</v>
      </c>
      <c r="I366" t="str">
        <f>"37610 PINERIDGE DRIVE"</f>
        <v>37610 PINERIDGE DRIVE</v>
      </c>
      <c r="J366" t="str">
        <f>"HILLIARD FL 32046"</f>
        <v>HILLIARD FL 32046</v>
      </c>
      <c r="K366" t="str">
        <f>"37572 PINERIDGE RD"</f>
        <v>37572 PINERIDGE RD</v>
      </c>
      <c r="L366" t="str">
        <f t="shared" ref="L366:L397" si="114">"HILLIARD FL 32046"</f>
        <v>HILLIARD FL 32046</v>
      </c>
      <c r="M366" t="str">
        <f>"IN OR 1670/970 EX ESMT OR 928/1851"</f>
        <v>IN OR 1670/970 EX ESMT OR 928/1851</v>
      </c>
      <c r="N366" t="str">
        <f>""</f>
        <v/>
      </c>
      <c r="O366" t="str">
        <f>"19086"</f>
        <v>19086</v>
      </c>
      <c r="P366" t="str">
        <f t="shared" si="101"/>
        <v>2017</v>
      </c>
      <c r="Q366" t="str">
        <f>""</f>
        <v/>
      </c>
      <c r="R366" t="str">
        <f>"N"</f>
        <v>N</v>
      </c>
      <c r="S366" t="str">
        <f>"0.95"</f>
        <v>0.95</v>
      </c>
      <c r="T366" t="str">
        <f>"1122.56"</f>
        <v>1122.56</v>
      </c>
      <c r="U366" t="str">
        <f>"74151.00"</f>
        <v>74151.00</v>
      </c>
      <c r="V366" t="str">
        <f>"74151.00"</f>
        <v>74151.00</v>
      </c>
      <c r="W366" t="str">
        <f t="shared" si="102"/>
        <v>2017</v>
      </c>
      <c r="X366" t="str">
        <f>""</f>
        <v/>
      </c>
      <c r="Y366" t="str">
        <f>"1188.24"</f>
        <v>1188.24</v>
      </c>
      <c r="Z366" t="str">
        <f>""</f>
        <v/>
      </c>
      <c r="AA366" t="str">
        <f>"74151.00"</f>
        <v>74151.00</v>
      </c>
      <c r="AB366" t="str">
        <f t="shared" si="113"/>
        <v>Residential</v>
      </c>
      <c r="AC366" t="str">
        <f t="shared" si="104"/>
        <v>0</v>
      </c>
      <c r="AD366" t="str">
        <f>"4"</f>
        <v>4</v>
      </c>
      <c r="AE366" t="str">
        <f>"WOOD (INCLUDE STEEL STUDS)"</f>
        <v>WOOD (INCLUDE STEEL STUDS)</v>
      </c>
      <c r="AF366" t="str">
        <f>"001"</f>
        <v>001</v>
      </c>
      <c r="AG366" t="str">
        <f>"FL"</f>
        <v>FL</v>
      </c>
      <c r="AH366" t="str">
        <f>"41382.00"</f>
        <v>41382.00</v>
      </c>
      <c r="AI366" t="str">
        <f>"14250.00"</f>
        <v>14250.00</v>
      </c>
      <c r="AJ366" t="str">
        <f>"C55-000-586-4506-0"</f>
        <v>C55-000-586-4506-0</v>
      </c>
      <c r="AK366" t="str">
        <f>"5699"</f>
        <v>5699</v>
      </c>
      <c r="AL366">
        <v>2</v>
      </c>
      <c r="AM366">
        <v>425</v>
      </c>
      <c r="AN366">
        <v>1246.05</v>
      </c>
      <c r="AQ366" t="s">
        <v>4140</v>
      </c>
      <c r="AR366" t="s">
        <v>4140</v>
      </c>
      <c r="AS366" t="s">
        <v>4140</v>
      </c>
      <c r="AU366" t="s">
        <v>396</v>
      </c>
      <c r="AV366">
        <v>2017</v>
      </c>
      <c r="AW366" t="str">
        <f>"03-3N-24-0000-0001-0030 "</f>
        <v xml:space="preserve">03-3N-24-0000-0001-0030 </v>
      </c>
      <c r="AX366">
        <v>37572</v>
      </c>
      <c r="AZ366" t="s">
        <v>4141</v>
      </c>
      <c r="BA366" t="s">
        <v>496</v>
      </c>
      <c r="BD366" t="s">
        <v>398</v>
      </c>
      <c r="BE366" t="s">
        <v>393</v>
      </c>
      <c r="BF366">
        <v>32046</v>
      </c>
      <c r="BG366" t="s">
        <v>4142</v>
      </c>
      <c r="BH366" t="s">
        <v>400</v>
      </c>
      <c r="BI366">
        <v>-81.896542564597397</v>
      </c>
      <c r="BJ366">
        <v>30.7038072829003</v>
      </c>
      <c r="BK366" t="s">
        <v>4143</v>
      </c>
      <c r="BM366" t="s">
        <v>4144</v>
      </c>
      <c r="BN366" t="s">
        <v>403</v>
      </c>
      <c r="BO366">
        <v>32046</v>
      </c>
      <c r="BP366" t="s">
        <v>404</v>
      </c>
      <c r="BQ366">
        <v>100</v>
      </c>
      <c r="BR366" t="s">
        <v>514</v>
      </c>
      <c r="BS366">
        <v>1001</v>
      </c>
      <c r="BT366" t="s">
        <v>515</v>
      </c>
      <c r="BW366">
        <v>41382</v>
      </c>
      <c r="BX366" t="s">
        <v>407</v>
      </c>
      <c r="BY366" t="s">
        <v>408</v>
      </c>
      <c r="BZ366">
        <v>4</v>
      </c>
      <c r="CA366">
        <v>1962</v>
      </c>
      <c r="CB366">
        <v>1</v>
      </c>
      <c r="CC366">
        <v>1</v>
      </c>
      <c r="CD366">
        <v>2017</v>
      </c>
      <c r="CE366">
        <v>14250</v>
      </c>
      <c r="CF366">
        <v>59901</v>
      </c>
      <c r="CG366">
        <v>74151</v>
      </c>
      <c r="CH366">
        <v>2017</v>
      </c>
      <c r="CI366">
        <v>14250</v>
      </c>
      <c r="CJ366">
        <v>59901</v>
      </c>
      <c r="CK366">
        <v>74151</v>
      </c>
      <c r="CL366">
        <v>2017</v>
      </c>
      <c r="CM366">
        <v>1122.56</v>
      </c>
      <c r="CN366" s="1">
        <v>40158</v>
      </c>
      <c r="CO366">
        <v>36000</v>
      </c>
      <c r="CV366">
        <v>0</v>
      </c>
      <c r="CZ366" s="1">
        <v>40158</v>
      </c>
      <c r="DA366">
        <v>0</v>
      </c>
      <c r="DD366" t="s">
        <v>398</v>
      </c>
      <c r="DG366">
        <v>3</v>
      </c>
      <c r="DL366">
        <v>50400</v>
      </c>
      <c r="DM366" t="s">
        <v>4145</v>
      </c>
      <c r="DO366" t="s">
        <v>4146</v>
      </c>
      <c r="DP366">
        <v>0</v>
      </c>
      <c r="DQ366">
        <v>0</v>
      </c>
      <c r="DR366" t="s">
        <v>411</v>
      </c>
      <c r="DS366" t="b">
        <v>1</v>
      </c>
      <c r="DT366" t="s">
        <v>470</v>
      </c>
      <c r="DU366" t="s">
        <v>471</v>
      </c>
      <c r="DV366" t="s">
        <v>472</v>
      </c>
      <c r="DX366">
        <v>-9999</v>
      </c>
      <c r="DZ366" t="s">
        <v>447</v>
      </c>
      <c r="EA366" t="s">
        <v>448</v>
      </c>
      <c r="EB366" t="s">
        <v>1224</v>
      </c>
      <c r="EC366">
        <v>20101217</v>
      </c>
      <c r="ED366" t="s">
        <v>474</v>
      </c>
      <c r="EF366">
        <v>1144.7</v>
      </c>
      <c r="EG366">
        <v>1144.7</v>
      </c>
      <c r="EI366">
        <v>20160407</v>
      </c>
      <c r="EJ366">
        <v>0</v>
      </c>
      <c r="EK366">
        <v>0</v>
      </c>
    </row>
    <row r="367" spans="1:272" x14ac:dyDescent="0.25">
      <c r="A367">
        <v>16485374</v>
      </c>
      <c r="B367">
        <v>366</v>
      </c>
      <c r="C367" t="s">
        <v>393</v>
      </c>
      <c r="D367" t="s">
        <v>394</v>
      </c>
      <c r="F367" t="str">
        <f>"03-3N-24-0000-0001-0050"</f>
        <v>03-3N-24-0000-0001-0050</v>
      </c>
      <c r="H367" t="str">
        <f>"REED HUBERT E JR &amp; DEBBIE SUE"</f>
        <v>REED HUBERT E JR &amp; DEBBIE SUE</v>
      </c>
      <c r="I367" t="str">
        <f>"37610 PINERIDGE ROAD"</f>
        <v>37610 PINERIDGE ROAD</v>
      </c>
      <c r="J367" t="str">
        <f>"HILLIARD FL 32046"</f>
        <v>HILLIARD FL 32046</v>
      </c>
      <c r="K367" t="str">
        <f>"37610 PINERIDGE RD"</f>
        <v>37610 PINERIDGE RD</v>
      </c>
      <c r="L367" t="str">
        <f t="shared" si="114"/>
        <v>HILLIARD FL 32046</v>
      </c>
      <c r="M367" t="str">
        <f>"PT OF NW1/4 OF SE1/4 IN OR 402 PG 46 EX ESMT OR 924/748"</f>
        <v>PT OF NW1/4 OF SE1/4 IN OR 402 PG 46 EX ESMT OR 924/748</v>
      </c>
      <c r="N367" t="str">
        <f>""</f>
        <v/>
      </c>
      <c r="O367" t="str">
        <f>"19088"</f>
        <v>19088</v>
      </c>
      <c r="P367" t="str">
        <f t="shared" si="101"/>
        <v>2017</v>
      </c>
      <c r="Q367" t="str">
        <f>""</f>
        <v/>
      </c>
      <c r="R367" t="str">
        <f>"Y"</f>
        <v>Y</v>
      </c>
      <c r="S367" t="str">
        <f>"1.89"</f>
        <v>1.89</v>
      </c>
      <c r="T367" t="str">
        <f>"928.77"</f>
        <v>928.77</v>
      </c>
      <c r="U367" t="str">
        <f>"100455.00"</f>
        <v>100455.00</v>
      </c>
      <c r="V367" t="str">
        <f>"100455.00"</f>
        <v>100455.00</v>
      </c>
      <c r="W367" t="str">
        <f t="shared" si="102"/>
        <v>2017</v>
      </c>
      <c r="X367" t="str">
        <f>"4.67"</f>
        <v>4.67</v>
      </c>
      <c r="Y367" t="str">
        <f>"988.63"</f>
        <v>988.63</v>
      </c>
      <c r="Z367" t="str">
        <f>"25000.00"</f>
        <v>25000.00</v>
      </c>
      <c r="AA367" t="str">
        <f>"75455.00"</f>
        <v>75455.00</v>
      </c>
      <c r="AB367" t="str">
        <f t="shared" si="113"/>
        <v>Residential</v>
      </c>
      <c r="AC367" t="str">
        <f t="shared" si="104"/>
        <v>0</v>
      </c>
      <c r="AD367" t="str">
        <f>"4"</f>
        <v>4</v>
      </c>
      <c r="AE367" t="str">
        <f>"WOOD (INCLUDE STEEL STUDS)"</f>
        <v>WOOD (INCLUDE STEEL STUDS)</v>
      </c>
      <c r="AF367" t="str">
        <f>"001"</f>
        <v>001</v>
      </c>
      <c r="AG367" t="str">
        <f>"FL"</f>
        <v>FL</v>
      </c>
      <c r="AH367" t="str">
        <f>"82328.00"</f>
        <v>82328.00</v>
      </c>
      <c r="AI367" t="str">
        <f>"24097.00"</f>
        <v>24097.00</v>
      </c>
      <c r="AJ367" t="str">
        <f>"C55-000-586-4508-6"</f>
        <v>C55-000-586-4508-6</v>
      </c>
      <c r="AK367" t="str">
        <f>"5701"</f>
        <v>5701</v>
      </c>
      <c r="AL367">
        <v>2</v>
      </c>
      <c r="AM367">
        <v>426</v>
      </c>
      <c r="AN367">
        <v>1036.46</v>
      </c>
      <c r="AQ367" t="s">
        <v>4147</v>
      </c>
      <c r="AR367" t="s">
        <v>4147</v>
      </c>
      <c r="AS367" t="s">
        <v>4147</v>
      </c>
      <c r="AU367" t="s">
        <v>396</v>
      </c>
      <c r="AV367">
        <v>2017</v>
      </c>
      <c r="AW367" t="str">
        <f>"03-3N-24-0000-0001-0050 "</f>
        <v xml:space="preserve">03-3N-24-0000-0001-0050 </v>
      </c>
      <c r="AX367">
        <v>37610</v>
      </c>
      <c r="AZ367" t="s">
        <v>4141</v>
      </c>
      <c r="BA367" t="s">
        <v>496</v>
      </c>
      <c r="BD367" t="s">
        <v>398</v>
      </c>
      <c r="BE367" t="s">
        <v>393</v>
      </c>
      <c r="BF367">
        <v>32046</v>
      </c>
      <c r="BG367" t="s">
        <v>4148</v>
      </c>
      <c r="BH367" t="s">
        <v>400</v>
      </c>
      <c r="BI367">
        <v>-81.896536165869193</v>
      </c>
      <c r="BJ367">
        <v>30.7044480404798</v>
      </c>
      <c r="BK367" t="s">
        <v>4149</v>
      </c>
      <c r="BM367" t="s">
        <v>4150</v>
      </c>
      <c r="BN367" t="s">
        <v>403</v>
      </c>
      <c r="BO367">
        <v>32046</v>
      </c>
      <c r="BP367" t="s">
        <v>416</v>
      </c>
      <c r="BQ367">
        <v>100</v>
      </c>
      <c r="BR367" t="s">
        <v>514</v>
      </c>
      <c r="BS367">
        <v>1001</v>
      </c>
      <c r="BT367" t="s">
        <v>515</v>
      </c>
      <c r="BW367">
        <v>82328</v>
      </c>
      <c r="BX367" t="s">
        <v>407</v>
      </c>
      <c r="BY367" t="s">
        <v>408</v>
      </c>
      <c r="BZ367">
        <v>4</v>
      </c>
      <c r="CA367">
        <v>1985</v>
      </c>
      <c r="CB367">
        <v>1</v>
      </c>
      <c r="CC367">
        <v>1</v>
      </c>
      <c r="CD367">
        <v>2017</v>
      </c>
      <c r="CG367">
        <v>100455</v>
      </c>
      <c r="CH367">
        <v>2017</v>
      </c>
      <c r="CI367">
        <v>24097</v>
      </c>
      <c r="CJ367">
        <v>93791</v>
      </c>
      <c r="CK367">
        <v>117888</v>
      </c>
      <c r="CL367">
        <v>2017</v>
      </c>
      <c r="CM367">
        <v>928.77</v>
      </c>
      <c r="CN367" s="1">
        <v>30590</v>
      </c>
      <c r="CO367">
        <v>10000</v>
      </c>
      <c r="CZ367" s="1">
        <v>30590</v>
      </c>
      <c r="DD367" t="s">
        <v>398</v>
      </c>
      <c r="DG367">
        <v>3</v>
      </c>
      <c r="DL367">
        <v>50400</v>
      </c>
      <c r="DM367" t="s">
        <v>4145</v>
      </c>
      <c r="DO367" t="s">
        <v>4151</v>
      </c>
      <c r="DP367">
        <v>0</v>
      </c>
      <c r="DQ367">
        <v>0</v>
      </c>
      <c r="DR367" t="s">
        <v>411</v>
      </c>
      <c r="DS367" t="b">
        <v>1</v>
      </c>
      <c r="DT367" t="s">
        <v>470</v>
      </c>
      <c r="DU367" t="s">
        <v>471</v>
      </c>
      <c r="DV367" t="s">
        <v>472</v>
      </c>
      <c r="DX367">
        <v>-9999</v>
      </c>
      <c r="DZ367" t="s">
        <v>447</v>
      </c>
      <c r="EA367" t="s">
        <v>448</v>
      </c>
      <c r="EB367" t="s">
        <v>1224</v>
      </c>
      <c r="EC367">
        <v>20101217</v>
      </c>
      <c r="ED367" t="s">
        <v>474</v>
      </c>
      <c r="EF367">
        <v>1022.6</v>
      </c>
      <c r="EG367">
        <v>1022.6</v>
      </c>
      <c r="EI367">
        <v>20160407</v>
      </c>
      <c r="EJ367">
        <v>0</v>
      </c>
      <c r="EK367">
        <v>0</v>
      </c>
      <c r="EP367" t="s">
        <v>421</v>
      </c>
      <c r="EQ367" t="s">
        <v>422</v>
      </c>
      <c r="ER367">
        <v>0</v>
      </c>
      <c r="ES367">
        <v>2</v>
      </c>
      <c r="ET367">
        <v>0</v>
      </c>
      <c r="EU367">
        <v>0</v>
      </c>
      <c r="EV367">
        <v>0</v>
      </c>
      <c r="EW367" s="2">
        <v>43222</v>
      </c>
      <c r="EX367" s="1">
        <v>42151</v>
      </c>
      <c r="EY367">
        <v>2014</v>
      </c>
      <c r="EZ367">
        <v>1019.2</v>
      </c>
      <c r="FA367" t="s">
        <v>4152</v>
      </c>
      <c r="FB367">
        <v>0.25</v>
      </c>
      <c r="FC367" t="s">
        <v>424</v>
      </c>
      <c r="FD367" t="s">
        <v>425</v>
      </c>
      <c r="FE367" s="1">
        <v>42514</v>
      </c>
      <c r="FF367">
        <v>12</v>
      </c>
      <c r="FG367">
        <v>4975594</v>
      </c>
      <c r="FH367" t="s">
        <v>457</v>
      </c>
      <c r="FJ367" s="1">
        <v>42151</v>
      </c>
      <c r="FK367">
        <v>2014</v>
      </c>
      <c r="FL367">
        <v>1019.2</v>
      </c>
      <c r="FM367" t="s">
        <v>4152</v>
      </c>
      <c r="FN367">
        <v>0.25</v>
      </c>
      <c r="FO367" t="s">
        <v>424</v>
      </c>
      <c r="FP367" t="s">
        <v>425</v>
      </c>
      <c r="FR367">
        <v>22</v>
      </c>
      <c r="FS367">
        <v>6587489</v>
      </c>
      <c r="FT367" t="s">
        <v>4153</v>
      </c>
    </row>
    <row r="368" spans="1:272" x14ac:dyDescent="0.25">
      <c r="A368">
        <v>16485375</v>
      </c>
      <c r="B368">
        <v>367</v>
      </c>
      <c r="C368" t="s">
        <v>393</v>
      </c>
      <c r="D368" t="s">
        <v>394</v>
      </c>
      <c r="F368" t="str">
        <f>"03-3N-24-0000-0001-0060"</f>
        <v>03-3N-24-0000-0001-0060</v>
      </c>
      <c r="H368" t="str">
        <f>"KINCADE RALPH R &amp; DREMA D"</f>
        <v>KINCADE RALPH R &amp; DREMA D</v>
      </c>
      <c r="I368" t="str">
        <f>"26393 SHEARED STOKES RD"</f>
        <v>26393 SHEARED STOKES RD</v>
      </c>
      <c r="J368" t="str">
        <f>"HILLIARD FL 32046"</f>
        <v>HILLIARD FL 32046</v>
      </c>
      <c r="K368" t="str">
        <f>"37595 OLD PINERIDGE RD"</f>
        <v>37595 OLD PINERIDGE RD</v>
      </c>
      <c r="L368" t="str">
        <f t="shared" si="114"/>
        <v>HILLIARD FL 32046</v>
      </c>
      <c r="M368" t="str">
        <f>"IN OR 1839/633 EX R/W OR 908/797"</f>
        <v>IN OR 1839/633 EX R/W OR 908/797</v>
      </c>
      <c r="N368" t="str">
        <f>""</f>
        <v/>
      </c>
      <c r="O368" t="str">
        <f>"19089"</f>
        <v>19089</v>
      </c>
      <c r="P368" t="str">
        <f t="shared" si="101"/>
        <v>2017</v>
      </c>
      <c r="Q368" t="str">
        <f>""</f>
        <v/>
      </c>
      <c r="R368" t="str">
        <f>"N"</f>
        <v>N</v>
      </c>
      <c r="S368" t="str">
        <f>"4.25"</f>
        <v>4.25</v>
      </c>
      <c r="T368" t="str">
        <f>"1963.87"</f>
        <v>1963.87</v>
      </c>
      <c r="U368" t="str">
        <f>"129725.00"</f>
        <v>129725.00</v>
      </c>
      <c r="V368" t="str">
        <f>"129725.00"</f>
        <v>129725.00</v>
      </c>
      <c r="W368" t="str">
        <f t="shared" si="102"/>
        <v>2017</v>
      </c>
      <c r="X368" t="str">
        <f>""</f>
        <v/>
      </c>
      <c r="Y368" t="str">
        <f>"496.55"</f>
        <v>496.55</v>
      </c>
      <c r="Z368" t="str">
        <f>""</f>
        <v/>
      </c>
      <c r="AA368" t="str">
        <f>"129725.00"</f>
        <v>129725.00</v>
      </c>
      <c r="AB368" t="str">
        <f t="shared" si="113"/>
        <v>Residential</v>
      </c>
      <c r="AC368" t="str">
        <f t="shared" si="104"/>
        <v>0</v>
      </c>
      <c r="AD368" t="str">
        <f>"3"</f>
        <v>3</v>
      </c>
      <c r="AE368" t="str">
        <f>"MASONRY"</f>
        <v>MASONRY</v>
      </c>
      <c r="AF368" t="str">
        <f>"001"</f>
        <v>001</v>
      </c>
      <c r="AG368" t="str">
        <f>"FL"</f>
        <v>FL</v>
      </c>
      <c r="AH368" t="str">
        <f>"185130.00"</f>
        <v>185130.00</v>
      </c>
      <c r="AI368" t="str">
        <f>"34000.00"</f>
        <v>34000.00</v>
      </c>
      <c r="AJ368" t="str">
        <f>"C55-000-586-4509-4"</f>
        <v>C55-000-586-4509-4</v>
      </c>
      <c r="AK368" t="str">
        <f>"5702"</f>
        <v>5702</v>
      </c>
      <c r="AL368">
        <v>2</v>
      </c>
      <c r="AM368">
        <v>427</v>
      </c>
      <c r="AN368">
        <v>519.78</v>
      </c>
      <c r="AQ368" t="s">
        <v>4154</v>
      </c>
      <c r="AR368" t="s">
        <v>4154</v>
      </c>
      <c r="AS368" t="s">
        <v>4154</v>
      </c>
      <c r="AU368" t="s">
        <v>396</v>
      </c>
      <c r="AV368">
        <v>2017</v>
      </c>
      <c r="AW368" t="str">
        <f>"03-3N-24-0000-0001-0060 "</f>
        <v xml:space="preserve">03-3N-24-0000-0001-0060 </v>
      </c>
      <c r="AX368">
        <v>37595</v>
      </c>
      <c r="AZ368" t="s">
        <v>4155</v>
      </c>
      <c r="BA368" t="s">
        <v>496</v>
      </c>
      <c r="BD368" t="s">
        <v>398</v>
      </c>
      <c r="BE368" t="s">
        <v>393</v>
      </c>
      <c r="BF368">
        <v>32046</v>
      </c>
      <c r="BG368" t="s">
        <v>4156</v>
      </c>
      <c r="BH368" t="s">
        <v>400</v>
      </c>
      <c r="BI368">
        <v>-81.899699621721297</v>
      </c>
      <c r="BJ368">
        <v>30.704187350705901</v>
      </c>
      <c r="BK368" t="s">
        <v>4157</v>
      </c>
      <c r="BL368" t="s">
        <v>4158</v>
      </c>
      <c r="BM368" t="s">
        <v>4159</v>
      </c>
      <c r="BN368" t="s">
        <v>403</v>
      </c>
      <c r="BO368">
        <v>32046</v>
      </c>
      <c r="BP368" t="s">
        <v>404</v>
      </c>
      <c r="BQ368">
        <v>100</v>
      </c>
      <c r="BR368" t="s">
        <v>514</v>
      </c>
      <c r="BS368">
        <v>1001</v>
      </c>
      <c r="BT368" t="s">
        <v>515</v>
      </c>
      <c r="BW368">
        <v>185130</v>
      </c>
      <c r="BX368" t="s">
        <v>407</v>
      </c>
      <c r="BY368" t="s">
        <v>408</v>
      </c>
      <c r="BZ368">
        <v>3</v>
      </c>
      <c r="CA368">
        <v>1964</v>
      </c>
      <c r="CB368">
        <v>1</v>
      </c>
      <c r="CC368">
        <v>1</v>
      </c>
      <c r="CD368">
        <v>2017</v>
      </c>
      <c r="CE368">
        <v>34000</v>
      </c>
      <c r="CF368">
        <v>95725</v>
      </c>
      <c r="CG368">
        <v>129725</v>
      </c>
      <c r="CH368">
        <v>2017</v>
      </c>
      <c r="CI368">
        <v>34000</v>
      </c>
      <c r="CJ368">
        <v>95725</v>
      </c>
      <c r="CK368">
        <v>129725</v>
      </c>
      <c r="CL368">
        <v>2017</v>
      </c>
      <c r="CM368">
        <v>1963.87</v>
      </c>
      <c r="CN368" s="1">
        <v>41316</v>
      </c>
      <c r="CO368">
        <v>50000</v>
      </c>
      <c r="CV368">
        <v>55000</v>
      </c>
      <c r="CX368" t="s">
        <v>693</v>
      </c>
      <c r="CZ368" s="1">
        <v>41316</v>
      </c>
      <c r="DA368">
        <v>0</v>
      </c>
      <c r="DD368" t="s">
        <v>398</v>
      </c>
      <c r="DG368">
        <v>3</v>
      </c>
      <c r="DL368">
        <v>50400</v>
      </c>
      <c r="DM368" t="s">
        <v>4145</v>
      </c>
      <c r="DO368" t="s">
        <v>4160</v>
      </c>
      <c r="DP368">
        <v>0</v>
      </c>
      <c r="DQ368">
        <v>0</v>
      </c>
      <c r="DR368" t="s">
        <v>411</v>
      </c>
    </row>
    <row r="369" spans="1:296" x14ac:dyDescent="0.25">
      <c r="A369">
        <v>16485376</v>
      </c>
      <c r="B369">
        <v>368</v>
      </c>
      <c r="C369" t="s">
        <v>393</v>
      </c>
      <c r="D369" t="s">
        <v>394</v>
      </c>
      <c r="F369" t="str">
        <f>"03-3N-24-2020-0023-0110"</f>
        <v>03-3N-24-2020-0023-0110</v>
      </c>
      <c r="H369" t="str">
        <f>"DAUGHTRY CHARLES E &amp; MONICA S C/O WANDELLA SMART"</f>
        <v>DAUGHTRY CHARLES E &amp; MONICA S C/O WANDELLA SMART</v>
      </c>
      <c r="I369" t="str">
        <f>"545605 US HWY 1"</f>
        <v>545605 US HWY 1</v>
      </c>
      <c r="J369" t="str">
        <f>"CALLAHAN FL 32011"</f>
        <v>CALLAHAN FL 32011</v>
      </c>
      <c r="K369" t="str">
        <f>"37402 OLD PINERIDGE RD"</f>
        <v>37402 OLD PINERIDGE RD</v>
      </c>
      <c r="L369" t="str">
        <f t="shared" si="114"/>
        <v>HILLIARD FL 32046</v>
      </c>
      <c r="M369" t="str">
        <f>"PT LOT 23 IN OR 712 PG 386 EX R/W IN OR 1467/1495 CORNWALL SURVEY"</f>
        <v>PT LOT 23 IN OR 712 PG 386 EX R/W IN OR 1467/1495 CORNWALL SURVEY</v>
      </c>
      <c r="N369" t="str">
        <f>""</f>
        <v/>
      </c>
      <c r="O369" t="str">
        <f>"19150"</f>
        <v>19150</v>
      </c>
      <c r="P369" t="str">
        <f t="shared" si="101"/>
        <v>2017</v>
      </c>
      <c r="Q369" t="str">
        <f>""</f>
        <v/>
      </c>
      <c r="R369" t="str">
        <f>"N"</f>
        <v>N</v>
      </c>
      <c r="S369" t="str">
        <f>"1.00"</f>
        <v>1.00</v>
      </c>
      <c r="T369" t="str">
        <f>"548.82"</f>
        <v>548.82</v>
      </c>
      <c r="U369" t="str">
        <f>"36252.00"</f>
        <v>36252.00</v>
      </c>
      <c r="V369" t="str">
        <f>"36252.00"</f>
        <v>36252.00</v>
      </c>
      <c r="W369" t="str">
        <f t="shared" si="102"/>
        <v>2017</v>
      </c>
      <c r="X369" t="str">
        <f>"15.44"</f>
        <v>15.44</v>
      </c>
      <c r="Y369" t="str">
        <f>"597.28"</f>
        <v>597.28</v>
      </c>
      <c r="Z369" t="str">
        <f>""</f>
        <v/>
      </c>
      <c r="AA369" t="str">
        <f>"36252.00"</f>
        <v>36252.00</v>
      </c>
      <c r="AB369" t="str">
        <f t="shared" si="113"/>
        <v>Residential</v>
      </c>
      <c r="AC369" t="str">
        <f t="shared" si="104"/>
        <v>0</v>
      </c>
      <c r="AD369" t="str">
        <f>"4"</f>
        <v>4</v>
      </c>
      <c r="AE369" t="str">
        <f>"WOOD (INCLUDE STEEL STUDS)"</f>
        <v>WOOD (INCLUDE STEEL STUDS)</v>
      </c>
      <c r="AF369" t="str">
        <f>"001"</f>
        <v>001</v>
      </c>
      <c r="AG369" t="str">
        <f>"FL"</f>
        <v>FL</v>
      </c>
      <c r="AH369" t="str">
        <f>"43560.00"</f>
        <v>43560.00</v>
      </c>
      <c r="AI369" t="str">
        <f>"10500.00"</f>
        <v>10500.00</v>
      </c>
      <c r="AJ369" t="str">
        <f>"C55-000-586-4563-1"</f>
        <v>C55-000-586-4563-1</v>
      </c>
      <c r="AK369" t="str">
        <f>"5756"</f>
        <v>5756</v>
      </c>
      <c r="AL369">
        <v>2</v>
      </c>
      <c r="AM369">
        <v>432</v>
      </c>
      <c r="AN369">
        <v>625.54</v>
      </c>
      <c r="AQ369" t="s">
        <v>4161</v>
      </c>
      <c r="AR369" t="s">
        <v>4161</v>
      </c>
      <c r="AS369" t="s">
        <v>4161</v>
      </c>
      <c r="AU369" t="s">
        <v>396</v>
      </c>
      <c r="AV369">
        <v>2017</v>
      </c>
      <c r="AW369" t="str">
        <f>"03-3N-24-2020-0023-0110 "</f>
        <v xml:space="preserve">03-3N-24-2020-0023-0110 </v>
      </c>
      <c r="AX369">
        <v>37402</v>
      </c>
      <c r="AZ369" t="s">
        <v>4155</v>
      </c>
      <c r="BA369" t="s">
        <v>496</v>
      </c>
      <c r="BD369" t="s">
        <v>398</v>
      </c>
      <c r="BE369" t="s">
        <v>393</v>
      </c>
      <c r="BF369">
        <v>32046</v>
      </c>
      <c r="BG369" t="s">
        <v>4162</v>
      </c>
      <c r="BH369" t="s">
        <v>400</v>
      </c>
      <c r="BI369">
        <v>-81.902584588646405</v>
      </c>
      <c r="BJ369">
        <v>30.7048730513336</v>
      </c>
      <c r="BK369" t="s">
        <v>4163</v>
      </c>
      <c r="BL369" t="s">
        <v>4164</v>
      </c>
      <c r="BM369" t="s">
        <v>4165</v>
      </c>
      <c r="BN369" t="s">
        <v>928</v>
      </c>
      <c r="BO369">
        <v>32011</v>
      </c>
      <c r="BP369" t="s">
        <v>404</v>
      </c>
      <c r="BQ369">
        <v>100</v>
      </c>
      <c r="BR369" t="s">
        <v>514</v>
      </c>
      <c r="BS369">
        <v>1001</v>
      </c>
      <c r="BT369" t="s">
        <v>515</v>
      </c>
      <c r="BW369">
        <v>43560</v>
      </c>
      <c r="BX369" t="s">
        <v>407</v>
      </c>
      <c r="BY369" t="s">
        <v>408</v>
      </c>
      <c r="BZ369">
        <v>4</v>
      </c>
      <c r="CA369">
        <v>1930</v>
      </c>
      <c r="CB369">
        <v>1</v>
      </c>
      <c r="CC369">
        <v>1</v>
      </c>
      <c r="CD369">
        <v>2017</v>
      </c>
      <c r="CE369">
        <v>10500</v>
      </c>
      <c r="CF369">
        <v>25752</v>
      </c>
      <c r="CG369">
        <v>36252</v>
      </c>
      <c r="CH369">
        <v>2017</v>
      </c>
      <c r="CI369">
        <v>10500</v>
      </c>
      <c r="CJ369">
        <v>25752</v>
      </c>
      <c r="CK369">
        <v>36252</v>
      </c>
      <c r="CL369">
        <v>2017</v>
      </c>
      <c r="CM369">
        <v>548.82000000000005</v>
      </c>
      <c r="CN369" s="1">
        <v>39078</v>
      </c>
      <c r="CZ369" s="1">
        <v>39078</v>
      </c>
      <c r="DD369" t="s">
        <v>398</v>
      </c>
      <c r="DF369">
        <v>23</v>
      </c>
      <c r="DG369">
        <v>3</v>
      </c>
      <c r="DL369">
        <v>50400</v>
      </c>
      <c r="DM369" t="s">
        <v>4145</v>
      </c>
      <c r="DO369" t="s">
        <v>4166</v>
      </c>
      <c r="DP369">
        <v>0</v>
      </c>
      <c r="DQ369">
        <v>0</v>
      </c>
      <c r="DR369" t="s">
        <v>411</v>
      </c>
      <c r="DS369" t="b">
        <v>1</v>
      </c>
      <c r="DT369" t="s">
        <v>470</v>
      </c>
      <c r="DU369" t="s">
        <v>471</v>
      </c>
      <c r="DV369" t="s">
        <v>472</v>
      </c>
      <c r="DX369">
        <v>-9999</v>
      </c>
      <c r="DZ369" t="s">
        <v>447</v>
      </c>
      <c r="EA369" t="s">
        <v>448</v>
      </c>
      <c r="EB369" t="s">
        <v>1224</v>
      </c>
      <c r="EC369">
        <v>20101217</v>
      </c>
      <c r="ED369" t="s">
        <v>474</v>
      </c>
      <c r="EF369">
        <v>1221.0999999999999</v>
      </c>
      <c r="EG369">
        <v>1221.0999999999999</v>
      </c>
      <c r="EI369">
        <v>20160407</v>
      </c>
      <c r="EJ369">
        <v>0</v>
      </c>
      <c r="EK369">
        <v>0</v>
      </c>
      <c r="EP369" t="s">
        <v>421</v>
      </c>
      <c r="EQ369" t="s">
        <v>452</v>
      </c>
      <c r="ER369">
        <v>0</v>
      </c>
      <c r="ES369">
        <v>12</v>
      </c>
      <c r="ET369">
        <v>0</v>
      </c>
      <c r="EU369">
        <v>0</v>
      </c>
      <c r="EV369">
        <v>0</v>
      </c>
      <c r="EW369" s="2">
        <v>43222</v>
      </c>
      <c r="EX369" s="1">
        <v>42879</v>
      </c>
      <c r="EY369">
        <v>2016</v>
      </c>
      <c r="EZ369">
        <v>939.22</v>
      </c>
      <c r="FA369" t="s">
        <v>4167</v>
      </c>
      <c r="FB369">
        <v>0.25</v>
      </c>
      <c r="FC369" t="s">
        <v>424</v>
      </c>
      <c r="FD369" t="s">
        <v>425</v>
      </c>
      <c r="FE369" s="1">
        <v>43180</v>
      </c>
      <c r="FF369">
        <v>10</v>
      </c>
      <c r="FG369">
        <v>2851116</v>
      </c>
      <c r="FH369" t="s">
        <v>480</v>
      </c>
      <c r="FJ369" s="1">
        <v>42879</v>
      </c>
      <c r="FK369">
        <v>2016</v>
      </c>
      <c r="FL369">
        <v>939.22</v>
      </c>
      <c r="FM369" t="s">
        <v>4167</v>
      </c>
      <c r="FN369">
        <v>0.25</v>
      </c>
      <c r="FO369" t="s">
        <v>424</v>
      </c>
      <c r="FP369" t="s">
        <v>425</v>
      </c>
      <c r="FR369">
        <v>22</v>
      </c>
      <c r="FS369">
        <v>4859043</v>
      </c>
      <c r="FT369" t="s">
        <v>4168</v>
      </c>
      <c r="FV369" s="1">
        <v>42515</v>
      </c>
      <c r="FW369">
        <v>2015</v>
      </c>
      <c r="FX369">
        <v>913.56</v>
      </c>
      <c r="FY369" t="s">
        <v>4169</v>
      </c>
      <c r="FZ369">
        <v>0.25</v>
      </c>
      <c r="GA369" t="s">
        <v>424</v>
      </c>
      <c r="GB369" t="s">
        <v>425</v>
      </c>
      <c r="GC369" s="1">
        <v>42640</v>
      </c>
      <c r="GD369">
        <v>4</v>
      </c>
      <c r="GE369">
        <v>7045075</v>
      </c>
      <c r="GF369" t="s">
        <v>4170</v>
      </c>
      <c r="GG369" t="s">
        <v>458</v>
      </c>
      <c r="GH369" s="1">
        <v>42515</v>
      </c>
      <c r="GI369">
        <v>2015</v>
      </c>
      <c r="GJ369">
        <v>913.56</v>
      </c>
      <c r="GK369" t="s">
        <v>4169</v>
      </c>
      <c r="GL369">
        <v>0.25</v>
      </c>
      <c r="GM369" t="s">
        <v>424</v>
      </c>
      <c r="GN369" t="s">
        <v>425</v>
      </c>
      <c r="GP369">
        <v>22</v>
      </c>
      <c r="GQ369">
        <v>4848605</v>
      </c>
      <c r="GR369" t="s">
        <v>4171</v>
      </c>
      <c r="GS369" t="s">
        <v>458</v>
      </c>
      <c r="GT369" s="1">
        <v>42151</v>
      </c>
      <c r="GU369">
        <v>2014</v>
      </c>
      <c r="GV369">
        <v>829.61</v>
      </c>
      <c r="GW369" t="s">
        <v>4172</v>
      </c>
      <c r="GX369">
        <v>0.25</v>
      </c>
      <c r="GY369" t="s">
        <v>424</v>
      </c>
      <c r="GZ369" t="s">
        <v>425</v>
      </c>
      <c r="HA369" s="1">
        <v>42640</v>
      </c>
      <c r="HB369">
        <v>16</v>
      </c>
      <c r="HC369">
        <v>2851116</v>
      </c>
      <c r="HD369" t="s">
        <v>480</v>
      </c>
      <c r="HE369" t="s">
        <v>458</v>
      </c>
      <c r="HF369" s="1">
        <v>42151</v>
      </c>
      <c r="HG369">
        <v>2014</v>
      </c>
      <c r="HH369">
        <v>829.61</v>
      </c>
      <c r="HI369" t="s">
        <v>4172</v>
      </c>
      <c r="HJ369">
        <v>0.25</v>
      </c>
      <c r="HK369" t="s">
        <v>424</v>
      </c>
      <c r="HL369" t="s">
        <v>425</v>
      </c>
      <c r="HN369">
        <v>22</v>
      </c>
      <c r="HO369">
        <v>5029295</v>
      </c>
      <c r="HP369" t="s">
        <v>4173</v>
      </c>
      <c r="HQ369" t="s">
        <v>458</v>
      </c>
      <c r="HR369" s="1">
        <v>41787</v>
      </c>
      <c r="HS369">
        <v>2013</v>
      </c>
      <c r="HT369">
        <v>671.04</v>
      </c>
      <c r="HU369" t="s">
        <v>4174</v>
      </c>
      <c r="HV369">
        <v>2.25</v>
      </c>
      <c r="HW369" t="s">
        <v>424</v>
      </c>
      <c r="HX369" t="s">
        <v>425</v>
      </c>
      <c r="HZ369">
        <v>22</v>
      </c>
      <c r="IA369">
        <v>15399</v>
      </c>
      <c r="IB369" t="s">
        <v>485</v>
      </c>
      <c r="IC369" t="s">
        <v>458</v>
      </c>
      <c r="ID369" s="1">
        <v>41787</v>
      </c>
      <c r="IE369">
        <v>2013</v>
      </c>
      <c r="IF369">
        <v>671.04</v>
      </c>
      <c r="IG369" t="s">
        <v>4174</v>
      </c>
      <c r="IH369">
        <v>2.25</v>
      </c>
      <c r="II369" t="s">
        <v>424</v>
      </c>
      <c r="IJ369" t="s">
        <v>425</v>
      </c>
      <c r="IL369">
        <v>22</v>
      </c>
      <c r="IM369">
        <v>7336692</v>
      </c>
      <c r="IN369" t="s">
        <v>822</v>
      </c>
      <c r="IO369" t="s">
        <v>458</v>
      </c>
      <c r="IP369" s="1">
        <v>41787</v>
      </c>
      <c r="IQ369">
        <v>2013</v>
      </c>
      <c r="IR369">
        <v>671.04</v>
      </c>
      <c r="IS369" t="s">
        <v>4174</v>
      </c>
      <c r="IT369">
        <v>2.25</v>
      </c>
      <c r="IU369" t="s">
        <v>424</v>
      </c>
      <c r="IV369" t="s">
        <v>425</v>
      </c>
      <c r="IX369">
        <v>22</v>
      </c>
      <c r="IY369">
        <v>7336698</v>
      </c>
      <c r="IZ369" t="s">
        <v>823</v>
      </c>
      <c r="JA369" t="s">
        <v>458</v>
      </c>
      <c r="JB369" s="1">
        <v>41423</v>
      </c>
      <c r="JC369">
        <v>2012</v>
      </c>
      <c r="JD369">
        <v>790.13</v>
      </c>
      <c r="JE369" t="s">
        <v>4175</v>
      </c>
      <c r="JF369">
        <v>2.75</v>
      </c>
      <c r="JG369" t="s">
        <v>424</v>
      </c>
      <c r="JH369" t="s">
        <v>425</v>
      </c>
      <c r="JI369" s="1">
        <v>42080</v>
      </c>
      <c r="JJ369">
        <v>22</v>
      </c>
      <c r="JK369">
        <v>15399</v>
      </c>
      <c r="JL369" t="s">
        <v>485</v>
      </c>
      <c r="JN369" s="1">
        <v>41052</v>
      </c>
      <c r="JO369">
        <v>2011</v>
      </c>
      <c r="JP369">
        <v>893.91</v>
      </c>
      <c r="JQ369" t="s">
        <v>4176</v>
      </c>
      <c r="JR369">
        <v>0.25</v>
      </c>
      <c r="JS369" t="s">
        <v>424</v>
      </c>
      <c r="JT369" t="s">
        <v>425</v>
      </c>
      <c r="JU369" s="1">
        <v>41726</v>
      </c>
      <c r="JV369">
        <v>22</v>
      </c>
      <c r="JW369">
        <v>13297</v>
      </c>
      <c r="JX369" t="s">
        <v>1471</v>
      </c>
      <c r="JZ369" s="1">
        <v>41052</v>
      </c>
      <c r="KA369">
        <v>2011</v>
      </c>
      <c r="KB369">
        <v>893.91</v>
      </c>
      <c r="KC369" t="s">
        <v>4176</v>
      </c>
      <c r="KD369">
        <v>0.25</v>
      </c>
      <c r="KE369" t="s">
        <v>424</v>
      </c>
      <c r="KF369" t="s">
        <v>425</v>
      </c>
      <c r="KH369">
        <v>22</v>
      </c>
      <c r="KI369">
        <v>13576</v>
      </c>
      <c r="KJ369" t="s">
        <v>1471</v>
      </c>
    </row>
    <row r="370" spans="1:296" x14ac:dyDescent="0.25">
      <c r="A370">
        <v>16485377</v>
      </c>
      <c r="B370">
        <v>369</v>
      </c>
      <c r="C370" t="s">
        <v>393</v>
      </c>
      <c r="D370" t="s">
        <v>394</v>
      </c>
      <c r="F370" t="str">
        <f>"03-3N-24-2300-0017-0030"</f>
        <v>03-3N-24-2300-0017-0030</v>
      </c>
      <c r="H370" t="str">
        <f>"WADE TONYA M"</f>
        <v>WADE TONYA M</v>
      </c>
      <c r="I370" t="str">
        <f>"37810 OLD PINERIDGE RD"</f>
        <v>37810 OLD PINERIDGE RD</v>
      </c>
      <c r="J370" t="str">
        <f>"HILLIARD FL 32046"</f>
        <v>HILLIARD FL 32046</v>
      </c>
      <c r="K370" t="str">
        <f>"37179 COYOTE DR"</f>
        <v>37179 COYOTE DR</v>
      </c>
      <c r="L370" t="str">
        <f t="shared" si="114"/>
        <v>HILLIARD FL 32046</v>
      </c>
      <c r="M370" t="str">
        <f>"E1/2 OF W1/2 OF SE1/4 OF SW1/4 A/K/A PT OF LOTS 17 THRU 20 IN OR 2042/1561 ESMT IN OR 679/426 ESMT OR 1105/1871 MAP TWNS 3 4 5 RGE 23 &amp; 24"</f>
        <v>E1/2 OF W1/2 OF SE1/4 OF SW1/4 A/K/A PT OF LOTS 17 THRU 20 IN OR 2042/1561 ESMT IN OR 679/426 ESMT OR 1105/1871 MAP TWNS 3 4 5 RGE 23 &amp; 24</v>
      </c>
      <c r="N370" t="str">
        <f>""</f>
        <v/>
      </c>
      <c r="O370" t="str">
        <f>"19159"</f>
        <v>19159</v>
      </c>
      <c r="P370" t="str">
        <f t="shared" si="101"/>
        <v>2017</v>
      </c>
      <c r="Q370" t="str">
        <f>""</f>
        <v/>
      </c>
      <c r="R370" t="str">
        <f>"N"</f>
        <v>N</v>
      </c>
      <c r="S370" t="str">
        <f>"10.00"</f>
        <v>10.00</v>
      </c>
      <c r="T370" t="str">
        <f>"1021.87"</f>
        <v>1021.87</v>
      </c>
      <c r="U370" t="str">
        <f>"67500.00"</f>
        <v>67500.00</v>
      </c>
      <c r="V370" t="str">
        <f>"67500.00"</f>
        <v>67500.00</v>
      </c>
      <c r="W370" t="str">
        <f t="shared" si="102"/>
        <v>2017</v>
      </c>
      <c r="X370" t="str">
        <f>"15.00"</f>
        <v>15.00</v>
      </c>
      <c r="Y370" t="str">
        <f>"1084.53"</f>
        <v>1084.53</v>
      </c>
      <c r="Z370" t="str">
        <f>""</f>
        <v/>
      </c>
      <c r="AA370" t="str">
        <f>"67500.00"</f>
        <v>67500.00</v>
      </c>
      <c r="AB370" t="str">
        <f t="shared" si="113"/>
        <v>Residential</v>
      </c>
      <c r="AC370" t="str">
        <f t="shared" si="104"/>
        <v>0</v>
      </c>
      <c r="AD370" t="str">
        <f>""</f>
        <v/>
      </c>
      <c r="AE370" t="str">
        <f>""</f>
        <v/>
      </c>
      <c r="AF370" t="str">
        <f>"000"</f>
        <v>000</v>
      </c>
      <c r="AG370" t="str">
        <f>"FL"</f>
        <v>FL</v>
      </c>
      <c r="AH370" t="str">
        <f>"435600.00"</f>
        <v>435600.00</v>
      </c>
      <c r="AI370" t="str">
        <f>"60000.00"</f>
        <v>60000.00</v>
      </c>
      <c r="AJ370" t="str">
        <f>"C55-000-586-4569-8"</f>
        <v>C55-000-586-4569-8</v>
      </c>
      <c r="AK370" t="str">
        <f>"5765"</f>
        <v>5765</v>
      </c>
      <c r="AL370">
        <v>2</v>
      </c>
      <c r="AM370">
        <v>434</v>
      </c>
      <c r="AN370">
        <v>1137.1600000000001</v>
      </c>
      <c r="AQ370" t="s">
        <v>4177</v>
      </c>
      <c r="AR370" t="s">
        <v>4177</v>
      </c>
      <c r="AS370" t="s">
        <v>4177</v>
      </c>
      <c r="AU370" t="s">
        <v>396</v>
      </c>
      <c r="AV370">
        <v>2017</v>
      </c>
      <c r="AW370" t="str">
        <f>"03-3N-24-2300-0017-0030 "</f>
        <v xml:space="preserve">03-3N-24-2300-0017-0030 </v>
      </c>
      <c r="AX370">
        <v>37179</v>
      </c>
      <c r="AZ370" t="s">
        <v>4178</v>
      </c>
      <c r="BA370" t="s">
        <v>669</v>
      </c>
      <c r="BD370" t="s">
        <v>398</v>
      </c>
      <c r="BE370" t="s">
        <v>393</v>
      </c>
      <c r="BF370">
        <v>32046</v>
      </c>
      <c r="BG370" t="s">
        <v>4179</v>
      </c>
      <c r="BH370" t="s">
        <v>400</v>
      </c>
      <c r="BI370">
        <v>-81.899945208424597</v>
      </c>
      <c r="BJ370">
        <v>30.701288564446799</v>
      </c>
      <c r="BK370" t="s">
        <v>4180</v>
      </c>
      <c r="BM370" t="s">
        <v>4181</v>
      </c>
      <c r="BN370" t="s">
        <v>403</v>
      </c>
      <c r="BO370">
        <v>32046</v>
      </c>
      <c r="BP370" t="s">
        <v>404</v>
      </c>
      <c r="BQ370">
        <v>1</v>
      </c>
      <c r="BR370" t="s">
        <v>491</v>
      </c>
      <c r="BS370">
        <v>8001</v>
      </c>
      <c r="BT370" t="s">
        <v>492</v>
      </c>
      <c r="BW370">
        <v>435600</v>
      </c>
      <c r="BX370" t="s">
        <v>407</v>
      </c>
      <c r="CD370">
        <v>2017</v>
      </c>
      <c r="CE370">
        <v>60000</v>
      </c>
      <c r="CF370">
        <v>7500</v>
      </c>
      <c r="CG370">
        <v>67500</v>
      </c>
      <c r="CH370">
        <v>2017</v>
      </c>
      <c r="CI370">
        <v>60000</v>
      </c>
      <c r="CJ370">
        <v>7500</v>
      </c>
      <c r="CK370">
        <v>67500</v>
      </c>
      <c r="CL370">
        <v>2017</v>
      </c>
      <c r="CM370">
        <v>1021.87</v>
      </c>
      <c r="CN370" s="1">
        <v>42455</v>
      </c>
      <c r="CZ370" s="1">
        <v>42455</v>
      </c>
      <c r="DD370" t="s">
        <v>398</v>
      </c>
      <c r="DG370">
        <v>3</v>
      </c>
      <c r="DL370">
        <v>50400</v>
      </c>
      <c r="DM370" t="s">
        <v>4145</v>
      </c>
      <c r="DO370" t="s">
        <v>4182</v>
      </c>
      <c r="DP370">
        <v>0</v>
      </c>
      <c r="DQ370">
        <v>0</v>
      </c>
      <c r="DR370" t="s">
        <v>411</v>
      </c>
      <c r="DS370" t="b">
        <v>1</v>
      </c>
      <c r="DT370" t="s">
        <v>396</v>
      </c>
      <c r="DV370" t="s">
        <v>446</v>
      </c>
      <c r="DX370">
        <v>-9999</v>
      </c>
      <c r="DZ370" t="s">
        <v>447</v>
      </c>
      <c r="EA370" t="s">
        <v>448</v>
      </c>
      <c r="EB370" t="s">
        <v>449</v>
      </c>
      <c r="EC370">
        <v>20101217</v>
      </c>
      <c r="ED370" t="s">
        <v>450</v>
      </c>
      <c r="EE370">
        <v>13.4</v>
      </c>
      <c r="EF370">
        <v>0</v>
      </c>
      <c r="EG370">
        <v>0</v>
      </c>
      <c r="EI370">
        <v>20160407</v>
      </c>
      <c r="EJ370">
        <v>0</v>
      </c>
      <c r="EK370">
        <v>0</v>
      </c>
      <c r="EP370" t="s">
        <v>421</v>
      </c>
      <c r="EQ370" t="s">
        <v>422</v>
      </c>
      <c r="ER370">
        <v>0</v>
      </c>
      <c r="ES370">
        <v>2</v>
      </c>
      <c r="ET370">
        <v>0</v>
      </c>
      <c r="EU370">
        <v>0</v>
      </c>
      <c r="EV370">
        <v>0</v>
      </c>
      <c r="EW370" s="2">
        <v>43222</v>
      </c>
      <c r="EX370" s="1">
        <v>42151</v>
      </c>
      <c r="EY370">
        <v>2014</v>
      </c>
      <c r="EZ370">
        <v>149.58000000000001</v>
      </c>
      <c r="FA370" t="s">
        <v>4183</v>
      </c>
      <c r="FB370">
        <v>14.75</v>
      </c>
      <c r="FC370" t="s">
        <v>424</v>
      </c>
      <c r="FD370" t="s">
        <v>425</v>
      </c>
      <c r="FE370" s="1">
        <v>42426</v>
      </c>
      <c r="FF370">
        <v>9</v>
      </c>
      <c r="FG370">
        <v>4975593</v>
      </c>
      <c r="FH370" t="s">
        <v>505</v>
      </c>
      <c r="FJ370" s="1">
        <v>41787</v>
      </c>
      <c r="FK370">
        <v>2013</v>
      </c>
      <c r="FL370">
        <v>139.78</v>
      </c>
      <c r="FM370" t="s">
        <v>4184</v>
      </c>
      <c r="FN370">
        <v>4.75</v>
      </c>
      <c r="FO370" t="s">
        <v>424</v>
      </c>
      <c r="FP370" t="s">
        <v>425</v>
      </c>
      <c r="FQ370" s="1">
        <v>42426</v>
      </c>
      <c r="FR370">
        <v>21</v>
      </c>
      <c r="FS370">
        <v>2035919</v>
      </c>
      <c r="FT370" t="s">
        <v>507</v>
      </c>
    </row>
    <row r="371" spans="1:296" x14ac:dyDescent="0.25">
      <c r="A371">
        <v>16485378</v>
      </c>
      <c r="B371">
        <v>370</v>
      </c>
      <c r="C371" t="s">
        <v>393</v>
      </c>
      <c r="D371" t="s">
        <v>394</v>
      </c>
      <c r="F371" t="str">
        <f>"04-3N-24-0000-0004-0090"</f>
        <v>04-3N-24-0000-0004-0090</v>
      </c>
      <c r="H371" t="str">
        <f>"PEARSON STEVEN C"</f>
        <v>PEARSON STEVEN C</v>
      </c>
      <c r="I371" t="str">
        <f>"6115 NORTH RAGLAND CV"</f>
        <v>6115 NORTH RAGLAND CV</v>
      </c>
      <c r="J371" t="str">
        <f>"ARLINGTON TN 38002"</f>
        <v>ARLINGTON TN 38002</v>
      </c>
      <c r="K371" t="str">
        <f>"KINGS FERRY RD"</f>
        <v>KINGS FERRY RD</v>
      </c>
      <c r="L371" t="str">
        <f t="shared" si="114"/>
        <v>HILLIARD FL 32046</v>
      </c>
      <c r="M371" t="str">
        <f>"S1/2 OF N1/2 OF SE1/4 WEST OF &amp; ADJACENT TO C-115-A IN OR 2076/881"</f>
        <v>S1/2 OF N1/2 OF SE1/4 WEST OF &amp; ADJACENT TO C-115-A IN OR 2076/881</v>
      </c>
      <c r="N371" t="str">
        <f>""</f>
        <v/>
      </c>
      <c r="O371" t="str">
        <f>"20313"</f>
        <v>20313</v>
      </c>
      <c r="P371" t="str">
        <f t="shared" si="101"/>
        <v>2017</v>
      </c>
      <c r="Q371" t="str">
        <f>""</f>
        <v/>
      </c>
      <c r="R371" t="str">
        <f>"N"</f>
        <v>N</v>
      </c>
      <c r="S371" t="str">
        <f>"24.80"</f>
        <v>24.80</v>
      </c>
      <c r="T371" t="str">
        <f>"1558.54"</f>
        <v>1558.54</v>
      </c>
      <c r="U371" t="str">
        <f>"111600.00"</f>
        <v>111600.00</v>
      </c>
      <c r="V371" t="str">
        <f>"111600.00"</f>
        <v>111600.00</v>
      </c>
      <c r="W371" t="str">
        <f t="shared" si="102"/>
        <v>2017</v>
      </c>
      <c r="X371" t="str">
        <f>"14.00"</f>
        <v>14.00</v>
      </c>
      <c r="Y371" t="str">
        <f>"1637.30"</f>
        <v>1637.30</v>
      </c>
      <c r="Z371" t="str">
        <f>""</f>
        <v/>
      </c>
      <c r="AA371" t="str">
        <f>"111600.00"</f>
        <v>111600.00</v>
      </c>
      <c r="AB371" t="str">
        <f t="shared" si="113"/>
        <v>Residential</v>
      </c>
      <c r="AC371" t="str">
        <f t="shared" si="104"/>
        <v>0</v>
      </c>
      <c r="AD371" t="str">
        <f>""</f>
        <v/>
      </c>
      <c r="AE371" t="str">
        <f>""</f>
        <v/>
      </c>
      <c r="AF371" t="str">
        <f>"000"</f>
        <v>000</v>
      </c>
      <c r="AG371" t="str">
        <f>"TN"</f>
        <v>TN</v>
      </c>
      <c r="AH371" t="str">
        <f>"1080288.00"</f>
        <v>1080288.00</v>
      </c>
      <c r="AI371" t="str">
        <f>"111600.00"</f>
        <v>111600.00</v>
      </c>
      <c r="AJ371" t="str">
        <f>"C55-001-053-4275-2"</f>
        <v>C55-001-053-4275-2</v>
      </c>
      <c r="AK371" t="str">
        <f>"5790"</f>
        <v>5790</v>
      </c>
      <c r="AL371">
        <v>2</v>
      </c>
      <c r="AM371">
        <v>435</v>
      </c>
      <c r="AN371">
        <v>1717.57</v>
      </c>
      <c r="AQ371" t="s">
        <v>4185</v>
      </c>
      <c r="AR371" t="s">
        <v>4185</v>
      </c>
      <c r="AS371" t="s">
        <v>4185</v>
      </c>
      <c r="AU371" t="s">
        <v>396</v>
      </c>
      <c r="AV371">
        <v>2017</v>
      </c>
      <c r="AW371" t="str">
        <f>"04-3N-24-0000-0004-0090 "</f>
        <v xml:space="preserve">04-3N-24-0000-0004-0090 </v>
      </c>
      <c r="AZ371" t="s">
        <v>4186</v>
      </c>
      <c r="BA371" t="s">
        <v>496</v>
      </c>
      <c r="BD371" t="s">
        <v>398</v>
      </c>
      <c r="BE371" t="s">
        <v>393</v>
      </c>
      <c r="BF371">
        <v>32046</v>
      </c>
      <c r="BG371" t="s">
        <v>4187</v>
      </c>
      <c r="BH371" t="s">
        <v>400</v>
      </c>
      <c r="BI371">
        <v>-81.912106954330596</v>
      </c>
      <c r="BJ371">
        <v>30.7039332914153</v>
      </c>
      <c r="BK371" t="s">
        <v>4188</v>
      </c>
      <c r="BM371" t="s">
        <v>4189</v>
      </c>
      <c r="BN371" t="s">
        <v>548</v>
      </c>
      <c r="BO371">
        <v>32218</v>
      </c>
      <c r="BP371" t="s">
        <v>404</v>
      </c>
      <c r="BQ371">
        <v>0</v>
      </c>
      <c r="BR371" t="s">
        <v>491</v>
      </c>
      <c r="BS371">
        <v>8001</v>
      </c>
      <c r="BT371" t="s">
        <v>492</v>
      </c>
      <c r="BW371">
        <v>1080288</v>
      </c>
      <c r="BX371" t="s">
        <v>407</v>
      </c>
      <c r="CD371">
        <v>2017</v>
      </c>
      <c r="CE371">
        <v>111600</v>
      </c>
      <c r="CG371">
        <v>111600</v>
      </c>
      <c r="CH371">
        <v>2017</v>
      </c>
      <c r="CI371">
        <v>111600</v>
      </c>
      <c r="CK371">
        <v>111600</v>
      </c>
      <c r="CL371">
        <v>2017</v>
      </c>
      <c r="CM371">
        <v>1558.54</v>
      </c>
      <c r="CN371" s="1">
        <v>40155</v>
      </c>
      <c r="CZ371" s="1">
        <v>40155</v>
      </c>
      <c r="DD371" t="s">
        <v>398</v>
      </c>
      <c r="DG371">
        <v>4</v>
      </c>
      <c r="DL371">
        <v>50400</v>
      </c>
      <c r="DM371" t="s">
        <v>4190</v>
      </c>
      <c r="DO371" t="s">
        <v>4191</v>
      </c>
      <c r="DP371">
        <v>0</v>
      </c>
      <c r="DQ371">
        <v>0</v>
      </c>
      <c r="DR371" t="s">
        <v>411</v>
      </c>
      <c r="DS371" t="b">
        <v>1</v>
      </c>
      <c r="DT371" t="s">
        <v>396</v>
      </c>
      <c r="DV371" t="s">
        <v>446</v>
      </c>
      <c r="DX371">
        <v>-9999</v>
      </c>
      <c r="DZ371" t="s">
        <v>447</v>
      </c>
      <c r="EA371" t="s">
        <v>448</v>
      </c>
      <c r="EB371" t="s">
        <v>449</v>
      </c>
      <c r="EC371">
        <v>20101217</v>
      </c>
      <c r="ED371" t="s">
        <v>450</v>
      </c>
      <c r="EE371">
        <v>13.6</v>
      </c>
      <c r="EF371">
        <v>0</v>
      </c>
      <c r="EG371">
        <v>0</v>
      </c>
      <c r="EI371">
        <v>20160407</v>
      </c>
      <c r="EJ371">
        <v>0</v>
      </c>
      <c r="EK371">
        <v>0</v>
      </c>
      <c r="EP371" t="s">
        <v>421</v>
      </c>
      <c r="EQ371" t="s">
        <v>422</v>
      </c>
      <c r="ER371">
        <v>0</v>
      </c>
      <c r="ES371">
        <v>4</v>
      </c>
      <c r="ET371">
        <v>0</v>
      </c>
      <c r="EU371">
        <v>0</v>
      </c>
      <c r="EV371">
        <v>0</v>
      </c>
      <c r="EW371" s="2">
        <v>43222</v>
      </c>
      <c r="EX371" s="1">
        <v>42879</v>
      </c>
      <c r="EY371">
        <v>2016</v>
      </c>
      <c r="EZ371">
        <v>1742.47</v>
      </c>
      <c r="FA371" t="s">
        <v>4192</v>
      </c>
      <c r="FB371">
        <v>0.25</v>
      </c>
      <c r="FC371" t="s">
        <v>424</v>
      </c>
      <c r="FD371" t="s">
        <v>425</v>
      </c>
      <c r="FE371" s="1">
        <v>42921</v>
      </c>
      <c r="FF371">
        <v>2</v>
      </c>
      <c r="FG371">
        <v>7400234</v>
      </c>
      <c r="FH371" t="s">
        <v>426</v>
      </c>
      <c r="FJ371" s="1">
        <v>42879</v>
      </c>
      <c r="FK371">
        <v>2016</v>
      </c>
      <c r="FL371">
        <v>1742.47</v>
      </c>
      <c r="FM371" t="s">
        <v>4192</v>
      </c>
      <c r="FN371">
        <v>0.25</v>
      </c>
      <c r="FO371" t="s">
        <v>424</v>
      </c>
      <c r="FP371" t="s">
        <v>425</v>
      </c>
      <c r="FR371">
        <v>22</v>
      </c>
      <c r="FS371">
        <v>7414316</v>
      </c>
      <c r="FT371" t="s">
        <v>4193</v>
      </c>
      <c r="FV371" s="1">
        <v>42515</v>
      </c>
      <c r="FW371">
        <v>2015</v>
      </c>
      <c r="FX371">
        <v>1763.95</v>
      </c>
      <c r="FY371" t="s">
        <v>4194</v>
      </c>
      <c r="FZ371">
        <v>0.25</v>
      </c>
      <c r="GA371" t="s">
        <v>424</v>
      </c>
      <c r="GB371" t="s">
        <v>425</v>
      </c>
      <c r="GC371" s="1">
        <v>42921</v>
      </c>
      <c r="GD371">
        <v>14</v>
      </c>
      <c r="GE371">
        <v>7045080</v>
      </c>
      <c r="GF371" t="s">
        <v>4195</v>
      </c>
      <c r="GH371" s="1">
        <v>42151</v>
      </c>
      <c r="GI371">
        <v>2014</v>
      </c>
      <c r="GJ371">
        <v>1599.37</v>
      </c>
      <c r="GK371" t="s">
        <v>4196</v>
      </c>
      <c r="GL371">
        <v>0.25</v>
      </c>
      <c r="GM371" t="s">
        <v>424</v>
      </c>
      <c r="GN371" t="s">
        <v>425</v>
      </c>
      <c r="GO371" s="1">
        <v>42921</v>
      </c>
      <c r="GP371">
        <v>26</v>
      </c>
      <c r="GQ371">
        <v>4975593</v>
      </c>
      <c r="GR371" t="s">
        <v>505</v>
      </c>
    </row>
    <row r="372" spans="1:296" x14ac:dyDescent="0.25">
      <c r="A372">
        <v>16485379</v>
      </c>
      <c r="B372">
        <v>371</v>
      </c>
      <c r="C372" t="s">
        <v>393</v>
      </c>
      <c r="D372" t="s">
        <v>394</v>
      </c>
      <c r="F372" t="str">
        <f>"05-3N-24-0000-0007-0010"</f>
        <v>05-3N-24-0000-0007-0010</v>
      </c>
      <c r="H372" t="str">
        <f>"MASON WILBUR"</f>
        <v>MASON WILBUR</v>
      </c>
      <c r="I372" t="str">
        <f>"80 KLYONA AVE"</f>
        <v>80 KLYONA AVE</v>
      </c>
      <c r="J372" t="str">
        <f>"PHOENIXVILLE PA 19460"</f>
        <v>PHOENIXVILLE PA 19460</v>
      </c>
      <c r="K372" t="str">
        <f>"SWEARINGEN RD"</f>
        <v>SWEARINGEN RD</v>
      </c>
      <c r="L372" t="str">
        <f t="shared" si="114"/>
        <v>HILLIARD FL 32046</v>
      </c>
      <c r="M372" t="str">
        <f>"BLOCK 11 LOTS 1-2-3-4 IN OR 287 PG 44 HILLIARD HGTS (7-1)"</f>
        <v>BLOCK 11 LOTS 1-2-3-4 IN OR 287 PG 44 HILLIARD HGTS (7-1)</v>
      </c>
      <c r="N372" t="str">
        <f>""</f>
        <v/>
      </c>
      <c r="O372" t="str">
        <f>"21417"</f>
        <v>21417</v>
      </c>
      <c r="P372" t="str">
        <f t="shared" si="101"/>
        <v>2017</v>
      </c>
      <c r="Q372" t="str">
        <f>""</f>
        <v/>
      </c>
      <c r="R372" t="str">
        <f>"N"</f>
        <v>N</v>
      </c>
      <c r="S372" t="str">
        <f>"0.21"</f>
        <v>0.21</v>
      </c>
      <c r="T372" t="str">
        <f>"167.27"</f>
        <v>167.27</v>
      </c>
      <c r="U372" t="str">
        <f>"9966.00"</f>
        <v>9966.00</v>
      </c>
      <c r="V372" t="str">
        <f>"9966.00"</f>
        <v>9966.00</v>
      </c>
      <c r="W372" t="str">
        <f t="shared" si="102"/>
        <v>2017</v>
      </c>
      <c r="X372" t="str">
        <f>""</f>
        <v/>
      </c>
      <c r="Y372" t="str">
        <f>"204.29"</f>
        <v>204.29</v>
      </c>
      <c r="Z372" t="str">
        <f>""</f>
        <v/>
      </c>
      <c r="AA372" t="str">
        <f>"12450.00"</f>
        <v>12450.00</v>
      </c>
      <c r="AB372" t="str">
        <f t="shared" si="113"/>
        <v>Residential</v>
      </c>
      <c r="AC372" t="str">
        <f t="shared" si="104"/>
        <v>0</v>
      </c>
      <c r="AD372" t="str">
        <f>""</f>
        <v/>
      </c>
      <c r="AE372" t="str">
        <f>""</f>
        <v/>
      </c>
      <c r="AF372" t="str">
        <f>"000"</f>
        <v>000</v>
      </c>
      <c r="AG372" t="str">
        <f>"PA"</f>
        <v>PA</v>
      </c>
      <c r="AH372" t="str">
        <f>"9147.00"</f>
        <v>9147.00</v>
      </c>
      <c r="AI372" t="str">
        <f>"9450.00"</f>
        <v>9450.00</v>
      </c>
      <c r="AJ372" t="str">
        <f>"C55-000-586-6229-7"</f>
        <v>C55-000-586-6229-7</v>
      </c>
      <c r="AK372" t="str">
        <f>"5853"</f>
        <v>5853</v>
      </c>
      <c r="AL372">
        <v>2</v>
      </c>
      <c r="AM372">
        <v>436</v>
      </c>
      <c r="AN372">
        <v>212.9</v>
      </c>
      <c r="AQ372" t="s">
        <v>4197</v>
      </c>
      <c r="AR372" t="s">
        <v>4197</v>
      </c>
      <c r="AS372" t="s">
        <v>4197</v>
      </c>
      <c r="AU372" t="s">
        <v>396</v>
      </c>
      <c r="AV372">
        <v>2017</v>
      </c>
      <c r="AW372" t="str">
        <f>"05-3N-24-0000-0007-0010 "</f>
        <v xml:space="preserve">05-3N-24-0000-0007-0010 </v>
      </c>
      <c r="AZ372" t="s">
        <v>4198</v>
      </c>
      <c r="BA372" t="s">
        <v>496</v>
      </c>
      <c r="BD372" t="s">
        <v>398</v>
      </c>
      <c r="BE372" t="s">
        <v>393</v>
      </c>
      <c r="BF372">
        <v>32046</v>
      </c>
      <c r="BG372" t="s">
        <v>4199</v>
      </c>
      <c r="BH372" t="s">
        <v>400</v>
      </c>
      <c r="BI372">
        <v>-81.931482625516296</v>
      </c>
      <c r="BJ372">
        <v>30.713299722179801</v>
      </c>
      <c r="BK372" t="s">
        <v>4200</v>
      </c>
      <c r="BM372" t="s">
        <v>4201</v>
      </c>
      <c r="BN372" t="s">
        <v>4202</v>
      </c>
      <c r="BO372">
        <v>19460</v>
      </c>
      <c r="BP372" t="s">
        <v>404</v>
      </c>
      <c r="BQ372">
        <v>1</v>
      </c>
      <c r="BR372" t="s">
        <v>491</v>
      </c>
      <c r="BS372">
        <v>8001</v>
      </c>
      <c r="BT372" t="s">
        <v>492</v>
      </c>
      <c r="BW372">
        <v>9147</v>
      </c>
      <c r="BX372" t="s">
        <v>407</v>
      </c>
      <c r="BY372" t="s">
        <v>408</v>
      </c>
      <c r="CD372">
        <v>2017</v>
      </c>
      <c r="CE372">
        <v>9450</v>
      </c>
      <c r="CF372">
        <v>3000</v>
      </c>
      <c r="CG372">
        <v>12450</v>
      </c>
      <c r="CH372">
        <v>2017</v>
      </c>
      <c r="CI372">
        <v>9450</v>
      </c>
      <c r="CJ372">
        <v>3000</v>
      </c>
      <c r="CK372">
        <v>12450</v>
      </c>
      <c r="CL372">
        <v>2017</v>
      </c>
      <c r="CM372">
        <v>167.27</v>
      </c>
      <c r="CN372" s="1">
        <v>28915</v>
      </c>
      <c r="CZ372" s="1">
        <v>28915</v>
      </c>
      <c r="DD372" t="s">
        <v>398</v>
      </c>
      <c r="DG372">
        <v>5</v>
      </c>
      <c r="DL372">
        <v>50400</v>
      </c>
      <c r="DM372" t="s">
        <v>4203</v>
      </c>
      <c r="DO372" t="s">
        <v>4204</v>
      </c>
      <c r="DP372">
        <v>0</v>
      </c>
      <c r="DQ372">
        <v>0</v>
      </c>
      <c r="DR372" t="s">
        <v>411</v>
      </c>
      <c r="DS372" t="b">
        <v>1</v>
      </c>
      <c r="DT372" t="s">
        <v>470</v>
      </c>
      <c r="DU372" t="s">
        <v>471</v>
      </c>
      <c r="DV372" t="s">
        <v>472</v>
      </c>
      <c r="DX372">
        <v>-9999</v>
      </c>
      <c r="DZ372" t="s">
        <v>447</v>
      </c>
      <c r="EA372" t="s">
        <v>448</v>
      </c>
      <c r="EB372" t="s">
        <v>1224</v>
      </c>
      <c r="EC372">
        <v>20101217</v>
      </c>
      <c r="ED372" t="s">
        <v>474</v>
      </c>
      <c r="EF372">
        <v>649.1</v>
      </c>
      <c r="EG372">
        <v>649.1</v>
      </c>
      <c r="EI372">
        <v>20160407</v>
      </c>
      <c r="EJ372">
        <v>0</v>
      </c>
      <c r="EK372">
        <v>0</v>
      </c>
      <c r="EP372" t="s">
        <v>595</v>
      </c>
      <c r="EQ372" t="s">
        <v>422</v>
      </c>
      <c r="ER372">
        <v>8</v>
      </c>
      <c r="ES372">
        <v>0</v>
      </c>
      <c r="ET372">
        <v>1974.91</v>
      </c>
      <c r="EU372">
        <v>1209.18</v>
      </c>
      <c r="EV372">
        <v>3184.09</v>
      </c>
      <c r="EW372" s="2">
        <v>43222</v>
      </c>
      <c r="EX372" s="1">
        <v>42879</v>
      </c>
      <c r="EY372">
        <v>2016</v>
      </c>
      <c r="EZ372">
        <v>177.4</v>
      </c>
      <c r="FA372" t="s">
        <v>4205</v>
      </c>
      <c r="FB372">
        <v>18</v>
      </c>
      <c r="FC372" t="s">
        <v>603</v>
      </c>
      <c r="FD372" t="s">
        <v>454</v>
      </c>
      <c r="FF372">
        <v>12</v>
      </c>
      <c r="FG372">
        <v>9999999</v>
      </c>
      <c r="FH372" t="s">
        <v>604</v>
      </c>
      <c r="FJ372" s="1">
        <v>42515</v>
      </c>
      <c r="FK372">
        <v>2015</v>
      </c>
      <c r="FL372">
        <v>243.07</v>
      </c>
      <c r="FM372" t="s">
        <v>4206</v>
      </c>
      <c r="FN372">
        <v>18</v>
      </c>
      <c r="FO372" t="s">
        <v>603</v>
      </c>
      <c r="FP372" t="s">
        <v>454</v>
      </c>
      <c r="FR372">
        <v>24</v>
      </c>
      <c r="FS372">
        <v>9999999</v>
      </c>
      <c r="FT372" t="s">
        <v>604</v>
      </c>
      <c r="FV372" s="1">
        <v>42151</v>
      </c>
      <c r="FW372">
        <v>2014</v>
      </c>
      <c r="FX372">
        <v>244.17</v>
      </c>
      <c r="FY372" t="s">
        <v>4207</v>
      </c>
      <c r="FZ372">
        <v>18</v>
      </c>
      <c r="GA372" t="s">
        <v>424</v>
      </c>
      <c r="GB372" t="s">
        <v>454</v>
      </c>
      <c r="GD372">
        <v>36</v>
      </c>
      <c r="GE372">
        <v>10125</v>
      </c>
      <c r="GF372" t="s">
        <v>440</v>
      </c>
      <c r="GH372" s="1">
        <v>41787</v>
      </c>
      <c r="GI372">
        <v>2013</v>
      </c>
      <c r="GJ372">
        <v>232.29</v>
      </c>
      <c r="GK372" t="s">
        <v>4208</v>
      </c>
      <c r="GL372">
        <v>16.5</v>
      </c>
      <c r="GM372" t="s">
        <v>424</v>
      </c>
      <c r="GN372" t="s">
        <v>454</v>
      </c>
      <c r="GP372">
        <v>48</v>
      </c>
      <c r="GQ372">
        <v>10125</v>
      </c>
      <c r="GR372" t="s">
        <v>440</v>
      </c>
      <c r="GT372" s="1">
        <v>41423</v>
      </c>
      <c r="GU372">
        <v>2012</v>
      </c>
      <c r="GV372">
        <v>234.94</v>
      </c>
      <c r="GW372" t="s">
        <v>4209</v>
      </c>
      <c r="GX372">
        <v>14.75</v>
      </c>
      <c r="GY372" t="s">
        <v>424</v>
      </c>
      <c r="GZ372" t="s">
        <v>454</v>
      </c>
      <c r="HB372">
        <v>60</v>
      </c>
      <c r="HC372">
        <v>10021</v>
      </c>
      <c r="HD372" t="s">
        <v>597</v>
      </c>
      <c r="HF372" s="1">
        <v>41052</v>
      </c>
      <c r="HG372">
        <v>2011</v>
      </c>
      <c r="HH372">
        <v>264.02</v>
      </c>
      <c r="HI372" t="s">
        <v>4210</v>
      </c>
      <c r="HJ372">
        <v>11.75</v>
      </c>
      <c r="HK372" t="s">
        <v>424</v>
      </c>
      <c r="HL372" t="s">
        <v>454</v>
      </c>
      <c r="HN372">
        <v>72</v>
      </c>
      <c r="HO372">
        <v>10125</v>
      </c>
      <c r="HP372" t="s">
        <v>440</v>
      </c>
      <c r="HR372" s="1">
        <v>40688</v>
      </c>
      <c r="HS372">
        <v>2010</v>
      </c>
      <c r="HT372">
        <v>289.51</v>
      </c>
      <c r="HU372" t="s">
        <v>4211</v>
      </c>
      <c r="HV372">
        <v>9.75</v>
      </c>
      <c r="HW372" t="s">
        <v>424</v>
      </c>
      <c r="HX372" t="s">
        <v>454</v>
      </c>
      <c r="HZ372">
        <v>84</v>
      </c>
      <c r="IA372">
        <v>375</v>
      </c>
      <c r="IB372" t="s">
        <v>776</v>
      </c>
      <c r="ID372" s="1">
        <v>40688</v>
      </c>
      <c r="IE372">
        <v>2010</v>
      </c>
      <c r="IF372">
        <v>289.51</v>
      </c>
      <c r="IG372" t="s">
        <v>4211</v>
      </c>
      <c r="IH372">
        <v>9.75</v>
      </c>
      <c r="II372" t="s">
        <v>424</v>
      </c>
      <c r="IJ372" t="s">
        <v>454</v>
      </c>
      <c r="IL372">
        <v>84</v>
      </c>
      <c r="IM372">
        <v>105</v>
      </c>
      <c r="IN372" t="s">
        <v>946</v>
      </c>
    </row>
    <row r="373" spans="1:296" x14ac:dyDescent="0.25">
      <c r="A373">
        <v>16485380</v>
      </c>
      <c r="B373">
        <v>372</v>
      </c>
      <c r="C373" t="s">
        <v>393</v>
      </c>
      <c r="D373" t="s">
        <v>394</v>
      </c>
      <c r="F373" t="str">
        <f>"05-3N-24-0000-0017-0020"</f>
        <v>05-3N-24-0000-0017-0020</v>
      </c>
      <c r="H373" t="str">
        <f>"MUSSELMAN DIANA FREDIA &amp; BOUCHARD CHANITY MARIE (JT/RS)"</f>
        <v>MUSSELMAN DIANA FREDIA &amp; BOUCHARD CHANITY MARIE (JT/RS)</v>
      </c>
      <c r="I373" t="str">
        <f>"552355 US HWY 1"</f>
        <v>552355 US HWY 1</v>
      </c>
      <c r="J373" t="str">
        <f>"HILLIARD FL 32046"</f>
        <v>HILLIARD FL 32046</v>
      </c>
      <c r="K373" t="str">
        <f>"552355 US HWY 1"</f>
        <v>552355 US HWY 1</v>
      </c>
      <c r="L373" t="str">
        <f t="shared" si="114"/>
        <v>HILLIARD FL 32046</v>
      </c>
      <c r="M373" t="str">
        <f>"IN OR 1909/1677 ESMT PT OR 1861/825"</f>
        <v>IN OR 1909/1677 ESMT PT OR 1861/825</v>
      </c>
      <c r="N373" t="str">
        <f>""</f>
        <v/>
      </c>
      <c r="O373" t="str">
        <f>"21437"</f>
        <v>21437</v>
      </c>
      <c r="P373" t="str">
        <f t="shared" si="101"/>
        <v>2017</v>
      </c>
      <c r="Q373" t="str">
        <f>""</f>
        <v/>
      </c>
      <c r="R373" t="str">
        <f>"Y"</f>
        <v>Y</v>
      </c>
      <c r="S373" t="str">
        <f>"0.61"</f>
        <v>0.61</v>
      </c>
      <c r="T373" t="str">
        <f>"380.66"</f>
        <v>380.66</v>
      </c>
      <c r="U373" t="str">
        <f>"54777.00"</f>
        <v>54777.00</v>
      </c>
      <c r="V373" t="str">
        <f>"54777.00"</f>
        <v>54777.00</v>
      </c>
      <c r="W373" t="str">
        <f t="shared" si="102"/>
        <v>2017</v>
      </c>
      <c r="X373" t="str">
        <f>"18.00"</f>
        <v>18.00</v>
      </c>
      <c r="Y373" t="str">
        <f>"424.08"</f>
        <v>424.08</v>
      </c>
      <c r="Z373" t="str">
        <f>"25000.00"</f>
        <v>25000.00</v>
      </c>
      <c r="AA373" t="str">
        <f>"29777.00"</f>
        <v>29777.00</v>
      </c>
      <c r="AB373" t="str">
        <f t="shared" si="113"/>
        <v>Residential</v>
      </c>
      <c r="AC373" t="str">
        <f t="shared" si="104"/>
        <v>0</v>
      </c>
      <c r="AD373" t="str">
        <f>"4"</f>
        <v>4</v>
      </c>
      <c r="AE373" t="str">
        <f>"WOOD (INCLUDE STEEL STUDS)"</f>
        <v>WOOD (INCLUDE STEEL STUDS)</v>
      </c>
      <c r="AF373" t="str">
        <f>"001"</f>
        <v>001</v>
      </c>
      <c r="AG373" t="str">
        <f t="shared" ref="AG373:AG382" si="115">"FL"</f>
        <v>FL</v>
      </c>
      <c r="AH373" t="str">
        <f>"26571.00"</f>
        <v>26571.00</v>
      </c>
      <c r="AI373" t="str">
        <f>"13725.00"</f>
        <v>13725.00</v>
      </c>
      <c r="AJ373" t="str">
        <f>"C55-000-588-8387-7"</f>
        <v>C55-000-588-8387-7</v>
      </c>
      <c r="AK373" t="str">
        <f>"5869"</f>
        <v>5869</v>
      </c>
      <c r="AL373">
        <v>2</v>
      </c>
      <c r="AM373">
        <v>438</v>
      </c>
      <c r="AN373">
        <v>443.68</v>
      </c>
      <c r="AQ373" t="s">
        <v>4212</v>
      </c>
      <c r="AR373" t="s">
        <v>4212</v>
      </c>
      <c r="AS373" t="s">
        <v>4212</v>
      </c>
      <c r="AU373" t="s">
        <v>396</v>
      </c>
      <c r="AV373">
        <v>2017</v>
      </c>
      <c r="AW373" t="str">
        <f>"05-3N-24-0000-0017-0020 "</f>
        <v xml:space="preserve">05-3N-24-0000-0017-0020 </v>
      </c>
      <c r="AX373">
        <v>552355</v>
      </c>
      <c r="AZ373" t="s">
        <v>2386</v>
      </c>
      <c r="BD373" t="s">
        <v>398</v>
      </c>
      <c r="BE373" t="s">
        <v>393</v>
      </c>
      <c r="BF373">
        <v>32046</v>
      </c>
      <c r="BG373" t="s">
        <v>4213</v>
      </c>
      <c r="BH373" t="s">
        <v>400</v>
      </c>
      <c r="BI373">
        <v>-81.928739863496801</v>
      </c>
      <c r="BJ373">
        <v>30.705838977049901</v>
      </c>
      <c r="BK373" t="s">
        <v>4214</v>
      </c>
      <c r="BL373" t="s">
        <v>4215</v>
      </c>
      <c r="BM373" t="s">
        <v>4216</v>
      </c>
      <c r="BN373" t="s">
        <v>403</v>
      </c>
      <c r="BO373">
        <v>32046</v>
      </c>
      <c r="BP373" t="s">
        <v>416</v>
      </c>
      <c r="BQ373">
        <v>100</v>
      </c>
      <c r="BR373" t="s">
        <v>514</v>
      </c>
      <c r="BS373">
        <v>1001</v>
      </c>
      <c r="BT373" t="s">
        <v>515</v>
      </c>
      <c r="BW373">
        <v>26571</v>
      </c>
      <c r="BX373" t="s">
        <v>407</v>
      </c>
      <c r="BZ373">
        <v>4</v>
      </c>
      <c r="CA373">
        <v>1920</v>
      </c>
      <c r="CB373">
        <v>1</v>
      </c>
      <c r="CC373">
        <v>1</v>
      </c>
      <c r="CD373">
        <v>2017</v>
      </c>
      <c r="CG373">
        <v>54777</v>
      </c>
      <c r="CH373">
        <v>2017</v>
      </c>
      <c r="CI373">
        <v>13725</v>
      </c>
      <c r="CJ373">
        <v>46608</v>
      </c>
      <c r="CK373">
        <v>60333</v>
      </c>
      <c r="CL373">
        <v>2017</v>
      </c>
      <c r="CM373">
        <v>380.66</v>
      </c>
      <c r="CN373" s="1">
        <v>41718</v>
      </c>
      <c r="CO373">
        <v>6900</v>
      </c>
      <c r="CZ373" s="1">
        <v>41718</v>
      </c>
      <c r="DD373" t="s">
        <v>398</v>
      </c>
      <c r="DG373">
        <v>5</v>
      </c>
      <c r="DL373">
        <v>50400</v>
      </c>
      <c r="DM373" t="s">
        <v>4203</v>
      </c>
      <c r="DO373" t="s">
        <v>4217</v>
      </c>
      <c r="DP373">
        <v>0</v>
      </c>
      <c r="DQ373">
        <v>0</v>
      </c>
      <c r="DR373" t="s">
        <v>411</v>
      </c>
      <c r="DS373" t="b">
        <v>1</v>
      </c>
      <c r="DT373" t="s">
        <v>470</v>
      </c>
      <c r="DU373" t="s">
        <v>471</v>
      </c>
      <c r="DV373" t="s">
        <v>472</v>
      </c>
      <c r="DX373">
        <v>-9999</v>
      </c>
      <c r="DZ373" t="s">
        <v>447</v>
      </c>
      <c r="EA373" t="s">
        <v>448</v>
      </c>
      <c r="EB373" t="s">
        <v>1224</v>
      </c>
      <c r="EC373">
        <v>20101217</v>
      </c>
      <c r="ED373" t="s">
        <v>474</v>
      </c>
      <c r="EF373">
        <v>1368.3</v>
      </c>
      <c r="EG373">
        <v>1368.3</v>
      </c>
      <c r="EI373">
        <v>20160407</v>
      </c>
      <c r="EJ373">
        <v>0</v>
      </c>
      <c r="EK373">
        <v>0</v>
      </c>
      <c r="EP373" t="s">
        <v>421</v>
      </c>
      <c r="EQ373" t="s">
        <v>422</v>
      </c>
      <c r="ER373">
        <v>2</v>
      </c>
      <c r="ES373">
        <v>8</v>
      </c>
      <c r="ET373">
        <v>876.22</v>
      </c>
      <c r="EU373">
        <v>56.31</v>
      </c>
      <c r="EV373">
        <v>932.53</v>
      </c>
      <c r="EW373" s="2">
        <v>43222</v>
      </c>
      <c r="EX373" s="1">
        <v>42879</v>
      </c>
      <c r="EY373">
        <v>2016</v>
      </c>
      <c r="EZ373">
        <v>438.11</v>
      </c>
      <c r="FA373" t="s">
        <v>4218</v>
      </c>
      <c r="FB373">
        <v>0.25</v>
      </c>
      <c r="FC373" t="s">
        <v>424</v>
      </c>
      <c r="FD373" t="s">
        <v>454</v>
      </c>
      <c r="FF373">
        <v>12</v>
      </c>
      <c r="FG373">
        <v>7336671</v>
      </c>
      <c r="FH373" t="s">
        <v>437</v>
      </c>
      <c r="FJ373" s="1">
        <v>42879</v>
      </c>
      <c r="FK373">
        <v>2016</v>
      </c>
      <c r="FL373">
        <v>438.11</v>
      </c>
      <c r="FM373" t="s">
        <v>4218</v>
      </c>
      <c r="FN373">
        <v>0.25</v>
      </c>
      <c r="FO373" t="s">
        <v>424</v>
      </c>
      <c r="FP373" t="s">
        <v>454</v>
      </c>
      <c r="FR373">
        <v>12</v>
      </c>
      <c r="FS373">
        <v>6973482</v>
      </c>
      <c r="FT373" t="s">
        <v>4219</v>
      </c>
      <c r="FV373" s="1">
        <v>42515</v>
      </c>
      <c r="FW373">
        <v>2015</v>
      </c>
      <c r="FX373">
        <v>442.05</v>
      </c>
      <c r="FY373" t="s">
        <v>4220</v>
      </c>
      <c r="FZ373">
        <v>0.25</v>
      </c>
      <c r="GA373" t="s">
        <v>424</v>
      </c>
      <c r="GB373" t="s">
        <v>425</v>
      </c>
      <c r="GC373" s="1">
        <v>43154</v>
      </c>
      <c r="GD373">
        <v>21</v>
      </c>
      <c r="GE373">
        <v>2851116</v>
      </c>
      <c r="GF373" t="s">
        <v>480</v>
      </c>
      <c r="GH373" s="1">
        <v>42515</v>
      </c>
      <c r="GI373">
        <v>2015</v>
      </c>
      <c r="GJ373">
        <v>442.05</v>
      </c>
      <c r="GK373" t="s">
        <v>4220</v>
      </c>
      <c r="GL373">
        <v>0.25</v>
      </c>
      <c r="GM373" t="s">
        <v>424</v>
      </c>
      <c r="GN373" t="s">
        <v>425</v>
      </c>
      <c r="GP373">
        <v>22</v>
      </c>
      <c r="GQ373">
        <v>5667680</v>
      </c>
      <c r="GR373" t="s">
        <v>4221</v>
      </c>
      <c r="GT373" s="1">
        <v>42151</v>
      </c>
      <c r="GU373">
        <v>2014</v>
      </c>
      <c r="GV373">
        <v>441.79</v>
      </c>
      <c r="GW373" t="s">
        <v>4222</v>
      </c>
      <c r="GX373">
        <v>0.25</v>
      </c>
      <c r="GY373" t="s">
        <v>424</v>
      </c>
      <c r="GZ373" t="s">
        <v>425</v>
      </c>
      <c r="HA373" s="1">
        <v>42793</v>
      </c>
      <c r="HB373">
        <v>21</v>
      </c>
      <c r="HC373">
        <v>2851116</v>
      </c>
      <c r="HD373" t="s">
        <v>480</v>
      </c>
      <c r="HF373" s="1">
        <v>42151</v>
      </c>
      <c r="HG373">
        <v>2014</v>
      </c>
      <c r="HH373">
        <v>441.79</v>
      </c>
      <c r="HI373" t="s">
        <v>4222</v>
      </c>
      <c r="HJ373">
        <v>0.25</v>
      </c>
      <c r="HK373" t="s">
        <v>424</v>
      </c>
      <c r="HL373" t="s">
        <v>425</v>
      </c>
      <c r="HN373">
        <v>22</v>
      </c>
      <c r="HO373">
        <v>5396120</v>
      </c>
      <c r="HP373" t="s">
        <v>4223</v>
      </c>
      <c r="HR373" s="1">
        <v>41787</v>
      </c>
      <c r="HS373">
        <v>2013</v>
      </c>
      <c r="HT373">
        <v>360.51</v>
      </c>
      <c r="HU373" t="s">
        <v>4224</v>
      </c>
      <c r="HV373">
        <v>0.25</v>
      </c>
      <c r="HW373" t="s">
        <v>424</v>
      </c>
      <c r="HX373" t="s">
        <v>425</v>
      </c>
      <c r="HY373" s="1">
        <v>42429</v>
      </c>
      <c r="HZ373">
        <v>21</v>
      </c>
      <c r="IA373">
        <v>2101382</v>
      </c>
      <c r="IB373" t="s">
        <v>993</v>
      </c>
      <c r="ID373" s="1">
        <v>41423</v>
      </c>
      <c r="IE373">
        <v>2012</v>
      </c>
      <c r="IF373">
        <v>370.98</v>
      </c>
      <c r="IG373" t="s">
        <v>4225</v>
      </c>
      <c r="IH373">
        <v>0.25</v>
      </c>
      <c r="II373" t="s">
        <v>424</v>
      </c>
      <c r="IJ373" t="s">
        <v>425</v>
      </c>
      <c r="IK373" s="1">
        <v>42062</v>
      </c>
      <c r="IL373">
        <v>21</v>
      </c>
      <c r="IM373">
        <v>15407</v>
      </c>
      <c r="IN373" t="s">
        <v>1134</v>
      </c>
      <c r="IP373" s="1">
        <v>41052</v>
      </c>
      <c r="IQ373">
        <v>2011</v>
      </c>
      <c r="IR373">
        <v>397.93</v>
      </c>
      <c r="IS373" t="s">
        <v>4226</v>
      </c>
      <c r="IT373">
        <v>5.75</v>
      </c>
      <c r="IU373" t="s">
        <v>424</v>
      </c>
      <c r="IV373" t="s">
        <v>425</v>
      </c>
      <c r="IW373" s="1">
        <v>41240</v>
      </c>
      <c r="IX373">
        <v>6</v>
      </c>
      <c r="IY373">
        <v>13027</v>
      </c>
      <c r="IZ373" t="s">
        <v>826</v>
      </c>
      <c r="JB373" s="1">
        <v>40688</v>
      </c>
      <c r="JC373">
        <v>2010</v>
      </c>
      <c r="JD373">
        <v>413.16</v>
      </c>
      <c r="JE373" t="s">
        <v>4227</v>
      </c>
      <c r="JF373">
        <v>0.25</v>
      </c>
      <c r="JG373" t="s">
        <v>424</v>
      </c>
      <c r="JH373" t="s">
        <v>425</v>
      </c>
      <c r="JI373" s="1">
        <v>41240</v>
      </c>
      <c r="JJ373">
        <v>18</v>
      </c>
      <c r="JK373">
        <v>11141</v>
      </c>
      <c r="JL373" t="s">
        <v>1723</v>
      </c>
    </row>
    <row r="374" spans="1:296" x14ac:dyDescent="0.25">
      <c r="A374">
        <v>16485381</v>
      </c>
      <c r="B374">
        <v>373</v>
      </c>
      <c r="C374" t="s">
        <v>393</v>
      </c>
      <c r="D374" t="s">
        <v>394</v>
      </c>
      <c r="F374" t="str">
        <f>"05-3N-24-0000-0029-0030"</f>
        <v>05-3N-24-0000-0029-0030</v>
      </c>
      <c r="H374" t="str">
        <f>"YOUNG DARIN P &amp; YOUNG NEAL D (JT/RS)"</f>
        <v>YOUNG DARIN P &amp; YOUNG NEAL D (JT/RS)</v>
      </c>
      <c r="I374" t="str">
        <f>"552169 US HWY 1"</f>
        <v>552169 US HWY 1</v>
      </c>
      <c r="J374" t="str">
        <f>"HILLIARD FL 32046"</f>
        <v>HILLIARD FL 32046</v>
      </c>
      <c r="K374" t="str">
        <f>"552169 US HWY 1"</f>
        <v>552169 US HWY 1</v>
      </c>
      <c r="L374" t="str">
        <f t="shared" si="114"/>
        <v>HILLIARD FL 32046</v>
      </c>
      <c r="M374" t="str">
        <f>"PT OF SE1/4 OF SE1/4 IN OR 1840/1227"</f>
        <v>PT OF SE1/4 OF SE1/4 IN OR 1840/1227</v>
      </c>
      <c r="N374" t="str">
        <f>""</f>
        <v/>
      </c>
      <c r="O374" t="str">
        <f>"21456"</f>
        <v>21456</v>
      </c>
      <c r="P374" t="str">
        <f t="shared" si="101"/>
        <v>2017</v>
      </c>
      <c r="Q374" t="str">
        <f>""</f>
        <v/>
      </c>
      <c r="R374" t="str">
        <f>"Y"</f>
        <v>Y</v>
      </c>
      <c r="S374" t="str">
        <f>"0.70"</f>
        <v>0.70</v>
      </c>
      <c r="T374" t="str">
        <f>"727.60"</f>
        <v>727.60</v>
      </c>
      <c r="U374" t="str">
        <f>"90289.00"</f>
        <v>90289.00</v>
      </c>
      <c r="V374" t="str">
        <f>"90289.00"</f>
        <v>90289.00</v>
      </c>
      <c r="W374" t="str">
        <f t="shared" si="102"/>
        <v>2017</v>
      </c>
      <c r="X374" t="str">
        <f>"16.00"</f>
        <v>16.00</v>
      </c>
      <c r="Y374" t="str">
        <f>"781.43"</f>
        <v>781.43</v>
      </c>
      <c r="Z374" t="str">
        <f>"25000.00"</f>
        <v>25000.00</v>
      </c>
      <c r="AA374" t="str">
        <f>"65289.00"</f>
        <v>65289.00</v>
      </c>
      <c r="AB374" t="str">
        <f t="shared" si="113"/>
        <v>Residential</v>
      </c>
      <c r="AC374" t="str">
        <f t="shared" si="104"/>
        <v>0</v>
      </c>
      <c r="AD374" t="str">
        <f>"4"</f>
        <v>4</v>
      </c>
      <c r="AE374" t="str">
        <f>"WOOD (INCLUDE STEEL STUDS)"</f>
        <v>WOOD (INCLUDE STEEL STUDS)</v>
      </c>
      <c r="AF374" t="str">
        <f>"001"</f>
        <v>001</v>
      </c>
      <c r="AG374" t="str">
        <f t="shared" si="115"/>
        <v>FL</v>
      </c>
      <c r="AH374" t="str">
        <f>"30492.00"</f>
        <v>30492.00</v>
      </c>
      <c r="AI374" t="str">
        <f>"13125.00"</f>
        <v>13125.00</v>
      </c>
      <c r="AJ374" t="str">
        <f>"C55-000-586-6259-4"</f>
        <v>C55-000-586-6259-4</v>
      </c>
      <c r="AK374" t="str">
        <f>"5887"</f>
        <v>5887</v>
      </c>
      <c r="AL374">
        <v>2</v>
      </c>
      <c r="AM374">
        <v>440</v>
      </c>
      <c r="AN374">
        <v>818.9</v>
      </c>
      <c r="AQ374" t="s">
        <v>4228</v>
      </c>
      <c r="AR374" t="s">
        <v>4228</v>
      </c>
      <c r="AS374" t="s">
        <v>4228</v>
      </c>
      <c r="AU374" t="s">
        <v>396</v>
      </c>
      <c r="AV374">
        <v>2017</v>
      </c>
      <c r="AW374" t="str">
        <f>"05-3N-24-0000-0029-0030 "</f>
        <v xml:space="preserve">05-3N-24-0000-0029-0030 </v>
      </c>
      <c r="AX374">
        <v>552169</v>
      </c>
      <c r="AZ374" t="s">
        <v>2386</v>
      </c>
      <c r="BD374" t="s">
        <v>398</v>
      </c>
      <c r="BE374" t="s">
        <v>393</v>
      </c>
      <c r="BF374">
        <v>32046</v>
      </c>
      <c r="BG374" t="s">
        <v>4229</v>
      </c>
      <c r="BH374" t="s">
        <v>400</v>
      </c>
      <c r="BI374">
        <v>-81.925579217883197</v>
      </c>
      <c r="BJ374">
        <v>30.701286842263201</v>
      </c>
      <c r="BK374" t="s">
        <v>4230</v>
      </c>
      <c r="BM374" t="s">
        <v>4229</v>
      </c>
      <c r="BN374" t="s">
        <v>403</v>
      </c>
      <c r="BO374">
        <v>32046</v>
      </c>
      <c r="BP374" t="s">
        <v>416</v>
      </c>
      <c r="BQ374">
        <v>100</v>
      </c>
      <c r="BR374" t="s">
        <v>514</v>
      </c>
      <c r="BS374">
        <v>1001</v>
      </c>
      <c r="BT374" t="s">
        <v>515</v>
      </c>
      <c r="BW374">
        <v>30492</v>
      </c>
      <c r="BX374" t="s">
        <v>407</v>
      </c>
      <c r="BZ374">
        <v>4</v>
      </c>
      <c r="CA374">
        <v>1920</v>
      </c>
      <c r="CB374">
        <v>1</v>
      </c>
      <c r="CC374">
        <v>1</v>
      </c>
      <c r="CD374">
        <v>2017</v>
      </c>
      <c r="CG374">
        <v>90289</v>
      </c>
      <c r="CH374">
        <v>2017</v>
      </c>
      <c r="CI374">
        <v>13125</v>
      </c>
      <c r="CJ374">
        <v>92602</v>
      </c>
      <c r="CK374">
        <v>105727</v>
      </c>
      <c r="CL374">
        <v>2017</v>
      </c>
      <c r="CM374">
        <v>727.6</v>
      </c>
      <c r="CN374" s="1">
        <v>40512</v>
      </c>
      <c r="CO374">
        <v>33500</v>
      </c>
      <c r="CV374">
        <v>0</v>
      </c>
      <c r="CZ374" s="1">
        <v>40512</v>
      </c>
      <c r="DA374">
        <v>0</v>
      </c>
      <c r="DD374" t="s">
        <v>398</v>
      </c>
      <c r="DG374">
        <v>5</v>
      </c>
      <c r="DL374">
        <v>50400</v>
      </c>
      <c r="DM374" t="s">
        <v>4203</v>
      </c>
      <c r="DO374" t="s">
        <v>4231</v>
      </c>
      <c r="DP374">
        <v>0</v>
      </c>
      <c r="DQ374">
        <v>5</v>
      </c>
      <c r="DR374" t="s">
        <v>1479</v>
      </c>
      <c r="DS374" t="b">
        <v>1</v>
      </c>
      <c r="DT374" t="s">
        <v>470</v>
      </c>
      <c r="DU374" t="s">
        <v>471</v>
      </c>
      <c r="DV374" t="s">
        <v>472</v>
      </c>
      <c r="DX374">
        <v>-9999</v>
      </c>
      <c r="DZ374" t="s">
        <v>447</v>
      </c>
      <c r="EA374" t="s">
        <v>448</v>
      </c>
      <c r="EB374" t="s">
        <v>1224</v>
      </c>
      <c r="EC374">
        <v>20101217</v>
      </c>
      <c r="ED374" t="s">
        <v>474</v>
      </c>
      <c r="EF374">
        <v>1306.7</v>
      </c>
      <c r="EG374">
        <v>1306.7</v>
      </c>
      <c r="EI374">
        <v>20160407</v>
      </c>
      <c r="EJ374">
        <v>0</v>
      </c>
      <c r="EK374">
        <v>0</v>
      </c>
      <c r="EP374" t="s">
        <v>421</v>
      </c>
      <c r="EQ374" t="s">
        <v>422</v>
      </c>
      <c r="ER374">
        <v>2</v>
      </c>
      <c r="ES374">
        <v>4</v>
      </c>
      <c r="ET374">
        <v>1602.9</v>
      </c>
      <c r="EU374">
        <v>92.64</v>
      </c>
      <c r="EV374">
        <v>1695.54</v>
      </c>
      <c r="EW374" s="2">
        <v>43222</v>
      </c>
      <c r="EX374" s="1">
        <v>42879</v>
      </c>
      <c r="EY374">
        <v>2016</v>
      </c>
      <c r="EZ374">
        <v>801.45</v>
      </c>
      <c r="FA374" t="s">
        <v>4232</v>
      </c>
      <c r="FB374">
        <v>0.25</v>
      </c>
      <c r="FC374" t="s">
        <v>424</v>
      </c>
      <c r="FD374" t="s">
        <v>454</v>
      </c>
      <c r="FF374">
        <v>12</v>
      </c>
      <c r="FG374">
        <v>2851116</v>
      </c>
      <c r="FH374" t="s">
        <v>480</v>
      </c>
      <c r="FJ374" s="1">
        <v>42879</v>
      </c>
      <c r="FK374">
        <v>2016</v>
      </c>
      <c r="FL374">
        <v>801.45</v>
      </c>
      <c r="FM374" t="s">
        <v>4232</v>
      </c>
      <c r="FN374">
        <v>0.25</v>
      </c>
      <c r="FO374" t="s">
        <v>424</v>
      </c>
      <c r="FP374" t="s">
        <v>454</v>
      </c>
      <c r="FR374">
        <v>12</v>
      </c>
      <c r="FS374">
        <v>4995944</v>
      </c>
      <c r="FT374" t="s">
        <v>4233</v>
      </c>
      <c r="FV374" s="1">
        <v>42515</v>
      </c>
      <c r="FW374">
        <v>2015</v>
      </c>
      <c r="FX374">
        <v>812.44</v>
      </c>
      <c r="FY374" t="s">
        <v>4234</v>
      </c>
      <c r="FZ374">
        <v>0.25</v>
      </c>
      <c r="GA374" t="s">
        <v>424</v>
      </c>
      <c r="GB374" t="s">
        <v>425</v>
      </c>
      <c r="GC374" s="1">
        <v>43158</v>
      </c>
      <c r="GD374">
        <v>21</v>
      </c>
      <c r="GE374">
        <v>7336671</v>
      </c>
      <c r="GF374" t="s">
        <v>437</v>
      </c>
      <c r="GH374" s="1">
        <v>42515</v>
      </c>
      <c r="GI374">
        <v>2015</v>
      </c>
      <c r="GJ374">
        <v>812.44</v>
      </c>
      <c r="GK374" t="s">
        <v>4234</v>
      </c>
      <c r="GL374">
        <v>0.25</v>
      </c>
      <c r="GM374" t="s">
        <v>424</v>
      </c>
      <c r="GN374" t="s">
        <v>425</v>
      </c>
      <c r="GP374">
        <v>22</v>
      </c>
      <c r="GQ374">
        <v>6741072</v>
      </c>
      <c r="GR374" t="s">
        <v>4235</v>
      </c>
      <c r="GT374" s="1">
        <v>42151</v>
      </c>
      <c r="GU374">
        <v>2014</v>
      </c>
      <c r="GV374">
        <v>807.33</v>
      </c>
      <c r="GW374" t="s">
        <v>4236</v>
      </c>
      <c r="GX374">
        <v>0.25</v>
      </c>
      <c r="GY374" t="s">
        <v>424</v>
      </c>
      <c r="GZ374" t="s">
        <v>425</v>
      </c>
      <c r="HA374" s="1">
        <v>42475</v>
      </c>
      <c r="HB374">
        <v>11</v>
      </c>
      <c r="HC374">
        <v>4975594</v>
      </c>
      <c r="HD374" t="s">
        <v>457</v>
      </c>
      <c r="HF374" s="1">
        <v>42151</v>
      </c>
      <c r="HG374">
        <v>2014</v>
      </c>
      <c r="HH374">
        <v>807.33</v>
      </c>
      <c r="HI374" t="s">
        <v>4236</v>
      </c>
      <c r="HJ374">
        <v>0.25</v>
      </c>
      <c r="HK374" t="s">
        <v>424</v>
      </c>
      <c r="HL374" t="s">
        <v>425</v>
      </c>
      <c r="HN374">
        <v>22</v>
      </c>
      <c r="HO374">
        <v>6482895</v>
      </c>
      <c r="HP374" t="s">
        <v>4237</v>
      </c>
    </row>
    <row r="375" spans="1:296" x14ac:dyDescent="0.25">
      <c r="A375">
        <v>16485382</v>
      </c>
      <c r="B375">
        <v>374</v>
      </c>
      <c r="C375" t="s">
        <v>393</v>
      </c>
      <c r="D375" t="s">
        <v>394</v>
      </c>
      <c r="F375" t="str">
        <f>"05-3N-24-0000-0031-0000"</f>
        <v>05-3N-24-0000-0031-0000</v>
      </c>
      <c r="H375" t="str">
        <f>"SMITH BARRY D C/O SMITH MACHINE SERVICE"</f>
        <v>SMITH BARRY D C/O SMITH MACHINE SERVICE</v>
      </c>
      <c r="I375" t="str">
        <f>"P O BOX 339"</f>
        <v>P O BOX 339</v>
      </c>
      <c r="J375" t="str">
        <f>"HILLIARD FL 32045"</f>
        <v>HILLIARD FL 32045</v>
      </c>
      <c r="K375" t="str">
        <f>"552121 US HWY 1"</f>
        <v>552121 US HWY 1</v>
      </c>
      <c r="L375" t="str">
        <f t="shared" si="114"/>
        <v>HILLIARD FL 32046</v>
      </c>
      <c r="M375" t="str">
        <f>"IN OR 1341/703 PARCELS 31 &amp; 31-2 ESMT PT OR 1861/825"</f>
        <v>IN OR 1341/703 PARCELS 31 &amp; 31-2 ESMT PT OR 1861/825</v>
      </c>
      <c r="N375" t="str">
        <f>""</f>
        <v/>
      </c>
      <c r="O375" t="str">
        <f>"21463"</f>
        <v>21463</v>
      </c>
      <c r="P375" t="str">
        <f t="shared" si="101"/>
        <v>2017</v>
      </c>
      <c r="Q375" t="str">
        <f>""</f>
        <v/>
      </c>
      <c r="R375" t="str">
        <f t="shared" ref="R375:R389" si="116">"N"</f>
        <v>N</v>
      </c>
      <c r="S375" t="str">
        <f>""</f>
        <v/>
      </c>
      <c r="T375" t="str">
        <f>"6462.61"</f>
        <v>6462.61</v>
      </c>
      <c r="U375" t="str">
        <f>"462758.00"</f>
        <v>462758.00</v>
      </c>
      <c r="V375" t="str">
        <f>"462758.00"</f>
        <v>462758.00</v>
      </c>
      <c r="W375" t="str">
        <f t="shared" si="102"/>
        <v>2017</v>
      </c>
      <c r="X375" t="str">
        <f>"7.14"</f>
        <v>7.14</v>
      </c>
      <c r="Y375" t="str">
        <f>"6688.49"</f>
        <v>6688.49</v>
      </c>
      <c r="Z375" t="str">
        <f>""</f>
        <v/>
      </c>
      <c r="AA375" t="str">
        <f>"462758.00"</f>
        <v>462758.00</v>
      </c>
      <c r="AB375" t="str">
        <f>"Industrial"</f>
        <v>Industrial</v>
      </c>
      <c r="AC375" t="str">
        <f t="shared" si="104"/>
        <v>0</v>
      </c>
      <c r="AD375" t="str">
        <f>"5"</f>
        <v>5</v>
      </c>
      <c r="AE375" t="str">
        <f>"STEEL FRAME/INCOMBUSTIBLE WALLS/ROOF"</f>
        <v>STEEL FRAME/INCOMBUSTIBLE WALLS/ROOF</v>
      </c>
      <c r="AF375" t="str">
        <f>"041"</f>
        <v>041</v>
      </c>
      <c r="AG375" t="str">
        <f t="shared" si="115"/>
        <v>FL</v>
      </c>
      <c r="AH375" t="str">
        <f>"139392.00"</f>
        <v>139392.00</v>
      </c>
      <c r="AI375" t="str">
        <f>"104544.00"</f>
        <v>104544.00</v>
      </c>
      <c r="AJ375" t="str">
        <f>"C55-000-586-6262-8"</f>
        <v>C55-000-586-6262-8</v>
      </c>
      <c r="AK375" t="str">
        <f>"5892"</f>
        <v>5892</v>
      </c>
      <c r="AL375">
        <v>2</v>
      </c>
      <c r="AM375">
        <v>441</v>
      </c>
      <c r="AN375">
        <v>7021.31</v>
      </c>
      <c r="AQ375" t="s">
        <v>4238</v>
      </c>
      <c r="AR375" t="s">
        <v>4238</v>
      </c>
      <c r="AS375" t="s">
        <v>4238</v>
      </c>
      <c r="AU375" t="s">
        <v>396</v>
      </c>
      <c r="AV375">
        <v>2017</v>
      </c>
      <c r="AW375" t="str">
        <f>"05-3N-24-0000-0031-0000 "</f>
        <v xml:space="preserve">05-3N-24-0000-0031-0000 </v>
      </c>
      <c r="AX375">
        <v>552121</v>
      </c>
      <c r="AZ375" t="s">
        <v>2386</v>
      </c>
      <c r="BD375" t="s">
        <v>398</v>
      </c>
      <c r="BE375" t="s">
        <v>393</v>
      </c>
      <c r="BF375">
        <v>32046</v>
      </c>
      <c r="BG375" t="s">
        <v>4239</v>
      </c>
      <c r="BH375" t="s">
        <v>400</v>
      </c>
      <c r="BI375">
        <v>-81.925207160146499</v>
      </c>
      <c r="BJ375">
        <v>30.699818913207</v>
      </c>
      <c r="BK375" t="s">
        <v>2563</v>
      </c>
      <c r="BL375" t="s">
        <v>4240</v>
      </c>
      <c r="BM375" t="s">
        <v>4241</v>
      </c>
      <c r="BN375" t="s">
        <v>403</v>
      </c>
      <c r="BO375">
        <v>32045</v>
      </c>
      <c r="BP375" t="s">
        <v>404</v>
      </c>
      <c r="BQ375">
        <v>4100</v>
      </c>
      <c r="BR375" t="s">
        <v>4242</v>
      </c>
      <c r="BS375">
        <v>5001</v>
      </c>
      <c r="BT375" t="s">
        <v>4243</v>
      </c>
      <c r="BW375">
        <v>139392</v>
      </c>
      <c r="BX375" t="s">
        <v>407</v>
      </c>
      <c r="BY375" t="s">
        <v>4244</v>
      </c>
      <c r="BZ375">
        <v>5</v>
      </c>
      <c r="CA375">
        <v>1998</v>
      </c>
      <c r="CB375">
        <v>1</v>
      </c>
      <c r="CD375">
        <v>2017</v>
      </c>
      <c r="CE375">
        <v>104544</v>
      </c>
      <c r="CF375">
        <v>358214</v>
      </c>
      <c r="CG375">
        <v>462758</v>
      </c>
      <c r="CH375">
        <v>2017</v>
      </c>
      <c r="CI375">
        <v>104544</v>
      </c>
      <c r="CJ375">
        <v>358214</v>
      </c>
      <c r="CK375">
        <v>462758</v>
      </c>
      <c r="CL375">
        <v>2017</v>
      </c>
      <c r="CM375">
        <v>6462.61</v>
      </c>
      <c r="CN375" s="1">
        <v>38576</v>
      </c>
      <c r="CO375">
        <v>400000</v>
      </c>
      <c r="CV375">
        <v>275000</v>
      </c>
      <c r="CX375" t="s">
        <v>707</v>
      </c>
      <c r="CZ375" s="1">
        <v>38576</v>
      </c>
      <c r="DA375">
        <v>0</v>
      </c>
      <c r="DD375" t="s">
        <v>398</v>
      </c>
      <c r="DG375">
        <v>5</v>
      </c>
      <c r="DL375">
        <v>50400</v>
      </c>
      <c r="DM375" t="s">
        <v>4203</v>
      </c>
      <c r="DO375" t="s">
        <v>4245</v>
      </c>
      <c r="DP375">
        <v>1</v>
      </c>
      <c r="DQ375">
        <v>1</v>
      </c>
      <c r="DR375" t="s">
        <v>1174</v>
      </c>
      <c r="DS375" t="b">
        <v>1</v>
      </c>
      <c r="DT375" t="s">
        <v>470</v>
      </c>
      <c r="DU375" t="s">
        <v>471</v>
      </c>
      <c r="DV375" t="s">
        <v>472</v>
      </c>
      <c r="DX375">
        <v>-9999</v>
      </c>
      <c r="DZ375" t="s">
        <v>447</v>
      </c>
      <c r="EA375" t="s">
        <v>448</v>
      </c>
      <c r="EB375" t="s">
        <v>1224</v>
      </c>
      <c r="EC375">
        <v>20101217</v>
      </c>
      <c r="ED375" t="s">
        <v>474</v>
      </c>
      <c r="EF375">
        <v>1369.8</v>
      </c>
      <c r="EG375">
        <v>1369.8</v>
      </c>
      <c r="EI375">
        <v>20160407</v>
      </c>
      <c r="EJ375">
        <v>0</v>
      </c>
      <c r="EK375">
        <v>0</v>
      </c>
      <c r="EP375" t="s">
        <v>421</v>
      </c>
      <c r="EQ375" t="s">
        <v>422</v>
      </c>
      <c r="ER375">
        <v>0</v>
      </c>
      <c r="ES375">
        <v>9</v>
      </c>
      <c r="ET375">
        <v>0</v>
      </c>
      <c r="EU375">
        <v>0</v>
      </c>
      <c r="EV375">
        <v>0</v>
      </c>
      <c r="EW375" s="2">
        <v>43222</v>
      </c>
      <c r="EX375" s="1">
        <v>42515</v>
      </c>
      <c r="EY375">
        <v>2015</v>
      </c>
      <c r="EZ375">
        <v>7504.56</v>
      </c>
      <c r="FA375" t="s">
        <v>4246</v>
      </c>
      <c r="FB375">
        <v>0.25</v>
      </c>
      <c r="FC375" t="s">
        <v>424</v>
      </c>
      <c r="FD375" t="s">
        <v>425</v>
      </c>
      <c r="FE375" s="1">
        <v>42873</v>
      </c>
      <c r="FF375">
        <v>12</v>
      </c>
      <c r="FG375">
        <v>11289</v>
      </c>
      <c r="FH375" t="s">
        <v>787</v>
      </c>
      <c r="FJ375" s="1">
        <v>42515</v>
      </c>
      <c r="FK375">
        <v>2015</v>
      </c>
      <c r="FL375">
        <v>7504.56</v>
      </c>
      <c r="FM375" t="s">
        <v>4246</v>
      </c>
      <c r="FN375">
        <v>0.25</v>
      </c>
      <c r="FO375" t="s">
        <v>424</v>
      </c>
      <c r="FP375" t="s">
        <v>425</v>
      </c>
      <c r="FR375">
        <v>22</v>
      </c>
      <c r="FS375">
        <v>7141517</v>
      </c>
      <c r="FT375" t="s">
        <v>4247</v>
      </c>
      <c r="FV375" s="1">
        <v>42151</v>
      </c>
      <c r="FW375">
        <v>2014</v>
      </c>
      <c r="FX375">
        <v>6126.07</v>
      </c>
      <c r="FY375" t="s">
        <v>4248</v>
      </c>
      <c r="FZ375">
        <v>0.25</v>
      </c>
      <c r="GA375" t="s">
        <v>424</v>
      </c>
      <c r="GB375" t="s">
        <v>425</v>
      </c>
      <c r="GD375">
        <v>22</v>
      </c>
      <c r="GE375">
        <v>15259</v>
      </c>
      <c r="GF375" t="s">
        <v>891</v>
      </c>
      <c r="GH375" s="1">
        <v>42151</v>
      </c>
      <c r="GI375">
        <v>2014</v>
      </c>
      <c r="GJ375">
        <v>6126.07</v>
      </c>
      <c r="GK375" t="s">
        <v>4248</v>
      </c>
      <c r="GL375">
        <v>0.25</v>
      </c>
      <c r="GM375" t="s">
        <v>424</v>
      </c>
      <c r="GN375" t="s">
        <v>425</v>
      </c>
      <c r="GP375">
        <v>22</v>
      </c>
      <c r="GQ375">
        <v>6918897</v>
      </c>
      <c r="GR375" t="s">
        <v>4249</v>
      </c>
      <c r="GT375" s="1">
        <v>42151</v>
      </c>
      <c r="GU375">
        <v>2014</v>
      </c>
      <c r="GV375">
        <v>6126.07</v>
      </c>
      <c r="GW375" t="s">
        <v>4248</v>
      </c>
      <c r="GX375">
        <v>0.25</v>
      </c>
      <c r="GY375" t="s">
        <v>424</v>
      </c>
      <c r="GZ375" t="s">
        <v>425</v>
      </c>
      <c r="HA375" s="1">
        <v>42430</v>
      </c>
      <c r="HB375">
        <v>10</v>
      </c>
      <c r="HC375">
        <v>7045049</v>
      </c>
      <c r="HD375" t="s">
        <v>1335</v>
      </c>
      <c r="HF375" s="1">
        <v>41787</v>
      </c>
      <c r="HG375">
        <v>2013</v>
      </c>
      <c r="HH375">
        <v>5698.98</v>
      </c>
      <c r="HI375" t="s">
        <v>4250</v>
      </c>
      <c r="HJ375">
        <v>0.25</v>
      </c>
      <c r="HK375" t="s">
        <v>424</v>
      </c>
      <c r="HL375" t="s">
        <v>425</v>
      </c>
      <c r="HM375" s="1">
        <v>41950</v>
      </c>
      <c r="HN375">
        <v>6</v>
      </c>
      <c r="HO375">
        <v>15401</v>
      </c>
      <c r="HP375" t="s">
        <v>3776</v>
      </c>
      <c r="HR375" s="1">
        <v>41423</v>
      </c>
      <c r="HS375">
        <v>2012</v>
      </c>
      <c r="HT375">
        <v>5167.53</v>
      </c>
      <c r="HU375" t="s">
        <v>4251</v>
      </c>
      <c r="HV375">
        <v>0.25</v>
      </c>
      <c r="HW375" t="s">
        <v>424</v>
      </c>
      <c r="HX375" t="s">
        <v>425</v>
      </c>
      <c r="HY375" s="1">
        <v>41593</v>
      </c>
      <c r="HZ375">
        <v>6</v>
      </c>
      <c r="IA375">
        <v>11303</v>
      </c>
      <c r="IB375" t="s">
        <v>918</v>
      </c>
      <c r="ID375" s="1">
        <v>41052</v>
      </c>
      <c r="IE375">
        <v>2011</v>
      </c>
      <c r="IF375">
        <v>5047.33</v>
      </c>
      <c r="IG375" t="s">
        <v>4252</v>
      </c>
      <c r="IH375">
        <v>3.25</v>
      </c>
      <c r="II375" t="s">
        <v>424</v>
      </c>
      <c r="IJ375" t="s">
        <v>425</v>
      </c>
      <c r="IK375" s="1">
        <v>41208</v>
      </c>
      <c r="IL375">
        <v>5</v>
      </c>
      <c r="IM375">
        <v>13528</v>
      </c>
      <c r="IN375" t="s">
        <v>1101</v>
      </c>
      <c r="IP375" s="1">
        <v>40688</v>
      </c>
      <c r="IQ375">
        <v>2010</v>
      </c>
      <c r="IR375">
        <v>5174.01</v>
      </c>
      <c r="IS375" t="s">
        <v>4253</v>
      </c>
      <c r="IT375">
        <v>0.25</v>
      </c>
      <c r="IU375" t="s">
        <v>424</v>
      </c>
      <c r="IV375" t="s">
        <v>425</v>
      </c>
      <c r="IW375" s="1">
        <v>40767</v>
      </c>
      <c r="IX375">
        <v>3</v>
      </c>
      <c r="IY375">
        <v>10591</v>
      </c>
      <c r="IZ375" t="s">
        <v>4254</v>
      </c>
    </row>
    <row r="376" spans="1:296" x14ac:dyDescent="0.25">
      <c r="A376">
        <v>16485383</v>
      </c>
      <c r="B376">
        <v>375</v>
      </c>
      <c r="C376" t="s">
        <v>393</v>
      </c>
      <c r="D376" t="s">
        <v>394</v>
      </c>
      <c r="F376" t="str">
        <f>"05-3N-24-0000-0031-0010"</f>
        <v>05-3N-24-0000-0031-0010</v>
      </c>
      <c r="H376" t="str">
        <f>"SMITH ROBERTA A"</f>
        <v>SMITH ROBERTA A</v>
      </c>
      <c r="I376" t="str">
        <f>"PO BOX 339"</f>
        <v>PO BOX 339</v>
      </c>
      <c r="J376" t="str">
        <f>"HILLIARD FL 32046"</f>
        <v>HILLIARD FL 32046</v>
      </c>
      <c r="K376" t="str">
        <f>"US HWY 1"</f>
        <v>US HWY 1</v>
      </c>
      <c r="L376" t="str">
        <f t="shared" si="114"/>
        <v>HILLIARD FL 32046</v>
      </c>
      <c r="M376" t="str">
        <f>"PT OR 1483/454"</f>
        <v>PT OR 1483/454</v>
      </c>
      <c r="N376" t="str">
        <f>""</f>
        <v/>
      </c>
      <c r="O376" t="str">
        <f>"21464"</f>
        <v>21464</v>
      </c>
      <c r="P376" t="str">
        <f t="shared" si="101"/>
        <v>2017</v>
      </c>
      <c r="Q376" t="str">
        <f>""</f>
        <v/>
      </c>
      <c r="R376" t="str">
        <f t="shared" si="116"/>
        <v>N</v>
      </c>
      <c r="S376" t="str">
        <f>""</f>
        <v/>
      </c>
      <c r="T376" t="str">
        <f>"162.34"</f>
        <v>162.34</v>
      </c>
      <c r="U376" t="str">
        <f>"11111.00"</f>
        <v>11111.00</v>
      </c>
      <c r="V376" t="str">
        <f>"11111.00"</f>
        <v>11111.00</v>
      </c>
      <c r="W376" t="str">
        <f t="shared" si="102"/>
        <v>2017</v>
      </c>
      <c r="X376" t="str">
        <f>"7.14"</f>
        <v>7.14</v>
      </c>
      <c r="Y376" t="str">
        <f>"199.21"</f>
        <v>199.21</v>
      </c>
      <c r="Z376" t="str">
        <f>""</f>
        <v/>
      </c>
      <c r="AA376" t="str">
        <f>"12196.00"</f>
        <v>12196.00</v>
      </c>
      <c r="AB376" t="str">
        <f>"Commercial"</f>
        <v>Commercial</v>
      </c>
      <c r="AC376" t="str">
        <f t="shared" si="104"/>
        <v>0</v>
      </c>
      <c r="AD376" t="str">
        <f>""</f>
        <v/>
      </c>
      <c r="AE376" t="str">
        <f>""</f>
        <v/>
      </c>
      <c r="AF376" t="str">
        <f>"010"</f>
        <v>010</v>
      </c>
      <c r="AG376" t="str">
        <f t="shared" si="115"/>
        <v>FL</v>
      </c>
      <c r="AH376" t="str">
        <f>"12196.00"</f>
        <v>12196.00</v>
      </c>
      <c r="AI376" t="str">
        <f>"12196.00"</f>
        <v>12196.00</v>
      </c>
      <c r="AJ376" t="str">
        <f>"C55-000-586-6263-6"</f>
        <v>C55-000-586-6263-6</v>
      </c>
      <c r="AK376" t="str">
        <f>"5893"</f>
        <v>5893</v>
      </c>
      <c r="AL376">
        <v>2</v>
      </c>
      <c r="AM376">
        <v>442</v>
      </c>
      <c r="AN376">
        <v>207.57</v>
      </c>
      <c r="AQ376" t="s">
        <v>4255</v>
      </c>
      <c r="AR376" t="s">
        <v>4255</v>
      </c>
      <c r="AS376" t="s">
        <v>4255</v>
      </c>
      <c r="AU376" t="s">
        <v>396</v>
      </c>
      <c r="AV376">
        <v>2017</v>
      </c>
      <c r="AW376" t="str">
        <f>"05-3N-24-0000-0031-0010 "</f>
        <v xml:space="preserve">05-3N-24-0000-0031-0010 </v>
      </c>
      <c r="AZ376" t="s">
        <v>2386</v>
      </c>
      <c r="BD376" t="s">
        <v>398</v>
      </c>
      <c r="BE376" t="s">
        <v>393</v>
      </c>
      <c r="BF376">
        <v>32046</v>
      </c>
      <c r="BG376" t="s">
        <v>2386</v>
      </c>
      <c r="BH376" t="s">
        <v>400</v>
      </c>
      <c r="BI376">
        <v>-81.924813117872802</v>
      </c>
      <c r="BJ376">
        <v>30.700573666782201</v>
      </c>
      <c r="BK376" t="s">
        <v>4256</v>
      </c>
      <c r="BM376" t="s">
        <v>4257</v>
      </c>
      <c r="BN376" t="s">
        <v>403</v>
      </c>
      <c r="BO376">
        <v>32046</v>
      </c>
      <c r="BP376" t="s">
        <v>404</v>
      </c>
      <c r="BQ376">
        <v>1000</v>
      </c>
      <c r="BR376" t="s">
        <v>2391</v>
      </c>
      <c r="BS376">
        <v>8002</v>
      </c>
      <c r="BT376" t="s">
        <v>2392</v>
      </c>
      <c r="BW376">
        <v>12515</v>
      </c>
      <c r="BX376" t="s">
        <v>407</v>
      </c>
      <c r="BY376" t="s">
        <v>4244</v>
      </c>
      <c r="CD376">
        <v>2017</v>
      </c>
      <c r="CE376">
        <v>12196</v>
      </c>
      <c r="CG376">
        <v>12196</v>
      </c>
      <c r="CH376">
        <v>2017</v>
      </c>
      <c r="CI376">
        <v>12196</v>
      </c>
      <c r="CK376">
        <v>12196</v>
      </c>
      <c r="CL376">
        <v>2017</v>
      </c>
      <c r="CM376">
        <v>162.34</v>
      </c>
      <c r="CN376" s="1">
        <v>39147</v>
      </c>
      <c r="CO376">
        <v>75000</v>
      </c>
      <c r="CV376">
        <v>0</v>
      </c>
      <c r="CZ376" s="1">
        <v>39147</v>
      </c>
      <c r="DA376">
        <v>0</v>
      </c>
      <c r="DD376" t="s">
        <v>398</v>
      </c>
      <c r="DG376">
        <v>5</v>
      </c>
      <c r="DL376">
        <v>50400</v>
      </c>
      <c r="DM376" t="s">
        <v>4203</v>
      </c>
      <c r="DO376" t="s">
        <v>4258</v>
      </c>
      <c r="DP376">
        <v>0</v>
      </c>
      <c r="DQ376">
        <v>1</v>
      </c>
      <c r="DR376" t="s">
        <v>1479</v>
      </c>
      <c r="DS376" t="b">
        <v>1</v>
      </c>
      <c r="DT376" t="s">
        <v>470</v>
      </c>
      <c r="DU376" t="s">
        <v>471</v>
      </c>
      <c r="DV376" t="s">
        <v>472</v>
      </c>
      <c r="DX376">
        <v>-9999</v>
      </c>
      <c r="DZ376" t="s">
        <v>447</v>
      </c>
      <c r="EA376" t="s">
        <v>448</v>
      </c>
      <c r="EB376" t="s">
        <v>1224</v>
      </c>
      <c r="EC376">
        <v>20101217</v>
      </c>
      <c r="ED376" t="s">
        <v>474</v>
      </c>
      <c r="EF376">
        <v>1195.0999999999999</v>
      </c>
      <c r="EG376">
        <v>1195.0999999999999</v>
      </c>
      <c r="EI376">
        <v>20160407</v>
      </c>
      <c r="EJ376">
        <v>0</v>
      </c>
      <c r="EK376">
        <v>0</v>
      </c>
      <c r="EP376" t="s">
        <v>421</v>
      </c>
      <c r="EQ376" t="s">
        <v>422</v>
      </c>
      <c r="ER376">
        <v>0</v>
      </c>
      <c r="ES376">
        <v>7</v>
      </c>
      <c r="ET376">
        <v>0</v>
      </c>
      <c r="EU376">
        <v>0</v>
      </c>
      <c r="EV376">
        <v>0</v>
      </c>
      <c r="EW376" s="2">
        <v>43222</v>
      </c>
      <c r="EX376" s="1">
        <v>42515</v>
      </c>
      <c r="EY376">
        <v>2015</v>
      </c>
      <c r="EZ376">
        <v>190.28</v>
      </c>
      <c r="FA376" t="s">
        <v>4259</v>
      </c>
      <c r="FB376">
        <v>0.25</v>
      </c>
      <c r="FC376" t="s">
        <v>424</v>
      </c>
      <c r="FD376" t="s">
        <v>425</v>
      </c>
      <c r="FE376" s="1">
        <v>42873</v>
      </c>
      <c r="FF376">
        <v>12</v>
      </c>
      <c r="FG376">
        <v>7336671</v>
      </c>
      <c r="FH376" t="s">
        <v>437</v>
      </c>
      <c r="FJ376" s="1">
        <v>42515</v>
      </c>
      <c r="FK376">
        <v>2015</v>
      </c>
      <c r="FL376">
        <v>190.28</v>
      </c>
      <c r="FM376" t="s">
        <v>4259</v>
      </c>
      <c r="FN376">
        <v>0.25</v>
      </c>
      <c r="FO376" t="s">
        <v>424</v>
      </c>
      <c r="FP376" t="s">
        <v>425</v>
      </c>
      <c r="FR376">
        <v>22</v>
      </c>
      <c r="FS376">
        <v>6870043</v>
      </c>
      <c r="FT376" t="s">
        <v>4260</v>
      </c>
      <c r="FV376" s="1">
        <v>42151</v>
      </c>
      <c r="FW376">
        <v>2014</v>
      </c>
      <c r="FX376">
        <v>184.78</v>
      </c>
      <c r="FY376" t="s">
        <v>4261</v>
      </c>
      <c r="FZ376">
        <v>4.75</v>
      </c>
      <c r="GA376" t="s">
        <v>424</v>
      </c>
      <c r="GB376" t="s">
        <v>425</v>
      </c>
      <c r="GC376" s="1">
        <v>42430</v>
      </c>
      <c r="GD376">
        <v>10</v>
      </c>
      <c r="GE376">
        <v>4975593</v>
      </c>
      <c r="GF376" t="s">
        <v>505</v>
      </c>
      <c r="GH376" s="1">
        <v>41787</v>
      </c>
      <c r="GI376">
        <v>2013</v>
      </c>
      <c r="GJ376">
        <v>172.49</v>
      </c>
      <c r="GK376" t="s">
        <v>4262</v>
      </c>
      <c r="GL376">
        <v>6.75</v>
      </c>
      <c r="GM376" t="s">
        <v>424</v>
      </c>
      <c r="GN376" t="s">
        <v>425</v>
      </c>
      <c r="GO376" s="1">
        <v>41950</v>
      </c>
      <c r="GP376">
        <v>6</v>
      </c>
      <c r="GQ376">
        <v>2035919</v>
      </c>
      <c r="GR376" t="s">
        <v>507</v>
      </c>
      <c r="GT376" s="1">
        <v>41423</v>
      </c>
      <c r="GU376">
        <v>2012</v>
      </c>
      <c r="GV376">
        <v>219.86</v>
      </c>
      <c r="GW376" t="s">
        <v>4263</v>
      </c>
      <c r="GX376">
        <v>5.75</v>
      </c>
      <c r="GY376" t="s">
        <v>424</v>
      </c>
      <c r="GZ376" t="s">
        <v>425</v>
      </c>
      <c r="HA376" s="1">
        <v>41593</v>
      </c>
      <c r="HB376">
        <v>6</v>
      </c>
      <c r="HC376">
        <v>2101381</v>
      </c>
      <c r="HD376" t="s">
        <v>605</v>
      </c>
      <c r="HF376" s="1">
        <v>41052</v>
      </c>
      <c r="HG376">
        <v>2011</v>
      </c>
      <c r="HH376">
        <v>110.96</v>
      </c>
      <c r="HI376" t="s">
        <v>4264</v>
      </c>
      <c r="HJ376">
        <v>11.75</v>
      </c>
      <c r="HK376" t="s">
        <v>424</v>
      </c>
      <c r="HL376" t="s">
        <v>425</v>
      </c>
      <c r="HM376" s="1">
        <v>41208</v>
      </c>
      <c r="HN376">
        <v>5</v>
      </c>
      <c r="HO376">
        <v>10125</v>
      </c>
      <c r="HP376" t="s">
        <v>440</v>
      </c>
      <c r="HR376" s="1">
        <v>40688</v>
      </c>
      <c r="HS376">
        <v>2010</v>
      </c>
      <c r="HT376">
        <v>124.45</v>
      </c>
      <c r="HU376" t="s">
        <v>4265</v>
      </c>
      <c r="HV376">
        <v>8.25</v>
      </c>
      <c r="HW376" t="s">
        <v>424</v>
      </c>
      <c r="HX376" t="s">
        <v>425</v>
      </c>
      <c r="HY376" s="1">
        <v>40767</v>
      </c>
      <c r="HZ376">
        <v>3</v>
      </c>
      <c r="IA376">
        <v>10548</v>
      </c>
      <c r="IB376" t="s">
        <v>589</v>
      </c>
    </row>
    <row r="377" spans="1:296" x14ac:dyDescent="0.25">
      <c r="A377">
        <v>16485384</v>
      </c>
      <c r="B377">
        <v>376</v>
      </c>
      <c r="C377" t="s">
        <v>393</v>
      </c>
      <c r="D377" t="s">
        <v>394</v>
      </c>
      <c r="F377" t="str">
        <f>"05-3N-24-0000-0031-0030"</f>
        <v>05-3N-24-0000-0031-0030</v>
      </c>
      <c r="H377" t="str">
        <f>"SMITH ROBERTA A"</f>
        <v>SMITH ROBERTA A</v>
      </c>
      <c r="I377" t="str">
        <f>"PO BOX 339"</f>
        <v>PO BOX 339</v>
      </c>
      <c r="J377" t="str">
        <f>"HILLIARD FL 32046"</f>
        <v>HILLIARD FL 32046</v>
      </c>
      <c r="K377" t="str">
        <f>"EIGHTH AV"</f>
        <v>EIGHTH AV</v>
      </c>
      <c r="L377" t="str">
        <f t="shared" si="114"/>
        <v>HILLIARD FL 32046</v>
      </c>
      <c r="M377" t="str">
        <f>"PT OR 1483/454 ESMT PT OR 1861/825"</f>
        <v>PT OR 1483/454 ESMT PT OR 1861/825</v>
      </c>
      <c r="N377" t="str">
        <f>""</f>
        <v/>
      </c>
      <c r="O377" t="str">
        <f>"21465"</f>
        <v>21465</v>
      </c>
      <c r="P377" t="str">
        <f t="shared" si="101"/>
        <v>2017</v>
      </c>
      <c r="Q377" t="str">
        <f>""</f>
        <v/>
      </c>
      <c r="R377" t="str">
        <f t="shared" si="116"/>
        <v>N</v>
      </c>
      <c r="S377" t="str">
        <f>""</f>
        <v/>
      </c>
      <c r="T377" t="str">
        <f>"753.70"</f>
        <v>753.70</v>
      </c>
      <c r="U377" t="str">
        <f>"51589.00"</f>
        <v>51589.00</v>
      </c>
      <c r="V377" t="str">
        <f>"51589.00"</f>
        <v>51589.00</v>
      </c>
      <c r="W377" t="str">
        <f t="shared" si="102"/>
        <v>2017</v>
      </c>
      <c r="X377" t="str">
        <f>"7.14"</f>
        <v>7.14</v>
      </c>
      <c r="Y377" t="str">
        <f>"808.31"</f>
        <v>808.31</v>
      </c>
      <c r="Z377" t="str">
        <f>""</f>
        <v/>
      </c>
      <c r="AA377" t="str">
        <f>"56628.00"</f>
        <v>56628.00</v>
      </c>
      <c r="AB377" t="str">
        <f>"Commercial"</f>
        <v>Commercial</v>
      </c>
      <c r="AC377" t="str">
        <f t="shared" si="104"/>
        <v>0</v>
      </c>
      <c r="AD377" t="str">
        <f>""</f>
        <v/>
      </c>
      <c r="AE377" t="str">
        <f>""</f>
        <v/>
      </c>
      <c r="AF377" t="str">
        <f>"010"</f>
        <v>010</v>
      </c>
      <c r="AG377" t="str">
        <f t="shared" si="115"/>
        <v>FL</v>
      </c>
      <c r="AH377" t="str">
        <f>"56628.00"</f>
        <v>56628.00</v>
      </c>
      <c r="AI377" t="str">
        <f>"56628.00"</f>
        <v>56628.00</v>
      </c>
      <c r="AJ377" t="str">
        <f>"C55-000-586-6264-4"</f>
        <v>C55-000-586-6264-4</v>
      </c>
      <c r="AK377" t="str">
        <f>"5894"</f>
        <v>5894</v>
      </c>
      <c r="AL377">
        <v>2</v>
      </c>
      <c r="AM377">
        <v>443</v>
      </c>
      <c r="AN377">
        <v>847.13</v>
      </c>
      <c r="AQ377" t="s">
        <v>4266</v>
      </c>
      <c r="AR377" t="s">
        <v>4266</v>
      </c>
      <c r="AS377" t="s">
        <v>4266</v>
      </c>
      <c r="AU377" t="s">
        <v>396</v>
      </c>
      <c r="AV377">
        <v>2017</v>
      </c>
      <c r="AW377" t="str">
        <f>"05-3N-24-0000-0031-0030 "</f>
        <v xml:space="preserve">05-3N-24-0000-0031-0030 </v>
      </c>
      <c r="AZ377" t="s">
        <v>4267</v>
      </c>
      <c r="BA377" t="s">
        <v>1122</v>
      </c>
      <c r="BD377" t="s">
        <v>398</v>
      </c>
      <c r="BE377" t="s">
        <v>393</v>
      </c>
      <c r="BF377">
        <v>32046</v>
      </c>
      <c r="BG377" t="s">
        <v>4268</v>
      </c>
      <c r="BH377" t="s">
        <v>400</v>
      </c>
      <c r="BI377">
        <v>-81.925638931885999</v>
      </c>
      <c r="BJ377">
        <v>30.700159244730099</v>
      </c>
      <c r="BK377" t="s">
        <v>4256</v>
      </c>
      <c r="BM377" t="s">
        <v>4257</v>
      </c>
      <c r="BN377" t="s">
        <v>403</v>
      </c>
      <c r="BO377">
        <v>32046</v>
      </c>
      <c r="BP377" t="s">
        <v>404</v>
      </c>
      <c r="BQ377">
        <v>1000</v>
      </c>
      <c r="BR377" t="s">
        <v>2391</v>
      </c>
      <c r="BS377">
        <v>8002</v>
      </c>
      <c r="BT377" t="s">
        <v>2392</v>
      </c>
      <c r="BW377">
        <v>57704</v>
      </c>
      <c r="BX377" t="s">
        <v>407</v>
      </c>
      <c r="BY377" t="s">
        <v>4244</v>
      </c>
      <c r="CD377">
        <v>2017</v>
      </c>
      <c r="CE377">
        <v>56628</v>
      </c>
      <c r="CG377">
        <v>56628</v>
      </c>
      <c r="CH377">
        <v>2017</v>
      </c>
      <c r="CI377">
        <v>56628</v>
      </c>
      <c r="CK377">
        <v>56628</v>
      </c>
      <c r="CL377">
        <v>2017</v>
      </c>
      <c r="CM377">
        <v>753.7</v>
      </c>
      <c r="CN377" s="1">
        <v>36970</v>
      </c>
      <c r="CO377">
        <v>16000</v>
      </c>
      <c r="CV377">
        <v>0</v>
      </c>
      <c r="CZ377" s="1">
        <v>36970</v>
      </c>
      <c r="DA377">
        <v>0</v>
      </c>
      <c r="DD377" t="s">
        <v>398</v>
      </c>
      <c r="DG377">
        <v>5</v>
      </c>
      <c r="DL377">
        <v>50400</v>
      </c>
      <c r="DM377" t="s">
        <v>4203</v>
      </c>
      <c r="DO377" t="s">
        <v>4269</v>
      </c>
      <c r="DP377">
        <v>0</v>
      </c>
      <c r="DQ377">
        <v>1</v>
      </c>
      <c r="DR377" t="s">
        <v>1479</v>
      </c>
      <c r="DS377" t="b">
        <v>1</v>
      </c>
      <c r="DT377" t="s">
        <v>470</v>
      </c>
      <c r="DU377" t="s">
        <v>471</v>
      </c>
      <c r="DV377" t="s">
        <v>472</v>
      </c>
      <c r="DX377">
        <v>-9999</v>
      </c>
      <c r="DZ377" t="s">
        <v>447</v>
      </c>
      <c r="EA377" t="s">
        <v>448</v>
      </c>
      <c r="EB377" t="s">
        <v>1224</v>
      </c>
      <c r="EC377">
        <v>20101217</v>
      </c>
      <c r="ED377" t="s">
        <v>474</v>
      </c>
      <c r="EF377">
        <v>1473.2</v>
      </c>
      <c r="EG377">
        <v>1473.2</v>
      </c>
      <c r="EI377">
        <v>20160407</v>
      </c>
      <c r="EJ377">
        <v>0</v>
      </c>
      <c r="EK377">
        <v>0</v>
      </c>
      <c r="EP377" t="s">
        <v>421</v>
      </c>
      <c r="EQ377" t="s">
        <v>422</v>
      </c>
      <c r="ER377">
        <v>0</v>
      </c>
      <c r="ES377">
        <v>8</v>
      </c>
      <c r="ET377">
        <v>0</v>
      </c>
      <c r="EU377">
        <v>0</v>
      </c>
      <c r="EV377">
        <v>0</v>
      </c>
      <c r="EW377" s="2">
        <v>43222</v>
      </c>
      <c r="EX377" s="1">
        <v>42515</v>
      </c>
      <c r="EY377">
        <v>2015</v>
      </c>
      <c r="EZ377">
        <v>803.35</v>
      </c>
      <c r="FA377" t="s">
        <v>4270</v>
      </c>
      <c r="FB377">
        <v>0.25</v>
      </c>
      <c r="FC377" t="s">
        <v>424</v>
      </c>
      <c r="FD377" t="s">
        <v>425</v>
      </c>
      <c r="FE377" s="1">
        <v>42873</v>
      </c>
      <c r="FF377">
        <v>12</v>
      </c>
      <c r="FG377">
        <v>7336671</v>
      </c>
      <c r="FH377" t="s">
        <v>437</v>
      </c>
      <c r="FJ377" s="1">
        <v>42515</v>
      </c>
      <c r="FK377">
        <v>2015</v>
      </c>
      <c r="FL377">
        <v>803.35</v>
      </c>
      <c r="FM377" t="s">
        <v>4270</v>
      </c>
      <c r="FN377">
        <v>0.25</v>
      </c>
      <c r="FO377" t="s">
        <v>424</v>
      </c>
      <c r="FP377" t="s">
        <v>425</v>
      </c>
      <c r="FR377">
        <v>22</v>
      </c>
      <c r="FS377">
        <v>6839678</v>
      </c>
      <c r="FT377" t="s">
        <v>4271</v>
      </c>
      <c r="FV377" s="1">
        <v>42151</v>
      </c>
      <c r="FW377">
        <v>2014</v>
      </c>
      <c r="FX377">
        <v>777.75</v>
      </c>
      <c r="FY377" t="s">
        <v>4272</v>
      </c>
      <c r="FZ377">
        <v>0.25</v>
      </c>
      <c r="GA377" t="s">
        <v>424</v>
      </c>
      <c r="GB377" t="s">
        <v>425</v>
      </c>
      <c r="GC377" s="1">
        <v>42430</v>
      </c>
      <c r="GD377">
        <v>10</v>
      </c>
      <c r="GE377">
        <v>2101382</v>
      </c>
      <c r="GF377" t="s">
        <v>993</v>
      </c>
      <c r="GH377" s="1">
        <v>42151</v>
      </c>
      <c r="GI377">
        <v>2014</v>
      </c>
      <c r="GJ377">
        <v>777.75</v>
      </c>
      <c r="GK377" t="s">
        <v>4272</v>
      </c>
      <c r="GL377">
        <v>0.25</v>
      </c>
      <c r="GM377" t="s">
        <v>424</v>
      </c>
      <c r="GN377" t="s">
        <v>425</v>
      </c>
      <c r="GP377">
        <v>22</v>
      </c>
      <c r="GQ377">
        <v>5640581</v>
      </c>
      <c r="GR377" t="s">
        <v>4273</v>
      </c>
      <c r="GT377" s="1">
        <v>41787</v>
      </c>
      <c r="GU377">
        <v>2013</v>
      </c>
      <c r="GV377">
        <v>720.74</v>
      </c>
      <c r="GW377" t="s">
        <v>4274</v>
      </c>
      <c r="GX377">
        <v>0.25</v>
      </c>
      <c r="GY377" t="s">
        <v>424</v>
      </c>
      <c r="GZ377" t="s">
        <v>425</v>
      </c>
      <c r="HA377" s="1">
        <v>41950</v>
      </c>
      <c r="HB377">
        <v>6</v>
      </c>
      <c r="HC377">
        <v>2101385</v>
      </c>
      <c r="HD377" t="s">
        <v>810</v>
      </c>
      <c r="HF377" s="1">
        <v>41423</v>
      </c>
      <c r="HG377">
        <v>2012</v>
      </c>
      <c r="HH377">
        <v>940.63</v>
      </c>
      <c r="HI377" t="s">
        <v>4275</v>
      </c>
      <c r="HJ377">
        <v>0.25</v>
      </c>
      <c r="HK377" t="s">
        <v>424</v>
      </c>
      <c r="HL377" t="s">
        <v>425</v>
      </c>
      <c r="HM377" s="1">
        <v>41593</v>
      </c>
      <c r="HN377">
        <v>6</v>
      </c>
      <c r="HO377">
        <v>2101385</v>
      </c>
      <c r="HP377" t="s">
        <v>810</v>
      </c>
      <c r="HR377" s="1">
        <v>41052</v>
      </c>
      <c r="HS377">
        <v>2011</v>
      </c>
      <c r="HT377">
        <v>464.14</v>
      </c>
      <c r="HU377" t="s">
        <v>4276</v>
      </c>
      <c r="HV377">
        <v>6</v>
      </c>
      <c r="HW377" t="s">
        <v>424</v>
      </c>
      <c r="HX377" t="s">
        <v>425</v>
      </c>
      <c r="HY377" s="1">
        <v>41208</v>
      </c>
      <c r="HZ377">
        <v>5</v>
      </c>
      <c r="IA377">
        <v>10579</v>
      </c>
      <c r="IB377" t="s">
        <v>488</v>
      </c>
      <c r="ID377" s="1">
        <v>40688</v>
      </c>
      <c r="IE377">
        <v>2010</v>
      </c>
      <c r="IF377">
        <v>530.52</v>
      </c>
      <c r="IG377" t="s">
        <v>4277</v>
      </c>
      <c r="IH377">
        <v>7.75</v>
      </c>
      <c r="II377" t="s">
        <v>424</v>
      </c>
      <c r="IJ377" t="s">
        <v>425</v>
      </c>
      <c r="IK377" s="1">
        <v>40767</v>
      </c>
      <c r="IL377">
        <v>3</v>
      </c>
      <c r="IM377">
        <v>10579</v>
      </c>
      <c r="IN377" t="s">
        <v>488</v>
      </c>
    </row>
    <row r="378" spans="1:296" x14ac:dyDescent="0.25">
      <c r="A378">
        <v>16485385</v>
      </c>
      <c r="B378">
        <v>377</v>
      </c>
      <c r="C378" t="s">
        <v>393</v>
      </c>
      <c r="D378" t="s">
        <v>394</v>
      </c>
      <c r="F378" t="str">
        <f>"05-3N-24-0000-0033-0000"</f>
        <v>05-3N-24-0000-0033-0000</v>
      </c>
      <c r="H378" t="str">
        <f>"LIBBY ARTHUR DALE &amp; JANICE P"</f>
        <v>LIBBY ARTHUR DALE &amp; JANICE P</v>
      </c>
      <c r="I378" t="str">
        <f>"552073 US HWY 1 NORTH"</f>
        <v>552073 US HWY 1 NORTH</v>
      </c>
      <c r="J378" t="str">
        <f>"HILLIARD FL 32046"</f>
        <v>HILLIARD FL 32046</v>
      </c>
      <c r="K378" t="str">
        <f>"552073 US HWY 1"</f>
        <v>552073 US HWY 1</v>
      </c>
      <c r="L378" t="str">
        <f t="shared" si="114"/>
        <v>HILLIARD FL 32046</v>
      </c>
      <c r="M378" t="str">
        <f>"PT OF BLKS 25 27 &amp; PT ABND 8TH ST IN OR 2042/1264(EX UTIL ESMT IN OR 1961/825) TOWN OF HILLIARD PBK 1/28"</f>
        <v>PT OF BLKS 25 27 &amp; PT ABND 8TH ST IN OR 2042/1264(EX UTIL ESMT IN OR 1961/825) TOWN OF HILLIARD PBK 1/28</v>
      </c>
      <c r="N378" t="str">
        <f>""</f>
        <v/>
      </c>
      <c r="O378" t="str">
        <f>"21469"</f>
        <v>21469</v>
      </c>
      <c r="P378" t="str">
        <f t="shared" si="101"/>
        <v>2017</v>
      </c>
      <c r="Q378" t="str">
        <f>""</f>
        <v/>
      </c>
      <c r="R378" t="str">
        <f t="shared" si="116"/>
        <v>N</v>
      </c>
      <c r="S378" t="str">
        <f>""</f>
        <v/>
      </c>
      <c r="T378" t="str">
        <f>"2233.46"</f>
        <v>2233.46</v>
      </c>
      <c r="U378" t="str">
        <f>"159929.00"</f>
        <v>159929.00</v>
      </c>
      <c r="V378" t="str">
        <f>"159929.00"</f>
        <v>159929.00</v>
      </c>
      <c r="W378" t="str">
        <f t="shared" si="102"/>
        <v>2017</v>
      </c>
      <c r="X378" t="str">
        <f>""</f>
        <v/>
      </c>
      <c r="Y378" t="str">
        <f>"2332.46"</f>
        <v>2332.46</v>
      </c>
      <c r="Z378" t="str">
        <f>""</f>
        <v/>
      </c>
      <c r="AA378" t="str">
        <f>"159929.00"</f>
        <v>159929.00</v>
      </c>
      <c r="AB378" t="str">
        <f t="shared" ref="AB378:AB391" si="117">"Residential"</f>
        <v>Residential</v>
      </c>
      <c r="AC378" t="str">
        <f t="shared" si="104"/>
        <v>0</v>
      </c>
      <c r="AD378" t="str">
        <f>"4"</f>
        <v>4</v>
      </c>
      <c r="AE378" t="str">
        <f>"WOOD (INCLUDE STEEL STUDS)"</f>
        <v>WOOD (INCLUDE STEEL STUDS)</v>
      </c>
      <c r="AF378" t="str">
        <f>"001"</f>
        <v>001</v>
      </c>
      <c r="AG378" t="str">
        <f t="shared" si="115"/>
        <v>FL</v>
      </c>
      <c r="AH378" t="str">
        <f>"152460.00"</f>
        <v>152460.00</v>
      </c>
      <c r="AI378" t="str">
        <f>"38115.00"</f>
        <v>38115.00</v>
      </c>
      <c r="AJ378" t="str">
        <f>"C55-000-586-6265-1"</f>
        <v>C55-000-586-6265-1</v>
      </c>
      <c r="AK378" t="str">
        <f>"5896"</f>
        <v>5896</v>
      </c>
      <c r="AL378">
        <v>2</v>
      </c>
      <c r="AM378">
        <v>444</v>
      </c>
      <c r="AN378">
        <v>2447.48</v>
      </c>
      <c r="AQ378" t="s">
        <v>4278</v>
      </c>
      <c r="AR378" t="s">
        <v>4278</v>
      </c>
      <c r="AS378" t="s">
        <v>4278</v>
      </c>
      <c r="AU378" t="s">
        <v>396</v>
      </c>
      <c r="AV378">
        <v>2017</v>
      </c>
      <c r="AW378" t="str">
        <f>"05-3N-24-0000-0033-0000 "</f>
        <v xml:space="preserve">05-3N-24-0000-0033-0000 </v>
      </c>
      <c r="AX378">
        <v>552073</v>
      </c>
      <c r="AZ378" t="s">
        <v>2386</v>
      </c>
      <c r="BD378" t="s">
        <v>398</v>
      </c>
      <c r="BE378" t="s">
        <v>393</v>
      </c>
      <c r="BF378">
        <v>32046</v>
      </c>
      <c r="BG378" t="s">
        <v>4279</v>
      </c>
      <c r="BH378" t="s">
        <v>400</v>
      </c>
      <c r="BI378">
        <v>-81.924686192319996</v>
      </c>
      <c r="BJ378">
        <v>30.698955599197401</v>
      </c>
      <c r="BK378" t="s">
        <v>4280</v>
      </c>
      <c r="BM378" t="s">
        <v>4281</v>
      </c>
      <c r="BN378" t="s">
        <v>403</v>
      </c>
      <c r="BO378">
        <v>32046</v>
      </c>
      <c r="BP378" t="s">
        <v>404</v>
      </c>
      <c r="BQ378">
        <v>100</v>
      </c>
      <c r="BR378" t="s">
        <v>514</v>
      </c>
      <c r="BS378">
        <v>1001</v>
      </c>
      <c r="BT378" t="s">
        <v>515</v>
      </c>
      <c r="BW378">
        <v>152460</v>
      </c>
      <c r="BX378" t="s">
        <v>407</v>
      </c>
      <c r="BY378" t="s">
        <v>4244</v>
      </c>
      <c r="BZ378">
        <v>4</v>
      </c>
      <c r="CA378">
        <v>1920</v>
      </c>
      <c r="CB378">
        <v>1</v>
      </c>
      <c r="CC378">
        <v>4</v>
      </c>
      <c r="CD378">
        <v>2017</v>
      </c>
      <c r="CE378">
        <v>38115</v>
      </c>
      <c r="CF378">
        <v>121814</v>
      </c>
      <c r="CG378">
        <v>159929</v>
      </c>
      <c r="CH378">
        <v>2017</v>
      </c>
      <c r="CI378">
        <v>38115</v>
      </c>
      <c r="CJ378">
        <v>121814</v>
      </c>
      <c r="CK378">
        <v>159929</v>
      </c>
      <c r="CL378">
        <v>2017</v>
      </c>
      <c r="CM378">
        <v>2233.46</v>
      </c>
      <c r="CN378" s="1">
        <v>42224</v>
      </c>
      <c r="CZ378" s="1">
        <v>42224</v>
      </c>
      <c r="DD378" t="s">
        <v>398</v>
      </c>
      <c r="DG378">
        <v>5</v>
      </c>
      <c r="DL378">
        <v>50400</v>
      </c>
      <c r="DM378" t="s">
        <v>4203</v>
      </c>
      <c r="DO378" t="s">
        <v>4282</v>
      </c>
      <c r="DP378">
        <v>0</v>
      </c>
      <c r="DQ378">
        <v>2</v>
      </c>
      <c r="DR378" t="s">
        <v>411</v>
      </c>
      <c r="EP378" t="s">
        <v>421</v>
      </c>
      <c r="EQ378" t="s">
        <v>422</v>
      </c>
      <c r="ER378">
        <v>2</v>
      </c>
      <c r="ES378">
        <v>0</v>
      </c>
      <c r="ET378">
        <v>4816.6400000000003</v>
      </c>
      <c r="EU378">
        <v>253.33</v>
      </c>
      <c r="EV378">
        <v>5069.97</v>
      </c>
      <c r="EW378" s="2">
        <v>43222</v>
      </c>
      <c r="EX378" s="1">
        <v>42879</v>
      </c>
      <c r="EY378">
        <v>2016</v>
      </c>
      <c r="EZ378">
        <v>2408.3200000000002</v>
      </c>
      <c r="FA378" t="s">
        <v>4283</v>
      </c>
      <c r="FB378">
        <v>0.25</v>
      </c>
      <c r="FC378" t="s">
        <v>424</v>
      </c>
      <c r="FD378" t="s">
        <v>454</v>
      </c>
      <c r="FF378">
        <v>12</v>
      </c>
      <c r="FG378">
        <v>5856195</v>
      </c>
      <c r="FH378" t="s">
        <v>1060</v>
      </c>
      <c r="FJ378" s="1">
        <v>42879</v>
      </c>
      <c r="FK378">
        <v>2016</v>
      </c>
      <c r="FL378">
        <v>2408.3200000000002</v>
      </c>
      <c r="FM378" t="s">
        <v>4283</v>
      </c>
      <c r="FN378">
        <v>0.25</v>
      </c>
      <c r="FO378" t="s">
        <v>424</v>
      </c>
      <c r="FP378" t="s">
        <v>454</v>
      </c>
      <c r="FR378">
        <v>12</v>
      </c>
      <c r="FS378">
        <v>5935545</v>
      </c>
      <c r="FT378" t="s">
        <v>4284</v>
      </c>
    </row>
    <row r="379" spans="1:296" x14ac:dyDescent="0.25">
      <c r="A379">
        <v>16485386</v>
      </c>
      <c r="B379">
        <v>378</v>
      </c>
      <c r="C379" t="s">
        <v>393</v>
      </c>
      <c r="D379" t="s">
        <v>394</v>
      </c>
      <c r="F379" t="str">
        <f>"05-3N-24-0000-0035-0000"</f>
        <v>05-3N-24-0000-0035-0000</v>
      </c>
      <c r="H379" t="str">
        <f>"ALLPHIN TRUDI"</f>
        <v>ALLPHIN TRUDI</v>
      </c>
      <c r="I379" t="str">
        <f>"552210 US HWY 1"</f>
        <v>552210 US HWY 1</v>
      </c>
      <c r="J379" t="str">
        <f>"HILLIARD FL 32046"</f>
        <v>HILLIARD FL 32046</v>
      </c>
      <c r="K379" t="str">
        <f>"552110 US HWY 1"</f>
        <v>552110 US HWY 1</v>
      </c>
      <c r="L379" t="str">
        <f t="shared" si="114"/>
        <v>HILLIARD FL 32046</v>
      </c>
      <c r="M379" t="str">
        <f>"IN OR 1822/1974 (EX 35-1) ESMT IN OR 377/465"</f>
        <v>IN OR 1822/1974 (EX 35-1) ESMT IN OR 377/465</v>
      </c>
      <c r="N379" t="str">
        <f>""</f>
        <v/>
      </c>
      <c r="O379" t="str">
        <f>"21471"</f>
        <v>21471</v>
      </c>
      <c r="P379" t="str">
        <f t="shared" si="101"/>
        <v>2017</v>
      </c>
      <c r="Q379" t="str">
        <f>""</f>
        <v/>
      </c>
      <c r="R379" t="str">
        <f t="shared" si="116"/>
        <v>N</v>
      </c>
      <c r="S379" t="str">
        <f>""</f>
        <v/>
      </c>
      <c r="T379" t="str">
        <f>"1766.59"</f>
        <v>1766.59</v>
      </c>
      <c r="U379" t="str">
        <f>"126497.00"</f>
        <v>126497.00</v>
      </c>
      <c r="V379" t="str">
        <f>"126497.00"</f>
        <v>126497.00</v>
      </c>
      <c r="W379" t="str">
        <f t="shared" si="102"/>
        <v>2017</v>
      </c>
      <c r="X379" t="str">
        <f>"11.33"</f>
        <v>11.33</v>
      </c>
      <c r="Y379" t="str">
        <f>"1851.59"</f>
        <v>1851.59</v>
      </c>
      <c r="Z379" t="str">
        <f>""</f>
        <v/>
      </c>
      <c r="AA379" t="str">
        <f>"126497.00"</f>
        <v>126497.00</v>
      </c>
      <c r="AB379" t="str">
        <f t="shared" si="117"/>
        <v>Residential</v>
      </c>
      <c r="AC379" t="str">
        <f t="shared" si="104"/>
        <v>0</v>
      </c>
      <c r="AD379" t="str">
        <f>"4"</f>
        <v>4</v>
      </c>
      <c r="AE379" t="str">
        <f>"WOOD (INCLUDE STEEL STUDS)"</f>
        <v>WOOD (INCLUDE STEEL STUDS)</v>
      </c>
      <c r="AF379" t="str">
        <f>"001"</f>
        <v>001</v>
      </c>
      <c r="AG379" t="str">
        <f t="shared" si="115"/>
        <v>FL</v>
      </c>
      <c r="AH379" t="str">
        <f>"117176.00"</f>
        <v>117176.00</v>
      </c>
      <c r="AI379" t="str">
        <f>"52729.00"</f>
        <v>52729.00</v>
      </c>
      <c r="AJ379" t="str">
        <f>"C55-000-586-6267-7"</f>
        <v>C55-000-586-6267-7</v>
      </c>
      <c r="AK379" t="str">
        <f>"5898"</f>
        <v>5898</v>
      </c>
      <c r="AL379">
        <v>2</v>
      </c>
      <c r="AM379">
        <v>445</v>
      </c>
      <c r="AN379">
        <v>1942.57</v>
      </c>
      <c r="AQ379" t="s">
        <v>4285</v>
      </c>
      <c r="AR379" t="s">
        <v>4285</v>
      </c>
      <c r="AS379" t="s">
        <v>4285</v>
      </c>
      <c r="AU379" t="s">
        <v>396</v>
      </c>
      <c r="AV379">
        <v>2017</v>
      </c>
      <c r="AW379" t="str">
        <f>"05-3N-24-0000-0035-0000 "</f>
        <v xml:space="preserve">05-3N-24-0000-0035-0000 </v>
      </c>
      <c r="AX379">
        <v>552110</v>
      </c>
      <c r="AZ379" t="s">
        <v>2386</v>
      </c>
      <c r="BD379" t="s">
        <v>398</v>
      </c>
      <c r="BE379" t="s">
        <v>393</v>
      </c>
      <c r="BF379">
        <v>32046</v>
      </c>
      <c r="BG379" t="s">
        <v>4286</v>
      </c>
      <c r="BH379" t="s">
        <v>400</v>
      </c>
      <c r="BI379">
        <v>-81.923415772628601</v>
      </c>
      <c r="BJ379">
        <v>30.700171928549999</v>
      </c>
      <c r="BK379" t="s">
        <v>4287</v>
      </c>
      <c r="BM379" t="s">
        <v>4288</v>
      </c>
      <c r="BN379" t="s">
        <v>403</v>
      </c>
      <c r="BO379">
        <v>32046</v>
      </c>
      <c r="BP379" t="s">
        <v>404</v>
      </c>
      <c r="BQ379">
        <v>100</v>
      </c>
      <c r="BR379" t="s">
        <v>514</v>
      </c>
      <c r="BS379">
        <v>1001</v>
      </c>
      <c r="BT379" t="s">
        <v>515</v>
      </c>
      <c r="BW379">
        <v>126132</v>
      </c>
      <c r="BX379" t="s">
        <v>407</v>
      </c>
      <c r="BY379" t="s">
        <v>4244</v>
      </c>
      <c r="BZ379">
        <v>4</v>
      </c>
      <c r="CA379">
        <v>1930</v>
      </c>
      <c r="CB379">
        <v>1</v>
      </c>
      <c r="CC379">
        <v>2</v>
      </c>
      <c r="CD379">
        <v>2017</v>
      </c>
      <c r="CE379">
        <v>52729</v>
      </c>
      <c r="CF379">
        <v>73768</v>
      </c>
      <c r="CG379">
        <v>126497</v>
      </c>
      <c r="CH379">
        <v>2017</v>
      </c>
      <c r="CI379">
        <v>52729</v>
      </c>
      <c r="CJ379">
        <v>73768</v>
      </c>
      <c r="CK379">
        <v>126497</v>
      </c>
      <c r="CL379">
        <v>2017</v>
      </c>
      <c r="CM379">
        <v>1766.59</v>
      </c>
      <c r="CN379" s="1">
        <v>41218</v>
      </c>
      <c r="CZ379" s="1">
        <v>41218</v>
      </c>
      <c r="DD379" t="s">
        <v>398</v>
      </c>
      <c r="DG379">
        <v>5</v>
      </c>
      <c r="DL379">
        <v>50400</v>
      </c>
      <c r="DM379" t="s">
        <v>4203</v>
      </c>
      <c r="DO379" t="s">
        <v>4289</v>
      </c>
      <c r="DP379">
        <v>0</v>
      </c>
      <c r="DQ379">
        <v>1</v>
      </c>
      <c r="DR379" t="s">
        <v>411</v>
      </c>
      <c r="EP379" t="s">
        <v>421</v>
      </c>
      <c r="EQ379" t="s">
        <v>422</v>
      </c>
      <c r="ER379">
        <v>0</v>
      </c>
      <c r="ES379">
        <v>1</v>
      </c>
      <c r="ET379">
        <v>0</v>
      </c>
      <c r="EU379">
        <v>0</v>
      </c>
      <c r="EV379">
        <v>0</v>
      </c>
      <c r="EW379" s="2">
        <v>43222</v>
      </c>
      <c r="EX379" s="1">
        <v>41423</v>
      </c>
      <c r="EY379">
        <v>2012</v>
      </c>
      <c r="EZ379">
        <v>744.7</v>
      </c>
      <c r="FA379" t="s">
        <v>4290</v>
      </c>
      <c r="FB379">
        <v>0.25</v>
      </c>
      <c r="FC379" t="s">
        <v>424</v>
      </c>
      <c r="FD379" t="s">
        <v>425</v>
      </c>
      <c r="FE379" s="1">
        <v>41502</v>
      </c>
      <c r="FF379">
        <v>3</v>
      </c>
      <c r="FG379">
        <v>15259</v>
      </c>
      <c r="FH379" t="s">
        <v>891</v>
      </c>
    </row>
    <row r="380" spans="1:296" x14ac:dyDescent="0.25">
      <c r="A380">
        <v>16485387</v>
      </c>
      <c r="B380">
        <v>379</v>
      </c>
      <c r="C380" t="s">
        <v>393</v>
      </c>
      <c r="D380" t="s">
        <v>394</v>
      </c>
      <c r="F380" t="str">
        <f>"05-3N-24-0000-0035-0010"</f>
        <v>05-3N-24-0000-0035-0010</v>
      </c>
      <c r="H380" t="str">
        <f>"HARGROVE ALTAMESE G"</f>
        <v>HARGROVE ALTAMESE G</v>
      </c>
      <c r="I380" t="str">
        <f>"1411 W 6TH ST"</f>
        <v>1411 W 6TH ST</v>
      </c>
      <c r="J380" t="str">
        <f>"JACKSONVILLE FL 32209"</f>
        <v>JACKSONVILLE FL 32209</v>
      </c>
      <c r="K380" t="str">
        <f>"US HWY 301"</f>
        <v>US HWY 301</v>
      </c>
      <c r="L380" t="str">
        <f t="shared" si="114"/>
        <v>HILLIARD FL 32046</v>
      </c>
      <c r="M380" t="str">
        <f>"IN OR 649 PG 1129"</f>
        <v>IN OR 649 PG 1129</v>
      </c>
      <c r="N380" t="str">
        <f>""</f>
        <v/>
      </c>
      <c r="O380" t="str">
        <f>"21472"</f>
        <v>21472</v>
      </c>
      <c r="P380" t="str">
        <f t="shared" si="101"/>
        <v>2017</v>
      </c>
      <c r="Q380" t="str">
        <f>""</f>
        <v/>
      </c>
      <c r="R380" t="str">
        <f t="shared" si="116"/>
        <v>N</v>
      </c>
      <c r="S380" t="str">
        <f>""</f>
        <v/>
      </c>
      <c r="T380" t="str">
        <f>"16.96"</f>
        <v>16.96</v>
      </c>
      <c r="U380" t="str">
        <f>"741.00"</f>
        <v>741.00</v>
      </c>
      <c r="V380" t="str">
        <f>"741.00"</f>
        <v>741.00</v>
      </c>
      <c r="W380" t="str">
        <f t="shared" si="102"/>
        <v>2017</v>
      </c>
      <c r="X380" t="str">
        <f>""</f>
        <v/>
      </c>
      <c r="Y380" t="str">
        <f>"49.47"</f>
        <v>49.47</v>
      </c>
      <c r="Z380" t="str">
        <f>""</f>
        <v/>
      </c>
      <c r="AA380" t="str">
        <f>"1742.00"</f>
        <v>1742.00</v>
      </c>
      <c r="AB380" t="str">
        <f t="shared" si="117"/>
        <v>Residential</v>
      </c>
      <c r="AC380" t="str">
        <f t="shared" si="104"/>
        <v>0</v>
      </c>
      <c r="AD380" t="str">
        <f>""</f>
        <v/>
      </c>
      <c r="AE380" t="str">
        <f>""</f>
        <v/>
      </c>
      <c r="AF380" t="str">
        <f>"000"</f>
        <v>000</v>
      </c>
      <c r="AG380" t="str">
        <f t="shared" si="115"/>
        <v>FL</v>
      </c>
      <c r="AH380" t="str">
        <f>"1742.00"</f>
        <v>1742.00</v>
      </c>
      <c r="AI380" t="str">
        <f>"1742.00"</f>
        <v>1742.00</v>
      </c>
      <c r="AJ380" t="str">
        <f>"C55-000-586-6268-5"</f>
        <v>C55-000-586-6268-5</v>
      </c>
      <c r="AK380" t="str">
        <f>"5899"</f>
        <v>5899</v>
      </c>
      <c r="AL380">
        <v>2</v>
      </c>
      <c r="AM380">
        <v>446</v>
      </c>
      <c r="AN380">
        <v>50.34</v>
      </c>
      <c r="AQ380" t="s">
        <v>4291</v>
      </c>
      <c r="AR380" t="s">
        <v>4291</v>
      </c>
      <c r="AS380" t="s">
        <v>4291</v>
      </c>
      <c r="AU380" t="s">
        <v>396</v>
      </c>
      <c r="AV380">
        <v>2017</v>
      </c>
      <c r="AW380" t="str">
        <f>"05-3N-24-0000-0035-0010 "</f>
        <v xml:space="preserve">05-3N-24-0000-0035-0010 </v>
      </c>
      <c r="AZ380" t="s">
        <v>2893</v>
      </c>
      <c r="BD380" t="s">
        <v>398</v>
      </c>
      <c r="BE380" t="s">
        <v>393</v>
      </c>
      <c r="BF380">
        <v>32046</v>
      </c>
      <c r="BG380" t="s">
        <v>2893</v>
      </c>
      <c r="BH380" t="s">
        <v>400</v>
      </c>
      <c r="BI380">
        <v>-81.923082802005396</v>
      </c>
      <c r="BJ380">
        <v>30.699939688423999</v>
      </c>
      <c r="BK380" t="s">
        <v>4292</v>
      </c>
      <c r="BM380" t="s">
        <v>4293</v>
      </c>
      <c r="BN380" t="s">
        <v>548</v>
      </c>
      <c r="BO380">
        <v>32209</v>
      </c>
      <c r="BP380" t="s">
        <v>404</v>
      </c>
      <c r="BQ380">
        <v>0</v>
      </c>
      <c r="BR380" t="s">
        <v>491</v>
      </c>
      <c r="BS380">
        <v>8001</v>
      </c>
      <c r="BT380" t="s">
        <v>492</v>
      </c>
      <c r="BW380">
        <v>1799</v>
      </c>
      <c r="BX380" t="s">
        <v>407</v>
      </c>
      <c r="BY380" t="s">
        <v>4244</v>
      </c>
      <c r="CD380">
        <v>2017</v>
      </c>
      <c r="CE380">
        <v>1742</v>
      </c>
      <c r="CG380">
        <v>1742</v>
      </c>
      <c r="CH380">
        <v>2017</v>
      </c>
      <c r="CI380">
        <v>1742</v>
      </c>
      <c r="CK380">
        <v>1742</v>
      </c>
      <c r="CL380">
        <v>2017</v>
      </c>
      <c r="CM380">
        <v>16.96</v>
      </c>
      <c r="CN380" s="1">
        <v>33659</v>
      </c>
      <c r="CO380">
        <v>500</v>
      </c>
      <c r="CZ380" s="1">
        <v>33659</v>
      </c>
      <c r="DD380" t="s">
        <v>398</v>
      </c>
      <c r="DG380">
        <v>5</v>
      </c>
      <c r="DL380">
        <v>50400</v>
      </c>
      <c r="DM380" t="s">
        <v>4203</v>
      </c>
      <c r="DO380" t="s">
        <v>4294</v>
      </c>
      <c r="DP380">
        <v>0</v>
      </c>
      <c r="DQ380">
        <v>0</v>
      </c>
      <c r="DR380" t="s">
        <v>411</v>
      </c>
      <c r="DS380" t="b">
        <v>1</v>
      </c>
      <c r="DT380" t="s">
        <v>470</v>
      </c>
      <c r="DU380" t="s">
        <v>471</v>
      </c>
      <c r="DV380" t="s">
        <v>472</v>
      </c>
      <c r="DX380">
        <v>-9999</v>
      </c>
      <c r="DZ380" t="s">
        <v>447</v>
      </c>
      <c r="EA380" t="s">
        <v>448</v>
      </c>
      <c r="EB380" t="s">
        <v>1224</v>
      </c>
      <c r="EC380">
        <v>20101217</v>
      </c>
      <c r="ED380" t="s">
        <v>474</v>
      </c>
      <c r="EF380">
        <v>732.2</v>
      </c>
      <c r="EG380">
        <v>732.2</v>
      </c>
      <c r="EI380">
        <v>20160407</v>
      </c>
      <c r="EJ380">
        <v>0</v>
      </c>
      <c r="EK380">
        <v>0</v>
      </c>
      <c r="EP380" t="s">
        <v>595</v>
      </c>
      <c r="EQ380" t="s">
        <v>422</v>
      </c>
      <c r="ER380">
        <v>8</v>
      </c>
      <c r="ES380">
        <v>0</v>
      </c>
      <c r="ET380">
        <v>268.76</v>
      </c>
      <c r="EU380">
        <v>237</v>
      </c>
      <c r="EV380">
        <v>505.76</v>
      </c>
      <c r="EW380" s="2">
        <v>43222</v>
      </c>
      <c r="EX380" s="1">
        <v>42879</v>
      </c>
      <c r="EY380">
        <v>2016</v>
      </c>
      <c r="EZ380">
        <v>45.2</v>
      </c>
      <c r="FA380" t="s">
        <v>4295</v>
      </c>
      <c r="FB380">
        <v>18</v>
      </c>
      <c r="FC380" t="s">
        <v>603</v>
      </c>
      <c r="FD380" t="s">
        <v>454</v>
      </c>
      <c r="FF380">
        <v>12</v>
      </c>
      <c r="FG380">
        <v>9999999</v>
      </c>
      <c r="FH380" t="s">
        <v>604</v>
      </c>
      <c r="FJ380" s="1">
        <v>42515</v>
      </c>
      <c r="FK380">
        <v>2015</v>
      </c>
      <c r="FL380">
        <v>40.42</v>
      </c>
      <c r="FM380" t="s">
        <v>4296</v>
      </c>
      <c r="FN380">
        <v>18</v>
      </c>
      <c r="FO380" t="s">
        <v>603</v>
      </c>
      <c r="FP380" t="s">
        <v>454</v>
      </c>
      <c r="FR380">
        <v>24</v>
      </c>
      <c r="FS380">
        <v>9999999</v>
      </c>
      <c r="FT380" t="s">
        <v>604</v>
      </c>
      <c r="FV380" s="1">
        <v>42151</v>
      </c>
      <c r="FW380">
        <v>2014</v>
      </c>
      <c r="FX380">
        <v>40.11</v>
      </c>
      <c r="FY380" t="s">
        <v>4297</v>
      </c>
      <c r="FZ380">
        <v>18</v>
      </c>
      <c r="GA380" t="s">
        <v>603</v>
      </c>
      <c r="GB380" t="s">
        <v>454</v>
      </c>
      <c r="GD380">
        <v>36</v>
      </c>
      <c r="GE380">
        <v>9999999</v>
      </c>
      <c r="GF380" t="s">
        <v>604</v>
      </c>
      <c r="GH380" s="1">
        <v>41787</v>
      </c>
      <c r="GI380">
        <v>2013</v>
      </c>
      <c r="GJ380">
        <v>39.43</v>
      </c>
      <c r="GK380" t="s">
        <v>4298</v>
      </c>
      <c r="GL380">
        <v>18</v>
      </c>
      <c r="GM380" t="s">
        <v>603</v>
      </c>
      <c r="GN380" t="s">
        <v>454</v>
      </c>
      <c r="GP380">
        <v>48</v>
      </c>
      <c r="GQ380">
        <v>9999999</v>
      </c>
      <c r="GR380" t="s">
        <v>604</v>
      </c>
      <c r="GT380" s="1">
        <v>41423</v>
      </c>
      <c r="GU380">
        <v>2012</v>
      </c>
      <c r="GV380">
        <v>28.99</v>
      </c>
      <c r="GW380" t="s">
        <v>4299</v>
      </c>
      <c r="GX380">
        <v>16.75</v>
      </c>
      <c r="GY380" t="s">
        <v>424</v>
      </c>
      <c r="GZ380" t="s">
        <v>454</v>
      </c>
      <c r="HB380">
        <v>60</v>
      </c>
      <c r="HC380">
        <v>10125</v>
      </c>
      <c r="HD380" t="s">
        <v>440</v>
      </c>
      <c r="HF380" s="1">
        <v>41052</v>
      </c>
      <c r="HG380">
        <v>2011</v>
      </c>
      <c r="HH380">
        <v>22.36</v>
      </c>
      <c r="HI380" t="s">
        <v>4300</v>
      </c>
      <c r="HJ380">
        <v>18</v>
      </c>
      <c r="HK380" t="s">
        <v>424</v>
      </c>
      <c r="HL380" t="s">
        <v>454</v>
      </c>
      <c r="HN380">
        <v>72</v>
      </c>
      <c r="HO380">
        <v>10125</v>
      </c>
      <c r="HP380" t="s">
        <v>440</v>
      </c>
      <c r="HR380" s="1">
        <v>40688</v>
      </c>
      <c r="HS380">
        <v>2010</v>
      </c>
      <c r="HT380">
        <v>29.92</v>
      </c>
      <c r="HU380" t="s">
        <v>4301</v>
      </c>
      <c r="HV380">
        <v>18</v>
      </c>
      <c r="HW380" t="s">
        <v>424</v>
      </c>
      <c r="HX380" t="s">
        <v>454</v>
      </c>
      <c r="HZ380">
        <v>84</v>
      </c>
      <c r="IA380">
        <v>11804</v>
      </c>
      <c r="IB380" t="s">
        <v>4057</v>
      </c>
      <c r="ID380" s="1">
        <v>40688</v>
      </c>
      <c r="IE380">
        <v>2010</v>
      </c>
      <c r="IF380">
        <v>22.33</v>
      </c>
      <c r="IG380" t="s">
        <v>4301</v>
      </c>
      <c r="IH380">
        <v>18</v>
      </c>
      <c r="II380" t="s">
        <v>603</v>
      </c>
      <c r="IJ380" t="s">
        <v>454</v>
      </c>
      <c r="IL380">
        <v>84</v>
      </c>
      <c r="IM380">
        <v>9999999</v>
      </c>
      <c r="IN380" t="s">
        <v>604</v>
      </c>
    </row>
    <row r="381" spans="1:296" x14ac:dyDescent="0.25">
      <c r="A381">
        <v>16485388</v>
      </c>
      <c r="B381">
        <v>380</v>
      </c>
      <c r="C381" t="s">
        <v>393</v>
      </c>
      <c r="D381" t="s">
        <v>394</v>
      </c>
      <c r="F381" t="str">
        <f>"05-3N-24-2020-0001-0010"</f>
        <v>05-3N-24-2020-0001-0010</v>
      </c>
      <c r="H381" t="str">
        <f>"CICERO JOSEPH S"</f>
        <v>CICERO JOSEPH S</v>
      </c>
      <c r="I381" t="str">
        <f>"272011 GEORGIA ST"</f>
        <v>272011 GEORGIA ST</v>
      </c>
      <c r="J381" t="str">
        <f>"HILLIARD FL 32046"</f>
        <v>HILLIARD FL 32046</v>
      </c>
      <c r="K381" t="str">
        <f>"OFF GEORGIA ST"</f>
        <v>OFF GEORGIA ST</v>
      </c>
      <c r="L381" t="str">
        <f t="shared" si="114"/>
        <v>HILLIARD FL 32046</v>
      </c>
      <c r="M381" t="str">
        <f>"PT OF LOT 1 (S-1) IN OR 2041/1678 CORNWALL SURVEY"</f>
        <v>PT OF LOT 1 (S-1) IN OR 2041/1678 CORNWALL SURVEY</v>
      </c>
      <c r="N381" t="str">
        <f>""</f>
        <v/>
      </c>
      <c r="O381" t="str">
        <f>"21474"</f>
        <v>21474</v>
      </c>
      <c r="P381" t="str">
        <f t="shared" si="101"/>
        <v>2017</v>
      </c>
      <c r="Q381" t="str">
        <f>""</f>
        <v/>
      </c>
      <c r="R381" t="str">
        <f t="shared" si="116"/>
        <v>N</v>
      </c>
      <c r="S381" t="str">
        <f>"5.00"</f>
        <v>5.00</v>
      </c>
      <c r="T381" t="str">
        <f>"454.16"</f>
        <v>454.16</v>
      </c>
      <c r="U381" t="str">
        <f>"30000.00"</f>
        <v>30000.00</v>
      </c>
      <c r="V381" t="str">
        <f>"30000.00"</f>
        <v>30000.00</v>
      </c>
      <c r="W381" t="str">
        <f t="shared" si="102"/>
        <v>2017</v>
      </c>
      <c r="X381" t="str">
        <f>""</f>
        <v/>
      </c>
      <c r="Y381" t="str">
        <f>"499.78"</f>
        <v>499.78</v>
      </c>
      <c r="Z381" t="str">
        <f>""</f>
        <v/>
      </c>
      <c r="AA381" t="str">
        <f>"30000.00"</f>
        <v>30000.00</v>
      </c>
      <c r="AB381" t="str">
        <f t="shared" si="117"/>
        <v>Residential</v>
      </c>
      <c r="AC381" t="str">
        <f t="shared" si="104"/>
        <v>0</v>
      </c>
      <c r="AD381" t="str">
        <f>""</f>
        <v/>
      </c>
      <c r="AE381" t="str">
        <f>""</f>
        <v/>
      </c>
      <c r="AF381" t="str">
        <f>"000"</f>
        <v>000</v>
      </c>
      <c r="AG381" t="str">
        <f t="shared" si="115"/>
        <v>FL</v>
      </c>
      <c r="AH381" t="str">
        <f>"217800.00"</f>
        <v>217800.00</v>
      </c>
      <c r="AI381" t="str">
        <f>"30000.00"</f>
        <v>30000.00</v>
      </c>
      <c r="AJ381" t="str">
        <f>"C55-001-055-4806-9"</f>
        <v>C55-001-055-4806-9</v>
      </c>
      <c r="AK381" t="str">
        <f>"5901"</f>
        <v>5901</v>
      </c>
      <c r="AL381">
        <v>2</v>
      </c>
      <c r="AM381">
        <v>447</v>
      </c>
      <c r="AN381">
        <v>523.16999999999996</v>
      </c>
      <c r="AQ381" t="s">
        <v>4302</v>
      </c>
      <c r="AR381" t="s">
        <v>4302</v>
      </c>
      <c r="AS381" t="s">
        <v>4302</v>
      </c>
      <c r="AU381" t="s">
        <v>396</v>
      </c>
      <c r="AV381">
        <v>2017</v>
      </c>
      <c r="AW381" t="str">
        <f>"05-3N-24-2020-0001-0010 "</f>
        <v xml:space="preserve">05-3N-24-2020-0001-0010 </v>
      </c>
      <c r="AZ381" t="s">
        <v>4303</v>
      </c>
      <c r="BA381" t="s">
        <v>1942</v>
      </c>
      <c r="BD381" t="s">
        <v>398</v>
      </c>
      <c r="BE381" t="s">
        <v>393</v>
      </c>
      <c r="BF381">
        <v>32046</v>
      </c>
      <c r="BG381" t="s">
        <v>4304</v>
      </c>
      <c r="BH381" t="s">
        <v>400</v>
      </c>
      <c r="BI381">
        <v>-81.937206794797007</v>
      </c>
      <c r="BJ381">
        <v>30.7128383973747</v>
      </c>
      <c r="BK381" t="s">
        <v>4305</v>
      </c>
      <c r="BM381" t="s">
        <v>4306</v>
      </c>
      <c r="BN381" t="s">
        <v>403</v>
      </c>
      <c r="BO381">
        <v>32046</v>
      </c>
      <c r="BP381" t="s">
        <v>404</v>
      </c>
      <c r="BQ381">
        <v>0</v>
      </c>
      <c r="BR381" t="s">
        <v>491</v>
      </c>
      <c r="BS381">
        <v>8001</v>
      </c>
      <c r="BT381" t="s">
        <v>492</v>
      </c>
      <c r="BW381">
        <v>217800</v>
      </c>
      <c r="BX381" t="s">
        <v>407</v>
      </c>
      <c r="BY381" t="s">
        <v>408</v>
      </c>
      <c r="CD381">
        <v>2017</v>
      </c>
      <c r="CE381">
        <v>30000</v>
      </c>
      <c r="CG381">
        <v>30000</v>
      </c>
      <c r="CH381">
        <v>2017</v>
      </c>
      <c r="CI381">
        <v>30000</v>
      </c>
      <c r="CK381">
        <v>30000</v>
      </c>
      <c r="CL381">
        <v>2017</v>
      </c>
      <c r="CM381">
        <v>454.16</v>
      </c>
      <c r="CN381" s="1">
        <v>42485</v>
      </c>
      <c r="CO381">
        <v>30000</v>
      </c>
      <c r="CV381">
        <v>27600</v>
      </c>
      <c r="CX381" t="s">
        <v>707</v>
      </c>
      <c r="CZ381" s="1">
        <v>42485</v>
      </c>
      <c r="DA381">
        <v>0</v>
      </c>
      <c r="DD381" t="s">
        <v>398</v>
      </c>
      <c r="DF381">
        <v>1</v>
      </c>
      <c r="DG381">
        <v>5</v>
      </c>
      <c r="DJ381" t="s">
        <v>1990</v>
      </c>
      <c r="DL381">
        <v>50400</v>
      </c>
      <c r="DM381" t="s">
        <v>4203</v>
      </c>
      <c r="DO381" t="s">
        <v>4307</v>
      </c>
      <c r="DP381">
        <v>0</v>
      </c>
      <c r="DQ381">
        <v>0</v>
      </c>
      <c r="DR381" t="s">
        <v>411</v>
      </c>
      <c r="EP381" t="s">
        <v>421</v>
      </c>
      <c r="EQ381" t="s">
        <v>422</v>
      </c>
      <c r="ER381">
        <v>2</v>
      </c>
      <c r="ES381">
        <v>0</v>
      </c>
      <c r="ET381">
        <v>1050.1400000000001</v>
      </c>
      <c r="EU381">
        <v>65.010000000000005</v>
      </c>
      <c r="EV381">
        <v>1115.1500000000001</v>
      </c>
      <c r="EW381" s="2">
        <v>43222</v>
      </c>
      <c r="EX381" s="1">
        <v>42879</v>
      </c>
      <c r="EY381">
        <v>2016</v>
      </c>
      <c r="EZ381">
        <v>525.07000000000005</v>
      </c>
      <c r="FA381" t="s">
        <v>4308</v>
      </c>
      <c r="FB381">
        <v>0.25</v>
      </c>
      <c r="FC381" t="s">
        <v>424</v>
      </c>
      <c r="FD381" t="s">
        <v>454</v>
      </c>
      <c r="FF381">
        <v>12</v>
      </c>
      <c r="FG381">
        <v>2851116</v>
      </c>
      <c r="FH381" t="s">
        <v>480</v>
      </c>
      <c r="FJ381" s="1">
        <v>42879</v>
      </c>
      <c r="FK381">
        <v>2016</v>
      </c>
      <c r="FL381">
        <v>525.07000000000005</v>
      </c>
      <c r="FM381" t="s">
        <v>4308</v>
      </c>
      <c r="FN381">
        <v>0.25</v>
      </c>
      <c r="FO381" t="s">
        <v>424</v>
      </c>
      <c r="FP381" t="s">
        <v>454</v>
      </c>
      <c r="FR381">
        <v>12</v>
      </c>
      <c r="FS381">
        <v>4954844</v>
      </c>
      <c r="FT381" t="s">
        <v>4309</v>
      </c>
    </row>
    <row r="382" spans="1:296" x14ac:dyDescent="0.25">
      <c r="A382">
        <v>16485389</v>
      </c>
      <c r="B382">
        <v>381</v>
      </c>
      <c r="C382" t="s">
        <v>393</v>
      </c>
      <c r="D382" t="s">
        <v>394</v>
      </c>
      <c r="F382" t="str">
        <f>"05-3N-24-2020-0011-0000"</f>
        <v>05-3N-24-2020-0011-0000</v>
      </c>
      <c r="H382" t="str">
        <f>"ROWE MELVERINE EST"</f>
        <v>ROWE MELVERINE EST</v>
      </c>
      <c r="I382" t="str">
        <f>"27093 ROWE LANE"</f>
        <v>27093 ROWE LANE</v>
      </c>
      <c r="J382" t="str">
        <f>"HILLIARD FL 32046"</f>
        <v>HILLIARD FL 32046</v>
      </c>
      <c r="K382" t="str">
        <f>"27093 ROWE LN"</f>
        <v>27093 ROWE LN</v>
      </c>
      <c r="L382" t="str">
        <f t="shared" si="114"/>
        <v>HILLIARD FL 32046</v>
      </c>
      <c r="M382" t="str">
        <f>"LOT 11 (EX S-1 S-2 &amp; S-3) IN OR 358 PG 270 CORNWALL SURVEY"</f>
        <v>LOT 11 (EX S-1 S-2 &amp; S-3) IN OR 358 PG 270 CORNWALL SURVEY</v>
      </c>
      <c r="N382" t="str">
        <f>""</f>
        <v/>
      </c>
      <c r="O382" t="str">
        <f>"21480"</f>
        <v>21480</v>
      </c>
      <c r="P382" t="str">
        <f t="shared" si="101"/>
        <v>2017</v>
      </c>
      <c r="Q382" t="str">
        <f>""</f>
        <v/>
      </c>
      <c r="R382" t="str">
        <f t="shared" si="116"/>
        <v>N</v>
      </c>
      <c r="S382" t="str">
        <f>"2.50"</f>
        <v>2.50</v>
      </c>
      <c r="T382" t="str">
        <f>"571.37"</f>
        <v>571.37</v>
      </c>
      <c r="U382" t="str">
        <f>"40150.00"</f>
        <v>40150.00</v>
      </c>
      <c r="V382" t="str">
        <f>"40150.00"</f>
        <v>40150.00</v>
      </c>
      <c r="W382" t="str">
        <f t="shared" si="102"/>
        <v>2017</v>
      </c>
      <c r="X382" t="str">
        <f>"14.88"</f>
        <v>14.88</v>
      </c>
      <c r="Y382" t="str">
        <f>"620.51"</f>
        <v>620.51</v>
      </c>
      <c r="Z382" t="str">
        <f>""</f>
        <v/>
      </c>
      <c r="AA382" t="str">
        <f>"41765.00"</f>
        <v>41765.00</v>
      </c>
      <c r="AB382" t="str">
        <f t="shared" si="117"/>
        <v>Residential</v>
      </c>
      <c r="AC382" t="str">
        <f t="shared" si="104"/>
        <v>0</v>
      </c>
      <c r="AD382" t="str">
        <f>"4"</f>
        <v>4</v>
      </c>
      <c r="AE382" t="str">
        <f>"WOOD (INCLUDE STEEL STUDS)"</f>
        <v>WOOD (INCLUDE STEEL STUDS)</v>
      </c>
      <c r="AF382" t="str">
        <f>"001"</f>
        <v>001</v>
      </c>
      <c r="AG382" t="str">
        <f t="shared" si="115"/>
        <v>FL</v>
      </c>
      <c r="AH382" t="str">
        <f>"108900.00"</f>
        <v>108900.00</v>
      </c>
      <c r="AI382" t="str">
        <f>"19500.00"</f>
        <v>19500.00</v>
      </c>
      <c r="AJ382" t="str">
        <f>"C55-000-586-6275-0"</f>
        <v>C55-000-586-6275-0</v>
      </c>
      <c r="AK382" t="str">
        <f>"5907"</f>
        <v>5907</v>
      </c>
      <c r="AL382">
        <v>2</v>
      </c>
      <c r="AM382">
        <v>448</v>
      </c>
      <c r="AN382">
        <v>649.94000000000005</v>
      </c>
      <c r="AQ382" t="s">
        <v>4310</v>
      </c>
      <c r="AR382" t="s">
        <v>4310</v>
      </c>
      <c r="AS382" t="s">
        <v>4310</v>
      </c>
      <c r="AU382" t="s">
        <v>396</v>
      </c>
      <c r="AV382">
        <v>2017</v>
      </c>
      <c r="AW382" t="str">
        <f>"05-3N-24-2020-0011-0000 "</f>
        <v xml:space="preserve">05-3N-24-2020-0011-0000 </v>
      </c>
      <c r="AX382">
        <v>27093</v>
      </c>
      <c r="AZ382" t="s">
        <v>1614</v>
      </c>
      <c r="BA382" t="s">
        <v>653</v>
      </c>
      <c r="BD382" t="s">
        <v>398</v>
      </c>
      <c r="BE382" t="s">
        <v>393</v>
      </c>
      <c r="BF382">
        <v>32046</v>
      </c>
      <c r="BG382" t="s">
        <v>4311</v>
      </c>
      <c r="BH382" t="s">
        <v>400</v>
      </c>
      <c r="BI382">
        <v>-81.938277536946998</v>
      </c>
      <c r="BJ382">
        <v>30.703596331253099</v>
      </c>
      <c r="BK382" t="s">
        <v>4312</v>
      </c>
      <c r="BM382" t="s">
        <v>4313</v>
      </c>
      <c r="BN382" t="s">
        <v>403</v>
      </c>
      <c r="BO382">
        <v>32046</v>
      </c>
      <c r="BP382" t="s">
        <v>416</v>
      </c>
      <c r="BQ382">
        <v>100</v>
      </c>
      <c r="BR382" t="s">
        <v>514</v>
      </c>
      <c r="BS382">
        <v>1001</v>
      </c>
      <c r="BT382" t="s">
        <v>515</v>
      </c>
      <c r="BW382">
        <v>108900</v>
      </c>
      <c r="BX382" t="s">
        <v>407</v>
      </c>
      <c r="BZ382">
        <v>4</v>
      </c>
      <c r="CA382">
        <v>1961</v>
      </c>
      <c r="CB382">
        <v>1</v>
      </c>
      <c r="CC382">
        <v>1</v>
      </c>
      <c r="CD382">
        <v>2017</v>
      </c>
      <c r="CE382">
        <v>19500</v>
      </c>
      <c r="CF382">
        <v>22265</v>
      </c>
      <c r="CG382">
        <v>41765</v>
      </c>
      <c r="CH382">
        <v>2017</v>
      </c>
      <c r="CI382">
        <v>19500</v>
      </c>
      <c r="CJ382">
        <v>22265</v>
      </c>
      <c r="CK382">
        <v>41765</v>
      </c>
      <c r="CL382">
        <v>2017</v>
      </c>
      <c r="CM382">
        <v>571.37</v>
      </c>
      <c r="CN382" s="1">
        <v>30042</v>
      </c>
      <c r="CZ382" s="1">
        <v>30042</v>
      </c>
      <c r="DD382" t="s">
        <v>398</v>
      </c>
      <c r="DF382">
        <v>11</v>
      </c>
      <c r="DG382">
        <v>5</v>
      </c>
      <c r="DJ382" t="s">
        <v>1990</v>
      </c>
      <c r="DL382">
        <v>50400</v>
      </c>
      <c r="DM382" t="s">
        <v>4203</v>
      </c>
      <c r="DO382" t="s">
        <v>4314</v>
      </c>
      <c r="DP382">
        <v>0</v>
      </c>
      <c r="DQ382">
        <v>0</v>
      </c>
      <c r="DR382" t="s">
        <v>411</v>
      </c>
      <c r="DS382" t="b">
        <v>1</v>
      </c>
      <c r="DT382" t="s">
        <v>470</v>
      </c>
      <c r="DU382" t="s">
        <v>471</v>
      </c>
      <c r="DV382" t="s">
        <v>472</v>
      </c>
      <c r="DX382">
        <v>-9999</v>
      </c>
      <c r="DZ382" t="s">
        <v>447</v>
      </c>
      <c r="EA382" t="s">
        <v>448</v>
      </c>
      <c r="EB382" t="s">
        <v>1224</v>
      </c>
      <c r="EC382">
        <v>20101217</v>
      </c>
      <c r="ED382" t="s">
        <v>474</v>
      </c>
      <c r="EF382">
        <v>1248</v>
      </c>
      <c r="EG382">
        <v>1248</v>
      </c>
      <c r="EI382">
        <v>20160407</v>
      </c>
      <c r="EJ382">
        <v>0</v>
      </c>
      <c r="EK382">
        <v>0</v>
      </c>
      <c r="EP382" t="s">
        <v>421</v>
      </c>
      <c r="EQ382" t="s">
        <v>422</v>
      </c>
      <c r="ER382">
        <v>2</v>
      </c>
      <c r="ES382">
        <v>6</v>
      </c>
      <c r="ET382">
        <v>1240.8800000000001</v>
      </c>
      <c r="EU382">
        <v>74.540000000000006</v>
      </c>
      <c r="EV382">
        <v>1315.42</v>
      </c>
      <c r="EW382" s="2">
        <v>43222</v>
      </c>
      <c r="EX382" s="1">
        <v>42879</v>
      </c>
      <c r="EY382">
        <v>2016</v>
      </c>
      <c r="EZ382">
        <v>620.44000000000005</v>
      </c>
      <c r="FA382" t="s">
        <v>4315</v>
      </c>
      <c r="FB382">
        <v>0.25</v>
      </c>
      <c r="FC382" t="s">
        <v>424</v>
      </c>
      <c r="FD382" t="s">
        <v>454</v>
      </c>
      <c r="FF382">
        <v>12</v>
      </c>
      <c r="FG382">
        <v>2851116</v>
      </c>
      <c r="FH382" t="s">
        <v>480</v>
      </c>
      <c r="FJ382" s="1">
        <v>42879</v>
      </c>
      <c r="FK382">
        <v>2016</v>
      </c>
      <c r="FL382">
        <v>620.44000000000005</v>
      </c>
      <c r="FM382" t="s">
        <v>4315</v>
      </c>
      <c r="FN382">
        <v>0.25</v>
      </c>
      <c r="FO382" t="s">
        <v>424</v>
      </c>
      <c r="FP382" t="s">
        <v>454</v>
      </c>
      <c r="FR382">
        <v>12</v>
      </c>
      <c r="FS382">
        <v>5718755</v>
      </c>
      <c r="FT382" t="s">
        <v>4316</v>
      </c>
      <c r="FV382" s="1">
        <v>42515</v>
      </c>
      <c r="FW382">
        <v>2015</v>
      </c>
      <c r="FX382">
        <v>607.19000000000005</v>
      </c>
      <c r="FY382" t="s">
        <v>4317</v>
      </c>
      <c r="FZ382">
        <v>0.25</v>
      </c>
      <c r="GA382" t="s">
        <v>424</v>
      </c>
      <c r="GB382" t="s">
        <v>425</v>
      </c>
      <c r="GC382" s="1">
        <v>43144</v>
      </c>
      <c r="GD382">
        <v>21</v>
      </c>
      <c r="GE382">
        <v>2851116</v>
      </c>
      <c r="GF382" t="s">
        <v>480</v>
      </c>
      <c r="GH382" s="1">
        <v>42515</v>
      </c>
      <c r="GI382">
        <v>2015</v>
      </c>
      <c r="GJ382">
        <v>607.19000000000005</v>
      </c>
      <c r="GK382" t="s">
        <v>4317</v>
      </c>
      <c r="GL382">
        <v>0.25</v>
      </c>
      <c r="GM382" t="s">
        <v>424</v>
      </c>
      <c r="GN382" t="s">
        <v>425</v>
      </c>
      <c r="GP382">
        <v>22</v>
      </c>
      <c r="GQ382">
        <v>5043049</v>
      </c>
      <c r="GR382" t="s">
        <v>4318</v>
      </c>
      <c r="GT382" s="1">
        <v>42151</v>
      </c>
      <c r="GU382">
        <v>2014</v>
      </c>
      <c r="GV382">
        <v>533.54999999999995</v>
      </c>
      <c r="GW382" t="s">
        <v>4319</v>
      </c>
      <c r="GX382">
        <v>0.25</v>
      </c>
      <c r="GY382" t="s">
        <v>424</v>
      </c>
      <c r="GZ382" t="s">
        <v>425</v>
      </c>
      <c r="HA382" s="1">
        <v>42524</v>
      </c>
      <c r="HB382">
        <v>13</v>
      </c>
      <c r="HC382">
        <v>2101382</v>
      </c>
      <c r="HD382" t="s">
        <v>993</v>
      </c>
      <c r="HF382" s="1">
        <v>42151</v>
      </c>
      <c r="HG382">
        <v>2014</v>
      </c>
      <c r="HH382">
        <v>533.54999999999995</v>
      </c>
      <c r="HI382" t="s">
        <v>4319</v>
      </c>
      <c r="HJ382">
        <v>0.25</v>
      </c>
      <c r="HK382" t="s">
        <v>424</v>
      </c>
      <c r="HL382" t="s">
        <v>425</v>
      </c>
      <c r="HN382">
        <v>22</v>
      </c>
      <c r="HO382">
        <v>5596797</v>
      </c>
      <c r="HP382" t="s">
        <v>4320</v>
      </c>
      <c r="HR382" s="1">
        <v>41787</v>
      </c>
      <c r="HS382">
        <v>2013</v>
      </c>
      <c r="HT382">
        <v>433.3</v>
      </c>
      <c r="HU382" t="s">
        <v>4321</v>
      </c>
      <c r="HV382">
        <v>0.25</v>
      </c>
      <c r="HW382" t="s">
        <v>424</v>
      </c>
      <c r="HX382" t="s">
        <v>425</v>
      </c>
      <c r="HY382" s="1">
        <v>42081</v>
      </c>
      <c r="HZ382">
        <v>10</v>
      </c>
      <c r="IA382">
        <v>13026</v>
      </c>
      <c r="IB382" t="s">
        <v>2129</v>
      </c>
      <c r="ID382" s="1">
        <v>40688</v>
      </c>
      <c r="IE382">
        <v>2010</v>
      </c>
      <c r="IF382">
        <v>129.06</v>
      </c>
      <c r="IG382" t="s">
        <v>4322</v>
      </c>
      <c r="IH382">
        <v>8</v>
      </c>
      <c r="II382" t="s">
        <v>424</v>
      </c>
      <c r="IJ382" t="s">
        <v>425</v>
      </c>
      <c r="IK382" s="1">
        <v>41004</v>
      </c>
      <c r="IL382">
        <v>11</v>
      </c>
      <c r="IM382">
        <v>62</v>
      </c>
      <c r="IN382" t="s">
        <v>463</v>
      </c>
    </row>
    <row r="383" spans="1:296" x14ac:dyDescent="0.25">
      <c r="A383">
        <v>16485390</v>
      </c>
      <c r="B383">
        <v>382</v>
      </c>
      <c r="C383" t="s">
        <v>393</v>
      </c>
      <c r="D383" t="s">
        <v>394</v>
      </c>
      <c r="F383" t="str">
        <f>"05-3N-24-2020-0011-0010"</f>
        <v>05-3N-24-2020-0011-0010</v>
      </c>
      <c r="H383" t="str">
        <f>"CURRIN SHERRIE L &amp; HARRIS JAMES KEVIN (T/I/C)"</f>
        <v>CURRIN SHERRIE L &amp; HARRIS JAMES KEVIN (T/I/C)</v>
      </c>
      <c r="I383" t="str">
        <f>"18543 ALABAMA HWY 35"</f>
        <v>18543 ALABAMA HWY 35</v>
      </c>
      <c r="J383" t="str">
        <f>"SCOTTSBORO AL 35768"</f>
        <v>SCOTTSBORO AL 35768</v>
      </c>
      <c r="K383" t="str">
        <f>"271363 GEORGIA ST"</f>
        <v>271363 GEORGIA ST</v>
      </c>
      <c r="L383" t="str">
        <f t="shared" si="114"/>
        <v>HILLIARD FL 32046</v>
      </c>
      <c r="M383" t="str">
        <f>"W1/2 OF W1/2 OF LOT 11 IN OR 1940/485 MH/ID GDWGA108431673 CORNWALL SURVEY"</f>
        <v>W1/2 OF W1/2 OF LOT 11 IN OR 1940/485 MH/ID GDWGA108431673 CORNWALL SURVEY</v>
      </c>
      <c r="N383" t="str">
        <f>""</f>
        <v/>
      </c>
      <c r="O383" t="str">
        <f>"21481"</f>
        <v>21481</v>
      </c>
      <c r="P383" t="str">
        <f t="shared" si="101"/>
        <v>2017</v>
      </c>
      <c r="Q383" t="str">
        <f>""</f>
        <v/>
      </c>
      <c r="R383" t="str">
        <f t="shared" si="116"/>
        <v>N</v>
      </c>
      <c r="S383" t="str">
        <f>"2.50"</f>
        <v>2.50</v>
      </c>
      <c r="T383" t="str">
        <f>"441.86"</f>
        <v>441.86</v>
      </c>
      <c r="U383" t="str">
        <f>"31640.00"</f>
        <v>31640.00</v>
      </c>
      <c r="V383" t="str">
        <f>"31640.00"</f>
        <v>31640.00</v>
      </c>
      <c r="W383" t="str">
        <f t="shared" si="102"/>
        <v>2017</v>
      </c>
      <c r="X383" t="str">
        <f>"1.00"</f>
        <v>1.00</v>
      </c>
      <c r="Y383" t="str">
        <f>"487.12"</f>
        <v>487.12</v>
      </c>
      <c r="Z383" t="str">
        <f>""</f>
        <v/>
      </c>
      <c r="AA383" t="str">
        <f>"31640.00"</f>
        <v>31640.00</v>
      </c>
      <c r="AB383" t="str">
        <f t="shared" si="117"/>
        <v>Residential</v>
      </c>
      <c r="AC383" t="str">
        <f t="shared" si="104"/>
        <v>0</v>
      </c>
      <c r="AD383" t="str">
        <f>"4"</f>
        <v>4</v>
      </c>
      <c r="AE383" t="str">
        <f>"WOOD (INCLUDE STEEL STUDS)"</f>
        <v>WOOD (INCLUDE STEEL STUDS)</v>
      </c>
      <c r="AF383" t="str">
        <f>"002"</f>
        <v>002</v>
      </c>
      <c r="AG383" t="str">
        <f>"AL"</f>
        <v>AL</v>
      </c>
      <c r="AH383" t="str">
        <f>"108900.00"</f>
        <v>108900.00</v>
      </c>
      <c r="AI383" t="str">
        <f>"19500.00"</f>
        <v>19500.00</v>
      </c>
      <c r="AJ383" t="str">
        <f>"C55-000-586-6276-8"</f>
        <v>C55-000-586-6276-8</v>
      </c>
      <c r="AK383" t="str">
        <f>"5908"</f>
        <v>5908</v>
      </c>
      <c r="AL383">
        <v>2</v>
      </c>
      <c r="AM383">
        <v>449</v>
      </c>
      <c r="AN383">
        <v>509.88</v>
      </c>
      <c r="AQ383" t="s">
        <v>4323</v>
      </c>
      <c r="AR383" t="s">
        <v>4323</v>
      </c>
      <c r="AS383" t="s">
        <v>4323</v>
      </c>
      <c r="AU383" t="s">
        <v>396</v>
      </c>
      <c r="AV383">
        <v>2017</v>
      </c>
      <c r="AW383" t="str">
        <f>"05-3N-24-2020-0011-0010 "</f>
        <v xml:space="preserve">05-3N-24-2020-0011-0010 </v>
      </c>
      <c r="AX383">
        <v>271363</v>
      </c>
      <c r="AZ383" t="s">
        <v>4324</v>
      </c>
      <c r="BA383" t="s">
        <v>1942</v>
      </c>
      <c r="BD383" t="s">
        <v>398</v>
      </c>
      <c r="BE383" t="s">
        <v>393</v>
      </c>
      <c r="BF383">
        <v>32046</v>
      </c>
      <c r="BG383" t="s">
        <v>4325</v>
      </c>
      <c r="BH383" t="s">
        <v>400</v>
      </c>
      <c r="BI383">
        <v>-81.939296474273505</v>
      </c>
      <c r="BJ383">
        <v>30.703573509218099</v>
      </c>
      <c r="BK383" t="s">
        <v>4326</v>
      </c>
      <c r="BM383" t="s">
        <v>4327</v>
      </c>
      <c r="BN383" t="s">
        <v>4328</v>
      </c>
      <c r="BO383">
        <v>35768</v>
      </c>
      <c r="BP383" t="s">
        <v>404</v>
      </c>
      <c r="BQ383">
        <v>200</v>
      </c>
      <c r="BR383" t="s">
        <v>405</v>
      </c>
      <c r="BS383">
        <v>1006</v>
      </c>
      <c r="BT383" t="s">
        <v>406</v>
      </c>
      <c r="BW383">
        <v>108900</v>
      </c>
      <c r="BX383" t="s">
        <v>407</v>
      </c>
      <c r="BZ383">
        <v>4</v>
      </c>
      <c r="CA383">
        <v>1984</v>
      </c>
      <c r="CB383">
        <v>1</v>
      </c>
      <c r="CC383">
        <v>1</v>
      </c>
      <c r="CD383">
        <v>2017</v>
      </c>
      <c r="CE383">
        <v>19500</v>
      </c>
      <c r="CF383">
        <v>12140</v>
      </c>
      <c r="CG383">
        <v>31640</v>
      </c>
      <c r="CH383">
        <v>2017</v>
      </c>
      <c r="CI383">
        <v>19500</v>
      </c>
      <c r="CJ383">
        <v>12140</v>
      </c>
      <c r="CK383">
        <v>31640</v>
      </c>
      <c r="CL383">
        <v>2017</v>
      </c>
      <c r="CM383">
        <v>441.86</v>
      </c>
      <c r="CN383" s="1">
        <v>41913</v>
      </c>
      <c r="CV383">
        <v>0</v>
      </c>
      <c r="CZ383" s="1">
        <v>41913</v>
      </c>
      <c r="DA383">
        <v>0</v>
      </c>
      <c r="DD383" t="s">
        <v>398</v>
      </c>
      <c r="DF383">
        <v>11</v>
      </c>
      <c r="DG383">
        <v>5</v>
      </c>
      <c r="DL383">
        <v>50400</v>
      </c>
      <c r="DM383" t="s">
        <v>4203</v>
      </c>
      <c r="DO383" t="s">
        <v>4329</v>
      </c>
      <c r="DP383">
        <v>0</v>
      </c>
      <c r="DQ383">
        <v>0</v>
      </c>
      <c r="DR383" t="s">
        <v>411</v>
      </c>
      <c r="EP383" t="s">
        <v>595</v>
      </c>
      <c r="EQ383" t="s">
        <v>422</v>
      </c>
      <c r="ER383">
        <v>0</v>
      </c>
      <c r="ES383">
        <v>3</v>
      </c>
      <c r="ET383">
        <v>0</v>
      </c>
      <c r="EU383">
        <v>0</v>
      </c>
      <c r="EV383">
        <v>0</v>
      </c>
      <c r="EW383" s="2">
        <v>43222</v>
      </c>
      <c r="EX383" s="1">
        <v>42879</v>
      </c>
      <c r="EY383">
        <v>2016</v>
      </c>
      <c r="EZ383">
        <v>515.47</v>
      </c>
      <c r="FA383" t="s">
        <v>4330</v>
      </c>
      <c r="FB383">
        <v>0.25</v>
      </c>
      <c r="FC383" t="s">
        <v>424</v>
      </c>
      <c r="FD383" t="s">
        <v>425</v>
      </c>
      <c r="FE383" s="1">
        <v>42901</v>
      </c>
      <c r="FF383">
        <v>1</v>
      </c>
      <c r="FG383">
        <v>2851116</v>
      </c>
      <c r="FH383" t="s">
        <v>480</v>
      </c>
      <c r="FJ383" s="1">
        <v>42879</v>
      </c>
      <c r="FK383">
        <v>2016</v>
      </c>
      <c r="FL383">
        <v>515.47</v>
      </c>
      <c r="FM383" t="s">
        <v>4330</v>
      </c>
      <c r="FN383">
        <v>0.25</v>
      </c>
      <c r="FO383" t="s">
        <v>424</v>
      </c>
      <c r="FP383" t="s">
        <v>425</v>
      </c>
      <c r="FR383">
        <v>22</v>
      </c>
      <c r="FS383">
        <v>5088561</v>
      </c>
      <c r="FT383" t="s">
        <v>4331</v>
      </c>
      <c r="FV383" s="1">
        <v>41052</v>
      </c>
      <c r="FW383">
        <v>2011</v>
      </c>
      <c r="FX383">
        <v>157.91</v>
      </c>
      <c r="FY383" t="s">
        <v>4332</v>
      </c>
      <c r="FZ383">
        <v>18</v>
      </c>
      <c r="GA383" t="s">
        <v>603</v>
      </c>
      <c r="GB383" t="s">
        <v>425</v>
      </c>
      <c r="GC383" s="1">
        <v>41075</v>
      </c>
      <c r="GD383">
        <v>1</v>
      </c>
      <c r="GE383">
        <v>9999999</v>
      </c>
      <c r="GF383" t="s">
        <v>604</v>
      </c>
    </row>
    <row r="384" spans="1:296" x14ac:dyDescent="0.25">
      <c r="A384">
        <v>16485391</v>
      </c>
      <c r="B384">
        <v>383</v>
      </c>
      <c r="C384" t="s">
        <v>393</v>
      </c>
      <c r="D384" t="s">
        <v>394</v>
      </c>
      <c r="F384" t="str">
        <f>"05-3N-24-2020-0011-0030"</f>
        <v>05-3N-24-2020-0011-0030</v>
      </c>
      <c r="H384" t="str">
        <f>"DAY KATRIENA V E EST C/O ROBERT ROWE"</f>
        <v>DAY KATRIENA V E EST C/O ROBERT ROWE</v>
      </c>
      <c r="I384" t="str">
        <f>"27093 ROWE LANE"</f>
        <v>27093 ROWE LANE</v>
      </c>
      <c r="J384" t="str">
        <f>"HILLIARD FL 32046"</f>
        <v>HILLIARD FL 32046</v>
      </c>
      <c r="K384" t="str">
        <f>"ROWE LN"</f>
        <v>ROWE LN</v>
      </c>
      <c r="L384" t="str">
        <f t="shared" si="114"/>
        <v>HILLIARD FL 32046</v>
      </c>
      <c r="M384" t="str">
        <f>"PT OF LOT 11 CASE 99-1071-CA IN OR 818 PG 821 CORNWALL SURVEY"</f>
        <v>PT OF LOT 11 CASE 99-1071-CA IN OR 818 PG 821 CORNWALL SURVEY</v>
      </c>
      <c r="N384" t="str">
        <f>""</f>
        <v/>
      </c>
      <c r="O384" t="str">
        <f>"21483"</f>
        <v>21483</v>
      </c>
      <c r="P384" t="str">
        <f t="shared" si="101"/>
        <v>2017</v>
      </c>
      <c r="Q384" t="str">
        <f>""</f>
        <v/>
      </c>
      <c r="R384" t="str">
        <f t="shared" si="116"/>
        <v>N</v>
      </c>
      <c r="S384" t="str">
        <f>"2.50"</f>
        <v>2.50</v>
      </c>
      <c r="T384" t="str">
        <f>"272.33"</f>
        <v>272.33</v>
      </c>
      <c r="U384" t="str">
        <f>"19500.00"</f>
        <v>19500.00</v>
      </c>
      <c r="V384" t="str">
        <f>"19500.00"</f>
        <v>19500.00</v>
      </c>
      <c r="W384" t="str">
        <f t="shared" si="102"/>
        <v>2017</v>
      </c>
      <c r="X384" t="str">
        <f>"18.43"</f>
        <v>18.43</v>
      </c>
      <c r="Y384" t="str">
        <f>"312.50"</f>
        <v>312.50</v>
      </c>
      <c r="Z384" t="str">
        <f>""</f>
        <v/>
      </c>
      <c r="AA384" t="str">
        <f>"19500.00"</f>
        <v>19500.00</v>
      </c>
      <c r="AB384" t="str">
        <f t="shared" si="117"/>
        <v>Residential</v>
      </c>
      <c r="AC384" t="str">
        <f t="shared" si="104"/>
        <v>0</v>
      </c>
      <c r="AD384" t="str">
        <f>""</f>
        <v/>
      </c>
      <c r="AE384" t="str">
        <f>""</f>
        <v/>
      </c>
      <c r="AF384" t="str">
        <f>"000"</f>
        <v>000</v>
      </c>
      <c r="AG384" t="str">
        <f t="shared" ref="AG384:AG404" si="118">"FL"</f>
        <v>FL</v>
      </c>
      <c r="AH384" t="str">
        <f>"108900.00"</f>
        <v>108900.00</v>
      </c>
      <c r="AI384" t="str">
        <f>"19500.00"</f>
        <v>19500.00</v>
      </c>
      <c r="AJ384" t="str">
        <f>"C55-000-586-6278-4"</f>
        <v>C55-000-586-6278-4</v>
      </c>
      <c r="AK384" t="str">
        <f>"5910"</f>
        <v>5910</v>
      </c>
      <c r="AL384">
        <v>2</v>
      </c>
      <c r="AM384">
        <v>450</v>
      </c>
      <c r="AN384">
        <v>326.52999999999997</v>
      </c>
      <c r="AQ384" t="s">
        <v>4333</v>
      </c>
      <c r="AR384" t="s">
        <v>4333</v>
      </c>
      <c r="AS384" t="s">
        <v>4333</v>
      </c>
      <c r="AU384" t="s">
        <v>396</v>
      </c>
      <c r="AV384">
        <v>2017</v>
      </c>
      <c r="AW384" t="str">
        <f>"05-3N-24-2020-0011-0030 "</f>
        <v xml:space="preserve">05-3N-24-2020-0011-0030 </v>
      </c>
      <c r="AZ384" t="s">
        <v>1614</v>
      </c>
      <c r="BA384" t="s">
        <v>653</v>
      </c>
      <c r="BD384" t="s">
        <v>398</v>
      </c>
      <c r="BE384" t="s">
        <v>393</v>
      </c>
      <c r="BF384">
        <v>32046</v>
      </c>
      <c r="BG384" t="s">
        <v>4334</v>
      </c>
      <c r="BH384" t="s">
        <v>400</v>
      </c>
      <c r="BI384">
        <v>-81.936178453583693</v>
      </c>
      <c r="BJ384">
        <v>30.703644721588098</v>
      </c>
      <c r="BK384" t="s">
        <v>4335</v>
      </c>
      <c r="BL384" t="s">
        <v>4336</v>
      </c>
      <c r="BM384" t="s">
        <v>4313</v>
      </c>
      <c r="BN384" t="s">
        <v>403</v>
      </c>
      <c r="BO384">
        <v>32046</v>
      </c>
      <c r="BP384" t="s">
        <v>404</v>
      </c>
      <c r="BQ384">
        <v>0</v>
      </c>
      <c r="BR384" t="s">
        <v>491</v>
      </c>
      <c r="BS384">
        <v>8001</v>
      </c>
      <c r="BT384" t="s">
        <v>492</v>
      </c>
      <c r="BW384">
        <v>108900</v>
      </c>
      <c r="BX384" t="s">
        <v>407</v>
      </c>
      <c r="CD384">
        <v>2017</v>
      </c>
      <c r="CE384">
        <v>19500</v>
      </c>
      <c r="CG384">
        <v>19500</v>
      </c>
      <c r="CH384">
        <v>2017</v>
      </c>
      <c r="CI384">
        <v>19500</v>
      </c>
      <c r="CK384">
        <v>19500</v>
      </c>
      <c r="CL384">
        <v>2017</v>
      </c>
      <c r="CM384">
        <v>272.33</v>
      </c>
      <c r="CN384" s="1">
        <v>35794</v>
      </c>
      <c r="CZ384" s="1">
        <v>35794</v>
      </c>
      <c r="DD384" t="s">
        <v>398</v>
      </c>
      <c r="DF384">
        <v>11</v>
      </c>
      <c r="DG384">
        <v>5</v>
      </c>
      <c r="DJ384" t="s">
        <v>1990</v>
      </c>
      <c r="DL384">
        <v>50400</v>
      </c>
      <c r="DM384" t="s">
        <v>4203</v>
      </c>
      <c r="DO384" t="s">
        <v>4337</v>
      </c>
      <c r="DP384">
        <v>0</v>
      </c>
      <c r="DQ384">
        <v>0</v>
      </c>
      <c r="DR384" t="s">
        <v>411</v>
      </c>
      <c r="DS384" t="b">
        <v>1</v>
      </c>
      <c r="DT384" t="s">
        <v>470</v>
      </c>
      <c r="DU384" t="s">
        <v>471</v>
      </c>
      <c r="DV384" t="s">
        <v>472</v>
      </c>
      <c r="DX384">
        <v>-9999</v>
      </c>
      <c r="DZ384" t="s">
        <v>447</v>
      </c>
      <c r="EA384" t="s">
        <v>448</v>
      </c>
      <c r="EB384" t="s">
        <v>1224</v>
      </c>
      <c r="EC384">
        <v>20101217</v>
      </c>
      <c r="ED384" t="s">
        <v>474</v>
      </c>
      <c r="EF384">
        <v>1872.4</v>
      </c>
      <c r="EG384">
        <v>1872.4</v>
      </c>
      <c r="EI384">
        <v>20160407</v>
      </c>
      <c r="EJ384">
        <v>0</v>
      </c>
      <c r="EK384">
        <v>0</v>
      </c>
      <c r="EP384" t="s">
        <v>421</v>
      </c>
      <c r="EQ384" t="s">
        <v>422</v>
      </c>
      <c r="ER384">
        <v>1</v>
      </c>
      <c r="ES384">
        <v>6</v>
      </c>
      <c r="ET384">
        <v>326.76</v>
      </c>
      <c r="EU384">
        <v>22.59</v>
      </c>
      <c r="EV384">
        <v>349.35</v>
      </c>
      <c r="EW384" s="2">
        <v>43222</v>
      </c>
      <c r="EX384" s="1">
        <v>42879</v>
      </c>
      <c r="EY384">
        <v>2016</v>
      </c>
      <c r="EZ384">
        <v>326.76</v>
      </c>
      <c r="FA384" t="s">
        <v>4338</v>
      </c>
      <c r="FB384">
        <v>4.75</v>
      </c>
      <c r="FC384" t="s">
        <v>424</v>
      </c>
      <c r="FD384" t="s">
        <v>454</v>
      </c>
      <c r="FF384">
        <v>12</v>
      </c>
      <c r="FG384">
        <v>10021</v>
      </c>
      <c r="FH384" t="s">
        <v>597</v>
      </c>
      <c r="FJ384" s="1">
        <v>42515</v>
      </c>
      <c r="FK384">
        <v>2015</v>
      </c>
      <c r="FL384">
        <v>316.79000000000002</v>
      </c>
      <c r="FM384" t="s">
        <v>4339</v>
      </c>
      <c r="FN384">
        <v>14.75</v>
      </c>
      <c r="FO384" t="s">
        <v>424</v>
      </c>
      <c r="FP384" t="s">
        <v>425</v>
      </c>
      <c r="FQ384" s="1">
        <v>43154</v>
      </c>
      <c r="FR384">
        <v>21</v>
      </c>
      <c r="FS384">
        <v>7336143</v>
      </c>
      <c r="FT384" t="s">
        <v>539</v>
      </c>
      <c r="FV384" s="1">
        <v>42151</v>
      </c>
      <c r="FW384">
        <v>2014</v>
      </c>
      <c r="FX384">
        <v>280.39</v>
      </c>
      <c r="FY384" t="s">
        <v>4340</v>
      </c>
      <c r="FZ384">
        <v>4.75</v>
      </c>
      <c r="GA384" t="s">
        <v>424</v>
      </c>
      <c r="GB384" t="s">
        <v>425</v>
      </c>
      <c r="GC384" s="1">
        <v>42774</v>
      </c>
      <c r="GD384">
        <v>21</v>
      </c>
      <c r="GE384">
        <v>10003</v>
      </c>
      <c r="GF384" t="s">
        <v>4341</v>
      </c>
      <c r="GH384" s="1">
        <v>41787</v>
      </c>
      <c r="GI384">
        <v>2013</v>
      </c>
      <c r="GJ384">
        <v>265.73</v>
      </c>
      <c r="GK384" t="s">
        <v>4342</v>
      </c>
      <c r="GL384">
        <v>7.75</v>
      </c>
      <c r="GM384" t="s">
        <v>424</v>
      </c>
      <c r="GN384" t="s">
        <v>425</v>
      </c>
      <c r="GO384" s="1">
        <v>42160</v>
      </c>
      <c r="GP384">
        <v>13</v>
      </c>
      <c r="GQ384">
        <v>10125</v>
      </c>
      <c r="GR384" t="s">
        <v>440</v>
      </c>
      <c r="GT384" s="1">
        <v>41052</v>
      </c>
      <c r="GU384">
        <v>2011</v>
      </c>
      <c r="GV384">
        <v>353.11</v>
      </c>
      <c r="GW384" t="s">
        <v>4343</v>
      </c>
      <c r="GX384">
        <v>11.75</v>
      </c>
      <c r="GY384" t="s">
        <v>424</v>
      </c>
      <c r="GZ384" t="s">
        <v>425</v>
      </c>
      <c r="HA384" s="1">
        <v>41318</v>
      </c>
      <c r="HB384">
        <v>9</v>
      </c>
      <c r="HC384">
        <v>10125</v>
      </c>
      <c r="HD384" t="s">
        <v>440</v>
      </c>
      <c r="HF384" s="1">
        <v>40688</v>
      </c>
      <c r="HG384">
        <v>2010</v>
      </c>
      <c r="HH384">
        <v>392.04</v>
      </c>
      <c r="HI384" t="s">
        <v>4344</v>
      </c>
      <c r="HJ384">
        <v>8.25</v>
      </c>
      <c r="HK384" t="s">
        <v>424</v>
      </c>
      <c r="HL384" t="s">
        <v>425</v>
      </c>
      <c r="HM384" s="1">
        <v>41318</v>
      </c>
      <c r="HN384">
        <v>21</v>
      </c>
      <c r="HO384">
        <v>15175</v>
      </c>
      <c r="HP384" t="s">
        <v>588</v>
      </c>
      <c r="HR384" s="1">
        <v>40688</v>
      </c>
      <c r="HS384">
        <v>2010</v>
      </c>
      <c r="HT384">
        <v>392.04</v>
      </c>
      <c r="HU384" t="s">
        <v>4344</v>
      </c>
      <c r="HV384">
        <v>8.25</v>
      </c>
      <c r="HW384" t="s">
        <v>424</v>
      </c>
      <c r="HX384" t="s">
        <v>425</v>
      </c>
      <c r="HZ384">
        <v>22</v>
      </c>
      <c r="IA384">
        <v>10548</v>
      </c>
      <c r="IB384" t="s">
        <v>589</v>
      </c>
    </row>
    <row r="385" spans="1:308" x14ac:dyDescent="0.25">
      <c r="A385">
        <v>16485392</v>
      </c>
      <c r="B385">
        <v>384</v>
      </c>
      <c r="C385" t="s">
        <v>393</v>
      </c>
      <c r="D385" t="s">
        <v>394</v>
      </c>
      <c r="F385" t="str">
        <f>"05-3N-24-2020-0012-0010"</f>
        <v>05-3N-24-2020-0012-0010</v>
      </c>
      <c r="H385" t="str">
        <f>"BELL SENIE D"</f>
        <v>BELL SENIE D</v>
      </c>
      <c r="I385" t="str">
        <f>"35041 DUCK POND CT"</f>
        <v>35041 DUCK POND CT</v>
      </c>
      <c r="J385" t="str">
        <f>"CALLAHAN FL 32011"</f>
        <v>CALLAHAN FL 32011</v>
      </c>
      <c r="K385" t="str">
        <f>"271315 GEORGIA ST"</f>
        <v>271315 GEORGIA ST</v>
      </c>
      <c r="L385" t="str">
        <f t="shared" si="114"/>
        <v>HILLIARD FL 32046</v>
      </c>
      <c r="M385" t="str">
        <f>"N1/2 OF LOT 12 IN OR 1433/1230 ESMT OR 1726/281 CORNWALL SURVEY"</f>
        <v>N1/2 OF LOT 12 IN OR 1433/1230 ESMT OR 1726/281 CORNWALL SURVEY</v>
      </c>
      <c r="N385" t="str">
        <f>""</f>
        <v/>
      </c>
      <c r="O385" t="str">
        <f>"21485"</f>
        <v>21485</v>
      </c>
      <c r="P385" t="str">
        <f t="shared" si="101"/>
        <v>2017</v>
      </c>
      <c r="Q385" t="str">
        <f>""</f>
        <v/>
      </c>
      <c r="R385" t="str">
        <f t="shared" si="116"/>
        <v>N</v>
      </c>
      <c r="S385" t="str">
        <f>"5.05"</f>
        <v>5.05</v>
      </c>
      <c r="T385" t="str">
        <f>"542.19"</f>
        <v>542.19</v>
      </c>
      <c r="U385" t="str">
        <f>"37412.00"</f>
        <v>37412.00</v>
      </c>
      <c r="V385" t="str">
        <f>"37412.00"</f>
        <v>37412.00</v>
      </c>
      <c r="W385" t="str">
        <f t="shared" si="102"/>
        <v>2017</v>
      </c>
      <c r="X385" t="str">
        <f>"7.00"</f>
        <v>7.00</v>
      </c>
      <c r="Y385" t="str">
        <f>"590.46"</f>
        <v>590.46</v>
      </c>
      <c r="Z385" t="str">
        <f>""</f>
        <v/>
      </c>
      <c r="AA385" t="str">
        <f>"40400.00"</f>
        <v>40400.00</v>
      </c>
      <c r="AB385" t="str">
        <f t="shared" si="117"/>
        <v>Residential</v>
      </c>
      <c r="AC385" t="str">
        <f t="shared" si="104"/>
        <v>0</v>
      </c>
      <c r="AD385" t="str">
        <f>""</f>
        <v/>
      </c>
      <c r="AE385" t="str">
        <f>""</f>
        <v/>
      </c>
      <c r="AF385" t="str">
        <f>"000"</f>
        <v>000</v>
      </c>
      <c r="AG385" t="str">
        <f t="shared" si="118"/>
        <v>FL</v>
      </c>
      <c r="AH385" t="str">
        <f>"219978.00"</f>
        <v>219978.00</v>
      </c>
      <c r="AI385" t="str">
        <f>"40400.00"</f>
        <v>40400.00</v>
      </c>
      <c r="AJ385" t="str">
        <f>"C55-000-976-7972-4"</f>
        <v>C55-000-976-7972-4</v>
      </c>
      <c r="AK385" t="str">
        <f>"5912"</f>
        <v>5912</v>
      </c>
      <c r="AL385">
        <v>2</v>
      </c>
      <c r="AM385">
        <v>451</v>
      </c>
      <c r="AN385">
        <v>618.38</v>
      </c>
      <c r="AQ385" t="s">
        <v>4345</v>
      </c>
      <c r="AR385" t="s">
        <v>4345</v>
      </c>
      <c r="AS385" t="s">
        <v>4345</v>
      </c>
      <c r="AU385" t="s">
        <v>396</v>
      </c>
      <c r="AV385">
        <v>2017</v>
      </c>
      <c r="AW385" t="str">
        <f>"05-3N-24-2020-0012-0010 "</f>
        <v xml:space="preserve">05-3N-24-2020-0012-0010 </v>
      </c>
      <c r="AX385">
        <v>271315</v>
      </c>
      <c r="AZ385" t="s">
        <v>4324</v>
      </c>
      <c r="BA385" t="s">
        <v>1942</v>
      </c>
      <c r="BD385" t="s">
        <v>398</v>
      </c>
      <c r="BE385" t="s">
        <v>393</v>
      </c>
      <c r="BF385">
        <v>32046</v>
      </c>
      <c r="BG385" t="s">
        <v>4346</v>
      </c>
      <c r="BH385" t="s">
        <v>400</v>
      </c>
      <c r="BI385">
        <v>-81.9376981200503</v>
      </c>
      <c r="BJ385">
        <v>30.7029290464795</v>
      </c>
      <c r="BK385" t="s">
        <v>4347</v>
      </c>
      <c r="BM385" t="s">
        <v>4348</v>
      </c>
      <c r="BN385" t="s">
        <v>928</v>
      </c>
      <c r="BO385">
        <v>32011</v>
      </c>
      <c r="BP385" t="s">
        <v>404</v>
      </c>
      <c r="BQ385">
        <v>0</v>
      </c>
      <c r="BR385" t="s">
        <v>491</v>
      </c>
      <c r="BS385">
        <v>8001</v>
      </c>
      <c r="BT385" t="s">
        <v>492</v>
      </c>
      <c r="BW385">
        <v>219978</v>
      </c>
      <c r="BX385" t="s">
        <v>407</v>
      </c>
      <c r="BY385" t="s">
        <v>408</v>
      </c>
      <c r="CD385">
        <v>2017</v>
      </c>
      <c r="CE385">
        <v>40400</v>
      </c>
      <c r="CG385">
        <v>40400</v>
      </c>
      <c r="CH385">
        <v>2017</v>
      </c>
      <c r="CI385">
        <v>40400</v>
      </c>
      <c r="CK385">
        <v>40400</v>
      </c>
      <c r="CL385">
        <v>2017</v>
      </c>
      <c r="CM385">
        <v>542.19000000000005</v>
      </c>
      <c r="CN385" s="1">
        <v>38930</v>
      </c>
      <c r="CZ385" s="1">
        <v>38930</v>
      </c>
      <c r="DD385" t="s">
        <v>398</v>
      </c>
      <c r="DF385">
        <v>12</v>
      </c>
      <c r="DG385">
        <v>5</v>
      </c>
      <c r="DL385">
        <v>50400</v>
      </c>
      <c r="DM385" t="s">
        <v>4203</v>
      </c>
      <c r="DO385" t="s">
        <v>4349</v>
      </c>
      <c r="DP385">
        <v>0</v>
      </c>
      <c r="DQ385">
        <v>0</v>
      </c>
      <c r="DR385" t="s">
        <v>411</v>
      </c>
      <c r="DS385" t="s">
        <v>695</v>
      </c>
      <c r="EJ385">
        <v>0</v>
      </c>
      <c r="EK385">
        <v>0</v>
      </c>
      <c r="EP385" t="s">
        <v>421</v>
      </c>
      <c r="EQ385" t="s">
        <v>422</v>
      </c>
      <c r="ER385">
        <v>0</v>
      </c>
      <c r="ES385">
        <v>5</v>
      </c>
      <c r="ET385">
        <v>0</v>
      </c>
      <c r="EU385">
        <v>0</v>
      </c>
      <c r="EV385">
        <v>0</v>
      </c>
      <c r="EW385" s="2">
        <v>43222</v>
      </c>
      <c r="EX385" s="1">
        <v>42879</v>
      </c>
      <c r="EY385">
        <v>2016</v>
      </c>
      <c r="EZ385">
        <v>596.74</v>
      </c>
      <c r="FA385" t="s">
        <v>4350</v>
      </c>
      <c r="FB385">
        <v>0.25</v>
      </c>
      <c r="FC385" t="s">
        <v>424</v>
      </c>
      <c r="FD385" t="s">
        <v>425</v>
      </c>
      <c r="FE385" s="1">
        <v>42944</v>
      </c>
      <c r="FF385">
        <v>2</v>
      </c>
      <c r="FG385">
        <v>7045081</v>
      </c>
      <c r="FH385" t="s">
        <v>4351</v>
      </c>
      <c r="FJ385" s="1">
        <v>42151</v>
      </c>
      <c r="FK385">
        <v>2014</v>
      </c>
      <c r="FL385">
        <v>530.38</v>
      </c>
      <c r="FM385" t="s">
        <v>4352</v>
      </c>
      <c r="FN385">
        <v>0.25</v>
      </c>
      <c r="FO385" t="s">
        <v>424</v>
      </c>
      <c r="FP385" t="s">
        <v>425</v>
      </c>
      <c r="FQ385" s="1">
        <v>42480</v>
      </c>
      <c r="FR385">
        <v>11</v>
      </c>
      <c r="FS385">
        <v>13026</v>
      </c>
      <c r="FT385" t="s">
        <v>2129</v>
      </c>
      <c r="FV385" s="1">
        <v>42151</v>
      </c>
      <c r="FW385">
        <v>2014</v>
      </c>
      <c r="FX385">
        <v>530.38</v>
      </c>
      <c r="FY385" t="s">
        <v>4352</v>
      </c>
      <c r="FZ385">
        <v>0.25</v>
      </c>
      <c r="GA385" t="s">
        <v>424</v>
      </c>
      <c r="GB385" t="s">
        <v>425</v>
      </c>
      <c r="GD385">
        <v>22</v>
      </c>
      <c r="GE385">
        <v>4699289</v>
      </c>
      <c r="GF385" t="s">
        <v>4353</v>
      </c>
      <c r="GH385" s="1">
        <v>41423</v>
      </c>
      <c r="GI385">
        <v>2012</v>
      </c>
      <c r="GJ385">
        <v>375.19</v>
      </c>
      <c r="GK385" t="s">
        <v>4354</v>
      </c>
      <c r="GL385">
        <v>5.75</v>
      </c>
      <c r="GM385" t="s">
        <v>424</v>
      </c>
      <c r="GN385" t="s">
        <v>425</v>
      </c>
      <c r="GO385" s="1">
        <v>41543</v>
      </c>
      <c r="GP385">
        <v>4</v>
      </c>
      <c r="GQ385">
        <v>2101381</v>
      </c>
      <c r="GR385" t="s">
        <v>605</v>
      </c>
      <c r="GT385" s="1">
        <v>40688</v>
      </c>
      <c r="GU385">
        <v>2010</v>
      </c>
      <c r="GV385">
        <v>484.18</v>
      </c>
      <c r="GW385" t="s">
        <v>4355</v>
      </c>
      <c r="GX385">
        <v>5.75</v>
      </c>
      <c r="GY385" t="s">
        <v>424</v>
      </c>
      <c r="GZ385" t="s">
        <v>425</v>
      </c>
      <c r="HA385" s="1">
        <v>41030</v>
      </c>
      <c r="HB385">
        <v>12</v>
      </c>
      <c r="HC385">
        <v>10591</v>
      </c>
      <c r="HD385" t="s">
        <v>4254</v>
      </c>
    </row>
    <row r="386" spans="1:308" x14ac:dyDescent="0.25">
      <c r="A386">
        <v>16485393</v>
      </c>
      <c r="B386">
        <v>385</v>
      </c>
      <c r="C386" t="s">
        <v>393</v>
      </c>
      <c r="D386" t="s">
        <v>394</v>
      </c>
      <c r="F386" t="str">
        <f>"05-3N-24-2330-0026-0000"</f>
        <v>05-3N-24-2330-0026-0000</v>
      </c>
      <c r="H386" t="str">
        <f>"COBB LINDA L EST"</f>
        <v>COBB LINDA L EST</v>
      </c>
      <c r="I386" t="str">
        <f>"27245 KARA CIR"</f>
        <v>27245 KARA CIR</v>
      </c>
      <c r="J386" t="str">
        <f>"HILLIARD FL 32046"</f>
        <v>HILLIARD FL 32046</v>
      </c>
      <c r="K386" t="str">
        <f>"27245 KARA CIR"</f>
        <v>27245 KARA CIR</v>
      </c>
      <c r="L386" t="str">
        <f t="shared" si="114"/>
        <v>HILLIARD FL 32046</v>
      </c>
      <c r="M386" t="str">
        <f>"LOT 26 IN OR 840/247 ESMT PT OR 1861/825 KARA ACRES UNR SUB"</f>
        <v>LOT 26 IN OR 840/247 ESMT PT OR 1861/825 KARA ACRES UNR SUB</v>
      </c>
      <c r="N386" t="str">
        <f>""</f>
        <v/>
      </c>
      <c r="O386" t="str">
        <f>"21520"</f>
        <v>21520</v>
      </c>
      <c r="P386" t="str">
        <f t="shared" ref="P386:P449" si="119">"2017"</f>
        <v>2017</v>
      </c>
      <c r="Q386" t="str">
        <f>""</f>
        <v/>
      </c>
      <c r="R386" t="str">
        <f t="shared" si="116"/>
        <v>N</v>
      </c>
      <c r="S386" t="str">
        <f>""</f>
        <v/>
      </c>
      <c r="T386" t="str">
        <f>"288.38"</f>
        <v>288.38</v>
      </c>
      <c r="U386" t="str">
        <f>"18700.00"</f>
        <v>18700.00</v>
      </c>
      <c r="V386" t="str">
        <f>"18700.00"</f>
        <v>18700.00</v>
      </c>
      <c r="W386" t="str">
        <f t="shared" ref="W386:W449" si="120">"2017"</f>
        <v>2017</v>
      </c>
      <c r="X386" t="str">
        <f>"21.33"</f>
        <v>21.33</v>
      </c>
      <c r="Y386" t="str">
        <f>"329.03"</f>
        <v>329.03</v>
      </c>
      <c r="Z386" t="str">
        <f>""</f>
        <v/>
      </c>
      <c r="AA386" t="str">
        <f>"19500.00"</f>
        <v>19500.00</v>
      </c>
      <c r="AB386" t="str">
        <f t="shared" si="117"/>
        <v>Residential</v>
      </c>
      <c r="AC386" t="str">
        <f t="shared" ref="AC386:AC449" si="121">"0"</f>
        <v>0</v>
      </c>
      <c r="AD386" t="str">
        <f>""</f>
        <v/>
      </c>
      <c r="AE386" t="str">
        <f>""</f>
        <v/>
      </c>
      <c r="AF386" t="str">
        <f>"000"</f>
        <v>000</v>
      </c>
      <c r="AG386" t="str">
        <f t="shared" si="118"/>
        <v>FL</v>
      </c>
      <c r="AH386" t="str">
        <f>"-"</f>
        <v>-</v>
      </c>
      <c r="AI386" t="str">
        <f>"12000.00"</f>
        <v>12000.00</v>
      </c>
      <c r="AJ386" t="str">
        <f>"C55-000-586-6308-9"</f>
        <v>C55-000-586-6308-9</v>
      </c>
      <c r="AK386" t="str">
        <f>"5944"</f>
        <v>5944</v>
      </c>
      <c r="AL386">
        <v>2</v>
      </c>
      <c r="AM386">
        <v>452</v>
      </c>
      <c r="AN386">
        <v>343.88</v>
      </c>
      <c r="AQ386" t="s">
        <v>4356</v>
      </c>
      <c r="AR386" t="s">
        <v>4356</v>
      </c>
      <c r="AS386" t="s">
        <v>4356</v>
      </c>
      <c r="AU386" t="s">
        <v>396</v>
      </c>
      <c r="AV386">
        <v>2017</v>
      </c>
      <c r="AW386" t="str">
        <f>"05-3N-24-2330-0026-0000 "</f>
        <v xml:space="preserve">05-3N-24-2330-0026-0000 </v>
      </c>
      <c r="AX386">
        <v>27245</v>
      </c>
      <c r="AZ386" t="s">
        <v>4357</v>
      </c>
      <c r="BA386" t="s">
        <v>1799</v>
      </c>
      <c r="BD386" t="s">
        <v>398</v>
      </c>
      <c r="BE386" t="s">
        <v>393</v>
      </c>
      <c r="BF386">
        <v>32046</v>
      </c>
      <c r="BG386" t="s">
        <v>4358</v>
      </c>
      <c r="BH386" t="s">
        <v>400</v>
      </c>
      <c r="BI386">
        <v>-81.933564621362194</v>
      </c>
      <c r="BJ386">
        <v>30.710615851883901</v>
      </c>
      <c r="BK386" t="s">
        <v>4359</v>
      </c>
      <c r="BM386" t="s">
        <v>4358</v>
      </c>
      <c r="BN386" t="s">
        <v>403</v>
      </c>
      <c r="BO386">
        <v>32046</v>
      </c>
      <c r="BP386" t="s">
        <v>416</v>
      </c>
      <c r="BQ386">
        <v>1</v>
      </c>
      <c r="BR386" t="s">
        <v>491</v>
      </c>
      <c r="BS386">
        <v>8001</v>
      </c>
      <c r="BT386" t="s">
        <v>492</v>
      </c>
      <c r="BW386">
        <v>15810</v>
      </c>
      <c r="BX386" t="s">
        <v>407</v>
      </c>
      <c r="BY386" t="s">
        <v>4360</v>
      </c>
      <c r="CB386">
        <v>1</v>
      </c>
      <c r="CD386">
        <v>2017</v>
      </c>
      <c r="CE386">
        <v>12000</v>
      </c>
      <c r="CF386">
        <v>7500</v>
      </c>
      <c r="CG386">
        <v>19500</v>
      </c>
      <c r="CH386">
        <v>2017</v>
      </c>
      <c r="CI386">
        <v>12000</v>
      </c>
      <c r="CJ386">
        <v>7500</v>
      </c>
      <c r="CK386">
        <v>19500</v>
      </c>
      <c r="CL386">
        <v>2017</v>
      </c>
      <c r="CM386">
        <v>288.38</v>
      </c>
      <c r="CN386" s="1">
        <v>35983</v>
      </c>
      <c r="CZ386" s="1">
        <v>35983</v>
      </c>
      <c r="DD386" t="s">
        <v>398</v>
      </c>
      <c r="DF386">
        <v>26</v>
      </c>
      <c r="DG386">
        <v>5</v>
      </c>
      <c r="DL386">
        <v>50400</v>
      </c>
      <c r="DM386" t="s">
        <v>4203</v>
      </c>
      <c r="DO386" t="s">
        <v>4361</v>
      </c>
      <c r="DP386">
        <v>0</v>
      </c>
      <c r="DQ386">
        <v>0</v>
      </c>
      <c r="DR386" t="s">
        <v>411</v>
      </c>
      <c r="EP386" t="s">
        <v>595</v>
      </c>
      <c r="EQ386" t="s">
        <v>452</v>
      </c>
      <c r="ER386">
        <v>0</v>
      </c>
      <c r="ES386">
        <v>3</v>
      </c>
      <c r="ET386">
        <v>0</v>
      </c>
      <c r="EU386">
        <v>0</v>
      </c>
      <c r="EV386">
        <v>0</v>
      </c>
      <c r="EW386" s="2">
        <v>43222</v>
      </c>
      <c r="EX386" s="1">
        <v>41052</v>
      </c>
      <c r="EY386">
        <v>2011</v>
      </c>
      <c r="EZ386">
        <v>59.87</v>
      </c>
      <c r="FA386" t="s">
        <v>4362</v>
      </c>
      <c r="FB386">
        <v>18</v>
      </c>
      <c r="FC386" t="s">
        <v>603</v>
      </c>
      <c r="FD386" t="s">
        <v>425</v>
      </c>
      <c r="FF386">
        <v>22</v>
      </c>
      <c r="FG386">
        <v>9999999</v>
      </c>
      <c r="FH386" t="s">
        <v>604</v>
      </c>
      <c r="FI386" t="s">
        <v>458</v>
      </c>
      <c r="FJ386" s="1">
        <v>41052</v>
      </c>
      <c r="FK386">
        <v>2011</v>
      </c>
      <c r="FL386">
        <v>114.61</v>
      </c>
      <c r="FM386" t="s">
        <v>4362</v>
      </c>
      <c r="FN386">
        <v>18</v>
      </c>
      <c r="FO386" t="s">
        <v>424</v>
      </c>
      <c r="FP386" t="s">
        <v>425</v>
      </c>
      <c r="FR386">
        <v>22</v>
      </c>
      <c r="FS386">
        <v>4844964</v>
      </c>
      <c r="FT386" t="s">
        <v>1788</v>
      </c>
      <c r="FU386" t="s">
        <v>458</v>
      </c>
      <c r="FV386" s="1">
        <v>40688</v>
      </c>
      <c r="FW386">
        <v>2010</v>
      </c>
      <c r="FX386">
        <v>45.25</v>
      </c>
      <c r="FY386" t="s">
        <v>4363</v>
      </c>
      <c r="FZ386">
        <v>18</v>
      </c>
      <c r="GA386" t="s">
        <v>603</v>
      </c>
      <c r="GB386" t="s">
        <v>425</v>
      </c>
      <c r="GC386" s="1">
        <v>40704</v>
      </c>
      <c r="GD386">
        <v>1</v>
      </c>
      <c r="GE386">
        <v>9999999</v>
      </c>
      <c r="GF386" t="s">
        <v>604</v>
      </c>
    </row>
    <row r="387" spans="1:308" x14ac:dyDescent="0.25">
      <c r="A387">
        <v>16485394</v>
      </c>
      <c r="B387">
        <v>386</v>
      </c>
      <c r="C387" t="s">
        <v>393</v>
      </c>
      <c r="D387" t="s">
        <v>394</v>
      </c>
      <c r="F387" t="str">
        <f>"05-3N-24-2340-0003-0020"</f>
        <v>05-3N-24-2340-0003-0020</v>
      </c>
      <c r="H387" t="str">
        <f>"DONLEY HOLMAN EST C/O HOLMAN DONLEY JR"</f>
        <v>DONLEY HOLMAN EST C/O HOLMAN DONLEY JR</v>
      </c>
      <c r="I387" t="str">
        <f>"P O BOX 340"</f>
        <v>P O BOX 340</v>
      </c>
      <c r="J387" t="str">
        <f>"CALLAHAN FL 32011"</f>
        <v>CALLAHAN FL 32011</v>
      </c>
      <c r="K387" t="str">
        <f>"371145 OXFORD ST"</f>
        <v>371145 OXFORD ST</v>
      </c>
      <c r="L387" t="str">
        <f t="shared" si="114"/>
        <v>HILLIARD FL 32046</v>
      </c>
      <c r="M387" t="str">
        <f>"S PT OF LOT 3 IN DB 268 PG 117 LINCOLN SUB"</f>
        <v>S PT OF LOT 3 IN DB 268 PG 117 LINCOLN SUB</v>
      </c>
      <c r="N387" t="str">
        <f>""</f>
        <v/>
      </c>
      <c r="O387" t="str">
        <f>"21526"</f>
        <v>21526</v>
      </c>
      <c r="P387" t="str">
        <f t="shared" si="119"/>
        <v>2017</v>
      </c>
      <c r="Q387" t="str">
        <f>""</f>
        <v/>
      </c>
      <c r="R387" t="str">
        <f t="shared" si="116"/>
        <v>N</v>
      </c>
      <c r="S387" t="str">
        <f>""</f>
        <v/>
      </c>
      <c r="T387" t="str">
        <f>"769.87"</f>
        <v>769.87</v>
      </c>
      <c r="U387" t="str">
        <f>"55127.00"</f>
        <v>55127.00</v>
      </c>
      <c r="V387" t="str">
        <f>"55127.00"</f>
        <v>55127.00</v>
      </c>
      <c r="W387" t="str">
        <f t="shared" si="120"/>
        <v>2017</v>
      </c>
      <c r="X387" t="str">
        <f>"42.44"</f>
        <v>42.44</v>
      </c>
      <c r="Y387" t="str">
        <f>"824.97"</f>
        <v>824.97</v>
      </c>
      <c r="Z387" t="str">
        <f>""</f>
        <v/>
      </c>
      <c r="AA387" t="str">
        <f>"55127.00"</f>
        <v>55127.00</v>
      </c>
      <c r="AB387" t="str">
        <f t="shared" si="117"/>
        <v>Residential</v>
      </c>
      <c r="AC387" t="str">
        <f t="shared" si="121"/>
        <v>0</v>
      </c>
      <c r="AD387" t="str">
        <f>"4"</f>
        <v>4</v>
      </c>
      <c r="AE387" t="str">
        <f>"WOOD (INCLUDE STEEL STUDS)"</f>
        <v>WOOD (INCLUDE STEEL STUDS)</v>
      </c>
      <c r="AF387" t="str">
        <f>"001"</f>
        <v>001</v>
      </c>
      <c r="AG387" t="str">
        <f t="shared" si="118"/>
        <v>FL</v>
      </c>
      <c r="AH387" t="str">
        <f>"33600.00"</f>
        <v>33600.00</v>
      </c>
      <c r="AI387" t="str">
        <f>"13765.00"</f>
        <v>13765.00</v>
      </c>
      <c r="AJ387" t="str">
        <f>"C55-000-586-6313-9"</f>
        <v>C55-000-586-6313-9</v>
      </c>
      <c r="AK387" t="str">
        <f>"5949"</f>
        <v>5949</v>
      </c>
      <c r="AL387">
        <v>2</v>
      </c>
      <c r="AM387">
        <v>453</v>
      </c>
      <c r="AN387">
        <v>864.62</v>
      </c>
      <c r="AQ387" t="s">
        <v>4364</v>
      </c>
      <c r="AR387" t="s">
        <v>4364</v>
      </c>
      <c r="AS387" t="s">
        <v>4364</v>
      </c>
      <c r="AU387" t="s">
        <v>396</v>
      </c>
      <c r="AV387">
        <v>2017</v>
      </c>
      <c r="AW387" t="str">
        <f>"05-3N-24-2340-0003-0020 "</f>
        <v xml:space="preserve">05-3N-24-2340-0003-0020 </v>
      </c>
      <c r="AX387">
        <v>371145</v>
      </c>
      <c r="AZ387" t="s">
        <v>4365</v>
      </c>
      <c r="BA387" t="s">
        <v>1942</v>
      </c>
      <c r="BD387" t="s">
        <v>398</v>
      </c>
      <c r="BE387" t="s">
        <v>393</v>
      </c>
      <c r="BF387">
        <v>32046</v>
      </c>
      <c r="BG387" t="s">
        <v>4366</v>
      </c>
      <c r="BH387" t="s">
        <v>400</v>
      </c>
      <c r="BI387">
        <v>-81.928473355751706</v>
      </c>
      <c r="BJ387">
        <v>30.700728822953302</v>
      </c>
      <c r="BK387" t="s">
        <v>4367</v>
      </c>
      <c r="BL387" t="s">
        <v>4368</v>
      </c>
      <c r="BM387" t="s">
        <v>4369</v>
      </c>
      <c r="BN387" t="s">
        <v>928</v>
      </c>
      <c r="BO387">
        <v>32011</v>
      </c>
      <c r="BP387" t="s">
        <v>404</v>
      </c>
      <c r="BQ387">
        <v>100</v>
      </c>
      <c r="BR387" t="s">
        <v>514</v>
      </c>
      <c r="BS387">
        <v>1001</v>
      </c>
      <c r="BT387" t="s">
        <v>515</v>
      </c>
      <c r="BU387">
        <v>805</v>
      </c>
      <c r="BV387">
        <v>0</v>
      </c>
      <c r="BW387">
        <v>34235</v>
      </c>
      <c r="BX387" t="s">
        <v>407</v>
      </c>
      <c r="BY387" t="s">
        <v>4370</v>
      </c>
      <c r="BZ387">
        <v>4</v>
      </c>
      <c r="CA387">
        <v>1959</v>
      </c>
      <c r="CB387">
        <v>1</v>
      </c>
      <c r="CC387">
        <v>1</v>
      </c>
      <c r="CD387">
        <v>2017</v>
      </c>
      <c r="CE387">
        <v>13765</v>
      </c>
      <c r="CF387">
        <v>41362</v>
      </c>
      <c r="CG387">
        <v>55127</v>
      </c>
      <c r="CH387">
        <v>2017</v>
      </c>
      <c r="CI387">
        <v>13765</v>
      </c>
      <c r="CJ387">
        <v>41362</v>
      </c>
      <c r="CK387">
        <v>55127</v>
      </c>
      <c r="CL387">
        <v>2017</v>
      </c>
      <c r="CM387">
        <v>769.87</v>
      </c>
      <c r="DD387" t="s">
        <v>398</v>
      </c>
      <c r="DF387">
        <v>3</v>
      </c>
      <c r="DG387">
        <v>5</v>
      </c>
      <c r="DL387">
        <v>50400</v>
      </c>
      <c r="DM387" t="s">
        <v>4203</v>
      </c>
      <c r="DO387" t="s">
        <v>4371</v>
      </c>
      <c r="DP387">
        <v>0</v>
      </c>
      <c r="DQ387">
        <v>0</v>
      </c>
      <c r="DR387" t="s">
        <v>411</v>
      </c>
      <c r="DS387" t="b">
        <v>1</v>
      </c>
      <c r="DT387" t="s">
        <v>470</v>
      </c>
      <c r="DU387" t="s">
        <v>471</v>
      </c>
      <c r="DV387" t="s">
        <v>472</v>
      </c>
      <c r="DX387">
        <v>-9999</v>
      </c>
      <c r="DZ387" t="s">
        <v>447</v>
      </c>
      <c r="EA387" t="s">
        <v>448</v>
      </c>
      <c r="EB387" t="s">
        <v>1224</v>
      </c>
      <c r="EC387">
        <v>20101217</v>
      </c>
      <c r="ED387" t="s">
        <v>474</v>
      </c>
      <c r="EF387">
        <v>600.29999999999995</v>
      </c>
      <c r="EG387">
        <v>600.29999999999995</v>
      </c>
      <c r="EH387" t="s">
        <v>451</v>
      </c>
      <c r="EI387">
        <v>20140731</v>
      </c>
      <c r="EJ387">
        <v>1</v>
      </c>
      <c r="EK387">
        <v>0</v>
      </c>
      <c r="EP387" t="s">
        <v>421</v>
      </c>
      <c r="EQ387" t="s">
        <v>452</v>
      </c>
      <c r="ER387">
        <v>2</v>
      </c>
      <c r="ES387">
        <v>6</v>
      </c>
      <c r="ET387">
        <v>1691.92</v>
      </c>
      <c r="EU387">
        <v>97.1</v>
      </c>
      <c r="EV387">
        <v>1789.02</v>
      </c>
      <c r="EW387" s="2">
        <v>43222</v>
      </c>
      <c r="EX387" s="1">
        <v>42879</v>
      </c>
      <c r="EY387">
        <v>2016</v>
      </c>
      <c r="EZ387">
        <v>845.96</v>
      </c>
      <c r="FA387" t="s">
        <v>4372</v>
      </c>
      <c r="FB387">
        <v>0.25</v>
      </c>
      <c r="FC387" t="s">
        <v>424</v>
      </c>
      <c r="FD387" t="s">
        <v>454</v>
      </c>
      <c r="FF387">
        <v>12</v>
      </c>
      <c r="FG387">
        <v>7336671</v>
      </c>
      <c r="FH387" t="s">
        <v>437</v>
      </c>
      <c r="FJ387" s="1">
        <v>42879</v>
      </c>
      <c r="FK387">
        <v>2016</v>
      </c>
      <c r="FL387">
        <v>845.96</v>
      </c>
      <c r="FM387" t="s">
        <v>4372</v>
      </c>
      <c r="FN387">
        <v>0.25</v>
      </c>
      <c r="FO387" t="s">
        <v>424</v>
      </c>
      <c r="FP387" t="s">
        <v>454</v>
      </c>
      <c r="FR387">
        <v>12</v>
      </c>
      <c r="FS387">
        <v>5192040</v>
      </c>
      <c r="FT387" t="s">
        <v>4373</v>
      </c>
      <c r="FV387" s="1">
        <v>42151</v>
      </c>
      <c r="FW387">
        <v>2014</v>
      </c>
      <c r="FX387">
        <v>854.52</v>
      </c>
      <c r="FY387" t="s">
        <v>4374</v>
      </c>
      <c r="FZ387">
        <v>0.25</v>
      </c>
      <c r="GA387" t="s">
        <v>424</v>
      </c>
      <c r="GB387" t="s">
        <v>425</v>
      </c>
      <c r="GC387" s="1">
        <v>42475</v>
      </c>
      <c r="GD387">
        <v>11</v>
      </c>
      <c r="GE387">
        <v>4975594</v>
      </c>
      <c r="GF387" t="s">
        <v>457</v>
      </c>
      <c r="GG387" t="s">
        <v>458</v>
      </c>
      <c r="GH387" s="1">
        <v>42151</v>
      </c>
      <c r="GI387">
        <v>2014</v>
      </c>
      <c r="GJ387">
        <v>854.52</v>
      </c>
      <c r="GK387" t="s">
        <v>4374</v>
      </c>
      <c r="GL387">
        <v>0.25</v>
      </c>
      <c r="GM387" t="s">
        <v>424</v>
      </c>
      <c r="GN387" t="s">
        <v>425</v>
      </c>
      <c r="GP387">
        <v>22</v>
      </c>
      <c r="GQ387">
        <v>6396406</v>
      </c>
      <c r="GR387" t="s">
        <v>4375</v>
      </c>
      <c r="GS387" t="s">
        <v>458</v>
      </c>
      <c r="GT387" s="1">
        <v>41787</v>
      </c>
      <c r="GU387">
        <v>2013</v>
      </c>
      <c r="GV387">
        <v>769.39</v>
      </c>
      <c r="GW387" t="s">
        <v>4376</v>
      </c>
      <c r="GX387">
        <v>0.25</v>
      </c>
      <c r="GY387" t="s">
        <v>424</v>
      </c>
      <c r="GZ387" t="s">
        <v>425</v>
      </c>
      <c r="HB387">
        <v>22</v>
      </c>
      <c r="HC387">
        <v>2407503</v>
      </c>
      <c r="HD387" t="s">
        <v>461</v>
      </c>
      <c r="HE387" t="s">
        <v>458</v>
      </c>
      <c r="HF387" s="1">
        <v>41423</v>
      </c>
      <c r="HG387">
        <v>2012</v>
      </c>
      <c r="HH387">
        <v>746</v>
      </c>
      <c r="HI387" t="s">
        <v>4377</v>
      </c>
      <c r="HJ387">
        <v>2.75</v>
      </c>
      <c r="HK387" t="s">
        <v>424</v>
      </c>
      <c r="HL387" t="s">
        <v>425</v>
      </c>
      <c r="HM387" s="1">
        <v>42065</v>
      </c>
      <c r="HN387">
        <v>22</v>
      </c>
      <c r="HO387">
        <v>15399</v>
      </c>
      <c r="HP387" t="s">
        <v>485</v>
      </c>
      <c r="HR387" s="1">
        <v>41052</v>
      </c>
      <c r="HS387">
        <v>2011</v>
      </c>
      <c r="HT387">
        <v>788.06</v>
      </c>
      <c r="HU387" t="s">
        <v>4378</v>
      </c>
      <c r="HV387">
        <v>11.75</v>
      </c>
      <c r="HW387" t="s">
        <v>424</v>
      </c>
      <c r="HX387" t="s">
        <v>425</v>
      </c>
      <c r="HY387" s="1">
        <v>41158</v>
      </c>
      <c r="HZ387">
        <v>4</v>
      </c>
      <c r="IA387">
        <v>10125</v>
      </c>
      <c r="IB387" t="s">
        <v>440</v>
      </c>
      <c r="IC387" t="s">
        <v>458</v>
      </c>
      <c r="ID387" s="1">
        <v>40688</v>
      </c>
      <c r="IE387">
        <v>2010</v>
      </c>
      <c r="IF387">
        <v>794.18</v>
      </c>
      <c r="IG387" t="s">
        <v>4379</v>
      </c>
      <c r="IH387">
        <v>8</v>
      </c>
      <c r="II387" t="s">
        <v>424</v>
      </c>
      <c r="IJ387" t="s">
        <v>425</v>
      </c>
      <c r="IK387" s="1">
        <v>41158</v>
      </c>
      <c r="IL387">
        <v>16</v>
      </c>
      <c r="IM387">
        <v>62</v>
      </c>
      <c r="IN387" t="s">
        <v>463</v>
      </c>
      <c r="IO387" t="s">
        <v>458</v>
      </c>
    </row>
    <row r="388" spans="1:308" x14ac:dyDescent="0.25">
      <c r="A388">
        <v>16485395</v>
      </c>
      <c r="B388">
        <v>387</v>
      </c>
      <c r="C388" t="s">
        <v>393</v>
      </c>
      <c r="D388" t="s">
        <v>394</v>
      </c>
      <c r="F388" t="str">
        <f>"05-3N-24-2340-0013-0030"</f>
        <v>05-3N-24-2340-0013-0030</v>
      </c>
      <c r="H388" t="str">
        <f>"DONELY ARTHUR &amp; SHEILA"</f>
        <v>DONELY ARTHUR &amp; SHEILA</v>
      </c>
      <c r="I388" t="str">
        <f>"410 25TH AVE"</f>
        <v>410 25TH AVE</v>
      </c>
      <c r="J388" t="str">
        <f>"VERO BEACH FL 32962"</f>
        <v>VERO BEACH FL 32962</v>
      </c>
      <c r="K388" t="str">
        <f>"OXFORD ST"</f>
        <v>OXFORD ST</v>
      </c>
      <c r="L388" t="str">
        <f t="shared" si="114"/>
        <v>HILLIARD FL 32046</v>
      </c>
      <c r="M388" t="str">
        <f>"PT OF LOT 13 IN OR 519/803 LINCOLN SUB"</f>
        <v>PT OF LOT 13 IN OR 519/803 LINCOLN SUB</v>
      </c>
      <c r="N388" t="str">
        <f>""</f>
        <v/>
      </c>
      <c r="O388" t="str">
        <f>"21540"</f>
        <v>21540</v>
      </c>
      <c r="P388" t="str">
        <f t="shared" si="119"/>
        <v>2017</v>
      </c>
      <c r="Q388" t="str">
        <f>""</f>
        <v/>
      </c>
      <c r="R388" t="str">
        <f t="shared" si="116"/>
        <v>N</v>
      </c>
      <c r="S388" t="str">
        <f>""</f>
        <v/>
      </c>
      <c r="T388" t="str">
        <f>"17.46"</f>
        <v>17.46</v>
      </c>
      <c r="U388" t="str">
        <f>"1250.00"</f>
        <v>1250.00</v>
      </c>
      <c r="V388" t="str">
        <f>"1250.00"</f>
        <v>1250.00</v>
      </c>
      <c r="W388" t="str">
        <f t="shared" si="120"/>
        <v>2017</v>
      </c>
      <c r="X388" t="str">
        <f>""</f>
        <v/>
      </c>
      <c r="Y388" t="str">
        <f>"49.98"</f>
        <v>49.98</v>
      </c>
      <c r="Z388" t="str">
        <f>""</f>
        <v/>
      </c>
      <c r="AA388" t="str">
        <f>"1250.00"</f>
        <v>1250.00</v>
      </c>
      <c r="AB388" t="str">
        <f t="shared" si="117"/>
        <v>Residential</v>
      </c>
      <c r="AC388" t="str">
        <f t="shared" si="121"/>
        <v>0</v>
      </c>
      <c r="AD388" t="str">
        <f>""</f>
        <v/>
      </c>
      <c r="AE388" t="str">
        <f>""</f>
        <v/>
      </c>
      <c r="AF388" t="str">
        <f>"000"</f>
        <v>000</v>
      </c>
      <c r="AG388" t="str">
        <f t="shared" si="118"/>
        <v>FL</v>
      </c>
      <c r="AH388" t="str">
        <f>"5000.00"</f>
        <v>5000.00</v>
      </c>
      <c r="AI388" t="str">
        <f>"1250.00"</f>
        <v>1250.00</v>
      </c>
      <c r="AJ388" t="str">
        <f>"C55-000-586-6327-9"</f>
        <v>C55-000-586-6327-9</v>
      </c>
      <c r="AK388" t="str">
        <f>"5963"</f>
        <v>5963</v>
      </c>
      <c r="AL388">
        <v>2</v>
      </c>
      <c r="AM388">
        <v>455</v>
      </c>
      <c r="AN388">
        <v>50.88</v>
      </c>
      <c r="AQ388" t="s">
        <v>4380</v>
      </c>
      <c r="AR388" t="s">
        <v>4380</v>
      </c>
      <c r="AS388" t="s">
        <v>4380</v>
      </c>
      <c r="AU388" t="s">
        <v>396</v>
      </c>
      <c r="AV388">
        <v>2017</v>
      </c>
      <c r="AW388" t="str">
        <f>"05-3N-24-2340-0013-0030 "</f>
        <v xml:space="preserve">05-3N-24-2340-0013-0030 </v>
      </c>
      <c r="AZ388" t="s">
        <v>4365</v>
      </c>
      <c r="BA388" t="s">
        <v>1942</v>
      </c>
      <c r="BD388" t="s">
        <v>398</v>
      </c>
      <c r="BE388" t="s">
        <v>393</v>
      </c>
      <c r="BF388">
        <v>32046</v>
      </c>
      <c r="BG388" t="s">
        <v>4381</v>
      </c>
      <c r="BH388" t="s">
        <v>400</v>
      </c>
      <c r="BI388">
        <v>-81.929279250167895</v>
      </c>
      <c r="BJ388">
        <v>30.699858868522099</v>
      </c>
      <c r="BK388" t="s">
        <v>4382</v>
      </c>
      <c r="BM388" t="s">
        <v>4383</v>
      </c>
      <c r="BN388" t="s">
        <v>4384</v>
      </c>
      <c r="BO388">
        <v>32962</v>
      </c>
      <c r="BP388" t="s">
        <v>404</v>
      </c>
      <c r="BQ388">
        <v>0</v>
      </c>
      <c r="BR388" t="s">
        <v>491</v>
      </c>
      <c r="BS388">
        <v>8001</v>
      </c>
      <c r="BT388" t="s">
        <v>492</v>
      </c>
      <c r="BU388">
        <v>500</v>
      </c>
      <c r="BV388">
        <v>1000</v>
      </c>
      <c r="BW388">
        <v>6000</v>
      </c>
      <c r="BX388" t="s">
        <v>407</v>
      </c>
      <c r="BY388" t="s">
        <v>4370</v>
      </c>
      <c r="CD388">
        <v>2017</v>
      </c>
      <c r="CE388">
        <v>1250</v>
      </c>
      <c r="CG388">
        <v>1250</v>
      </c>
      <c r="CH388">
        <v>2017</v>
      </c>
      <c r="CI388">
        <v>1250</v>
      </c>
      <c r="CK388">
        <v>1250</v>
      </c>
      <c r="CL388">
        <v>2017</v>
      </c>
      <c r="CM388">
        <v>17.46</v>
      </c>
      <c r="CN388" s="1">
        <v>31936</v>
      </c>
      <c r="CZ388" s="1">
        <v>31936</v>
      </c>
      <c r="DD388" t="s">
        <v>398</v>
      </c>
      <c r="DF388">
        <v>13</v>
      </c>
      <c r="DG388">
        <v>5</v>
      </c>
      <c r="DL388">
        <v>50400</v>
      </c>
      <c r="DM388" t="s">
        <v>4203</v>
      </c>
      <c r="DO388" t="s">
        <v>4385</v>
      </c>
      <c r="DP388">
        <v>0</v>
      </c>
      <c r="DQ388">
        <v>0</v>
      </c>
      <c r="DR388" t="s">
        <v>411</v>
      </c>
      <c r="DS388" t="b">
        <v>1</v>
      </c>
      <c r="DT388" t="s">
        <v>470</v>
      </c>
      <c r="DU388" t="s">
        <v>471</v>
      </c>
      <c r="DV388" t="s">
        <v>472</v>
      </c>
      <c r="DX388">
        <v>-9999</v>
      </c>
      <c r="DZ388" t="s">
        <v>447</v>
      </c>
      <c r="EA388" t="s">
        <v>448</v>
      </c>
      <c r="EB388" t="s">
        <v>1224</v>
      </c>
      <c r="EC388">
        <v>20101217</v>
      </c>
      <c r="ED388" t="s">
        <v>474</v>
      </c>
      <c r="EF388">
        <v>2580.3000000000002</v>
      </c>
      <c r="EG388">
        <v>2580.3000000000002</v>
      </c>
      <c r="EI388">
        <v>20160407</v>
      </c>
      <c r="EJ388">
        <v>0</v>
      </c>
      <c r="EK388">
        <v>0</v>
      </c>
      <c r="EP388" t="s">
        <v>595</v>
      </c>
      <c r="EQ388" t="s">
        <v>422</v>
      </c>
      <c r="ER388">
        <v>8</v>
      </c>
      <c r="ES388">
        <v>0</v>
      </c>
      <c r="ET388">
        <v>1059.32</v>
      </c>
      <c r="EU388">
        <v>936.63</v>
      </c>
      <c r="EV388">
        <v>1995.95</v>
      </c>
      <c r="EW388" s="2">
        <v>43222</v>
      </c>
      <c r="EX388" s="1">
        <v>42879</v>
      </c>
      <c r="EY388">
        <v>2016</v>
      </c>
      <c r="EZ388">
        <v>46.22</v>
      </c>
      <c r="FA388" t="s">
        <v>4386</v>
      </c>
      <c r="FB388">
        <v>18</v>
      </c>
      <c r="FC388" t="s">
        <v>603</v>
      </c>
      <c r="FD388" t="s">
        <v>454</v>
      </c>
      <c r="FF388">
        <v>12</v>
      </c>
      <c r="FG388">
        <v>9999999</v>
      </c>
      <c r="FH388" t="s">
        <v>604</v>
      </c>
      <c r="FJ388" s="1">
        <v>42515</v>
      </c>
      <c r="FK388">
        <v>2015</v>
      </c>
      <c r="FL388">
        <v>41.75</v>
      </c>
      <c r="FM388" t="s">
        <v>4387</v>
      </c>
      <c r="FN388">
        <v>18</v>
      </c>
      <c r="FO388" t="s">
        <v>603</v>
      </c>
      <c r="FP388" t="s">
        <v>454</v>
      </c>
      <c r="FR388">
        <v>24</v>
      </c>
      <c r="FS388">
        <v>9999999</v>
      </c>
      <c r="FT388" t="s">
        <v>604</v>
      </c>
      <c r="FV388" s="1">
        <v>42151</v>
      </c>
      <c r="FW388">
        <v>2014</v>
      </c>
      <c r="FX388">
        <v>158.35</v>
      </c>
      <c r="FY388" t="s">
        <v>4388</v>
      </c>
      <c r="FZ388">
        <v>18</v>
      </c>
      <c r="GA388" t="s">
        <v>424</v>
      </c>
      <c r="GB388" t="s">
        <v>454</v>
      </c>
      <c r="GD388">
        <v>36</v>
      </c>
      <c r="GE388">
        <v>10125</v>
      </c>
      <c r="GF388" t="s">
        <v>440</v>
      </c>
      <c r="GH388" s="1">
        <v>41787</v>
      </c>
      <c r="GI388">
        <v>2013</v>
      </c>
      <c r="GJ388">
        <v>150.63</v>
      </c>
      <c r="GK388" t="s">
        <v>4389</v>
      </c>
      <c r="GL388">
        <v>16.5</v>
      </c>
      <c r="GM388" t="s">
        <v>424</v>
      </c>
      <c r="GN388" t="s">
        <v>454</v>
      </c>
      <c r="GP388">
        <v>48</v>
      </c>
      <c r="GQ388">
        <v>10125</v>
      </c>
      <c r="GR388" t="s">
        <v>440</v>
      </c>
      <c r="GT388" s="1">
        <v>41423</v>
      </c>
      <c r="GU388">
        <v>2012</v>
      </c>
      <c r="GV388">
        <v>152.38999999999999</v>
      </c>
      <c r="GW388" t="s">
        <v>4390</v>
      </c>
      <c r="GX388">
        <v>16.75</v>
      </c>
      <c r="GY388" t="s">
        <v>424</v>
      </c>
      <c r="GZ388" t="s">
        <v>454</v>
      </c>
      <c r="HB388">
        <v>60</v>
      </c>
      <c r="HC388">
        <v>10125</v>
      </c>
      <c r="HD388" t="s">
        <v>440</v>
      </c>
      <c r="HF388" s="1">
        <v>41052</v>
      </c>
      <c r="HG388">
        <v>2011</v>
      </c>
      <c r="HH388">
        <v>165.49</v>
      </c>
      <c r="HI388" t="s">
        <v>4391</v>
      </c>
      <c r="HJ388">
        <v>11.75</v>
      </c>
      <c r="HK388" t="s">
        <v>424</v>
      </c>
      <c r="HL388" t="s">
        <v>454</v>
      </c>
      <c r="HN388">
        <v>72</v>
      </c>
      <c r="HO388">
        <v>10125</v>
      </c>
      <c r="HP388" t="s">
        <v>440</v>
      </c>
      <c r="HR388" s="1">
        <v>40688</v>
      </c>
      <c r="HS388">
        <v>2010</v>
      </c>
      <c r="HT388">
        <v>179.09</v>
      </c>
      <c r="HU388" t="s">
        <v>4392</v>
      </c>
      <c r="HV388">
        <v>18</v>
      </c>
      <c r="HW388" t="s">
        <v>424</v>
      </c>
      <c r="HX388" t="s">
        <v>454</v>
      </c>
      <c r="HZ388">
        <v>84</v>
      </c>
      <c r="IA388">
        <v>11709</v>
      </c>
      <c r="IB388" t="s">
        <v>4393</v>
      </c>
      <c r="ID388" s="1">
        <v>40688</v>
      </c>
      <c r="IE388">
        <v>2010</v>
      </c>
      <c r="IF388">
        <v>165.4</v>
      </c>
      <c r="IG388" t="s">
        <v>4392</v>
      </c>
      <c r="IH388">
        <v>18</v>
      </c>
      <c r="II388" t="s">
        <v>603</v>
      </c>
      <c r="IJ388" t="s">
        <v>454</v>
      </c>
      <c r="IL388">
        <v>84</v>
      </c>
      <c r="IM388">
        <v>9999999</v>
      </c>
      <c r="IN388" t="s">
        <v>604</v>
      </c>
    </row>
    <row r="389" spans="1:308" x14ac:dyDescent="0.25">
      <c r="A389">
        <v>16485396</v>
      </c>
      <c r="B389">
        <v>388</v>
      </c>
      <c r="C389" t="s">
        <v>393</v>
      </c>
      <c r="D389" t="s">
        <v>394</v>
      </c>
      <c r="F389" t="str">
        <f>"05-3N-24-2340-0014-0040"</f>
        <v>05-3N-24-2340-0014-0040</v>
      </c>
      <c r="H389" t="str">
        <f>"BROWN LATASHIA &amp; BYRD DEBORAH EST &amp; BYRD OSCAR E EST"</f>
        <v>BROWN LATASHIA &amp; BYRD DEBORAH EST &amp; BYRD OSCAR E EST</v>
      </c>
      <c r="I389" t="str">
        <f>""</f>
        <v/>
      </c>
      <c r="J389" t="str">
        <f t="shared" ref="J389:J402" si="122">"HILLIARD FL 32046"</f>
        <v>HILLIARD FL 32046</v>
      </c>
      <c r="K389" t="str">
        <f>"3737 WEBB ST"</f>
        <v>3737 WEBB ST</v>
      </c>
      <c r="L389" t="str">
        <f t="shared" si="114"/>
        <v>HILLIARD FL 32046</v>
      </c>
      <c r="M389" t="str">
        <f>"W1/2 OF E1/2 OF LOT 14 (EX S60 FT) IN OR 487/214 &amp; OR 1909/1315 LINCOLN SUB"</f>
        <v>W1/2 OF E1/2 OF LOT 14 (EX S60 FT) IN OR 487/214 &amp; OR 1909/1315 LINCOLN SUB</v>
      </c>
      <c r="N389" t="str">
        <f>""</f>
        <v/>
      </c>
      <c r="O389" t="str">
        <f>"21547"</f>
        <v>21547</v>
      </c>
      <c r="P389" t="str">
        <f t="shared" si="119"/>
        <v>2017</v>
      </c>
      <c r="Q389" t="str">
        <f>""</f>
        <v/>
      </c>
      <c r="R389" t="str">
        <f t="shared" si="116"/>
        <v>N</v>
      </c>
      <c r="S389" t="str">
        <f>""</f>
        <v/>
      </c>
      <c r="T389" t="str">
        <f>"245.18"</f>
        <v>245.18</v>
      </c>
      <c r="U389" t="str">
        <f>"17556.00"</f>
        <v>17556.00</v>
      </c>
      <c r="V389" t="str">
        <f>"17556.00"</f>
        <v>17556.00</v>
      </c>
      <c r="W389" t="str">
        <f t="shared" si="120"/>
        <v>2017</v>
      </c>
      <c r="X389" t="str">
        <f>"20.00"</f>
        <v>20.00</v>
      </c>
      <c r="Y389" t="str">
        <f>"284.54"</f>
        <v>284.54</v>
      </c>
      <c r="Z389" t="str">
        <f>""</f>
        <v/>
      </c>
      <c r="AA389" t="str">
        <f>"17556.00"</f>
        <v>17556.00</v>
      </c>
      <c r="AB389" t="str">
        <f t="shared" si="117"/>
        <v>Residential</v>
      </c>
      <c r="AC389" t="str">
        <f t="shared" si="121"/>
        <v>0</v>
      </c>
      <c r="AD389" t="str">
        <f>"4"</f>
        <v>4</v>
      </c>
      <c r="AE389" t="str">
        <f>"WOOD (INCLUDE STEEL STUDS)"</f>
        <v>WOOD (INCLUDE STEEL STUDS)</v>
      </c>
      <c r="AF389" t="str">
        <f>"002"</f>
        <v>002</v>
      </c>
      <c r="AG389" t="str">
        <f t="shared" si="118"/>
        <v>FL</v>
      </c>
      <c r="AH389" t="str">
        <f>"13230.00"</f>
        <v>13230.00</v>
      </c>
      <c r="AI389" t="str">
        <f>"13072.00"</f>
        <v>13072.00</v>
      </c>
      <c r="AJ389" t="str">
        <f>"C55-000-586-6334-5"</f>
        <v>C55-000-586-6334-5</v>
      </c>
      <c r="AK389" t="str">
        <f>"5970"</f>
        <v>5970</v>
      </c>
      <c r="AL389">
        <v>2</v>
      </c>
      <c r="AM389">
        <v>456</v>
      </c>
      <c r="AN389">
        <v>297.17</v>
      </c>
      <c r="AQ389" t="s">
        <v>4394</v>
      </c>
      <c r="AR389" t="s">
        <v>4394</v>
      </c>
      <c r="AS389" t="s">
        <v>4394</v>
      </c>
      <c r="AU389" t="s">
        <v>396</v>
      </c>
      <c r="AV389">
        <v>2017</v>
      </c>
      <c r="AW389" t="str">
        <f>"05-3N-24-2340-0014-0040 "</f>
        <v xml:space="preserve">05-3N-24-2340-0014-0040 </v>
      </c>
      <c r="AX389">
        <v>3737</v>
      </c>
      <c r="AZ389" t="s">
        <v>4395</v>
      </c>
      <c r="BA389" t="s">
        <v>1942</v>
      </c>
      <c r="BD389" t="s">
        <v>398</v>
      </c>
      <c r="BE389" t="s">
        <v>393</v>
      </c>
      <c r="BF389">
        <v>32046</v>
      </c>
      <c r="BG389" t="s">
        <v>4396</v>
      </c>
      <c r="BH389" t="s">
        <v>400</v>
      </c>
      <c r="BI389">
        <v>-81.929774111266198</v>
      </c>
      <c r="BJ389">
        <v>30.700317636938799</v>
      </c>
      <c r="BK389" t="s">
        <v>4397</v>
      </c>
      <c r="BM389">
        <v>0</v>
      </c>
      <c r="BN389" t="s">
        <v>403</v>
      </c>
      <c r="BO389">
        <v>32046</v>
      </c>
      <c r="BP389" t="s">
        <v>416</v>
      </c>
      <c r="BQ389">
        <v>200</v>
      </c>
      <c r="BR389" t="s">
        <v>405</v>
      </c>
      <c r="BS389">
        <v>1006</v>
      </c>
      <c r="BT389" t="s">
        <v>406</v>
      </c>
      <c r="BU389">
        <v>1050</v>
      </c>
      <c r="BV389">
        <v>1260</v>
      </c>
      <c r="BW389">
        <v>13284</v>
      </c>
      <c r="BX389" t="s">
        <v>407</v>
      </c>
      <c r="BY389" t="s">
        <v>4370</v>
      </c>
      <c r="BZ389">
        <v>4</v>
      </c>
      <c r="CA389">
        <v>1969</v>
      </c>
      <c r="CC389">
        <v>1</v>
      </c>
      <c r="CD389">
        <v>2017</v>
      </c>
      <c r="CE389">
        <v>13072</v>
      </c>
      <c r="CF389">
        <v>4484</v>
      </c>
      <c r="CG389">
        <v>17556</v>
      </c>
      <c r="CH389">
        <v>2017</v>
      </c>
      <c r="CI389">
        <v>13072</v>
      </c>
      <c r="CJ389">
        <v>4484</v>
      </c>
      <c r="CK389">
        <v>17556</v>
      </c>
      <c r="CL389">
        <v>2017</v>
      </c>
      <c r="CM389">
        <v>245.18</v>
      </c>
      <c r="CN389" s="1">
        <v>41726</v>
      </c>
      <c r="CZ389" s="1">
        <v>41726</v>
      </c>
      <c r="DD389" t="s">
        <v>398</v>
      </c>
      <c r="DG389">
        <v>5</v>
      </c>
      <c r="DL389">
        <v>50400</v>
      </c>
      <c r="DM389" t="s">
        <v>4203</v>
      </c>
      <c r="DO389" t="s">
        <v>4398</v>
      </c>
      <c r="DP389">
        <v>0</v>
      </c>
      <c r="DQ389">
        <v>0</v>
      </c>
      <c r="DR389" t="s">
        <v>411</v>
      </c>
      <c r="DS389" t="b">
        <v>1</v>
      </c>
      <c r="DT389" t="s">
        <v>470</v>
      </c>
      <c r="DU389" t="s">
        <v>471</v>
      </c>
      <c r="DV389" t="s">
        <v>472</v>
      </c>
      <c r="DX389">
        <v>-9999</v>
      </c>
      <c r="DZ389" t="s">
        <v>447</v>
      </c>
      <c r="EA389" t="s">
        <v>448</v>
      </c>
      <c r="EB389" t="s">
        <v>1224</v>
      </c>
      <c r="EC389">
        <v>20101217</v>
      </c>
      <c r="ED389" t="s">
        <v>474</v>
      </c>
      <c r="EF389">
        <v>2664.6</v>
      </c>
      <c r="EG389">
        <v>2664.6</v>
      </c>
      <c r="EI389">
        <v>20160407</v>
      </c>
      <c r="EJ389">
        <v>0</v>
      </c>
      <c r="EK389">
        <v>0</v>
      </c>
      <c r="EP389" t="s">
        <v>595</v>
      </c>
      <c r="EQ389" t="s">
        <v>422</v>
      </c>
      <c r="ER389">
        <v>1</v>
      </c>
      <c r="ES389">
        <v>12</v>
      </c>
      <c r="ET389">
        <v>293.57</v>
      </c>
      <c r="EU389">
        <v>47.35</v>
      </c>
      <c r="EV389">
        <v>340.92</v>
      </c>
      <c r="EW389" s="2">
        <v>43222</v>
      </c>
      <c r="EX389" s="1">
        <v>42879</v>
      </c>
      <c r="EY389">
        <v>2016</v>
      </c>
      <c r="EZ389">
        <v>293.57</v>
      </c>
      <c r="FA389" t="s">
        <v>4399</v>
      </c>
      <c r="FB389">
        <v>14</v>
      </c>
      <c r="FC389" t="s">
        <v>424</v>
      </c>
      <c r="FD389" t="s">
        <v>454</v>
      </c>
      <c r="FF389">
        <v>12</v>
      </c>
      <c r="FG389">
        <v>10021</v>
      </c>
      <c r="FH389" t="s">
        <v>597</v>
      </c>
      <c r="FJ389" s="1">
        <v>42515</v>
      </c>
      <c r="FK389">
        <v>2015</v>
      </c>
      <c r="FL389">
        <v>295.79000000000002</v>
      </c>
      <c r="FM389" t="s">
        <v>4400</v>
      </c>
      <c r="FN389">
        <v>18</v>
      </c>
      <c r="FO389" t="s">
        <v>603</v>
      </c>
      <c r="FP389" t="s">
        <v>425</v>
      </c>
      <c r="FR389">
        <v>22</v>
      </c>
      <c r="FS389">
        <v>9999999</v>
      </c>
      <c r="FT389" t="s">
        <v>604</v>
      </c>
      <c r="FV389" s="1">
        <v>42515</v>
      </c>
      <c r="FW389">
        <v>2015</v>
      </c>
      <c r="FX389">
        <v>315.35000000000002</v>
      </c>
      <c r="FY389" t="s">
        <v>4400</v>
      </c>
      <c r="FZ389">
        <v>18</v>
      </c>
      <c r="GA389" t="s">
        <v>424</v>
      </c>
      <c r="GB389" t="s">
        <v>425</v>
      </c>
      <c r="GC389" s="1">
        <v>43185</v>
      </c>
      <c r="GD389">
        <v>22</v>
      </c>
      <c r="GE389">
        <v>14851</v>
      </c>
      <c r="GF389" t="s">
        <v>4401</v>
      </c>
      <c r="GH389" s="1">
        <v>42151</v>
      </c>
      <c r="GI389">
        <v>2014</v>
      </c>
      <c r="GJ389">
        <v>325.43</v>
      </c>
      <c r="GK389" t="s">
        <v>4402</v>
      </c>
      <c r="GL389">
        <v>4</v>
      </c>
      <c r="GM389" t="s">
        <v>424</v>
      </c>
      <c r="GN389" t="s">
        <v>425</v>
      </c>
      <c r="GP389">
        <v>22</v>
      </c>
      <c r="GQ389">
        <v>15399</v>
      </c>
      <c r="GR389" t="s">
        <v>485</v>
      </c>
      <c r="GT389" s="1">
        <v>42151</v>
      </c>
      <c r="GU389">
        <v>2014</v>
      </c>
      <c r="GV389">
        <v>325.43</v>
      </c>
      <c r="GW389" t="s">
        <v>4402</v>
      </c>
      <c r="GX389">
        <v>4</v>
      </c>
      <c r="GY389" t="s">
        <v>424</v>
      </c>
      <c r="GZ389" t="s">
        <v>425</v>
      </c>
      <c r="HB389">
        <v>22</v>
      </c>
      <c r="HC389">
        <v>7045016</v>
      </c>
      <c r="HD389" t="s">
        <v>4403</v>
      </c>
      <c r="HF389" s="1">
        <v>42151</v>
      </c>
      <c r="HG389">
        <v>2014</v>
      </c>
      <c r="HH389">
        <v>325.43</v>
      </c>
      <c r="HI389" t="s">
        <v>4402</v>
      </c>
      <c r="HJ389">
        <v>4</v>
      </c>
      <c r="HK389" t="s">
        <v>424</v>
      </c>
      <c r="HL389" t="s">
        <v>425</v>
      </c>
      <c r="HN389">
        <v>22</v>
      </c>
      <c r="HO389">
        <v>7336692</v>
      </c>
      <c r="HP389" t="s">
        <v>822</v>
      </c>
      <c r="HR389" s="1">
        <v>42151</v>
      </c>
      <c r="HS389">
        <v>2014</v>
      </c>
      <c r="HT389">
        <v>325.43</v>
      </c>
      <c r="HU389" t="s">
        <v>4402</v>
      </c>
      <c r="HV389">
        <v>4</v>
      </c>
      <c r="HW389" t="s">
        <v>424</v>
      </c>
      <c r="HX389" t="s">
        <v>425</v>
      </c>
      <c r="HY389" s="1">
        <v>42800</v>
      </c>
      <c r="HZ389">
        <v>22</v>
      </c>
      <c r="IA389">
        <v>7336698</v>
      </c>
      <c r="IB389" t="s">
        <v>823</v>
      </c>
      <c r="ID389" s="1">
        <v>41787</v>
      </c>
      <c r="IE389">
        <v>2013</v>
      </c>
      <c r="IF389">
        <v>313.68</v>
      </c>
      <c r="IG389" t="s">
        <v>4404</v>
      </c>
      <c r="IH389">
        <v>0.25</v>
      </c>
      <c r="II389" t="s">
        <v>424</v>
      </c>
      <c r="IJ389" t="s">
        <v>425</v>
      </c>
      <c r="IL389">
        <v>22</v>
      </c>
      <c r="IM389">
        <v>13026</v>
      </c>
      <c r="IN389" t="s">
        <v>2129</v>
      </c>
      <c r="IP389" s="1">
        <v>41787</v>
      </c>
      <c r="IQ389">
        <v>2013</v>
      </c>
      <c r="IR389">
        <v>313.68</v>
      </c>
      <c r="IS389" t="s">
        <v>4404</v>
      </c>
      <c r="IT389">
        <v>0.25</v>
      </c>
      <c r="IU389" t="s">
        <v>424</v>
      </c>
      <c r="IV389" t="s">
        <v>425</v>
      </c>
      <c r="IW389" s="1">
        <v>42800</v>
      </c>
      <c r="IX389">
        <v>34</v>
      </c>
      <c r="IY389">
        <v>1126</v>
      </c>
      <c r="IZ389" t="s">
        <v>4405</v>
      </c>
      <c r="JB389" s="1">
        <v>41423</v>
      </c>
      <c r="JC389">
        <v>2012</v>
      </c>
      <c r="JD389">
        <v>293.52999999999997</v>
      </c>
      <c r="JE389" t="s">
        <v>4406</v>
      </c>
      <c r="JF389">
        <v>5.75</v>
      </c>
      <c r="JG389" t="s">
        <v>424</v>
      </c>
      <c r="JH389" t="s">
        <v>425</v>
      </c>
      <c r="JI389" s="1">
        <v>41709</v>
      </c>
      <c r="JJ389">
        <v>10</v>
      </c>
      <c r="JK389">
        <v>1127</v>
      </c>
      <c r="JL389" t="s">
        <v>1379</v>
      </c>
      <c r="JN389" s="1">
        <v>41423</v>
      </c>
      <c r="JO389">
        <v>2012</v>
      </c>
      <c r="JP389">
        <v>293.52999999999997</v>
      </c>
      <c r="JQ389" t="s">
        <v>4406</v>
      </c>
      <c r="JR389">
        <v>5.75</v>
      </c>
      <c r="JS389" t="s">
        <v>424</v>
      </c>
      <c r="JT389" t="s">
        <v>425</v>
      </c>
      <c r="JV389">
        <v>22</v>
      </c>
      <c r="JW389">
        <v>2035919</v>
      </c>
      <c r="JX389" t="s">
        <v>507</v>
      </c>
      <c r="JZ389" s="1">
        <v>41052</v>
      </c>
      <c r="KA389">
        <v>2011</v>
      </c>
      <c r="KB389">
        <v>331.79</v>
      </c>
      <c r="KC389" t="s">
        <v>4407</v>
      </c>
      <c r="KD389">
        <v>6.25</v>
      </c>
      <c r="KE389" t="s">
        <v>424</v>
      </c>
      <c r="KF389" t="s">
        <v>425</v>
      </c>
      <c r="KG389" s="1">
        <v>41708</v>
      </c>
      <c r="KH389">
        <v>22</v>
      </c>
      <c r="KI389">
        <v>105</v>
      </c>
      <c r="KJ389" t="s">
        <v>946</v>
      </c>
      <c r="KL389" s="1">
        <v>40688</v>
      </c>
      <c r="KM389">
        <v>2010</v>
      </c>
      <c r="KN389">
        <v>336.18</v>
      </c>
      <c r="KO389" t="s">
        <v>4408</v>
      </c>
      <c r="KP389">
        <v>8</v>
      </c>
      <c r="KQ389" t="s">
        <v>424</v>
      </c>
      <c r="KR389" t="s">
        <v>425</v>
      </c>
      <c r="KS389" s="1">
        <v>40974</v>
      </c>
      <c r="KT389">
        <v>10</v>
      </c>
      <c r="KU389">
        <v>62</v>
      </c>
      <c r="KV389" t="s">
        <v>463</v>
      </c>
    </row>
    <row r="390" spans="1:308" x14ac:dyDescent="0.25">
      <c r="A390">
        <v>16485397</v>
      </c>
      <c r="B390">
        <v>389</v>
      </c>
      <c r="C390" t="s">
        <v>393</v>
      </c>
      <c r="D390" t="s">
        <v>394</v>
      </c>
      <c r="F390" t="str">
        <f>"05-3N-24-2360-0015-0000"</f>
        <v>05-3N-24-2360-0015-0000</v>
      </c>
      <c r="H390" t="str">
        <f>"PADGETT CHRISTINA FAY"</f>
        <v>PADGETT CHRISTINA FAY</v>
      </c>
      <c r="I390" t="str">
        <f>"PO BOX 1746"</f>
        <v>PO BOX 1746</v>
      </c>
      <c r="J390" t="str">
        <f t="shared" si="122"/>
        <v>HILLIARD FL 32046</v>
      </c>
      <c r="K390" t="str">
        <f>"552367 US HWY 1"</f>
        <v>552367 US HWY 1</v>
      </c>
      <c r="L390" t="str">
        <f t="shared" si="114"/>
        <v>HILLIARD FL 32046</v>
      </c>
      <c r="M390" t="str">
        <f>"LOT 15 (EX S-1) &amp; PAR 17-3 IN OR 1575/1201 PLEASANT PARK PB 2/21"</f>
        <v>LOT 15 (EX S-1) &amp; PAR 17-3 IN OR 1575/1201 PLEASANT PARK PB 2/21</v>
      </c>
      <c r="N390" t="str">
        <f>""</f>
        <v/>
      </c>
      <c r="O390" t="str">
        <f>"21562"</f>
        <v>21562</v>
      </c>
      <c r="P390" t="str">
        <f t="shared" si="119"/>
        <v>2017</v>
      </c>
      <c r="Q390" t="str">
        <f>""</f>
        <v/>
      </c>
      <c r="R390" t="str">
        <f>"Y"</f>
        <v>Y</v>
      </c>
      <c r="S390" t="str">
        <f>"1.45"</f>
        <v>1.45</v>
      </c>
      <c r="T390" t="str">
        <f>"434.58"</f>
        <v>434.58</v>
      </c>
      <c r="U390" t="str">
        <f>"62950.00"</f>
        <v>62950.00</v>
      </c>
      <c r="V390" t="str">
        <f>"62950.00"</f>
        <v>62950.00</v>
      </c>
      <c r="W390" t="str">
        <f t="shared" si="120"/>
        <v>2017</v>
      </c>
      <c r="X390" t="str">
        <f>"21.00"</f>
        <v>21.00</v>
      </c>
      <c r="Y390" t="str">
        <f>"479.62"</f>
        <v>479.62</v>
      </c>
      <c r="Z390" t="str">
        <f>"25000.00"</f>
        <v>25000.00</v>
      </c>
      <c r="AA390" t="str">
        <f>"37950.00"</f>
        <v>37950.00</v>
      </c>
      <c r="AB390" t="str">
        <f t="shared" si="117"/>
        <v>Residential</v>
      </c>
      <c r="AC390" t="str">
        <f t="shared" si="121"/>
        <v>0</v>
      </c>
      <c r="AD390" t="str">
        <f>"4"</f>
        <v>4</v>
      </c>
      <c r="AE390" t="str">
        <f>"WOOD (INCLUDE STEEL STUDS)"</f>
        <v>WOOD (INCLUDE STEEL STUDS)</v>
      </c>
      <c r="AF390" t="str">
        <f>"001"</f>
        <v>001</v>
      </c>
      <c r="AG390" t="str">
        <f t="shared" si="118"/>
        <v>FL</v>
      </c>
      <c r="AH390" t="str">
        <f>"63162.00"</f>
        <v>63162.00</v>
      </c>
      <c r="AI390" t="str">
        <f>"21750.00"</f>
        <v>21750.00</v>
      </c>
      <c r="AJ390" t="str">
        <f>"C55-000-586-6346-9"</f>
        <v>C55-000-586-6346-9</v>
      </c>
      <c r="AK390" t="str">
        <f>"5984"</f>
        <v>5984</v>
      </c>
      <c r="AL390">
        <v>2</v>
      </c>
      <c r="AM390">
        <v>457</v>
      </c>
      <c r="AN390">
        <v>502</v>
      </c>
      <c r="AQ390" t="s">
        <v>4409</v>
      </c>
      <c r="AR390" t="s">
        <v>4409</v>
      </c>
      <c r="AS390" t="s">
        <v>4409</v>
      </c>
      <c r="AU390" t="s">
        <v>396</v>
      </c>
      <c r="AV390">
        <v>2017</v>
      </c>
      <c r="AW390" t="str">
        <f>"05-3N-24-2360-0015-0000 "</f>
        <v xml:space="preserve">05-3N-24-2360-0015-0000 </v>
      </c>
      <c r="AX390">
        <v>552367</v>
      </c>
      <c r="AZ390" t="s">
        <v>2386</v>
      </c>
      <c r="BD390" t="s">
        <v>398</v>
      </c>
      <c r="BE390" t="s">
        <v>393</v>
      </c>
      <c r="BF390">
        <v>32046</v>
      </c>
      <c r="BG390" t="s">
        <v>4410</v>
      </c>
      <c r="BH390" t="s">
        <v>400</v>
      </c>
      <c r="BI390">
        <v>-81.929539339872306</v>
      </c>
      <c r="BJ390">
        <v>30.706031826880601</v>
      </c>
      <c r="BK390" t="s">
        <v>4411</v>
      </c>
      <c r="BM390" t="s">
        <v>4412</v>
      </c>
      <c r="BN390" t="s">
        <v>403</v>
      </c>
      <c r="BO390">
        <v>32046</v>
      </c>
      <c r="BP390" t="s">
        <v>404</v>
      </c>
      <c r="BQ390">
        <v>100</v>
      </c>
      <c r="BR390" t="s">
        <v>514</v>
      </c>
      <c r="BS390">
        <v>1001</v>
      </c>
      <c r="BT390" t="s">
        <v>515</v>
      </c>
      <c r="BW390">
        <v>63162</v>
      </c>
      <c r="BX390" t="s">
        <v>407</v>
      </c>
      <c r="BY390" t="s">
        <v>4413</v>
      </c>
      <c r="BZ390">
        <v>4</v>
      </c>
      <c r="CA390">
        <v>1920</v>
      </c>
      <c r="CB390">
        <v>1</v>
      </c>
      <c r="CC390">
        <v>1</v>
      </c>
      <c r="CD390">
        <v>2017</v>
      </c>
      <c r="CG390">
        <v>62950</v>
      </c>
      <c r="CH390">
        <v>2017</v>
      </c>
      <c r="CI390">
        <v>21750</v>
      </c>
      <c r="CJ390">
        <v>52658</v>
      </c>
      <c r="CK390">
        <v>74408</v>
      </c>
      <c r="CL390">
        <v>2017</v>
      </c>
      <c r="CM390">
        <v>434.58</v>
      </c>
      <c r="CN390" s="1">
        <v>39637</v>
      </c>
      <c r="CO390">
        <v>77000</v>
      </c>
      <c r="CV390">
        <v>77000</v>
      </c>
      <c r="CX390" t="s">
        <v>707</v>
      </c>
      <c r="CZ390" s="1">
        <v>39637</v>
      </c>
      <c r="DA390">
        <v>0</v>
      </c>
      <c r="DD390" t="s">
        <v>398</v>
      </c>
      <c r="DF390">
        <v>15</v>
      </c>
      <c r="DG390">
        <v>5</v>
      </c>
      <c r="DJ390" t="s">
        <v>4414</v>
      </c>
      <c r="DL390">
        <v>50400</v>
      </c>
      <c r="DM390" t="s">
        <v>4203</v>
      </c>
      <c r="DO390" t="s">
        <v>4415</v>
      </c>
      <c r="DP390">
        <v>0</v>
      </c>
      <c r="DQ390">
        <v>0</v>
      </c>
      <c r="DR390" t="s">
        <v>411</v>
      </c>
      <c r="DS390" t="b">
        <v>1</v>
      </c>
      <c r="DT390" t="s">
        <v>470</v>
      </c>
      <c r="DU390" t="s">
        <v>471</v>
      </c>
      <c r="DV390" t="s">
        <v>472</v>
      </c>
      <c r="DX390">
        <v>-9999</v>
      </c>
      <c r="DZ390" t="s">
        <v>447</v>
      </c>
      <c r="EA390" t="s">
        <v>448</v>
      </c>
      <c r="EB390" t="s">
        <v>1224</v>
      </c>
      <c r="EC390">
        <v>20101217</v>
      </c>
      <c r="ED390" t="s">
        <v>474</v>
      </c>
      <c r="EF390">
        <v>1194.9000000000001</v>
      </c>
      <c r="EG390">
        <v>1194.9000000000001</v>
      </c>
      <c r="EI390">
        <v>20160407</v>
      </c>
      <c r="EJ390">
        <v>0</v>
      </c>
      <c r="EK390">
        <v>0</v>
      </c>
      <c r="EP390" t="s">
        <v>421</v>
      </c>
      <c r="EQ390" t="s">
        <v>422</v>
      </c>
      <c r="ER390">
        <v>2</v>
      </c>
      <c r="ES390">
        <v>5</v>
      </c>
      <c r="ET390">
        <v>993.86</v>
      </c>
      <c r="EU390">
        <v>62.19</v>
      </c>
      <c r="EV390">
        <v>1056.05</v>
      </c>
      <c r="EW390" s="2">
        <v>43222</v>
      </c>
      <c r="EX390" s="1">
        <v>42879</v>
      </c>
      <c r="EY390">
        <v>2016</v>
      </c>
      <c r="EZ390">
        <v>496.93</v>
      </c>
      <c r="FA390" t="s">
        <v>4416</v>
      </c>
      <c r="FB390">
        <v>0.25</v>
      </c>
      <c r="FC390" t="s">
        <v>424</v>
      </c>
      <c r="FD390" t="s">
        <v>454</v>
      </c>
      <c r="FF390">
        <v>12</v>
      </c>
      <c r="FG390">
        <v>2851116</v>
      </c>
      <c r="FH390" t="s">
        <v>480</v>
      </c>
      <c r="FJ390" s="1">
        <v>42879</v>
      </c>
      <c r="FK390">
        <v>2016</v>
      </c>
      <c r="FL390">
        <v>496.93</v>
      </c>
      <c r="FM390" t="s">
        <v>4416</v>
      </c>
      <c r="FN390">
        <v>0.25</v>
      </c>
      <c r="FO390" t="s">
        <v>424</v>
      </c>
      <c r="FP390" t="s">
        <v>454</v>
      </c>
      <c r="FR390">
        <v>12</v>
      </c>
      <c r="FS390">
        <v>4876946</v>
      </c>
      <c r="FT390" t="s">
        <v>4417</v>
      </c>
      <c r="FV390" s="1">
        <v>42515</v>
      </c>
      <c r="FW390">
        <v>2015</v>
      </c>
      <c r="FX390">
        <v>503.54</v>
      </c>
      <c r="FY390" t="s">
        <v>4418</v>
      </c>
      <c r="FZ390">
        <v>0.25</v>
      </c>
      <c r="GA390" t="s">
        <v>424</v>
      </c>
      <c r="GB390" t="s">
        <v>425</v>
      </c>
      <c r="GC390" s="1">
        <v>43151</v>
      </c>
      <c r="GD390">
        <v>21</v>
      </c>
      <c r="GE390">
        <v>2851116</v>
      </c>
      <c r="GF390" t="s">
        <v>480</v>
      </c>
      <c r="GH390" s="1">
        <v>42515</v>
      </c>
      <c r="GI390">
        <v>2015</v>
      </c>
      <c r="GJ390">
        <v>503.54</v>
      </c>
      <c r="GK390" t="s">
        <v>4418</v>
      </c>
      <c r="GL390">
        <v>0.25</v>
      </c>
      <c r="GM390" t="s">
        <v>424</v>
      </c>
      <c r="GN390" t="s">
        <v>425</v>
      </c>
      <c r="GP390">
        <v>22</v>
      </c>
      <c r="GQ390">
        <v>5553859</v>
      </c>
      <c r="GR390" t="s">
        <v>4419</v>
      </c>
      <c r="GT390" s="1">
        <v>42151</v>
      </c>
      <c r="GU390">
        <v>2014</v>
      </c>
      <c r="GV390">
        <v>503.34</v>
      </c>
      <c r="GW390" t="s">
        <v>4420</v>
      </c>
      <c r="GX390">
        <v>0.25</v>
      </c>
      <c r="GY390" t="s">
        <v>424</v>
      </c>
      <c r="GZ390" t="s">
        <v>425</v>
      </c>
      <c r="HA390" s="1">
        <v>42794</v>
      </c>
      <c r="HB390">
        <v>21</v>
      </c>
      <c r="HC390">
        <v>2851116</v>
      </c>
      <c r="HD390" t="s">
        <v>480</v>
      </c>
      <c r="HF390" s="1">
        <v>42151</v>
      </c>
      <c r="HG390">
        <v>2014</v>
      </c>
      <c r="HH390">
        <v>503.34</v>
      </c>
      <c r="HI390" t="s">
        <v>4420</v>
      </c>
      <c r="HJ390">
        <v>0.25</v>
      </c>
      <c r="HK390" t="s">
        <v>424</v>
      </c>
      <c r="HL390" t="s">
        <v>425</v>
      </c>
      <c r="HN390">
        <v>22</v>
      </c>
      <c r="HO390">
        <v>5270657</v>
      </c>
      <c r="HP390" t="s">
        <v>4421</v>
      </c>
      <c r="HR390" s="1">
        <v>41787</v>
      </c>
      <c r="HS390">
        <v>2013</v>
      </c>
      <c r="HT390">
        <v>475.3</v>
      </c>
      <c r="HU390" t="s">
        <v>4422</v>
      </c>
      <c r="HV390">
        <v>0.25</v>
      </c>
      <c r="HW390" t="s">
        <v>424</v>
      </c>
      <c r="HX390" t="s">
        <v>425</v>
      </c>
      <c r="HY390" s="1">
        <v>42408</v>
      </c>
      <c r="HZ390">
        <v>21</v>
      </c>
      <c r="IA390">
        <v>2101382</v>
      </c>
      <c r="IB390" t="s">
        <v>993</v>
      </c>
    </row>
    <row r="391" spans="1:308" x14ac:dyDescent="0.25">
      <c r="A391">
        <v>16485398</v>
      </c>
      <c r="B391">
        <v>390</v>
      </c>
      <c r="C391" t="s">
        <v>393</v>
      </c>
      <c r="D391" t="s">
        <v>394</v>
      </c>
      <c r="F391" t="str">
        <f>"07-3N-24-2020-0050-0000"</f>
        <v>07-3N-24-2020-0050-0000</v>
      </c>
      <c r="H391" t="str">
        <f>"MCCONNELL RICHARD W &amp; JANET L"</f>
        <v>MCCONNELL RICHARD W &amp; JANET L</v>
      </c>
      <c r="I391" t="str">
        <f>"27092 GEORGIA STREET"</f>
        <v>27092 GEORGIA STREET</v>
      </c>
      <c r="J391" t="str">
        <f t="shared" si="122"/>
        <v>HILLIARD FL 32046</v>
      </c>
      <c r="K391" t="str">
        <f>"27092 GEORGIA ST"</f>
        <v>27092 GEORGIA ST</v>
      </c>
      <c r="L391" t="str">
        <f t="shared" si="114"/>
        <v>HILLIARD FL 32046</v>
      </c>
      <c r="M391" t="str">
        <f>"LOT 50 PT OR 874/1552 R787462 &amp; R787463 &amp; R787464 CORNWALL SURVEY"</f>
        <v>LOT 50 PT OR 874/1552 R787462 &amp; R787463 &amp; R787464 CORNWALL SURVEY</v>
      </c>
      <c r="N391" t="str">
        <f>""</f>
        <v/>
      </c>
      <c r="O391" t="str">
        <f>"22521"</f>
        <v>22521</v>
      </c>
      <c r="P391" t="str">
        <f t="shared" si="119"/>
        <v>2017</v>
      </c>
      <c r="Q391" t="str">
        <f>""</f>
        <v/>
      </c>
      <c r="R391" t="str">
        <f>"Y"</f>
        <v>Y</v>
      </c>
      <c r="S391" t="str">
        <f>"10.00"</f>
        <v>10.00</v>
      </c>
      <c r="T391" t="str">
        <f>"832.93"</f>
        <v>832.93</v>
      </c>
      <c r="U391" t="str">
        <f>"94123.00"</f>
        <v>94123.00</v>
      </c>
      <c r="V391" t="str">
        <f>"94123.00"</f>
        <v>94123.00</v>
      </c>
      <c r="W391" t="str">
        <f t="shared" si="120"/>
        <v>2017</v>
      </c>
      <c r="X391" t="str">
        <f>"21.00"</f>
        <v>21.00</v>
      </c>
      <c r="Y391" t="str">
        <f>"889.92"</f>
        <v>889.92</v>
      </c>
      <c r="Z391" t="str">
        <f>"25000.00"</f>
        <v>25000.00</v>
      </c>
      <c r="AA391" t="str">
        <f>"69123.00"</f>
        <v>69123.00</v>
      </c>
      <c r="AB391" t="str">
        <f t="shared" si="117"/>
        <v>Residential</v>
      </c>
      <c r="AC391" t="str">
        <f t="shared" si="121"/>
        <v>0</v>
      </c>
      <c r="AD391" t="str">
        <f>"4"</f>
        <v>4</v>
      </c>
      <c r="AE391" t="str">
        <f>"WOOD (INCLUDE STEEL STUDS)"</f>
        <v>WOOD (INCLUDE STEEL STUDS)</v>
      </c>
      <c r="AF391" t="str">
        <f>"002"</f>
        <v>002</v>
      </c>
      <c r="AG391" t="str">
        <f t="shared" si="118"/>
        <v>FL</v>
      </c>
      <c r="AH391" t="str">
        <f>"435600.00"</f>
        <v>435600.00</v>
      </c>
      <c r="AI391" t="str">
        <f>"48000.00"</f>
        <v>48000.00</v>
      </c>
      <c r="AJ391" t="str">
        <f>"C55-000-586-6911-0"</f>
        <v>C55-000-586-6911-0</v>
      </c>
      <c r="AK391" t="str">
        <f>"6005"</f>
        <v>6005</v>
      </c>
      <c r="AL391">
        <v>2</v>
      </c>
      <c r="AM391">
        <v>458</v>
      </c>
      <c r="AN391">
        <v>932.82</v>
      </c>
      <c r="AQ391" t="s">
        <v>4423</v>
      </c>
      <c r="AR391" t="s">
        <v>4423</v>
      </c>
      <c r="AS391" t="s">
        <v>4423</v>
      </c>
      <c r="AU391" t="s">
        <v>396</v>
      </c>
      <c r="AV391">
        <v>2017</v>
      </c>
      <c r="AW391" t="str">
        <f>"07-3N-24-2020-0050-0000 "</f>
        <v xml:space="preserve">07-3N-24-2020-0050-0000 </v>
      </c>
      <c r="AX391">
        <v>27092</v>
      </c>
      <c r="AZ391" t="s">
        <v>4324</v>
      </c>
      <c r="BA391" t="s">
        <v>1942</v>
      </c>
      <c r="BD391" t="s">
        <v>398</v>
      </c>
      <c r="BE391" t="s">
        <v>393</v>
      </c>
      <c r="BF391">
        <v>32046</v>
      </c>
      <c r="BG391" t="s">
        <v>4424</v>
      </c>
      <c r="BH391" t="s">
        <v>400</v>
      </c>
      <c r="BI391">
        <v>-81.941056127825206</v>
      </c>
      <c r="BJ391">
        <v>30.685110172582</v>
      </c>
      <c r="BK391" t="s">
        <v>4425</v>
      </c>
      <c r="BL391" t="s">
        <v>4426</v>
      </c>
      <c r="BM391" t="s">
        <v>4424</v>
      </c>
      <c r="BN391" t="s">
        <v>403</v>
      </c>
      <c r="BO391">
        <v>32046</v>
      </c>
      <c r="BP391" t="s">
        <v>416</v>
      </c>
      <c r="BQ391">
        <v>200</v>
      </c>
      <c r="BR391" t="s">
        <v>405</v>
      </c>
      <c r="BS391">
        <v>1006</v>
      </c>
      <c r="BT391" t="s">
        <v>406</v>
      </c>
      <c r="BW391">
        <v>435600</v>
      </c>
      <c r="BX391" t="s">
        <v>407</v>
      </c>
      <c r="BY391" t="s">
        <v>408</v>
      </c>
      <c r="BZ391">
        <v>4</v>
      </c>
      <c r="CA391">
        <v>1999</v>
      </c>
      <c r="CB391">
        <v>1</v>
      </c>
      <c r="CC391">
        <v>1</v>
      </c>
      <c r="CD391">
        <v>2017</v>
      </c>
      <c r="CG391">
        <v>94123</v>
      </c>
      <c r="CH391">
        <v>2017</v>
      </c>
      <c r="CI391">
        <v>48000</v>
      </c>
      <c r="CJ391">
        <v>56832</v>
      </c>
      <c r="CK391">
        <v>104832</v>
      </c>
      <c r="CL391">
        <v>2017</v>
      </c>
      <c r="CM391">
        <v>832.93</v>
      </c>
      <c r="CN391" s="1">
        <v>36236</v>
      </c>
      <c r="CO391">
        <v>39000</v>
      </c>
      <c r="CZ391" s="1">
        <v>36236</v>
      </c>
      <c r="DD391" t="s">
        <v>398</v>
      </c>
      <c r="DF391">
        <v>50</v>
      </c>
      <c r="DG391">
        <v>7</v>
      </c>
      <c r="DL391">
        <v>50400</v>
      </c>
      <c r="DM391" t="s">
        <v>4427</v>
      </c>
      <c r="DO391" t="s">
        <v>4428</v>
      </c>
      <c r="DP391">
        <v>0</v>
      </c>
      <c r="DQ391">
        <v>0</v>
      </c>
      <c r="DR391" t="s">
        <v>411</v>
      </c>
      <c r="DS391" t="b">
        <v>1</v>
      </c>
      <c r="DT391" t="s">
        <v>470</v>
      </c>
      <c r="DU391" t="s">
        <v>471</v>
      </c>
      <c r="DV391" t="s">
        <v>472</v>
      </c>
      <c r="DX391">
        <v>-9999</v>
      </c>
      <c r="DZ391" t="s">
        <v>447</v>
      </c>
      <c r="EA391" t="s">
        <v>448</v>
      </c>
      <c r="EB391" t="s">
        <v>1224</v>
      </c>
      <c r="EC391">
        <v>20101217</v>
      </c>
      <c r="ED391" t="s">
        <v>474</v>
      </c>
      <c r="EF391">
        <v>21</v>
      </c>
      <c r="EG391">
        <v>21</v>
      </c>
      <c r="EI391">
        <v>20160407</v>
      </c>
      <c r="EJ391">
        <v>0</v>
      </c>
      <c r="EK391">
        <v>0</v>
      </c>
      <c r="EP391" t="s">
        <v>421</v>
      </c>
      <c r="EQ391" t="s">
        <v>422</v>
      </c>
      <c r="ER391">
        <v>2</v>
      </c>
      <c r="ES391">
        <v>8</v>
      </c>
      <c r="ET391">
        <v>1822.16</v>
      </c>
      <c r="EU391">
        <v>103.61</v>
      </c>
      <c r="EV391">
        <v>1925.77</v>
      </c>
      <c r="EW391" s="2">
        <v>43222</v>
      </c>
      <c r="EX391" s="1">
        <v>42879</v>
      </c>
      <c r="EY391">
        <v>2016</v>
      </c>
      <c r="EZ391">
        <v>911.08</v>
      </c>
      <c r="FA391" t="s">
        <v>4429</v>
      </c>
      <c r="FB391">
        <v>0.25</v>
      </c>
      <c r="FC391" t="s">
        <v>424</v>
      </c>
      <c r="FD391" t="s">
        <v>454</v>
      </c>
      <c r="FF391">
        <v>12</v>
      </c>
      <c r="FG391">
        <v>2851116</v>
      </c>
      <c r="FH391" t="s">
        <v>480</v>
      </c>
      <c r="FJ391" s="1">
        <v>42879</v>
      </c>
      <c r="FK391">
        <v>2016</v>
      </c>
      <c r="FL391">
        <v>911.08</v>
      </c>
      <c r="FM391" t="s">
        <v>4429</v>
      </c>
      <c r="FN391">
        <v>0.25</v>
      </c>
      <c r="FO391" t="s">
        <v>424</v>
      </c>
      <c r="FP391" t="s">
        <v>454</v>
      </c>
      <c r="FR391">
        <v>12</v>
      </c>
      <c r="FS391">
        <v>4995344</v>
      </c>
      <c r="FT391" t="s">
        <v>4430</v>
      </c>
      <c r="FV391" s="1">
        <v>42515</v>
      </c>
      <c r="FW391">
        <v>2015</v>
      </c>
      <c r="FX391">
        <v>921.89</v>
      </c>
      <c r="FY391" t="s">
        <v>4431</v>
      </c>
      <c r="FZ391">
        <v>0.25</v>
      </c>
      <c r="GA391" t="s">
        <v>424</v>
      </c>
      <c r="GB391" t="s">
        <v>425</v>
      </c>
      <c r="GC391" s="1">
        <v>43143</v>
      </c>
      <c r="GD391">
        <v>21</v>
      </c>
      <c r="GE391">
        <v>7045074</v>
      </c>
      <c r="GF391" t="s">
        <v>580</v>
      </c>
      <c r="GH391" s="1">
        <v>42515</v>
      </c>
      <c r="GI391">
        <v>2015</v>
      </c>
      <c r="GJ391">
        <v>921.89</v>
      </c>
      <c r="GK391" t="s">
        <v>4431</v>
      </c>
      <c r="GL391">
        <v>0.25</v>
      </c>
      <c r="GM391" t="s">
        <v>424</v>
      </c>
      <c r="GN391" t="s">
        <v>425</v>
      </c>
      <c r="GP391">
        <v>22</v>
      </c>
      <c r="GQ391">
        <v>6482979</v>
      </c>
      <c r="GR391" t="s">
        <v>4432</v>
      </c>
      <c r="GT391" s="1">
        <v>42151</v>
      </c>
      <c r="GU391">
        <v>2014</v>
      </c>
      <c r="GV391">
        <v>914.75</v>
      </c>
      <c r="GW391" t="s">
        <v>4433</v>
      </c>
      <c r="GX391">
        <v>0.25</v>
      </c>
      <c r="GY391" t="s">
        <v>424</v>
      </c>
      <c r="GZ391" t="s">
        <v>425</v>
      </c>
      <c r="HA391" s="1">
        <v>42790</v>
      </c>
      <c r="HB391">
        <v>21</v>
      </c>
      <c r="HC391">
        <v>4975594</v>
      </c>
      <c r="HD391" t="s">
        <v>457</v>
      </c>
      <c r="HF391" s="1">
        <v>42151</v>
      </c>
      <c r="HG391">
        <v>2014</v>
      </c>
      <c r="HH391">
        <v>914.75</v>
      </c>
      <c r="HI391" t="s">
        <v>4433</v>
      </c>
      <c r="HJ391">
        <v>0.25</v>
      </c>
      <c r="HK391" t="s">
        <v>424</v>
      </c>
      <c r="HL391" t="s">
        <v>425</v>
      </c>
      <c r="HN391">
        <v>22</v>
      </c>
      <c r="HO391">
        <v>6449023</v>
      </c>
      <c r="HP391" t="s">
        <v>4434</v>
      </c>
      <c r="HR391" s="1">
        <v>41787</v>
      </c>
      <c r="HS391">
        <v>2013</v>
      </c>
      <c r="HT391">
        <v>1092.2</v>
      </c>
      <c r="HU391" t="s">
        <v>4435</v>
      </c>
      <c r="HV391">
        <v>0.25</v>
      </c>
      <c r="HW391" t="s">
        <v>424</v>
      </c>
      <c r="HX391" t="s">
        <v>425</v>
      </c>
      <c r="HY391" s="1">
        <v>42424</v>
      </c>
      <c r="HZ391">
        <v>21</v>
      </c>
      <c r="IA391">
        <v>2851116</v>
      </c>
      <c r="IB391" t="s">
        <v>480</v>
      </c>
      <c r="ID391" s="1">
        <v>41423</v>
      </c>
      <c r="IE391">
        <v>2012</v>
      </c>
      <c r="IF391">
        <v>1132.22</v>
      </c>
      <c r="IG391" t="s">
        <v>4436</v>
      </c>
      <c r="IH391">
        <v>0.25</v>
      </c>
      <c r="II391" t="s">
        <v>424</v>
      </c>
      <c r="IJ391" t="s">
        <v>425</v>
      </c>
      <c r="IK391" s="1">
        <v>42058</v>
      </c>
      <c r="IL391">
        <v>21</v>
      </c>
      <c r="IM391">
        <v>15399</v>
      </c>
      <c r="IN391" t="s">
        <v>485</v>
      </c>
      <c r="IP391" s="1">
        <v>41052</v>
      </c>
      <c r="IQ391">
        <v>2011</v>
      </c>
      <c r="IR391">
        <v>1275.28</v>
      </c>
      <c r="IS391" t="s">
        <v>4437</v>
      </c>
      <c r="IT391">
        <v>4.75</v>
      </c>
      <c r="IU391" t="s">
        <v>424</v>
      </c>
      <c r="IV391" t="s">
        <v>425</v>
      </c>
      <c r="IW391" s="1">
        <v>41698</v>
      </c>
      <c r="IX391">
        <v>21</v>
      </c>
      <c r="IY391">
        <v>11287</v>
      </c>
      <c r="IZ391" t="s">
        <v>511</v>
      </c>
      <c r="JB391" s="1">
        <v>40688</v>
      </c>
      <c r="JC391">
        <v>2010</v>
      </c>
      <c r="JD391">
        <v>1315.42</v>
      </c>
      <c r="JE391" t="s">
        <v>4438</v>
      </c>
      <c r="JF391">
        <v>5</v>
      </c>
      <c r="JG391" t="s">
        <v>424</v>
      </c>
      <c r="JH391" t="s">
        <v>425</v>
      </c>
      <c r="JI391" s="1">
        <v>41330</v>
      </c>
      <c r="JJ391">
        <v>21</v>
      </c>
      <c r="JK391">
        <v>287</v>
      </c>
      <c r="JL391" t="s">
        <v>572</v>
      </c>
    </row>
    <row r="392" spans="1:308" x14ac:dyDescent="0.25">
      <c r="A392">
        <v>16485399</v>
      </c>
      <c r="B392">
        <v>391</v>
      </c>
      <c r="C392" t="s">
        <v>393</v>
      </c>
      <c r="D392" t="s">
        <v>394</v>
      </c>
      <c r="F392" t="str">
        <f>"07-3N-24-2020-0059-0000"</f>
        <v>07-3N-24-2020-0059-0000</v>
      </c>
      <c r="H392" t="str">
        <f>"ROBINSON EARL L &amp; SYLVIA I TRUSTEES OF ROBINSON LVG TRUST"</f>
        <v>ROBINSON EARL L &amp; SYLVIA I TRUSTEES OF ROBINSON LVG TRUST</v>
      </c>
      <c r="I392" t="str">
        <f>"PO BOX 758"</f>
        <v>PO BOX 758</v>
      </c>
      <c r="J392" t="str">
        <f t="shared" si="122"/>
        <v>HILLIARD FL 32046</v>
      </c>
      <c r="K392" t="str">
        <f>"27664 GEORGIA ST"</f>
        <v>27664 GEORGIA ST</v>
      </c>
      <c r="L392" t="str">
        <f t="shared" si="114"/>
        <v>HILLIARD FL 32046</v>
      </c>
      <c r="M392" t="str">
        <f>"LOT 59 IN OR 1230/843 CORNWALL SURVEY"</f>
        <v>LOT 59 IN OR 1230/843 CORNWALL SURVEY</v>
      </c>
      <c r="N392" t="str">
        <f>""</f>
        <v/>
      </c>
      <c r="O392" t="str">
        <f>"22532"</f>
        <v>22532</v>
      </c>
      <c r="P392" t="str">
        <f t="shared" si="119"/>
        <v>2017</v>
      </c>
      <c r="Q392" t="str">
        <f>""</f>
        <v/>
      </c>
      <c r="R392" t="str">
        <f>"Y"</f>
        <v>Y</v>
      </c>
      <c r="S392" t="str">
        <f>"10.00"</f>
        <v>10.00</v>
      </c>
      <c r="T392" t="str">
        <f>"478.19"</f>
        <v>478.19</v>
      </c>
      <c r="U392" t="str">
        <f>"65112.00"</f>
        <v>65112.00</v>
      </c>
      <c r="V392" t="str">
        <f>"65112.00"</f>
        <v>65112.00</v>
      </c>
      <c r="W392" t="str">
        <f t="shared" si="120"/>
        <v>2017</v>
      </c>
      <c r="X392" t="str">
        <f>"21.00"</f>
        <v>21.00</v>
      </c>
      <c r="Y392" t="str">
        <f>"524.54"</f>
        <v>524.54</v>
      </c>
      <c r="Z392" t="str">
        <f>"25000.00"</f>
        <v>25000.00</v>
      </c>
      <c r="AA392" t="str">
        <f>"40112.00"</f>
        <v>40112.00</v>
      </c>
      <c r="AB392" t="str">
        <f>"Agricultural"</f>
        <v>Agricultural</v>
      </c>
      <c r="AC392" t="str">
        <f t="shared" si="121"/>
        <v>0</v>
      </c>
      <c r="AD392" t="str">
        <f>"4"</f>
        <v>4</v>
      </c>
      <c r="AE392" t="str">
        <f>"WOOD (INCLUDE STEEL STUDS)"</f>
        <v>WOOD (INCLUDE STEEL STUDS)</v>
      </c>
      <c r="AF392" t="str">
        <f>"050"</f>
        <v>050</v>
      </c>
      <c r="AG392" t="str">
        <f t="shared" si="118"/>
        <v>FL</v>
      </c>
      <c r="AH392" t="str">
        <f>"435600.00"</f>
        <v>435600.00</v>
      </c>
      <c r="AI392" t="str">
        <f>"18540.00"</f>
        <v>18540.00</v>
      </c>
      <c r="AJ392" t="str">
        <f>"C55-000-586-6918-5"</f>
        <v>C55-000-586-6918-5</v>
      </c>
      <c r="AK392" t="str">
        <f>"6015"</f>
        <v>6015</v>
      </c>
      <c r="AL392">
        <v>2</v>
      </c>
      <c r="AM392">
        <v>459</v>
      </c>
      <c r="AN392">
        <v>549.16999999999996</v>
      </c>
      <c r="AQ392" t="s">
        <v>4439</v>
      </c>
      <c r="AR392" t="s">
        <v>4439</v>
      </c>
      <c r="AS392" t="s">
        <v>4439</v>
      </c>
      <c r="AU392" t="s">
        <v>396</v>
      </c>
      <c r="AV392">
        <v>2017</v>
      </c>
      <c r="AW392" t="str">
        <f>"07-3N-24-2020-0059-0000 "</f>
        <v xml:space="preserve">07-3N-24-2020-0059-0000 </v>
      </c>
      <c r="AX392">
        <v>27664</v>
      </c>
      <c r="AZ392" t="s">
        <v>4324</v>
      </c>
      <c r="BA392" t="s">
        <v>1942</v>
      </c>
      <c r="BD392" t="s">
        <v>398</v>
      </c>
      <c r="BE392" t="s">
        <v>393</v>
      </c>
      <c r="BF392">
        <v>32046</v>
      </c>
      <c r="BG392" t="s">
        <v>4440</v>
      </c>
      <c r="BH392" t="s">
        <v>400</v>
      </c>
      <c r="BI392">
        <v>-81.941477070572901</v>
      </c>
      <c r="BJ392">
        <v>30.693408622389999</v>
      </c>
      <c r="BK392" t="s">
        <v>4441</v>
      </c>
      <c r="BL392" t="s">
        <v>4442</v>
      </c>
      <c r="BM392" t="s">
        <v>4443</v>
      </c>
      <c r="BN392" t="s">
        <v>403</v>
      </c>
      <c r="BO392">
        <v>32046</v>
      </c>
      <c r="BP392" t="s">
        <v>404</v>
      </c>
      <c r="BQ392">
        <v>5000</v>
      </c>
      <c r="BR392" t="s">
        <v>664</v>
      </c>
      <c r="BS392">
        <v>7000</v>
      </c>
      <c r="BT392" t="s">
        <v>665</v>
      </c>
      <c r="BW392">
        <v>435600</v>
      </c>
      <c r="BX392" t="s">
        <v>407</v>
      </c>
      <c r="BY392" t="s">
        <v>408</v>
      </c>
      <c r="BZ392">
        <v>4</v>
      </c>
      <c r="CA392">
        <v>1964</v>
      </c>
      <c r="CB392">
        <v>1</v>
      </c>
      <c r="CC392">
        <v>1</v>
      </c>
      <c r="CD392">
        <v>2017</v>
      </c>
      <c r="CG392">
        <v>65112</v>
      </c>
      <c r="CH392">
        <v>2017</v>
      </c>
      <c r="CI392">
        <v>18540</v>
      </c>
      <c r="CJ392">
        <v>116144</v>
      </c>
      <c r="CK392">
        <v>134684</v>
      </c>
      <c r="CL392">
        <v>2017</v>
      </c>
      <c r="CM392">
        <v>478.19</v>
      </c>
      <c r="CN392" s="1">
        <v>38120</v>
      </c>
      <c r="CZ392" s="1">
        <v>38120</v>
      </c>
      <c r="DD392" t="s">
        <v>398</v>
      </c>
      <c r="DF392">
        <v>59</v>
      </c>
      <c r="DG392">
        <v>7</v>
      </c>
      <c r="DJ392" t="s">
        <v>1990</v>
      </c>
      <c r="DL392">
        <v>50400</v>
      </c>
      <c r="DM392" t="s">
        <v>4427</v>
      </c>
      <c r="DO392" t="s">
        <v>4444</v>
      </c>
      <c r="DP392">
        <v>0</v>
      </c>
      <c r="DQ392">
        <v>0</v>
      </c>
      <c r="DR392" t="s">
        <v>411</v>
      </c>
      <c r="DS392" t="b">
        <v>1</v>
      </c>
      <c r="DT392" t="s">
        <v>470</v>
      </c>
      <c r="DU392" t="s">
        <v>471</v>
      </c>
      <c r="DV392" t="s">
        <v>472</v>
      </c>
      <c r="DX392">
        <v>-9999</v>
      </c>
      <c r="DZ392" t="s">
        <v>447</v>
      </c>
      <c r="EA392" t="s">
        <v>448</v>
      </c>
      <c r="EB392" t="s">
        <v>1224</v>
      </c>
      <c r="EC392">
        <v>20101217</v>
      </c>
      <c r="ED392" t="s">
        <v>474</v>
      </c>
      <c r="EF392">
        <v>427.6</v>
      </c>
      <c r="EG392">
        <v>427.6</v>
      </c>
      <c r="EI392">
        <v>20160407</v>
      </c>
      <c r="EJ392">
        <v>0</v>
      </c>
      <c r="EK392">
        <v>0</v>
      </c>
      <c r="EP392" t="s">
        <v>421</v>
      </c>
      <c r="EQ392" t="s">
        <v>422</v>
      </c>
      <c r="ER392">
        <v>0</v>
      </c>
      <c r="ES392">
        <v>2</v>
      </c>
      <c r="ET392">
        <v>0</v>
      </c>
      <c r="EU392">
        <v>0</v>
      </c>
      <c r="EV392">
        <v>0</v>
      </c>
      <c r="EW392" s="2">
        <v>43222</v>
      </c>
      <c r="EX392" s="1">
        <v>42515</v>
      </c>
      <c r="EY392">
        <v>2015</v>
      </c>
      <c r="EZ392">
        <v>547.45000000000005</v>
      </c>
      <c r="FA392" t="s">
        <v>4445</v>
      </c>
      <c r="FB392">
        <v>0.25</v>
      </c>
      <c r="FC392" t="s">
        <v>424</v>
      </c>
      <c r="FD392" t="s">
        <v>425</v>
      </c>
      <c r="FE392" s="1">
        <v>43144</v>
      </c>
      <c r="FF392">
        <v>21</v>
      </c>
      <c r="FG392">
        <v>7045074</v>
      </c>
      <c r="FH392" t="s">
        <v>580</v>
      </c>
      <c r="FJ392" s="1">
        <v>42515</v>
      </c>
      <c r="FK392">
        <v>2015</v>
      </c>
      <c r="FL392">
        <v>547.45000000000005</v>
      </c>
      <c r="FM392" t="s">
        <v>4445</v>
      </c>
      <c r="FN392">
        <v>0.25</v>
      </c>
      <c r="FO392" t="s">
        <v>424</v>
      </c>
      <c r="FP392" t="s">
        <v>425</v>
      </c>
      <c r="FR392">
        <v>22</v>
      </c>
      <c r="FS392">
        <v>6326723</v>
      </c>
      <c r="FT392" t="s">
        <v>4446</v>
      </c>
    </row>
    <row r="393" spans="1:308" x14ac:dyDescent="0.25">
      <c r="A393">
        <v>16485400</v>
      </c>
      <c r="B393">
        <v>392</v>
      </c>
      <c r="C393" t="s">
        <v>393</v>
      </c>
      <c r="D393" t="s">
        <v>394</v>
      </c>
      <c r="F393" t="str">
        <f>"07-3N-24-2020-0060-0010"</f>
        <v>07-3N-24-2020-0060-0010</v>
      </c>
      <c r="H393" t="str">
        <f>"SADESKY STEVE JR &amp; SHARON"</f>
        <v>SADESKY STEVE JR &amp; SHARON</v>
      </c>
      <c r="I393" t="str">
        <f>"PO BOX 22"</f>
        <v>PO BOX 22</v>
      </c>
      <c r="J393" t="str">
        <f t="shared" si="122"/>
        <v>HILLIARD FL 32046</v>
      </c>
      <c r="K393" t="str">
        <f>"GEORGIA ST"</f>
        <v>GEORGIA ST</v>
      </c>
      <c r="L393" t="str">
        <f t="shared" si="114"/>
        <v>HILLIARD FL 32046</v>
      </c>
      <c r="M393" t="str">
        <f>"N1/2 OF LOT 60 IN OR 1211/184 CORNWALL SURVEY"</f>
        <v>N1/2 OF LOT 60 IN OR 1211/184 CORNWALL SURVEY</v>
      </c>
      <c r="N393" t="str">
        <f>""</f>
        <v/>
      </c>
      <c r="O393" t="str">
        <f>"22533"</f>
        <v>22533</v>
      </c>
      <c r="P393" t="str">
        <f t="shared" si="119"/>
        <v>2017</v>
      </c>
      <c r="Q393" t="str">
        <f>""</f>
        <v/>
      </c>
      <c r="R393" t="str">
        <f>"N"</f>
        <v>N</v>
      </c>
      <c r="S393" t="str">
        <f>"5.00"</f>
        <v>5.00</v>
      </c>
      <c r="T393" t="str">
        <f>"484.44"</f>
        <v>484.44</v>
      </c>
      <c r="U393" t="str">
        <f>"32000.00"</f>
        <v>32000.00</v>
      </c>
      <c r="V393" t="str">
        <f>"32000.00"</f>
        <v>32000.00</v>
      </c>
      <c r="W393" t="str">
        <f t="shared" si="120"/>
        <v>2017</v>
      </c>
      <c r="X393" t="str">
        <f>""</f>
        <v/>
      </c>
      <c r="Y393" t="str">
        <f>"530.97"</f>
        <v>530.97</v>
      </c>
      <c r="Z393" t="str">
        <f>""</f>
        <v/>
      </c>
      <c r="AA393" t="str">
        <f>"32000.00"</f>
        <v>32000.00</v>
      </c>
      <c r="AB393" t="str">
        <f>"Residential"</f>
        <v>Residential</v>
      </c>
      <c r="AC393" t="str">
        <f t="shared" si="121"/>
        <v>0</v>
      </c>
      <c r="AD393" t="str">
        <f>""</f>
        <v/>
      </c>
      <c r="AE393" t="str">
        <f>""</f>
        <v/>
      </c>
      <c r="AF393" t="str">
        <f>"000"</f>
        <v>000</v>
      </c>
      <c r="AG393" t="str">
        <f t="shared" si="118"/>
        <v>FL</v>
      </c>
      <c r="AH393" t="str">
        <f>"217800.00"</f>
        <v>217800.00</v>
      </c>
      <c r="AI393" t="str">
        <f>"32000.00"</f>
        <v>32000.00</v>
      </c>
      <c r="AJ393" t="str">
        <f>"C55-000-586-6919-3"</f>
        <v>C55-000-586-6919-3</v>
      </c>
      <c r="AK393" t="str">
        <f>"6016"</f>
        <v>6016</v>
      </c>
      <c r="AL393">
        <v>2</v>
      </c>
      <c r="AM393">
        <v>460</v>
      </c>
      <c r="AN393">
        <v>555.91999999999996</v>
      </c>
      <c r="AQ393" t="s">
        <v>4447</v>
      </c>
      <c r="AR393" t="s">
        <v>4447</v>
      </c>
      <c r="AS393" t="s">
        <v>4447</v>
      </c>
      <c r="AU393" t="s">
        <v>396</v>
      </c>
      <c r="AV393">
        <v>2017</v>
      </c>
      <c r="AW393" t="str">
        <f>"07-3N-24-2020-0060-0010 "</f>
        <v xml:space="preserve">07-3N-24-2020-0060-0010 </v>
      </c>
      <c r="AZ393" t="s">
        <v>4324</v>
      </c>
      <c r="BA393" t="s">
        <v>1942</v>
      </c>
      <c r="BD393" t="s">
        <v>398</v>
      </c>
      <c r="BE393" t="s">
        <v>393</v>
      </c>
      <c r="BF393">
        <v>32046</v>
      </c>
      <c r="BG393" t="s">
        <v>4448</v>
      </c>
      <c r="BH393" t="s">
        <v>400</v>
      </c>
      <c r="BI393">
        <v>-81.941536808772398</v>
      </c>
      <c r="BJ393">
        <v>30.694551920315</v>
      </c>
      <c r="BK393" t="s">
        <v>4449</v>
      </c>
      <c r="BL393" t="s">
        <v>4450</v>
      </c>
      <c r="BM393" t="s">
        <v>4451</v>
      </c>
      <c r="BN393" t="s">
        <v>403</v>
      </c>
      <c r="BO393">
        <v>32046</v>
      </c>
      <c r="BP393" t="s">
        <v>404</v>
      </c>
      <c r="BQ393">
        <v>0</v>
      </c>
      <c r="BR393" t="s">
        <v>491</v>
      </c>
      <c r="BS393">
        <v>8001</v>
      </c>
      <c r="BT393" t="s">
        <v>492</v>
      </c>
      <c r="BW393">
        <v>217800</v>
      </c>
      <c r="BX393" t="s">
        <v>407</v>
      </c>
      <c r="BY393" t="s">
        <v>408</v>
      </c>
      <c r="CD393">
        <v>2017</v>
      </c>
      <c r="CE393">
        <v>32000</v>
      </c>
      <c r="CG393">
        <v>32000</v>
      </c>
      <c r="CH393">
        <v>2017</v>
      </c>
      <c r="CI393">
        <v>32000</v>
      </c>
      <c r="CK393">
        <v>32000</v>
      </c>
      <c r="CL393">
        <v>2017</v>
      </c>
      <c r="CM393">
        <v>484.44</v>
      </c>
      <c r="CN393" s="1">
        <v>38044</v>
      </c>
      <c r="CZ393" s="1">
        <v>38044</v>
      </c>
      <c r="DD393" t="s">
        <v>398</v>
      </c>
      <c r="DF393">
        <v>60</v>
      </c>
      <c r="DG393">
        <v>7</v>
      </c>
      <c r="DJ393" t="s">
        <v>1990</v>
      </c>
      <c r="DL393">
        <v>50400</v>
      </c>
      <c r="DM393" t="s">
        <v>4427</v>
      </c>
      <c r="DO393" t="s">
        <v>4452</v>
      </c>
      <c r="DP393">
        <v>0</v>
      </c>
      <c r="DQ393">
        <v>0</v>
      </c>
      <c r="DR393" t="s">
        <v>411</v>
      </c>
    </row>
    <row r="394" spans="1:308" x14ac:dyDescent="0.25">
      <c r="A394">
        <v>16485401</v>
      </c>
      <c r="B394">
        <v>393</v>
      </c>
      <c r="C394" t="s">
        <v>393</v>
      </c>
      <c r="D394" t="s">
        <v>394</v>
      </c>
      <c r="F394" t="str">
        <f>"07-3N-24-2020-0060-0020"</f>
        <v>07-3N-24-2020-0060-0020</v>
      </c>
      <c r="H394" t="str">
        <f>"SADESKY STEVE P JR"</f>
        <v>SADESKY STEVE P JR</v>
      </c>
      <c r="I394" t="str">
        <f>"27708 GEORGIA ST"</f>
        <v>27708 GEORGIA ST</v>
      </c>
      <c r="J394" t="str">
        <f t="shared" si="122"/>
        <v>HILLIARD FL 32046</v>
      </c>
      <c r="K394" t="str">
        <f>"27708 GEORGIA ST"</f>
        <v>27708 GEORGIA ST</v>
      </c>
      <c r="L394" t="str">
        <f t="shared" si="114"/>
        <v>HILLIARD FL 32046</v>
      </c>
      <c r="M394" t="str">
        <f>"S 1/2 OF LOT 60 OR 190 PG 354 RP 1458-1459 CORNWALL SURVEY"</f>
        <v>S 1/2 OF LOT 60 OR 190 PG 354 RP 1458-1459 CORNWALL SURVEY</v>
      </c>
      <c r="N394" t="str">
        <f>""</f>
        <v/>
      </c>
      <c r="O394" t="str">
        <f>"22534"</f>
        <v>22534</v>
      </c>
      <c r="P394" t="str">
        <f t="shared" si="119"/>
        <v>2017</v>
      </c>
      <c r="Q394" t="str">
        <f>""</f>
        <v/>
      </c>
      <c r="R394" t="str">
        <f>"Y"</f>
        <v>Y</v>
      </c>
      <c r="S394" t="str">
        <f>"5.00"</f>
        <v>5.00</v>
      </c>
      <c r="T394" t="str">
        <f>"506.59"</f>
        <v>506.59</v>
      </c>
      <c r="U394" t="str">
        <f>"69417.00"</f>
        <v>69417.00</v>
      </c>
      <c r="V394" t="str">
        <f>"69417.00"</f>
        <v>69417.00</v>
      </c>
      <c r="W394" t="str">
        <f t="shared" si="120"/>
        <v>2017</v>
      </c>
      <c r="X394" t="str">
        <f>""</f>
        <v/>
      </c>
      <c r="Y394" t="str">
        <f>"553.79"</f>
        <v>553.79</v>
      </c>
      <c r="Z394" t="str">
        <f>"25000.00"</f>
        <v>25000.00</v>
      </c>
      <c r="AA394" t="str">
        <f>"44417.00"</f>
        <v>44417.00</v>
      </c>
      <c r="AB394" t="str">
        <f>"Residential"</f>
        <v>Residential</v>
      </c>
      <c r="AC394" t="str">
        <f t="shared" si="121"/>
        <v>0</v>
      </c>
      <c r="AD394" t="str">
        <f>"4"</f>
        <v>4</v>
      </c>
      <c r="AE394" t="str">
        <f>"WOOD (INCLUDE STEEL STUDS)"</f>
        <v>WOOD (INCLUDE STEEL STUDS)</v>
      </c>
      <c r="AF394" t="str">
        <f>"002"</f>
        <v>002</v>
      </c>
      <c r="AG394" t="str">
        <f t="shared" si="118"/>
        <v>FL</v>
      </c>
      <c r="AH394" t="str">
        <f>"217800.00"</f>
        <v>217800.00</v>
      </c>
      <c r="AI394" t="str">
        <f>"32000.00"</f>
        <v>32000.00</v>
      </c>
      <c r="AJ394" t="str">
        <f>"C55-000-586-6920-1"</f>
        <v>C55-000-586-6920-1</v>
      </c>
      <c r="AK394" t="str">
        <f>"6017"</f>
        <v>6017</v>
      </c>
      <c r="AL394">
        <v>2</v>
      </c>
      <c r="AM394">
        <v>461</v>
      </c>
      <c r="AN394">
        <v>579.88</v>
      </c>
      <c r="AQ394" t="s">
        <v>4453</v>
      </c>
      <c r="AR394" t="s">
        <v>4453</v>
      </c>
      <c r="AS394" t="s">
        <v>4453</v>
      </c>
      <c r="AU394" t="s">
        <v>396</v>
      </c>
      <c r="AV394">
        <v>2017</v>
      </c>
      <c r="AW394" t="str">
        <f>"07-3N-24-2020-0060-0020 "</f>
        <v xml:space="preserve">07-3N-24-2020-0060-0020 </v>
      </c>
      <c r="AX394">
        <v>27708</v>
      </c>
      <c r="AZ394" t="s">
        <v>4324</v>
      </c>
      <c r="BA394" t="s">
        <v>1942</v>
      </c>
      <c r="BD394" t="s">
        <v>398</v>
      </c>
      <c r="BE394" t="s">
        <v>393</v>
      </c>
      <c r="BF394">
        <v>32046</v>
      </c>
      <c r="BG394" t="s">
        <v>4454</v>
      </c>
      <c r="BH394" t="s">
        <v>400</v>
      </c>
      <c r="BI394">
        <v>-81.941513452858501</v>
      </c>
      <c r="BJ394">
        <v>30.6940986693266</v>
      </c>
      <c r="BK394" t="s">
        <v>4455</v>
      </c>
      <c r="BM394" t="s">
        <v>4451</v>
      </c>
      <c r="BN394" t="s">
        <v>403</v>
      </c>
      <c r="BO394">
        <v>32046</v>
      </c>
      <c r="BP394" t="s">
        <v>404</v>
      </c>
      <c r="BQ394">
        <v>200</v>
      </c>
      <c r="BR394" t="s">
        <v>405</v>
      </c>
      <c r="BS394">
        <v>1006</v>
      </c>
      <c r="BT394" t="s">
        <v>406</v>
      </c>
      <c r="BW394">
        <v>217800</v>
      </c>
      <c r="BX394" t="s">
        <v>407</v>
      </c>
      <c r="BY394" t="s">
        <v>408</v>
      </c>
      <c r="BZ394">
        <v>4</v>
      </c>
      <c r="CA394">
        <v>1974</v>
      </c>
      <c r="CB394">
        <v>1</v>
      </c>
      <c r="CC394">
        <v>1</v>
      </c>
      <c r="CD394">
        <v>2017</v>
      </c>
      <c r="CG394">
        <v>69417</v>
      </c>
      <c r="CH394">
        <v>2017</v>
      </c>
      <c r="CI394">
        <v>32000</v>
      </c>
      <c r="CJ394">
        <v>38095</v>
      </c>
      <c r="CK394">
        <v>70095</v>
      </c>
      <c r="CL394">
        <v>2017</v>
      </c>
      <c r="CM394">
        <v>506.59</v>
      </c>
      <c r="CN394" s="1">
        <v>27395</v>
      </c>
      <c r="CO394">
        <v>1000</v>
      </c>
      <c r="CZ394" s="1">
        <v>27395</v>
      </c>
      <c r="DD394" t="s">
        <v>398</v>
      </c>
      <c r="DF394">
        <v>60</v>
      </c>
      <c r="DG394">
        <v>7</v>
      </c>
      <c r="DJ394" t="s">
        <v>1990</v>
      </c>
      <c r="DL394">
        <v>50400</v>
      </c>
      <c r="DM394" t="s">
        <v>4427</v>
      </c>
      <c r="DO394" t="s">
        <v>4456</v>
      </c>
      <c r="DP394">
        <v>0</v>
      </c>
      <c r="DQ394">
        <v>0</v>
      </c>
      <c r="DR394" t="s">
        <v>411</v>
      </c>
    </row>
    <row r="395" spans="1:308" x14ac:dyDescent="0.25">
      <c r="A395">
        <v>16485402</v>
      </c>
      <c r="B395">
        <v>394</v>
      </c>
      <c r="C395" t="s">
        <v>393</v>
      </c>
      <c r="D395" t="s">
        <v>394</v>
      </c>
      <c r="F395" t="str">
        <f>"08-3N-24-2380-0009-0022"</f>
        <v>08-3N-24-2380-0009-0022</v>
      </c>
      <c r="H395" t="str">
        <f>"HARRIS ELMO A"</f>
        <v>HARRIS ELMO A</v>
      </c>
      <c r="I395" t="str">
        <f>"PO BOX 1076"</f>
        <v>PO BOX 1076</v>
      </c>
      <c r="J395" t="str">
        <f t="shared" si="122"/>
        <v>HILLIARD FL 32046</v>
      </c>
      <c r="K395" t="str">
        <f>"37461 FIRST ST W"</f>
        <v>37461 FIRST ST W</v>
      </c>
      <c r="L395" t="str">
        <f t="shared" si="114"/>
        <v>HILLIARD FL 32046</v>
      </c>
      <c r="M395" t="str">
        <f>"BLOCK 9 SWLY 200 FT OF LOT 2 IN OR 336/738 EX ESMT OR 340/386 COMM SYS R/W OR 934/1917 ESMT PT OR 1861/825 TOWN OF HILLIARD SEC 9-3N-24E"</f>
        <v>BLOCK 9 SWLY 200 FT OF LOT 2 IN OR 336/738 EX ESMT OR 340/386 COMM SYS R/W OR 934/1917 ESMT PT OR 1861/825 TOWN OF HILLIARD SEC 9-3N-24E</v>
      </c>
      <c r="N395" t="str">
        <f>""</f>
        <v/>
      </c>
      <c r="O395" t="str">
        <f>"23205"</f>
        <v>23205</v>
      </c>
      <c r="P395" t="str">
        <f t="shared" si="119"/>
        <v>2017</v>
      </c>
      <c r="Q395" t="str">
        <f>""</f>
        <v/>
      </c>
      <c r="R395" t="str">
        <f t="shared" ref="R395:R413" si="123">"N"</f>
        <v>N</v>
      </c>
      <c r="S395" t="str">
        <f>""</f>
        <v/>
      </c>
      <c r="T395" t="str">
        <f>"734.79"</f>
        <v>734.79</v>
      </c>
      <c r="U395" t="str">
        <f>"52615.00"</f>
        <v>52615.00</v>
      </c>
      <c r="V395" t="str">
        <f>"52615.00"</f>
        <v>52615.00</v>
      </c>
      <c r="W395" t="str">
        <f t="shared" si="120"/>
        <v>2017</v>
      </c>
      <c r="X395" t="str">
        <f>""</f>
        <v/>
      </c>
      <c r="Y395" t="str">
        <f>"788.83"</f>
        <v>788.83</v>
      </c>
      <c r="Z395" t="str">
        <f>""</f>
        <v/>
      </c>
      <c r="AA395" t="str">
        <f>"52615.00"</f>
        <v>52615.00</v>
      </c>
      <c r="AB395" t="str">
        <f>"Industrial"</f>
        <v>Industrial</v>
      </c>
      <c r="AC395" t="str">
        <f t="shared" si="121"/>
        <v>0</v>
      </c>
      <c r="AD395" t="str">
        <f>"5"</f>
        <v>5</v>
      </c>
      <c r="AE395" t="str">
        <f>"STEEL FRAME/INCOMBUSTIBLE WALLS/ROOF"</f>
        <v>STEEL FRAME/INCOMBUSTIBLE WALLS/ROOF</v>
      </c>
      <c r="AF395" t="str">
        <f>"048"</f>
        <v>048</v>
      </c>
      <c r="AG395" t="str">
        <f t="shared" si="118"/>
        <v>FL</v>
      </c>
      <c r="AH395" t="str">
        <f>"20000.00"</f>
        <v>20000.00</v>
      </c>
      <c r="AI395" t="str">
        <f>"25000.00"</f>
        <v>25000.00</v>
      </c>
      <c r="AJ395" t="str">
        <f>"C55-000-586-7296-5"</f>
        <v>C55-000-586-7296-5</v>
      </c>
      <c r="AK395" t="str">
        <f>"6053"</f>
        <v>6053</v>
      </c>
      <c r="AL395">
        <v>2</v>
      </c>
      <c r="AM395">
        <v>462</v>
      </c>
      <c r="AN395">
        <v>826.67</v>
      </c>
      <c r="AQ395" t="s">
        <v>4457</v>
      </c>
      <c r="AR395" t="s">
        <v>4457</v>
      </c>
      <c r="AS395" t="s">
        <v>4457</v>
      </c>
      <c r="AU395" t="s">
        <v>396</v>
      </c>
      <c r="AV395">
        <v>2017</v>
      </c>
      <c r="AW395" t="str">
        <f>"08-3N-24-2380-0009-0022 "</f>
        <v xml:space="preserve">08-3N-24-2380-0009-0022 </v>
      </c>
      <c r="AX395">
        <v>37461</v>
      </c>
      <c r="AZ395" t="s">
        <v>4458</v>
      </c>
      <c r="BA395" t="s">
        <v>1942</v>
      </c>
      <c r="BB395" t="s">
        <v>4459</v>
      </c>
      <c r="BD395" t="s">
        <v>398</v>
      </c>
      <c r="BE395" t="s">
        <v>393</v>
      </c>
      <c r="BF395">
        <v>32046</v>
      </c>
      <c r="BG395" t="s">
        <v>4460</v>
      </c>
      <c r="BH395" t="s">
        <v>400</v>
      </c>
      <c r="BI395">
        <v>-81.917988989924297</v>
      </c>
      <c r="BJ395">
        <v>30.6881571389995</v>
      </c>
      <c r="BK395" t="s">
        <v>4461</v>
      </c>
      <c r="BM395" t="s">
        <v>4462</v>
      </c>
      <c r="BN395" t="s">
        <v>403</v>
      </c>
      <c r="BO395">
        <v>32046</v>
      </c>
      <c r="BP395" t="s">
        <v>404</v>
      </c>
      <c r="BQ395">
        <v>4800</v>
      </c>
      <c r="BR395" t="s">
        <v>4463</v>
      </c>
      <c r="BS395">
        <v>6002</v>
      </c>
      <c r="BT395" t="s">
        <v>4464</v>
      </c>
      <c r="BW395">
        <v>20000</v>
      </c>
      <c r="BX395" t="s">
        <v>407</v>
      </c>
      <c r="BZ395">
        <v>5</v>
      </c>
      <c r="CA395">
        <v>1981</v>
      </c>
      <c r="CB395">
        <v>1</v>
      </c>
      <c r="CD395">
        <v>2017</v>
      </c>
      <c r="CE395">
        <v>25000</v>
      </c>
      <c r="CF395">
        <v>27615</v>
      </c>
      <c r="CG395">
        <v>52615</v>
      </c>
      <c r="CH395">
        <v>2017</v>
      </c>
      <c r="CI395">
        <v>25000</v>
      </c>
      <c r="CJ395">
        <v>27615</v>
      </c>
      <c r="CK395">
        <v>52615</v>
      </c>
      <c r="CL395">
        <v>2017</v>
      </c>
      <c r="CM395">
        <v>734.79</v>
      </c>
      <c r="CN395" s="1">
        <v>29707</v>
      </c>
      <c r="CO395">
        <v>20000</v>
      </c>
      <c r="CZ395" s="1">
        <v>29707</v>
      </c>
      <c r="DD395" t="s">
        <v>398</v>
      </c>
      <c r="DF395">
        <v>2</v>
      </c>
      <c r="DG395">
        <v>8</v>
      </c>
      <c r="DL395">
        <v>50400</v>
      </c>
      <c r="DM395" t="s">
        <v>4465</v>
      </c>
      <c r="DO395" t="s">
        <v>4466</v>
      </c>
      <c r="DP395">
        <v>0</v>
      </c>
      <c r="DQ395">
        <v>0</v>
      </c>
      <c r="DR395" t="s">
        <v>411</v>
      </c>
    </row>
    <row r="396" spans="1:308" x14ac:dyDescent="0.25">
      <c r="A396">
        <v>16485403</v>
      </c>
      <c r="B396">
        <v>395</v>
      </c>
      <c r="C396" t="s">
        <v>393</v>
      </c>
      <c r="D396" t="s">
        <v>394</v>
      </c>
      <c r="F396" t="str">
        <f>"08-3N-24-2380-0009-0030"</f>
        <v>08-3N-24-2380-0009-0030</v>
      </c>
      <c r="H396" t="str">
        <f>"HARRIS ELMO A"</f>
        <v>HARRIS ELMO A</v>
      </c>
      <c r="I396" t="str">
        <f>"PO BOX 1076"</f>
        <v>PO BOX 1076</v>
      </c>
      <c r="J396" t="str">
        <f t="shared" si="122"/>
        <v>HILLIARD FL 32046</v>
      </c>
      <c r="K396" t="str">
        <f>"FIRST ST W"</f>
        <v>FIRST ST W</v>
      </c>
      <c r="L396" t="str">
        <f t="shared" si="114"/>
        <v>HILLIARD FL 32046</v>
      </c>
      <c r="M396" t="str">
        <f>"BLOCK 9 SWLY 200 FT OF LOT 3 IN OR 332/240 EX ESMT OR 340/386 COMM SYS R/W OR 934/1917 ESMT PT OR 1861/825 TOWN OF HILLIARD SEC 9-3N-24E"</f>
        <v>BLOCK 9 SWLY 200 FT OF LOT 3 IN OR 332/240 EX ESMT OR 340/386 COMM SYS R/W OR 934/1917 ESMT PT OR 1861/825 TOWN OF HILLIARD SEC 9-3N-24E</v>
      </c>
      <c r="N396" t="str">
        <f>""</f>
        <v/>
      </c>
      <c r="O396" t="str">
        <f>"23206"</f>
        <v>23206</v>
      </c>
      <c r="P396" t="str">
        <f t="shared" si="119"/>
        <v>2017</v>
      </c>
      <c r="Q396" t="str">
        <f>""</f>
        <v/>
      </c>
      <c r="R396" t="str">
        <f t="shared" si="123"/>
        <v>N</v>
      </c>
      <c r="S396" t="str">
        <f>""</f>
        <v/>
      </c>
      <c r="T396" t="str">
        <f>"349.14"</f>
        <v>349.14</v>
      </c>
      <c r="U396" t="str">
        <f>"25000.00"</f>
        <v>25000.00</v>
      </c>
      <c r="V396" t="str">
        <f>"25000.00"</f>
        <v>25000.00</v>
      </c>
      <c r="W396" t="str">
        <f t="shared" si="120"/>
        <v>2017</v>
      </c>
      <c r="X396" t="str">
        <f>""</f>
        <v/>
      </c>
      <c r="Y396" t="str">
        <f>"391.61"</f>
        <v>391.61</v>
      </c>
      <c r="Z396" t="str">
        <f>""</f>
        <v/>
      </c>
      <c r="AA396" t="str">
        <f>"25000.00"</f>
        <v>25000.00</v>
      </c>
      <c r="AB396" t="str">
        <f>"Commercial"</f>
        <v>Commercial</v>
      </c>
      <c r="AC396" t="str">
        <f t="shared" si="121"/>
        <v>0</v>
      </c>
      <c r="AD396" t="str">
        <f>""</f>
        <v/>
      </c>
      <c r="AE396" t="str">
        <f>""</f>
        <v/>
      </c>
      <c r="AF396" t="str">
        <f>"010"</f>
        <v>010</v>
      </c>
      <c r="AG396" t="str">
        <f t="shared" si="118"/>
        <v>FL</v>
      </c>
      <c r="AH396" t="str">
        <f>"20000.00"</f>
        <v>20000.00</v>
      </c>
      <c r="AI396" t="str">
        <f>"25000.00"</f>
        <v>25000.00</v>
      </c>
      <c r="AJ396" t="str">
        <f>"C55-001-072-1445-4"</f>
        <v>C55-001-072-1445-4</v>
      </c>
      <c r="AK396" t="str">
        <f>"6054"</f>
        <v>6054</v>
      </c>
      <c r="AL396">
        <v>2</v>
      </c>
      <c r="AM396">
        <v>463</v>
      </c>
      <c r="AN396">
        <v>409.59</v>
      </c>
      <c r="AQ396" t="s">
        <v>4467</v>
      </c>
      <c r="AR396" t="s">
        <v>4467</v>
      </c>
      <c r="AS396" t="s">
        <v>4467</v>
      </c>
      <c r="AU396" t="s">
        <v>396</v>
      </c>
      <c r="AV396">
        <v>2017</v>
      </c>
      <c r="AW396" t="str">
        <f>"08-3N-24-2380-0009-0030 "</f>
        <v xml:space="preserve">08-3N-24-2380-0009-0030 </v>
      </c>
      <c r="AZ396" t="s">
        <v>4458</v>
      </c>
      <c r="BA396" t="s">
        <v>1942</v>
      </c>
      <c r="BB396" t="s">
        <v>4459</v>
      </c>
      <c r="BD396" t="s">
        <v>398</v>
      </c>
      <c r="BE396" t="s">
        <v>393</v>
      </c>
      <c r="BF396">
        <v>32046</v>
      </c>
      <c r="BG396" t="s">
        <v>4468</v>
      </c>
      <c r="BH396" t="s">
        <v>400</v>
      </c>
      <c r="BI396">
        <v>-81.918334180655805</v>
      </c>
      <c r="BJ396">
        <v>30.688651438570201</v>
      </c>
      <c r="BK396" t="s">
        <v>4461</v>
      </c>
      <c r="BM396" t="s">
        <v>4462</v>
      </c>
      <c r="BN396" t="s">
        <v>403</v>
      </c>
      <c r="BO396">
        <v>32046</v>
      </c>
      <c r="BP396" t="s">
        <v>404</v>
      </c>
      <c r="BQ396">
        <v>1000</v>
      </c>
      <c r="BR396" t="s">
        <v>2391</v>
      </c>
      <c r="BS396">
        <v>8002</v>
      </c>
      <c r="BT396" t="s">
        <v>2392</v>
      </c>
      <c r="BW396">
        <v>20000</v>
      </c>
      <c r="BX396" t="s">
        <v>407</v>
      </c>
      <c r="CD396">
        <v>2017</v>
      </c>
      <c r="CE396">
        <v>25000</v>
      </c>
      <c r="CG396">
        <v>25000</v>
      </c>
      <c r="CH396">
        <v>2017</v>
      </c>
      <c r="CI396">
        <v>25000</v>
      </c>
      <c r="CK396">
        <v>25000</v>
      </c>
      <c r="CL396">
        <v>2017</v>
      </c>
      <c r="CM396">
        <v>349.14</v>
      </c>
      <c r="CN396" s="1">
        <v>29707</v>
      </c>
      <c r="CO396">
        <v>20000</v>
      </c>
      <c r="CZ396" s="1">
        <v>29707</v>
      </c>
      <c r="DD396" t="s">
        <v>398</v>
      </c>
      <c r="DG396">
        <v>8</v>
      </c>
      <c r="DL396">
        <v>50400</v>
      </c>
      <c r="DM396" t="s">
        <v>4465</v>
      </c>
      <c r="DO396" t="s">
        <v>4469</v>
      </c>
      <c r="DP396">
        <v>0</v>
      </c>
      <c r="DQ396">
        <v>1</v>
      </c>
      <c r="DR396" t="s">
        <v>1479</v>
      </c>
    </row>
    <row r="397" spans="1:308" x14ac:dyDescent="0.25">
      <c r="A397">
        <v>16485404</v>
      </c>
      <c r="B397">
        <v>396</v>
      </c>
      <c r="C397" t="s">
        <v>393</v>
      </c>
      <c r="D397" t="s">
        <v>394</v>
      </c>
      <c r="F397" t="str">
        <f>"08-3N-24-2380-0010-0033"</f>
        <v>08-3N-24-2380-0010-0033</v>
      </c>
      <c r="H397" t="str">
        <f>"GUYNN GERALD J &amp; DAPHNE M"</f>
        <v>GUYNN GERALD J &amp; DAPHNE M</v>
      </c>
      <c r="I397" t="str">
        <f>"PO BOX 1344"</f>
        <v>PO BOX 1344</v>
      </c>
      <c r="J397" t="str">
        <f t="shared" si="122"/>
        <v>HILLIARD FL 32046</v>
      </c>
      <c r="K397" t="str">
        <f>"551690 US HWY 1"</f>
        <v>551690 US HWY 1</v>
      </c>
      <c r="L397" t="str">
        <f t="shared" si="114"/>
        <v>HILLIARD FL 32046</v>
      </c>
      <c r="M397" t="str">
        <f>"BLK 10 PT OF LOT 3 IN OR 1686/1317 BEING PARCEL 1 TOWN OF HILLIARD PBK 1/28"</f>
        <v>BLK 10 PT OF LOT 3 IN OR 1686/1317 BEING PARCEL 1 TOWN OF HILLIARD PBK 1/28</v>
      </c>
      <c r="N397" t="str">
        <f>""</f>
        <v/>
      </c>
      <c r="O397" t="str">
        <f>"23215"</f>
        <v>23215</v>
      </c>
      <c r="P397" t="str">
        <f t="shared" si="119"/>
        <v>2017</v>
      </c>
      <c r="Q397" t="str">
        <f>""</f>
        <v/>
      </c>
      <c r="R397" t="str">
        <f t="shared" si="123"/>
        <v>N</v>
      </c>
      <c r="S397" t="str">
        <f>""</f>
        <v/>
      </c>
      <c r="T397" t="str">
        <f>"434.71"</f>
        <v>434.71</v>
      </c>
      <c r="U397" t="str">
        <f>"31035.00"</f>
        <v>31035.00</v>
      </c>
      <c r="V397" t="str">
        <f>"31035.00"</f>
        <v>31035.00</v>
      </c>
      <c r="W397" t="str">
        <f t="shared" si="120"/>
        <v>2017</v>
      </c>
      <c r="X397" t="str">
        <f>"9.00"</f>
        <v>9.00</v>
      </c>
      <c r="Y397" t="str">
        <f>"479.75"</f>
        <v>479.75</v>
      </c>
      <c r="Z397" t="str">
        <f>""</f>
        <v/>
      </c>
      <c r="AA397" t="str">
        <f>"31232.00"</f>
        <v>31232.00</v>
      </c>
      <c r="AB397" t="str">
        <f>"Commercial"</f>
        <v>Commercial</v>
      </c>
      <c r="AC397" t="str">
        <f t="shared" si="121"/>
        <v>0</v>
      </c>
      <c r="AD397" t="str">
        <f>"4"</f>
        <v>4</v>
      </c>
      <c r="AE397" t="str">
        <f>"WOOD (INCLUDE STEEL STUDS)"</f>
        <v>WOOD (INCLUDE STEEL STUDS)</v>
      </c>
      <c r="AF397" t="str">
        <f>"011"</f>
        <v>011</v>
      </c>
      <c r="AG397" t="str">
        <f t="shared" si="118"/>
        <v>FL</v>
      </c>
      <c r="AH397" t="str">
        <f>"5400.00"</f>
        <v>5400.00</v>
      </c>
      <c r="AI397" t="str">
        <f>"10800.00"</f>
        <v>10800.00</v>
      </c>
      <c r="AJ397" t="str">
        <f>"C55-000-586-7305-4"</f>
        <v>C55-000-586-7305-4</v>
      </c>
      <c r="AK397" t="str">
        <f>"6062"</f>
        <v>6062</v>
      </c>
      <c r="AL397">
        <v>2</v>
      </c>
      <c r="AM397">
        <v>464</v>
      </c>
      <c r="AN397">
        <v>502.14</v>
      </c>
      <c r="AQ397" t="s">
        <v>4470</v>
      </c>
      <c r="AR397" t="s">
        <v>4470</v>
      </c>
      <c r="AS397" t="s">
        <v>4470</v>
      </c>
      <c r="AU397" t="s">
        <v>396</v>
      </c>
      <c r="AV397">
        <v>2017</v>
      </c>
      <c r="AW397" t="str">
        <f>"08-3N-24-2380-0010-0033 "</f>
        <v xml:space="preserve">08-3N-24-2380-0010-0033 </v>
      </c>
      <c r="AX397">
        <v>551690</v>
      </c>
      <c r="AZ397" t="s">
        <v>2386</v>
      </c>
      <c r="BD397" t="s">
        <v>398</v>
      </c>
      <c r="BE397" t="s">
        <v>393</v>
      </c>
      <c r="BF397">
        <v>32046</v>
      </c>
      <c r="BG397" t="s">
        <v>4471</v>
      </c>
      <c r="BH397" t="s">
        <v>400</v>
      </c>
      <c r="BI397">
        <v>-81.916588911668697</v>
      </c>
      <c r="BJ397">
        <v>30.689771462435999</v>
      </c>
      <c r="BK397" t="s">
        <v>4472</v>
      </c>
      <c r="BM397" t="s">
        <v>4473</v>
      </c>
      <c r="BN397" t="s">
        <v>403</v>
      </c>
      <c r="BO397">
        <v>32046</v>
      </c>
      <c r="BP397" t="s">
        <v>404</v>
      </c>
      <c r="BQ397">
        <v>1100</v>
      </c>
      <c r="BR397" t="s">
        <v>4474</v>
      </c>
      <c r="BS397">
        <v>2000</v>
      </c>
      <c r="BT397" t="s">
        <v>4475</v>
      </c>
      <c r="BW397">
        <v>5724</v>
      </c>
      <c r="BX397" t="s">
        <v>407</v>
      </c>
      <c r="BY397" t="s">
        <v>4244</v>
      </c>
      <c r="BZ397">
        <v>4</v>
      </c>
      <c r="CA397">
        <v>1942</v>
      </c>
      <c r="CB397">
        <v>1</v>
      </c>
      <c r="CD397">
        <v>2017</v>
      </c>
      <c r="CE397">
        <v>10800</v>
      </c>
      <c r="CF397">
        <v>20432</v>
      </c>
      <c r="CG397">
        <v>31232</v>
      </c>
      <c r="CH397">
        <v>2017</v>
      </c>
      <c r="CI397">
        <v>10800</v>
      </c>
      <c r="CJ397">
        <v>20432</v>
      </c>
      <c r="CK397">
        <v>31232</v>
      </c>
      <c r="CL397">
        <v>2017</v>
      </c>
      <c r="CM397">
        <v>434.71</v>
      </c>
      <c r="CN397" s="1">
        <v>40360</v>
      </c>
      <c r="CZ397" s="1">
        <v>40360</v>
      </c>
      <c r="DD397" t="s">
        <v>398</v>
      </c>
      <c r="DG397">
        <v>8</v>
      </c>
      <c r="DL397">
        <v>50400</v>
      </c>
      <c r="DM397" t="s">
        <v>4465</v>
      </c>
      <c r="DO397" t="s">
        <v>4476</v>
      </c>
      <c r="DP397">
        <v>0</v>
      </c>
      <c r="DQ397">
        <v>4</v>
      </c>
      <c r="DR397" t="s">
        <v>1479</v>
      </c>
      <c r="DS397" t="b">
        <v>1</v>
      </c>
      <c r="DT397" t="s">
        <v>470</v>
      </c>
      <c r="DU397" t="s">
        <v>471</v>
      </c>
      <c r="DV397" t="s">
        <v>472</v>
      </c>
      <c r="DX397">
        <v>-9999</v>
      </c>
      <c r="DZ397" t="s">
        <v>447</v>
      </c>
      <c r="EA397" t="s">
        <v>448</v>
      </c>
      <c r="EB397" t="s">
        <v>1224</v>
      </c>
      <c r="EC397">
        <v>20101217</v>
      </c>
      <c r="ED397" t="s">
        <v>474</v>
      </c>
      <c r="EF397">
        <v>851.2</v>
      </c>
      <c r="EG397">
        <v>851.2</v>
      </c>
      <c r="EI397">
        <v>20160407</v>
      </c>
      <c r="EJ397">
        <v>0</v>
      </c>
      <c r="EK397">
        <v>0</v>
      </c>
      <c r="EP397" t="s">
        <v>421</v>
      </c>
      <c r="EQ397" t="s">
        <v>422</v>
      </c>
      <c r="ER397">
        <v>0</v>
      </c>
      <c r="ES397">
        <v>4</v>
      </c>
      <c r="ET397">
        <v>0</v>
      </c>
      <c r="EU397">
        <v>0</v>
      </c>
      <c r="EV397">
        <v>0</v>
      </c>
      <c r="EW397" s="2">
        <v>43222</v>
      </c>
      <c r="EX397" s="1">
        <v>42515</v>
      </c>
      <c r="EY397">
        <v>2015</v>
      </c>
      <c r="EZ397">
        <v>426.93</v>
      </c>
      <c r="FA397" t="s">
        <v>4477</v>
      </c>
      <c r="FB397">
        <v>6</v>
      </c>
      <c r="FC397" t="s">
        <v>424</v>
      </c>
      <c r="FD397" t="s">
        <v>425</v>
      </c>
      <c r="FE397" s="1">
        <v>42876</v>
      </c>
      <c r="FF397">
        <v>12</v>
      </c>
      <c r="FG397">
        <v>2035919</v>
      </c>
      <c r="FH397" t="s">
        <v>507</v>
      </c>
      <c r="FJ397" s="1">
        <v>42151</v>
      </c>
      <c r="FK397">
        <v>2014</v>
      </c>
      <c r="FL397">
        <v>411.37</v>
      </c>
      <c r="FM397" t="s">
        <v>4478</v>
      </c>
      <c r="FN397">
        <v>0.25</v>
      </c>
      <c r="FO397" t="s">
        <v>424</v>
      </c>
      <c r="FP397" t="s">
        <v>425</v>
      </c>
      <c r="FQ397" s="1">
        <v>42436</v>
      </c>
      <c r="FR397">
        <v>10</v>
      </c>
      <c r="FS397">
        <v>4975593</v>
      </c>
      <c r="FT397" t="s">
        <v>505</v>
      </c>
      <c r="FV397" s="1">
        <v>41423</v>
      </c>
      <c r="FW397">
        <v>2012</v>
      </c>
      <c r="FX397">
        <v>396.63</v>
      </c>
      <c r="FY397" t="s">
        <v>4479</v>
      </c>
      <c r="FZ397">
        <v>4</v>
      </c>
      <c r="GA397" t="s">
        <v>424</v>
      </c>
      <c r="GB397" t="s">
        <v>425</v>
      </c>
      <c r="GC397" s="1">
        <v>41449</v>
      </c>
      <c r="GD397">
        <v>1</v>
      </c>
      <c r="GE397">
        <v>2035919</v>
      </c>
      <c r="GF397" t="s">
        <v>507</v>
      </c>
      <c r="GH397" s="1">
        <v>41052</v>
      </c>
      <c r="GI397">
        <v>2011</v>
      </c>
      <c r="GJ397">
        <v>357.77</v>
      </c>
      <c r="GK397" t="s">
        <v>4480</v>
      </c>
      <c r="GL397">
        <v>6.25</v>
      </c>
      <c r="GM397" t="s">
        <v>424</v>
      </c>
      <c r="GN397" t="s">
        <v>425</v>
      </c>
      <c r="GO397" s="1">
        <v>41449</v>
      </c>
      <c r="GP397">
        <v>13</v>
      </c>
      <c r="GQ397">
        <v>375</v>
      </c>
      <c r="GR397" t="s">
        <v>776</v>
      </c>
    </row>
    <row r="398" spans="1:308" x14ac:dyDescent="0.25">
      <c r="A398">
        <v>16485405</v>
      </c>
      <c r="B398">
        <v>397</v>
      </c>
      <c r="C398" t="s">
        <v>393</v>
      </c>
      <c r="D398" t="s">
        <v>394</v>
      </c>
      <c r="F398" t="str">
        <f>"08-3N-24-2380-0010-0034"</f>
        <v>08-3N-24-2380-0010-0034</v>
      </c>
      <c r="H398" t="str">
        <f>"GUYNN GERALD J &amp; DAPHNE M"</f>
        <v>GUYNN GERALD J &amp; DAPHNE M</v>
      </c>
      <c r="I398" t="str">
        <f>"PO BOX 1344"</f>
        <v>PO BOX 1344</v>
      </c>
      <c r="J398" t="str">
        <f t="shared" si="122"/>
        <v>HILLIARD FL 32046</v>
      </c>
      <c r="K398" t="str">
        <f>"US HWY 1"</f>
        <v>US HWY 1</v>
      </c>
      <c r="L398" t="str">
        <f t="shared" ref="L398:L429" si="124">"HILLIARD FL 32046"</f>
        <v>HILLIARD FL 32046</v>
      </c>
      <c r="M398" t="str">
        <f>"BLK 10 PT OF LOT 3 IN OR 1686/1317 BEING PARCEL 2 TOWN OF HILLIARD PBK 1/28"</f>
        <v>BLK 10 PT OF LOT 3 IN OR 1686/1317 BEING PARCEL 2 TOWN OF HILLIARD PBK 1/28</v>
      </c>
      <c r="N398" t="str">
        <f>""</f>
        <v/>
      </c>
      <c r="O398" t="str">
        <f>"23216"</f>
        <v>23216</v>
      </c>
      <c r="P398" t="str">
        <f t="shared" si="119"/>
        <v>2017</v>
      </c>
      <c r="Q398" t="str">
        <f>""</f>
        <v/>
      </c>
      <c r="R398" t="str">
        <f t="shared" si="123"/>
        <v>N</v>
      </c>
      <c r="S398" t="str">
        <f>""</f>
        <v/>
      </c>
      <c r="T398" t="str">
        <f>"170.93"</f>
        <v>170.93</v>
      </c>
      <c r="U398" t="str">
        <f>"12240.00"</f>
        <v>12240.00</v>
      </c>
      <c r="V398" t="str">
        <f>"12240.00"</f>
        <v>12240.00</v>
      </c>
      <c r="W398" t="str">
        <f t="shared" si="120"/>
        <v>2017</v>
      </c>
      <c r="X398" t="str">
        <f>"13.75"</f>
        <v>13.75</v>
      </c>
      <c r="Y398" t="str">
        <f>"208.06"</f>
        <v>208.06</v>
      </c>
      <c r="Z398" t="str">
        <f>""</f>
        <v/>
      </c>
      <c r="AA398" t="str">
        <f>"12240.00"</f>
        <v>12240.00</v>
      </c>
      <c r="AB398" t="str">
        <f>"Commercial"</f>
        <v>Commercial</v>
      </c>
      <c r="AC398" t="str">
        <f t="shared" si="121"/>
        <v>0</v>
      </c>
      <c r="AD398" t="str">
        <f>""</f>
        <v/>
      </c>
      <c r="AE398" t="str">
        <f>""</f>
        <v/>
      </c>
      <c r="AF398" t="str">
        <f>"010"</f>
        <v>010</v>
      </c>
      <c r="AG398" t="str">
        <f t="shared" si="118"/>
        <v>FL</v>
      </c>
      <c r="AH398" t="str">
        <f>"6120.00"</f>
        <v>6120.00</v>
      </c>
      <c r="AI398" t="str">
        <f>"12240.00"</f>
        <v>12240.00</v>
      </c>
      <c r="AJ398" t="str">
        <f>"C55-000-586-7306-2"</f>
        <v>C55-000-586-7306-2</v>
      </c>
      <c r="AK398" t="str">
        <f>"6063"</f>
        <v>6063</v>
      </c>
      <c r="AL398">
        <v>2</v>
      </c>
      <c r="AM398">
        <v>465</v>
      </c>
      <c r="AN398">
        <v>216.86</v>
      </c>
      <c r="AQ398" t="s">
        <v>4481</v>
      </c>
      <c r="AR398" t="s">
        <v>4481</v>
      </c>
      <c r="AS398" t="s">
        <v>4481</v>
      </c>
      <c r="AU398" t="s">
        <v>396</v>
      </c>
      <c r="AV398">
        <v>2017</v>
      </c>
      <c r="AW398" t="str">
        <f>"08-3N-24-2380-0010-0034 "</f>
        <v xml:space="preserve">08-3N-24-2380-0010-0034 </v>
      </c>
      <c r="AZ398" t="s">
        <v>2386</v>
      </c>
      <c r="BD398" t="s">
        <v>398</v>
      </c>
      <c r="BE398" t="s">
        <v>393</v>
      </c>
      <c r="BF398">
        <v>32046</v>
      </c>
      <c r="BG398" t="s">
        <v>2386</v>
      </c>
      <c r="BH398" t="s">
        <v>400</v>
      </c>
      <c r="BI398">
        <v>-81.916483627119604</v>
      </c>
      <c r="BJ398">
        <v>30.689620859069802</v>
      </c>
      <c r="BK398" t="s">
        <v>4472</v>
      </c>
      <c r="BM398" t="s">
        <v>4473</v>
      </c>
      <c r="BN398" t="s">
        <v>403</v>
      </c>
      <c r="BO398">
        <v>32046</v>
      </c>
      <c r="BP398" t="s">
        <v>404</v>
      </c>
      <c r="BQ398">
        <v>1000</v>
      </c>
      <c r="BR398" t="s">
        <v>2391</v>
      </c>
      <c r="BS398">
        <v>8002</v>
      </c>
      <c r="BT398" t="s">
        <v>2392</v>
      </c>
      <c r="BW398">
        <v>6486</v>
      </c>
      <c r="BX398" t="s">
        <v>407</v>
      </c>
      <c r="BY398" t="s">
        <v>4244</v>
      </c>
      <c r="CD398">
        <v>2017</v>
      </c>
      <c r="CE398">
        <v>12240</v>
      </c>
      <c r="CG398">
        <v>12240</v>
      </c>
      <c r="CH398">
        <v>2017</v>
      </c>
      <c r="CI398">
        <v>12240</v>
      </c>
      <c r="CK398">
        <v>12240</v>
      </c>
      <c r="CL398">
        <v>2017</v>
      </c>
      <c r="CM398">
        <v>170.93</v>
      </c>
      <c r="CN398" s="1">
        <v>40360</v>
      </c>
      <c r="CZ398" s="1">
        <v>40360</v>
      </c>
      <c r="DD398" t="s">
        <v>398</v>
      </c>
      <c r="DF398">
        <v>3</v>
      </c>
      <c r="DG398">
        <v>8</v>
      </c>
      <c r="DJ398" t="s">
        <v>4482</v>
      </c>
      <c r="DL398">
        <v>50400</v>
      </c>
      <c r="DM398" t="s">
        <v>4465</v>
      </c>
      <c r="DO398" t="s">
        <v>4483</v>
      </c>
      <c r="DP398">
        <v>0</v>
      </c>
      <c r="DQ398">
        <v>2</v>
      </c>
      <c r="DR398" t="s">
        <v>1479</v>
      </c>
      <c r="DS398" t="b">
        <v>1</v>
      </c>
      <c r="DT398" t="s">
        <v>470</v>
      </c>
      <c r="DU398" t="s">
        <v>471</v>
      </c>
      <c r="DV398" t="s">
        <v>472</v>
      </c>
      <c r="DX398">
        <v>-9999</v>
      </c>
      <c r="DZ398" t="s">
        <v>447</v>
      </c>
      <c r="EA398" t="s">
        <v>448</v>
      </c>
      <c r="EB398" t="s">
        <v>1224</v>
      </c>
      <c r="EC398">
        <v>20101217</v>
      </c>
      <c r="ED398" t="s">
        <v>474</v>
      </c>
      <c r="EF398">
        <v>847.6</v>
      </c>
      <c r="EG398">
        <v>847.6</v>
      </c>
      <c r="EI398">
        <v>20160407</v>
      </c>
      <c r="EJ398">
        <v>0</v>
      </c>
      <c r="EK398">
        <v>0</v>
      </c>
      <c r="EP398" t="s">
        <v>421</v>
      </c>
      <c r="EQ398" t="s">
        <v>422</v>
      </c>
      <c r="ER398">
        <v>0</v>
      </c>
      <c r="ES398">
        <v>5</v>
      </c>
      <c r="ET398">
        <v>0</v>
      </c>
      <c r="EU398">
        <v>0</v>
      </c>
      <c r="EV398">
        <v>0</v>
      </c>
      <c r="EW398" s="2">
        <v>43222</v>
      </c>
      <c r="EX398" s="1">
        <v>42515</v>
      </c>
      <c r="EY398">
        <v>2015</v>
      </c>
      <c r="EZ398">
        <v>215.23</v>
      </c>
      <c r="FA398" t="s">
        <v>4484</v>
      </c>
      <c r="FB398">
        <v>0.25</v>
      </c>
      <c r="FC398" t="s">
        <v>424</v>
      </c>
      <c r="FD398" t="s">
        <v>425</v>
      </c>
      <c r="FE398" s="1">
        <v>42868</v>
      </c>
      <c r="FF398">
        <v>12</v>
      </c>
      <c r="FG398">
        <v>7336671</v>
      </c>
      <c r="FH398" t="s">
        <v>437</v>
      </c>
      <c r="FJ398" s="1">
        <v>42515</v>
      </c>
      <c r="FK398">
        <v>2015</v>
      </c>
      <c r="FL398">
        <v>215.23</v>
      </c>
      <c r="FM398" t="s">
        <v>4484</v>
      </c>
      <c r="FN398">
        <v>0.25</v>
      </c>
      <c r="FO398" t="s">
        <v>424</v>
      </c>
      <c r="FP398" t="s">
        <v>425</v>
      </c>
      <c r="FR398">
        <v>22</v>
      </c>
      <c r="FS398">
        <v>6924050</v>
      </c>
      <c r="FT398" t="s">
        <v>4485</v>
      </c>
      <c r="FV398" s="1">
        <v>42151</v>
      </c>
      <c r="FW398">
        <v>2014</v>
      </c>
      <c r="FX398">
        <v>216.62</v>
      </c>
      <c r="FY398" t="s">
        <v>4486</v>
      </c>
      <c r="FZ398">
        <v>4.75</v>
      </c>
      <c r="GA398" t="s">
        <v>424</v>
      </c>
      <c r="GB398" t="s">
        <v>425</v>
      </c>
      <c r="GC398" s="1">
        <v>42436</v>
      </c>
      <c r="GD398">
        <v>10</v>
      </c>
      <c r="GE398">
        <v>4975593</v>
      </c>
      <c r="GF398" t="s">
        <v>505</v>
      </c>
      <c r="GH398" s="1">
        <v>41423</v>
      </c>
      <c r="GI398">
        <v>2012</v>
      </c>
      <c r="GJ398">
        <v>201.55</v>
      </c>
      <c r="GK398" t="s">
        <v>4487</v>
      </c>
      <c r="GL398">
        <v>5.75</v>
      </c>
      <c r="GM398" t="s">
        <v>424</v>
      </c>
      <c r="GN398" t="s">
        <v>425</v>
      </c>
      <c r="GO398" s="1">
        <v>41778</v>
      </c>
      <c r="GP398">
        <v>12</v>
      </c>
      <c r="GQ398">
        <v>2101381</v>
      </c>
      <c r="GR398" t="s">
        <v>605</v>
      </c>
      <c r="GT398" s="1">
        <v>41052</v>
      </c>
      <c r="GU398">
        <v>2011</v>
      </c>
      <c r="GV398">
        <v>172.92</v>
      </c>
      <c r="GW398" t="s">
        <v>4488</v>
      </c>
      <c r="GX398">
        <v>11.75</v>
      </c>
      <c r="GY398" t="s">
        <v>424</v>
      </c>
      <c r="GZ398" t="s">
        <v>425</v>
      </c>
      <c r="HA398" s="1">
        <v>41697</v>
      </c>
      <c r="HB398">
        <v>21</v>
      </c>
      <c r="HC398">
        <v>10125</v>
      </c>
      <c r="HD398" t="s">
        <v>440</v>
      </c>
    </row>
    <row r="399" spans="1:308" x14ac:dyDescent="0.25">
      <c r="A399">
        <v>16485406</v>
      </c>
      <c r="B399">
        <v>398</v>
      </c>
      <c r="C399" t="s">
        <v>393</v>
      </c>
      <c r="D399" t="s">
        <v>394</v>
      </c>
      <c r="F399" t="str">
        <f>"08-3N-24-2380-0011-0023"</f>
        <v>08-3N-24-2380-0011-0023</v>
      </c>
      <c r="H399" t="str">
        <f>"GUYNN GERALD J &amp; DAPHNE M"</f>
        <v>GUYNN GERALD J &amp; DAPHNE M</v>
      </c>
      <c r="I399" t="str">
        <f>"37059 PECAN ST"</f>
        <v>37059 PECAN ST</v>
      </c>
      <c r="J399" t="str">
        <f t="shared" si="122"/>
        <v>HILLIARD FL 32046</v>
      </c>
      <c r="K399" t="str">
        <f>"W FIRST ST"</f>
        <v>W FIRST ST</v>
      </c>
      <c r="L399" t="str">
        <f t="shared" si="124"/>
        <v>HILLIARD FL 32046</v>
      </c>
      <c r="M399" t="str">
        <f>"BLK 11 PT OF LOT 2 IN OR 2088/1972 TOWN OF HILLIARD S/D PBK 1/28"</f>
        <v>BLK 11 PT OF LOT 2 IN OR 2088/1972 TOWN OF HILLIARD S/D PBK 1/28</v>
      </c>
      <c r="N399" t="str">
        <f>""</f>
        <v/>
      </c>
      <c r="O399" t="str">
        <f>"23224"</f>
        <v>23224</v>
      </c>
      <c r="P399" t="str">
        <f t="shared" si="119"/>
        <v>2017</v>
      </c>
      <c r="Q399" t="str">
        <f>""</f>
        <v/>
      </c>
      <c r="R399" t="str">
        <f t="shared" si="123"/>
        <v>N</v>
      </c>
      <c r="S399" t="str">
        <f>""</f>
        <v/>
      </c>
      <c r="T399" t="str">
        <f>"94.97"</f>
        <v>94.97</v>
      </c>
      <c r="U399" t="str">
        <f>"6800.00"</f>
        <v>6800.00</v>
      </c>
      <c r="V399" t="str">
        <f>"6800.00"</f>
        <v>6800.00</v>
      </c>
      <c r="W399" t="str">
        <f t="shared" si="120"/>
        <v>2017</v>
      </c>
      <c r="X399" t="str">
        <f>""</f>
        <v/>
      </c>
      <c r="Y399" t="str">
        <f>"129.82"</f>
        <v>129.82</v>
      </c>
      <c r="Z399" t="str">
        <f>""</f>
        <v/>
      </c>
      <c r="AA399" t="str">
        <f>"6800.00"</f>
        <v>6800.00</v>
      </c>
      <c r="AB399" t="str">
        <f>"Commercial"</f>
        <v>Commercial</v>
      </c>
      <c r="AC399" t="str">
        <f t="shared" si="121"/>
        <v>0</v>
      </c>
      <c r="AD399" t="str">
        <f>""</f>
        <v/>
      </c>
      <c r="AE399" t="str">
        <f>""</f>
        <v/>
      </c>
      <c r="AF399" t="str">
        <f>"010"</f>
        <v>010</v>
      </c>
      <c r="AG399" t="str">
        <f t="shared" si="118"/>
        <v>FL</v>
      </c>
      <c r="AH399" t="str">
        <f>"3400.00"</f>
        <v>3400.00</v>
      </c>
      <c r="AI399" t="str">
        <f>"6800.00"</f>
        <v>6800.00</v>
      </c>
      <c r="AJ399" t="str">
        <f>"C55-000-586-7319-5"</f>
        <v>C55-000-586-7319-5</v>
      </c>
      <c r="AK399" t="str">
        <f>"6071"</f>
        <v>6071</v>
      </c>
      <c r="AL399">
        <v>2</v>
      </c>
      <c r="AM399">
        <v>466</v>
      </c>
      <c r="AN399">
        <v>134.71</v>
      </c>
      <c r="AQ399" t="s">
        <v>4489</v>
      </c>
      <c r="AR399" t="s">
        <v>4489</v>
      </c>
      <c r="AS399" t="s">
        <v>4489</v>
      </c>
      <c r="AU399" t="s">
        <v>396</v>
      </c>
      <c r="AV399">
        <v>2017</v>
      </c>
      <c r="AW399" t="str">
        <f>"08-3N-24-2380-0011-0023 "</f>
        <v xml:space="preserve">08-3N-24-2380-0011-0023 </v>
      </c>
      <c r="AY399" t="s">
        <v>4459</v>
      </c>
      <c r="AZ399" t="s">
        <v>4458</v>
      </c>
      <c r="BA399" t="s">
        <v>1942</v>
      </c>
      <c r="BD399" t="s">
        <v>398</v>
      </c>
      <c r="BE399" t="s">
        <v>393</v>
      </c>
      <c r="BF399">
        <v>32046</v>
      </c>
      <c r="BG399" t="s">
        <v>4490</v>
      </c>
      <c r="BH399" t="s">
        <v>400</v>
      </c>
      <c r="BI399">
        <v>-81.918353283442201</v>
      </c>
      <c r="BJ399">
        <v>30.6894366629271</v>
      </c>
      <c r="BK399" t="s">
        <v>4472</v>
      </c>
      <c r="BM399" t="s">
        <v>4491</v>
      </c>
      <c r="BN399" t="s">
        <v>403</v>
      </c>
      <c r="BO399">
        <v>32046</v>
      </c>
      <c r="BP399" t="s">
        <v>404</v>
      </c>
      <c r="BQ399">
        <v>1000</v>
      </c>
      <c r="BR399" t="s">
        <v>2391</v>
      </c>
      <c r="BS399">
        <v>8002</v>
      </c>
      <c r="BT399" t="s">
        <v>2392</v>
      </c>
      <c r="BW399">
        <v>3546</v>
      </c>
      <c r="BX399" t="s">
        <v>407</v>
      </c>
      <c r="BY399" t="s">
        <v>4244</v>
      </c>
      <c r="CD399">
        <v>2017</v>
      </c>
      <c r="CE399">
        <v>6800</v>
      </c>
      <c r="CG399">
        <v>6800</v>
      </c>
      <c r="CH399">
        <v>2017</v>
      </c>
      <c r="CI399">
        <v>6800</v>
      </c>
      <c r="CK399">
        <v>6800</v>
      </c>
      <c r="CL399">
        <v>2017</v>
      </c>
      <c r="CM399">
        <v>94.97</v>
      </c>
      <c r="CN399" s="1">
        <v>42718</v>
      </c>
      <c r="CO399">
        <v>6500</v>
      </c>
      <c r="CV399">
        <v>0</v>
      </c>
      <c r="CZ399" s="1">
        <v>42718</v>
      </c>
      <c r="DA399">
        <v>0</v>
      </c>
      <c r="DD399" t="s">
        <v>398</v>
      </c>
      <c r="DG399">
        <v>8</v>
      </c>
      <c r="DL399">
        <v>50400</v>
      </c>
      <c r="DM399" t="s">
        <v>4465</v>
      </c>
      <c r="DO399" t="s">
        <v>4492</v>
      </c>
      <c r="DP399">
        <v>0</v>
      </c>
      <c r="DQ399">
        <v>2</v>
      </c>
      <c r="DR399" t="s">
        <v>1479</v>
      </c>
    </row>
    <row r="400" spans="1:308" x14ac:dyDescent="0.25">
      <c r="A400">
        <v>16485407</v>
      </c>
      <c r="B400">
        <v>399</v>
      </c>
      <c r="C400" t="s">
        <v>393</v>
      </c>
      <c r="D400" t="s">
        <v>394</v>
      </c>
      <c r="F400" t="str">
        <f>"08-3N-24-2380-0012-0032"</f>
        <v>08-3N-24-2380-0012-0032</v>
      </c>
      <c r="H400" t="str">
        <f>"HOFFMAN JAMES"</f>
        <v>HOFFMAN JAMES</v>
      </c>
      <c r="I400" t="str">
        <f>"PO BOX 818"</f>
        <v>PO BOX 818</v>
      </c>
      <c r="J400" t="str">
        <f t="shared" si="122"/>
        <v>HILLIARD FL 32046</v>
      </c>
      <c r="K400" t="str">
        <f>"551722 US HWY 1"</f>
        <v>551722 US HWY 1</v>
      </c>
      <c r="L400" t="str">
        <f t="shared" si="124"/>
        <v>HILLIARD FL 32046</v>
      </c>
      <c r="M400" t="str">
        <f>"BLOCK 12 LOT S1/4 OF 3 IN OR 284 PG 229 TOWN OF HILLIARD"</f>
        <v>BLOCK 12 LOT S1/4 OF 3 IN OR 284 PG 229 TOWN OF HILLIARD</v>
      </c>
      <c r="N400" t="str">
        <f>""</f>
        <v/>
      </c>
      <c r="O400" t="str">
        <f>"23235"</f>
        <v>23235</v>
      </c>
      <c r="P400" t="str">
        <f t="shared" si="119"/>
        <v>2017</v>
      </c>
      <c r="Q400" t="str">
        <f>""</f>
        <v/>
      </c>
      <c r="R400" t="str">
        <f t="shared" si="123"/>
        <v>N</v>
      </c>
      <c r="S400" t="str">
        <f>""</f>
        <v/>
      </c>
      <c r="T400" t="str">
        <f>"826.72"</f>
        <v>826.72</v>
      </c>
      <c r="U400" t="str">
        <f>"58065.00"</f>
        <v>58065.00</v>
      </c>
      <c r="V400" t="str">
        <f>"58065.00"</f>
        <v>58065.00</v>
      </c>
      <c r="W400" t="str">
        <f t="shared" si="120"/>
        <v>2017</v>
      </c>
      <c r="X400" t="str">
        <f>"8.75"</f>
        <v>8.75</v>
      </c>
      <c r="Y400" t="str">
        <f>"883.52"</f>
        <v>883.52</v>
      </c>
      <c r="Z400" t="str">
        <f>""</f>
        <v/>
      </c>
      <c r="AA400" t="str">
        <f>"60462.00"</f>
        <v>60462.00</v>
      </c>
      <c r="AB400" t="str">
        <f>"Commercial"</f>
        <v>Commercial</v>
      </c>
      <c r="AC400" t="str">
        <f t="shared" si="121"/>
        <v>0</v>
      </c>
      <c r="AD400" t="str">
        <f>"3"</f>
        <v>3</v>
      </c>
      <c r="AE400" t="str">
        <f>"MASONRY"</f>
        <v>MASONRY</v>
      </c>
      <c r="AF400" t="str">
        <f>"011"</f>
        <v>011</v>
      </c>
      <c r="AG400" t="str">
        <f t="shared" si="118"/>
        <v>FL</v>
      </c>
      <c r="AH400" t="str">
        <f>"10400.00"</f>
        <v>10400.00</v>
      </c>
      <c r="AI400" t="str">
        <f>"20800.00"</f>
        <v>20800.00</v>
      </c>
      <c r="AJ400" t="str">
        <f>"C55-000-586-7331-0"</f>
        <v>C55-000-586-7331-0</v>
      </c>
      <c r="AK400" t="str">
        <f>"6082"</f>
        <v>6082</v>
      </c>
      <c r="AL400">
        <v>2</v>
      </c>
      <c r="AM400">
        <v>467</v>
      </c>
      <c r="AN400">
        <v>926.1</v>
      </c>
      <c r="AQ400" t="s">
        <v>4493</v>
      </c>
      <c r="AR400" t="s">
        <v>4493</v>
      </c>
      <c r="AS400" t="s">
        <v>4493</v>
      </c>
      <c r="AU400" t="s">
        <v>396</v>
      </c>
      <c r="AV400">
        <v>2017</v>
      </c>
      <c r="AW400" t="str">
        <f>"08-3N-24-2380-0012-0032 "</f>
        <v xml:space="preserve">08-3N-24-2380-0012-0032 </v>
      </c>
      <c r="AX400">
        <v>551722</v>
      </c>
      <c r="AZ400" t="s">
        <v>2386</v>
      </c>
      <c r="BD400" t="s">
        <v>398</v>
      </c>
      <c r="BE400" t="s">
        <v>393</v>
      </c>
      <c r="BF400">
        <v>32046</v>
      </c>
      <c r="BG400" t="s">
        <v>4494</v>
      </c>
      <c r="BH400" t="s">
        <v>400</v>
      </c>
      <c r="BI400">
        <v>-81.916986838814196</v>
      </c>
      <c r="BJ400">
        <v>30.690617400112501</v>
      </c>
      <c r="BK400" t="s">
        <v>4495</v>
      </c>
      <c r="BM400" t="s">
        <v>4496</v>
      </c>
      <c r="BN400" t="s">
        <v>403</v>
      </c>
      <c r="BO400">
        <v>32046</v>
      </c>
      <c r="BP400" t="s">
        <v>404</v>
      </c>
      <c r="BQ400">
        <v>1100</v>
      </c>
      <c r="BR400" t="s">
        <v>4474</v>
      </c>
      <c r="BS400">
        <v>2000</v>
      </c>
      <c r="BT400" t="s">
        <v>4475</v>
      </c>
      <c r="BW400">
        <v>11343</v>
      </c>
      <c r="BX400" t="s">
        <v>407</v>
      </c>
      <c r="BY400" t="s">
        <v>4244</v>
      </c>
      <c r="BZ400">
        <v>3</v>
      </c>
      <c r="CA400">
        <v>1948</v>
      </c>
      <c r="CB400">
        <v>1</v>
      </c>
      <c r="CD400">
        <v>2017</v>
      </c>
      <c r="CE400">
        <v>20800</v>
      </c>
      <c r="CF400">
        <v>39662</v>
      </c>
      <c r="CG400">
        <v>60462</v>
      </c>
      <c r="CH400">
        <v>2017</v>
      </c>
      <c r="CI400">
        <v>20800</v>
      </c>
      <c r="CJ400">
        <v>39662</v>
      </c>
      <c r="CK400">
        <v>60462</v>
      </c>
      <c r="CL400">
        <v>2017</v>
      </c>
      <c r="CM400">
        <v>826.72</v>
      </c>
      <c r="CN400" s="1">
        <v>28856</v>
      </c>
      <c r="CO400">
        <v>15600</v>
      </c>
      <c r="CZ400" s="1">
        <v>28856</v>
      </c>
      <c r="DD400" t="s">
        <v>398</v>
      </c>
      <c r="DG400">
        <v>8</v>
      </c>
      <c r="DL400">
        <v>50400</v>
      </c>
      <c r="DM400" t="s">
        <v>4465</v>
      </c>
      <c r="DO400" t="s">
        <v>4497</v>
      </c>
      <c r="DP400">
        <v>0</v>
      </c>
      <c r="DQ400">
        <v>17</v>
      </c>
      <c r="DR400" t="s">
        <v>1174</v>
      </c>
      <c r="DS400" t="b">
        <v>1</v>
      </c>
      <c r="DT400" t="s">
        <v>470</v>
      </c>
      <c r="DU400" t="s">
        <v>471</v>
      </c>
      <c r="DV400" t="s">
        <v>472</v>
      </c>
      <c r="DX400">
        <v>-9999</v>
      </c>
      <c r="DZ400" t="s">
        <v>447</v>
      </c>
      <c r="EA400" t="s">
        <v>448</v>
      </c>
      <c r="EB400" t="s">
        <v>1224</v>
      </c>
      <c r="EC400">
        <v>20101217</v>
      </c>
      <c r="ED400" t="s">
        <v>474</v>
      </c>
      <c r="EF400">
        <v>893.8</v>
      </c>
      <c r="EG400">
        <v>893.8</v>
      </c>
      <c r="EI400">
        <v>20160407</v>
      </c>
      <c r="EJ400">
        <v>0</v>
      </c>
      <c r="EK400">
        <v>0</v>
      </c>
      <c r="EP400" t="s">
        <v>421</v>
      </c>
      <c r="EQ400" t="s">
        <v>422</v>
      </c>
      <c r="ER400">
        <v>0</v>
      </c>
      <c r="ES400">
        <v>7</v>
      </c>
      <c r="ET400">
        <v>0</v>
      </c>
      <c r="EU400">
        <v>0</v>
      </c>
      <c r="EV400">
        <v>0</v>
      </c>
      <c r="EW400" s="2">
        <v>43222</v>
      </c>
      <c r="EX400" s="1">
        <v>42879</v>
      </c>
      <c r="EY400">
        <v>2016</v>
      </c>
      <c r="EZ400">
        <v>895.83</v>
      </c>
      <c r="FA400" t="s">
        <v>4498</v>
      </c>
      <c r="FB400">
        <v>0.25</v>
      </c>
      <c r="FC400" t="s">
        <v>424</v>
      </c>
      <c r="FD400" t="s">
        <v>425</v>
      </c>
      <c r="FE400" s="1">
        <v>43055</v>
      </c>
      <c r="FF400">
        <v>6</v>
      </c>
      <c r="FG400">
        <v>2851116</v>
      </c>
      <c r="FH400" t="s">
        <v>480</v>
      </c>
      <c r="FJ400" s="1">
        <v>42879</v>
      </c>
      <c r="FK400">
        <v>2016</v>
      </c>
      <c r="FL400">
        <v>895.83</v>
      </c>
      <c r="FM400" t="s">
        <v>4498</v>
      </c>
      <c r="FN400">
        <v>0.25</v>
      </c>
      <c r="FO400" t="s">
        <v>424</v>
      </c>
      <c r="FP400" t="s">
        <v>425</v>
      </c>
      <c r="FR400">
        <v>22</v>
      </c>
      <c r="FS400">
        <v>4940891</v>
      </c>
      <c r="FT400" t="s">
        <v>4499</v>
      </c>
      <c r="FV400" s="1">
        <v>42515</v>
      </c>
      <c r="FW400">
        <v>2015</v>
      </c>
      <c r="FX400">
        <v>758.92</v>
      </c>
      <c r="FY400" t="s">
        <v>4500</v>
      </c>
      <c r="FZ400">
        <v>0.25</v>
      </c>
      <c r="GA400" t="s">
        <v>424</v>
      </c>
      <c r="GB400" t="s">
        <v>425</v>
      </c>
      <c r="GC400" s="1">
        <v>42702</v>
      </c>
      <c r="GD400">
        <v>6</v>
      </c>
      <c r="GE400">
        <v>2851116</v>
      </c>
      <c r="GF400" t="s">
        <v>480</v>
      </c>
      <c r="GH400" s="1">
        <v>42515</v>
      </c>
      <c r="GI400">
        <v>2015</v>
      </c>
      <c r="GJ400">
        <v>758.92</v>
      </c>
      <c r="GK400" t="s">
        <v>4500</v>
      </c>
      <c r="GL400">
        <v>0.25</v>
      </c>
      <c r="GM400" t="s">
        <v>424</v>
      </c>
      <c r="GN400" t="s">
        <v>425</v>
      </c>
      <c r="GP400">
        <v>22</v>
      </c>
      <c r="GQ400">
        <v>5438568</v>
      </c>
      <c r="GR400" t="s">
        <v>4501</v>
      </c>
      <c r="GT400" s="1">
        <v>42151</v>
      </c>
      <c r="GU400">
        <v>2014</v>
      </c>
      <c r="GV400">
        <v>739.55</v>
      </c>
      <c r="GW400" t="s">
        <v>4502</v>
      </c>
      <c r="GX400">
        <v>0.25</v>
      </c>
      <c r="GY400" t="s">
        <v>424</v>
      </c>
      <c r="GZ400" t="s">
        <v>425</v>
      </c>
      <c r="HA400" s="1">
        <v>42460</v>
      </c>
      <c r="HB400">
        <v>10</v>
      </c>
      <c r="HC400">
        <v>2851116</v>
      </c>
      <c r="HD400" t="s">
        <v>480</v>
      </c>
      <c r="HF400" s="1">
        <v>42151</v>
      </c>
      <c r="HG400">
        <v>2014</v>
      </c>
      <c r="HH400">
        <v>739.55</v>
      </c>
      <c r="HI400" t="s">
        <v>4502</v>
      </c>
      <c r="HJ400">
        <v>0.25</v>
      </c>
      <c r="HK400" t="s">
        <v>424</v>
      </c>
      <c r="HL400" t="s">
        <v>425</v>
      </c>
      <c r="HN400">
        <v>22</v>
      </c>
      <c r="HO400">
        <v>5324899</v>
      </c>
      <c r="HP400" t="s">
        <v>4503</v>
      </c>
      <c r="HR400" s="1">
        <v>41787</v>
      </c>
      <c r="HS400">
        <v>2013</v>
      </c>
      <c r="HT400">
        <v>698.85</v>
      </c>
      <c r="HU400" t="s">
        <v>4504</v>
      </c>
      <c r="HV400">
        <v>0.25</v>
      </c>
      <c r="HW400" t="s">
        <v>424</v>
      </c>
      <c r="HX400" t="s">
        <v>425</v>
      </c>
      <c r="HY400" s="1">
        <v>42166</v>
      </c>
      <c r="HZ400">
        <v>13</v>
      </c>
      <c r="IA400">
        <v>2035919</v>
      </c>
      <c r="IB400" t="s">
        <v>507</v>
      </c>
    </row>
    <row r="401" spans="1:272" x14ac:dyDescent="0.25">
      <c r="A401">
        <v>16485408</v>
      </c>
      <c r="B401">
        <v>400</v>
      </c>
      <c r="C401" t="s">
        <v>393</v>
      </c>
      <c r="D401" t="s">
        <v>394</v>
      </c>
      <c r="F401" t="str">
        <f>"08-3N-24-2380-0012-0041"</f>
        <v>08-3N-24-2380-0012-0041</v>
      </c>
      <c r="H401" t="str">
        <f>"HOFFMAN JAMES"</f>
        <v>HOFFMAN JAMES</v>
      </c>
      <c r="I401" t="str">
        <f>"PO BOX 818"</f>
        <v>PO BOX 818</v>
      </c>
      <c r="J401" t="str">
        <f t="shared" si="122"/>
        <v>HILLIARD FL 32046</v>
      </c>
      <c r="K401" t="str">
        <f>"37090 ORANGE ST"</f>
        <v>37090 ORANGE ST</v>
      </c>
      <c r="L401" t="str">
        <f t="shared" si="124"/>
        <v>HILLIARD FL 32046</v>
      </c>
      <c r="M401" t="str">
        <f>"BLOCK 12 S50 FT OF LOT 4 IN OR 597/83-85 TOWN OF HILLIARD"</f>
        <v>BLOCK 12 S50 FT OF LOT 4 IN OR 597/83-85 TOWN OF HILLIARD</v>
      </c>
      <c r="N401" t="str">
        <f>""</f>
        <v/>
      </c>
      <c r="O401" t="str">
        <f>"23237"</f>
        <v>23237</v>
      </c>
      <c r="P401" t="str">
        <f t="shared" si="119"/>
        <v>2017</v>
      </c>
      <c r="Q401" t="str">
        <f>""</f>
        <v/>
      </c>
      <c r="R401" t="str">
        <f t="shared" si="123"/>
        <v>N</v>
      </c>
      <c r="S401" t="str">
        <f>""</f>
        <v/>
      </c>
      <c r="T401" t="str">
        <f>"372.24"</f>
        <v>372.24</v>
      </c>
      <c r="U401" t="str">
        <f>"26655.00"</f>
        <v>26655.00</v>
      </c>
      <c r="V401" t="str">
        <f>"26655.00"</f>
        <v>26655.00</v>
      </c>
      <c r="W401" t="str">
        <f t="shared" si="120"/>
        <v>2017</v>
      </c>
      <c r="X401" t="str">
        <f>"16.33"</f>
        <v>16.33</v>
      </c>
      <c r="Y401" t="str">
        <f>"415.41"</f>
        <v>415.41</v>
      </c>
      <c r="Z401" t="str">
        <f>""</f>
        <v/>
      </c>
      <c r="AA401" t="str">
        <f>"26655.00"</f>
        <v>26655.00</v>
      </c>
      <c r="AB401" t="str">
        <f>"Residential"</f>
        <v>Residential</v>
      </c>
      <c r="AC401" t="str">
        <f t="shared" si="121"/>
        <v>0</v>
      </c>
      <c r="AD401" t="str">
        <f>""</f>
        <v/>
      </c>
      <c r="AE401" t="str">
        <f>""</f>
        <v/>
      </c>
      <c r="AF401" t="str">
        <f>"000"</f>
        <v>000</v>
      </c>
      <c r="AG401" t="str">
        <f t="shared" si="118"/>
        <v>FL</v>
      </c>
      <c r="AH401" t="str">
        <f>"11335.00"</f>
        <v>11335.00</v>
      </c>
      <c r="AI401" t="str">
        <f>"22669.00"</f>
        <v>22669.00</v>
      </c>
      <c r="AJ401" t="str">
        <f>"C55-000-586-7333-6"</f>
        <v>C55-000-586-7333-6</v>
      </c>
      <c r="AK401" t="str">
        <f>"6084"</f>
        <v>6084</v>
      </c>
      <c r="AL401">
        <v>2</v>
      </c>
      <c r="AM401">
        <v>468</v>
      </c>
      <c r="AN401">
        <v>434.58</v>
      </c>
      <c r="AQ401" t="s">
        <v>4505</v>
      </c>
      <c r="AR401" t="s">
        <v>4505</v>
      </c>
      <c r="AS401" t="s">
        <v>4505</v>
      </c>
      <c r="AU401" t="s">
        <v>396</v>
      </c>
      <c r="AV401">
        <v>2017</v>
      </c>
      <c r="AW401" t="str">
        <f>"08-3N-24-2380-0012-0041 "</f>
        <v xml:space="preserve">08-3N-24-2380-0012-0041 </v>
      </c>
      <c r="AX401">
        <v>37090</v>
      </c>
      <c r="AZ401" t="s">
        <v>4506</v>
      </c>
      <c r="BA401" t="s">
        <v>1942</v>
      </c>
      <c r="BD401" t="s">
        <v>398</v>
      </c>
      <c r="BE401" t="s">
        <v>393</v>
      </c>
      <c r="BF401">
        <v>32046</v>
      </c>
      <c r="BG401" t="s">
        <v>4507</v>
      </c>
      <c r="BH401" t="s">
        <v>400</v>
      </c>
      <c r="BI401">
        <v>-81.916415224997493</v>
      </c>
      <c r="BJ401">
        <v>30.690903939788701</v>
      </c>
      <c r="BK401" t="s">
        <v>4495</v>
      </c>
      <c r="BM401" t="s">
        <v>4496</v>
      </c>
      <c r="BN401" t="s">
        <v>403</v>
      </c>
      <c r="BO401">
        <v>32046</v>
      </c>
      <c r="BP401" t="s">
        <v>404</v>
      </c>
      <c r="BQ401">
        <v>1</v>
      </c>
      <c r="BR401" t="s">
        <v>491</v>
      </c>
      <c r="BS401">
        <v>8001</v>
      </c>
      <c r="BT401" t="s">
        <v>492</v>
      </c>
      <c r="BW401">
        <v>11325</v>
      </c>
      <c r="BX401" t="s">
        <v>407</v>
      </c>
      <c r="CD401">
        <v>2017</v>
      </c>
      <c r="CE401">
        <v>22669</v>
      </c>
      <c r="CF401">
        <v>3986</v>
      </c>
      <c r="CG401">
        <v>26655</v>
      </c>
      <c r="CH401">
        <v>2017</v>
      </c>
      <c r="CI401">
        <v>22669</v>
      </c>
      <c r="CJ401">
        <v>3986</v>
      </c>
      <c r="CK401">
        <v>26655</v>
      </c>
      <c r="CL401">
        <v>2017</v>
      </c>
      <c r="CM401">
        <v>372.24</v>
      </c>
      <c r="CN401" s="1">
        <v>33004</v>
      </c>
      <c r="CO401">
        <v>2000</v>
      </c>
      <c r="CZ401" s="1">
        <v>33004</v>
      </c>
      <c r="DD401" t="s">
        <v>398</v>
      </c>
      <c r="DF401">
        <v>4</v>
      </c>
      <c r="DG401">
        <v>8</v>
      </c>
      <c r="DJ401" t="s">
        <v>4482</v>
      </c>
      <c r="DL401">
        <v>50400</v>
      </c>
      <c r="DM401" t="s">
        <v>4465</v>
      </c>
      <c r="DO401" t="s">
        <v>4508</v>
      </c>
      <c r="DP401">
        <v>0</v>
      </c>
      <c r="DQ401">
        <v>18</v>
      </c>
      <c r="DR401" t="s">
        <v>1174</v>
      </c>
      <c r="DS401" t="b">
        <v>1</v>
      </c>
      <c r="DT401" t="s">
        <v>470</v>
      </c>
      <c r="DU401" t="s">
        <v>471</v>
      </c>
      <c r="DV401" t="s">
        <v>472</v>
      </c>
      <c r="DX401">
        <v>-9999</v>
      </c>
      <c r="DZ401" t="s">
        <v>447</v>
      </c>
      <c r="EA401" t="s">
        <v>448</v>
      </c>
      <c r="EB401" t="s">
        <v>1224</v>
      </c>
      <c r="EC401">
        <v>20101217</v>
      </c>
      <c r="ED401" t="s">
        <v>474</v>
      </c>
      <c r="EF401">
        <v>700.7</v>
      </c>
      <c r="EG401">
        <v>700.7</v>
      </c>
      <c r="EI401">
        <v>20160407</v>
      </c>
      <c r="EJ401">
        <v>0</v>
      </c>
      <c r="EK401">
        <v>0</v>
      </c>
      <c r="EP401" t="s">
        <v>421</v>
      </c>
      <c r="EQ401" t="s">
        <v>422</v>
      </c>
      <c r="ER401">
        <v>1</v>
      </c>
      <c r="ES401">
        <v>4</v>
      </c>
      <c r="ET401">
        <v>436.25</v>
      </c>
      <c r="EU401">
        <v>67.33</v>
      </c>
      <c r="EV401">
        <v>503.58</v>
      </c>
      <c r="EW401" s="2">
        <v>43222</v>
      </c>
      <c r="EX401" s="1">
        <v>42879</v>
      </c>
      <c r="EY401">
        <v>2016</v>
      </c>
      <c r="EZ401">
        <v>436.25</v>
      </c>
      <c r="FA401" t="s">
        <v>4509</v>
      </c>
      <c r="FB401">
        <v>14</v>
      </c>
      <c r="FC401" t="s">
        <v>424</v>
      </c>
      <c r="FD401" t="s">
        <v>454</v>
      </c>
      <c r="FF401">
        <v>12</v>
      </c>
      <c r="FG401">
        <v>10021</v>
      </c>
      <c r="FH401" t="s">
        <v>597</v>
      </c>
      <c r="FJ401" s="1">
        <v>42515</v>
      </c>
      <c r="FK401">
        <v>2015</v>
      </c>
      <c r="FL401">
        <v>444.12</v>
      </c>
      <c r="FM401" t="s">
        <v>4510</v>
      </c>
      <c r="FN401">
        <v>0.25</v>
      </c>
      <c r="FO401" t="s">
        <v>424</v>
      </c>
      <c r="FP401" t="s">
        <v>425</v>
      </c>
      <c r="FQ401" s="1">
        <v>43055</v>
      </c>
      <c r="FR401">
        <v>18</v>
      </c>
      <c r="FS401">
        <v>7336671</v>
      </c>
      <c r="FT401" t="s">
        <v>437</v>
      </c>
      <c r="FV401" s="1">
        <v>42515</v>
      </c>
      <c r="FW401">
        <v>2015</v>
      </c>
      <c r="FX401">
        <v>444.12</v>
      </c>
      <c r="FY401" t="s">
        <v>4510</v>
      </c>
      <c r="FZ401">
        <v>0.25</v>
      </c>
      <c r="GA401" t="s">
        <v>424</v>
      </c>
      <c r="GB401" t="s">
        <v>425</v>
      </c>
      <c r="GD401">
        <v>22</v>
      </c>
      <c r="GE401">
        <v>6983166</v>
      </c>
      <c r="GF401" t="s">
        <v>4511</v>
      </c>
      <c r="GH401" s="1">
        <v>42151</v>
      </c>
      <c r="GI401">
        <v>2014</v>
      </c>
      <c r="GJ401">
        <v>448.94</v>
      </c>
      <c r="GK401" t="s">
        <v>4512</v>
      </c>
      <c r="GL401">
        <v>12.5</v>
      </c>
      <c r="GM401" t="s">
        <v>424</v>
      </c>
      <c r="GN401" t="s">
        <v>425</v>
      </c>
      <c r="GO401" s="1">
        <v>42460</v>
      </c>
      <c r="GP401">
        <v>10</v>
      </c>
      <c r="GQ401">
        <v>10125</v>
      </c>
      <c r="GR401" t="s">
        <v>440</v>
      </c>
      <c r="GT401" s="1">
        <v>41787</v>
      </c>
      <c r="GU401">
        <v>2013</v>
      </c>
      <c r="GV401">
        <v>426.39</v>
      </c>
      <c r="GW401" t="s">
        <v>4513</v>
      </c>
      <c r="GX401">
        <v>0.25</v>
      </c>
      <c r="GY401" t="s">
        <v>424</v>
      </c>
      <c r="GZ401" t="s">
        <v>425</v>
      </c>
      <c r="HA401" s="1">
        <v>42404</v>
      </c>
      <c r="HB401">
        <v>21</v>
      </c>
      <c r="HC401">
        <v>2101385</v>
      </c>
      <c r="HD401" t="s">
        <v>810</v>
      </c>
    </row>
    <row r="402" spans="1:272" x14ac:dyDescent="0.25">
      <c r="A402">
        <v>16485409</v>
      </c>
      <c r="B402">
        <v>401</v>
      </c>
      <c r="C402" t="s">
        <v>393</v>
      </c>
      <c r="D402" t="s">
        <v>394</v>
      </c>
      <c r="F402" t="str">
        <f>"08-3N-24-2380-0018-0044"</f>
        <v>08-3N-24-2380-0018-0044</v>
      </c>
      <c r="H402" t="str">
        <f>"LARGIN JAMES A EST C/O TERRY LARGIN"</f>
        <v>LARGIN JAMES A EST C/O TERRY LARGIN</v>
      </c>
      <c r="I402" t="str">
        <f>"37039 W 4TH STREET"</f>
        <v>37039 W 4TH STREET</v>
      </c>
      <c r="J402" t="str">
        <f t="shared" si="122"/>
        <v>HILLIARD FL 32046</v>
      </c>
      <c r="K402" t="str">
        <f>"37039 FOURTH ST W"</f>
        <v>37039 FOURTH ST W</v>
      </c>
      <c r="L402" t="str">
        <f t="shared" si="124"/>
        <v>HILLIARD FL 32046</v>
      </c>
      <c r="M402" t="str">
        <f>"BLOCK 18 PT OF LOT 4 IN OR 727 PG 831 TOWN OF HILLIARD"</f>
        <v>BLOCK 18 PT OF LOT 4 IN OR 727 PG 831 TOWN OF HILLIARD</v>
      </c>
      <c r="N402" t="str">
        <f>""</f>
        <v/>
      </c>
      <c r="O402" t="str">
        <f>"23276"</f>
        <v>23276</v>
      </c>
      <c r="P402" t="str">
        <f t="shared" si="119"/>
        <v>2017</v>
      </c>
      <c r="Q402" t="str">
        <f>""</f>
        <v/>
      </c>
      <c r="R402" t="str">
        <f t="shared" si="123"/>
        <v>N</v>
      </c>
      <c r="S402" t="str">
        <f>""</f>
        <v/>
      </c>
      <c r="T402" t="str">
        <f>"607.89"</f>
        <v>607.89</v>
      </c>
      <c r="U402" t="str">
        <f>"43529.00"</f>
        <v>43529.00</v>
      </c>
      <c r="V402" t="str">
        <f>"43529.00"</f>
        <v>43529.00</v>
      </c>
      <c r="W402" t="str">
        <f t="shared" si="120"/>
        <v>2017</v>
      </c>
      <c r="X402" t="str">
        <f>"10.75"</f>
        <v>10.75</v>
      </c>
      <c r="Y402" t="str">
        <f>"658.13"</f>
        <v>658.13</v>
      </c>
      <c r="Z402" t="str">
        <f>""</f>
        <v/>
      </c>
      <c r="AA402" t="str">
        <f>"43529.00"</f>
        <v>43529.00</v>
      </c>
      <c r="AB402" t="str">
        <f>"Residential"</f>
        <v>Residential</v>
      </c>
      <c r="AC402" t="str">
        <f t="shared" si="121"/>
        <v>0</v>
      </c>
      <c r="AD402" t="str">
        <f>"4"</f>
        <v>4</v>
      </c>
      <c r="AE402" t="str">
        <f>"WOOD (INCLUDE STEEL STUDS)"</f>
        <v>WOOD (INCLUDE STEEL STUDS)</v>
      </c>
      <c r="AF402" t="str">
        <f>"001"</f>
        <v>001</v>
      </c>
      <c r="AG402" t="str">
        <f t="shared" si="118"/>
        <v>FL</v>
      </c>
      <c r="AH402" t="str">
        <f>"6000.00"</f>
        <v>6000.00</v>
      </c>
      <c r="AI402" t="str">
        <f>"9000.00"</f>
        <v>9000.00</v>
      </c>
      <c r="AJ402" t="str">
        <f>"C55-000-586-7370-8"</f>
        <v>C55-000-586-7370-8</v>
      </c>
      <c r="AK402" t="str">
        <f>"6116"</f>
        <v>6116</v>
      </c>
      <c r="AL402">
        <v>2</v>
      </c>
      <c r="AM402">
        <v>469</v>
      </c>
      <c r="AN402">
        <v>689.44</v>
      </c>
      <c r="AQ402" t="s">
        <v>4514</v>
      </c>
      <c r="AR402" t="s">
        <v>4514</v>
      </c>
      <c r="AS402" t="s">
        <v>4514</v>
      </c>
      <c r="AU402" t="s">
        <v>396</v>
      </c>
      <c r="AV402">
        <v>2017</v>
      </c>
      <c r="AW402" t="str">
        <f>"08-3N-24-2380-0018-0044 "</f>
        <v xml:space="preserve">08-3N-24-2380-0018-0044 </v>
      </c>
      <c r="AX402">
        <v>37039</v>
      </c>
      <c r="AZ402" t="s">
        <v>4515</v>
      </c>
      <c r="BA402" t="s">
        <v>1942</v>
      </c>
      <c r="BB402" t="s">
        <v>4459</v>
      </c>
      <c r="BD402" t="s">
        <v>398</v>
      </c>
      <c r="BE402" t="s">
        <v>393</v>
      </c>
      <c r="BF402">
        <v>32046</v>
      </c>
      <c r="BG402" t="s">
        <v>4516</v>
      </c>
      <c r="BH402" t="s">
        <v>400</v>
      </c>
      <c r="BI402">
        <v>-81.919531155810205</v>
      </c>
      <c r="BJ402">
        <v>30.695406135308001</v>
      </c>
      <c r="BK402" t="s">
        <v>4517</v>
      </c>
      <c r="BL402" t="s">
        <v>4518</v>
      </c>
      <c r="BM402" t="s">
        <v>4519</v>
      </c>
      <c r="BN402" t="s">
        <v>403</v>
      </c>
      <c r="BO402">
        <v>32046</v>
      </c>
      <c r="BP402" t="s">
        <v>404</v>
      </c>
      <c r="BQ402">
        <v>100</v>
      </c>
      <c r="BR402" t="s">
        <v>514</v>
      </c>
      <c r="BS402">
        <v>1001</v>
      </c>
      <c r="BT402" t="s">
        <v>515</v>
      </c>
      <c r="BU402">
        <v>600</v>
      </c>
      <c r="BV402">
        <v>1000</v>
      </c>
      <c r="BW402">
        <v>6001</v>
      </c>
      <c r="BX402" t="s">
        <v>407</v>
      </c>
      <c r="BY402" t="s">
        <v>4520</v>
      </c>
      <c r="BZ402">
        <v>4</v>
      </c>
      <c r="CA402">
        <v>1924</v>
      </c>
      <c r="CB402">
        <v>1</v>
      </c>
      <c r="CC402">
        <v>1</v>
      </c>
      <c r="CD402">
        <v>2017</v>
      </c>
      <c r="CE402">
        <v>9000</v>
      </c>
      <c r="CF402">
        <v>34529</v>
      </c>
      <c r="CG402">
        <v>43529</v>
      </c>
      <c r="CH402">
        <v>2017</v>
      </c>
      <c r="CI402">
        <v>9000</v>
      </c>
      <c r="CJ402">
        <v>34529</v>
      </c>
      <c r="CK402">
        <v>43529</v>
      </c>
      <c r="CL402">
        <v>2017</v>
      </c>
      <c r="CM402">
        <v>607.89</v>
      </c>
      <c r="CN402" s="1">
        <v>34799</v>
      </c>
      <c r="CO402">
        <v>5000</v>
      </c>
      <c r="CZ402" s="1">
        <v>34799</v>
      </c>
      <c r="DD402" t="s">
        <v>398</v>
      </c>
      <c r="DF402">
        <v>4</v>
      </c>
      <c r="DG402">
        <v>8</v>
      </c>
      <c r="DJ402" t="s">
        <v>4482</v>
      </c>
      <c r="DL402">
        <v>50400</v>
      </c>
      <c r="DM402" t="s">
        <v>4465</v>
      </c>
      <c r="DO402" t="s">
        <v>4521</v>
      </c>
      <c r="DP402">
        <v>0</v>
      </c>
      <c r="DQ402">
        <v>5</v>
      </c>
      <c r="DR402" t="s">
        <v>1479</v>
      </c>
      <c r="DS402" t="b">
        <v>1</v>
      </c>
      <c r="DT402" t="s">
        <v>470</v>
      </c>
      <c r="DU402" t="s">
        <v>471</v>
      </c>
      <c r="DV402" t="s">
        <v>472</v>
      </c>
      <c r="DX402">
        <v>-9999</v>
      </c>
      <c r="DZ402" t="s">
        <v>447</v>
      </c>
      <c r="EA402" t="s">
        <v>448</v>
      </c>
      <c r="EB402" t="s">
        <v>1224</v>
      </c>
      <c r="EC402">
        <v>20101217</v>
      </c>
      <c r="ED402" t="s">
        <v>474</v>
      </c>
      <c r="EF402">
        <v>311.39999999999998</v>
      </c>
      <c r="EG402">
        <v>311.39999999999998</v>
      </c>
      <c r="EI402">
        <v>20160407</v>
      </c>
      <c r="EJ402">
        <v>0</v>
      </c>
      <c r="EK402">
        <v>0</v>
      </c>
      <c r="EP402" t="s">
        <v>421</v>
      </c>
      <c r="EQ402" t="s">
        <v>422</v>
      </c>
      <c r="ER402">
        <v>0</v>
      </c>
      <c r="ES402">
        <v>7</v>
      </c>
      <c r="ET402">
        <v>0</v>
      </c>
      <c r="EU402">
        <v>0</v>
      </c>
      <c r="EV402">
        <v>0</v>
      </c>
      <c r="EW402" s="2">
        <v>43222</v>
      </c>
      <c r="EX402" s="1">
        <v>42879</v>
      </c>
      <c r="EY402">
        <v>2016</v>
      </c>
      <c r="EZ402">
        <v>672.98</v>
      </c>
      <c r="FA402" t="s">
        <v>4522</v>
      </c>
      <c r="FB402">
        <v>0.25</v>
      </c>
      <c r="FC402" t="s">
        <v>424</v>
      </c>
      <c r="FD402" t="s">
        <v>425</v>
      </c>
      <c r="FE402" s="1">
        <v>43214</v>
      </c>
      <c r="FF402">
        <v>11</v>
      </c>
      <c r="FG402">
        <v>2851116</v>
      </c>
      <c r="FH402" t="s">
        <v>480</v>
      </c>
      <c r="FJ402" s="1">
        <v>42879</v>
      </c>
      <c r="FK402">
        <v>2016</v>
      </c>
      <c r="FL402">
        <v>672.98</v>
      </c>
      <c r="FM402" t="s">
        <v>4522</v>
      </c>
      <c r="FN402">
        <v>0.25</v>
      </c>
      <c r="FO402" t="s">
        <v>424</v>
      </c>
      <c r="FP402" t="s">
        <v>425</v>
      </c>
      <c r="FR402">
        <v>22</v>
      </c>
      <c r="FS402">
        <v>5318972</v>
      </c>
      <c r="FT402" t="s">
        <v>4523</v>
      </c>
      <c r="FV402" s="1">
        <v>42515</v>
      </c>
      <c r="FW402">
        <v>2015</v>
      </c>
      <c r="FX402">
        <v>685.26</v>
      </c>
      <c r="FY402" t="s">
        <v>4524</v>
      </c>
      <c r="FZ402">
        <v>0.25</v>
      </c>
      <c r="GA402" t="s">
        <v>424</v>
      </c>
      <c r="GB402" t="s">
        <v>425</v>
      </c>
      <c r="GC402" s="1">
        <v>42783</v>
      </c>
      <c r="GD402">
        <v>9</v>
      </c>
      <c r="GE402">
        <v>11289</v>
      </c>
      <c r="GF402" t="s">
        <v>787</v>
      </c>
      <c r="GH402" s="1">
        <v>42515</v>
      </c>
      <c r="GI402">
        <v>2015</v>
      </c>
      <c r="GJ402">
        <v>685.26</v>
      </c>
      <c r="GK402" t="s">
        <v>4524</v>
      </c>
      <c r="GL402">
        <v>0.25</v>
      </c>
      <c r="GM402" t="s">
        <v>424</v>
      </c>
      <c r="GN402" t="s">
        <v>425</v>
      </c>
      <c r="GP402">
        <v>22</v>
      </c>
      <c r="GQ402">
        <v>5203685</v>
      </c>
      <c r="GR402" t="s">
        <v>4525</v>
      </c>
      <c r="GT402" s="1">
        <v>42151</v>
      </c>
      <c r="GU402">
        <v>2014</v>
      </c>
      <c r="GV402">
        <v>626.5</v>
      </c>
      <c r="GW402" t="s">
        <v>4526</v>
      </c>
      <c r="GX402">
        <v>0.25</v>
      </c>
      <c r="GY402" t="s">
        <v>424</v>
      </c>
      <c r="GZ402" t="s">
        <v>425</v>
      </c>
      <c r="HA402" s="1">
        <v>42482</v>
      </c>
      <c r="HB402">
        <v>11</v>
      </c>
      <c r="HC402">
        <v>2851116</v>
      </c>
      <c r="HD402" t="s">
        <v>480</v>
      </c>
      <c r="HF402" s="1">
        <v>42151</v>
      </c>
      <c r="HG402">
        <v>2014</v>
      </c>
      <c r="HH402">
        <v>626.5</v>
      </c>
      <c r="HI402" t="s">
        <v>4526</v>
      </c>
      <c r="HJ402">
        <v>0.25</v>
      </c>
      <c r="HK402" t="s">
        <v>424</v>
      </c>
      <c r="HL402" t="s">
        <v>425</v>
      </c>
      <c r="HN402">
        <v>22</v>
      </c>
      <c r="HO402">
        <v>4879966</v>
      </c>
      <c r="HP402" t="s">
        <v>4527</v>
      </c>
      <c r="HR402" s="1">
        <v>41787</v>
      </c>
      <c r="HS402">
        <v>2013</v>
      </c>
      <c r="HT402">
        <v>560.54999999999995</v>
      </c>
      <c r="HU402" t="s">
        <v>4528</v>
      </c>
      <c r="HV402">
        <v>0.25</v>
      </c>
      <c r="HW402" t="s">
        <v>424</v>
      </c>
      <c r="HX402" t="s">
        <v>425</v>
      </c>
      <c r="HY402" s="1">
        <v>42150</v>
      </c>
      <c r="HZ402">
        <v>12</v>
      </c>
      <c r="IA402">
        <v>13026</v>
      </c>
      <c r="IB402" t="s">
        <v>2129</v>
      </c>
    </row>
    <row r="403" spans="1:272" x14ac:dyDescent="0.25">
      <c r="A403">
        <v>16485410</v>
      </c>
      <c r="B403">
        <v>402</v>
      </c>
      <c r="C403" t="s">
        <v>393</v>
      </c>
      <c r="D403" t="s">
        <v>394</v>
      </c>
      <c r="F403" t="str">
        <f>"08-3N-24-2380-0019-0042"</f>
        <v>08-3N-24-2380-0019-0042</v>
      </c>
      <c r="H403" t="str">
        <f>"FIRST STOP FLORIDA LLC"</f>
        <v>FIRST STOP FLORIDA LLC</v>
      </c>
      <c r="I403" t="str">
        <f>"5953 FEATHER LN"</f>
        <v>5953 FEATHER LN</v>
      </c>
      <c r="J403" t="str">
        <f>"SANFORD FL 32771"</f>
        <v>SANFORD FL 32771</v>
      </c>
      <c r="K403" t="str">
        <f>"551943 US HWY 1"</f>
        <v>551943 US HWY 1</v>
      </c>
      <c r="L403" t="str">
        <f t="shared" si="124"/>
        <v>HILLIARD FL 32046</v>
      </c>
      <c r="M403" t="str">
        <f>"BLOCK 19 S-2 OF LOTS 4 &amp; 1 IN OR 2095/810 TOWN OF HILLIARD"</f>
        <v>BLOCK 19 S-2 OF LOTS 4 &amp; 1 IN OR 2095/810 TOWN OF HILLIARD</v>
      </c>
      <c r="N403" t="str">
        <f>""</f>
        <v/>
      </c>
      <c r="O403" t="str">
        <f>"23282"</f>
        <v>23282</v>
      </c>
      <c r="P403" t="str">
        <f t="shared" si="119"/>
        <v>2017</v>
      </c>
      <c r="Q403" t="str">
        <f>""</f>
        <v/>
      </c>
      <c r="R403" t="str">
        <f t="shared" si="123"/>
        <v>N</v>
      </c>
      <c r="S403" t="str">
        <f>""</f>
        <v/>
      </c>
      <c r="T403" t="str">
        <f>"992.56"</f>
        <v>992.56</v>
      </c>
      <c r="U403" t="str">
        <f>"71074.00"</f>
        <v>71074.00</v>
      </c>
      <c r="V403" t="str">
        <f>"71074.00"</f>
        <v>71074.00</v>
      </c>
      <c r="W403" t="str">
        <f t="shared" si="120"/>
        <v>2017</v>
      </c>
      <c r="X403" t="str">
        <f>"12.00"</f>
        <v>12.00</v>
      </c>
      <c r="Y403" t="str">
        <f>"1054.34"</f>
        <v>1054.34</v>
      </c>
      <c r="Z403" t="str">
        <f>""</f>
        <v/>
      </c>
      <c r="AA403" t="str">
        <f>"71074.00"</f>
        <v>71074.00</v>
      </c>
      <c r="AB403" t="str">
        <f>"Commercial"</f>
        <v>Commercial</v>
      </c>
      <c r="AC403" t="str">
        <f t="shared" si="121"/>
        <v>0</v>
      </c>
      <c r="AD403" t="str">
        <f>"3"</f>
        <v>3</v>
      </c>
      <c r="AE403" t="str">
        <f>"MASONRY"</f>
        <v>MASONRY</v>
      </c>
      <c r="AF403" t="str">
        <f>"014"</f>
        <v>014</v>
      </c>
      <c r="AG403" t="str">
        <f t="shared" si="118"/>
        <v>FL</v>
      </c>
      <c r="AH403" t="str">
        <f>"15464.00"</f>
        <v>15464.00</v>
      </c>
      <c r="AI403" t="str">
        <f>"30927.00"</f>
        <v>30927.00</v>
      </c>
      <c r="AJ403" t="str">
        <f>"C55-000-586-7376-5"</f>
        <v>C55-000-586-7376-5</v>
      </c>
      <c r="AK403" t="str">
        <f>"6122"</f>
        <v>6122</v>
      </c>
      <c r="AL403">
        <v>2</v>
      </c>
      <c r="AM403">
        <v>470</v>
      </c>
      <c r="AN403">
        <v>1105.46</v>
      </c>
      <c r="AQ403" t="s">
        <v>4529</v>
      </c>
      <c r="AR403" t="s">
        <v>4529</v>
      </c>
      <c r="AS403" t="s">
        <v>4529</v>
      </c>
      <c r="AU403" t="s">
        <v>396</v>
      </c>
      <c r="AV403">
        <v>2017</v>
      </c>
      <c r="AW403" t="str">
        <f>"08-3N-24-2380-0019-0042 "</f>
        <v xml:space="preserve">08-3N-24-2380-0019-0042 </v>
      </c>
      <c r="AX403">
        <v>551943</v>
      </c>
      <c r="AZ403" t="s">
        <v>2386</v>
      </c>
      <c r="BD403" t="s">
        <v>398</v>
      </c>
      <c r="BE403" t="s">
        <v>393</v>
      </c>
      <c r="BF403">
        <v>32046</v>
      </c>
      <c r="BG403" t="s">
        <v>4530</v>
      </c>
      <c r="BH403" t="s">
        <v>400</v>
      </c>
      <c r="BI403">
        <v>-81.921432235505705</v>
      </c>
      <c r="BJ403">
        <v>30.695753353101999</v>
      </c>
      <c r="BK403" t="s">
        <v>4531</v>
      </c>
      <c r="BM403" t="s">
        <v>4532</v>
      </c>
      <c r="BN403" t="s">
        <v>4533</v>
      </c>
      <c r="BO403">
        <v>32771</v>
      </c>
      <c r="BP403" t="s">
        <v>404</v>
      </c>
      <c r="BQ403">
        <v>1410</v>
      </c>
      <c r="BR403" t="s">
        <v>4534</v>
      </c>
      <c r="BS403">
        <v>2006</v>
      </c>
      <c r="BT403" t="s">
        <v>4535</v>
      </c>
      <c r="BW403">
        <v>15442</v>
      </c>
      <c r="BX403" t="s">
        <v>407</v>
      </c>
      <c r="BZ403">
        <v>3</v>
      </c>
      <c r="CA403">
        <v>1955</v>
      </c>
      <c r="CB403">
        <v>1</v>
      </c>
      <c r="CD403">
        <v>2017</v>
      </c>
      <c r="CE403">
        <v>30927</v>
      </c>
      <c r="CF403">
        <v>40147</v>
      </c>
      <c r="CG403">
        <v>71074</v>
      </c>
      <c r="CH403">
        <v>2017</v>
      </c>
      <c r="CI403">
        <v>30927</v>
      </c>
      <c r="CJ403">
        <v>40147</v>
      </c>
      <c r="CK403">
        <v>71074</v>
      </c>
      <c r="CL403">
        <v>2017</v>
      </c>
      <c r="CM403">
        <v>992.56</v>
      </c>
      <c r="CN403" s="1">
        <v>42493</v>
      </c>
      <c r="CO403">
        <v>6900</v>
      </c>
      <c r="CZ403" s="1">
        <v>42493</v>
      </c>
      <c r="DD403" t="s">
        <v>398</v>
      </c>
      <c r="DG403">
        <v>8</v>
      </c>
      <c r="DJ403" t="s">
        <v>4482</v>
      </c>
      <c r="DL403">
        <v>50400</v>
      </c>
      <c r="DM403" t="s">
        <v>4465</v>
      </c>
      <c r="DO403" t="s">
        <v>4536</v>
      </c>
      <c r="DP403">
        <v>0</v>
      </c>
      <c r="DQ403">
        <v>3</v>
      </c>
      <c r="DR403" t="s">
        <v>1479</v>
      </c>
      <c r="DS403" t="b">
        <v>1</v>
      </c>
      <c r="DT403" t="s">
        <v>470</v>
      </c>
      <c r="DU403" t="s">
        <v>471</v>
      </c>
      <c r="DV403" t="s">
        <v>472</v>
      </c>
      <c r="DX403">
        <v>-9999</v>
      </c>
      <c r="DZ403" t="s">
        <v>447</v>
      </c>
      <c r="EA403" t="s">
        <v>448</v>
      </c>
      <c r="EB403" t="s">
        <v>1224</v>
      </c>
      <c r="EC403">
        <v>20101217</v>
      </c>
      <c r="ED403" t="s">
        <v>474</v>
      </c>
      <c r="EF403">
        <v>281.7</v>
      </c>
      <c r="EG403">
        <v>281.7</v>
      </c>
      <c r="EH403" t="s">
        <v>451</v>
      </c>
      <c r="EI403">
        <v>20140731</v>
      </c>
      <c r="EJ403">
        <v>0</v>
      </c>
      <c r="EK403">
        <v>0</v>
      </c>
      <c r="EP403" t="s">
        <v>421</v>
      </c>
      <c r="EQ403" t="s">
        <v>452</v>
      </c>
      <c r="ER403">
        <v>2</v>
      </c>
      <c r="ES403">
        <v>7</v>
      </c>
      <c r="ET403">
        <v>2436.48</v>
      </c>
      <c r="EU403">
        <v>134.32</v>
      </c>
      <c r="EV403">
        <v>2570.8000000000002</v>
      </c>
      <c r="EW403" s="2">
        <v>43222</v>
      </c>
      <c r="EX403" s="1">
        <v>42879</v>
      </c>
      <c r="EY403">
        <v>2016</v>
      </c>
      <c r="EZ403">
        <v>1218.24</v>
      </c>
      <c r="FA403" t="s">
        <v>4537</v>
      </c>
      <c r="FB403">
        <v>0.25</v>
      </c>
      <c r="FC403" t="s">
        <v>424</v>
      </c>
      <c r="FD403" t="s">
        <v>454</v>
      </c>
      <c r="FF403">
        <v>12</v>
      </c>
      <c r="FG403">
        <v>7336671</v>
      </c>
      <c r="FH403" t="s">
        <v>437</v>
      </c>
      <c r="FJ403" s="1">
        <v>42879</v>
      </c>
      <c r="FK403">
        <v>2016</v>
      </c>
      <c r="FL403">
        <v>1218.24</v>
      </c>
      <c r="FM403" t="s">
        <v>4537</v>
      </c>
      <c r="FN403">
        <v>0.25</v>
      </c>
      <c r="FO403" t="s">
        <v>424</v>
      </c>
      <c r="FP403" t="s">
        <v>454</v>
      </c>
      <c r="FR403">
        <v>12</v>
      </c>
      <c r="FS403">
        <v>5142622</v>
      </c>
      <c r="FT403" t="s">
        <v>4538</v>
      </c>
      <c r="FV403" s="1">
        <v>42151</v>
      </c>
      <c r="FW403">
        <v>2014</v>
      </c>
      <c r="FX403">
        <v>1220.0999999999999</v>
      </c>
      <c r="FY403" t="s">
        <v>4539</v>
      </c>
      <c r="FZ403">
        <v>0.25</v>
      </c>
      <c r="GA403" t="s">
        <v>424</v>
      </c>
      <c r="GB403" t="s">
        <v>425</v>
      </c>
      <c r="GD403">
        <v>22</v>
      </c>
      <c r="GE403">
        <v>15259</v>
      </c>
      <c r="GF403" t="s">
        <v>891</v>
      </c>
      <c r="GG403" t="s">
        <v>458</v>
      </c>
      <c r="GH403" s="1">
        <v>42151</v>
      </c>
      <c r="GI403">
        <v>2014</v>
      </c>
      <c r="GJ403">
        <v>1220.0999999999999</v>
      </c>
      <c r="GK403" t="s">
        <v>4539</v>
      </c>
      <c r="GL403">
        <v>0.25</v>
      </c>
      <c r="GM403" t="s">
        <v>424</v>
      </c>
      <c r="GN403" t="s">
        <v>425</v>
      </c>
      <c r="GP403">
        <v>22</v>
      </c>
      <c r="GQ403">
        <v>6939651</v>
      </c>
      <c r="GR403" t="s">
        <v>4540</v>
      </c>
      <c r="GS403" t="s">
        <v>458</v>
      </c>
      <c r="GT403" s="1">
        <v>42151</v>
      </c>
      <c r="GU403">
        <v>2014</v>
      </c>
      <c r="GV403">
        <v>1220.0999999999999</v>
      </c>
      <c r="GW403" t="s">
        <v>4539</v>
      </c>
      <c r="GX403">
        <v>0.25</v>
      </c>
      <c r="GY403" t="s">
        <v>424</v>
      </c>
      <c r="GZ403" t="s">
        <v>425</v>
      </c>
      <c r="HA403" s="1">
        <v>42311</v>
      </c>
      <c r="HB403">
        <v>6</v>
      </c>
      <c r="HC403">
        <v>7045049</v>
      </c>
      <c r="HD403" t="s">
        <v>1335</v>
      </c>
      <c r="HE403" t="s">
        <v>458</v>
      </c>
      <c r="HF403" s="1">
        <v>41787</v>
      </c>
      <c r="HG403">
        <v>2013</v>
      </c>
      <c r="HH403">
        <v>1318.67</v>
      </c>
      <c r="HI403" t="s">
        <v>4541</v>
      </c>
      <c r="HJ403">
        <v>0.25</v>
      </c>
      <c r="HK403" t="s">
        <v>424</v>
      </c>
      <c r="HL403" t="s">
        <v>425</v>
      </c>
      <c r="HM403" s="1">
        <v>42311</v>
      </c>
      <c r="HN403">
        <v>18</v>
      </c>
      <c r="HO403">
        <v>2101382</v>
      </c>
      <c r="HP403" t="s">
        <v>993</v>
      </c>
      <c r="HQ403" t="s">
        <v>458</v>
      </c>
      <c r="HR403" s="1">
        <v>41423</v>
      </c>
      <c r="HS403">
        <v>2012</v>
      </c>
      <c r="HT403">
        <v>1302.4100000000001</v>
      </c>
      <c r="HU403" t="s">
        <v>4542</v>
      </c>
      <c r="HV403">
        <v>0.25</v>
      </c>
      <c r="HW403" t="s">
        <v>424</v>
      </c>
      <c r="HX403" t="s">
        <v>425</v>
      </c>
      <c r="HZ403">
        <v>22</v>
      </c>
      <c r="IA403">
        <v>606981</v>
      </c>
      <c r="IB403" t="s">
        <v>792</v>
      </c>
      <c r="IC403" t="s">
        <v>458</v>
      </c>
      <c r="ID403" s="1">
        <v>41423</v>
      </c>
      <c r="IE403">
        <v>2012</v>
      </c>
      <c r="IF403">
        <v>1302.4100000000001</v>
      </c>
      <c r="IG403" t="s">
        <v>4542</v>
      </c>
      <c r="IH403">
        <v>0.25</v>
      </c>
      <c r="II403" t="s">
        <v>424</v>
      </c>
      <c r="IJ403" t="s">
        <v>425</v>
      </c>
      <c r="IL403">
        <v>22</v>
      </c>
      <c r="IM403">
        <v>10594</v>
      </c>
      <c r="IN403" t="s">
        <v>4543</v>
      </c>
      <c r="IO403" t="s">
        <v>458</v>
      </c>
      <c r="IP403" s="1">
        <v>41423</v>
      </c>
      <c r="IQ403">
        <v>2012</v>
      </c>
      <c r="IR403">
        <v>1302.4100000000001</v>
      </c>
      <c r="IS403" t="s">
        <v>4542</v>
      </c>
      <c r="IT403">
        <v>0.25</v>
      </c>
      <c r="IU403" t="s">
        <v>424</v>
      </c>
      <c r="IV403" t="s">
        <v>425</v>
      </c>
      <c r="IX403">
        <v>22</v>
      </c>
      <c r="IY403">
        <v>7045052</v>
      </c>
      <c r="IZ403" t="s">
        <v>4544</v>
      </c>
      <c r="JA403" t="s">
        <v>458</v>
      </c>
    </row>
    <row r="404" spans="1:272" x14ac:dyDescent="0.25">
      <c r="A404">
        <v>16485411</v>
      </c>
      <c r="B404">
        <v>403</v>
      </c>
      <c r="C404" t="s">
        <v>393</v>
      </c>
      <c r="D404" t="s">
        <v>394</v>
      </c>
      <c r="F404" t="str">
        <f>"08-3N-24-2380-0023-0010"</f>
        <v>08-3N-24-2380-0023-0010</v>
      </c>
      <c r="H404" t="str">
        <f>"SCOTT JEANNE"</f>
        <v>SCOTT JEANNE</v>
      </c>
      <c r="I404" t="str">
        <f>"P O BOX  1199"</f>
        <v>P O BOX  1199</v>
      </c>
      <c r="J404" t="str">
        <f>"HILLIARD FL 32046"</f>
        <v>HILLIARD FL 32046</v>
      </c>
      <c r="K404" t="str">
        <f>"552017 US HWY 1"</f>
        <v>552017 US HWY 1</v>
      </c>
      <c r="L404" t="str">
        <f t="shared" si="124"/>
        <v>HILLIARD FL 32046</v>
      </c>
      <c r="M404" t="str">
        <f>"BLOCK 23 LOTS 1 &amp; PT OF 2 IN OR 1180/64 TOWN OF HILLIARD"</f>
        <v>BLOCK 23 LOTS 1 &amp; PT OF 2 IN OR 1180/64 TOWN OF HILLIARD</v>
      </c>
      <c r="N404" t="str">
        <f>""</f>
        <v/>
      </c>
      <c r="O404" t="str">
        <f>"23293"</f>
        <v>23293</v>
      </c>
      <c r="P404" t="str">
        <f t="shared" si="119"/>
        <v>2017</v>
      </c>
      <c r="Q404" t="str">
        <f>""</f>
        <v/>
      </c>
      <c r="R404" t="str">
        <f t="shared" si="123"/>
        <v>N</v>
      </c>
      <c r="S404" t="str">
        <f>""</f>
        <v/>
      </c>
      <c r="T404" t="str">
        <f>"2607.47"</f>
        <v>2607.47</v>
      </c>
      <c r="U404" t="str">
        <f>"186710.00"</f>
        <v>186710.00</v>
      </c>
      <c r="V404" t="str">
        <f>"186710.00"</f>
        <v>186710.00</v>
      </c>
      <c r="W404" t="str">
        <f t="shared" si="120"/>
        <v>2017</v>
      </c>
      <c r="X404" t="str">
        <f>"22.00"</f>
        <v>22.00</v>
      </c>
      <c r="Y404" t="str">
        <f>"2717.69"</f>
        <v>2717.69</v>
      </c>
      <c r="Z404" t="str">
        <f>""</f>
        <v/>
      </c>
      <c r="AA404" t="str">
        <f>"186710.00"</f>
        <v>186710.00</v>
      </c>
      <c r="AB404" t="str">
        <f>"Industrial"</f>
        <v>Industrial</v>
      </c>
      <c r="AC404" t="str">
        <f t="shared" si="121"/>
        <v>0</v>
      </c>
      <c r="AD404" t="str">
        <f>"5"</f>
        <v>5</v>
      </c>
      <c r="AE404" t="str">
        <f>"STEEL FRAME/INCOMBUSTIBLE WALLS/ROOF"</f>
        <v>STEEL FRAME/INCOMBUSTIBLE WALLS/ROOF</v>
      </c>
      <c r="AF404" t="str">
        <f>"048"</f>
        <v>048</v>
      </c>
      <c r="AG404" t="str">
        <f t="shared" si="118"/>
        <v>FL</v>
      </c>
      <c r="AH404" t="str">
        <f>"54014.00"</f>
        <v>54014.00</v>
      </c>
      <c r="AI404" t="str">
        <f>"67517.00"</f>
        <v>67517.00</v>
      </c>
      <c r="AJ404" t="str">
        <f>"C55-000-586-7386-4"</f>
        <v>C55-000-586-7386-4</v>
      </c>
      <c r="AK404" t="str">
        <f>"6133"</f>
        <v>6133</v>
      </c>
      <c r="AL404">
        <v>2</v>
      </c>
      <c r="AM404">
        <v>471</v>
      </c>
      <c r="AN404">
        <v>2851.97</v>
      </c>
      <c r="AQ404" t="s">
        <v>4545</v>
      </c>
      <c r="AR404" t="s">
        <v>4545</v>
      </c>
      <c r="AS404" t="s">
        <v>4545</v>
      </c>
      <c r="AU404" t="s">
        <v>396</v>
      </c>
      <c r="AV404">
        <v>2017</v>
      </c>
      <c r="AW404" t="str">
        <f>"08-3N-24-2380-0023-0010 "</f>
        <v xml:space="preserve">08-3N-24-2380-0023-0010 </v>
      </c>
      <c r="AX404">
        <v>552017</v>
      </c>
      <c r="AZ404" t="s">
        <v>2386</v>
      </c>
      <c r="BD404" t="s">
        <v>398</v>
      </c>
      <c r="BE404" t="s">
        <v>393</v>
      </c>
      <c r="BF404">
        <v>32046</v>
      </c>
      <c r="BG404" t="s">
        <v>4546</v>
      </c>
      <c r="BH404" t="s">
        <v>400</v>
      </c>
      <c r="BI404">
        <v>-81.922931804848602</v>
      </c>
      <c r="BJ404">
        <v>30.697433233832399</v>
      </c>
      <c r="BK404" t="s">
        <v>4547</v>
      </c>
      <c r="BM404" t="s">
        <v>4548</v>
      </c>
      <c r="BN404" t="s">
        <v>403</v>
      </c>
      <c r="BO404">
        <v>32046</v>
      </c>
      <c r="BP404" t="s">
        <v>404</v>
      </c>
      <c r="BQ404">
        <v>4800</v>
      </c>
      <c r="BR404" t="s">
        <v>4463</v>
      </c>
      <c r="BS404">
        <v>6002</v>
      </c>
      <c r="BT404" t="s">
        <v>4464</v>
      </c>
      <c r="BW404">
        <v>54067</v>
      </c>
      <c r="BX404" t="s">
        <v>407</v>
      </c>
      <c r="BY404" t="s">
        <v>4244</v>
      </c>
      <c r="BZ404">
        <v>5</v>
      </c>
      <c r="CA404">
        <v>1982</v>
      </c>
      <c r="CB404">
        <v>1</v>
      </c>
      <c r="CD404">
        <v>2017</v>
      </c>
      <c r="CE404">
        <v>67517</v>
      </c>
      <c r="CF404">
        <v>119193</v>
      </c>
      <c r="CG404">
        <v>186710</v>
      </c>
      <c r="CH404">
        <v>2017</v>
      </c>
      <c r="CI404">
        <v>67517</v>
      </c>
      <c r="CJ404">
        <v>119193</v>
      </c>
      <c r="CK404">
        <v>186710</v>
      </c>
      <c r="CL404">
        <v>2017</v>
      </c>
      <c r="CM404">
        <v>2607.4699999999998</v>
      </c>
      <c r="CN404" s="1">
        <v>37904</v>
      </c>
      <c r="CO404">
        <v>130000</v>
      </c>
      <c r="CV404">
        <v>0</v>
      </c>
      <c r="CZ404" s="1">
        <v>37904</v>
      </c>
      <c r="DA404">
        <v>0</v>
      </c>
      <c r="DD404" t="s">
        <v>398</v>
      </c>
      <c r="DG404">
        <v>8</v>
      </c>
      <c r="DL404">
        <v>50400</v>
      </c>
      <c r="DM404" t="s">
        <v>4465</v>
      </c>
      <c r="DO404" t="s">
        <v>4549</v>
      </c>
      <c r="DP404">
        <v>0</v>
      </c>
      <c r="DQ404">
        <v>1</v>
      </c>
      <c r="DR404" t="s">
        <v>1479</v>
      </c>
      <c r="DS404" t="b">
        <v>1</v>
      </c>
      <c r="DT404" t="s">
        <v>470</v>
      </c>
      <c r="DU404" t="s">
        <v>471</v>
      </c>
      <c r="DV404" t="s">
        <v>472</v>
      </c>
      <c r="DX404">
        <v>-9999</v>
      </c>
      <c r="DZ404" t="s">
        <v>447</v>
      </c>
      <c r="EA404" t="s">
        <v>448</v>
      </c>
      <c r="EB404" t="s">
        <v>1224</v>
      </c>
      <c r="EC404">
        <v>20101217</v>
      </c>
      <c r="ED404" t="s">
        <v>474</v>
      </c>
      <c r="EF404">
        <v>992.4</v>
      </c>
      <c r="EG404">
        <v>992.4</v>
      </c>
      <c r="EI404">
        <v>20160407</v>
      </c>
      <c r="EJ404">
        <v>0</v>
      </c>
      <c r="EK404">
        <v>0</v>
      </c>
      <c r="EP404" t="s">
        <v>421</v>
      </c>
      <c r="EQ404" t="s">
        <v>422</v>
      </c>
      <c r="ER404">
        <v>0</v>
      </c>
      <c r="ES404">
        <v>2</v>
      </c>
      <c r="ET404">
        <v>0</v>
      </c>
      <c r="EU404">
        <v>0</v>
      </c>
      <c r="EV404">
        <v>0</v>
      </c>
      <c r="EW404" s="2">
        <v>43222</v>
      </c>
      <c r="EX404" s="1">
        <v>42515</v>
      </c>
      <c r="EY404">
        <v>2015</v>
      </c>
      <c r="EZ404">
        <v>2947.26</v>
      </c>
      <c r="FA404" t="s">
        <v>4550</v>
      </c>
      <c r="FB404">
        <v>0.25</v>
      </c>
      <c r="FC404" t="s">
        <v>424</v>
      </c>
      <c r="FD404" t="s">
        <v>425</v>
      </c>
      <c r="FE404" s="1">
        <v>43188</v>
      </c>
      <c r="FF404">
        <v>22</v>
      </c>
      <c r="FG404">
        <v>5916895</v>
      </c>
      <c r="FH404" t="s">
        <v>1390</v>
      </c>
      <c r="FJ404" s="1">
        <v>42515</v>
      </c>
      <c r="FK404">
        <v>2015</v>
      </c>
      <c r="FL404">
        <v>2947.26</v>
      </c>
      <c r="FM404" t="s">
        <v>4550</v>
      </c>
      <c r="FN404">
        <v>0.25</v>
      </c>
      <c r="FO404" t="s">
        <v>424</v>
      </c>
      <c r="FP404" t="s">
        <v>425</v>
      </c>
      <c r="FR404">
        <v>22</v>
      </c>
      <c r="FS404">
        <v>5790330</v>
      </c>
      <c r="FT404" t="s">
        <v>4551</v>
      </c>
    </row>
    <row r="405" spans="1:272" x14ac:dyDescent="0.25">
      <c r="A405">
        <v>16485412</v>
      </c>
      <c r="B405">
        <v>404</v>
      </c>
      <c r="C405" t="s">
        <v>393</v>
      </c>
      <c r="D405" t="s">
        <v>394</v>
      </c>
      <c r="F405" t="str">
        <f>"08-3N-24-2380-0023-0032"</f>
        <v>08-3N-24-2380-0023-0032</v>
      </c>
      <c r="H405" t="str">
        <f>"ROBERSON CLIFTON H &amp; ELAINE M"</f>
        <v>ROBERSON CLIFTON H &amp; ELAINE M</v>
      </c>
      <c r="I405" t="str">
        <f>"PO BOX 1138"</f>
        <v>PO BOX 1138</v>
      </c>
      <c r="J405" t="str">
        <f>"WOODBINE GA 31569"</f>
        <v>WOODBINE GA 31569</v>
      </c>
      <c r="K405" t="str">
        <f>"37046 SEVENTH ST W"</f>
        <v>37046 SEVENTH ST W</v>
      </c>
      <c r="L405" t="str">
        <f t="shared" si="124"/>
        <v>HILLIARD FL 32046</v>
      </c>
      <c r="M405" t="str">
        <f>"BLOCK 23 PT LOTS 3 &amp; 4 (S-2) &amp; PT LOT 3 (S-3) BLOCK 25 PT OF LOTS 1 &amp; 2 (S-2) &amp; PT OF LOT 2 (S-3) &amp; PT OF ABANDONED R/W OR 1015 PG 1310 (EX S-5 IN OR 1698/1582) ESMT PT OR 1861/825 TOWN OF HILLIARD"</f>
        <v>BLOCK 23 PT LOTS 3 &amp; 4 (S-2) &amp; PT LOT 3 (S-3) BLOCK 25 PT OF LOTS 1 &amp; 2 (S-2) &amp; PT OF LOT 2 (S-3) &amp; PT OF ABANDONED R/W OR 1015 PG 1310 (EX S-5 IN OR 1698/1582) ESMT PT OR 1861/825 TOWN OF HILLIARD</v>
      </c>
      <c r="N405" t="str">
        <f>""</f>
        <v/>
      </c>
      <c r="O405" t="str">
        <f>"23296"</f>
        <v>23296</v>
      </c>
      <c r="P405" t="str">
        <f t="shared" si="119"/>
        <v>2017</v>
      </c>
      <c r="Q405" t="str">
        <f>""</f>
        <v/>
      </c>
      <c r="R405" t="str">
        <f t="shared" si="123"/>
        <v>N</v>
      </c>
      <c r="S405" t="str">
        <f>""</f>
        <v/>
      </c>
      <c r="T405" t="str">
        <f>"1193.75"</f>
        <v>1193.75</v>
      </c>
      <c r="U405" t="str">
        <f>"85479.00"</f>
        <v>85479.00</v>
      </c>
      <c r="V405" t="str">
        <f>"85479.00"</f>
        <v>85479.00</v>
      </c>
      <c r="W405" t="str">
        <f t="shared" si="120"/>
        <v>2017</v>
      </c>
      <c r="X405" t="str">
        <f>""</f>
        <v/>
      </c>
      <c r="Y405" t="str">
        <f>"1261.56"</f>
        <v>1261.56</v>
      </c>
      <c r="Z405" t="str">
        <f>""</f>
        <v/>
      </c>
      <c r="AA405" t="str">
        <f>"85479.00"</f>
        <v>85479.00</v>
      </c>
      <c r="AB405" t="str">
        <f>"Commercial"</f>
        <v>Commercial</v>
      </c>
      <c r="AC405" t="str">
        <f t="shared" si="121"/>
        <v>0</v>
      </c>
      <c r="AD405" t="str">
        <f>""</f>
        <v/>
      </c>
      <c r="AE405" t="str">
        <f>""</f>
        <v/>
      </c>
      <c r="AF405" t="str">
        <f>"010"</f>
        <v>010</v>
      </c>
      <c r="AG405" t="str">
        <f>"GA"</f>
        <v>GA</v>
      </c>
      <c r="AH405" t="str">
        <f>"160736.00"</f>
        <v>160736.00</v>
      </c>
      <c r="AI405" t="str">
        <f>"80368.00"</f>
        <v>80368.00</v>
      </c>
      <c r="AJ405" t="str">
        <f>"C55-000-586-7389-8"</f>
        <v>C55-000-586-7389-8</v>
      </c>
      <c r="AK405" t="str">
        <f>"6136"</f>
        <v>6136</v>
      </c>
      <c r="AL405">
        <v>2</v>
      </c>
      <c r="AM405">
        <v>472</v>
      </c>
      <c r="AN405">
        <v>1323.04</v>
      </c>
      <c r="AQ405" t="s">
        <v>4552</v>
      </c>
      <c r="AR405" t="s">
        <v>4552</v>
      </c>
      <c r="AS405" t="s">
        <v>4552</v>
      </c>
      <c r="AU405" t="s">
        <v>396</v>
      </c>
      <c r="AV405">
        <v>2017</v>
      </c>
      <c r="AW405" t="str">
        <f>"08-3N-24-2380-0023-0032 "</f>
        <v xml:space="preserve">08-3N-24-2380-0023-0032 </v>
      </c>
      <c r="AX405">
        <v>37046</v>
      </c>
      <c r="AZ405" t="s">
        <v>4553</v>
      </c>
      <c r="BA405" t="s">
        <v>1942</v>
      </c>
      <c r="BB405" t="s">
        <v>4459</v>
      </c>
      <c r="BD405" t="s">
        <v>398</v>
      </c>
      <c r="BE405" t="s">
        <v>393</v>
      </c>
      <c r="BF405">
        <v>32046</v>
      </c>
      <c r="BG405" t="s">
        <v>4554</v>
      </c>
      <c r="BH405" t="s">
        <v>400</v>
      </c>
      <c r="BI405">
        <v>-81.924139420960699</v>
      </c>
      <c r="BJ405">
        <v>30.697786131594501</v>
      </c>
      <c r="BK405" t="s">
        <v>4555</v>
      </c>
      <c r="BM405" t="s">
        <v>4556</v>
      </c>
      <c r="BN405" t="s">
        <v>4557</v>
      </c>
      <c r="BO405">
        <v>31569</v>
      </c>
      <c r="BP405" t="s">
        <v>404</v>
      </c>
      <c r="BQ405">
        <v>1001</v>
      </c>
      <c r="BR405" t="s">
        <v>2391</v>
      </c>
      <c r="BS405">
        <v>8002</v>
      </c>
      <c r="BT405" t="s">
        <v>2392</v>
      </c>
      <c r="BW405">
        <v>148108</v>
      </c>
      <c r="BX405" t="s">
        <v>407</v>
      </c>
      <c r="BY405" t="s">
        <v>4244</v>
      </c>
      <c r="CD405">
        <v>2017</v>
      </c>
      <c r="CE405">
        <v>80368</v>
      </c>
      <c r="CF405">
        <v>5111</v>
      </c>
      <c r="CG405">
        <v>85479</v>
      </c>
      <c r="CH405">
        <v>2017</v>
      </c>
      <c r="CI405">
        <v>80368</v>
      </c>
      <c r="CJ405">
        <v>5111</v>
      </c>
      <c r="CK405">
        <v>85479</v>
      </c>
      <c r="CL405">
        <v>2017</v>
      </c>
      <c r="CM405">
        <v>1193.75</v>
      </c>
      <c r="CN405" s="1">
        <v>42657</v>
      </c>
      <c r="CO405">
        <v>50000</v>
      </c>
      <c r="CV405">
        <v>0</v>
      </c>
      <c r="CZ405" s="1">
        <v>42657</v>
      </c>
      <c r="DA405">
        <v>0</v>
      </c>
      <c r="DD405" t="s">
        <v>398</v>
      </c>
      <c r="DE405">
        <v>23</v>
      </c>
      <c r="DF405">
        <v>3</v>
      </c>
      <c r="DG405">
        <v>8</v>
      </c>
      <c r="DL405">
        <v>50400</v>
      </c>
      <c r="DM405" t="s">
        <v>4465</v>
      </c>
      <c r="DO405" t="s">
        <v>4558</v>
      </c>
      <c r="DP405">
        <v>0</v>
      </c>
      <c r="DQ405">
        <v>1</v>
      </c>
      <c r="DR405" t="s">
        <v>1479</v>
      </c>
      <c r="EP405" t="s">
        <v>421</v>
      </c>
      <c r="EQ405" t="s">
        <v>422</v>
      </c>
      <c r="ER405">
        <v>2</v>
      </c>
      <c r="ES405">
        <v>0</v>
      </c>
      <c r="ET405">
        <v>2681.18</v>
      </c>
      <c r="EU405">
        <v>146.56</v>
      </c>
      <c r="EV405">
        <v>2827.74</v>
      </c>
      <c r="EW405" s="2">
        <v>43222</v>
      </c>
      <c r="EX405" s="1">
        <v>42879</v>
      </c>
      <c r="EY405">
        <v>2016</v>
      </c>
      <c r="EZ405">
        <v>1340.59</v>
      </c>
      <c r="FA405" t="s">
        <v>4559</v>
      </c>
      <c r="FB405">
        <v>0.25</v>
      </c>
      <c r="FC405" t="s">
        <v>424</v>
      </c>
      <c r="FD405" t="s">
        <v>454</v>
      </c>
      <c r="FF405">
        <v>12</v>
      </c>
      <c r="FG405">
        <v>2851116</v>
      </c>
      <c r="FH405" t="s">
        <v>480</v>
      </c>
      <c r="FJ405" s="1">
        <v>42879</v>
      </c>
      <c r="FK405">
        <v>2016</v>
      </c>
      <c r="FL405">
        <v>1340.59</v>
      </c>
      <c r="FM405" t="s">
        <v>4559</v>
      </c>
      <c r="FN405">
        <v>0.25</v>
      </c>
      <c r="FO405" t="s">
        <v>424</v>
      </c>
      <c r="FP405" t="s">
        <v>454</v>
      </c>
      <c r="FR405">
        <v>12</v>
      </c>
      <c r="FS405">
        <v>5347616</v>
      </c>
      <c r="FT405" t="s">
        <v>4560</v>
      </c>
    </row>
    <row r="406" spans="1:272" x14ac:dyDescent="0.25">
      <c r="A406">
        <v>16485413</v>
      </c>
      <c r="B406">
        <v>405</v>
      </c>
      <c r="C406" t="s">
        <v>393</v>
      </c>
      <c r="D406" t="s">
        <v>394</v>
      </c>
      <c r="F406" t="str">
        <f>"08-3N-24-2380-0023-0034"</f>
        <v>08-3N-24-2380-0023-0034</v>
      </c>
      <c r="H406" t="str">
        <f>"ROBERSON CLIFTON H &amp; ELAINE D"</f>
        <v>ROBERSON CLIFTON H &amp; ELAINE D</v>
      </c>
      <c r="I406" t="str">
        <f>"PO BOX 1138"</f>
        <v>PO BOX 1138</v>
      </c>
      <c r="J406" t="str">
        <f>"WOODBINE GA 31569"</f>
        <v>WOODBINE GA 31569</v>
      </c>
      <c r="K406" t="str">
        <f>"US HWY 1"</f>
        <v>US HWY 1</v>
      </c>
      <c r="L406" t="str">
        <f t="shared" si="124"/>
        <v>HILLIARD FL 32046</v>
      </c>
      <c r="M406" t="str">
        <f>"BLOCK 23 PT OF LOTS 3 &amp; 4 IN OR 1671/1569 (EX PT OR 1698/1582 S-6) TOWN OF HILLIARD"</f>
        <v>BLOCK 23 PT OF LOTS 3 &amp; 4 IN OR 1671/1569 (EX PT OR 1698/1582 S-6) TOWN OF HILLIARD</v>
      </c>
      <c r="N406" t="str">
        <f>""</f>
        <v/>
      </c>
      <c r="O406" t="str">
        <f>"23298"</f>
        <v>23298</v>
      </c>
      <c r="P406" t="str">
        <f t="shared" si="119"/>
        <v>2017</v>
      </c>
      <c r="Q406" t="str">
        <f>""</f>
        <v/>
      </c>
      <c r="R406" t="str">
        <f t="shared" si="123"/>
        <v>N</v>
      </c>
      <c r="S406" t="str">
        <f>""</f>
        <v/>
      </c>
      <c r="T406" t="str">
        <f>"258.55"</f>
        <v>258.55</v>
      </c>
      <c r="U406" t="str">
        <f>"18514.00"</f>
        <v>18514.00</v>
      </c>
      <c r="V406" t="str">
        <f>"18514.00"</f>
        <v>18514.00</v>
      </c>
      <c r="W406" t="str">
        <f t="shared" si="120"/>
        <v>2017</v>
      </c>
      <c r="X406" t="str">
        <f>"55.00"</f>
        <v>55.00</v>
      </c>
      <c r="Y406" t="str">
        <f>"298.31"</f>
        <v>298.31</v>
      </c>
      <c r="Z406" t="str">
        <f>""</f>
        <v/>
      </c>
      <c r="AA406" t="str">
        <f>"18514.00"</f>
        <v>18514.00</v>
      </c>
      <c r="AB406" t="str">
        <f>"Commercial"</f>
        <v>Commercial</v>
      </c>
      <c r="AC406" t="str">
        <f t="shared" si="121"/>
        <v>0</v>
      </c>
      <c r="AD406" t="str">
        <f>""</f>
        <v/>
      </c>
      <c r="AE406" t="str">
        <f>""</f>
        <v/>
      </c>
      <c r="AF406" t="str">
        <f>"010"</f>
        <v>010</v>
      </c>
      <c r="AG406" t="str">
        <f>"GA"</f>
        <v>GA</v>
      </c>
      <c r="AH406" t="str">
        <f>"11304.00"</f>
        <v>11304.00</v>
      </c>
      <c r="AI406" t="str">
        <f>"5652.00"</f>
        <v>5652.00</v>
      </c>
      <c r="AJ406" t="str">
        <f>"C55-000-586-7391-4"</f>
        <v>C55-000-586-7391-4</v>
      </c>
      <c r="AK406" t="str">
        <f>"6137"</f>
        <v>6137</v>
      </c>
      <c r="AL406">
        <v>2</v>
      </c>
      <c r="AM406">
        <v>473</v>
      </c>
      <c r="AN406">
        <v>311.63</v>
      </c>
      <c r="AQ406" t="s">
        <v>4561</v>
      </c>
      <c r="AR406" t="s">
        <v>4561</v>
      </c>
      <c r="AS406" t="s">
        <v>4561</v>
      </c>
      <c r="AU406" t="s">
        <v>396</v>
      </c>
      <c r="AV406">
        <v>2017</v>
      </c>
      <c r="AW406" t="str">
        <f>"08-3N-24-2380-0023-0034 "</f>
        <v xml:space="preserve">08-3N-24-2380-0023-0034 </v>
      </c>
      <c r="AZ406" t="s">
        <v>2386</v>
      </c>
      <c r="BD406" t="s">
        <v>398</v>
      </c>
      <c r="BE406" t="s">
        <v>393</v>
      </c>
      <c r="BF406">
        <v>32046</v>
      </c>
      <c r="BG406" t="s">
        <v>2386</v>
      </c>
      <c r="BH406" t="s">
        <v>400</v>
      </c>
      <c r="BI406">
        <v>-81.923612443918501</v>
      </c>
      <c r="BJ406">
        <v>30.697489938514298</v>
      </c>
      <c r="BK406" t="s">
        <v>4562</v>
      </c>
      <c r="BM406" t="s">
        <v>4556</v>
      </c>
      <c r="BN406" t="s">
        <v>4557</v>
      </c>
      <c r="BO406">
        <v>31569</v>
      </c>
      <c r="BP406" t="s">
        <v>404</v>
      </c>
      <c r="BQ406">
        <v>1001</v>
      </c>
      <c r="BR406" t="s">
        <v>2391</v>
      </c>
      <c r="BS406">
        <v>8002</v>
      </c>
      <c r="BT406" t="s">
        <v>2392</v>
      </c>
      <c r="BW406">
        <v>11304</v>
      </c>
      <c r="BX406" t="s">
        <v>407</v>
      </c>
      <c r="BY406" t="s">
        <v>4244</v>
      </c>
      <c r="CD406">
        <v>2017</v>
      </c>
      <c r="CE406">
        <v>5652</v>
      </c>
      <c r="CF406">
        <v>12862</v>
      </c>
      <c r="CG406">
        <v>18514</v>
      </c>
      <c r="CH406">
        <v>2017</v>
      </c>
      <c r="CI406">
        <v>5652</v>
      </c>
      <c r="CJ406">
        <v>12862</v>
      </c>
      <c r="CK406">
        <v>18514</v>
      </c>
      <c r="CL406">
        <v>2017</v>
      </c>
      <c r="CM406">
        <v>258.55</v>
      </c>
      <c r="CN406" s="1">
        <v>42657</v>
      </c>
      <c r="CO406">
        <v>50000</v>
      </c>
      <c r="CV406">
        <v>0</v>
      </c>
      <c r="CZ406" s="1">
        <v>42657</v>
      </c>
      <c r="DA406">
        <v>0</v>
      </c>
      <c r="DD406" t="s">
        <v>398</v>
      </c>
      <c r="DG406">
        <v>8</v>
      </c>
      <c r="DL406">
        <v>50400</v>
      </c>
      <c r="DM406" t="s">
        <v>4465</v>
      </c>
      <c r="DO406" t="s">
        <v>4563</v>
      </c>
      <c r="DP406">
        <v>0</v>
      </c>
      <c r="DQ406">
        <v>1</v>
      </c>
      <c r="DR406" t="s">
        <v>1479</v>
      </c>
      <c r="EP406" t="s">
        <v>421</v>
      </c>
      <c r="EQ406" t="s">
        <v>422</v>
      </c>
      <c r="ER406">
        <v>1</v>
      </c>
      <c r="ES406">
        <v>0</v>
      </c>
      <c r="ET406">
        <v>307.39</v>
      </c>
      <c r="EU406">
        <v>49.28</v>
      </c>
      <c r="EV406">
        <v>356.67</v>
      </c>
      <c r="EW406" s="2">
        <v>43222</v>
      </c>
      <c r="EX406" s="1">
        <v>42879</v>
      </c>
      <c r="EY406">
        <v>2016</v>
      </c>
      <c r="EZ406">
        <v>307.39</v>
      </c>
      <c r="FA406" t="s">
        <v>4564</v>
      </c>
      <c r="FB406">
        <v>14</v>
      </c>
      <c r="FC406" t="s">
        <v>424</v>
      </c>
      <c r="FD406" t="s">
        <v>454</v>
      </c>
      <c r="FF406">
        <v>12</v>
      </c>
      <c r="FG406">
        <v>10021</v>
      </c>
      <c r="FH406" t="s">
        <v>597</v>
      </c>
    </row>
    <row r="407" spans="1:272" x14ac:dyDescent="0.25">
      <c r="A407">
        <v>16485414</v>
      </c>
      <c r="B407">
        <v>406</v>
      </c>
      <c r="C407" t="s">
        <v>393</v>
      </c>
      <c r="D407" t="s">
        <v>394</v>
      </c>
      <c r="F407" t="str">
        <f>"08-3N-24-2380-0023-0035"</f>
        <v>08-3N-24-2380-0023-0035</v>
      </c>
      <c r="H407" t="str">
        <f>"HADDOCK RODNEY DEWAYNE"</f>
        <v>HADDOCK RODNEY DEWAYNE</v>
      </c>
      <c r="I407" t="str">
        <f>"27359 GEIGER RD"</f>
        <v>27359 GEIGER RD</v>
      </c>
      <c r="J407" t="str">
        <f>"HILLIARD FL 32046"</f>
        <v>HILLIARD FL 32046</v>
      </c>
      <c r="K407" t="str">
        <f>"552035 US HWY 1"</f>
        <v>552035 US HWY 1</v>
      </c>
      <c r="L407" t="str">
        <f t="shared" si="124"/>
        <v>HILLIARD FL 32046</v>
      </c>
      <c r="M407" t="str">
        <f>"BLK 23 PT LOT 4 &amp; ABND 7TH ST IN OR 2077/851 TOWN OF HILLIARD S/D PBK 1/28"</f>
        <v>BLK 23 PT LOT 4 &amp; ABND 7TH ST IN OR 2077/851 TOWN OF HILLIARD S/D PBK 1/28</v>
      </c>
      <c r="N407" t="str">
        <f>""</f>
        <v/>
      </c>
      <c r="O407" t="str">
        <f>"23299"</f>
        <v>23299</v>
      </c>
      <c r="P407" t="str">
        <f t="shared" si="119"/>
        <v>2017</v>
      </c>
      <c r="Q407" t="str">
        <f>""</f>
        <v/>
      </c>
      <c r="R407" t="str">
        <f t="shared" si="123"/>
        <v>N</v>
      </c>
      <c r="S407" t="str">
        <f>""</f>
        <v/>
      </c>
      <c r="T407" t="str">
        <f>"1997.51"</f>
        <v>1997.51</v>
      </c>
      <c r="U407" t="str">
        <f>"143033.00"</f>
        <v>143033.00</v>
      </c>
      <c r="V407" t="str">
        <f>"143033.00"</f>
        <v>143033.00</v>
      </c>
      <c r="W407" t="str">
        <f t="shared" si="120"/>
        <v>2017</v>
      </c>
      <c r="X407" t="str">
        <f>""</f>
        <v/>
      </c>
      <c r="Y407" t="str">
        <f>"2089.44"</f>
        <v>2089.44</v>
      </c>
      <c r="Z407" t="str">
        <f>""</f>
        <v/>
      </c>
      <c r="AA407" t="str">
        <f>"143033.00"</f>
        <v>143033.00</v>
      </c>
      <c r="AB407" t="str">
        <f>"Commercial"</f>
        <v>Commercial</v>
      </c>
      <c r="AC407" t="str">
        <f t="shared" si="121"/>
        <v>0</v>
      </c>
      <c r="AD407" t="str">
        <f>"5"</f>
        <v>5</v>
      </c>
      <c r="AE407" t="str">
        <f>"STEEL FRAME/INCOMBUSTIBLE WALLS/ROOF"</f>
        <v>STEEL FRAME/INCOMBUSTIBLE WALLS/ROOF</v>
      </c>
      <c r="AF407" t="str">
        <f>"027"</f>
        <v>027</v>
      </c>
      <c r="AG407" t="str">
        <f>"FL"</f>
        <v>FL</v>
      </c>
      <c r="AH407" t="str">
        <f>"30880.00"</f>
        <v>30880.00</v>
      </c>
      <c r="AI407" t="str">
        <f>"61760.00"</f>
        <v>61760.00</v>
      </c>
      <c r="AJ407" t="str">
        <f>"C55-001-038-9242-8"</f>
        <v>C55-001-038-9242-8</v>
      </c>
      <c r="AK407" t="str">
        <f>"6138"</f>
        <v>6138</v>
      </c>
      <c r="AL407">
        <v>2</v>
      </c>
      <c r="AM407">
        <v>474</v>
      </c>
      <c r="AN407">
        <v>2192.31</v>
      </c>
      <c r="AQ407" t="s">
        <v>4565</v>
      </c>
      <c r="AR407" t="s">
        <v>4565</v>
      </c>
      <c r="AS407" t="s">
        <v>4565</v>
      </c>
      <c r="AU407" t="s">
        <v>396</v>
      </c>
      <c r="AV407">
        <v>2017</v>
      </c>
      <c r="AW407" t="str">
        <f>"08-3N-24-2380-0023-0035 "</f>
        <v xml:space="preserve">08-3N-24-2380-0023-0035 </v>
      </c>
      <c r="AX407">
        <v>552035</v>
      </c>
      <c r="AZ407" t="s">
        <v>2386</v>
      </c>
      <c r="BD407" t="s">
        <v>398</v>
      </c>
      <c r="BE407" t="s">
        <v>393</v>
      </c>
      <c r="BF407">
        <v>32046</v>
      </c>
      <c r="BG407" t="s">
        <v>4566</v>
      </c>
      <c r="BH407" t="s">
        <v>400</v>
      </c>
      <c r="BI407">
        <v>-81.923142418222795</v>
      </c>
      <c r="BJ407">
        <v>30.6979790323979</v>
      </c>
      <c r="BK407" t="s">
        <v>2681</v>
      </c>
      <c r="BM407" t="s">
        <v>2414</v>
      </c>
      <c r="BN407" t="s">
        <v>403</v>
      </c>
      <c r="BO407">
        <v>32046</v>
      </c>
      <c r="BP407" t="s">
        <v>404</v>
      </c>
      <c r="BQ407">
        <v>2700</v>
      </c>
      <c r="BR407" t="s">
        <v>4567</v>
      </c>
      <c r="BS407">
        <v>2023</v>
      </c>
      <c r="BT407" t="s">
        <v>4568</v>
      </c>
      <c r="BW407">
        <v>30880</v>
      </c>
      <c r="BX407" t="s">
        <v>407</v>
      </c>
      <c r="BY407" t="s">
        <v>4244</v>
      </c>
      <c r="BZ407">
        <v>5</v>
      </c>
      <c r="CA407">
        <v>1985</v>
      </c>
      <c r="CB407">
        <v>1</v>
      </c>
      <c r="CD407">
        <v>2017</v>
      </c>
      <c r="CE407">
        <v>61760</v>
      </c>
      <c r="CF407">
        <v>81273</v>
      </c>
      <c r="CG407">
        <v>143033</v>
      </c>
      <c r="CH407">
        <v>2017</v>
      </c>
      <c r="CI407">
        <v>61760</v>
      </c>
      <c r="CJ407">
        <v>81273</v>
      </c>
      <c r="CK407">
        <v>143033</v>
      </c>
      <c r="CL407">
        <v>2017</v>
      </c>
      <c r="CM407">
        <v>1997.51</v>
      </c>
      <c r="CN407" s="1">
        <v>42657</v>
      </c>
      <c r="CO407">
        <v>50000</v>
      </c>
      <c r="CV407">
        <v>0</v>
      </c>
      <c r="CZ407" s="1">
        <v>42657</v>
      </c>
      <c r="DA407">
        <v>0</v>
      </c>
      <c r="DD407" t="s">
        <v>398</v>
      </c>
      <c r="DF407">
        <v>4</v>
      </c>
      <c r="DG407">
        <v>8</v>
      </c>
      <c r="DL407">
        <v>50400</v>
      </c>
      <c r="DM407" t="s">
        <v>4465</v>
      </c>
      <c r="DO407" t="s">
        <v>4569</v>
      </c>
      <c r="DP407">
        <v>0</v>
      </c>
      <c r="DQ407">
        <v>1</v>
      </c>
      <c r="DR407" t="s">
        <v>1479</v>
      </c>
      <c r="EP407" t="s">
        <v>421</v>
      </c>
      <c r="EQ407" t="s">
        <v>422</v>
      </c>
      <c r="ER407">
        <v>2</v>
      </c>
      <c r="ES407">
        <v>0</v>
      </c>
      <c r="ET407">
        <v>3896.94</v>
      </c>
      <c r="EU407">
        <v>207.35</v>
      </c>
      <c r="EV407">
        <v>4104.29</v>
      </c>
      <c r="EW407" s="2">
        <v>43222</v>
      </c>
      <c r="EX407" s="1">
        <v>42879</v>
      </c>
      <c r="EY407">
        <v>2016</v>
      </c>
      <c r="EZ407">
        <v>1948.47</v>
      </c>
      <c r="FA407" t="s">
        <v>4570</v>
      </c>
      <c r="FB407">
        <v>0.25</v>
      </c>
      <c r="FC407" t="s">
        <v>424</v>
      </c>
      <c r="FD407" t="s">
        <v>454</v>
      </c>
      <c r="FF407">
        <v>12</v>
      </c>
      <c r="FG407">
        <v>7400234</v>
      </c>
      <c r="FH407" t="s">
        <v>426</v>
      </c>
      <c r="FJ407" s="1">
        <v>42879</v>
      </c>
      <c r="FK407">
        <v>2016</v>
      </c>
      <c r="FL407">
        <v>1948.47</v>
      </c>
      <c r="FM407" t="s">
        <v>4570</v>
      </c>
      <c r="FN407">
        <v>0.25</v>
      </c>
      <c r="FO407" t="s">
        <v>424</v>
      </c>
      <c r="FP407" t="s">
        <v>454</v>
      </c>
      <c r="FR407">
        <v>12</v>
      </c>
      <c r="FS407">
        <v>7425194</v>
      </c>
      <c r="FT407" t="s">
        <v>4571</v>
      </c>
    </row>
    <row r="408" spans="1:272" x14ac:dyDescent="0.25">
      <c r="A408">
        <v>16485415</v>
      </c>
      <c r="B408">
        <v>407</v>
      </c>
      <c r="C408" t="s">
        <v>393</v>
      </c>
      <c r="D408" t="s">
        <v>394</v>
      </c>
      <c r="F408" t="str">
        <f>"08-3N-24-2380-0025-0011"</f>
        <v>08-3N-24-2380-0025-0011</v>
      </c>
      <c r="H408" t="str">
        <f>"LIBBY ARTHUR DALE &amp; JANICE P"</f>
        <v>LIBBY ARTHUR DALE &amp; JANICE P</v>
      </c>
      <c r="I408" t="str">
        <f>"552073 US HWY 1 NORTH"</f>
        <v>552073 US HWY 1 NORTH</v>
      </c>
      <c r="J408" t="str">
        <f>"HILLIARD FL 32046"</f>
        <v>HILLIARD FL 32046</v>
      </c>
      <c r="K408" t="str">
        <f>"552085 US HY 1"</f>
        <v>552085 US HY 1</v>
      </c>
      <c r="L408" t="str">
        <f t="shared" si="124"/>
        <v>HILLIARD FL 32046</v>
      </c>
      <c r="M408" t="str">
        <f>"BLK 25 PT OF LOTS 1 2 &amp; 3 IN OR 2093/186 (EX UTIL ESMT IN OR 1861/825) TOWN OF HILLIARD PBK 1/28 {R672404 &amp; R672405}"</f>
        <v>BLK 25 PT OF LOTS 1 2 &amp; 3 IN OR 2093/186 (EX UTIL ESMT IN OR 1861/825) TOWN OF HILLIARD PBK 1/28 {R672404 &amp; R672405}</v>
      </c>
      <c r="N408" t="str">
        <f>""</f>
        <v/>
      </c>
      <c r="O408" t="str">
        <f>"23306"</f>
        <v>23306</v>
      </c>
      <c r="P408" t="str">
        <f t="shared" si="119"/>
        <v>2017</v>
      </c>
      <c r="Q408" t="str">
        <f>""</f>
        <v/>
      </c>
      <c r="R408" t="str">
        <f t="shared" si="123"/>
        <v>N</v>
      </c>
      <c r="S408" t="str">
        <f>""</f>
        <v/>
      </c>
      <c r="T408" t="str">
        <f>"255.49"</f>
        <v>255.49</v>
      </c>
      <c r="U408" t="str">
        <f>"18295.00"</f>
        <v>18295.00</v>
      </c>
      <c r="V408" t="str">
        <f>"18295.00"</f>
        <v>18295.00</v>
      </c>
      <c r="W408" t="str">
        <f t="shared" si="120"/>
        <v>2017</v>
      </c>
      <c r="X408" t="str">
        <f>""</f>
        <v/>
      </c>
      <c r="Y408" t="str">
        <f>"295.15"</f>
        <v>295.15</v>
      </c>
      <c r="Z408" t="str">
        <f>""</f>
        <v/>
      </c>
      <c r="AA408" t="str">
        <f>"18295.00"</f>
        <v>18295.00</v>
      </c>
      <c r="AB408" t="str">
        <f t="shared" ref="AB408:AB429" si="125">"Residential"</f>
        <v>Residential</v>
      </c>
      <c r="AC408" t="str">
        <f t="shared" si="121"/>
        <v>0</v>
      </c>
      <c r="AD408" t="str">
        <f>""</f>
        <v/>
      </c>
      <c r="AE408" t="str">
        <f>""</f>
        <v/>
      </c>
      <c r="AF408" t="str">
        <f>"000"</f>
        <v>000</v>
      </c>
      <c r="AG408" t="str">
        <f>"FL"</f>
        <v>FL</v>
      </c>
      <c r="AH408" t="str">
        <f>"73180.00"</f>
        <v>73180.00</v>
      </c>
      <c r="AI408" t="str">
        <f>"18295.00"</f>
        <v>18295.00</v>
      </c>
      <c r="AJ408" t="str">
        <f>"C55-000-586-7397-1"</f>
        <v>C55-000-586-7397-1</v>
      </c>
      <c r="AK408" t="str">
        <f>"6144"</f>
        <v>6144</v>
      </c>
      <c r="AL408">
        <v>2</v>
      </c>
      <c r="AM408">
        <v>475</v>
      </c>
      <c r="AN408">
        <v>308.31</v>
      </c>
      <c r="AQ408" t="s">
        <v>4572</v>
      </c>
      <c r="AR408" t="s">
        <v>4572</v>
      </c>
      <c r="AS408" t="s">
        <v>4572</v>
      </c>
      <c r="AU408" t="s">
        <v>396</v>
      </c>
      <c r="AV408">
        <v>2017</v>
      </c>
      <c r="AW408" t="str">
        <f>"08-3N-24-2380-0025-0011 "</f>
        <v xml:space="preserve">08-3N-24-2380-0025-0011 </v>
      </c>
      <c r="AX408">
        <v>552085</v>
      </c>
      <c r="AZ408" t="s">
        <v>3684</v>
      </c>
      <c r="BC408">
        <v>1</v>
      </c>
      <c r="BD408" t="s">
        <v>398</v>
      </c>
      <c r="BE408" t="s">
        <v>393</v>
      </c>
      <c r="BF408">
        <v>32046</v>
      </c>
      <c r="BG408" t="s">
        <v>4573</v>
      </c>
      <c r="BH408" t="s">
        <v>400</v>
      </c>
      <c r="BI408">
        <v>-81.924589117681094</v>
      </c>
      <c r="BJ408">
        <v>30.698390933874599</v>
      </c>
      <c r="BK408" t="s">
        <v>4280</v>
      </c>
      <c r="BM408" t="s">
        <v>4281</v>
      </c>
      <c r="BN408" t="s">
        <v>403</v>
      </c>
      <c r="BO408">
        <v>32046</v>
      </c>
      <c r="BP408" t="s">
        <v>404</v>
      </c>
      <c r="BQ408">
        <v>0</v>
      </c>
      <c r="BR408" t="s">
        <v>491</v>
      </c>
      <c r="BS408">
        <v>8001</v>
      </c>
      <c r="BT408" t="s">
        <v>492</v>
      </c>
      <c r="BW408">
        <v>73180</v>
      </c>
      <c r="BX408" t="s">
        <v>407</v>
      </c>
      <c r="BY408" t="s">
        <v>4244</v>
      </c>
      <c r="CD408">
        <v>2017</v>
      </c>
      <c r="CE408">
        <v>18295</v>
      </c>
      <c r="CG408">
        <v>18295</v>
      </c>
      <c r="CH408">
        <v>2017</v>
      </c>
      <c r="CI408">
        <v>18295</v>
      </c>
      <c r="CK408">
        <v>18295</v>
      </c>
      <c r="CL408">
        <v>2017</v>
      </c>
      <c r="CM408">
        <v>255.49</v>
      </c>
      <c r="CN408" s="1">
        <v>42430</v>
      </c>
      <c r="CO408">
        <v>15000</v>
      </c>
      <c r="CV408">
        <v>44788</v>
      </c>
      <c r="CX408" t="s">
        <v>675</v>
      </c>
      <c r="CZ408" s="1">
        <v>42430</v>
      </c>
      <c r="DA408">
        <v>0</v>
      </c>
      <c r="DD408" t="s">
        <v>398</v>
      </c>
      <c r="DG408">
        <v>8</v>
      </c>
      <c r="DL408">
        <v>50400</v>
      </c>
      <c r="DM408" t="s">
        <v>4465</v>
      </c>
      <c r="DO408" t="s">
        <v>4574</v>
      </c>
      <c r="DP408">
        <v>0</v>
      </c>
      <c r="DQ408">
        <v>1</v>
      </c>
      <c r="DR408" t="s">
        <v>411</v>
      </c>
      <c r="EP408" t="s">
        <v>421</v>
      </c>
      <c r="EQ408" t="s">
        <v>422</v>
      </c>
      <c r="ER408">
        <v>1</v>
      </c>
      <c r="ES408">
        <v>0</v>
      </c>
      <c r="ET408">
        <v>308.23</v>
      </c>
      <c r="EU408">
        <v>21.66</v>
      </c>
      <c r="EV408">
        <v>329.89</v>
      </c>
      <c r="EW408" s="2">
        <v>43222</v>
      </c>
      <c r="EX408" s="1">
        <v>42879</v>
      </c>
      <c r="EY408">
        <v>2016</v>
      </c>
      <c r="EZ408">
        <v>308.23</v>
      </c>
      <c r="FA408" t="s">
        <v>4575</v>
      </c>
      <c r="FB408">
        <v>4.75</v>
      </c>
      <c r="FC408" t="s">
        <v>424</v>
      </c>
      <c r="FD408" t="s">
        <v>454</v>
      </c>
      <c r="FF408">
        <v>12</v>
      </c>
      <c r="FG408">
        <v>10021</v>
      </c>
      <c r="FH408" t="s">
        <v>597</v>
      </c>
    </row>
    <row r="409" spans="1:272" x14ac:dyDescent="0.25">
      <c r="A409">
        <v>16485416</v>
      </c>
      <c r="B409">
        <v>408</v>
      </c>
      <c r="C409" t="s">
        <v>393</v>
      </c>
      <c r="D409" t="s">
        <v>394</v>
      </c>
      <c r="F409" t="str">
        <f>"08-3N-24-2380-0025-0013"</f>
        <v>08-3N-24-2380-0025-0013</v>
      </c>
      <c r="H409" t="str">
        <f>"HADDOCK TIMBER INC &amp; RODNEY D HADDOCK"</f>
        <v>HADDOCK TIMBER INC &amp; RODNEY D HADDOCK</v>
      </c>
      <c r="I409" t="str">
        <f>"27359 GIEGER RD"</f>
        <v>27359 GIEGER RD</v>
      </c>
      <c r="J409" t="str">
        <f>"YULEE FL 32097"</f>
        <v>YULEE FL 32097</v>
      </c>
      <c r="K409" t="str">
        <f>"552047 US HWY 1"</f>
        <v>552047 US HWY 1</v>
      </c>
      <c r="L409" t="str">
        <f t="shared" si="124"/>
        <v>HILLIARD FL 32046</v>
      </c>
      <c r="M409" t="str">
        <f>"BLOCK 25 PT OF LOT 1 &amp; PT OF ABANDONED R/W &amp; PT OF BLOCK 23 LOT 4 IN OR 2122/339 TOWN OF HILLIARD"</f>
        <v>BLOCK 25 PT OF LOT 1 &amp; PT OF ABANDONED R/W &amp; PT OF BLOCK 23 LOT 4 IN OR 2122/339 TOWN OF HILLIARD</v>
      </c>
      <c r="N409" t="str">
        <f>""</f>
        <v/>
      </c>
      <c r="O409" t="str">
        <f>"23308"</f>
        <v>23308</v>
      </c>
      <c r="P409" t="str">
        <f t="shared" si="119"/>
        <v>2017</v>
      </c>
      <c r="Q409" t="str">
        <f>""</f>
        <v/>
      </c>
      <c r="R409" t="str">
        <f t="shared" si="123"/>
        <v>N</v>
      </c>
      <c r="S409" t="str">
        <f>""</f>
        <v/>
      </c>
      <c r="T409" t="str">
        <f>"1315.91"</f>
        <v>1315.91</v>
      </c>
      <c r="U409" t="str">
        <f>"94225.00"</f>
        <v>94225.00</v>
      </c>
      <c r="V409" t="str">
        <f>"94225.00"</f>
        <v>94225.00</v>
      </c>
      <c r="W409" t="str">
        <f t="shared" si="120"/>
        <v>2017</v>
      </c>
      <c r="X409" t="str">
        <f>""</f>
        <v/>
      </c>
      <c r="Y409" t="str">
        <f>"1387.39"</f>
        <v>1387.39</v>
      </c>
      <c r="Z409" t="str">
        <f>""</f>
        <v/>
      </c>
      <c r="AA409" t="str">
        <f>"94225.00"</f>
        <v>94225.00</v>
      </c>
      <c r="AB409" t="str">
        <f t="shared" si="125"/>
        <v>Residential</v>
      </c>
      <c r="AC409" t="str">
        <f t="shared" si="121"/>
        <v>0</v>
      </c>
      <c r="AD409" t="str">
        <f>"4"</f>
        <v>4</v>
      </c>
      <c r="AE409" t="str">
        <f>"WOOD (INCLUDE STEEL STUDS)"</f>
        <v>WOOD (INCLUDE STEEL STUDS)</v>
      </c>
      <c r="AF409" t="str">
        <f>"001"</f>
        <v>001</v>
      </c>
      <c r="AG409" t="str">
        <f>"FL"</f>
        <v>FL</v>
      </c>
      <c r="AH409" t="str">
        <f>"22368.00"</f>
        <v>22368.00</v>
      </c>
      <c r="AI409" t="str">
        <f>"44736.00"</f>
        <v>44736.00</v>
      </c>
      <c r="AJ409" t="str">
        <f>"C55-000-586-7399-7"</f>
        <v>C55-000-586-7399-7</v>
      </c>
      <c r="AK409" t="str">
        <f>"6145"</f>
        <v>6145</v>
      </c>
      <c r="AL409">
        <v>2</v>
      </c>
      <c r="AM409">
        <v>476</v>
      </c>
      <c r="AN409">
        <v>1455.16</v>
      </c>
      <c r="AQ409" t="s">
        <v>4576</v>
      </c>
      <c r="AR409" t="s">
        <v>4576</v>
      </c>
      <c r="AS409" t="s">
        <v>4576</v>
      </c>
      <c r="AU409" t="s">
        <v>396</v>
      </c>
      <c r="AV409">
        <v>2017</v>
      </c>
      <c r="AW409" t="str">
        <f>"08-3N-24-2380-0025-0013 "</f>
        <v xml:space="preserve">08-3N-24-2380-0025-0013 </v>
      </c>
      <c r="AX409">
        <v>552047</v>
      </c>
      <c r="AZ409" t="s">
        <v>2386</v>
      </c>
      <c r="BD409" t="s">
        <v>398</v>
      </c>
      <c r="BE409" t="s">
        <v>393</v>
      </c>
      <c r="BF409">
        <v>32046</v>
      </c>
      <c r="BG409" t="s">
        <v>4577</v>
      </c>
      <c r="BH409" t="s">
        <v>400</v>
      </c>
      <c r="BI409">
        <v>-81.923416172030301</v>
      </c>
      <c r="BJ409">
        <v>30.698385810467201</v>
      </c>
      <c r="BK409" t="s">
        <v>2413</v>
      </c>
      <c r="BL409" t="s">
        <v>4578</v>
      </c>
      <c r="BM409" t="s">
        <v>2414</v>
      </c>
      <c r="BN409" t="s">
        <v>1778</v>
      </c>
      <c r="BO409">
        <v>32097</v>
      </c>
      <c r="BP409" t="s">
        <v>404</v>
      </c>
      <c r="BQ409">
        <v>100</v>
      </c>
      <c r="BR409" t="s">
        <v>514</v>
      </c>
      <c r="BS409">
        <v>1001</v>
      </c>
      <c r="BT409" t="s">
        <v>515</v>
      </c>
      <c r="BW409">
        <v>22368</v>
      </c>
      <c r="BX409" t="s">
        <v>407</v>
      </c>
      <c r="BY409" t="s">
        <v>4244</v>
      </c>
      <c r="BZ409">
        <v>4</v>
      </c>
      <c r="CA409">
        <v>1950</v>
      </c>
      <c r="CB409">
        <v>1</v>
      </c>
      <c r="CC409">
        <v>1</v>
      </c>
      <c r="CD409">
        <v>2017</v>
      </c>
      <c r="CE409">
        <v>44736</v>
      </c>
      <c r="CF409">
        <v>49489</v>
      </c>
      <c r="CG409">
        <v>94225</v>
      </c>
      <c r="CH409">
        <v>2017</v>
      </c>
      <c r="CI409">
        <v>44736</v>
      </c>
      <c r="CJ409">
        <v>49489</v>
      </c>
      <c r="CK409">
        <v>94225</v>
      </c>
      <c r="CL409">
        <v>2017</v>
      </c>
      <c r="CM409">
        <v>1315.91</v>
      </c>
      <c r="CN409" s="1">
        <v>42879</v>
      </c>
      <c r="CO409">
        <v>55000</v>
      </c>
      <c r="CV409">
        <v>0</v>
      </c>
      <c r="CZ409" s="1">
        <v>42879</v>
      </c>
      <c r="DA409">
        <v>0</v>
      </c>
      <c r="DD409" t="s">
        <v>398</v>
      </c>
      <c r="DE409">
        <v>25</v>
      </c>
      <c r="DF409">
        <v>1</v>
      </c>
      <c r="DG409">
        <v>8</v>
      </c>
      <c r="DL409">
        <v>50400</v>
      </c>
      <c r="DM409" t="s">
        <v>4465</v>
      </c>
      <c r="DO409" t="s">
        <v>4579</v>
      </c>
      <c r="DP409">
        <v>0</v>
      </c>
      <c r="DQ409">
        <v>1</v>
      </c>
      <c r="DR409" t="s">
        <v>1479</v>
      </c>
    </row>
    <row r="410" spans="1:272" x14ac:dyDescent="0.25">
      <c r="A410">
        <v>16485417</v>
      </c>
      <c r="B410">
        <v>409</v>
      </c>
      <c r="C410" t="s">
        <v>393</v>
      </c>
      <c r="D410" t="s">
        <v>394</v>
      </c>
      <c r="F410" t="str">
        <f>"08-3N-24-2380-0063-0010"</f>
        <v>08-3N-24-2380-0063-0010</v>
      </c>
      <c r="H410" t="str">
        <f>"CALHOUN JOE &amp; SHIRLEY MAE WILLIE S &amp; C I SPEIGHT"</f>
        <v>CALHOUN JOE &amp; SHIRLEY MAE WILLIE S &amp; C I SPEIGHT</v>
      </c>
      <c r="I410" t="str">
        <f>"10247 ALLENE ROAD"</f>
        <v>10247 ALLENE ROAD</v>
      </c>
      <c r="J410" t="str">
        <f>"JACKSONVILLE FL 32219"</f>
        <v>JACKSONVILLE FL 32219</v>
      </c>
      <c r="K410" t="str">
        <f>"OXFORD ST"</f>
        <v>OXFORD ST</v>
      </c>
      <c r="L410" t="str">
        <f t="shared" si="124"/>
        <v>HILLIARD FL 32046</v>
      </c>
      <c r="M410" t="str">
        <f>"BLOCK 63 LOTS 1 2 4 &amp; PT ABANDONED R/W IN OR 103/290 &amp; PT OR 1497/750 PT OR 1497/747 ORD 2007-03 (1/2 INT) TOWN OF HILLIARD"</f>
        <v>BLOCK 63 LOTS 1 2 4 &amp; PT ABANDONED R/W IN OR 103/290 &amp; PT OR 1497/750 PT OR 1497/747 ORD 2007-03 (1/2 INT) TOWN OF HILLIARD</v>
      </c>
      <c r="N410" t="str">
        <f>""</f>
        <v/>
      </c>
      <c r="O410" t="str">
        <f>"23417"</f>
        <v>23417</v>
      </c>
      <c r="P410" t="str">
        <f t="shared" si="119"/>
        <v>2017</v>
      </c>
      <c r="Q410" t="str">
        <f>""</f>
        <v/>
      </c>
      <c r="R410" t="str">
        <f t="shared" si="123"/>
        <v>N</v>
      </c>
      <c r="S410" t="str">
        <f>""</f>
        <v/>
      </c>
      <c r="T410" t="str">
        <f>"907.60"</f>
        <v>907.60</v>
      </c>
      <c r="U410" t="str">
        <f>"56390.00"</f>
        <v>56390.00</v>
      </c>
      <c r="V410" t="str">
        <f>"56390.00"</f>
        <v>56390.00</v>
      </c>
      <c r="W410" t="str">
        <f t="shared" si="120"/>
        <v>2017</v>
      </c>
      <c r="X410" t="str">
        <f>""</f>
        <v/>
      </c>
      <c r="Y410" t="str">
        <f>"966.83"</f>
        <v>966.83</v>
      </c>
      <c r="Z410" t="str">
        <f>""</f>
        <v/>
      </c>
      <c r="AA410" t="str">
        <f>"74592.00"</f>
        <v>74592.00</v>
      </c>
      <c r="AB410" t="str">
        <f t="shared" si="125"/>
        <v>Residential</v>
      </c>
      <c r="AC410" t="str">
        <f t="shared" si="121"/>
        <v>0</v>
      </c>
      <c r="AD410" t="str">
        <f>""</f>
        <v/>
      </c>
      <c r="AE410" t="str">
        <f>""</f>
        <v/>
      </c>
      <c r="AF410" t="str">
        <f>"000"</f>
        <v>000</v>
      </c>
      <c r="AG410" t="str">
        <f>"FL"</f>
        <v>FL</v>
      </c>
      <c r="AH410" t="str">
        <f>"132300.00"</f>
        <v>132300.00</v>
      </c>
      <c r="AI410" t="str">
        <f>"74592.00"</f>
        <v>74592.00</v>
      </c>
      <c r="AJ410" t="str">
        <f>"C55-000-586-7502-6"</f>
        <v>C55-000-586-7502-6</v>
      </c>
      <c r="AK410" t="str">
        <f>"6247"</f>
        <v>6247</v>
      </c>
      <c r="AL410">
        <v>2</v>
      </c>
      <c r="AM410">
        <v>477</v>
      </c>
      <c r="AN410">
        <v>1013.57</v>
      </c>
      <c r="AQ410" t="s">
        <v>4580</v>
      </c>
      <c r="AR410" t="s">
        <v>4580</v>
      </c>
      <c r="AS410" t="s">
        <v>4580</v>
      </c>
      <c r="AU410" t="s">
        <v>396</v>
      </c>
      <c r="AV410">
        <v>2017</v>
      </c>
      <c r="AW410" t="str">
        <f>"08-3N-24-2380-0063-0010 "</f>
        <v xml:space="preserve">08-3N-24-2380-0063-0010 </v>
      </c>
      <c r="AZ410" t="s">
        <v>4365</v>
      </c>
      <c r="BA410" t="s">
        <v>1942</v>
      </c>
      <c r="BD410" t="s">
        <v>398</v>
      </c>
      <c r="BE410" t="s">
        <v>393</v>
      </c>
      <c r="BF410">
        <v>32046</v>
      </c>
      <c r="BG410" t="s">
        <v>4381</v>
      </c>
      <c r="BH410" t="s">
        <v>400</v>
      </c>
      <c r="BI410">
        <v>-81.926070651031793</v>
      </c>
      <c r="BJ410">
        <v>30.697483963304801</v>
      </c>
      <c r="BK410" t="s">
        <v>4581</v>
      </c>
      <c r="BL410" t="s">
        <v>4582</v>
      </c>
      <c r="BM410" t="s">
        <v>4583</v>
      </c>
      <c r="BN410" t="s">
        <v>548</v>
      </c>
      <c r="BO410">
        <v>32219</v>
      </c>
      <c r="BP410" t="s">
        <v>404</v>
      </c>
      <c r="BQ410">
        <v>0</v>
      </c>
      <c r="BR410" t="s">
        <v>491</v>
      </c>
      <c r="BS410">
        <v>8001</v>
      </c>
      <c r="BT410" t="s">
        <v>492</v>
      </c>
      <c r="BW410">
        <v>138598</v>
      </c>
      <c r="BX410" t="s">
        <v>407</v>
      </c>
      <c r="BY410" t="s">
        <v>4370</v>
      </c>
      <c r="CD410">
        <v>2017</v>
      </c>
      <c r="CE410">
        <v>74592</v>
      </c>
      <c r="CG410">
        <v>74592</v>
      </c>
      <c r="CH410">
        <v>2017</v>
      </c>
      <c r="CI410">
        <v>74592</v>
      </c>
      <c r="CK410">
        <v>74592</v>
      </c>
      <c r="CL410">
        <v>2017</v>
      </c>
      <c r="CM410">
        <v>907.6</v>
      </c>
      <c r="CN410" s="1">
        <v>39209</v>
      </c>
      <c r="CZ410" s="1">
        <v>39209</v>
      </c>
      <c r="DD410" t="s">
        <v>398</v>
      </c>
      <c r="DG410">
        <v>8</v>
      </c>
      <c r="DM410" t="s">
        <v>4465</v>
      </c>
      <c r="DO410" t="s">
        <v>4584</v>
      </c>
      <c r="DP410">
        <v>0</v>
      </c>
      <c r="DQ410">
        <v>0</v>
      </c>
      <c r="DR410" t="s">
        <v>411</v>
      </c>
      <c r="DS410" t="b">
        <v>1</v>
      </c>
      <c r="DT410" t="s">
        <v>470</v>
      </c>
      <c r="DU410" t="s">
        <v>471</v>
      </c>
      <c r="DV410" t="s">
        <v>472</v>
      </c>
      <c r="DX410">
        <v>-9999</v>
      </c>
      <c r="DZ410" t="s">
        <v>447</v>
      </c>
      <c r="EA410" t="s">
        <v>448</v>
      </c>
      <c r="EB410" t="s">
        <v>1224</v>
      </c>
      <c r="EC410">
        <v>20101217</v>
      </c>
      <c r="ED410" t="s">
        <v>474</v>
      </c>
      <c r="EF410">
        <v>1317.1</v>
      </c>
      <c r="EG410">
        <v>1317.1</v>
      </c>
      <c r="EI410">
        <v>20160407</v>
      </c>
      <c r="EJ410">
        <v>0</v>
      </c>
      <c r="EK410">
        <v>0</v>
      </c>
      <c r="EP410" t="s">
        <v>595</v>
      </c>
      <c r="EQ410" t="s">
        <v>422</v>
      </c>
      <c r="ER410">
        <v>9</v>
      </c>
      <c r="ES410">
        <v>0</v>
      </c>
      <c r="ET410">
        <v>8216.64</v>
      </c>
      <c r="EU410">
        <v>3586.02</v>
      </c>
      <c r="EV410">
        <v>11802.66</v>
      </c>
      <c r="EW410" s="2">
        <v>43222</v>
      </c>
      <c r="EX410" s="1">
        <v>42879</v>
      </c>
      <c r="EY410">
        <v>2016</v>
      </c>
      <c r="EZ410">
        <v>986.4</v>
      </c>
      <c r="FA410" t="s">
        <v>4585</v>
      </c>
      <c r="FB410">
        <v>18</v>
      </c>
      <c r="FC410" t="s">
        <v>603</v>
      </c>
      <c r="FD410" t="s">
        <v>454</v>
      </c>
      <c r="FF410">
        <v>12</v>
      </c>
      <c r="FG410">
        <v>9999999</v>
      </c>
      <c r="FH410" t="s">
        <v>604</v>
      </c>
      <c r="FJ410" s="1">
        <v>42879</v>
      </c>
      <c r="FK410">
        <v>2016</v>
      </c>
      <c r="FL410">
        <v>1007.45</v>
      </c>
      <c r="FM410" t="s">
        <v>4585</v>
      </c>
      <c r="FN410">
        <v>18</v>
      </c>
      <c r="FO410" t="s">
        <v>424</v>
      </c>
      <c r="FP410" t="s">
        <v>454</v>
      </c>
      <c r="FR410">
        <v>12</v>
      </c>
      <c r="FS410">
        <v>7685293</v>
      </c>
      <c r="FT410" t="s">
        <v>4586</v>
      </c>
      <c r="FV410" s="1">
        <v>42515</v>
      </c>
      <c r="FW410">
        <v>2015</v>
      </c>
      <c r="FX410">
        <v>974.29</v>
      </c>
      <c r="FY410" t="s">
        <v>4587</v>
      </c>
      <c r="FZ410">
        <v>18</v>
      </c>
      <c r="GA410" t="s">
        <v>603</v>
      </c>
      <c r="GB410" t="s">
        <v>454</v>
      </c>
      <c r="GD410">
        <v>24</v>
      </c>
      <c r="GE410">
        <v>9999999</v>
      </c>
      <c r="GF410" t="s">
        <v>604</v>
      </c>
      <c r="GH410" s="1">
        <v>42515</v>
      </c>
      <c r="GI410">
        <v>2015</v>
      </c>
      <c r="GJ410">
        <v>1024.3800000000001</v>
      </c>
      <c r="GK410" t="s">
        <v>4587</v>
      </c>
      <c r="GL410">
        <v>18</v>
      </c>
      <c r="GM410" t="s">
        <v>424</v>
      </c>
      <c r="GN410" t="s">
        <v>454</v>
      </c>
      <c r="GP410">
        <v>24</v>
      </c>
      <c r="GQ410">
        <v>14851</v>
      </c>
      <c r="GR410" t="s">
        <v>4401</v>
      </c>
      <c r="GT410" s="1">
        <v>42151</v>
      </c>
      <c r="GU410">
        <v>2014</v>
      </c>
      <c r="GV410">
        <v>695.66</v>
      </c>
      <c r="GW410" t="s">
        <v>4588</v>
      </c>
      <c r="GX410">
        <v>18</v>
      </c>
      <c r="GY410" t="s">
        <v>424</v>
      </c>
      <c r="GZ410" t="s">
        <v>454</v>
      </c>
      <c r="HB410">
        <v>36</v>
      </c>
      <c r="HC410">
        <v>10125</v>
      </c>
      <c r="HD410" t="s">
        <v>440</v>
      </c>
      <c r="HF410" s="1">
        <v>41787</v>
      </c>
      <c r="HG410">
        <v>2013</v>
      </c>
      <c r="HH410">
        <v>657.44</v>
      </c>
      <c r="HI410" t="s">
        <v>4589</v>
      </c>
      <c r="HJ410">
        <v>13.25</v>
      </c>
      <c r="HK410" t="s">
        <v>424</v>
      </c>
      <c r="HL410" t="s">
        <v>454</v>
      </c>
      <c r="HN410">
        <v>48</v>
      </c>
      <c r="HO410">
        <v>10125</v>
      </c>
      <c r="HP410" t="s">
        <v>440</v>
      </c>
      <c r="HR410" s="1">
        <v>41423</v>
      </c>
      <c r="HS410">
        <v>2012</v>
      </c>
      <c r="HT410">
        <v>666.15</v>
      </c>
      <c r="HU410" t="s">
        <v>4590</v>
      </c>
      <c r="HV410">
        <v>10</v>
      </c>
      <c r="HW410" t="s">
        <v>424</v>
      </c>
      <c r="HX410" t="s">
        <v>454</v>
      </c>
      <c r="HZ410">
        <v>60</v>
      </c>
      <c r="IA410">
        <v>10125</v>
      </c>
      <c r="IB410" t="s">
        <v>440</v>
      </c>
      <c r="ID410" s="1">
        <v>41052</v>
      </c>
      <c r="IE410">
        <v>2011</v>
      </c>
      <c r="IF410">
        <v>1099.69</v>
      </c>
      <c r="IG410" t="s">
        <v>4591</v>
      </c>
      <c r="IH410">
        <v>11.75</v>
      </c>
      <c r="II410" t="s">
        <v>424</v>
      </c>
      <c r="IJ410" t="s">
        <v>454</v>
      </c>
      <c r="IL410">
        <v>72</v>
      </c>
      <c r="IM410">
        <v>10125</v>
      </c>
      <c r="IN410" t="s">
        <v>440</v>
      </c>
      <c r="IP410" s="1">
        <v>40688</v>
      </c>
      <c r="IQ410">
        <v>2010</v>
      </c>
      <c r="IR410">
        <v>1105.18</v>
      </c>
      <c r="IS410" t="s">
        <v>4592</v>
      </c>
      <c r="IT410">
        <v>8</v>
      </c>
      <c r="IU410" t="s">
        <v>424</v>
      </c>
      <c r="IV410" t="s">
        <v>454</v>
      </c>
      <c r="IX410">
        <v>84</v>
      </c>
      <c r="IY410">
        <v>62</v>
      </c>
      <c r="IZ410" t="s">
        <v>463</v>
      </c>
    </row>
    <row r="411" spans="1:272" x14ac:dyDescent="0.25">
      <c r="A411">
        <v>16485418</v>
      </c>
      <c r="B411">
        <v>410</v>
      </c>
      <c r="C411" t="s">
        <v>393</v>
      </c>
      <c r="D411" t="s">
        <v>394</v>
      </c>
      <c r="F411" t="str">
        <f>"08-3N-24-2380-0063-0033"</f>
        <v>08-3N-24-2380-0063-0033</v>
      </c>
      <c r="H411" t="str">
        <f>"HALL STEPHANIE"</f>
        <v>HALL STEPHANIE</v>
      </c>
      <c r="I411" t="str">
        <f>"43 PRESCOTT ROAD"</f>
        <v>43 PRESCOTT ROAD</v>
      </c>
      <c r="J411" t="str">
        <f>"FOLKSTON GA 31537"</f>
        <v>FOLKSTON GA 31537</v>
      </c>
      <c r="K411" t="str">
        <f>"OXFORD ST"</f>
        <v>OXFORD ST</v>
      </c>
      <c r="L411" t="str">
        <f t="shared" si="124"/>
        <v>HILLIARD FL 32046</v>
      </c>
      <c r="M411" t="str">
        <f>"BLOCK 63 PT OF LOT 3 (S-3) IN OR 1609/486 TOWN OF HILLIARD"</f>
        <v>BLOCK 63 PT OF LOT 3 (S-3) IN OR 1609/486 TOWN OF HILLIARD</v>
      </c>
      <c r="N411" t="str">
        <f>""</f>
        <v/>
      </c>
      <c r="O411" t="str">
        <f>"23420"</f>
        <v>23420</v>
      </c>
      <c r="P411" t="str">
        <f t="shared" si="119"/>
        <v>2017</v>
      </c>
      <c r="Q411" t="str">
        <f>""</f>
        <v/>
      </c>
      <c r="R411" t="str">
        <f t="shared" si="123"/>
        <v>N</v>
      </c>
      <c r="S411" t="str">
        <f>""</f>
        <v/>
      </c>
      <c r="T411" t="str">
        <f>"10.47"</f>
        <v>10.47</v>
      </c>
      <c r="U411" t="str">
        <f>"750.00"</f>
        <v>750.00</v>
      </c>
      <c r="V411" t="str">
        <f>"750.00"</f>
        <v>750.00</v>
      </c>
      <c r="W411" t="str">
        <f t="shared" si="120"/>
        <v>2017</v>
      </c>
      <c r="X411" t="str">
        <f>"10.60"</f>
        <v>10.60</v>
      </c>
      <c r="Y411" t="str">
        <f>"42.78"</f>
        <v>42.78</v>
      </c>
      <c r="Z411" t="str">
        <f>""</f>
        <v/>
      </c>
      <c r="AA411" t="str">
        <f>"750.00"</f>
        <v>750.00</v>
      </c>
      <c r="AB411" t="str">
        <f t="shared" si="125"/>
        <v>Residential</v>
      </c>
      <c r="AC411" t="str">
        <f t="shared" si="121"/>
        <v>0</v>
      </c>
      <c r="AD411" t="str">
        <f>""</f>
        <v/>
      </c>
      <c r="AE411" t="str">
        <f>""</f>
        <v/>
      </c>
      <c r="AF411" t="str">
        <f>"000"</f>
        <v>000</v>
      </c>
      <c r="AG411" t="str">
        <f>"GA"</f>
        <v>GA</v>
      </c>
      <c r="AH411" t="str">
        <f>"6300.00"</f>
        <v>6300.00</v>
      </c>
      <c r="AI411" t="str">
        <f>"750.00"</f>
        <v>750.00</v>
      </c>
      <c r="AJ411" t="str">
        <f>"C55-001-031-7961-0"</f>
        <v>C55-001-031-7961-0</v>
      </c>
      <c r="AK411" t="str">
        <f>"6250"</f>
        <v>6250</v>
      </c>
      <c r="AL411">
        <v>2</v>
      </c>
      <c r="AM411">
        <v>478</v>
      </c>
      <c r="AN411">
        <v>43.32</v>
      </c>
      <c r="AQ411" t="s">
        <v>4593</v>
      </c>
      <c r="AR411" t="s">
        <v>4593</v>
      </c>
      <c r="AS411" t="s">
        <v>4593</v>
      </c>
      <c r="AU411" t="s">
        <v>396</v>
      </c>
      <c r="AV411">
        <v>2017</v>
      </c>
      <c r="AW411" t="str">
        <f>"08-3N-24-2380-0063-0033 "</f>
        <v xml:space="preserve">08-3N-24-2380-0063-0033 </v>
      </c>
      <c r="AZ411" t="s">
        <v>4365</v>
      </c>
      <c r="BA411" t="s">
        <v>1942</v>
      </c>
      <c r="BD411" t="s">
        <v>398</v>
      </c>
      <c r="BE411" t="s">
        <v>393</v>
      </c>
      <c r="BF411">
        <v>32046</v>
      </c>
      <c r="BG411" t="s">
        <v>4381</v>
      </c>
      <c r="BH411" t="s">
        <v>400</v>
      </c>
      <c r="BI411">
        <v>-81.926868645205303</v>
      </c>
      <c r="BJ411">
        <v>30.697864754026899</v>
      </c>
      <c r="BK411" t="s">
        <v>4594</v>
      </c>
      <c r="BM411" t="s">
        <v>4595</v>
      </c>
      <c r="BN411" t="s">
        <v>4596</v>
      </c>
      <c r="BO411">
        <v>31537</v>
      </c>
      <c r="BP411" t="s">
        <v>404</v>
      </c>
      <c r="BQ411">
        <v>0</v>
      </c>
      <c r="BR411" t="s">
        <v>491</v>
      </c>
      <c r="BS411">
        <v>8001</v>
      </c>
      <c r="BT411" t="s">
        <v>492</v>
      </c>
      <c r="BU411">
        <v>300</v>
      </c>
      <c r="BV411">
        <v>2100</v>
      </c>
      <c r="BW411">
        <v>6300</v>
      </c>
      <c r="BX411" t="s">
        <v>407</v>
      </c>
      <c r="BY411" t="s">
        <v>4370</v>
      </c>
      <c r="CD411">
        <v>2017</v>
      </c>
      <c r="CE411">
        <v>750</v>
      </c>
      <c r="CG411">
        <v>750</v>
      </c>
      <c r="CH411">
        <v>2017</v>
      </c>
      <c r="CI411">
        <v>750</v>
      </c>
      <c r="CK411">
        <v>750</v>
      </c>
      <c r="CL411">
        <v>2017</v>
      </c>
      <c r="CM411">
        <v>10.47</v>
      </c>
      <c r="CN411" s="1">
        <v>39786</v>
      </c>
      <c r="CZ411" s="1">
        <v>39786</v>
      </c>
      <c r="DD411" t="s">
        <v>398</v>
      </c>
      <c r="DF411">
        <v>3</v>
      </c>
      <c r="DG411">
        <v>8</v>
      </c>
      <c r="DJ411" t="s">
        <v>4482</v>
      </c>
      <c r="DL411">
        <v>50400</v>
      </c>
      <c r="DM411" t="s">
        <v>4465</v>
      </c>
      <c r="DO411" t="s">
        <v>4597</v>
      </c>
      <c r="DP411">
        <v>0</v>
      </c>
      <c r="DQ411">
        <v>0</v>
      </c>
      <c r="DR411" t="s">
        <v>411</v>
      </c>
      <c r="DS411" t="b">
        <v>1</v>
      </c>
      <c r="DT411" t="s">
        <v>470</v>
      </c>
      <c r="DU411" t="s">
        <v>471</v>
      </c>
      <c r="DV411" t="s">
        <v>472</v>
      </c>
      <c r="DX411">
        <v>-9999</v>
      </c>
      <c r="DZ411" t="s">
        <v>447</v>
      </c>
      <c r="EA411" t="s">
        <v>448</v>
      </c>
      <c r="EB411" t="s">
        <v>1224</v>
      </c>
      <c r="EC411">
        <v>20101217</v>
      </c>
      <c r="ED411" t="s">
        <v>474</v>
      </c>
      <c r="EF411">
        <v>1584.7</v>
      </c>
      <c r="EG411">
        <v>1584.7</v>
      </c>
      <c r="EI411">
        <v>20160407</v>
      </c>
      <c r="EJ411">
        <v>0</v>
      </c>
      <c r="EK411">
        <v>0</v>
      </c>
      <c r="EP411" t="s">
        <v>595</v>
      </c>
      <c r="EQ411" t="s">
        <v>422</v>
      </c>
      <c r="ER411">
        <v>3</v>
      </c>
      <c r="ES411">
        <v>5</v>
      </c>
      <c r="ET411">
        <v>155.68</v>
      </c>
      <c r="EU411">
        <v>79.73</v>
      </c>
      <c r="EV411">
        <v>235.41</v>
      </c>
      <c r="EW411" s="2">
        <v>43222</v>
      </c>
      <c r="EX411" s="1">
        <v>42879</v>
      </c>
      <c r="EY411">
        <v>2016</v>
      </c>
      <c r="EZ411">
        <v>38.53</v>
      </c>
      <c r="FA411" t="s">
        <v>4598</v>
      </c>
      <c r="FB411">
        <v>18</v>
      </c>
      <c r="FC411" t="s">
        <v>603</v>
      </c>
      <c r="FD411" t="s">
        <v>454</v>
      </c>
      <c r="FF411">
        <v>12</v>
      </c>
      <c r="FG411">
        <v>9999999</v>
      </c>
      <c r="FH411" t="s">
        <v>604</v>
      </c>
      <c r="FJ411" s="1">
        <v>42515</v>
      </c>
      <c r="FK411">
        <v>2015</v>
      </c>
      <c r="FL411">
        <v>33.840000000000003</v>
      </c>
      <c r="FM411" t="s">
        <v>4599</v>
      </c>
      <c r="FN411">
        <v>18</v>
      </c>
      <c r="FO411" t="s">
        <v>603</v>
      </c>
      <c r="FP411" t="s">
        <v>454</v>
      </c>
      <c r="FR411">
        <v>24</v>
      </c>
      <c r="FS411">
        <v>9999999</v>
      </c>
      <c r="FT411" t="s">
        <v>604</v>
      </c>
      <c r="FV411" s="1">
        <v>42151</v>
      </c>
      <c r="FW411">
        <v>2014</v>
      </c>
      <c r="FX411">
        <v>83.31</v>
      </c>
      <c r="FY411" t="s">
        <v>4600</v>
      </c>
      <c r="FZ411">
        <v>16.75</v>
      </c>
      <c r="GA411" t="s">
        <v>424</v>
      </c>
      <c r="GB411" t="s">
        <v>454</v>
      </c>
      <c r="GD411">
        <v>36</v>
      </c>
      <c r="GE411">
        <v>10125</v>
      </c>
      <c r="GF411" t="s">
        <v>440</v>
      </c>
      <c r="GH411" s="1">
        <v>41787</v>
      </c>
      <c r="GI411">
        <v>2013</v>
      </c>
      <c r="GJ411">
        <v>79.040000000000006</v>
      </c>
      <c r="GK411" t="s">
        <v>4601</v>
      </c>
      <c r="GL411">
        <v>18</v>
      </c>
      <c r="GM411" t="s">
        <v>603</v>
      </c>
      <c r="GN411" t="s">
        <v>425</v>
      </c>
      <c r="GP411">
        <v>22</v>
      </c>
      <c r="GQ411">
        <v>9999999</v>
      </c>
      <c r="GR411" t="s">
        <v>604</v>
      </c>
      <c r="GT411" s="1">
        <v>41787</v>
      </c>
      <c r="GU411">
        <v>2013</v>
      </c>
      <c r="GV411">
        <v>88.85</v>
      </c>
      <c r="GW411" t="s">
        <v>4601</v>
      </c>
      <c r="GX411">
        <v>18</v>
      </c>
      <c r="GY411" t="s">
        <v>424</v>
      </c>
      <c r="GZ411" t="s">
        <v>425</v>
      </c>
      <c r="HA411" s="1">
        <v>42422</v>
      </c>
      <c r="HB411">
        <v>21</v>
      </c>
      <c r="HC411">
        <v>10647</v>
      </c>
      <c r="HD411" t="s">
        <v>4602</v>
      </c>
      <c r="HF411" s="1">
        <v>41423</v>
      </c>
      <c r="HG411">
        <v>2012</v>
      </c>
      <c r="HH411">
        <v>78.28</v>
      </c>
      <c r="HI411" t="s">
        <v>4603</v>
      </c>
      <c r="HJ411">
        <v>9.75</v>
      </c>
      <c r="HK411" t="s">
        <v>424</v>
      </c>
      <c r="HL411" t="s">
        <v>425</v>
      </c>
      <c r="HM411" s="1">
        <v>41796</v>
      </c>
      <c r="HN411">
        <v>13</v>
      </c>
      <c r="HO411">
        <v>2101381</v>
      </c>
      <c r="HP411" t="s">
        <v>605</v>
      </c>
      <c r="HR411" s="1">
        <v>41052</v>
      </c>
      <c r="HS411">
        <v>2011</v>
      </c>
      <c r="HT411">
        <v>48.32</v>
      </c>
      <c r="HU411" t="s">
        <v>4604</v>
      </c>
      <c r="HV411">
        <v>18</v>
      </c>
      <c r="HW411" t="s">
        <v>424</v>
      </c>
      <c r="HX411" t="s">
        <v>425</v>
      </c>
      <c r="HY411" s="1">
        <v>41386</v>
      </c>
      <c r="HZ411">
        <v>11</v>
      </c>
      <c r="IA411">
        <v>10125</v>
      </c>
      <c r="IB411" t="s">
        <v>440</v>
      </c>
      <c r="ID411" s="1">
        <v>40688</v>
      </c>
      <c r="IE411">
        <v>2010</v>
      </c>
      <c r="IF411">
        <v>52.48</v>
      </c>
      <c r="IG411" t="s">
        <v>4605</v>
      </c>
      <c r="IH411">
        <v>9.75</v>
      </c>
      <c r="II411" t="s">
        <v>424</v>
      </c>
      <c r="IJ411" t="s">
        <v>425</v>
      </c>
      <c r="IK411" s="1">
        <v>40787</v>
      </c>
      <c r="IL411">
        <v>4</v>
      </c>
      <c r="IM411">
        <v>105</v>
      </c>
      <c r="IN411" t="s">
        <v>946</v>
      </c>
    </row>
    <row r="412" spans="1:272" x14ac:dyDescent="0.25">
      <c r="A412">
        <v>16485419</v>
      </c>
      <c r="B412">
        <v>411</v>
      </c>
      <c r="C412" t="s">
        <v>393</v>
      </c>
      <c r="D412" t="s">
        <v>394</v>
      </c>
      <c r="F412" t="str">
        <f>"08-3N-24-2380-0065-0020"</f>
        <v>08-3N-24-2380-0065-0020</v>
      </c>
      <c r="H412" t="str">
        <f>"HALL STEPHANIE"</f>
        <v>HALL STEPHANIE</v>
      </c>
      <c r="I412" t="str">
        <f>"43 PRESCOTT ROAD"</f>
        <v>43 PRESCOTT ROAD</v>
      </c>
      <c r="J412" t="str">
        <f>"FOLKSTON GA 31537"</f>
        <v>FOLKSTON GA 31537</v>
      </c>
      <c r="K412" t="str">
        <f>"37937 OXFORD ST"</f>
        <v>37937 OXFORD ST</v>
      </c>
      <c r="L412" t="str">
        <f t="shared" si="124"/>
        <v>HILLIARD FL 32046</v>
      </c>
      <c r="M412" t="str">
        <f>"BLOCK 65 PT OF LOT 2 &amp; PT ABANDONED R/W OR 1497/747 ORD 2007-03 IN OR 1609/488 TOWN OF HILLIARD"</f>
        <v>BLOCK 65 PT OF LOT 2 &amp; PT ABANDONED R/W OR 1497/747 ORD 2007-03 IN OR 1609/488 TOWN OF HILLIARD</v>
      </c>
      <c r="N412" t="str">
        <f>""</f>
        <v/>
      </c>
      <c r="O412" t="str">
        <f>"23426"</f>
        <v>23426</v>
      </c>
      <c r="P412" t="str">
        <f t="shared" si="119"/>
        <v>2017</v>
      </c>
      <c r="Q412" t="str">
        <f>""</f>
        <v/>
      </c>
      <c r="R412" t="str">
        <f t="shared" si="123"/>
        <v>N</v>
      </c>
      <c r="S412" t="str">
        <f>""</f>
        <v/>
      </c>
      <c r="T412" t="str">
        <f>"2904.96"</f>
        <v>2904.96</v>
      </c>
      <c r="U412" t="str">
        <f>"208012.00"</f>
        <v>208012.00</v>
      </c>
      <c r="V412" t="str">
        <f>"208012.00"</f>
        <v>208012.00</v>
      </c>
      <c r="W412" t="str">
        <f t="shared" si="120"/>
        <v>2017</v>
      </c>
      <c r="X412" t="str">
        <f>"10.00"</f>
        <v>10.00</v>
      </c>
      <c r="Y412" t="str">
        <f>"3024.11"</f>
        <v>3024.11</v>
      </c>
      <c r="Z412" t="str">
        <f>""</f>
        <v/>
      </c>
      <c r="AA412" t="str">
        <f>"208012.00"</f>
        <v>208012.00</v>
      </c>
      <c r="AB412" t="str">
        <f t="shared" si="125"/>
        <v>Residential</v>
      </c>
      <c r="AC412" t="str">
        <f t="shared" si="121"/>
        <v>0</v>
      </c>
      <c r="AD412" t="str">
        <f>"4"</f>
        <v>4</v>
      </c>
      <c r="AE412" t="str">
        <f>"WOOD (INCLUDE STEEL STUDS)"</f>
        <v>WOOD (INCLUDE STEEL STUDS)</v>
      </c>
      <c r="AF412" t="str">
        <f>"001"</f>
        <v>001</v>
      </c>
      <c r="AG412" t="str">
        <f>"GA"</f>
        <v>GA</v>
      </c>
      <c r="AH412" t="str">
        <f>"28140.00"</f>
        <v>28140.00</v>
      </c>
      <c r="AI412" t="str">
        <f>"20100.00"</f>
        <v>20100.00</v>
      </c>
      <c r="AJ412" t="str">
        <f>"C55-001-031-7962-8"</f>
        <v>C55-001-031-7962-8</v>
      </c>
      <c r="AK412" t="str">
        <f>"6256"</f>
        <v>6256</v>
      </c>
      <c r="AL412">
        <v>2</v>
      </c>
      <c r="AM412">
        <v>479</v>
      </c>
      <c r="AN412">
        <v>3173.72</v>
      </c>
      <c r="AQ412" t="s">
        <v>4606</v>
      </c>
      <c r="AR412" t="s">
        <v>4606</v>
      </c>
      <c r="AS412" t="s">
        <v>4606</v>
      </c>
      <c r="AU412" t="s">
        <v>396</v>
      </c>
      <c r="AV412">
        <v>2017</v>
      </c>
      <c r="AW412" t="str">
        <f>"08-3N-24-2380-0065-0020 "</f>
        <v xml:space="preserve">08-3N-24-2380-0065-0020 </v>
      </c>
      <c r="AX412">
        <v>37937</v>
      </c>
      <c r="AZ412" t="s">
        <v>4365</v>
      </c>
      <c r="BA412" t="s">
        <v>1942</v>
      </c>
      <c r="BD412" t="s">
        <v>398</v>
      </c>
      <c r="BE412" t="s">
        <v>393</v>
      </c>
      <c r="BF412">
        <v>32046</v>
      </c>
      <c r="BG412" t="s">
        <v>4607</v>
      </c>
      <c r="BH412" t="s">
        <v>400</v>
      </c>
      <c r="BI412">
        <v>-81.9270286572076</v>
      </c>
      <c r="BJ412">
        <v>30.6980935758158</v>
      </c>
      <c r="BK412" t="s">
        <v>4594</v>
      </c>
      <c r="BM412" t="s">
        <v>4595</v>
      </c>
      <c r="BN412" t="s">
        <v>4596</v>
      </c>
      <c r="BO412">
        <v>31537</v>
      </c>
      <c r="BP412" t="s">
        <v>404</v>
      </c>
      <c r="BQ412">
        <v>100</v>
      </c>
      <c r="BR412" t="s">
        <v>514</v>
      </c>
      <c r="BS412">
        <v>1001</v>
      </c>
      <c r="BT412" t="s">
        <v>515</v>
      </c>
      <c r="BU412">
        <v>1340</v>
      </c>
      <c r="BV412">
        <v>2100</v>
      </c>
      <c r="BW412">
        <v>34534</v>
      </c>
      <c r="BX412" t="s">
        <v>407</v>
      </c>
      <c r="BY412" t="s">
        <v>4370</v>
      </c>
      <c r="BZ412">
        <v>4</v>
      </c>
      <c r="CA412">
        <v>1960</v>
      </c>
      <c r="CB412">
        <v>1</v>
      </c>
      <c r="CC412">
        <v>1</v>
      </c>
      <c r="CD412">
        <v>2017</v>
      </c>
      <c r="CE412">
        <v>20100</v>
      </c>
      <c r="CF412">
        <v>187912</v>
      </c>
      <c r="CG412">
        <v>208012</v>
      </c>
      <c r="CH412">
        <v>2017</v>
      </c>
      <c r="CI412">
        <v>20100</v>
      </c>
      <c r="CJ412">
        <v>187912</v>
      </c>
      <c r="CK412">
        <v>208012</v>
      </c>
      <c r="CL412">
        <v>2017</v>
      </c>
      <c r="CM412">
        <v>2904.96</v>
      </c>
      <c r="CN412" s="1">
        <v>39786</v>
      </c>
      <c r="CZ412" s="1">
        <v>39786</v>
      </c>
      <c r="DD412" t="s">
        <v>398</v>
      </c>
      <c r="DF412">
        <v>2</v>
      </c>
      <c r="DG412">
        <v>8</v>
      </c>
      <c r="DL412">
        <v>50400</v>
      </c>
      <c r="DM412" t="s">
        <v>4465</v>
      </c>
      <c r="DO412" t="s">
        <v>4608</v>
      </c>
      <c r="DP412">
        <v>0</v>
      </c>
      <c r="DQ412">
        <v>0</v>
      </c>
      <c r="DR412" t="s">
        <v>411</v>
      </c>
      <c r="DS412" t="b">
        <v>1</v>
      </c>
      <c r="DT412" t="s">
        <v>470</v>
      </c>
      <c r="DU412" t="s">
        <v>471</v>
      </c>
      <c r="DV412" t="s">
        <v>472</v>
      </c>
      <c r="DX412">
        <v>-9999</v>
      </c>
      <c r="DZ412" t="s">
        <v>447</v>
      </c>
      <c r="EA412" t="s">
        <v>448</v>
      </c>
      <c r="EB412" t="s">
        <v>1224</v>
      </c>
      <c r="EC412">
        <v>20101217</v>
      </c>
      <c r="ED412" t="s">
        <v>474</v>
      </c>
      <c r="EF412">
        <v>1680.3</v>
      </c>
      <c r="EG412">
        <v>1680.3</v>
      </c>
      <c r="EI412">
        <v>20160407</v>
      </c>
      <c r="EJ412">
        <v>0</v>
      </c>
      <c r="EK412">
        <v>0</v>
      </c>
      <c r="EP412" t="s">
        <v>421</v>
      </c>
      <c r="EQ412" t="s">
        <v>422</v>
      </c>
      <c r="ER412">
        <v>6</v>
      </c>
      <c r="ES412">
        <v>4</v>
      </c>
      <c r="ET412">
        <v>18625.82</v>
      </c>
      <c r="EU412">
        <v>968.79</v>
      </c>
      <c r="EV412">
        <v>19594.61</v>
      </c>
      <c r="EW412" s="2">
        <v>43222</v>
      </c>
      <c r="EX412" s="1">
        <v>42879</v>
      </c>
      <c r="EY412">
        <v>2016</v>
      </c>
      <c r="EZ412">
        <v>3100.6</v>
      </c>
      <c r="FA412" t="s">
        <v>4609</v>
      </c>
      <c r="FB412">
        <v>0.25</v>
      </c>
      <c r="FC412" t="s">
        <v>424</v>
      </c>
      <c r="FD412" t="s">
        <v>454</v>
      </c>
      <c r="FF412">
        <v>12</v>
      </c>
      <c r="FG412">
        <v>7336753</v>
      </c>
      <c r="FH412" t="s">
        <v>1731</v>
      </c>
      <c r="FJ412" s="1">
        <v>42879</v>
      </c>
      <c r="FK412">
        <v>2016</v>
      </c>
      <c r="FL412">
        <v>3100.6</v>
      </c>
      <c r="FM412" t="s">
        <v>4609</v>
      </c>
      <c r="FN412">
        <v>0.25</v>
      </c>
      <c r="FO412" t="s">
        <v>424</v>
      </c>
      <c r="FP412" t="s">
        <v>454</v>
      </c>
      <c r="FR412">
        <v>12</v>
      </c>
      <c r="FS412">
        <v>7377101</v>
      </c>
      <c r="FT412" t="s">
        <v>4610</v>
      </c>
      <c r="FV412" s="1">
        <v>42515</v>
      </c>
      <c r="FW412">
        <v>2015</v>
      </c>
      <c r="FX412">
        <v>3196.6</v>
      </c>
      <c r="FY412" t="s">
        <v>4611</v>
      </c>
      <c r="FZ412">
        <v>0.25</v>
      </c>
      <c r="GA412" t="s">
        <v>424</v>
      </c>
      <c r="GB412" t="s">
        <v>454</v>
      </c>
      <c r="GD412">
        <v>24</v>
      </c>
      <c r="GE412">
        <v>5916895</v>
      </c>
      <c r="GF412" t="s">
        <v>1390</v>
      </c>
      <c r="GH412" s="1">
        <v>42515</v>
      </c>
      <c r="GI412">
        <v>2015</v>
      </c>
      <c r="GJ412">
        <v>3196.6</v>
      </c>
      <c r="GK412" t="s">
        <v>4611</v>
      </c>
      <c r="GL412">
        <v>0.25</v>
      </c>
      <c r="GM412" t="s">
        <v>424</v>
      </c>
      <c r="GN412" t="s">
        <v>454</v>
      </c>
      <c r="GP412">
        <v>24</v>
      </c>
      <c r="GQ412">
        <v>5997955</v>
      </c>
      <c r="GR412" t="s">
        <v>4612</v>
      </c>
      <c r="GT412" s="1">
        <v>42151</v>
      </c>
      <c r="GU412">
        <v>2014</v>
      </c>
      <c r="GV412">
        <v>3015.71</v>
      </c>
      <c r="GW412" t="s">
        <v>4613</v>
      </c>
      <c r="GX412">
        <v>0.25</v>
      </c>
      <c r="GY412" t="s">
        <v>424</v>
      </c>
      <c r="GZ412" t="s">
        <v>454</v>
      </c>
      <c r="HB412">
        <v>36</v>
      </c>
      <c r="HC412">
        <v>4844983</v>
      </c>
      <c r="HD412" t="s">
        <v>3901</v>
      </c>
      <c r="HF412" s="1">
        <v>42151</v>
      </c>
      <c r="HG412">
        <v>2014</v>
      </c>
      <c r="HH412">
        <v>3015.71</v>
      </c>
      <c r="HI412" t="s">
        <v>4613</v>
      </c>
      <c r="HJ412">
        <v>0.25</v>
      </c>
      <c r="HK412" t="s">
        <v>424</v>
      </c>
      <c r="HL412" t="s">
        <v>454</v>
      </c>
      <c r="HN412">
        <v>36</v>
      </c>
      <c r="HO412">
        <v>6167513</v>
      </c>
      <c r="HP412" t="s">
        <v>4614</v>
      </c>
      <c r="HR412" s="1">
        <v>41787</v>
      </c>
      <c r="HS412">
        <v>2013</v>
      </c>
      <c r="HT412">
        <v>2675.4</v>
      </c>
      <c r="HU412" t="s">
        <v>4615</v>
      </c>
      <c r="HV412">
        <v>0.25</v>
      </c>
      <c r="HW412" t="s">
        <v>424</v>
      </c>
      <c r="HX412" t="s">
        <v>425</v>
      </c>
      <c r="HY412" s="1">
        <v>42422</v>
      </c>
      <c r="HZ412">
        <v>21</v>
      </c>
      <c r="IA412">
        <v>2851116</v>
      </c>
      <c r="IB412" t="s">
        <v>480</v>
      </c>
      <c r="ID412" s="1">
        <v>41423</v>
      </c>
      <c r="IE412">
        <v>2012</v>
      </c>
      <c r="IF412">
        <v>2723.58</v>
      </c>
      <c r="IG412" t="s">
        <v>4616</v>
      </c>
      <c r="IH412">
        <v>0.25</v>
      </c>
      <c r="II412" t="s">
        <v>424</v>
      </c>
      <c r="IJ412" t="s">
        <v>425</v>
      </c>
      <c r="IK412" s="1">
        <v>41796</v>
      </c>
      <c r="IL412">
        <v>13</v>
      </c>
      <c r="IM412">
        <v>2101382</v>
      </c>
      <c r="IN412" t="s">
        <v>993</v>
      </c>
      <c r="IP412" s="1">
        <v>41052</v>
      </c>
      <c r="IQ412">
        <v>2011</v>
      </c>
      <c r="IR412">
        <v>2798.43</v>
      </c>
      <c r="IS412" t="s">
        <v>4617</v>
      </c>
      <c r="IT412">
        <v>0.25</v>
      </c>
      <c r="IU412" t="s">
        <v>424</v>
      </c>
      <c r="IV412" t="s">
        <v>425</v>
      </c>
      <c r="IW412" s="1">
        <v>41386</v>
      </c>
      <c r="IX412">
        <v>11</v>
      </c>
      <c r="IY412">
        <v>13867</v>
      </c>
      <c r="IZ412" t="s">
        <v>4618</v>
      </c>
      <c r="JB412" s="1">
        <v>40688</v>
      </c>
      <c r="JC412">
        <v>2010</v>
      </c>
      <c r="JD412">
        <v>2705.31</v>
      </c>
      <c r="JE412" t="s">
        <v>4619</v>
      </c>
      <c r="JF412">
        <v>0.25</v>
      </c>
      <c r="JG412" t="s">
        <v>424</v>
      </c>
      <c r="JH412" t="s">
        <v>425</v>
      </c>
      <c r="JI412" s="1">
        <v>40715</v>
      </c>
      <c r="JJ412">
        <v>1</v>
      </c>
      <c r="JK412">
        <v>11177</v>
      </c>
      <c r="JL412" t="s">
        <v>650</v>
      </c>
    </row>
    <row r="413" spans="1:272" x14ac:dyDescent="0.25">
      <c r="A413">
        <v>16485420</v>
      </c>
      <c r="B413">
        <v>412</v>
      </c>
      <c r="C413" t="s">
        <v>393</v>
      </c>
      <c r="D413" t="s">
        <v>394</v>
      </c>
      <c r="F413" t="str">
        <f>"08-3N-24-2380-0066-0032"</f>
        <v>08-3N-24-2380-0066-0032</v>
      </c>
      <c r="H413" t="str">
        <f>"SMITH CHARLENE R &amp; REGINALD SR"</f>
        <v>SMITH CHARLENE R &amp; REGINALD SR</v>
      </c>
      <c r="I413" t="str">
        <f>"361963 PINE STREET"</f>
        <v>361963 PINE STREET</v>
      </c>
      <c r="J413" t="str">
        <f>"HILLIARD FL 32046"</f>
        <v>HILLIARD FL 32046</v>
      </c>
      <c r="K413" t="str">
        <f>"PINE ST"</f>
        <v>PINE ST</v>
      </c>
      <c r="L413" t="str">
        <f t="shared" si="124"/>
        <v>HILLIARD FL 32046</v>
      </c>
      <c r="M413" t="str">
        <f>"BLOCK 66 N1/2 OF LOT 3 IN OR 1235/1361 TOWN OF HILLIARD"</f>
        <v>BLOCK 66 N1/2 OF LOT 3 IN OR 1235/1361 TOWN OF HILLIARD</v>
      </c>
      <c r="N413" t="str">
        <f>""</f>
        <v/>
      </c>
      <c r="O413" t="str">
        <f>"23431"</f>
        <v>23431</v>
      </c>
      <c r="P413" t="str">
        <f t="shared" si="119"/>
        <v>2017</v>
      </c>
      <c r="Q413" t="str">
        <f>""</f>
        <v/>
      </c>
      <c r="R413" t="str">
        <f t="shared" si="123"/>
        <v>N</v>
      </c>
      <c r="S413" t="str">
        <f>""</f>
        <v/>
      </c>
      <c r="T413" t="str">
        <f>"248.70"</f>
        <v>248.70</v>
      </c>
      <c r="U413" t="str">
        <f>"17809.00"</f>
        <v>17809.00</v>
      </c>
      <c r="V413" t="str">
        <f>"17809.00"</f>
        <v>17809.00</v>
      </c>
      <c r="W413" t="str">
        <f t="shared" si="120"/>
        <v>2017</v>
      </c>
      <c r="X413" t="str">
        <f>"2.00"</f>
        <v>2.00</v>
      </c>
      <c r="Y413" t="str">
        <f>"288.16"</f>
        <v>288.16</v>
      </c>
      <c r="Z413" t="str">
        <f>""</f>
        <v/>
      </c>
      <c r="AA413" t="str">
        <f>"17809.00"</f>
        <v>17809.00</v>
      </c>
      <c r="AB413" t="str">
        <f t="shared" si="125"/>
        <v>Residential</v>
      </c>
      <c r="AC413" t="str">
        <f t="shared" si="121"/>
        <v>0</v>
      </c>
      <c r="AD413" t="str">
        <f>""</f>
        <v/>
      </c>
      <c r="AE413" t="str">
        <f>""</f>
        <v/>
      </c>
      <c r="AF413" t="str">
        <f>"000"</f>
        <v>000</v>
      </c>
      <c r="AG413" t="str">
        <f t="shared" ref="AG413:AG423" si="126">"FL"</f>
        <v>FL</v>
      </c>
      <c r="AH413" t="str">
        <f>"22050.00"</f>
        <v>22050.00</v>
      </c>
      <c r="AI413" t="str">
        <f>"15771.00"</f>
        <v>15771.00</v>
      </c>
      <c r="AJ413" t="str">
        <f>"C55-000-586-7512-5"</f>
        <v>C55-000-586-7512-5</v>
      </c>
      <c r="AK413" t="str">
        <f>"6261"</f>
        <v>6261</v>
      </c>
      <c r="AL413">
        <v>2</v>
      </c>
      <c r="AM413">
        <v>480</v>
      </c>
      <c r="AN413">
        <v>300.97000000000003</v>
      </c>
      <c r="AQ413" t="s">
        <v>4620</v>
      </c>
      <c r="AR413" t="s">
        <v>4620</v>
      </c>
      <c r="AS413" t="s">
        <v>4620</v>
      </c>
      <c r="AU413" t="s">
        <v>396</v>
      </c>
      <c r="AV413">
        <v>2017</v>
      </c>
      <c r="AW413" t="str">
        <f>"08-3N-24-2380-0066-0032 "</f>
        <v xml:space="preserve">08-3N-24-2380-0066-0032 </v>
      </c>
      <c r="AZ413" t="s">
        <v>4621</v>
      </c>
      <c r="BA413" t="s">
        <v>1942</v>
      </c>
      <c r="BD413" t="s">
        <v>398</v>
      </c>
      <c r="BE413" t="s">
        <v>393</v>
      </c>
      <c r="BF413">
        <v>32046</v>
      </c>
      <c r="BG413" t="s">
        <v>4622</v>
      </c>
      <c r="BH413" t="s">
        <v>400</v>
      </c>
      <c r="BI413">
        <v>-81.928073491766199</v>
      </c>
      <c r="BJ413">
        <v>30.697020735082301</v>
      </c>
      <c r="BK413" t="s">
        <v>4623</v>
      </c>
      <c r="BM413" t="s">
        <v>4624</v>
      </c>
      <c r="BN413" t="s">
        <v>403</v>
      </c>
      <c r="BO413">
        <v>32046</v>
      </c>
      <c r="BP413" t="s">
        <v>404</v>
      </c>
      <c r="BQ413">
        <v>1</v>
      </c>
      <c r="BR413" t="s">
        <v>491</v>
      </c>
      <c r="BS413">
        <v>8001</v>
      </c>
      <c r="BT413" t="s">
        <v>492</v>
      </c>
      <c r="BU413">
        <v>1051</v>
      </c>
      <c r="BV413">
        <v>2100</v>
      </c>
      <c r="BW413">
        <v>21920</v>
      </c>
      <c r="BX413" t="s">
        <v>407</v>
      </c>
      <c r="BY413" t="s">
        <v>4370</v>
      </c>
      <c r="CD413">
        <v>2017</v>
      </c>
      <c r="CE413">
        <v>15771</v>
      </c>
      <c r="CF413">
        <v>2038</v>
      </c>
      <c r="CG413">
        <v>17809</v>
      </c>
      <c r="CH413">
        <v>2017</v>
      </c>
      <c r="CI413">
        <v>15771</v>
      </c>
      <c r="CJ413">
        <v>2038</v>
      </c>
      <c r="CK413">
        <v>17809</v>
      </c>
      <c r="CL413">
        <v>2017</v>
      </c>
      <c r="CM413">
        <v>248.7</v>
      </c>
      <c r="CN413" s="1">
        <v>38142</v>
      </c>
      <c r="CZ413" s="1">
        <v>38142</v>
      </c>
      <c r="DD413" t="s">
        <v>398</v>
      </c>
      <c r="DF413">
        <v>3</v>
      </c>
      <c r="DG413">
        <v>8</v>
      </c>
      <c r="DJ413" t="s">
        <v>4482</v>
      </c>
      <c r="DL413">
        <v>50400</v>
      </c>
      <c r="DM413" t="s">
        <v>4465</v>
      </c>
      <c r="DO413" t="s">
        <v>4625</v>
      </c>
      <c r="DP413">
        <v>0</v>
      </c>
      <c r="DQ413">
        <v>0</v>
      </c>
      <c r="DR413" t="s">
        <v>411</v>
      </c>
      <c r="DS413" t="b">
        <v>1</v>
      </c>
      <c r="DT413" t="s">
        <v>470</v>
      </c>
      <c r="DU413" t="s">
        <v>471</v>
      </c>
      <c r="DV413" t="s">
        <v>472</v>
      </c>
      <c r="DX413">
        <v>-9999</v>
      </c>
      <c r="DZ413" t="s">
        <v>447</v>
      </c>
      <c r="EA413" t="s">
        <v>448</v>
      </c>
      <c r="EB413" t="s">
        <v>1224</v>
      </c>
      <c r="EC413">
        <v>20101217</v>
      </c>
      <c r="ED413" t="s">
        <v>474</v>
      </c>
      <c r="EF413">
        <v>1614.5</v>
      </c>
      <c r="EG413">
        <v>1614.5</v>
      </c>
      <c r="EI413">
        <v>20160407</v>
      </c>
      <c r="EJ413">
        <v>0</v>
      </c>
      <c r="EK413">
        <v>0</v>
      </c>
      <c r="EP413" t="s">
        <v>421</v>
      </c>
      <c r="EQ413" t="s">
        <v>422</v>
      </c>
      <c r="ER413">
        <v>0</v>
      </c>
      <c r="ES413">
        <v>2</v>
      </c>
      <c r="ET413">
        <v>0</v>
      </c>
      <c r="EU413">
        <v>0</v>
      </c>
      <c r="EV413">
        <v>0</v>
      </c>
      <c r="EW413" s="2">
        <v>43222</v>
      </c>
      <c r="EX413" s="1">
        <v>42879</v>
      </c>
      <c r="EY413">
        <v>2016</v>
      </c>
      <c r="EZ413">
        <v>299.95999999999998</v>
      </c>
      <c r="FA413" t="s">
        <v>4626</v>
      </c>
      <c r="FB413">
        <v>14</v>
      </c>
      <c r="FC413" t="s">
        <v>424</v>
      </c>
      <c r="FD413" t="s">
        <v>425</v>
      </c>
      <c r="FE413" s="1">
        <v>42999</v>
      </c>
      <c r="FF413">
        <v>4</v>
      </c>
      <c r="FG413">
        <v>10021</v>
      </c>
      <c r="FH413" t="s">
        <v>597</v>
      </c>
      <c r="FJ413" s="1">
        <v>42515</v>
      </c>
      <c r="FK413">
        <v>2015</v>
      </c>
      <c r="FL413">
        <v>302.73</v>
      </c>
      <c r="FM413" t="s">
        <v>4627</v>
      </c>
      <c r="FN413">
        <v>15.25</v>
      </c>
      <c r="FO413" t="s">
        <v>424</v>
      </c>
      <c r="FP413" t="s">
        <v>425</v>
      </c>
      <c r="FQ413" s="1">
        <v>42531</v>
      </c>
      <c r="FR413">
        <v>1</v>
      </c>
      <c r="FS413">
        <v>7336143</v>
      </c>
      <c r="FT413" t="s">
        <v>539</v>
      </c>
    </row>
    <row r="414" spans="1:272" x14ac:dyDescent="0.25">
      <c r="A414">
        <v>16485421</v>
      </c>
      <c r="B414">
        <v>413</v>
      </c>
      <c r="C414" t="s">
        <v>393</v>
      </c>
      <c r="D414" t="s">
        <v>394</v>
      </c>
      <c r="F414" t="str">
        <f>"08-3N-24-2380-0067-0031"</f>
        <v>08-3N-24-2380-0067-0031</v>
      </c>
      <c r="H414" t="str">
        <f>"GORDON JACKIE L"</f>
        <v>GORDON JACKIE L</v>
      </c>
      <c r="I414" t="str">
        <f>"P O BOX 1347"</f>
        <v>P O BOX 1347</v>
      </c>
      <c r="J414" t="str">
        <f>"HILLIARD FL 32046"</f>
        <v>HILLIARD FL 32046</v>
      </c>
      <c r="K414" t="str">
        <f>"37988 OXFORD ST"</f>
        <v>37988 OXFORD ST</v>
      </c>
      <c r="L414" t="str">
        <f t="shared" si="124"/>
        <v>HILLIARD FL 32046</v>
      </c>
      <c r="M414" t="str">
        <f>"BLOCK 67 LOT E1/2 OF 3 LOT 4 LESS LINCOLN SUB IN OR 1244/537 TOWN OF HILLIARD"</f>
        <v>BLOCK 67 LOT E1/2 OF 3 LOT 4 LESS LINCOLN SUB IN OR 1244/537 TOWN OF HILLIARD</v>
      </c>
      <c r="N414" t="str">
        <f>""</f>
        <v/>
      </c>
      <c r="O414" t="str">
        <f>"23435"</f>
        <v>23435</v>
      </c>
      <c r="P414" t="str">
        <f t="shared" si="119"/>
        <v>2017</v>
      </c>
      <c r="Q414" t="str">
        <f>""</f>
        <v/>
      </c>
      <c r="R414" t="str">
        <f>"Y"</f>
        <v>Y</v>
      </c>
      <c r="S414" t="str">
        <f>""</f>
        <v/>
      </c>
      <c r="T414" t="str">
        <f>"350.92"</f>
        <v>350.92</v>
      </c>
      <c r="U414" t="str">
        <f>"60854.00"</f>
        <v>60854.00</v>
      </c>
      <c r="V414" t="str">
        <f>"60854.00"</f>
        <v>60854.00</v>
      </c>
      <c r="W414" t="str">
        <f t="shared" si="120"/>
        <v>2017</v>
      </c>
      <c r="X414" t="str">
        <f>"10.67"</f>
        <v>10.67</v>
      </c>
      <c r="Y414" t="str">
        <f>"305.17"</f>
        <v>305.17</v>
      </c>
      <c r="Z414" t="str">
        <f>"30000.00"</f>
        <v>30000.00</v>
      </c>
      <c r="AA414" t="str">
        <f>"30854.00"</f>
        <v>30854.00</v>
      </c>
      <c r="AB414" t="str">
        <f t="shared" si="125"/>
        <v>Residential</v>
      </c>
      <c r="AC414" t="str">
        <f t="shared" si="121"/>
        <v>0</v>
      </c>
      <c r="AD414" t="str">
        <f>"4"</f>
        <v>4</v>
      </c>
      <c r="AE414" t="str">
        <f>"WOOD (INCLUDE STEEL STUDS)"</f>
        <v>WOOD (INCLUDE STEEL STUDS)</v>
      </c>
      <c r="AF414" t="str">
        <f>"001"</f>
        <v>001</v>
      </c>
      <c r="AG414" t="str">
        <f t="shared" si="126"/>
        <v>FL</v>
      </c>
      <c r="AH414" t="str">
        <f>"34650.00"</f>
        <v>34650.00</v>
      </c>
      <c r="AI414" t="str">
        <f>"17985.00"</f>
        <v>17985.00</v>
      </c>
      <c r="AJ414" t="str">
        <f>"C55-000-586-7516-6"</f>
        <v>C55-000-586-7516-6</v>
      </c>
      <c r="AK414" t="str">
        <f>"6265"</f>
        <v>6265</v>
      </c>
      <c r="AL414">
        <v>2</v>
      </c>
      <c r="AM414">
        <v>481</v>
      </c>
      <c r="AN414">
        <v>318.83</v>
      </c>
      <c r="AQ414" t="s">
        <v>4628</v>
      </c>
      <c r="AR414" t="s">
        <v>4628</v>
      </c>
      <c r="AS414" t="s">
        <v>4628</v>
      </c>
      <c r="AU414" t="s">
        <v>396</v>
      </c>
      <c r="AV414">
        <v>2017</v>
      </c>
      <c r="AW414" t="str">
        <f>"08-3N-24-2380-0067-0031 "</f>
        <v xml:space="preserve">08-3N-24-2380-0067-0031 </v>
      </c>
      <c r="AX414">
        <v>37988</v>
      </c>
      <c r="AZ414" t="s">
        <v>4365</v>
      </c>
      <c r="BA414" t="s">
        <v>1942</v>
      </c>
      <c r="BD414" t="s">
        <v>398</v>
      </c>
      <c r="BE414" t="s">
        <v>393</v>
      </c>
      <c r="BF414">
        <v>32046</v>
      </c>
      <c r="BG414" t="s">
        <v>4629</v>
      </c>
      <c r="BH414" t="s">
        <v>400</v>
      </c>
      <c r="BI414">
        <v>-81.928258402984</v>
      </c>
      <c r="BJ414">
        <v>30.698137869805102</v>
      </c>
      <c r="BK414" t="s">
        <v>4630</v>
      </c>
      <c r="BM414" t="s">
        <v>4631</v>
      </c>
      <c r="BN414" t="s">
        <v>403</v>
      </c>
      <c r="BO414">
        <v>32046</v>
      </c>
      <c r="BP414" t="s">
        <v>404</v>
      </c>
      <c r="BQ414">
        <v>100</v>
      </c>
      <c r="BR414" t="s">
        <v>514</v>
      </c>
      <c r="BS414">
        <v>1001</v>
      </c>
      <c r="BT414" t="s">
        <v>515</v>
      </c>
      <c r="BU414">
        <v>1100</v>
      </c>
      <c r="BV414">
        <v>0</v>
      </c>
      <c r="BW414">
        <v>35117</v>
      </c>
      <c r="BX414" t="s">
        <v>407</v>
      </c>
      <c r="BY414" t="s">
        <v>4370</v>
      </c>
      <c r="BZ414">
        <v>4</v>
      </c>
      <c r="CA414">
        <v>1960</v>
      </c>
      <c r="CB414">
        <v>1</v>
      </c>
      <c r="CC414">
        <v>1</v>
      </c>
      <c r="CD414">
        <v>2017</v>
      </c>
      <c r="CE414">
        <v>17985</v>
      </c>
      <c r="CF414">
        <v>42869</v>
      </c>
      <c r="CG414">
        <v>60854</v>
      </c>
      <c r="CH414">
        <v>2017</v>
      </c>
      <c r="CI414">
        <v>17985</v>
      </c>
      <c r="CJ414">
        <v>42869</v>
      </c>
      <c r="CK414">
        <v>60854</v>
      </c>
      <c r="CL414">
        <v>2017</v>
      </c>
      <c r="CM414">
        <v>350.92</v>
      </c>
      <c r="DD414" t="s">
        <v>398</v>
      </c>
      <c r="DG414">
        <v>8</v>
      </c>
      <c r="DL414">
        <v>50400</v>
      </c>
      <c r="DM414" t="s">
        <v>4465</v>
      </c>
      <c r="DO414" t="s">
        <v>4632</v>
      </c>
      <c r="DP414">
        <v>0</v>
      </c>
      <c r="DQ414">
        <v>0</v>
      </c>
      <c r="DR414" t="s">
        <v>411</v>
      </c>
      <c r="DS414" t="b">
        <v>1</v>
      </c>
      <c r="DT414" t="s">
        <v>470</v>
      </c>
      <c r="DU414" t="s">
        <v>471</v>
      </c>
      <c r="DV414" t="s">
        <v>472</v>
      </c>
      <c r="DX414">
        <v>-9999</v>
      </c>
      <c r="DZ414" t="s">
        <v>447</v>
      </c>
      <c r="EA414" t="s">
        <v>448</v>
      </c>
      <c r="EB414" t="s">
        <v>1224</v>
      </c>
      <c r="EC414">
        <v>20101217</v>
      </c>
      <c r="ED414" t="s">
        <v>474</v>
      </c>
      <c r="EF414">
        <v>1950</v>
      </c>
      <c r="EG414">
        <v>1950</v>
      </c>
      <c r="EI414">
        <v>20160407</v>
      </c>
      <c r="EJ414">
        <v>0</v>
      </c>
      <c r="EK414">
        <v>0</v>
      </c>
      <c r="EP414" t="s">
        <v>595</v>
      </c>
      <c r="EQ414" t="s">
        <v>422</v>
      </c>
      <c r="ER414">
        <v>0</v>
      </c>
      <c r="ES414">
        <v>3</v>
      </c>
      <c r="ET414">
        <v>0</v>
      </c>
      <c r="EU414">
        <v>0</v>
      </c>
      <c r="EV414">
        <v>0</v>
      </c>
      <c r="EW414" s="2">
        <v>43222</v>
      </c>
      <c r="EX414" s="1">
        <v>42515</v>
      </c>
      <c r="EY414">
        <v>2015</v>
      </c>
      <c r="EZ414">
        <v>949.51</v>
      </c>
      <c r="FA414" t="s">
        <v>4633</v>
      </c>
      <c r="FB414">
        <v>0.25</v>
      </c>
      <c r="FC414" t="s">
        <v>424</v>
      </c>
      <c r="FD414" t="s">
        <v>425</v>
      </c>
      <c r="FE414" s="1">
        <v>42795</v>
      </c>
      <c r="FF414">
        <v>10</v>
      </c>
      <c r="FG414">
        <v>2851116</v>
      </c>
      <c r="FH414" t="s">
        <v>480</v>
      </c>
      <c r="FJ414" s="1">
        <v>42515</v>
      </c>
      <c r="FK414">
        <v>2015</v>
      </c>
      <c r="FL414">
        <v>949.51</v>
      </c>
      <c r="FM414" t="s">
        <v>4633</v>
      </c>
      <c r="FN414">
        <v>0.25</v>
      </c>
      <c r="FO414" t="s">
        <v>424</v>
      </c>
      <c r="FP414" t="s">
        <v>425</v>
      </c>
      <c r="FR414">
        <v>22</v>
      </c>
      <c r="FS414">
        <v>5647791</v>
      </c>
      <c r="FT414" t="s">
        <v>4634</v>
      </c>
      <c r="FV414" s="1">
        <v>41423</v>
      </c>
      <c r="FW414">
        <v>2012</v>
      </c>
      <c r="FX414">
        <v>44.47</v>
      </c>
      <c r="FY414" t="s">
        <v>4635</v>
      </c>
      <c r="FZ414">
        <v>18</v>
      </c>
      <c r="GA414" t="s">
        <v>603</v>
      </c>
      <c r="GB414" t="s">
        <v>425</v>
      </c>
      <c r="GC414" s="1">
        <v>41437</v>
      </c>
      <c r="GD414">
        <v>1</v>
      </c>
      <c r="GE414">
        <v>9999999</v>
      </c>
      <c r="GF414" t="s">
        <v>604</v>
      </c>
    </row>
    <row r="415" spans="1:272" x14ac:dyDescent="0.25">
      <c r="A415">
        <v>16485422</v>
      </c>
      <c r="B415">
        <v>414</v>
      </c>
      <c r="C415" t="s">
        <v>393</v>
      </c>
      <c r="D415" t="s">
        <v>394</v>
      </c>
      <c r="F415" t="str">
        <f>"08-3N-24-2380-0072-0040"</f>
        <v>08-3N-24-2380-0072-0040</v>
      </c>
      <c r="H415" t="str">
        <f>"JACKSON ALFRED &amp; BARBARA"</f>
        <v>JACKSON ALFRED &amp; BARBARA</v>
      </c>
      <c r="I415" t="str">
        <f>"PO BOX 187"</f>
        <v>PO BOX 187</v>
      </c>
      <c r="J415" t="str">
        <f>"HILLIARD FL 32046"</f>
        <v>HILLIARD FL 32046</v>
      </c>
      <c r="K415" t="str">
        <f>"361930 PINE ST"</f>
        <v>361930 PINE ST</v>
      </c>
      <c r="L415" t="str">
        <f t="shared" si="124"/>
        <v>HILLIARD FL 32046</v>
      </c>
      <c r="M415" t="str">
        <f>"BLOCK 72 LOT 4 IN OR 467/164 &amp; OR 469/439 TOWN OF HILLIARD"</f>
        <v>BLOCK 72 LOT 4 IN OR 467/164 &amp; OR 469/439 TOWN OF HILLIARD</v>
      </c>
      <c r="N415" t="str">
        <f>""</f>
        <v/>
      </c>
      <c r="O415" t="str">
        <f>"23443"</f>
        <v>23443</v>
      </c>
      <c r="P415" t="str">
        <f t="shared" si="119"/>
        <v>2017</v>
      </c>
      <c r="Q415" t="str">
        <f>""</f>
        <v/>
      </c>
      <c r="R415" t="str">
        <f>"Y"</f>
        <v>Y</v>
      </c>
      <c r="S415" t="str">
        <f>""</f>
        <v/>
      </c>
      <c r="T415" t="str">
        <f>"675.93"</f>
        <v>675.93</v>
      </c>
      <c r="U415" t="str">
        <f>"91589.00"</f>
        <v>91589.00</v>
      </c>
      <c r="V415" t="str">
        <f>"91589.00"</f>
        <v>91589.00</v>
      </c>
      <c r="W415" t="str">
        <f t="shared" si="120"/>
        <v>2017</v>
      </c>
      <c r="X415" t="str">
        <f>"6.50"</f>
        <v>6.50</v>
      </c>
      <c r="Y415" t="str">
        <f>"728.21"</f>
        <v>728.21</v>
      </c>
      <c r="Z415" t="str">
        <f>"30000.00"</f>
        <v>30000.00</v>
      </c>
      <c r="AA415" t="str">
        <f>"61589.00"</f>
        <v>61589.00</v>
      </c>
      <c r="AB415" t="str">
        <f t="shared" si="125"/>
        <v>Residential</v>
      </c>
      <c r="AC415" t="str">
        <f t="shared" si="121"/>
        <v>0</v>
      </c>
      <c r="AD415" t="str">
        <f>"4"</f>
        <v>4</v>
      </c>
      <c r="AE415" t="str">
        <f>"WOOD (INCLUDE STEEL STUDS)"</f>
        <v>WOOD (INCLUDE STEEL STUDS)</v>
      </c>
      <c r="AF415" t="str">
        <f>"001"</f>
        <v>001</v>
      </c>
      <c r="AG415" t="str">
        <f t="shared" si="126"/>
        <v>FL</v>
      </c>
      <c r="AH415" t="str">
        <f>"44100.00"</f>
        <v>44100.00</v>
      </c>
      <c r="AI415" t="str">
        <f>"31500.00"</f>
        <v>31500.00</v>
      </c>
      <c r="AJ415" t="str">
        <f>"C55-000-586-7524-0"</f>
        <v>C55-000-586-7524-0</v>
      </c>
      <c r="AK415" t="str">
        <f>"6273"</f>
        <v>6273</v>
      </c>
      <c r="AL415">
        <v>2</v>
      </c>
      <c r="AM415">
        <v>482</v>
      </c>
      <c r="AN415">
        <v>763.02</v>
      </c>
      <c r="AQ415" t="s">
        <v>4636</v>
      </c>
      <c r="AR415" t="s">
        <v>4636</v>
      </c>
      <c r="AS415" t="s">
        <v>4636</v>
      </c>
      <c r="AU415" t="s">
        <v>396</v>
      </c>
      <c r="AV415">
        <v>2017</v>
      </c>
      <c r="AW415" t="str">
        <f>"08-3N-24-2380-0072-0040 "</f>
        <v xml:space="preserve">08-3N-24-2380-0072-0040 </v>
      </c>
      <c r="AX415">
        <v>361930</v>
      </c>
      <c r="AZ415" t="s">
        <v>4621</v>
      </c>
      <c r="BA415" t="s">
        <v>1942</v>
      </c>
      <c r="BD415" t="s">
        <v>398</v>
      </c>
      <c r="BE415" t="s">
        <v>393</v>
      </c>
      <c r="BF415">
        <v>32046</v>
      </c>
      <c r="BG415" t="s">
        <v>4637</v>
      </c>
      <c r="BH415" t="s">
        <v>400</v>
      </c>
      <c r="BI415">
        <v>-81.927931076809998</v>
      </c>
      <c r="BJ415">
        <v>30.6953815328432</v>
      </c>
      <c r="BK415" t="s">
        <v>4638</v>
      </c>
      <c r="BL415" t="s">
        <v>4639</v>
      </c>
      <c r="BM415" t="s">
        <v>4640</v>
      </c>
      <c r="BN415" t="s">
        <v>403</v>
      </c>
      <c r="BO415">
        <v>32046</v>
      </c>
      <c r="BP415" t="s">
        <v>404</v>
      </c>
      <c r="BQ415">
        <v>100</v>
      </c>
      <c r="BR415" t="s">
        <v>514</v>
      </c>
      <c r="BS415">
        <v>1001</v>
      </c>
      <c r="BT415" t="s">
        <v>515</v>
      </c>
      <c r="BU415">
        <v>2100</v>
      </c>
      <c r="BV415">
        <v>2100</v>
      </c>
      <c r="BW415">
        <v>44100</v>
      </c>
      <c r="BX415" t="s">
        <v>407</v>
      </c>
      <c r="BY415" t="s">
        <v>4370</v>
      </c>
      <c r="BZ415">
        <v>4</v>
      </c>
      <c r="CA415">
        <v>1985</v>
      </c>
      <c r="CB415">
        <v>1.5</v>
      </c>
      <c r="CC415">
        <v>1</v>
      </c>
      <c r="CD415">
        <v>2017</v>
      </c>
      <c r="CG415">
        <v>91589</v>
      </c>
      <c r="CH415">
        <v>2017</v>
      </c>
      <c r="CI415">
        <v>31500</v>
      </c>
      <c r="CJ415">
        <v>87189</v>
      </c>
      <c r="CK415">
        <v>118689</v>
      </c>
      <c r="CL415">
        <v>2017</v>
      </c>
      <c r="CM415">
        <v>675.93</v>
      </c>
      <c r="CN415" s="1">
        <v>31107</v>
      </c>
      <c r="CO415">
        <v>1000</v>
      </c>
      <c r="CZ415" s="1">
        <v>31107</v>
      </c>
      <c r="DD415" t="s">
        <v>398</v>
      </c>
      <c r="DF415">
        <v>4</v>
      </c>
      <c r="DG415">
        <v>8</v>
      </c>
      <c r="DL415">
        <v>50400</v>
      </c>
      <c r="DM415" t="s">
        <v>4465</v>
      </c>
      <c r="DO415" t="s">
        <v>4641</v>
      </c>
      <c r="DP415">
        <v>0</v>
      </c>
      <c r="DQ415">
        <v>0</v>
      </c>
      <c r="DR415" t="s">
        <v>411</v>
      </c>
      <c r="DS415" t="b">
        <v>1</v>
      </c>
      <c r="DT415" t="s">
        <v>470</v>
      </c>
      <c r="DU415" t="s">
        <v>471</v>
      </c>
      <c r="DV415" t="s">
        <v>472</v>
      </c>
      <c r="DX415">
        <v>-9999</v>
      </c>
      <c r="DZ415" t="s">
        <v>447</v>
      </c>
      <c r="EA415" t="s">
        <v>448</v>
      </c>
      <c r="EB415" t="s">
        <v>1224</v>
      </c>
      <c r="EC415">
        <v>20101217</v>
      </c>
      <c r="ED415" t="s">
        <v>474</v>
      </c>
      <c r="EF415">
        <v>1171.9000000000001</v>
      </c>
      <c r="EG415">
        <v>1171.9000000000001</v>
      </c>
      <c r="EI415">
        <v>20160407</v>
      </c>
      <c r="EJ415">
        <v>0</v>
      </c>
      <c r="EK415">
        <v>0</v>
      </c>
      <c r="EP415" t="s">
        <v>421</v>
      </c>
      <c r="EQ415" t="s">
        <v>422</v>
      </c>
      <c r="ER415">
        <v>0</v>
      </c>
      <c r="ES415">
        <v>3</v>
      </c>
      <c r="ET415">
        <v>0</v>
      </c>
      <c r="EU415">
        <v>0</v>
      </c>
      <c r="EV415">
        <v>0</v>
      </c>
      <c r="EW415" s="2">
        <v>43222</v>
      </c>
      <c r="EX415" s="1">
        <v>42515</v>
      </c>
      <c r="EY415">
        <v>2015</v>
      </c>
      <c r="EZ415">
        <v>764.47</v>
      </c>
      <c r="FA415" t="s">
        <v>4642</v>
      </c>
      <c r="FB415">
        <v>0.25</v>
      </c>
      <c r="FC415" t="s">
        <v>424</v>
      </c>
      <c r="FD415" t="s">
        <v>425</v>
      </c>
      <c r="FE415" s="1">
        <v>42528</v>
      </c>
      <c r="FF415">
        <v>1</v>
      </c>
      <c r="FG415">
        <v>2851116</v>
      </c>
      <c r="FH415" t="s">
        <v>480</v>
      </c>
      <c r="FJ415" s="1">
        <v>42515</v>
      </c>
      <c r="FK415">
        <v>2015</v>
      </c>
      <c r="FL415">
        <v>764.47</v>
      </c>
      <c r="FM415" t="s">
        <v>4642</v>
      </c>
      <c r="FN415">
        <v>0.25</v>
      </c>
      <c r="FO415" t="s">
        <v>424</v>
      </c>
      <c r="FP415" t="s">
        <v>425</v>
      </c>
      <c r="FR415">
        <v>22</v>
      </c>
      <c r="FS415">
        <v>4957011</v>
      </c>
      <c r="FT415" t="s">
        <v>4643</v>
      </c>
      <c r="FV415" s="1">
        <v>40688</v>
      </c>
      <c r="FW415">
        <v>2010</v>
      </c>
      <c r="FX415">
        <v>547.72</v>
      </c>
      <c r="FY415" t="s">
        <v>4644</v>
      </c>
      <c r="FZ415">
        <v>0.25</v>
      </c>
      <c r="GA415" t="s">
        <v>424</v>
      </c>
      <c r="GB415" t="s">
        <v>425</v>
      </c>
      <c r="GC415" s="1">
        <v>40765</v>
      </c>
      <c r="GD415">
        <v>3</v>
      </c>
      <c r="GE415">
        <v>11141</v>
      </c>
      <c r="GF415" t="s">
        <v>1723</v>
      </c>
    </row>
    <row r="416" spans="1:272" x14ac:dyDescent="0.25">
      <c r="A416">
        <v>16485423</v>
      </c>
      <c r="B416">
        <v>415</v>
      </c>
      <c r="C416" t="s">
        <v>393</v>
      </c>
      <c r="D416" t="s">
        <v>394</v>
      </c>
      <c r="F416" t="str">
        <f>"08-3N-24-2380-0074-0023"</f>
        <v>08-3N-24-2380-0074-0023</v>
      </c>
      <c r="H416" t="str">
        <f>"KELLY JOANNE"</f>
        <v>KELLY JOANNE</v>
      </c>
      <c r="I416" t="str">
        <f>"PO BOX 545"</f>
        <v>PO BOX 545</v>
      </c>
      <c r="J416" t="str">
        <f>"CALLAHAN FL 32011"</f>
        <v>CALLAHAN FL 32011</v>
      </c>
      <c r="K416" t="str">
        <f>"37601 NEW OAK ST"</f>
        <v>37601 NEW OAK ST</v>
      </c>
      <c r="L416" t="str">
        <f t="shared" si="124"/>
        <v>HILLIARD FL 32046</v>
      </c>
      <c r="M416" t="str">
        <f>"BLOCK 74 PT LOT 2 IN OR 1778/1318 TOWN OF HILLIARD"</f>
        <v>BLOCK 74 PT LOT 2 IN OR 1778/1318 TOWN OF HILLIARD</v>
      </c>
      <c r="N416" t="str">
        <f>""</f>
        <v/>
      </c>
      <c r="O416" t="str">
        <f>"23449"</f>
        <v>23449</v>
      </c>
      <c r="P416" t="str">
        <f t="shared" si="119"/>
        <v>2017</v>
      </c>
      <c r="Q416" t="str">
        <f>""</f>
        <v/>
      </c>
      <c r="R416" t="str">
        <f>"N"</f>
        <v>N</v>
      </c>
      <c r="S416" t="str">
        <f>""</f>
        <v/>
      </c>
      <c r="T416" t="str">
        <f>"131.97"</f>
        <v>131.97</v>
      </c>
      <c r="U416" t="str">
        <f>"9450.00"</f>
        <v>9450.00</v>
      </c>
      <c r="V416" t="str">
        <f>"9450.00"</f>
        <v>9450.00</v>
      </c>
      <c r="W416" t="str">
        <f t="shared" si="120"/>
        <v>2017</v>
      </c>
      <c r="X416" t="str">
        <f>"30.36"</f>
        <v>30.36</v>
      </c>
      <c r="Y416" t="str">
        <f>"167.93"</f>
        <v>167.93</v>
      </c>
      <c r="Z416" t="str">
        <f>""</f>
        <v/>
      </c>
      <c r="AA416" t="str">
        <f>"9450.00"</f>
        <v>9450.00</v>
      </c>
      <c r="AB416" t="str">
        <f t="shared" si="125"/>
        <v>Residential</v>
      </c>
      <c r="AC416" t="str">
        <f t="shared" si="121"/>
        <v>0</v>
      </c>
      <c r="AD416" t="str">
        <f>""</f>
        <v/>
      </c>
      <c r="AE416" t="str">
        <f>""</f>
        <v/>
      </c>
      <c r="AF416" t="str">
        <f>"000"</f>
        <v>000</v>
      </c>
      <c r="AG416" t="str">
        <f t="shared" si="126"/>
        <v>FL</v>
      </c>
      <c r="AH416" t="str">
        <f>"7350.00"</f>
        <v>7350.00</v>
      </c>
      <c r="AI416" t="str">
        <f>"9450.00"</f>
        <v>9450.00</v>
      </c>
      <c r="AJ416" t="str">
        <f>"C55-000-586-7529-9"</f>
        <v>C55-000-586-7529-9</v>
      </c>
      <c r="AK416" t="str">
        <f>"6279"</f>
        <v>6279</v>
      </c>
      <c r="AL416">
        <v>2</v>
      </c>
      <c r="AM416">
        <v>483</v>
      </c>
      <c r="AN416">
        <v>174.73</v>
      </c>
      <c r="AQ416" t="s">
        <v>4645</v>
      </c>
      <c r="AR416" t="s">
        <v>4645</v>
      </c>
      <c r="AS416" t="s">
        <v>4645</v>
      </c>
      <c r="AU416" t="s">
        <v>396</v>
      </c>
      <c r="AV416">
        <v>2017</v>
      </c>
      <c r="AW416" t="str">
        <f>"08-3N-24-2380-0074-0023 "</f>
        <v xml:space="preserve">08-3N-24-2380-0074-0023 </v>
      </c>
      <c r="AX416">
        <v>37601</v>
      </c>
      <c r="AZ416" t="s">
        <v>4646</v>
      </c>
      <c r="BA416" t="s">
        <v>1942</v>
      </c>
      <c r="BD416" t="s">
        <v>398</v>
      </c>
      <c r="BE416" t="s">
        <v>393</v>
      </c>
      <c r="BF416">
        <v>32046</v>
      </c>
      <c r="BG416" t="s">
        <v>4647</v>
      </c>
      <c r="BH416" t="s">
        <v>400</v>
      </c>
      <c r="BI416">
        <v>-81.927642524741898</v>
      </c>
      <c r="BJ416">
        <v>30.693478946488501</v>
      </c>
      <c r="BK416" t="s">
        <v>4648</v>
      </c>
      <c r="BM416" t="s">
        <v>4649</v>
      </c>
      <c r="BN416" t="s">
        <v>928</v>
      </c>
      <c r="BO416">
        <v>32011</v>
      </c>
      <c r="BP416" t="s">
        <v>404</v>
      </c>
      <c r="BQ416">
        <v>0</v>
      </c>
      <c r="BR416" t="s">
        <v>491</v>
      </c>
      <c r="BS416">
        <v>8001</v>
      </c>
      <c r="BT416" t="s">
        <v>492</v>
      </c>
      <c r="BU416">
        <v>1050</v>
      </c>
      <c r="BV416">
        <v>0</v>
      </c>
      <c r="BW416">
        <v>7350</v>
      </c>
      <c r="BX416" t="s">
        <v>407</v>
      </c>
      <c r="BY416" t="s">
        <v>4370</v>
      </c>
      <c r="CD416">
        <v>2017</v>
      </c>
      <c r="CE416">
        <v>9450</v>
      </c>
      <c r="CG416">
        <v>9450</v>
      </c>
      <c r="CH416">
        <v>2017</v>
      </c>
      <c r="CI416">
        <v>9450</v>
      </c>
      <c r="CK416">
        <v>9450</v>
      </c>
      <c r="CL416">
        <v>2017</v>
      </c>
      <c r="CM416">
        <v>131.97</v>
      </c>
      <c r="CN416" s="1">
        <v>40074</v>
      </c>
      <c r="CO416">
        <v>13300</v>
      </c>
      <c r="CV416">
        <v>0</v>
      </c>
      <c r="CZ416" s="1">
        <v>40074</v>
      </c>
      <c r="DA416">
        <v>0</v>
      </c>
      <c r="DD416" t="s">
        <v>398</v>
      </c>
      <c r="DF416">
        <v>2</v>
      </c>
      <c r="DG416">
        <v>8</v>
      </c>
      <c r="DL416">
        <v>50400</v>
      </c>
      <c r="DM416" t="s">
        <v>4465</v>
      </c>
      <c r="DO416" t="s">
        <v>4650</v>
      </c>
      <c r="DP416">
        <v>0</v>
      </c>
      <c r="DQ416">
        <v>0</v>
      </c>
      <c r="DR416" t="s">
        <v>411</v>
      </c>
      <c r="DS416" t="b">
        <v>1</v>
      </c>
      <c r="DT416" t="s">
        <v>470</v>
      </c>
      <c r="DU416" t="s">
        <v>471</v>
      </c>
      <c r="DV416" t="s">
        <v>472</v>
      </c>
      <c r="DX416">
        <v>-9999</v>
      </c>
      <c r="DZ416" t="s">
        <v>447</v>
      </c>
      <c r="EA416" t="s">
        <v>448</v>
      </c>
      <c r="EB416" t="s">
        <v>1224</v>
      </c>
      <c r="EC416">
        <v>20101217</v>
      </c>
      <c r="ED416" t="s">
        <v>474</v>
      </c>
      <c r="EF416">
        <v>606.29999999999995</v>
      </c>
      <c r="EG416">
        <v>606.29999999999995</v>
      </c>
      <c r="EI416">
        <v>20160407</v>
      </c>
      <c r="EJ416">
        <v>0</v>
      </c>
      <c r="EK416">
        <v>0</v>
      </c>
      <c r="EP416" t="s">
        <v>421</v>
      </c>
      <c r="EQ416" t="s">
        <v>452</v>
      </c>
      <c r="ER416">
        <v>1</v>
      </c>
      <c r="ES416">
        <v>8</v>
      </c>
      <c r="ET416">
        <v>172.26</v>
      </c>
      <c r="EU416">
        <v>31.23</v>
      </c>
      <c r="EV416">
        <v>203.49</v>
      </c>
      <c r="EW416" s="2">
        <v>43222</v>
      </c>
      <c r="EX416" s="1">
        <v>42879</v>
      </c>
      <c r="EY416">
        <v>2016</v>
      </c>
      <c r="EZ416">
        <v>172.26</v>
      </c>
      <c r="FA416" t="s">
        <v>4651</v>
      </c>
      <c r="FB416">
        <v>14.5</v>
      </c>
      <c r="FC416" t="s">
        <v>424</v>
      </c>
      <c r="FD416" t="s">
        <v>454</v>
      </c>
      <c r="FF416">
        <v>12</v>
      </c>
      <c r="FG416">
        <v>10021</v>
      </c>
      <c r="FH416" t="s">
        <v>597</v>
      </c>
      <c r="FJ416" s="1">
        <v>42515</v>
      </c>
      <c r="FK416">
        <v>2015</v>
      </c>
      <c r="FL416">
        <v>171.21</v>
      </c>
      <c r="FM416" t="s">
        <v>4652</v>
      </c>
      <c r="FN416">
        <v>16.25</v>
      </c>
      <c r="FO416" t="s">
        <v>424</v>
      </c>
      <c r="FP416" t="s">
        <v>425</v>
      </c>
      <c r="FQ416" s="1">
        <v>43147</v>
      </c>
      <c r="FR416">
        <v>21</v>
      </c>
      <c r="FS416">
        <v>10364</v>
      </c>
      <c r="FT416" t="s">
        <v>4653</v>
      </c>
      <c r="FV416" s="1">
        <v>42515</v>
      </c>
      <c r="FW416">
        <v>2015</v>
      </c>
      <c r="FX416">
        <v>171.21</v>
      </c>
      <c r="FY416" t="s">
        <v>4652</v>
      </c>
      <c r="FZ416">
        <v>16.25</v>
      </c>
      <c r="GA416" t="s">
        <v>424</v>
      </c>
      <c r="GB416" t="s">
        <v>425</v>
      </c>
      <c r="GD416">
        <v>22</v>
      </c>
      <c r="GE416">
        <v>5432911</v>
      </c>
      <c r="GF416" t="s">
        <v>4654</v>
      </c>
      <c r="GH416" s="1">
        <v>41787</v>
      </c>
      <c r="GI416">
        <v>2013</v>
      </c>
      <c r="GJ416">
        <v>477.62</v>
      </c>
      <c r="GK416" t="s">
        <v>4655</v>
      </c>
      <c r="GL416">
        <v>7.25</v>
      </c>
      <c r="GM416" t="s">
        <v>424</v>
      </c>
      <c r="GN416" t="s">
        <v>425</v>
      </c>
      <c r="GO416" s="1">
        <v>42004</v>
      </c>
      <c r="GP416">
        <v>7</v>
      </c>
      <c r="GQ416">
        <v>2035919</v>
      </c>
      <c r="GR416" t="s">
        <v>507</v>
      </c>
      <c r="GS416" t="s">
        <v>458</v>
      </c>
      <c r="GT416" s="1">
        <v>41423</v>
      </c>
      <c r="GU416">
        <v>2012</v>
      </c>
      <c r="GV416">
        <v>465.21</v>
      </c>
      <c r="GW416" t="s">
        <v>4656</v>
      </c>
      <c r="GX416">
        <v>2.75</v>
      </c>
      <c r="GY416" t="s">
        <v>424</v>
      </c>
      <c r="GZ416" t="s">
        <v>425</v>
      </c>
      <c r="HA416" s="1">
        <v>42004</v>
      </c>
      <c r="HB416">
        <v>19</v>
      </c>
      <c r="HC416">
        <v>15399</v>
      </c>
      <c r="HD416" t="s">
        <v>485</v>
      </c>
      <c r="HE416" t="s">
        <v>458</v>
      </c>
      <c r="HF416" s="1">
        <v>41052</v>
      </c>
      <c r="HG416">
        <v>2011</v>
      </c>
      <c r="HH416">
        <v>488.57</v>
      </c>
      <c r="HI416" t="s">
        <v>4657</v>
      </c>
      <c r="HJ416">
        <v>6</v>
      </c>
      <c r="HK416" t="s">
        <v>424</v>
      </c>
      <c r="HL416" t="s">
        <v>425</v>
      </c>
      <c r="HN416">
        <v>22</v>
      </c>
      <c r="HO416">
        <v>1625515</v>
      </c>
      <c r="HP416" t="s">
        <v>487</v>
      </c>
      <c r="HQ416" t="s">
        <v>458</v>
      </c>
      <c r="HR416" s="1">
        <v>41052</v>
      </c>
      <c r="HS416">
        <v>2011</v>
      </c>
      <c r="HT416">
        <v>488.57</v>
      </c>
      <c r="HU416" t="s">
        <v>4657</v>
      </c>
      <c r="HV416">
        <v>6</v>
      </c>
      <c r="HW416" t="s">
        <v>424</v>
      </c>
      <c r="HX416" t="s">
        <v>425</v>
      </c>
      <c r="HZ416">
        <v>22</v>
      </c>
      <c r="IA416">
        <v>10579</v>
      </c>
      <c r="IB416" t="s">
        <v>488</v>
      </c>
      <c r="IC416" t="s">
        <v>458</v>
      </c>
      <c r="ID416" s="1">
        <v>41052</v>
      </c>
      <c r="IE416">
        <v>2011</v>
      </c>
      <c r="IF416">
        <v>488.57</v>
      </c>
      <c r="IG416" t="s">
        <v>4657</v>
      </c>
      <c r="IH416">
        <v>6</v>
      </c>
      <c r="II416" t="s">
        <v>424</v>
      </c>
      <c r="IJ416" t="s">
        <v>425</v>
      </c>
      <c r="IL416">
        <v>22</v>
      </c>
      <c r="IM416">
        <v>14996</v>
      </c>
      <c r="IN416" t="s">
        <v>3439</v>
      </c>
      <c r="IO416" t="s">
        <v>458</v>
      </c>
      <c r="IP416" s="1">
        <v>40688</v>
      </c>
      <c r="IQ416">
        <v>2010</v>
      </c>
      <c r="IR416">
        <v>491.62</v>
      </c>
      <c r="IS416" t="s">
        <v>4658</v>
      </c>
      <c r="IT416">
        <v>6.5</v>
      </c>
      <c r="IU416" t="s">
        <v>424</v>
      </c>
      <c r="IV416" t="s">
        <v>425</v>
      </c>
      <c r="IW416" s="1">
        <v>41355</v>
      </c>
      <c r="IX416">
        <v>22</v>
      </c>
      <c r="IY416">
        <v>10579</v>
      </c>
      <c r="IZ416" t="s">
        <v>488</v>
      </c>
    </row>
    <row r="417" spans="1:284" x14ac:dyDescent="0.25">
      <c r="A417">
        <v>16485424</v>
      </c>
      <c r="B417">
        <v>416</v>
      </c>
      <c r="C417" t="s">
        <v>393</v>
      </c>
      <c r="D417" t="s">
        <v>394</v>
      </c>
      <c r="F417" t="str">
        <f>"08-3N-24-2380-0074-0024"</f>
        <v>08-3N-24-2380-0074-0024</v>
      </c>
      <c r="H417" t="str">
        <f>"BARNES J T &amp; BARBARA"</f>
        <v>BARNES J T &amp; BARBARA</v>
      </c>
      <c r="I417" t="str">
        <f>"37293 WEST FIFTH STREET"</f>
        <v>37293 WEST FIFTH STREET</v>
      </c>
      <c r="J417" t="str">
        <f>"HILLIARD FL 32046"</f>
        <v>HILLIARD FL 32046</v>
      </c>
      <c r="K417" t="str">
        <f>"37293 W FIFTH ST"</f>
        <v>37293 W FIFTH ST</v>
      </c>
      <c r="L417" t="str">
        <f t="shared" si="124"/>
        <v>HILLIARD FL 32046</v>
      </c>
      <c r="M417" t="str">
        <f>"BLOCK 74 PT OF LOT 2 IN OR 360/511 &amp; OR 88/415 (EX OR 1980/529) TOWN OF HILLIARD"</f>
        <v>BLOCK 74 PT OF LOT 2 IN OR 360/511 &amp; OR 88/415 (EX OR 1980/529) TOWN OF HILLIARD</v>
      </c>
      <c r="N417" t="str">
        <f>""</f>
        <v/>
      </c>
      <c r="O417" t="str">
        <f>"23450"</f>
        <v>23450</v>
      </c>
      <c r="P417" t="str">
        <f t="shared" si="119"/>
        <v>2017</v>
      </c>
      <c r="Q417" t="str">
        <f>""</f>
        <v/>
      </c>
      <c r="R417" t="str">
        <f>"N"</f>
        <v>N</v>
      </c>
      <c r="S417" t="str">
        <f>""</f>
        <v/>
      </c>
      <c r="T417" t="str">
        <f>"721.32"</f>
        <v>721.32</v>
      </c>
      <c r="U417" t="str">
        <f>"51650.00"</f>
        <v>51650.00</v>
      </c>
      <c r="V417" t="str">
        <f>"51650.00"</f>
        <v>51650.00</v>
      </c>
      <c r="W417" t="str">
        <f t="shared" si="120"/>
        <v>2017</v>
      </c>
      <c r="X417" t="str">
        <f>""</f>
        <v/>
      </c>
      <c r="Y417" t="str">
        <f>"774.96"</f>
        <v>774.96</v>
      </c>
      <c r="Z417" t="str">
        <f>""</f>
        <v/>
      </c>
      <c r="AA417" t="str">
        <f>"51650.00"</f>
        <v>51650.00</v>
      </c>
      <c r="AB417" t="str">
        <f t="shared" si="125"/>
        <v>Residential</v>
      </c>
      <c r="AC417" t="str">
        <f t="shared" si="121"/>
        <v>0</v>
      </c>
      <c r="AD417" t="str">
        <f t="shared" ref="AD417:AD422" si="127">"4"</f>
        <v>4</v>
      </c>
      <c r="AE417" t="str">
        <f t="shared" ref="AE417:AE422" si="128">"WOOD (INCLUDE STEEL STUDS)"</f>
        <v>WOOD (INCLUDE STEEL STUDS)</v>
      </c>
      <c r="AF417" t="str">
        <f>"001"</f>
        <v>001</v>
      </c>
      <c r="AG417" t="str">
        <f t="shared" si="126"/>
        <v>FL</v>
      </c>
      <c r="AH417" t="str">
        <f>"7350.00"</f>
        <v>7350.00</v>
      </c>
      <c r="AI417" t="str">
        <f>"7980.00"</f>
        <v>7980.00</v>
      </c>
      <c r="AJ417" t="str">
        <f>"C55-000-586-7530-7"</f>
        <v>C55-000-586-7530-7</v>
      </c>
      <c r="AK417" t="str">
        <f>"6280"</f>
        <v>6280</v>
      </c>
      <c r="AL417">
        <v>2</v>
      </c>
      <c r="AM417">
        <v>484</v>
      </c>
      <c r="AN417">
        <v>812.11</v>
      </c>
      <c r="AQ417" t="s">
        <v>4659</v>
      </c>
      <c r="AR417" t="s">
        <v>4659</v>
      </c>
      <c r="AS417" t="s">
        <v>4659</v>
      </c>
      <c r="AU417" t="s">
        <v>396</v>
      </c>
      <c r="AV417">
        <v>2017</v>
      </c>
      <c r="AW417" t="str">
        <f>"08-3N-24-2380-0074-0024 "</f>
        <v xml:space="preserve">08-3N-24-2380-0074-0024 </v>
      </c>
      <c r="AX417">
        <v>37293</v>
      </c>
      <c r="AY417" t="s">
        <v>4459</v>
      </c>
      <c r="AZ417" t="s">
        <v>4660</v>
      </c>
      <c r="BA417" t="s">
        <v>1942</v>
      </c>
      <c r="BD417" t="s">
        <v>398</v>
      </c>
      <c r="BE417" t="s">
        <v>393</v>
      </c>
      <c r="BF417">
        <v>32046</v>
      </c>
      <c r="BG417" t="s">
        <v>4661</v>
      </c>
      <c r="BH417" t="s">
        <v>400</v>
      </c>
      <c r="BI417">
        <v>-81.927090122339706</v>
      </c>
      <c r="BJ417">
        <v>30.693432885888299</v>
      </c>
      <c r="BK417" t="s">
        <v>4662</v>
      </c>
      <c r="BM417" t="s">
        <v>4663</v>
      </c>
      <c r="BN417" t="s">
        <v>403</v>
      </c>
      <c r="BO417">
        <v>32046</v>
      </c>
      <c r="BP417" t="s">
        <v>404</v>
      </c>
      <c r="BQ417">
        <v>100</v>
      </c>
      <c r="BR417" t="s">
        <v>514</v>
      </c>
      <c r="BS417">
        <v>1001</v>
      </c>
      <c r="BT417" t="s">
        <v>515</v>
      </c>
      <c r="BU417">
        <v>700</v>
      </c>
      <c r="BV417">
        <v>1050</v>
      </c>
      <c r="BW417">
        <v>7350</v>
      </c>
      <c r="BX417" t="s">
        <v>407</v>
      </c>
      <c r="BY417" t="s">
        <v>4370</v>
      </c>
      <c r="BZ417">
        <v>4</v>
      </c>
      <c r="CA417">
        <v>1952</v>
      </c>
      <c r="CB417">
        <v>1</v>
      </c>
      <c r="CC417">
        <v>1</v>
      </c>
      <c r="CD417">
        <v>2017</v>
      </c>
      <c r="CE417">
        <v>7980</v>
      </c>
      <c r="CF417">
        <v>43670</v>
      </c>
      <c r="CG417">
        <v>51650</v>
      </c>
      <c r="CH417">
        <v>2017</v>
      </c>
      <c r="CI417">
        <v>7980</v>
      </c>
      <c r="CJ417">
        <v>43670</v>
      </c>
      <c r="CK417">
        <v>51650</v>
      </c>
      <c r="CL417">
        <v>2017</v>
      </c>
      <c r="CM417">
        <v>721.32</v>
      </c>
      <c r="CN417" s="1">
        <v>30072</v>
      </c>
      <c r="CO417">
        <v>1500</v>
      </c>
      <c r="CZ417" s="1">
        <v>30072</v>
      </c>
      <c r="DD417" t="s">
        <v>398</v>
      </c>
      <c r="DG417">
        <v>8</v>
      </c>
      <c r="DJ417" t="s">
        <v>4482</v>
      </c>
      <c r="DL417">
        <v>50400</v>
      </c>
      <c r="DM417" t="s">
        <v>4465</v>
      </c>
      <c r="DO417" t="s">
        <v>4664</v>
      </c>
      <c r="DP417">
        <v>0</v>
      </c>
      <c r="DQ417">
        <v>0</v>
      </c>
      <c r="DR417" t="s">
        <v>411</v>
      </c>
      <c r="EP417" t="s">
        <v>421</v>
      </c>
      <c r="EQ417" t="s">
        <v>422</v>
      </c>
      <c r="ER417">
        <v>2</v>
      </c>
      <c r="ES417">
        <v>0</v>
      </c>
      <c r="ET417">
        <v>1583.18</v>
      </c>
      <c r="EU417">
        <v>91.66</v>
      </c>
      <c r="EV417">
        <v>1674.84</v>
      </c>
      <c r="EW417" s="2">
        <v>43222</v>
      </c>
      <c r="EX417" s="1">
        <v>42879</v>
      </c>
      <c r="EY417">
        <v>2016</v>
      </c>
      <c r="EZ417">
        <v>791.59</v>
      </c>
      <c r="FA417" t="s">
        <v>4665</v>
      </c>
      <c r="FB417">
        <v>0.25</v>
      </c>
      <c r="FC417" t="s">
        <v>424</v>
      </c>
      <c r="FD417" t="s">
        <v>454</v>
      </c>
      <c r="FF417">
        <v>12</v>
      </c>
      <c r="FG417">
        <v>7336671</v>
      </c>
      <c r="FH417" t="s">
        <v>437</v>
      </c>
      <c r="FJ417" s="1">
        <v>42879</v>
      </c>
      <c r="FK417">
        <v>2016</v>
      </c>
      <c r="FL417">
        <v>791.59</v>
      </c>
      <c r="FM417" t="s">
        <v>4665</v>
      </c>
      <c r="FN417">
        <v>0.25</v>
      </c>
      <c r="FO417" t="s">
        <v>424</v>
      </c>
      <c r="FP417" t="s">
        <v>454</v>
      </c>
      <c r="FR417">
        <v>12</v>
      </c>
      <c r="FS417">
        <v>6823208</v>
      </c>
      <c r="FT417" t="s">
        <v>4666</v>
      </c>
    </row>
    <row r="418" spans="1:284" x14ac:dyDescent="0.25">
      <c r="A418">
        <v>16485425</v>
      </c>
      <c r="B418">
        <v>417</v>
      </c>
      <c r="C418" t="s">
        <v>393</v>
      </c>
      <c r="D418" t="s">
        <v>394</v>
      </c>
      <c r="F418" t="str">
        <f>"08-3N-24-2380-0074-0025"</f>
        <v>08-3N-24-2380-0074-0025</v>
      </c>
      <c r="H418" t="str">
        <f>"KELLY JOANNE"</f>
        <v>KELLY JOANNE</v>
      </c>
      <c r="I418" t="str">
        <f>"PO BOX 545"</f>
        <v>PO BOX 545</v>
      </c>
      <c r="J418" t="str">
        <f>"CALLAHAN FL 32011"</f>
        <v>CALLAHAN FL 32011</v>
      </c>
      <c r="K418" t="str">
        <f>"37313 FIFTH ST W"</f>
        <v>37313 FIFTH ST W</v>
      </c>
      <c r="L418" t="str">
        <f t="shared" si="124"/>
        <v>HILLIARD FL 32046</v>
      </c>
      <c r="M418" t="str">
        <f>"BLOCK 74 WLY 140 FT OF S1/2 OF LOT 2 IN OR 2089/1101 TOWN OF HILLIARD"</f>
        <v>BLOCK 74 WLY 140 FT OF S1/2 OF LOT 2 IN OR 2089/1101 TOWN OF HILLIARD</v>
      </c>
      <c r="N418" t="str">
        <f>""</f>
        <v/>
      </c>
      <c r="O418" t="str">
        <f>"23451"</f>
        <v>23451</v>
      </c>
      <c r="P418" t="str">
        <f t="shared" si="119"/>
        <v>2017</v>
      </c>
      <c r="Q418" t="str">
        <f>""</f>
        <v/>
      </c>
      <c r="R418" t="str">
        <f>"N"</f>
        <v>N</v>
      </c>
      <c r="S418" t="str">
        <f>""</f>
        <v/>
      </c>
      <c r="T418" t="str">
        <f>"475.57"</f>
        <v>475.57</v>
      </c>
      <c r="U418" t="str">
        <f>"34054.00"</f>
        <v>34054.00</v>
      </c>
      <c r="V418" t="str">
        <f>"34054.00"</f>
        <v>34054.00</v>
      </c>
      <c r="W418" t="str">
        <f t="shared" si="120"/>
        <v>2017</v>
      </c>
      <c r="X418" t="str">
        <f>"20.00"</f>
        <v>20.00</v>
      </c>
      <c r="Y418" t="str">
        <f>"521.84"</f>
        <v>521.84</v>
      </c>
      <c r="Z418" t="str">
        <f>""</f>
        <v/>
      </c>
      <c r="AA418" t="str">
        <f>"34054.00"</f>
        <v>34054.00</v>
      </c>
      <c r="AB418" t="str">
        <f t="shared" si="125"/>
        <v>Residential</v>
      </c>
      <c r="AC418" t="str">
        <f t="shared" si="121"/>
        <v>0</v>
      </c>
      <c r="AD418" t="str">
        <f t="shared" si="127"/>
        <v>4</v>
      </c>
      <c r="AE418" t="str">
        <f t="shared" si="128"/>
        <v>WOOD (INCLUDE STEEL STUDS)</v>
      </c>
      <c r="AF418" t="str">
        <f>"001"</f>
        <v>001</v>
      </c>
      <c r="AG418" t="str">
        <f t="shared" si="126"/>
        <v>FL</v>
      </c>
      <c r="AH418" t="str">
        <f>"14700.00"</f>
        <v>14700.00</v>
      </c>
      <c r="AI418" t="str">
        <f>"15960.00"</f>
        <v>15960.00</v>
      </c>
      <c r="AJ418" t="str">
        <f>"C55-000-586-7531-5"</f>
        <v>C55-000-586-7531-5</v>
      </c>
      <c r="AK418" t="str">
        <f>"6281"</f>
        <v>6281</v>
      </c>
      <c r="AL418">
        <v>2</v>
      </c>
      <c r="AM418">
        <v>485</v>
      </c>
      <c r="AN418">
        <v>546.33000000000004</v>
      </c>
      <c r="AQ418" t="s">
        <v>4667</v>
      </c>
      <c r="AR418" t="s">
        <v>4667</v>
      </c>
      <c r="AS418" t="s">
        <v>4667</v>
      </c>
      <c r="AU418" t="s">
        <v>396</v>
      </c>
      <c r="AV418">
        <v>2017</v>
      </c>
      <c r="AW418" t="str">
        <f>"08-3N-24-2380-0074-0025 "</f>
        <v xml:space="preserve">08-3N-24-2380-0074-0025 </v>
      </c>
      <c r="AX418">
        <v>37313</v>
      </c>
      <c r="AZ418" t="s">
        <v>4660</v>
      </c>
      <c r="BA418" t="s">
        <v>1942</v>
      </c>
      <c r="BB418" t="s">
        <v>4459</v>
      </c>
      <c r="BD418" t="s">
        <v>398</v>
      </c>
      <c r="BE418" t="s">
        <v>393</v>
      </c>
      <c r="BF418">
        <v>32046</v>
      </c>
      <c r="BG418" t="s">
        <v>4668</v>
      </c>
      <c r="BH418" t="s">
        <v>400</v>
      </c>
      <c r="BI418">
        <v>-81.927374952280402</v>
      </c>
      <c r="BJ418">
        <v>30.693282081830599</v>
      </c>
      <c r="BK418" t="s">
        <v>4648</v>
      </c>
      <c r="BM418" t="s">
        <v>4649</v>
      </c>
      <c r="BN418" t="s">
        <v>928</v>
      </c>
      <c r="BO418">
        <v>32011</v>
      </c>
      <c r="BP418" t="s">
        <v>404</v>
      </c>
      <c r="BQ418">
        <v>100</v>
      </c>
      <c r="BR418" t="s">
        <v>514</v>
      </c>
      <c r="BS418">
        <v>1001</v>
      </c>
      <c r="BT418" t="s">
        <v>515</v>
      </c>
      <c r="BU418">
        <v>1400</v>
      </c>
      <c r="BV418">
        <v>1050</v>
      </c>
      <c r="BW418">
        <v>14700</v>
      </c>
      <c r="BX418" t="s">
        <v>407</v>
      </c>
      <c r="BY418" t="s">
        <v>4370</v>
      </c>
      <c r="BZ418">
        <v>4</v>
      </c>
      <c r="CA418">
        <v>1963</v>
      </c>
      <c r="CB418">
        <v>1</v>
      </c>
      <c r="CC418">
        <v>1</v>
      </c>
      <c r="CD418">
        <v>2017</v>
      </c>
      <c r="CE418">
        <v>15960</v>
      </c>
      <c r="CF418">
        <v>18094</v>
      </c>
      <c r="CG418">
        <v>34054</v>
      </c>
      <c r="CH418">
        <v>2017</v>
      </c>
      <c r="CI418">
        <v>15960</v>
      </c>
      <c r="CJ418">
        <v>18094</v>
      </c>
      <c r="CK418">
        <v>34054</v>
      </c>
      <c r="CL418">
        <v>2017</v>
      </c>
      <c r="CM418">
        <v>475.57</v>
      </c>
      <c r="CN418" s="1">
        <v>38226</v>
      </c>
      <c r="CO418">
        <v>28000</v>
      </c>
      <c r="CV418">
        <v>27000</v>
      </c>
      <c r="CX418" t="s">
        <v>707</v>
      </c>
      <c r="CZ418" s="1">
        <v>38226</v>
      </c>
      <c r="DA418">
        <v>0</v>
      </c>
      <c r="DD418" t="s">
        <v>398</v>
      </c>
      <c r="DF418">
        <v>2</v>
      </c>
      <c r="DG418">
        <v>8</v>
      </c>
      <c r="DJ418" t="s">
        <v>4482</v>
      </c>
      <c r="DL418">
        <v>50400</v>
      </c>
      <c r="DM418" t="s">
        <v>4465</v>
      </c>
      <c r="DO418" t="s">
        <v>4669</v>
      </c>
      <c r="DP418">
        <v>0</v>
      </c>
      <c r="DQ418">
        <v>0</v>
      </c>
      <c r="DR418" t="s">
        <v>411</v>
      </c>
      <c r="EP418" t="s">
        <v>595</v>
      </c>
      <c r="EQ418" t="s">
        <v>452</v>
      </c>
      <c r="ER418">
        <v>1</v>
      </c>
      <c r="ES418">
        <v>6</v>
      </c>
      <c r="ET418">
        <v>144.44</v>
      </c>
      <c r="EU418">
        <v>32.25</v>
      </c>
      <c r="EV418">
        <v>176.69</v>
      </c>
      <c r="EW418" s="2">
        <v>43222</v>
      </c>
      <c r="EX418" s="1">
        <v>42879</v>
      </c>
      <c r="EY418">
        <v>2016</v>
      </c>
      <c r="EZ418">
        <v>144.44</v>
      </c>
      <c r="FA418" t="s">
        <v>4670</v>
      </c>
      <c r="FB418">
        <v>18</v>
      </c>
      <c r="FC418" t="s">
        <v>603</v>
      </c>
      <c r="FD418" t="s">
        <v>454</v>
      </c>
      <c r="FF418">
        <v>12</v>
      </c>
      <c r="FG418">
        <v>9999999</v>
      </c>
      <c r="FH418" t="s">
        <v>604</v>
      </c>
      <c r="FJ418" s="1">
        <v>42151</v>
      </c>
      <c r="FK418">
        <v>2014</v>
      </c>
      <c r="FL418">
        <v>135.80000000000001</v>
      </c>
      <c r="FM418" t="s">
        <v>4671</v>
      </c>
      <c r="FN418">
        <v>18</v>
      </c>
      <c r="FO418" t="s">
        <v>603</v>
      </c>
      <c r="FP418" t="s">
        <v>425</v>
      </c>
      <c r="FQ418" s="1">
        <v>42460</v>
      </c>
      <c r="FR418">
        <v>10</v>
      </c>
      <c r="FS418">
        <v>9999999</v>
      </c>
      <c r="FT418" t="s">
        <v>604</v>
      </c>
      <c r="FU418" t="s">
        <v>458</v>
      </c>
      <c r="FV418" s="1">
        <v>41787</v>
      </c>
      <c r="FW418">
        <v>2013</v>
      </c>
      <c r="FX418">
        <v>122.21</v>
      </c>
      <c r="FY418" t="s">
        <v>4672</v>
      </c>
      <c r="FZ418">
        <v>18</v>
      </c>
      <c r="GA418" t="s">
        <v>603</v>
      </c>
      <c r="GB418" t="s">
        <v>425</v>
      </c>
      <c r="GC418" s="1">
        <v>42460</v>
      </c>
      <c r="GD418">
        <v>22</v>
      </c>
      <c r="GE418">
        <v>9999999</v>
      </c>
      <c r="GF418" t="s">
        <v>604</v>
      </c>
      <c r="GG418" t="s">
        <v>458</v>
      </c>
      <c r="GH418" s="1">
        <v>41423</v>
      </c>
      <c r="GI418">
        <v>2012</v>
      </c>
      <c r="GJ418">
        <v>211.84</v>
      </c>
      <c r="GK418" t="s">
        <v>4673</v>
      </c>
      <c r="GL418">
        <v>18</v>
      </c>
      <c r="GM418" t="s">
        <v>603</v>
      </c>
      <c r="GN418" t="s">
        <v>425</v>
      </c>
      <c r="GP418">
        <v>22</v>
      </c>
      <c r="GQ418">
        <v>9999999</v>
      </c>
      <c r="GR418" t="s">
        <v>604</v>
      </c>
      <c r="GS418" t="s">
        <v>458</v>
      </c>
      <c r="GT418" s="1">
        <v>41423</v>
      </c>
      <c r="GU418">
        <v>2012</v>
      </c>
      <c r="GV418">
        <v>284.82</v>
      </c>
      <c r="GW418" t="s">
        <v>4673</v>
      </c>
      <c r="GX418">
        <v>18</v>
      </c>
      <c r="GY418" t="s">
        <v>424</v>
      </c>
      <c r="GZ418" t="s">
        <v>425</v>
      </c>
      <c r="HB418">
        <v>22</v>
      </c>
      <c r="HC418">
        <v>4844963</v>
      </c>
      <c r="HD418" t="s">
        <v>4674</v>
      </c>
      <c r="HE418" t="s">
        <v>458</v>
      </c>
      <c r="HF418" s="1">
        <v>41052</v>
      </c>
      <c r="HG418">
        <v>2011</v>
      </c>
      <c r="HH418">
        <v>256.33</v>
      </c>
      <c r="HI418" t="s">
        <v>4675</v>
      </c>
      <c r="HJ418">
        <v>18</v>
      </c>
      <c r="HK418" t="s">
        <v>424</v>
      </c>
      <c r="HL418" t="s">
        <v>425</v>
      </c>
      <c r="HM418" s="1">
        <v>42061</v>
      </c>
      <c r="HN418">
        <v>33</v>
      </c>
      <c r="HO418">
        <v>15296</v>
      </c>
      <c r="HP418" t="s">
        <v>4676</v>
      </c>
      <c r="HR418" s="1">
        <v>41052</v>
      </c>
      <c r="HS418">
        <v>2011</v>
      </c>
      <c r="HT418">
        <v>226.32</v>
      </c>
      <c r="HU418" t="s">
        <v>4675</v>
      </c>
      <c r="HV418">
        <v>18</v>
      </c>
      <c r="HW418" t="s">
        <v>603</v>
      </c>
      <c r="HX418" t="s">
        <v>425</v>
      </c>
      <c r="HZ418">
        <v>22</v>
      </c>
      <c r="IA418">
        <v>9999999</v>
      </c>
      <c r="IB418" t="s">
        <v>604</v>
      </c>
    </row>
    <row r="419" spans="1:284" x14ac:dyDescent="0.25">
      <c r="A419">
        <v>16485426</v>
      </c>
      <c r="B419">
        <v>418</v>
      </c>
      <c r="C419" t="s">
        <v>393</v>
      </c>
      <c r="D419" t="s">
        <v>394</v>
      </c>
      <c r="F419" t="str">
        <f>"08-3N-24-2380-0074-0031"</f>
        <v>08-3N-24-2380-0074-0031</v>
      </c>
      <c r="H419" t="str">
        <f>"MITCHELL LARRY D &amp; SHARON"</f>
        <v>MITCHELL LARRY D &amp; SHARON</v>
      </c>
      <c r="I419" t="str">
        <f>"PO BOX 1252"</f>
        <v>PO BOX 1252</v>
      </c>
      <c r="J419" t="str">
        <f>"HILLIARD FL 32046"</f>
        <v>HILLIARD FL 32046</v>
      </c>
      <c r="K419" t="str">
        <f>"37392 SIXTH ST W"</f>
        <v>37392 SIXTH ST W</v>
      </c>
      <c r="L419" t="str">
        <f t="shared" si="124"/>
        <v>HILLIARD FL 32046</v>
      </c>
      <c r="M419" t="str">
        <f>"BLOCK 74 E1/2 OF LOT 3 OR 776/353 R672713 TOWN OF HILLIARD"</f>
        <v>BLOCK 74 E1/2 OF LOT 3 OR 776/353 R672713 TOWN OF HILLIARD</v>
      </c>
      <c r="N419" t="str">
        <f>""</f>
        <v/>
      </c>
      <c r="O419" t="str">
        <f>"23453"</f>
        <v>23453</v>
      </c>
      <c r="P419" t="str">
        <f t="shared" si="119"/>
        <v>2017</v>
      </c>
      <c r="Q419" t="str">
        <f>""</f>
        <v/>
      </c>
      <c r="R419" t="str">
        <f>"Y"</f>
        <v>Y</v>
      </c>
      <c r="S419" t="str">
        <f>""</f>
        <v/>
      </c>
      <c r="T419" t="str">
        <f>"624.99"</f>
        <v>624.99</v>
      </c>
      <c r="U419" t="str">
        <f>"82942.00"</f>
        <v>82942.00</v>
      </c>
      <c r="V419" t="str">
        <f>"82942.00"</f>
        <v>82942.00</v>
      </c>
      <c r="W419" t="str">
        <f t="shared" si="120"/>
        <v>2017</v>
      </c>
      <c r="X419" t="str">
        <f>"4.00"</f>
        <v>4.00</v>
      </c>
      <c r="Y419" t="str">
        <f>"675.74"</f>
        <v>675.74</v>
      </c>
      <c r="Z419" t="str">
        <f>"25000.00"</f>
        <v>25000.00</v>
      </c>
      <c r="AA419" t="str">
        <f>"57942.00"</f>
        <v>57942.00</v>
      </c>
      <c r="AB419" t="str">
        <f t="shared" si="125"/>
        <v>Residential</v>
      </c>
      <c r="AC419" t="str">
        <f t="shared" si="121"/>
        <v>0</v>
      </c>
      <c r="AD419" t="str">
        <f t="shared" si="127"/>
        <v>4</v>
      </c>
      <c r="AE419" t="str">
        <f t="shared" si="128"/>
        <v>WOOD (INCLUDE STEEL STUDS)</v>
      </c>
      <c r="AF419" t="str">
        <f>"001"</f>
        <v>001</v>
      </c>
      <c r="AG419" t="str">
        <f t="shared" si="126"/>
        <v>FL</v>
      </c>
      <c r="AH419" t="str">
        <f>"22050.00"</f>
        <v>22050.00</v>
      </c>
      <c r="AI419" t="str">
        <f>"15750.00"</f>
        <v>15750.00</v>
      </c>
      <c r="AJ419" t="str">
        <f>"C55-000-586-7532-3"</f>
        <v>C55-000-586-7532-3</v>
      </c>
      <c r="AK419" t="str">
        <f>"6283"</f>
        <v>6283</v>
      </c>
      <c r="AL419">
        <v>2</v>
      </c>
      <c r="AM419">
        <v>486</v>
      </c>
      <c r="AN419">
        <v>707.93</v>
      </c>
      <c r="AQ419" t="s">
        <v>4677</v>
      </c>
      <c r="AR419" t="s">
        <v>4677</v>
      </c>
      <c r="AS419" t="s">
        <v>4677</v>
      </c>
      <c r="AU419" t="s">
        <v>396</v>
      </c>
      <c r="AV419">
        <v>2017</v>
      </c>
      <c r="AW419" t="str">
        <f>"08-3N-24-2380-0074-0031 "</f>
        <v xml:space="preserve">08-3N-24-2380-0074-0031 </v>
      </c>
      <c r="AX419">
        <v>37392</v>
      </c>
      <c r="AZ419" t="s">
        <v>4678</v>
      </c>
      <c r="BA419" t="s">
        <v>1942</v>
      </c>
      <c r="BB419" t="s">
        <v>4459</v>
      </c>
      <c r="BD419" t="s">
        <v>398</v>
      </c>
      <c r="BE419" t="s">
        <v>393</v>
      </c>
      <c r="BF419">
        <v>32046</v>
      </c>
      <c r="BG419" t="s">
        <v>4679</v>
      </c>
      <c r="BH419" t="s">
        <v>400</v>
      </c>
      <c r="BI419">
        <v>-81.927569171496003</v>
      </c>
      <c r="BJ419">
        <v>30.694025582985599</v>
      </c>
      <c r="BK419" t="s">
        <v>4680</v>
      </c>
      <c r="BL419" t="s">
        <v>4681</v>
      </c>
      <c r="BM419" t="s">
        <v>4682</v>
      </c>
      <c r="BN419" t="s">
        <v>403</v>
      </c>
      <c r="BO419">
        <v>32046</v>
      </c>
      <c r="BP419" t="s">
        <v>404</v>
      </c>
      <c r="BQ419">
        <v>100</v>
      </c>
      <c r="BR419" t="s">
        <v>514</v>
      </c>
      <c r="BS419">
        <v>1001</v>
      </c>
      <c r="BT419" t="s">
        <v>515</v>
      </c>
      <c r="BU419">
        <v>1050</v>
      </c>
      <c r="BV419">
        <v>2100</v>
      </c>
      <c r="BW419">
        <v>22050</v>
      </c>
      <c r="BX419" t="s">
        <v>407</v>
      </c>
      <c r="BY419" t="s">
        <v>4370</v>
      </c>
      <c r="BZ419">
        <v>4</v>
      </c>
      <c r="CA419">
        <v>1999</v>
      </c>
      <c r="CB419">
        <v>1</v>
      </c>
      <c r="CC419">
        <v>1</v>
      </c>
      <c r="CD419">
        <v>2017</v>
      </c>
      <c r="CG419">
        <v>82942</v>
      </c>
      <c r="CH419">
        <v>2017</v>
      </c>
      <c r="CI419">
        <v>15750</v>
      </c>
      <c r="CJ419">
        <v>75626</v>
      </c>
      <c r="CK419">
        <v>91376</v>
      </c>
      <c r="CL419">
        <v>2017</v>
      </c>
      <c r="CM419">
        <v>624.99</v>
      </c>
      <c r="CN419" s="1">
        <v>35374</v>
      </c>
      <c r="CO419">
        <v>8000</v>
      </c>
      <c r="CZ419" s="1">
        <v>35374</v>
      </c>
      <c r="DD419" t="s">
        <v>398</v>
      </c>
      <c r="DF419">
        <v>3</v>
      </c>
      <c r="DG419">
        <v>8</v>
      </c>
      <c r="DL419">
        <v>50400</v>
      </c>
      <c r="DM419" t="s">
        <v>4465</v>
      </c>
      <c r="DO419" t="s">
        <v>4683</v>
      </c>
      <c r="DP419">
        <v>0</v>
      </c>
      <c r="DQ419">
        <v>0</v>
      </c>
      <c r="DR419" t="s">
        <v>411</v>
      </c>
      <c r="EP419" t="s">
        <v>421</v>
      </c>
      <c r="EQ419" t="s">
        <v>422</v>
      </c>
      <c r="ER419">
        <v>0</v>
      </c>
      <c r="ES419">
        <v>2</v>
      </c>
      <c r="ET419">
        <v>0</v>
      </c>
      <c r="EU419">
        <v>0</v>
      </c>
      <c r="EV419">
        <v>0</v>
      </c>
      <c r="EW419" s="2">
        <v>43222</v>
      </c>
      <c r="EX419" s="1">
        <v>42879</v>
      </c>
      <c r="EY419">
        <v>2016</v>
      </c>
      <c r="EZ419">
        <v>690.83</v>
      </c>
      <c r="FA419" t="s">
        <v>4684</v>
      </c>
      <c r="FB419">
        <v>0.25</v>
      </c>
      <c r="FC419" t="s">
        <v>424</v>
      </c>
      <c r="FD419" t="s">
        <v>425</v>
      </c>
      <c r="FE419" s="1">
        <v>42983</v>
      </c>
      <c r="FF419">
        <v>4</v>
      </c>
      <c r="FG419">
        <v>7336671</v>
      </c>
      <c r="FH419" t="s">
        <v>437</v>
      </c>
      <c r="FJ419" s="1">
        <v>42879</v>
      </c>
      <c r="FK419">
        <v>2016</v>
      </c>
      <c r="FL419">
        <v>690.83</v>
      </c>
      <c r="FM419" t="s">
        <v>4684</v>
      </c>
      <c r="FN419">
        <v>0.25</v>
      </c>
      <c r="FO419" t="s">
        <v>424</v>
      </c>
      <c r="FP419" t="s">
        <v>425</v>
      </c>
      <c r="FR419">
        <v>22</v>
      </c>
      <c r="FS419">
        <v>6977993</v>
      </c>
      <c r="FT419" t="s">
        <v>4685</v>
      </c>
    </row>
    <row r="420" spans="1:284" x14ac:dyDescent="0.25">
      <c r="A420">
        <v>16485427</v>
      </c>
      <c r="B420">
        <v>419</v>
      </c>
      <c r="C420" t="s">
        <v>393</v>
      </c>
      <c r="D420" t="s">
        <v>394</v>
      </c>
      <c r="F420" t="str">
        <f>"08-3N-24-2380-0076-0080"</f>
        <v>08-3N-24-2380-0076-0080</v>
      </c>
      <c r="H420" t="str">
        <f>"JONES DAVID J &amp; KEISHA M"</f>
        <v>JONES DAVID J &amp; KEISHA M</v>
      </c>
      <c r="I420" t="str">
        <f>"P O BOX 33"</f>
        <v>P O BOX 33</v>
      </c>
      <c r="J420" t="str">
        <f>"HILLIARD FL 32046"</f>
        <v>HILLIARD FL 32046</v>
      </c>
      <c r="K420" t="str">
        <f>"37505 NEW OAK ST"</f>
        <v>37505 NEW OAK ST</v>
      </c>
      <c r="L420" t="str">
        <f t="shared" si="124"/>
        <v>HILLIARD FL 32046</v>
      </c>
      <c r="M420" t="str">
        <f>"BLOCK 76 LOT 8 (EX SLY 1/2) IN OR 731/979 TOWN OF HILLIARD"</f>
        <v>BLOCK 76 LOT 8 (EX SLY 1/2) IN OR 731/979 TOWN OF HILLIARD</v>
      </c>
      <c r="N420" t="str">
        <f>""</f>
        <v/>
      </c>
      <c r="O420" t="str">
        <f>"23467"</f>
        <v>23467</v>
      </c>
      <c r="P420" t="str">
        <f t="shared" si="119"/>
        <v>2017</v>
      </c>
      <c r="Q420" t="str">
        <f>""</f>
        <v/>
      </c>
      <c r="R420" t="str">
        <f>"N"</f>
        <v>N</v>
      </c>
      <c r="S420" t="str">
        <f>""</f>
        <v/>
      </c>
      <c r="T420" t="str">
        <f>"800.26"</f>
        <v>800.26</v>
      </c>
      <c r="U420" t="str">
        <f>"54579.00"</f>
        <v>54579.00</v>
      </c>
      <c r="V420" t="str">
        <f>"54579.00"</f>
        <v>54579.00</v>
      </c>
      <c r="W420" t="str">
        <f t="shared" si="120"/>
        <v>2017</v>
      </c>
      <c r="X420" t="str">
        <f>"32.92"</f>
        <v>32.92</v>
      </c>
      <c r="Y420" t="str">
        <f>"856.27"</f>
        <v>856.27</v>
      </c>
      <c r="Z420" t="str">
        <f>""</f>
        <v/>
      </c>
      <c r="AA420" t="str">
        <f>"60344.00"</f>
        <v>60344.00</v>
      </c>
      <c r="AB420" t="str">
        <f t="shared" si="125"/>
        <v>Residential</v>
      </c>
      <c r="AC420" t="str">
        <f t="shared" si="121"/>
        <v>0</v>
      </c>
      <c r="AD420" t="str">
        <f t="shared" si="127"/>
        <v>4</v>
      </c>
      <c r="AE420" t="str">
        <f t="shared" si="128"/>
        <v>WOOD (INCLUDE STEEL STUDS)</v>
      </c>
      <c r="AF420" t="str">
        <f>"002"</f>
        <v>002</v>
      </c>
      <c r="AG420" t="str">
        <f t="shared" si="126"/>
        <v>FL</v>
      </c>
      <c r="AH420" t="str">
        <f>"22050.00"</f>
        <v>22050.00</v>
      </c>
      <c r="AI420" t="str">
        <f>"15750.00"</f>
        <v>15750.00</v>
      </c>
      <c r="AJ420" t="str">
        <f>"C55-000-586-7546-3"</f>
        <v>C55-000-586-7546-3</v>
      </c>
      <c r="AK420" t="str">
        <f>"6297"</f>
        <v>6297</v>
      </c>
      <c r="AL420">
        <v>2</v>
      </c>
      <c r="AM420">
        <v>487</v>
      </c>
      <c r="AN420">
        <v>897.48</v>
      </c>
      <c r="AQ420" t="s">
        <v>4686</v>
      </c>
      <c r="AR420" t="s">
        <v>4686</v>
      </c>
      <c r="AS420" t="s">
        <v>4686</v>
      </c>
      <c r="AU420" t="s">
        <v>396</v>
      </c>
      <c r="AV420">
        <v>2017</v>
      </c>
      <c r="AW420" t="str">
        <f>"08-3N-24-2380-0076-0080 "</f>
        <v xml:space="preserve">08-3N-24-2380-0076-0080 </v>
      </c>
      <c r="AX420">
        <v>37505</v>
      </c>
      <c r="AZ420" t="s">
        <v>4646</v>
      </c>
      <c r="BA420" t="s">
        <v>1942</v>
      </c>
      <c r="BD420" t="s">
        <v>398</v>
      </c>
      <c r="BE420" t="s">
        <v>393</v>
      </c>
      <c r="BF420">
        <v>32046</v>
      </c>
      <c r="BG420" t="s">
        <v>4687</v>
      </c>
      <c r="BH420" t="s">
        <v>400</v>
      </c>
      <c r="BI420">
        <v>-81.9266634753766</v>
      </c>
      <c r="BJ420">
        <v>30.692449719004401</v>
      </c>
      <c r="BK420" t="s">
        <v>4688</v>
      </c>
      <c r="BM420" t="s">
        <v>4689</v>
      </c>
      <c r="BN420" t="s">
        <v>403</v>
      </c>
      <c r="BO420">
        <v>32046</v>
      </c>
      <c r="BP420" t="s">
        <v>404</v>
      </c>
      <c r="BQ420">
        <v>200</v>
      </c>
      <c r="BR420" t="s">
        <v>405</v>
      </c>
      <c r="BS420">
        <v>1006</v>
      </c>
      <c r="BT420" t="s">
        <v>406</v>
      </c>
      <c r="BU420">
        <v>1050</v>
      </c>
      <c r="BV420">
        <v>2100</v>
      </c>
      <c r="BW420">
        <v>22050</v>
      </c>
      <c r="BX420" t="s">
        <v>407</v>
      </c>
      <c r="BY420" t="s">
        <v>4370</v>
      </c>
      <c r="BZ420">
        <v>4</v>
      </c>
      <c r="CA420">
        <v>1995</v>
      </c>
      <c r="CC420">
        <v>1</v>
      </c>
      <c r="CD420">
        <v>2017</v>
      </c>
      <c r="CE420">
        <v>15750</v>
      </c>
      <c r="CF420">
        <v>44594</v>
      </c>
      <c r="CG420">
        <v>60344</v>
      </c>
      <c r="CH420">
        <v>2017</v>
      </c>
      <c r="CI420">
        <v>15750</v>
      </c>
      <c r="CJ420">
        <v>44594</v>
      </c>
      <c r="CK420">
        <v>60344</v>
      </c>
      <c r="CL420">
        <v>2017</v>
      </c>
      <c r="CM420">
        <v>800.26</v>
      </c>
      <c r="CN420" s="1">
        <v>34863</v>
      </c>
      <c r="CO420">
        <v>2500</v>
      </c>
      <c r="CZ420" s="1">
        <v>34863</v>
      </c>
      <c r="DD420" t="s">
        <v>398</v>
      </c>
      <c r="DF420">
        <v>8</v>
      </c>
      <c r="DG420">
        <v>8</v>
      </c>
      <c r="DL420">
        <v>50400</v>
      </c>
      <c r="DM420" t="s">
        <v>4465</v>
      </c>
      <c r="DO420" t="s">
        <v>4690</v>
      </c>
      <c r="DP420">
        <v>0</v>
      </c>
      <c r="DQ420">
        <v>0</v>
      </c>
      <c r="DR420" t="s">
        <v>411</v>
      </c>
      <c r="DS420" t="b">
        <v>1</v>
      </c>
      <c r="DT420" t="s">
        <v>470</v>
      </c>
      <c r="DU420" t="s">
        <v>471</v>
      </c>
      <c r="DV420" t="s">
        <v>472</v>
      </c>
      <c r="DX420">
        <v>-9999</v>
      </c>
      <c r="DZ420" t="s">
        <v>447</v>
      </c>
      <c r="EA420" t="s">
        <v>448</v>
      </c>
      <c r="EB420" t="s">
        <v>1224</v>
      </c>
      <c r="EC420">
        <v>20101217</v>
      </c>
      <c r="ED420" t="s">
        <v>474</v>
      </c>
      <c r="EF420">
        <v>143.30000000000001</v>
      </c>
      <c r="EG420">
        <v>143.30000000000001</v>
      </c>
      <c r="EI420">
        <v>20160407</v>
      </c>
      <c r="EJ420">
        <v>0</v>
      </c>
      <c r="EK420">
        <v>0</v>
      </c>
      <c r="EP420" t="s">
        <v>421</v>
      </c>
      <c r="EQ420" t="s">
        <v>422</v>
      </c>
      <c r="ER420">
        <v>2</v>
      </c>
      <c r="ES420">
        <v>9</v>
      </c>
      <c r="ET420">
        <v>1629.34</v>
      </c>
      <c r="EU420">
        <v>93.97</v>
      </c>
      <c r="EV420">
        <v>1723.31</v>
      </c>
      <c r="EW420" s="2">
        <v>43222</v>
      </c>
      <c r="EX420" s="1">
        <v>42879</v>
      </c>
      <c r="EY420">
        <v>2016</v>
      </c>
      <c r="EZ420">
        <v>814.67</v>
      </c>
      <c r="FA420" t="s">
        <v>4691</v>
      </c>
      <c r="FB420">
        <v>0.25</v>
      </c>
      <c r="FC420" t="s">
        <v>424</v>
      </c>
      <c r="FD420" t="s">
        <v>454</v>
      </c>
      <c r="FF420">
        <v>12</v>
      </c>
      <c r="FG420">
        <v>7400234</v>
      </c>
      <c r="FH420" t="s">
        <v>426</v>
      </c>
      <c r="FJ420" s="1">
        <v>42879</v>
      </c>
      <c r="FK420">
        <v>2016</v>
      </c>
      <c r="FL420">
        <v>814.67</v>
      </c>
      <c r="FM420" t="s">
        <v>4691</v>
      </c>
      <c r="FN420">
        <v>0.25</v>
      </c>
      <c r="FO420" t="s">
        <v>424</v>
      </c>
      <c r="FP420" t="s">
        <v>454</v>
      </c>
      <c r="FR420">
        <v>12</v>
      </c>
      <c r="FS420">
        <v>7544169</v>
      </c>
      <c r="FT420" t="s">
        <v>4692</v>
      </c>
      <c r="FV420" s="1">
        <v>42515</v>
      </c>
      <c r="FW420">
        <v>2015</v>
      </c>
      <c r="FX420">
        <v>795.93</v>
      </c>
      <c r="FY420" t="s">
        <v>4693</v>
      </c>
      <c r="FZ420">
        <v>0.25</v>
      </c>
      <c r="GA420" t="s">
        <v>424</v>
      </c>
      <c r="GB420" t="s">
        <v>425</v>
      </c>
      <c r="GC420" s="1">
        <v>43157</v>
      </c>
      <c r="GD420">
        <v>21</v>
      </c>
      <c r="GE420">
        <v>2851116</v>
      </c>
      <c r="GF420" t="s">
        <v>480</v>
      </c>
      <c r="GH420" s="1">
        <v>42515</v>
      </c>
      <c r="GI420">
        <v>2015</v>
      </c>
      <c r="GJ420">
        <v>795.93</v>
      </c>
      <c r="GK420" t="s">
        <v>4693</v>
      </c>
      <c r="GL420">
        <v>0.25</v>
      </c>
      <c r="GM420" t="s">
        <v>424</v>
      </c>
      <c r="GN420" t="s">
        <v>425</v>
      </c>
      <c r="GP420">
        <v>22</v>
      </c>
      <c r="GQ420">
        <v>5074399</v>
      </c>
      <c r="GR420" t="s">
        <v>4694</v>
      </c>
      <c r="GT420" s="1">
        <v>42151</v>
      </c>
      <c r="GU420">
        <v>2014</v>
      </c>
      <c r="GV420">
        <v>674.01</v>
      </c>
      <c r="GW420" t="s">
        <v>4695</v>
      </c>
      <c r="GX420">
        <v>0.25</v>
      </c>
      <c r="GY420" t="s">
        <v>424</v>
      </c>
      <c r="GZ420" t="s">
        <v>425</v>
      </c>
      <c r="HA420" s="1">
        <v>42878</v>
      </c>
      <c r="HB420">
        <v>24</v>
      </c>
      <c r="HC420">
        <v>4975594</v>
      </c>
      <c r="HD420" t="s">
        <v>457</v>
      </c>
      <c r="HF420" s="1">
        <v>42151</v>
      </c>
      <c r="HG420">
        <v>2014</v>
      </c>
      <c r="HH420">
        <v>674.01</v>
      </c>
      <c r="HI420" t="s">
        <v>4695</v>
      </c>
      <c r="HJ420">
        <v>0.25</v>
      </c>
      <c r="HK420" t="s">
        <v>424</v>
      </c>
      <c r="HL420" t="s">
        <v>425</v>
      </c>
      <c r="HN420">
        <v>22</v>
      </c>
      <c r="HO420">
        <v>6499591</v>
      </c>
      <c r="HP420" t="s">
        <v>4696</v>
      </c>
      <c r="HR420" s="1">
        <v>41787</v>
      </c>
      <c r="HS420">
        <v>2013</v>
      </c>
      <c r="HT420">
        <v>738.11</v>
      </c>
      <c r="HU420" t="s">
        <v>4697</v>
      </c>
      <c r="HV420">
        <v>2.75</v>
      </c>
      <c r="HW420" t="s">
        <v>424</v>
      </c>
      <c r="HX420" t="s">
        <v>425</v>
      </c>
      <c r="HY420" s="1">
        <v>42459</v>
      </c>
      <c r="HZ420">
        <v>22</v>
      </c>
      <c r="IA420">
        <v>15399</v>
      </c>
      <c r="IB420" t="s">
        <v>485</v>
      </c>
      <c r="ID420" s="1">
        <v>41423</v>
      </c>
      <c r="IE420">
        <v>2012</v>
      </c>
      <c r="IF420">
        <v>754.85</v>
      </c>
      <c r="IG420" t="s">
        <v>4698</v>
      </c>
      <c r="IH420">
        <v>3</v>
      </c>
      <c r="II420" t="s">
        <v>424</v>
      </c>
      <c r="IJ420" t="s">
        <v>425</v>
      </c>
      <c r="IL420">
        <v>22</v>
      </c>
      <c r="IM420">
        <v>15399</v>
      </c>
      <c r="IN420" t="s">
        <v>485</v>
      </c>
      <c r="IP420" s="1">
        <v>41423</v>
      </c>
      <c r="IQ420">
        <v>2012</v>
      </c>
      <c r="IR420">
        <v>754.85</v>
      </c>
      <c r="IS420" t="s">
        <v>4698</v>
      </c>
      <c r="IT420">
        <v>3</v>
      </c>
      <c r="IU420" t="s">
        <v>424</v>
      </c>
      <c r="IV420" t="s">
        <v>425</v>
      </c>
      <c r="IW420" s="1">
        <v>42128</v>
      </c>
      <c r="IX420">
        <v>24</v>
      </c>
      <c r="IY420">
        <v>13027</v>
      </c>
      <c r="IZ420" t="s">
        <v>826</v>
      </c>
      <c r="JB420" s="1">
        <v>41052</v>
      </c>
      <c r="JC420">
        <v>2011</v>
      </c>
      <c r="JD420">
        <v>965.47</v>
      </c>
      <c r="JE420" t="s">
        <v>4699</v>
      </c>
      <c r="JF420">
        <v>11.25</v>
      </c>
      <c r="JG420" t="s">
        <v>424</v>
      </c>
      <c r="JH420" t="s">
        <v>425</v>
      </c>
      <c r="JI420" s="1">
        <v>42013</v>
      </c>
      <c r="JJ420">
        <v>32</v>
      </c>
      <c r="JK420">
        <v>10125</v>
      </c>
      <c r="JL420" t="s">
        <v>440</v>
      </c>
      <c r="JN420" s="1">
        <v>40688</v>
      </c>
      <c r="JO420">
        <v>2010</v>
      </c>
      <c r="JP420">
        <v>960.45</v>
      </c>
      <c r="JQ420" t="s">
        <v>4700</v>
      </c>
      <c r="JR420">
        <v>7.5</v>
      </c>
      <c r="JS420" t="s">
        <v>424</v>
      </c>
      <c r="JT420" t="s">
        <v>425</v>
      </c>
      <c r="JU420" s="1">
        <v>41333</v>
      </c>
      <c r="JV420">
        <v>21</v>
      </c>
      <c r="JW420">
        <v>10579</v>
      </c>
      <c r="JX420" t="s">
        <v>488</v>
      </c>
    </row>
    <row r="421" spans="1:284" x14ac:dyDescent="0.25">
      <c r="A421">
        <v>16485428</v>
      </c>
      <c r="B421">
        <v>420</v>
      </c>
      <c r="C421" t="s">
        <v>393</v>
      </c>
      <c r="D421" t="s">
        <v>394</v>
      </c>
      <c r="F421" t="str">
        <f>"08-3N-24-2380-0076-0082"</f>
        <v>08-3N-24-2380-0076-0082</v>
      </c>
      <c r="H421" t="str">
        <f>"EDWARDS VIRGINIA JORDAN EST"</f>
        <v>EDWARDS VIRGINIA JORDAN EST</v>
      </c>
      <c r="I421" t="str">
        <f>"PO BOX 33"</f>
        <v>PO BOX 33</v>
      </c>
      <c r="J421" t="str">
        <f>"HILLIARD FL 32046"</f>
        <v>HILLIARD FL 32046</v>
      </c>
      <c r="K421" t="str">
        <f>"37495 NEW OAK ST"</f>
        <v>37495 NEW OAK ST</v>
      </c>
      <c r="L421" t="str">
        <f t="shared" si="124"/>
        <v>HILLIARD FL 32046</v>
      </c>
      <c r="M421" t="str">
        <f>"BLOCK 76 SELY 1/2 OF LOT 8 IN OR 462 PG 298 R567600 TOWN OF HILLIARD"</f>
        <v>BLOCK 76 SELY 1/2 OF LOT 8 IN OR 462 PG 298 R567600 TOWN OF HILLIARD</v>
      </c>
      <c r="N421" t="str">
        <f>""</f>
        <v/>
      </c>
      <c r="O421" t="str">
        <f>"23468"</f>
        <v>23468</v>
      </c>
      <c r="P421" t="str">
        <f t="shared" si="119"/>
        <v>2017</v>
      </c>
      <c r="Q421" t="str">
        <f>""</f>
        <v/>
      </c>
      <c r="R421" t="str">
        <f>"N"</f>
        <v>N</v>
      </c>
      <c r="S421" t="str">
        <f>""</f>
        <v/>
      </c>
      <c r="T421" t="str">
        <f>"255.78"</f>
        <v>255.78</v>
      </c>
      <c r="U421" t="str">
        <f>"18316.00"</f>
        <v>18316.00</v>
      </c>
      <c r="V421" t="str">
        <f>"18316.00"</f>
        <v>18316.00</v>
      </c>
      <c r="W421" t="str">
        <f t="shared" si="120"/>
        <v>2017</v>
      </c>
      <c r="X421" t="str">
        <f>"12.00"</f>
        <v>12.00</v>
      </c>
      <c r="Y421" t="str">
        <f>"295.45"</f>
        <v>295.45</v>
      </c>
      <c r="Z421" t="str">
        <f>""</f>
        <v/>
      </c>
      <c r="AA421" t="str">
        <f>"18316.00"</f>
        <v>18316.00</v>
      </c>
      <c r="AB421" t="str">
        <f t="shared" si="125"/>
        <v>Residential</v>
      </c>
      <c r="AC421" t="str">
        <f t="shared" si="121"/>
        <v>0</v>
      </c>
      <c r="AD421" t="str">
        <f t="shared" si="127"/>
        <v>4</v>
      </c>
      <c r="AE421" t="str">
        <f t="shared" si="128"/>
        <v>WOOD (INCLUDE STEEL STUDS)</v>
      </c>
      <c r="AF421" t="str">
        <f>"002"</f>
        <v>002</v>
      </c>
      <c r="AG421" t="str">
        <f t="shared" si="126"/>
        <v>FL</v>
      </c>
      <c r="AH421" t="str">
        <f>"22050.00"</f>
        <v>22050.00</v>
      </c>
      <c r="AI421" t="str">
        <f>"15750.00"</f>
        <v>15750.00</v>
      </c>
      <c r="AJ421" t="str">
        <f>"C55-000-586-7547-1"</f>
        <v>C55-000-586-7547-1</v>
      </c>
      <c r="AK421" t="str">
        <f>"6298"</f>
        <v>6298</v>
      </c>
      <c r="AL421">
        <v>2</v>
      </c>
      <c r="AM421">
        <v>488</v>
      </c>
      <c r="AN421">
        <v>308.62</v>
      </c>
      <c r="AQ421" t="s">
        <v>4701</v>
      </c>
      <c r="AR421" t="s">
        <v>4701</v>
      </c>
      <c r="AS421" t="s">
        <v>4701</v>
      </c>
      <c r="AU421" t="s">
        <v>396</v>
      </c>
      <c r="AV421">
        <v>2017</v>
      </c>
      <c r="AW421" t="str">
        <f>"08-3N-24-2380-0076-0082 "</f>
        <v xml:space="preserve">08-3N-24-2380-0076-0082 </v>
      </c>
      <c r="AX421">
        <v>37495</v>
      </c>
      <c r="AZ421" t="s">
        <v>4646</v>
      </c>
      <c r="BA421" t="s">
        <v>1942</v>
      </c>
      <c r="BD421" t="s">
        <v>398</v>
      </c>
      <c r="BE421" t="s">
        <v>393</v>
      </c>
      <c r="BF421">
        <v>32046</v>
      </c>
      <c r="BG421" t="s">
        <v>4702</v>
      </c>
      <c r="BH421" t="s">
        <v>400</v>
      </c>
      <c r="BI421">
        <v>-81.926490857217999</v>
      </c>
      <c r="BJ421">
        <v>30.692202587548898</v>
      </c>
      <c r="BK421" t="s">
        <v>4703</v>
      </c>
      <c r="BM421" t="s">
        <v>4704</v>
      </c>
      <c r="BN421" t="s">
        <v>403</v>
      </c>
      <c r="BO421">
        <v>32046</v>
      </c>
      <c r="BP421" t="s">
        <v>404</v>
      </c>
      <c r="BQ421">
        <v>200</v>
      </c>
      <c r="BR421" t="s">
        <v>405</v>
      </c>
      <c r="BS421">
        <v>1006</v>
      </c>
      <c r="BT421" t="s">
        <v>406</v>
      </c>
      <c r="BU421">
        <v>1050</v>
      </c>
      <c r="BV421">
        <v>2100</v>
      </c>
      <c r="BW421">
        <v>22050</v>
      </c>
      <c r="BX421" t="s">
        <v>407</v>
      </c>
      <c r="BY421" t="s">
        <v>4370</v>
      </c>
      <c r="BZ421">
        <v>4</v>
      </c>
      <c r="CA421">
        <v>1972</v>
      </c>
      <c r="CB421">
        <v>1</v>
      </c>
      <c r="CC421">
        <v>1</v>
      </c>
      <c r="CD421">
        <v>2017</v>
      </c>
      <c r="CE421">
        <v>15750</v>
      </c>
      <c r="CF421">
        <v>2566</v>
      </c>
      <c r="CG421">
        <v>18316</v>
      </c>
      <c r="CH421">
        <v>2017</v>
      </c>
      <c r="CI421">
        <v>15750</v>
      </c>
      <c r="CJ421">
        <v>2566</v>
      </c>
      <c r="CK421">
        <v>18316</v>
      </c>
      <c r="CL421">
        <v>2017</v>
      </c>
      <c r="CM421">
        <v>255.78</v>
      </c>
      <c r="CN421" s="1">
        <v>31229</v>
      </c>
      <c r="CZ421" s="1">
        <v>31229</v>
      </c>
      <c r="DD421" t="s">
        <v>398</v>
      </c>
      <c r="DG421">
        <v>8</v>
      </c>
      <c r="DJ421" t="s">
        <v>4482</v>
      </c>
      <c r="DL421">
        <v>50400</v>
      </c>
      <c r="DM421" t="s">
        <v>4465</v>
      </c>
      <c r="DO421" t="s">
        <v>4705</v>
      </c>
      <c r="DP421">
        <v>0</v>
      </c>
      <c r="DQ421">
        <v>0</v>
      </c>
      <c r="DR421" t="s">
        <v>411</v>
      </c>
      <c r="DS421" t="b">
        <v>1</v>
      </c>
      <c r="DT421" t="s">
        <v>470</v>
      </c>
      <c r="DU421" t="s">
        <v>471</v>
      </c>
      <c r="DV421" t="s">
        <v>472</v>
      </c>
      <c r="DX421">
        <v>-9999</v>
      </c>
      <c r="DZ421" t="s">
        <v>447</v>
      </c>
      <c r="EA421" t="s">
        <v>448</v>
      </c>
      <c r="EB421" t="s">
        <v>1224</v>
      </c>
      <c r="EC421">
        <v>20101217</v>
      </c>
      <c r="ED421" t="s">
        <v>474</v>
      </c>
      <c r="EF421">
        <v>52.5</v>
      </c>
      <c r="EG421">
        <v>52.5</v>
      </c>
      <c r="EI421">
        <v>20160407</v>
      </c>
      <c r="EJ421">
        <v>0</v>
      </c>
      <c r="EK421">
        <v>0</v>
      </c>
      <c r="EP421" t="s">
        <v>421</v>
      </c>
      <c r="EQ421" t="s">
        <v>422</v>
      </c>
      <c r="ER421">
        <v>1</v>
      </c>
      <c r="ES421">
        <v>1</v>
      </c>
      <c r="ET421">
        <v>325.45</v>
      </c>
      <c r="EU421">
        <v>22.52</v>
      </c>
      <c r="EV421">
        <v>347.97</v>
      </c>
      <c r="EW421" s="2">
        <v>43222</v>
      </c>
      <c r="EX421" s="1">
        <v>42879</v>
      </c>
      <c r="EY421">
        <v>2016</v>
      </c>
      <c r="EZ421">
        <v>325.45</v>
      </c>
      <c r="FA421" t="s">
        <v>4706</v>
      </c>
      <c r="FB421">
        <v>4.75</v>
      </c>
      <c r="FC421" t="s">
        <v>424</v>
      </c>
      <c r="FD421" t="s">
        <v>454</v>
      </c>
      <c r="FF421">
        <v>12</v>
      </c>
      <c r="FG421">
        <v>10021</v>
      </c>
      <c r="FH421" t="s">
        <v>597</v>
      </c>
      <c r="FJ421" s="1">
        <v>42515</v>
      </c>
      <c r="FK421">
        <v>2015</v>
      </c>
      <c r="FL421">
        <v>328.54</v>
      </c>
      <c r="FM421" t="s">
        <v>4707</v>
      </c>
      <c r="FN421">
        <v>10.75</v>
      </c>
      <c r="FO421" t="s">
        <v>424</v>
      </c>
      <c r="FP421" t="s">
        <v>425</v>
      </c>
      <c r="FQ421" s="1">
        <v>42878</v>
      </c>
      <c r="FR421">
        <v>12</v>
      </c>
      <c r="FS421">
        <v>2035919</v>
      </c>
      <c r="FT421" t="s">
        <v>507</v>
      </c>
    </row>
    <row r="422" spans="1:284" x14ac:dyDescent="0.25">
      <c r="A422">
        <v>16485429</v>
      </c>
      <c r="B422">
        <v>421</v>
      </c>
      <c r="C422" t="s">
        <v>393</v>
      </c>
      <c r="D422" t="s">
        <v>394</v>
      </c>
      <c r="F422" t="str">
        <f>"08-3N-24-2380-0077-0010"</f>
        <v>08-3N-24-2380-0077-0010</v>
      </c>
      <c r="H422" t="str">
        <f>"HARRIS ELMO A"</f>
        <v>HARRIS ELMO A</v>
      </c>
      <c r="I422" t="str">
        <f>"PO BOX 1077"</f>
        <v>PO BOX 1077</v>
      </c>
      <c r="J422" t="str">
        <f>"HILLIARD FL 32046"</f>
        <v>HILLIARD FL 32046</v>
      </c>
      <c r="K422" t="str">
        <f>"37054 FOURTH ST W"</f>
        <v>37054 FOURTH ST W</v>
      </c>
      <c r="L422" t="str">
        <f t="shared" si="124"/>
        <v>HILLIARD FL 32046</v>
      </c>
      <c r="M422" t="str">
        <f>"BLOCK 77 LOTS 1 3 &amp; S1/2 OF 5 OR 310 PG 38 TOWN OF HILLIARD"</f>
        <v>BLOCK 77 LOTS 1 3 &amp; S1/2 OF 5 OR 310 PG 38 TOWN OF HILLIARD</v>
      </c>
      <c r="N422" t="str">
        <f>""</f>
        <v/>
      </c>
      <c r="O422" t="str">
        <f>"23470"</f>
        <v>23470</v>
      </c>
      <c r="P422" t="str">
        <f t="shared" si="119"/>
        <v>2017</v>
      </c>
      <c r="Q422" t="str">
        <f>""</f>
        <v/>
      </c>
      <c r="R422" t="str">
        <f>"Y"</f>
        <v>Y</v>
      </c>
      <c r="S422" t="str">
        <f>""</f>
        <v/>
      </c>
      <c r="T422" t="str">
        <f>"498.47"</f>
        <v>498.47</v>
      </c>
      <c r="U422" t="str">
        <f>"72632.00"</f>
        <v>72632.00</v>
      </c>
      <c r="V422" t="str">
        <f>"72632.00"</f>
        <v>72632.00</v>
      </c>
      <c r="W422" t="str">
        <f t="shared" si="120"/>
        <v>2017</v>
      </c>
      <c r="X422" t="str">
        <f>""</f>
        <v/>
      </c>
      <c r="Y422" t="str">
        <f>"545.42"</f>
        <v>545.42</v>
      </c>
      <c r="Z422" t="str">
        <f>"25000.00"</f>
        <v>25000.00</v>
      </c>
      <c r="AA422" t="str">
        <f>"47632.00"</f>
        <v>47632.00</v>
      </c>
      <c r="AB422" t="str">
        <f t="shared" si="125"/>
        <v>Residential</v>
      </c>
      <c r="AC422" t="str">
        <f t="shared" si="121"/>
        <v>0</v>
      </c>
      <c r="AD422" t="str">
        <f t="shared" si="127"/>
        <v>4</v>
      </c>
      <c r="AE422" t="str">
        <f t="shared" si="128"/>
        <v>WOOD (INCLUDE STEEL STUDS)</v>
      </c>
      <c r="AF422" t="str">
        <f>"001"</f>
        <v>001</v>
      </c>
      <c r="AG422" t="str">
        <f t="shared" si="126"/>
        <v>FL</v>
      </c>
      <c r="AH422" t="str">
        <f>"110250.00"</f>
        <v>110250.00</v>
      </c>
      <c r="AI422" t="str">
        <f>"36855.00"</f>
        <v>36855.00</v>
      </c>
      <c r="AJ422" t="str">
        <f>"C55-000-586-7549-7"</f>
        <v>C55-000-586-7549-7</v>
      </c>
      <c r="AK422" t="str">
        <f>"6300"</f>
        <v>6300</v>
      </c>
      <c r="AL422">
        <v>2</v>
      </c>
      <c r="AM422">
        <v>489</v>
      </c>
      <c r="AN422">
        <v>571.09</v>
      </c>
      <c r="AQ422" t="s">
        <v>4708</v>
      </c>
      <c r="AR422" t="s">
        <v>4708</v>
      </c>
      <c r="AS422" t="s">
        <v>4708</v>
      </c>
      <c r="AU422" t="s">
        <v>396</v>
      </c>
      <c r="AV422">
        <v>2017</v>
      </c>
      <c r="AW422" t="str">
        <f>"08-3N-24-2380-0077-0010 "</f>
        <v xml:space="preserve">08-3N-24-2380-0077-0010 </v>
      </c>
      <c r="AX422">
        <v>37054</v>
      </c>
      <c r="AZ422" t="s">
        <v>4515</v>
      </c>
      <c r="BA422" t="s">
        <v>1942</v>
      </c>
      <c r="BB422" t="s">
        <v>4459</v>
      </c>
      <c r="BD422" t="s">
        <v>398</v>
      </c>
      <c r="BE422" t="s">
        <v>393</v>
      </c>
      <c r="BF422">
        <v>32046</v>
      </c>
      <c r="BG422" t="s">
        <v>4709</v>
      </c>
      <c r="BH422" t="s">
        <v>400</v>
      </c>
      <c r="BI422">
        <v>-81.926532785458903</v>
      </c>
      <c r="BJ422">
        <v>30.690826281165599</v>
      </c>
      <c r="BK422" t="s">
        <v>4461</v>
      </c>
      <c r="BM422" t="s">
        <v>4710</v>
      </c>
      <c r="BN422" t="s">
        <v>403</v>
      </c>
      <c r="BO422">
        <v>32046</v>
      </c>
      <c r="BP422" t="s">
        <v>404</v>
      </c>
      <c r="BQ422">
        <v>100</v>
      </c>
      <c r="BR422" t="s">
        <v>514</v>
      </c>
      <c r="BS422">
        <v>1001</v>
      </c>
      <c r="BT422" t="s">
        <v>515</v>
      </c>
      <c r="BU422">
        <v>2100</v>
      </c>
      <c r="BV422">
        <v>0</v>
      </c>
      <c r="BW422">
        <v>110251</v>
      </c>
      <c r="BX422" t="s">
        <v>407</v>
      </c>
      <c r="BY422" t="s">
        <v>4370</v>
      </c>
      <c r="BZ422">
        <v>4</v>
      </c>
      <c r="CA422">
        <v>1980</v>
      </c>
      <c r="CB422">
        <v>1</v>
      </c>
      <c r="CC422">
        <v>1</v>
      </c>
      <c r="CD422">
        <v>2017</v>
      </c>
      <c r="CG422">
        <v>72632</v>
      </c>
      <c r="CH422">
        <v>2017</v>
      </c>
      <c r="CI422">
        <v>36855</v>
      </c>
      <c r="CJ422">
        <v>72173</v>
      </c>
      <c r="CK422">
        <v>109028</v>
      </c>
      <c r="CL422">
        <v>2017</v>
      </c>
      <c r="CM422">
        <v>498.47</v>
      </c>
      <c r="CN422" s="1">
        <v>29252</v>
      </c>
      <c r="CZ422" s="1">
        <v>29252</v>
      </c>
      <c r="DD422" t="s">
        <v>398</v>
      </c>
      <c r="DG422">
        <v>8</v>
      </c>
      <c r="DL422">
        <v>50400</v>
      </c>
      <c r="DM422" t="s">
        <v>4465</v>
      </c>
      <c r="DO422" t="s">
        <v>4711</v>
      </c>
      <c r="DP422">
        <v>0</v>
      </c>
      <c r="DQ422">
        <v>0</v>
      </c>
      <c r="DR422" t="s">
        <v>411</v>
      </c>
    </row>
    <row r="423" spans="1:284" x14ac:dyDescent="0.25">
      <c r="A423">
        <v>16485430</v>
      </c>
      <c r="B423">
        <v>422</v>
      </c>
      <c r="C423" t="s">
        <v>393</v>
      </c>
      <c r="D423" t="s">
        <v>394</v>
      </c>
      <c r="F423" t="str">
        <f>"08-3N-24-2380-0077-0060"</f>
        <v>08-3N-24-2380-0077-0060</v>
      </c>
      <c r="H423" t="str">
        <f>"MITCHELL EDDIE EST C/O GERALD J THOMAS"</f>
        <v>MITCHELL EDDIE EST C/O GERALD J THOMAS</v>
      </c>
      <c r="I423" t="str">
        <f>"37498 NEW OAK STREET"</f>
        <v>37498 NEW OAK STREET</v>
      </c>
      <c r="J423" t="str">
        <f>"HILLIARD FL 32046"</f>
        <v>HILLIARD FL 32046</v>
      </c>
      <c r="K423" t="str">
        <f>"OAK ST"</f>
        <v>OAK ST</v>
      </c>
      <c r="L423" t="str">
        <f t="shared" si="124"/>
        <v>HILLIARD FL 32046</v>
      </c>
      <c r="M423" t="str">
        <f>"BLOCK 77 LOTS 6 8 9 10 TOWN OF HILLIARD"</f>
        <v>BLOCK 77 LOTS 6 8 9 10 TOWN OF HILLIARD</v>
      </c>
      <c r="N423" t="str">
        <f>""</f>
        <v/>
      </c>
      <c r="O423" t="str">
        <f>"23472"</f>
        <v>23472</v>
      </c>
      <c r="P423" t="str">
        <f t="shared" si="119"/>
        <v>2017</v>
      </c>
      <c r="Q423" t="str">
        <f>""</f>
        <v/>
      </c>
      <c r="R423" t="str">
        <f>"N"</f>
        <v>N</v>
      </c>
      <c r="S423" t="str">
        <f>""</f>
        <v/>
      </c>
      <c r="T423" t="str">
        <f>"849.00"</f>
        <v>849.00</v>
      </c>
      <c r="U423" t="str">
        <f>"54021.00"</f>
        <v>54021.00</v>
      </c>
      <c r="V423" t="str">
        <f>"54021.00"</f>
        <v>54021.00</v>
      </c>
      <c r="W423" t="str">
        <f t="shared" si="120"/>
        <v>2017</v>
      </c>
      <c r="X423" t="str">
        <f>"40.00"</f>
        <v>40.00</v>
      </c>
      <c r="Y423" t="str">
        <f>"906.47"</f>
        <v>906.47</v>
      </c>
      <c r="Z423" t="str">
        <f>""</f>
        <v/>
      </c>
      <c r="AA423" t="str">
        <f>"68355.00"</f>
        <v>68355.00</v>
      </c>
      <c r="AB423" t="str">
        <f t="shared" si="125"/>
        <v>Residential</v>
      </c>
      <c r="AC423" t="str">
        <f t="shared" si="121"/>
        <v>0</v>
      </c>
      <c r="AD423" t="str">
        <f>""</f>
        <v/>
      </c>
      <c r="AE423" t="str">
        <f>""</f>
        <v/>
      </c>
      <c r="AF423" t="str">
        <f>"000"</f>
        <v>000</v>
      </c>
      <c r="AG423" t="str">
        <f t="shared" si="126"/>
        <v>FL</v>
      </c>
      <c r="AH423" t="str">
        <f>"176400.00"</f>
        <v>176400.00</v>
      </c>
      <c r="AI423" t="str">
        <f>"68355.00"</f>
        <v>68355.00</v>
      </c>
      <c r="AJ423" t="str">
        <f>"C55-000-586-7551-3"</f>
        <v>C55-000-586-7551-3</v>
      </c>
      <c r="AK423" t="str">
        <f>"6302"</f>
        <v>6302</v>
      </c>
      <c r="AL423">
        <v>2</v>
      </c>
      <c r="AM423">
        <v>490</v>
      </c>
      <c r="AN423">
        <v>950.19</v>
      </c>
      <c r="AQ423" t="s">
        <v>4712</v>
      </c>
      <c r="AR423" t="s">
        <v>4712</v>
      </c>
      <c r="AS423" t="s">
        <v>4712</v>
      </c>
      <c r="AU423" t="s">
        <v>396</v>
      </c>
      <c r="AV423">
        <v>2017</v>
      </c>
      <c r="AW423" t="str">
        <f>"08-3N-24-2380-0077-0060 "</f>
        <v xml:space="preserve">08-3N-24-2380-0077-0060 </v>
      </c>
      <c r="AZ423" t="s">
        <v>4713</v>
      </c>
      <c r="BA423" t="s">
        <v>1942</v>
      </c>
      <c r="BD423" t="s">
        <v>398</v>
      </c>
      <c r="BE423" t="s">
        <v>393</v>
      </c>
      <c r="BF423">
        <v>32046</v>
      </c>
      <c r="BG423" t="s">
        <v>4714</v>
      </c>
      <c r="BH423" t="s">
        <v>400</v>
      </c>
      <c r="BI423">
        <v>-81.927823165245101</v>
      </c>
      <c r="BJ423">
        <v>30.6918357697514</v>
      </c>
      <c r="BK423" t="s">
        <v>4715</v>
      </c>
      <c r="BM423" t="s">
        <v>4716</v>
      </c>
      <c r="BN423" t="s">
        <v>403</v>
      </c>
      <c r="BO423">
        <v>32046</v>
      </c>
      <c r="BP423" t="s">
        <v>404</v>
      </c>
      <c r="BQ423">
        <v>0</v>
      </c>
      <c r="BR423" t="s">
        <v>491</v>
      </c>
      <c r="BS423">
        <v>8001</v>
      </c>
      <c r="BT423" t="s">
        <v>492</v>
      </c>
      <c r="BW423">
        <v>176404</v>
      </c>
      <c r="BX423" t="s">
        <v>407</v>
      </c>
      <c r="BY423" t="s">
        <v>4370</v>
      </c>
      <c r="CD423">
        <v>2017</v>
      </c>
      <c r="CE423">
        <v>68355</v>
      </c>
      <c r="CG423">
        <v>68355</v>
      </c>
      <c r="CH423">
        <v>2017</v>
      </c>
      <c r="CI423">
        <v>68355</v>
      </c>
      <c r="CK423">
        <v>68355</v>
      </c>
      <c r="CL423">
        <v>2017</v>
      </c>
      <c r="CM423">
        <v>849</v>
      </c>
      <c r="DD423" t="s">
        <v>398</v>
      </c>
      <c r="DG423">
        <v>8</v>
      </c>
      <c r="DJ423" t="s">
        <v>4482</v>
      </c>
      <c r="DL423">
        <v>50400</v>
      </c>
      <c r="DM423" t="s">
        <v>4465</v>
      </c>
      <c r="DO423" t="s">
        <v>4717</v>
      </c>
      <c r="DP423">
        <v>0</v>
      </c>
      <c r="DQ423">
        <v>0</v>
      </c>
      <c r="DR423" t="s">
        <v>411</v>
      </c>
      <c r="DS423" t="b">
        <v>1</v>
      </c>
      <c r="DT423" t="s">
        <v>470</v>
      </c>
      <c r="DU423" t="s">
        <v>471</v>
      </c>
      <c r="DV423" t="s">
        <v>472</v>
      </c>
      <c r="DX423">
        <v>-9999</v>
      </c>
      <c r="DZ423" t="s">
        <v>447</v>
      </c>
      <c r="EA423" t="s">
        <v>448</v>
      </c>
      <c r="EB423" t="s">
        <v>1224</v>
      </c>
      <c r="EC423">
        <v>20101217</v>
      </c>
      <c r="ED423" t="s">
        <v>474</v>
      </c>
      <c r="EF423">
        <v>179.1</v>
      </c>
      <c r="EG423">
        <v>179.1</v>
      </c>
      <c r="EI423">
        <v>20160407</v>
      </c>
      <c r="EJ423">
        <v>0</v>
      </c>
      <c r="EK423">
        <v>0</v>
      </c>
      <c r="EP423" t="s">
        <v>421</v>
      </c>
      <c r="EQ423" t="s">
        <v>422</v>
      </c>
      <c r="ER423">
        <v>0</v>
      </c>
      <c r="ES423">
        <v>3</v>
      </c>
      <c r="ET423">
        <v>0</v>
      </c>
      <c r="EU423">
        <v>0</v>
      </c>
      <c r="EV423">
        <v>0</v>
      </c>
      <c r="EW423" s="2">
        <v>43222</v>
      </c>
      <c r="EX423" s="1">
        <v>42515</v>
      </c>
      <c r="EY423">
        <v>2015</v>
      </c>
      <c r="EZ423">
        <v>910.27</v>
      </c>
      <c r="FA423" t="s">
        <v>4718</v>
      </c>
      <c r="FB423">
        <v>14.75</v>
      </c>
      <c r="FC423" t="s">
        <v>424</v>
      </c>
      <c r="FD423" t="s">
        <v>425</v>
      </c>
      <c r="FE423" s="1">
        <v>42818</v>
      </c>
      <c r="FF423">
        <v>10</v>
      </c>
      <c r="FG423">
        <v>2035919</v>
      </c>
      <c r="FH423" t="s">
        <v>507</v>
      </c>
      <c r="FJ423" s="1">
        <v>41052</v>
      </c>
      <c r="FK423">
        <v>2011</v>
      </c>
      <c r="FL423">
        <v>828.13</v>
      </c>
      <c r="FM423" t="s">
        <v>4719</v>
      </c>
      <c r="FN423">
        <v>6</v>
      </c>
      <c r="FO423" t="s">
        <v>424</v>
      </c>
      <c r="FP423" t="s">
        <v>425</v>
      </c>
      <c r="FQ423" s="1">
        <v>41379</v>
      </c>
      <c r="FR423">
        <v>11</v>
      </c>
      <c r="FS423">
        <v>10579</v>
      </c>
      <c r="FT423" t="s">
        <v>488</v>
      </c>
      <c r="FV423" s="1">
        <v>40688</v>
      </c>
      <c r="FW423">
        <v>2010</v>
      </c>
      <c r="FX423">
        <v>832.01</v>
      </c>
      <c r="FY423" t="s">
        <v>4720</v>
      </c>
      <c r="FZ423">
        <v>8</v>
      </c>
      <c r="GA423" t="s">
        <v>424</v>
      </c>
      <c r="GB423" t="s">
        <v>425</v>
      </c>
      <c r="GC423" s="1">
        <v>41330</v>
      </c>
      <c r="GD423">
        <v>21</v>
      </c>
      <c r="GE423">
        <v>62</v>
      </c>
      <c r="GF423" t="s">
        <v>463</v>
      </c>
    </row>
    <row r="424" spans="1:284" x14ac:dyDescent="0.25">
      <c r="A424">
        <v>16485431</v>
      </c>
      <c r="B424">
        <v>423</v>
      </c>
      <c r="C424" t="s">
        <v>393</v>
      </c>
      <c r="D424" t="s">
        <v>394</v>
      </c>
      <c r="F424" t="str">
        <f>"08-3N-24-2380-0083-0011"</f>
        <v>08-3N-24-2380-0083-0011</v>
      </c>
      <c r="H424" t="str">
        <f>"EASTER TIMOTHY DALE"</f>
        <v>EASTER TIMOTHY DALE</v>
      </c>
      <c r="I424" t="str">
        <f>"PO BOX 316"</f>
        <v>PO BOX 316</v>
      </c>
      <c r="J424" t="str">
        <f>"BROAD BROOK CT 06016"</f>
        <v>BROAD BROOK CT 06016</v>
      </c>
      <c r="K424" t="str">
        <f>"37092 NEW OAK ST"</f>
        <v>37092 NEW OAK ST</v>
      </c>
      <c r="L424" t="str">
        <f t="shared" si="124"/>
        <v>HILLIARD FL 32046</v>
      </c>
      <c r="M424" t="str">
        <f>"BLOCK 83 N1/2 OF LOT 1 IN OR 1492/1353 TOWN OF HILLIARD"</f>
        <v>BLOCK 83 N1/2 OF LOT 1 IN OR 1492/1353 TOWN OF HILLIARD</v>
      </c>
      <c r="N424" t="str">
        <f>""</f>
        <v/>
      </c>
      <c r="O424" t="str">
        <f>"23495"</f>
        <v>23495</v>
      </c>
      <c r="P424" t="str">
        <f t="shared" si="119"/>
        <v>2017</v>
      </c>
      <c r="Q424" t="str">
        <f>""</f>
        <v/>
      </c>
      <c r="R424" t="str">
        <f>"N"</f>
        <v>N</v>
      </c>
      <c r="S424" t="str">
        <f>""</f>
        <v/>
      </c>
      <c r="T424" t="str">
        <f>"956.54"</f>
        <v>956.54</v>
      </c>
      <c r="U424" t="str">
        <f>"68494.00"</f>
        <v>68494.00</v>
      </c>
      <c r="V424" t="str">
        <f>"68494.00"</f>
        <v>68494.00</v>
      </c>
      <c r="W424" t="str">
        <f t="shared" si="120"/>
        <v>2017</v>
      </c>
      <c r="X424" t="str">
        <f>"14.88"</f>
        <v>14.88</v>
      </c>
      <c r="Y424" t="str">
        <f>"1017.24"</f>
        <v>1017.24</v>
      </c>
      <c r="Z424" t="str">
        <f>""</f>
        <v/>
      </c>
      <c r="AA424" t="str">
        <f>"68494.00"</f>
        <v>68494.00</v>
      </c>
      <c r="AB424" t="str">
        <f t="shared" si="125"/>
        <v>Residential</v>
      </c>
      <c r="AC424" t="str">
        <f t="shared" si="121"/>
        <v>0</v>
      </c>
      <c r="AD424" t="str">
        <f>"4"</f>
        <v>4</v>
      </c>
      <c r="AE424" t="str">
        <f>"WOOD (INCLUDE STEEL STUDS)"</f>
        <v>WOOD (INCLUDE STEEL STUDS)</v>
      </c>
      <c r="AF424" t="str">
        <f>"001"</f>
        <v>001</v>
      </c>
      <c r="AG424" t="str">
        <f>"CT"</f>
        <v>CT</v>
      </c>
      <c r="AH424" t="str">
        <f>"22050.00"</f>
        <v>22050.00</v>
      </c>
      <c r="AI424" t="str">
        <f>"15750.00"</f>
        <v>15750.00</v>
      </c>
      <c r="AJ424" t="str">
        <f>"C55-000-586-7571-1"</f>
        <v>C55-000-586-7571-1</v>
      </c>
      <c r="AK424" t="str">
        <f>"6318"</f>
        <v>6318</v>
      </c>
      <c r="AL424">
        <v>2</v>
      </c>
      <c r="AM424">
        <v>491</v>
      </c>
      <c r="AN424">
        <v>1066.5</v>
      </c>
      <c r="AQ424" t="s">
        <v>4721</v>
      </c>
      <c r="AR424" t="s">
        <v>4721</v>
      </c>
      <c r="AS424" t="s">
        <v>4721</v>
      </c>
      <c r="AU424" t="s">
        <v>396</v>
      </c>
      <c r="AV424">
        <v>2017</v>
      </c>
      <c r="AW424" t="str">
        <f>"08-3N-24-2380-0083-0011 "</f>
        <v xml:space="preserve">08-3N-24-2380-0083-0011 </v>
      </c>
      <c r="AX424">
        <v>37092</v>
      </c>
      <c r="AZ424" t="s">
        <v>4646</v>
      </c>
      <c r="BA424" t="s">
        <v>1942</v>
      </c>
      <c r="BD424" t="s">
        <v>398</v>
      </c>
      <c r="BE424" t="s">
        <v>393</v>
      </c>
      <c r="BF424">
        <v>32046</v>
      </c>
      <c r="BG424" t="s">
        <v>4722</v>
      </c>
      <c r="BH424" t="s">
        <v>400</v>
      </c>
      <c r="BI424">
        <v>-81.923738319384299</v>
      </c>
      <c r="BJ424">
        <v>30.686840977465401</v>
      </c>
      <c r="BK424" t="s">
        <v>4723</v>
      </c>
      <c r="BM424" t="s">
        <v>4724</v>
      </c>
      <c r="BN424" t="s">
        <v>4725</v>
      </c>
      <c r="BO424">
        <v>6016</v>
      </c>
      <c r="BP424" t="s">
        <v>404</v>
      </c>
      <c r="BQ424">
        <v>100</v>
      </c>
      <c r="BR424" t="s">
        <v>514</v>
      </c>
      <c r="BS424">
        <v>1001</v>
      </c>
      <c r="BT424" t="s">
        <v>515</v>
      </c>
      <c r="BU424">
        <v>1050</v>
      </c>
      <c r="BV424">
        <v>2100</v>
      </c>
      <c r="BW424">
        <v>21435</v>
      </c>
      <c r="BX424" t="s">
        <v>407</v>
      </c>
      <c r="BY424" t="s">
        <v>4520</v>
      </c>
      <c r="BZ424">
        <v>4</v>
      </c>
      <c r="CA424">
        <v>1955</v>
      </c>
      <c r="CB424">
        <v>1</v>
      </c>
      <c r="CC424">
        <v>1</v>
      </c>
      <c r="CD424">
        <v>2017</v>
      </c>
      <c r="CE424">
        <v>15750</v>
      </c>
      <c r="CF424">
        <v>52744</v>
      </c>
      <c r="CG424">
        <v>68494</v>
      </c>
      <c r="CH424">
        <v>2017</v>
      </c>
      <c r="CI424">
        <v>15750</v>
      </c>
      <c r="CJ424">
        <v>52744</v>
      </c>
      <c r="CK424">
        <v>68494</v>
      </c>
      <c r="CL424">
        <v>2017</v>
      </c>
      <c r="CM424">
        <v>956.54</v>
      </c>
      <c r="CN424" s="1">
        <v>39188</v>
      </c>
      <c r="CO424">
        <v>51500</v>
      </c>
      <c r="CV424">
        <v>0</v>
      </c>
      <c r="CZ424" s="1">
        <v>39188</v>
      </c>
      <c r="DA424">
        <v>0</v>
      </c>
      <c r="DD424" t="s">
        <v>398</v>
      </c>
      <c r="DF424">
        <v>1</v>
      </c>
      <c r="DG424">
        <v>8</v>
      </c>
      <c r="DL424">
        <v>50400</v>
      </c>
      <c r="DM424" t="s">
        <v>4465</v>
      </c>
      <c r="DO424" t="s">
        <v>4726</v>
      </c>
      <c r="DP424">
        <v>0</v>
      </c>
      <c r="DQ424">
        <v>1</v>
      </c>
      <c r="DR424" t="s">
        <v>411</v>
      </c>
      <c r="DS424" t="b">
        <v>1</v>
      </c>
      <c r="DT424" t="s">
        <v>470</v>
      </c>
      <c r="DU424" t="s">
        <v>471</v>
      </c>
      <c r="DV424" t="s">
        <v>472</v>
      </c>
      <c r="DX424">
        <v>-9999</v>
      </c>
      <c r="DZ424" t="s">
        <v>447</v>
      </c>
      <c r="EA424" t="s">
        <v>448</v>
      </c>
      <c r="EB424" t="s">
        <v>1224</v>
      </c>
      <c r="EC424">
        <v>20101217</v>
      </c>
      <c r="ED424" t="s">
        <v>474</v>
      </c>
      <c r="EF424">
        <v>1722.1</v>
      </c>
      <c r="EG424">
        <v>1722.1</v>
      </c>
      <c r="EI424">
        <v>20160407</v>
      </c>
      <c r="EJ424">
        <v>0</v>
      </c>
      <c r="EK424">
        <v>0</v>
      </c>
      <c r="EP424" t="s">
        <v>421</v>
      </c>
      <c r="EQ424" t="s">
        <v>452</v>
      </c>
      <c r="ER424">
        <v>0</v>
      </c>
      <c r="ES424">
        <v>11</v>
      </c>
      <c r="ET424">
        <v>0</v>
      </c>
      <c r="EU424">
        <v>0</v>
      </c>
      <c r="EV424">
        <v>0</v>
      </c>
      <c r="EW424" s="2">
        <v>43222</v>
      </c>
      <c r="EX424" s="1">
        <v>42879</v>
      </c>
      <c r="EY424">
        <v>2016</v>
      </c>
      <c r="EZ424">
        <v>951.01</v>
      </c>
      <c r="FA424" t="s">
        <v>4727</v>
      </c>
      <c r="FB424">
        <v>0.25</v>
      </c>
      <c r="FC424" t="s">
        <v>424</v>
      </c>
      <c r="FD424" t="s">
        <v>425</v>
      </c>
      <c r="FE424" s="1">
        <v>42914</v>
      </c>
      <c r="FF424">
        <v>1</v>
      </c>
      <c r="FG424">
        <v>11289</v>
      </c>
      <c r="FH424" t="s">
        <v>787</v>
      </c>
      <c r="FI424" t="s">
        <v>458</v>
      </c>
      <c r="FJ424" s="1">
        <v>42879</v>
      </c>
      <c r="FK424">
        <v>2016</v>
      </c>
      <c r="FL424">
        <v>951.01</v>
      </c>
      <c r="FM424" t="s">
        <v>4727</v>
      </c>
      <c r="FN424">
        <v>0.25</v>
      </c>
      <c r="FO424" t="s">
        <v>424</v>
      </c>
      <c r="FP424" t="s">
        <v>425</v>
      </c>
      <c r="FR424">
        <v>22</v>
      </c>
      <c r="FS424">
        <v>7213484</v>
      </c>
      <c r="FT424" t="s">
        <v>4728</v>
      </c>
      <c r="FU424" t="s">
        <v>458</v>
      </c>
      <c r="FV424" s="1">
        <v>42515</v>
      </c>
      <c r="FW424">
        <v>2015</v>
      </c>
      <c r="FX424">
        <v>975.59</v>
      </c>
      <c r="FY424" t="s">
        <v>4729</v>
      </c>
      <c r="FZ424">
        <v>0.25</v>
      </c>
      <c r="GA424" t="s">
        <v>424</v>
      </c>
      <c r="GB424" t="s">
        <v>425</v>
      </c>
      <c r="GC424" s="1">
        <v>42914</v>
      </c>
      <c r="GD424">
        <v>13</v>
      </c>
      <c r="GE424">
        <v>7045074</v>
      </c>
      <c r="GF424" t="s">
        <v>580</v>
      </c>
      <c r="GG424" t="s">
        <v>458</v>
      </c>
      <c r="GH424" s="1">
        <v>42515</v>
      </c>
      <c r="GI424">
        <v>2015</v>
      </c>
      <c r="GJ424">
        <v>975.59</v>
      </c>
      <c r="GK424" t="s">
        <v>4729</v>
      </c>
      <c r="GL424">
        <v>0.25</v>
      </c>
      <c r="GM424" t="s">
        <v>424</v>
      </c>
      <c r="GN424" t="s">
        <v>425</v>
      </c>
      <c r="GP424">
        <v>22</v>
      </c>
      <c r="GQ424">
        <v>6685048</v>
      </c>
      <c r="GR424" t="s">
        <v>4730</v>
      </c>
      <c r="GS424" t="s">
        <v>458</v>
      </c>
      <c r="GT424" s="1">
        <v>42151</v>
      </c>
      <c r="GU424">
        <v>2014</v>
      </c>
      <c r="GV424">
        <v>947.44</v>
      </c>
      <c r="GW424" t="s">
        <v>4731</v>
      </c>
      <c r="GX424">
        <v>0.25</v>
      </c>
      <c r="GY424" t="s">
        <v>424</v>
      </c>
      <c r="GZ424" t="s">
        <v>425</v>
      </c>
      <c r="HB424">
        <v>22</v>
      </c>
      <c r="HC424">
        <v>4975594</v>
      </c>
      <c r="HD424" t="s">
        <v>457</v>
      </c>
      <c r="HE424" t="s">
        <v>458</v>
      </c>
      <c r="HF424" s="1">
        <v>42151</v>
      </c>
      <c r="HG424">
        <v>2014</v>
      </c>
      <c r="HH424">
        <v>947.44</v>
      </c>
      <c r="HI424" t="s">
        <v>4731</v>
      </c>
      <c r="HJ424">
        <v>0.25</v>
      </c>
      <c r="HK424" t="s">
        <v>424</v>
      </c>
      <c r="HL424" t="s">
        <v>425</v>
      </c>
      <c r="HN424">
        <v>22</v>
      </c>
      <c r="HO424">
        <v>6622193</v>
      </c>
      <c r="HP424" t="s">
        <v>4732</v>
      </c>
      <c r="HQ424" t="s">
        <v>458</v>
      </c>
      <c r="HR424" s="1">
        <v>41423</v>
      </c>
      <c r="HS424">
        <v>2012</v>
      </c>
      <c r="HT424">
        <v>878.25</v>
      </c>
      <c r="HU424" t="s">
        <v>4733</v>
      </c>
      <c r="HV424">
        <v>2.75</v>
      </c>
      <c r="HW424" t="s">
        <v>424</v>
      </c>
      <c r="HX424" t="s">
        <v>425</v>
      </c>
      <c r="HY424" s="1">
        <v>41725</v>
      </c>
      <c r="HZ424">
        <v>10</v>
      </c>
      <c r="IA424">
        <v>10096</v>
      </c>
      <c r="IB424" t="s">
        <v>1983</v>
      </c>
      <c r="ID424" s="1">
        <v>41052</v>
      </c>
      <c r="IE424">
        <v>2011</v>
      </c>
      <c r="IF424">
        <v>917.7</v>
      </c>
      <c r="IG424" t="s">
        <v>4734</v>
      </c>
      <c r="IH424">
        <v>5</v>
      </c>
      <c r="II424" t="s">
        <v>424</v>
      </c>
      <c r="IJ424" t="s">
        <v>425</v>
      </c>
      <c r="IK424" s="1">
        <v>41702</v>
      </c>
      <c r="IL424">
        <v>22</v>
      </c>
      <c r="IM424">
        <v>1625515</v>
      </c>
      <c r="IN424" t="s">
        <v>487</v>
      </c>
      <c r="IP424" s="1">
        <v>41052</v>
      </c>
      <c r="IQ424">
        <v>2011</v>
      </c>
      <c r="IR424">
        <v>917.7</v>
      </c>
      <c r="IS424" t="s">
        <v>4734</v>
      </c>
      <c r="IT424">
        <v>5</v>
      </c>
      <c r="IU424" t="s">
        <v>424</v>
      </c>
      <c r="IV424" t="s">
        <v>425</v>
      </c>
      <c r="IX424">
        <v>22</v>
      </c>
      <c r="IY424">
        <v>10579</v>
      </c>
      <c r="IZ424" t="s">
        <v>488</v>
      </c>
      <c r="JB424" s="1">
        <v>40688</v>
      </c>
      <c r="JC424">
        <v>2010</v>
      </c>
      <c r="JD424">
        <v>831.35</v>
      </c>
      <c r="JE424" t="s">
        <v>4735</v>
      </c>
      <c r="JF424">
        <v>0.25</v>
      </c>
      <c r="JG424" t="s">
        <v>424</v>
      </c>
      <c r="JH424" t="s">
        <v>425</v>
      </c>
      <c r="JI424" s="1">
        <v>41725</v>
      </c>
      <c r="JJ424">
        <v>34</v>
      </c>
      <c r="JK424">
        <v>1124</v>
      </c>
      <c r="JL424" t="s">
        <v>3142</v>
      </c>
      <c r="JN424" s="1">
        <v>40688</v>
      </c>
      <c r="JO424">
        <v>2010</v>
      </c>
      <c r="JP424">
        <v>831.35</v>
      </c>
      <c r="JQ424" t="s">
        <v>4735</v>
      </c>
      <c r="JR424">
        <v>0.25</v>
      </c>
      <c r="JS424" t="s">
        <v>424</v>
      </c>
      <c r="JT424" t="s">
        <v>425</v>
      </c>
      <c r="JV424">
        <v>22</v>
      </c>
      <c r="JW424">
        <v>11287</v>
      </c>
      <c r="JX424" t="s">
        <v>511</v>
      </c>
    </row>
    <row r="425" spans="1:284" x14ac:dyDescent="0.25">
      <c r="A425">
        <v>16485432</v>
      </c>
      <c r="B425">
        <v>424</v>
      </c>
      <c r="C425" t="s">
        <v>393</v>
      </c>
      <c r="D425" t="s">
        <v>394</v>
      </c>
      <c r="F425" t="str">
        <f>"08-3N-24-2380-0085-0042"</f>
        <v>08-3N-24-2380-0085-0042</v>
      </c>
      <c r="H425" t="str">
        <f>"ATKINSON MARYANN &amp; BEASLEY SANDRA JEANETTE &amp; NANGLE HEATHER LEANNE"</f>
        <v>ATKINSON MARYANN &amp; BEASLEY SANDRA JEANETTE &amp; NANGLE HEATHER LEANNE</v>
      </c>
      <c r="I425" t="str">
        <f>""</f>
        <v/>
      </c>
      <c r="J425" t="str">
        <f>"HILLIARD FL 32046"</f>
        <v>HILLIARD FL 32046</v>
      </c>
      <c r="K425" t="str">
        <f>"37055 FIRST ST W"</f>
        <v>37055 FIRST ST W</v>
      </c>
      <c r="L425" t="str">
        <f t="shared" si="124"/>
        <v>HILLIARD FL 32046</v>
      </c>
      <c r="M425" t="str">
        <f>"BLOCK 85 PT OF LOT 4 OR 708/125 &amp; CASE 04-108-CP PT OR 1532/592 1/3 HX INT TOWN OF HILLIARD PB 1/28"</f>
        <v>BLOCK 85 PT OF LOT 4 OR 708/125 &amp; CASE 04-108-CP PT OR 1532/592 1/3 HX INT TOWN OF HILLIARD PB 1/28</v>
      </c>
      <c r="N425" t="str">
        <f>""</f>
        <v/>
      </c>
      <c r="O425" t="str">
        <f>"23514"</f>
        <v>23514</v>
      </c>
      <c r="P425" t="str">
        <f t="shared" si="119"/>
        <v>2017</v>
      </c>
      <c r="Q425" t="str">
        <f>""</f>
        <v/>
      </c>
      <c r="R425" t="str">
        <f>"Y"</f>
        <v>Y</v>
      </c>
      <c r="S425" t="str">
        <f>""</f>
        <v/>
      </c>
      <c r="T425" t="str">
        <f>"603.59"</f>
        <v>603.59</v>
      </c>
      <c r="U425" t="str">
        <f>"63388.00"</f>
        <v>63388.00</v>
      </c>
      <c r="V425" t="str">
        <f>"63388.00"</f>
        <v>63388.00</v>
      </c>
      <c r="W425" t="str">
        <f t="shared" si="120"/>
        <v>2017</v>
      </c>
      <c r="X425" t="str">
        <f>"20.00"</f>
        <v>20.00</v>
      </c>
      <c r="Y425" t="str">
        <f>"653.70"</f>
        <v>653.70</v>
      </c>
      <c r="Z425" t="str">
        <f>"20167.00"</f>
        <v>20167.00</v>
      </c>
      <c r="AA425" t="str">
        <f>"43221.00"</f>
        <v>43221.00</v>
      </c>
      <c r="AB425" t="str">
        <f t="shared" si="125"/>
        <v>Residential</v>
      </c>
      <c r="AC425" t="str">
        <f t="shared" si="121"/>
        <v>0</v>
      </c>
      <c r="AD425" t="str">
        <f>"4"</f>
        <v>4</v>
      </c>
      <c r="AE425" t="str">
        <f>"WOOD (INCLUDE STEEL STUDS)"</f>
        <v>WOOD (INCLUDE STEEL STUDS)</v>
      </c>
      <c r="AF425" t="str">
        <f>"001"</f>
        <v>001</v>
      </c>
      <c r="AG425" t="str">
        <f>"FL"</f>
        <v>FL</v>
      </c>
      <c r="AH425" t="str">
        <f>"18900.00"</f>
        <v>18900.00</v>
      </c>
      <c r="AI425" t="str">
        <f>"13500.00"</f>
        <v>13500.00</v>
      </c>
      <c r="AJ425" t="str">
        <f>"C55-000-586-7589-3"</f>
        <v>C55-000-586-7589-3</v>
      </c>
      <c r="AK425" t="str">
        <f>"6336"</f>
        <v>6336</v>
      </c>
      <c r="AL425">
        <v>2</v>
      </c>
      <c r="AM425">
        <v>492</v>
      </c>
      <c r="AN425">
        <v>684.79</v>
      </c>
      <c r="AQ425" t="s">
        <v>4736</v>
      </c>
      <c r="AR425" t="s">
        <v>4736</v>
      </c>
      <c r="AS425" t="s">
        <v>4736</v>
      </c>
      <c r="AU425" t="s">
        <v>396</v>
      </c>
      <c r="AV425">
        <v>2017</v>
      </c>
      <c r="AW425" t="str">
        <f>"08-3N-24-2380-0085-0042 "</f>
        <v xml:space="preserve">08-3N-24-2380-0085-0042 </v>
      </c>
      <c r="AX425">
        <v>37055</v>
      </c>
      <c r="AZ425" t="s">
        <v>4458</v>
      </c>
      <c r="BA425" t="s">
        <v>1942</v>
      </c>
      <c r="BB425" t="s">
        <v>4459</v>
      </c>
      <c r="BD425" t="s">
        <v>398</v>
      </c>
      <c r="BE425" t="s">
        <v>393</v>
      </c>
      <c r="BF425">
        <v>32046</v>
      </c>
      <c r="BG425" t="s">
        <v>4737</v>
      </c>
      <c r="BH425" t="s">
        <v>400</v>
      </c>
      <c r="BI425">
        <v>-81.923362955939197</v>
      </c>
      <c r="BJ425">
        <v>30.685999948593899</v>
      </c>
      <c r="BK425" t="s">
        <v>4738</v>
      </c>
      <c r="BM425" t="s">
        <v>4739</v>
      </c>
      <c r="BN425" t="s">
        <v>403</v>
      </c>
      <c r="BO425">
        <v>32046</v>
      </c>
      <c r="BP425" t="s">
        <v>416</v>
      </c>
      <c r="BQ425">
        <v>100</v>
      </c>
      <c r="BR425" t="s">
        <v>514</v>
      </c>
      <c r="BS425">
        <v>1001</v>
      </c>
      <c r="BT425" t="s">
        <v>515</v>
      </c>
      <c r="BU425">
        <v>900</v>
      </c>
      <c r="BV425">
        <v>2100</v>
      </c>
      <c r="BW425">
        <v>18900</v>
      </c>
      <c r="BX425" t="s">
        <v>407</v>
      </c>
      <c r="BY425" t="s">
        <v>4520</v>
      </c>
      <c r="BZ425">
        <v>4</v>
      </c>
      <c r="CA425">
        <v>1993</v>
      </c>
      <c r="CB425">
        <v>1</v>
      </c>
      <c r="CC425">
        <v>1</v>
      </c>
      <c r="CD425">
        <v>2017</v>
      </c>
      <c r="CG425">
        <v>63388</v>
      </c>
      <c r="CH425">
        <v>2017</v>
      </c>
      <c r="CI425">
        <v>13500</v>
      </c>
      <c r="CJ425">
        <v>51985</v>
      </c>
      <c r="CK425">
        <v>65485</v>
      </c>
      <c r="CL425">
        <v>2017</v>
      </c>
      <c r="CM425">
        <v>603.59</v>
      </c>
      <c r="CN425" s="1">
        <v>39380</v>
      </c>
      <c r="CZ425" s="1">
        <v>39380</v>
      </c>
      <c r="DD425" t="s">
        <v>398</v>
      </c>
      <c r="DF425">
        <v>4</v>
      </c>
      <c r="DG425">
        <v>8</v>
      </c>
      <c r="DL425">
        <v>50400</v>
      </c>
      <c r="DM425" t="s">
        <v>4465</v>
      </c>
      <c r="DO425" t="s">
        <v>4740</v>
      </c>
      <c r="DP425">
        <v>0</v>
      </c>
      <c r="DQ425">
        <v>0</v>
      </c>
      <c r="DR425" t="s">
        <v>411</v>
      </c>
      <c r="DS425" t="b">
        <v>1</v>
      </c>
      <c r="DT425" t="s">
        <v>470</v>
      </c>
      <c r="DU425" t="s">
        <v>471</v>
      </c>
      <c r="DV425" t="s">
        <v>472</v>
      </c>
      <c r="DX425">
        <v>-9999</v>
      </c>
      <c r="DZ425" t="s">
        <v>447</v>
      </c>
      <c r="EA425" t="s">
        <v>448</v>
      </c>
      <c r="EB425" t="s">
        <v>1224</v>
      </c>
      <c r="EC425">
        <v>20101217</v>
      </c>
      <c r="ED425" t="s">
        <v>474</v>
      </c>
      <c r="EF425">
        <v>1593.1</v>
      </c>
      <c r="EG425">
        <v>1593.1</v>
      </c>
      <c r="EI425">
        <v>20160407</v>
      </c>
      <c r="EJ425">
        <v>0</v>
      </c>
      <c r="EK425">
        <v>0</v>
      </c>
      <c r="EP425" t="s">
        <v>421</v>
      </c>
      <c r="EQ425" t="s">
        <v>422</v>
      </c>
      <c r="ER425">
        <v>2</v>
      </c>
      <c r="ES425">
        <v>7</v>
      </c>
      <c r="ET425">
        <v>1338.24</v>
      </c>
      <c r="EU425">
        <v>79.41</v>
      </c>
      <c r="EV425">
        <v>1417.65</v>
      </c>
      <c r="EW425" s="2">
        <v>43222</v>
      </c>
      <c r="EX425" s="1">
        <v>42879</v>
      </c>
      <c r="EY425">
        <v>2016</v>
      </c>
      <c r="EZ425">
        <v>669.12</v>
      </c>
      <c r="FA425" t="s">
        <v>4741</v>
      </c>
      <c r="FB425">
        <v>0.25</v>
      </c>
      <c r="FC425" t="s">
        <v>424</v>
      </c>
      <c r="FD425" t="s">
        <v>454</v>
      </c>
      <c r="FF425">
        <v>12</v>
      </c>
      <c r="FG425">
        <v>7400234</v>
      </c>
      <c r="FH425" t="s">
        <v>426</v>
      </c>
      <c r="FJ425" s="1">
        <v>42879</v>
      </c>
      <c r="FK425">
        <v>2016</v>
      </c>
      <c r="FL425">
        <v>669.12</v>
      </c>
      <c r="FM425" t="s">
        <v>4741</v>
      </c>
      <c r="FN425">
        <v>0.25</v>
      </c>
      <c r="FO425" t="s">
        <v>424</v>
      </c>
      <c r="FP425" t="s">
        <v>454</v>
      </c>
      <c r="FR425">
        <v>12</v>
      </c>
      <c r="FS425">
        <v>7488546</v>
      </c>
      <c r="FT425" t="s">
        <v>4742</v>
      </c>
      <c r="FV425" s="1">
        <v>42515</v>
      </c>
      <c r="FW425">
        <v>2015</v>
      </c>
      <c r="FX425">
        <v>684.42</v>
      </c>
      <c r="FY425" t="s">
        <v>4743</v>
      </c>
      <c r="FZ425">
        <v>0.25</v>
      </c>
      <c r="GA425" t="s">
        <v>424</v>
      </c>
      <c r="GB425" t="s">
        <v>425</v>
      </c>
      <c r="GC425" s="1">
        <v>43179</v>
      </c>
      <c r="GD425">
        <v>22</v>
      </c>
      <c r="GE425">
        <v>2851116</v>
      </c>
      <c r="GF425" t="s">
        <v>480</v>
      </c>
      <c r="GH425" s="1">
        <v>42515</v>
      </c>
      <c r="GI425">
        <v>2015</v>
      </c>
      <c r="GJ425">
        <v>684.42</v>
      </c>
      <c r="GK425" t="s">
        <v>4743</v>
      </c>
      <c r="GL425">
        <v>0.25</v>
      </c>
      <c r="GM425" t="s">
        <v>424</v>
      </c>
      <c r="GN425" t="s">
        <v>425</v>
      </c>
      <c r="GP425">
        <v>22</v>
      </c>
      <c r="GQ425">
        <v>5464546</v>
      </c>
      <c r="GR425" t="s">
        <v>4744</v>
      </c>
      <c r="GT425" s="1">
        <v>42151</v>
      </c>
      <c r="GU425">
        <v>2014</v>
      </c>
      <c r="GV425">
        <v>667.8</v>
      </c>
      <c r="GW425" t="s">
        <v>4745</v>
      </c>
      <c r="GX425">
        <v>0.25</v>
      </c>
      <c r="GY425" t="s">
        <v>424</v>
      </c>
      <c r="GZ425" t="s">
        <v>425</v>
      </c>
      <c r="HA425" s="1">
        <v>42780</v>
      </c>
      <c r="HB425">
        <v>21</v>
      </c>
      <c r="HC425">
        <v>4975594</v>
      </c>
      <c r="HD425" t="s">
        <v>457</v>
      </c>
      <c r="HF425" s="1">
        <v>42151</v>
      </c>
      <c r="HG425">
        <v>2014</v>
      </c>
      <c r="HH425">
        <v>667.8</v>
      </c>
      <c r="HI425" t="s">
        <v>4745</v>
      </c>
      <c r="HJ425">
        <v>0.25</v>
      </c>
      <c r="HK425" t="s">
        <v>424</v>
      </c>
      <c r="HL425" t="s">
        <v>425</v>
      </c>
      <c r="HN425">
        <v>22</v>
      </c>
      <c r="HO425">
        <v>6252719</v>
      </c>
      <c r="HP425" t="s">
        <v>4746</v>
      </c>
      <c r="HR425" s="1">
        <v>41787</v>
      </c>
      <c r="HS425">
        <v>2013</v>
      </c>
      <c r="HT425">
        <v>598.64</v>
      </c>
      <c r="HU425" t="s">
        <v>4747</v>
      </c>
      <c r="HV425">
        <v>0.25</v>
      </c>
      <c r="HW425" t="s">
        <v>424</v>
      </c>
      <c r="HX425" t="s">
        <v>425</v>
      </c>
      <c r="HY425" s="1">
        <v>42268</v>
      </c>
      <c r="HZ425">
        <v>16</v>
      </c>
      <c r="IA425">
        <v>2101382</v>
      </c>
      <c r="IB425" t="s">
        <v>993</v>
      </c>
      <c r="ID425" s="1">
        <v>41423</v>
      </c>
      <c r="IE425">
        <v>2012</v>
      </c>
      <c r="IF425">
        <v>578.34</v>
      </c>
      <c r="IG425" t="s">
        <v>4748</v>
      </c>
      <c r="IH425">
        <v>0.25</v>
      </c>
      <c r="II425" t="s">
        <v>424</v>
      </c>
      <c r="IJ425" t="s">
        <v>425</v>
      </c>
      <c r="IK425" s="1">
        <v>42019</v>
      </c>
      <c r="IL425">
        <v>20</v>
      </c>
      <c r="IM425">
        <v>2101382</v>
      </c>
      <c r="IN425" t="s">
        <v>993</v>
      </c>
      <c r="IP425" s="1">
        <v>41052</v>
      </c>
      <c r="IQ425">
        <v>2011</v>
      </c>
      <c r="IR425">
        <v>605.29999999999995</v>
      </c>
      <c r="IS425" t="s">
        <v>4749</v>
      </c>
      <c r="IT425">
        <v>0.25</v>
      </c>
      <c r="IU425" t="s">
        <v>424</v>
      </c>
      <c r="IV425" t="s">
        <v>425</v>
      </c>
      <c r="IW425" s="1">
        <v>41688</v>
      </c>
      <c r="IX425">
        <v>21</v>
      </c>
      <c r="IY425">
        <v>11287</v>
      </c>
      <c r="IZ425" t="s">
        <v>511</v>
      </c>
    </row>
    <row r="426" spans="1:284" x14ac:dyDescent="0.25">
      <c r="A426">
        <v>16485433</v>
      </c>
      <c r="B426">
        <v>425</v>
      </c>
      <c r="C426" t="s">
        <v>393</v>
      </c>
      <c r="D426" t="s">
        <v>394</v>
      </c>
      <c r="F426" t="str">
        <f>"08-3N-24-2380-0094-0080"</f>
        <v>08-3N-24-2380-0094-0080</v>
      </c>
      <c r="H426" t="str">
        <f>"MOON JEAN"</f>
        <v>MOON JEAN</v>
      </c>
      <c r="I426" t="str">
        <f>"1545 NORTH STIRLING AVENUE"</f>
        <v>1545 NORTH STIRLING AVENUE</v>
      </c>
      <c r="J426" t="str">
        <f>"PONTIAC MI 48340"</f>
        <v>PONTIAC MI 48340</v>
      </c>
      <c r="K426" t="str">
        <f>"EIGHTH AV"</f>
        <v>EIGHTH AV</v>
      </c>
      <c r="L426" t="str">
        <f t="shared" si="124"/>
        <v>HILLIARD FL 32046</v>
      </c>
      <c r="M426" t="str">
        <f>"BLOCK 94 LOT 8 PT OR 2030/1492 TOWN OF HILLIARD"</f>
        <v>BLOCK 94 LOT 8 PT OR 2030/1492 TOWN OF HILLIARD</v>
      </c>
      <c r="N426" t="str">
        <f>""</f>
        <v/>
      </c>
      <c r="O426" t="str">
        <f>"23539"</f>
        <v>23539</v>
      </c>
      <c r="P426" t="str">
        <f t="shared" si="119"/>
        <v>2017</v>
      </c>
      <c r="Q426" t="str">
        <f>""</f>
        <v/>
      </c>
      <c r="R426" t="str">
        <f t="shared" ref="R426:R436" si="129">"N"</f>
        <v>N</v>
      </c>
      <c r="S426" t="str">
        <f>""</f>
        <v/>
      </c>
      <c r="T426" t="str">
        <f>"8.73"</f>
        <v>8.73</v>
      </c>
      <c r="U426" t="str">
        <f t="shared" ref="U426:V428" si="130">"625.00"</f>
        <v>625.00</v>
      </c>
      <c r="V426" t="str">
        <f t="shared" si="130"/>
        <v>625.00</v>
      </c>
      <c r="W426" t="str">
        <f t="shared" si="120"/>
        <v>2017</v>
      </c>
      <c r="X426" t="str">
        <f>""</f>
        <v/>
      </c>
      <c r="Y426" t="str">
        <f>"40.99"</f>
        <v>40.99</v>
      </c>
      <c r="Z426" t="str">
        <f>""</f>
        <v/>
      </c>
      <c r="AA426" t="str">
        <f>"625.00"</f>
        <v>625.00</v>
      </c>
      <c r="AB426" t="str">
        <f t="shared" si="125"/>
        <v>Residential</v>
      </c>
      <c r="AC426" t="str">
        <f t="shared" si="121"/>
        <v>0</v>
      </c>
      <c r="AD426" t="str">
        <f>""</f>
        <v/>
      </c>
      <c r="AE426" t="str">
        <f>""</f>
        <v/>
      </c>
      <c r="AF426" t="str">
        <f>"000"</f>
        <v>000</v>
      </c>
      <c r="AG426" t="str">
        <f>"MI"</f>
        <v>MI</v>
      </c>
      <c r="AH426" t="str">
        <f>"3125.00"</f>
        <v>3125.00</v>
      </c>
      <c r="AI426" t="str">
        <f>"625.00"</f>
        <v>625.00</v>
      </c>
      <c r="AJ426" t="str">
        <f>"C55-000-586-7603-2"</f>
        <v>C55-000-586-7603-2</v>
      </c>
      <c r="AK426" t="str">
        <f>"6352"</f>
        <v>6352</v>
      </c>
      <c r="AL426">
        <v>2</v>
      </c>
      <c r="AM426">
        <v>493</v>
      </c>
      <c r="AN426">
        <v>41.44</v>
      </c>
      <c r="AQ426" t="s">
        <v>4750</v>
      </c>
      <c r="AR426" t="s">
        <v>4750</v>
      </c>
      <c r="AS426" t="s">
        <v>4750</v>
      </c>
      <c r="AU426" t="s">
        <v>396</v>
      </c>
      <c r="AV426">
        <v>2017</v>
      </c>
      <c r="AW426" t="str">
        <f>"08-3N-24-2380-0094-0080 "</f>
        <v xml:space="preserve">08-3N-24-2380-0094-0080 </v>
      </c>
      <c r="AZ426" t="s">
        <v>4267</v>
      </c>
      <c r="BA426" t="s">
        <v>1122</v>
      </c>
      <c r="BD426" t="s">
        <v>398</v>
      </c>
      <c r="BE426" t="s">
        <v>393</v>
      </c>
      <c r="BF426">
        <v>32046</v>
      </c>
      <c r="BG426" t="s">
        <v>4268</v>
      </c>
      <c r="BH426" t="s">
        <v>400</v>
      </c>
      <c r="BI426">
        <v>-81.938814905513993</v>
      </c>
      <c r="BJ426">
        <v>30.691831690130002</v>
      </c>
      <c r="BK426" t="s">
        <v>4751</v>
      </c>
      <c r="BM426" t="s">
        <v>4752</v>
      </c>
      <c r="BN426" t="s">
        <v>4753</v>
      </c>
      <c r="BO426">
        <v>48340</v>
      </c>
      <c r="BP426" t="s">
        <v>404</v>
      </c>
      <c r="BQ426">
        <v>0</v>
      </c>
      <c r="BR426" t="s">
        <v>491</v>
      </c>
      <c r="BS426">
        <v>8001</v>
      </c>
      <c r="BT426" t="s">
        <v>492</v>
      </c>
      <c r="BU426">
        <v>250</v>
      </c>
      <c r="BV426">
        <v>1250</v>
      </c>
      <c r="BW426">
        <v>3250</v>
      </c>
      <c r="BX426" t="s">
        <v>407</v>
      </c>
      <c r="BY426" t="s">
        <v>4520</v>
      </c>
      <c r="CD426">
        <v>2017</v>
      </c>
      <c r="CE426">
        <v>625</v>
      </c>
      <c r="CG426">
        <v>625</v>
      </c>
      <c r="CH426">
        <v>2017</v>
      </c>
      <c r="CI426">
        <v>625</v>
      </c>
      <c r="CK426">
        <v>625</v>
      </c>
      <c r="CL426">
        <v>2017</v>
      </c>
      <c r="CM426">
        <v>8.73</v>
      </c>
      <c r="CN426" s="1">
        <v>42425</v>
      </c>
      <c r="CZ426" s="1">
        <v>42425</v>
      </c>
      <c r="DD426" t="s">
        <v>398</v>
      </c>
      <c r="DF426">
        <v>8</v>
      </c>
      <c r="DG426">
        <v>8</v>
      </c>
      <c r="DL426">
        <v>50400</v>
      </c>
      <c r="DM426" t="s">
        <v>4465</v>
      </c>
      <c r="DO426" t="s">
        <v>4754</v>
      </c>
      <c r="DP426">
        <v>0</v>
      </c>
      <c r="DQ426">
        <v>0</v>
      </c>
      <c r="DR426" t="s">
        <v>411</v>
      </c>
      <c r="DS426" t="b">
        <v>1</v>
      </c>
      <c r="DT426" t="s">
        <v>470</v>
      </c>
      <c r="DU426" t="s">
        <v>471</v>
      </c>
      <c r="DV426" t="s">
        <v>472</v>
      </c>
      <c r="DX426">
        <v>-9999</v>
      </c>
      <c r="DZ426" t="s">
        <v>447</v>
      </c>
      <c r="EA426" t="s">
        <v>448</v>
      </c>
      <c r="EB426" t="s">
        <v>1224</v>
      </c>
      <c r="EC426">
        <v>20101217</v>
      </c>
      <c r="ED426" t="s">
        <v>474</v>
      </c>
      <c r="EF426">
        <v>590.5</v>
      </c>
      <c r="EG426">
        <v>590.5</v>
      </c>
      <c r="EI426">
        <v>20160407</v>
      </c>
      <c r="EJ426">
        <v>0</v>
      </c>
      <c r="EK426">
        <v>0</v>
      </c>
      <c r="EP426" t="s">
        <v>595</v>
      </c>
      <c r="EQ426" t="s">
        <v>422</v>
      </c>
      <c r="ER426">
        <v>9</v>
      </c>
      <c r="ES426">
        <v>0</v>
      </c>
      <c r="ET426">
        <v>451.84</v>
      </c>
      <c r="EU426">
        <v>349.4</v>
      </c>
      <c r="EV426">
        <v>801.24</v>
      </c>
      <c r="EW426" s="2">
        <v>43222</v>
      </c>
      <c r="EX426" s="1">
        <v>42879</v>
      </c>
      <c r="EY426">
        <v>2016</v>
      </c>
      <c r="EZ426">
        <v>36.6</v>
      </c>
      <c r="FA426" t="s">
        <v>4755</v>
      </c>
      <c r="FB426">
        <v>18</v>
      </c>
      <c r="FC426" t="s">
        <v>603</v>
      </c>
      <c r="FD426" t="s">
        <v>454</v>
      </c>
      <c r="FF426">
        <v>12</v>
      </c>
      <c r="FG426">
        <v>9999999</v>
      </c>
      <c r="FH426" t="s">
        <v>604</v>
      </c>
      <c r="FJ426" s="1">
        <v>42515</v>
      </c>
      <c r="FK426">
        <v>2015</v>
      </c>
      <c r="FL426">
        <v>31.86</v>
      </c>
      <c r="FM426" t="s">
        <v>4756</v>
      </c>
      <c r="FN426">
        <v>18</v>
      </c>
      <c r="FO426" t="s">
        <v>603</v>
      </c>
      <c r="FP426" t="s">
        <v>454</v>
      </c>
      <c r="FR426">
        <v>24</v>
      </c>
      <c r="FS426">
        <v>9999999</v>
      </c>
      <c r="FT426" t="s">
        <v>604</v>
      </c>
      <c r="FV426" s="1">
        <v>42151</v>
      </c>
      <c r="FW426">
        <v>2014</v>
      </c>
      <c r="FX426">
        <v>39.96</v>
      </c>
      <c r="FY426" t="s">
        <v>4757</v>
      </c>
      <c r="FZ426">
        <v>18</v>
      </c>
      <c r="GA426" t="s">
        <v>603</v>
      </c>
      <c r="GB426" t="s">
        <v>454</v>
      </c>
      <c r="GD426">
        <v>36</v>
      </c>
      <c r="GE426">
        <v>9999999</v>
      </c>
      <c r="GF426" t="s">
        <v>604</v>
      </c>
      <c r="GH426" s="1">
        <v>41787</v>
      </c>
      <c r="GI426">
        <v>2013</v>
      </c>
      <c r="GJ426">
        <v>37.229999999999997</v>
      </c>
      <c r="GK426" t="s">
        <v>4758</v>
      </c>
      <c r="GL426">
        <v>18</v>
      </c>
      <c r="GM426" t="s">
        <v>603</v>
      </c>
      <c r="GN426" t="s">
        <v>454</v>
      </c>
      <c r="GP426">
        <v>48</v>
      </c>
      <c r="GQ426">
        <v>9999999</v>
      </c>
      <c r="GR426" t="s">
        <v>604</v>
      </c>
      <c r="GT426" s="1">
        <v>41423</v>
      </c>
      <c r="GU426">
        <v>2012</v>
      </c>
      <c r="GV426">
        <v>36.49</v>
      </c>
      <c r="GW426" t="s">
        <v>4759</v>
      </c>
      <c r="GX426">
        <v>10</v>
      </c>
      <c r="GY426" t="s">
        <v>424</v>
      </c>
      <c r="GZ426" t="s">
        <v>454</v>
      </c>
      <c r="HB426">
        <v>60</v>
      </c>
      <c r="HC426">
        <v>375</v>
      </c>
      <c r="HD426" t="s">
        <v>776</v>
      </c>
      <c r="HF426" s="1">
        <v>41423</v>
      </c>
      <c r="HG426">
        <v>2012</v>
      </c>
      <c r="HH426">
        <v>36.49</v>
      </c>
      <c r="HI426" t="s">
        <v>4759</v>
      </c>
      <c r="HJ426">
        <v>10</v>
      </c>
      <c r="HK426" t="s">
        <v>424</v>
      </c>
      <c r="HL426" t="s">
        <v>454</v>
      </c>
      <c r="HN426">
        <v>60</v>
      </c>
      <c r="HO426">
        <v>105</v>
      </c>
      <c r="HP426" t="s">
        <v>946</v>
      </c>
      <c r="HR426" s="1">
        <v>41052</v>
      </c>
      <c r="HS426">
        <v>2011</v>
      </c>
      <c r="HT426">
        <v>78.13</v>
      </c>
      <c r="HU426" t="s">
        <v>4760</v>
      </c>
      <c r="HV426">
        <v>18</v>
      </c>
      <c r="HW426" t="s">
        <v>424</v>
      </c>
      <c r="HX426" t="s">
        <v>454</v>
      </c>
      <c r="HZ426">
        <v>72</v>
      </c>
      <c r="IA426">
        <v>10125</v>
      </c>
      <c r="IB426" t="s">
        <v>440</v>
      </c>
      <c r="ID426" s="1">
        <v>40688</v>
      </c>
      <c r="IE426">
        <v>2010</v>
      </c>
      <c r="IF426">
        <v>77.540000000000006</v>
      </c>
      <c r="IG426" t="s">
        <v>4761</v>
      </c>
      <c r="IH426">
        <v>9.75</v>
      </c>
      <c r="II426" t="s">
        <v>424</v>
      </c>
      <c r="IJ426" t="s">
        <v>454</v>
      </c>
      <c r="IL426">
        <v>84</v>
      </c>
      <c r="IM426">
        <v>375</v>
      </c>
      <c r="IN426" t="s">
        <v>776</v>
      </c>
      <c r="IP426" s="1">
        <v>40688</v>
      </c>
      <c r="IQ426">
        <v>2010</v>
      </c>
      <c r="IR426">
        <v>77.540000000000006</v>
      </c>
      <c r="IS426" t="s">
        <v>4761</v>
      </c>
      <c r="IT426">
        <v>9.75</v>
      </c>
      <c r="IU426" t="s">
        <v>424</v>
      </c>
      <c r="IV426" t="s">
        <v>454</v>
      </c>
      <c r="IX426">
        <v>84</v>
      </c>
      <c r="IY426">
        <v>105</v>
      </c>
      <c r="IZ426" t="s">
        <v>946</v>
      </c>
    </row>
    <row r="427" spans="1:284" x14ac:dyDescent="0.25">
      <c r="A427">
        <v>16485434</v>
      </c>
      <c r="B427">
        <v>426</v>
      </c>
      <c r="C427" t="s">
        <v>393</v>
      </c>
      <c r="D427" t="s">
        <v>394</v>
      </c>
      <c r="F427" t="str">
        <f>"08-3N-24-2380-0102-0020"</f>
        <v>08-3N-24-2380-0102-0020</v>
      </c>
      <c r="H427" t="str">
        <f>"POPE W ET AL C/O JOHN G BARROW III"</f>
        <v>POPE W ET AL C/O JOHN G BARROW III</v>
      </c>
      <c r="I427" t="str">
        <f>"661 US HWY 17 NORTH"</f>
        <v>661 US HWY 17 NORTH</v>
      </c>
      <c r="J427" t="str">
        <f>"YULEE FL 32097"</f>
        <v>YULEE FL 32097</v>
      </c>
      <c r="K427" t="str">
        <f>"EIGHTH AV"</f>
        <v>EIGHTH AV</v>
      </c>
      <c r="L427" t="str">
        <f t="shared" si="124"/>
        <v>HILLIARD FL 32046</v>
      </c>
      <c r="M427" t="str">
        <f>"BLOCK 102 LOT 2 OR 343 PG 413 TOWN OF HILLIARD"</f>
        <v>BLOCK 102 LOT 2 OR 343 PG 413 TOWN OF HILLIARD</v>
      </c>
      <c r="N427" t="str">
        <f>""</f>
        <v/>
      </c>
      <c r="O427" t="str">
        <f>"23556"</f>
        <v>23556</v>
      </c>
      <c r="P427" t="str">
        <f t="shared" si="119"/>
        <v>2017</v>
      </c>
      <c r="Q427" t="str">
        <f>""</f>
        <v/>
      </c>
      <c r="R427" t="str">
        <f t="shared" si="129"/>
        <v>N</v>
      </c>
      <c r="S427" t="str">
        <f>""</f>
        <v/>
      </c>
      <c r="T427" t="str">
        <f>"8.73"</f>
        <v>8.73</v>
      </c>
      <c r="U427" t="str">
        <f t="shared" si="130"/>
        <v>625.00</v>
      </c>
      <c r="V427" t="str">
        <f t="shared" si="130"/>
        <v>625.00</v>
      </c>
      <c r="W427" t="str">
        <f t="shared" si="120"/>
        <v>2017</v>
      </c>
      <c r="X427" t="str">
        <f>""</f>
        <v/>
      </c>
      <c r="Y427" t="str">
        <f>"40.99"</f>
        <v>40.99</v>
      </c>
      <c r="Z427" t="str">
        <f>""</f>
        <v/>
      </c>
      <c r="AA427" t="str">
        <f>"625.00"</f>
        <v>625.00</v>
      </c>
      <c r="AB427" t="str">
        <f t="shared" si="125"/>
        <v>Residential</v>
      </c>
      <c r="AC427" t="str">
        <f t="shared" si="121"/>
        <v>0</v>
      </c>
      <c r="AD427" t="str">
        <f>""</f>
        <v/>
      </c>
      <c r="AE427" t="str">
        <f>""</f>
        <v/>
      </c>
      <c r="AF427" t="str">
        <f>"000"</f>
        <v>000</v>
      </c>
      <c r="AG427" t="str">
        <f>"FL"</f>
        <v>FL</v>
      </c>
      <c r="AH427" t="str">
        <f>"3125.00"</f>
        <v>3125.00</v>
      </c>
      <c r="AI427" t="str">
        <f>"625.00"</f>
        <v>625.00</v>
      </c>
      <c r="AJ427" t="str">
        <f>"C55-000-586-7611-5"</f>
        <v>C55-000-586-7611-5</v>
      </c>
      <c r="AK427" t="str">
        <f>"6361"</f>
        <v>6361</v>
      </c>
      <c r="AL427">
        <v>2</v>
      </c>
      <c r="AM427">
        <v>494</v>
      </c>
      <c r="AN427">
        <v>41.44</v>
      </c>
      <c r="AQ427" t="s">
        <v>4762</v>
      </c>
      <c r="AR427" t="s">
        <v>4762</v>
      </c>
      <c r="AS427" t="s">
        <v>4762</v>
      </c>
      <c r="AU427" t="s">
        <v>396</v>
      </c>
      <c r="AV427">
        <v>2017</v>
      </c>
      <c r="AW427" t="str">
        <f>"08-3N-24-2380-0102-0020 "</f>
        <v xml:space="preserve">08-3N-24-2380-0102-0020 </v>
      </c>
      <c r="AZ427" t="s">
        <v>4267</v>
      </c>
      <c r="BA427" t="s">
        <v>1122</v>
      </c>
      <c r="BD427" t="s">
        <v>398</v>
      </c>
      <c r="BE427" t="s">
        <v>393</v>
      </c>
      <c r="BF427">
        <v>32046</v>
      </c>
      <c r="BG427" t="s">
        <v>4268</v>
      </c>
      <c r="BH427" t="s">
        <v>400</v>
      </c>
      <c r="BI427">
        <v>-81.929208225552401</v>
      </c>
      <c r="BJ427">
        <v>30.692165229362299</v>
      </c>
      <c r="BK427" t="s">
        <v>4763</v>
      </c>
      <c r="BL427" t="s">
        <v>4764</v>
      </c>
      <c r="BM427" t="s">
        <v>4765</v>
      </c>
      <c r="BN427" t="s">
        <v>1778</v>
      </c>
      <c r="BO427">
        <v>32097</v>
      </c>
      <c r="BP427" t="s">
        <v>404</v>
      </c>
      <c r="BQ427">
        <v>0</v>
      </c>
      <c r="BR427" t="s">
        <v>491</v>
      </c>
      <c r="BS427">
        <v>8001</v>
      </c>
      <c r="BT427" t="s">
        <v>492</v>
      </c>
      <c r="BU427">
        <v>250</v>
      </c>
      <c r="BV427">
        <v>1250</v>
      </c>
      <c r="BW427">
        <v>3125</v>
      </c>
      <c r="BX427" t="s">
        <v>407</v>
      </c>
      <c r="BY427" t="s">
        <v>4520</v>
      </c>
      <c r="CD427">
        <v>2017</v>
      </c>
      <c r="CE427">
        <v>625</v>
      </c>
      <c r="CG427">
        <v>625</v>
      </c>
      <c r="CH427">
        <v>2017</v>
      </c>
      <c r="CI427">
        <v>625</v>
      </c>
      <c r="CK427">
        <v>625</v>
      </c>
      <c r="CL427">
        <v>2017</v>
      </c>
      <c r="CM427">
        <v>8.73</v>
      </c>
      <c r="CN427" s="1">
        <v>29799</v>
      </c>
      <c r="CZ427" s="1">
        <v>29799</v>
      </c>
      <c r="DD427" t="s">
        <v>398</v>
      </c>
      <c r="DF427">
        <v>2</v>
      </c>
      <c r="DG427">
        <v>8</v>
      </c>
      <c r="DL427">
        <v>50400</v>
      </c>
      <c r="DM427" t="s">
        <v>4465</v>
      </c>
      <c r="DO427" t="s">
        <v>4766</v>
      </c>
      <c r="DP427">
        <v>0</v>
      </c>
      <c r="DQ427">
        <v>0</v>
      </c>
      <c r="DR427" t="s">
        <v>411</v>
      </c>
      <c r="DS427" t="b">
        <v>1</v>
      </c>
      <c r="DT427" t="s">
        <v>470</v>
      </c>
      <c r="DU427" t="s">
        <v>471</v>
      </c>
      <c r="DV427" t="s">
        <v>472</v>
      </c>
      <c r="DX427">
        <v>-9999</v>
      </c>
      <c r="DZ427" t="s">
        <v>447</v>
      </c>
      <c r="EA427" t="s">
        <v>448</v>
      </c>
      <c r="EB427" t="s">
        <v>1224</v>
      </c>
      <c r="EC427">
        <v>20101217</v>
      </c>
      <c r="ED427" t="s">
        <v>474</v>
      </c>
      <c r="EF427">
        <v>81.5</v>
      </c>
      <c r="EG427">
        <v>81.5</v>
      </c>
      <c r="EI427">
        <v>20160407</v>
      </c>
      <c r="EJ427">
        <v>0</v>
      </c>
      <c r="EK427">
        <v>0</v>
      </c>
      <c r="EP427" t="s">
        <v>595</v>
      </c>
      <c r="EQ427" t="s">
        <v>422</v>
      </c>
      <c r="ER427">
        <v>8</v>
      </c>
      <c r="ES427">
        <v>0</v>
      </c>
      <c r="ET427">
        <v>307.2</v>
      </c>
      <c r="EU427">
        <v>307.11</v>
      </c>
      <c r="EV427">
        <v>614.30999999999995</v>
      </c>
      <c r="EW427" s="2">
        <v>43222</v>
      </c>
      <c r="EX427" s="1">
        <v>42879</v>
      </c>
      <c r="EY427">
        <v>2016</v>
      </c>
      <c r="EZ427">
        <v>36.6</v>
      </c>
      <c r="FA427" t="s">
        <v>4767</v>
      </c>
      <c r="FB427">
        <v>18</v>
      </c>
      <c r="FC427" t="s">
        <v>603</v>
      </c>
      <c r="FD427" t="s">
        <v>454</v>
      </c>
      <c r="FF427">
        <v>12</v>
      </c>
      <c r="FG427">
        <v>9999999</v>
      </c>
      <c r="FH427" t="s">
        <v>604</v>
      </c>
      <c r="FJ427" s="1">
        <v>42515</v>
      </c>
      <c r="FK427">
        <v>2015</v>
      </c>
      <c r="FL427">
        <v>31.86</v>
      </c>
      <c r="FM427" t="s">
        <v>4768</v>
      </c>
      <c r="FN427">
        <v>18</v>
      </c>
      <c r="FO427" t="s">
        <v>603</v>
      </c>
      <c r="FP427" t="s">
        <v>454</v>
      </c>
      <c r="FR427">
        <v>24</v>
      </c>
      <c r="FS427">
        <v>9999999</v>
      </c>
      <c r="FT427" t="s">
        <v>604</v>
      </c>
      <c r="FV427" s="1">
        <v>42151</v>
      </c>
      <c r="FW427">
        <v>2014</v>
      </c>
      <c r="FX427">
        <v>32.07</v>
      </c>
      <c r="FY427" t="s">
        <v>4769</v>
      </c>
      <c r="FZ427">
        <v>18</v>
      </c>
      <c r="GA427" t="s">
        <v>603</v>
      </c>
      <c r="GB427" t="s">
        <v>454</v>
      </c>
      <c r="GD427">
        <v>36</v>
      </c>
      <c r="GE427">
        <v>9999999</v>
      </c>
      <c r="GF427" t="s">
        <v>604</v>
      </c>
      <c r="GH427" s="1">
        <v>41787</v>
      </c>
      <c r="GI427">
        <v>2013</v>
      </c>
      <c r="GJ427">
        <v>31.5</v>
      </c>
      <c r="GK427" t="s">
        <v>4770</v>
      </c>
      <c r="GL427">
        <v>18</v>
      </c>
      <c r="GM427" t="s">
        <v>603</v>
      </c>
      <c r="GN427" t="s">
        <v>454</v>
      </c>
      <c r="GP427">
        <v>48</v>
      </c>
      <c r="GQ427">
        <v>9999999</v>
      </c>
      <c r="GR427" t="s">
        <v>604</v>
      </c>
      <c r="GT427" s="1">
        <v>41423</v>
      </c>
      <c r="GU427">
        <v>2012</v>
      </c>
      <c r="GV427">
        <v>31.64</v>
      </c>
      <c r="GW427" t="s">
        <v>4771</v>
      </c>
      <c r="GX427">
        <v>16.75</v>
      </c>
      <c r="GY427" t="s">
        <v>424</v>
      </c>
      <c r="GZ427" t="s">
        <v>454</v>
      </c>
      <c r="HB427">
        <v>60</v>
      </c>
      <c r="HC427">
        <v>10125</v>
      </c>
      <c r="HD427" t="s">
        <v>440</v>
      </c>
      <c r="HF427" s="1">
        <v>41052</v>
      </c>
      <c r="HG427">
        <v>2011</v>
      </c>
      <c r="HH427">
        <v>46.08</v>
      </c>
      <c r="HI427" t="s">
        <v>4772</v>
      </c>
      <c r="HJ427">
        <v>18</v>
      </c>
      <c r="HK427" t="s">
        <v>424</v>
      </c>
      <c r="HL427" t="s">
        <v>454</v>
      </c>
      <c r="HN427">
        <v>72</v>
      </c>
      <c r="HO427">
        <v>10125</v>
      </c>
      <c r="HP427" t="s">
        <v>440</v>
      </c>
      <c r="HR427" s="1">
        <v>40688</v>
      </c>
      <c r="HS427">
        <v>2010</v>
      </c>
      <c r="HT427">
        <v>52.19</v>
      </c>
      <c r="HU427" t="s">
        <v>4773</v>
      </c>
      <c r="HV427">
        <v>18</v>
      </c>
      <c r="HW427" t="s">
        <v>424</v>
      </c>
      <c r="HX427" t="s">
        <v>454</v>
      </c>
      <c r="HZ427">
        <v>84</v>
      </c>
      <c r="IA427">
        <v>11541</v>
      </c>
      <c r="IB427" t="s">
        <v>4774</v>
      </c>
      <c r="ID427" s="1">
        <v>40688</v>
      </c>
      <c r="IE427">
        <v>2010</v>
      </c>
      <c r="IF427">
        <v>45.26</v>
      </c>
      <c r="IG427" t="s">
        <v>4773</v>
      </c>
      <c r="IH427">
        <v>18</v>
      </c>
      <c r="II427" t="s">
        <v>603</v>
      </c>
      <c r="IJ427" t="s">
        <v>454</v>
      </c>
      <c r="IL427">
        <v>84</v>
      </c>
      <c r="IM427">
        <v>9999999</v>
      </c>
      <c r="IN427" t="s">
        <v>604</v>
      </c>
    </row>
    <row r="428" spans="1:284" x14ac:dyDescent="0.25">
      <c r="A428">
        <v>16485435</v>
      </c>
      <c r="B428">
        <v>427</v>
      </c>
      <c r="C428" t="s">
        <v>393</v>
      </c>
      <c r="D428" t="s">
        <v>394</v>
      </c>
      <c r="F428" t="str">
        <f>"08-3N-24-2380-0103-0070"</f>
        <v>08-3N-24-2380-0103-0070</v>
      </c>
      <c r="H428" t="str">
        <f>"THOMAS W L JR &amp; LAFAYNE"</f>
        <v>THOMAS W L JR &amp; LAFAYNE</v>
      </c>
      <c r="I428" t="str">
        <f>"BOX 237"</f>
        <v>BOX 237</v>
      </c>
      <c r="J428" t="str">
        <f>"FOLKSTON GA 31537"</f>
        <v>FOLKSTON GA 31537</v>
      </c>
      <c r="K428" t="str">
        <f>"SEVENTH AV"</f>
        <v>SEVENTH AV</v>
      </c>
      <c r="L428" t="str">
        <f t="shared" si="124"/>
        <v>HILLIARD FL 32046</v>
      </c>
      <c r="M428" t="str">
        <f>"BLOCK 103 LOT 7 TOWN OF HILLIARD"</f>
        <v>BLOCK 103 LOT 7 TOWN OF HILLIARD</v>
      </c>
      <c r="N428" t="str">
        <f>""</f>
        <v/>
      </c>
      <c r="O428" t="str">
        <f>"23567"</f>
        <v>23567</v>
      </c>
      <c r="P428" t="str">
        <f t="shared" si="119"/>
        <v>2017</v>
      </c>
      <c r="Q428" t="str">
        <f>""</f>
        <v/>
      </c>
      <c r="R428" t="str">
        <f t="shared" si="129"/>
        <v>N</v>
      </c>
      <c r="S428" t="str">
        <f>""</f>
        <v/>
      </c>
      <c r="T428" t="str">
        <f>"8.73"</f>
        <v>8.73</v>
      </c>
      <c r="U428" t="str">
        <f t="shared" si="130"/>
        <v>625.00</v>
      </c>
      <c r="V428" t="str">
        <f t="shared" si="130"/>
        <v>625.00</v>
      </c>
      <c r="W428" t="str">
        <f t="shared" si="120"/>
        <v>2017</v>
      </c>
      <c r="X428" t="str">
        <f>""</f>
        <v/>
      </c>
      <c r="Y428" t="str">
        <f>"40.99"</f>
        <v>40.99</v>
      </c>
      <c r="Z428" t="str">
        <f>""</f>
        <v/>
      </c>
      <c r="AA428" t="str">
        <f>"625.00"</f>
        <v>625.00</v>
      </c>
      <c r="AB428" t="str">
        <f t="shared" si="125"/>
        <v>Residential</v>
      </c>
      <c r="AC428" t="str">
        <f t="shared" si="121"/>
        <v>0</v>
      </c>
      <c r="AD428" t="str">
        <f>""</f>
        <v/>
      </c>
      <c r="AE428" t="str">
        <f>""</f>
        <v/>
      </c>
      <c r="AF428" t="str">
        <f>"000"</f>
        <v>000</v>
      </c>
      <c r="AG428" t="str">
        <f>"GA"</f>
        <v>GA</v>
      </c>
      <c r="AH428" t="str">
        <f>"3125.00"</f>
        <v>3125.00</v>
      </c>
      <c r="AI428" t="str">
        <f>"625.00"</f>
        <v>625.00</v>
      </c>
      <c r="AJ428" t="str">
        <f>"C55-000-589-0577-9"</f>
        <v>C55-000-589-0577-9</v>
      </c>
      <c r="AK428" t="str">
        <f>"6372"</f>
        <v>6372</v>
      </c>
      <c r="AL428">
        <v>2</v>
      </c>
      <c r="AM428">
        <v>495</v>
      </c>
      <c r="AN428">
        <v>41.44</v>
      </c>
      <c r="AQ428" t="s">
        <v>4775</v>
      </c>
      <c r="AR428" t="s">
        <v>4775</v>
      </c>
      <c r="AS428" t="s">
        <v>4775</v>
      </c>
      <c r="AU428" t="s">
        <v>396</v>
      </c>
      <c r="AV428">
        <v>2017</v>
      </c>
      <c r="AW428" t="str">
        <f>"08-3N-24-2380-0103-0070 "</f>
        <v xml:space="preserve">08-3N-24-2380-0103-0070 </v>
      </c>
      <c r="AZ428" t="s">
        <v>4553</v>
      </c>
      <c r="BA428" t="s">
        <v>1122</v>
      </c>
      <c r="BD428" t="s">
        <v>398</v>
      </c>
      <c r="BE428" t="s">
        <v>393</v>
      </c>
      <c r="BF428">
        <v>32046</v>
      </c>
      <c r="BG428" t="s">
        <v>4776</v>
      </c>
      <c r="BH428" t="s">
        <v>400</v>
      </c>
      <c r="BI428">
        <v>-81.929557848678499</v>
      </c>
      <c r="BJ428">
        <v>30.6912313700089</v>
      </c>
      <c r="BK428" t="s">
        <v>4777</v>
      </c>
      <c r="BM428" t="s">
        <v>4778</v>
      </c>
      <c r="BN428" t="s">
        <v>4596</v>
      </c>
      <c r="BO428">
        <v>31537</v>
      </c>
      <c r="BP428" t="s">
        <v>404</v>
      </c>
      <c r="BQ428">
        <v>0</v>
      </c>
      <c r="BR428" t="s">
        <v>491</v>
      </c>
      <c r="BS428">
        <v>8001</v>
      </c>
      <c r="BT428" t="s">
        <v>492</v>
      </c>
      <c r="BU428">
        <v>250</v>
      </c>
      <c r="BV428">
        <v>1250</v>
      </c>
      <c r="BW428">
        <v>3125</v>
      </c>
      <c r="BX428" t="s">
        <v>407</v>
      </c>
      <c r="BY428" t="s">
        <v>4779</v>
      </c>
      <c r="CD428">
        <v>2017</v>
      </c>
      <c r="CE428">
        <v>625</v>
      </c>
      <c r="CG428">
        <v>625</v>
      </c>
      <c r="CH428">
        <v>2017</v>
      </c>
      <c r="CI428">
        <v>625</v>
      </c>
      <c r="CK428">
        <v>625</v>
      </c>
      <c r="CL428">
        <v>2017</v>
      </c>
      <c r="CM428">
        <v>8.73</v>
      </c>
      <c r="DD428" t="s">
        <v>398</v>
      </c>
      <c r="DF428">
        <v>7</v>
      </c>
      <c r="DG428">
        <v>8</v>
      </c>
      <c r="DL428">
        <v>50400</v>
      </c>
      <c r="DM428" t="s">
        <v>4465</v>
      </c>
      <c r="DO428" t="s">
        <v>4780</v>
      </c>
      <c r="DP428">
        <v>0</v>
      </c>
      <c r="DQ428">
        <v>0</v>
      </c>
      <c r="DR428" t="s">
        <v>411</v>
      </c>
      <c r="DS428" t="b">
        <v>1</v>
      </c>
      <c r="DT428" t="s">
        <v>396</v>
      </c>
      <c r="DV428" t="s">
        <v>446</v>
      </c>
      <c r="DX428">
        <v>-9999</v>
      </c>
      <c r="DZ428" t="s">
        <v>447</v>
      </c>
      <c r="EA428" t="s">
        <v>448</v>
      </c>
      <c r="EB428" t="s">
        <v>449</v>
      </c>
      <c r="EC428">
        <v>20101217</v>
      </c>
      <c r="ED428" t="s">
        <v>450</v>
      </c>
      <c r="EE428">
        <v>15.6</v>
      </c>
      <c r="EF428">
        <v>0</v>
      </c>
      <c r="EG428">
        <v>0</v>
      </c>
      <c r="EI428">
        <v>20160407</v>
      </c>
      <c r="EJ428">
        <v>0</v>
      </c>
      <c r="EK428">
        <v>0</v>
      </c>
      <c r="EP428" t="s">
        <v>595</v>
      </c>
      <c r="EQ428" t="s">
        <v>422</v>
      </c>
      <c r="ER428">
        <v>8</v>
      </c>
      <c r="ES428">
        <v>0</v>
      </c>
      <c r="ET428">
        <v>408.95</v>
      </c>
      <c r="EU428">
        <v>429.54</v>
      </c>
      <c r="EV428">
        <v>838.49</v>
      </c>
      <c r="EW428" s="2">
        <v>43222</v>
      </c>
      <c r="EX428" s="1">
        <v>42879</v>
      </c>
      <c r="EY428">
        <v>2016</v>
      </c>
      <c r="EZ428">
        <v>36.6</v>
      </c>
      <c r="FA428" t="s">
        <v>4781</v>
      </c>
      <c r="FB428">
        <v>18</v>
      </c>
      <c r="FC428" t="s">
        <v>603</v>
      </c>
      <c r="FD428" t="s">
        <v>454</v>
      </c>
      <c r="FF428">
        <v>12</v>
      </c>
      <c r="FG428">
        <v>9999999</v>
      </c>
      <c r="FH428" t="s">
        <v>604</v>
      </c>
      <c r="FJ428" s="1">
        <v>42515</v>
      </c>
      <c r="FK428">
        <v>2015</v>
      </c>
      <c r="FL428">
        <v>31.86</v>
      </c>
      <c r="FM428" t="s">
        <v>4782</v>
      </c>
      <c r="FN428">
        <v>18</v>
      </c>
      <c r="FO428" t="s">
        <v>603</v>
      </c>
      <c r="FP428" t="s">
        <v>454</v>
      </c>
      <c r="FR428">
        <v>24</v>
      </c>
      <c r="FS428">
        <v>9999999</v>
      </c>
      <c r="FT428" t="s">
        <v>604</v>
      </c>
      <c r="FV428" s="1">
        <v>42151</v>
      </c>
      <c r="FW428">
        <v>2014</v>
      </c>
      <c r="FX428">
        <v>32.07</v>
      </c>
      <c r="FY428" t="s">
        <v>4783</v>
      </c>
      <c r="FZ428">
        <v>18</v>
      </c>
      <c r="GA428" t="s">
        <v>603</v>
      </c>
      <c r="GB428" t="s">
        <v>454</v>
      </c>
      <c r="GD428">
        <v>36</v>
      </c>
      <c r="GE428">
        <v>9999999</v>
      </c>
      <c r="GF428" t="s">
        <v>604</v>
      </c>
      <c r="GH428" s="1">
        <v>41787</v>
      </c>
      <c r="GI428">
        <v>2013</v>
      </c>
      <c r="GJ428">
        <v>31.5</v>
      </c>
      <c r="GK428" t="s">
        <v>4784</v>
      </c>
      <c r="GL428">
        <v>18</v>
      </c>
      <c r="GM428" t="s">
        <v>603</v>
      </c>
      <c r="GN428" t="s">
        <v>454</v>
      </c>
      <c r="GP428">
        <v>48</v>
      </c>
      <c r="GQ428">
        <v>9999999</v>
      </c>
      <c r="GR428" t="s">
        <v>604</v>
      </c>
      <c r="GT428" s="1">
        <v>41423</v>
      </c>
      <c r="GU428">
        <v>2012</v>
      </c>
      <c r="GV428">
        <v>31.64</v>
      </c>
      <c r="GW428" t="s">
        <v>4785</v>
      </c>
      <c r="GX428">
        <v>16.75</v>
      </c>
      <c r="GY428" t="s">
        <v>424</v>
      </c>
      <c r="GZ428" t="s">
        <v>454</v>
      </c>
      <c r="HB428">
        <v>60</v>
      </c>
      <c r="HC428">
        <v>10125</v>
      </c>
      <c r="HD428" t="s">
        <v>440</v>
      </c>
      <c r="HF428" s="1">
        <v>41052</v>
      </c>
      <c r="HG428">
        <v>2011</v>
      </c>
      <c r="HH428">
        <v>78.13</v>
      </c>
      <c r="HI428" t="s">
        <v>4786</v>
      </c>
      <c r="HJ428">
        <v>18</v>
      </c>
      <c r="HK428" t="s">
        <v>424</v>
      </c>
      <c r="HL428" t="s">
        <v>454</v>
      </c>
      <c r="HN428">
        <v>72</v>
      </c>
      <c r="HO428">
        <v>10125</v>
      </c>
      <c r="HP428" t="s">
        <v>440</v>
      </c>
      <c r="HR428" s="1">
        <v>40688</v>
      </c>
      <c r="HS428">
        <v>2010</v>
      </c>
      <c r="HT428">
        <v>89.61</v>
      </c>
      <c r="HU428" t="s">
        <v>4787</v>
      </c>
      <c r="HV428">
        <v>18</v>
      </c>
      <c r="HW428" t="s">
        <v>424</v>
      </c>
      <c r="HX428" t="s">
        <v>454</v>
      </c>
      <c r="HZ428">
        <v>84</v>
      </c>
      <c r="IA428">
        <v>11890</v>
      </c>
      <c r="IB428" t="s">
        <v>4788</v>
      </c>
      <c r="ID428" s="1">
        <v>40688</v>
      </c>
      <c r="IE428">
        <v>2010</v>
      </c>
      <c r="IF428">
        <v>77.540000000000006</v>
      </c>
      <c r="IG428" t="s">
        <v>4787</v>
      </c>
      <c r="IH428">
        <v>18</v>
      </c>
      <c r="II428" t="s">
        <v>603</v>
      </c>
      <c r="IJ428" t="s">
        <v>454</v>
      </c>
      <c r="IL428">
        <v>84</v>
      </c>
      <c r="IM428">
        <v>9999999</v>
      </c>
      <c r="IN428" t="s">
        <v>604</v>
      </c>
    </row>
    <row r="429" spans="1:284" x14ac:dyDescent="0.25">
      <c r="A429">
        <v>16485436</v>
      </c>
      <c r="B429">
        <v>428</v>
      </c>
      <c r="C429" t="s">
        <v>393</v>
      </c>
      <c r="D429" t="s">
        <v>394</v>
      </c>
      <c r="F429" t="str">
        <f>"08-3N-24-2380-0103-0110"</f>
        <v>08-3N-24-2380-0103-0110</v>
      </c>
      <c r="H429" t="str">
        <f>"RAM PROPERTIES"</f>
        <v>RAM PROPERTIES</v>
      </c>
      <c r="I429" t="str">
        <f>"PO BOX 56272"</f>
        <v>PO BOX 56272</v>
      </c>
      <c r="J429" t="str">
        <f>"JACKSONVILLE FL 32241"</f>
        <v>JACKSONVILLE FL 32241</v>
      </c>
      <c r="K429" t="str">
        <f>"SEVENTH AV"</f>
        <v>SEVENTH AV</v>
      </c>
      <c r="L429" t="str">
        <f t="shared" si="124"/>
        <v>HILLIARD FL 32046</v>
      </c>
      <c r="M429" t="str">
        <f>"BLOCK 103 LOTS 11 &amp; 12 IN OR 943/18 TOWN OF HILLIARD"</f>
        <v>BLOCK 103 LOTS 11 &amp; 12 IN OR 943/18 TOWN OF HILLIARD</v>
      </c>
      <c r="N429" t="str">
        <f>""</f>
        <v/>
      </c>
      <c r="O429" t="str">
        <f>"23570"</f>
        <v>23570</v>
      </c>
      <c r="P429" t="str">
        <f t="shared" si="119"/>
        <v>2017</v>
      </c>
      <c r="Q429" t="str">
        <f>""</f>
        <v/>
      </c>
      <c r="R429" t="str">
        <f t="shared" si="129"/>
        <v>N</v>
      </c>
      <c r="S429" t="str">
        <f>""</f>
        <v/>
      </c>
      <c r="T429" t="str">
        <f>"17.46"</f>
        <v>17.46</v>
      </c>
      <c r="U429" t="str">
        <f>"1250.00"</f>
        <v>1250.00</v>
      </c>
      <c r="V429" t="str">
        <f>"1250.00"</f>
        <v>1250.00</v>
      </c>
      <c r="W429" t="str">
        <f t="shared" si="120"/>
        <v>2017</v>
      </c>
      <c r="X429" t="str">
        <f>""</f>
        <v/>
      </c>
      <c r="Y429" t="str">
        <f>"49.98"</f>
        <v>49.98</v>
      </c>
      <c r="Z429" t="str">
        <f>""</f>
        <v/>
      </c>
      <c r="AA429" t="str">
        <f>"1250.00"</f>
        <v>1250.00</v>
      </c>
      <c r="AB429" t="str">
        <f t="shared" si="125"/>
        <v>Residential</v>
      </c>
      <c r="AC429" t="str">
        <f t="shared" si="121"/>
        <v>0</v>
      </c>
      <c r="AD429" t="str">
        <f>""</f>
        <v/>
      </c>
      <c r="AE429" t="str">
        <f>""</f>
        <v/>
      </c>
      <c r="AF429" t="str">
        <f>"000"</f>
        <v>000</v>
      </c>
      <c r="AG429" t="str">
        <f t="shared" ref="AG429:AG434" si="131">"FL"</f>
        <v>FL</v>
      </c>
      <c r="AH429" t="str">
        <f>"6250.00"</f>
        <v>6250.00</v>
      </c>
      <c r="AI429" t="str">
        <f>"1250.00"</f>
        <v>1250.00</v>
      </c>
      <c r="AJ429" t="str">
        <f>"C55-000-586-7618-0"</f>
        <v>C55-000-586-7618-0</v>
      </c>
      <c r="AK429" t="str">
        <f>"6375"</f>
        <v>6375</v>
      </c>
      <c r="AL429">
        <v>2</v>
      </c>
      <c r="AM429">
        <v>496</v>
      </c>
      <c r="AN429">
        <v>50.88</v>
      </c>
      <c r="AQ429" t="s">
        <v>4789</v>
      </c>
      <c r="AR429" t="s">
        <v>4789</v>
      </c>
      <c r="AS429" t="s">
        <v>4789</v>
      </c>
      <c r="AU429" t="s">
        <v>396</v>
      </c>
      <c r="AV429">
        <v>2017</v>
      </c>
      <c r="AW429" t="str">
        <f>"08-3N-24-2380-0103-0110 "</f>
        <v xml:space="preserve">08-3N-24-2380-0103-0110 </v>
      </c>
      <c r="AZ429" t="s">
        <v>4553</v>
      </c>
      <c r="BA429" t="s">
        <v>1122</v>
      </c>
      <c r="BD429" t="s">
        <v>398</v>
      </c>
      <c r="BE429" t="s">
        <v>393</v>
      </c>
      <c r="BF429">
        <v>32046</v>
      </c>
      <c r="BG429" t="s">
        <v>4776</v>
      </c>
      <c r="BH429" t="s">
        <v>400</v>
      </c>
      <c r="BI429">
        <v>-81.929915462736304</v>
      </c>
      <c r="BJ429">
        <v>30.691218965985399</v>
      </c>
      <c r="BK429" t="s">
        <v>4790</v>
      </c>
      <c r="BM429" t="s">
        <v>4791</v>
      </c>
      <c r="BN429" t="s">
        <v>548</v>
      </c>
      <c r="BO429">
        <v>32241</v>
      </c>
      <c r="BP429" t="s">
        <v>404</v>
      </c>
      <c r="BQ429">
        <v>0</v>
      </c>
      <c r="BR429" t="s">
        <v>491</v>
      </c>
      <c r="BS429">
        <v>8001</v>
      </c>
      <c r="BT429" t="s">
        <v>492</v>
      </c>
      <c r="BU429">
        <v>500</v>
      </c>
      <c r="BV429">
        <v>1250</v>
      </c>
      <c r="BW429">
        <v>6251</v>
      </c>
      <c r="BX429" t="s">
        <v>407</v>
      </c>
      <c r="BY429" t="s">
        <v>4779</v>
      </c>
      <c r="CD429">
        <v>2017</v>
      </c>
      <c r="CE429">
        <v>1250</v>
      </c>
      <c r="CG429">
        <v>1250</v>
      </c>
      <c r="CH429">
        <v>2017</v>
      </c>
      <c r="CI429">
        <v>1250</v>
      </c>
      <c r="CK429">
        <v>1250</v>
      </c>
      <c r="CL429">
        <v>2017</v>
      </c>
      <c r="CM429">
        <v>17.46</v>
      </c>
      <c r="CN429" s="1">
        <v>36739</v>
      </c>
      <c r="CV429">
        <v>0</v>
      </c>
      <c r="CZ429" s="1">
        <v>36739</v>
      </c>
      <c r="DA429">
        <v>0</v>
      </c>
      <c r="DD429" t="s">
        <v>398</v>
      </c>
      <c r="DG429">
        <v>8</v>
      </c>
      <c r="DJ429" t="s">
        <v>4482</v>
      </c>
      <c r="DL429">
        <v>50400</v>
      </c>
      <c r="DM429" t="s">
        <v>4465</v>
      </c>
      <c r="DO429" t="s">
        <v>4792</v>
      </c>
      <c r="DP429">
        <v>0</v>
      </c>
      <c r="DQ429">
        <v>2</v>
      </c>
      <c r="DR429" t="s">
        <v>411</v>
      </c>
      <c r="DS429" t="b">
        <v>1</v>
      </c>
      <c r="DT429" t="s">
        <v>396</v>
      </c>
      <c r="DV429" t="s">
        <v>446</v>
      </c>
      <c r="DX429">
        <v>-9999</v>
      </c>
      <c r="DZ429" t="s">
        <v>447</v>
      </c>
      <c r="EA429" t="s">
        <v>448</v>
      </c>
      <c r="EB429" t="s">
        <v>449</v>
      </c>
      <c r="EC429">
        <v>20101217</v>
      </c>
      <c r="ED429" t="s">
        <v>450</v>
      </c>
      <c r="EE429">
        <v>15.7</v>
      </c>
      <c r="EF429">
        <v>0</v>
      </c>
      <c r="EG429">
        <v>0</v>
      </c>
      <c r="EI429">
        <v>20160407</v>
      </c>
      <c r="EJ429">
        <v>0</v>
      </c>
      <c r="EK429">
        <v>0</v>
      </c>
      <c r="EP429" t="s">
        <v>595</v>
      </c>
      <c r="EQ429" t="s">
        <v>422</v>
      </c>
      <c r="ER429">
        <v>5</v>
      </c>
      <c r="ES429">
        <v>0</v>
      </c>
      <c r="ET429">
        <v>236.05</v>
      </c>
      <c r="EU429">
        <v>152.63</v>
      </c>
      <c r="EV429">
        <v>388.68</v>
      </c>
      <c r="EW429" s="2">
        <v>43222</v>
      </c>
      <c r="EX429" s="1">
        <v>42879</v>
      </c>
      <c r="EY429">
        <v>2016</v>
      </c>
      <c r="EZ429">
        <v>46.22</v>
      </c>
      <c r="FA429" t="s">
        <v>4793</v>
      </c>
      <c r="FB429">
        <v>18</v>
      </c>
      <c r="FC429" t="s">
        <v>603</v>
      </c>
      <c r="FD429" t="s">
        <v>454</v>
      </c>
      <c r="FF429">
        <v>12</v>
      </c>
      <c r="FG429">
        <v>9999999</v>
      </c>
      <c r="FH429" t="s">
        <v>604</v>
      </c>
      <c r="FJ429" s="1">
        <v>42515</v>
      </c>
      <c r="FK429">
        <v>2015</v>
      </c>
      <c r="FL429">
        <v>41.75</v>
      </c>
      <c r="FM429" t="s">
        <v>4794</v>
      </c>
      <c r="FN429">
        <v>18</v>
      </c>
      <c r="FO429" t="s">
        <v>603</v>
      </c>
      <c r="FP429" t="s">
        <v>454</v>
      </c>
      <c r="FR429">
        <v>24</v>
      </c>
      <c r="FS429">
        <v>9999999</v>
      </c>
      <c r="FT429" t="s">
        <v>604</v>
      </c>
      <c r="FV429" s="1">
        <v>42151</v>
      </c>
      <c r="FW429">
        <v>2014</v>
      </c>
      <c r="FX429">
        <v>47.7</v>
      </c>
      <c r="FY429" t="s">
        <v>4795</v>
      </c>
      <c r="FZ429">
        <v>18</v>
      </c>
      <c r="GA429" t="s">
        <v>603</v>
      </c>
      <c r="GB429" t="s">
        <v>454</v>
      </c>
      <c r="GD429">
        <v>36</v>
      </c>
      <c r="GE429">
        <v>9999999</v>
      </c>
      <c r="GF429" t="s">
        <v>604</v>
      </c>
      <c r="GH429" s="1">
        <v>41787</v>
      </c>
      <c r="GI429">
        <v>2013</v>
      </c>
      <c r="GJ429">
        <v>43.78</v>
      </c>
      <c r="GK429" t="s">
        <v>4796</v>
      </c>
      <c r="GL429">
        <v>18</v>
      </c>
      <c r="GM429" t="s">
        <v>603</v>
      </c>
      <c r="GN429" t="s">
        <v>454</v>
      </c>
      <c r="GP429">
        <v>48</v>
      </c>
      <c r="GQ429">
        <v>9999999</v>
      </c>
      <c r="GR429" t="s">
        <v>604</v>
      </c>
      <c r="GT429" s="1">
        <v>41787</v>
      </c>
      <c r="GU429">
        <v>2013</v>
      </c>
      <c r="GV429">
        <v>56.6</v>
      </c>
      <c r="GW429" t="s">
        <v>4796</v>
      </c>
      <c r="GX429">
        <v>18</v>
      </c>
      <c r="GY429" t="s">
        <v>424</v>
      </c>
      <c r="GZ429" t="s">
        <v>454</v>
      </c>
      <c r="HB429">
        <v>48</v>
      </c>
      <c r="HC429">
        <v>4844971</v>
      </c>
      <c r="HD429" t="s">
        <v>4797</v>
      </c>
    </row>
    <row r="430" spans="1:284" x14ac:dyDescent="0.25">
      <c r="A430">
        <v>16485437</v>
      </c>
      <c r="B430">
        <v>429</v>
      </c>
      <c r="C430" t="s">
        <v>393</v>
      </c>
      <c r="D430" t="s">
        <v>394</v>
      </c>
      <c r="F430" t="str">
        <f>"08-3N-24-2380-0104-0010"</f>
        <v>08-3N-24-2380-0104-0010</v>
      </c>
      <c r="H430" t="str">
        <f>"ROCK N LEE LLC"</f>
        <v>ROCK N LEE LLC</v>
      </c>
      <c r="I430" t="str">
        <f>"515 S 6TH ST"</f>
        <v>515 S 6TH ST</v>
      </c>
      <c r="J430" t="str">
        <f>"MACCLENNY FL 32063"</f>
        <v>MACCLENNY FL 32063</v>
      </c>
      <c r="K430" t="str">
        <f>"8300 W SEVENTH AV"</f>
        <v>8300 W SEVENTH AV</v>
      </c>
      <c r="L430" t="str">
        <f t="shared" ref="L430:L461" si="132">"HILLIARD FL 32046"</f>
        <v>HILLIARD FL 32046</v>
      </c>
      <c r="M430" t="str">
        <f>"BLOCK 104 LOTS 1-6 13-19 20-24 R583994 R788166 &amp; R621777 1984 CRAN DW/MH IN OR 2100/653 TOWN OF HILLIARD"</f>
        <v>BLOCK 104 LOTS 1-6 13-19 20-24 R583994 R788166 &amp; R621777 1984 CRAN DW/MH IN OR 2100/653 TOWN OF HILLIARD</v>
      </c>
      <c r="N430" t="str">
        <f>""</f>
        <v/>
      </c>
      <c r="O430" t="str">
        <f>"23577"</f>
        <v>23577</v>
      </c>
      <c r="P430" t="str">
        <f t="shared" si="119"/>
        <v>2017</v>
      </c>
      <c r="Q430" t="str">
        <f>""</f>
        <v/>
      </c>
      <c r="R430" t="str">
        <f t="shared" si="129"/>
        <v>N</v>
      </c>
      <c r="S430" t="str">
        <f>""</f>
        <v/>
      </c>
      <c r="T430" t="str">
        <f>"2185.49"</f>
        <v>2185.49</v>
      </c>
      <c r="U430" t="str">
        <f>"133833.00"</f>
        <v>133833.00</v>
      </c>
      <c r="V430" t="str">
        <f>"133833.00"</f>
        <v>133833.00</v>
      </c>
      <c r="W430" t="str">
        <f t="shared" si="120"/>
        <v>2017</v>
      </c>
      <c r="X430" t="str">
        <f>""</f>
        <v/>
      </c>
      <c r="Y430" t="str">
        <f>"2283.05"</f>
        <v>2283.05</v>
      </c>
      <c r="Z430" t="str">
        <f>""</f>
        <v/>
      </c>
      <c r="AA430" t="str">
        <f>"181795.00"</f>
        <v>181795.00</v>
      </c>
      <c r="AB430" t="str">
        <f>"Commercial"</f>
        <v>Commercial</v>
      </c>
      <c r="AC430" t="str">
        <f t="shared" si="121"/>
        <v>0</v>
      </c>
      <c r="AD430" t="str">
        <f>"4"</f>
        <v>4</v>
      </c>
      <c r="AE430" t="str">
        <f>"WOOD (INCLUDE STEEL STUDS)"</f>
        <v>WOOD (INCLUDE STEEL STUDS)</v>
      </c>
      <c r="AF430" t="str">
        <f>"028"</f>
        <v>028</v>
      </c>
      <c r="AG430" t="str">
        <f t="shared" si="131"/>
        <v>FL</v>
      </c>
      <c r="AH430" t="str">
        <f>"78125.00"</f>
        <v>78125.00</v>
      </c>
      <c r="AI430" t="str">
        <f>"60750.00"</f>
        <v>60750.00</v>
      </c>
      <c r="AJ430" t="str">
        <f>"C55-000-586-7624-8"</f>
        <v>C55-000-586-7624-8</v>
      </c>
      <c r="AK430" t="str">
        <f>"6382"</f>
        <v>6382</v>
      </c>
      <c r="AL430">
        <v>2</v>
      </c>
      <c r="AM430">
        <v>497</v>
      </c>
      <c r="AN430">
        <v>2395.6</v>
      </c>
      <c r="AQ430" t="s">
        <v>4798</v>
      </c>
      <c r="AR430" t="s">
        <v>4798</v>
      </c>
      <c r="AS430" t="s">
        <v>4798</v>
      </c>
      <c r="AU430" t="s">
        <v>396</v>
      </c>
      <c r="AV430">
        <v>2017</v>
      </c>
      <c r="AW430" t="str">
        <f>"08-3N-24-2380-0104-0010 "</f>
        <v xml:space="preserve">08-3N-24-2380-0104-0010 </v>
      </c>
      <c r="AX430">
        <v>8300</v>
      </c>
      <c r="AY430" t="s">
        <v>4459</v>
      </c>
      <c r="AZ430" t="s">
        <v>4553</v>
      </c>
      <c r="BA430" t="s">
        <v>1122</v>
      </c>
      <c r="BD430" t="s">
        <v>398</v>
      </c>
      <c r="BE430" t="s">
        <v>393</v>
      </c>
      <c r="BF430">
        <v>32046</v>
      </c>
      <c r="BG430" t="s">
        <v>4799</v>
      </c>
      <c r="BH430" t="s">
        <v>400</v>
      </c>
      <c r="BI430">
        <v>-81.930566250854696</v>
      </c>
      <c r="BJ430">
        <v>30.6909212424289</v>
      </c>
      <c r="BK430" t="s">
        <v>4800</v>
      </c>
      <c r="BM430" t="s">
        <v>4801</v>
      </c>
      <c r="BN430" t="s">
        <v>629</v>
      </c>
      <c r="BO430">
        <v>32063</v>
      </c>
      <c r="BP430" t="s">
        <v>404</v>
      </c>
      <c r="BQ430">
        <v>2800</v>
      </c>
      <c r="BR430" t="s">
        <v>4802</v>
      </c>
      <c r="BS430">
        <v>1109</v>
      </c>
      <c r="BT430" t="s">
        <v>4803</v>
      </c>
      <c r="BU430">
        <v>4500</v>
      </c>
      <c r="BV430">
        <v>1250</v>
      </c>
      <c r="BW430">
        <v>56254</v>
      </c>
      <c r="BX430" t="s">
        <v>407</v>
      </c>
      <c r="BY430" t="s">
        <v>4779</v>
      </c>
      <c r="BZ430">
        <v>4</v>
      </c>
      <c r="CA430">
        <v>1989</v>
      </c>
      <c r="CB430">
        <v>1</v>
      </c>
      <c r="CC430">
        <v>6</v>
      </c>
      <c r="CD430">
        <v>2017</v>
      </c>
      <c r="CE430">
        <v>60750</v>
      </c>
      <c r="CF430">
        <v>121045</v>
      </c>
      <c r="CG430">
        <v>181795</v>
      </c>
      <c r="CH430">
        <v>2017</v>
      </c>
      <c r="CI430">
        <v>60750</v>
      </c>
      <c r="CJ430">
        <v>121045</v>
      </c>
      <c r="CK430">
        <v>181795</v>
      </c>
      <c r="CL430">
        <v>2017</v>
      </c>
      <c r="CM430">
        <v>2185.4899999999998</v>
      </c>
      <c r="CN430" s="1">
        <v>42775</v>
      </c>
      <c r="CO430">
        <v>140000</v>
      </c>
      <c r="CV430">
        <v>110000</v>
      </c>
      <c r="CX430" t="s">
        <v>707</v>
      </c>
      <c r="CZ430" s="1">
        <v>42775</v>
      </c>
      <c r="DA430">
        <v>0</v>
      </c>
      <c r="DD430" t="s">
        <v>398</v>
      </c>
      <c r="DG430">
        <v>8</v>
      </c>
      <c r="DL430">
        <v>50400</v>
      </c>
      <c r="DM430" t="s">
        <v>4465</v>
      </c>
      <c r="DO430" t="s">
        <v>4804</v>
      </c>
      <c r="DP430">
        <v>0</v>
      </c>
      <c r="DQ430">
        <v>2</v>
      </c>
      <c r="DR430" t="s">
        <v>1479</v>
      </c>
    </row>
    <row r="431" spans="1:284" x14ac:dyDescent="0.25">
      <c r="A431">
        <v>16485438</v>
      </c>
      <c r="B431">
        <v>430</v>
      </c>
      <c r="C431" t="s">
        <v>393</v>
      </c>
      <c r="D431" t="s">
        <v>394</v>
      </c>
      <c r="F431" t="str">
        <f>"08-3N-24-2380-0108-0200"</f>
        <v>08-3N-24-2380-0108-0200</v>
      </c>
      <c r="H431" t="str">
        <f>"BARROW ALMA M EST C/O JOHN G BARROW III EST"</f>
        <v>BARROW ALMA M EST C/O JOHN G BARROW III EST</v>
      </c>
      <c r="I431" t="str">
        <f>"661 US HWY 17 NORTH"</f>
        <v>661 US HWY 17 NORTH</v>
      </c>
      <c r="J431" t="str">
        <f>"YULEE FL 32097"</f>
        <v>YULEE FL 32097</v>
      </c>
      <c r="K431" t="str">
        <f>"SIXTH AV"</f>
        <v>SIXTH AV</v>
      </c>
      <c r="L431" t="str">
        <f t="shared" si="132"/>
        <v>HILLIARD FL 32046</v>
      </c>
      <c r="M431" t="str">
        <f>"BLOCK 108 LOT 20 PT OF OR 441 PG 637 TOWN OF HILLIARD"</f>
        <v>BLOCK 108 LOT 20 PT OF OR 441 PG 637 TOWN OF HILLIARD</v>
      </c>
      <c r="N431" t="str">
        <f>""</f>
        <v/>
      </c>
      <c r="O431" t="str">
        <f>"23606"</f>
        <v>23606</v>
      </c>
      <c r="P431" t="str">
        <f t="shared" si="119"/>
        <v>2017</v>
      </c>
      <c r="Q431" t="str">
        <f>""</f>
        <v/>
      </c>
      <c r="R431" t="str">
        <f t="shared" si="129"/>
        <v>N</v>
      </c>
      <c r="S431" t="str">
        <f>""</f>
        <v/>
      </c>
      <c r="T431" t="str">
        <f>"8.73"</f>
        <v>8.73</v>
      </c>
      <c r="U431" t="str">
        <f>"625.00"</f>
        <v>625.00</v>
      </c>
      <c r="V431" t="str">
        <f>"625.00"</f>
        <v>625.00</v>
      </c>
      <c r="W431" t="str">
        <f t="shared" si="120"/>
        <v>2017</v>
      </c>
      <c r="X431" t="str">
        <f>""</f>
        <v/>
      </c>
      <c r="Y431" t="str">
        <f>"40.99"</f>
        <v>40.99</v>
      </c>
      <c r="Z431" t="str">
        <f>""</f>
        <v/>
      </c>
      <c r="AA431" t="str">
        <f>"625.00"</f>
        <v>625.00</v>
      </c>
      <c r="AB431" t="str">
        <f t="shared" ref="AB431:AB475" si="133">"Residential"</f>
        <v>Residential</v>
      </c>
      <c r="AC431" t="str">
        <f t="shared" si="121"/>
        <v>0</v>
      </c>
      <c r="AD431" t="str">
        <f>""</f>
        <v/>
      </c>
      <c r="AE431" t="str">
        <f>""</f>
        <v/>
      </c>
      <c r="AF431" t="str">
        <f t="shared" ref="AF431:AF436" si="134">"000"</f>
        <v>000</v>
      </c>
      <c r="AG431" t="str">
        <f t="shared" si="131"/>
        <v>FL</v>
      </c>
      <c r="AH431" t="str">
        <f>"3125.00"</f>
        <v>3125.00</v>
      </c>
      <c r="AI431" t="str">
        <f>"625.00"</f>
        <v>625.00</v>
      </c>
      <c r="AJ431" t="str">
        <f>"C55-000-586-7647-9"</f>
        <v>C55-000-586-7647-9</v>
      </c>
      <c r="AK431" t="str">
        <f>"6406"</f>
        <v>6406</v>
      </c>
      <c r="AL431">
        <v>2</v>
      </c>
      <c r="AM431">
        <v>498</v>
      </c>
      <c r="AN431">
        <v>41.44</v>
      </c>
      <c r="AQ431" t="s">
        <v>4805</v>
      </c>
      <c r="AR431" t="s">
        <v>4805</v>
      </c>
      <c r="AS431" t="s">
        <v>4805</v>
      </c>
      <c r="AU431" t="s">
        <v>396</v>
      </c>
      <c r="AV431">
        <v>2017</v>
      </c>
      <c r="AW431" t="str">
        <f>"08-3N-24-2380-0108-0200 "</f>
        <v xml:space="preserve">08-3N-24-2380-0108-0200 </v>
      </c>
      <c r="AZ431" t="s">
        <v>4678</v>
      </c>
      <c r="BA431" t="s">
        <v>1122</v>
      </c>
      <c r="BD431" t="s">
        <v>398</v>
      </c>
      <c r="BE431" t="s">
        <v>393</v>
      </c>
      <c r="BF431">
        <v>32046</v>
      </c>
      <c r="BG431" t="s">
        <v>4806</v>
      </c>
      <c r="BH431" t="s">
        <v>400</v>
      </c>
      <c r="BI431">
        <v>-81.935104160026</v>
      </c>
      <c r="BJ431">
        <v>30.690626147389999</v>
      </c>
      <c r="BK431" t="s">
        <v>4807</v>
      </c>
      <c r="BL431" t="s">
        <v>4808</v>
      </c>
      <c r="BM431" t="s">
        <v>4765</v>
      </c>
      <c r="BN431" t="s">
        <v>1778</v>
      </c>
      <c r="BO431">
        <v>32097</v>
      </c>
      <c r="BP431" t="s">
        <v>404</v>
      </c>
      <c r="BQ431">
        <v>0</v>
      </c>
      <c r="BR431" t="s">
        <v>491</v>
      </c>
      <c r="BS431">
        <v>8001</v>
      </c>
      <c r="BT431" t="s">
        <v>492</v>
      </c>
      <c r="BU431">
        <v>250</v>
      </c>
      <c r="BV431">
        <v>1250</v>
      </c>
      <c r="BW431">
        <v>3125</v>
      </c>
      <c r="BX431" t="s">
        <v>407</v>
      </c>
      <c r="BY431" t="s">
        <v>4520</v>
      </c>
      <c r="CD431">
        <v>2017</v>
      </c>
      <c r="CE431">
        <v>625</v>
      </c>
      <c r="CG431">
        <v>625</v>
      </c>
      <c r="CH431">
        <v>2017</v>
      </c>
      <c r="CI431">
        <v>625</v>
      </c>
      <c r="CK431">
        <v>625</v>
      </c>
      <c r="CL431">
        <v>2017</v>
      </c>
      <c r="CM431">
        <v>8.73</v>
      </c>
      <c r="CN431" s="1">
        <v>31017</v>
      </c>
      <c r="CZ431" s="1">
        <v>31017</v>
      </c>
      <c r="DD431" t="s">
        <v>398</v>
      </c>
      <c r="DF431">
        <v>20</v>
      </c>
      <c r="DG431">
        <v>8</v>
      </c>
      <c r="DJ431" t="s">
        <v>4482</v>
      </c>
      <c r="DM431" t="s">
        <v>4465</v>
      </c>
      <c r="DO431" t="s">
        <v>4809</v>
      </c>
      <c r="DP431">
        <v>0</v>
      </c>
      <c r="DQ431">
        <v>0</v>
      </c>
      <c r="DR431" t="s">
        <v>411</v>
      </c>
      <c r="DS431" t="b">
        <v>1</v>
      </c>
      <c r="DT431" t="s">
        <v>470</v>
      </c>
      <c r="DU431" t="s">
        <v>471</v>
      </c>
      <c r="DV431" t="s">
        <v>472</v>
      </c>
      <c r="DX431">
        <v>-9999</v>
      </c>
      <c r="DZ431" t="s">
        <v>447</v>
      </c>
      <c r="EA431" t="s">
        <v>448</v>
      </c>
      <c r="EB431" t="s">
        <v>1224</v>
      </c>
      <c r="EC431">
        <v>20101217</v>
      </c>
      <c r="ED431" t="s">
        <v>474</v>
      </c>
      <c r="EF431">
        <v>149.5</v>
      </c>
      <c r="EG431">
        <v>149.5</v>
      </c>
      <c r="EI431">
        <v>20160407</v>
      </c>
      <c r="EJ431">
        <v>0</v>
      </c>
      <c r="EK431">
        <v>0</v>
      </c>
      <c r="EP431" t="s">
        <v>595</v>
      </c>
      <c r="EQ431" t="s">
        <v>422</v>
      </c>
      <c r="ER431">
        <v>8</v>
      </c>
      <c r="ES431">
        <v>0</v>
      </c>
      <c r="ET431">
        <v>351.57</v>
      </c>
      <c r="EU431">
        <v>340.47</v>
      </c>
      <c r="EV431">
        <v>692.04</v>
      </c>
      <c r="EW431" s="2">
        <v>43222</v>
      </c>
      <c r="EX431" s="1">
        <v>42879</v>
      </c>
      <c r="EY431">
        <v>2016</v>
      </c>
      <c r="EZ431">
        <v>36.6</v>
      </c>
      <c r="FA431" t="s">
        <v>4810</v>
      </c>
      <c r="FB431">
        <v>18</v>
      </c>
      <c r="FC431" t="s">
        <v>603</v>
      </c>
      <c r="FD431" t="s">
        <v>454</v>
      </c>
      <c r="FF431">
        <v>12</v>
      </c>
      <c r="FG431">
        <v>9999999</v>
      </c>
      <c r="FH431" t="s">
        <v>604</v>
      </c>
      <c r="FJ431" s="1">
        <v>42515</v>
      </c>
      <c r="FK431">
        <v>2015</v>
      </c>
      <c r="FL431">
        <v>31.86</v>
      </c>
      <c r="FM431" t="s">
        <v>4811</v>
      </c>
      <c r="FN431">
        <v>18</v>
      </c>
      <c r="FO431" t="s">
        <v>603</v>
      </c>
      <c r="FP431" t="s">
        <v>454</v>
      </c>
      <c r="FR431">
        <v>24</v>
      </c>
      <c r="FS431">
        <v>9999999</v>
      </c>
      <c r="FT431" t="s">
        <v>604</v>
      </c>
      <c r="FV431" s="1">
        <v>42151</v>
      </c>
      <c r="FW431">
        <v>2014</v>
      </c>
      <c r="FX431">
        <v>47.7</v>
      </c>
      <c r="FY431" t="s">
        <v>4812</v>
      </c>
      <c r="FZ431">
        <v>18</v>
      </c>
      <c r="GA431" t="s">
        <v>603</v>
      </c>
      <c r="GB431" t="s">
        <v>454</v>
      </c>
      <c r="GD431">
        <v>36</v>
      </c>
      <c r="GE431">
        <v>9999999</v>
      </c>
      <c r="GF431" t="s">
        <v>604</v>
      </c>
      <c r="GH431" s="1">
        <v>41787</v>
      </c>
      <c r="GI431">
        <v>2013</v>
      </c>
      <c r="GJ431">
        <v>43.78</v>
      </c>
      <c r="GK431" t="s">
        <v>4813</v>
      </c>
      <c r="GL431">
        <v>18</v>
      </c>
      <c r="GM431" t="s">
        <v>603</v>
      </c>
      <c r="GN431" t="s">
        <v>454</v>
      </c>
      <c r="GP431">
        <v>48</v>
      </c>
      <c r="GQ431">
        <v>9999999</v>
      </c>
      <c r="GR431" t="s">
        <v>604</v>
      </c>
      <c r="GT431" s="1">
        <v>41423</v>
      </c>
      <c r="GU431">
        <v>2012</v>
      </c>
      <c r="GV431">
        <v>42.67</v>
      </c>
      <c r="GW431" t="s">
        <v>4814</v>
      </c>
      <c r="GX431">
        <v>16.75</v>
      </c>
      <c r="GY431" t="s">
        <v>424</v>
      </c>
      <c r="GZ431" t="s">
        <v>454</v>
      </c>
      <c r="HB431">
        <v>60</v>
      </c>
      <c r="HC431">
        <v>10125</v>
      </c>
      <c r="HD431" t="s">
        <v>440</v>
      </c>
      <c r="HF431" s="1">
        <v>41052</v>
      </c>
      <c r="HG431">
        <v>2011</v>
      </c>
      <c r="HH431">
        <v>46.08</v>
      </c>
      <c r="HI431" t="s">
        <v>4815</v>
      </c>
      <c r="HJ431">
        <v>18</v>
      </c>
      <c r="HK431" t="s">
        <v>424</v>
      </c>
      <c r="HL431" t="s">
        <v>454</v>
      </c>
      <c r="HN431">
        <v>72</v>
      </c>
      <c r="HO431">
        <v>10125</v>
      </c>
      <c r="HP431" t="s">
        <v>440</v>
      </c>
      <c r="HR431" s="1">
        <v>40688</v>
      </c>
      <c r="HS431">
        <v>2010</v>
      </c>
      <c r="HT431">
        <v>57.62</v>
      </c>
      <c r="HU431" t="s">
        <v>4816</v>
      </c>
      <c r="HV431">
        <v>18</v>
      </c>
      <c r="HW431" t="s">
        <v>424</v>
      </c>
      <c r="HX431" t="s">
        <v>454</v>
      </c>
      <c r="HZ431">
        <v>84</v>
      </c>
      <c r="IA431">
        <v>12071</v>
      </c>
      <c r="IB431" t="s">
        <v>2936</v>
      </c>
      <c r="ID431" s="1">
        <v>40688</v>
      </c>
      <c r="IE431">
        <v>2010</v>
      </c>
      <c r="IF431">
        <v>45.26</v>
      </c>
      <c r="IG431" t="s">
        <v>4816</v>
      </c>
      <c r="IH431">
        <v>18</v>
      </c>
      <c r="II431" t="s">
        <v>603</v>
      </c>
      <c r="IJ431" t="s">
        <v>454</v>
      </c>
      <c r="IL431">
        <v>84</v>
      </c>
      <c r="IM431">
        <v>9999999</v>
      </c>
      <c r="IN431" t="s">
        <v>604</v>
      </c>
    </row>
    <row r="432" spans="1:284" x14ac:dyDescent="0.25">
      <c r="A432">
        <v>16485439</v>
      </c>
      <c r="B432">
        <v>431</v>
      </c>
      <c r="C432" t="s">
        <v>393</v>
      </c>
      <c r="D432" t="s">
        <v>394</v>
      </c>
      <c r="F432" t="str">
        <f>"08-3N-24-2380-0110-0090"</f>
        <v>08-3N-24-2380-0110-0090</v>
      </c>
      <c r="H432" t="str">
        <f>"RNHJ HOLDINGS INC"</f>
        <v>RNHJ HOLDINGS INC</v>
      </c>
      <c r="I432" t="str">
        <f>"PO BOX 455"</f>
        <v>PO BOX 455</v>
      </c>
      <c r="J432" t="str">
        <f>"CALLAHAN FL 32011"</f>
        <v>CALLAHAN FL 32011</v>
      </c>
      <c r="K432" t="str">
        <f>"SEVENTH AV"</f>
        <v>SEVENTH AV</v>
      </c>
      <c r="L432" t="str">
        <f t="shared" si="132"/>
        <v>HILLIARD FL 32046</v>
      </c>
      <c r="M432" t="str">
        <f>"BLOCK 110 LOTS 9 &amp; 10 PT OR 1551/863 TOWN OF HILLIARD"</f>
        <v>BLOCK 110 LOTS 9 &amp; 10 PT OR 1551/863 TOWN OF HILLIARD</v>
      </c>
      <c r="N432" t="str">
        <f>""</f>
        <v/>
      </c>
      <c r="O432" t="str">
        <f>"23615"</f>
        <v>23615</v>
      </c>
      <c r="P432" t="str">
        <f t="shared" si="119"/>
        <v>2017</v>
      </c>
      <c r="Q432" t="str">
        <f>""</f>
        <v/>
      </c>
      <c r="R432" t="str">
        <f t="shared" si="129"/>
        <v>N</v>
      </c>
      <c r="S432" t="str">
        <f>""</f>
        <v/>
      </c>
      <c r="T432" t="str">
        <f>"17.46"</f>
        <v>17.46</v>
      </c>
      <c r="U432" t="str">
        <f>"1250.00"</f>
        <v>1250.00</v>
      </c>
      <c r="V432" t="str">
        <f>"1250.00"</f>
        <v>1250.00</v>
      </c>
      <c r="W432" t="str">
        <f t="shared" si="120"/>
        <v>2017</v>
      </c>
      <c r="X432" t="str">
        <f>""</f>
        <v/>
      </c>
      <c r="Y432" t="str">
        <f>"49.98"</f>
        <v>49.98</v>
      </c>
      <c r="Z432" t="str">
        <f>""</f>
        <v/>
      </c>
      <c r="AA432" t="str">
        <f>"1250.00"</f>
        <v>1250.00</v>
      </c>
      <c r="AB432" t="str">
        <f t="shared" si="133"/>
        <v>Residential</v>
      </c>
      <c r="AC432" t="str">
        <f t="shared" si="121"/>
        <v>0</v>
      </c>
      <c r="AD432" t="str">
        <f>""</f>
        <v/>
      </c>
      <c r="AE432" t="str">
        <f>""</f>
        <v/>
      </c>
      <c r="AF432" t="str">
        <f t="shared" si="134"/>
        <v>000</v>
      </c>
      <c r="AG432" t="str">
        <f t="shared" si="131"/>
        <v>FL</v>
      </c>
      <c r="AH432" t="str">
        <f>"6250.00"</f>
        <v>6250.00</v>
      </c>
      <c r="AI432" t="str">
        <f>"1250.00"</f>
        <v>1250.00</v>
      </c>
      <c r="AJ432" t="str">
        <f>"C55-000-586-7656-0"</f>
        <v>C55-000-586-7656-0</v>
      </c>
      <c r="AK432" t="str">
        <f>"6412"</f>
        <v>6412</v>
      </c>
      <c r="AL432">
        <v>2</v>
      </c>
      <c r="AM432">
        <v>499</v>
      </c>
      <c r="AN432">
        <v>50.88</v>
      </c>
      <c r="AQ432" t="s">
        <v>4817</v>
      </c>
      <c r="AR432" t="s">
        <v>4817</v>
      </c>
      <c r="AS432" t="s">
        <v>4817</v>
      </c>
      <c r="AU432" t="s">
        <v>396</v>
      </c>
      <c r="AV432">
        <v>2017</v>
      </c>
      <c r="AW432" t="str">
        <f>"08-3N-24-2380-0110-0090 "</f>
        <v xml:space="preserve">08-3N-24-2380-0110-0090 </v>
      </c>
      <c r="AZ432" t="s">
        <v>4553</v>
      </c>
      <c r="BA432" t="s">
        <v>1122</v>
      </c>
      <c r="BD432" t="s">
        <v>398</v>
      </c>
      <c r="BE432" t="s">
        <v>393</v>
      </c>
      <c r="BF432">
        <v>32046</v>
      </c>
      <c r="BG432" t="s">
        <v>4776</v>
      </c>
      <c r="BH432" t="s">
        <v>400</v>
      </c>
      <c r="BI432">
        <v>-81.937769183997702</v>
      </c>
      <c r="BJ432">
        <v>30.690946116123001</v>
      </c>
      <c r="BK432" t="s">
        <v>1371</v>
      </c>
      <c r="BM432" t="s">
        <v>1372</v>
      </c>
      <c r="BN432" t="s">
        <v>928</v>
      </c>
      <c r="BO432">
        <v>32011</v>
      </c>
      <c r="BP432" t="s">
        <v>404</v>
      </c>
      <c r="BQ432">
        <v>0</v>
      </c>
      <c r="BR432" t="s">
        <v>491</v>
      </c>
      <c r="BS432">
        <v>8001</v>
      </c>
      <c r="BT432" t="s">
        <v>492</v>
      </c>
      <c r="BU432">
        <v>500</v>
      </c>
      <c r="BV432">
        <v>1250</v>
      </c>
      <c r="BW432">
        <v>6276</v>
      </c>
      <c r="BX432" t="s">
        <v>407</v>
      </c>
      <c r="BY432" t="s">
        <v>4520</v>
      </c>
      <c r="CD432">
        <v>2017</v>
      </c>
      <c r="CE432">
        <v>1250</v>
      </c>
      <c r="CG432">
        <v>1250</v>
      </c>
      <c r="CH432">
        <v>2017</v>
      </c>
      <c r="CI432">
        <v>1250</v>
      </c>
      <c r="CK432">
        <v>1250</v>
      </c>
      <c r="CL432">
        <v>2017</v>
      </c>
      <c r="CM432">
        <v>17.46</v>
      </c>
      <c r="CN432" s="1">
        <v>39497</v>
      </c>
      <c r="CO432">
        <v>5100</v>
      </c>
      <c r="CZ432" s="1">
        <v>39497</v>
      </c>
      <c r="DD432" t="s">
        <v>398</v>
      </c>
      <c r="DG432">
        <v>8</v>
      </c>
      <c r="DJ432" t="s">
        <v>4482</v>
      </c>
      <c r="DL432">
        <v>50400</v>
      </c>
      <c r="DM432" t="s">
        <v>4465</v>
      </c>
      <c r="DO432" t="s">
        <v>4818</v>
      </c>
      <c r="DP432">
        <v>0</v>
      </c>
      <c r="DQ432">
        <v>0</v>
      </c>
      <c r="DR432" t="s">
        <v>411</v>
      </c>
      <c r="DS432" t="b">
        <v>1</v>
      </c>
      <c r="DT432" t="s">
        <v>470</v>
      </c>
      <c r="DU432" t="s">
        <v>471</v>
      </c>
      <c r="DV432" t="s">
        <v>472</v>
      </c>
      <c r="DX432">
        <v>-9999</v>
      </c>
      <c r="DZ432" t="s">
        <v>447</v>
      </c>
      <c r="EA432" t="s">
        <v>448</v>
      </c>
      <c r="EB432" t="s">
        <v>1224</v>
      </c>
      <c r="EC432">
        <v>20101217</v>
      </c>
      <c r="ED432" t="s">
        <v>474</v>
      </c>
      <c r="EF432">
        <v>281.39999999999998</v>
      </c>
      <c r="EG432">
        <v>281.39999999999998</v>
      </c>
      <c r="EI432">
        <v>20160407</v>
      </c>
      <c r="EJ432">
        <v>0</v>
      </c>
      <c r="EK432">
        <v>0</v>
      </c>
      <c r="EP432" t="s">
        <v>595</v>
      </c>
      <c r="EQ432" t="s">
        <v>422</v>
      </c>
      <c r="ER432">
        <v>8</v>
      </c>
      <c r="ES432">
        <v>0</v>
      </c>
      <c r="ET432">
        <v>560.41</v>
      </c>
      <c r="EU432">
        <v>390.38</v>
      </c>
      <c r="EV432">
        <v>950.79</v>
      </c>
      <c r="EW432" s="2">
        <v>43222</v>
      </c>
      <c r="EX432" s="1">
        <v>42879</v>
      </c>
      <c r="EY432">
        <v>2016</v>
      </c>
      <c r="EZ432">
        <v>46.22</v>
      </c>
      <c r="FA432" t="s">
        <v>4819</v>
      </c>
      <c r="FB432">
        <v>18</v>
      </c>
      <c r="FC432" t="s">
        <v>603</v>
      </c>
      <c r="FD432" t="s">
        <v>454</v>
      </c>
      <c r="FF432">
        <v>12</v>
      </c>
      <c r="FG432">
        <v>9999999</v>
      </c>
      <c r="FH432" t="s">
        <v>604</v>
      </c>
      <c r="FJ432" s="1">
        <v>42515</v>
      </c>
      <c r="FK432">
        <v>2015</v>
      </c>
      <c r="FL432">
        <v>41.75</v>
      </c>
      <c r="FM432" t="s">
        <v>4820</v>
      </c>
      <c r="FN432">
        <v>18</v>
      </c>
      <c r="FO432" t="s">
        <v>603</v>
      </c>
      <c r="FP432" t="s">
        <v>454</v>
      </c>
      <c r="FR432">
        <v>24</v>
      </c>
      <c r="FS432">
        <v>9999999</v>
      </c>
      <c r="FT432" t="s">
        <v>604</v>
      </c>
      <c r="FV432" s="1">
        <v>42151</v>
      </c>
      <c r="FW432">
        <v>2014</v>
      </c>
      <c r="FX432">
        <v>76.81</v>
      </c>
      <c r="FY432" t="s">
        <v>4821</v>
      </c>
      <c r="FZ432">
        <v>18</v>
      </c>
      <c r="GA432" t="s">
        <v>424</v>
      </c>
      <c r="GB432" t="s">
        <v>454</v>
      </c>
      <c r="GD432">
        <v>36</v>
      </c>
      <c r="GE432">
        <v>10125</v>
      </c>
      <c r="GF432" t="s">
        <v>440</v>
      </c>
      <c r="GH432" s="1">
        <v>41787</v>
      </c>
      <c r="GI432">
        <v>2013</v>
      </c>
      <c r="GJ432">
        <v>71.08</v>
      </c>
      <c r="GK432" t="s">
        <v>4822</v>
      </c>
      <c r="GL432">
        <v>18</v>
      </c>
      <c r="GM432" t="s">
        <v>603</v>
      </c>
      <c r="GN432" t="s">
        <v>454</v>
      </c>
      <c r="GP432">
        <v>48</v>
      </c>
      <c r="GQ432">
        <v>9999999</v>
      </c>
      <c r="GR432" t="s">
        <v>604</v>
      </c>
      <c r="GT432" s="1">
        <v>41787</v>
      </c>
      <c r="GU432">
        <v>2013</v>
      </c>
      <c r="GV432">
        <v>102.92</v>
      </c>
      <c r="GW432" t="s">
        <v>4822</v>
      </c>
      <c r="GX432">
        <v>18</v>
      </c>
      <c r="GY432" t="s">
        <v>424</v>
      </c>
      <c r="GZ432" t="s">
        <v>454</v>
      </c>
      <c r="HB432">
        <v>48</v>
      </c>
      <c r="HC432">
        <v>7336680</v>
      </c>
      <c r="HD432" t="s">
        <v>4823</v>
      </c>
      <c r="HF432" s="1">
        <v>41423</v>
      </c>
      <c r="HG432">
        <v>2012</v>
      </c>
      <c r="HH432">
        <v>71.75</v>
      </c>
      <c r="HI432" t="s">
        <v>4824</v>
      </c>
      <c r="HJ432">
        <v>10</v>
      </c>
      <c r="HK432" t="s">
        <v>424</v>
      </c>
      <c r="HL432" t="s">
        <v>454</v>
      </c>
      <c r="HN432">
        <v>60</v>
      </c>
      <c r="HO432">
        <v>375</v>
      </c>
      <c r="HP432" t="s">
        <v>776</v>
      </c>
      <c r="HR432" s="1">
        <v>41423</v>
      </c>
      <c r="HS432">
        <v>2012</v>
      </c>
      <c r="HT432">
        <v>71.75</v>
      </c>
      <c r="HU432" t="s">
        <v>4824</v>
      </c>
      <c r="HV432">
        <v>10</v>
      </c>
      <c r="HW432" t="s">
        <v>424</v>
      </c>
      <c r="HX432" t="s">
        <v>454</v>
      </c>
      <c r="HZ432">
        <v>60</v>
      </c>
      <c r="IA432">
        <v>105</v>
      </c>
      <c r="IB432" t="s">
        <v>946</v>
      </c>
      <c r="ID432" s="1">
        <v>41052</v>
      </c>
      <c r="IE432">
        <v>2011</v>
      </c>
      <c r="IF432">
        <v>78.13</v>
      </c>
      <c r="IG432" t="s">
        <v>4825</v>
      </c>
      <c r="IH432">
        <v>16.75</v>
      </c>
      <c r="II432" t="s">
        <v>424</v>
      </c>
      <c r="IJ432" t="s">
        <v>454</v>
      </c>
      <c r="IL432">
        <v>72</v>
      </c>
      <c r="IM432">
        <v>10125</v>
      </c>
      <c r="IN432" t="s">
        <v>440</v>
      </c>
    </row>
    <row r="433" spans="1:284" x14ac:dyDescent="0.25">
      <c r="A433">
        <v>16485440</v>
      </c>
      <c r="B433">
        <v>432</v>
      </c>
      <c r="C433" t="s">
        <v>393</v>
      </c>
      <c r="D433" t="s">
        <v>394</v>
      </c>
      <c r="F433" t="str">
        <f>"08-3N-24-2380-0114-0040"</f>
        <v>08-3N-24-2380-0114-0040</v>
      </c>
      <c r="H433" t="str">
        <f>"HOFFMAN JAMES"</f>
        <v>HOFFMAN JAMES</v>
      </c>
      <c r="I433" t="str">
        <f>"PO BOX 818"</f>
        <v>PO BOX 818</v>
      </c>
      <c r="J433" t="str">
        <f>"HILLIARD FL 32046"</f>
        <v>HILLIARD FL 32046</v>
      </c>
      <c r="K433" t="str">
        <f>"SIXTH AV"</f>
        <v>SIXTH AV</v>
      </c>
      <c r="L433" t="str">
        <f t="shared" si="132"/>
        <v>HILLIARD FL 32046</v>
      </c>
      <c r="M433" t="str">
        <f>"BLOCK 114 LOTS 4 THRU 9 &amp; LOTS 13 THRU 17 &amp; 19 THRU 24 IN OR 1715/559 TOWN OF HILLIARD"</f>
        <v>BLOCK 114 LOTS 4 THRU 9 &amp; LOTS 13 THRU 17 &amp; 19 THRU 24 IN OR 1715/559 TOWN OF HILLIARD</v>
      </c>
      <c r="N433" t="str">
        <f>""</f>
        <v/>
      </c>
      <c r="O433" t="str">
        <f>"23635"</f>
        <v>23635</v>
      </c>
      <c r="P433" t="str">
        <f t="shared" si="119"/>
        <v>2017</v>
      </c>
      <c r="Q433" t="str">
        <f>""</f>
        <v/>
      </c>
      <c r="R433" t="str">
        <f t="shared" si="129"/>
        <v>N</v>
      </c>
      <c r="S433" t="str">
        <f>""</f>
        <v/>
      </c>
      <c r="T433" t="str">
        <f>"890.30"</f>
        <v>890.30</v>
      </c>
      <c r="U433" t="str">
        <f>"63750.00"</f>
        <v>63750.00</v>
      </c>
      <c r="V433" t="str">
        <f>"63750.00"</f>
        <v>63750.00</v>
      </c>
      <c r="W433" t="str">
        <f t="shared" si="120"/>
        <v>2017</v>
      </c>
      <c r="X433" t="str">
        <f>""</f>
        <v/>
      </c>
      <c r="Y433" t="str">
        <f>"949.01"</f>
        <v>949.01</v>
      </c>
      <c r="Z433" t="str">
        <f>""</f>
        <v/>
      </c>
      <c r="AA433" t="str">
        <f>"63750.00"</f>
        <v>63750.00</v>
      </c>
      <c r="AB433" t="str">
        <f t="shared" si="133"/>
        <v>Residential</v>
      </c>
      <c r="AC433" t="str">
        <f t="shared" si="121"/>
        <v>0</v>
      </c>
      <c r="AD433" t="str">
        <f>""</f>
        <v/>
      </c>
      <c r="AE433" t="str">
        <f>""</f>
        <v/>
      </c>
      <c r="AF433" t="str">
        <f t="shared" si="134"/>
        <v>000</v>
      </c>
      <c r="AG433" t="str">
        <f t="shared" si="131"/>
        <v>FL</v>
      </c>
      <c r="AH433" t="str">
        <f>"53500.00"</f>
        <v>53500.00</v>
      </c>
      <c r="AI433" t="str">
        <f>"63750.00"</f>
        <v>63750.00</v>
      </c>
      <c r="AJ433" t="str">
        <f>"C55-001-072-1472-8"</f>
        <v>C55-001-072-1472-8</v>
      </c>
      <c r="AK433" t="str">
        <f>"6429"</f>
        <v>6429</v>
      </c>
      <c r="AL433">
        <v>2</v>
      </c>
      <c r="AM433">
        <v>500</v>
      </c>
      <c r="AN433">
        <v>994.86</v>
      </c>
      <c r="AQ433" t="s">
        <v>4826</v>
      </c>
      <c r="AR433" t="s">
        <v>4826</v>
      </c>
      <c r="AS433" t="s">
        <v>4826</v>
      </c>
      <c r="AU433" t="s">
        <v>396</v>
      </c>
      <c r="AV433">
        <v>2017</v>
      </c>
      <c r="AW433" t="str">
        <f>"08-3N-24-2380-0114-0040 "</f>
        <v xml:space="preserve">08-3N-24-2380-0114-0040 </v>
      </c>
      <c r="AZ433" t="s">
        <v>4678</v>
      </c>
      <c r="BA433" t="s">
        <v>1122</v>
      </c>
      <c r="BD433" t="s">
        <v>398</v>
      </c>
      <c r="BE433" t="s">
        <v>393</v>
      </c>
      <c r="BF433">
        <v>32046</v>
      </c>
      <c r="BG433" t="s">
        <v>4806</v>
      </c>
      <c r="BH433" t="s">
        <v>400</v>
      </c>
      <c r="BI433">
        <v>-81.936343240809194</v>
      </c>
      <c r="BJ433">
        <v>30.690074115038701</v>
      </c>
      <c r="BK433" t="s">
        <v>4495</v>
      </c>
      <c r="BM433" t="s">
        <v>4496</v>
      </c>
      <c r="BN433" t="s">
        <v>403</v>
      </c>
      <c r="BO433">
        <v>32046</v>
      </c>
      <c r="BP433" t="s">
        <v>404</v>
      </c>
      <c r="BQ433">
        <v>0</v>
      </c>
      <c r="BR433" t="s">
        <v>491</v>
      </c>
      <c r="BS433">
        <v>8001</v>
      </c>
      <c r="BT433" t="s">
        <v>492</v>
      </c>
      <c r="BW433">
        <v>53500</v>
      </c>
      <c r="BX433" t="s">
        <v>407</v>
      </c>
      <c r="BY433" t="s">
        <v>4520</v>
      </c>
      <c r="CD433">
        <v>2017</v>
      </c>
      <c r="CE433">
        <v>63750</v>
      </c>
      <c r="CG433">
        <v>63750</v>
      </c>
      <c r="CH433">
        <v>2017</v>
      </c>
      <c r="CI433">
        <v>63750</v>
      </c>
      <c r="CK433">
        <v>63750</v>
      </c>
      <c r="CL433">
        <v>2017</v>
      </c>
      <c r="CM433">
        <v>890.3</v>
      </c>
      <c r="CN433" s="1">
        <v>40521</v>
      </c>
      <c r="CO433">
        <v>5700</v>
      </c>
      <c r="CZ433" s="1">
        <v>40521</v>
      </c>
      <c r="DD433" t="s">
        <v>398</v>
      </c>
      <c r="DG433">
        <v>8</v>
      </c>
      <c r="DL433">
        <v>50400</v>
      </c>
      <c r="DM433" t="s">
        <v>4465</v>
      </c>
      <c r="DO433" t="s">
        <v>4827</v>
      </c>
      <c r="DP433">
        <v>0</v>
      </c>
      <c r="DQ433">
        <v>0</v>
      </c>
      <c r="DR433" t="s">
        <v>411</v>
      </c>
    </row>
    <row r="434" spans="1:284" x14ac:dyDescent="0.25">
      <c r="A434">
        <v>16485441</v>
      </c>
      <c r="B434">
        <v>433</v>
      </c>
      <c r="C434" t="s">
        <v>393</v>
      </c>
      <c r="D434" t="s">
        <v>394</v>
      </c>
      <c r="F434" t="str">
        <f>"08-3N-24-2380-0115-0070"</f>
        <v>08-3N-24-2380-0115-0070</v>
      </c>
      <c r="H434" t="str">
        <f>"BARROW ALMA M EST C/O JOHN G BARROW III EST"</f>
        <v>BARROW ALMA M EST C/O JOHN G BARROW III EST</v>
      </c>
      <c r="I434" t="str">
        <f>"661 US HWY 17 NORTH"</f>
        <v>661 US HWY 17 NORTH</v>
      </c>
      <c r="J434" t="str">
        <f>"YULEE FL 32097"</f>
        <v>YULEE FL 32097</v>
      </c>
      <c r="K434" t="str">
        <f>"FIFTH AV"</f>
        <v>FIFTH AV</v>
      </c>
      <c r="L434" t="str">
        <f t="shared" si="132"/>
        <v>HILLIARD FL 32046</v>
      </c>
      <c r="M434" t="str">
        <f>"BLOCK 115 LOT 7 PT OF OR 441 PG 637 TOWN OF HILLIARD"</f>
        <v>BLOCK 115 LOT 7 PT OF OR 441 PG 637 TOWN OF HILLIARD</v>
      </c>
      <c r="N434" t="str">
        <f>""</f>
        <v/>
      </c>
      <c r="O434" t="str">
        <f>"23641"</f>
        <v>23641</v>
      </c>
      <c r="P434" t="str">
        <f t="shared" si="119"/>
        <v>2017</v>
      </c>
      <c r="Q434" t="str">
        <f>""</f>
        <v/>
      </c>
      <c r="R434" t="str">
        <f t="shared" si="129"/>
        <v>N</v>
      </c>
      <c r="S434" t="str">
        <f>""</f>
        <v/>
      </c>
      <c r="T434" t="str">
        <f>"8.73"</f>
        <v>8.73</v>
      </c>
      <c r="U434" t="str">
        <f>"625.00"</f>
        <v>625.00</v>
      </c>
      <c r="V434" t="str">
        <f>"625.00"</f>
        <v>625.00</v>
      </c>
      <c r="W434" t="str">
        <f t="shared" si="120"/>
        <v>2017</v>
      </c>
      <c r="X434" t="str">
        <f>""</f>
        <v/>
      </c>
      <c r="Y434" t="str">
        <f>"40.99"</f>
        <v>40.99</v>
      </c>
      <c r="Z434" t="str">
        <f>""</f>
        <v/>
      </c>
      <c r="AA434" t="str">
        <f>"625.00"</f>
        <v>625.00</v>
      </c>
      <c r="AB434" t="str">
        <f t="shared" si="133"/>
        <v>Residential</v>
      </c>
      <c r="AC434" t="str">
        <f t="shared" si="121"/>
        <v>0</v>
      </c>
      <c r="AD434" t="str">
        <f>""</f>
        <v/>
      </c>
      <c r="AE434" t="str">
        <f>""</f>
        <v/>
      </c>
      <c r="AF434" t="str">
        <f t="shared" si="134"/>
        <v>000</v>
      </c>
      <c r="AG434" t="str">
        <f t="shared" si="131"/>
        <v>FL</v>
      </c>
      <c r="AH434" t="str">
        <f>"3125.00"</f>
        <v>3125.00</v>
      </c>
      <c r="AI434" t="str">
        <f>"625.00"</f>
        <v>625.00</v>
      </c>
      <c r="AJ434" t="str">
        <f>"C55-000-586-7678-4"</f>
        <v>C55-000-586-7678-4</v>
      </c>
      <c r="AK434" t="str">
        <f>"6434"</f>
        <v>6434</v>
      </c>
      <c r="AL434">
        <v>2</v>
      </c>
      <c r="AM434">
        <v>501</v>
      </c>
      <c r="AN434">
        <v>41.44</v>
      </c>
      <c r="AQ434" t="s">
        <v>4828</v>
      </c>
      <c r="AR434" t="s">
        <v>4828</v>
      </c>
      <c r="AS434" t="s">
        <v>4828</v>
      </c>
      <c r="AU434" t="s">
        <v>396</v>
      </c>
      <c r="AV434">
        <v>2017</v>
      </c>
      <c r="AW434" t="str">
        <f>"08-3N-24-2380-0115-0070 "</f>
        <v xml:space="preserve">08-3N-24-2380-0115-0070 </v>
      </c>
      <c r="AZ434" t="s">
        <v>4660</v>
      </c>
      <c r="BA434" t="s">
        <v>1122</v>
      </c>
      <c r="BD434" t="s">
        <v>398</v>
      </c>
      <c r="BE434" t="s">
        <v>393</v>
      </c>
      <c r="BF434">
        <v>32046</v>
      </c>
      <c r="BG434" t="s">
        <v>4829</v>
      </c>
      <c r="BH434" t="s">
        <v>400</v>
      </c>
      <c r="BI434">
        <v>-81.935238688775101</v>
      </c>
      <c r="BJ434">
        <v>30.690112487023001</v>
      </c>
      <c r="BK434" t="s">
        <v>4807</v>
      </c>
      <c r="BL434" t="s">
        <v>4808</v>
      </c>
      <c r="BM434" t="s">
        <v>4765</v>
      </c>
      <c r="BN434" t="s">
        <v>1778</v>
      </c>
      <c r="BO434">
        <v>32097</v>
      </c>
      <c r="BP434" t="s">
        <v>404</v>
      </c>
      <c r="BQ434">
        <v>0</v>
      </c>
      <c r="BR434" t="s">
        <v>491</v>
      </c>
      <c r="BS434">
        <v>8001</v>
      </c>
      <c r="BT434" t="s">
        <v>492</v>
      </c>
      <c r="BU434">
        <v>250</v>
      </c>
      <c r="BV434">
        <v>1250</v>
      </c>
      <c r="BW434">
        <v>3125</v>
      </c>
      <c r="BX434" t="s">
        <v>407</v>
      </c>
      <c r="BY434" t="s">
        <v>4520</v>
      </c>
      <c r="CD434">
        <v>2017</v>
      </c>
      <c r="CE434">
        <v>625</v>
      </c>
      <c r="CG434">
        <v>625</v>
      </c>
      <c r="CH434">
        <v>2017</v>
      </c>
      <c r="CI434">
        <v>625</v>
      </c>
      <c r="CK434">
        <v>625</v>
      </c>
      <c r="CL434">
        <v>2017</v>
      </c>
      <c r="CM434">
        <v>8.73</v>
      </c>
      <c r="CN434" s="1">
        <v>31017</v>
      </c>
      <c r="CZ434" s="1">
        <v>31017</v>
      </c>
      <c r="DD434" t="s">
        <v>398</v>
      </c>
      <c r="DF434">
        <v>7</v>
      </c>
      <c r="DG434">
        <v>8</v>
      </c>
      <c r="DJ434" t="s">
        <v>4482</v>
      </c>
      <c r="DL434">
        <v>50400</v>
      </c>
      <c r="DM434" t="s">
        <v>4465</v>
      </c>
      <c r="DO434" t="s">
        <v>4830</v>
      </c>
      <c r="DP434">
        <v>0</v>
      </c>
      <c r="DQ434">
        <v>0</v>
      </c>
      <c r="DR434" t="s">
        <v>411</v>
      </c>
      <c r="DS434" t="b">
        <v>1</v>
      </c>
      <c r="DT434" t="s">
        <v>470</v>
      </c>
      <c r="DU434" t="s">
        <v>471</v>
      </c>
      <c r="DV434" t="s">
        <v>472</v>
      </c>
      <c r="DX434">
        <v>-9999</v>
      </c>
      <c r="DZ434" t="s">
        <v>447</v>
      </c>
      <c r="EA434" t="s">
        <v>448</v>
      </c>
      <c r="EB434" t="s">
        <v>1224</v>
      </c>
      <c r="EC434">
        <v>20101217</v>
      </c>
      <c r="ED434" t="s">
        <v>474</v>
      </c>
      <c r="EF434">
        <v>331.1</v>
      </c>
      <c r="EG434">
        <v>331.1</v>
      </c>
      <c r="EI434">
        <v>20160407</v>
      </c>
      <c r="EJ434">
        <v>0</v>
      </c>
      <c r="EK434">
        <v>0</v>
      </c>
      <c r="EP434" t="s">
        <v>595</v>
      </c>
      <c r="EQ434" t="s">
        <v>422</v>
      </c>
      <c r="ER434">
        <v>8</v>
      </c>
      <c r="ES434">
        <v>0</v>
      </c>
      <c r="ET434">
        <v>351.57</v>
      </c>
      <c r="EU434">
        <v>340.47</v>
      </c>
      <c r="EV434">
        <v>692.04</v>
      </c>
      <c r="EW434" s="2">
        <v>43222</v>
      </c>
      <c r="EX434" s="1">
        <v>42879</v>
      </c>
      <c r="EY434">
        <v>2016</v>
      </c>
      <c r="EZ434">
        <v>36.6</v>
      </c>
      <c r="FA434" t="s">
        <v>4831</v>
      </c>
      <c r="FB434">
        <v>18</v>
      </c>
      <c r="FC434" t="s">
        <v>603</v>
      </c>
      <c r="FD434" t="s">
        <v>454</v>
      </c>
      <c r="FF434">
        <v>12</v>
      </c>
      <c r="FG434">
        <v>9999999</v>
      </c>
      <c r="FH434" t="s">
        <v>604</v>
      </c>
      <c r="FJ434" s="1">
        <v>42515</v>
      </c>
      <c r="FK434">
        <v>2015</v>
      </c>
      <c r="FL434">
        <v>31.86</v>
      </c>
      <c r="FM434" t="s">
        <v>4832</v>
      </c>
      <c r="FN434">
        <v>18</v>
      </c>
      <c r="FO434" t="s">
        <v>603</v>
      </c>
      <c r="FP434" t="s">
        <v>454</v>
      </c>
      <c r="FR434">
        <v>24</v>
      </c>
      <c r="FS434">
        <v>9999999</v>
      </c>
      <c r="FT434" t="s">
        <v>604</v>
      </c>
      <c r="FV434" s="1">
        <v>42151</v>
      </c>
      <c r="FW434">
        <v>2014</v>
      </c>
      <c r="FX434">
        <v>47.7</v>
      </c>
      <c r="FY434" t="s">
        <v>4833</v>
      </c>
      <c r="FZ434">
        <v>18</v>
      </c>
      <c r="GA434" t="s">
        <v>603</v>
      </c>
      <c r="GB434" t="s">
        <v>454</v>
      </c>
      <c r="GD434">
        <v>36</v>
      </c>
      <c r="GE434">
        <v>9999999</v>
      </c>
      <c r="GF434" t="s">
        <v>604</v>
      </c>
      <c r="GH434" s="1">
        <v>41787</v>
      </c>
      <c r="GI434">
        <v>2013</v>
      </c>
      <c r="GJ434">
        <v>43.78</v>
      </c>
      <c r="GK434" t="s">
        <v>4834</v>
      </c>
      <c r="GL434">
        <v>18</v>
      </c>
      <c r="GM434" t="s">
        <v>603</v>
      </c>
      <c r="GN434" t="s">
        <v>454</v>
      </c>
      <c r="GP434">
        <v>48</v>
      </c>
      <c r="GQ434">
        <v>9999999</v>
      </c>
      <c r="GR434" t="s">
        <v>604</v>
      </c>
      <c r="GT434" s="1">
        <v>41423</v>
      </c>
      <c r="GU434">
        <v>2012</v>
      </c>
      <c r="GV434">
        <v>42.67</v>
      </c>
      <c r="GW434" t="s">
        <v>4835</v>
      </c>
      <c r="GX434">
        <v>16.75</v>
      </c>
      <c r="GY434" t="s">
        <v>424</v>
      </c>
      <c r="GZ434" t="s">
        <v>454</v>
      </c>
      <c r="HB434">
        <v>60</v>
      </c>
      <c r="HC434">
        <v>10125</v>
      </c>
      <c r="HD434" t="s">
        <v>440</v>
      </c>
      <c r="HF434" s="1">
        <v>41052</v>
      </c>
      <c r="HG434">
        <v>2011</v>
      </c>
      <c r="HH434">
        <v>46.08</v>
      </c>
      <c r="HI434" t="s">
        <v>4836</v>
      </c>
      <c r="HJ434">
        <v>18</v>
      </c>
      <c r="HK434" t="s">
        <v>424</v>
      </c>
      <c r="HL434" t="s">
        <v>454</v>
      </c>
      <c r="HN434">
        <v>72</v>
      </c>
      <c r="HO434">
        <v>10125</v>
      </c>
      <c r="HP434" t="s">
        <v>440</v>
      </c>
      <c r="HR434" s="1">
        <v>40688</v>
      </c>
      <c r="HS434">
        <v>2010</v>
      </c>
      <c r="HT434">
        <v>57.62</v>
      </c>
      <c r="HU434" t="s">
        <v>4837</v>
      </c>
      <c r="HV434">
        <v>18</v>
      </c>
      <c r="HW434" t="s">
        <v>424</v>
      </c>
      <c r="HX434" t="s">
        <v>454</v>
      </c>
      <c r="HZ434">
        <v>84</v>
      </c>
      <c r="IA434">
        <v>12071</v>
      </c>
      <c r="IB434" t="s">
        <v>2936</v>
      </c>
      <c r="ID434" s="1">
        <v>40688</v>
      </c>
      <c r="IE434">
        <v>2010</v>
      </c>
      <c r="IF434">
        <v>45.26</v>
      </c>
      <c r="IG434" t="s">
        <v>4837</v>
      </c>
      <c r="IH434">
        <v>18</v>
      </c>
      <c r="II434" t="s">
        <v>603</v>
      </c>
      <c r="IJ434" t="s">
        <v>454</v>
      </c>
      <c r="IL434">
        <v>84</v>
      </c>
      <c r="IM434">
        <v>9999999</v>
      </c>
      <c r="IN434" t="s">
        <v>604</v>
      </c>
    </row>
    <row r="435" spans="1:284" x14ac:dyDescent="0.25">
      <c r="A435">
        <v>16485442</v>
      </c>
      <c r="B435">
        <v>434</v>
      </c>
      <c r="C435" t="s">
        <v>393</v>
      </c>
      <c r="D435" t="s">
        <v>394</v>
      </c>
      <c r="F435" t="str">
        <f>"08-3N-24-2380-0117-0090"</f>
        <v>08-3N-24-2380-0117-0090</v>
      </c>
      <c r="H435" t="str">
        <f>"BULLOCK LOUIS A EST C/O LIDA SACHNOFF"</f>
        <v>BULLOCK LOUIS A EST C/O LIDA SACHNOFF</v>
      </c>
      <c r="I435" t="str">
        <f>"16435 EUCLID AVE"</f>
        <v>16435 EUCLID AVE</v>
      </c>
      <c r="J435" t="str">
        <f>"BAINBRIDGE ISLAND WA 98110"</f>
        <v>BAINBRIDGE ISLAND WA 98110</v>
      </c>
      <c r="K435" t="str">
        <f>"SIXTH AV"</f>
        <v>SIXTH AV</v>
      </c>
      <c r="L435" t="str">
        <f t="shared" si="132"/>
        <v>HILLIARD FL 32046</v>
      </c>
      <c r="M435" t="str">
        <f>"BLOCK 117 LOTS 9 10 TOWN OF HILLIARD"</f>
        <v>BLOCK 117 LOTS 9 10 TOWN OF HILLIARD</v>
      </c>
      <c r="N435" t="str">
        <f>""</f>
        <v/>
      </c>
      <c r="O435" t="str">
        <f>"23655"</f>
        <v>23655</v>
      </c>
      <c r="P435" t="str">
        <f t="shared" si="119"/>
        <v>2017</v>
      </c>
      <c r="Q435" t="str">
        <f>""</f>
        <v/>
      </c>
      <c r="R435" t="str">
        <f t="shared" si="129"/>
        <v>N</v>
      </c>
      <c r="S435" t="str">
        <f>""</f>
        <v/>
      </c>
      <c r="T435" t="str">
        <f>"17.46"</f>
        <v>17.46</v>
      </c>
      <c r="U435" t="str">
        <f>"1250.00"</f>
        <v>1250.00</v>
      </c>
      <c r="V435" t="str">
        <f>"1250.00"</f>
        <v>1250.00</v>
      </c>
      <c r="W435" t="str">
        <f t="shared" si="120"/>
        <v>2017</v>
      </c>
      <c r="X435" t="str">
        <f>""</f>
        <v/>
      </c>
      <c r="Y435" t="str">
        <f>"49.98"</f>
        <v>49.98</v>
      </c>
      <c r="Z435" t="str">
        <f>""</f>
        <v/>
      </c>
      <c r="AA435" t="str">
        <f>"1250.00"</f>
        <v>1250.00</v>
      </c>
      <c r="AB435" t="str">
        <f t="shared" si="133"/>
        <v>Residential</v>
      </c>
      <c r="AC435" t="str">
        <f t="shared" si="121"/>
        <v>0</v>
      </c>
      <c r="AD435" t="str">
        <f>""</f>
        <v/>
      </c>
      <c r="AE435" t="str">
        <f>""</f>
        <v/>
      </c>
      <c r="AF435" t="str">
        <f t="shared" si="134"/>
        <v>000</v>
      </c>
      <c r="AG435" t="str">
        <f>"WA"</f>
        <v>WA</v>
      </c>
      <c r="AH435" t="str">
        <f>"6250.00"</f>
        <v>6250.00</v>
      </c>
      <c r="AI435" t="str">
        <f>"1250.00"</f>
        <v>1250.00</v>
      </c>
      <c r="AJ435" t="str">
        <f>"C55-000-586-7691-7"</f>
        <v>C55-000-586-7691-7</v>
      </c>
      <c r="AK435" t="str">
        <f>"6442"</f>
        <v>6442</v>
      </c>
      <c r="AL435">
        <v>2</v>
      </c>
      <c r="AM435">
        <v>502</v>
      </c>
      <c r="AN435">
        <v>50.88</v>
      </c>
      <c r="AQ435" t="s">
        <v>4838</v>
      </c>
      <c r="AR435" t="s">
        <v>4838</v>
      </c>
      <c r="AS435" t="s">
        <v>4838</v>
      </c>
      <c r="AU435" t="s">
        <v>396</v>
      </c>
      <c r="AV435">
        <v>2017</v>
      </c>
      <c r="AW435" t="str">
        <f>"08-3N-24-2380-0117-0090 "</f>
        <v xml:space="preserve">08-3N-24-2380-0117-0090 </v>
      </c>
      <c r="AZ435" t="s">
        <v>4678</v>
      </c>
      <c r="BA435" t="s">
        <v>1122</v>
      </c>
      <c r="BD435" t="s">
        <v>398</v>
      </c>
      <c r="BE435" t="s">
        <v>393</v>
      </c>
      <c r="BF435">
        <v>32046</v>
      </c>
      <c r="BG435" t="s">
        <v>4806</v>
      </c>
      <c r="BH435" t="s">
        <v>400</v>
      </c>
      <c r="BI435">
        <v>-81.933136384131501</v>
      </c>
      <c r="BJ435">
        <v>30.690185477088601</v>
      </c>
      <c r="BK435" t="s">
        <v>4839</v>
      </c>
      <c r="BM435" t="s">
        <v>4840</v>
      </c>
      <c r="BN435" t="s">
        <v>4841</v>
      </c>
      <c r="BO435">
        <v>98110</v>
      </c>
      <c r="BP435" t="s">
        <v>404</v>
      </c>
      <c r="BQ435">
        <v>0</v>
      </c>
      <c r="BR435" t="s">
        <v>491</v>
      </c>
      <c r="BS435">
        <v>8001</v>
      </c>
      <c r="BT435" t="s">
        <v>492</v>
      </c>
      <c r="BU435">
        <v>500</v>
      </c>
      <c r="BV435">
        <v>1250</v>
      </c>
      <c r="BW435">
        <v>6249</v>
      </c>
      <c r="BX435" t="s">
        <v>407</v>
      </c>
      <c r="BY435" t="s">
        <v>4520</v>
      </c>
      <c r="CD435">
        <v>2017</v>
      </c>
      <c r="CE435">
        <v>1250</v>
      </c>
      <c r="CG435">
        <v>1250</v>
      </c>
      <c r="CH435">
        <v>2017</v>
      </c>
      <c r="CI435">
        <v>1250</v>
      </c>
      <c r="CK435">
        <v>1250</v>
      </c>
      <c r="CL435">
        <v>2017</v>
      </c>
      <c r="CM435">
        <v>17.46</v>
      </c>
      <c r="DD435" t="s">
        <v>398</v>
      </c>
      <c r="DG435">
        <v>8</v>
      </c>
      <c r="DJ435" t="s">
        <v>4482</v>
      </c>
      <c r="DL435">
        <v>50400</v>
      </c>
      <c r="DM435" t="s">
        <v>4465</v>
      </c>
      <c r="DO435" t="s">
        <v>4842</v>
      </c>
      <c r="DP435">
        <v>0</v>
      </c>
      <c r="DQ435">
        <v>0</v>
      </c>
      <c r="DR435" t="s">
        <v>411</v>
      </c>
      <c r="DS435" t="b">
        <v>1</v>
      </c>
      <c r="DT435" t="s">
        <v>470</v>
      </c>
      <c r="DU435" t="s">
        <v>471</v>
      </c>
      <c r="DV435" t="s">
        <v>472</v>
      </c>
      <c r="DX435">
        <v>-9999</v>
      </c>
      <c r="DZ435" t="s">
        <v>447</v>
      </c>
      <c r="EA435" t="s">
        <v>448</v>
      </c>
      <c r="EB435" t="s">
        <v>1224</v>
      </c>
      <c r="EC435">
        <v>20101217</v>
      </c>
      <c r="ED435" t="s">
        <v>474</v>
      </c>
      <c r="EF435">
        <v>86.5</v>
      </c>
      <c r="EG435">
        <v>86.5</v>
      </c>
      <c r="EI435">
        <v>20160407</v>
      </c>
      <c r="EJ435">
        <v>0</v>
      </c>
      <c r="EK435">
        <v>0</v>
      </c>
      <c r="EP435" t="s">
        <v>595</v>
      </c>
      <c r="EQ435" t="s">
        <v>422</v>
      </c>
      <c r="ER435">
        <v>4</v>
      </c>
      <c r="ES435">
        <v>0</v>
      </c>
      <c r="ET435">
        <v>215.94</v>
      </c>
      <c r="EU435">
        <v>97.82</v>
      </c>
      <c r="EV435">
        <v>313.76</v>
      </c>
      <c r="EW435" s="2">
        <v>43222</v>
      </c>
      <c r="EX435" s="1">
        <v>42879</v>
      </c>
      <c r="EY435">
        <v>2016</v>
      </c>
      <c r="EZ435">
        <v>46.22</v>
      </c>
      <c r="FA435" t="s">
        <v>4843</v>
      </c>
      <c r="FB435">
        <v>18</v>
      </c>
      <c r="FC435" t="s">
        <v>603</v>
      </c>
      <c r="FD435" t="s">
        <v>454</v>
      </c>
      <c r="FF435">
        <v>12</v>
      </c>
      <c r="FG435">
        <v>9999999</v>
      </c>
      <c r="FH435" t="s">
        <v>604</v>
      </c>
      <c r="FJ435" s="1">
        <v>42879</v>
      </c>
      <c r="FK435">
        <v>2016</v>
      </c>
      <c r="FL435">
        <v>54.55</v>
      </c>
      <c r="FM435" t="s">
        <v>4843</v>
      </c>
      <c r="FN435">
        <v>18</v>
      </c>
      <c r="FO435" t="s">
        <v>424</v>
      </c>
      <c r="FP435" t="s">
        <v>454</v>
      </c>
      <c r="FR435">
        <v>12</v>
      </c>
      <c r="FS435">
        <v>7685300</v>
      </c>
      <c r="FT435" t="s">
        <v>2881</v>
      </c>
      <c r="FV435" s="1">
        <v>42515</v>
      </c>
      <c r="FW435">
        <v>2015</v>
      </c>
      <c r="FX435">
        <v>41.75</v>
      </c>
      <c r="FY435" t="s">
        <v>4844</v>
      </c>
      <c r="FZ435">
        <v>18</v>
      </c>
      <c r="GA435" t="s">
        <v>603</v>
      </c>
      <c r="GB435" t="s">
        <v>454</v>
      </c>
      <c r="GD435">
        <v>24</v>
      </c>
      <c r="GE435">
        <v>9999999</v>
      </c>
      <c r="GF435" t="s">
        <v>604</v>
      </c>
      <c r="GH435" s="1">
        <v>42151</v>
      </c>
      <c r="GI435">
        <v>2014</v>
      </c>
      <c r="GJ435">
        <v>73.42</v>
      </c>
      <c r="GK435" t="s">
        <v>4845</v>
      </c>
      <c r="GL435">
        <v>18</v>
      </c>
      <c r="GM435" t="s">
        <v>424</v>
      </c>
      <c r="GN435" t="s">
        <v>454</v>
      </c>
      <c r="GP435">
        <v>36</v>
      </c>
      <c r="GQ435">
        <v>10125</v>
      </c>
      <c r="GR435" t="s">
        <v>440</v>
      </c>
    </row>
    <row r="436" spans="1:284" x14ac:dyDescent="0.25">
      <c r="A436">
        <v>16485443</v>
      </c>
      <c r="B436">
        <v>435</v>
      </c>
      <c r="C436" t="s">
        <v>393</v>
      </c>
      <c r="D436" t="s">
        <v>394</v>
      </c>
      <c r="F436" t="str">
        <f>"08-3N-24-2380-0117-0190"</f>
        <v>08-3N-24-2380-0117-0190</v>
      </c>
      <c r="H436" t="str">
        <f>"REUSS EMILY EST C/O NORMAN REUSS"</f>
        <v>REUSS EMILY EST C/O NORMAN REUSS</v>
      </c>
      <c r="I436" t="str">
        <f>"34 THISTLE HILL DR"</f>
        <v>34 THISTLE HILL DR</v>
      </c>
      <c r="J436" t="str">
        <f>"HINESBURG VT 05461"</f>
        <v>HINESBURG VT 05461</v>
      </c>
      <c r="K436" t="str">
        <f>"FIFTH AV"</f>
        <v>FIFTH AV</v>
      </c>
      <c r="L436" t="str">
        <f t="shared" si="132"/>
        <v>HILLIARD FL 32046</v>
      </c>
      <c r="M436" t="str">
        <f>"BLOCK 117 LOT 19 TOWN OF HILLIARD"</f>
        <v>BLOCK 117 LOT 19 TOWN OF HILLIARD</v>
      </c>
      <c r="N436" t="str">
        <f>""</f>
        <v/>
      </c>
      <c r="O436" t="str">
        <f>"23658"</f>
        <v>23658</v>
      </c>
      <c r="P436" t="str">
        <f t="shared" si="119"/>
        <v>2017</v>
      </c>
      <c r="Q436" t="str">
        <f>""</f>
        <v/>
      </c>
      <c r="R436" t="str">
        <f t="shared" si="129"/>
        <v>N</v>
      </c>
      <c r="S436" t="str">
        <f>""</f>
        <v/>
      </c>
      <c r="T436" t="str">
        <f>"8.73"</f>
        <v>8.73</v>
      </c>
      <c r="U436" t="str">
        <f>"625.00"</f>
        <v>625.00</v>
      </c>
      <c r="V436" t="str">
        <f>"625.00"</f>
        <v>625.00</v>
      </c>
      <c r="W436" t="str">
        <f t="shared" si="120"/>
        <v>2017</v>
      </c>
      <c r="X436" t="str">
        <f>""</f>
        <v/>
      </c>
      <c r="Y436" t="str">
        <f>"40.99"</f>
        <v>40.99</v>
      </c>
      <c r="Z436" t="str">
        <f>""</f>
        <v/>
      </c>
      <c r="AA436" t="str">
        <f>"625.00"</f>
        <v>625.00</v>
      </c>
      <c r="AB436" t="str">
        <f t="shared" si="133"/>
        <v>Residential</v>
      </c>
      <c r="AC436" t="str">
        <f t="shared" si="121"/>
        <v>0</v>
      </c>
      <c r="AD436" t="str">
        <f>""</f>
        <v/>
      </c>
      <c r="AE436" t="str">
        <f>""</f>
        <v/>
      </c>
      <c r="AF436" t="str">
        <f t="shared" si="134"/>
        <v>000</v>
      </c>
      <c r="AG436" t="str">
        <f>"VT"</f>
        <v>VT</v>
      </c>
      <c r="AH436" t="str">
        <f>"3125.00"</f>
        <v>3125.00</v>
      </c>
      <c r="AI436" t="str">
        <f>"625.00"</f>
        <v>625.00</v>
      </c>
      <c r="AJ436" t="str">
        <f>"C55-000-586-7693-3"</f>
        <v>C55-000-586-7693-3</v>
      </c>
      <c r="AK436" t="str">
        <f>"6445"</f>
        <v>6445</v>
      </c>
      <c r="AL436">
        <v>2</v>
      </c>
      <c r="AM436">
        <v>503</v>
      </c>
      <c r="AN436">
        <v>41.44</v>
      </c>
      <c r="AQ436" t="s">
        <v>4846</v>
      </c>
      <c r="AR436" t="s">
        <v>4846</v>
      </c>
      <c r="AS436" t="s">
        <v>4846</v>
      </c>
      <c r="AU436" t="s">
        <v>396</v>
      </c>
      <c r="AV436">
        <v>2017</v>
      </c>
      <c r="AW436" t="str">
        <f>"08-3N-24-2380-0117-0190 "</f>
        <v xml:space="preserve">08-3N-24-2380-0117-0190 </v>
      </c>
      <c r="AZ436" t="s">
        <v>4660</v>
      </c>
      <c r="BA436" t="s">
        <v>1122</v>
      </c>
      <c r="BD436" t="s">
        <v>398</v>
      </c>
      <c r="BE436" t="s">
        <v>393</v>
      </c>
      <c r="BF436">
        <v>32046</v>
      </c>
      <c r="BG436" t="s">
        <v>4829</v>
      </c>
      <c r="BH436" t="s">
        <v>400</v>
      </c>
      <c r="BI436">
        <v>-81.932840190849902</v>
      </c>
      <c r="BJ436">
        <v>30.689783035743201</v>
      </c>
      <c r="BK436" t="s">
        <v>4847</v>
      </c>
      <c r="BL436" t="s">
        <v>4848</v>
      </c>
      <c r="BM436" t="s">
        <v>4849</v>
      </c>
      <c r="BN436" t="s">
        <v>4850</v>
      </c>
      <c r="BO436">
        <v>5461</v>
      </c>
      <c r="BP436" t="s">
        <v>404</v>
      </c>
      <c r="BQ436">
        <v>0</v>
      </c>
      <c r="BR436" t="s">
        <v>491</v>
      </c>
      <c r="BS436">
        <v>8001</v>
      </c>
      <c r="BT436" t="s">
        <v>492</v>
      </c>
      <c r="BU436">
        <v>250</v>
      </c>
      <c r="BV436">
        <v>1250</v>
      </c>
      <c r="BW436">
        <v>3125</v>
      </c>
      <c r="BX436" t="s">
        <v>407</v>
      </c>
      <c r="BY436" t="s">
        <v>4520</v>
      </c>
      <c r="CD436">
        <v>2017</v>
      </c>
      <c r="CE436">
        <v>625</v>
      </c>
      <c r="CG436">
        <v>625</v>
      </c>
      <c r="CH436">
        <v>2017</v>
      </c>
      <c r="CI436">
        <v>625</v>
      </c>
      <c r="CK436">
        <v>625</v>
      </c>
      <c r="CL436">
        <v>2017</v>
      </c>
      <c r="CM436">
        <v>8.73</v>
      </c>
      <c r="DD436" t="s">
        <v>398</v>
      </c>
      <c r="DF436">
        <v>19</v>
      </c>
      <c r="DG436">
        <v>8</v>
      </c>
      <c r="DJ436" t="s">
        <v>4482</v>
      </c>
      <c r="DL436">
        <v>50400</v>
      </c>
      <c r="DM436" t="s">
        <v>4465</v>
      </c>
      <c r="DO436" t="s">
        <v>4851</v>
      </c>
      <c r="DP436">
        <v>0</v>
      </c>
      <c r="DQ436">
        <v>0</v>
      </c>
      <c r="DR436" t="s">
        <v>411</v>
      </c>
      <c r="DS436" t="b">
        <v>1</v>
      </c>
      <c r="DT436" t="s">
        <v>470</v>
      </c>
      <c r="DU436" t="s">
        <v>471</v>
      </c>
      <c r="DV436" t="s">
        <v>472</v>
      </c>
      <c r="DX436">
        <v>-9999</v>
      </c>
      <c r="DZ436" t="s">
        <v>447</v>
      </c>
      <c r="EA436" t="s">
        <v>448</v>
      </c>
      <c r="EB436" t="s">
        <v>1224</v>
      </c>
      <c r="EC436">
        <v>20101217</v>
      </c>
      <c r="ED436" t="s">
        <v>474</v>
      </c>
      <c r="EF436">
        <v>196.8</v>
      </c>
      <c r="EG436">
        <v>196.8</v>
      </c>
      <c r="EI436">
        <v>20160407</v>
      </c>
      <c r="EJ436">
        <v>0</v>
      </c>
      <c r="EK436">
        <v>0</v>
      </c>
      <c r="EP436" t="s">
        <v>595</v>
      </c>
      <c r="EQ436" t="s">
        <v>422</v>
      </c>
      <c r="ER436">
        <v>11</v>
      </c>
      <c r="ES436">
        <v>0</v>
      </c>
      <c r="ET436">
        <v>507.5</v>
      </c>
      <c r="EU436">
        <v>387.26</v>
      </c>
      <c r="EV436">
        <v>894.76</v>
      </c>
      <c r="EW436" s="2">
        <v>43222</v>
      </c>
      <c r="EX436" s="1">
        <v>42879</v>
      </c>
      <c r="EY436">
        <v>2016</v>
      </c>
      <c r="EZ436">
        <v>36.6</v>
      </c>
      <c r="FA436" t="s">
        <v>4852</v>
      </c>
      <c r="FB436">
        <v>18</v>
      </c>
      <c r="FC436" t="s">
        <v>603</v>
      </c>
      <c r="FD436" t="s">
        <v>454</v>
      </c>
      <c r="FF436">
        <v>12</v>
      </c>
      <c r="FG436">
        <v>9999999</v>
      </c>
      <c r="FH436" t="s">
        <v>604</v>
      </c>
      <c r="FJ436" s="1">
        <v>42515</v>
      </c>
      <c r="FK436">
        <v>2015</v>
      </c>
      <c r="FL436">
        <v>31.86</v>
      </c>
      <c r="FM436" t="s">
        <v>4853</v>
      </c>
      <c r="FN436">
        <v>18</v>
      </c>
      <c r="FO436" t="s">
        <v>603</v>
      </c>
      <c r="FP436" t="s">
        <v>454</v>
      </c>
      <c r="FR436">
        <v>24</v>
      </c>
      <c r="FS436">
        <v>9999999</v>
      </c>
      <c r="FT436" t="s">
        <v>604</v>
      </c>
      <c r="FV436" s="1">
        <v>42515</v>
      </c>
      <c r="FW436">
        <v>2015</v>
      </c>
      <c r="FX436">
        <v>38.590000000000003</v>
      </c>
      <c r="FY436" t="s">
        <v>4853</v>
      </c>
      <c r="FZ436">
        <v>18</v>
      </c>
      <c r="GA436" t="s">
        <v>424</v>
      </c>
      <c r="GB436" t="s">
        <v>454</v>
      </c>
      <c r="GD436">
        <v>24</v>
      </c>
      <c r="GE436">
        <v>10647</v>
      </c>
      <c r="GF436" t="s">
        <v>4602</v>
      </c>
      <c r="GH436" s="1">
        <v>42151</v>
      </c>
      <c r="GI436">
        <v>2014</v>
      </c>
      <c r="GJ436">
        <v>47.7</v>
      </c>
      <c r="GK436" t="s">
        <v>4854</v>
      </c>
      <c r="GL436">
        <v>18</v>
      </c>
      <c r="GM436" t="s">
        <v>603</v>
      </c>
      <c r="GN436" t="s">
        <v>454</v>
      </c>
      <c r="GP436">
        <v>36</v>
      </c>
      <c r="GQ436">
        <v>9999999</v>
      </c>
      <c r="GR436" t="s">
        <v>604</v>
      </c>
      <c r="GT436" s="1">
        <v>42151</v>
      </c>
      <c r="GU436">
        <v>2014</v>
      </c>
      <c r="GV436">
        <v>63.25</v>
      </c>
      <c r="GW436" t="s">
        <v>4854</v>
      </c>
      <c r="GX436">
        <v>18</v>
      </c>
      <c r="GY436" t="s">
        <v>424</v>
      </c>
      <c r="GZ436" t="s">
        <v>454</v>
      </c>
      <c r="HB436">
        <v>36</v>
      </c>
      <c r="HC436">
        <v>10647</v>
      </c>
      <c r="HD436" t="s">
        <v>4602</v>
      </c>
      <c r="HF436" s="1">
        <v>41787</v>
      </c>
      <c r="HG436">
        <v>2013</v>
      </c>
      <c r="HH436">
        <v>43.78</v>
      </c>
      <c r="HI436" t="s">
        <v>4855</v>
      </c>
      <c r="HJ436">
        <v>18</v>
      </c>
      <c r="HK436" t="s">
        <v>603</v>
      </c>
      <c r="HL436" t="s">
        <v>454</v>
      </c>
      <c r="HN436">
        <v>48</v>
      </c>
      <c r="HO436">
        <v>9999999</v>
      </c>
      <c r="HP436" t="s">
        <v>604</v>
      </c>
      <c r="HR436" s="1">
        <v>41787</v>
      </c>
      <c r="HS436">
        <v>2013</v>
      </c>
      <c r="HT436">
        <v>66.45</v>
      </c>
      <c r="HU436" t="s">
        <v>4855</v>
      </c>
      <c r="HV436">
        <v>18</v>
      </c>
      <c r="HW436" t="s">
        <v>424</v>
      </c>
      <c r="HX436" t="s">
        <v>454</v>
      </c>
      <c r="HZ436">
        <v>48</v>
      </c>
      <c r="IA436">
        <v>10647</v>
      </c>
      <c r="IB436" t="s">
        <v>4602</v>
      </c>
      <c r="ID436" s="1">
        <v>41423</v>
      </c>
      <c r="IE436">
        <v>2012</v>
      </c>
      <c r="IF436">
        <v>42.67</v>
      </c>
      <c r="IG436" t="s">
        <v>4856</v>
      </c>
      <c r="IH436">
        <v>16.75</v>
      </c>
      <c r="II436" t="s">
        <v>424</v>
      </c>
      <c r="IJ436" t="s">
        <v>454</v>
      </c>
      <c r="IL436">
        <v>60</v>
      </c>
      <c r="IM436">
        <v>10125</v>
      </c>
      <c r="IN436" t="s">
        <v>440</v>
      </c>
      <c r="IP436" s="1">
        <v>41052</v>
      </c>
      <c r="IQ436">
        <v>2011</v>
      </c>
      <c r="IR436">
        <v>46.08</v>
      </c>
      <c r="IS436" t="s">
        <v>4857</v>
      </c>
      <c r="IT436">
        <v>18</v>
      </c>
      <c r="IU436" t="s">
        <v>424</v>
      </c>
      <c r="IV436" t="s">
        <v>454</v>
      </c>
      <c r="IX436">
        <v>72</v>
      </c>
      <c r="IY436">
        <v>10125</v>
      </c>
      <c r="IZ436" t="s">
        <v>440</v>
      </c>
      <c r="JB436" s="1">
        <v>40688</v>
      </c>
      <c r="JC436">
        <v>2010</v>
      </c>
      <c r="JD436">
        <v>45.26</v>
      </c>
      <c r="JE436" t="s">
        <v>4858</v>
      </c>
      <c r="JF436">
        <v>9.75</v>
      </c>
      <c r="JG436" t="s">
        <v>424</v>
      </c>
      <c r="JH436" t="s">
        <v>454</v>
      </c>
      <c r="JJ436">
        <v>84</v>
      </c>
      <c r="JK436">
        <v>375</v>
      </c>
      <c r="JL436" t="s">
        <v>776</v>
      </c>
      <c r="JN436" s="1">
        <v>40688</v>
      </c>
      <c r="JO436">
        <v>2010</v>
      </c>
      <c r="JP436">
        <v>45.26</v>
      </c>
      <c r="JQ436" t="s">
        <v>4858</v>
      </c>
      <c r="JR436">
        <v>9.75</v>
      </c>
      <c r="JS436" t="s">
        <v>424</v>
      </c>
      <c r="JT436" t="s">
        <v>454</v>
      </c>
      <c r="JV436">
        <v>84</v>
      </c>
      <c r="JW436">
        <v>105</v>
      </c>
      <c r="JX436" t="s">
        <v>946</v>
      </c>
    </row>
    <row r="437" spans="1:284" x14ac:dyDescent="0.25">
      <c r="A437">
        <v>16485444</v>
      </c>
      <c r="B437">
        <v>436</v>
      </c>
      <c r="C437" t="s">
        <v>393</v>
      </c>
      <c r="D437" t="s">
        <v>394</v>
      </c>
      <c r="F437" t="str">
        <f>"08-3N-24-2380-0120-0130"</f>
        <v>08-3N-24-2380-0120-0130</v>
      </c>
      <c r="H437" t="str">
        <f>"HIGGINBOTHAM DEAN E &amp; ANN M"</f>
        <v>HIGGINBOTHAM DEAN E &amp; ANN M</v>
      </c>
      <c r="I437" t="str">
        <f>"27201 W 5TH AVE"</f>
        <v>27201 W 5TH AVE</v>
      </c>
      <c r="J437" t="str">
        <f>"HILLIARD FL 32046"</f>
        <v>HILLIARD FL 32046</v>
      </c>
      <c r="K437" t="str">
        <f>"27201 FIFTH AVE W"</f>
        <v>27201 FIFTH AVE W</v>
      </c>
      <c r="L437" t="str">
        <f t="shared" si="132"/>
        <v>HILLIARD FL 32046</v>
      </c>
      <c r="M437" t="str">
        <f>"BLOCK 120 LOTS 13 THRU 18 IN OR 1602/1315 &amp; OR 1780/1828 2000 MERT DW/MH TOWN OF HILLIARD"</f>
        <v>BLOCK 120 LOTS 13 THRU 18 IN OR 1602/1315 &amp; OR 1780/1828 2000 MERT DW/MH TOWN OF HILLIARD</v>
      </c>
      <c r="N437" t="str">
        <f>""</f>
        <v/>
      </c>
      <c r="O437" t="str">
        <f>"23665"</f>
        <v>23665</v>
      </c>
      <c r="P437" t="str">
        <f t="shared" si="119"/>
        <v>2017</v>
      </c>
      <c r="Q437" t="str">
        <f>""</f>
        <v/>
      </c>
      <c r="R437" t="str">
        <f>"Y"</f>
        <v>Y</v>
      </c>
      <c r="S437" t="str">
        <f>""</f>
        <v/>
      </c>
      <c r="T437" t="str">
        <f>"343.36"</f>
        <v>343.36</v>
      </c>
      <c r="U437" t="str">
        <f>"49586.00"</f>
        <v>49586.00</v>
      </c>
      <c r="V437" t="str">
        <f>"49586.00"</f>
        <v>49586.00</v>
      </c>
      <c r="W437" t="str">
        <f t="shared" si="120"/>
        <v>2017</v>
      </c>
      <c r="X437" t="str">
        <f>"11.00"</f>
        <v>11.00</v>
      </c>
      <c r="Y437" t="str">
        <f>"385.66"</f>
        <v>385.66</v>
      </c>
      <c r="Z437" t="str">
        <f>"25000.00"</f>
        <v>25000.00</v>
      </c>
      <c r="AA437" t="str">
        <f>"24586.00"</f>
        <v>24586.00</v>
      </c>
      <c r="AB437" t="str">
        <f t="shared" si="133"/>
        <v>Residential</v>
      </c>
      <c r="AC437" t="str">
        <f t="shared" si="121"/>
        <v>0</v>
      </c>
      <c r="AD437" t="str">
        <f>"4"</f>
        <v>4</v>
      </c>
      <c r="AE437" t="str">
        <f>"WOOD (INCLUDE STEEL STUDS)"</f>
        <v>WOOD (INCLUDE STEEL STUDS)</v>
      </c>
      <c r="AF437" t="str">
        <f>"002"</f>
        <v>002</v>
      </c>
      <c r="AG437" t="str">
        <f t="shared" ref="AG437:AG447" si="135">"FL"</f>
        <v>FL</v>
      </c>
      <c r="AH437" t="str">
        <f>"18750.00"</f>
        <v>18750.00</v>
      </c>
      <c r="AI437" t="str">
        <f>"22500.00"</f>
        <v>22500.00</v>
      </c>
      <c r="AJ437" t="str">
        <f>"C55-000-586-7702-2"</f>
        <v>C55-000-586-7702-2</v>
      </c>
      <c r="AK437" t="str">
        <f>"6452"</f>
        <v>6452</v>
      </c>
      <c r="AL437">
        <v>2</v>
      </c>
      <c r="AM437">
        <v>504</v>
      </c>
      <c r="AN437">
        <v>403.34</v>
      </c>
      <c r="AQ437" t="s">
        <v>4859</v>
      </c>
      <c r="AR437" t="s">
        <v>4859</v>
      </c>
      <c r="AS437" t="s">
        <v>4859</v>
      </c>
      <c r="AU437" t="s">
        <v>396</v>
      </c>
      <c r="AV437">
        <v>2017</v>
      </c>
      <c r="AW437" t="str">
        <f>"08-3N-24-2380-0120-0130 "</f>
        <v xml:space="preserve">08-3N-24-2380-0120-0130 </v>
      </c>
      <c r="AX437">
        <v>27201</v>
      </c>
      <c r="AZ437" t="s">
        <v>4660</v>
      </c>
      <c r="BA437" t="s">
        <v>1112</v>
      </c>
      <c r="BB437" t="s">
        <v>4459</v>
      </c>
      <c r="BD437" t="s">
        <v>398</v>
      </c>
      <c r="BE437" t="s">
        <v>393</v>
      </c>
      <c r="BF437">
        <v>32046</v>
      </c>
      <c r="BG437" t="s">
        <v>4860</v>
      </c>
      <c r="BH437" t="s">
        <v>400</v>
      </c>
      <c r="BI437">
        <v>-81.929685477035207</v>
      </c>
      <c r="BJ437">
        <v>30.6898925087972</v>
      </c>
      <c r="BK437" t="s">
        <v>4861</v>
      </c>
      <c r="BL437" t="s">
        <v>4862</v>
      </c>
      <c r="BM437" t="s">
        <v>4863</v>
      </c>
      <c r="BN437" t="s">
        <v>403</v>
      </c>
      <c r="BO437">
        <v>32046</v>
      </c>
      <c r="BP437" t="s">
        <v>416</v>
      </c>
      <c r="BQ437">
        <v>200</v>
      </c>
      <c r="BR437" t="s">
        <v>405</v>
      </c>
      <c r="BS437">
        <v>1006</v>
      </c>
      <c r="BT437" t="s">
        <v>406</v>
      </c>
      <c r="BU437">
        <v>1500</v>
      </c>
      <c r="BV437">
        <v>1250</v>
      </c>
      <c r="BW437">
        <v>18750</v>
      </c>
      <c r="BX437" t="s">
        <v>407</v>
      </c>
      <c r="BY437" t="s">
        <v>4779</v>
      </c>
      <c r="BZ437">
        <v>4</v>
      </c>
      <c r="CA437">
        <v>2000</v>
      </c>
      <c r="CC437">
        <v>1</v>
      </c>
      <c r="CD437">
        <v>2017</v>
      </c>
      <c r="CG437">
        <v>49586</v>
      </c>
      <c r="CH437">
        <v>2017</v>
      </c>
      <c r="CI437">
        <v>22500</v>
      </c>
      <c r="CJ437">
        <v>34558</v>
      </c>
      <c r="CK437">
        <v>57058</v>
      </c>
      <c r="CL437">
        <v>2017</v>
      </c>
      <c r="CM437">
        <v>343.36</v>
      </c>
      <c r="CN437" s="1">
        <v>40844</v>
      </c>
      <c r="CZ437" s="1">
        <v>40844</v>
      </c>
      <c r="DD437" t="s">
        <v>398</v>
      </c>
      <c r="DG437">
        <v>8</v>
      </c>
      <c r="DL437">
        <v>50400</v>
      </c>
      <c r="DM437" t="s">
        <v>4465</v>
      </c>
      <c r="DO437" t="s">
        <v>4864</v>
      </c>
      <c r="DP437">
        <v>0</v>
      </c>
      <c r="DQ437">
        <v>0</v>
      </c>
      <c r="DR437" t="s">
        <v>411</v>
      </c>
      <c r="DS437" t="b">
        <v>1</v>
      </c>
      <c r="DT437" t="s">
        <v>470</v>
      </c>
      <c r="DU437" t="s">
        <v>471</v>
      </c>
      <c r="DV437" t="s">
        <v>472</v>
      </c>
      <c r="DX437">
        <v>-9999</v>
      </c>
      <c r="DZ437" t="s">
        <v>447</v>
      </c>
      <c r="EA437" t="s">
        <v>448</v>
      </c>
      <c r="EB437" t="s">
        <v>1224</v>
      </c>
      <c r="EC437">
        <v>20101217</v>
      </c>
      <c r="ED437" t="s">
        <v>474</v>
      </c>
      <c r="EF437">
        <v>139.6</v>
      </c>
      <c r="EG437">
        <v>139.6</v>
      </c>
      <c r="EI437">
        <v>20160407</v>
      </c>
      <c r="EJ437">
        <v>0</v>
      </c>
      <c r="EK437">
        <v>0</v>
      </c>
      <c r="EP437" t="s">
        <v>421</v>
      </c>
      <c r="EQ437" t="s">
        <v>422</v>
      </c>
      <c r="ER437">
        <v>0</v>
      </c>
      <c r="ES437">
        <v>2</v>
      </c>
      <c r="ET437">
        <v>0</v>
      </c>
      <c r="EU437">
        <v>0</v>
      </c>
      <c r="EV437">
        <v>0</v>
      </c>
      <c r="EW437" s="2">
        <v>43222</v>
      </c>
      <c r="EX437" s="1">
        <v>42515</v>
      </c>
      <c r="EY437">
        <v>2015</v>
      </c>
      <c r="EZ437">
        <v>326.64999999999998</v>
      </c>
      <c r="FA437" t="s">
        <v>4865</v>
      </c>
      <c r="FB437">
        <v>0.25</v>
      </c>
      <c r="FC437" t="s">
        <v>424</v>
      </c>
      <c r="FD437" t="s">
        <v>425</v>
      </c>
      <c r="FE437" s="1">
        <v>42834</v>
      </c>
      <c r="FF437">
        <v>11</v>
      </c>
      <c r="FG437">
        <v>2851116</v>
      </c>
      <c r="FH437" t="s">
        <v>480</v>
      </c>
      <c r="FJ437" s="1">
        <v>42515</v>
      </c>
      <c r="FK437">
        <v>2015</v>
      </c>
      <c r="FL437">
        <v>326.64999999999998</v>
      </c>
      <c r="FM437" t="s">
        <v>4865</v>
      </c>
      <c r="FN437">
        <v>0.25</v>
      </c>
      <c r="FO437" t="s">
        <v>424</v>
      </c>
      <c r="FP437" t="s">
        <v>425</v>
      </c>
      <c r="FR437">
        <v>22</v>
      </c>
      <c r="FS437">
        <v>5496668</v>
      </c>
      <c r="FT437" t="s">
        <v>4866</v>
      </c>
    </row>
    <row r="438" spans="1:284" x14ac:dyDescent="0.25">
      <c r="A438">
        <v>16485445</v>
      </c>
      <c r="B438">
        <v>437</v>
      </c>
      <c r="C438" t="s">
        <v>393</v>
      </c>
      <c r="D438" t="s">
        <v>394</v>
      </c>
      <c r="F438" t="str">
        <f>"08-3N-24-2380-0123-0010"</f>
        <v>08-3N-24-2380-0123-0010</v>
      </c>
      <c r="H438" t="str">
        <f>"GEOGHAGAN DANIEL A &amp; MELISSA B"</f>
        <v>GEOGHAGAN DANIEL A &amp; MELISSA B</v>
      </c>
      <c r="I438" t="str">
        <f>"27254 W 5TH ST"</f>
        <v>27254 W 5TH ST</v>
      </c>
      <c r="J438" t="str">
        <f>"HILLIARD FL 32046"</f>
        <v>HILLIARD FL 32046</v>
      </c>
      <c r="K438" t="str">
        <f>"27254 FIFTH AVE W"</f>
        <v>27254 FIFTH AVE W</v>
      </c>
      <c r="L438" t="str">
        <f t="shared" si="132"/>
        <v>HILLIARD FL 32046</v>
      </c>
      <c r="M438" t="str">
        <f>"BLOCK 123 LOTS 1 2 3 4 &amp; 5 1989 FOREMOST DW/MH IN OR 1970/1538 TOWN OF HILLIARD"</f>
        <v>BLOCK 123 LOTS 1 2 3 4 &amp; 5 1989 FOREMOST DW/MH IN OR 1970/1538 TOWN OF HILLIARD</v>
      </c>
      <c r="N438" t="str">
        <f>""</f>
        <v/>
      </c>
      <c r="O438" t="str">
        <f>"23683"</f>
        <v>23683</v>
      </c>
      <c r="P438" t="str">
        <f t="shared" si="119"/>
        <v>2017</v>
      </c>
      <c r="Q438" t="str">
        <f>""</f>
        <v/>
      </c>
      <c r="R438" t="str">
        <f>"Y"</f>
        <v>Y</v>
      </c>
      <c r="S438" t="str">
        <f>""</f>
        <v/>
      </c>
      <c r="T438" t="str">
        <f>"234.82"</f>
        <v>234.82</v>
      </c>
      <c r="U438" t="str">
        <f>"41814.00"</f>
        <v>41814.00</v>
      </c>
      <c r="V438" t="str">
        <f>"41814.00"</f>
        <v>41814.00</v>
      </c>
      <c r="W438" t="str">
        <f t="shared" si="120"/>
        <v>2017</v>
      </c>
      <c r="X438" t="str">
        <f>"11.50"</f>
        <v>11.50</v>
      </c>
      <c r="Y438" t="str">
        <f>"273.86"</f>
        <v>273.86</v>
      </c>
      <c r="Z438" t="str">
        <f>"25000.00"</f>
        <v>25000.00</v>
      </c>
      <c r="AA438" t="str">
        <f>"16814.00"</f>
        <v>16814.00</v>
      </c>
      <c r="AB438" t="str">
        <f t="shared" si="133"/>
        <v>Residential</v>
      </c>
      <c r="AC438" t="str">
        <f t="shared" si="121"/>
        <v>0</v>
      </c>
      <c r="AD438" t="str">
        <f>"4"</f>
        <v>4</v>
      </c>
      <c r="AE438" t="str">
        <f>"WOOD (INCLUDE STEEL STUDS)"</f>
        <v>WOOD (INCLUDE STEEL STUDS)</v>
      </c>
      <c r="AF438" t="str">
        <f>"002"</f>
        <v>002</v>
      </c>
      <c r="AG438" t="str">
        <f t="shared" si="135"/>
        <v>FL</v>
      </c>
      <c r="AH438" t="str">
        <f>"15625.00"</f>
        <v>15625.00</v>
      </c>
      <c r="AI438" t="str">
        <f>"18750.00"</f>
        <v>18750.00</v>
      </c>
      <c r="AJ438" t="str">
        <f>"C55-000-586-7715-4"</f>
        <v>C55-000-586-7715-4</v>
      </c>
      <c r="AK438" t="str">
        <f>"6470"</f>
        <v>6470</v>
      </c>
      <c r="AL438">
        <v>2</v>
      </c>
      <c r="AM438">
        <v>505</v>
      </c>
      <c r="AN438">
        <v>285.95</v>
      </c>
      <c r="AQ438" t="s">
        <v>4867</v>
      </c>
      <c r="AR438" t="s">
        <v>4867</v>
      </c>
      <c r="AS438" t="s">
        <v>4867</v>
      </c>
      <c r="AU438" t="s">
        <v>396</v>
      </c>
      <c r="AV438">
        <v>2017</v>
      </c>
      <c r="AW438" t="str">
        <f>"08-3N-24-2380-0123-0010 "</f>
        <v xml:space="preserve">08-3N-24-2380-0123-0010 </v>
      </c>
      <c r="AX438">
        <v>27254</v>
      </c>
      <c r="AZ438" t="s">
        <v>4660</v>
      </c>
      <c r="BA438" t="s">
        <v>1112</v>
      </c>
      <c r="BB438" t="s">
        <v>4459</v>
      </c>
      <c r="BD438" t="s">
        <v>398</v>
      </c>
      <c r="BE438" t="s">
        <v>393</v>
      </c>
      <c r="BF438">
        <v>32046</v>
      </c>
      <c r="BG438" t="s">
        <v>4868</v>
      </c>
      <c r="BH438" t="s">
        <v>400</v>
      </c>
      <c r="BI438">
        <v>-81.929146682947206</v>
      </c>
      <c r="BJ438">
        <v>30.689402172347702</v>
      </c>
      <c r="BK438" t="s">
        <v>4869</v>
      </c>
      <c r="BL438" t="s">
        <v>4870</v>
      </c>
      <c r="BM438" t="s">
        <v>4871</v>
      </c>
      <c r="BN438" t="s">
        <v>403</v>
      </c>
      <c r="BO438">
        <v>32046</v>
      </c>
      <c r="BP438" t="s">
        <v>416</v>
      </c>
      <c r="BQ438">
        <v>200</v>
      </c>
      <c r="BR438" t="s">
        <v>405</v>
      </c>
      <c r="BS438">
        <v>1006</v>
      </c>
      <c r="BT438" t="s">
        <v>406</v>
      </c>
      <c r="BU438">
        <v>1250</v>
      </c>
      <c r="BV438">
        <v>1250</v>
      </c>
      <c r="BW438">
        <v>15625</v>
      </c>
      <c r="BX438" t="s">
        <v>407</v>
      </c>
      <c r="BY438" t="s">
        <v>4779</v>
      </c>
      <c r="BZ438">
        <v>4</v>
      </c>
      <c r="CA438">
        <v>1989</v>
      </c>
      <c r="CB438">
        <v>1</v>
      </c>
      <c r="CC438">
        <v>1</v>
      </c>
      <c r="CD438">
        <v>2017</v>
      </c>
      <c r="CG438">
        <v>41814</v>
      </c>
      <c r="CH438">
        <v>2017</v>
      </c>
      <c r="CI438">
        <v>18750</v>
      </c>
      <c r="CJ438">
        <v>35853</v>
      </c>
      <c r="CK438">
        <v>54603</v>
      </c>
      <c r="CL438">
        <v>2017</v>
      </c>
      <c r="CM438">
        <v>234.82</v>
      </c>
      <c r="CN438" s="1">
        <v>42093</v>
      </c>
      <c r="CO438">
        <v>55000</v>
      </c>
      <c r="CV438">
        <v>0</v>
      </c>
      <c r="CZ438" s="1">
        <v>42093</v>
      </c>
      <c r="DA438">
        <v>0</v>
      </c>
      <c r="DD438" t="s">
        <v>398</v>
      </c>
      <c r="DG438">
        <v>8</v>
      </c>
      <c r="DL438">
        <v>50400</v>
      </c>
      <c r="DM438" t="s">
        <v>4465</v>
      </c>
      <c r="DO438" t="s">
        <v>4872</v>
      </c>
      <c r="DP438">
        <v>0</v>
      </c>
      <c r="DQ438">
        <v>0</v>
      </c>
      <c r="DR438" t="s">
        <v>411</v>
      </c>
      <c r="EP438" t="s">
        <v>421</v>
      </c>
      <c r="EQ438" t="s">
        <v>422</v>
      </c>
      <c r="ER438">
        <v>0</v>
      </c>
      <c r="ES438">
        <v>3</v>
      </c>
      <c r="ET438">
        <v>0</v>
      </c>
      <c r="EU438">
        <v>0</v>
      </c>
      <c r="EV438">
        <v>0</v>
      </c>
      <c r="EW438" s="2">
        <v>43222</v>
      </c>
      <c r="EX438" s="1">
        <v>41787</v>
      </c>
      <c r="EY438">
        <v>2013</v>
      </c>
      <c r="EZ438">
        <v>400.87</v>
      </c>
      <c r="FA438" t="s">
        <v>4873</v>
      </c>
      <c r="FB438">
        <v>0.25</v>
      </c>
      <c r="FC438" t="s">
        <v>424</v>
      </c>
      <c r="FD438" t="s">
        <v>425</v>
      </c>
      <c r="FE438" s="1">
        <v>42048</v>
      </c>
      <c r="FF438">
        <v>9</v>
      </c>
      <c r="FG438">
        <v>13026</v>
      </c>
      <c r="FH438" t="s">
        <v>2129</v>
      </c>
      <c r="FJ438" s="1">
        <v>41052</v>
      </c>
      <c r="FK438">
        <v>2011</v>
      </c>
      <c r="FL438">
        <v>748.09</v>
      </c>
      <c r="FM438" t="s">
        <v>4874</v>
      </c>
      <c r="FN438">
        <v>6.25</v>
      </c>
      <c r="FO438" t="s">
        <v>424</v>
      </c>
      <c r="FP438" t="s">
        <v>425</v>
      </c>
      <c r="FQ438" s="1">
        <v>41332</v>
      </c>
      <c r="FR438">
        <v>9</v>
      </c>
      <c r="FS438">
        <v>375</v>
      </c>
      <c r="FT438" t="s">
        <v>776</v>
      </c>
      <c r="FV438" s="1">
        <v>40688</v>
      </c>
      <c r="FW438">
        <v>2010</v>
      </c>
      <c r="FX438">
        <v>758.77</v>
      </c>
      <c r="FY438" t="s">
        <v>4875</v>
      </c>
      <c r="FZ438">
        <v>7.5</v>
      </c>
      <c r="GA438" t="s">
        <v>424</v>
      </c>
      <c r="GB438" t="s">
        <v>425</v>
      </c>
      <c r="GC438" s="1">
        <v>41299</v>
      </c>
      <c r="GD438">
        <v>20</v>
      </c>
      <c r="GE438">
        <v>10579</v>
      </c>
      <c r="GF438" t="s">
        <v>488</v>
      </c>
    </row>
    <row r="439" spans="1:284" x14ac:dyDescent="0.25">
      <c r="A439">
        <v>16485446</v>
      </c>
      <c r="B439">
        <v>438</v>
      </c>
      <c r="C439" t="s">
        <v>393</v>
      </c>
      <c r="D439" t="s">
        <v>394</v>
      </c>
      <c r="F439" t="str">
        <f>"08-3N-24-2380-0123-0060"</f>
        <v>08-3N-24-2380-0123-0060</v>
      </c>
      <c r="H439" t="str">
        <f>"HIGGINBOTHAM LELAND KIRK"</f>
        <v>HIGGINBOTHAM LELAND KIRK</v>
      </c>
      <c r="I439" t="str">
        <f>"27236 WEST 5TH AVE"</f>
        <v>27236 WEST 5TH AVE</v>
      </c>
      <c r="J439" t="str">
        <f>"HILLIARD FL 32046"</f>
        <v>HILLIARD FL 32046</v>
      </c>
      <c r="K439" t="str">
        <f>"27236 FIFTH AVE W"</f>
        <v>27236 FIFTH AVE W</v>
      </c>
      <c r="L439" t="str">
        <f t="shared" si="132"/>
        <v>HILLIARD FL 32046</v>
      </c>
      <c r="M439" t="str">
        <f>"BLOCK 123 LOTS 6 &amp; 7 IN OR 1225/453 1996 CLAY SW/MH TOWN OF HILLIARD"</f>
        <v>BLOCK 123 LOTS 6 &amp; 7 IN OR 1225/453 1996 CLAY SW/MH TOWN OF HILLIARD</v>
      </c>
      <c r="N439" t="str">
        <f>""</f>
        <v/>
      </c>
      <c r="O439" t="str">
        <f>"23684"</f>
        <v>23684</v>
      </c>
      <c r="P439" t="str">
        <f t="shared" si="119"/>
        <v>2017</v>
      </c>
      <c r="Q439" t="str">
        <f>""</f>
        <v/>
      </c>
      <c r="R439" t="str">
        <f>"N"</f>
        <v>N</v>
      </c>
      <c r="S439" t="str">
        <f>""</f>
        <v/>
      </c>
      <c r="T439" t="str">
        <f>"435.55"</f>
        <v>435.55</v>
      </c>
      <c r="U439" t="str">
        <f>"28411.00"</f>
        <v>28411.00</v>
      </c>
      <c r="V439" t="str">
        <f>"28411.00"</f>
        <v>28411.00</v>
      </c>
      <c r="W439" t="str">
        <f t="shared" si="120"/>
        <v>2017</v>
      </c>
      <c r="X439" t="str">
        <f>"6.00"</f>
        <v>6.00</v>
      </c>
      <c r="Y439" t="str">
        <f>"480.62"</f>
        <v>480.62</v>
      </c>
      <c r="Z439" t="str">
        <f>""</f>
        <v/>
      </c>
      <c r="AA439" t="str">
        <f>"34288.00"</f>
        <v>34288.00</v>
      </c>
      <c r="AB439" t="str">
        <f t="shared" si="133"/>
        <v>Residential</v>
      </c>
      <c r="AC439" t="str">
        <f t="shared" si="121"/>
        <v>0</v>
      </c>
      <c r="AD439" t="str">
        <f>"4"</f>
        <v>4</v>
      </c>
      <c r="AE439" t="str">
        <f>"WOOD (INCLUDE STEEL STUDS)"</f>
        <v>WOOD (INCLUDE STEEL STUDS)</v>
      </c>
      <c r="AF439" t="str">
        <f>"002"</f>
        <v>002</v>
      </c>
      <c r="AG439" t="str">
        <f t="shared" si="135"/>
        <v>FL</v>
      </c>
      <c r="AH439" t="str">
        <f>"6250.00"</f>
        <v>6250.00</v>
      </c>
      <c r="AI439" t="str">
        <f>"7500.00"</f>
        <v>7500.00</v>
      </c>
      <c r="AJ439" t="str">
        <f>"C55-000-586-7716-2"</f>
        <v>C55-000-586-7716-2</v>
      </c>
      <c r="AK439" t="str">
        <f>"6471"</f>
        <v>6471</v>
      </c>
      <c r="AL439">
        <v>2</v>
      </c>
      <c r="AM439">
        <v>506</v>
      </c>
      <c r="AN439">
        <v>503.05</v>
      </c>
      <c r="AQ439" t="s">
        <v>4876</v>
      </c>
      <c r="AR439" t="s">
        <v>4876</v>
      </c>
      <c r="AS439" t="s">
        <v>4876</v>
      </c>
      <c r="AU439" t="s">
        <v>396</v>
      </c>
      <c r="AV439">
        <v>2017</v>
      </c>
      <c r="AW439" t="str">
        <f>"08-3N-24-2380-0123-0060 "</f>
        <v xml:space="preserve">08-3N-24-2380-0123-0060 </v>
      </c>
      <c r="AX439">
        <v>27236</v>
      </c>
      <c r="AZ439" t="s">
        <v>4660</v>
      </c>
      <c r="BA439" t="s">
        <v>1112</v>
      </c>
      <c r="BB439" t="s">
        <v>4459</v>
      </c>
      <c r="BD439" t="s">
        <v>398</v>
      </c>
      <c r="BE439" t="s">
        <v>393</v>
      </c>
      <c r="BF439">
        <v>32046</v>
      </c>
      <c r="BG439" t="s">
        <v>4877</v>
      </c>
      <c r="BH439" t="s">
        <v>400</v>
      </c>
      <c r="BI439">
        <v>-81.929424806519506</v>
      </c>
      <c r="BJ439">
        <v>30.689392541869701</v>
      </c>
      <c r="BK439" t="s">
        <v>4878</v>
      </c>
      <c r="BM439" t="s">
        <v>4879</v>
      </c>
      <c r="BN439" t="s">
        <v>403</v>
      </c>
      <c r="BO439">
        <v>32046</v>
      </c>
      <c r="BP439" t="s">
        <v>416</v>
      </c>
      <c r="BQ439">
        <v>200</v>
      </c>
      <c r="BR439" t="s">
        <v>405</v>
      </c>
      <c r="BS439">
        <v>1006</v>
      </c>
      <c r="BT439" t="s">
        <v>406</v>
      </c>
      <c r="BU439">
        <v>500</v>
      </c>
      <c r="BV439">
        <v>1250</v>
      </c>
      <c r="BW439">
        <v>6250</v>
      </c>
      <c r="BX439" t="s">
        <v>407</v>
      </c>
      <c r="BY439" t="s">
        <v>4779</v>
      </c>
      <c r="BZ439">
        <v>4</v>
      </c>
      <c r="CA439">
        <v>1996</v>
      </c>
      <c r="CB439">
        <v>1</v>
      </c>
      <c r="CC439">
        <v>1</v>
      </c>
      <c r="CD439">
        <v>2017</v>
      </c>
      <c r="CE439">
        <v>7500</v>
      </c>
      <c r="CF439">
        <v>26788</v>
      </c>
      <c r="CG439">
        <v>34288</v>
      </c>
      <c r="CH439">
        <v>2017</v>
      </c>
      <c r="CI439">
        <v>7500</v>
      </c>
      <c r="CJ439">
        <v>26788</v>
      </c>
      <c r="CK439">
        <v>34288</v>
      </c>
      <c r="CL439">
        <v>2017</v>
      </c>
      <c r="CM439">
        <v>435.55</v>
      </c>
      <c r="CN439" s="1">
        <v>38103</v>
      </c>
      <c r="CZ439" s="1">
        <v>38103</v>
      </c>
      <c r="DD439" t="s">
        <v>398</v>
      </c>
      <c r="DG439">
        <v>8</v>
      </c>
      <c r="DL439">
        <v>50400</v>
      </c>
      <c r="DM439" t="s">
        <v>4465</v>
      </c>
      <c r="DO439" t="s">
        <v>4880</v>
      </c>
      <c r="DP439">
        <v>0</v>
      </c>
      <c r="DQ439">
        <v>0</v>
      </c>
      <c r="DR439" t="s">
        <v>411</v>
      </c>
      <c r="EP439" t="s">
        <v>6</v>
      </c>
      <c r="EQ439" t="s">
        <v>422</v>
      </c>
      <c r="ER439">
        <v>0</v>
      </c>
      <c r="ES439">
        <v>1</v>
      </c>
      <c r="ET439">
        <v>0</v>
      </c>
      <c r="EU439">
        <v>0</v>
      </c>
      <c r="EV439">
        <v>0</v>
      </c>
      <c r="EW439" s="2">
        <v>43222</v>
      </c>
      <c r="EX439" s="1">
        <v>41423</v>
      </c>
      <c r="EY439">
        <v>2012</v>
      </c>
      <c r="EZ439">
        <v>82.8</v>
      </c>
      <c r="FA439" t="s">
        <v>4881</v>
      </c>
      <c r="FB439">
        <v>18</v>
      </c>
      <c r="FC439" t="s">
        <v>603</v>
      </c>
      <c r="FD439" t="s">
        <v>425</v>
      </c>
      <c r="FE439" s="1">
        <v>41760</v>
      </c>
      <c r="FF439">
        <v>12</v>
      </c>
      <c r="FG439">
        <v>9999999</v>
      </c>
      <c r="FH439" t="s">
        <v>604</v>
      </c>
    </row>
    <row r="440" spans="1:284" x14ac:dyDescent="0.25">
      <c r="A440">
        <v>16485447</v>
      </c>
      <c r="B440">
        <v>439</v>
      </c>
      <c r="C440" t="s">
        <v>393</v>
      </c>
      <c r="D440" t="s">
        <v>394</v>
      </c>
      <c r="F440" t="str">
        <f>"08-3N-24-2380-0128-0130"</f>
        <v>08-3N-24-2380-0128-0130</v>
      </c>
      <c r="H440" t="str">
        <f>"HOFFMAN JAMES"</f>
        <v>HOFFMAN JAMES</v>
      </c>
      <c r="I440" t="str">
        <f>"PO BOX 818"</f>
        <v>PO BOX 818</v>
      </c>
      <c r="J440" t="str">
        <f>"HILLIARD FL 32046"</f>
        <v>HILLIARD FL 32046</v>
      </c>
      <c r="K440" t="str">
        <f>"FOURTH &amp; FIFTH AV"</f>
        <v>FOURTH &amp; FIFTH AV</v>
      </c>
      <c r="L440" t="str">
        <f t="shared" si="132"/>
        <v>HILLIARD FL 32046</v>
      </c>
      <c r="M440" t="str">
        <f>"BLOCK 128 LOTS 13 THRU 18 IN OR 1715/559 TOWN OF HILLIARD"</f>
        <v>BLOCK 128 LOTS 13 THRU 18 IN OR 1715/559 TOWN OF HILLIARD</v>
      </c>
      <c r="N440" t="str">
        <f>""</f>
        <v/>
      </c>
      <c r="O440" t="str">
        <f>"23705"</f>
        <v>23705</v>
      </c>
      <c r="P440" t="str">
        <f t="shared" si="119"/>
        <v>2017</v>
      </c>
      <c r="Q440" t="str">
        <f>""</f>
        <v/>
      </c>
      <c r="R440" t="str">
        <f>"N"</f>
        <v>N</v>
      </c>
      <c r="S440" t="str">
        <f>""</f>
        <v/>
      </c>
      <c r="T440" t="str">
        <f>"314.23"</f>
        <v>314.23</v>
      </c>
      <c r="U440" t="str">
        <f>"22500.00"</f>
        <v>22500.00</v>
      </c>
      <c r="V440" t="str">
        <f>"22500.00"</f>
        <v>22500.00</v>
      </c>
      <c r="W440" t="str">
        <f t="shared" si="120"/>
        <v>2017</v>
      </c>
      <c r="X440" t="str">
        <f>""</f>
        <v/>
      </c>
      <c r="Y440" t="str">
        <f>"355.66"</f>
        <v>355.66</v>
      </c>
      <c r="Z440" t="str">
        <f>""</f>
        <v/>
      </c>
      <c r="AA440" t="str">
        <f>"22500.00"</f>
        <v>22500.00</v>
      </c>
      <c r="AB440" t="str">
        <f t="shared" si="133"/>
        <v>Residential</v>
      </c>
      <c r="AC440" t="str">
        <f t="shared" si="121"/>
        <v>0</v>
      </c>
      <c r="AD440" t="str">
        <f>""</f>
        <v/>
      </c>
      <c r="AE440" t="str">
        <f>""</f>
        <v/>
      </c>
      <c r="AF440" t="str">
        <f>"000"</f>
        <v>000</v>
      </c>
      <c r="AG440" t="str">
        <f t="shared" si="135"/>
        <v>FL</v>
      </c>
      <c r="AH440" t="str">
        <f>"18750.00"</f>
        <v>18750.00</v>
      </c>
      <c r="AI440" t="str">
        <f>"22500.00"</f>
        <v>22500.00</v>
      </c>
      <c r="AJ440" t="str">
        <f>"C55-001-072-1482-7"</f>
        <v>C55-001-072-1482-7</v>
      </c>
      <c r="AK440" t="str">
        <f>"6488"</f>
        <v>6488</v>
      </c>
      <c r="AL440">
        <v>2</v>
      </c>
      <c r="AM440">
        <v>507</v>
      </c>
      <c r="AN440">
        <v>371.84</v>
      </c>
      <c r="AQ440" t="s">
        <v>4882</v>
      </c>
      <c r="AR440" t="s">
        <v>4882</v>
      </c>
      <c r="AS440" t="s">
        <v>4882</v>
      </c>
      <c r="AU440" t="s">
        <v>396</v>
      </c>
      <c r="AV440">
        <v>2017</v>
      </c>
      <c r="AW440" t="str">
        <f>"08-3N-24-2380-0128-0130 "</f>
        <v xml:space="preserve">08-3N-24-2380-0128-0130 </v>
      </c>
      <c r="AZ440" t="s">
        <v>4883</v>
      </c>
      <c r="BA440" t="s">
        <v>1122</v>
      </c>
      <c r="BD440" t="s">
        <v>398</v>
      </c>
      <c r="BE440" t="s">
        <v>393</v>
      </c>
      <c r="BF440">
        <v>32046</v>
      </c>
      <c r="BG440" t="s">
        <v>4884</v>
      </c>
      <c r="BH440" t="s">
        <v>400</v>
      </c>
      <c r="BI440">
        <v>-81.935373369168204</v>
      </c>
      <c r="BJ440">
        <v>30.688773357180299</v>
      </c>
      <c r="BK440" t="s">
        <v>4495</v>
      </c>
      <c r="BM440" t="s">
        <v>4496</v>
      </c>
      <c r="BN440" t="s">
        <v>403</v>
      </c>
      <c r="BO440">
        <v>32046</v>
      </c>
      <c r="BP440" t="s">
        <v>404</v>
      </c>
      <c r="BQ440">
        <v>0</v>
      </c>
      <c r="BR440" t="s">
        <v>491</v>
      </c>
      <c r="BS440">
        <v>8001</v>
      </c>
      <c r="BT440" t="s">
        <v>492</v>
      </c>
      <c r="BU440">
        <v>1500</v>
      </c>
      <c r="BV440">
        <v>1250</v>
      </c>
      <c r="BW440">
        <v>18750</v>
      </c>
      <c r="BX440" t="s">
        <v>407</v>
      </c>
      <c r="BY440" t="s">
        <v>4520</v>
      </c>
      <c r="CD440">
        <v>2017</v>
      </c>
      <c r="CE440">
        <v>22500</v>
      </c>
      <c r="CG440">
        <v>22500</v>
      </c>
      <c r="CH440">
        <v>2017</v>
      </c>
      <c r="CI440">
        <v>22500</v>
      </c>
      <c r="CK440">
        <v>22500</v>
      </c>
      <c r="CL440">
        <v>2017</v>
      </c>
      <c r="CM440">
        <v>314.23</v>
      </c>
      <c r="CN440" s="1">
        <v>40521</v>
      </c>
      <c r="CO440">
        <v>5700</v>
      </c>
      <c r="CZ440" s="1">
        <v>40521</v>
      </c>
      <c r="DD440" t="s">
        <v>398</v>
      </c>
      <c r="DG440">
        <v>8</v>
      </c>
      <c r="DL440">
        <v>50400</v>
      </c>
      <c r="DM440" t="s">
        <v>4465</v>
      </c>
      <c r="DO440" t="s">
        <v>4885</v>
      </c>
      <c r="DP440">
        <v>0</v>
      </c>
      <c r="DQ440">
        <v>0</v>
      </c>
      <c r="DR440" t="s">
        <v>411</v>
      </c>
    </row>
    <row r="441" spans="1:284" x14ac:dyDescent="0.25">
      <c r="A441">
        <v>16485448</v>
      </c>
      <c r="B441">
        <v>440</v>
      </c>
      <c r="C441" t="s">
        <v>393</v>
      </c>
      <c r="D441" t="s">
        <v>394</v>
      </c>
      <c r="F441" t="str">
        <f>"08-3N-24-2380-0130-0040"</f>
        <v>08-3N-24-2380-0130-0040</v>
      </c>
      <c r="H441" t="str">
        <f>"MIXON RICHARD E JR"</f>
        <v>MIXON RICHARD E JR</v>
      </c>
      <c r="I441" t="str">
        <f>"5557 MILMAR DRIVE NORTH"</f>
        <v>5557 MILMAR DRIVE NORTH</v>
      </c>
      <c r="J441" t="str">
        <f>"JACKSONVILLE FL 32207"</f>
        <v>JACKSONVILLE FL 32207</v>
      </c>
      <c r="K441" t="str">
        <f>"27106 FIFTH AVE W"</f>
        <v>27106 FIFTH AVE W</v>
      </c>
      <c r="L441" t="str">
        <f t="shared" si="132"/>
        <v>HILLIARD FL 32046</v>
      </c>
      <c r="M441" t="str">
        <f>"BLOCK 130 LOTS 4 &amp; 5 IN OR 875/1072 TOWN OF HILLIARD"</f>
        <v>BLOCK 130 LOTS 4 &amp; 5 IN OR 875/1072 TOWN OF HILLIARD</v>
      </c>
      <c r="N441" t="str">
        <f>""</f>
        <v/>
      </c>
      <c r="O441" t="str">
        <f>"23719"</f>
        <v>23719</v>
      </c>
      <c r="P441" t="str">
        <f t="shared" si="119"/>
        <v>2017</v>
      </c>
      <c r="Q441" t="str">
        <f>""</f>
        <v/>
      </c>
      <c r="R441" t="str">
        <f>"N"</f>
        <v>N</v>
      </c>
      <c r="S441" t="str">
        <f>""</f>
        <v/>
      </c>
      <c r="T441" t="str">
        <f>"17.46"</f>
        <v>17.46</v>
      </c>
      <c r="U441" t="str">
        <f>"1250.00"</f>
        <v>1250.00</v>
      </c>
      <c r="V441" t="str">
        <f>"1250.00"</f>
        <v>1250.00</v>
      </c>
      <c r="W441" t="str">
        <f t="shared" si="120"/>
        <v>2017</v>
      </c>
      <c r="X441" t="str">
        <f>"21.20"</f>
        <v>21.20</v>
      </c>
      <c r="Y441" t="str">
        <f>"49.98"</f>
        <v>49.98</v>
      </c>
      <c r="Z441" t="str">
        <f>""</f>
        <v/>
      </c>
      <c r="AA441" t="str">
        <f>"1250.00"</f>
        <v>1250.00</v>
      </c>
      <c r="AB441" t="str">
        <f t="shared" si="133"/>
        <v>Residential</v>
      </c>
      <c r="AC441" t="str">
        <f t="shared" si="121"/>
        <v>0</v>
      </c>
      <c r="AD441" t="str">
        <f>""</f>
        <v/>
      </c>
      <c r="AE441" t="str">
        <f>""</f>
        <v/>
      </c>
      <c r="AF441" t="str">
        <f>"000"</f>
        <v>000</v>
      </c>
      <c r="AG441" t="str">
        <f t="shared" si="135"/>
        <v>FL</v>
      </c>
      <c r="AH441" t="str">
        <f>"6250.00"</f>
        <v>6250.00</v>
      </c>
      <c r="AI441" t="str">
        <f>"1250.00"</f>
        <v>1250.00</v>
      </c>
      <c r="AJ441" t="str">
        <f>"C55-000-586-7744-4"</f>
        <v>C55-000-586-7744-4</v>
      </c>
      <c r="AK441" t="str">
        <f>"6498"</f>
        <v>6498</v>
      </c>
      <c r="AL441">
        <v>2</v>
      </c>
      <c r="AM441">
        <v>508</v>
      </c>
      <c r="AN441">
        <v>50.88</v>
      </c>
      <c r="AQ441" t="s">
        <v>4886</v>
      </c>
      <c r="AR441" t="s">
        <v>4886</v>
      </c>
      <c r="AS441" t="s">
        <v>4886</v>
      </c>
      <c r="AU441" t="s">
        <v>396</v>
      </c>
      <c r="AV441">
        <v>2017</v>
      </c>
      <c r="AW441" t="str">
        <f>"08-3N-24-2380-0130-0040 "</f>
        <v xml:space="preserve">08-3N-24-2380-0130-0040 </v>
      </c>
      <c r="AX441">
        <v>27106</v>
      </c>
      <c r="AZ441" t="s">
        <v>4660</v>
      </c>
      <c r="BA441" t="s">
        <v>1112</v>
      </c>
      <c r="BB441" t="s">
        <v>4459</v>
      </c>
      <c r="BD441" t="s">
        <v>398</v>
      </c>
      <c r="BE441" t="s">
        <v>393</v>
      </c>
      <c r="BF441">
        <v>32046</v>
      </c>
      <c r="BG441" t="s">
        <v>4887</v>
      </c>
      <c r="BH441" t="s">
        <v>400</v>
      </c>
      <c r="BI441">
        <v>-81.937273357936704</v>
      </c>
      <c r="BJ441">
        <v>30.6891200731698</v>
      </c>
      <c r="BK441" t="s">
        <v>4888</v>
      </c>
      <c r="BM441" t="s">
        <v>4889</v>
      </c>
      <c r="BN441" t="s">
        <v>548</v>
      </c>
      <c r="BO441">
        <v>32207</v>
      </c>
      <c r="BP441" t="s">
        <v>404</v>
      </c>
      <c r="BQ441">
        <v>1</v>
      </c>
      <c r="BR441" t="s">
        <v>491</v>
      </c>
      <c r="BS441">
        <v>8001</v>
      </c>
      <c r="BT441" t="s">
        <v>492</v>
      </c>
      <c r="BU441">
        <v>500</v>
      </c>
      <c r="BV441">
        <v>1250</v>
      </c>
      <c r="BW441">
        <v>6361</v>
      </c>
      <c r="BX441" t="s">
        <v>407</v>
      </c>
      <c r="BY441" t="s">
        <v>4520</v>
      </c>
      <c r="CD441">
        <v>2017</v>
      </c>
      <c r="CE441">
        <v>1250</v>
      </c>
      <c r="CG441">
        <v>1250</v>
      </c>
      <c r="CH441">
        <v>2017</v>
      </c>
      <c r="CI441">
        <v>1250</v>
      </c>
      <c r="CK441">
        <v>1250</v>
      </c>
      <c r="CL441">
        <v>2017</v>
      </c>
      <c r="CM441">
        <v>17.46</v>
      </c>
      <c r="CN441" s="1">
        <v>36242</v>
      </c>
      <c r="CZ441" s="1">
        <v>36242</v>
      </c>
      <c r="DD441" t="s">
        <v>398</v>
      </c>
      <c r="DG441">
        <v>8</v>
      </c>
      <c r="DL441">
        <v>50400</v>
      </c>
      <c r="DM441" t="s">
        <v>4465</v>
      </c>
      <c r="DO441" t="s">
        <v>4890</v>
      </c>
      <c r="DP441">
        <v>0</v>
      </c>
      <c r="DQ441">
        <v>0</v>
      </c>
      <c r="DR441" t="s">
        <v>411</v>
      </c>
      <c r="DS441" t="b">
        <v>1</v>
      </c>
      <c r="DT441" t="s">
        <v>470</v>
      </c>
      <c r="DU441" t="s">
        <v>471</v>
      </c>
      <c r="DV441" t="s">
        <v>472</v>
      </c>
      <c r="DX441">
        <v>-9999</v>
      </c>
      <c r="DZ441" t="s">
        <v>447</v>
      </c>
      <c r="EA441" t="s">
        <v>448</v>
      </c>
      <c r="EB441" t="s">
        <v>1224</v>
      </c>
      <c r="EC441">
        <v>20101217</v>
      </c>
      <c r="ED441" t="s">
        <v>474</v>
      </c>
      <c r="EF441">
        <v>709.7</v>
      </c>
      <c r="EG441">
        <v>709.7</v>
      </c>
      <c r="EI441">
        <v>20160407</v>
      </c>
      <c r="EJ441">
        <v>0</v>
      </c>
      <c r="EK441">
        <v>0</v>
      </c>
      <c r="EP441" t="s">
        <v>595</v>
      </c>
      <c r="EQ441" t="s">
        <v>422</v>
      </c>
      <c r="ER441">
        <v>2</v>
      </c>
      <c r="ES441">
        <v>7</v>
      </c>
      <c r="ET441">
        <v>99.38</v>
      </c>
      <c r="EU441">
        <v>30.39</v>
      </c>
      <c r="EV441">
        <v>129.77000000000001</v>
      </c>
      <c r="EW441" s="2">
        <v>43222</v>
      </c>
      <c r="EX441" s="1">
        <v>42879</v>
      </c>
      <c r="EY441">
        <v>2016</v>
      </c>
      <c r="EZ441">
        <v>46.22</v>
      </c>
      <c r="FA441" t="s">
        <v>4891</v>
      </c>
      <c r="FB441">
        <v>18</v>
      </c>
      <c r="FC441" t="s">
        <v>603</v>
      </c>
      <c r="FD441" t="s">
        <v>454</v>
      </c>
      <c r="FF441">
        <v>12</v>
      </c>
      <c r="FG441">
        <v>9999999</v>
      </c>
      <c r="FH441" t="s">
        <v>604</v>
      </c>
      <c r="FJ441" s="1">
        <v>42879</v>
      </c>
      <c r="FK441">
        <v>2016</v>
      </c>
      <c r="FL441">
        <v>53.16</v>
      </c>
      <c r="FM441" t="s">
        <v>4891</v>
      </c>
      <c r="FN441">
        <v>18</v>
      </c>
      <c r="FO441" t="s">
        <v>424</v>
      </c>
      <c r="FP441" t="s">
        <v>454</v>
      </c>
      <c r="FR441">
        <v>12</v>
      </c>
      <c r="FS441">
        <v>7336669</v>
      </c>
      <c r="FT441" t="s">
        <v>2230</v>
      </c>
      <c r="FV441" s="1">
        <v>42515</v>
      </c>
      <c r="FW441">
        <v>2015</v>
      </c>
      <c r="FX441">
        <v>41.75</v>
      </c>
      <c r="FY441" t="s">
        <v>4892</v>
      </c>
      <c r="FZ441">
        <v>18</v>
      </c>
      <c r="GA441" t="s">
        <v>603</v>
      </c>
      <c r="GB441" t="s">
        <v>425</v>
      </c>
      <c r="GD441">
        <v>22</v>
      </c>
      <c r="GE441">
        <v>9999999</v>
      </c>
      <c r="GF441" t="s">
        <v>604</v>
      </c>
      <c r="GH441" s="1">
        <v>42515</v>
      </c>
      <c r="GI441">
        <v>2015</v>
      </c>
      <c r="GJ441">
        <v>53.01</v>
      </c>
      <c r="GK441" t="s">
        <v>4892</v>
      </c>
      <c r="GL441">
        <v>18</v>
      </c>
      <c r="GM441" t="s">
        <v>424</v>
      </c>
      <c r="GN441" t="s">
        <v>425</v>
      </c>
      <c r="GO441" s="1">
        <v>43153</v>
      </c>
      <c r="GP441">
        <v>21</v>
      </c>
      <c r="GQ441">
        <v>7336724</v>
      </c>
      <c r="GR441" t="s">
        <v>4893</v>
      </c>
      <c r="GT441" s="1">
        <v>42151</v>
      </c>
      <c r="GU441">
        <v>2014</v>
      </c>
      <c r="GV441">
        <v>131.76</v>
      </c>
      <c r="GW441" t="s">
        <v>4894</v>
      </c>
      <c r="GX441">
        <v>18</v>
      </c>
      <c r="GY441" t="s">
        <v>424</v>
      </c>
      <c r="GZ441" t="s">
        <v>425</v>
      </c>
      <c r="HA441" s="1">
        <v>42792</v>
      </c>
      <c r="HB441">
        <v>21</v>
      </c>
      <c r="HC441">
        <v>10125</v>
      </c>
      <c r="HD441" t="s">
        <v>440</v>
      </c>
      <c r="HF441" s="1">
        <v>41787</v>
      </c>
      <c r="HG441">
        <v>2013</v>
      </c>
      <c r="HH441">
        <v>120.05</v>
      </c>
      <c r="HI441" t="s">
        <v>4895</v>
      </c>
      <c r="HJ441">
        <v>6.75</v>
      </c>
      <c r="HK441" t="s">
        <v>424</v>
      </c>
      <c r="HL441" t="s">
        <v>425</v>
      </c>
      <c r="HM441" s="1">
        <v>42421</v>
      </c>
      <c r="HN441">
        <v>21</v>
      </c>
      <c r="HO441">
        <v>2035919</v>
      </c>
      <c r="HP441" t="s">
        <v>507</v>
      </c>
      <c r="HR441" s="1">
        <v>41423</v>
      </c>
      <c r="HS441">
        <v>2012</v>
      </c>
      <c r="HT441">
        <v>180.37</v>
      </c>
      <c r="HU441" t="s">
        <v>4896</v>
      </c>
      <c r="HV441">
        <v>6.25</v>
      </c>
      <c r="HW441" t="s">
        <v>424</v>
      </c>
      <c r="HX441" t="s">
        <v>425</v>
      </c>
      <c r="HY441" s="1">
        <v>42058</v>
      </c>
      <c r="HZ441">
        <v>21</v>
      </c>
      <c r="IA441">
        <v>2101381</v>
      </c>
      <c r="IB441" t="s">
        <v>605</v>
      </c>
      <c r="ID441" s="1">
        <v>41052</v>
      </c>
      <c r="IE441">
        <v>2011</v>
      </c>
      <c r="IF441">
        <v>202.28</v>
      </c>
      <c r="IG441" t="s">
        <v>4897</v>
      </c>
      <c r="IH441">
        <v>16.25</v>
      </c>
      <c r="II441" t="s">
        <v>424</v>
      </c>
      <c r="IJ441" t="s">
        <v>425</v>
      </c>
      <c r="IK441" s="1">
        <v>41697</v>
      </c>
      <c r="IL441">
        <v>21</v>
      </c>
      <c r="IM441">
        <v>10125</v>
      </c>
      <c r="IN441" t="s">
        <v>440</v>
      </c>
      <c r="IP441" s="1">
        <v>40688</v>
      </c>
      <c r="IQ441">
        <v>2010</v>
      </c>
      <c r="IR441">
        <v>202.4</v>
      </c>
      <c r="IS441" t="s">
        <v>4898</v>
      </c>
      <c r="IT441">
        <v>0.25</v>
      </c>
      <c r="IU441" t="s">
        <v>424</v>
      </c>
      <c r="IV441" t="s">
        <v>425</v>
      </c>
      <c r="IW441" s="1">
        <v>41333</v>
      </c>
      <c r="IX441">
        <v>21</v>
      </c>
      <c r="IY441">
        <v>389</v>
      </c>
      <c r="IZ441" t="s">
        <v>609</v>
      </c>
    </row>
    <row r="442" spans="1:284" x14ac:dyDescent="0.25">
      <c r="A442">
        <v>16485449</v>
      </c>
      <c r="B442">
        <v>441</v>
      </c>
      <c r="C442" t="s">
        <v>393</v>
      </c>
      <c r="D442" t="s">
        <v>394</v>
      </c>
      <c r="F442" t="str">
        <f>"08-3N-24-2380-0130-0060"</f>
        <v>08-3N-24-2380-0130-0060</v>
      </c>
      <c r="H442" t="str">
        <f>"MIXON RICHARD E JR"</f>
        <v>MIXON RICHARD E JR</v>
      </c>
      <c r="I442" t="str">
        <f>"5557 MILMAR DRIVE NORTH"</f>
        <v>5557 MILMAR DRIVE NORTH</v>
      </c>
      <c r="J442" t="str">
        <f>"JACKSONVILLE FL 32207"</f>
        <v>JACKSONVILLE FL 32207</v>
      </c>
      <c r="K442" t="str">
        <f>"FIFTH AV"</f>
        <v>FIFTH AV</v>
      </c>
      <c r="L442" t="str">
        <f t="shared" si="132"/>
        <v>HILLIARD FL 32046</v>
      </c>
      <c r="M442" t="str">
        <f>"BLOCK 130 LOTS 6 &amp; 7 IN OR 806 PG 1117 TOWN OF HILLIARD"</f>
        <v>BLOCK 130 LOTS 6 &amp; 7 IN OR 806 PG 1117 TOWN OF HILLIARD</v>
      </c>
      <c r="N442" t="str">
        <f>""</f>
        <v/>
      </c>
      <c r="O442" t="str">
        <f>"23720"</f>
        <v>23720</v>
      </c>
      <c r="P442" t="str">
        <f t="shared" si="119"/>
        <v>2017</v>
      </c>
      <c r="Q442" t="str">
        <f>""</f>
        <v/>
      </c>
      <c r="R442" t="str">
        <f>"N"</f>
        <v>N</v>
      </c>
      <c r="S442" t="str">
        <f>""</f>
        <v/>
      </c>
      <c r="T442" t="str">
        <f>"17.46"</f>
        <v>17.46</v>
      </c>
      <c r="U442" t="str">
        <f>"1250.00"</f>
        <v>1250.00</v>
      </c>
      <c r="V442" t="str">
        <f>"1250.00"</f>
        <v>1250.00</v>
      </c>
      <c r="W442" t="str">
        <f t="shared" si="120"/>
        <v>2017</v>
      </c>
      <c r="X442" t="str">
        <f>"26.45"</f>
        <v>26.45</v>
      </c>
      <c r="Y442" t="str">
        <f>"49.98"</f>
        <v>49.98</v>
      </c>
      <c r="Z442" t="str">
        <f>""</f>
        <v/>
      </c>
      <c r="AA442" t="str">
        <f>"1250.00"</f>
        <v>1250.00</v>
      </c>
      <c r="AB442" t="str">
        <f t="shared" si="133"/>
        <v>Residential</v>
      </c>
      <c r="AC442" t="str">
        <f t="shared" si="121"/>
        <v>0</v>
      </c>
      <c r="AD442" t="str">
        <f>""</f>
        <v/>
      </c>
      <c r="AE442" t="str">
        <f>""</f>
        <v/>
      </c>
      <c r="AF442" t="str">
        <f>"000"</f>
        <v>000</v>
      </c>
      <c r="AG442" t="str">
        <f t="shared" si="135"/>
        <v>FL</v>
      </c>
      <c r="AH442" t="str">
        <f>"6250.00"</f>
        <v>6250.00</v>
      </c>
      <c r="AI442" t="str">
        <f>"1250.00"</f>
        <v>1250.00</v>
      </c>
      <c r="AJ442" t="str">
        <f>"C55-000-586-7745-1"</f>
        <v>C55-000-586-7745-1</v>
      </c>
      <c r="AK442" t="str">
        <f>"6499"</f>
        <v>6499</v>
      </c>
      <c r="AL442">
        <v>2</v>
      </c>
      <c r="AM442">
        <v>509</v>
      </c>
      <c r="AN442">
        <v>50.88</v>
      </c>
      <c r="AQ442" t="s">
        <v>4899</v>
      </c>
      <c r="AR442" t="s">
        <v>4899</v>
      </c>
      <c r="AS442" t="s">
        <v>4899</v>
      </c>
      <c r="AU442" t="s">
        <v>396</v>
      </c>
      <c r="AV442">
        <v>2017</v>
      </c>
      <c r="AW442" t="str">
        <f>"08-3N-24-2380-0130-0060 "</f>
        <v xml:space="preserve">08-3N-24-2380-0130-0060 </v>
      </c>
      <c r="AZ442" t="s">
        <v>4660</v>
      </c>
      <c r="BA442" t="s">
        <v>1122</v>
      </c>
      <c r="BD442" t="s">
        <v>398</v>
      </c>
      <c r="BE442" t="s">
        <v>393</v>
      </c>
      <c r="BF442">
        <v>32046</v>
      </c>
      <c r="BG442" t="s">
        <v>4829</v>
      </c>
      <c r="BH442" t="s">
        <v>400</v>
      </c>
      <c r="BI442">
        <v>-81.937435114418903</v>
      </c>
      <c r="BJ442">
        <v>30.689114440480701</v>
      </c>
      <c r="BK442" t="s">
        <v>4888</v>
      </c>
      <c r="BM442" t="s">
        <v>4889</v>
      </c>
      <c r="BN442" t="s">
        <v>548</v>
      </c>
      <c r="BO442">
        <v>32207</v>
      </c>
      <c r="BP442" t="s">
        <v>404</v>
      </c>
      <c r="BQ442">
        <v>0</v>
      </c>
      <c r="BR442" t="s">
        <v>491</v>
      </c>
      <c r="BS442">
        <v>8001</v>
      </c>
      <c r="BT442" t="s">
        <v>492</v>
      </c>
      <c r="BU442">
        <v>500</v>
      </c>
      <c r="BV442">
        <v>1250</v>
      </c>
      <c r="BW442">
        <v>6361</v>
      </c>
      <c r="BX442" t="s">
        <v>407</v>
      </c>
      <c r="BY442" t="s">
        <v>4520</v>
      </c>
      <c r="CD442">
        <v>2017</v>
      </c>
      <c r="CE442">
        <v>1250</v>
      </c>
      <c r="CG442">
        <v>1250</v>
      </c>
      <c r="CH442">
        <v>2017</v>
      </c>
      <c r="CI442">
        <v>1250</v>
      </c>
      <c r="CK442">
        <v>1250</v>
      </c>
      <c r="CL442">
        <v>2017</v>
      </c>
      <c r="CM442">
        <v>17.46</v>
      </c>
      <c r="CN442" s="1">
        <v>35689</v>
      </c>
      <c r="CZ442" s="1">
        <v>35689</v>
      </c>
      <c r="DD442" t="s">
        <v>398</v>
      </c>
      <c r="DG442">
        <v>8</v>
      </c>
      <c r="DL442">
        <v>50400</v>
      </c>
      <c r="DM442" t="s">
        <v>4465</v>
      </c>
      <c r="DO442" t="s">
        <v>4900</v>
      </c>
      <c r="DP442">
        <v>0</v>
      </c>
      <c r="DQ442">
        <v>0</v>
      </c>
      <c r="DR442" t="s">
        <v>411</v>
      </c>
      <c r="DS442" t="b">
        <v>1</v>
      </c>
      <c r="DT442" t="s">
        <v>470</v>
      </c>
      <c r="DU442" t="s">
        <v>471</v>
      </c>
      <c r="DV442" t="s">
        <v>472</v>
      </c>
      <c r="DX442">
        <v>-9999</v>
      </c>
      <c r="DZ442" t="s">
        <v>447</v>
      </c>
      <c r="EA442" t="s">
        <v>448</v>
      </c>
      <c r="EB442" t="s">
        <v>1224</v>
      </c>
      <c r="EC442">
        <v>20101217</v>
      </c>
      <c r="ED442" t="s">
        <v>474</v>
      </c>
      <c r="EF442">
        <v>725.1</v>
      </c>
      <c r="EG442">
        <v>725.1</v>
      </c>
      <c r="EI442">
        <v>20160407</v>
      </c>
      <c r="EJ442">
        <v>0</v>
      </c>
      <c r="EK442">
        <v>0</v>
      </c>
      <c r="EP442" t="s">
        <v>595</v>
      </c>
      <c r="EQ442" t="s">
        <v>422</v>
      </c>
      <c r="ER442">
        <v>2</v>
      </c>
      <c r="ES442">
        <v>8</v>
      </c>
      <c r="ET442">
        <v>99.38</v>
      </c>
      <c r="EU442">
        <v>30.39</v>
      </c>
      <c r="EV442">
        <v>129.77000000000001</v>
      </c>
      <c r="EW442" s="2">
        <v>43222</v>
      </c>
      <c r="EX442" s="1">
        <v>42879</v>
      </c>
      <c r="EY442">
        <v>2016</v>
      </c>
      <c r="EZ442">
        <v>46.22</v>
      </c>
      <c r="FA442" t="s">
        <v>4901</v>
      </c>
      <c r="FB442">
        <v>18</v>
      </c>
      <c r="FC442" t="s">
        <v>603</v>
      </c>
      <c r="FD442" t="s">
        <v>454</v>
      </c>
      <c r="FF442">
        <v>12</v>
      </c>
      <c r="FG442">
        <v>9999999</v>
      </c>
      <c r="FH442" t="s">
        <v>604</v>
      </c>
      <c r="FJ442" s="1">
        <v>42879</v>
      </c>
      <c r="FK442">
        <v>2016</v>
      </c>
      <c r="FL442">
        <v>53.16</v>
      </c>
      <c r="FM442" t="s">
        <v>4901</v>
      </c>
      <c r="FN442">
        <v>18</v>
      </c>
      <c r="FO442" t="s">
        <v>424</v>
      </c>
      <c r="FP442" t="s">
        <v>454</v>
      </c>
      <c r="FR442">
        <v>12</v>
      </c>
      <c r="FS442">
        <v>7336669</v>
      </c>
      <c r="FT442" t="s">
        <v>2230</v>
      </c>
      <c r="FV442" s="1">
        <v>42515</v>
      </c>
      <c r="FW442">
        <v>2015</v>
      </c>
      <c r="FX442">
        <v>41.75</v>
      </c>
      <c r="FY442" t="s">
        <v>4902</v>
      </c>
      <c r="FZ442">
        <v>18</v>
      </c>
      <c r="GA442" t="s">
        <v>603</v>
      </c>
      <c r="GB442" t="s">
        <v>425</v>
      </c>
      <c r="GD442">
        <v>22</v>
      </c>
      <c r="GE442">
        <v>9999999</v>
      </c>
      <c r="GF442" t="s">
        <v>604</v>
      </c>
      <c r="GH442" s="1">
        <v>42515</v>
      </c>
      <c r="GI442">
        <v>2015</v>
      </c>
      <c r="GJ442">
        <v>54.26</v>
      </c>
      <c r="GK442" t="s">
        <v>4902</v>
      </c>
      <c r="GL442">
        <v>18</v>
      </c>
      <c r="GM442" t="s">
        <v>424</v>
      </c>
      <c r="GN442" t="s">
        <v>425</v>
      </c>
      <c r="GO442" s="1">
        <v>43153</v>
      </c>
      <c r="GP442">
        <v>21</v>
      </c>
      <c r="GQ442">
        <v>4844951</v>
      </c>
      <c r="GR442" t="s">
        <v>697</v>
      </c>
      <c r="GT442" s="1">
        <v>42151</v>
      </c>
      <c r="GU442">
        <v>2014</v>
      </c>
      <c r="GV442">
        <v>131.76</v>
      </c>
      <c r="GW442" t="s">
        <v>4903</v>
      </c>
      <c r="GX442">
        <v>18</v>
      </c>
      <c r="GY442" t="s">
        <v>424</v>
      </c>
      <c r="GZ442" t="s">
        <v>425</v>
      </c>
      <c r="HA442" s="1">
        <v>42792</v>
      </c>
      <c r="HB442">
        <v>21</v>
      </c>
      <c r="HC442">
        <v>10125</v>
      </c>
      <c r="HD442" t="s">
        <v>440</v>
      </c>
      <c r="HF442" s="1">
        <v>41787</v>
      </c>
      <c r="HG442">
        <v>2013</v>
      </c>
      <c r="HH442">
        <v>120.05</v>
      </c>
      <c r="HI442" t="s">
        <v>4904</v>
      </c>
      <c r="HJ442">
        <v>6.75</v>
      </c>
      <c r="HK442" t="s">
        <v>424</v>
      </c>
      <c r="HL442" t="s">
        <v>425</v>
      </c>
      <c r="HM442" s="1">
        <v>42421</v>
      </c>
      <c r="HN442">
        <v>21</v>
      </c>
      <c r="HO442">
        <v>2035919</v>
      </c>
      <c r="HP442" t="s">
        <v>507</v>
      </c>
      <c r="HR442" s="1">
        <v>41423</v>
      </c>
      <c r="HS442">
        <v>2012</v>
      </c>
      <c r="HT442">
        <v>121.39</v>
      </c>
      <c r="HU442" t="s">
        <v>4905</v>
      </c>
      <c r="HV442">
        <v>9.75</v>
      </c>
      <c r="HW442" t="s">
        <v>424</v>
      </c>
      <c r="HX442" t="s">
        <v>425</v>
      </c>
      <c r="HY442" s="1">
        <v>42058</v>
      </c>
      <c r="HZ442">
        <v>21</v>
      </c>
      <c r="IA442">
        <v>2101381</v>
      </c>
      <c r="IB442" t="s">
        <v>605</v>
      </c>
      <c r="ID442" s="1">
        <v>41052</v>
      </c>
      <c r="IE442">
        <v>2011</v>
      </c>
      <c r="IF442">
        <v>142.31</v>
      </c>
      <c r="IG442" t="s">
        <v>4906</v>
      </c>
      <c r="IH442">
        <v>16.25</v>
      </c>
      <c r="II442" t="s">
        <v>424</v>
      </c>
      <c r="IJ442" t="s">
        <v>425</v>
      </c>
      <c r="IK442" s="1">
        <v>41697</v>
      </c>
      <c r="IL442">
        <v>21</v>
      </c>
      <c r="IM442">
        <v>10125</v>
      </c>
      <c r="IN442" t="s">
        <v>440</v>
      </c>
      <c r="IP442" s="1">
        <v>40688</v>
      </c>
      <c r="IQ442">
        <v>2010</v>
      </c>
      <c r="IR442">
        <v>150.44999999999999</v>
      </c>
      <c r="IS442" t="s">
        <v>4907</v>
      </c>
      <c r="IT442">
        <v>18</v>
      </c>
      <c r="IU442" t="s">
        <v>424</v>
      </c>
      <c r="IV442" t="s">
        <v>425</v>
      </c>
      <c r="IW442" s="1">
        <v>41333</v>
      </c>
      <c r="IX442">
        <v>21</v>
      </c>
      <c r="IY442">
        <v>11481</v>
      </c>
      <c r="IZ442" t="s">
        <v>4908</v>
      </c>
      <c r="JB442" s="1">
        <v>40688</v>
      </c>
      <c r="JC442">
        <v>2010</v>
      </c>
      <c r="JD442">
        <v>142.07</v>
      </c>
      <c r="JE442" t="s">
        <v>4907</v>
      </c>
      <c r="JF442">
        <v>18</v>
      </c>
      <c r="JG442" t="s">
        <v>603</v>
      </c>
      <c r="JH442" t="s">
        <v>425</v>
      </c>
      <c r="JJ442">
        <v>22</v>
      </c>
      <c r="JK442">
        <v>9999999</v>
      </c>
      <c r="JL442" t="s">
        <v>604</v>
      </c>
    </row>
    <row r="443" spans="1:284" x14ac:dyDescent="0.25">
      <c r="A443">
        <v>16485450</v>
      </c>
      <c r="B443">
        <v>442</v>
      </c>
      <c r="C443" t="s">
        <v>393</v>
      </c>
      <c r="D443" t="s">
        <v>394</v>
      </c>
      <c r="F443" t="str">
        <f>"08-3N-24-2380-0133-0180"</f>
        <v>08-3N-24-2380-0133-0180</v>
      </c>
      <c r="H443" t="str">
        <f>"MCCONNELL RICHARD W &amp; JANET L"</f>
        <v>MCCONNELL RICHARD W &amp; JANET L</v>
      </c>
      <c r="I443" t="str">
        <f>"27092 GEORGIA STREET"</f>
        <v>27092 GEORGIA STREET</v>
      </c>
      <c r="J443" t="str">
        <f>"HILLIARD FL 32046"</f>
        <v>HILLIARD FL 32046</v>
      </c>
      <c r="K443" t="str">
        <f>"THIRD AV"</f>
        <v>THIRD AV</v>
      </c>
      <c r="L443" t="str">
        <f t="shared" si="132"/>
        <v>HILLIARD FL 32046</v>
      </c>
      <c r="M443" t="str">
        <f>"BLOCK 133 LOT 18 PT OR 874/1552 TOWN OF HILLIARD"</f>
        <v>BLOCK 133 LOT 18 PT OR 874/1552 TOWN OF HILLIARD</v>
      </c>
      <c r="N443" t="str">
        <f>""</f>
        <v/>
      </c>
      <c r="O443" t="str">
        <f>"23739"</f>
        <v>23739</v>
      </c>
      <c r="P443" t="str">
        <f t="shared" si="119"/>
        <v>2017</v>
      </c>
      <c r="Q443" t="str">
        <f>""</f>
        <v/>
      </c>
      <c r="R443" t="str">
        <f>"N"</f>
        <v>N</v>
      </c>
      <c r="S443" t="str">
        <f>""</f>
        <v/>
      </c>
      <c r="T443" t="str">
        <f>"8.73"</f>
        <v>8.73</v>
      </c>
      <c r="U443" t="str">
        <f>"625.00"</f>
        <v>625.00</v>
      </c>
      <c r="V443" t="str">
        <f>"625.00"</f>
        <v>625.00</v>
      </c>
      <c r="W443" t="str">
        <f t="shared" si="120"/>
        <v>2017</v>
      </c>
      <c r="X443" t="str">
        <f>"27.00"</f>
        <v>27.00</v>
      </c>
      <c r="Y443" t="str">
        <f>"40.99"</f>
        <v>40.99</v>
      </c>
      <c r="Z443" t="str">
        <f>""</f>
        <v/>
      </c>
      <c r="AA443" t="str">
        <f>"625.00"</f>
        <v>625.00</v>
      </c>
      <c r="AB443" t="str">
        <f t="shared" si="133"/>
        <v>Residential</v>
      </c>
      <c r="AC443" t="str">
        <f t="shared" si="121"/>
        <v>0</v>
      </c>
      <c r="AD443" t="str">
        <f>""</f>
        <v/>
      </c>
      <c r="AE443" t="str">
        <f>""</f>
        <v/>
      </c>
      <c r="AF443" t="str">
        <f>"000"</f>
        <v>000</v>
      </c>
      <c r="AG443" t="str">
        <f t="shared" si="135"/>
        <v>FL</v>
      </c>
      <c r="AH443" t="str">
        <f>"3125.00"</f>
        <v>3125.00</v>
      </c>
      <c r="AI443" t="str">
        <f>"625.00"</f>
        <v>625.00</v>
      </c>
      <c r="AJ443" t="str">
        <f>"C55-000-586-7765-9"</f>
        <v>C55-000-586-7765-9</v>
      </c>
      <c r="AK443" t="str">
        <f>"6514"</f>
        <v>6514</v>
      </c>
      <c r="AL443">
        <v>2</v>
      </c>
      <c r="AM443">
        <v>512</v>
      </c>
      <c r="AN443">
        <v>41.44</v>
      </c>
      <c r="AQ443" t="s">
        <v>4909</v>
      </c>
      <c r="AR443" t="s">
        <v>4909</v>
      </c>
      <c r="AS443" t="s">
        <v>4909</v>
      </c>
      <c r="AU443" t="s">
        <v>396</v>
      </c>
      <c r="AV443">
        <v>2017</v>
      </c>
      <c r="AW443" t="str">
        <f>"08-3N-24-2380-0133-0180 "</f>
        <v xml:space="preserve">08-3N-24-2380-0133-0180 </v>
      </c>
      <c r="AZ443" t="s">
        <v>4910</v>
      </c>
      <c r="BA443" t="s">
        <v>1122</v>
      </c>
      <c r="BD443" t="s">
        <v>398</v>
      </c>
      <c r="BE443" t="s">
        <v>393</v>
      </c>
      <c r="BF443">
        <v>32046</v>
      </c>
      <c r="BG443" t="s">
        <v>4911</v>
      </c>
      <c r="BH443" t="s">
        <v>400</v>
      </c>
      <c r="BI443">
        <v>-81.937411540463899</v>
      </c>
      <c r="BJ443">
        <v>30.6877808460277</v>
      </c>
      <c r="BK443" t="s">
        <v>4425</v>
      </c>
      <c r="BL443" t="s">
        <v>4426</v>
      </c>
      <c r="BM443" t="s">
        <v>4424</v>
      </c>
      <c r="BN443" t="s">
        <v>403</v>
      </c>
      <c r="BO443">
        <v>32046</v>
      </c>
      <c r="BP443" t="s">
        <v>404</v>
      </c>
      <c r="BQ443">
        <v>0</v>
      </c>
      <c r="BR443" t="s">
        <v>491</v>
      </c>
      <c r="BS443">
        <v>8001</v>
      </c>
      <c r="BT443" t="s">
        <v>492</v>
      </c>
      <c r="BU443">
        <v>250</v>
      </c>
      <c r="BV443">
        <v>1250</v>
      </c>
      <c r="BW443">
        <v>3181</v>
      </c>
      <c r="BX443" t="s">
        <v>407</v>
      </c>
      <c r="BY443" t="s">
        <v>4520</v>
      </c>
      <c r="CD443">
        <v>2017</v>
      </c>
      <c r="CE443">
        <v>625</v>
      </c>
      <c r="CG443">
        <v>625</v>
      </c>
      <c r="CH443">
        <v>2017</v>
      </c>
      <c r="CI443">
        <v>625</v>
      </c>
      <c r="CK443">
        <v>625</v>
      </c>
      <c r="CL443">
        <v>2017</v>
      </c>
      <c r="CM443">
        <v>8.73</v>
      </c>
      <c r="CN443" s="1">
        <v>36236</v>
      </c>
      <c r="CO443">
        <v>39000</v>
      </c>
      <c r="CZ443" s="1">
        <v>36236</v>
      </c>
      <c r="DD443" t="s">
        <v>398</v>
      </c>
      <c r="DF443">
        <v>18</v>
      </c>
      <c r="DG443">
        <v>8</v>
      </c>
      <c r="DL443">
        <v>50400</v>
      </c>
      <c r="DM443" t="s">
        <v>4465</v>
      </c>
      <c r="DO443" t="s">
        <v>4912</v>
      </c>
      <c r="DP443">
        <v>0</v>
      </c>
      <c r="DQ443">
        <v>0</v>
      </c>
      <c r="DR443" t="s">
        <v>411</v>
      </c>
      <c r="DS443" t="b">
        <v>1</v>
      </c>
      <c r="DT443" t="s">
        <v>470</v>
      </c>
      <c r="DU443" t="s">
        <v>471</v>
      </c>
      <c r="DV443" t="s">
        <v>472</v>
      </c>
      <c r="DX443">
        <v>-9999</v>
      </c>
      <c r="DZ443" t="s">
        <v>447</v>
      </c>
      <c r="EA443" t="s">
        <v>448</v>
      </c>
      <c r="EB443" t="s">
        <v>1224</v>
      </c>
      <c r="EC443">
        <v>20101217</v>
      </c>
      <c r="ED443" t="s">
        <v>474</v>
      </c>
      <c r="EF443">
        <v>1139.2</v>
      </c>
      <c r="EG443">
        <v>1139.2</v>
      </c>
      <c r="EI443">
        <v>20160407</v>
      </c>
      <c r="EJ443">
        <v>0</v>
      </c>
      <c r="EK443">
        <v>0</v>
      </c>
      <c r="EP443" t="s">
        <v>595</v>
      </c>
      <c r="EQ443" t="s">
        <v>422</v>
      </c>
      <c r="ER443">
        <v>7</v>
      </c>
      <c r="ES443">
        <v>1</v>
      </c>
      <c r="ET443">
        <v>318.52999999999997</v>
      </c>
      <c r="EU443">
        <v>221.38</v>
      </c>
      <c r="EV443">
        <v>539.91</v>
      </c>
      <c r="EW443" s="2">
        <v>43222</v>
      </c>
      <c r="EX443" s="1">
        <v>42879</v>
      </c>
      <c r="EY443">
        <v>2016</v>
      </c>
      <c r="EZ443">
        <v>36.6</v>
      </c>
      <c r="FA443" t="s">
        <v>4913</v>
      </c>
      <c r="FB443">
        <v>18</v>
      </c>
      <c r="FC443" t="s">
        <v>603</v>
      </c>
      <c r="FD443" t="s">
        <v>454</v>
      </c>
      <c r="FF443">
        <v>12</v>
      </c>
      <c r="FG443">
        <v>9999999</v>
      </c>
      <c r="FH443" t="s">
        <v>604</v>
      </c>
      <c r="FJ443" s="1">
        <v>42515</v>
      </c>
      <c r="FK443">
        <v>2015</v>
      </c>
      <c r="FL443">
        <v>31.86</v>
      </c>
      <c r="FM443" t="s">
        <v>4914</v>
      </c>
      <c r="FN443">
        <v>18</v>
      </c>
      <c r="FO443" t="s">
        <v>603</v>
      </c>
      <c r="FP443" t="s">
        <v>454</v>
      </c>
      <c r="FR443">
        <v>24</v>
      </c>
      <c r="FS443">
        <v>9999999</v>
      </c>
      <c r="FT443" t="s">
        <v>604</v>
      </c>
      <c r="FV443" s="1">
        <v>42151</v>
      </c>
      <c r="FW443">
        <v>2014</v>
      </c>
      <c r="FX443">
        <v>49.39</v>
      </c>
      <c r="FY443" t="s">
        <v>4915</v>
      </c>
      <c r="FZ443">
        <v>18</v>
      </c>
      <c r="GA443" t="s">
        <v>603</v>
      </c>
      <c r="GB443" t="s">
        <v>454</v>
      </c>
      <c r="GD443">
        <v>36</v>
      </c>
      <c r="GE443">
        <v>9999999</v>
      </c>
      <c r="GF443" t="s">
        <v>604</v>
      </c>
      <c r="GH443" s="1">
        <v>41787</v>
      </c>
      <c r="GI443">
        <v>2013</v>
      </c>
      <c r="GJ443">
        <v>46.55</v>
      </c>
      <c r="GK443" t="s">
        <v>4916</v>
      </c>
      <c r="GL443">
        <v>18</v>
      </c>
      <c r="GM443" t="s">
        <v>603</v>
      </c>
      <c r="GN443" t="s">
        <v>454</v>
      </c>
      <c r="GP443">
        <v>48</v>
      </c>
      <c r="GQ443">
        <v>9999999</v>
      </c>
      <c r="GR443" t="s">
        <v>604</v>
      </c>
      <c r="GT443" s="1">
        <v>41787</v>
      </c>
      <c r="GU443">
        <v>2013</v>
      </c>
      <c r="GV443">
        <v>61.18</v>
      </c>
      <c r="GW443" t="s">
        <v>4916</v>
      </c>
      <c r="GX443">
        <v>18</v>
      </c>
      <c r="GY443" t="s">
        <v>424</v>
      </c>
      <c r="GZ443" t="s">
        <v>454</v>
      </c>
      <c r="HB443">
        <v>48</v>
      </c>
      <c r="HC443">
        <v>6716679</v>
      </c>
      <c r="HD443" t="s">
        <v>4917</v>
      </c>
      <c r="HF443" s="1">
        <v>41423</v>
      </c>
      <c r="HG443">
        <v>2012</v>
      </c>
      <c r="HH443">
        <v>46.87</v>
      </c>
      <c r="HI443" t="s">
        <v>4918</v>
      </c>
      <c r="HJ443">
        <v>9.75</v>
      </c>
      <c r="HK443" t="s">
        <v>424</v>
      </c>
      <c r="HL443" t="s">
        <v>454</v>
      </c>
      <c r="HN443">
        <v>60</v>
      </c>
      <c r="HO443">
        <v>606976</v>
      </c>
      <c r="HP443" t="s">
        <v>4919</v>
      </c>
      <c r="HR443" s="1">
        <v>41052</v>
      </c>
      <c r="HS443">
        <v>2011</v>
      </c>
      <c r="HT443">
        <v>46.08</v>
      </c>
      <c r="HU443" t="s">
        <v>4920</v>
      </c>
      <c r="HV443">
        <v>11.75</v>
      </c>
      <c r="HW443" t="s">
        <v>424</v>
      </c>
      <c r="HX443" t="s">
        <v>454</v>
      </c>
      <c r="HZ443">
        <v>72</v>
      </c>
      <c r="IA443">
        <v>10125</v>
      </c>
      <c r="IB443" t="s">
        <v>440</v>
      </c>
      <c r="ID443" s="1">
        <v>40688</v>
      </c>
      <c r="IE443">
        <v>2010</v>
      </c>
      <c r="IF443">
        <v>45.26</v>
      </c>
      <c r="IG443" t="s">
        <v>4921</v>
      </c>
      <c r="IH443">
        <v>9.75</v>
      </c>
      <c r="II443" t="s">
        <v>424</v>
      </c>
      <c r="IJ443" t="s">
        <v>425</v>
      </c>
      <c r="IK443" s="1">
        <v>41333</v>
      </c>
      <c r="IL443">
        <v>21</v>
      </c>
      <c r="IM443">
        <v>105</v>
      </c>
      <c r="IN443" t="s">
        <v>946</v>
      </c>
    </row>
    <row r="444" spans="1:284" x14ac:dyDescent="0.25">
      <c r="A444">
        <v>16485451</v>
      </c>
      <c r="B444">
        <v>443</v>
      </c>
      <c r="C444" t="s">
        <v>393</v>
      </c>
      <c r="D444" t="s">
        <v>394</v>
      </c>
      <c r="F444" t="str">
        <f>"08-3N-24-2380-0134-0010"</f>
        <v>08-3N-24-2380-0134-0010</v>
      </c>
      <c r="H444" t="str">
        <f>"LAWSON ROBERT &amp; JOSETTA"</f>
        <v>LAWSON ROBERT &amp; JOSETTA</v>
      </c>
      <c r="I444" t="str">
        <f>"27302 MONTANA STREET"</f>
        <v>27302 MONTANA STREET</v>
      </c>
      <c r="J444" t="str">
        <f>"HILLIARD FL 32046"</f>
        <v>HILLIARD FL 32046</v>
      </c>
      <c r="K444" t="str">
        <f>"27302 MONTANA ST"</f>
        <v>27302 MONTANA ST</v>
      </c>
      <c r="L444" t="str">
        <f t="shared" si="132"/>
        <v>HILLIARD FL 32046</v>
      </c>
      <c r="M444" t="str">
        <f>"BLOCK 134 LOTS 1 THRU 4 IN OR 853/1223 TOWN OF HILLIARD"</f>
        <v>BLOCK 134 LOTS 1 THRU 4 IN OR 853/1223 TOWN OF HILLIARD</v>
      </c>
      <c r="N444" t="str">
        <f>""</f>
        <v/>
      </c>
      <c r="O444" t="str">
        <f>"23741"</f>
        <v>23741</v>
      </c>
      <c r="P444" t="str">
        <f t="shared" si="119"/>
        <v>2017</v>
      </c>
      <c r="Q444" t="str">
        <f>""</f>
        <v/>
      </c>
      <c r="R444" t="str">
        <f>"Y"</f>
        <v>Y</v>
      </c>
      <c r="S444" t="str">
        <f>""</f>
        <v/>
      </c>
      <c r="T444" t="str">
        <f>"743.69"</f>
        <v>743.69</v>
      </c>
      <c r="U444" t="str">
        <f>"91441.00"</f>
        <v>91441.00</v>
      </c>
      <c r="V444" t="str">
        <f>"91441.00"</f>
        <v>91441.00</v>
      </c>
      <c r="W444" t="str">
        <f t="shared" si="120"/>
        <v>2017</v>
      </c>
      <c r="X444" t="str">
        <f>"5.00"</f>
        <v>5.00</v>
      </c>
      <c r="Y444" t="str">
        <f>"798.00"</f>
        <v>798.00</v>
      </c>
      <c r="Z444" t="str">
        <f>"25000.00"</f>
        <v>25000.00</v>
      </c>
      <c r="AA444" t="str">
        <f>"66441.00"</f>
        <v>66441.00</v>
      </c>
      <c r="AB444" t="str">
        <f t="shared" si="133"/>
        <v>Residential</v>
      </c>
      <c r="AC444" t="str">
        <f t="shared" si="121"/>
        <v>0</v>
      </c>
      <c r="AD444" t="str">
        <f>"4"</f>
        <v>4</v>
      </c>
      <c r="AE444" t="str">
        <f>"WOOD (INCLUDE STEEL STUDS)"</f>
        <v>WOOD (INCLUDE STEEL STUDS)</v>
      </c>
      <c r="AF444" t="str">
        <f>"001"</f>
        <v>001</v>
      </c>
      <c r="AG444" t="str">
        <f t="shared" si="135"/>
        <v>FL</v>
      </c>
      <c r="AH444" t="str">
        <f>"12500.00"</f>
        <v>12500.00</v>
      </c>
      <c r="AI444" t="str">
        <f>"15000.00"</f>
        <v>15000.00</v>
      </c>
      <c r="AJ444" t="str">
        <f>"C55-000-586-7767-5"</f>
        <v>C55-000-586-7767-5</v>
      </c>
      <c r="AK444" t="str">
        <f>"6516"</f>
        <v>6516</v>
      </c>
      <c r="AL444">
        <v>2</v>
      </c>
      <c r="AM444">
        <v>513</v>
      </c>
      <c r="AN444">
        <v>836.3</v>
      </c>
      <c r="AQ444" t="s">
        <v>4922</v>
      </c>
      <c r="AR444" t="s">
        <v>4922</v>
      </c>
      <c r="AS444" t="s">
        <v>4922</v>
      </c>
      <c r="AU444" t="s">
        <v>396</v>
      </c>
      <c r="AV444">
        <v>2017</v>
      </c>
      <c r="AW444" t="str">
        <f>"08-3N-24-2380-0134-0010 "</f>
        <v xml:space="preserve">08-3N-24-2380-0134-0010 </v>
      </c>
      <c r="AX444">
        <v>27302</v>
      </c>
      <c r="AZ444" t="s">
        <v>4923</v>
      </c>
      <c r="BA444" t="s">
        <v>1942</v>
      </c>
      <c r="BD444" t="s">
        <v>398</v>
      </c>
      <c r="BE444" t="s">
        <v>393</v>
      </c>
      <c r="BF444">
        <v>32046</v>
      </c>
      <c r="BG444" t="s">
        <v>4924</v>
      </c>
      <c r="BH444" t="s">
        <v>400</v>
      </c>
      <c r="BI444">
        <v>-81.935936977025904</v>
      </c>
      <c r="BJ444">
        <v>30.688244767854201</v>
      </c>
      <c r="BK444" t="s">
        <v>4925</v>
      </c>
      <c r="BM444" t="s">
        <v>4926</v>
      </c>
      <c r="BN444" t="s">
        <v>403</v>
      </c>
      <c r="BO444">
        <v>32046</v>
      </c>
      <c r="BP444" t="s">
        <v>416</v>
      </c>
      <c r="BQ444">
        <v>100</v>
      </c>
      <c r="BR444" t="s">
        <v>514</v>
      </c>
      <c r="BS444">
        <v>1001</v>
      </c>
      <c r="BT444" t="s">
        <v>515</v>
      </c>
      <c r="BU444">
        <v>1000</v>
      </c>
      <c r="BV444">
        <v>1250</v>
      </c>
      <c r="BW444">
        <v>12500</v>
      </c>
      <c r="BX444" t="s">
        <v>407</v>
      </c>
      <c r="BY444" t="s">
        <v>4520</v>
      </c>
      <c r="BZ444">
        <v>4</v>
      </c>
      <c r="CA444">
        <v>1999</v>
      </c>
      <c r="CB444">
        <v>1</v>
      </c>
      <c r="CC444">
        <v>1</v>
      </c>
      <c r="CD444">
        <v>2017</v>
      </c>
      <c r="CG444">
        <v>91441</v>
      </c>
      <c r="CH444">
        <v>2017</v>
      </c>
      <c r="CI444">
        <v>15000</v>
      </c>
      <c r="CJ444">
        <v>86746</v>
      </c>
      <c r="CK444">
        <v>101746</v>
      </c>
      <c r="CL444">
        <v>2017</v>
      </c>
      <c r="CM444">
        <v>743.69</v>
      </c>
      <c r="CN444" s="1">
        <v>36095</v>
      </c>
      <c r="CZ444" s="1">
        <v>36095</v>
      </c>
      <c r="DD444" t="s">
        <v>398</v>
      </c>
      <c r="DG444">
        <v>8</v>
      </c>
      <c r="DJ444" t="s">
        <v>4482</v>
      </c>
      <c r="DL444">
        <v>50400</v>
      </c>
      <c r="DM444" t="s">
        <v>4465</v>
      </c>
      <c r="DO444" t="s">
        <v>4927</v>
      </c>
      <c r="DP444">
        <v>0</v>
      </c>
      <c r="DQ444">
        <v>0</v>
      </c>
      <c r="DR444" t="s">
        <v>411</v>
      </c>
      <c r="DS444" t="b">
        <v>1</v>
      </c>
      <c r="DT444" t="s">
        <v>470</v>
      </c>
      <c r="DU444" t="s">
        <v>471</v>
      </c>
      <c r="DV444" t="s">
        <v>472</v>
      </c>
      <c r="DX444">
        <v>-9999</v>
      </c>
      <c r="DZ444" t="s">
        <v>447</v>
      </c>
      <c r="EA444" t="s">
        <v>448</v>
      </c>
      <c r="EB444" t="s">
        <v>1224</v>
      </c>
      <c r="EC444">
        <v>20101217</v>
      </c>
      <c r="ED444" t="s">
        <v>474</v>
      </c>
      <c r="EF444">
        <v>984.8</v>
      </c>
      <c r="EG444">
        <v>984.8</v>
      </c>
      <c r="EI444">
        <v>20160407</v>
      </c>
      <c r="EJ444">
        <v>0</v>
      </c>
      <c r="EK444">
        <v>0</v>
      </c>
      <c r="EP444" t="s">
        <v>421</v>
      </c>
      <c r="EQ444" t="s">
        <v>422</v>
      </c>
      <c r="ER444">
        <v>0</v>
      </c>
      <c r="ES444">
        <v>2</v>
      </c>
      <c r="ET444">
        <v>0</v>
      </c>
      <c r="EU444">
        <v>0</v>
      </c>
      <c r="EV444">
        <v>0</v>
      </c>
      <c r="EW444" s="2">
        <v>43222</v>
      </c>
      <c r="EX444" s="1">
        <v>42879</v>
      </c>
      <c r="EY444">
        <v>2016</v>
      </c>
      <c r="EZ444">
        <v>818.78</v>
      </c>
      <c r="FA444" t="s">
        <v>4928</v>
      </c>
      <c r="FB444">
        <v>0.25</v>
      </c>
      <c r="FC444" t="s">
        <v>424</v>
      </c>
      <c r="FD444" t="s">
        <v>425</v>
      </c>
      <c r="FE444" s="1">
        <v>43039</v>
      </c>
      <c r="FF444">
        <v>5</v>
      </c>
      <c r="FG444">
        <v>7336671</v>
      </c>
      <c r="FH444" t="s">
        <v>437</v>
      </c>
      <c r="FJ444" s="1">
        <v>42879</v>
      </c>
      <c r="FK444">
        <v>2016</v>
      </c>
      <c r="FL444">
        <v>818.78</v>
      </c>
      <c r="FM444" t="s">
        <v>4928</v>
      </c>
      <c r="FN444">
        <v>0.25</v>
      </c>
      <c r="FO444" t="s">
        <v>424</v>
      </c>
      <c r="FP444" t="s">
        <v>425</v>
      </c>
      <c r="FR444">
        <v>22</v>
      </c>
      <c r="FS444">
        <v>5206734</v>
      </c>
      <c r="FT444" t="s">
        <v>4929</v>
      </c>
    </row>
    <row r="445" spans="1:284" x14ac:dyDescent="0.25">
      <c r="A445">
        <v>16485452</v>
      </c>
      <c r="B445">
        <v>444</v>
      </c>
      <c r="C445" t="s">
        <v>393</v>
      </c>
      <c r="D445" t="s">
        <v>394</v>
      </c>
      <c r="F445" t="str">
        <f>"08-3N-24-2380-0134-0050"</f>
        <v>08-3N-24-2380-0134-0050</v>
      </c>
      <c r="H445" t="str">
        <f>"PENSA ROBERT P"</f>
        <v>PENSA ROBERT P</v>
      </c>
      <c r="I445" t="str">
        <f>"27173 WEST 4TH AVE"</f>
        <v>27173 WEST 4TH AVE</v>
      </c>
      <c r="J445" t="str">
        <f>"HILLIARD FL 32046"</f>
        <v>HILLIARD FL 32046</v>
      </c>
      <c r="K445" t="str">
        <f>"27173 FOURTH AVE W"</f>
        <v>27173 FOURTH AVE W</v>
      </c>
      <c r="L445" t="str">
        <f t="shared" si="132"/>
        <v>HILLIARD FL 32046</v>
      </c>
      <c r="M445" t="str">
        <f>"BLOCK 134 LOTS 5 6 7 &amp; 8 IN OR 1327/1973 TOWN OF HILLIARD"</f>
        <v>BLOCK 134 LOTS 5 6 7 &amp; 8 IN OR 1327/1973 TOWN OF HILLIARD</v>
      </c>
      <c r="N445" t="str">
        <f>""</f>
        <v/>
      </c>
      <c r="O445" t="str">
        <f>"23742"</f>
        <v>23742</v>
      </c>
      <c r="P445" t="str">
        <f t="shared" si="119"/>
        <v>2017</v>
      </c>
      <c r="Q445" t="str">
        <f>""</f>
        <v/>
      </c>
      <c r="R445" t="str">
        <f>"Y"</f>
        <v>Y</v>
      </c>
      <c r="S445" t="str">
        <f>""</f>
        <v/>
      </c>
      <c r="T445" t="str">
        <f>"340.08"</f>
        <v>340.08</v>
      </c>
      <c r="U445" t="str">
        <f>"49352.00"</f>
        <v>49352.00</v>
      </c>
      <c r="V445" t="str">
        <f>"49352.00"</f>
        <v>49352.00</v>
      </c>
      <c r="W445" t="str">
        <f t="shared" si="120"/>
        <v>2017</v>
      </c>
      <c r="X445" t="str">
        <f>"18.63"</f>
        <v>18.63</v>
      </c>
      <c r="Y445" t="str">
        <f>"382.28"</f>
        <v>382.28</v>
      </c>
      <c r="Z445" t="str">
        <f>"25000.00"</f>
        <v>25000.00</v>
      </c>
      <c r="AA445" t="str">
        <f>"24352.00"</f>
        <v>24352.00</v>
      </c>
      <c r="AB445" t="str">
        <f t="shared" si="133"/>
        <v>Residential</v>
      </c>
      <c r="AC445" t="str">
        <f t="shared" si="121"/>
        <v>0</v>
      </c>
      <c r="AD445" t="str">
        <f>"4"</f>
        <v>4</v>
      </c>
      <c r="AE445" t="str">
        <f>"WOOD (INCLUDE STEEL STUDS)"</f>
        <v>WOOD (INCLUDE STEEL STUDS)</v>
      </c>
      <c r="AF445" t="str">
        <f>"001"</f>
        <v>001</v>
      </c>
      <c r="AG445" t="str">
        <f t="shared" si="135"/>
        <v>FL</v>
      </c>
      <c r="AH445" t="str">
        <f>"12500.00"</f>
        <v>12500.00</v>
      </c>
      <c r="AI445" t="str">
        <f>"15000.00"</f>
        <v>15000.00</v>
      </c>
      <c r="AJ445" t="str">
        <f>"C55-000-586-7768-3"</f>
        <v>C55-000-586-7768-3</v>
      </c>
      <c r="AK445" t="str">
        <f>"6517"</f>
        <v>6517</v>
      </c>
      <c r="AL445">
        <v>2</v>
      </c>
      <c r="AM445">
        <v>514</v>
      </c>
      <c r="AN445">
        <v>399.79</v>
      </c>
      <c r="AQ445" t="s">
        <v>4930</v>
      </c>
      <c r="AR445" t="s">
        <v>4930</v>
      </c>
      <c r="AS445" t="s">
        <v>4930</v>
      </c>
      <c r="AU445" t="s">
        <v>396</v>
      </c>
      <c r="AV445">
        <v>2017</v>
      </c>
      <c r="AW445" t="str">
        <f>"08-3N-24-2380-0134-0050 "</f>
        <v xml:space="preserve">08-3N-24-2380-0134-0050 </v>
      </c>
      <c r="AX445">
        <v>27173</v>
      </c>
      <c r="AZ445" t="s">
        <v>4515</v>
      </c>
      <c r="BA445" t="s">
        <v>1112</v>
      </c>
      <c r="BB445" t="s">
        <v>4459</v>
      </c>
      <c r="BD445" t="s">
        <v>398</v>
      </c>
      <c r="BE445" t="s">
        <v>393</v>
      </c>
      <c r="BF445">
        <v>32046</v>
      </c>
      <c r="BG445" t="s">
        <v>4931</v>
      </c>
      <c r="BH445" t="s">
        <v>400</v>
      </c>
      <c r="BI445">
        <v>-81.936254831763904</v>
      </c>
      <c r="BJ445">
        <v>30.688233727281901</v>
      </c>
      <c r="BK445" t="s">
        <v>4932</v>
      </c>
      <c r="BM445" t="s">
        <v>4933</v>
      </c>
      <c r="BN445" t="s">
        <v>403</v>
      </c>
      <c r="BO445">
        <v>32046</v>
      </c>
      <c r="BP445" t="s">
        <v>416</v>
      </c>
      <c r="BQ445">
        <v>100</v>
      </c>
      <c r="BR445" t="s">
        <v>514</v>
      </c>
      <c r="BS445">
        <v>1001</v>
      </c>
      <c r="BT445" t="s">
        <v>515</v>
      </c>
      <c r="BU445">
        <v>1000</v>
      </c>
      <c r="BV445">
        <v>1250</v>
      </c>
      <c r="BW445">
        <v>12500</v>
      </c>
      <c r="BX445" t="s">
        <v>407</v>
      </c>
      <c r="BY445" t="s">
        <v>4520</v>
      </c>
      <c r="BZ445">
        <v>4</v>
      </c>
      <c r="CA445">
        <v>1973</v>
      </c>
      <c r="CB445">
        <v>1</v>
      </c>
      <c r="CC445">
        <v>1</v>
      </c>
      <c r="CD445">
        <v>2017</v>
      </c>
      <c r="CG445">
        <v>49352</v>
      </c>
      <c r="CH445">
        <v>2017</v>
      </c>
      <c r="CI445">
        <v>15000</v>
      </c>
      <c r="CJ445">
        <v>40293</v>
      </c>
      <c r="CK445">
        <v>55293</v>
      </c>
      <c r="CL445">
        <v>2017</v>
      </c>
      <c r="CM445">
        <v>340.08</v>
      </c>
      <c r="CN445" s="1">
        <v>42261</v>
      </c>
      <c r="CZ445" s="1">
        <v>42261</v>
      </c>
      <c r="DD445" t="s">
        <v>398</v>
      </c>
      <c r="DG445">
        <v>8</v>
      </c>
      <c r="DL445">
        <v>50400</v>
      </c>
      <c r="DM445" t="s">
        <v>4465</v>
      </c>
      <c r="DO445" t="s">
        <v>4934</v>
      </c>
      <c r="DP445">
        <v>0</v>
      </c>
      <c r="DQ445">
        <v>0</v>
      </c>
      <c r="DR445" t="s">
        <v>411</v>
      </c>
      <c r="DS445" t="b">
        <v>1</v>
      </c>
      <c r="DT445" t="s">
        <v>470</v>
      </c>
      <c r="DU445" t="s">
        <v>471</v>
      </c>
      <c r="DV445" t="s">
        <v>472</v>
      </c>
      <c r="DX445">
        <v>-9999</v>
      </c>
      <c r="DZ445" t="s">
        <v>447</v>
      </c>
      <c r="EA445" t="s">
        <v>448</v>
      </c>
      <c r="EB445" t="s">
        <v>1224</v>
      </c>
      <c r="EC445">
        <v>20101217</v>
      </c>
      <c r="ED445" t="s">
        <v>474</v>
      </c>
      <c r="EF445">
        <v>998.5</v>
      </c>
      <c r="EG445">
        <v>998.5</v>
      </c>
      <c r="EI445">
        <v>20160407</v>
      </c>
      <c r="EJ445">
        <v>0</v>
      </c>
      <c r="EK445">
        <v>0</v>
      </c>
      <c r="EP445" t="s">
        <v>421</v>
      </c>
      <c r="EQ445" t="s">
        <v>422</v>
      </c>
      <c r="ER445">
        <v>2</v>
      </c>
      <c r="ES445">
        <v>8</v>
      </c>
      <c r="ET445">
        <v>771.44</v>
      </c>
      <c r="EU445">
        <v>51.07</v>
      </c>
      <c r="EV445">
        <v>822.51</v>
      </c>
      <c r="EW445" s="2">
        <v>43222</v>
      </c>
      <c r="EX445" s="1">
        <v>42879</v>
      </c>
      <c r="EY445">
        <v>2016</v>
      </c>
      <c r="EZ445">
        <v>385.72</v>
      </c>
      <c r="FA445" t="s">
        <v>4935</v>
      </c>
      <c r="FB445">
        <v>0.25</v>
      </c>
      <c r="FC445" t="s">
        <v>424</v>
      </c>
      <c r="FD445" t="s">
        <v>454</v>
      </c>
      <c r="FF445">
        <v>12</v>
      </c>
      <c r="FG445">
        <v>7336671</v>
      </c>
      <c r="FH445" t="s">
        <v>437</v>
      </c>
      <c r="FJ445" s="1">
        <v>42879</v>
      </c>
      <c r="FK445">
        <v>2016</v>
      </c>
      <c r="FL445">
        <v>385.72</v>
      </c>
      <c r="FM445" t="s">
        <v>4935</v>
      </c>
      <c r="FN445">
        <v>0.25</v>
      </c>
      <c r="FO445" t="s">
        <v>424</v>
      </c>
      <c r="FP445" t="s">
        <v>454</v>
      </c>
      <c r="FR445">
        <v>12</v>
      </c>
      <c r="FS445">
        <v>6936357</v>
      </c>
      <c r="FT445" t="s">
        <v>4936</v>
      </c>
      <c r="FV445" s="1">
        <v>42515</v>
      </c>
      <c r="FW445">
        <v>2015</v>
      </c>
      <c r="FX445">
        <v>385.14</v>
      </c>
      <c r="FY445" t="s">
        <v>4937</v>
      </c>
      <c r="FZ445">
        <v>0.25</v>
      </c>
      <c r="GA445" t="s">
        <v>424</v>
      </c>
      <c r="GB445" t="s">
        <v>425</v>
      </c>
      <c r="GC445" s="1">
        <v>43158</v>
      </c>
      <c r="GD445">
        <v>21</v>
      </c>
      <c r="GE445">
        <v>2851116</v>
      </c>
      <c r="GF445" t="s">
        <v>480</v>
      </c>
      <c r="GH445" s="1">
        <v>42515</v>
      </c>
      <c r="GI445">
        <v>2015</v>
      </c>
      <c r="GJ445">
        <v>385.14</v>
      </c>
      <c r="GK445" t="s">
        <v>4937</v>
      </c>
      <c r="GL445">
        <v>0.25</v>
      </c>
      <c r="GM445" t="s">
        <v>424</v>
      </c>
      <c r="GN445" t="s">
        <v>425</v>
      </c>
      <c r="GP445">
        <v>22</v>
      </c>
      <c r="GQ445">
        <v>5647171</v>
      </c>
      <c r="GR445" t="s">
        <v>4938</v>
      </c>
      <c r="GT445" s="1">
        <v>42151</v>
      </c>
      <c r="GU445">
        <v>2014</v>
      </c>
      <c r="GV445">
        <v>381.69</v>
      </c>
      <c r="GW445" t="s">
        <v>4939</v>
      </c>
      <c r="GX445">
        <v>0.25</v>
      </c>
      <c r="GY445" t="s">
        <v>424</v>
      </c>
      <c r="GZ445" t="s">
        <v>425</v>
      </c>
      <c r="HA445" s="1">
        <v>42793</v>
      </c>
      <c r="HB445">
        <v>21</v>
      </c>
      <c r="HC445">
        <v>2851116</v>
      </c>
      <c r="HD445" t="s">
        <v>480</v>
      </c>
      <c r="HF445" s="1">
        <v>42151</v>
      </c>
      <c r="HG445">
        <v>2014</v>
      </c>
      <c r="HH445">
        <v>381.69</v>
      </c>
      <c r="HI445" t="s">
        <v>4939</v>
      </c>
      <c r="HJ445">
        <v>0.25</v>
      </c>
      <c r="HK445" t="s">
        <v>424</v>
      </c>
      <c r="HL445" t="s">
        <v>425</v>
      </c>
      <c r="HN445">
        <v>22</v>
      </c>
      <c r="HO445">
        <v>5249522</v>
      </c>
      <c r="HP445" t="s">
        <v>4940</v>
      </c>
      <c r="HR445" s="1">
        <v>41787</v>
      </c>
      <c r="HS445">
        <v>2013</v>
      </c>
      <c r="HT445">
        <v>350.72</v>
      </c>
      <c r="HU445" t="s">
        <v>4941</v>
      </c>
      <c r="HV445">
        <v>0.25</v>
      </c>
      <c r="HW445" t="s">
        <v>424</v>
      </c>
      <c r="HX445" t="s">
        <v>425</v>
      </c>
      <c r="HY445" s="1">
        <v>42419</v>
      </c>
      <c r="HZ445">
        <v>21</v>
      </c>
      <c r="IA445">
        <v>305</v>
      </c>
      <c r="IB445" t="s">
        <v>1078</v>
      </c>
      <c r="ID445" s="1">
        <v>41423</v>
      </c>
      <c r="IE445">
        <v>2012</v>
      </c>
      <c r="IF445">
        <v>343.28</v>
      </c>
      <c r="IG445" t="s">
        <v>4942</v>
      </c>
      <c r="IH445">
        <v>0.25</v>
      </c>
      <c r="II445" t="s">
        <v>424</v>
      </c>
      <c r="IJ445" t="s">
        <v>425</v>
      </c>
      <c r="IK445" s="1">
        <v>42062</v>
      </c>
      <c r="IL445">
        <v>21</v>
      </c>
      <c r="IM445">
        <v>15407</v>
      </c>
      <c r="IN445" t="s">
        <v>1134</v>
      </c>
      <c r="IP445" s="1">
        <v>41052</v>
      </c>
      <c r="IQ445">
        <v>2011</v>
      </c>
      <c r="IR445">
        <v>370.98</v>
      </c>
      <c r="IS445" t="s">
        <v>4943</v>
      </c>
      <c r="IT445">
        <v>6</v>
      </c>
      <c r="IU445" t="s">
        <v>424</v>
      </c>
      <c r="IV445" t="s">
        <v>425</v>
      </c>
      <c r="IW445" s="1">
        <v>41698</v>
      </c>
      <c r="IX445">
        <v>21</v>
      </c>
      <c r="IY445">
        <v>13027</v>
      </c>
      <c r="IZ445" t="s">
        <v>826</v>
      </c>
      <c r="JB445" s="1">
        <v>40688</v>
      </c>
      <c r="JC445">
        <v>2010</v>
      </c>
      <c r="JD445">
        <v>373.58</v>
      </c>
      <c r="JE445" t="s">
        <v>4944</v>
      </c>
      <c r="JF445">
        <v>7.75</v>
      </c>
      <c r="JG445" t="s">
        <v>424</v>
      </c>
      <c r="JH445" t="s">
        <v>425</v>
      </c>
      <c r="JI445" s="1">
        <v>41333</v>
      </c>
      <c r="JJ445">
        <v>21</v>
      </c>
      <c r="JK445">
        <v>62</v>
      </c>
      <c r="JL445" t="s">
        <v>463</v>
      </c>
    </row>
    <row r="446" spans="1:284" x14ac:dyDescent="0.25">
      <c r="A446">
        <v>16485453</v>
      </c>
      <c r="B446">
        <v>445</v>
      </c>
      <c r="C446" t="s">
        <v>393</v>
      </c>
      <c r="D446" t="s">
        <v>394</v>
      </c>
      <c r="F446" t="str">
        <f>"08-3N-24-2380-0134-0130"</f>
        <v>08-3N-24-2380-0134-0130</v>
      </c>
      <c r="H446" t="str">
        <f>"HOFFMAN JAMES"</f>
        <v>HOFFMAN JAMES</v>
      </c>
      <c r="I446" t="str">
        <f>"PO BOX 818"</f>
        <v>PO BOX 818</v>
      </c>
      <c r="J446" t="str">
        <f>"HILLIARD FL 32046"</f>
        <v>HILLIARD FL 32046</v>
      </c>
      <c r="K446" t="str">
        <f>"W THIRD AV"</f>
        <v>W THIRD AV</v>
      </c>
      <c r="L446" t="str">
        <f t="shared" si="132"/>
        <v>HILLIARD FL 32046</v>
      </c>
      <c r="M446" t="str">
        <f>"BLOCK 134 LOTS 13 14 15 &amp; 16 IN OR 419 PG 15 TOWN OF HILLIARD"</f>
        <v>BLOCK 134 LOTS 13 14 15 &amp; 16 IN OR 419 PG 15 TOWN OF HILLIARD</v>
      </c>
      <c r="N446" t="str">
        <f>""</f>
        <v/>
      </c>
      <c r="O446" t="str">
        <f>"23744"</f>
        <v>23744</v>
      </c>
      <c r="P446" t="str">
        <f t="shared" si="119"/>
        <v>2017</v>
      </c>
      <c r="Q446" t="str">
        <f>""</f>
        <v/>
      </c>
      <c r="R446" t="str">
        <f>"N"</f>
        <v>N</v>
      </c>
      <c r="S446" t="str">
        <f>""</f>
        <v/>
      </c>
      <c r="T446" t="str">
        <f>"209.49"</f>
        <v>209.49</v>
      </c>
      <c r="U446" t="str">
        <f>"15000.00"</f>
        <v>15000.00</v>
      </c>
      <c r="V446" t="str">
        <f>"15000.00"</f>
        <v>15000.00</v>
      </c>
      <c r="W446" t="str">
        <f t="shared" si="120"/>
        <v>2017</v>
      </c>
      <c r="X446" t="str">
        <f>""</f>
        <v/>
      </c>
      <c r="Y446" t="str">
        <f>"247.77"</f>
        <v>247.77</v>
      </c>
      <c r="Z446" t="str">
        <f>""</f>
        <v/>
      </c>
      <c r="AA446" t="str">
        <f>"15000.00"</f>
        <v>15000.00</v>
      </c>
      <c r="AB446" t="str">
        <f t="shared" si="133"/>
        <v>Residential</v>
      </c>
      <c r="AC446" t="str">
        <f t="shared" si="121"/>
        <v>0</v>
      </c>
      <c r="AD446" t="str">
        <f>""</f>
        <v/>
      </c>
      <c r="AE446" t="str">
        <f>""</f>
        <v/>
      </c>
      <c r="AF446" t="str">
        <f>"000"</f>
        <v>000</v>
      </c>
      <c r="AG446" t="str">
        <f t="shared" si="135"/>
        <v>FL</v>
      </c>
      <c r="AH446" t="str">
        <f>"12500.00"</f>
        <v>12500.00</v>
      </c>
      <c r="AI446" t="str">
        <f>"15000.00"</f>
        <v>15000.00</v>
      </c>
      <c r="AJ446" t="str">
        <f>"C55-000-586-7770-9"</f>
        <v>C55-000-586-7770-9</v>
      </c>
      <c r="AK446" t="str">
        <f>"6519"</f>
        <v>6519</v>
      </c>
      <c r="AL446">
        <v>2</v>
      </c>
      <c r="AM446">
        <v>515</v>
      </c>
      <c r="AN446">
        <v>258.56</v>
      </c>
      <c r="AQ446" t="s">
        <v>4945</v>
      </c>
      <c r="AR446" t="s">
        <v>4945</v>
      </c>
      <c r="AS446" t="s">
        <v>4945</v>
      </c>
      <c r="AU446" t="s">
        <v>396</v>
      </c>
      <c r="AV446">
        <v>2017</v>
      </c>
      <c r="AW446" t="str">
        <f>"08-3N-24-2380-0134-0130 "</f>
        <v xml:space="preserve">08-3N-24-2380-0134-0130 </v>
      </c>
      <c r="AY446" t="s">
        <v>4459</v>
      </c>
      <c r="AZ446" t="s">
        <v>4910</v>
      </c>
      <c r="BA446" t="s">
        <v>1122</v>
      </c>
      <c r="BD446" t="s">
        <v>398</v>
      </c>
      <c r="BE446" t="s">
        <v>393</v>
      </c>
      <c r="BF446">
        <v>32046</v>
      </c>
      <c r="BG446" t="s">
        <v>4946</v>
      </c>
      <c r="BH446" t="s">
        <v>400</v>
      </c>
      <c r="BI446">
        <v>-81.936552877435204</v>
      </c>
      <c r="BJ446">
        <v>30.6878106598523</v>
      </c>
      <c r="BK446" t="s">
        <v>4495</v>
      </c>
      <c r="BM446" t="s">
        <v>4496</v>
      </c>
      <c r="BN446" t="s">
        <v>403</v>
      </c>
      <c r="BO446">
        <v>32046</v>
      </c>
      <c r="BP446" t="s">
        <v>404</v>
      </c>
      <c r="BQ446">
        <v>0</v>
      </c>
      <c r="BR446" t="s">
        <v>491</v>
      </c>
      <c r="BS446">
        <v>8001</v>
      </c>
      <c r="BT446" t="s">
        <v>492</v>
      </c>
      <c r="BU446">
        <v>1000</v>
      </c>
      <c r="BV446">
        <v>1250</v>
      </c>
      <c r="BW446">
        <v>12500</v>
      </c>
      <c r="BX446" t="s">
        <v>407</v>
      </c>
      <c r="BY446" t="s">
        <v>4520</v>
      </c>
      <c r="CD446">
        <v>2017</v>
      </c>
      <c r="CE446">
        <v>15000</v>
      </c>
      <c r="CG446">
        <v>15000</v>
      </c>
      <c r="CH446">
        <v>2017</v>
      </c>
      <c r="CI446">
        <v>15000</v>
      </c>
      <c r="CK446">
        <v>15000</v>
      </c>
      <c r="CL446">
        <v>2017</v>
      </c>
      <c r="CM446">
        <v>209.49</v>
      </c>
      <c r="CN446" s="1">
        <v>30773</v>
      </c>
      <c r="CO446">
        <v>800</v>
      </c>
      <c r="CZ446" s="1">
        <v>30773</v>
      </c>
      <c r="DD446" t="s">
        <v>398</v>
      </c>
      <c r="DG446">
        <v>8</v>
      </c>
      <c r="DJ446" t="s">
        <v>4482</v>
      </c>
      <c r="DL446">
        <v>50400</v>
      </c>
      <c r="DM446" t="s">
        <v>4465</v>
      </c>
      <c r="DO446" t="s">
        <v>4947</v>
      </c>
      <c r="DP446">
        <v>0</v>
      </c>
      <c r="DQ446">
        <v>0</v>
      </c>
      <c r="DR446" t="s">
        <v>411</v>
      </c>
    </row>
    <row r="447" spans="1:284" x14ac:dyDescent="0.25">
      <c r="A447">
        <v>16485454</v>
      </c>
      <c r="B447">
        <v>446</v>
      </c>
      <c r="C447" t="s">
        <v>393</v>
      </c>
      <c r="D447" t="s">
        <v>394</v>
      </c>
      <c r="F447" t="str">
        <f>"08-3N-24-2380-0134-0170"</f>
        <v>08-3N-24-2380-0134-0170</v>
      </c>
      <c r="H447" t="str">
        <f>"HOFFMAN JAMES"</f>
        <v>HOFFMAN JAMES</v>
      </c>
      <c r="I447" t="str">
        <f>"PO BOX 818"</f>
        <v>PO BOX 818</v>
      </c>
      <c r="J447" t="str">
        <f>"HILLIARD FL 32046"</f>
        <v>HILLIARD FL 32046</v>
      </c>
      <c r="K447" t="str">
        <f>"27272 MONTANA ST"</f>
        <v>27272 MONTANA ST</v>
      </c>
      <c r="L447" t="str">
        <f t="shared" si="132"/>
        <v>HILLIARD FL 32046</v>
      </c>
      <c r="M447" t="str">
        <f>"BLOCK 134 17 THRU 24 IN OR 311/40 &amp; 342/101 TOWN OF HILLIARD"</f>
        <v>BLOCK 134 17 THRU 24 IN OR 311/40 &amp; 342/101 TOWN OF HILLIARD</v>
      </c>
      <c r="N447" t="str">
        <f>""</f>
        <v/>
      </c>
      <c r="O447" t="str">
        <f>"23745"</f>
        <v>23745</v>
      </c>
      <c r="P447" t="str">
        <f t="shared" si="119"/>
        <v>2017</v>
      </c>
      <c r="Q447" t="str">
        <f>""</f>
        <v/>
      </c>
      <c r="R447" t="str">
        <f>"Y"</f>
        <v>Y</v>
      </c>
      <c r="S447" t="str">
        <f>""</f>
        <v/>
      </c>
      <c r="T447" t="str">
        <f>"1112.69"</f>
        <v>1112.69</v>
      </c>
      <c r="U447" t="str">
        <f>"117863.00"</f>
        <v>117863.00</v>
      </c>
      <c r="V447" t="str">
        <f>"117863.00"</f>
        <v>117863.00</v>
      </c>
      <c r="W447" t="str">
        <f t="shared" si="120"/>
        <v>2017</v>
      </c>
      <c r="X447" t="str">
        <f>""</f>
        <v/>
      </c>
      <c r="Y447" t="str">
        <f>"1178.07"</f>
        <v>1178.07</v>
      </c>
      <c r="Z447" t="str">
        <f>"25000.00"</f>
        <v>25000.00</v>
      </c>
      <c r="AA447" t="str">
        <f>"92863.00"</f>
        <v>92863.00</v>
      </c>
      <c r="AB447" t="str">
        <f t="shared" si="133"/>
        <v>Residential</v>
      </c>
      <c r="AC447" t="str">
        <f t="shared" si="121"/>
        <v>0</v>
      </c>
      <c r="AD447" t="str">
        <f>"4"</f>
        <v>4</v>
      </c>
      <c r="AE447" t="str">
        <f>"WOOD (INCLUDE STEEL STUDS)"</f>
        <v>WOOD (INCLUDE STEEL STUDS)</v>
      </c>
      <c r="AF447" t="str">
        <f>"001"</f>
        <v>001</v>
      </c>
      <c r="AG447" t="str">
        <f t="shared" si="135"/>
        <v>FL</v>
      </c>
      <c r="AH447" t="str">
        <f>"25000.00"</f>
        <v>25000.00</v>
      </c>
      <c r="AI447" t="str">
        <f>"30000.00"</f>
        <v>30000.00</v>
      </c>
      <c r="AJ447" t="str">
        <f>"C55-000-586-7771-7"</f>
        <v>C55-000-586-7771-7</v>
      </c>
      <c r="AK447" t="str">
        <f>"6520"</f>
        <v>6520</v>
      </c>
      <c r="AL447">
        <v>2</v>
      </c>
      <c r="AM447">
        <v>516</v>
      </c>
      <c r="AN447">
        <v>1235.3699999999999</v>
      </c>
      <c r="AQ447" t="s">
        <v>4948</v>
      </c>
      <c r="AR447" t="s">
        <v>4948</v>
      </c>
      <c r="AS447" t="s">
        <v>4948</v>
      </c>
      <c r="AU447" t="s">
        <v>396</v>
      </c>
      <c r="AV447">
        <v>2017</v>
      </c>
      <c r="AW447" t="str">
        <f>"08-3N-24-2380-0134-0170 "</f>
        <v xml:space="preserve">08-3N-24-2380-0134-0170 </v>
      </c>
      <c r="AX447">
        <v>27272</v>
      </c>
      <c r="AZ447" t="s">
        <v>4923</v>
      </c>
      <c r="BA447" t="s">
        <v>1942</v>
      </c>
      <c r="BD447" t="s">
        <v>398</v>
      </c>
      <c r="BE447" t="s">
        <v>393</v>
      </c>
      <c r="BF447">
        <v>32046</v>
      </c>
      <c r="BG447" t="s">
        <v>4949</v>
      </c>
      <c r="BH447" t="s">
        <v>400</v>
      </c>
      <c r="BI447">
        <v>-81.936076110962404</v>
      </c>
      <c r="BJ447">
        <v>30.687827223559701</v>
      </c>
      <c r="BK447" t="s">
        <v>4495</v>
      </c>
      <c r="BM447" t="s">
        <v>4496</v>
      </c>
      <c r="BN447" t="s">
        <v>403</v>
      </c>
      <c r="BO447">
        <v>32046</v>
      </c>
      <c r="BP447" t="s">
        <v>404</v>
      </c>
      <c r="BQ447">
        <v>100</v>
      </c>
      <c r="BR447" t="s">
        <v>514</v>
      </c>
      <c r="BS447">
        <v>1001</v>
      </c>
      <c r="BT447" t="s">
        <v>515</v>
      </c>
      <c r="BW447">
        <v>24999</v>
      </c>
      <c r="BX447" t="s">
        <v>407</v>
      </c>
      <c r="BY447" t="s">
        <v>4520</v>
      </c>
      <c r="BZ447">
        <v>4</v>
      </c>
      <c r="CA447">
        <v>1981</v>
      </c>
      <c r="CB447">
        <v>1</v>
      </c>
      <c r="CC447">
        <v>1</v>
      </c>
      <c r="CD447">
        <v>2017</v>
      </c>
      <c r="CG447">
        <v>117863</v>
      </c>
      <c r="CH447">
        <v>2017</v>
      </c>
      <c r="CI447">
        <v>30000</v>
      </c>
      <c r="CJ447">
        <v>109339</v>
      </c>
      <c r="CK447">
        <v>139339</v>
      </c>
      <c r="CL447">
        <v>2017</v>
      </c>
      <c r="CM447">
        <v>1112.69</v>
      </c>
      <c r="CN447" s="1">
        <v>29281</v>
      </c>
      <c r="CO447">
        <v>1600</v>
      </c>
      <c r="CZ447" s="1">
        <v>29281</v>
      </c>
      <c r="DD447" t="s">
        <v>398</v>
      </c>
      <c r="DG447">
        <v>8</v>
      </c>
      <c r="DL447">
        <v>50400</v>
      </c>
      <c r="DM447" t="s">
        <v>4465</v>
      </c>
      <c r="DO447" t="s">
        <v>4950</v>
      </c>
      <c r="DP447">
        <v>0</v>
      </c>
      <c r="DQ447">
        <v>0</v>
      </c>
      <c r="DR447" t="s">
        <v>411</v>
      </c>
    </row>
    <row r="448" spans="1:284" x14ac:dyDescent="0.25">
      <c r="A448">
        <v>16485455</v>
      </c>
      <c r="B448">
        <v>447</v>
      </c>
      <c r="C448" t="s">
        <v>393</v>
      </c>
      <c r="D448" t="s">
        <v>394</v>
      </c>
      <c r="F448" t="str">
        <f>"08-3N-24-2380-0135-0200"</f>
        <v>08-3N-24-2380-0135-0200</v>
      </c>
      <c r="H448" t="str">
        <f>"YOUNG R E C/O MRS PATRICIA J ERWIN"</f>
        <v>YOUNG R E C/O MRS PATRICIA J ERWIN</v>
      </c>
      <c r="I448" t="str">
        <f>"2685 EVERETT DR"</f>
        <v>2685 EVERETT DR</v>
      </c>
      <c r="J448" t="str">
        <f>"RENO NV 89503"</f>
        <v>RENO NV 89503</v>
      </c>
      <c r="K448" t="str">
        <f>"THIRD AV"</f>
        <v>THIRD AV</v>
      </c>
      <c r="L448" t="str">
        <f t="shared" si="132"/>
        <v>HILLIARD FL 32046</v>
      </c>
      <c r="M448" t="str">
        <f>"BLOCK 135 LOT 20 TOWN OF HILLIARD"</f>
        <v>BLOCK 135 LOT 20 TOWN OF HILLIARD</v>
      </c>
      <c r="N448" t="str">
        <f>""</f>
        <v/>
      </c>
      <c r="O448" t="str">
        <f>"23753"</f>
        <v>23753</v>
      </c>
      <c r="P448" t="str">
        <f t="shared" si="119"/>
        <v>2017</v>
      </c>
      <c r="Q448" t="str">
        <f>""</f>
        <v/>
      </c>
      <c r="R448" t="str">
        <f t="shared" ref="R448:R453" si="136">"N"</f>
        <v>N</v>
      </c>
      <c r="S448" t="str">
        <f>""</f>
        <v/>
      </c>
      <c r="T448" t="str">
        <f>"8.73"</f>
        <v>8.73</v>
      </c>
      <c r="U448" t="str">
        <f>"625.00"</f>
        <v>625.00</v>
      </c>
      <c r="V448" t="str">
        <f>"625.00"</f>
        <v>625.00</v>
      </c>
      <c r="W448" t="str">
        <f t="shared" si="120"/>
        <v>2017</v>
      </c>
      <c r="X448" t="str">
        <f>"17.67"</f>
        <v>17.67</v>
      </c>
      <c r="Y448" t="str">
        <f>"40.99"</f>
        <v>40.99</v>
      </c>
      <c r="Z448" t="str">
        <f>""</f>
        <v/>
      </c>
      <c r="AA448" t="str">
        <f>"625.00"</f>
        <v>625.00</v>
      </c>
      <c r="AB448" t="str">
        <f t="shared" si="133"/>
        <v>Residential</v>
      </c>
      <c r="AC448" t="str">
        <f t="shared" si="121"/>
        <v>0</v>
      </c>
      <c r="AD448" t="str">
        <f>""</f>
        <v/>
      </c>
      <c r="AE448" t="str">
        <f>""</f>
        <v/>
      </c>
      <c r="AF448" t="str">
        <f>"000"</f>
        <v>000</v>
      </c>
      <c r="AG448" t="str">
        <f>"NV"</f>
        <v>NV</v>
      </c>
      <c r="AH448" t="str">
        <f>"3125.00"</f>
        <v>3125.00</v>
      </c>
      <c r="AI448" t="str">
        <f>"625.00"</f>
        <v>625.00</v>
      </c>
      <c r="AJ448" t="str">
        <f>"C55-000-586-7776-6"</f>
        <v>C55-000-586-7776-6</v>
      </c>
      <c r="AK448" t="str">
        <f>"6524"</f>
        <v>6524</v>
      </c>
      <c r="AL448">
        <v>2</v>
      </c>
      <c r="AM448">
        <v>517</v>
      </c>
      <c r="AN448">
        <v>41.44</v>
      </c>
      <c r="AQ448" t="s">
        <v>4951</v>
      </c>
      <c r="AR448" t="s">
        <v>4951</v>
      </c>
      <c r="AS448" t="s">
        <v>4951</v>
      </c>
      <c r="AU448" t="s">
        <v>396</v>
      </c>
      <c r="AV448">
        <v>2017</v>
      </c>
      <c r="AW448" t="str">
        <f>"08-3N-24-2380-0135-0200 "</f>
        <v xml:space="preserve">08-3N-24-2380-0135-0200 </v>
      </c>
      <c r="AZ448" t="s">
        <v>4910</v>
      </c>
      <c r="BA448" t="s">
        <v>1122</v>
      </c>
      <c r="BD448" t="s">
        <v>398</v>
      </c>
      <c r="BE448" t="s">
        <v>393</v>
      </c>
      <c r="BF448">
        <v>32046</v>
      </c>
      <c r="BG448" t="s">
        <v>4911</v>
      </c>
      <c r="BH448" t="s">
        <v>400</v>
      </c>
      <c r="BI448">
        <v>-81.934971584710098</v>
      </c>
      <c r="BJ448">
        <v>30.687865575450299</v>
      </c>
      <c r="BK448" t="s">
        <v>4952</v>
      </c>
      <c r="BM448" t="s">
        <v>4953</v>
      </c>
      <c r="BN448" t="s">
        <v>4954</v>
      </c>
      <c r="BO448">
        <v>89503</v>
      </c>
      <c r="BP448" t="s">
        <v>404</v>
      </c>
      <c r="BQ448">
        <v>0</v>
      </c>
      <c r="BR448" t="s">
        <v>491</v>
      </c>
      <c r="BS448">
        <v>8001</v>
      </c>
      <c r="BT448" t="s">
        <v>492</v>
      </c>
      <c r="BU448">
        <v>250</v>
      </c>
      <c r="BV448">
        <v>1250</v>
      </c>
      <c r="BW448">
        <v>3125</v>
      </c>
      <c r="BX448" t="s">
        <v>407</v>
      </c>
      <c r="BY448" t="s">
        <v>4520</v>
      </c>
      <c r="CD448">
        <v>2017</v>
      </c>
      <c r="CE448">
        <v>625</v>
      </c>
      <c r="CG448">
        <v>625</v>
      </c>
      <c r="CH448">
        <v>2017</v>
      </c>
      <c r="CI448">
        <v>625</v>
      </c>
      <c r="CK448">
        <v>625</v>
      </c>
      <c r="CL448">
        <v>2017</v>
      </c>
      <c r="CM448">
        <v>8.73</v>
      </c>
      <c r="DD448" t="s">
        <v>398</v>
      </c>
      <c r="DF448">
        <v>20</v>
      </c>
      <c r="DG448">
        <v>8</v>
      </c>
      <c r="DL448">
        <v>50400</v>
      </c>
      <c r="DM448" t="s">
        <v>4465</v>
      </c>
      <c r="DO448" t="s">
        <v>4955</v>
      </c>
      <c r="DP448">
        <v>0</v>
      </c>
      <c r="DQ448">
        <v>0</v>
      </c>
      <c r="DR448" t="s">
        <v>411</v>
      </c>
      <c r="DS448" t="b">
        <v>1</v>
      </c>
      <c r="DT448" t="s">
        <v>470</v>
      </c>
      <c r="DU448" t="s">
        <v>471</v>
      </c>
      <c r="DV448" t="s">
        <v>472</v>
      </c>
      <c r="DX448">
        <v>-9999</v>
      </c>
      <c r="DZ448" t="s">
        <v>447</v>
      </c>
      <c r="EA448" t="s">
        <v>448</v>
      </c>
      <c r="EB448" t="s">
        <v>1224</v>
      </c>
      <c r="EC448">
        <v>20101217</v>
      </c>
      <c r="ED448" t="s">
        <v>474</v>
      </c>
      <c r="EF448">
        <v>1105.4000000000001</v>
      </c>
      <c r="EG448">
        <v>1105.4000000000001</v>
      </c>
      <c r="EI448">
        <v>20160407</v>
      </c>
      <c r="EJ448">
        <v>0</v>
      </c>
      <c r="EK448">
        <v>0</v>
      </c>
      <c r="EP448" t="s">
        <v>595</v>
      </c>
      <c r="EQ448" t="s">
        <v>422</v>
      </c>
      <c r="ER448">
        <v>6</v>
      </c>
      <c r="ES448">
        <v>0</v>
      </c>
      <c r="ET448">
        <v>284.56</v>
      </c>
      <c r="EU448">
        <v>190.51</v>
      </c>
      <c r="EV448">
        <v>475.07</v>
      </c>
      <c r="EW448" s="2">
        <v>43222</v>
      </c>
      <c r="EX448" s="1">
        <v>42879</v>
      </c>
      <c r="EY448">
        <v>2016</v>
      </c>
      <c r="EZ448">
        <v>36.6</v>
      </c>
      <c r="FA448" t="s">
        <v>4956</v>
      </c>
      <c r="FB448">
        <v>18</v>
      </c>
      <c r="FC448" t="s">
        <v>603</v>
      </c>
      <c r="FD448" t="s">
        <v>454</v>
      </c>
      <c r="FF448">
        <v>12</v>
      </c>
      <c r="FG448">
        <v>9999999</v>
      </c>
      <c r="FH448" t="s">
        <v>604</v>
      </c>
      <c r="FJ448" s="1">
        <v>42515</v>
      </c>
      <c r="FK448">
        <v>2015</v>
      </c>
      <c r="FL448">
        <v>31.86</v>
      </c>
      <c r="FM448" t="s">
        <v>4957</v>
      </c>
      <c r="FN448">
        <v>18</v>
      </c>
      <c r="FO448" t="s">
        <v>603</v>
      </c>
      <c r="FP448" t="s">
        <v>454</v>
      </c>
      <c r="FR448">
        <v>24</v>
      </c>
      <c r="FS448">
        <v>9999999</v>
      </c>
      <c r="FT448" t="s">
        <v>604</v>
      </c>
      <c r="FV448" s="1">
        <v>42151</v>
      </c>
      <c r="FW448">
        <v>2014</v>
      </c>
      <c r="FX448">
        <v>49.39</v>
      </c>
      <c r="FY448" t="s">
        <v>4958</v>
      </c>
      <c r="FZ448">
        <v>18</v>
      </c>
      <c r="GA448" t="s">
        <v>603</v>
      </c>
      <c r="GB448" t="s">
        <v>454</v>
      </c>
      <c r="GD448">
        <v>36</v>
      </c>
      <c r="GE448">
        <v>9999999</v>
      </c>
      <c r="GF448" t="s">
        <v>604</v>
      </c>
      <c r="GH448" s="1">
        <v>42151</v>
      </c>
      <c r="GI448">
        <v>2014</v>
      </c>
      <c r="GJ448">
        <v>65.27</v>
      </c>
      <c r="GK448" t="s">
        <v>4958</v>
      </c>
      <c r="GL448">
        <v>18</v>
      </c>
      <c r="GM448" t="s">
        <v>424</v>
      </c>
      <c r="GN448" t="s">
        <v>454</v>
      </c>
      <c r="GP448">
        <v>36</v>
      </c>
      <c r="GQ448">
        <v>10647</v>
      </c>
      <c r="GR448" t="s">
        <v>4602</v>
      </c>
      <c r="GT448" s="1">
        <v>41787</v>
      </c>
      <c r="GU448">
        <v>2013</v>
      </c>
      <c r="GV448">
        <v>46.55</v>
      </c>
      <c r="GW448" t="s">
        <v>4959</v>
      </c>
      <c r="GX448">
        <v>18</v>
      </c>
      <c r="GY448" t="s">
        <v>603</v>
      </c>
      <c r="GZ448" t="s">
        <v>454</v>
      </c>
      <c r="HB448">
        <v>48</v>
      </c>
      <c r="HC448">
        <v>9999999</v>
      </c>
      <c r="HD448" t="s">
        <v>604</v>
      </c>
      <c r="HF448" s="1">
        <v>41787</v>
      </c>
      <c r="HG448">
        <v>2013</v>
      </c>
      <c r="HH448">
        <v>54.89</v>
      </c>
      <c r="HI448" t="s">
        <v>4959</v>
      </c>
      <c r="HJ448">
        <v>18</v>
      </c>
      <c r="HK448" t="s">
        <v>424</v>
      </c>
      <c r="HL448" t="s">
        <v>454</v>
      </c>
      <c r="HN448">
        <v>48</v>
      </c>
      <c r="HO448">
        <v>4844951</v>
      </c>
      <c r="HP448" t="s">
        <v>697</v>
      </c>
    </row>
    <row r="449" spans="1:260" x14ac:dyDescent="0.25">
      <c r="A449">
        <v>16485456</v>
      </c>
      <c r="B449">
        <v>448</v>
      </c>
      <c r="C449" t="s">
        <v>393</v>
      </c>
      <c r="D449" t="s">
        <v>394</v>
      </c>
      <c r="F449" t="str">
        <f>"08-3N-24-2380-0138-0130"</f>
        <v>08-3N-24-2380-0138-0130</v>
      </c>
      <c r="H449" t="str">
        <f>"HOLLEY MARCUS &amp; NICOLA"</f>
        <v>HOLLEY MARCUS &amp; NICOLA</v>
      </c>
      <c r="I449" t="str">
        <f>"PO BOX 940"</f>
        <v>PO BOX 940</v>
      </c>
      <c r="J449" t="str">
        <f>"HILLIARD FL 32046"</f>
        <v>HILLIARD FL 32046</v>
      </c>
      <c r="K449" t="str">
        <f>"27273 W THIRD AV"</f>
        <v>27273 W THIRD AV</v>
      </c>
      <c r="L449" t="str">
        <f t="shared" si="132"/>
        <v>HILLIARD FL 32046</v>
      </c>
      <c r="M449" t="str">
        <f>"BLOCK 138 LOTS 13 TO 18 OR 1463/1700 R224171 1989 WEST SW/MH 1986 SEVI SW/MH TOWN OF HILLIARD"</f>
        <v>BLOCK 138 LOTS 13 TO 18 OR 1463/1700 R224171 1989 WEST SW/MH 1986 SEVI SW/MH TOWN OF HILLIARD</v>
      </c>
      <c r="N449" t="str">
        <f>""</f>
        <v/>
      </c>
      <c r="O449" t="str">
        <f>"23774"</f>
        <v>23774</v>
      </c>
      <c r="P449" t="str">
        <f t="shared" si="119"/>
        <v>2017</v>
      </c>
      <c r="Q449" t="str">
        <f>""</f>
        <v/>
      </c>
      <c r="R449" t="str">
        <f t="shared" si="136"/>
        <v>N</v>
      </c>
      <c r="S449" t="str">
        <f>""</f>
        <v/>
      </c>
      <c r="T449" t="str">
        <f>"633.31"</f>
        <v>633.31</v>
      </c>
      <c r="U449" t="str">
        <f>"41844.00"</f>
        <v>41844.00</v>
      </c>
      <c r="V449" t="str">
        <f>"41844.00"</f>
        <v>41844.00</v>
      </c>
      <c r="W449" t="str">
        <f t="shared" si="120"/>
        <v>2017</v>
      </c>
      <c r="X449" t="str">
        <f>"15.43"</f>
        <v>15.43</v>
      </c>
      <c r="Y449" t="str">
        <f>"684.31"</f>
        <v>684.31</v>
      </c>
      <c r="Z449" t="str">
        <f>""</f>
        <v/>
      </c>
      <c r="AA449" t="str">
        <f>"49263.00"</f>
        <v>49263.00</v>
      </c>
      <c r="AB449" t="str">
        <f t="shared" si="133"/>
        <v>Residential</v>
      </c>
      <c r="AC449" t="str">
        <f t="shared" si="121"/>
        <v>0</v>
      </c>
      <c r="AD449" t="str">
        <f>"4"</f>
        <v>4</v>
      </c>
      <c r="AE449" t="str">
        <f>"WOOD (INCLUDE STEEL STUDS)"</f>
        <v>WOOD (INCLUDE STEEL STUDS)</v>
      </c>
      <c r="AF449" t="str">
        <f>"002"</f>
        <v>002</v>
      </c>
      <c r="AG449" t="str">
        <f>"FL"</f>
        <v>FL</v>
      </c>
      <c r="AH449" t="str">
        <f>"18750.00"</f>
        <v>18750.00</v>
      </c>
      <c r="AI449" t="str">
        <f>"22500.00"</f>
        <v>22500.00</v>
      </c>
      <c r="AJ449" t="str">
        <f>"C55-000-586-7797-2"</f>
        <v>C55-000-586-7797-2</v>
      </c>
      <c r="AK449" t="str">
        <f>"6544"</f>
        <v>6544</v>
      </c>
      <c r="AL449">
        <v>2</v>
      </c>
      <c r="AM449">
        <v>519</v>
      </c>
      <c r="AN449">
        <v>716.93</v>
      </c>
      <c r="AQ449" t="s">
        <v>4960</v>
      </c>
      <c r="AR449" t="s">
        <v>4960</v>
      </c>
      <c r="AS449" t="s">
        <v>4960</v>
      </c>
      <c r="AU449" t="s">
        <v>396</v>
      </c>
      <c r="AV449">
        <v>2017</v>
      </c>
      <c r="AW449" t="str">
        <f>"08-3N-24-2380-0138-0130 "</f>
        <v xml:space="preserve">08-3N-24-2380-0138-0130 </v>
      </c>
      <c r="AX449">
        <v>27273</v>
      </c>
      <c r="AY449" t="s">
        <v>4459</v>
      </c>
      <c r="AZ449" t="s">
        <v>4910</v>
      </c>
      <c r="BA449" t="s">
        <v>1122</v>
      </c>
      <c r="BD449" t="s">
        <v>398</v>
      </c>
      <c r="BE449" t="s">
        <v>393</v>
      </c>
      <c r="BF449">
        <v>32046</v>
      </c>
      <c r="BG449" t="s">
        <v>4961</v>
      </c>
      <c r="BH449" t="s">
        <v>400</v>
      </c>
      <c r="BI449">
        <v>-81.931893353056196</v>
      </c>
      <c r="BJ449">
        <v>30.687972449416002</v>
      </c>
      <c r="BK449" t="s">
        <v>2207</v>
      </c>
      <c r="BM449" t="s">
        <v>4962</v>
      </c>
      <c r="BN449" t="s">
        <v>403</v>
      </c>
      <c r="BO449">
        <v>32046</v>
      </c>
      <c r="BP449" t="s">
        <v>404</v>
      </c>
      <c r="BQ449">
        <v>200</v>
      </c>
      <c r="BR449" t="s">
        <v>405</v>
      </c>
      <c r="BS449">
        <v>1006</v>
      </c>
      <c r="BT449" t="s">
        <v>406</v>
      </c>
      <c r="BU449">
        <v>1500</v>
      </c>
      <c r="BV449">
        <v>1250</v>
      </c>
      <c r="BW449">
        <v>18750</v>
      </c>
      <c r="BX449" t="s">
        <v>407</v>
      </c>
      <c r="BY449" t="s">
        <v>4779</v>
      </c>
      <c r="BZ449">
        <v>4</v>
      </c>
      <c r="CA449">
        <v>1985</v>
      </c>
      <c r="CB449">
        <v>1</v>
      </c>
      <c r="CC449">
        <v>2</v>
      </c>
      <c r="CD449">
        <v>2017</v>
      </c>
      <c r="CE449">
        <v>22500</v>
      </c>
      <c r="CF449">
        <v>26763</v>
      </c>
      <c r="CG449">
        <v>49263</v>
      </c>
      <c r="CH449">
        <v>2017</v>
      </c>
      <c r="CI449">
        <v>22500</v>
      </c>
      <c r="CJ449">
        <v>26763</v>
      </c>
      <c r="CK449">
        <v>49263</v>
      </c>
      <c r="CL449">
        <v>2017</v>
      </c>
      <c r="CM449">
        <v>633.30999999999995</v>
      </c>
      <c r="CN449" s="1">
        <v>39057</v>
      </c>
      <c r="CO449">
        <v>63000</v>
      </c>
      <c r="CV449">
        <v>0</v>
      </c>
      <c r="CZ449" s="1">
        <v>39057</v>
      </c>
      <c r="DA449">
        <v>0</v>
      </c>
      <c r="DD449" t="s">
        <v>398</v>
      </c>
      <c r="DG449">
        <v>8</v>
      </c>
      <c r="DL449">
        <v>50400</v>
      </c>
      <c r="DM449" t="s">
        <v>4465</v>
      </c>
      <c r="DO449" t="s">
        <v>4963</v>
      </c>
      <c r="DP449">
        <v>0</v>
      </c>
      <c r="DQ449">
        <v>0</v>
      </c>
      <c r="DR449" t="s">
        <v>411</v>
      </c>
      <c r="DS449" t="b">
        <v>1</v>
      </c>
      <c r="DT449" t="s">
        <v>470</v>
      </c>
      <c r="DU449" t="s">
        <v>471</v>
      </c>
      <c r="DV449" t="s">
        <v>472</v>
      </c>
      <c r="DX449">
        <v>-9999</v>
      </c>
      <c r="DZ449" t="s">
        <v>447</v>
      </c>
      <c r="EA449" t="s">
        <v>448</v>
      </c>
      <c r="EB449" t="s">
        <v>1224</v>
      </c>
      <c r="EC449">
        <v>20101217</v>
      </c>
      <c r="ED449" t="s">
        <v>474</v>
      </c>
      <c r="EF449">
        <v>873.8</v>
      </c>
      <c r="EG449">
        <v>873.8</v>
      </c>
      <c r="EI449">
        <v>20160407</v>
      </c>
      <c r="EJ449">
        <v>0</v>
      </c>
      <c r="EK449">
        <v>0</v>
      </c>
      <c r="EP449" t="s">
        <v>421</v>
      </c>
      <c r="EQ449" t="s">
        <v>422</v>
      </c>
      <c r="ER449">
        <v>0</v>
      </c>
      <c r="ES449">
        <v>7</v>
      </c>
      <c r="ET449">
        <v>0</v>
      </c>
      <c r="EU449">
        <v>0</v>
      </c>
      <c r="EV449">
        <v>0</v>
      </c>
      <c r="EW449" s="2">
        <v>43222</v>
      </c>
      <c r="EX449" s="1">
        <v>42515</v>
      </c>
      <c r="EY449">
        <v>2015</v>
      </c>
      <c r="EZ449">
        <v>674.72</v>
      </c>
      <c r="FA449" t="s">
        <v>4964</v>
      </c>
      <c r="FB449">
        <v>13.75</v>
      </c>
      <c r="FC449" t="s">
        <v>424</v>
      </c>
      <c r="FD449" t="s">
        <v>425</v>
      </c>
      <c r="FE449" s="1">
        <v>42808</v>
      </c>
      <c r="FF449">
        <v>10</v>
      </c>
      <c r="FG449">
        <v>2035919</v>
      </c>
      <c r="FH449" t="s">
        <v>507</v>
      </c>
      <c r="FJ449" s="1">
        <v>42151</v>
      </c>
      <c r="FK449">
        <v>2014</v>
      </c>
      <c r="FL449">
        <v>521.89</v>
      </c>
      <c r="FM449" t="s">
        <v>4965</v>
      </c>
      <c r="FN449">
        <v>0.25</v>
      </c>
      <c r="FO449" t="s">
        <v>424</v>
      </c>
      <c r="FP449" t="s">
        <v>425</v>
      </c>
      <c r="FQ449" s="1">
        <v>42808</v>
      </c>
      <c r="FR449">
        <v>22</v>
      </c>
      <c r="FS449">
        <v>2851116</v>
      </c>
      <c r="FT449" t="s">
        <v>480</v>
      </c>
      <c r="FV449" s="1">
        <v>42151</v>
      </c>
      <c r="FW449">
        <v>2014</v>
      </c>
      <c r="FX449">
        <v>521.89</v>
      </c>
      <c r="FY449" t="s">
        <v>4965</v>
      </c>
      <c r="FZ449">
        <v>0.25</v>
      </c>
      <c r="GA449" t="s">
        <v>424</v>
      </c>
      <c r="GB449" t="s">
        <v>425</v>
      </c>
      <c r="GD449">
        <v>22</v>
      </c>
      <c r="GE449">
        <v>5304058</v>
      </c>
      <c r="GF449" t="s">
        <v>4966</v>
      </c>
      <c r="GH449" s="1">
        <v>41787</v>
      </c>
      <c r="GI449">
        <v>2013</v>
      </c>
      <c r="GJ449">
        <v>692.91</v>
      </c>
      <c r="GK449" t="s">
        <v>4967</v>
      </c>
      <c r="GL449">
        <v>0.25</v>
      </c>
      <c r="GM449" t="s">
        <v>424</v>
      </c>
      <c r="GN449" t="s">
        <v>425</v>
      </c>
      <c r="GP449">
        <v>22</v>
      </c>
      <c r="GQ449">
        <v>2407503</v>
      </c>
      <c r="GR449" t="s">
        <v>461</v>
      </c>
      <c r="GT449" s="1">
        <v>41787</v>
      </c>
      <c r="GU449">
        <v>2013</v>
      </c>
      <c r="GV449">
        <v>692.91</v>
      </c>
      <c r="GW449" t="s">
        <v>4967</v>
      </c>
      <c r="GX449">
        <v>0.25</v>
      </c>
      <c r="GY449" t="s">
        <v>424</v>
      </c>
      <c r="GZ449" t="s">
        <v>425</v>
      </c>
      <c r="HA449" s="1">
        <v>42808</v>
      </c>
      <c r="HB449">
        <v>34</v>
      </c>
      <c r="HC449">
        <v>7045068</v>
      </c>
      <c r="HD449" t="s">
        <v>4968</v>
      </c>
      <c r="HF449" s="1">
        <v>41423</v>
      </c>
      <c r="HG449">
        <v>2012</v>
      </c>
      <c r="HH449">
        <v>676.32</v>
      </c>
      <c r="HI449" t="s">
        <v>4969</v>
      </c>
      <c r="HJ449">
        <v>3.25</v>
      </c>
      <c r="HK449" t="s">
        <v>424</v>
      </c>
      <c r="HL449" t="s">
        <v>425</v>
      </c>
      <c r="HM449" s="1">
        <v>41759</v>
      </c>
      <c r="HN449">
        <v>11</v>
      </c>
      <c r="HO449">
        <v>15399</v>
      </c>
      <c r="HP449" t="s">
        <v>485</v>
      </c>
      <c r="HR449" s="1">
        <v>40688</v>
      </c>
      <c r="HS449">
        <v>2010</v>
      </c>
      <c r="HT449">
        <v>800.69</v>
      </c>
      <c r="HU449" t="s">
        <v>4970</v>
      </c>
      <c r="HV449">
        <v>7.5</v>
      </c>
      <c r="HW449" t="s">
        <v>424</v>
      </c>
      <c r="HX449" t="s">
        <v>425</v>
      </c>
      <c r="HY449" s="1">
        <v>41015</v>
      </c>
      <c r="HZ449">
        <v>11</v>
      </c>
      <c r="IA449">
        <v>10579</v>
      </c>
      <c r="IB449" t="s">
        <v>488</v>
      </c>
    </row>
    <row r="450" spans="1:260" x14ac:dyDescent="0.25">
      <c r="A450">
        <v>16485457</v>
      </c>
      <c r="B450">
        <v>449</v>
      </c>
      <c r="C450" t="s">
        <v>393</v>
      </c>
      <c r="D450" t="s">
        <v>394</v>
      </c>
      <c r="F450" t="str">
        <f>"08-3N-24-2380-0140-0110"</f>
        <v>08-3N-24-2380-0140-0110</v>
      </c>
      <c r="H450" t="str">
        <f>"BADER ULRICH C/O JOHN K CONNERS"</f>
        <v>BADER ULRICH C/O JOHN K CONNERS</v>
      </c>
      <c r="I450" t="str">
        <f>"804 EMERALD BAY"</f>
        <v>804 EMERALD BAY</v>
      </c>
      <c r="J450" t="str">
        <f>"LAGUNA BEACH CA 92657"</f>
        <v>LAGUNA BEACH CA 92657</v>
      </c>
      <c r="K450" t="str">
        <f>"FOURTH AV"</f>
        <v>FOURTH AV</v>
      </c>
      <c r="L450" t="str">
        <f t="shared" si="132"/>
        <v>HILLIARD FL 32046</v>
      </c>
      <c r="M450" t="str">
        <f>"BLOCK 140 LOTS 11 12 TOWN OF HILLIARD"</f>
        <v>BLOCK 140 LOTS 11 12 TOWN OF HILLIARD</v>
      </c>
      <c r="N450" t="str">
        <f>""</f>
        <v/>
      </c>
      <c r="O450" t="str">
        <f>"23789"</f>
        <v>23789</v>
      </c>
      <c r="P450" t="str">
        <f t="shared" ref="P450:P513" si="137">"2017"</f>
        <v>2017</v>
      </c>
      <c r="Q450" t="str">
        <f>""</f>
        <v/>
      </c>
      <c r="R450" t="str">
        <f t="shared" si="136"/>
        <v>N</v>
      </c>
      <c r="S450" t="str">
        <f>""</f>
        <v/>
      </c>
      <c r="T450" t="str">
        <f>"17.46"</f>
        <v>17.46</v>
      </c>
      <c r="U450" t="str">
        <f>"1250.00"</f>
        <v>1250.00</v>
      </c>
      <c r="V450" t="str">
        <f>"1250.00"</f>
        <v>1250.00</v>
      </c>
      <c r="W450" t="str">
        <f t="shared" ref="W450:W513" si="138">"2017"</f>
        <v>2017</v>
      </c>
      <c r="X450" t="str">
        <f>""</f>
        <v/>
      </c>
      <c r="Y450" t="str">
        <f>"49.98"</f>
        <v>49.98</v>
      </c>
      <c r="Z450" t="str">
        <f>""</f>
        <v/>
      </c>
      <c r="AA450" t="str">
        <f>"1250.00"</f>
        <v>1250.00</v>
      </c>
      <c r="AB450" t="str">
        <f t="shared" si="133"/>
        <v>Residential</v>
      </c>
      <c r="AC450" t="str">
        <f t="shared" ref="AC450:AC513" si="139">"0"</f>
        <v>0</v>
      </c>
      <c r="AD450" t="str">
        <f>""</f>
        <v/>
      </c>
      <c r="AE450" t="str">
        <f>""</f>
        <v/>
      </c>
      <c r="AF450" t="str">
        <f>"000"</f>
        <v>000</v>
      </c>
      <c r="AG450" t="str">
        <f>"CA"</f>
        <v>CA</v>
      </c>
      <c r="AH450" t="str">
        <f>"6250.00"</f>
        <v>6250.00</v>
      </c>
      <c r="AI450" t="str">
        <f>"1250.00"</f>
        <v>1250.00</v>
      </c>
      <c r="AJ450" t="str">
        <f>"C55-000-586-7809-5"</f>
        <v>C55-000-586-7809-5</v>
      </c>
      <c r="AK450" t="str">
        <f>"6559"</f>
        <v>6559</v>
      </c>
      <c r="AL450">
        <v>2</v>
      </c>
      <c r="AM450">
        <v>520</v>
      </c>
      <c r="AN450">
        <v>50.88</v>
      </c>
      <c r="AQ450" t="s">
        <v>4971</v>
      </c>
      <c r="AR450" t="s">
        <v>4971</v>
      </c>
      <c r="AS450" t="s">
        <v>4971</v>
      </c>
      <c r="AU450" t="s">
        <v>396</v>
      </c>
      <c r="AV450">
        <v>2017</v>
      </c>
      <c r="AW450" t="str">
        <f>"08-3N-24-2380-0140-0110 "</f>
        <v xml:space="preserve">08-3N-24-2380-0140-0110 </v>
      </c>
      <c r="AZ450" t="s">
        <v>4515</v>
      </c>
      <c r="BA450" t="s">
        <v>1122</v>
      </c>
      <c r="BD450" t="s">
        <v>398</v>
      </c>
      <c r="BE450" t="s">
        <v>393</v>
      </c>
      <c r="BF450">
        <v>32046</v>
      </c>
      <c r="BG450" t="s">
        <v>4972</v>
      </c>
      <c r="BH450" t="s">
        <v>400</v>
      </c>
      <c r="BI450">
        <v>-81.929781804187698</v>
      </c>
      <c r="BJ450">
        <v>30.688458413806501</v>
      </c>
      <c r="BK450" t="s">
        <v>4973</v>
      </c>
      <c r="BL450" t="s">
        <v>4974</v>
      </c>
      <c r="BM450" t="s">
        <v>4975</v>
      </c>
      <c r="BN450" t="s">
        <v>4976</v>
      </c>
      <c r="BO450">
        <v>92657</v>
      </c>
      <c r="BP450" t="s">
        <v>404</v>
      </c>
      <c r="BQ450">
        <v>0</v>
      </c>
      <c r="BR450" t="s">
        <v>491</v>
      </c>
      <c r="BS450">
        <v>8001</v>
      </c>
      <c r="BT450" t="s">
        <v>492</v>
      </c>
      <c r="BU450">
        <v>500</v>
      </c>
      <c r="BV450">
        <v>1250</v>
      </c>
      <c r="BW450">
        <v>6250</v>
      </c>
      <c r="BX450" t="s">
        <v>407</v>
      </c>
      <c r="BY450" t="s">
        <v>4779</v>
      </c>
      <c r="CD450">
        <v>2017</v>
      </c>
      <c r="CE450">
        <v>1250</v>
      </c>
      <c r="CG450">
        <v>1250</v>
      </c>
      <c r="CH450">
        <v>2017</v>
      </c>
      <c r="CI450">
        <v>1250</v>
      </c>
      <c r="CK450">
        <v>1250</v>
      </c>
      <c r="CL450">
        <v>2017</v>
      </c>
      <c r="CM450">
        <v>17.46</v>
      </c>
      <c r="DD450" t="s">
        <v>398</v>
      </c>
      <c r="DG450">
        <v>8</v>
      </c>
      <c r="DL450">
        <v>50400</v>
      </c>
      <c r="DM450" t="s">
        <v>4465</v>
      </c>
      <c r="DO450" t="s">
        <v>4977</v>
      </c>
      <c r="DP450">
        <v>0</v>
      </c>
      <c r="DQ450">
        <v>0</v>
      </c>
      <c r="DR450" t="s">
        <v>411</v>
      </c>
      <c r="DS450" t="b">
        <v>1</v>
      </c>
      <c r="DT450" t="s">
        <v>470</v>
      </c>
      <c r="DU450" t="s">
        <v>471</v>
      </c>
      <c r="DV450" t="s">
        <v>472</v>
      </c>
      <c r="DX450">
        <v>-9999</v>
      </c>
      <c r="DZ450" t="s">
        <v>447</v>
      </c>
      <c r="EA450" t="s">
        <v>448</v>
      </c>
      <c r="EB450" t="s">
        <v>1224</v>
      </c>
      <c r="EC450">
        <v>20101217</v>
      </c>
      <c r="ED450" t="s">
        <v>474</v>
      </c>
      <c r="EF450">
        <v>371</v>
      </c>
      <c r="EG450">
        <v>371</v>
      </c>
      <c r="EI450">
        <v>20160407</v>
      </c>
      <c r="EJ450">
        <v>0</v>
      </c>
      <c r="EK450">
        <v>0</v>
      </c>
      <c r="EP450" t="s">
        <v>595</v>
      </c>
      <c r="EQ450" t="s">
        <v>422</v>
      </c>
      <c r="ER450">
        <v>8</v>
      </c>
      <c r="ES450">
        <v>0</v>
      </c>
      <c r="ET450">
        <v>561.98</v>
      </c>
      <c r="EU450">
        <v>525.23</v>
      </c>
      <c r="EV450">
        <v>1087.21</v>
      </c>
      <c r="EW450" s="2">
        <v>43222</v>
      </c>
      <c r="EX450" s="1">
        <v>42879</v>
      </c>
      <c r="EY450">
        <v>2016</v>
      </c>
      <c r="EZ450">
        <v>46.22</v>
      </c>
      <c r="FA450" t="s">
        <v>4978</v>
      </c>
      <c r="FB450">
        <v>18</v>
      </c>
      <c r="FC450" t="s">
        <v>603</v>
      </c>
      <c r="FD450" t="s">
        <v>454</v>
      </c>
      <c r="FF450">
        <v>12</v>
      </c>
      <c r="FG450">
        <v>9999999</v>
      </c>
      <c r="FH450" t="s">
        <v>604</v>
      </c>
      <c r="FJ450" s="1">
        <v>42515</v>
      </c>
      <c r="FK450">
        <v>2015</v>
      </c>
      <c r="FL450">
        <v>41.75</v>
      </c>
      <c r="FM450" t="s">
        <v>4979</v>
      </c>
      <c r="FN450">
        <v>18</v>
      </c>
      <c r="FO450" t="s">
        <v>603</v>
      </c>
      <c r="FP450" t="s">
        <v>454</v>
      </c>
      <c r="FR450">
        <v>24</v>
      </c>
      <c r="FS450">
        <v>9999999</v>
      </c>
      <c r="FT450" t="s">
        <v>604</v>
      </c>
      <c r="FV450" s="1">
        <v>42151</v>
      </c>
      <c r="FW450">
        <v>2014</v>
      </c>
      <c r="FX450">
        <v>79.73</v>
      </c>
      <c r="FY450" t="s">
        <v>4980</v>
      </c>
      <c r="FZ450">
        <v>18</v>
      </c>
      <c r="GA450" t="s">
        <v>424</v>
      </c>
      <c r="GB450" t="s">
        <v>454</v>
      </c>
      <c r="GD450">
        <v>36</v>
      </c>
      <c r="GE450">
        <v>10125</v>
      </c>
      <c r="GF450" t="s">
        <v>440</v>
      </c>
      <c r="GH450" s="1">
        <v>41787</v>
      </c>
      <c r="GI450">
        <v>2013</v>
      </c>
      <c r="GJ450">
        <v>76.45</v>
      </c>
      <c r="GK450" t="s">
        <v>4981</v>
      </c>
      <c r="GL450">
        <v>18</v>
      </c>
      <c r="GM450" t="s">
        <v>603</v>
      </c>
      <c r="GN450" t="s">
        <v>454</v>
      </c>
      <c r="GP450">
        <v>48</v>
      </c>
      <c r="GQ450">
        <v>9999999</v>
      </c>
      <c r="GR450" t="s">
        <v>604</v>
      </c>
      <c r="GT450" s="1">
        <v>41423</v>
      </c>
      <c r="GU450">
        <v>2012</v>
      </c>
      <c r="GV450">
        <v>77.209999999999994</v>
      </c>
      <c r="GW450" t="s">
        <v>4982</v>
      </c>
      <c r="GX450">
        <v>16.75</v>
      </c>
      <c r="GY450" t="s">
        <v>424</v>
      </c>
      <c r="GZ450" t="s">
        <v>454</v>
      </c>
      <c r="HB450">
        <v>60</v>
      </c>
      <c r="HC450">
        <v>10125</v>
      </c>
      <c r="HD450" t="s">
        <v>440</v>
      </c>
      <c r="HF450" s="1">
        <v>41052</v>
      </c>
      <c r="HG450">
        <v>2011</v>
      </c>
      <c r="HH450">
        <v>78.13</v>
      </c>
      <c r="HI450" t="s">
        <v>4983</v>
      </c>
      <c r="HJ450">
        <v>18</v>
      </c>
      <c r="HK450" t="s">
        <v>424</v>
      </c>
      <c r="HL450" t="s">
        <v>454</v>
      </c>
      <c r="HN450">
        <v>72</v>
      </c>
      <c r="HO450">
        <v>10125</v>
      </c>
      <c r="HP450" t="s">
        <v>440</v>
      </c>
      <c r="HR450" s="1">
        <v>40688</v>
      </c>
      <c r="HS450">
        <v>2010</v>
      </c>
      <c r="HT450">
        <v>84.95</v>
      </c>
      <c r="HU450" t="s">
        <v>4984</v>
      </c>
      <c r="HV450">
        <v>18</v>
      </c>
      <c r="HW450" t="s">
        <v>424</v>
      </c>
      <c r="HX450" t="s">
        <v>454</v>
      </c>
      <c r="HZ450">
        <v>84</v>
      </c>
      <c r="IA450">
        <v>11521</v>
      </c>
      <c r="IB450" t="s">
        <v>4985</v>
      </c>
      <c r="ID450" s="1">
        <v>40688</v>
      </c>
      <c r="IE450">
        <v>2010</v>
      </c>
      <c r="IF450">
        <v>77.540000000000006</v>
      </c>
      <c r="IG450" t="s">
        <v>4984</v>
      </c>
      <c r="IH450">
        <v>18</v>
      </c>
      <c r="II450" t="s">
        <v>603</v>
      </c>
      <c r="IJ450" t="s">
        <v>454</v>
      </c>
      <c r="IL450">
        <v>84</v>
      </c>
      <c r="IM450">
        <v>9999999</v>
      </c>
      <c r="IN450" t="s">
        <v>604</v>
      </c>
    </row>
    <row r="451" spans="1:260" x14ac:dyDescent="0.25">
      <c r="A451">
        <v>16485458</v>
      </c>
      <c r="B451">
        <v>450</v>
      </c>
      <c r="C451" t="s">
        <v>393</v>
      </c>
      <c r="D451" t="s">
        <v>394</v>
      </c>
      <c r="F451" t="str">
        <f>"08-3N-24-2380-0145-0070"</f>
        <v>08-3N-24-2380-0145-0070</v>
      </c>
      <c r="H451" t="str">
        <f>"HOLLEY MARCUS W"</f>
        <v>HOLLEY MARCUS W</v>
      </c>
      <c r="I451" t="str">
        <f>"PO BOX 940"</f>
        <v>PO BOX 940</v>
      </c>
      <c r="J451" t="str">
        <f>"HILLIARD FL 32046"</f>
        <v>HILLIARD FL 32046</v>
      </c>
      <c r="K451" t="str">
        <f>"27247 THIRD AVE W"</f>
        <v>27247 THIRD AVE W</v>
      </c>
      <c r="L451" t="str">
        <f t="shared" si="132"/>
        <v>HILLIARD FL 32046</v>
      </c>
      <c r="M451" t="str">
        <f>"BLOCK 145 LOTS 7 8 9 10 11 12 IN OR 1732/1697 1996 FLTWD SW/MH TOWN OF HILLIARD"</f>
        <v>BLOCK 145 LOTS 7 8 9 10 11 12 IN OR 1732/1697 1996 FLTWD SW/MH TOWN OF HILLIARD</v>
      </c>
      <c r="N451" t="str">
        <f>""</f>
        <v/>
      </c>
      <c r="O451" t="str">
        <f>"23803"</f>
        <v>23803</v>
      </c>
      <c r="P451" t="str">
        <f t="shared" si="137"/>
        <v>2017</v>
      </c>
      <c r="Q451" t="str">
        <f>""</f>
        <v/>
      </c>
      <c r="R451" t="str">
        <f t="shared" si="136"/>
        <v>N</v>
      </c>
      <c r="S451" t="str">
        <f>""</f>
        <v/>
      </c>
      <c r="T451" t="str">
        <f>"682.48"</f>
        <v>682.48</v>
      </c>
      <c r="U451" t="str">
        <f>"46519.00"</f>
        <v>46519.00</v>
      </c>
      <c r="V451" t="str">
        <f>"46519.00"</f>
        <v>46519.00</v>
      </c>
      <c r="W451" t="str">
        <f t="shared" si="138"/>
        <v>2017</v>
      </c>
      <c r="X451" t="str">
        <f>"14.60"</f>
        <v>14.60</v>
      </c>
      <c r="Y451" t="str">
        <f>"734.95"</f>
        <v>734.95</v>
      </c>
      <c r="Z451" t="str">
        <f>""</f>
        <v/>
      </c>
      <c r="AA451" t="str">
        <f>"51495.00"</f>
        <v>51495.00</v>
      </c>
      <c r="AB451" t="str">
        <f t="shared" si="133"/>
        <v>Residential</v>
      </c>
      <c r="AC451" t="str">
        <f t="shared" si="139"/>
        <v>0</v>
      </c>
      <c r="AD451" t="str">
        <f>"4"</f>
        <v>4</v>
      </c>
      <c r="AE451" t="str">
        <f>"WOOD (INCLUDE STEEL STUDS)"</f>
        <v>WOOD (INCLUDE STEEL STUDS)</v>
      </c>
      <c r="AF451" t="str">
        <f>"002"</f>
        <v>002</v>
      </c>
      <c r="AG451" t="str">
        <f>"FL"</f>
        <v>FL</v>
      </c>
      <c r="AH451" t="str">
        <f>"18750.00"</f>
        <v>18750.00</v>
      </c>
      <c r="AI451" t="str">
        <f>"22500.00"</f>
        <v>22500.00</v>
      </c>
      <c r="AJ451" t="str">
        <f>"C55-000-586-7816-0"</f>
        <v>C55-000-586-7816-0</v>
      </c>
      <c r="AK451" t="str">
        <f>"6566"</f>
        <v>6566</v>
      </c>
      <c r="AL451">
        <v>2</v>
      </c>
      <c r="AM451">
        <v>521</v>
      </c>
      <c r="AN451">
        <v>770.1</v>
      </c>
      <c r="AQ451" t="s">
        <v>4986</v>
      </c>
      <c r="AR451" t="s">
        <v>4986</v>
      </c>
      <c r="AS451" t="s">
        <v>4986</v>
      </c>
      <c r="AU451" t="s">
        <v>396</v>
      </c>
      <c r="AV451">
        <v>2017</v>
      </c>
      <c r="AW451" t="str">
        <f>"08-3N-24-2380-0145-0070 "</f>
        <v xml:space="preserve">08-3N-24-2380-0145-0070 </v>
      </c>
      <c r="AX451">
        <v>27247</v>
      </c>
      <c r="AZ451" t="s">
        <v>4910</v>
      </c>
      <c r="BA451" t="s">
        <v>1112</v>
      </c>
      <c r="BB451" t="s">
        <v>4459</v>
      </c>
      <c r="BD451" t="s">
        <v>398</v>
      </c>
      <c r="BE451" t="s">
        <v>393</v>
      </c>
      <c r="BF451">
        <v>32046</v>
      </c>
      <c r="BG451" t="s">
        <v>4987</v>
      </c>
      <c r="BH451" t="s">
        <v>400</v>
      </c>
      <c r="BI451">
        <v>-81.930726815458797</v>
      </c>
      <c r="BJ451">
        <v>30.6875039111322</v>
      </c>
      <c r="BK451" t="s">
        <v>4988</v>
      </c>
      <c r="BM451" t="s">
        <v>4962</v>
      </c>
      <c r="BN451" t="s">
        <v>403</v>
      </c>
      <c r="BO451">
        <v>32046</v>
      </c>
      <c r="BP451" t="s">
        <v>404</v>
      </c>
      <c r="BQ451">
        <v>200</v>
      </c>
      <c r="BR451" t="s">
        <v>405</v>
      </c>
      <c r="BS451">
        <v>1006</v>
      </c>
      <c r="BT451" t="s">
        <v>406</v>
      </c>
      <c r="BU451">
        <v>1500</v>
      </c>
      <c r="BV451">
        <v>1250</v>
      </c>
      <c r="BW451">
        <v>18749</v>
      </c>
      <c r="BX451" t="s">
        <v>407</v>
      </c>
      <c r="BY451" t="s">
        <v>4779</v>
      </c>
      <c r="BZ451">
        <v>4</v>
      </c>
      <c r="CA451">
        <v>1996</v>
      </c>
      <c r="CB451">
        <v>1</v>
      </c>
      <c r="CC451">
        <v>1</v>
      </c>
      <c r="CD451">
        <v>2017</v>
      </c>
      <c r="CE451">
        <v>22500</v>
      </c>
      <c r="CF451">
        <v>28995</v>
      </c>
      <c r="CG451">
        <v>51495</v>
      </c>
      <c r="CH451">
        <v>2017</v>
      </c>
      <c r="CI451">
        <v>22500</v>
      </c>
      <c r="CJ451">
        <v>28995</v>
      </c>
      <c r="CK451">
        <v>51495</v>
      </c>
      <c r="CL451">
        <v>2017</v>
      </c>
      <c r="CM451">
        <v>682.48</v>
      </c>
      <c r="CN451" s="1">
        <v>40644</v>
      </c>
      <c r="CO451">
        <v>24000</v>
      </c>
      <c r="CV451">
        <v>21600</v>
      </c>
      <c r="CX451" t="s">
        <v>675</v>
      </c>
      <c r="CZ451" s="1">
        <v>40644</v>
      </c>
      <c r="DA451">
        <v>0</v>
      </c>
      <c r="DD451" t="s">
        <v>398</v>
      </c>
      <c r="DG451">
        <v>8</v>
      </c>
      <c r="DL451">
        <v>50400</v>
      </c>
      <c r="DM451" t="s">
        <v>4465</v>
      </c>
      <c r="DO451" t="s">
        <v>4989</v>
      </c>
      <c r="DP451">
        <v>0</v>
      </c>
      <c r="DQ451">
        <v>0</v>
      </c>
      <c r="DR451" t="s">
        <v>411</v>
      </c>
      <c r="DS451" t="b">
        <v>1</v>
      </c>
      <c r="DT451" t="s">
        <v>470</v>
      </c>
      <c r="DU451" t="s">
        <v>471</v>
      </c>
      <c r="DV451" t="s">
        <v>472</v>
      </c>
      <c r="DX451">
        <v>-9999</v>
      </c>
      <c r="DZ451" t="s">
        <v>447</v>
      </c>
      <c r="EA451" t="s">
        <v>448</v>
      </c>
      <c r="EB451" t="s">
        <v>1224</v>
      </c>
      <c r="EC451">
        <v>20101217</v>
      </c>
      <c r="ED451" t="s">
        <v>474</v>
      </c>
      <c r="EF451">
        <v>827.5</v>
      </c>
      <c r="EG451">
        <v>827.5</v>
      </c>
      <c r="EH451" t="s">
        <v>451</v>
      </c>
      <c r="EI451">
        <v>20140731</v>
      </c>
      <c r="EJ451">
        <v>0</v>
      </c>
      <c r="EK451">
        <v>0</v>
      </c>
      <c r="EP451" t="s">
        <v>421</v>
      </c>
      <c r="EQ451" t="s">
        <v>452</v>
      </c>
      <c r="ER451">
        <v>0</v>
      </c>
      <c r="ES451">
        <v>4</v>
      </c>
      <c r="ET451">
        <v>0</v>
      </c>
      <c r="EU451">
        <v>0</v>
      </c>
      <c r="EV451">
        <v>0</v>
      </c>
      <c r="EW451" s="2">
        <v>43222</v>
      </c>
      <c r="EX451" s="1">
        <v>42151</v>
      </c>
      <c r="EY451">
        <v>2014</v>
      </c>
      <c r="EZ451">
        <v>657.51</v>
      </c>
      <c r="FA451" t="s">
        <v>4990</v>
      </c>
      <c r="FB451">
        <v>0.25</v>
      </c>
      <c r="FC451" t="s">
        <v>424</v>
      </c>
      <c r="FD451" t="s">
        <v>425</v>
      </c>
      <c r="FE451" s="1">
        <v>42475</v>
      </c>
      <c r="FF451">
        <v>11</v>
      </c>
      <c r="FG451">
        <v>4975594</v>
      </c>
      <c r="FH451" t="s">
        <v>457</v>
      </c>
      <c r="FI451" t="s">
        <v>458</v>
      </c>
      <c r="FJ451" s="1">
        <v>42151</v>
      </c>
      <c r="FK451">
        <v>2014</v>
      </c>
      <c r="FL451">
        <v>657.51</v>
      </c>
      <c r="FM451" t="s">
        <v>4990</v>
      </c>
      <c r="FN451">
        <v>0.25</v>
      </c>
      <c r="FO451" t="s">
        <v>424</v>
      </c>
      <c r="FP451" t="s">
        <v>425</v>
      </c>
      <c r="FR451">
        <v>22</v>
      </c>
      <c r="FS451">
        <v>6495692</v>
      </c>
      <c r="FT451" t="s">
        <v>4991</v>
      </c>
      <c r="FU451" t="s">
        <v>458</v>
      </c>
      <c r="FV451" s="1">
        <v>41787</v>
      </c>
      <c r="FW451">
        <v>2013</v>
      </c>
      <c r="FX451">
        <v>702.45</v>
      </c>
      <c r="FY451" t="s">
        <v>4992</v>
      </c>
      <c r="FZ451">
        <v>0.25</v>
      </c>
      <c r="GA451" t="s">
        <v>424</v>
      </c>
      <c r="GB451" t="s">
        <v>425</v>
      </c>
      <c r="GD451">
        <v>22</v>
      </c>
      <c r="GE451">
        <v>2407503</v>
      </c>
      <c r="GF451" t="s">
        <v>461</v>
      </c>
      <c r="GG451" t="s">
        <v>458</v>
      </c>
      <c r="GH451" s="1">
        <v>41423</v>
      </c>
      <c r="GI451">
        <v>2012</v>
      </c>
      <c r="GJ451">
        <v>737.06</v>
      </c>
      <c r="GK451" t="s">
        <v>4993</v>
      </c>
      <c r="GL451">
        <v>3.25</v>
      </c>
      <c r="GM451" t="s">
        <v>424</v>
      </c>
      <c r="GN451" t="s">
        <v>425</v>
      </c>
      <c r="GO451" s="1">
        <v>41759</v>
      </c>
      <c r="GP451">
        <v>11</v>
      </c>
      <c r="GQ451">
        <v>15399</v>
      </c>
      <c r="GR451" t="s">
        <v>485</v>
      </c>
    </row>
    <row r="452" spans="1:260" x14ac:dyDescent="0.25">
      <c r="A452">
        <v>16485459</v>
      </c>
      <c r="B452">
        <v>451</v>
      </c>
      <c r="C452" t="s">
        <v>393</v>
      </c>
      <c r="D452" t="s">
        <v>394</v>
      </c>
      <c r="F452" t="str">
        <f>"08-3N-24-2380-0147-0180"</f>
        <v>08-3N-24-2380-0147-0180</v>
      </c>
      <c r="H452" t="str">
        <f>"LAURENDINE KEE &amp; BENITA F &amp; LYNN CONSTANCE F EST"</f>
        <v>LAURENDINE KEE &amp; BENITA F &amp; LYNN CONSTANCE F EST</v>
      </c>
      <c r="I452" t="str">
        <f>"27206 MISSOURI STREET"</f>
        <v>27206 MISSOURI STREET</v>
      </c>
      <c r="J452" t="str">
        <f>"HILLIARD FL 32046"</f>
        <v>HILLIARD FL 32046</v>
      </c>
      <c r="K452" t="str">
        <f>"27206 MISSOURI ST"</f>
        <v>27206 MISSOURI ST</v>
      </c>
      <c r="L452" t="str">
        <f t="shared" si="132"/>
        <v>HILLIARD FL 32046</v>
      </c>
      <c r="M452" t="str">
        <f>"BLOCK 147 LOTS 18 19 20 21 22 23 &amp; 24 OR 626/349 1/2 HX INT TOWN OF HILLIARD"</f>
        <v>BLOCK 147 LOTS 18 19 20 21 22 23 &amp; 24 OR 626/349 1/2 HX INT TOWN OF HILLIARD</v>
      </c>
      <c r="N452" t="str">
        <f>""</f>
        <v/>
      </c>
      <c r="O452" t="str">
        <f>"23812"</f>
        <v>23812</v>
      </c>
      <c r="P452" t="str">
        <f t="shared" si="137"/>
        <v>2017</v>
      </c>
      <c r="Q452" t="str">
        <f>""</f>
        <v/>
      </c>
      <c r="R452" t="str">
        <f t="shared" si="136"/>
        <v>N</v>
      </c>
      <c r="S452" t="str">
        <f>""</f>
        <v/>
      </c>
      <c r="T452" t="str">
        <f>"543.79"</f>
        <v>543.79</v>
      </c>
      <c r="U452" t="str">
        <f>"77879.00"</f>
        <v>77879.00</v>
      </c>
      <c r="V452" t="str">
        <f>"77879.00"</f>
        <v>77879.00</v>
      </c>
      <c r="W452" t="str">
        <f t="shared" si="138"/>
        <v>2017</v>
      </c>
      <c r="X452" t="str">
        <f>""</f>
        <v/>
      </c>
      <c r="Y452" t="str">
        <f>"592.10"</f>
        <v>592.10</v>
      </c>
      <c r="Z452" t="str">
        <f>"38940.00"</f>
        <v>38940.00</v>
      </c>
      <c r="AA452" t="str">
        <f>"38939.00"</f>
        <v>38939.00</v>
      </c>
      <c r="AB452" t="str">
        <f t="shared" si="133"/>
        <v>Residential</v>
      </c>
      <c r="AC452" t="str">
        <f t="shared" si="139"/>
        <v>0</v>
      </c>
      <c r="AD452" t="str">
        <f>"4"</f>
        <v>4</v>
      </c>
      <c r="AE452" t="str">
        <f>"WOOD (INCLUDE STEEL STUDS)"</f>
        <v>WOOD (INCLUDE STEEL STUDS)</v>
      </c>
      <c r="AF452" t="str">
        <f>"001"</f>
        <v>001</v>
      </c>
      <c r="AG452" t="str">
        <f>"FL"</f>
        <v>FL</v>
      </c>
      <c r="AH452" t="str">
        <f>"21875.00"</f>
        <v>21875.00</v>
      </c>
      <c r="AI452" t="str">
        <f>"26250.00"</f>
        <v>26250.00</v>
      </c>
      <c r="AJ452" t="str">
        <f>"C55-000-586-7826-9"</f>
        <v>C55-000-586-7826-9</v>
      </c>
      <c r="AK452" t="str">
        <f>"6573"</f>
        <v>6573</v>
      </c>
      <c r="AL452">
        <v>2</v>
      </c>
      <c r="AM452">
        <v>522</v>
      </c>
      <c r="AN452">
        <v>620.11</v>
      </c>
      <c r="AQ452" t="s">
        <v>4994</v>
      </c>
      <c r="AR452" t="s">
        <v>4994</v>
      </c>
      <c r="AS452" t="s">
        <v>4994</v>
      </c>
      <c r="AU452" t="s">
        <v>396</v>
      </c>
      <c r="AV452">
        <v>2017</v>
      </c>
      <c r="AW452" t="str">
        <f>"08-3N-24-2380-0147-0180 "</f>
        <v xml:space="preserve">08-3N-24-2380-0147-0180 </v>
      </c>
      <c r="AX452">
        <v>27206</v>
      </c>
      <c r="AZ452" t="s">
        <v>4995</v>
      </c>
      <c r="BA452" t="s">
        <v>1942</v>
      </c>
      <c r="BD452" t="s">
        <v>398</v>
      </c>
      <c r="BE452" t="s">
        <v>393</v>
      </c>
      <c r="BF452">
        <v>32046</v>
      </c>
      <c r="BG452" t="s">
        <v>4996</v>
      </c>
      <c r="BH452" t="s">
        <v>400</v>
      </c>
      <c r="BI452">
        <v>-81.932559837748002</v>
      </c>
      <c r="BJ452">
        <v>30.687027655375999</v>
      </c>
      <c r="BK452" t="s">
        <v>4997</v>
      </c>
      <c r="BM452" t="s">
        <v>4996</v>
      </c>
      <c r="BN452" t="s">
        <v>403</v>
      </c>
      <c r="BO452">
        <v>32046</v>
      </c>
      <c r="BP452" t="s">
        <v>416</v>
      </c>
      <c r="BQ452">
        <v>100</v>
      </c>
      <c r="BR452" t="s">
        <v>514</v>
      </c>
      <c r="BS452">
        <v>1001</v>
      </c>
      <c r="BT452" t="s">
        <v>515</v>
      </c>
      <c r="BU452">
        <v>1750</v>
      </c>
      <c r="BV452">
        <v>1250</v>
      </c>
      <c r="BW452">
        <v>21845</v>
      </c>
      <c r="BX452" t="s">
        <v>407</v>
      </c>
      <c r="BY452" t="s">
        <v>4520</v>
      </c>
      <c r="BZ452">
        <v>4</v>
      </c>
      <c r="CA452">
        <v>1960</v>
      </c>
      <c r="CB452">
        <v>1</v>
      </c>
      <c r="CC452">
        <v>1</v>
      </c>
      <c r="CD452">
        <v>2017</v>
      </c>
      <c r="CE452">
        <v>26250</v>
      </c>
      <c r="CF452">
        <v>51629</v>
      </c>
      <c r="CG452">
        <v>77879</v>
      </c>
      <c r="CH452">
        <v>2017</v>
      </c>
      <c r="CI452">
        <v>26250</v>
      </c>
      <c r="CJ452">
        <v>51629</v>
      </c>
      <c r="CK452">
        <v>77879</v>
      </c>
      <c r="CL452">
        <v>2017</v>
      </c>
      <c r="CM452">
        <v>543.79</v>
      </c>
      <c r="CN452" s="1">
        <v>33373</v>
      </c>
      <c r="CZ452" s="1">
        <v>33373</v>
      </c>
      <c r="DD452" t="s">
        <v>398</v>
      </c>
      <c r="DG452">
        <v>8</v>
      </c>
      <c r="DL452">
        <v>50400</v>
      </c>
      <c r="DM452" t="s">
        <v>4465</v>
      </c>
      <c r="DO452" t="s">
        <v>4998</v>
      </c>
      <c r="DP452">
        <v>0</v>
      </c>
      <c r="DQ452">
        <v>0</v>
      </c>
      <c r="DR452" t="s">
        <v>411</v>
      </c>
      <c r="DS452" t="b">
        <v>1</v>
      </c>
      <c r="DT452" t="s">
        <v>470</v>
      </c>
      <c r="DU452" t="s">
        <v>471</v>
      </c>
      <c r="DV452" t="s">
        <v>472</v>
      </c>
      <c r="DX452">
        <v>-9999</v>
      </c>
      <c r="DZ452" t="s">
        <v>447</v>
      </c>
      <c r="EA452" t="s">
        <v>448</v>
      </c>
      <c r="EB452" t="s">
        <v>1224</v>
      </c>
      <c r="EC452">
        <v>20101217</v>
      </c>
      <c r="ED452" t="s">
        <v>474</v>
      </c>
      <c r="EF452">
        <v>1187.8</v>
      </c>
      <c r="EG452">
        <v>1187.8</v>
      </c>
      <c r="EI452">
        <v>20160407</v>
      </c>
      <c r="EJ452">
        <v>0</v>
      </c>
      <c r="EK452">
        <v>0</v>
      </c>
      <c r="EP452" t="s">
        <v>421</v>
      </c>
      <c r="EQ452" t="s">
        <v>422</v>
      </c>
      <c r="ER452">
        <v>4</v>
      </c>
      <c r="ES452">
        <v>0</v>
      </c>
      <c r="ET452">
        <v>2434.86</v>
      </c>
      <c r="EU452">
        <v>146.74</v>
      </c>
      <c r="EV452">
        <v>2581.6</v>
      </c>
      <c r="EW452" s="2">
        <v>43222</v>
      </c>
      <c r="EX452" s="1">
        <v>42879</v>
      </c>
      <c r="EY452">
        <v>2016</v>
      </c>
      <c r="EZ452">
        <v>607.85</v>
      </c>
      <c r="FA452" t="s">
        <v>4999</v>
      </c>
      <c r="FB452">
        <v>0.25</v>
      </c>
      <c r="FC452" t="s">
        <v>424</v>
      </c>
      <c r="FD452" t="s">
        <v>454</v>
      </c>
      <c r="FF452">
        <v>12</v>
      </c>
      <c r="FG452">
        <v>5857474</v>
      </c>
      <c r="FH452" t="s">
        <v>900</v>
      </c>
      <c r="FJ452" s="1">
        <v>42879</v>
      </c>
      <c r="FK452">
        <v>2016</v>
      </c>
      <c r="FL452">
        <v>607.85</v>
      </c>
      <c r="FM452" t="s">
        <v>4999</v>
      </c>
      <c r="FN452">
        <v>0.25</v>
      </c>
      <c r="FO452" t="s">
        <v>424</v>
      </c>
      <c r="FP452" t="s">
        <v>454</v>
      </c>
      <c r="FR452">
        <v>12</v>
      </c>
      <c r="FS452">
        <v>6656310</v>
      </c>
      <c r="FT452" t="s">
        <v>5000</v>
      </c>
      <c r="FV452" s="1">
        <v>42515</v>
      </c>
      <c r="FW452">
        <v>2015</v>
      </c>
      <c r="FX452">
        <v>609.58000000000004</v>
      </c>
      <c r="FY452" t="s">
        <v>5001</v>
      </c>
      <c r="FZ452">
        <v>0.25</v>
      </c>
      <c r="GA452" t="s">
        <v>424</v>
      </c>
      <c r="GB452" t="s">
        <v>454</v>
      </c>
      <c r="GD452">
        <v>24</v>
      </c>
      <c r="GE452">
        <v>2851116</v>
      </c>
      <c r="GF452" t="s">
        <v>480</v>
      </c>
      <c r="GH452" s="1">
        <v>42515</v>
      </c>
      <c r="GI452">
        <v>2015</v>
      </c>
      <c r="GJ452">
        <v>609.58000000000004</v>
      </c>
      <c r="GK452" t="s">
        <v>5001</v>
      </c>
      <c r="GL452">
        <v>0.25</v>
      </c>
      <c r="GM452" t="s">
        <v>424</v>
      </c>
      <c r="GN452" t="s">
        <v>454</v>
      </c>
      <c r="GP452">
        <v>24</v>
      </c>
      <c r="GQ452">
        <v>4981000</v>
      </c>
      <c r="GR452" t="s">
        <v>5002</v>
      </c>
    </row>
    <row r="453" spans="1:260" x14ac:dyDescent="0.25">
      <c r="A453">
        <v>16485460</v>
      </c>
      <c r="B453">
        <v>452</v>
      </c>
      <c r="C453" t="s">
        <v>393</v>
      </c>
      <c r="D453" t="s">
        <v>394</v>
      </c>
      <c r="F453" t="str">
        <f>"08-3N-24-2380-0148-0190"</f>
        <v>08-3N-24-2380-0148-0190</v>
      </c>
      <c r="H453" t="str">
        <f>"HAQUE MOHAMMED"</f>
        <v>HAQUE MOHAMMED</v>
      </c>
      <c r="I453" t="str">
        <f>"3552 STEINWAY ST  APT 2"</f>
        <v>3552 STEINWAY ST  APT 2</v>
      </c>
      <c r="J453" t="str">
        <f>"LONG ISLAND CITY NY 11101"</f>
        <v>LONG ISLAND CITY NY 11101</v>
      </c>
      <c r="K453" t="str">
        <f>"SECOND AV"</f>
        <v>SECOND AV</v>
      </c>
      <c r="L453" t="str">
        <f t="shared" si="132"/>
        <v>HILLIARD FL 32046</v>
      </c>
      <c r="M453" t="str">
        <f>"BLOCK 148 LOTS 19 &amp; 20 IN OR 1516/922 TOWN OF HILLIARD"</f>
        <v>BLOCK 148 LOTS 19 &amp; 20 IN OR 1516/922 TOWN OF HILLIARD</v>
      </c>
      <c r="N453" t="str">
        <f>""</f>
        <v/>
      </c>
      <c r="O453" t="str">
        <f>"23814"</f>
        <v>23814</v>
      </c>
      <c r="P453" t="str">
        <f t="shared" si="137"/>
        <v>2017</v>
      </c>
      <c r="Q453" t="str">
        <f>""</f>
        <v/>
      </c>
      <c r="R453" t="str">
        <f t="shared" si="136"/>
        <v>N</v>
      </c>
      <c r="S453" t="str">
        <f>""</f>
        <v/>
      </c>
      <c r="T453" t="str">
        <f>"17.46"</f>
        <v>17.46</v>
      </c>
      <c r="U453" t="str">
        <f>"1250.00"</f>
        <v>1250.00</v>
      </c>
      <c r="V453" t="str">
        <f>"1250.00"</f>
        <v>1250.00</v>
      </c>
      <c r="W453" t="str">
        <f t="shared" si="138"/>
        <v>2017</v>
      </c>
      <c r="X453" t="str">
        <f>"1.00"</f>
        <v>1.00</v>
      </c>
      <c r="Y453" t="str">
        <f>"49.98"</f>
        <v>49.98</v>
      </c>
      <c r="Z453" t="str">
        <f>""</f>
        <v/>
      </c>
      <c r="AA453" t="str">
        <f>"1250.00"</f>
        <v>1250.00</v>
      </c>
      <c r="AB453" t="str">
        <f t="shared" si="133"/>
        <v>Residential</v>
      </c>
      <c r="AC453" t="str">
        <f t="shared" si="139"/>
        <v>0</v>
      </c>
      <c r="AD453" t="str">
        <f>""</f>
        <v/>
      </c>
      <c r="AE453" t="str">
        <f>""</f>
        <v/>
      </c>
      <c r="AF453" t="str">
        <f>"000"</f>
        <v>000</v>
      </c>
      <c r="AG453" t="str">
        <f>"NY"</f>
        <v>NY</v>
      </c>
      <c r="AH453" t="str">
        <f>"6250.00"</f>
        <v>6250.00</v>
      </c>
      <c r="AI453" t="str">
        <f>"1250.00"</f>
        <v>1250.00</v>
      </c>
      <c r="AJ453" t="str">
        <f>"C55-000-586-7829-3"</f>
        <v>C55-000-586-7829-3</v>
      </c>
      <c r="AK453" t="str">
        <f>"6575"</f>
        <v>6575</v>
      </c>
      <c r="AL453">
        <v>2</v>
      </c>
      <c r="AM453">
        <v>523</v>
      </c>
      <c r="AN453">
        <v>50.88</v>
      </c>
      <c r="AQ453" t="s">
        <v>5003</v>
      </c>
      <c r="AR453" t="s">
        <v>5003</v>
      </c>
      <c r="AS453" t="s">
        <v>5003</v>
      </c>
      <c r="AU453" t="s">
        <v>396</v>
      </c>
      <c r="AV453">
        <v>2017</v>
      </c>
      <c r="AW453" t="str">
        <f>"08-3N-24-2380-0148-0190 "</f>
        <v xml:space="preserve">08-3N-24-2380-0148-0190 </v>
      </c>
      <c r="AZ453" t="s">
        <v>5004</v>
      </c>
      <c r="BA453" t="s">
        <v>1122</v>
      </c>
      <c r="BD453" t="s">
        <v>398</v>
      </c>
      <c r="BE453" t="s">
        <v>393</v>
      </c>
      <c r="BF453">
        <v>32046</v>
      </c>
      <c r="BG453" t="s">
        <v>5005</v>
      </c>
      <c r="BH453" t="s">
        <v>400</v>
      </c>
      <c r="BI453">
        <v>-81.933822891692103</v>
      </c>
      <c r="BJ453">
        <v>30.6869837302085</v>
      </c>
      <c r="BK453" t="s">
        <v>5006</v>
      </c>
      <c r="BM453" t="s">
        <v>5007</v>
      </c>
      <c r="BN453" t="s">
        <v>5008</v>
      </c>
      <c r="BO453">
        <v>11101</v>
      </c>
      <c r="BP453" t="s">
        <v>404</v>
      </c>
      <c r="BQ453">
        <v>0</v>
      </c>
      <c r="BR453" t="s">
        <v>491</v>
      </c>
      <c r="BS453">
        <v>8001</v>
      </c>
      <c r="BT453" t="s">
        <v>492</v>
      </c>
      <c r="BU453">
        <v>500</v>
      </c>
      <c r="BV453">
        <v>1250</v>
      </c>
      <c r="BW453">
        <v>6250</v>
      </c>
      <c r="BX453" t="s">
        <v>407</v>
      </c>
      <c r="BY453" t="s">
        <v>4520</v>
      </c>
      <c r="CD453">
        <v>2017</v>
      </c>
      <c r="CE453">
        <v>1250</v>
      </c>
      <c r="CG453">
        <v>1250</v>
      </c>
      <c r="CH453">
        <v>2017</v>
      </c>
      <c r="CI453">
        <v>1250</v>
      </c>
      <c r="CK453">
        <v>1250</v>
      </c>
      <c r="CL453">
        <v>2017</v>
      </c>
      <c r="CM453">
        <v>17.46</v>
      </c>
      <c r="CN453" s="1">
        <v>39150</v>
      </c>
      <c r="CO453">
        <v>9900</v>
      </c>
      <c r="CV453">
        <v>9533</v>
      </c>
      <c r="CX453" t="s">
        <v>675</v>
      </c>
      <c r="CZ453" s="1">
        <v>39150</v>
      </c>
      <c r="DA453">
        <v>0</v>
      </c>
      <c r="DD453" t="s">
        <v>398</v>
      </c>
      <c r="DG453">
        <v>8</v>
      </c>
      <c r="DL453">
        <v>50400</v>
      </c>
      <c r="DM453" t="s">
        <v>4465</v>
      </c>
      <c r="DO453" t="s">
        <v>5009</v>
      </c>
      <c r="DP453">
        <v>0</v>
      </c>
      <c r="DQ453">
        <v>0</v>
      </c>
      <c r="DR453" t="s">
        <v>411</v>
      </c>
      <c r="DS453" t="b">
        <v>1</v>
      </c>
      <c r="DT453" t="s">
        <v>470</v>
      </c>
      <c r="DU453" t="s">
        <v>471</v>
      </c>
      <c r="DV453" t="s">
        <v>472</v>
      </c>
      <c r="DX453">
        <v>-9999</v>
      </c>
      <c r="DZ453" t="s">
        <v>447</v>
      </c>
      <c r="EA453" t="s">
        <v>448</v>
      </c>
      <c r="EB453" t="s">
        <v>1224</v>
      </c>
      <c r="EC453">
        <v>20101217</v>
      </c>
      <c r="ED453" t="s">
        <v>474</v>
      </c>
      <c r="EF453">
        <v>1258.4000000000001</v>
      </c>
      <c r="EG453">
        <v>1258.4000000000001</v>
      </c>
      <c r="EI453">
        <v>20160407</v>
      </c>
      <c r="EJ453">
        <v>0</v>
      </c>
      <c r="EK453">
        <v>0</v>
      </c>
      <c r="EP453" t="s">
        <v>595</v>
      </c>
      <c r="EQ453" t="s">
        <v>422</v>
      </c>
      <c r="ER453">
        <v>9</v>
      </c>
      <c r="ES453">
        <v>0</v>
      </c>
      <c r="ET453">
        <v>804.82</v>
      </c>
      <c r="EU453">
        <v>765.99</v>
      </c>
      <c r="EV453">
        <v>1570.81</v>
      </c>
      <c r="EW453" s="2">
        <v>43222</v>
      </c>
      <c r="EX453" s="1">
        <v>42879</v>
      </c>
      <c r="EY453">
        <v>2016</v>
      </c>
      <c r="EZ453">
        <v>46.22</v>
      </c>
      <c r="FA453" t="s">
        <v>5010</v>
      </c>
      <c r="FB453">
        <v>18</v>
      </c>
      <c r="FC453" t="s">
        <v>603</v>
      </c>
      <c r="FD453" t="s">
        <v>454</v>
      </c>
      <c r="FF453">
        <v>12</v>
      </c>
      <c r="FG453">
        <v>9999999</v>
      </c>
      <c r="FH453" t="s">
        <v>604</v>
      </c>
      <c r="FJ453" s="1">
        <v>42515</v>
      </c>
      <c r="FK453">
        <v>2015</v>
      </c>
      <c r="FL453">
        <v>41.75</v>
      </c>
      <c r="FM453" t="s">
        <v>5011</v>
      </c>
      <c r="FN453">
        <v>18</v>
      </c>
      <c r="FO453" t="s">
        <v>603</v>
      </c>
      <c r="FP453" t="s">
        <v>454</v>
      </c>
      <c r="FR453">
        <v>24</v>
      </c>
      <c r="FS453">
        <v>9999999</v>
      </c>
      <c r="FT453" t="s">
        <v>604</v>
      </c>
      <c r="FV453" s="1">
        <v>42515</v>
      </c>
      <c r="FW453">
        <v>2015</v>
      </c>
      <c r="FX453">
        <v>48.63</v>
      </c>
      <c r="FY453" t="s">
        <v>5011</v>
      </c>
      <c r="FZ453">
        <v>18</v>
      </c>
      <c r="GA453" t="s">
        <v>424</v>
      </c>
      <c r="GB453" t="s">
        <v>454</v>
      </c>
      <c r="GD453">
        <v>24</v>
      </c>
      <c r="GE453">
        <v>10647</v>
      </c>
      <c r="GF453" t="s">
        <v>4602</v>
      </c>
      <c r="GH453" s="1">
        <v>42151</v>
      </c>
      <c r="GI453">
        <v>2014</v>
      </c>
      <c r="GJ453">
        <v>79.73</v>
      </c>
      <c r="GK453" t="s">
        <v>5012</v>
      </c>
      <c r="GL453">
        <v>16.75</v>
      </c>
      <c r="GM453" t="s">
        <v>424</v>
      </c>
      <c r="GN453" t="s">
        <v>454</v>
      </c>
      <c r="GP453">
        <v>36</v>
      </c>
      <c r="GQ453">
        <v>10125</v>
      </c>
      <c r="GR453" t="s">
        <v>440</v>
      </c>
      <c r="GT453" s="1">
        <v>41787</v>
      </c>
      <c r="GU453">
        <v>2013</v>
      </c>
      <c r="GV453">
        <v>76.45</v>
      </c>
      <c r="GW453" t="s">
        <v>5013</v>
      </c>
      <c r="GX453">
        <v>18</v>
      </c>
      <c r="GY453" t="s">
        <v>424</v>
      </c>
      <c r="GZ453" t="s">
        <v>454</v>
      </c>
      <c r="HB453">
        <v>48</v>
      </c>
      <c r="HC453">
        <v>10647</v>
      </c>
      <c r="HD453" t="s">
        <v>4602</v>
      </c>
      <c r="HF453" s="1">
        <v>41423</v>
      </c>
      <c r="HG453">
        <v>2012</v>
      </c>
      <c r="HH453">
        <v>77.209999999999994</v>
      </c>
      <c r="HI453" t="s">
        <v>5014</v>
      </c>
      <c r="HJ453">
        <v>15</v>
      </c>
      <c r="HK453" t="s">
        <v>424</v>
      </c>
      <c r="HL453" t="s">
        <v>454</v>
      </c>
      <c r="HN453">
        <v>60</v>
      </c>
      <c r="HO453">
        <v>10125</v>
      </c>
      <c r="HP453" t="s">
        <v>440</v>
      </c>
      <c r="HR453" s="1">
        <v>41052</v>
      </c>
      <c r="HS453">
        <v>2011</v>
      </c>
      <c r="HT453">
        <v>142.31</v>
      </c>
      <c r="HU453" t="s">
        <v>5015</v>
      </c>
      <c r="HV453">
        <v>17.25</v>
      </c>
      <c r="HW453" t="s">
        <v>424</v>
      </c>
      <c r="HX453" t="s">
        <v>454</v>
      </c>
      <c r="HZ453">
        <v>72</v>
      </c>
      <c r="IA453">
        <v>10125</v>
      </c>
      <c r="IB453" t="s">
        <v>440</v>
      </c>
      <c r="ID453" s="1">
        <v>40688</v>
      </c>
      <c r="IE453">
        <v>2010</v>
      </c>
      <c r="IF453">
        <v>150.44999999999999</v>
      </c>
      <c r="IG453" t="s">
        <v>5016</v>
      </c>
      <c r="IH453">
        <v>18</v>
      </c>
      <c r="II453" t="s">
        <v>424</v>
      </c>
      <c r="IJ453" t="s">
        <v>454</v>
      </c>
      <c r="IL453">
        <v>84</v>
      </c>
      <c r="IM453">
        <v>10647</v>
      </c>
      <c r="IN453" t="s">
        <v>4602</v>
      </c>
      <c r="IP453" s="1">
        <v>40688</v>
      </c>
      <c r="IQ453">
        <v>2010</v>
      </c>
      <c r="IR453">
        <v>142.07</v>
      </c>
      <c r="IS453" t="s">
        <v>5016</v>
      </c>
      <c r="IT453">
        <v>18</v>
      </c>
      <c r="IU453" t="s">
        <v>603</v>
      </c>
      <c r="IV453" t="s">
        <v>454</v>
      </c>
      <c r="IX453">
        <v>84</v>
      </c>
      <c r="IY453">
        <v>9999999</v>
      </c>
      <c r="IZ453" t="s">
        <v>604</v>
      </c>
    </row>
    <row r="454" spans="1:260" x14ac:dyDescent="0.25">
      <c r="A454">
        <v>16485461</v>
      </c>
      <c r="B454">
        <v>453</v>
      </c>
      <c r="C454" t="s">
        <v>393</v>
      </c>
      <c r="D454" t="s">
        <v>394</v>
      </c>
      <c r="F454" t="str">
        <f>"08-3N-24-2380-0150-0010"</f>
        <v>08-3N-24-2380-0150-0010</v>
      </c>
      <c r="H454" t="str">
        <f>"HARVILL LINDA G"</f>
        <v>HARVILL LINDA G</v>
      </c>
      <c r="I454" t="str">
        <f>"PO BOX 782"</f>
        <v>PO BOX 782</v>
      </c>
      <c r="J454" t="str">
        <f>"HILLIARD FL 32046"</f>
        <v>HILLIARD FL 32046</v>
      </c>
      <c r="K454" t="str">
        <f>"27185 THIRD AVE W"</f>
        <v>27185 THIRD AVE W</v>
      </c>
      <c r="L454" t="str">
        <f t="shared" si="132"/>
        <v>HILLIARD FL 32046</v>
      </c>
      <c r="M454" t="str">
        <f>"BLOCK 150 LOTS 1 2 3 &amp; 4 IN OR 408 PG 555 TOWN OF HILLIARD"</f>
        <v>BLOCK 150 LOTS 1 2 3 &amp; 4 IN OR 408 PG 555 TOWN OF HILLIARD</v>
      </c>
      <c r="N454" t="str">
        <f>""</f>
        <v/>
      </c>
      <c r="O454" t="str">
        <f>"23821"</f>
        <v>23821</v>
      </c>
      <c r="P454" t="str">
        <f t="shared" si="137"/>
        <v>2017</v>
      </c>
      <c r="Q454" t="str">
        <f>""</f>
        <v/>
      </c>
      <c r="R454" t="str">
        <f>"Y"</f>
        <v>Y</v>
      </c>
      <c r="S454" t="str">
        <f>""</f>
        <v/>
      </c>
      <c r="T454" t="str">
        <f>"437.07"</f>
        <v>437.07</v>
      </c>
      <c r="U454" t="str">
        <f>"63327.00"</f>
        <v>63327.00</v>
      </c>
      <c r="V454" t="str">
        <f>"63327.00"</f>
        <v>63327.00</v>
      </c>
      <c r="W454" t="str">
        <f t="shared" si="138"/>
        <v>2017</v>
      </c>
      <c r="X454" t="str">
        <f>"21.00"</f>
        <v>21.00</v>
      </c>
      <c r="Y454" t="str">
        <f>"482.18"</f>
        <v>482.18</v>
      </c>
      <c r="Z454" t="str">
        <f>"25000.00"</f>
        <v>25000.00</v>
      </c>
      <c r="AA454" t="str">
        <f>"38327.00"</f>
        <v>38327.00</v>
      </c>
      <c r="AB454" t="str">
        <f t="shared" si="133"/>
        <v>Residential</v>
      </c>
      <c r="AC454" t="str">
        <f t="shared" si="139"/>
        <v>0</v>
      </c>
      <c r="AD454" t="str">
        <f>"4"</f>
        <v>4</v>
      </c>
      <c r="AE454" t="str">
        <f>"WOOD (INCLUDE STEEL STUDS)"</f>
        <v>WOOD (INCLUDE STEEL STUDS)</v>
      </c>
      <c r="AF454" t="str">
        <f>"001"</f>
        <v>001</v>
      </c>
      <c r="AG454" t="str">
        <f>"FL"</f>
        <v>FL</v>
      </c>
      <c r="AH454" t="str">
        <f>"12500.00"</f>
        <v>12500.00</v>
      </c>
      <c r="AI454" t="str">
        <f>"15000.00"</f>
        <v>15000.00</v>
      </c>
      <c r="AJ454" t="str">
        <f>"C55-000-586-7831-9"</f>
        <v>C55-000-586-7831-9</v>
      </c>
      <c r="AK454" t="str">
        <f>"6582"</f>
        <v>6582</v>
      </c>
      <c r="AL454">
        <v>2</v>
      </c>
      <c r="AM454">
        <v>524</v>
      </c>
      <c r="AN454">
        <v>504.69</v>
      </c>
      <c r="AQ454" t="s">
        <v>5017</v>
      </c>
      <c r="AR454" t="s">
        <v>5017</v>
      </c>
      <c r="AS454" t="s">
        <v>5017</v>
      </c>
      <c r="AU454" t="s">
        <v>396</v>
      </c>
      <c r="AV454">
        <v>2017</v>
      </c>
      <c r="AW454" t="str">
        <f>"08-3N-24-2380-0150-0010 "</f>
        <v xml:space="preserve">08-3N-24-2380-0150-0010 </v>
      </c>
      <c r="AX454">
        <v>27185</v>
      </c>
      <c r="AZ454" t="s">
        <v>4910</v>
      </c>
      <c r="BA454" t="s">
        <v>1112</v>
      </c>
      <c r="BB454" t="s">
        <v>4459</v>
      </c>
      <c r="BD454" t="s">
        <v>398</v>
      </c>
      <c r="BE454" t="s">
        <v>393</v>
      </c>
      <c r="BF454">
        <v>32046</v>
      </c>
      <c r="BG454" t="s">
        <v>5018</v>
      </c>
      <c r="BH454" t="s">
        <v>400</v>
      </c>
      <c r="BI454">
        <v>-81.935892775242394</v>
      </c>
      <c r="BJ454">
        <v>30.687324584819201</v>
      </c>
      <c r="BK454" t="s">
        <v>5019</v>
      </c>
      <c r="BM454" t="s">
        <v>2762</v>
      </c>
      <c r="BN454" t="s">
        <v>403</v>
      </c>
      <c r="BO454">
        <v>32046</v>
      </c>
      <c r="BP454" t="s">
        <v>404</v>
      </c>
      <c r="BQ454">
        <v>100</v>
      </c>
      <c r="BR454" t="s">
        <v>514</v>
      </c>
      <c r="BS454">
        <v>1001</v>
      </c>
      <c r="BT454" t="s">
        <v>515</v>
      </c>
      <c r="BU454">
        <v>1000</v>
      </c>
      <c r="BV454">
        <v>1250</v>
      </c>
      <c r="BW454">
        <v>12500</v>
      </c>
      <c r="BX454" t="s">
        <v>407</v>
      </c>
      <c r="BY454" t="s">
        <v>4520</v>
      </c>
      <c r="BZ454">
        <v>4</v>
      </c>
      <c r="CA454">
        <v>1974</v>
      </c>
      <c r="CB454">
        <v>1</v>
      </c>
      <c r="CC454">
        <v>1</v>
      </c>
      <c r="CD454">
        <v>2017</v>
      </c>
      <c r="CG454">
        <v>63327</v>
      </c>
      <c r="CH454">
        <v>2017</v>
      </c>
      <c r="CI454">
        <v>15000</v>
      </c>
      <c r="CJ454">
        <v>63467</v>
      </c>
      <c r="CK454">
        <v>78467</v>
      </c>
      <c r="CL454">
        <v>2017</v>
      </c>
      <c r="CM454">
        <v>437.07</v>
      </c>
      <c r="CN454" s="1">
        <v>30682</v>
      </c>
      <c r="CO454">
        <v>35000</v>
      </c>
      <c r="CZ454" s="1">
        <v>30682</v>
      </c>
      <c r="DD454" t="s">
        <v>398</v>
      </c>
      <c r="DG454">
        <v>8</v>
      </c>
      <c r="DJ454" t="s">
        <v>4482</v>
      </c>
      <c r="DL454">
        <v>50400</v>
      </c>
      <c r="DM454" t="s">
        <v>4465</v>
      </c>
      <c r="DO454" t="s">
        <v>5020</v>
      </c>
      <c r="DP454">
        <v>0</v>
      </c>
      <c r="DQ454">
        <v>0</v>
      </c>
      <c r="DR454" t="s">
        <v>411</v>
      </c>
      <c r="DS454" t="b">
        <v>1</v>
      </c>
      <c r="DT454" t="s">
        <v>396</v>
      </c>
      <c r="DV454" t="s">
        <v>446</v>
      </c>
      <c r="DX454">
        <v>-9999</v>
      </c>
      <c r="DZ454" t="s">
        <v>447</v>
      </c>
      <c r="EA454" t="s">
        <v>448</v>
      </c>
      <c r="EB454" t="s">
        <v>449</v>
      </c>
      <c r="EC454">
        <v>20101217</v>
      </c>
      <c r="ED454" t="s">
        <v>450</v>
      </c>
      <c r="EE454">
        <v>17</v>
      </c>
      <c r="EF454">
        <v>0</v>
      </c>
      <c r="EG454">
        <v>0</v>
      </c>
      <c r="EH454" t="s">
        <v>451</v>
      </c>
      <c r="EI454">
        <v>20140731</v>
      </c>
      <c r="EJ454">
        <v>2</v>
      </c>
      <c r="EK454">
        <v>0</v>
      </c>
      <c r="EP454" t="s">
        <v>421</v>
      </c>
      <c r="EQ454" t="s">
        <v>422</v>
      </c>
      <c r="ER454">
        <v>0</v>
      </c>
      <c r="ES454">
        <v>6</v>
      </c>
      <c r="ET454">
        <v>0</v>
      </c>
      <c r="EU454">
        <v>0</v>
      </c>
      <c r="EV454">
        <v>0</v>
      </c>
      <c r="EW454" s="2">
        <v>43222</v>
      </c>
      <c r="EX454" s="1">
        <v>42151</v>
      </c>
      <c r="EY454">
        <v>2014</v>
      </c>
      <c r="EZ454">
        <v>510.39</v>
      </c>
      <c r="FA454" t="s">
        <v>5021</v>
      </c>
      <c r="FB454">
        <v>0.25</v>
      </c>
      <c r="FC454" t="s">
        <v>424</v>
      </c>
      <c r="FD454" t="s">
        <v>425</v>
      </c>
      <c r="FE454" s="1">
        <v>42425</v>
      </c>
      <c r="FF454">
        <v>9</v>
      </c>
      <c r="FG454">
        <v>4975594</v>
      </c>
      <c r="FH454" t="s">
        <v>457</v>
      </c>
      <c r="FJ454" s="1">
        <v>42151</v>
      </c>
      <c r="FK454">
        <v>2014</v>
      </c>
      <c r="FL454">
        <v>510.39</v>
      </c>
      <c r="FM454" t="s">
        <v>5021</v>
      </c>
      <c r="FN454">
        <v>0.25</v>
      </c>
      <c r="FO454" t="s">
        <v>424</v>
      </c>
      <c r="FP454" t="s">
        <v>425</v>
      </c>
      <c r="FR454">
        <v>22</v>
      </c>
      <c r="FS454">
        <v>6353839</v>
      </c>
      <c r="FT454" t="s">
        <v>5022</v>
      </c>
      <c r="FV454" s="1">
        <v>41787</v>
      </c>
      <c r="FW454">
        <v>2013</v>
      </c>
      <c r="FX454">
        <v>482.37</v>
      </c>
      <c r="FY454" t="s">
        <v>5023</v>
      </c>
      <c r="FZ454">
        <v>0.25</v>
      </c>
      <c r="GA454" t="s">
        <v>424</v>
      </c>
      <c r="GB454" t="s">
        <v>425</v>
      </c>
      <c r="GD454">
        <v>22</v>
      </c>
      <c r="GE454">
        <v>15259</v>
      </c>
      <c r="GF454" t="s">
        <v>891</v>
      </c>
      <c r="GH454" s="1">
        <v>41787</v>
      </c>
      <c r="GI454">
        <v>2013</v>
      </c>
      <c r="GJ454">
        <v>482.37</v>
      </c>
      <c r="GK454" t="s">
        <v>5023</v>
      </c>
      <c r="GL454">
        <v>0.25</v>
      </c>
      <c r="GM454" t="s">
        <v>424</v>
      </c>
      <c r="GN454" t="s">
        <v>425</v>
      </c>
      <c r="GO454" s="1">
        <v>42425</v>
      </c>
      <c r="GP454">
        <v>21</v>
      </c>
      <c r="GQ454">
        <v>7045049</v>
      </c>
      <c r="GR454" t="s">
        <v>1335</v>
      </c>
      <c r="GT454" s="1">
        <v>41423</v>
      </c>
      <c r="GU454">
        <v>2012</v>
      </c>
      <c r="GV454">
        <v>481.38</v>
      </c>
      <c r="GW454" t="s">
        <v>5024</v>
      </c>
      <c r="GX454">
        <v>0.25</v>
      </c>
      <c r="GY454" t="s">
        <v>424</v>
      </c>
      <c r="GZ454" t="s">
        <v>425</v>
      </c>
      <c r="HB454">
        <v>22</v>
      </c>
      <c r="HC454">
        <v>15399</v>
      </c>
      <c r="HD454" t="s">
        <v>485</v>
      </c>
      <c r="HF454" s="1">
        <v>41423</v>
      </c>
      <c r="HG454">
        <v>2012</v>
      </c>
      <c r="HH454">
        <v>481.38</v>
      </c>
      <c r="HI454" t="s">
        <v>5024</v>
      </c>
      <c r="HJ454">
        <v>0.25</v>
      </c>
      <c r="HK454" t="s">
        <v>424</v>
      </c>
      <c r="HL454" t="s">
        <v>425</v>
      </c>
      <c r="HM454" s="1">
        <v>42425</v>
      </c>
      <c r="HN454">
        <v>33</v>
      </c>
      <c r="HO454">
        <v>13027</v>
      </c>
      <c r="HP454" t="s">
        <v>826</v>
      </c>
    </row>
    <row r="455" spans="1:260" x14ac:dyDescent="0.25">
      <c r="A455">
        <v>16485462</v>
      </c>
      <c r="B455">
        <v>454</v>
      </c>
      <c r="C455" t="s">
        <v>393</v>
      </c>
      <c r="D455" t="s">
        <v>394</v>
      </c>
      <c r="F455" t="str">
        <f>"08-3N-24-2380-0150-0050"</f>
        <v>08-3N-24-2380-0150-0050</v>
      </c>
      <c r="H455" t="str">
        <f>"HOFFMAN JAMES"</f>
        <v>HOFFMAN JAMES</v>
      </c>
      <c r="I455" t="str">
        <f>"PO BOX 818"</f>
        <v>PO BOX 818</v>
      </c>
      <c r="J455" t="str">
        <f>"HILLIARD FL 32046"</f>
        <v>HILLIARD FL 32046</v>
      </c>
      <c r="K455" t="str">
        <f>"3RD &amp; KENTUCKY ST"</f>
        <v>3RD &amp; KENTUCKY ST</v>
      </c>
      <c r="L455" t="str">
        <f t="shared" si="132"/>
        <v>HILLIARD FL 32046</v>
      </c>
      <c r="M455" t="str">
        <f>"BLOCK 150 LOTS 5 THRU 12 IN OR 451 PG 332 TOWN OF HILLIARD"</f>
        <v>BLOCK 150 LOTS 5 THRU 12 IN OR 451 PG 332 TOWN OF HILLIARD</v>
      </c>
      <c r="N455" t="str">
        <f>""</f>
        <v/>
      </c>
      <c r="O455" t="str">
        <f>"23822"</f>
        <v>23822</v>
      </c>
      <c r="P455" t="str">
        <f t="shared" si="137"/>
        <v>2017</v>
      </c>
      <c r="Q455" t="str">
        <f>""</f>
        <v/>
      </c>
      <c r="R455" t="str">
        <f>"N"</f>
        <v>N</v>
      </c>
      <c r="S455" t="str">
        <f>""</f>
        <v/>
      </c>
      <c r="T455" t="str">
        <f>"418.96"</f>
        <v>418.96</v>
      </c>
      <c r="U455" t="str">
        <f>"30000.00"</f>
        <v>30000.00</v>
      </c>
      <c r="V455" t="str">
        <f>"30000.00"</f>
        <v>30000.00</v>
      </c>
      <c r="W455" t="str">
        <f t="shared" si="138"/>
        <v>2017</v>
      </c>
      <c r="X455" t="str">
        <f>""</f>
        <v/>
      </c>
      <c r="Y455" t="str">
        <f>"463.53"</f>
        <v>463.53</v>
      </c>
      <c r="Z455" t="str">
        <f>""</f>
        <v/>
      </c>
      <c r="AA455" t="str">
        <f>"30000.00"</f>
        <v>30000.00</v>
      </c>
      <c r="AB455" t="str">
        <f t="shared" si="133"/>
        <v>Residential</v>
      </c>
      <c r="AC455" t="str">
        <f t="shared" si="139"/>
        <v>0</v>
      </c>
      <c r="AD455" t="str">
        <f>""</f>
        <v/>
      </c>
      <c r="AE455" t="str">
        <f>""</f>
        <v/>
      </c>
      <c r="AF455" t="str">
        <f>"000"</f>
        <v>000</v>
      </c>
      <c r="AG455" t="str">
        <f>"FL"</f>
        <v>FL</v>
      </c>
      <c r="AH455" t="str">
        <f>"25000.00"</f>
        <v>25000.00</v>
      </c>
      <c r="AI455" t="str">
        <f>"30000.00"</f>
        <v>30000.00</v>
      </c>
      <c r="AJ455" t="str">
        <f>"C55-000-586-7832-7"</f>
        <v>C55-000-586-7832-7</v>
      </c>
      <c r="AK455" t="str">
        <f>"6583"</f>
        <v>6583</v>
      </c>
      <c r="AL455">
        <v>2</v>
      </c>
      <c r="AM455">
        <v>525</v>
      </c>
      <c r="AN455">
        <v>485.11</v>
      </c>
      <c r="AQ455" t="s">
        <v>5025</v>
      </c>
      <c r="AR455" t="s">
        <v>5025</v>
      </c>
      <c r="AS455" t="s">
        <v>5025</v>
      </c>
      <c r="AU455" t="s">
        <v>396</v>
      </c>
      <c r="AV455">
        <v>2017</v>
      </c>
      <c r="AW455" t="str">
        <f>"08-3N-24-2380-0150-0050 "</f>
        <v xml:space="preserve">08-3N-24-2380-0150-0050 </v>
      </c>
      <c r="AZ455" t="s">
        <v>5026</v>
      </c>
      <c r="BA455" t="s">
        <v>1942</v>
      </c>
      <c r="BD455" t="s">
        <v>398</v>
      </c>
      <c r="BE455" t="s">
        <v>393</v>
      </c>
      <c r="BF455">
        <v>32046</v>
      </c>
      <c r="BG455" t="s">
        <v>5027</v>
      </c>
      <c r="BH455" t="s">
        <v>400</v>
      </c>
      <c r="BI455">
        <v>-81.936369547909095</v>
      </c>
      <c r="BJ455">
        <v>30.6873080196372</v>
      </c>
      <c r="BK455" t="s">
        <v>4495</v>
      </c>
      <c r="BM455" t="s">
        <v>4496</v>
      </c>
      <c r="BN455" t="s">
        <v>403</v>
      </c>
      <c r="BO455">
        <v>32046</v>
      </c>
      <c r="BP455" t="s">
        <v>404</v>
      </c>
      <c r="BQ455">
        <v>0</v>
      </c>
      <c r="BR455" t="s">
        <v>491</v>
      </c>
      <c r="BS455">
        <v>8001</v>
      </c>
      <c r="BT455" t="s">
        <v>492</v>
      </c>
      <c r="BU455">
        <v>2000</v>
      </c>
      <c r="BV455">
        <v>1250</v>
      </c>
      <c r="BW455">
        <v>25000</v>
      </c>
      <c r="BX455" t="s">
        <v>407</v>
      </c>
      <c r="BY455" t="s">
        <v>4520</v>
      </c>
      <c r="CD455">
        <v>2017</v>
      </c>
      <c r="CE455">
        <v>30000</v>
      </c>
      <c r="CG455">
        <v>30000</v>
      </c>
      <c r="CH455">
        <v>2017</v>
      </c>
      <c r="CI455">
        <v>30000</v>
      </c>
      <c r="CK455">
        <v>30000</v>
      </c>
      <c r="CL455">
        <v>2017</v>
      </c>
      <c r="CM455">
        <v>418.96</v>
      </c>
      <c r="CN455" s="1">
        <v>31138</v>
      </c>
      <c r="CO455">
        <v>4000</v>
      </c>
      <c r="CZ455" s="1">
        <v>31138</v>
      </c>
      <c r="DD455" t="s">
        <v>398</v>
      </c>
      <c r="DG455">
        <v>8</v>
      </c>
      <c r="DJ455" t="s">
        <v>4482</v>
      </c>
      <c r="DL455">
        <v>50400</v>
      </c>
      <c r="DM455" t="s">
        <v>4465</v>
      </c>
      <c r="DO455" t="s">
        <v>5028</v>
      </c>
      <c r="DP455">
        <v>0</v>
      </c>
      <c r="DQ455">
        <v>0</v>
      </c>
      <c r="DR455" t="s">
        <v>411</v>
      </c>
    </row>
    <row r="456" spans="1:260" x14ac:dyDescent="0.25">
      <c r="A456">
        <v>16485463</v>
      </c>
      <c r="B456">
        <v>455</v>
      </c>
      <c r="C456" t="s">
        <v>393</v>
      </c>
      <c r="D456" t="s">
        <v>394</v>
      </c>
      <c r="F456" t="str">
        <f>"08-3N-24-2380-0151-0160"</f>
        <v>08-3N-24-2380-0151-0160</v>
      </c>
      <c r="H456" t="str">
        <f>"MOON JEAN"</f>
        <v>MOON JEAN</v>
      </c>
      <c r="I456" t="str">
        <f>"1545 NORTH STIRLING AVENUE"</f>
        <v>1545 NORTH STIRLING AVENUE</v>
      </c>
      <c r="J456" t="str">
        <f>"PONTIAC MI 48340"</f>
        <v>PONTIAC MI 48340</v>
      </c>
      <c r="K456" t="str">
        <f>"SECOND AV"</f>
        <v>SECOND AV</v>
      </c>
      <c r="L456" t="str">
        <f t="shared" si="132"/>
        <v>HILLIARD FL 32046</v>
      </c>
      <c r="M456" t="str">
        <f>"BLOCK 151 LOTS 16 &amp; 17 PT OR 2030/1492 TOWN OF HILLIARD"</f>
        <v>BLOCK 151 LOTS 16 &amp; 17 PT OR 2030/1492 TOWN OF HILLIARD</v>
      </c>
      <c r="N456" t="str">
        <f>""</f>
        <v/>
      </c>
      <c r="O456" t="str">
        <f>"23827"</f>
        <v>23827</v>
      </c>
      <c r="P456" t="str">
        <f t="shared" si="137"/>
        <v>2017</v>
      </c>
      <c r="Q456" t="str">
        <f>""</f>
        <v/>
      </c>
      <c r="R456" t="str">
        <f>"N"</f>
        <v>N</v>
      </c>
      <c r="S456" t="str">
        <f>""</f>
        <v/>
      </c>
      <c r="T456" t="str">
        <f>"17.46"</f>
        <v>17.46</v>
      </c>
      <c r="U456" t="str">
        <f>"1250.00"</f>
        <v>1250.00</v>
      </c>
      <c r="V456" t="str">
        <f>"1250.00"</f>
        <v>1250.00</v>
      </c>
      <c r="W456" t="str">
        <f t="shared" si="138"/>
        <v>2017</v>
      </c>
      <c r="X456" t="str">
        <f>""</f>
        <v/>
      </c>
      <c r="Y456" t="str">
        <f>"49.98"</f>
        <v>49.98</v>
      </c>
      <c r="Z456" t="str">
        <f>""</f>
        <v/>
      </c>
      <c r="AA456" t="str">
        <f>"1250.00"</f>
        <v>1250.00</v>
      </c>
      <c r="AB456" t="str">
        <f t="shared" si="133"/>
        <v>Residential</v>
      </c>
      <c r="AC456" t="str">
        <f t="shared" si="139"/>
        <v>0</v>
      </c>
      <c r="AD456" t="str">
        <f>""</f>
        <v/>
      </c>
      <c r="AE456" t="str">
        <f>""</f>
        <v/>
      </c>
      <c r="AF456" t="str">
        <f>"000"</f>
        <v>000</v>
      </c>
      <c r="AG456" t="str">
        <f>"MI"</f>
        <v>MI</v>
      </c>
      <c r="AH456" t="str">
        <f>"6250.00"</f>
        <v>6250.00</v>
      </c>
      <c r="AI456" t="str">
        <f>"1250.00"</f>
        <v>1250.00</v>
      </c>
      <c r="AJ456" t="str">
        <f>"C55-000-586-7837-6"</f>
        <v>C55-000-586-7837-6</v>
      </c>
      <c r="AK456" t="str">
        <f>"6588"</f>
        <v>6588</v>
      </c>
      <c r="AL456">
        <v>2</v>
      </c>
      <c r="AM456">
        <v>526</v>
      </c>
      <c r="AN456">
        <v>50.88</v>
      </c>
      <c r="AQ456" t="s">
        <v>5029</v>
      </c>
      <c r="AR456" t="s">
        <v>5029</v>
      </c>
      <c r="AS456" t="s">
        <v>5029</v>
      </c>
      <c r="AU456" t="s">
        <v>396</v>
      </c>
      <c r="AV456">
        <v>2017</v>
      </c>
      <c r="AW456" t="str">
        <f>"08-3N-24-2380-0151-0160 "</f>
        <v xml:space="preserve">08-3N-24-2380-0151-0160 </v>
      </c>
      <c r="AZ456" t="s">
        <v>5004</v>
      </c>
      <c r="BA456" t="s">
        <v>1122</v>
      </c>
      <c r="BD456" t="s">
        <v>398</v>
      </c>
      <c r="BE456" t="s">
        <v>393</v>
      </c>
      <c r="BF456">
        <v>32046</v>
      </c>
      <c r="BG456" t="s">
        <v>5005</v>
      </c>
      <c r="BH456" t="s">
        <v>400</v>
      </c>
      <c r="BI456">
        <v>-81.937488643466807</v>
      </c>
      <c r="BJ456">
        <v>30.686856421726599</v>
      </c>
      <c r="BK456" t="s">
        <v>4751</v>
      </c>
      <c r="BM456" t="s">
        <v>4752</v>
      </c>
      <c r="BN456" t="s">
        <v>4753</v>
      </c>
      <c r="BO456">
        <v>48340</v>
      </c>
      <c r="BP456" t="s">
        <v>404</v>
      </c>
      <c r="BQ456">
        <v>0</v>
      </c>
      <c r="BR456" t="s">
        <v>491</v>
      </c>
      <c r="BS456">
        <v>8001</v>
      </c>
      <c r="BT456" t="s">
        <v>492</v>
      </c>
      <c r="BU456">
        <v>500</v>
      </c>
      <c r="BV456">
        <v>1250</v>
      </c>
      <c r="BW456">
        <v>6361</v>
      </c>
      <c r="BX456" t="s">
        <v>407</v>
      </c>
      <c r="BY456" t="s">
        <v>4520</v>
      </c>
      <c r="CD456">
        <v>2017</v>
      </c>
      <c r="CE456">
        <v>1250</v>
      </c>
      <c r="CG456">
        <v>1250</v>
      </c>
      <c r="CH456">
        <v>2017</v>
      </c>
      <c r="CI456">
        <v>1250</v>
      </c>
      <c r="CK456">
        <v>1250</v>
      </c>
      <c r="CL456">
        <v>2017</v>
      </c>
      <c r="CM456">
        <v>17.46</v>
      </c>
      <c r="CN456" s="1">
        <v>42425</v>
      </c>
      <c r="CZ456" s="1">
        <v>42425</v>
      </c>
      <c r="DD456" t="s">
        <v>398</v>
      </c>
      <c r="DG456">
        <v>8</v>
      </c>
      <c r="DL456">
        <v>50400</v>
      </c>
      <c r="DM456" t="s">
        <v>4465</v>
      </c>
      <c r="DO456" t="s">
        <v>5030</v>
      </c>
      <c r="DP456">
        <v>0</v>
      </c>
      <c r="DQ456">
        <v>0</v>
      </c>
      <c r="DR456" t="s">
        <v>411</v>
      </c>
      <c r="DS456" t="b">
        <v>1</v>
      </c>
      <c r="DT456" t="s">
        <v>470</v>
      </c>
      <c r="DU456" t="s">
        <v>471</v>
      </c>
      <c r="DV456" t="s">
        <v>472</v>
      </c>
      <c r="DX456">
        <v>-9999</v>
      </c>
      <c r="DZ456" t="s">
        <v>447</v>
      </c>
      <c r="EA456" t="s">
        <v>448</v>
      </c>
      <c r="EB456" t="s">
        <v>1224</v>
      </c>
      <c r="EC456">
        <v>20101217</v>
      </c>
      <c r="ED456" t="s">
        <v>474</v>
      </c>
      <c r="EF456">
        <v>1089.7</v>
      </c>
      <c r="EG456">
        <v>1089.7</v>
      </c>
      <c r="EI456">
        <v>20160407</v>
      </c>
      <c r="EJ456">
        <v>0</v>
      </c>
      <c r="EK456">
        <v>0</v>
      </c>
      <c r="EP456" t="s">
        <v>595</v>
      </c>
      <c r="EQ456" t="s">
        <v>422</v>
      </c>
      <c r="ER456">
        <v>8</v>
      </c>
      <c r="ES456">
        <v>0</v>
      </c>
      <c r="ET456">
        <v>554.57000000000005</v>
      </c>
      <c r="EU456">
        <v>400.28</v>
      </c>
      <c r="EV456">
        <v>954.85</v>
      </c>
      <c r="EW456" s="2">
        <v>43222</v>
      </c>
      <c r="EX456" s="1">
        <v>42879</v>
      </c>
      <c r="EY456">
        <v>2016</v>
      </c>
      <c r="EZ456">
        <v>46.22</v>
      </c>
      <c r="FA456" t="s">
        <v>5031</v>
      </c>
      <c r="FB456">
        <v>18</v>
      </c>
      <c r="FC456" t="s">
        <v>603</v>
      </c>
      <c r="FD456" t="s">
        <v>454</v>
      </c>
      <c r="FF456">
        <v>12</v>
      </c>
      <c r="FG456">
        <v>9999999</v>
      </c>
      <c r="FH456" t="s">
        <v>604</v>
      </c>
      <c r="FJ456" s="1">
        <v>42515</v>
      </c>
      <c r="FK456">
        <v>2015</v>
      </c>
      <c r="FL456">
        <v>41.75</v>
      </c>
      <c r="FM456" t="s">
        <v>5032</v>
      </c>
      <c r="FN456">
        <v>18</v>
      </c>
      <c r="FO456" t="s">
        <v>603</v>
      </c>
      <c r="FP456" t="s">
        <v>454</v>
      </c>
      <c r="FR456">
        <v>24</v>
      </c>
      <c r="FS456">
        <v>9999999</v>
      </c>
      <c r="FT456" t="s">
        <v>604</v>
      </c>
      <c r="FV456" s="1">
        <v>42151</v>
      </c>
      <c r="FW456">
        <v>2014</v>
      </c>
      <c r="FX456">
        <v>79.73</v>
      </c>
      <c r="FY456" t="s">
        <v>5033</v>
      </c>
      <c r="FZ456">
        <v>18</v>
      </c>
      <c r="GA456" t="s">
        <v>424</v>
      </c>
      <c r="GB456" t="s">
        <v>454</v>
      </c>
      <c r="GD456">
        <v>36</v>
      </c>
      <c r="GE456">
        <v>10125</v>
      </c>
      <c r="GF456" t="s">
        <v>440</v>
      </c>
      <c r="GH456" s="1">
        <v>41787</v>
      </c>
      <c r="GI456">
        <v>2013</v>
      </c>
      <c r="GJ456">
        <v>76.45</v>
      </c>
      <c r="GK456" t="s">
        <v>5034</v>
      </c>
      <c r="GL456">
        <v>18</v>
      </c>
      <c r="GM456" t="s">
        <v>603</v>
      </c>
      <c r="GN456" t="s">
        <v>454</v>
      </c>
      <c r="GP456">
        <v>48</v>
      </c>
      <c r="GQ456">
        <v>9999999</v>
      </c>
      <c r="GR456" t="s">
        <v>604</v>
      </c>
      <c r="GT456" s="1">
        <v>41423</v>
      </c>
      <c r="GU456">
        <v>2012</v>
      </c>
      <c r="GV456">
        <v>77.209999999999994</v>
      </c>
      <c r="GW456" t="s">
        <v>5035</v>
      </c>
      <c r="GX456">
        <v>10</v>
      </c>
      <c r="GY456" t="s">
        <v>424</v>
      </c>
      <c r="GZ456" t="s">
        <v>454</v>
      </c>
      <c r="HB456">
        <v>60</v>
      </c>
      <c r="HC456">
        <v>375</v>
      </c>
      <c r="HD456" t="s">
        <v>776</v>
      </c>
      <c r="HF456" s="1">
        <v>41052</v>
      </c>
      <c r="HG456">
        <v>2011</v>
      </c>
      <c r="HH456">
        <v>78.13</v>
      </c>
      <c r="HI456" t="s">
        <v>5036</v>
      </c>
      <c r="HJ456">
        <v>18</v>
      </c>
      <c r="HK456" t="s">
        <v>424</v>
      </c>
      <c r="HL456" t="s">
        <v>454</v>
      </c>
      <c r="HN456">
        <v>72</v>
      </c>
      <c r="HO456">
        <v>10125</v>
      </c>
      <c r="HP456" t="s">
        <v>440</v>
      </c>
      <c r="HR456" s="1">
        <v>40688</v>
      </c>
      <c r="HS456">
        <v>2010</v>
      </c>
      <c r="HT456">
        <v>77.540000000000006</v>
      </c>
      <c r="HU456" t="s">
        <v>5037</v>
      </c>
      <c r="HV456">
        <v>9.75</v>
      </c>
      <c r="HW456" t="s">
        <v>424</v>
      </c>
      <c r="HX456" t="s">
        <v>454</v>
      </c>
      <c r="HZ456">
        <v>84</v>
      </c>
      <c r="IA456">
        <v>375</v>
      </c>
      <c r="IB456" t="s">
        <v>776</v>
      </c>
      <c r="ID456" s="1">
        <v>40688</v>
      </c>
      <c r="IE456">
        <v>2010</v>
      </c>
      <c r="IF456">
        <v>77.540000000000006</v>
      </c>
      <c r="IG456" t="s">
        <v>5037</v>
      </c>
      <c r="IH456">
        <v>9.75</v>
      </c>
      <c r="II456" t="s">
        <v>424</v>
      </c>
      <c r="IJ456" t="s">
        <v>454</v>
      </c>
      <c r="IL456">
        <v>84</v>
      </c>
      <c r="IM456">
        <v>105</v>
      </c>
      <c r="IN456" t="s">
        <v>946</v>
      </c>
    </row>
    <row r="457" spans="1:260" x14ac:dyDescent="0.25">
      <c r="A457">
        <v>16485464</v>
      </c>
      <c r="B457">
        <v>456</v>
      </c>
      <c r="C457" t="s">
        <v>393</v>
      </c>
      <c r="D457" t="s">
        <v>394</v>
      </c>
      <c r="F457" t="str">
        <f>"08-3N-24-2380-0154-0010"</f>
        <v>08-3N-24-2380-0154-0010</v>
      </c>
      <c r="H457" t="str">
        <f>"ISHAM ROBERT J &amp; ALANA"</f>
        <v>ISHAM ROBERT J &amp; ALANA</v>
      </c>
      <c r="I457" t="str">
        <f>"27146 WEST 2ND AVE"</f>
        <v>27146 WEST 2ND AVE</v>
      </c>
      <c r="J457" t="str">
        <f>"HILLIARD FL 32046"</f>
        <v>HILLIARD FL 32046</v>
      </c>
      <c r="K457" t="str">
        <f>"27130 KENTUCKY ST"</f>
        <v>27130 KENTUCKY ST</v>
      </c>
      <c r="L457" t="str">
        <f t="shared" si="132"/>
        <v>HILLIARD FL 32046</v>
      </c>
      <c r="M457" t="str">
        <f>"BLK 154 LOTS 1 THRU 12 TOWN OF HILLIARD S/D PBK 1/23 {R583882}"</f>
        <v>BLK 154 LOTS 1 THRU 12 TOWN OF HILLIARD S/D PBK 1/23 {R583882}</v>
      </c>
      <c r="N457" t="str">
        <f>""</f>
        <v/>
      </c>
      <c r="O457" t="str">
        <f>"23841"</f>
        <v>23841</v>
      </c>
      <c r="P457" t="str">
        <f t="shared" si="137"/>
        <v>2017</v>
      </c>
      <c r="Q457" t="str">
        <f>""</f>
        <v/>
      </c>
      <c r="R457" t="str">
        <f>"N"</f>
        <v>N</v>
      </c>
      <c r="S457" t="str">
        <f>""</f>
        <v/>
      </c>
      <c r="T457" t="str">
        <f>"741.77"</f>
        <v>741.77</v>
      </c>
      <c r="U457" t="str">
        <f>"51072.00"</f>
        <v>51072.00</v>
      </c>
      <c r="V457" t="str">
        <f>"51072.00"</f>
        <v>51072.00</v>
      </c>
      <c r="W457" t="str">
        <f t="shared" si="138"/>
        <v>2017</v>
      </c>
      <c r="X457" t="str">
        <f>""</f>
        <v/>
      </c>
      <c r="Y457" t="str">
        <f>"448.60"</f>
        <v>448.60</v>
      </c>
      <c r="Z457" t="str">
        <f>""</f>
        <v/>
      </c>
      <c r="AA457" t="str">
        <f>"55398.00"</f>
        <v>55398.00</v>
      </c>
      <c r="AB457" t="str">
        <f t="shared" si="133"/>
        <v>Residential</v>
      </c>
      <c r="AC457" t="str">
        <f t="shared" si="139"/>
        <v>0</v>
      </c>
      <c r="AD457" t="str">
        <f>"4"</f>
        <v>4</v>
      </c>
      <c r="AE457" t="str">
        <f>"WOOD (INCLUDE STEEL STUDS)"</f>
        <v>WOOD (INCLUDE STEEL STUDS)</v>
      </c>
      <c r="AF457" t="str">
        <f>"002"</f>
        <v>002</v>
      </c>
      <c r="AG457" t="str">
        <f t="shared" ref="AG457:AG463" si="140">"FL"</f>
        <v>FL</v>
      </c>
      <c r="AH457" t="str">
        <f>"37500.00"</f>
        <v>37500.00</v>
      </c>
      <c r="AI457" t="str">
        <f>"40500.00"</f>
        <v>40500.00</v>
      </c>
      <c r="AJ457" t="str">
        <f>"C55-000-586-7849-1"</f>
        <v>C55-000-586-7849-1</v>
      </c>
      <c r="AK457" t="str">
        <f>"6602"</f>
        <v>6602</v>
      </c>
      <c r="AL457">
        <v>2</v>
      </c>
      <c r="AM457">
        <v>527</v>
      </c>
      <c r="AN457">
        <v>469.43</v>
      </c>
      <c r="AQ457" t="s">
        <v>5038</v>
      </c>
      <c r="AR457" t="s">
        <v>5038</v>
      </c>
      <c r="AS457" t="s">
        <v>5038</v>
      </c>
      <c r="AU457" t="s">
        <v>396</v>
      </c>
      <c r="AV457">
        <v>2017</v>
      </c>
      <c r="AW457" t="str">
        <f>"08-3N-24-2380-0154-0010 "</f>
        <v xml:space="preserve">08-3N-24-2380-0154-0010 </v>
      </c>
      <c r="AX457">
        <v>27130</v>
      </c>
      <c r="AZ457" t="s">
        <v>5039</v>
      </c>
      <c r="BA457" t="s">
        <v>1942</v>
      </c>
      <c r="BD457" t="s">
        <v>398</v>
      </c>
      <c r="BE457" t="s">
        <v>393</v>
      </c>
      <c r="BF457">
        <v>32046</v>
      </c>
      <c r="BG457" t="s">
        <v>5040</v>
      </c>
      <c r="BH457" t="s">
        <v>400</v>
      </c>
      <c r="BI457">
        <v>-81.937302476599697</v>
      </c>
      <c r="BJ457">
        <v>30.6863491812577</v>
      </c>
      <c r="BK457" t="s">
        <v>5041</v>
      </c>
      <c r="BM457" t="s">
        <v>5042</v>
      </c>
      <c r="BN457" t="s">
        <v>403</v>
      </c>
      <c r="BO457">
        <v>32046</v>
      </c>
      <c r="BP457" t="s">
        <v>404</v>
      </c>
      <c r="BQ457">
        <v>200</v>
      </c>
      <c r="BR457" t="s">
        <v>405</v>
      </c>
      <c r="BS457">
        <v>1006</v>
      </c>
      <c r="BT457" t="s">
        <v>406</v>
      </c>
      <c r="BU457">
        <v>3000</v>
      </c>
      <c r="BV457">
        <v>1250</v>
      </c>
      <c r="BW457">
        <v>37849</v>
      </c>
      <c r="BX457" t="s">
        <v>407</v>
      </c>
      <c r="BY457" t="s">
        <v>4520</v>
      </c>
      <c r="BZ457">
        <v>4</v>
      </c>
      <c r="CA457">
        <v>1991</v>
      </c>
      <c r="CB457">
        <v>1</v>
      </c>
      <c r="CC457">
        <v>1</v>
      </c>
      <c r="CD457">
        <v>2017</v>
      </c>
      <c r="CE457">
        <v>40500</v>
      </c>
      <c r="CF457">
        <v>14898</v>
      </c>
      <c r="CG457">
        <v>55398</v>
      </c>
      <c r="CH457">
        <v>2017</v>
      </c>
      <c r="CI457">
        <v>40500</v>
      </c>
      <c r="CJ457">
        <v>14898</v>
      </c>
      <c r="CK457">
        <v>55398</v>
      </c>
      <c r="CL457">
        <v>2017</v>
      </c>
      <c r="CM457">
        <v>741.77</v>
      </c>
      <c r="CN457" s="1">
        <v>35153</v>
      </c>
      <c r="CZ457" s="1">
        <v>35153</v>
      </c>
      <c r="DD457" t="s">
        <v>398</v>
      </c>
      <c r="DG457">
        <v>8</v>
      </c>
      <c r="DL457">
        <v>50400</v>
      </c>
      <c r="DM457" t="s">
        <v>4465</v>
      </c>
      <c r="DO457" t="s">
        <v>5043</v>
      </c>
      <c r="DP457">
        <v>0</v>
      </c>
      <c r="DQ457">
        <v>0</v>
      </c>
      <c r="DR457" t="s">
        <v>411</v>
      </c>
    </row>
    <row r="458" spans="1:260" x14ac:dyDescent="0.25">
      <c r="A458">
        <v>16485465</v>
      </c>
      <c r="B458">
        <v>457</v>
      </c>
      <c r="C458" t="s">
        <v>393</v>
      </c>
      <c r="D458" t="s">
        <v>394</v>
      </c>
      <c r="F458" t="str">
        <f>"08-3N-24-2380-0155-0130"</f>
        <v>08-3N-24-2380-0155-0130</v>
      </c>
      <c r="H458" t="str">
        <f>"STETSON THEODORE EST"</f>
        <v>STETSON THEODORE EST</v>
      </c>
      <c r="I458" t="str">
        <f>"27206 MISSOURI STREET"</f>
        <v>27206 MISSOURI STREET</v>
      </c>
      <c r="J458" t="str">
        <f>"HILLIARD FL 32046"</f>
        <v>HILLIARD FL 32046</v>
      </c>
      <c r="K458" t="str">
        <f>"27146 FIRST AVE W"</f>
        <v>27146 FIRST AVE W</v>
      </c>
      <c r="L458" t="str">
        <f t="shared" si="132"/>
        <v>HILLIARD FL 32046</v>
      </c>
      <c r="M458" t="str">
        <f>"BLK 155 LOTS 13 14 &amp; 15 IN OR 391/182 TOWN OF HILLIARD S/D PBK 1/23 {R108171}"</f>
        <v>BLK 155 LOTS 13 14 &amp; 15 IN OR 391/182 TOWN OF HILLIARD S/D PBK 1/23 {R108171}</v>
      </c>
      <c r="N458" t="str">
        <f>""</f>
        <v/>
      </c>
      <c r="O458" t="str">
        <f>"23846"</f>
        <v>23846</v>
      </c>
      <c r="P458" t="str">
        <f t="shared" si="137"/>
        <v>2017</v>
      </c>
      <c r="Q458" t="str">
        <f>""</f>
        <v/>
      </c>
      <c r="R458" t="str">
        <f>"N"</f>
        <v>N</v>
      </c>
      <c r="S458" t="str">
        <f>""</f>
        <v/>
      </c>
      <c r="T458" t="str">
        <f>"221.19"</f>
        <v>221.19</v>
      </c>
      <c r="U458" t="str">
        <f>"15621.00"</f>
        <v>15621.00</v>
      </c>
      <c r="V458" t="str">
        <f>"15621.00"</f>
        <v>15621.00</v>
      </c>
      <c r="W458" t="str">
        <f t="shared" si="138"/>
        <v>2017</v>
      </c>
      <c r="X458" t="str">
        <f>"40.33"</f>
        <v>40.33</v>
      </c>
      <c r="Y458" t="str">
        <f>"259.83"</f>
        <v>259.83</v>
      </c>
      <c r="Z458" t="str">
        <f>""</f>
        <v/>
      </c>
      <c r="AA458" t="str">
        <f>"16080.00"</f>
        <v>16080.00</v>
      </c>
      <c r="AB458" t="str">
        <f t="shared" si="133"/>
        <v>Residential</v>
      </c>
      <c r="AC458" t="str">
        <f t="shared" si="139"/>
        <v>0</v>
      </c>
      <c r="AD458" t="str">
        <f>"4"</f>
        <v>4</v>
      </c>
      <c r="AE458" t="str">
        <f>"WOOD (INCLUDE STEEL STUDS)"</f>
        <v>WOOD (INCLUDE STEEL STUDS)</v>
      </c>
      <c r="AF458" t="str">
        <f>"002"</f>
        <v>002</v>
      </c>
      <c r="AG458" t="str">
        <f t="shared" si="140"/>
        <v>FL</v>
      </c>
      <c r="AH458" t="str">
        <f>"9375.00"</f>
        <v>9375.00</v>
      </c>
      <c r="AI458" t="str">
        <f>"11250.00"</f>
        <v>11250.00</v>
      </c>
      <c r="AJ458" t="str">
        <f>"C55-000-586-7854-1"</f>
        <v>C55-000-586-7854-1</v>
      </c>
      <c r="AK458" t="str">
        <f>"6607"</f>
        <v>6607</v>
      </c>
      <c r="AL458">
        <v>2</v>
      </c>
      <c r="AM458">
        <v>528</v>
      </c>
      <c r="AN458">
        <v>271.22000000000003</v>
      </c>
      <c r="AQ458" t="s">
        <v>5044</v>
      </c>
      <c r="AR458" t="s">
        <v>5044</v>
      </c>
      <c r="AS458" t="s">
        <v>5044</v>
      </c>
      <c r="AU458" t="s">
        <v>396</v>
      </c>
      <c r="AV458">
        <v>2017</v>
      </c>
      <c r="AW458" t="str">
        <f>"08-3N-24-2380-0155-0130 "</f>
        <v xml:space="preserve">08-3N-24-2380-0155-0130 </v>
      </c>
      <c r="AX458">
        <v>27146</v>
      </c>
      <c r="AZ458" t="s">
        <v>4458</v>
      </c>
      <c r="BA458" t="s">
        <v>1112</v>
      </c>
      <c r="BB458" t="s">
        <v>4459</v>
      </c>
      <c r="BD458" t="s">
        <v>398</v>
      </c>
      <c r="BE458" t="s">
        <v>393</v>
      </c>
      <c r="BF458">
        <v>32046</v>
      </c>
      <c r="BG458" t="s">
        <v>5045</v>
      </c>
      <c r="BH458" t="s">
        <v>400</v>
      </c>
      <c r="BI458">
        <v>-81.936503831793402</v>
      </c>
      <c r="BJ458">
        <v>30.685960967025402</v>
      </c>
      <c r="BK458" t="s">
        <v>5046</v>
      </c>
      <c r="BM458" t="s">
        <v>4996</v>
      </c>
      <c r="BN458" t="s">
        <v>403</v>
      </c>
      <c r="BO458">
        <v>32046</v>
      </c>
      <c r="BP458" t="s">
        <v>404</v>
      </c>
      <c r="BQ458">
        <v>200</v>
      </c>
      <c r="BR458" t="s">
        <v>405</v>
      </c>
      <c r="BS458">
        <v>1006</v>
      </c>
      <c r="BT458" t="s">
        <v>406</v>
      </c>
      <c r="BU458">
        <v>750</v>
      </c>
      <c r="BV458">
        <v>1250</v>
      </c>
      <c r="BW458">
        <v>9375</v>
      </c>
      <c r="BX458" t="s">
        <v>407</v>
      </c>
      <c r="BY458" t="s">
        <v>4520</v>
      </c>
      <c r="BZ458">
        <v>4</v>
      </c>
      <c r="CA458">
        <v>1979</v>
      </c>
      <c r="CB458">
        <v>1</v>
      </c>
      <c r="CC458">
        <v>1</v>
      </c>
      <c r="CD458">
        <v>2017</v>
      </c>
      <c r="CE458">
        <v>11250</v>
      </c>
      <c r="CF458">
        <v>4830</v>
      </c>
      <c r="CG458">
        <v>16080</v>
      </c>
      <c r="CH458">
        <v>2017</v>
      </c>
      <c r="CI458">
        <v>11250</v>
      </c>
      <c r="CJ458">
        <v>4830</v>
      </c>
      <c r="CK458">
        <v>16080</v>
      </c>
      <c r="CL458">
        <v>2017</v>
      </c>
      <c r="CM458">
        <v>221.19</v>
      </c>
      <c r="CN458" s="1">
        <v>28856</v>
      </c>
      <c r="CZ458" s="1">
        <v>28856</v>
      </c>
      <c r="DD458" t="s">
        <v>398</v>
      </c>
      <c r="DG458">
        <v>8</v>
      </c>
      <c r="DJ458" t="s">
        <v>4482</v>
      </c>
      <c r="DL458">
        <v>50400</v>
      </c>
      <c r="DM458" t="s">
        <v>4465</v>
      </c>
      <c r="DO458" t="s">
        <v>5047</v>
      </c>
      <c r="DP458">
        <v>0</v>
      </c>
      <c r="DQ458">
        <v>0</v>
      </c>
      <c r="DR458" t="s">
        <v>411</v>
      </c>
      <c r="DS458" t="b">
        <v>1</v>
      </c>
      <c r="DT458" t="s">
        <v>470</v>
      </c>
      <c r="DU458" t="s">
        <v>471</v>
      </c>
      <c r="DV458" t="s">
        <v>472</v>
      </c>
      <c r="DX458">
        <v>-9999</v>
      </c>
      <c r="DZ458" t="s">
        <v>447</v>
      </c>
      <c r="EA458" t="s">
        <v>448</v>
      </c>
      <c r="EB458" t="s">
        <v>1224</v>
      </c>
      <c r="EC458">
        <v>20101217</v>
      </c>
      <c r="ED458" t="s">
        <v>474</v>
      </c>
      <c r="EF458">
        <v>1419.6</v>
      </c>
      <c r="EG458">
        <v>1419.6</v>
      </c>
      <c r="EI458">
        <v>20160407</v>
      </c>
      <c r="EJ458">
        <v>0</v>
      </c>
      <c r="EK458">
        <v>0</v>
      </c>
      <c r="EP458" t="s">
        <v>595</v>
      </c>
      <c r="EQ458" t="s">
        <v>422</v>
      </c>
      <c r="ER458">
        <v>7</v>
      </c>
      <c r="ES458">
        <v>1</v>
      </c>
      <c r="ET458">
        <v>1842.29</v>
      </c>
      <c r="EU458">
        <v>1007.49</v>
      </c>
      <c r="EV458">
        <v>2849.78</v>
      </c>
      <c r="EW458" s="2">
        <v>43222</v>
      </c>
      <c r="EX458" s="1">
        <v>42879</v>
      </c>
      <c r="EY458">
        <v>2016</v>
      </c>
      <c r="EZ458">
        <v>266.63</v>
      </c>
      <c r="FA458" t="s">
        <v>5048</v>
      </c>
      <c r="FB458">
        <v>18</v>
      </c>
      <c r="FC458" t="s">
        <v>424</v>
      </c>
      <c r="FD458" t="s">
        <v>454</v>
      </c>
      <c r="FF458">
        <v>12</v>
      </c>
      <c r="FG458">
        <v>10003</v>
      </c>
      <c r="FH458" t="s">
        <v>4341</v>
      </c>
      <c r="FJ458" s="1">
        <v>42515</v>
      </c>
      <c r="FK458">
        <v>2015</v>
      </c>
      <c r="FL458">
        <v>260.63</v>
      </c>
      <c r="FM458" t="s">
        <v>5049</v>
      </c>
      <c r="FN458">
        <v>18</v>
      </c>
      <c r="FO458" t="s">
        <v>603</v>
      </c>
      <c r="FP458" t="s">
        <v>454</v>
      </c>
      <c r="FR458">
        <v>24</v>
      </c>
      <c r="FS458">
        <v>9999999</v>
      </c>
      <c r="FT458" t="s">
        <v>604</v>
      </c>
      <c r="FV458" s="1">
        <v>42515</v>
      </c>
      <c r="FW458">
        <v>2015</v>
      </c>
      <c r="FX458">
        <v>313.79000000000002</v>
      </c>
      <c r="FY458" t="s">
        <v>5049</v>
      </c>
      <c r="FZ458">
        <v>18</v>
      </c>
      <c r="GA458" t="s">
        <v>424</v>
      </c>
      <c r="GB458" t="s">
        <v>454</v>
      </c>
      <c r="GD458">
        <v>24</v>
      </c>
      <c r="GE458">
        <v>7400233</v>
      </c>
      <c r="GF458" t="s">
        <v>5050</v>
      </c>
      <c r="GH458" s="1">
        <v>42151</v>
      </c>
      <c r="GI458">
        <v>2014</v>
      </c>
      <c r="GJ458">
        <v>208.61</v>
      </c>
      <c r="GK458" t="s">
        <v>5051</v>
      </c>
      <c r="GL458">
        <v>18</v>
      </c>
      <c r="GM458" t="s">
        <v>424</v>
      </c>
      <c r="GN458" t="s">
        <v>454</v>
      </c>
      <c r="GP458">
        <v>36</v>
      </c>
      <c r="GQ458">
        <v>10125</v>
      </c>
      <c r="GR458" t="s">
        <v>440</v>
      </c>
      <c r="GT458" s="1">
        <v>41787</v>
      </c>
      <c r="GU458">
        <v>2013</v>
      </c>
      <c r="GV458">
        <v>229.32</v>
      </c>
      <c r="GW458" t="s">
        <v>5052</v>
      </c>
      <c r="GX458">
        <v>14.75</v>
      </c>
      <c r="GY458" t="s">
        <v>424</v>
      </c>
      <c r="GZ458" t="s">
        <v>454</v>
      </c>
      <c r="HB458">
        <v>48</v>
      </c>
      <c r="HC458">
        <v>10125</v>
      </c>
      <c r="HD458" t="s">
        <v>440</v>
      </c>
      <c r="HF458" s="1">
        <v>41423</v>
      </c>
      <c r="HG458">
        <v>2012</v>
      </c>
      <c r="HH458">
        <v>232.16</v>
      </c>
      <c r="HI458" t="s">
        <v>5053</v>
      </c>
      <c r="HJ458">
        <v>16.75</v>
      </c>
      <c r="HK458" t="s">
        <v>424</v>
      </c>
      <c r="HL458" t="s">
        <v>454</v>
      </c>
      <c r="HN458">
        <v>60</v>
      </c>
      <c r="HO458">
        <v>10125</v>
      </c>
      <c r="HP458" t="s">
        <v>440</v>
      </c>
      <c r="HR458" s="1">
        <v>41052</v>
      </c>
      <c r="HS458">
        <v>2011</v>
      </c>
      <c r="HT458">
        <v>313.8</v>
      </c>
      <c r="HU458" t="s">
        <v>5054</v>
      </c>
      <c r="HV458">
        <v>11.75</v>
      </c>
      <c r="HW458" t="s">
        <v>424</v>
      </c>
      <c r="HX458" t="s">
        <v>425</v>
      </c>
      <c r="HY458" s="1">
        <v>41698</v>
      </c>
      <c r="HZ458">
        <v>21</v>
      </c>
      <c r="IA458">
        <v>10125</v>
      </c>
      <c r="IB458" t="s">
        <v>440</v>
      </c>
      <c r="ID458" s="1">
        <v>40688</v>
      </c>
      <c r="IE458">
        <v>2010</v>
      </c>
      <c r="IF458">
        <v>331.15</v>
      </c>
      <c r="IG458" t="s">
        <v>5055</v>
      </c>
      <c r="IH458">
        <v>11.5</v>
      </c>
      <c r="II458" t="s">
        <v>424</v>
      </c>
      <c r="IJ458" t="s">
        <v>454</v>
      </c>
      <c r="IL458">
        <v>84</v>
      </c>
      <c r="IM458">
        <v>10125</v>
      </c>
      <c r="IN458" t="s">
        <v>440</v>
      </c>
    </row>
    <row r="459" spans="1:260" x14ac:dyDescent="0.25">
      <c r="A459">
        <v>16485466</v>
      </c>
      <c r="B459">
        <v>458</v>
      </c>
      <c r="C459" t="s">
        <v>393</v>
      </c>
      <c r="D459" t="s">
        <v>394</v>
      </c>
      <c r="F459" t="str">
        <f>"08-3N-24-2380-0157-0180"</f>
        <v>08-3N-24-2380-0157-0180</v>
      </c>
      <c r="H459" t="str">
        <f>"BRUCE JOHNNIE F &amp; RICH J W &amp; ROBERT TAYLOR"</f>
        <v>BRUCE JOHNNIE F &amp; RICH J W &amp; ROBERT TAYLOR</v>
      </c>
      <c r="I459" t="str">
        <f>"27312 W FIRST AV"</f>
        <v>27312 W FIRST AV</v>
      </c>
      <c r="J459" t="str">
        <f>"HILLIARD FL 32046"</f>
        <v>HILLIARD FL 32046</v>
      </c>
      <c r="K459" t="str">
        <f>"27312 FIRST AVE W"</f>
        <v>27312 FIRST AVE W</v>
      </c>
      <c r="L459" t="str">
        <f t="shared" si="132"/>
        <v>HILLIARD FL 32046</v>
      </c>
      <c r="M459" t="str">
        <f>"BLOCK 157 LOTS 18 THRU 24 IN OR 1406/1495 &amp; OR 2133/1935 TOWN OF HILLIARD"</f>
        <v>BLOCK 157 LOTS 18 THRU 24 IN OR 1406/1495 &amp; OR 2133/1935 TOWN OF HILLIARD</v>
      </c>
      <c r="N459" t="str">
        <f>""</f>
        <v/>
      </c>
      <c r="O459" t="str">
        <f>"23858"</f>
        <v>23858</v>
      </c>
      <c r="P459" t="str">
        <f t="shared" si="137"/>
        <v>2017</v>
      </c>
      <c r="Q459" t="str">
        <f>""</f>
        <v/>
      </c>
      <c r="R459" t="str">
        <f>"N"</f>
        <v>N</v>
      </c>
      <c r="S459" t="str">
        <f>""</f>
        <v/>
      </c>
      <c r="T459" t="str">
        <f>"977.36"</f>
        <v>977.36</v>
      </c>
      <c r="U459" t="str">
        <f>"69985.00"</f>
        <v>69985.00</v>
      </c>
      <c r="V459" t="str">
        <f>"69985.00"</f>
        <v>69985.00</v>
      </c>
      <c r="W459" t="str">
        <f t="shared" si="138"/>
        <v>2017</v>
      </c>
      <c r="X459" t="str">
        <f>"11.00"</f>
        <v>11.00</v>
      </c>
      <c r="Y459" t="str">
        <f>"1038.68"</f>
        <v>1038.68</v>
      </c>
      <c r="Z459" t="str">
        <f>""</f>
        <v/>
      </c>
      <c r="AA459" t="str">
        <f>"69985.00"</f>
        <v>69985.00</v>
      </c>
      <c r="AB459" t="str">
        <f t="shared" si="133"/>
        <v>Residential</v>
      </c>
      <c r="AC459" t="str">
        <f t="shared" si="139"/>
        <v>0</v>
      </c>
      <c r="AD459" t="str">
        <f>"4"</f>
        <v>4</v>
      </c>
      <c r="AE459" t="str">
        <f>"WOOD (INCLUDE STEEL STUDS)"</f>
        <v>WOOD (INCLUDE STEEL STUDS)</v>
      </c>
      <c r="AF459" t="str">
        <f>"001"</f>
        <v>001</v>
      </c>
      <c r="AG459" t="str">
        <f t="shared" si="140"/>
        <v>FL</v>
      </c>
      <c r="AH459" t="str">
        <f>"21875.00"</f>
        <v>21875.00</v>
      </c>
      <c r="AI459" t="str">
        <f>"26250.00"</f>
        <v>26250.00</v>
      </c>
      <c r="AJ459" t="str">
        <f>"C55-000-586-7861-6"</f>
        <v>C55-000-586-7861-6</v>
      </c>
      <c r="AK459" t="str">
        <f>"6619"</f>
        <v>6619</v>
      </c>
      <c r="AL459">
        <v>2</v>
      </c>
      <c r="AM459">
        <v>529</v>
      </c>
      <c r="AN459">
        <v>1089.01</v>
      </c>
      <c r="AQ459" t="s">
        <v>5056</v>
      </c>
      <c r="AR459" t="s">
        <v>5056</v>
      </c>
      <c r="AS459" t="s">
        <v>5056</v>
      </c>
      <c r="AU459" t="s">
        <v>396</v>
      </c>
      <c r="AV459">
        <v>2017</v>
      </c>
      <c r="AW459" t="str">
        <f>"08-3N-24-2380-0157-0180 "</f>
        <v xml:space="preserve">08-3N-24-2380-0157-0180 </v>
      </c>
      <c r="AX459">
        <v>27312</v>
      </c>
      <c r="AZ459" t="s">
        <v>4458</v>
      </c>
      <c r="BA459" t="s">
        <v>1112</v>
      </c>
      <c r="BB459" t="s">
        <v>4459</v>
      </c>
      <c r="BD459" t="s">
        <v>398</v>
      </c>
      <c r="BE459" t="s">
        <v>393</v>
      </c>
      <c r="BF459">
        <v>32046</v>
      </c>
      <c r="BG459" t="s">
        <v>5057</v>
      </c>
      <c r="BH459" t="s">
        <v>400</v>
      </c>
      <c r="BI459">
        <v>-81.933659392054395</v>
      </c>
      <c r="BJ459">
        <v>30.6860649805216</v>
      </c>
      <c r="BK459" t="s">
        <v>5058</v>
      </c>
      <c r="BM459" t="s">
        <v>5059</v>
      </c>
      <c r="BN459" t="s">
        <v>403</v>
      </c>
      <c r="BO459">
        <v>32046</v>
      </c>
      <c r="BP459" t="s">
        <v>404</v>
      </c>
      <c r="BQ459">
        <v>100</v>
      </c>
      <c r="BR459" t="s">
        <v>514</v>
      </c>
      <c r="BS459">
        <v>1001</v>
      </c>
      <c r="BT459" t="s">
        <v>515</v>
      </c>
      <c r="BU459">
        <v>1750</v>
      </c>
      <c r="BV459">
        <v>1250</v>
      </c>
      <c r="BW459">
        <v>21875</v>
      </c>
      <c r="BX459" t="s">
        <v>407</v>
      </c>
      <c r="BY459" t="s">
        <v>4520</v>
      </c>
      <c r="BZ459">
        <v>4</v>
      </c>
      <c r="CA459">
        <v>1965</v>
      </c>
      <c r="CB459">
        <v>1</v>
      </c>
      <c r="CC459">
        <v>1</v>
      </c>
      <c r="CD459">
        <v>2017</v>
      </c>
      <c r="CE459">
        <v>26250</v>
      </c>
      <c r="CF459">
        <v>43735</v>
      </c>
      <c r="CG459">
        <v>69985</v>
      </c>
      <c r="CH459">
        <v>2017</v>
      </c>
      <c r="CI459">
        <v>26250</v>
      </c>
      <c r="CJ459">
        <v>43735</v>
      </c>
      <c r="CK459">
        <v>69985</v>
      </c>
      <c r="CL459">
        <v>2017</v>
      </c>
      <c r="CM459">
        <v>977.36</v>
      </c>
      <c r="CN459" s="1">
        <v>43024</v>
      </c>
      <c r="CO459">
        <v>17000</v>
      </c>
      <c r="CV459">
        <v>17000</v>
      </c>
      <c r="CX459" t="s">
        <v>675</v>
      </c>
      <c r="CZ459" s="1">
        <v>43024</v>
      </c>
      <c r="DA459">
        <v>0</v>
      </c>
      <c r="DD459" t="s">
        <v>398</v>
      </c>
      <c r="DG459">
        <v>8</v>
      </c>
      <c r="DJ459" t="s">
        <v>4482</v>
      </c>
      <c r="DL459">
        <v>50400</v>
      </c>
      <c r="DM459" t="s">
        <v>4465</v>
      </c>
      <c r="DO459" t="s">
        <v>5060</v>
      </c>
      <c r="DP459">
        <v>0</v>
      </c>
      <c r="DQ459">
        <v>0</v>
      </c>
      <c r="DR459" t="s">
        <v>411</v>
      </c>
      <c r="DS459" t="b">
        <v>1</v>
      </c>
      <c r="DT459" t="s">
        <v>470</v>
      </c>
      <c r="DU459" t="s">
        <v>471</v>
      </c>
      <c r="DV459" t="s">
        <v>472</v>
      </c>
      <c r="DX459">
        <v>-9999</v>
      </c>
      <c r="DZ459" t="s">
        <v>447</v>
      </c>
      <c r="EA459" t="s">
        <v>448</v>
      </c>
      <c r="EB459" t="s">
        <v>1224</v>
      </c>
      <c r="EC459">
        <v>20101217</v>
      </c>
      <c r="ED459" t="s">
        <v>474</v>
      </c>
      <c r="EF459">
        <v>1572.6</v>
      </c>
      <c r="EG459">
        <v>1572.6</v>
      </c>
      <c r="EI459">
        <v>20160407</v>
      </c>
      <c r="EJ459">
        <v>0</v>
      </c>
      <c r="EK459">
        <v>0</v>
      </c>
      <c r="EP459" t="s">
        <v>421</v>
      </c>
      <c r="EQ459" t="s">
        <v>422</v>
      </c>
      <c r="ER459">
        <v>0</v>
      </c>
      <c r="ES459">
        <v>2</v>
      </c>
      <c r="ET459">
        <v>0</v>
      </c>
      <c r="EU459">
        <v>0</v>
      </c>
      <c r="EV459">
        <v>0</v>
      </c>
      <c r="EW459" s="2">
        <v>43222</v>
      </c>
      <c r="EX459" s="1">
        <v>42515</v>
      </c>
      <c r="EY459">
        <v>2015</v>
      </c>
      <c r="EZ459">
        <v>1087.06</v>
      </c>
      <c r="FA459" t="s">
        <v>5061</v>
      </c>
      <c r="FB459">
        <v>0.25</v>
      </c>
      <c r="FC459" t="s">
        <v>424</v>
      </c>
      <c r="FD459" t="s">
        <v>425</v>
      </c>
      <c r="FE459" s="1">
        <v>42836</v>
      </c>
      <c r="FF459">
        <v>11</v>
      </c>
      <c r="FG459">
        <v>7336671</v>
      </c>
      <c r="FH459" t="s">
        <v>437</v>
      </c>
      <c r="FJ459" s="1">
        <v>42515</v>
      </c>
      <c r="FK459">
        <v>2015</v>
      </c>
      <c r="FL459">
        <v>1087.06</v>
      </c>
      <c r="FM459" t="s">
        <v>5061</v>
      </c>
      <c r="FN459">
        <v>0.25</v>
      </c>
      <c r="FO459" t="s">
        <v>424</v>
      </c>
      <c r="FP459" t="s">
        <v>425</v>
      </c>
      <c r="FR459">
        <v>22</v>
      </c>
      <c r="FS459">
        <v>6908887</v>
      </c>
      <c r="FT459" t="s">
        <v>5062</v>
      </c>
    </row>
    <row r="460" spans="1:260" x14ac:dyDescent="0.25">
      <c r="A460">
        <v>16485467</v>
      </c>
      <c r="B460">
        <v>459</v>
      </c>
      <c r="C460" t="s">
        <v>393</v>
      </c>
      <c r="D460" t="s">
        <v>394</v>
      </c>
      <c r="F460" t="str">
        <f>"08-3N-24-2380-0168-0050"</f>
        <v>08-3N-24-2380-0168-0050</v>
      </c>
      <c r="H460" t="str">
        <f>"BULLARD LUCAS D &amp; CHRISTINE E"</f>
        <v>BULLARD LUCAS D &amp; CHRISTINE E</v>
      </c>
      <c r="I460" t="str">
        <f>"27427 WEST 1ST AVE"</f>
        <v>27427 WEST 1ST AVE</v>
      </c>
      <c r="J460" t="str">
        <f>"HILLIARD FL 32046"</f>
        <v>HILLIARD FL 32046</v>
      </c>
      <c r="K460" t="str">
        <f>"27427 FIRST AVE W"</f>
        <v>27427 FIRST AVE W</v>
      </c>
      <c r="L460" t="str">
        <f t="shared" si="132"/>
        <v>HILLIARD FL 32046</v>
      </c>
      <c r="M460" t="str">
        <f>"BLOCK 168 LOTS 5 THRU 12 IN OR 1034/229 TOWN OF HILLIARD"</f>
        <v>BLOCK 168 LOTS 5 THRU 12 IN OR 1034/229 TOWN OF HILLIARD</v>
      </c>
      <c r="N460" t="str">
        <f>""</f>
        <v/>
      </c>
      <c r="O460" t="str">
        <f>"23906"</f>
        <v>23906</v>
      </c>
      <c r="P460" t="str">
        <f t="shared" si="137"/>
        <v>2017</v>
      </c>
      <c r="Q460" t="str">
        <f>""</f>
        <v/>
      </c>
      <c r="R460" t="str">
        <f>"Y"</f>
        <v>Y</v>
      </c>
      <c r="S460" t="str">
        <f>""</f>
        <v/>
      </c>
      <c r="T460" t="str">
        <f>"1008.15"</f>
        <v>1008.15</v>
      </c>
      <c r="U460" t="str">
        <f>"110377.00"</f>
        <v>110377.00</v>
      </c>
      <c r="V460" t="str">
        <f>"110377.00"</f>
        <v>110377.00</v>
      </c>
      <c r="W460" t="str">
        <f t="shared" si="138"/>
        <v>2017</v>
      </c>
      <c r="X460" t="str">
        <f>"25.00"</f>
        <v>25.00</v>
      </c>
      <c r="Y460" t="str">
        <f>"1070.39"</f>
        <v>1070.39</v>
      </c>
      <c r="Z460" t="str">
        <f>"25000.00"</f>
        <v>25000.00</v>
      </c>
      <c r="AA460" t="str">
        <f>"85377.00"</f>
        <v>85377.00</v>
      </c>
      <c r="AB460" t="str">
        <f t="shared" si="133"/>
        <v>Residential</v>
      </c>
      <c r="AC460" t="str">
        <f t="shared" si="139"/>
        <v>0</v>
      </c>
      <c r="AD460" t="str">
        <f>"4"</f>
        <v>4</v>
      </c>
      <c r="AE460" t="str">
        <f>"WOOD (INCLUDE STEEL STUDS)"</f>
        <v>WOOD (INCLUDE STEEL STUDS)</v>
      </c>
      <c r="AF460" t="str">
        <f>"001"</f>
        <v>001</v>
      </c>
      <c r="AG460" t="str">
        <f t="shared" si="140"/>
        <v>FL</v>
      </c>
      <c r="AH460" t="str">
        <f>"50000.00"</f>
        <v>50000.00</v>
      </c>
      <c r="AI460" t="str">
        <f>"30000.00"</f>
        <v>30000.00</v>
      </c>
      <c r="AJ460" t="str">
        <f>"C55-000-586-7902-8"</f>
        <v>C55-000-586-7902-8</v>
      </c>
      <c r="AK460" t="str">
        <f>"6661"</f>
        <v>6661</v>
      </c>
      <c r="AL460">
        <v>2</v>
      </c>
      <c r="AM460">
        <v>530</v>
      </c>
      <c r="AN460">
        <v>1122.31</v>
      </c>
      <c r="AQ460" t="s">
        <v>5063</v>
      </c>
      <c r="AR460" t="s">
        <v>5063</v>
      </c>
      <c r="AS460" t="s">
        <v>5063</v>
      </c>
      <c r="AU460" t="s">
        <v>396</v>
      </c>
      <c r="AV460">
        <v>2017</v>
      </c>
      <c r="AW460" t="str">
        <f>"08-3N-24-2380-0168-0050 "</f>
        <v xml:space="preserve">08-3N-24-2380-0168-0050 </v>
      </c>
      <c r="AX460">
        <v>27427</v>
      </c>
      <c r="AZ460" t="s">
        <v>4458</v>
      </c>
      <c r="BA460" t="s">
        <v>1112</v>
      </c>
      <c r="BB460" t="s">
        <v>4459</v>
      </c>
      <c r="BD460" t="s">
        <v>398</v>
      </c>
      <c r="BE460" t="s">
        <v>393</v>
      </c>
      <c r="BF460">
        <v>32046</v>
      </c>
      <c r="BG460" t="s">
        <v>5064</v>
      </c>
      <c r="BH460" t="s">
        <v>400</v>
      </c>
      <c r="BI460">
        <v>-81.931709281125606</v>
      </c>
      <c r="BJ460">
        <v>30.68563550403</v>
      </c>
      <c r="BK460" t="s">
        <v>5065</v>
      </c>
      <c r="BL460" t="s">
        <v>5066</v>
      </c>
      <c r="BM460" t="s">
        <v>5067</v>
      </c>
      <c r="BN460" t="s">
        <v>403</v>
      </c>
      <c r="BO460">
        <v>32046</v>
      </c>
      <c r="BP460" t="s">
        <v>416</v>
      </c>
      <c r="BQ460">
        <v>100</v>
      </c>
      <c r="BR460" t="s">
        <v>514</v>
      </c>
      <c r="BS460">
        <v>1001</v>
      </c>
      <c r="BT460" t="s">
        <v>515</v>
      </c>
      <c r="BU460">
        <v>2000</v>
      </c>
      <c r="BV460">
        <v>1250</v>
      </c>
      <c r="BW460">
        <v>23793</v>
      </c>
      <c r="BX460" t="s">
        <v>407</v>
      </c>
      <c r="BY460" t="s">
        <v>4520</v>
      </c>
      <c r="BZ460">
        <v>4</v>
      </c>
      <c r="CA460">
        <v>1976</v>
      </c>
      <c r="CB460">
        <v>1</v>
      </c>
      <c r="CC460">
        <v>1</v>
      </c>
      <c r="CD460">
        <v>2017</v>
      </c>
      <c r="CG460">
        <v>110377</v>
      </c>
      <c r="CH460">
        <v>2017</v>
      </c>
      <c r="CI460">
        <v>30000</v>
      </c>
      <c r="CJ460">
        <v>108270</v>
      </c>
      <c r="CK460">
        <v>138270</v>
      </c>
      <c r="CL460">
        <v>2017</v>
      </c>
      <c r="CM460">
        <v>1008.15</v>
      </c>
      <c r="CN460" s="1">
        <v>37287</v>
      </c>
      <c r="CO460">
        <v>91000</v>
      </c>
      <c r="CV460">
        <v>91000</v>
      </c>
      <c r="CZ460" s="1">
        <v>37287</v>
      </c>
      <c r="DA460">
        <v>0</v>
      </c>
      <c r="DD460" t="s">
        <v>398</v>
      </c>
      <c r="DG460">
        <v>8</v>
      </c>
      <c r="DL460">
        <v>50400</v>
      </c>
      <c r="DM460" t="s">
        <v>4465</v>
      </c>
      <c r="DO460" t="s">
        <v>5068</v>
      </c>
      <c r="DP460">
        <v>0</v>
      </c>
      <c r="DQ460">
        <v>0</v>
      </c>
      <c r="DR460" t="s">
        <v>411</v>
      </c>
      <c r="DS460" t="b">
        <v>1</v>
      </c>
      <c r="DT460" t="s">
        <v>470</v>
      </c>
      <c r="DU460" t="s">
        <v>471</v>
      </c>
      <c r="DV460" t="s">
        <v>472</v>
      </c>
      <c r="DX460">
        <v>-9999</v>
      </c>
      <c r="DZ460" t="s">
        <v>447</v>
      </c>
      <c r="EA460" t="s">
        <v>448</v>
      </c>
      <c r="EB460" t="s">
        <v>1224</v>
      </c>
      <c r="EC460">
        <v>20101217</v>
      </c>
      <c r="ED460" t="s">
        <v>474</v>
      </c>
      <c r="EF460">
        <v>1560.9</v>
      </c>
      <c r="EG460">
        <v>1560.9</v>
      </c>
      <c r="EI460">
        <v>20160407</v>
      </c>
      <c r="EJ460">
        <v>0</v>
      </c>
      <c r="EK460">
        <v>0</v>
      </c>
      <c r="EP460" t="s">
        <v>421</v>
      </c>
      <c r="EQ460" t="s">
        <v>452</v>
      </c>
      <c r="ER460">
        <v>0</v>
      </c>
      <c r="ES460">
        <v>8</v>
      </c>
      <c r="ET460">
        <v>0</v>
      </c>
      <c r="EU460">
        <v>0</v>
      </c>
      <c r="EV460">
        <v>0</v>
      </c>
      <c r="EW460" s="2">
        <v>43222</v>
      </c>
      <c r="EX460" s="1">
        <v>42515</v>
      </c>
      <c r="EY460">
        <v>2015</v>
      </c>
      <c r="EZ460">
        <v>1120.92</v>
      </c>
      <c r="FA460" t="s">
        <v>5069</v>
      </c>
      <c r="FB460">
        <v>0.25</v>
      </c>
      <c r="FC460" t="s">
        <v>424</v>
      </c>
      <c r="FD460" t="s">
        <v>425</v>
      </c>
      <c r="FE460" s="1">
        <v>42843</v>
      </c>
      <c r="FF460">
        <v>11</v>
      </c>
      <c r="FG460">
        <v>7336671</v>
      </c>
      <c r="FH460" t="s">
        <v>437</v>
      </c>
      <c r="FI460" t="s">
        <v>458</v>
      </c>
      <c r="FJ460" s="1">
        <v>42515</v>
      </c>
      <c r="FK460">
        <v>2015</v>
      </c>
      <c r="FL460">
        <v>1120.92</v>
      </c>
      <c r="FM460" t="s">
        <v>5069</v>
      </c>
      <c r="FN460">
        <v>0.25</v>
      </c>
      <c r="FO460" t="s">
        <v>424</v>
      </c>
      <c r="FP460" t="s">
        <v>425</v>
      </c>
      <c r="FR460">
        <v>22</v>
      </c>
      <c r="FS460">
        <v>7042285</v>
      </c>
      <c r="FT460" t="s">
        <v>5070</v>
      </c>
      <c r="FU460" t="s">
        <v>458</v>
      </c>
      <c r="FV460" s="1">
        <v>42151</v>
      </c>
      <c r="FW460">
        <v>2014</v>
      </c>
      <c r="FX460">
        <v>604.14</v>
      </c>
      <c r="FY460" t="s">
        <v>5071</v>
      </c>
      <c r="FZ460">
        <v>0.25</v>
      </c>
      <c r="GA460" t="s">
        <v>424</v>
      </c>
      <c r="GB460" t="s">
        <v>425</v>
      </c>
      <c r="GD460">
        <v>22</v>
      </c>
      <c r="GE460">
        <v>11289</v>
      </c>
      <c r="GF460" t="s">
        <v>787</v>
      </c>
      <c r="GG460" t="s">
        <v>458</v>
      </c>
      <c r="GH460" s="1">
        <v>42151</v>
      </c>
      <c r="GI460">
        <v>2014</v>
      </c>
      <c r="GJ460">
        <v>604.14</v>
      </c>
      <c r="GK460" t="s">
        <v>5071</v>
      </c>
      <c r="GL460">
        <v>0.25</v>
      </c>
      <c r="GM460" t="s">
        <v>424</v>
      </c>
      <c r="GN460" t="s">
        <v>425</v>
      </c>
      <c r="GP460">
        <v>22</v>
      </c>
      <c r="GQ460">
        <v>5133415</v>
      </c>
      <c r="GR460" t="s">
        <v>5072</v>
      </c>
      <c r="GS460" t="s">
        <v>458</v>
      </c>
      <c r="GT460" s="1">
        <v>42151</v>
      </c>
      <c r="GU460">
        <v>2014</v>
      </c>
      <c r="GV460">
        <v>604.14</v>
      </c>
      <c r="GW460" t="s">
        <v>5071</v>
      </c>
      <c r="GX460">
        <v>0.25</v>
      </c>
      <c r="GY460" t="s">
        <v>424</v>
      </c>
      <c r="GZ460" t="s">
        <v>425</v>
      </c>
      <c r="HB460">
        <v>22</v>
      </c>
      <c r="HC460">
        <v>7045059</v>
      </c>
      <c r="HD460" t="s">
        <v>5073</v>
      </c>
      <c r="HE460" t="s">
        <v>458</v>
      </c>
      <c r="HF460" s="1">
        <v>41423</v>
      </c>
      <c r="HG460">
        <v>2012</v>
      </c>
      <c r="HH460">
        <v>1034.43</v>
      </c>
      <c r="HI460" t="s">
        <v>5074</v>
      </c>
      <c r="HJ460">
        <v>0.25</v>
      </c>
      <c r="HK460" t="s">
        <v>424</v>
      </c>
      <c r="HL460" t="s">
        <v>425</v>
      </c>
      <c r="HM460" s="1">
        <v>42060</v>
      </c>
      <c r="HN460">
        <v>21</v>
      </c>
      <c r="HO460">
        <v>15970</v>
      </c>
      <c r="HP460" t="s">
        <v>1435</v>
      </c>
      <c r="HR460" s="1">
        <v>41052</v>
      </c>
      <c r="HS460">
        <v>2011</v>
      </c>
      <c r="HT460">
        <v>1000.64</v>
      </c>
      <c r="HU460" t="s">
        <v>5075</v>
      </c>
      <c r="HV460">
        <v>3.25</v>
      </c>
      <c r="HW460" t="s">
        <v>424</v>
      </c>
      <c r="HX460" t="s">
        <v>425</v>
      </c>
      <c r="HY460" s="1">
        <v>41670</v>
      </c>
      <c r="HZ460">
        <v>20</v>
      </c>
      <c r="IA460">
        <v>13067</v>
      </c>
      <c r="IB460" t="s">
        <v>429</v>
      </c>
      <c r="ID460" s="1">
        <v>40688</v>
      </c>
      <c r="IE460">
        <v>2010</v>
      </c>
      <c r="IF460">
        <v>1579.64</v>
      </c>
      <c r="IG460" t="s">
        <v>5076</v>
      </c>
      <c r="IH460">
        <v>4.75</v>
      </c>
      <c r="II460" t="s">
        <v>424</v>
      </c>
      <c r="IJ460" t="s">
        <v>425</v>
      </c>
      <c r="IK460" s="1">
        <v>41365</v>
      </c>
      <c r="IL460">
        <v>23</v>
      </c>
      <c r="IM460">
        <v>10591</v>
      </c>
      <c r="IN460" t="s">
        <v>4254</v>
      </c>
    </row>
    <row r="461" spans="1:260" x14ac:dyDescent="0.25">
      <c r="A461">
        <v>16485468</v>
      </c>
      <c r="B461">
        <v>460</v>
      </c>
      <c r="C461" t="s">
        <v>393</v>
      </c>
      <c r="D461" t="s">
        <v>394</v>
      </c>
      <c r="F461" t="str">
        <f>"08-3N-24-2380-0173-0040"</f>
        <v>08-3N-24-2380-0173-0040</v>
      </c>
      <c r="H461" t="str">
        <f>"HOFFMAN JAMES J &amp; PENSA MARK ANTHONY (JT/RS)"</f>
        <v>HOFFMAN JAMES J &amp; PENSA MARK ANTHONY (JT/RS)</v>
      </c>
      <c r="I461" t="str">
        <f>"PO BOX 818"</f>
        <v>PO BOX 818</v>
      </c>
      <c r="J461" t="str">
        <f>"HILLIARD FL 32046"</f>
        <v>HILLIARD FL 32046</v>
      </c>
      <c r="K461" t="str">
        <f>"W FIRST AV"</f>
        <v>W FIRST AV</v>
      </c>
      <c r="L461" t="str">
        <f t="shared" si="132"/>
        <v>HILLIARD FL 32046</v>
      </c>
      <c r="M461" t="str">
        <f>"BLOCK 173 LOT 4 PT OR 1792/1188 TOWN OF HILLIARD"</f>
        <v>BLOCK 173 LOT 4 PT OR 1792/1188 TOWN OF HILLIARD</v>
      </c>
      <c r="N461" t="str">
        <f>""</f>
        <v/>
      </c>
      <c r="O461" t="str">
        <f>"23933"</f>
        <v>23933</v>
      </c>
      <c r="P461" t="str">
        <f t="shared" si="137"/>
        <v>2017</v>
      </c>
      <c r="Q461" t="str">
        <f>""</f>
        <v/>
      </c>
      <c r="R461" t="str">
        <f>"N"</f>
        <v>N</v>
      </c>
      <c r="S461" t="str">
        <f>""</f>
        <v/>
      </c>
      <c r="T461" t="str">
        <f>"8.73"</f>
        <v>8.73</v>
      </c>
      <c r="U461" t="str">
        <f>"625.00"</f>
        <v>625.00</v>
      </c>
      <c r="V461" t="str">
        <f>"625.00"</f>
        <v>625.00</v>
      </c>
      <c r="W461" t="str">
        <f t="shared" si="138"/>
        <v>2017</v>
      </c>
      <c r="X461" t="str">
        <f>"21.00"</f>
        <v>21.00</v>
      </c>
      <c r="Y461" t="str">
        <f>"40.99"</f>
        <v>40.99</v>
      </c>
      <c r="Z461" t="str">
        <f>""</f>
        <v/>
      </c>
      <c r="AA461" t="str">
        <f>"625.00"</f>
        <v>625.00</v>
      </c>
      <c r="AB461" t="str">
        <f t="shared" si="133"/>
        <v>Residential</v>
      </c>
      <c r="AC461" t="str">
        <f t="shared" si="139"/>
        <v>0</v>
      </c>
      <c r="AD461" t="str">
        <f>""</f>
        <v/>
      </c>
      <c r="AE461" t="str">
        <f>""</f>
        <v/>
      </c>
      <c r="AF461" t="str">
        <f>"000"</f>
        <v>000</v>
      </c>
      <c r="AG461" t="str">
        <f t="shared" si="140"/>
        <v>FL</v>
      </c>
      <c r="AH461" t="str">
        <f>"3125.00"</f>
        <v>3125.00</v>
      </c>
      <c r="AI461" t="str">
        <f>"625.00"</f>
        <v>625.00</v>
      </c>
      <c r="AJ461" t="str">
        <f>"C55-000-586-7925-9"</f>
        <v>C55-000-586-7925-9</v>
      </c>
      <c r="AK461" t="str">
        <f>"6685"</f>
        <v>6685</v>
      </c>
      <c r="AL461">
        <v>2</v>
      </c>
      <c r="AM461">
        <v>531</v>
      </c>
      <c r="AN461">
        <v>41.44</v>
      </c>
      <c r="AQ461" t="s">
        <v>5077</v>
      </c>
      <c r="AR461" t="s">
        <v>5077</v>
      </c>
      <c r="AS461" t="s">
        <v>5077</v>
      </c>
      <c r="AU461" t="s">
        <v>396</v>
      </c>
      <c r="AV461">
        <v>2017</v>
      </c>
      <c r="AW461" t="str">
        <f>"08-3N-24-2380-0173-0040 "</f>
        <v xml:space="preserve">08-3N-24-2380-0173-0040 </v>
      </c>
      <c r="AY461" t="s">
        <v>4459</v>
      </c>
      <c r="AZ461" t="s">
        <v>4458</v>
      </c>
      <c r="BA461" t="s">
        <v>1122</v>
      </c>
      <c r="BD461" t="s">
        <v>398</v>
      </c>
      <c r="BE461" t="s">
        <v>393</v>
      </c>
      <c r="BF461">
        <v>32046</v>
      </c>
      <c r="BG461" t="s">
        <v>5078</v>
      </c>
      <c r="BH461" t="s">
        <v>400</v>
      </c>
      <c r="BI461">
        <v>-81.937055921749803</v>
      </c>
      <c r="BJ461">
        <v>30.685433020175001</v>
      </c>
      <c r="BK461" t="s">
        <v>5079</v>
      </c>
      <c r="BL461" t="s">
        <v>5080</v>
      </c>
      <c r="BM461" t="s">
        <v>4496</v>
      </c>
      <c r="BN461" t="s">
        <v>403</v>
      </c>
      <c r="BO461">
        <v>32046</v>
      </c>
      <c r="BP461" t="s">
        <v>404</v>
      </c>
      <c r="BQ461">
        <v>0</v>
      </c>
      <c r="BR461" t="s">
        <v>491</v>
      </c>
      <c r="BS461">
        <v>8001</v>
      </c>
      <c r="BT461" t="s">
        <v>492</v>
      </c>
      <c r="BU461">
        <v>250</v>
      </c>
      <c r="BV461">
        <v>1250</v>
      </c>
      <c r="BW461">
        <v>3155</v>
      </c>
      <c r="BX461" t="s">
        <v>407</v>
      </c>
      <c r="BY461" t="s">
        <v>4520</v>
      </c>
      <c r="CD461">
        <v>2017</v>
      </c>
      <c r="CE461">
        <v>625</v>
      </c>
      <c r="CG461">
        <v>625</v>
      </c>
      <c r="CH461">
        <v>2017</v>
      </c>
      <c r="CI461">
        <v>625</v>
      </c>
      <c r="CK461">
        <v>625</v>
      </c>
      <c r="CL461">
        <v>2017</v>
      </c>
      <c r="CM461">
        <v>8.73</v>
      </c>
      <c r="CN461" s="1">
        <v>41038</v>
      </c>
      <c r="CO461">
        <v>1700</v>
      </c>
      <c r="CZ461" s="1">
        <v>41038</v>
      </c>
      <c r="DD461" t="s">
        <v>398</v>
      </c>
      <c r="DF461">
        <v>4</v>
      </c>
      <c r="DG461">
        <v>8</v>
      </c>
      <c r="DJ461" t="s">
        <v>4482</v>
      </c>
      <c r="DL461">
        <v>50400</v>
      </c>
      <c r="DM461" t="s">
        <v>4465</v>
      </c>
      <c r="DO461" t="s">
        <v>5081</v>
      </c>
      <c r="DP461">
        <v>0</v>
      </c>
      <c r="DQ461">
        <v>0</v>
      </c>
      <c r="DR461" t="s">
        <v>411</v>
      </c>
      <c r="EP461" t="s">
        <v>595</v>
      </c>
      <c r="EQ461" t="s">
        <v>422</v>
      </c>
      <c r="ER461">
        <v>0</v>
      </c>
      <c r="ES461">
        <v>4</v>
      </c>
      <c r="ET461">
        <v>0</v>
      </c>
      <c r="EU461">
        <v>0</v>
      </c>
      <c r="EV461">
        <v>0</v>
      </c>
      <c r="EW461" s="2">
        <v>43222</v>
      </c>
      <c r="EX461" s="1">
        <v>41787</v>
      </c>
      <c r="EY461">
        <v>2013</v>
      </c>
      <c r="EZ461">
        <v>49.23</v>
      </c>
      <c r="FA461" t="s">
        <v>5082</v>
      </c>
      <c r="FB461">
        <v>18</v>
      </c>
      <c r="FC461" t="s">
        <v>603</v>
      </c>
      <c r="FD461" t="s">
        <v>425</v>
      </c>
      <c r="FF461">
        <v>22</v>
      </c>
      <c r="FG461">
        <v>9999999</v>
      </c>
      <c r="FH461" t="s">
        <v>604</v>
      </c>
      <c r="FJ461" s="1">
        <v>41787</v>
      </c>
      <c r="FK461">
        <v>2013</v>
      </c>
      <c r="FL461">
        <v>62.86</v>
      </c>
      <c r="FM461" t="s">
        <v>5082</v>
      </c>
      <c r="FN461">
        <v>18</v>
      </c>
      <c r="FO461" t="s">
        <v>424</v>
      </c>
      <c r="FP461" t="s">
        <v>425</v>
      </c>
      <c r="FQ461" s="1">
        <v>42422</v>
      </c>
      <c r="FR461">
        <v>21</v>
      </c>
      <c r="FS461">
        <v>4844971</v>
      </c>
      <c r="FT461" t="s">
        <v>4797</v>
      </c>
      <c r="FV461" s="1">
        <v>41423</v>
      </c>
      <c r="FW461">
        <v>2012</v>
      </c>
      <c r="FX461">
        <v>49.59</v>
      </c>
      <c r="FY461" t="s">
        <v>5083</v>
      </c>
      <c r="FZ461">
        <v>10</v>
      </c>
      <c r="GA461" t="s">
        <v>424</v>
      </c>
      <c r="GB461" t="s">
        <v>425</v>
      </c>
      <c r="GC461" s="1">
        <v>42060</v>
      </c>
      <c r="GD461">
        <v>21</v>
      </c>
      <c r="GE461">
        <v>375</v>
      </c>
      <c r="GF461" t="s">
        <v>776</v>
      </c>
      <c r="GH461" s="1">
        <v>41423</v>
      </c>
      <c r="GI461">
        <v>2012</v>
      </c>
      <c r="GJ461">
        <v>49.59</v>
      </c>
      <c r="GK461" t="s">
        <v>5083</v>
      </c>
      <c r="GL461">
        <v>10</v>
      </c>
      <c r="GM461" t="s">
        <v>424</v>
      </c>
      <c r="GN461" t="s">
        <v>425</v>
      </c>
      <c r="GP461">
        <v>22</v>
      </c>
      <c r="GQ461">
        <v>105</v>
      </c>
      <c r="GR461" t="s">
        <v>946</v>
      </c>
    </row>
    <row r="462" spans="1:260" x14ac:dyDescent="0.25">
      <c r="A462">
        <v>16485469</v>
      </c>
      <c r="B462">
        <v>461</v>
      </c>
      <c r="C462" t="s">
        <v>393</v>
      </c>
      <c r="D462" t="s">
        <v>394</v>
      </c>
      <c r="F462" t="str">
        <f>"08-3N-24-2380-0173-0050"</f>
        <v>08-3N-24-2380-0173-0050</v>
      </c>
      <c r="H462" t="str">
        <f>"LEE LARRY F EST &amp; LEE JAUNELL"</f>
        <v>LEE LARRY F EST &amp; LEE JAUNELL</v>
      </c>
      <c r="I462" t="str">
        <f>"56256 COLBY DRIVE"</f>
        <v>56256 COLBY DRIVE</v>
      </c>
      <c r="J462" t="str">
        <f>"CALLAHAN FL 32011"</f>
        <v>CALLAHAN FL 32011</v>
      </c>
      <c r="K462" t="str">
        <f>"27103 FIRST AVE W"</f>
        <v>27103 FIRST AVE W</v>
      </c>
      <c r="L462" t="str">
        <f t="shared" ref="L462:L493" si="141">"HILLIARD FL 32046"</f>
        <v>HILLIARD FL 32046</v>
      </c>
      <c r="M462" t="str">
        <f>"BLOCK 173 LOTS 5 6 &amp; 7 IN OR 420 PG 26 TOWN OF HILLIARD"</f>
        <v>BLOCK 173 LOTS 5 6 &amp; 7 IN OR 420 PG 26 TOWN OF HILLIARD</v>
      </c>
      <c r="N462" t="str">
        <f>""</f>
        <v/>
      </c>
      <c r="O462" t="str">
        <f>"23934"</f>
        <v>23934</v>
      </c>
      <c r="P462" t="str">
        <f t="shared" si="137"/>
        <v>2017</v>
      </c>
      <c r="Q462" t="str">
        <f>""</f>
        <v/>
      </c>
      <c r="R462" t="str">
        <f>"N"</f>
        <v>N</v>
      </c>
      <c r="S462" t="str">
        <f>""</f>
        <v/>
      </c>
      <c r="T462" t="str">
        <f>"393.86"</f>
        <v>393.86</v>
      </c>
      <c r="U462" t="str">
        <f>"28203.00"</f>
        <v>28203.00</v>
      </c>
      <c r="V462" t="str">
        <f>"28203.00"</f>
        <v>28203.00</v>
      </c>
      <c r="W462" t="str">
        <f t="shared" si="138"/>
        <v>2017</v>
      </c>
      <c r="X462" t="str">
        <f>"21.50"</f>
        <v>21.50</v>
      </c>
      <c r="Y462" t="str">
        <f>"437.68"</f>
        <v>437.68</v>
      </c>
      <c r="Z462" t="str">
        <f>""</f>
        <v/>
      </c>
      <c r="AA462" t="str">
        <f>"28203.00"</f>
        <v>28203.00</v>
      </c>
      <c r="AB462" t="str">
        <f t="shared" si="133"/>
        <v>Residential</v>
      </c>
      <c r="AC462" t="str">
        <f t="shared" si="139"/>
        <v>0</v>
      </c>
      <c r="AD462" t="str">
        <f>"4"</f>
        <v>4</v>
      </c>
      <c r="AE462" t="str">
        <f>"WOOD (INCLUDE STEEL STUDS)"</f>
        <v>WOOD (INCLUDE STEEL STUDS)</v>
      </c>
      <c r="AF462" t="str">
        <f>"001"</f>
        <v>001</v>
      </c>
      <c r="AG462" t="str">
        <f t="shared" si="140"/>
        <v>FL</v>
      </c>
      <c r="AH462" t="str">
        <f>"9375.00"</f>
        <v>9375.00</v>
      </c>
      <c r="AI462" t="str">
        <f>"11250.00"</f>
        <v>11250.00</v>
      </c>
      <c r="AJ462" t="str">
        <f>"C55-000-586-7926-7"</f>
        <v>C55-000-586-7926-7</v>
      </c>
      <c r="AK462" t="str">
        <f>"6686"</f>
        <v>6686</v>
      </c>
      <c r="AL462">
        <v>2</v>
      </c>
      <c r="AM462">
        <v>532</v>
      </c>
      <c r="AN462">
        <v>457.96</v>
      </c>
      <c r="AQ462" t="s">
        <v>5084</v>
      </c>
      <c r="AR462" t="s">
        <v>5084</v>
      </c>
      <c r="AS462" t="s">
        <v>5084</v>
      </c>
      <c r="AU462" t="s">
        <v>396</v>
      </c>
      <c r="AV462">
        <v>2017</v>
      </c>
      <c r="AW462" t="str">
        <f>"08-3N-24-2380-0173-0050 "</f>
        <v xml:space="preserve">08-3N-24-2380-0173-0050 </v>
      </c>
      <c r="AX462">
        <v>27103</v>
      </c>
      <c r="AZ462" t="s">
        <v>4458</v>
      </c>
      <c r="BA462" t="s">
        <v>1112</v>
      </c>
      <c r="BB462" t="s">
        <v>4459</v>
      </c>
      <c r="BD462" t="s">
        <v>398</v>
      </c>
      <c r="BE462" t="s">
        <v>393</v>
      </c>
      <c r="BF462">
        <v>32046</v>
      </c>
      <c r="BG462" t="s">
        <v>5085</v>
      </c>
      <c r="BH462" t="s">
        <v>400</v>
      </c>
      <c r="BI462">
        <v>-81.937217628542996</v>
      </c>
      <c r="BJ462">
        <v>30.685426893547</v>
      </c>
      <c r="BK462" t="s">
        <v>5086</v>
      </c>
      <c r="BM462" t="s">
        <v>5087</v>
      </c>
      <c r="BN462" t="s">
        <v>928</v>
      </c>
      <c r="BO462">
        <v>32011</v>
      </c>
      <c r="BP462" t="s">
        <v>404</v>
      </c>
      <c r="BQ462">
        <v>100</v>
      </c>
      <c r="BR462" t="s">
        <v>514</v>
      </c>
      <c r="BS462">
        <v>1001</v>
      </c>
      <c r="BT462" t="s">
        <v>515</v>
      </c>
      <c r="BU462">
        <v>750</v>
      </c>
      <c r="BV462">
        <v>1250</v>
      </c>
      <c r="BW462">
        <v>9478</v>
      </c>
      <c r="BX462" t="s">
        <v>407</v>
      </c>
      <c r="BY462" t="s">
        <v>4520</v>
      </c>
      <c r="BZ462">
        <v>4</v>
      </c>
      <c r="CA462">
        <v>1936</v>
      </c>
      <c r="CB462">
        <v>1</v>
      </c>
      <c r="CC462">
        <v>1</v>
      </c>
      <c r="CD462">
        <v>2017</v>
      </c>
      <c r="CE462">
        <v>11250</v>
      </c>
      <c r="CF462">
        <v>16953</v>
      </c>
      <c r="CG462">
        <v>28203</v>
      </c>
      <c r="CH462">
        <v>2017</v>
      </c>
      <c r="CI462">
        <v>11250</v>
      </c>
      <c r="CJ462">
        <v>16953</v>
      </c>
      <c r="CK462">
        <v>28203</v>
      </c>
      <c r="CL462">
        <v>2017</v>
      </c>
      <c r="CM462">
        <v>393.86</v>
      </c>
      <c r="CN462" s="1">
        <v>30803</v>
      </c>
      <c r="CO462">
        <v>1000</v>
      </c>
      <c r="CZ462" s="1">
        <v>30803</v>
      </c>
      <c r="DD462" t="s">
        <v>398</v>
      </c>
      <c r="DG462">
        <v>8</v>
      </c>
      <c r="DJ462" t="s">
        <v>4482</v>
      </c>
      <c r="DL462">
        <v>50400</v>
      </c>
      <c r="DM462" t="s">
        <v>4465</v>
      </c>
      <c r="DO462" t="s">
        <v>5088</v>
      </c>
      <c r="DP462">
        <v>0</v>
      </c>
      <c r="DQ462">
        <v>0</v>
      </c>
      <c r="DR462" t="s">
        <v>411</v>
      </c>
      <c r="DS462" t="b">
        <v>1</v>
      </c>
      <c r="DT462" t="s">
        <v>470</v>
      </c>
      <c r="DU462" t="s">
        <v>471</v>
      </c>
      <c r="DV462" t="s">
        <v>472</v>
      </c>
      <c r="DX462">
        <v>-9999</v>
      </c>
      <c r="DZ462" t="s">
        <v>447</v>
      </c>
      <c r="EA462" t="s">
        <v>448</v>
      </c>
      <c r="EB462" t="s">
        <v>1224</v>
      </c>
      <c r="EC462">
        <v>20101217</v>
      </c>
      <c r="ED462" t="s">
        <v>474</v>
      </c>
      <c r="EF462">
        <v>1152.7</v>
      </c>
      <c r="EG462">
        <v>1152.7</v>
      </c>
      <c r="EI462">
        <v>20160407</v>
      </c>
      <c r="EJ462">
        <v>0</v>
      </c>
      <c r="EK462">
        <v>0</v>
      </c>
      <c r="EP462" t="s">
        <v>421</v>
      </c>
      <c r="EQ462" t="s">
        <v>422</v>
      </c>
      <c r="ER462">
        <v>1</v>
      </c>
      <c r="ES462">
        <v>4</v>
      </c>
      <c r="ET462">
        <v>448.09</v>
      </c>
      <c r="EU462">
        <v>28.65</v>
      </c>
      <c r="EV462">
        <v>476.74</v>
      </c>
      <c r="EW462" s="2">
        <v>43222</v>
      </c>
      <c r="EX462" s="1">
        <v>42879</v>
      </c>
      <c r="EY462">
        <v>2016</v>
      </c>
      <c r="EZ462">
        <v>448.09</v>
      </c>
      <c r="FA462" t="s">
        <v>5089</v>
      </c>
      <c r="FB462">
        <v>4.5</v>
      </c>
      <c r="FC462" t="s">
        <v>424</v>
      </c>
      <c r="FD462" t="s">
        <v>454</v>
      </c>
      <c r="FF462">
        <v>12</v>
      </c>
      <c r="FG462">
        <v>2035919</v>
      </c>
      <c r="FH462" t="s">
        <v>507</v>
      </c>
      <c r="FJ462" s="1">
        <v>42515</v>
      </c>
      <c r="FK462">
        <v>2015</v>
      </c>
      <c r="FL462">
        <v>452.35</v>
      </c>
      <c r="FM462" t="s">
        <v>5090</v>
      </c>
      <c r="FN462">
        <v>14.75</v>
      </c>
      <c r="FO462" t="s">
        <v>424</v>
      </c>
      <c r="FP462" t="s">
        <v>425</v>
      </c>
      <c r="FQ462" s="1">
        <v>43158</v>
      </c>
      <c r="FR462">
        <v>21</v>
      </c>
      <c r="FS462">
        <v>7336143</v>
      </c>
      <c r="FT462" t="s">
        <v>539</v>
      </c>
      <c r="FV462" s="1">
        <v>42151</v>
      </c>
      <c r="FW462">
        <v>2014</v>
      </c>
      <c r="FX462">
        <v>420.09</v>
      </c>
      <c r="FY462" t="s">
        <v>5091</v>
      </c>
      <c r="FZ462">
        <v>4.75</v>
      </c>
      <c r="GA462" t="s">
        <v>424</v>
      </c>
      <c r="GB462" t="s">
        <v>425</v>
      </c>
      <c r="GC462" s="1">
        <v>42794</v>
      </c>
      <c r="GD462">
        <v>21</v>
      </c>
      <c r="GE462">
        <v>4975593</v>
      </c>
      <c r="GF462" t="s">
        <v>505</v>
      </c>
      <c r="GH462" s="1">
        <v>41787</v>
      </c>
      <c r="GI462">
        <v>2013</v>
      </c>
      <c r="GJ462">
        <v>358.37</v>
      </c>
      <c r="GK462" t="s">
        <v>5092</v>
      </c>
      <c r="GL462">
        <v>0.25</v>
      </c>
      <c r="GM462" t="s">
        <v>424</v>
      </c>
      <c r="GN462" t="s">
        <v>425</v>
      </c>
      <c r="GO462" s="1">
        <v>42429</v>
      </c>
      <c r="GP462">
        <v>21</v>
      </c>
      <c r="GQ462">
        <v>13026</v>
      </c>
      <c r="GR462" t="s">
        <v>2129</v>
      </c>
      <c r="GT462" s="1">
        <v>40688</v>
      </c>
      <c r="GU462">
        <v>2010</v>
      </c>
      <c r="GV462">
        <v>383.66</v>
      </c>
      <c r="GW462" t="s">
        <v>5093</v>
      </c>
      <c r="GX462">
        <v>8</v>
      </c>
      <c r="GY462" t="s">
        <v>424</v>
      </c>
      <c r="GZ462" t="s">
        <v>425</v>
      </c>
      <c r="HA462" s="1">
        <v>40953</v>
      </c>
      <c r="HB462">
        <v>9</v>
      </c>
      <c r="HC462">
        <v>62</v>
      </c>
      <c r="HD462" t="s">
        <v>463</v>
      </c>
    </row>
    <row r="463" spans="1:260" x14ac:dyDescent="0.25">
      <c r="A463">
        <v>16485470</v>
      </c>
      <c r="B463">
        <v>462</v>
      </c>
      <c r="C463" t="s">
        <v>393</v>
      </c>
      <c r="D463" t="s">
        <v>394</v>
      </c>
      <c r="F463" t="str">
        <f>"08-3N-24-2380-0176-0070"</f>
        <v>08-3N-24-2380-0176-0070</v>
      </c>
      <c r="H463" t="str">
        <f>"MIKKELSON CARL G EST"</f>
        <v>MIKKELSON CARL G EST</v>
      </c>
      <c r="I463" t="str">
        <f>"3756 WEST 3RD STREET"</f>
        <v>3756 WEST 3RD STREET</v>
      </c>
      <c r="J463" t="str">
        <f>"HILLIARD FL 32046"</f>
        <v>HILLIARD FL 32046</v>
      </c>
      <c r="K463" t="str">
        <f>"NEW FRONT ST"</f>
        <v>NEW FRONT ST</v>
      </c>
      <c r="L463" t="str">
        <f t="shared" si="141"/>
        <v>HILLIARD FL 32046</v>
      </c>
      <c r="M463" t="str">
        <f>"BLOCK 176 LOT 7 TOWN OF HILLIARD"</f>
        <v>BLOCK 176 LOT 7 TOWN OF HILLIARD</v>
      </c>
      <c r="N463" t="str">
        <f>""</f>
        <v/>
      </c>
      <c r="O463" t="str">
        <f>"23954"</f>
        <v>23954</v>
      </c>
      <c r="P463" t="str">
        <f t="shared" si="137"/>
        <v>2017</v>
      </c>
      <c r="Q463" t="str">
        <f>""</f>
        <v/>
      </c>
      <c r="R463" t="str">
        <f>"N"</f>
        <v>N</v>
      </c>
      <c r="S463" t="str">
        <f>""</f>
        <v/>
      </c>
      <c r="T463" t="str">
        <f>"8.73"</f>
        <v>8.73</v>
      </c>
      <c r="U463" t="str">
        <f>"625.00"</f>
        <v>625.00</v>
      </c>
      <c r="V463" t="str">
        <f>"625.00"</f>
        <v>625.00</v>
      </c>
      <c r="W463" t="str">
        <f t="shared" si="138"/>
        <v>2017</v>
      </c>
      <c r="X463" t="str">
        <f>""</f>
        <v/>
      </c>
      <c r="Y463" t="str">
        <f>"40.99"</f>
        <v>40.99</v>
      </c>
      <c r="Z463" t="str">
        <f>""</f>
        <v/>
      </c>
      <c r="AA463" t="str">
        <f>"625.00"</f>
        <v>625.00</v>
      </c>
      <c r="AB463" t="str">
        <f t="shared" si="133"/>
        <v>Residential</v>
      </c>
      <c r="AC463" t="str">
        <f t="shared" si="139"/>
        <v>0</v>
      </c>
      <c r="AD463" t="str">
        <f>""</f>
        <v/>
      </c>
      <c r="AE463" t="str">
        <f>""</f>
        <v/>
      </c>
      <c r="AF463" t="str">
        <f>"000"</f>
        <v>000</v>
      </c>
      <c r="AG463" t="str">
        <f t="shared" si="140"/>
        <v>FL</v>
      </c>
      <c r="AH463" t="str">
        <f>"3125.00"</f>
        <v>3125.00</v>
      </c>
      <c r="AI463" t="str">
        <f>"625.00"</f>
        <v>625.00</v>
      </c>
      <c r="AJ463" t="str">
        <f>"C55-000-586-7945-7"</f>
        <v>C55-000-586-7945-7</v>
      </c>
      <c r="AK463" t="str">
        <f>"6706"</f>
        <v>6706</v>
      </c>
      <c r="AL463">
        <v>2</v>
      </c>
      <c r="AM463">
        <v>533</v>
      </c>
      <c r="AN463">
        <v>41.44</v>
      </c>
      <c r="AQ463" t="s">
        <v>5094</v>
      </c>
      <c r="AR463" t="s">
        <v>5094</v>
      </c>
      <c r="AS463" t="s">
        <v>5094</v>
      </c>
      <c r="AU463" t="s">
        <v>396</v>
      </c>
      <c r="AV463">
        <v>2017</v>
      </c>
      <c r="AW463" t="str">
        <f>"08-3N-24-2380-0176-0070 "</f>
        <v xml:space="preserve">08-3N-24-2380-0176-0070 </v>
      </c>
      <c r="AZ463" t="s">
        <v>5095</v>
      </c>
      <c r="BA463" t="s">
        <v>1942</v>
      </c>
      <c r="BD463" t="s">
        <v>398</v>
      </c>
      <c r="BE463" t="s">
        <v>393</v>
      </c>
      <c r="BF463">
        <v>32046</v>
      </c>
      <c r="BG463" t="s">
        <v>5096</v>
      </c>
      <c r="BH463" t="s">
        <v>400</v>
      </c>
      <c r="BI463">
        <v>-81.937254307715307</v>
      </c>
      <c r="BJ463">
        <v>30.684504622174298</v>
      </c>
      <c r="BK463" t="s">
        <v>5097</v>
      </c>
      <c r="BM463" t="s">
        <v>5098</v>
      </c>
      <c r="BN463" t="s">
        <v>403</v>
      </c>
      <c r="BO463">
        <v>32046</v>
      </c>
      <c r="BP463" t="s">
        <v>404</v>
      </c>
      <c r="BQ463">
        <v>0</v>
      </c>
      <c r="BR463" t="s">
        <v>491</v>
      </c>
      <c r="BS463">
        <v>8001</v>
      </c>
      <c r="BT463" t="s">
        <v>492</v>
      </c>
      <c r="BU463">
        <v>250</v>
      </c>
      <c r="BV463">
        <v>1250</v>
      </c>
      <c r="BW463">
        <v>3167</v>
      </c>
      <c r="BX463" t="s">
        <v>407</v>
      </c>
      <c r="BY463" t="s">
        <v>4520</v>
      </c>
      <c r="CD463">
        <v>2017</v>
      </c>
      <c r="CE463">
        <v>625</v>
      </c>
      <c r="CG463">
        <v>625</v>
      </c>
      <c r="CH463">
        <v>2017</v>
      </c>
      <c r="CI463">
        <v>625</v>
      </c>
      <c r="CK463">
        <v>625</v>
      </c>
      <c r="CL463">
        <v>2017</v>
      </c>
      <c r="CM463">
        <v>8.73</v>
      </c>
      <c r="CN463" s="1">
        <v>42114</v>
      </c>
      <c r="CZ463" s="1">
        <v>42114</v>
      </c>
      <c r="DD463" t="s">
        <v>398</v>
      </c>
      <c r="DF463">
        <v>7</v>
      </c>
      <c r="DG463">
        <v>8</v>
      </c>
      <c r="DJ463" t="s">
        <v>4482</v>
      </c>
      <c r="DL463">
        <v>50400</v>
      </c>
      <c r="DM463" t="s">
        <v>4465</v>
      </c>
      <c r="DO463" t="s">
        <v>5099</v>
      </c>
      <c r="DP463">
        <v>0</v>
      </c>
      <c r="DQ463">
        <v>0</v>
      </c>
      <c r="DR463" t="s">
        <v>411</v>
      </c>
    </row>
    <row r="464" spans="1:260" x14ac:dyDescent="0.25">
      <c r="A464">
        <v>16485471</v>
      </c>
      <c r="B464">
        <v>463</v>
      </c>
      <c r="C464" t="s">
        <v>393</v>
      </c>
      <c r="D464" t="s">
        <v>394</v>
      </c>
      <c r="F464" t="str">
        <f>"08-3N-24-2380-0178-0170"</f>
        <v>08-3N-24-2380-0178-0170</v>
      </c>
      <c r="H464" t="str">
        <f>"DOHR LILAS H TRUSTEE OF THE LILAS DOHR REVOC TRUST"</f>
        <v>DOHR LILAS H TRUSTEE OF THE LILAS DOHR REVOC TRUST</v>
      </c>
      <c r="I464" t="str">
        <f>"321 SOUTH WALNUT STREET"</f>
        <v>321 SOUTH WALNUT STREET</v>
      </c>
      <c r="J464" t="str">
        <f>"APPLETON WI 54911"</f>
        <v>APPLETON WI 54911</v>
      </c>
      <c r="K464" t="str">
        <f>"BAY RD"</f>
        <v>BAY RD</v>
      </c>
      <c r="L464" t="str">
        <f t="shared" si="141"/>
        <v>HILLIARD FL 32046</v>
      </c>
      <c r="M464" t="str">
        <f>"BLOCK 178 LOT 17 (LESS S5 FT) IN OR 1009/1486 TOWN OF HILLIARD"</f>
        <v>BLOCK 178 LOT 17 (LESS S5 FT) IN OR 1009/1486 TOWN OF HILLIARD</v>
      </c>
      <c r="N464" t="str">
        <f>""</f>
        <v/>
      </c>
      <c r="O464" t="str">
        <f>"23974"</f>
        <v>23974</v>
      </c>
      <c r="P464" t="str">
        <f t="shared" si="137"/>
        <v>2017</v>
      </c>
      <c r="Q464" t="str">
        <f>""</f>
        <v/>
      </c>
      <c r="R464" t="str">
        <f>"N"</f>
        <v>N</v>
      </c>
      <c r="S464" t="str">
        <f>""</f>
        <v/>
      </c>
      <c r="T464" t="str">
        <f>"8.73"</f>
        <v>8.73</v>
      </c>
      <c r="U464" t="str">
        <f>"625.00"</f>
        <v>625.00</v>
      </c>
      <c r="V464" t="str">
        <f>"625.00"</f>
        <v>625.00</v>
      </c>
      <c r="W464" t="str">
        <f t="shared" si="138"/>
        <v>2017</v>
      </c>
      <c r="X464" t="str">
        <f>""</f>
        <v/>
      </c>
      <c r="Y464" t="str">
        <f>"40.99"</f>
        <v>40.99</v>
      </c>
      <c r="Z464" t="str">
        <f>""</f>
        <v/>
      </c>
      <c r="AA464" t="str">
        <f>"625.00"</f>
        <v>625.00</v>
      </c>
      <c r="AB464" t="str">
        <f t="shared" si="133"/>
        <v>Residential</v>
      </c>
      <c r="AC464" t="str">
        <f t="shared" si="139"/>
        <v>0</v>
      </c>
      <c r="AD464" t="str">
        <f>""</f>
        <v/>
      </c>
      <c r="AE464" t="str">
        <f>""</f>
        <v/>
      </c>
      <c r="AF464" t="str">
        <f>"000"</f>
        <v>000</v>
      </c>
      <c r="AG464" t="str">
        <f>"WI"</f>
        <v>WI</v>
      </c>
      <c r="AH464" t="str">
        <f>"3000.00"</f>
        <v>3000.00</v>
      </c>
      <c r="AI464" t="str">
        <f>"625.00"</f>
        <v>625.00</v>
      </c>
      <c r="AJ464" t="str">
        <f>"C55-000-586-7962-2"</f>
        <v>C55-000-586-7962-2</v>
      </c>
      <c r="AK464" t="str">
        <f>"6725"</f>
        <v>6725</v>
      </c>
      <c r="AL464">
        <v>2</v>
      </c>
      <c r="AM464">
        <v>534</v>
      </c>
      <c r="AN464">
        <v>41.44</v>
      </c>
      <c r="AQ464" t="s">
        <v>5100</v>
      </c>
      <c r="AR464" t="s">
        <v>5100</v>
      </c>
      <c r="AS464" t="s">
        <v>5100</v>
      </c>
      <c r="AU464" t="s">
        <v>396</v>
      </c>
      <c r="AV464">
        <v>2017</v>
      </c>
      <c r="AW464" t="str">
        <f>"08-3N-24-2380-0178-0170 "</f>
        <v xml:space="preserve">08-3N-24-2380-0178-0170 </v>
      </c>
      <c r="AZ464" t="s">
        <v>5101</v>
      </c>
      <c r="BA464" t="s">
        <v>496</v>
      </c>
      <c r="BD464" t="s">
        <v>398</v>
      </c>
      <c r="BE464" t="s">
        <v>393</v>
      </c>
      <c r="BF464">
        <v>32046</v>
      </c>
      <c r="BG464" t="s">
        <v>5102</v>
      </c>
      <c r="BH464" t="s">
        <v>400</v>
      </c>
      <c r="BI464">
        <v>-81.935023974987601</v>
      </c>
      <c r="BJ464">
        <v>30.6841880888751</v>
      </c>
      <c r="BK464" t="s">
        <v>5103</v>
      </c>
      <c r="BM464" t="s">
        <v>5104</v>
      </c>
      <c r="BN464" t="s">
        <v>5105</v>
      </c>
      <c r="BO464">
        <v>54911</v>
      </c>
      <c r="BP464" t="s">
        <v>404</v>
      </c>
      <c r="BQ464">
        <v>0</v>
      </c>
      <c r="BR464" t="s">
        <v>491</v>
      </c>
      <c r="BS464">
        <v>8001</v>
      </c>
      <c r="BT464" t="s">
        <v>492</v>
      </c>
      <c r="BU464">
        <v>250</v>
      </c>
      <c r="BV464">
        <v>1200</v>
      </c>
      <c r="BW464">
        <v>2965</v>
      </c>
      <c r="BX464" t="s">
        <v>407</v>
      </c>
      <c r="BY464" t="s">
        <v>4520</v>
      </c>
      <c r="CD464">
        <v>2017</v>
      </c>
      <c r="CE464">
        <v>625</v>
      </c>
      <c r="CG464">
        <v>625</v>
      </c>
      <c r="CH464">
        <v>2017</v>
      </c>
      <c r="CI464">
        <v>625</v>
      </c>
      <c r="CK464">
        <v>625</v>
      </c>
      <c r="CL464">
        <v>2017</v>
      </c>
      <c r="CM464">
        <v>8.73</v>
      </c>
      <c r="CN464" s="1">
        <v>37161</v>
      </c>
      <c r="CZ464" s="1">
        <v>37161</v>
      </c>
      <c r="DD464" t="s">
        <v>398</v>
      </c>
      <c r="DF464">
        <v>17</v>
      </c>
      <c r="DG464">
        <v>8</v>
      </c>
      <c r="DJ464" t="s">
        <v>4482</v>
      </c>
      <c r="DL464">
        <v>50400</v>
      </c>
      <c r="DM464" t="s">
        <v>4465</v>
      </c>
      <c r="DO464" t="s">
        <v>5106</v>
      </c>
      <c r="DP464">
        <v>0</v>
      </c>
      <c r="DQ464">
        <v>0</v>
      </c>
      <c r="DR464" t="s">
        <v>411</v>
      </c>
      <c r="DS464" t="b">
        <v>1</v>
      </c>
      <c r="DT464" t="s">
        <v>470</v>
      </c>
      <c r="DU464" t="s">
        <v>471</v>
      </c>
      <c r="DV464" t="s">
        <v>472</v>
      </c>
      <c r="DX464">
        <v>-9999</v>
      </c>
      <c r="DZ464" t="s">
        <v>447</v>
      </c>
      <c r="EA464" t="s">
        <v>448</v>
      </c>
      <c r="EB464" t="s">
        <v>1224</v>
      </c>
      <c r="EC464">
        <v>20101217</v>
      </c>
      <c r="ED464" t="s">
        <v>474</v>
      </c>
      <c r="EF464">
        <v>1656.3</v>
      </c>
      <c r="EG464">
        <v>1656.3</v>
      </c>
      <c r="EI464">
        <v>20160407</v>
      </c>
      <c r="EJ464">
        <v>0</v>
      </c>
      <c r="EK464">
        <v>0</v>
      </c>
      <c r="EP464" t="s">
        <v>595</v>
      </c>
      <c r="EQ464" t="s">
        <v>422</v>
      </c>
      <c r="ER464">
        <v>8</v>
      </c>
      <c r="ES464">
        <v>0</v>
      </c>
      <c r="ET464">
        <v>366.41</v>
      </c>
      <c r="EU464">
        <v>351.03</v>
      </c>
      <c r="EV464">
        <v>717.44</v>
      </c>
      <c r="EW464" s="2">
        <v>43222</v>
      </c>
      <c r="EX464" s="1">
        <v>42879</v>
      </c>
      <c r="EY464">
        <v>2016</v>
      </c>
      <c r="EZ464">
        <v>36.6</v>
      </c>
      <c r="FA464" t="s">
        <v>5107</v>
      </c>
      <c r="FB464">
        <v>18</v>
      </c>
      <c r="FC464" t="s">
        <v>603</v>
      </c>
      <c r="FD464" t="s">
        <v>454</v>
      </c>
      <c r="FF464">
        <v>12</v>
      </c>
      <c r="FG464">
        <v>9999999</v>
      </c>
      <c r="FH464" t="s">
        <v>604</v>
      </c>
      <c r="FJ464" s="1">
        <v>42515</v>
      </c>
      <c r="FK464">
        <v>2015</v>
      </c>
      <c r="FL464">
        <v>31.86</v>
      </c>
      <c r="FM464" t="s">
        <v>5108</v>
      </c>
      <c r="FN464">
        <v>18</v>
      </c>
      <c r="FO464" t="s">
        <v>603</v>
      </c>
      <c r="FP464" t="s">
        <v>454</v>
      </c>
      <c r="FR464">
        <v>24</v>
      </c>
      <c r="FS464">
        <v>9999999</v>
      </c>
      <c r="FT464" t="s">
        <v>604</v>
      </c>
      <c r="FV464" s="1">
        <v>42151</v>
      </c>
      <c r="FW464">
        <v>2014</v>
      </c>
      <c r="FX464">
        <v>50.85</v>
      </c>
      <c r="FY464" t="s">
        <v>5109</v>
      </c>
      <c r="FZ464">
        <v>18</v>
      </c>
      <c r="GA464" t="s">
        <v>603</v>
      </c>
      <c r="GB464" t="s">
        <v>454</v>
      </c>
      <c r="GD464">
        <v>36</v>
      </c>
      <c r="GE464">
        <v>9999999</v>
      </c>
      <c r="GF464" t="s">
        <v>604</v>
      </c>
      <c r="GH464" s="1">
        <v>41787</v>
      </c>
      <c r="GI464">
        <v>2013</v>
      </c>
      <c r="GJ464">
        <v>49.23</v>
      </c>
      <c r="GK464" t="s">
        <v>5110</v>
      </c>
      <c r="GL464">
        <v>18</v>
      </c>
      <c r="GM464" t="s">
        <v>603</v>
      </c>
      <c r="GN464" t="s">
        <v>454</v>
      </c>
      <c r="GP464">
        <v>48</v>
      </c>
      <c r="GQ464">
        <v>9999999</v>
      </c>
      <c r="GR464" t="s">
        <v>604</v>
      </c>
      <c r="GT464" s="1">
        <v>41423</v>
      </c>
      <c r="GU464">
        <v>2012</v>
      </c>
      <c r="GV464">
        <v>49.59</v>
      </c>
      <c r="GW464" t="s">
        <v>5111</v>
      </c>
      <c r="GX464">
        <v>16.75</v>
      </c>
      <c r="GY464" t="s">
        <v>424</v>
      </c>
      <c r="GZ464" t="s">
        <v>454</v>
      </c>
      <c r="HB464">
        <v>60</v>
      </c>
      <c r="HC464">
        <v>10125</v>
      </c>
      <c r="HD464" t="s">
        <v>440</v>
      </c>
      <c r="HF464" s="1">
        <v>41052</v>
      </c>
      <c r="HG464">
        <v>2011</v>
      </c>
      <c r="HH464">
        <v>46.08</v>
      </c>
      <c r="HI464" t="s">
        <v>5112</v>
      </c>
      <c r="HJ464">
        <v>18</v>
      </c>
      <c r="HK464" t="s">
        <v>424</v>
      </c>
      <c r="HL464" t="s">
        <v>454</v>
      </c>
      <c r="HN464">
        <v>72</v>
      </c>
      <c r="HO464">
        <v>10125</v>
      </c>
      <c r="HP464" t="s">
        <v>440</v>
      </c>
      <c r="HR464" s="1">
        <v>40688</v>
      </c>
      <c r="HS464">
        <v>2010</v>
      </c>
      <c r="HT464">
        <v>56.94</v>
      </c>
      <c r="HU464" t="s">
        <v>5113</v>
      </c>
      <c r="HV464">
        <v>18</v>
      </c>
      <c r="HW464" t="s">
        <v>424</v>
      </c>
      <c r="HX464" t="s">
        <v>454</v>
      </c>
      <c r="HZ464">
        <v>84</v>
      </c>
      <c r="IA464">
        <v>12058</v>
      </c>
      <c r="IB464" t="s">
        <v>5114</v>
      </c>
      <c r="ID464" s="1">
        <v>40688</v>
      </c>
      <c r="IE464">
        <v>2010</v>
      </c>
      <c r="IF464">
        <v>45.26</v>
      </c>
      <c r="IG464" t="s">
        <v>5113</v>
      </c>
      <c r="IH464">
        <v>18</v>
      </c>
      <c r="II464" t="s">
        <v>603</v>
      </c>
      <c r="IJ464" t="s">
        <v>454</v>
      </c>
      <c r="IL464">
        <v>84</v>
      </c>
      <c r="IM464">
        <v>9999999</v>
      </c>
      <c r="IN464" t="s">
        <v>604</v>
      </c>
    </row>
    <row r="465" spans="1:272" x14ac:dyDescent="0.25">
      <c r="A465">
        <v>16485472</v>
      </c>
      <c r="B465">
        <v>464</v>
      </c>
      <c r="C465" t="s">
        <v>393</v>
      </c>
      <c r="D465" t="s">
        <v>394</v>
      </c>
      <c r="F465" t="str">
        <f>"08-3N-24-2380-0180-0090"</f>
        <v>08-3N-24-2380-0180-0090</v>
      </c>
      <c r="H465" t="str">
        <f>"PIERSON KRISTINA"</f>
        <v>PIERSON KRISTINA</v>
      </c>
      <c r="I465" t="str">
        <f>"27353 NEW FRONT ST"</f>
        <v>27353 NEW FRONT ST</v>
      </c>
      <c r="J465" t="str">
        <f>"HILLIARD FL 32046"</f>
        <v>HILLIARD FL 32046</v>
      </c>
      <c r="K465" t="str">
        <f>"27353 NEW FRONT ST"</f>
        <v>27353 NEW FRONT ST</v>
      </c>
      <c r="L465" t="str">
        <f t="shared" si="141"/>
        <v>HILLIARD FL 32046</v>
      </c>
      <c r="M465" t="str">
        <f>"BLOCK 180 LOTS 9 THRU 12 (LESS TO S RD) IN OR 2043/270 TOWN OF HILLIARD"</f>
        <v>BLOCK 180 LOTS 9 THRU 12 (LESS TO S RD) IN OR 2043/270 TOWN OF HILLIARD</v>
      </c>
      <c r="N465" t="str">
        <f>""</f>
        <v/>
      </c>
      <c r="O465" t="str">
        <f>"23988"</f>
        <v>23988</v>
      </c>
      <c r="P465" t="str">
        <f t="shared" si="137"/>
        <v>2017</v>
      </c>
      <c r="Q465" t="str">
        <f>""</f>
        <v/>
      </c>
      <c r="R465" t="str">
        <f>"N"</f>
        <v>N</v>
      </c>
      <c r="S465" t="str">
        <f>""</f>
        <v/>
      </c>
      <c r="T465" t="str">
        <f>"1397.66"</f>
        <v>1397.66</v>
      </c>
      <c r="U465" t="str">
        <f>"100080.00"</f>
        <v>100080.00</v>
      </c>
      <c r="V465" t="str">
        <f>"100080.00"</f>
        <v>100080.00</v>
      </c>
      <c r="W465" t="str">
        <f t="shared" si="138"/>
        <v>2017</v>
      </c>
      <c r="X465" t="str">
        <f>""</f>
        <v/>
      </c>
      <c r="Y465" t="str">
        <f>"1471.59"</f>
        <v>1471.59</v>
      </c>
      <c r="Z465" t="str">
        <f>""</f>
        <v/>
      </c>
      <c r="AA465" t="str">
        <f>"100080.00"</f>
        <v>100080.00</v>
      </c>
      <c r="AB465" t="str">
        <f t="shared" si="133"/>
        <v>Residential</v>
      </c>
      <c r="AC465" t="str">
        <f t="shared" si="139"/>
        <v>0</v>
      </c>
      <c r="AD465" t="str">
        <f>"4"</f>
        <v>4</v>
      </c>
      <c r="AE465" t="str">
        <f>"WOOD (INCLUDE STEEL STUDS)"</f>
        <v>WOOD (INCLUDE STEEL STUDS)</v>
      </c>
      <c r="AF465" t="str">
        <f>"001"</f>
        <v>001</v>
      </c>
      <c r="AG465" t="str">
        <f>"FL"</f>
        <v>FL</v>
      </c>
      <c r="AH465" t="str">
        <f>"12500.00"</f>
        <v>12500.00</v>
      </c>
      <c r="AI465" t="str">
        <f>"15000.00"</f>
        <v>15000.00</v>
      </c>
      <c r="AJ465" t="str">
        <f>"C55-000-586-7973-9"</f>
        <v>C55-000-586-7973-9</v>
      </c>
      <c r="AK465" t="str">
        <f>"6738"</f>
        <v>6738</v>
      </c>
      <c r="AL465">
        <v>2</v>
      </c>
      <c r="AM465">
        <v>535</v>
      </c>
      <c r="AN465">
        <v>1543.57</v>
      </c>
      <c r="AQ465" t="s">
        <v>5115</v>
      </c>
      <c r="AR465" t="s">
        <v>5115</v>
      </c>
      <c r="AS465" t="s">
        <v>5115</v>
      </c>
      <c r="AU465" t="s">
        <v>396</v>
      </c>
      <c r="AV465">
        <v>2017</v>
      </c>
      <c r="AW465" t="str">
        <f>"08-3N-24-2380-0180-0090 "</f>
        <v xml:space="preserve">08-3N-24-2380-0180-0090 </v>
      </c>
      <c r="AX465">
        <v>27353</v>
      </c>
      <c r="AZ465" t="s">
        <v>5095</v>
      </c>
      <c r="BA465" t="s">
        <v>1942</v>
      </c>
      <c r="BD465" t="s">
        <v>398</v>
      </c>
      <c r="BE465" t="s">
        <v>393</v>
      </c>
      <c r="BF465">
        <v>32046</v>
      </c>
      <c r="BG465" t="s">
        <v>5116</v>
      </c>
      <c r="BH465" t="s">
        <v>400</v>
      </c>
      <c r="BI465">
        <v>-81.932963452366707</v>
      </c>
      <c r="BJ465">
        <v>30.684672588615101</v>
      </c>
      <c r="BK465" t="s">
        <v>5117</v>
      </c>
      <c r="BM465" t="s">
        <v>5116</v>
      </c>
      <c r="BN465" t="s">
        <v>403</v>
      </c>
      <c r="BO465">
        <v>32046</v>
      </c>
      <c r="BP465" t="s">
        <v>416</v>
      </c>
      <c r="BQ465">
        <v>100</v>
      </c>
      <c r="BR465" t="s">
        <v>514</v>
      </c>
      <c r="BS465">
        <v>1001</v>
      </c>
      <c r="BT465" t="s">
        <v>515</v>
      </c>
      <c r="BU465">
        <v>1000</v>
      </c>
      <c r="BV465">
        <v>1250</v>
      </c>
      <c r="BW465">
        <v>12528</v>
      </c>
      <c r="BX465" t="s">
        <v>407</v>
      </c>
      <c r="BY465" t="s">
        <v>4520</v>
      </c>
      <c r="BZ465">
        <v>4</v>
      </c>
      <c r="CA465">
        <v>1930</v>
      </c>
      <c r="CB465">
        <v>1.5</v>
      </c>
      <c r="CC465">
        <v>1</v>
      </c>
      <c r="CD465">
        <v>2017</v>
      </c>
      <c r="CE465">
        <v>15000</v>
      </c>
      <c r="CF465">
        <v>85080</v>
      </c>
      <c r="CG465">
        <v>100080</v>
      </c>
      <c r="CH465">
        <v>2017</v>
      </c>
      <c r="CI465">
        <v>15000</v>
      </c>
      <c r="CJ465">
        <v>85080</v>
      </c>
      <c r="CK465">
        <v>100080</v>
      </c>
      <c r="CL465">
        <v>2017</v>
      </c>
      <c r="CM465">
        <v>1397.66</v>
      </c>
      <c r="CN465" s="1">
        <v>42492</v>
      </c>
      <c r="CO465">
        <v>26000</v>
      </c>
      <c r="CV465">
        <v>0</v>
      </c>
      <c r="CZ465" s="1">
        <v>42492</v>
      </c>
      <c r="DA465">
        <v>0</v>
      </c>
      <c r="DD465" t="s">
        <v>398</v>
      </c>
      <c r="DG465">
        <v>8</v>
      </c>
      <c r="DL465">
        <v>50400</v>
      </c>
      <c r="DM465" t="s">
        <v>4465</v>
      </c>
      <c r="DO465" t="s">
        <v>5118</v>
      </c>
      <c r="DP465">
        <v>0</v>
      </c>
      <c r="DQ465">
        <v>0</v>
      </c>
      <c r="DR465" t="s">
        <v>411</v>
      </c>
      <c r="EP465" t="s">
        <v>421</v>
      </c>
      <c r="EQ465" t="s">
        <v>422</v>
      </c>
      <c r="ER465">
        <v>2</v>
      </c>
      <c r="ES465">
        <v>0</v>
      </c>
      <c r="ET465">
        <v>3013.64</v>
      </c>
      <c r="EU465">
        <v>163.18</v>
      </c>
      <c r="EV465">
        <v>3176.82</v>
      </c>
      <c r="EW465" s="2">
        <v>43222</v>
      </c>
      <c r="EX465" s="1">
        <v>42879</v>
      </c>
      <c r="EY465">
        <v>2016</v>
      </c>
      <c r="EZ465">
        <v>1506.82</v>
      </c>
      <c r="FA465" t="s">
        <v>5119</v>
      </c>
      <c r="FB465">
        <v>0.25</v>
      </c>
      <c r="FC465" t="s">
        <v>424</v>
      </c>
      <c r="FD465" t="s">
        <v>454</v>
      </c>
      <c r="FF465">
        <v>12</v>
      </c>
      <c r="FG465">
        <v>7370134</v>
      </c>
      <c r="FH465" t="s">
        <v>5120</v>
      </c>
      <c r="FJ465" s="1">
        <v>42879</v>
      </c>
      <c r="FK465">
        <v>2016</v>
      </c>
      <c r="FL465">
        <v>1506.82</v>
      </c>
      <c r="FM465" t="s">
        <v>5119</v>
      </c>
      <c r="FN465">
        <v>0.25</v>
      </c>
      <c r="FO465" t="s">
        <v>424</v>
      </c>
      <c r="FP465" t="s">
        <v>454</v>
      </c>
      <c r="FR465">
        <v>12</v>
      </c>
      <c r="FS465">
        <v>7336753</v>
      </c>
      <c r="FT465" t="s">
        <v>1731</v>
      </c>
    </row>
    <row r="466" spans="1:272" x14ac:dyDescent="0.25">
      <c r="A466">
        <v>16485473</v>
      </c>
      <c r="B466">
        <v>465</v>
      </c>
      <c r="C466" t="s">
        <v>393</v>
      </c>
      <c r="D466" t="s">
        <v>394</v>
      </c>
      <c r="F466" t="str">
        <f>"08-3N-24-2380-0183-0130"</f>
        <v>08-3N-24-2380-0183-0130</v>
      </c>
      <c r="H466" t="str">
        <f>"CALHOUN PAULINE"</f>
        <v>CALHOUN PAULINE</v>
      </c>
      <c r="I466" t="str">
        <f>"27071 INDIANA ST APT 101"</f>
        <v>27071 INDIANA ST APT 101</v>
      </c>
      <c r="J466" t="str">
        <f>"HILLIARD FL 32046"</f>
        <v>HILLIARD FL 32046</v>
      </c>
      <c r="K466" t="str">
        <f>"27071 INDIANA ST"</f>
        <v>27071 INDIANA ST</v>
      </c>
      <c r="L466" t="str">
        <f t="shared" si="141"/>
        <v>HILLIARD FL 32046</v>
      </c>
      <c r="M466" t="str">
        <f>"BLOCK 183 LOTS 13 THRU 17 IN OR 1309/86 TOWN OF HILLIARD"</f>
        <v>BLOCK 183 LOTS 13 THRU 17 IN OR 1309/86 TOWN OF HILLIARD</v>
      </c>
      <c r="N466" t="str">
        <f>""</f>
        <v/>
      </c>
      <c r="O466" t="str">
        <f>"24006"</f>
        <v>24006</v>
      </c>
      <c r="P466" t="str">
        <f t="shared" si="137"/>
        <v>2017</v>
      </c>
      <c r="Q466" t="str">
        <f>""</f>
        <v/>
      </c>
      <c r="R466" t="str">
        <f>"Y"</f>
        <v>Y</v>
      </c>
      <c r="S466" t="str">
        <f>""</f>
        <v/>
      </c>
      <c r="T466" t="str">
        <f>"1174.63"</f>
        <v>1174.63</v>
      </c>
      <c r="U466" t="str">
        <f>"109808.00"</f>
        <v>109808.00</v>
      </c>
      <c r="V466" t="str">
        <f>"109808.00"</f>
        <v>109808.00</v>
      </c>
      <c r="W466" t="str">
        <f t="shared" si="138"/>
        <v>2017</v>
      </c>
      <c r="X466" t="str">
        <f>""</f>
        <v/>
      </c>
      <c r="Y466" t="str">
        <f>"1241.87"</f>
        <v>1241.87</v>
      </c>
      <c r="Z466" t="str">
        <f>"25000.00"</f>
        <v>25000.00</v>
      </c>
      <c r="AA466" t="str">
        <f>"84808.00"</f>
        <v>84808.00</v>
      </c>
      <c r="AB466" t="str">
        <f t="shared" si="133"/>
        <v>Residential</v>
      </c>
      <c r="AC466" t="str">
        <f t="shared" si="139"/>
        <v>0</v>
      </c>
      <c r="AD466" t="str">
        <f>"4"</f>
        <v>4</v>
      </c>
      <c r="AE466" t="str">
        <f>"WOOD (INCLUDE STEEL STUDS)"</f>
        <v>WOOD (INCLUDE STEEL STUDS)</v>
      </c>
      <c r="AF466" t="str">
        <f>"008"</f>
        <v>008</v>
      </c>
      <c r="AG466" t="str">
        <f>"FL"</f>
        <v>FL</v>
      </c>
      <c r="AH466" t="str">
        <f>"15625.00"</f>
        <v>15625.00</v>
      </c>
      <c r="AI466" t="str">
        <f>"19531.00"</f>
        <v>19531.00</v>
      </c>
      <c r="AJ466" t="str">
        <f>"C55-000-586-7989-5"</f>
        <v>C55-000-586-7989-5</v>
      </c>
      <c r="AK466" t="str">
        <f>"6754"</f>
        <v>6754</v>
      </c>
      <c r="AL466">
        <v>2</v>
      </c>
      <c r="AM466">
        <v>536</v>
      </c>
      <c r="AN466">
        <v>1302.3599999999999</v>
      </c>
      <c r="AQ466" t="s">
        <v>5121</v>
      </c>
      <c r="AR466" t="s">
        <v>5121</v>
      </c>
      <c r="AS466" t="s">
        <v>5121</v>
      </c>
      <c r="AU466" t="s">
        <v>396</v>
      </c>
      <c r="AV466">
        <v>2017</v>
      </c>
      <c r="AW466" t="str">
        <f>"08-3N-24-2380-0183-0130 "</f>
        <v xml:space="preserve">08-3N-24-2380-0183-0130 </v>
      </c>
      <c r="AX466">
        <v>27071</v>
      </c>
      <c r="AZ466" t="s">
        <v>5122</v>
      </c>
      <c r="BA466" t="s">
        <v>1942</v>
      </c>
      <c r="BD466" t="s">
        <v>398</v>
      </c>
      <c r="BE466" t="s">
        <v>393</v>
      </c>
      <c r="BF466">
        <v>32046</v>
      </c>
      <c r="BG466" t="s">
        <v>5123</v>
      </c>
      <c r="BH466" t="s">
        <v>400</v>
      </c>
      <c r="BI466">
        <v>-81.929469259431499</v>
      </c>
      <c r="BJ466">
        <v>30.684393127009201</v>
      </c>
      <c r="BK466" t="s">
        <v>5124</v>
      </c>
      <c r="BM466" t="s">
        <v>5125</v>
      </c>
      <c r="BN466" t="s">
        <v>403</v>
      </c>
      <c r="BO466">
        <v>32046</v>
      </c>
      <c r="BP466" t="s">
        <v>404</v>
      </c>
      <c r="BQ466">
        <v>800</v>
      </c>
      <c r="BR466" t="s">
        <v>5126</v>
      </c>
      <c r="BS466">
        <v>1110</v>
      </c>
      <c r="BT466" t="s">
        <v>5127</v>
      </c>
      <c r="BW466">
        <v>15625</v>
      </c>
      <c r="BX466" t="s">
        <v>407</v>
      </c>
      <c r="BY466" t="s">
        <v>5128</v>
      </c>
      <c r="BZ466">
        <v>4</v>
      </c>
      <c r="CA466">
        <v>1961</v>
      </c>
      <c r="CB466">
        <v>1.5</v>
      </c>
      <c r="CC466">
        <v>1</v>
      </c>
      <c r="CD466">
        <v>2017</v>
      </c>
      <c r="CG466">
        <v>109808</v>
      </c>
      <c r="CH466">
        <v>2017</v>
      </c>
      <c r="CI466">
        <v>19531</v>
      </c>
      <c r="CJ466">
        <v>90485</v>
      </c>
      <c r="CK466">
        <v>110016</v>
      </c>
      <c r="CL466">
        <v>2017</v>
      </c>
      <c r="CM466">
        <v>1174.6300000000001</v>
      </c>
      <c r="CN466" s="1">
        <v>38454</v>
      </c>
      <c r="CZ466" s="1">
        <v>38454</v>
      </c>
      <c r="DD466" t="s">
        <v>398</v>
      </c>
      <c r="DG466">
        <v>8</v>
      </c>
      <c r="DL466">
        <v>50400</v>
      </c>
      <c r="DM466" t="s">
        <v>4465</v>
      </c>
      <c r="DO466" t="s">
        <v>5129</v>
      </c>
      <c r="DP466">
        <v>0</v>
      </c>
      <c r="DQ466">
        <v>4</v>
      </c>
      <c r="DR466" t="s">
        <v>1479</v>
      </c>
    </row>
    <row r="467" spans="1:272" x14ac:dyDescent="0.25">
      <c r="A467">
        <v>16485474</v>
      </c>
      <c r="B467">
        <v>466</v>
      </c>
      <c r="C467" t="s">
        <v>393</v>
      </c>
      <c r="D467" t="s">
        <v>394</v>
      </c>
      <c r="F467" t="str">
        <f>"08-3N-24-2380-0184-0180"</f>
        <v>08-3N-24-2380-0184-0180</v>
      </c>
      <c r="H467" t="str">
        <f>"BALLARD BERENDA F"</f>
        <v>BALLARD BERENDA F</v>
      </c>
      <c r="I467" t="str">
        <f>"2497 DAVIS ST"</f>
        <v>2497 DAVIS ST</v>
      </c>
      <c r="J467" t="str">
        <f>"FENTON MI 48430"</f>
        <v>FENTON MI 48430</v>
      </c>
      <c r="K467" t="str">
        <f>"MOLLY LN"</f>
        <v>MOLLY LN</v>
      </c>
      <c r="L467" t="str">
        <f t="shared" si="141"/>
        <v>HILLIARD FL 32046</v>
      </c>
      <c r="M467" t="str">
        <f>"BLOCK 184 LOT 18 TOWN OF HILLIARD"</f>
        <v>BLOCK 184 LOT 18 TOWN OF HILLIARD</v>
      </c>
      <c r="N467" t="str">
        <f>""</f>
        <v/>
      </c>
      <c r="O467" t="str">
        <f>"24009"</f>
        <v>24009</v>
      </c>
      <c r="P467" t="str">
        <f t="shared" si="137"/>
        <v>2017</v>
      </c>
      <c r="Q467" t="str">
        <f>""</f>
        <v/>
      </c>
      <c r="R467" t="str">
        <f t="shared" ref="R467:R474" si="142">"N"</f>
        <v>N</v>
      </c>
      <c r="S467" t="str">
        <f>""</f>
        <v/>
      </c>
      <c r="T467" t="str">
        <f>"8.73"</f>
        <v>8.73</v>
      </c>
      <c r="U467" t="str">
        <f t="shared" ref="U467:V469" si="143">"625.00"</f>
        <v>625.00</v>
      </c>
      <c r="V467" t="str">
        <f t="shared" si="143"/>
        <v>625.00</v>
      </c>
      <c r="W467" t="str">
        <f t="shared" si="138"/>
        <v>2017</v>
      </c>
      <c r="X467" t="str">
        <f>""</f>
        <v/>
      </c>
      <c r="Y467" t="str">
        <f>"40.99"</f>
        <v>40.99</v>
      </c>
      <c r="Z467" t="str">
        <f>""</f>
        <v/>
      </c>
      <c r="AA467" t="str">
        <f>"625.00"</f>
        <v>625.00</v>
      </c>
      <c r="AB467" t="str">
        <f t="shared" si="133"/>
        <v>Residential</v>
      </c>
      <c r="AC467" t="str">
        <f t="shared" si="139"/>
        <v>0</v>
      </c>
      <c r="AD467" t="str">
        <f>""</f>
        <v/>
      </c>
      <c r="AE467" t="str">
        <f>""</f>
        <v/>
      </c>
      <c r="AF467" t="str">
        <f>"000"</f>
        <v>000</v>
      </c>
      <c r="AG467" t="str">
        <f>"MI"</f>
        <v>MI</v>
      </c>
      <c r="AH467" t="str">
        <f>"3125.00"</f>
        <v>3125.00</v>
      </c>
      <c r="AI467" t="str">
        <f>"625.00"</f>
        <v>625.00</v>
      </c>
      <c r="AJ467" t="str">
        <f>"C55-000-586-7992-9"</f>
        <v>C55-000-586-7992-9</v>
      </c>
      <c r="AK467" t="str">
        <f>"6757"</f>
        <v>6757</v>
      </c>
      <c r="AL467">
        <v>2</v>
      </c>
      <c r="AM467">
        <v>537</v>
      </c>
      <c r="AN467">
        <v>41.44</v>
      </c>
      <c r="AQ467" t="s">
        <v>5130</v>
      </c>
      <c r="AR467" t="s">
        <v>5130</v>
      </c>
      <c r="AS467" t="s">
        <v>5130</v>
      </c>
      <c r="AU467" t="s">
        <v>396</v>
      </c>
      <c r="AV467">
        <v>2017</v>
      </c>
      <c r="AW467" t="str">
        <f>"08-3N-24-2380-0184-0180 "</f>
        <v xml:space="preserve">08-3N-24-2380-0184-0180 </v>
      </c>
      <c r="AZ467" t="s">
        <v>5131</v>
      </c>
      <c r="BA467" t="s">
        <v>653</v>
      </c>
      <c r="BD467" t="s">
        <v>398</v>
      </c>
      <c r="BE467" t="s">
        <v>393</v>
      </c>
      <c r="BF467">
        <v>32046</v>
      </c>
      <c r="BG467" t="s">
        <v>5132</v>
      </c>
      <c r="BH467" t="s">
        <v>400</v>
      </c>
      <c r="BI467">
        <v>-81.928086300195204</v>
      </c>
      <c r="BJ467">
        <v>30.684434606536101</v>
      </c>
      <c r="BK467" t="s">
        <v>5133</v>
      </c>
      <c r="BM467" t="s">
        <v>5134</v>
      </c>
      <c r="BN467" t="s">
        <v>5135</v>
      </c>
      <c r="BO467">
        <v>48430</v>
      </c>
      <c r="BP467" t="s">
        <v>404</v>
      </c>
      <c r="BQ467">
        <v>0</v>
      </c>
      <c r="BR467" t="s">
        <v>491</v>
      </c>
      <c r="BS467">
        <v>8001</v>
      </c>
      <c r="BT467" t="s">
        <v>492</v>
      </c>
      <c r="BU467">
        <v>250</v>
      </c>
      <c r="BV467">
        <v>1250</v>
      </c>
      <c r="BW467">
        <v>3125</v>
      </c>
      <c r="BX467" t="s">
        <v>407</v>
      </c>
      <c r="BY467" t="s">
        <v>4520</v>
      </c>
      <c r="CD467">
        <v>2017</v>
      </c>
      <c r="CE467">
        <v>625</v>
      </c>
      <c r="CG467">
        <v>625</v>
      </c>
      <c r="CH467">
        <v>2017</v>
      </c>
      <c r="CI467">
        <v>625</v>
      </c>
      <c r="CK467">
        <v>625</v>
      </c>
      <c r="CL467">
        <v>2017</v>
      </c>
      <c r="CM467">
        <v>8.73</v>
      </c>
      <c r="DD467" t="s">
        <v>398</v>
      </c>
      <c r="DF467">
        <v>18</v>
      </c>
      <c r="DG467">
        <v>8</v>
      </c>
      <c r="DL467">
        <v>50400</v>
      </c>
      <c r="DM467" t="s">
        <v>4465</v>
      </c>
      <c r="DO467" t="s">
        <v>5136</v>
      </c>
      <c r="DP467">
        <v>0</v>
      </c>
      <c r="DQ467">
        <v>0</v>
      </c>
      <c r="DR467" t="s">
        <v>411</v>
      </c>
      <c r="DS467" t="b">
        <v>1</v>
      </c>
      <c r="DT467" t="s">
        <v>470</v>
      </c>
      <c r="DU467" t="s">
        <v>471</v>
      </c>
      <c r="DV467" t="s">
        <v>472</v>
      </c>
      <c r="DX467">
        <v>-9999</v>
      </c>
      <c r="DZ467" t="s">
        <v>447</v>
      </c>
      <c r="EA467" t="s">
        <v>448</v>
      </c>
      <c r="EB467" t="s">
        <v>1224</v>
      </c>
      <c r="EC467">
        <v>20101217</v>
      </c>
      <c r="ED467" t="s">
        <v>474</v>
      </c>
      <c r="EF467">
        <v>1782.4</v>
      </c>
      <c r="EG467">
        <v>1782.4</v>
      </c>
      <c r="EI467">
        <v>20160407</v>
      </c>
      <c r="EJ467">
        <v>0</v>
      </c>
      <c r="EK467">
        <v>0</v>
      </c>
      <c r="EP467" t="s">
        <v>595</v>
      </c>
      <c r="EQ467" t="s">
        <v>422</v>
      </c>
      <c r="ER467">
        <v>8</v>
      </c>
      <c r="ES467">
        <v>0</v>
      </c>
      <c r="ET467">
        <v>331.1</v>
      </c>
      <c r="EU467">
        <v>326.39999999999998</v>
      </c>
      <c r="EV467">
        <v>657.5</v>
      </c>
      <c r="EW467" s="2">
        <v>43222</v>
      </c>
      <c r="EX467" s="1">
        <v>42879</v>
      </c>
      <c r="EY467">
        <v>2016</v>
      </c>
      <c r="EZ467">
        <v>36.6</v>
      </c>
      <c r="FA467" t="s">
        <v>5137</v>
      </c>
      <c r="FB467">
        <v>18</v>
      </c>
      <c r="FC467" t="s">
        <v>603</v>
      </c>
      <c r="FD467" t="s">
        <v>454</v>
      </c>
      <c r="FF467">
        <v>12</v>
      </c>
      <c r="FG467">
        <v>9999999</v>
      </c>
      <c r="FH467" t="s">
        <v>604</v>
      </c>
      <c r="FJ467" s="1">
        <v>42515</v>
      </c>
      <c r="FK467">
        <v>2015</v>
      </c>
      <c r="FL467">
        <v>31.86</v>
      </c>
      <c r="FM467" t="s">
        <v>5138</v>
      </c>
      <c r="FN467">
        <v>18</v>
      </c>
      <c r="FO467" t="s">
        <v>603</v>
      </c>
      <c r="FP467" t="s">
        <v>454</v>
      </c>
      <c r="FR467">
        <v>24</v>
      </c>
      <c r="FS467">
        <v>9999999</v>
      </c>
      <c r="FT467" t="s">
        <v>604</v>
      </c>
      <c r="FV467" s="1">
        <v>42151</v>
      </c>
      <c r="FW467">
        <v>2014</v>
      </c>
      <c r="FX467">
        <v>39.96</v>
      </c>
      <c r="FY467" t="s">
        <v>5139</v>
      </c>
      <c r="FZ467">
        <v>18</v>
      </c>
      <c r="GA467" t="s">
        <v>603</v>
      </c>
      <c r="GB467" t="s">
        <v>454</v>
      </c>
      <c r="GD467">
        <v>36</v>
      </c>
      <c r="GE467">
        <v>9999999</v>
      </c>
      <c r="GF467" t="s">
        <v>604</v>
      </c>
      <c r="GH467" s="1">
        <v>41787</v>
      </c>
      <c r="GI467">
        <v>2013</v>
      </c>
      <c r="GJ467">
        <v>37.229999999999997</v>
      </c>
      <c r="GK467" t="s">
        <v>5140</v>
      </c>
      <c r="GL467">
        <v>18</v>
      </c>
      <c r="GM467" t="s">
        <v>603</v>
      </c>
      <c r="GN467" t="s">
        <v>454</v>
      </c>
      <c r="GP467">
        <v>48</v>
      </c>
      <c r="GQ467">
        <v>9999999</v>
      </c>
      <c r="GR467" t="s">
        <v>604</v>
      </c>
      <c r="GT467" s="1">
        <v>41423</v>
      </c>
      <c r="GU467">
        <v>2012</v>
      </c>
      <c r="GV467">
        <v>36.49</v>
      </c>
      <c r="GW467" t="s">
        <v>5141</v>
      </c>
      <c r="GX467">
        <v>16.75</v>
      </c>
      <c r="GY467" t="s">
        <v>424</v>
      </c>
      <c r="GZ467" t="s">
        <v>454</v>
      </c>
      <c r="HB467">
        <v>60</v>
      </c>
      <c r="HC467">
        <v>10125</v>
      </c>
      <c r="HD467" t="s">
        <v>440</v>
      </c>
      <c r="HF467" s="1">
        <v>41052</v>
      </c>
      <c r="HG467">
        <v>2011</v>
      </c>
      <c r="HH467">
        <v>46.08</v>
      </c>
      <c r="HI467" t="s">
        <v>5142</v>
      </c>
      <c r="HJ467">
        <v>18</v>
      </c>
      <c r="HK467" t="s">
        <v>424</v>
      </c>
      <c r="HL467" t="s">
        <v>454</v>
      </c>
      <c r="HN467">
        <v>72</v>
      </c>
      <c r="HO467">
        <v>10125</v>
      </c>
      <c r="HP467" t="s">
        <v>440</v>
      </c>
      <c r="HR467" s="1">
        <v>40688</v>
      </c>
      <c r="HS467">
        <v>2010</v>
      </c>
      <c r="HT467">
        <v>57.62</v>
      </c>
      <c r="HU467" t="s">
        <v>5143</v>
      </c>
      <c r="HV467">
        <v>18</v>
      </c>
      <c r="HW467" t="s">
        <v>424</v>
      </c>
      <c r="HX467" t="s">
        <v>454</v>
      </c>
      <c r="HZ467">
        <v>84</v>
      </c>
      <c r="IA467">
        <v>12071</v>
      </c>
      <c r="IB467" t="s">
        <v>2936</v>
      </c>
      <c r="ID467" s="1">
        <v>40688</v>
      </c>
      <c r="IE467">
        <v>2010</v>
      </c>
      <c r="IF467">
        <v>45.26</v>
      </c>
      <c r="IG467" t="s">
        <v>5143</v>
      </c>
      <c r="IH467">
        <v>18</v>
      </c>
      <c r="II467" t="s">
        <v>603</v>
      </c>
      <c r="IJ467" t="s">
        <v>454</v>
      </c>
      <c r="IL467">
        <v>84</v>
      </c>
      <c r="IM467">
        <v>9999999</v>
      </c>
      <c r="IN467" t="s">
        <v>604</v>
      </c>
    </row>
    <row r="468" spans="1:272" x14ac:dyDescent="0.25">
      <c r="A468">
        <v>16485475</v>
      </c>
      <c r="B468">
        <v>467</v>
      </c>
      <c r="C468" t="s">
        <v>393</v>
      </c>
      <c r="D468" t="s">
        <v>394</v>
      </c>
      <c r="F468" t="str">
        <f>"08-3N-24-2380-0184-0200"</f>
        <v>08-3N-24-2380-0184-0200</v>
      </c>
      <c r="H468" t="str">
        <f>"HOWARD A E ESTATE C/O JUNE HOWARD"</f>
        <v>HOWARD A E ESTATE C/O JUNE HOWARD</v>
      </c>
      <c r="I468" t="str">
        <f>"702 NEW PORT STREET"</f>
        <v>702 NEW PORT STREET</v>
      </c>
      <c r="J468" t="str">
        <f>"MACCLENNY FL 32063"</f>
        <v>MACCLENNY FL 32063</v>
      </c>
      <c r="K468" t="str">
        <f>"MOLLY LN"</f>
        <v>MOLLY LN</v>
      </c>
      <c r="L468" t="str">
        <f t="shared" si="141"/>
        <v>HILLIARD FL 32046</v>
      </c>
      <c r="M468" t="str">
        <f>"BLOCK 184 LOT 20 TOWN OF HILLIARD"</f>
        <v>BLOCK 184 LOT 20 TOWN OF HILLIARD</v>
      </c>
      <c r="N468" t="str">
        <f>""</f>
        <v/>
      </c>
      <c r="O468" t="str">
        <f>"24011"</f>
        <v>24011</v>
      </c>
      <c r="P468" t="str">
        <f t="shared" si="137"/>
        <v>2017</v>
      </c>
      <c r="Q468" t="str">
        <f>""</f>
        <v/>
      </c>
      <c r="R468" t="str">
        <f t="shared" si="142"/>
        <v>N</v>
      </c>
      <c r="S468" t="str">
        <f>""</f>
        <v/>
      </c>
      <c r="T468" t="str">
        <f>"8.73"</f>
        <v>8.73</v>
      </c>
      <c r="U468" t="str">
        <f t="shared" si="143"/>
        <v>625.00</v>
      </c>
      <c r="V468" t="str">
        <f t="shared" si="143"/>
        <v>625.00</v>
      </c>
      <c r="W468" t="str">
        <f t="shared" si="138"/>
        <v>2017</v>
      </c>
      <c r="X468" t="str">
        <f>"5.50"</f>
        <v>5.50</v>
      </c>
      <c r="Y468" t="str">
        <f>"40.99"</f>
        <v>40.99</v>
      </c>
      <c r="Z468" t="str">
        <f>""</f>
        <v/>
      </c>
      <c r="AA468" t="str">
        <f>"625.00"</f>
        <v>625.00</v>
      </c>
      <c r="AB468" t="str">
        <f t="shared" si="133"/>
        <v>Residential</v>
      </c>
      <c r="AC468" t="str">
        <f t="shared" si="139"/>
        <v>0</v>
      </c>
      <c r="AD468" t="str">
        <f>""</f>
        <v/>
      </c>
      <c r="AE468" t="str">
        <f>""</f>
        <v/>
      </c>
      <c r="AF468" t="str">
        <f>"000"</f>
        <v>000</v>
      </c>
      <c r="AG468" t="str">
        <f>"FL"</f>
        <v>FL</v>
      </c>
      <c r="AH468" t="str">
        <f>"3125.00"</f>
        <v>3125.00</v>
      </c>
      <c r="AI468" t="str">
        <f>"625.00"</f>
        <v>625.00</v>
      </c>
      <c r="AJ468" t="str">
        <f>"C55-000-586-7993-7"</f>
        <v>C55-000-586-7993-7</v>
      </c>
      <c r="AK468" t="str">
        <f>"6759"</f>
        <v>6759</v>
      </c>
      <c r="AL468">
        <v>2</v>
      </c>
      <c r="AM468">
        <v>538</v>
      </c>
      <c r="AN468">
        <v>41.44</v>
      </c>
      <c r="AQ468" t="s">
        <v>5144</v>
      </c>
      <c r="AR468" t="s">
        <v>5144</v>
      </c>
      <c r="AS468" t="s">
        <v>5144</v>
      </c>
      <c r="AU468" t="s">
        <v>396</v>
      </c>
      <c r="AV468">
        <v>2017</v>
      </c>
      <c r="AW468" t="str">
        <f>"08-3N-24-2380-0184-0200 "</f>
        <v xml:space="preserve">08-3N-24-2380-0184-0200 </v>
      </c>
      <c r="AZ468" t="s">
        <v>5131</v>
      </c>
      <c r="BA468" t="s">
        <v>653</v>
      </c>
      <c r="BD468" t="s">
        <v>398</v>
      </c>
      <c r="BE468" t="s">
        <v>393</v>
      </c>
      <c r="BF468">
        <v>32046</v>
      </c>
      <c r="BG468" t="s">
        <v>5132</v>
      </c>
      <c r="BH468" t="s">
        <v>400</v>
      </c>
      <c r="BI468">
        <v>-81.927927343205297</v>
      </c>
      <c r="BJ468">
        <v>30.684439397330099</v>
      </c>
      <c r="BK468" t="s">
        <v>5145</v>
      </c>
      <c r="BM468" t="s">
        <v>5146</v>
      </c>
      <c r="BN468" t="s">
        <v>629</v>
      </c>
      <c r="BO468">
        <v>32063</v>
      </c>
      <c r="BP468" t="s">
        <v>404</v>
      </c>
      <c r="BQ468">
        <v>0</v>
      </c>
      <c r="BR468" t="s">
        <v>491</v>
      </c>
      <c r="BS468">
        <v>8001</v>
      </c>
      <c r="BT468" t="s">
        <v>492</v>
      </c>
      <c r="BU468">
        <v>250</v>
      </c>
      <c r="BV468">
        <v>1250</v>
      </c>
      <c r="BW468">
        <v>3126</v>
      </c>
      <c r="BX468" t="s">
        <v>407</v>
      </c>
      <c r="BY468" t="s">
        <v>4520</v>
      </c>
      <c r="CD468">
        <v>2017</v>
      </c>
      <c r="CE468">
        <v>625</v>
      </c>
      <c r="CG468">
        <v>625</v>
      </c>
      <c r="CH468">
        <v>2017</v>
      </c>
      <c r="CI468">
        <v>625</v>
      </c>
      <c r="CK468">
        <v>625</v>
      </c>
      <c r="CL468">
        <v>2017</v>
      </c>
      <c r="CM468">
        <v>8.73</v>
      </c>
      <c r="DD468" t="s">
        <v>398</v>
      </c>
      <c r="DF468">
        <v>20</v>
      </c>
      <c r="DG468">
        <v>8</v>
      </c>
      <c r="DL468">
        <v>50400</v>
      </c>
      <c r="DM468" t="s">
        <v>4465</v>
      </c>
      <c r="DO468" t="s">
        <v>5147</v>
      </c>
      <c r="DP468">
        <v>0</v>
      </c>
      <c r="DQ468">
        <v>0</v>
      </c>
      <c r="DR468" t="s">
        <v>411</v>
      </c>
      <c r="DS468" t="b">
        <v>1</v>
      </c>
      <c r="DT468" t="s">
        <v>470</v>
      </c>
      <c r="DU468" t="s">
        <v>471</v>
      </c>
      <c r="DV468" t="s">
        <v>472</v>
      </c>
      <c r="DX468">
        <v>-9999</v>
      </c>
      <c r="DZ468" t="s">
        <v>447</v>
      </c>
      <c r="EA468" t="s">
        <v>448</v>
      </c>
      <c r="EB468" t="s">
        <v>1224</v>
      </c>
      <c r="EC468">
        <v>20101217</v>
      </c>
      <c r="ED468" t="s">
        <v>474</v>
      </c>
      <c r="EF468">
        <v>1789.9</v>
      </c>
      <c r="EG468">
        <v>1789.9</v>
      </c>
      <c r="EI468">
        <v>20160407</v>
      </c>
      <c r="EJ468">
        <v>0</v>
      </c>
      <c r="EK468">
        <v>0</v>
      </c>
      <c r="EP468" t="s">
        <v>595</v>
      </c>
      <c r="EQ468" t="s">
        <v>422</v>
      </c>
      <c r="ER468">
        <v>5</v>
      </c>
      <c r="ES468">
        <v>1</v>
      </c>
      <c r="ET468">
        <v>198.63</v>
      </c>
      <c r="EU468">
        <v>103.98</v>
      </c>
      <c r="EV468">
        <v>302.61</v>
      </c>
      <c r="EW468" s="2">
        <v>43222</v>
      </c>
      <c r="EX468" s="1">
        <v>42879</v>
      </c>
      <c r="EY468">
        <v>2016</v>
      </c>
      <c r="EZ468">
        <v>36.6</v>
      </c>
      <c r="FA468" t="s">
        <v>5148</v>
      </c>
      <c r="FB468">
        <v>18</v>
      </c>
      <c r="FC468" t="s">
        <v>603</v>
      </c>
      <c r="FD468" t="s">
        <v>454</v>
      </c>
      <c r="FF468">
        <v>12</v>
      </c>
      <c r="FG468">
        <v>9999999</v>
      </c>
      <c r="FH468" t="s">
        <v>604</v>
      </c>
      <c r="FJ468" s="1">
        <v>42879</v>
      </c>
      <c r="FK468">
        <v>2016</v>
      </c>
      <c r="FL468">
        <v>43.4</v>
      </c>
      <c r="FM468" t="s">
        <v>5148</v>
      </c>
      <c r="FN468">
        <v>18</v>
      </c>
      <c r="FO468" t="s">
        <v>424</v>
      </c>
      <c r="FP468" t="s">
        <v>454</v>
      </c>
      <c r="FR468">
        <v>12</v>
      </c>
      <c r="FS468">
        <v>7336669</v>
      </c>
      <c r="FT468" t="s">
        <v>2230</v>
      </c>
      <c r="FV468" s="1">
        <v>42515</v>
      </c>
      <c r="FW468">
        <v>2015</v>
      </c>
      <c r="FX468">
        <v>31.86</v>
      </c>
      <c r="FY468" t="s">
        <v>5149</v>
      </c>
      <c r="FZ468">
        <v>18</v>
      </c>
      <c r="GA468" t="s">
        <v>603</v>
      </c>
      <c r="GB468" t="s">
        <v>454</v>
      </c>
      <c r="GD468">
        <v>24</v>
      </c>
      <c r="GE468">
        <v>9999999</v>
      </c>
      <c r="GF468" t="s">
        <v>604</v>
      </c>
      <c r="GH468" s="1">
        <v>42151</v>
      </c>
      <c r="GI468">
        <v>2014</v>
      </c>
      <c r="GJ468">
        <v>39.96</v>
      </c>
      <c r="GK468" t="s">
        <v>5150</v>
      </c>
      <c r="GL468">
        <v>18</v>
      </c>
      <c r="GM468" t="s">
        <v>603</v>
      </c>
      <c r="GN468" t="s">
        <v>454</v>
      </c>
      <c r="GP468">
        <v>36</v>
      </c>
      <c r="GQ468">
        <v>9999999</v>
      </c>
      <c r="GR468" t="s">
        <v>604</v>
      </c>
      <c r="GT468" s="1">
        <v>42151</v>
      </c>
      <c r="GU468">
        <v>2014</v>
      </c>
      <c r="GV468">
        <v>46.81</v>
      </c>
      <c r="GW468" t="s">
        <v>5150</v>
      </c>
      <c r="GX468">
        <v>18</v>
      </c>
      <c r="GY468" t="s">
        <v>424</v>
      </c>
      <c r="GZ468" t="s">
        <v>454</v>
      </c>
      <c r="HB468">
        <v>36</v>
      </c>
      <c r="HC468">
        <v>4844951</v>
      </c>
      <c r="HD468" t="s">
        <v>697</v>
      </c>
      <c r="HF468" s="1">
        <v>41787</v>
      </c>
      <c r="HG468">
        <v>2013</v>
      </c>
      <c r="HH468">
        <v>37.229999999999997</v>
      </c>
      <c r="HI468" t="s">
        <v>5151</v>
      </c>
      <c r="HJ468">
        <v>18</v>
      </c>
      <c r="HK468" t="s">
        <v>603</v>
      </c>
      <c r="HL468" t="s">
        <v>425</v>
      </c>
      <c r="HM468" s="1">
        <v>41849</v>
      </c>
      <c r="HN468">
        <v>2</v>
      </c>
      <c r="HO468">
        <v>9999999</v>
      </c>
      <c r="HP468" t="s">
        <v>604</v>
      </c>
    </row>
    <row r="469" spans="1:272" x14ac:dyDescent="0.25">
      <c r="A469">
        <v>16485476</v>
      </c>
      <c r="B469">
        <v>468</v>
      </c>
      <c r="C469" t="s">
        <v>393</v>
      </c>
      <c r="D469" t="s">
        <v>394</v>
      </c>
      <c r="F469" t="str">
        <f>"08-3N-24-2380-0197-0080"</f>
        <v>08-3N-24-2380-0197-0080</v>
      </c>
      <c r="H469" t="str">
        <f>"STOCKTON C B C/O WAYNE L DETWILER"</f>
        <v>STOCKTON C B C/O WAYNE L DETWILER</v>
      </c>
      <c r="I469" t="str">
        <f>"2951 LA PAZ AVE"</f>
        <v>2951 LA PAZ AVE</v>
      </c>
      <c r="J469" t="str">
        <f>"HEMET CA 92545"</f>
        <v>HEMET CA 92545</v>
      </c>
      <c r="K469" t="str">
        <f>"11TH AV"</f>
        <v>11TH AV</v>
      </c>
      <c r="L469" t="str">
        <f t="shared" si="141"/>
        <v>HILLIARD FL 32046</v>
      </c>
      <c r="M469" t="str">
        <f>"BLOCK 197 LOT 8 TOWN OF HILLIARD"</f>
        <v>BLOCK 197 LOT 8 TOWN OF HILLIARD</v>
      </c>
      <c r="N469" t="str">
        <f>""</f>
        <v/>
      </c>
      <c r="O469" t="str">
        <f>"24051"</f>
        <v>24051</v>
      </c>
      <c r="P469" t="str">
        <f t="shared" si="137"/>
        <v>2017</v>
      </c>
      <c r="Q469" t="str">
        <f>""</f>
        <v/>
      </c>
      <c r="R469" t="str">
        <f t="shared" si="142"/>
        <v>N</v>
      </c>
      <c r="S469" t="str">
        <f>""</f>
        <v/>
      </c>
      <c r="T469" t="str">
        <f>"8.73"</f>
        <v>8.73</v>
      </c>
      <c r="U469" t="str">
        <f t="shared" si="143"/>
        <v>625.00</v>
      </c>
      <c r="V469" t="str">
        <f t="shared" si="143"/>
        <v>625.00</v>
      </c>
      <c r="W469" t="str">
        <f t="shared" si="138"/>
        <v>2017</v>
      </c>
      <c r="X469" t="str">
        <f>""</f>
        <v/>
      </c>
      <c r="Y469" t="str">
        <f>"40.99"</f>
        <v>40.99</v>
      </c>
      <c r="Z469" t="str">
        <f>""</f>
        <v/>
      </c>
      <c r="AA469" t="str">
        <f>"625.00"</f>
        <v>625.00</v>
      </c>
      <c r="AB469" t="str">
        <f t="shared" si="133"/>
        <v>Residential</v>
      </c>
      <c r="AC469" t="str">
        <f t="shared" si="139"/>
        <v>0</v>
      </c>
      <c r="AD469" t="str">
        <f>""</f>
        <v/>
      </c>
      <c r="AE469" t="str">
        <f>""</f>
        <v/>
      </c>
      <c r="AF469" t="str">
        <f>"000"</f>
        <v>000</v>
      </c>
      <c r="AG469" t="str">
        <f>"CA"</f>
        <v>CA</v>
      </c>
      <c r="AH469" t="str">
        <f>"3125.00"</f>
        <v>3125.00</v>
      </c>
      <c r="AI469" t="str">
        <f>"625.00"</f>
        <v>625.00</v>
      </c>
      <c r="AJ469" t="str">
        <f>"C55-000-586-8017-4"</f>
        <v>C55-000-586-8017-4</v>
      </c>
      <c r="AK469" t="str">
        <f>"6786"</f>
        <v>6786</v>
      </c>
      <c r="AL469">
        <v>2</v>
      </c>
      <c r="AM469">
        <v>539</v>
      </c>
      <c r="AN469">
        <v>41.44</v>
      </c>
      <c r="AQ469" t="s">
        <v>5152</v>
      </c>
      <c r="AR469" t="s">
        <v>5152</v>
      </c>
      <c r="AS469" t="s">
        <v>5152</v>
      </c>
      <c r="AU469" t="s">
        <v>396</v>
      </c>
      <c r="AV469">
        <v>2017</v>
      </c>
      <c r="AW469" t="str">
        <f>"08-3N-24-2380-0197-0080 "</f>
        <v xml:space="preserve">08-3N-24-2380-0197-0080 </v>
      </c>
      <c r="AZ469" t="s">
        <v>5153</v>
      </c>
      <c r="BA469" t="s">
        <v>1122</v>
      </c>
      <c r="BD469" t="s">
        <v>398</v>
      </c>
      <c r="BE469" t="s">
        <v>393</v>
      </c>
      <c r="BF469">
        <v>32046</v>
      </c>
      <c r="BG469" t="s">
        <v>5154</v>
      </c>
      <c r="BH469" t="s">
        <v>400</v>
      </c>
      <c r="BI469">
        <v>-81.936686462746295</v>
      </c>
      <c r="BJ469">
        <v>30.694670822200901</v>
      </c>
      <c r="BK469" t="s">
        <v>5155</v>
      </c>
      <c r="BM469" t="s">
        <v>5156</v>
      </c>
      <c r="BN469" t="s">
        <v>5157</v>
      </c>
      <c r="BO469">
        <v>92545</v>
      </c>
      <c r="BP469" t="s">
        <v>404</v>
      </c>
      <c r="BQ469">
        <v>0</v>
      </c>
      <c r="BR469" t="s">
        <v>491</v>
      </c>
      <c r="BS469">
        <v>8001</v>
      </c>
      <c r="BT469" t="s">
        <v>492</v>
      </c>
      <c r="BU469">
        <v>250</v>
      </c>
      <c r="BV469">
        <v>1250</v>
      </c>
      <c r="BW469">
        <v>3125</v>
      </c>
      <c r="BX469" t="s">
        <v>407</v>
      </c>
      <c r="BY469" t="s">
        <v>4520</v>
      </c>
      <c r="CD469">
        <v>2017</v>
      </c>
      <c r="CE469">
        <v>625</v>
      </c>
      <c r="CG469">
        <v>625</v>
      </c>
      <c r="CH469">
        <v>2017</v>
      </c>
      <c r="CI469">
        <v>625</v>
      </c>
      <c r="CK469">
        <v>625</v>
      </c>
      <c r="CL469">
        <v>2017</v>
      </c>
      <c r="CM469">
        <v>8.73</v>
      </c>
      <c r="DD469" t="s">
        <v>398</v>
      </c>
      <c r="DF469">
        <v>8</v>
      </c>
      <c r="DG469">
        <v>8</v>
      </c>
      <c r="DJ469" t="s">
        <v>4482</v>
      </c>
      <c r="DL469">
        <v>50400</v>
      </c>
      <c r="DM469" t="s">
        <v>4465</v>
      </c>
      <c r="DO469" t="s">
        <v>5158</v>
      </c>
      <c r="DP469">
        <v>0</v>
      </c>
      <c r="DQ469">
        <v>0</v>
      </c>
      <c r="DR469" t="s">
        <v>411</v>
      </c>
      <c r="DS469" t="b">
        <v>1</v>
      </c>
      <c r="DT469" t="s">
        <v>470</v>
      </c>
      <c r="DU469" t="s">
        <v>471</v>
      </c>
      <c r="DV469" t="s">
        <v>472</v>
      </c>
      <c r="DX469">
        <v>-9999</v>
      </c>
      <c r="DZ469" t="s">
        <v>447</v>
      </c>
      <c r="EA469" t="s">
        <v>448</v>
      </c>
      <c r="EB469" t="s">
        <v>1224</v>
      </c>
      <c r="EC469">
        <v>20101217</v>
      </c>
      <c r="ED469" t="s">
        <v>474</v>
      </c>
      <c r="EF469">
        <v>727.3</v>
      </c>
      <c r="EG469">
        <v>727.3</v>
      </c>
      <c r="EI469">
        <v>20160407</v>
      </c>
      <c r="EJ469">
        <v>0</v>
      </c>
      <c r="EK469">
        <v>0</v>
      </c>
      <c r="EP469" t="s">
        <v>595</v>
      </c>
      <c r="EQ469" t="s">
        <v>422</v>
      </c>
      <c r="ER469">
        <v>9</v>
      </c>
      <c r="ES469">
        <v>0</v>
      </c>
      <c r="ET469">
        <v>322.52</v>
      </c>
      <c r="EU469">
        <v>312.73</v>
      </c>
      <c r="EV469">
        <v>635.25</v>
      </c>
      <c r="EW469" s="2">
        <v>43222</v>
      </c>
      <c r="EX469" s="1">
        <v>42879</v>
      </c>
      <c r="EY469">
        <v>2016</v>
      </c>
      <c r="EZ469">
        <v>36.6</v>
      </c>
      <c r="FA469" t="s">
        <v>5159</v>
      </c>
      <c r="FB469">
        <v>18</v>
      </c>
      <c r="FC469" t="s">
        <v>603</v>
      </c>
      <c r="FD469" t="s">
        <v>454</v>
      </c>
      <c r="FF469">
        <v>12</v>
      </c>
      <c r="FG469">
        <v>9999999</v>
      </c>
      <c r="FH469" t="s">
        <v>604</v>
      </c>
      <c r="FJ469" s="1">
        <v>42515</v>
      </c>
      <c r="FK469">
        <v>2015</v>
      </c>
      <c r="FL469">
        <v>31.86</v>
      </c>
      <c r="FM469" t="s">
        <v>5160</v>
      </c>
      <c r="FN469">
        <v>18</v>
      </c>
      <c r="FO469" t="s">
        <v>603</v>
      </c>
      <c r="FP469" t="s">
        <v>454</v>
      </c>
      <c r="FR469">
        <v>24</v>
      </c>
      <c r="FS469">
        <v>9999999</v>
      </c>
      <c r="FT469" t="s">
        <v>604</v>
      </c>
      <c r="FV469" s="1">
        <v>42151</v>
      </c>
      <c r="FW469">
        <v>2014</v>
      </c>
      <c r="FX469">
        <v>31.6</v>
      </c>
      <c r="FY469" t="s">
        <v>5161</v>
      </c>
      <c r="FZ469">
        <v>18</v>
      </c>
      <c r="GA469" t="s">
        <v>603</v>
      </c>
      <c r="GB469" t="s">
        <v>454</v>
      </c>
      <c r="GD469">
        <v>36</v>
      </c>
      <c r="GE469">
        <v>9999999</v>
      </c>
      <c r="GF469" t="s">
        <v>604</v>
      </c>
      <c r="GH469" s="1">
        <v>41787</v>
      </c>
      <c r="GI469">
        <v>2013</v>
      </c>
      <c r="GJ469">
        <v>30.6</v>
      </c>
      <c r="GK469" t="s">
        <v>5162</v>
      </c>
      <c r="GL469">
        <v>18</v>
      </c>
      <c r="GM469" t="s">
        <v>603</v>
      </c>
      <c r="GN469" t="s">
        <v>454</v>
      </c>
      <c r="GP469">
        <v>48</v>
      </c>
      <c r="GQ469">
        <v>9999999</v>
      </c>
      <c r="GR469" t="s">
        <v>604</v>
      </c>
      <c r="GT469" s="1">
        <v>41787</v>
      </c>
      <c r="GU469">
        <v>2013</v>
      </c>
      <c r="GV469">
        <v>42.36</v>
      </c>
      <c r="GW469" t="s">
        <v>5162</v>
      </c>
      <c r="GX469">
        <v>18</v>
      </c>
      <c r="GY469" t="s">
        <v>424</v>
      </c>
      <c r="GZ469" t="s">
        <v>454</v>
      </c>
      <c r="HB469">
        <v>48</v>
      </c>
      <c r="HC469">
        <v>7045033</v>
      </c>
      <c r="HD469" t="s">
        <v>4053</v>
      </c>
      <c r="HF469" s="1">
        <v>41423</v>
      </c>
      <c r="HG469">
        <v>2012</v>
      </c>
      <c r="HH469">
        <v>30.72</v>
      </c>
      <c r="HI469" t="s">
        <v>5163</v>
      </c>
      <c r="HJ469">
        <v>16.75</v>
      </c>
      <c r="HK469" t="s">
        <v>424</v>
      </c>
      <c r="HL469" t="s">
        <v>454</v>
      </c>
      <c r="HN469">
        <v>60</v>
      </c>
      <c r="HO469">
        <v>10125</v>
      </c>
      <c r="HP469" t="s">
        <v>440</v>
      </c>
      <c r="HR469" s="1">
        <v>41052</v>
      </c>
      <c r="HS469">
        <v>2011</v>
      </c>
      <c r="HT469">
        <v>36.479999999999997</v>
      </c>
      <c r="HU469" t="s">
        <v>5164</v>
      </c>
      <c r="HV469">
        <v>18</v>
      </c>
      <c r="HW469" t="s">
        <v>424</v>
      </c>
      <c r="HX469" t="s">
        <v>454</v>
      </c>
      <c r="HZ469">
        <v>72</v>
      </c>
      <c r="IA469">
        <v>10125</v>
      </c>
      <c r="IB469" t="s">
        <v>440</v>
      </c>
      <c r="ID469" s="1">
        <v>40688</v>
      </c>
      <c r="IE469">
        <v>2010</v>
      </c>
      <c r="IF469">
        <v>46.68</v>
      </c>
      <c r="IG469" t="s">
        <v>5165</v>
      </c>
      <c r="IH469">
        <v>18</v>
      </c>
      <c r="II469" t="s">
        <v>424</v>
      </c>
      <c r="IJ469" t="s">
        <v>454</v>
      </c>
      <c r="IL469">
        <v>84</v>
      </c>
      <c r="IM469">
        <v>12071</v>
      </c>
      <c r="IN469" t="s">
        <v>2936</v>
      </c>
      <c r="IP469" s="1">
        <v>40688</v>
      </c>
      <c r="IQ469">
        <v>2010</v>
      </c>
      <c r="IR469">
        <v>35.619999999999997</v>
      </c>
      <c r="IS469" t="s">
        <v>5165</v>
      </c>
      <c r="IT469">
        <v>18</v>
      </c>
      <c r="IU469" t="s">
        <v>603</v>
      </c>
      <c r="IV469" t="s">
        <v>454</v>
      </c>
      <c r="IX469">
        <v>84</v>
      </c>
      <c r="IY469">
        <v>9999999</v>
      </c>
      <c r="IZ469" t="s">
        <v>604</v>
      </c>
    </row>
    <row r="470" spans="1:272" x14ac:dyDescent="0.25">
      <c r="A470">
        <v>16485477</v>
      </c>
      <c r="B470">
        <v>469</v>
      </c>
      <c r="C470" t="s">
        <v>393</v>
      </c>
      <c r="D470" t="s">
        <v>394</v>
      </c>
      <c r="F470" t="str">
        <f>"08-3N-24-2380-0199-0140"</f>
        <v>08-3N-24-2380-0199-0140</v>
      </c>
      <c r="H470" t="str">
        <f>"BRYCE ROBERT W SR HEIRS TRUST C/O ROBERTA SMITH"</f>
        <v>BRYCE ROBERT W SR HEIRS TRUST C/O ROBERTA SMITH</v>
      </c>
      <c r="I470" t="str">
        <f>"305 KNOLL STREET N W"</f>
        <v>305 KNOLL STREET N W</v>
      </c>
      <c r="J470" t="str">
        <f>"VIENNA VA 22180"</f>
        <v>VIENNA VA 22180</v>
      </c>
      <c r="K470" t="str">
        <f>"W TENTH AV"</f>
        <v>W TENTH AV</v>
      </c>
      <c r="L470" t="str">
        <f t="shared" si="141"/>
        <v>HILLIARD FL 32046</v>
      </c>
      <c r="M470" t="str">
        <f>"BLOCK 199 LOTS 14 &amp; 15 PT OR 364/39-46 &amp; 357/13 TOWN OF HILLIARD"</f>
        <v>BLOCK 199 LOTS 14 &amp; 15 PT OR 364/39-46 &amp; 357/13 TOWN OF HILLIARD</v>
      </c>
      <c r="N470" t="str">
        <f>""</f>
        <v/>
      </c>
      <c r="O470" t="str">
        <f>"24068"</f>
        <v>24068</v>
      </c>
      <c r="P470" t="str">
        <f t="shared" si="137"/>
        <v>2017</v>
      </c>
      <c r="Q470" t="str">
        <f>""</f>
        <v/>
      </c>
      <c r="R470" t="str">
        <f t="shared" si="142"/>
        <v>N</v>
      </c>
      <c r="S470" t="str">
        <f>""</f>
        <v/>
      </c>
      <c r="T470" t="str">
        <f>"17.46"</f>
        <v>17.46</v>
      </c>
      <c r="U470" t="str">
        <f>"1250.00"</f>
        <v>1250.00</v>
      </c>
      <c r="V470" t="str">
        <f>"1250.00"</f>
        <v>1250.00</v>
      </c>
      <c r="W470" t="str">
        <f t="shared" si="138"/>
        <v>2017</v>
      </c>
      <c r="X470" t="str">
        <f>""</f>
        <v/>
      </c>
      <c r="Y470" t="str">
        <f>"49.98"</f>
        <v>49.98</v>
      </c>
      <c r="Z470" t="str">
        <f>""</f>
        <v/>
      </c>
      <c r="AA470" t="str">
        <f>"1250.00"</f>
        <v>1250.00</v>
      </c>
      <c r="AB470" t="str">
        <f t="shared" si="133"/>
        <v>Residential</v>
      </c>
      <c r="AC470" t="str">
        <f t="shared" si="139"/>
        <v>0</v>
      </c>
      <c r="AD470" t="str">
        <f>""</f>
        <v/>
      </c>
      <c r="AE470" t="str">
        <f>""</f>
        <v/>
      </c>
      <c r="AF470" t="str">
        <f>"000"</f>
        <v>000</v>
      </c>
      <c r="AG470" t="str">
        <f>"VA"</f>
        <v>VA</v>
      </c>
      <c r="AH470" t="str">
        <f>"6250.00"</f>
        <v>6250.00</v>
      </c>
      <c r="AI470" t="str">
        <f>"1250.00"</f>
        <v>1250.00</v>
      </c>
      <c r="AJ470" t="str">
        <f>"C55-000-586-8031-5"</f>
        <v>C55-000-586-8031-5</v>
      </c>
      <c r="AK470" t="str">
        <f>"6799"</f>
        <v>6799</v>
      </c>
      <c r="AL470">
        <v>2</v>
      </c>
      <c r="AM470">
        <v>540</v>
      </c>
      <c r="AN470">
        <v>50.88</v>
      </c>
      <c r="AQ470" t="s">
        <v>5166</v>
      </c>
      <c r="AR470" t="s">
        <v>5166</v>
      </c>
      <c r="AS470" t="s">
        <v>5166</v>
      </c>
      <c r="AU470" t="s">
        <v>396</v>
      </c>
      <c r="AV470">
        <v>2017</v>
      </c>
      <c r="AW470" t="str">
        <f>"08-3N-24-2380-0199-0140 "</f>
        <v xml:space="preserve">08-3N-24-2380-0199-0140 </v>
      </c>
      <c r="AY470" t="s">
        <v>4459</v>
      </c>
      <c r="AZ470" t="s">
        <v>5167</v>
      </c>
      <c r="BA470" t="s">
        <v>1122</v>
      </c>
      <c r="BD470" t="s">
        <v>398</v>
      </c>
      <c r="BE470" t="s">
        <v>393</v>
      </c>
      <c r="BF470">
        <v>32046</v>
      </c>
      <c r="BG470" t="s">
        <v>5168</v>
      </c>
      <c r="BH470" t="s">
        <v>400</v>
      </c>
      <c r="BI470">
        <v>-81.934573684994604</v>
      </c>
      <c r="BJ470">
        <v>30.6943314856093</v>
      </c>
      <c r="BK470" t="s">
        <v>5169</v>
      </c>
      <c r="BM470" t="s">
        <v>5170</v>
      </c>
      <c r="BN470" t="s">
        <v>5171</v>
      </c>
      <c r="BO470">
        <v>22180</v>
      </c>
      <c r="BP470" t="s">
        <v>404</v>
      </c>
      <c r="BQ470">
        <v>0</v>
      </c>
      <c r="BR470" t="s">
        <v>491</v>
      </c>
      <c r="BS470">
        <v>8001</v>
      </c>
      <c r="BT470" t="s">
        <v>492</v>
      </c>
      <c r="BU470">
        <v>500</v>
      </c>
      <c r="BV470">
        <v>1250</v>
      </c>
      <c r="BW470">
        <v>6249</v>
      </c>
      <c r="BX470" t="s">
        <v>407</v>
      </c>
      <c r="BY470" t="s">
        <v>4520</v>
      </c>
      <c r="CD470">
        <v>2017</v>
      </c>
      <c r="CE470">
        <v>1250</v>
      </c>
      <c r="CG470">
        <v>1250</v>
      </c>
      <c r="CH470">
        <v>2017</v>
      </c>
      <c r="CI470">
        <v>1250</v>
      </c>
      <c r="CK470">
        <v>1250</v>
      </c>
      <c r="CL470">
        <v>2017</v>
      </c>
      <c r="CM470">
        <v>17.46</v>
      </c>
      <c r="DD470" t="s">
        <v>398</v>
      </c>
      <c r="DG470">
        <v>8</v>
      </c>
      <c r="DL470">
        <v>50400</v>
      </c>
      <c r="DM470" t="s">
        <v>4465</v>
      </c>
      <c r="DO470" t="s">
        <v>5172</v>
      </c>
      <c r="DP470">
        <v>0</v>
      </c>
      <c r="DQ470">
        <v>0</v>
      </c>
      <c r="DR470" t="s">
        <v>411</v>
      </c>
      <c r="DS470" t="b">
        <v>1</v>
      </c>
      <c r="DT470" t="s">
        <v>470</v>
      </c>
      <c r="DU470" t="s">
        <v>471</v>
      </c>
      <c r="DV470" t="s">
        <v>472</v>
      </c>
      <c r="DX470">
        <v>-9999</v>
      </c>
      <c r="DZ470" t="s">
        <v>447</v>
      </c>
      <c r="EA470" t="s">
        <v>448</v>
      </c>
      <c r="EB470" t="s">
        <v>1224</v>
      </c>
      <c r="EC470">
        <v>20101217</v>
      </c>
      <c r="ED470" t="s">
        <v>474</v>
      </c>
      <c r="EF470">
        <v>753</v>
      </c>
      <c r="EG470">
        <v>753</v>
      </c>
      <c r="EI470">
        <v>20160407</v>
      </c>
      <c r="EJ470">
        <v>0</v>
      </c>
      <c r="EK470">
        <v>0</v>
      </c>
      <c r="EP470" t="s">
        <v>595</v>
      </c>
      <c r="EQ470" t="s">
        <v>422</v>
      </c>
      <c r="ER470">
        <v>8</v>
      </c>
      <c r="ES470">
        <v>0</v>
      </c>
      <c r="ET470">
        <v>478.48</v>
      </c>
      <c r="EU470">
        <v>467.06</v>
      </c>
      <c r="EV470">
        <v>945.54</v>
      </c>
      <c r="EW470" s="2">
        <v>43222</v>
      </c>
      <c r="EX470" s="1">
        <v>42879</v>
      </c>
      <c r="EY470">
        <v>2016</v>
      </c>
      <c r="EZ470">
        <v>46.22</v>
      </c>
      <c r="FA470" t="s">
        <v>5173</v>
      </c>
      <c r="FB470">
        <v>18</v>
      </c>
      <c r="FC470" t="s">
        <v>603</v>
      </c>
      <c r="FD470" t="s">
        <v>454</v>
      </c>
      <c r="FF470">
        <v>12</v>
      </c>
      <c r="FG470">
        <v>9999999</v>
      </c>
      <c r="FH470" t="s">
        <v>604</v>
      </c>
      <c r="FJ470" s="1">
        <v>42515</v>
      </c>
      <c r="FK470">
        <v>2015</v>
      </c>
      <c r="FL470">
        <v>41.75</v>
      </c>
      <c r="FM470" t="s">
        <v>5174</v>
      </c>
      <c r="FN470">
        <v>18</v>
      </c>
      <c r="FO470" t="s">
        <v>603</v>
      </c>
      <c r="FP470" t="s">
        <v>454</v>
      </c>
      <c r="FR470">
        <v>24</v>
      </c>
      <c r="FS470">
        <v>9999999</v>
      </c>
      <c r="FT470" t="s">
        <v>604</v>
      </c>
      <c r="FV470" s="1">
        <v>42151</v>
      </c>
      <c r="FW470">
        <v>2014</v>
      </c>
      <c r="FX470">
        <v>50.93</v>
      </c>
      <c r="FY470" t="s">
        <v>5175</v>
      </c>
      <c r="FZ470">
        <v>18</v>
      </c>
      <c r="GA470" t="s">
        <v>603</v>
      </c>
      <c r="GB470" t="s">
        <v>454</v>
      </c>
      <c r="GD470">
        <v>36</v>
      </c>
      <c r="GE470">
        <v>9999999</v>
      </c>
      <c r="GF470" t="s">
        <v>604</v>
      </c>
      <c r="GH470" s="1">
        <v>41787</v>
      </c>
      <c r="GI470">
        <v>2013</v>
      </c>
      <c r="GJ470">
        <v>49.29</v>
      </c>
      <c r="GK470" t="s">
        <v>5176</v>
      </c>
      <c r="GL470">
        <v>18</v>
      </c>
      <c r="GM470" t="s">
        <v>603</v>
      </c>
      <c r="GN470" t="s">
        <v>454</v>
      </c>
      <c r="GP470">
        <v>48</v>
      </c>
      <c r="GQ470">
        <v>9999999</v>
      </c>
      <c r="GR470" t="s">
        <v>604</v>
      </c>
      <c r="GT470" s="1">
        <v>41423</v>
      </c>
      <c r="GU470">
        <v>2012</v>
      </c>
      <c r="GV470">
        <v>49.67</v>
      </c>
      <c r="GW470" t="s">
        <v>5177</v>
      </c>
      <c r="GX470">
        <v>16.75</v>
      </c>
      <c r="GY470" t="s">
        <v>424</v>
      </c>
      <c r="GZ470" t="s">
        <v>454</v>
      </c>
      <c r="HB470">
        <v>60</v>
      </c>
      <c r="HC470">
        <v>10125</v>
      </c>
      <c r="HD470" t="s">
        <v>440</v>
      </c>
      <c r="HF470" s="1">
        <v>41052</v>
      </c>
      <c r="HG470">
        <v>2011</v>
      </c>
      <c r="HH470">
        <v>78.13</v>
      </c>
      <c r="HI470" t="s">
        <v>5178</v>
      </c>
      <c r="HJ470">
        <v>18</v>
      </c>
      <c r="HK470" t="s">
        <v>424</v>
      </c>
      <c r="HL470" t="s">
        <v>454</v>
      </c>
      <c r="HN470">
        <v>72</v>
      </c>
      <c r="HO470">
        <v>10125</v>
      </c>
      <c r="HP470" t="s">
        <v>440</v>
      </c>
      <c r="HR470" s="1">
        <v>40688</v>
      </c>
      <c r="HS470">
        <v>2010</v>
      </c>
      <c r="HT470">
        <v>84.95</v>
      </c>
      <c r="HU470" t="s">
        <v>5179</v>
      </c>
      <c r="HV470">
        <v>18</v>
      </c>
      <c r="HW470" t="s">
        <v>424</v>
      </c>
      <c r="HX470" t="s">
        <v>454</v>
      </c>
      <c r="HZ470">
        <v>84</v>
      </c>
      <c r="IA470">
        <v>11521</v>
      </c>
      <c r="IB470" t="s">
        <v>4985</v>
      </c>
      <c r="ID470" s="1">
        <v>40688</v>
      </c>
      <c r="IE470">
        <v>2010</v>
      </c>
      <c r="IF470">
        <v>77.540000000000006</v>
      </c>
      <c r="IG470" t="s">
        <v>5179</v>
      </c>
      <c r="IH470">
        <v>18</v>
      </c>
      <c r="II470" t="s">
        <v>603</v>
      </c>
      <c r="IJ470" t="s">
        <v>454</v>
      </c>
      <c r="IL470">
        <v>84</v>
      </c>
      <c r="IM470">
        <v>9999999</v>
      </c>
      <c r="IN470" t="s">
        <v>604</v>
      </c>
    </row>
    <row r="471" spans="1:272" x14ac:dyDescent="0.25">
      <c r="A471">
        <v>16485478</v>
      </c>
      <c r="B471">
        <v>470</v>
      </c>
      <c r="C471" t="s">
        <v>393</v>
      </c>
      <c r="D471" t="s">
        <v>394</v>
      </c>
      <c r="F471" t="str">
        <f>"08-3N-24-2380-0199-0220"</f>
        <v>08-3N-24-2380-0199-0220</v>
      </c>
      <c r="H471" t="str">
        <f>"BELL RONALD WAYNE &amp; BELL DONALD GARY"</f>
        <v>BELL RONALD WAYNE &amp; BELL DONALD GARY</v>
      </c>
      <c r="I471" t="str">
        <f>"45219 MICKLER ST"</f>
        <v>45219 MICKLER ST</v>
      </c>
      <c r="J471" t="str">
        <f>"CALLAHAN FL 32011"</f>
        <v>CALLAHAN FL 32011</v>
      </c>
      <c r="K471" t="str">
        <f>"W TENTH AV"</f>
        <v>W TENTH AV</v>
      </c>
      <c r="L471" t="str">
        <f t="shared" si="141"/>
        <v>HILLIARD FL 32046</v>
      </c>
      <c r="M471" t="str">
        <f>"BLOCK 199 LOTS 22 &amp; 23 PT OR 1028/1690 TOWN OF HILLIARD"</f>
        <v>BLOCK 199 LOTS 22 &amp; 23 PT OR 1028/1690 TOWN OF HILLIARD</v>
      </c>
      <c r="N471" t="str">
        <f>""</f>
        <v/>
      </c>
      <c r="O471" t="str">
        <f>"24070"</f>
        <v>24070</v>
      </c>
      <c r="P471" t="str">
        <f t="shared" si="137"/>
        <v>2017</v>
      </c>
      <c r="Q471" t="str">
        <f>""</f>
        <v/>
      </c>
      <c r="R471" t="str">
        <f t="shared" si="142"/>
        <v>N</v>
      </c>
      <c r="S471" t="str">
        <f>""</f>
        <v/>
      </c>
      <c r="T471" t="str">
        <f>"17.46"</f>
        <v>17.46</v>
      </c>
      <c r="U471" t="str">
        <f>"1250.00"</f>
        <v>1250.00</v>
      </c>
      <c r="V471" t="str">
        <f>"1250.00"</f>
        <v>1250.00</v>
      </c>
      <c r="W471" t="str">
        <f t="shared" si="138"/>
        <v>2017</v>
      </c>
      <c r="X471" t="str">
        <f>"10.00"</f>
        <v>10.00</v>
      </c>
      <c r="Y471" t="str">
        <f>"49.98"</f>
        <v>49.98</v>
      </c>
      <c r="Z471" t="str">
        <f>""</f>
        <v/>
      </c>
      <c r="AA471" t="str">
        <f>"1250.00"</f>
        <v>1250.00</v>
      </c>
      <c r="AB471" t="str">
        <f t="shared" si="133"/>
        <v>Residential</v>
      </c>
      <c r="AC471" t="str">
        <f t="shared" si="139"/>
        <v>0</v>
      </c>
      <c r="AD471" t="str">
        <f>""</f>
        <v/>
      </c>
      <c r="AE471" t="str">
        <f>""</f>
        <v/>
      </c>
      <c r="AF471" t="str">
        <f>"000"</f>
        <v>000</v>
      </c>
      <c r="AG471" t="str">
        <f>"FL"</f>
        <v>FL</v>
      </c>
      <c r="AH471" t="str">
        <f>"6250.00"</f>
        <v>6250.00</v>
      </c>
      <c r="AI471" t="str">
        <f>"1250.00"</f>
        <v>1250.00</v>
      </c>
      <c r="AJ471" t="str">
        <f>"C55-000-586-8032-3"</f>
        <v>C55-000-586-8032-3</v>
      </c>
      <c r="AK471" t="str">
        <f>"6801"</f>
        <v>6801</v>
      </c>
      <c r="AL471">
        <v>2</v>
      </c>
      <c r="AM471">
        <v>541</v>
      </c>
      <c r="AN471">
        <v>50.88</v>
      </c>
      <c r="AQ471" t="s">
        <v>5180</v>
      </c>
      <c r="AR471" t="s">
        <v>5180</v>
      </c>
      <c r="AS471" t="s">
        <v>5180</v>
      </c>
      <c r="AU471" t="s">
        <v>396</v>
      </c>
      <c r="AV471">
        <v>2017</v>
      </c>
      <c r="AW471" t="str">
        <f>"08-3N-24-2380-0199-0220 "</f>
        <v xml:space="preserve">08-3N-24-2380-0199-0220 </v>
      </c>
      <c r="AY471" t="s">
        <v>4459</v>
      </c>
      <c r="AZ471" t="s">
        <v>5167</v>
      </c>
      <c r="BA471" t="s">
        <v>1122</v>
      </c>
      <c r="BD471" t="s">
        <v>398</v>
      </c>
      <c r="BE471" t="s">
        <v>393</v>
      </c>
      <c r="BF471">
        <v>32046</v>
      </c>
      <c r="BG471" t="s">
        <v>5168</v>
      </c>
      <c r="BH471" t="s">
        <v>400</v>
      </c>
      <c r="BI471">
        <v>-81.933937943114998</v>
      </c>
      <c r="BJ471">
        <v>30.6943535653851</v>
      </c>
      <c r="BK471" t="s">
        <v>5181</v>
      </c>
      <c r="BM471" t="s">
        <v>5182</v>
      </c>
      <c r="BN471" t="s">
        <v>928</v>
      </c>
      <c r="BO471">
        <v>32011</v>
      </c>
      <c r="BP471" t="s">
        <v>404</v>
      </c>
      <c r="BQ471">
        <v>0</v>
      </c>
      <c r="BR471" t="s">
        <v>491</v>
      </c>
      <c r="BS471">
        <v>8001</v>
      </c>
      <c r="BT471" t="s">
        <v>492</v>
      </c>
      <c r="BU471">
        <v>500</v>
      </c>
      <c r="BV471">
        <v>1250</v>
      </c>
      <c r="BW471">
        <v>6250</v>
      </c>
      <c r="BX471" t="s">
        <v>407</v>
      </c>
      <c r="BY471" t="s">
        <v>4520</v>
      </c>
      <c r="CD471">
        <v>2017</v>
      </c>
      <c r="CE471">
        <v>1250</v>
      </c>
      <c r="CG471">
        <v>1250</v>
      </c>
      <c r="CH471">
        <v>2017</v>
      </c>
      <c r="CI471">
        <v>1250</v>
      </c>
      <c r="CK471">
        <v>1250</v>
      </c>
      <c r="CL471">
        <v>2017</v>
      </c>
      <c r="CM471">
        <v>17.46</v>
      </c>
      <c r="CN471" s="1">
        <v>37260</v>
      </c>
      <c r="CZ471" s="1">
        <v>37260</v>
      </c>
      <c r="DD471" t="s">
        <v>398</v>
      </c>
      <c r="DG471">
        <v>8</v>
      </c>
      <c r="DL471">
        <v>50400</v>
      </c>
      <c r="DM471" t="s">
        <v>4465</v>
      </c>
      <c r="DO471" t="s">
        <v>5183</v>
      </c>
      <c r="DP471">
        <v>0</v>
      </c>
      <c r="DQ471">
        <v>0</v>
      </c>
      <c r="DR471" t="s">
        <v>411</v>
      </c>
      <c r="DS471" t="s">
        <v>695</v>
      </c>
      <c r="EJ471">
        <v>0</v>
      </c>
      <c r="EK471">
        <v>0</v>
      </c>
      <c r="EP471" t="s">
        <v>595</v>
      </c>
      <c r="EQ471" t="s">
        <v>422</v>
      </c>
      <c r="ER471">
        <v>0</v>
      </c>
      <c r="ES471">
        <v>3</v>
      </c>
      <c r="ET471">
        <v>0</v>
      </c>
      <c r="EU471">
        <v>0</v>
      </c>
      <c r="EV471">
        <v>0</v>
      </c>
      <c r="EW471" s="2">
        <v>43222</v>
      </c>
      <c r="EX471" s="1">
        <v>42151</v>
      </c>
      <c r="EY471">
        <v>2014</v>
      </c>
      <c r="EZ471">
        <v>50.93</v>
      </c>
      <c r="FA471" t="s">
        <v>5184</v>
      </c>
      <c r="FB471">
        <v>18</v>
      </c>
      <c r="FC471" t="s">
        <v>603</v>
      </c>
      <c r="FD471" t="s">
        <v>425</v>
      </c>
      <c r="FF471">
        <v>22</v>
      </c>
      <c r="FG471">
        <v>9999999</v>
      </c>
      <c r="FH471" t="s">
        <v>604</v>
      </c>
      <c r="FJ471" s="1">
        <v>42151</v>
      </c>
      <c r="FK471">
        <v>2014</v>
      </c>
      <c r="FL471">
        <v>61</v>
      </c>
      <c r="FM471" t="s">
        <v>5184</v>
      </c>
      <c r="FN471">
        <v>18</v>
      </c>
      <c r="FO471" t="s">
        <v>424</v>
      </c>
      <c r="FP471" t="s">
        <v>425</v>
      </c>
      <c r="FQ471" s="1">
        <v>42459</v>
      </c>
      <c r="FR471">
        <v>10</v>
      </c>
      <c r="FS471">
        <v>7045056</v>
      </c>
      <c r="FT471" t="s">
        <v>5185</v>
      </c>
      <c r="FV471" s="1">
        <v>41423</v>
      </c>
      <c r="FW471">
        <v>2012</v>
      </c>
      <c r="FX471">
        <v>49.67</v>
      </c>
      <c r="FY471" t="s">
        <v>5186</v>
      </c>
      <c r="FZ471">
        <v>10</v>
      </c>
      <c r="GA471" t="s">
        <v>424</v>
      </c>
      <c r="GB471" t="s">
        <v>425</v>
      </c>
      <c r="GC471" s="1">
        <v>41724</v>
      </c>
      <c r="GD471">
        <v>10</v>
      </c>
      <c r="GE471">
        <v>1109</v>
      </c>
      <c r="GF471" t="s">
        <v>852</v>
      </c>
    </row>
    <row r="472" spans="1:272" x14ac:dyDescent="0.25">
      <c r="A472">
        <v>16485479</v>
      </c>
      <c r="B472">
        <v>471</v>
      </c>
      <c r="C472" t="s">
        <v>393</v>
      </c>
      <c r="D472" t="s">
        <v>394</v>
      </c>
      <c r="F472" t="str">
        <f>"08-3N-24-2380-0201-0130"</f>
        <v>08-3N-24-2380-0201-0130</v>
      </c>
      <c r="H472" t="str">
        <f>"JOHNSON HAROLD F"</f>
        <v>JOHNSON HAROLD F</v>
      </c>
      <c r="I472" t="str">
        <f>"PO BOX 1701"</f>
        <v>PO BOX 1701</v>
      </c>
      <c r="J472" t="str">
        <f>"HILLIARD FL 32046"</f>
        <v>HILLIARD FL 32046</v>
      </c>
      <c r="K472" t="str">
        <f>"27426 W 10TH AV"</f>
        <v>27426 W 10TH AV</v>
      </c>
      <c r="L472" t="str">
        <f t="shared" si="141"/>
        <v>HILLIARD FL 32046</v>
      </c>
      <c r="M472" t="str">
        <f>"BLOCK 201 LOTS 13 THRU 24 PT OR 163/242 &amp; OR 201/178 &amp; CASE 2009-DR-784 OR 1687/534 1978 ALA DWMH TOWN OF HILLIARD"</f>
        <v>BLOCK 201 LOTS 13 THRU 24 PT OR 163/242 &amp; OR 201/178 &amp; CASE 2009-DR-784 OR 1687/534 1978 ALA DWMH TOWN OF HILLIARD</v>
      </c>
      <c r="N472" t="str">
        <f>""</f>
        <v/>
      </c>
      <c r="O472" t="str">
        <f>"24081"</f>
        <v>24081</v>
      </c>
      <c r="P472" t="str">
        <f t="shared" si="137"/>
        <v>2017</v>
      </c>
      <c r="Q472" t="str">
        <f>""</f>
        <v/>
      </c>
      <c r="R472" t="str">
        <f t="shared" si="142"/>
        <v>N</v>
      </c>
      <c r="S472" t="str">
        <f>""</f>
        <v/>
      </c>
      <c r="T472" t="str">
        <f>"815.79"</f>
        <v>815.79</v>
      </c>
      <c r="U472" t="str">
        <f>"58415.00"</f>
        <v>58415.00</v>
      </c>
      <c r="V472" t="str">
        <f>"58415.00"</f>
        <v>58415.00</v>
      </c>
      <c r="W472" t="str">
        <f t="shared" si="138"/>
        <v>2017</v>
      </c>
      <c r="X472" t="str">
        <f>"6.00"</f>
        <v>6.00</v>
      </c>
      <c r="Y472" t="str">
        <f>"872.26"</f>
        <v>872.26</v>
      </c>
      <c r="Z472" t="str">
        <f>""</f>
        <v/>
      </c>
      <c r="AA472" t="str">
        <f>"58415.00"</f>
        <v>58415.00</v>
      </c>
      <c r="AB472" t="str">
        <f t="shared" si="133"/>
        <v>Residential</v>
      </c>
      <c r="AC472" t="str">
        <f t="shared" si="139"/>
        <v>0</v>
      </c>
      <c r="AD472" t="str">
        <f>"4"</f>
        <v>4</v>
      </c>
      <c r="AE472" t="str">
        <f>"WOOD (INCLUDE STEEL STUDS)"</f>
        <v>WOOD (INCLUDE STEEL STUDS)</v>
      </c>
      <c r="AF472" t="str">
        <f>"002"</f>
        <v>002</v>
      </c>
      <c r="AG472" t="str">
        <f>"FL"</f>
        <v>FL</v>
      </c>
      <c r="AH472" t="str">
        <f>"37500.00"</f>
        <v>37500.00</v>
      </c>
      <c r="AI472" t="str">
        <f>"40500.00"</f>
        <v>40500.00</v>
      </c>
      <c r="AJ472" t="str">
        <f>"C55-000-988-1305-8"</f>
        <v>C55-000-988-1305-8</v>
      </c>
      <c r="AK472" t="str">
        <f>"6809"</f>
        <v>6809</v>
      </c>
      <c r="AL472">
        <v>2</v>
      </c>
      <c r="AM472">
        <v>542</v>
      </c>
      <c r="AN472">
        <v>914.27</v>
      </c>
      <c r="AQ472" t="s">
        <v>5187</v>
      </c>
      <c r="AR472" t="s">
        <v>5187</v>
      </c>
      <c r="AS472" t="s">
        <v>5187</v>
      </c>
      <c r="AU472" t="s">
        <v>396</v>
      </c>
      <c r="AV472">
        <v>2017</v>
      </c>
      <c r="AW472" t="str">
        <f>"08-3N-24-2380-0201-0130 "</f>
        <v xml:space="preserve">08-3N-24-2380-0201-0130 </v>
      </c>
      <c r="AX472">
        <v>27426</v>
      </c>
      <c r="AY472" t="s">
        <v>4459</v>
      </c>
      <c r="AZ472" t="s">
        <v>5188</v>
      </c>
      <c r="BA472" t="s">
        <v>1122</v>
      </c>
      <c r="BD472" t="s">
        <v>398</v>
      </c>
      <c r="BE472" t="s">
        <v>393</v>
      </c>
      <c r="BF472">
        <v>32046</v>
      </c>
      <c r="BG472" t="s">
        <v>5189</v>
      </c>
      <c r="BH472" t="s">
        <v>400</v>
      </c>
      <c r="BI472">
        <v>-81.931967145268104</v>
      </c>
      <c r="BJ472">
        <v>30.694421965703899</v>
      </c>
      <c r="BK472" t="s">
        <v>5190</v>
      </c>
      <c r="BM472" t="s">
        <v>5191</v>
      </c>
      <c r="BN472" t="s">
        <v>403</v>
      </c>
      <c r="BO472">
        <v>32046</v>
      </c>
      <c r="BP472" t="s">
        <v>404</v>
      </c>
      <c r="BQ472">
        <v>200</v>
      </c>
      <c r="BR472" t="s">
        <v>405</v>
      </c>
      <c r="BS472">
        <v>1006</v>
      </c>
      <c r="BT472" t="s">
        <v>406</v>
      </c>
      <c r="BU472">
        <v>3000</v>
      </c>
      <c r="BV472">
        <v>1250</v>
      </c>
      <c r="BW472">
        <v>37500</v>
      </c>
      <c r="BX472" t="s">
        <v>407</v>
      </c>
      <c r="BY472" t="s">
        <v>4520</v>
      </c>
      <c r="BZ472">
        <v>4</v>
      </c>
      <c r="CA472">
        <v>1978</v>
      </c>
      <c r="CB472">
        <v>1</v>
      </c>
      <c r="CC472">
        <v>1</v>
      </c>
      <c r="CD472">
        <v>2017</v>
      </c>
      <c r="CE472">
        <v>40500</v>
      </c>
      <c r="CF472">
        <v>17915</v>
      </c>
      <c r="CG472">
        <v>58415</v>
      </c>
      <c r="CH472">
        <v>2017</v>
      </c>
      <c r="CI472">
        <v>40500</v>
      </c>
      <c r="CJ472">
        <v>17915</v>
      </c>
      <c r="CK472">
        <v>58415</v>
      </c>
      <c r="CL472">
        <v>2017</v>
      </c>
      <c r="CM472">
        <v>815.79</v>
      </c>
      <c r="DD472" t="s">
        <v>398</v>
      </c>
      <c r="DG472">
        <v>8</v>
      </c>
      <c r="DL472">
        <v>50400</v>
      </c>
      <c r="DM472" t="s">
        <v>4465</v>
      </c>
      <c r="DO472" t="s">
        <v>5192</v>
      </c>
      <c r="DP472">
        <v>0</v>
      </c>
      <c r="DQ472">
        <v>0</v>
      </c>
      <c r="DR472" t="s">
        <v>411</v>
      </c>
      <c r="DS472" t="b">
        <v>1</v>
      </c>
      <c r="DT472" t="s">
        <v>470</v>
      </c>
      <c r="DU472" t="s">
        <v>471</v>
      </c>
      <c r="DV472" t="s">
        <v>472</v>
      </c>
      <c r="DX472">
        <v>-9999</v>
      </c>
      <c r="DZ472" t="s">
        <v>447</v>
      </c>
      <c r="EA472" t="s">
        <v>448</v>
      </c>
      <c r="EB472" t="s">
        <v>1224</v>
      </c>
      <c r="EC472">
        <v>20101217</v>
      </c>
      <c r="ED472" t="s">
        <v>474</v>
      </c>
      <c r="EF472">
        <v>823.6</v>
      </c>
      <c r="EG472">
        <v>823.6</v>
      </c>
      <c r="EI472">
        <v>20160407</v>
      </c>
      <c r="EJ472">
        <v>0</v>
      </c>
      <c r="EK472">
        <v>0</v>
      </c>
      <c r="EP472" t="s">
        <v>421</v>
      </c>
      <c r="EQ472" t="s">
        <v>422</v>
      </c>
      <c r="ER472">
        <v>0</v>
      </c>
      <c r="ES472">
        <v>9</v>
      </c>
      <c r="ET472">
        <v>0</v>
      </c>
      <c r="EU472">
        <v>0</v>
      </c>
      <c r="EV472">
        <v>0</v>
      </c>
      <c r="EW472" s="2">
        <v>43222</v>
      </c>
      <c r="EX472" s="1">
        <v>42879</v>
      </c>
      <c r="EY472">
        <v>2016</v>
      </c>
      <c r="EZ472">
        <v>945.79</v>
      </c>
      <c r="FA472" t="s">
        <v>5193</v>
      </c>
      <c r="FB472">
        <v>0.25</v>
      </c>
      <c r="FC472" t="s">
        <v>424</v>
      </c>
      <c r="FD472" t="s">
        <v>425</v>
      </c>
      <c r="FE472" s="1">
        <v>43164</v>
      </c>
      <c r="FF472">
        <v>10</v>
      </c>
      <c r="FG472">
        <v>7400234</v>
      </c>
      <c r="FH472" t="s">
        <v>426</v>
      </c>
      <c r="FJ472" s="1">
        <v>42879</v>
      </c>
      <c r="FK472">
        <v>2016</v>
      </c>
      <c r="FL472">
        <v>945.79</v>
      </c>
      <c r="FM472" t="s">
        <v>5193</v>
      </c>
      <c r="FN472">
        <v>0.25</v>
      </c>
      <c r="FO472" t="s">
        <v>424</v>
      </c>
      <c r="FP472" t="s">
        <v>425</v>
      </c>
      <c r="FR472">
        <v>22</v>
      </c>
      <c r="FS472">
        <v>7552419</v>
      </c>
      <c r="FT472" t="s">
        <v>5194</v>
      </c>
      <c r="FV472" s="1">
        <v>42515</v>
      </c>
      <c r="FW472">
        <v>2015</v>
      </c>
      <c r="FX472">
        <v>934.12</v>
      </c>
      <c r="FY472" t="s">
        <v>5195</v>
      </c>
      <c r="FZ472">
        <v>0.25</v>
      </c>
      <c r="GA472" t="s">
        <v>424</v>
      </c>
      <c r="GB472" t="s">
        <v>425</v>
      </c>
      <c r="GC472" s="1">
        <v>42717</v>
      </c>
      <c r="GD472">
        <v>7</v>
      </c>
      <c r="GE472">
        <v>2851116</v>
      </c>
      <c r="GF472" t="s">
        <v>480</v>
      </c>
      <c r="GH472" s="1">
        <v>42515</v>
      </c>
      <c r="GI472">
        <v>2015</v>
      </c>
      <c r="GJ472">
        <v>934.12</v>
      </c>
      <c r="GK472" t="s">
        <v>5195</v>
      </c>
      <c r="GL472">
        <v>0.25</v>
      </c>
      <c r="GM472" t="s">
        <v>424</v>
      </c>
      <c r="GN472" t="s">
        <v>425</v>
      </c>
      <c r="GP472">
        <v>22</v>
      </c>
      <c r="GQ472">
        <v>4963088</v>
      </c>
      <c r="GR472" t="s">
        <v>5196</v>
      </c>
      <c r="GT472" s="1">
        <v>42151</v>
      </c>
      <c r="GU472">
        <v>2014</v>
      </c>
      <c r="GV472">
        <v>780.32</v>
      </c>
      <c r="GW472" t="s">
        <v>5197</v>
      </c>
      <c r="GX472">
        <v>0.25</v>
      </c>
      <c r="GY472" t="s">
        <v>424</v>
      </c>
      <c r="GZ472" t="s">
        <v>425</v>
      </c>
      <c r="HA472" s="1">
        <v>42279</v>
      </c>
      <c r="HB472">
        <v>5</v>
      </c>
      <c r="HC472">
        <v>2851116</v>
      </c>
      <c r="HD472" t="s">
        <v>480</v>
      </c>
      <c r="HF472" s="1">
        <v>42151</v>
      </c>
      <c r="HG472">
        <v>2014</v>
      </c>
      <c r="HH472">
        <v>780.32</v>
      </c>
      <c r="HI472" t="s">
        <v>5197</v>
      </c>
      <c r="HJ472">
        <v>0.25</v>
      </c>
      <c r="HK472" t="s">
        <v>424</v>
      </c>
      <c r="HL472" t="s">
        <v>425</v>
      </c>
      <c r="HN472">
        <v>22</v>
      </c>
      <c r="HO472">
        <v>4863309</v>
      </c>
      <c r="HP472" t="s">
        <v>5198</v>
      </c>
      <c r="HR472" s="1">
        <v>41787</v>
      </c>
      <c r="HS472">
        <v>2013</v>
      </c>
      <c r="HT472">
        <v>833.88</v>
      </c>
      <c r="HU472" t="s">
        <v>5199</v>
      </c>
      <c r="HV472">
        <v>0.25</v>
      </c>
      <c r="HW472" t="s">
        <v>424</v>
      </c>
      <c r="HX472" t="s">
        <v>425</v>
      </c>
      <c r="HY472" s="1">
        <v>41807</v>
      </c>
      <c r="HZ472">
        <v>1</v>
      </c>
      <c r="IA472">
        <v>2407503</v>
      </c>
      <c r="IB472" t="s">
        <v>461</v>
      </c>
      <c r="ID472" s="1">
        <v>41423</v>
      </c>
      <c r="IE472">
        <v>2012</v>
      </c>
      <c r="IF472">
        <v>438.76</v>
      </c>
      <c r="IG472" t="s">
        <v>5200</v>
      </c>
      <c r="IH472">
        <v>3.5</v>
      </c>
      <c r="II472" t="s">
        <v>424</v>
      </c>
      <c r="IJ472" t="s">
        <v>425</v>
      </c>
      <c r="IK472" s="1">
        <v>41478</v>
      </c>
      <c r="IL472">
        <v>2</v>
      </c>
      <c r="IM472">
        <v>15399</v>
      </c>
      <c r="IN472" t="s">
        <v>485</v>
      </c>
      <c r="IP472" s="1">
        <v>40688</v>
      </c>
      <c r="IQ472">
        <v>2010</v>
      </c>
      <c r="IR472">
        <v>541.14</v>
      </c>
      <c r="IS472" t="s">
        <v>5201</v>
      </c>
      <c r="IT472">
        <v>7</v>
      </c>
      <c r="IU472" t="s">
        <v>424</v>
      </c>
      <c r="IV472" t="s">
        <v>425</v>
      </c>
      <c r="IW472" s="1">
        <v>41008</v>
      </c>
      <c r="IX472">
        <v>11</v>
      </c>
      <c r="IY472">
        <v>62</v>
      </c>
      <c r="IZ472" t="s">
        <v>463</v>
      </c>
    </row>
    <row r="473" spans="1:272" x14ac:dyDescent="0.25">
      <c r="A473">
        <v>16485480</v>
      </c>
      <c r="B473">
        <v>472</v>
      </c>
      <c r="C473" t="s">
        <v>393</v>
      </c>
      <c r="D473" t="s">
        <v>394</v>
      </c>
      <c r="F473" t="str">
        <f>"08-3N-24-2380-0208-0040"</f>
        <v>08-3N-24-2380-0208-0040</v>
      </c>
      <c r="H473" t="str">
        <f>"KELLY JEAN VALERIE C/O MICHAEL KELLY"</f>
        <v>KELLY JEAN VALERIE C/O MICHAEL KELLY</v>
      </c>
      <c r="I473" t="str">
        <f>"1220 PARK AVE 7D"</f>
        <v>1220 PARK AVE 7D</v>
      </c>
      <c r="J473" t="str">
        <f>"NEW YORK NY 10128"</f>
        <v>NEW YORK NY 10128</v>
      </c>
      <c r="K473" t="str">
        <f>"12TH AV"</f>
        <v>12TH AV</v>
      </c>
      <c r="L473" t="str">
        <f t="shared" si="141"/>
        <v>HILLIARD FL 32046</v>
      </c>
      <c r="M473" t="str">
        <f>"BLOCK 208 LOT 4 TOWN OF HILLIARD"</f>
        <v>BLOCK 208 LOT 4 TOWN OF HILLIARD</v>
      </c>
      <c r="N473" t="str">
        <f>""</f>
        <v/>
      </c>
      <c r="O473" t="str">
        <f>"24119"</f>
        <v>24119</v>
      </c>
      <c r="P473" t="str">
        <f t="shared" si="137"/>
        <v>2017</v>
      </c>
      <c r="Q473" t="str">
        <f>""</f>
        <v/>
      </c>
      <c r="R473" t="str">
        <f t="shared" si="142"/>
        <v>N</v>
      </c>
      <c r="S473" t="str">
        <f>""</f>
        <v/>
      </c>
      <c r="T473" t="str">
        <f>"8.73"</f>
        <v>8.73</v>
      </c>
      <c r="U473" t="str">
        <f>"625.00"</f>
        <v>625.00</v>
      </c>
      <c r="V473" t="str">
        <f>"625.00"</f>
        <v>625.00</v>
      </c>
      <c r="W473" t="str">
        <f t="shared" si="138"/>
        <v>2017</v>
      </c>
      <c r="X473" t="str">
        <f>""</f>
        <v/>
      </c>
      <c r="Y473" t="str">
        <f>"40.99"</f>
        <v>40.99</v>
      </c>
      <c r="Z473" t="str">
        <f>""</f>
        <v/>
      </c>
      <c r="AA473" t="str">
        <f>"625.00"</f>
        <v>625.00</v>
      </c>
      <c r="AB473" t="str">
        <f t="shared" si="133"/>
        <v>Residential</v>
      </c>
      <c r="AC473" t="str">
        <f t="shared" si="139"/>
        <v>0</v>
      </c>
      <c r="AD473" t="str">
        <f>""</f>
        <v/>
      </c>
      <c r="AE473" t="str">
        <f>""</f>
        <v/>
      </c>
      <c r="AF473" t="str">
        <f>"000"</f>
        <v>000</v>
      </c>
      <c r="AG473" t="str">
        <f>"NY"</f>
        <v>NY</v>
      </c>
      <c r="AH473" t="str">
        <f>"3125.00"</f>
        <v>3125.00</v>
      </c>
      <c r="AI473" t="str">
        <f>"625.00"</f>
        <v>625.00</v>
      </c>
      <c r="AJ473" t="str">
        <f>"C55-000-586-8067-9"</f>
        <v>C55-000-586-8067-9</v>
      </c>
      <c r="AK473" t="str">
        <f>"6839"</f>
        <v>6839</v>
      </c>
      <c r="AL473">
        <v>2</v>
      </c>
      <c r="AM473">
        <v>545</v>
      </c>
      <c r="AN473">
        <v>41.44</v>
      </c>
      <c r="AQ473" t="s">
        <v>5202</v>
      </c>
      <c r="AR473" t="s">
        <v>5202</v>
      </c>
      <c r="AS473" t="s">
        <v>5202</v>
      </c>
      <c r="AU473" t="s">
        <v>396</v>
      </c>
      <c r="AV473">
        <v>2017</v>
      </c>
      <c r="AW473" t="str">
        <f>"08-3N-24-2380-0208-0040 "</f>
        <v xml:space="preserve">08-3N-24-2380-0208-0040 </v>
      </c>
      <c r="AZ473" t="s">
        <v>5203</v>
      </c>
      <c r="BA473" t="s">
        <v>1122</v>
      </c>
      <c r="BD473" t="s">
        <v>398</v>
      </c>
      <c r="BE473" t="s">
        <v>393</v>
      </c>
      <c r="BF473">
        <v>32046</v>
      </c>
      <c r="BG473" t="s">
        <v>5204</v>
      </c>
      <c r="BH473" t="s">
        <v>400</v>
      </c>
      <c r="BI473">
        <v>-81.938674378930202</v>
      </c>
      <c r="BJ473">
        <v>30.6955235450461</v>
      </c>
      <c r="BK473" t="s">
        <v>5205</v>
      </c>
      <c r="BL473" t="s">
        <v>5206</v>
      </c>
      <c r="BM473" t="s">
        <v>5207</v>
      </c>
      <c r="BN473" t="s">
        <v>5208</v>
      </c>
      <c r="BO473">
        <v>10128</v>
      </c>
      <c r="BP473" t="s">
        <v>404</v>
      </c>
      <c r="BQ473">
        <v>0</v>
      </c>
      <c r="BR473" t="s">
        <v>491</v>
      </c>
      <c r="BS473">
        <v>8001</v>
      </c>
      <c r="BT473" t="s">
        <v>492</v>
      </c>
      <c r="BU473">
        <v>250</v>
      </c>
      <c r="BV473">
        <v>1250</v>
      </c>
      <c r="BW473">
        <v>3155</v>
      </c>
      <c r="BX473" t="s">
        <v>407</v>
      </c>
      <c r="BY473" t="s">
        <v>4520</v>
      </c>
      <c r="CD473">
        <v>2017</v>
      </c>
      <c r="CE473">
        <v>625</v>
      </c>
      <c r="CG473">
        <v>625</v>
      </c>
      <c r="CH473">
        <v>2017</v>
      </c>
      <c r="CI473">
        <v>625</v>
      </c>
      <c r="CK473">
        <v>625</v>
      </c>
      <c r="CL473">
        <v>2017</v>
      </c>
      <c r="CM473">
        <v>8.73</v>
      </c>
      <c r="DD473" t="s">
        <v>398</v>
      </c>
      <c r="DF473">
        <v>4</v>
      </c>
      <c r="DG473">
        <v>8</v>
      </c>
      <c r="DL473">
        <v>50400</v>
      </c>
      <c r="DM473" t="s">
        <v>4465</v>
      </c>
      <c r="DO473" t="s">
        <v>5209</v>
      </c>
      <c r="DP473">
        <v>0</v>
      </c>
      <c r="DQ473">
        <v>0</v>
      </c>
      <c r="DR473" t="s">
        <v>411</v>
      </c>
      <c r="DS473" t="b">
        <v>1</v>
      </c>
      <c r="DT473" t="s">
        <v>470</v>
      </c>
      <c r="DU473" t="s">
        <v>471</v>
      </c>
      <c r="DV473" t="s">
        <v>472</v>
      </c>
      <c r="DX473">
        <v>-9999</v>
      </c>
      <c r="DZ473" t="s">
        <v>447</v>
      </c>
      <c r="EA473" t="s">
        <v>448</v>
      </c>
      <c r="EB473" t="s">
        <v>1224</v>
      </c>
      <c r="EC473">
        <v>20101217</v>
      </c>
      <c r="ED473" t="s">
        <v>474</v>
      </c>
      <c r="EF473">
        <v>1072.0999999999999</v>
      </c>
      <c r="EG473">
        <v>1072.0999999999999</v>
      </c>
      <c r="EI473">
        <v>20160407</v>
      </c>
      <c r="EJ473">
        <v>0</v>
      </c>
      <c r="EK473">
        <v>0</v>
      </c>
      <c r="EP473" t="s">
        <v>595</v>
      </c>
      <c r="EQ473" t="s">
        <v>422</v>
      </c>
      <c r="ER473">
        <v>7</v>
      </c>
      <c r="ES473">
        <v>0</v>
      </c>
      <c r="ET473">
        <v>238.18</v>
      </c>
      <c r="EU473">
        <v>181.39</v>
      </c>
      <c r="EV473">
        <v>419.57</v>
      </c>
      <c r="EW473" s="2">
        <v>43222</v>
      </c>
      <c r="EX473" s="1">
        <v>42879</v>
      </c>
      <c r="EY473">
        <v>2016</v>
      </c>
      <c r="EZ473">
        <v>36.6</v>
      </c>
      <c r="FA473" t="s">
        <v>5210</v>
      </c>
      <c r="FB473">
        <v>18</v>
      </c>
      <c r="FC473" t="s">
        <v>603</v>
      </c>
      <c r="FD473" t="s">
        <v>454</v>
      </c>
      <c r="FF473">
        <v>12</v>
      </c>
      <c r="FG473">
        <v>9999999</v>
      </c>
      <c r="FH473" t="s">
        <v>604</v>
      </c>
      <c r="FJ473" s="1">
        <v>42515</v>
      </c>
      <c r="FK473">
        <v>2015</v>
      </c>
      <c r="FL473">
        <v>31.86</v>
      </c>
      <c r="FM473" t="s">
        <v>5211</v>
      </c>
      <c r="FN473">
        <v>18</v>
      </c>
      <c r="FO473" t="s">
        <v>603</v>
      </c>
      <c r="FP473" t="s">
        <v>454</v>
      </c>
      <c r="FR473">
        <v>24</v>
      </c>
      <c r="FS473">
        <v>9999999</v>
      </c>
      <c r="FT473" t="s">
        <v>604</v>
      </c>
      <c r="FV473" s="1">
        <v>42151</v>
      </c>
      <c r="FW473">
        <v>2014</v>
      </c>
      <c r="FX473">
        <v>31.6</v>
      </c>
      <c r="FY473" t="s">
        <v>5212</v>
      </c>
      <c r="FZ473">
        <v>18</v>
      </c>
      <c r="GA473" t="s">
        <v>603</v>
      </c>
      <c r="GB473" t="s">
        <v>454</v>
      </c>
      <c r="GD473">
        <v>36</v>
      </c>
      <c r="GE473">
        <v>9999999</v>
      </c>
      <c r="GF473" t="s">
        <v>604</v>
      </c>
      <c r="GH473" s="1">
        <v>41787</v>
      </c>
      <c r="GI473">
        <v>2013</v>
      </c>
      <c r="GJ473">
        <v>30.6</v>
      </c>
      <c r="GK473" t="s">
        <v>5213</v>
      </c>
      <c r="GL473">
        <v>18</v>
      </c>
      <c r="GM473" t="s">
        <v>603</v>
      </c>
      <c r="GN473" t="s">
        <v>454</v>
      </c>
      <c r="GP473">
        <v>48</v>
      </c>
      <c r="GQ473">
        <v>9999999</v>
      </c>
      <c r="GR473" t="s">
        <v>604</v>
      </c>
      <c r="GT473" s="1">
        <v>41423</v>
      </c>
      <c r="GU473">
        <v>2012</v>
      </c>
      <c r="GV473">
        <v>30.72</v>
      </c>
      <c r="GW473" t="s">
        <v>5214</v>
      </c>
      <c r="GX473">
        <v>10</v>
      </c>
      <c r="GY473" t="s">
        <v>424</v>
      </c>
      <c r="GZ473" t="s">
        <v>454</v>
      </c>
      <c r="HB473">
        <v>60</v>
      </c>
      <c r="HC473">
        <v>375</v>
      </c>
      <c r="HD473" t="s">
        <v>776</v>
      </c>
      <c r="HF473" s="1">
        <v>41423</v>
      </c>
      <c r="HG473">
        <v>2012</v>
      </c>
      <c r="HH473">
        <v>30.72</v>
      </c>
      <c r="HI473" t="s">
        <v>5214</v>
      </c>
      <c r="HJ473">
        <v>10</v>
      </c>
      <c r="HK473" t="s">
        <v>424</v>
      </c>
      <c r="HL473" t="s">
        <v>454</v>
      </c>
      <c r="HN473">
        <v>60</v>
      </c>
      <c r="HO473">
        <v>105</v>
      </c>
      <c r="HP473" t="s">
        <v>946</v>
      </c>
      <c r="HR473" s="1">
        <v>41052</v>
      </c>
      <c r="HS473">
        <v>2011</v>
      </c>
      <c r="HT473">
        <v>46.08</v>
      </c>
      <c r="HU473" t="s">
        <v>5215</v>
      </c>
      <c r="HV473">
        <v>18</v>
      </c>
      <c r="HW473" t="s">
        <v>424</v>
      </c>
      <c r="HX473" t="s">
        <v>454</v>
      </c>
      <c r="HZ473">
        <v>72</v>
      </c>
      <c r="IA473">
        <v>10125</v>
      </c>
      <c r="IB473" t="s">
        <v>440</v>
      </c>
    </row>
    <row r="474" spans="1:272" x14ac:dyDescent="0.25">
      <c r="A474">
        <v>16485481</v>
      </c>
      <c r="B474">
        <v>473</v>
      </c>
      <c r="C474" t="s">
        <v>393</v>
      </c>
      <c r="D474" t="s">
        <v>394</v>
      </c>
      <c r="F474" t="str">
        <f>"08-3N-24-2380-0218-0010"</f>
        <v>08-3N-24-2380-0218-0010</v>
      </c>
      <c r="H474" t="str">
        <f>"SCAFF CHARLES R II"</f>
        <v>SCAFF CHARLES R II</v>
      </c>
      <c r="I474" t="str">
        <f>"27193 FOURTEENTH AVE W"</f>
        <v>27193 FOURTEENTH AVE W</v>
      </c>
      <c r="J474" t="str">
        <f t="shared" ref="J474:J488" si="144">"HILLIARD FL 32046"</f>
        <v>HILLIARD FL 32046</v>
      </c>
      <c r="K474" t="str">
        <f>"27193 FOURTEENTH AVE W"</f>
        <v>27193 FOURTEENTH AVE W</v>
      </c>
      <c r="L474" t="str">
        <f t="shared" si="141"/>
        <v>HILLIARD FL 32046</v>
      </c>
      <c r="M474" t="str">
        <f>"BLOCK 218 LOTS 1 TO 6 IN OR 2076/1115 TOWN OF HILLIARD"</f>
        <v>BLOCK 218 LOTS 1 TO 6 IN OR 2076/1115 TOWN OF HILLIARD</v>
      </c>
      <c r="N474" t="str">
        <f>""</f>
        <v/>
      </c>
      <c r="O474" t="str">
        <f>"24171"</f>
        <v>24171</v>
      </c>
      <c r="P474" t="str">
        <f t="shared" si="137"/>
        <v>2017</v>
      </c>
      <c r="Q474" t="str">
        <f>""</f>
        <v/>
      </c>
      <c r="R474" t="str">
        <f t="shared" si="142"/>
        <v>N</v>
      </c>
      <c r="S474" t="str">
        <f>""</f>
        <v/>
      </c>
      <c r="T474" t="str">
        <f>"1590.31"</f>
        <v>1590.31</v>
      </c>
      <c r="U474" t="str">
        <f>"113875.00"</f>
        <v>113875.00</v>
      </c>
      <c r="V474" t="str">
        <f>"113875.00"</f>
        <v>113875.00</v>
      </c>
      <c r="W474" t="str">
        <f t="shared" si="138"/>
        <v>2017</v>
      </c>
      <c r="X474" t="str">
        <f>"7.50"</f>
        <v>7.50</v>
      </c>
      <c r="Y474" t="str">
        <f>"1670.02"</f>
        <v>1670.02</v>
      </c>
      <c r="Z474" t="str">
        <f>""</f>
        <v/>
      </c>
      <c r="AA474" t="str">
        <f>"113875.00"</f>
        <v>113875.00</v>
      </c>
      <c r="AB474" t="str">
        <f t="shared" si="133"/>
        <v>Residential</v>
      </c>
      <c r="AC474" t="str">
        <f t="shared" si="139"/>
        <v>0</v>
      </c>
      <c r="AD474" t="str">
        <f>"4"</f>
        <v>4</v>
      </c>
      <c r="AE474" t="str">
        <f>"WOOD (INCLUDE STEEL STUDS)"</f>
        <v>WOOD (INCLUDE STEEL STUDS)</v>
      </c>
      <c r="AF474" t="str">
        <f>"001"</f>
        <v>001</v>
      </c>
      <c r="AG474" t="str">
        <f t="shared" ref="AG474:AG512" si="145">"FL"</f>
        <v>FL</v>
      </c>
      <c r="AH474" t="str">
        <f>"18750.00"</f>
        <v>18750.00</v>
      </c>
      <c r="AI474" t="str">
        <f>"22500.00"</f>
        <v>22500.00</v>
      </c>
      <c r="AJ474" t="str">
        <f>"C55-000-586-8098-4"</f>
        <v>C55-000-586-8098-4</v>
      </c>
      <c r="AK474" t="str">
        <f>"6880"</f>
        <v>6880</v>
      </c>
      <c r="AL474">
        <v>2</v>
      </c>
      <c r="AM474">
        <v>547</v>
      </c>
      <c r="AN474">
        <v>1751.92</v>
      </c>
      <c r="AQ474" t="s">
        <v>5216</v>
      </c>
      <c r="AR474" t="s">
        <v>5216</v>
      </c>
      <c r="AS474" t="s">
        <v>5216</v>
      </c>
      <c r="AU474" t="s">
        <v>396</v>
      </c>
      <c r="AV474">
        <v>2017</v>
      </c>
      <c r="AW474" t="str">
        <f>"08-3N-24-2380-0218-0010 "</f>
        <v xml:space="preserve">08-3N-24-2380-0218-0010 </v>
      </c>
      <c r="AX474">
        <v>27193</v>
      </c>
      <c r="AZ474" t="s">
        <v>5217</v>
      </c>
      <c r="BA474" t="s">
        <v>1112</v>
      </c>
      <c r="BB474" t="s">
        <v>4459</v>
      </c>
      <c r="BD474" t="s">
        <v>398</v>
      </c>
      <c r="BE474" t="s">
        <v>393</v>
      </c>
      <c r="BF474">
        <v>32046</v>
      </c>
      <c r="BG474" t="s">
        <v>5218</v>
      </c>
      <c r="BH474" t="s">
        <v>400</v>
      </c>
      <c r="BI474">
        <v>-81.936461528813197</v>
      </c>
      <c r="BJ474">
        <v>30.697450714277899</v>
      </c>
      <c r="BK474" t="s">
        <v>5219</v>
      </c>
      <c r="BM474" t="s">
        <v>5218</v>
      </c>
      <c r="BN474" t="s">
        <v>403</v>
      </c>
      <c r="BO474">
        <v>32046</v>
      </c>
      <c r="BP474" t="s">
        <v>416</v>
      </c>
      <c r="BQ474">
        <v>100</v>
      </c>
      <c r="BR474" t="s">
        <v>514</v>
      </c>
      <c r="BS474">
        <v>1001</v>
      </c>
      <c r="BT474" t="s">
        <v>515</v>
      </c>
      <c r="BU474">
        <v>1500</v>
      </c>
      <c r="BV474">
        <v>1250</v>
      </c>
      <c r="BW474">
        <v>18205</v>
      </c>
      <c r="BX474" t="s">
        <v>407</v>
      </c>
      <c r="BY474" t="s">
        <v>4520</v>
      </c>
      <c r="BZ474">
        <v>4</v>
      </c>
      <c r="CA474">
        <v>2001</v>
      </c>
      <c r="CB474">
        <v>1</v>
      </c>
      <c r="CC474">
        <v>1</v>
      </c>
      <c r="CD474">
        <v>2017</v>
      </c>
      <c r="CE474">
        <v>22500</v>
      </c>
      <c r="CF474">
        <v>91375</v>
      </c>
      <c r="CG474">
        <v>113875</v>
      </c>
      <c r="CH474">
        <v>2017</v>
      </c>
      <c r="CI474">
        <v>22500</v>
      </c>
      <c r="CJ474">
        <v>91375</v>
      </c>
      <c r="CK474">
        <v>113875</v>
      </c>
      <c r="CL474">
        <v>2017</v>
      </c>
      <c r="CM474">
        <v>1590.31</v>
      </c>
      <c r="CN474" s="1">
        <v>37033</v>
      </c>
      <c r="CO474">
        <v>75500</v>
      </c>
      <c r="CV474">
        <v>71706</v>
      </c>
      <c r="CZ474" s="1">
        <v>37033</v>
      </c>
      <c r="DA474">
        <v>0</v>
      </c>
      <c r="DD474" t="s">
        <v>398</v>
      </c>
      <c r="DG474">
        <v>8</v>
      </c>
      <c r="DL474">
        <v>50400</v>
      </c>
      <c r="DM474" t="s">
        <v>4465</v>
      </c>
      <c r="DO474" t="s">
        <v>5220</v>
      </c>
      <c r="DP474">
        <v>0</v>
      </c>
      <c r="DQ474">
        <v>0</v>
      </c>
      <c r="DR474" t="s">
        <v>411</v>
      </c>
      <c r="EP474" t="s">
        <v>421</v>
      </c>
      <c r="EQ474" t="s">
        <v>422</v>
      </c>
      <c r="ER474">
        <v>2</v>
      </c>
      <c r="ES474">
        <v>2</v>
      </c>
      <c r="ET474">
        <v>3406.12</v>
      </c>
      <c r="EU474">
        <v>182.81</v>
      </c>
      <c r="EV474">
        <v>3588.93</v>
      </c>
      <c r="EW474" s="2">
        <v>43222</v>
      </c>
      <c r="EX474" s="1">
        <v>42879</v>
      </c>
      <c r="EY474">
        <v>2016</v>
      </c>
      <c r="EZ474">
        <v>1703.06</v>
      </c>
      <c r="FA474" t="s">
        <v>5221</v>
      </c>
      <c r="FB474">
        <v>0.25</v>
      </c>
      <c r="FC474" t="s">
        <v>424</v>
      </c>
      <c r="FD474" t="s">
        <v>454</v>
      </c>
      <c r="FF474">
        <v>12</v>
      </c>
      <c r="FG474">
        <v>5857474</v>
      </c>
      <c r="FH474" t="s">
        <v>900</v>
      </c>
      <c r="FJ474" s="1">
        <v>42879</v>
      </c>
      <c r="FK474">
        <v>2016</v>
      </c>
      <c r="FL474">
        <v>1703.06</v>
      </c>
      <c r="FM474" t="s">
        <v>5221</v>
      </c>
      <c r="FN474">
        <v>0.25</v>
      </c>
      <c r="FO474" t="s">
        <v>424</v>
      </c>
      <c r="FP474" t="s">
        <v>454</v>
      </c>
      <c r="FR474">
        <v>12</v>
      </c>
      <c r="FS474">
        <v>6377307</v>
      </c>
      <c r="FT474" t="s">
        <v>5222</v>
      </c>
      <c r="FV474" s="1">
        <v>41787</v>
      </c>
      <c r="FW474">
        <v>2013</v>
      </c>
      <c r="FX474">
        <v>1387.38</v>
      </c>
      <c r="FY474" t="s">
        <v>5223</v>
      </c>
      <c r="FZ474">
        <v>0.25</v>
      </c>
      <c r="GA474" t="s">
        <v>424</v>
      </c>
      <c r="GB474" t="s">
        <v>425</v>
      </c>
      <c r="GC474" s="1">
        <v>41967</v>
      </c>
      <c r="GD474">
        <v>6</v>
      </c>
      <c r="GE474">
        <v>2101382</v>
      </c>
      <c r="GF474" t="s">
        <v>993</v>
      </c>
      <c r="GH474" s="1">
        <v>41423</v>
      </c>
      <c r="GI474">
        <v>2012</v>
      </c>
      <c r="GJ474">
        <v>1412.23</v>
      </c>
      <c r="GK474" t="s">
        <v>5224</v>
      </c>
      <c r="GL474">
        <v>0.25</v>
      </c>
      <c r="GM474" t="s">
        <v>424</v>
      </c>
      <c r="GN474" t="s">
        <v>425</v>
      </c>
      <c r="GO474" s="1">
        <v>41694</v>
      </c>
      <c r="GP474">
        <v>9</v>
      </c>
      <c r="GQ474">
        <v>15972</v>
      </c>
      <c r="GR474" t="s">
        <v>2572</v>
      </c>
    </row>
    <row r="475" spans="1:272" x14ac:dyDescent="0.25">
      <c r="A475">
        <v>16485482</v>
      </c>
      <c r="B475">
        <v>474</v>
      </c>
      <c r="C475" t="s">
        <v>393</v>
      </c>
      <c r="D475" t="s">
        <v>394</v>
      </c>
      <c r="F475" t="str">
        <f>"08-3N-24-2380-0219-0210"</f>
        <v>08-3N-24-2380-0219-0210</v>
      </c>
      <c r="H475" t="str">
        <f>"HESS JEANNIE"</f>
        <v>HESS JEANNIE</v>
      </c>
      <c r="I475" t="str">
        <f>"27730 KENTUCKY ST"</f>
        <v>27730 KENTUCKY ST</v>
      </c>
      <c r="J475" t="str">
        <f t="shared" si="144"/>
        <v>HILLIARD FL 32046</v>
      </c>
      <c r="K475" t="str">
        <f>"27730 KENTUCKY ST"</f>
        <v>27730 KENTUCKY ST</v>
      </c>
      <c r="L475" t="str">
        <f t="shared" si="141"/>
        <v>HILLIARD FL 32046</v>
      </c>
      <c r="M475" t="str">
        <f>"BLOCK 219 LOTS 21 THRU 24 &amp; LOTS 13 THRU 20 OR 683/64 &amp; OR 714/1207 &amp; OR 714/1207 &amp; OR 761/1469 &amp; OR 1555/439 {R622055 &amp; R622056 &amp; R622057} TOWN OF HILLIARD"</f>
        <v>BLOCK 219 LOTS 21 THRU 24 &amp; LOTS 13 THRU 20 OR 683/64 &amp; OR 714/1207 &amp; OR 714/1207 &amp; OR 761/1469 &amp; OR 1555/439 {R622055 &amp; R622056 &amp; R622057} TOWN OF HILLIARD</v>
      </c>
      <c r="N475" t="str">
        <f>""</f>
        <v/>
      </c>
      <c r="O475" t="str">
        <f>"24176"</f>
        <v>24176</v>
      </c>
      <c r="P475" t="str">
        <f t="shared" si="137"/>
        <v>2017</v>
      </c>
      <c r="Q475" t="str">
        <f>""</f>
        <v/>
      </c>
      <c r="R475" t="str">
        <f>"Y"</f>
        <v>Y</v>
      </c>
      <c r="S475" t="str">
        <f>""</f>
        <v/>
      </c>
      <c r="T475" t="str">
        <f>"249.41"</f>
        <v>249.41</v>
      </c>
      <c r="U475" t="str">
        <f>"43359.00"</f>
        <v>43359.00</v>
      </c>
      <c r="V475" t="str">
        <f>"43359.00"</f>
        <v>43359.00</v>
      </c>
      <c r="W475" t="str">
        <f t="shared" si="138"/>
        <v>2017</v>
      </c>
      <c r="X475" t="str">
        <f>"1.00"</f>
        <v>1.00</v>
      </c>
      <c r="Y475" t="str">
        <f>"288.89"</f>
        <v>288.89</v>
      </c>
      <c r="Z475" t="str">
        <f>"25500.00"</f>
        <v>25500.00</v>
      </c>
      <c r="AA475" t="str">
        <f>"17859.00"</f>
        <v>17859.00</v>
      </c>
      <c r="AB475" t="str">
        <f t="shared" si="133"/>
        <v>Residential</v>
      </c>
      <c r="AC475" t="str">
        <f t="shared" si="139"/>
        <v>0</v>
      </c>
      <c r="AD475" t="str">
        <f>"4"</f>
        <v>4</v>
      </c>
      <c r="AE475" t="str">
        <f>"WOOD (INCLUDE STEEL STUDS)"</f>
        <v>WOOD (INCLUDE STEEL STUDS)</v>
      </c>
      <c r="AF475" t="str">
        <f>"002"</f>
        <v>002</v>
      </c>
      <c r="AG475" t="str">
        <f t="shared" si="145"/>
        <v>FL</v>
      </c>
      <c r="AH475" t="str">
        <f>"37500.00"</f>
        <v>37500.00</v>
      </c>
      <c r="AI475" t="str">
        <f>"40500.00"</f>
        <v>40500.00</v>
      </c>
      <c r="AJ475" t="str">
        <f>"C55-000-586-8102-4"</f>
        <v>C55-000-586-8102-4</v>
      </c>
      <c r="AK475" t="str">
        <f>"6885"</f>
        <v>6885</v>
      </c>
      <c r="AL475">
        <v>2</v>
      </c>
      <c r="AM475">
        <v>548</v>
      </c>
      <c r="AN475">
        <v>301.73</v>
      </c>
      <c r="AQ475" t="s">
        <v>5225</v>
      </c>
      <c r="AR475" t="s">
        <v>5225</v>
      </c>
      <c r="AS475" t="s">
        <v>5225</v>
      </c>
      <c r="AU475" t="s">
        <v>396</v>
      </c>
      <c r="AV475">
        <v>2017</v>
      </c>
      <c r="AW475" t="str">
        <f>"08-3N-24-2380-0219-0210 "</f>
        <v xml:space="preserve">08-3N-24-2380-0219-0210 </v>
      </c>
      <c r="AX475">
        <v>27730</v>
      </c>
      <c r="AZ475" t="s">
        <v>5039</v>
      </c>
      <c r="BA475" t="s">
        <v>1942</v>
      </c>
      <c r="BD475" t="s">
        <v>398</v>
      </c>
      <c r="BE475" t="s">
        <v>393</v>
      </c>
      <c r="BF475">
        <v>32046</v>
      </c>
      <c r="BG475" t="s">
        <v>5226</v>
      </c>
      <c r="BH475" t="s">
        <v>400</v>
      </c>
      <c r="BI475">
        <v>-81.937818184965593</v>
      </c>
      <c r="BJ475">
        <v>30.696983969518801</v>
      </c>
      <c r="BK475" t="s">
        <v>5227</v>
      </c>
      <c r="BM475" t="s">
        <v>5226</v>
      </c>
      <c r="BN475" t="s">
        <v>403</v>
      </c>
      <c r="BO475">
        <v>32046</v>
      </c>
      <c r="BP475" t="s">
        <v>404</v>
      </c>
      <c r="BQ475">
        <v>200</v>
      </c>
      <c r="BR475" t="s">
        <v>405</v>
      </c>
      <c r="BS475">
        <v>1006</v>
      </c>
      <c r="BT475" t="s">
        <v>406</v>
      </c>
      <c r="BU475">
        <v>1000</v>
      </c>
      <c r="BV475">
        <v>1250</v>
      </c>
      <c r="BW475">
        <v>37500</v>
      </c>
      <c r="BX475" t="s">
        <v>407</v>
      </c>
      <c r="BY475" t="s">
        <v>4520</v>
      </c>
      <c r="BZ475">
        <v>4</v>
      </c>
      <c r="CA475">
        <v>1995</v>
      </c>
      <c r="CB475">
        <v>1</v>
      </c>
      <c r="CC475">
        <v>1</v>
      </c>
      <c r="CD475">
        <v>2017</v>
      </c>
      <c r="CG475">
        <v>43359</v>
      </c>
      <c r="CH475">
        <v>2017</v>
      </c>
      <c r="CI475">
        <v>40500</v>
      </c>
      <c r="CJ475">
        <v>44231</v>
      </c>
      <c r="CK475">
        <v>84731</v>
      </c>
      <c r="CL475">
        <v>2017</v>
      </c>
      <c r="CM475">
        <v>249.41</v>
      </c>
      <c r="CN475" s="1">
        <v>34137</v>
      </c>
      <c r="CO475">
        <v>5000</v>
      </c>
      <c r="CZ475" s="1">
        <v>34137</v>
      </c>
      <c r="DD475" t="s">
        <v>398</v>
      </c>
      <c r="DG475">
        <v>8</v>
      </c>
      <c r="DL475">
        <v>50400</v>
      </c>
      <c r="DM475" t="s">
        <v>4465</v>
      </c>
      <c r="DO475" t="s">
        <v>5228</v>
      </c>
      <c r="DP475">
        <v>0</v>
      </c>
      <c r="DQ475">
        <v>0</v>
      </c>
      <c r="DR475" t="s">
        <v>411</v>
      </c>
      <c r="DS475" t="b">
        <v>1</v>
      </c>
      <c r="DT475" t="s">
        <v>470</v>
      </c>
      <c r="DU475" t="s">
        <v>471</v>
      </c>
      <c r="DV475" t="s">
        <v>472</v>
      </c>
      <c r="DX475">
        <v>-9999</v>
      </c>
      <c r="DZ475" t="s">
        <v>447</v>
      </c>
      <c r="EA475" t="s">
        <v>448</v>
      </c>
      <c r="EB475" t="s">
        <v>1224</v>
      </c>
      <c r="EC475">
        <v>20101217</v>
      </c>
      <c r="ED475" t="s">
        <v>474</v>
      </c>
      <c r="EF475">
        <v>796.9</v>
      </c>
      <c r="EG475">
        <v>796.9</v>
      </c>
      <c r="EI475">
        <v>20160407</v>
      </c>
      <c r="EJ475">
        <v>0</v>
      </c>
      <c r="EK475">
        <v>0</v>
      </c>
      <c r="EP475" t="s">
        <v>421</v>
      </c>
      <c r="EQ475" t="s">
        <v>422</v>
      </c>
      <c r="ER475">
        <v>0</v>
      </c>
      <c r="ES475">
        <v>2</v>
      </c>
      <c r="ET475">
        <v>0</v>
      </c>
      <c r="EU475">
        <v>0</v>
      </c>
      <c r="EV475">
        <v>0</v>
      </c>
      <c r="EW475" s="2">
        <v>43222</v>
      </c>
      <c r="EX475" s="1">
        <v>42515</v>
      </c>
      <c r="EY475">
        <v>2015</v>
      </c>
      <c r="EZ475">
        <v>285.2</v>
      </c>
      <c r="FA475" t="s">
        <v>5229</v>
      </c>
      <c r="FB475">
        <v>0.25</v>
      </c>
      <c r="FC475" t="s">
        <v>424</v>
      </c>
      <c r="FD475" t="s">
        <v>425</v>
      </c>
      <c r="FE475" s="1">
        <v>42528</v>
      </c>
      <c r="FF475">
        <v>1</v>
      </c>
      <c r="FG475">
        <v>2851116</v>
      </c>
      <c r="FH475" t="s">
        <v>480</v>
      </c>
      <c r="FJ475" s="1">
        <v>42515</v>
      </c>
      <c r="FK475">
        <v>2015</v>
      </c>
      <c r="FL475">
        <v>285.2</v>
      </c>
      <c r="FM475" t="s">
        <v>5229</v>
      </c>
      <c r="FN475">
        <v>0.25</v>
      </c>
      <c r="FO475" t="s">
        <v>424</v>
      </c>
      <c r="FP475" t="s">
        <v>425</v>
      </c>
      <c r="FR475">
        <v>22</v>
      </c>
      <c r="FS475">
        <v>5707692</v>
      </c>
      <c r="FT475" t="s">
        <v>5230</v>
      </c>
    </row>
    <row r="476" spans="1:272" x14ac:dyDescent="0.25">
      <c r="A476">
        <v>16485483</v>
      </c>
      <c r="B476">
        <v>475</v>
      </c>
      <c r="C476" t="s">
        <v>393</v>
      </c>
      <c r="D476" t="s">
        <v>394</v>
      </c>
      <c r="F476" t="str">
        <f>"08-3N-24-2381-0001-0000"</f>
        <v>08-3N-24-2381-0001-0000</v>
      </c>
      <c r="H476" t="str">
        <f>"GUYNN GERALD J &amp; DAPHNE M"</f>
        <v>GUYNN GERALD J &amp; DAPHNE M</v>
      </c>
      <c r="I476" t="str">
        <f>"PO BOX 1344"</f>
        <v>PO BOX 1344</v>
      </c>
      <c r="J476" t="str">
        <f t="shared" si="144"/>
        <v>HILLIARD FL 32046</v>
      </c>
      <c r="K476" t="str">
        <f>"37059 PECAN ST"</f>
        <v>37059 PECAN ST</v>
      </c>
      <c r="L476" t="str">
        <f t="shared" si="141"/>
        <v>HILLIARD FL 32046</v>
      </c>
      <c r="M476" t="str">
        <f>"LOTS 1 &amp; 2 IN OR 1765/563 BUSINESS LOTS S/D OF TOWN OF HILLIARD PBK 1/28"</f>
        <v>LOTS 1 &amp; 2 IN OR 1765/563 BUSINESS LOTS S/D OF TOWN OF HILLIARD PBK 1/28</v>
      </c>
      <c r="N476" t="str">
        <f>""</f>
        <v/>
      </c>
      <c r="O476" t="str">
        <f>"24244"</f>
        <v>24244</v>
      </c>
      <c r="P476" t="str">
        <f t="shared" si="137"/>
        <v>2017</v>
      </c>
      <c r="Q476" t="str">
        <f>""</f>
        <v/>
      </c>
      <c r="R476" t="str">
        <f>"N"</f>
        <v>N</v>
      </c>
      <c r="S476" t="str">
        <f>""</f>
        <v/>
      </c>
      <c r="T476" t="str">
        <f>"661.99"</f>
        <v>661.99</v>
      </c>
      <c r="U476" t="str">
        <f>"47402.00"</f>
        <v>47402.00</v>
      </c>
      <c r="V476" t="str">
        <f>"47402.00"</f>
        <v>47402.00</v>
      </c>
      <c r="W476" t="str">
        <f t="shared" si="138"/>
        <v>2017</v>
      </c>
      <c r="X476" t="str">
        <f>"7.67"</f>
        <v>7.67</v>
      </c>
      <c r="Y476" t="str">
        <f>"713.85"</f>
        <v>713.85</v>
      </c>
      <c r="Z476" t="str">
        <f>""</f>
        <v/>
      </c>
      <c r="AA476" t="str">
        <f>"47402.00"</f>
        <v>47402.00</v>
      </c>
      <c r="AB476" t="str">
        <f>"Industrial"</f>
        <v>Industrial</v>
      </c>
      <c r="AC476" t="str">
        <f t="shared" si="139"/>
        <v>0</v>
      </c>
      <c r="AD476" t="str">
        <f>"4"</f>
        <v>4</v>
      </c>
      <c r="AE476" t="str">
        <f>"WOOD (INCLUDE STEEL STUDS)"</f>
        <v>WOOD (INCLUDE STEEL STUDS)</v>
      </c>
      <c r="AF476" t="str">
        <f>"048"</f>
        <v>048</v>
      </c>
      <c r="AG476" t="str">
        <f t="shared" si="145"/>
        <v>FL</v>
      </c>
      <c r="AH476" t="str">
        <f>"9360.00"</f>
        <v>9360.00</v>
      </c>
      <c r="AI476" t="str">
        <f>"14040.00"</f>
        <v>14040.00</v>
      </c>
      <c r="AJ476" t="str">
        <f>"C55-000-586-8144-6"</f>
        <v>C55-000-586-8144-6</v>
      </c>
      <c r="AK476" t="str">
        <f>"6951"</f>
        <v>6951</v>
      </c>
      <c r="AL476">
        <v>2</v>
      </c>
      <c r="AM476">
        <v>549</v>
      </c>
      <c r="AN476">
        <v>747.94</v>
      </c>
      <c r="AQ476" t="s">
        <v>5231</v>
      </c>
      <c r="AR476" t="s">
        <v>5231</v>
      </c>
      <c r="AS476" t="s">
        <v>5231</v>
      </c>
      <c r="AU476" t="s">
        <v>396</v>
      </c>
      <c r="AV476">
        <v>2017</v>
      </c>
      <c r="AW476" t="str">
        <f>"08-3N-24-2381-0001-0000 "</f>
        <v xml:space="preserve">08-3N-24-2381-0001-0000 </v>
      </c>
      <c r="AX476">
        <v>37059</v>
      </c>
      <c r="AZ476" t="s">
        <v>5232</v>
      </c>
      <c r="BA476" t="s">
        <v>1942</v>
      </c>
      <c r="BD476" t="s">
        <v>398</v>
      </c>
      <c r="BE476" t="s">
        <v>393</v>
      </c>
      <c r="BF476">
        <v>32046</v>
      </c>
      <c r="BG476" t="s">
        <v>4491</v>
      </c>
      <c r="BH476" t="s">
        <v>400</v>
      </c>
      <c r="BI476">
        <v>-81.918442949738505</v>
      </c>
      <c r="BJ476">
        <v>30.689299096631501</v>
      </c>
      <c r="BK476" t="s">
        <v>4472</v>
      </c>
      <c r="BM476" t="s">
        <v>4473</v>
      </c>
      <c r="BN476" t="s">
        <v>403</v>
      </c>
      <c r="BO476">
        <v>32046</v>
      </c>
      <c r="BP476" t="s">
        <v>404</v>
      </c>
      <c r="BQ476">
        <v>4800</v>
      </c>
      <c r="BR476" t="s">
        <v>4463</v>
      </c>
      <c r="BS476">
        <v>6002</v>
      </c>
      <c r="BT476" t="s">
        <v>4464</v>
      </c>
      <c r="BW476">
        <v>9601</v>
      </c>
      <c r="BX476" t="s">
        <v>407</v>
      </c>
      <c r="BZ476">
        <v>4</v>
      </c>
      <c r="CA476">
        <v>1950</v>
      </c>
      <c r="CB476">
        <v>1</v>
      </c>
      <c r="CD476">
        <v>2017</v>
      </c>
      <c r="CE476">
        <v>14040</v>
      </c>
      <c r="CF476">
        <v>33362</v>
      </c>
      <c r="CG476">
        <v>47402</v>
      </c>
      <c r="CH476">
        <v>2017</v>
      </c>
      <c r="CI476">
        <v>14040</v>
      </c>
      <c r="CJ476">
        <v>33362</v>
      </c>
      <c r="CK476">
        <v>47402</v>
      </c>
      <c r="CL476">
        <v>2017</v>
      </c>
      <c r="CM476">
        <v>661.99</v>
      </c>
      <c r="CN476" s="1">
        <v>40864</v>
      </c>
      <c r="CZ476" s="1">
        <v>40864</v>
      </c>
      <c r="DD476" t="s">
        <v>398</v>
      </c>
      <c r="DG476">
        <v>8</v>
      </c>
      <c r="DL476">
        <v>50400</v>
      </c>
      <c r="DM476" t="s">
        <v>4465</v>
      </c>
      <c r="DO476" t="s">
        <v>5233</v>
      </c>
      <c r="DP476">
        <v>0</v>
      </c>
      <c r="DQ476">
        <v>2</v>
      </c>
      <c r="DR476" t="s">
        <v>1479</v>
      </c>
      <c r="DS476" t="b">
        <v>1</v>
      </c>
      <c r="DT476" t="s">
        <v>470</v>
      </c>
      <c r="DU476" t="s">
        <v>471</v>
      </c>
      <c r="DV476" t="s">
        <v>472</v>
      </c>
      <c r="DX476">
        <v>-9999</v>
      </c>
      <c r="DZ476" t="s">
        <v>447</v>
      </c>
      <c r="EA476" t="s">
        <v>448</v>
      </c>
      <c r="EB476" t="s">
        <v>1224</v>
      </c>
      <c r="EC476">
        <v>20101217</v>
      </c>
      <c r="ED476" t="s">
        <v>474</v>
      </c>
      <c r="EF476">
        <v>1135.2</v>
      </c>
      <c r="EG476">
        <v>1135.2</v>
      </c>
      <c r="EI476">
        <v>20160407</v>
      </c>
      <c r="EJ476">
        <v>0</v>
      </c>
      <c r="EK476">
        <v>0</v>
      </c>
      <c r="EP476" t="s">
        <v>421</v>
      </c>
      <c r="EQ476" t="s">
        <v>422</v>
      </c>
      <c r="ER476">
        <v>0</v>
      </c>
      <c r="ES476">
        <v>5</v>
      </c>
      <c r="ET476">
        <v>0</v>
      </c>
      <c r="EU476">
        <v>0</v>
      </c>
      <c r="EV476">
        <v>0</v>
      </c>
      <c r="EW476" s="2">
        <v>43222</v>
      </c>
      <c r="EX476" s="1">
        <v>42515</v>
      </c>
      <c r="EY476">
        <v>2015</v>
      </c>
      <c r="EZ476">
        <v>742.72</v>
      </c>
      <c r="FA476" t="s">
        <v>5234</v>
      </c>
      <c r="FB476">
        <v>0.25</v>
      </c>
      <c r="FC476" t="s">
        <v>424</v>
      </c>
      <c r="FD476" t="s">
        <v>425</v>
      </c>
      <c r="FE476" s="1">
        <v>42876</v>
      </c>
      <c r="FF476">
        <v>12</v>
      </c>
      <c r="FG476">
        <v>2851116</v>
      </c>
      <c r="FH476" t="s">
        <v>480</v>
      </c>
      <c r="FJ476" s="1">
        <v>42515</v>
      </c>
      <c r="FK476">
        <v>2015</v>
      </c>
      <c r="FL476">
        <v>742.72</v>
      </c>
      <c r="FM476" t="s">
        <v>5234</v>
      </c>
      <c r="FN476">
        <v>0.25</v>
      </c>
      <c r="FO476" t="s">
        <v>424</v>
      </c>
      <c r="FP476" t="s">
        <v>425</v>
      </c>
      <c r="FR476">
        <v>22</v>
      </c>
      <c r="FS476">
        <v>5321645</v>
      </c>
      <c r="FT476" t="s">
        <v>5235</v>
      </c>
      <c r="FV476" s="1">
        <v>42151</v>
      </c>
      <c r="FW476">
        <v>2014</v>
      </c>
      <c r="FX476">
        <v>756.58</v>
      </c>
      <c r="FY476" t="s">
        <v>5236</v>
      </c>
      <c r="FZ476">
        <v>0.25</v>
      </c>
      <c r="GA476" t="s">
        <v>424</v>
      </c>
      <c r="GB476" t="s">
        <v>425</v>
      </c>
      <c r="GC476" s="1">
        <v>42436</v>
      </c>
      <c r="GD476">
        <v>10</v>
      </c>
      <c r="GE476">
        <v>2851116</v>
      </c>
      <c r="GF476" t="s">
        <v>480</v>
      </c>
      <c r="GH476" s="1">
        <v>42151</v>
      </c>
      <c r="GI476">
        <v>2014</v>
      </c>
      <c r="GJ476">
        <v>756.58</v>
      </c>
      <c r="GK476" t="s">
        <v>5236</v>
      </c>
      <c r="GL476">
        <v>0.25</v>
      </c>
      <c r="GM476" t="s">
        <v>424</v>
      </c>
      <c r="GN476" t="s">
        <v>425</v>
      </c>
      <c r="GP476">
        <v>22</v>
      </c>
      <c r="GQ476">
        <v>4867464</v>
      </c>
      <c r="GR476" t="s">
        <v>5237</v>
      </c>
      <c r="GT476" s="1">
        <v>41423</v>
      </c>
      <c r="GU476">
        <v>2012</v>
      </c>
      <c r="GV476">
        <v>718.59</v>
      </c>
      <c r="GW476" t="s">
        <v>5238</v>
      </c>
      <c r="GX476">
        <v>3.5</v>
      </c>
      <c r="GY476" t="s">
        <v>424</v>
      </c>
      <c r="GZ476" t="s">
        <v>425</v>
      </c>
      <c r="HA476" s="1">
        <v>41449</v>
      </c>
      <c r="HB476">
        <v>1</v>
      </c>
      <c r="HC476">
        <v>1625515</v>
      </c>
      <c r="HD476" t="s">
        <v>487</v>
      </c>
    </row>
    <row r="477" spans="1:272" x14ac:dyDescent="0.25">
      <c r="A477">
        <v>16485484</v>
      </c>
      <c r="B477">
        <v>476</v>
      </c>
      <c r="C477" t="s">
        <v>393</v>
      </c>
      <c r="D477" t="s">
        <v>394</v>
      </c>
      <c r="F477" t="str">
        <f>"08-3N-24-2381-0003-0000"</f>
        <v>08-3N-24-2381-0003-0000</v>
      </c>
      <c r="H477" t="str">
        <f>"GUYNN GERALD J &amp; DAPHNE M"</f>
        <v>GUYNN GERALD J &amp; DAPHNE M</v>
      </c>
      <c r="I477" t="str">
        <f>"PO BOX 1344"</f>
        <v>PO BOX 1344</v>
      </c>
      <c r="J477" t="str">
        <f t="shared" si="144"/>
        <v>HILLIARD FL 32046</v>
      </c>
      <c r="K477" t="str">
        <f>"37085 PECAN ST"</f>
        <v>37085 PECAN ST</v>
      </c>
      <c r="L477" t="str">
        <f t="shared" si="141"/>
        <v>HILLIARD FL 32046</v>
      </c>
      <c r="M477" t="str">
        <f>"LOT 3 IN OR 1765/564 BUSINESS LOTS S/D OF TOWN OF HILLIARD PBK 1/28"</f>
        <v>LOT 3 IN OR 1765/564 BUSINESS LOTS S/D OF TOWN OF HILLIARD PBK 1/28</v>
      </c>
      <c r="N477" t="str">
        <f>""</f>
        <v/>
      </c>
      <c r="O477" t="str">
        <f>"24245"</f>
        <v>24245</v>
      </c>
      <c r="P477" t="str">
        <f t="shared" si="137"/>
        <v>2017</v>
      </c>
      <c r="Q477" t="str">
        <f>""</f>
        <v/>
      </c>
      <c r="R477" t="str">
        <f>"N"</f>
        <v>N</v>
      </c>
      <c r="S477" t="str">
        <f>""</f>
        <v/>
      </c>
      <c r="T477" t="str">
        <f>"393.38"</f>
        <v>393.38</v>
      </c>
      <c r="U477" t="str">
        <f>"19989.00"</f>
        <v>19989.00</v>
      </c>
      <c r="V477" t="str">
        <f>"19989.00"</f>
        <v>19989.00</v>
      </c>
      <c r="W477" t="str">
        <f t="shared" si="138"/>
        <v>2017</v>
      </c>
      <c r="X477" t="str">
        <f>"11.33"</f>
        <v>11.33</v>
      </c>
      <c r="Y477" t="str">
        <f>"437.18"</f>
        <v>437.18</v>
      </c>
      <c r="Z477" t="str">
        <f>""</f>
        <v/>
      </c>
      <c r="AA477" t="str">
        <f>"37301.00"</f>
        <v>37301.00</v>
      </c>
      <c r="AB477" t="str">
        <f t="shared" ref="AB477:AB492" si="146">"Residential"</f>
        <v>Residential</v>
      </c>
      <c r="AC477" t="str">
        <f t="shared" si="139"/>
        <v>0</v>
      </c>
      <c r="AD477" t="str">
        <f>"4"</f>
        <v>4</v>
      </c>
      <c r="AE477" t="str">
        <f>"WOOD (INCLUDE STEEL STUDS)"</f>
        <v>WOOD (INCLUDE STEEL STUDS)</v>
      </c>
      <c r="AF477" t="str">
        <f>"001"</f>
        <v>001</v>
      </c>
      <c r="AG477" t="str">
        <f t="shared" si="145"/>
        <v>FL</v>
      </c>
      <c r="AH477" t="str">
        <f>"4800.00"</f>
        <v>4800.00</v>
      </c>
      <c r="AI477" t="str">
        <f>"9600.00"</f>
        <v>9600.00</v>
      </c>
      <c r="AJ477" t="str">
        <f>"C55-000-586-8145-3"</f>
        <v>C55-000-586-8145-3</v>
      </c>
      <c r="AK477" t="str">
        <f>"6952"</f>
        <v>6952</v>
      </c>
      <c r="AL477">
        <v>2</v>
      </c>
      <c r="AM477">
        <v>550</v>
      </c>
      <c r="AN477">
        <v>457.44</v>
      </c>
      <c r="AQ477" t="s">
        <v>5239</v>
      </c>
      <c r="AR477" t="s">
        <v>5239</v>
      </c>
      <c r="AS477" t="s">
        <v>5239</v>
      </c>
      <c r="AU477" t="s">
        <v>396</v>
      </c>
      <c r="AV477">
        <v>2017</v>
      </c>
      <c r="AW477" t="str">
        <f>"08-3N-24-2381-0003-0000 "</f>
        <v xml:space="preserve">08-3N-24-2381-0003-0000 </v>
      </c>
      <c r="AX477">
        <v>37085</v>
      </c>
      <c r="AZ477" t="s">
        <v>5232</v>
      </c>
      <c r="BA477" t="s">
        <v>1942</v>
      </c>
      <c r="BD477" t="s">
        <v>398</v>
      </c>
      <c r="BE477" t="s">
        <v>393</v>
      </c>
      <c r="BF477">
        <v>32046</v>
      </c>
      <c r="BG477" t="s">
        <v>5240</v>
      </c>
      <c r="BH477" t="s">
        <v>400</v>
      </c>
      <c r="BI477">
        <v>-81.918591003956294</v>
      </c>
      <c r="BJ477">
        <v>30.689510874240199</v>
      </c>
      <c r="BK477" t="s">
        <v>4472</v>
      </c>
      <c r="BM477" t="s">
        <v>4473</v>
      </c>
      <c r="BN477" t="s">
        <v>403</v>
      </c>
      <c r="BO477">
        <v>32046</v>
      </c>
      <c r="BP477" t="s">
        <v>404</v>
      </c>
      <c r="BQ477">
        <v>100</v>
      </c>
      <c r="BR477" t="s">
        <v>514</v>
      </c>
      <c r="BS477">
        <v>1001</v>
      </c>
      <c r="BT477" t="s">
        <v>515</v>
      </c>
      <c r="BW477">
        <v>4800</v>
      </c>
      <c r="BX477" t="s">
        <v>407</v>
      </c>
      <c r="BY477" t="s">
        <v>4244</v>
      </c>
      <c r="BZ477">
        <v>4</v>
      </c>
      <c r="CA477">
        <v>1948</v>
      </c>
      <c r="CB477">
        <v>1</v>
      </c>
      <c r="CC477">
        <v>1</v>
      </c>
      <c r="CD477">
        <v>2017</v>
      </c>
      <c r="CE477">
        <v>9600</v>
      </c>
      <c r="CF477">
        <v>27701</v>
      </c>
      <c r="CG477">
        <v>37301</v>
      </c>
      <c r="CH477">
        <v>2017</v>
      </c>
      <c r="CI477">
        <v>9600</v>
      </c>
      <c r="CJ477">
        <v>27701</v>
      </c>
      <c r="CK477">
        <v>37301</v>
      </c>
      <c r="CL477">
        <v>2017</v>
      </c>
      <c r="CM477">
        <v>393.38</v>
      </c>
      <c r="CN477" s="1">
        <v>40864</v>
      </c>
      <c r="CZ477" s="1">
        <v>40864</v>
      </c>
      <c r="DD477" t="s">
        <v>398</v>
      </c>
      <c r="DF477">
        <v>3</v>
      </c>
      <c r="DG477">
        <v>8</v>
      </c>
      <c r="DL477">
        <v>50400</v>
      </c>
      <c r="DM477" t="s">
        <v>4465</v>
      </c>
      <c r="DO477" t="s">
        <v>5241</v>
      </c>
      <c r="DP477">
        <v>0</v>
      </c>
      <c r="DQ477">
        <v>2</v>
      </c>
      <c r="DR477" t="s">
        <v>1479</v>
      </c>
      <c r="DS477" t="b">
        <v>1</v>
      </c>
      <c r="DT477" t="s">
        <v>470</v>
      </c>
      <c r="DU477" t="s">
        <v>471</v>
      </c>
      <c r="DV477" t="s">
        <v>472</v>
      </c>
      <c r="DX477">
        <v>-9999</v>
      </c>
      <c r="DZ477" t="s">
        <v>447</v>
      </c>
      <c r="EA477" t="s">
        <v>448</v>
      </c>
      <c r="EB477" t="s">
        <v>1224</v>
      </c>
      <c r="EC477">
        <v>20101217</v>
      </c>
      <c r="ED477" t="s">
        <v>474</v>
      </c>
      <c r="EF477">
        <v>1045.5</v>
      </c>
      <c r="EG477">
        <v>1045.5</v>
      </c>
      <c r="EI477">
        <v>20160407</v>
      </c>
      <c r="EJ477">
        <v>0</v>
      </c>
      <c r="EK477">
        <v>0</v>
      </c>
      <c r="EP477" t="s">
        <v>421</v>
      </c>
      <c r="EQ477" t="s">
        <v>422</v>
      </c>
      <c r="ER477">
        <v>0</v>
      </c>
      <c r="ES477">
        <v>5</v>
      </c>
      <c r="ET477">
        <v>0</v>
      </c>
      <c r="EU477">
        <v>0</v>
      </c>
      <c r="EV477">
        <v>0</v>
      </c>
      <c r="EW477" s="2">
        <v>43222</v>
      </c>
      <c r="EX477" s="1">
        <v>42515</v>
      </c>
      <c r="EY477">
        <v>2015</v>
      </c>
      <c r="EZ477">
        <v>410.77</v>
      </c>
      <c r="FA477" t="s">
        <v>5242</v>
      </c>
      <c r="FB477">
        <v>0.25</v>
      </c>
      <c r="FC477" t="s">
        <v>424</v>
      </c>
      <c r="FD477" t="s">
        <v>425</v>
      </c>
      <c r="FE477" s="1">
        <v>42868</v>
      </c>
      <c r="FF477">
        <v>12</v>
      </c>
      <c r="FG477">
        <v>11289</v>
      </c>
      <c r="FH477" t="s">
        <v>787</v>
      </c>
      <c r="FJ477" s="1">
        <v>42515</v>
      </c>
      <c r="FK477">
        <v>2015</v>
      </c>
      <c r="FL477">
        <v>410.77</v>
      </c>
      <c r="FM477" t="s">
        <v>5242</v>
      </c>
      <c r="FN477">
        <v>0.25</v>
      </c>
      <c r="FO477" t="s">
        <v>424</v>
      </c>
      <c r="FP477" t="s">
        <v>425</v>
      </c>
      <c r="FR477">
        <v>22</v>
      </c>
      <c r="FS477">
        <v>5178776</v>
      </c>
      <c r="FT477" t="s">
        <v>5243</v>
      </c>
      <c r="FV477" s="1">
        <v>42151</v>
      </c>
      <c r="FW477">
        <v>2014</v>
      </c>
      <c r="FX477">
        <v>417.25</v>
      </c>
      <c r="FY477" t="s">
        <v>5244</v>
      </c>
      <c r="FZ477">
        <v>4.75</v>
      </c>
      <c r="GA477" t="s">
        <v>424</v>
      </c>
      <c r="GB477" t="s">
        <v>425</v>
      </c>
      <c r="GC477" s="1">
        <v>42436</v>
      </c>
      <c r="GD477">
        <v>10</v>
      </c>
      <c r="GE477">
        <v>4975593</v>
      </c>
      <c r="GF477" t="s">
        <v>505</v>
      </c>
      <c r="GH477" s="1">
        <v>41423</v>
      </c>
      <c r="GI477">
        <v>2012</v>
      </c>
      <c r="GJ477">
        <v>228.28</v>
      </c>
      <c r="GK477" t="s">
        <v>5245</v>
      </c>
      <c r="GL477">
        <v>5.75</v>
      </c>
      <c r="GM477" t="s">
        <v>424</v>
      </c>
      <c r="GN477" t="s">
        <v>425</v>
      </c>
      <c r="GO477" s="1">
        <v>41778</v>
      </c>
      <c r="GP477">
        <v>12</v>
      </c>
      <c r="GQ477">
        <v>1127</v>
      </c>
      <c r="GR477" t="s">
        <v>1379</v>
      </c>
      <c r="GT477" s="1">
        <v>41423</v>
      </c>
      <c r="GU477">
        <v>2012</v>
      </c>
      <c r="GV477">
        <v>228.28</v>
      </c>
      <c r="GW477" t="s">
        <v>5245</v>
      </c>
      <c r="GX477">
        <v>5.75</v>
      </c>
      <c r="GY477" t="s">
        <v>424</v>
      </c>
      <c r="GZ477" t="s">
        <v>425</v>
      </c>
      <c r="HB477">
        <v>22</v>
      </c>
      <c r="HC477">
        <v>2035919</v>
      </c>
      <c r="HD477" t="s">
        <v>507</v>
      </c>
    </row>
    <row r="478" spans="1:272" x14ac:dyDescent="0.25">
      <c r="A478">
        <v>16485485</v>
      </c>
      <c r="B478">
        <v>477</v>
      </c>
      <c r="C478" t="s">
        <v>393</v>
      </c>
      <c r="D478" t="s">
        <v>394</v>
      </c>
      <c r="F478" t="str">
        <f>"08-3N-24-2420-000E-0140"</f>
        <v>08-3N-24-2420-000E-0140</v>
      </c>
      <c r="H478" t="str">
        <f>"SAMPSON JAMES A &amp; STACY LEIGH"</f>
        <v>SAMPSON JAMES A &amp; STACY LEIGH</v>
      </c>
      <c r="I478" t="str">
        <f>"37207 CYPRESS STREET"</f>
        <v>37207 CYPRESS STREET</v>
      </c>
      <c r="J478" t="str">
        <f t="shared" si="144"/>
        <v>HILLIARD FL 32046</v>
      </c>
      <c r="K478" t="str">
        <f>"2406 CYPRESS ST"</f>
        <v>2406 CYPRESS ST</v>
      </c>
      <c r="L478" t="str">
        <f t="shared" si="141"/>
        <v>HILLIARD FL 32046</v>
      </c>
      <c r="M478" t="str">
        <f>"LOT 14 IN OR 847/1403 DELLA WARE HEIGHTS SUB PB 3/60"</f>
        <v>LOT 14 IN OR 847/1403 DELLA WARE HEIGHTS SUB PB 3/60</v>
      </c>
      <c r="N478" t="str">
        <f>""</f>
        <v/>
      </c>
      <c r="O478" t="str">
        <f>"24265"</f>
        <v>24265</v>
      </c>
      <c r="P478" t="str">
        <f t="shared" si="137"/>
        <v>2017</v>
      </c>
      <c r="Q478" t="str">
        <f>""</f>
        <v/>
      </c>
      <c r="R478" t="str">
        <f>"N"</f>
        <v>N</v>
      </c>
      <c r="S478" t="str">
        <f>""</f>
        <v/>
      </c>
      <c r="T478" t="str">
        <f>"114.37"</f>
        <v>114.37</v>
      </c>
      <c r="U478" t="str">
        <f>"8190.00"</f>
        <v>8190.00</v>
      </c>
      <c r="V478" t="str">
        <f>"8190.00"</f>
        <v>8190.00</v>
      </c>
      <c r="W478" t="str">
        <f t="shared" si="138"/>
        <v>2017</v>
      </c>
      <c r="X478" t="str">
        <f>"15.50"</f>
        <v>15.50</v>
      </c>
      <c r="Y478" t="str">
        <f>"149.80"</f>
        <v>149.80</v>
      </c>
      <c r="Z478" t="str">
        <f>""</f>
        <v/>
      </c>
      <c r="AA478" t="str">
        <f>"8190.00"</f>
        <v>8190.00</v>
      </c>
      <c r="AB478" t="str">
        <f t="shared" si="146"/>
        <v>Residential</v>
      </c>
      <c r="AC478" t="str">
        <f t="shared" si="139"/>
        <v>0</v>
      </c>
      <c r="AD478" t="str">
        <f>""</f>
        <v/>
      </c>
      <c r="AE478" t="str">
        <f>""</f>
        <v/>
      </c>
      <c r="AF478" t="str">
        <f>"000"</f>
        <v>000</v>
      </c>
      <c r="AG478" t="str">
        <f t="shared" si="145"/>
        <v>FL</v>
      </c>
      <c r="AH478" t="str">
        <f>"6000.00"</f>
        <v>6000.00</v>
      </c>
      <c r="AI478" t="str">
        <f>"8190.00"</f>
        <v>8190.00</v>
      </c>
      <c r="AJ478" t="str">
        <f>"C55-000-586-8161-0"</f>
        <v>C55-000-586-8161-0</v>
      </c>
      <c r="AK478" t="str">
        <f>"6964"</f>
        <v>6964</v>
      </c>
      <c r="AL478">
        <v>2</v>
      </c>
      <c r="AM478">
        <v>551</v>
      </c>
      <c r="AN478">
        <v>155.69</v>
      </c>
      <c r="AQ478" t="s">
        <v>5246</v>
      </c>
      <c r="AR478" t="s">
        <v>5246</v>
      </c>
      <c r="AS478" t="s">
        <v>5246</v>
      </c>
      <c r="AU478" t="s">
        <v>396</v>
      </c>
      <c r="AV478">
        <v>2017</v>
      </c>
      <c r="AW478" t="str">
        <f>"08-3N-24-2420-000E-0140 "</f>
        <v xml:space="preserve">08-3N-24-2420-000E-0140 </v>
      </c>
      <c r="AX478">
        <v>2406</v>
      </c>
      <c r="AZ478" t="s">
        <v>5247</v>
      </c>
      <c r="BA478" t="s">
        <v>1942</v>
      </c>
      <c r="BD478" t="s">
        <v>398</v>
      </c>
      <c r="BE478" t="s">
        <v>393</v>
      </c>
      <c r="BF478">
        <v>32046</v>
      </c>
      <c r="BG478" t="s">
        <v>5248</v>
      </c>
      <c r="BH478" t="s">
        <v>400</v>
      </c>
      <c r="BI478">
        <v>-81.9253666173027</v>
      </c>
      <c r="BJ478">
        <v>30.6879536669516</v>
      </c>
      <c r="BK478" t="s">
        <v>5249</v>
      </c>
      <c r="BL478" t="s">
        <v>5250</v>
      </c>
      <c r="BM478" t="s">
        <v>5251</v>
      </c>
      <c r="BN478" t="s">
        <v>403</v>
      </c>
      <c r="BO478">
        <v>32046</v>
      </c>
      <c r="BP478" t="s">
        <v>404</v>
      </c>
      <c r="BQ478">
        <v>0</v>
      </c>
      <c r="BR478" t="s">
        <v>491</v>
      </c>
      <c r="BS478">
        <v>8001</v>
      </c>
      <c r="BT478" t="s">
        <v>492</v>
      </c>
      <c r="BU478">
        <v>600</v>
      </c>
      <c r="BV478">
        <v>1000</v>
      </c>
      <c r="BW478">
        <v>6000</v>
      </c>
      <c r="BX478" t="s">
        <v>407</v>
      </c>
      <c r="BY478" t="s">
        <v>4520</v>
      </c>
      <c r="CD478">
        <v>2017</v>
      </c>
      <c r="CE478">
        <v>8190</v>
      </c>
      <c r="CG478">
        <v>8190</v>
      </c>
      <c r="CH478">
        <v>2017</v>
      </c>
      <c r="CI478">
        <v>8190</v>
      </c>
      <c r="CK478">
        <v>8190</v>
      </c>
      <c r="CL478">
        <v>2017</v>
      </c>
      <c r="CM478">
        <v>114.37</v>
      </c>
      <c r="CN478" s="1">
        <v>36046</v>
      </c>
      <c r="CO478">
        <v>5500</v>
      </c>
      <c r="CZ478" s="1">
        <v>36046</v>
      </c>
      <c r="DD478" t="s">
        <v>398</v>
      </c>
      <c r="DF478">
        <v>14</v>
      </c>
      <c r="DG478">
        <v>8</v>
      </c>
      <c r="DJ478" t="s">
        <v>5252</v>
      </c>
      <c r="DL478">
        <v>50504</v>
      </c>
      <c r="DM478" t="s">
        <v>4465</v>
      </c>
      <c r="DO478" t="s">
        <v>5253</v>
      </c>
      <c r="DP478">
        <v>0</v>
      </c>
      <c r="DQ478">
        <v>0</v>
      </c>
      <c r="DR478" t="s">
        <v>411</v>
      </c>
      <c r="DS478" t="b">
        <v>1</v>
      </c>
      <c r="DT478" t="s">
        <v>470</v>
      </c>
      <c r="DU478" t="s">
        <v>471</v>
      </c>
      <c r="DV478" t="s">
        <v>472</v>
      </c>
      <c r="DX478">
        <v>-9999</v>
      </c>
      <c r="DZ478" t="s">
        <v>447</v>
      </c>
      <c r="EA478" t="s">
        <v>448</v>
      </c>
      <c r="EB478" t="s">
        <v>1224</v>
      </c>
      <c r="EC478">
        <v>20101217</v>
      </c>
      <c r="ED478" t="s">
        <v>474</v>
      </c>
      <c r="EF478">
        <v>1091.8</v>
      </c>
      <c r="EG478">
        <v>1091.8</v>
      </c>
      <c r="EI478">
        <v>20160407</v>
      </c>
      <c r="EJ478">
        <v>0</v>
      </c>
      <c r="EK478">
        <v>0</v>
      </c>
      <c r="EP478" t="s">
        <v>595</v>
      </c>
      <c r="EQ478" t="s">
        <v>422</v>
      </c>
      <c r="ER478">
        <v>0</v>
      </c>
      <c r="ES478">
        <v>6</v>
      </c>
      <c r="ET478">
        <v>0</v>
      </c>
      <c r="EU478">
        <v>0</v>
      </c>
      <c r="EV478">
        <v>0</v>
      </c>
      <c r="EW478" s="2">
        <v>43222</v>
      </c>
      <c r="EX478" s="1">
        <v>42515</v>
      </c>
      <c r="EY478">
        <v>2015</v>
      </c>
      <c r="EZ478">
        <v>151.30000000000001</v>
      </c>
      <c r="FA478" t="s">
        <v>5254</v>
      </c>
      <c r="FB478">
        <v>18</v>
      </c>
      <c r="FC478" t="s">
        <v>603</v>
      </c>
      <c r="FD478" t="s">
        <v>425</v>
      </c>
      <c r="FF478">
        <v>22</v>
      </c>
      <c r="FG478">
        <v>9999999</v>
      </c>
      <c r="FH478" t="s">
        <v>604</v>
      </c>
      <c r="FJ478" s="1">
        <v>42515</v>
      </c>
      <c r="FK478">
        <v>2015</v>
      </c>
      <c r="FL478">
        <v>159.82</v>
      </c>
      <c r="FM478" t="s">
        <v>5254</v>
      </c>
      <c r="FN478">
        <v>18</v>
      </c>
      <c r="FO478" t="s">
        <v>424</v>
      </c>
      <c r="FP478" t="s">
        <v>425</v>
      </c>
      <c r="FQ478" s="1">
        <v>42845</v>
      </c>
      <c r="FR478">
        <v>11</v>
      </c>
      <c r="FS478">
        <v>7336684</v>
      </c>
      <c r="FT478" t="s">
        <v>5255</v>
      </c>
      <c r="FV478" s="1">
        <v>42151</v>
      </c>
      <c r="FW478">
        <v>2014</v>
      </c>
      <c r="FX478">
        <v>188.94</v>
      </c>
      <c r="FY478" t="s">
        <v>5256</v>
      </c>
      <c r="FZ478">
        <v>4.75</v>
      </c>
      <c r="GA478" t="s">
        <v>424</v>
      </c>
      <c r="GB478" t="s">
        <v>425</v>
      </c>
      <c r="GC478" s="1">
        <v>42794</v>
      </c>
      <c r="GD478">
        <v>21</v>
      </c>
      <c r="GE478">
        <v>4975593</v>
      </c>
      <c r="GF478" t="s">
        <v>505</v>
      </c>
      <c r="GH478" s="1">
        <v>41787</v>
      </c>
      <c r="GI478">
        <v>2013</v>
      </c>
      <c r="GJ478">
        <v>179.48</v>
      </c>
      <c r="GK478" t="s">
        <v>5257</v>
      </c>
      <c r="GL478">
        <v>6.75</v>
      </c>
      <c r="GM478" t="s">
        <v>424</v>
      </c>
      <c r="GN478" t="s">
        <v>425</v>
      </c>
      <c r="GO478" s="1">
        <v>42424</v>
      </c>
      <c r="GP478">
        <v>21</v>
      </c>
      <c r="GQ478">
        <v>2035919</v>
      </c>
      <c r="GR478" t="s">
        <v>507</v>
      </c>
      <c r="GT478" s="1">
        <v>41423</v>
      </c>
      <c r="GU478">
        <v>2012</v>
      </c>
      <c r="GV478">
        <v>181.65</v>
      </c>
      <c r="GW478" t="s">
        <v>5258</v>
      </c>
      <c r="GX478">
        <v>6.25</v>
      </c>
      <c r="GY478" t="s">
        <v>424</v>
      </c>
      <c r="GZ478" t="s">
        <v>425</v>
      </c>
      <c r="HA478" s="1">
        <v>42058</v>
      </c>
      <c r="HB478">
        <v>21</v>
      </c>
      <c r="HC478">
        <v>2101381</v>
      </c>
      <c r="HD478" t="s">
        <v>605</v>
      </c>
      <c r="HF478" s="1">
        <v>40688</v>
      </c>
      <c r="HG478">
        <v>2010</v>
      </c>
      <c r="HH478">
        <v>199.6</v>
      </c>
      <c r="HI478" t="s">
        <v>5259</v>
      </c>
      <c r="HJ478">
        <v>8.25</v>
      </c>
      <c r="HK478" t="s">
        <v>424</v>
      </c>
      <c r="HL478" t="s">
        <v>425</v>
      </c>
      <c r="HM478" s="1">
        <v>40830</v>
      </c>
      <c r="HN478">
        <v>5</v>
      </c>
      <c r="HO478">
        <v>10548</v>
      </c>
      <c r="HP478" t="s">
        <v>589</v>
      </c>
    </row>
    <row r="479" spans="1:272" x14ac:dyDescent="0.25">
      <c r="A479">
        <v>16485486</v>
      </c>
      <c r="B479">
        <v>478</v>
      </c>
      <c r="C479" t="s">
        <v>393</v>
      </c>
      <c r="D479" t="s">
        <v>394</v>
      </c>
      <c r="F479" t="str">
        <f>"08-3N-24-2440-0006-0020"</f>
        <v>08-3N-24-2440-0006-0020</v>
      </c>
      <c r="H479" t="str">
        <f>"FOSSICK DEBORAH G"</f>
        <v>FOSSICK DEBORAH G</v>
      </c>
      <c r="I479" t="str">
        <f>"PO BOX 1004"</f>
        <v>PO BOX 1004</v>
      </c>
      <c r="J479" t="str">
        <f t="shared" si="144"/>
        <v>HILLIARD FL 32046</v>
      </c>
      <c r="K479" t="str">
        <f>"37134 WALKER ST"</f>
        <v>37134 WALKER ST</v>
      </c>
      <c r="L479" t="str">
        <f t="shared" si="141"/>
        <v>HILLIARD FL 32046</v>
      </c>
      <c r="M479" t="str">
        <f>"SUB LOT E WALKER SUB UNR A/K/A PT OF LOTS 6 &amp; 7 (S-2) OR 291 PG 150 REPLAT OF LOTS 6 THRU 11 HILLIARD TERRACE SUB PB O/15"</f>
        <v>SUB LOT E WALKER SUB UNR A/K/A PT OF LOTS 6 &amp; 7 (S-2) OR 291 PG 150 REPLAT OF LOTS 6 THRU 11 HILLIARD TERRACE SUB PB O/15</v>
      </c>
      <c r="N479" t="str">
        <f>""</f>
        <v/>
      </c>
      <c r="O479" t="str">
        <f>"24282"</f>
        <v>24282</v>
      </c>
      <c r="P479" t="str">
        <f t="shared" si="137"/>
        <v>2017</v>
      </c>
      <c r="Q479" t="str">
        <f>""</f>
        <v/>
      </c>
      <c r="R479" t="str">
        <f>"Y"</f>
        <v>Y</v>
      </c>
      <c r="S479" t="str">
        <f>""</f>
        <v/>
      </c>
      <c r="T479" t="str">
        <f>"466.40"</f>
        <v>466.40</v>
      </c>
      <c r="U479" t="str">
        <f>"68833.00"</f>
        <v>68833.00</v>
      </c>
      <c r="V479" t="str">
        <f>"68833.00"</f>
        <v>68833.00</v>
      </c>
      <c r="W479" t="str">
        <f t="shared" si="138"/>
        <v>2017</v>
      </c>
      <c r="X479" t="str">
        <f>"21.18"</f>
        <v>21.18</v>
      </c>
      <c r="Y479" t="str">
        <f>"512.39"</f>
        <v>512.39</v>
      </c>
      <c r="Z479" t="str">
        <f>"25500.00"</f>
        <v>25500.00</v>
      </c>
      <c r="AA479" t="str">
        <f>"43333.00"</f>
        <v>43333.00</v>
      </c>
      <c r="AB479" t="str">
        <f t="shared" si="146"/>
        <v>Residential</v>
      </c>
      <c r="AC479" t="str">
        <f t="shared" si="139"/>
        <v>0</v>
      </c>
      <c r="AD479" t="str">
        <f>"4"</f>
        <v>4</v>
      </c>
      <c r="AE479" t="str">
        <f>"WOOD (INCLUDE STEEL STUDS)"</f>
        <v>WOOD (INCLUDE STEEL STUDS)</v>
      </c>
      <c r="AF479" t="str">
        <f>"001"</f>
        <v>001</v>
      </c>
      <c r="AG479" t="str">
        <f t="shared" si="145"/>
        <v>FL</v>
      </c>
      <c r="AH479" t="str">
        <f>"19285.00"</f>
        <v>19285.00</v>
      </c>
      <c r="AI479" t="str">
        <f>"17000.00"</f>
        <v>17000.00</v>
      </c>
      <c r="AJ479" t="str">
        <f>"C55-000-586-8172-7"</f>
        <v>C55-000-586-8172-7</v>
      </c>
      <c r="AK479" t="str">
        <f>"6997"</f>
        <v>6997</v>
      </c>
      <c r="AL479">
        <v>2</v>
      </c>
      <c r="AM479">
        <v>552</v>
      </c>
      <c r="AN479">
        <v>536.41</v>
      </c>
      <c r="AQ479" t="s">
        <v>5260</v>
      </c>
      <c r="AR479" t="s">
        <v>5260</v>
      </c>
      <c r="AS479" t="s">
        <v>5260</v>
      </c>
      <c r="AU479" t="s">
        <v>396</v>
      </c>
      <c r="AV479">
        <v>2017</v>
      </c>
      <c r="AW479" t="str">
        <f>"08-3N-24-2440-0006-0020 "</f>
        <v xml:space="preserve">08-3N-24-2440-0006-0020 </v>
      </c>
      <c r="AX479">
        <v>37134</v>
      </c>
      <c r="AZ479" t="s">
        <v>5261</v>
      </c>
      <c r="BA479" t="s">
        <v>1942</v>
      </c>
      <c r="BD479" t="s">
        <v>398</v>
      </c>
      <c r="BE479" t="s">
        <v>393</v>
      </c>
      <c r="BF479">
        <v>32046</v>
      </c>
      <c r="BG479" t="s">
        <v>5262</v>
      </c>
      <c r="BH479" t="s">
        <v>400</v>
      </c>
      <c r="BI479">
        <v>-81.923950677118398</v>
      </c>
      <c r="BJ479">
        <v>30.684550041982501</v>
      </c>
      <c r="BK479" t="s">
        <v>5263</v>
      </c>
      <c r="BM479" t="s">
        <v>5264</v>
      </c>
      <c r="BN479" t="s">
        <v>403</v>
      </c>
      <c r="BO479">
        <v>32046</v>
      </c>
      <c r="BP479" t="s">
        <v>404</v>
      </c>
      <c r="BQ479">
        <v>100</v>
      </c>
      <c r="BR479" t="s">
        <v>514</v>
      </c>
      <c r="BS479">
        <v>1001</v>
      </c>
      <c r="BT479" t="s">
        <v>515</v>
      </c>
      <c r="BU479">
        <v>1450</v>
      </c>
      <c r="BV479">
        <v>1330</v>
      </c>
      <c r="BW479">
        <v>20230</v>
      </c>
      <c r="BX479" t="s">
        <v>407</v>
      </c>
      <c r="BY479" t="s">
        <v>4520</v>
      </c>
      <c r="BZ479">
        <v>4</v>
      </c>
      <c r="CA479">
        <v>1970</v>
      </c>
      <c r="CB479">
        <v>1</v>
      </c>
      <c r="CC479">
        <v>1</v>
      </c>
      <c r="CD479">
        <v>2017</v>
      </c>
      <c r="CG479">
        <v>68833</v>
      </c>
      <c r="CH479">
        <v>2017</v>
      </c>
      <c r="CI479">
        <v>17000</v>
      </c>
      <c r="CJ479">
        <v>70389</v>
      </c>
      <c r="CK479">
        <v>87389</v>
      </c>
      <c r="CL479">
        <v>2017</v>
      </c>
      <c r="CM479">
        <v>466.4</v>
      </c>
      <c r="CN479" s="1">
        <v>28976</v>
      </c>
      <c r="CO479">
        <v>38000</v>
      </c>
      <c r="CZ479" s="1">
        <v>28976</v>
      </c>
      <c r="DD479" t="s">
        <v>398</v>
      </c>
      <c r="DF479" t="s">
        <v>5265</v>
      </c>
      <c r="DG479">
        <v>8</v>
      </c>
      <c r="DL479">
        <v>50400</v>
      </c>
      <c r="DM479" t="s">
        <v>4465</v>
      </c>
      <c r="DO479" t="s">
        <v>5266</v>
      </c>
      <c r="DP479">
        <v>0</v>
      </c>
      <c r="DQ479">
        <v>1</v>
      </c>
      <c r="DR479" t="s">
        <v>1479</v>
      </c>
      <c r="DS479" t="b">
        <v>1</v>
      </c>
      <c r="DT479" t="s">
        <v>470</v>
      </c>
      <c r="DU479" t="s">
        <v>471</v>
      </c>
      <c r="DV479" t="s">
        <v>472</v>
      </c>
      <c r="DX479">
        <v>-9999</v>
      </c>
      <c r="DZ479" t="s">
        <v>447</v>
      </c>
      <c r="EA479" t="s">
        <v>448</v>
      </c>
      <c r="EB479" t="s">
        <v>1224</v>
      </c>
      <c r="EC479">
        <v>20101217</v>
      </c>
      <c r="ED479" t="s">
        <v>474</v>
      </c>
      <c r="EF479">
        <v>1737.3</v>
      </c>
      <c r="EG479">
        <v>1737.3</v>
      </c>
      <c r="EI479">
        <v>20160407</v>
      </c>
      <c r="EJ479">
        <v>0</v>
      </c>
      <c r="EK479">
        <v>0</v>
      </c>
      <c r="EP479" t="s">
        <v>421</v>
      </c>
      <c r="EQ479" t="s">
        <v>422</v>
      </c>
      <c r="ER479">
        <v>2</v>
      </c>
      <c r="ES479">
        <v>8</v>
      </c>
      <c r="ET479">
        <v>1063.1600000000001</v>
      </c>
      <c r="EU479">
        <v>65.66</v>
      </c>
      <c r="EV479">
        <v>1128.82</v>
      </c>
      <c r="EW479" s="2">
        <v>43222</v>
      </c>
      <c r="EX479" s="1">
        <v>42879</v>
      </c>
      <c r="EY479">
        <v>2016</v>
      </c>
      <c r="EZ479">
        <v>531.58000000000004</v>
      </c>
      <c r="FA479" t="s">
        <v>5267</v>
      </c>
      <c r="FB479">
        <v>0.25</v>
      </c>
      <c r="FC479" t="s">
        <v>424</v>
      </c>
      <c r="FD479" t="s">
        <v>454</v>
      </c>
      <c r="FF479">
        <v>12</v>
      </c>
      <c r="FG479">
        <v>2851116</v>
      </c>
      <c r="FH479" t="s">
        <v>480</v>
      </c>
      <c r="FJ479" s="1">
        <v>42879</v>
      </c>
      <c r="FK479">
        <v>2016</v>
      </c>
      <c r="FL479">
        <v>531.58000000000004</v>
      </c>
      <c r="FM479" t="s">
        <v>5267</v>
      </c>
      <c r="FN479">
        <v>0.25</v>
      </c>
      <c r="FO479" t="s">
        <v>424</v>
      </c>
      <c r="FP479" t="s">
        <v>454</v>
      </c>
      <c r="FR479">
        <v>12</v>
      </c>
      <c r="FS479">
        <v>4923132</v>
      </c>
      <c r="FT479" t="s">
        <v>5268</v>
      </c>
      <c r="FV479" s="1">
        <v>42515</v>
      </c>
      <c r="FW479">
        <v>2015</v>
      </c>
      <c r="FX479">
        <v>539.91</v>
      </c>
      <c r="FY479" t="s">
        <v>5269</v>
      </c>
      <c r="FZ479">
        <v>0.25</v>
      </c>
      <c r="GA479" t="s">
        <v>424</v>
      </c>
      <c r="GB479" t="s">
        <v>425</v>
      </c>
      <c r="GC479" s="1">
        <v>43151</v>
      </c>
      <c r="GD479">
        <v>21</v>
      </c>
      <c r="GE479">
        <v>7336671</v>
      </c>
      <c r="GF479" t="s">
        <v>437</v>
      </c>
      <c r="GH479" s="1">
        <v>42515</v>
      </c>
      <c r="GI479">
        <v>2015</v>
      </c>
      <c r="GJ479">
        <v>539.91</v>
      </c>
      <c r="GK479" t="s">
        <v>5269</v>
      </c>
      <c r="GL479">
        <v>0.25</v>
      </c>
      <c r="GM479" t="s">
        <v>424</v>
      </c>
      <c r="GN479" t="s">
        <v>425</v>
      </c>
      <c r="GP479">
        <v>22</v>
      </c>
      <c r="GQ479">
        <v>6962350</v>
      </c>
      <c r="GR479" t="s">
        <v>5270</v>
      </c>
      <c r="GT479" s="1">
        <v>42151</v>
      </c>
      <c r="GU479">
        <v>2014</v>
      </c>
      <c r="GV479">
        <v>539.69000000000005</v>
      </c>
      <c r="GW479" t="s">
        <v>5271</v>
      </c>
      <c r="GX479">
        <v>0.25</v>
      </c>
      <c r="GY479" t="s">
        <v>424</v>
      </c>
      <c r="GZ479" t="s">
        <v>425</v>
      </c>
      <c r="HA479" s="1">
        <v>42809</v>
      </c>
      <c r="HB479">
        <v>22</v>
      </c>
      <c r="HC479">
        <v>2851116</v>
      </c>
      <c r="HD479" t="s">
        <v>480</v>
      </c>
      <c r="HF479" s="1">
        <v>42151</v>
      </c>
      <c r="HG479">
        <v>2014</v>
      </c>
      <c r="HH479">
        <v>539.69000000000005</v>
      </c>
      <c r="HI479" t="s">
        <v>5271</v>
      </c>
      <c r="HJ479">
        <v>0.25</v>
      </c>
      <c r="HK479" t="s">
        <v>424</v>
      </c>
      <c r="HL479" t="s">
        <v>425</v>
      </c>
      <c r="HN479">
        <v>22</v>
      </c>
      <c r="HO479">
        <v>4897614</v>
      </c>
      <c r="HP479" t="s">
        <v>5272</v>
      </c>
      <c r="HR479" s="1">
        <v>41787</v>
      </c>
      <c r="HS479">
        <v>2013</v>
      </c>
      <c r="HT479">
        <v>512.30999999999995</v>
      </c>
      <c r="HU479" t="s">
        <v>5273</v>
      </c>
      <c r="HV479">
        <v>0.25</v>
      </c>
      <c r="HW479" t="s">
        <v>424</v>
      </c>
      <c r="HX479" t="s">
        <v>425</v>
      </c>
      <c r="HY479" s="1">
        <v>42424</v>
      </c>
      <c r="HZ479">
        <v>21</v>
      </c>
      <c r="IA479">
        <v>2407503</v>
      </c>
      <c r="IB479" t="s">
        <v>461</v>
      </c>
      <c r="ID479" s="1">
        <v>41423</v>
      </c>
      <c r="IE479">
        <v>2012</v>
      </c>
      <c r="IF479">
        <v>513.05999999999995</v>
      </c>
      <c r="IG479" t="s">
        <v>5274</v>
      </c>
      <c r="IH479">
        <v>0.25</v>
      </c>
      <c r="II479" t="s">
        <v>424</v>
      </c>
      <c r="IJ479" t="s">
        <v>425</v>
      </c>
      <c r="IK479" s="1">
        <v>42059</v>
      </c>
      <c r="IL479">
        <v>21</v>
      </c>
      <c r="IM479">
        <v>15407</v>
      </c>
      <c r="IN479" t="s">
        <v>1134</v>
      </c>
      <c r="IP479" s="1">
        <v>41052</v>
      </c>
      <c r="IQ479">
        <v>2011</v>
      </c>
      <c r="IR479">
        <v>499.57</v>
      </c>
      <c r="IS479" t="s">
        <v>5275</v>
      </c>
      <c r="IT479">
        <v>4.75</v>
      </c>
      <c r="IU479" t="s">
        <v>424</v>
      </c>
      <c r="IV479" t="s">
        <v>425</v>
      </c>
      <c r="IW479" s="1">
        <v>41688</v>
      </c>
      <c r="IX479">
        <v>21</v>
      </c>
      <c r="IY479">
        <v>11141</v>
      </c>
      <c r="IZ479" t="s">
        <v>1723</v>
      </c>
      <c r="JB479" s="1">
        <v>40688</v>
      </c>
      <c r="JC479">
        <v>2010</v>
      </c>
      <c r="JD479">
        <v>493.03</v>
      </c>
      <c r="JE479" t="s">
        <v>5276</v>
      </c>
      <c r="JF479">
        <v>0.25</v>
      </c>
      <c r="JG479" t="s">
        <v>424</v>
      </c>
      <c r="JH479" t="s">
        <v>425</v>
      </c>
      <c r="JI479" s="1">
        <v>41332</v>
      </c>
      <c r="JJ479">
        <v>21</v>
      </c>
      <c r="JK479">
        <v>11141</v>
      </c>
      <c r="JL479" t="s">
        <v>1723</v>
      </c>
    </row>
    <row r="480" spans="1:272" x14ac:dyDescent="0.25">
      <c r="A480">
        <v>16485487</v>
      </c>
      <c r="B480">
        <v>479</v>
      </c>
      <c r="C480" t="s">
        <v>393</v>
      </c>
      <c r="D480" t="s">
        <v>394</v>
      </c>
      <c r="F480" t="str">
        <f>"09-3N-24-0000-0004-0070"</f>
        <v>09-3N-24-0000-0004-0070</v>
      </c>
      <c r="H480" t="str">
        <f>"TERRELL ALVIN D JR &amp; BARBARA L"</f>
        <v>TERRELL ALVIN D JR &amp; BARBARA L</v>
      </c>
      <c r="I480" t="str">
        <f>"371440 EASTWOOD RD"</f>
        <v>371440 EASTWOOD RD</v>
      </c>
      <c r="J480" t="str">
        <f t="shared" si="144"/>
        <v>HILLIARD FL 32046</v>
      </c>
      <c r="K480" t="str">
        <f>"371440 EASTWOOD RD"</f>
        <v>371440 EASTWOOD RD</v>
      </c>
      <c r="L480" t="str">
        <f t="shared" si="141"/>
        <v>HILLIARD FL 32046</v>
      </c>
      <c r="M480" t="str">
        <f>"PT OF NE1/4 IN OR 1813/1065"</f>
        <v>PT OF NE1/4 IN OR 1813/1065</v>
      </c>
      <c r="N480" t="str">
        <f>""</f>
        <v/>
      </c>
      <c r="O480" t="str">
        <f>"25158"</f>
        <v>25158</v>
      </c>
      <c r="P480" t="str">
        <f t="shared" si="137"/>
        <v>2017</v>
      </c>
      <c r="Q480" t="str">
        <f>""</f>
        <v/>
      </c>
      <c r="R480" t="str">
        <f>"Y"</f>
        <v>Y</v>
      </c>
      <c r="S480" t="str">
        <f>"1.14"</f>
        <v>1.14</v>
      </c>
      <c r="T480" t="str">
        <f>"940.36"</f>
        <v>940.36</v>
      </c>
      <c r="U480" t="str">
        <f>"105523.00"</f>
        <v>105523.00</v>
      </c>
      <c r="V480" t="str">
        <f>"105523.00"</f>
        <v>105523.00</v>
      </c>
      <c r="W480" t="str">
        <f t="shared" si="138"/>
        <v>2017</v>
      </c>
      <c r="X480" t="str">
        <f>"20.33"</f>
        <v>20.33</v>
      </c>
      <c r="Y480" t="str">
        <f>"1000.57"</f>
        <v>1000.57</v>
      </c>
      <c r="Z480" t="str">
        <f>"25000.00"</f>
        <v>25000.00</v>
      </c>
      <c r="AA480" t="str">
        <f>"80523.00"</f>
        <v>80523.00</v>
      </c>
      <c r="AB480" t="str">
        <f t="shared" si="146"/>
        <v>Residential</v>
      </c>
      <c r="AC480" t="str">
        <f t="shared" si="139"/>
        <v>0</v>
      </c>
      <c r="AD480" t="str">
        <f>"3"</f>
        <v>3</v>
      </c>
      <c r="AE480" t="str">
        <f>"MASONRY"</f>
        <v>MASONRY</v>
      </c>
      <c r="AF480" t="str">
        <f>"001"</f>
        <v>001</v>
      </c>
      <c r="AG480" t="str">
        <f t="shared" si="145"/>
        <v>FL</v>
      </c>
      <c r="AH480" t="str">
        <f>"49658.00"</f>
        <v>49658.00</v>
      </c>
      <c r="AI480" t="str">
        <f>"17100.00"</f>
        <v>17100.00</v>
      </c>
      <c r="AJ480" t="str">
        <f>"C55-000-586-8445-7"</f>
        <v>C55-000-586-8445-7</v>
      </c>
      <c r="AK480" t="str">
        <f>"7013"</f>
        <v>7013</v>
      </c>
      <c r="AL480">
        <v>2</v>
      </c>
      <c r="AM480">
        <v>553</v>
      </c>
      <c r="AN480">
        <v>1049</v>
      </c>
      <c r="AQ480" t="s">
        <v>5277</v>
      </c>
      <c r="AR480" t="s">
        <v>5277</v>
      </c>
      <c r="AS480" t="s">
        <v>5277</v>
      </c>
      <c r="AU480" t="s">
        <v>396</v>
      </c>
      <c r="AV480">
        <v>2017</v>
      </c>
      <c r="AW480" t="str">
        <f>"09-3N-24-0000-0004-0070 "</f>
        <v xml:space="preserve">09-3N-24-0000-0004-0070 </v>
      </c>
      <c r="AX480">
        <v>371440</v>
      </c>
      <c r="AZ480" t="s">
        <v>855</v>
      </c>
      <c r="BA480" t="s">
        <v>496</v>
      </c>
      <c r="BD480" t="s">
        <v>398</v>
      </c>
      <c r="BE480" t="s">
        <v>393</v>
      </c>
      <c r="BF480">
        <v>32046</v>
      </c>
      <c r="BG480" t="s">
        <v>5278</v>
      </c>
      <c r="BH480" t="s">
        <v>400</v>
      </c>
      <c r="BI480">
        <v>-81.906112456418199</v>
      </c>
      <c r="BJ480">
        <v>30.696517958515699</v>
      </c>
      <c r="BK480" t="s">
        <v>5279</v>
      </c>
      <c r="BL480" t="s">
        <v>5280</v>
      </c>
      <c r="BM480" t="s">
        <v>5278</v>
      </c>
      <c r="BN480" t="s">
        <v>403</v>
      </c>
      <c r="BO480">
        <v>32046</v>
      </c>
      <c r="BP480" t="s">
        <v>416</v>
      </c>
      <c r="BQ480">
        <v>100</v>
      </c>
      <c r="BR480" t="s">
        <v>514</v>
      </c>
      <c r="BS480">
        <v>1001</v>
      </c>
      <c r="BT480" t="s">
        <v>515</v>
      </c>
      <c r="BW480">
        <v>49658</v>
      </c>
      <c r="BX480" t="s">
        <v>407</v>
      </c>
      <c r="BY480" t="s">
        <v>5281</v>
      </c>
      <c r="BZ480">
        <v>3</v>
      </c>
      <c r="CA480">
        <v>1989</v>
      </c>
      <c r="CB480">
        <v>1</v>
      </c>
      <c r="CC480">
        <v>1</v>
      </c>
      <c r="CD480">
        <v>2017</v>
      </c>
      <c r="CG480">
        <v>105523</v>
      </c>
      <c r="CH480">
        <v>2017</v>
      </c>
      <c r="CI480">
        <v>17100</v>
      </c>
      <c r="CJ480">
        <v>93629</v>
      </c>
      <c r="CK480">
        <v>110729</v>
      </c>
      <c r="CL480">
        <v>2017</v>
      </c>
      <c r="CM480">
        <v>940.36</v>
      </c>
      <c r="CN480" s="1">
        <v>41166</v>
      </c>
      <c r="CO480">
        <v>36000</v>
      </c>
      <c r="CV480">
        <v>35000</v>
      </c>
      <c r="CX480" t="s">
        <v>675</v>
      </c>
      <c r="CZ480" s="1">
        <v>41166</v>
      </c>
      <c r="DA480">
        <v>0</v>
      </c>
      <c r="DD480" t="s">
        <v>398</v>
      </c>
      <c r="DG480">
        <v>9</v>
      </c>
      <c r="DL480">
        <v>50400</v>
      </c>
      <c r="DM480" t="s">
        <v>5282</v>
      </c>
      <c r="DO480" t="s">
        <v>5283</v>
      </c>
      <c r="DP480">
        <v>0</v>
      </c>
      <c r="DQ480">
        <v>0</v>
      </c>
      <c r="DR480" t="s">
        <v>411</v>
      </c>
      <c r="DS480" t="b">
        <v>1</v>
      </c>
      <c r="DT480" t="s">
        <v>396</v>
      </c>
      <c r="DV480" t="s">
        <v>446</v>
      </c>
      <c r="DX480">
        <v>-9999</v>
      </c>
      <c r="DZ480" t="s">
        <v>447</v>
      </c>
      <c r="EA480" t="s">
        <v>448</v>
      </c>
      <c r="EB480" t="s">
        <v>449</v>
      </c>
      <c r="EC480">
        <v>20101217</v>
      </c>
      <c r="ED480" t="s">
        <v>450</v>
      </c>
      <c r="EE480">
        <v>17</v>
      </c>
      <c r="EF480">
        <v>0</v>
      </c>
      <c r="EG480">
        <v>0</v>
      </c>
      <c r="EH480" t="s">
        <v>451</v>
      </c>
      <c r="EI480">
        <v>20140731</v>
      </c>
      <c r="EJ480">
        <v>0</v>
      </c>
      <c r="EK480">
        <v>0</v>
      </c>
      <c r="EP480" t="s">
        <v>421</v>
      </c>
      <c r="EQ480" t="s">
        <v>452</v>
      </c>
      <c r="ER480">
        <v>2</v>
      </c>
      <c r="ES480">
        <v>5</v>
      </c>
      <c r="ET480">
        <v>2061.6</v>
      </c>
      <c r="EU480">
        <v>115.58</v>
      </c>
      <c r="EV480">
        <v>2177.1799999999998</v>
      </c>
      <c r="EW480" s="2">
        <v>43222</v>
      </c>
      <c r="EX480" s="1">
        <v>42879</v>
      </c>
      <c r="EY480">
        <v>2016</v>
      </c>
      <c r="EZ480">
        <v>1030.8</v>
      </c>
      <c r="FA480" t="s">
        <v>5284</v>
      </c>
      <c r="FB480">
        <v>0.25</v>
      </c>
      <c r="FC480" t="s">
        <v>424</v>
      </c>
      <c r="FD480" t="s">
        <v>454</v>
      </c>
      <c r="FF480">
        <v>12</v>
      </c>
      <c r="FG480">
        <v>2851116</v>
      </c>
      <c r="FH480" t="s">
        <v>480</v>
      </c>
      <c r="FJ480" s="1">
        <v>42879</v>
      </c>
      <c r="FK480">
        <v>2016</v>
      </c>
      <c r="FL480">
        <v>1030.8</v>
      </c>
      <c r="FM480" t="s">
        <v>5284</v>
      </c>
      <c r="FN480">
        <v>0.25</v>
      </c>
      <c r="FO480" t="s">
        <v>424</v>
      </c>
      <c r="FP480" t="s">
        <v>454</v>
      </c>
      <c r="FR480">
        <v>12</v>
      </c>
      <c r="FS480">
        <v>4922768</v>
      </c>
      <c r="FT480" t="s">
        <v>5285</v>
      </c>
      <c r="FV480" s="1">
        <v>42151</v>
      </c>
      <c r="FW480">
        <v>2014</v>
      </c>
      <c r="FX480">
        <v>1545.95</v>
      </c>
      <c r="FY480" t="s">
        <v>5286</v>
      </c>
      <c r="FZ480">
        <v>0.25</v>
      </c>
      <c r="GA480" t="s">
        <v>424</v>
      </c>
      <c r="GB480" t="s">
        <v>425</v>
      </c>
      <c r="GC480" s="1">
        <v>42486</v>
      </c>
      <c r="GD480">
        <v>11</v>
      </c>
      <c r="GE480">
        <v>4844982</v>
      </c>
      <c r="GF480" t="s">
        <v>5287</v>
      </c>
      <c r="GG480" t="s">
        <v>458</v>
      </c>
      <c r="GH480" s="1">
        <v>42151</v>
      </c>
      <c r="GI480">
        <v>2014</v>
      </c>
      <c r="GJ480">
        <v>1545.95</v>
      </c>
      <c r="GK480" t="s">
        <v>5286</v>
      </c>
      <c r="GL480">
        <v>0.25</v>
      </c>
      <c r="GM480" t="s">
        <v>424</v>
      </c>
      <c r="GN480" t="s">
        <v>425</v>
      </c>
      <c r="GP480">
        <v>22</v>
      </c>
      <c r="GQ480">
        <v>5694306</v>
      </c>
      <c r="GR480" t="s">
        <v>5288</v>
      </c>
      <c r="GS480" t="s">
        <v>458</v>
      </c>
      <c r="GT480" s="1">
        <v>41787</v>
      </c>
      <c r="GU480">
        <v>2013</v>
      </c>
      <c r="GV480">
        <v>1365.43</v>
      </c>
      <c r="GW480" t="s">
        <v>5289</v>
      </c>
      <c r="GX480">
        <v>0.25</v>
      </c>
      <c r="GY480" t="s">
        <v>424</v>
      </c>
      <c r="GZ480" t="s">
        <v>425</v>
      </c>
      <c r="HB480">
        <v>22</v>
      </c>
      <c r="HC480">
        <v>15259</v>
      </c>
      <c r="HD480" t="s">
        <v>891</v>
      </c>
      <c r="HE480" t="s">
        <v>458</v>
      </c>
      <c r="HF480" s="1">
        <v>41787</v>
      </c>
      <c r="HG480">
        <v>2013</v>
      </c>
      <c r="HH480">
        <v>1365.43</v>
      </c>
      <c r="HI480" t="s">
        <v>5289</v>
      </c>
      <c r="HJ480">
        <v>0.25</v>
      </c>
      <c r="HK480" t="s">
        <v>424</v>
      </c>
      <c r="HL480" t="s">
        <v>425</v>
      </c>
      <c r="HN480">
        <v>22</v>
      </c>
      <c r="HO480">
        <v>7045049</v>
      </c>
      <c r="HP480" t="s">
        <v>1335</v>
      </c>
      <c r="HQ480" t="s">
        <v>458</v>
      </c>
      <c r="HR480" s="1">
        <v>41423</v>
      </c>
      <c r="HS480">
        <v>2012</v>
      </c>
      <c r="HT480">
        <v>856.76</v>
      </c>
      <c r="HU480" t="s">
        <v>5290</v>
      </c>
      <c r="HV480">
        <v>0.25</v>
      </c>
      <c r="HW480" t="s">
        <v>424</v>
      </c>
      <c r="HX480" t="s">
        <v>425</v>
      </c>
      <c r="HY480" s="1">
        <v>42219</v>
      </c>
      <c r="HZ480">
        <v>27</v>
      </c>
      <c r="IA480">
        <v>15398</v>
      </c>
      <c r="IB480" t="s">
        <v>1180</v>
      </c>
    </row>
    <row r="481" spans="1:344" x14ac:dyDescent="0.25">
      <c r="A481">
        <v>16485488</v>
      </c>
      <c r="B481">
        <v>480</v>
      </c>
      <c r="C481" t="s">
        <v>393</v>
      </c>
      <c r="D481" t="s">
        <v>394</v>
      </c>
      <c r="F481" t="str">
        <f>"09-3N-24-0000-0020-0000"</f>
        <v>09-3N-24-0000-0020-0000</v>
      </c>
      <c r="H481" t="str">
        <f>"DONELY DAVID EST"</f>
        <v>DONELY DAVID EST</v>
      </c>
      <c r="I481" t="str">
        <f>"37060 OXFORD ST"</f>
        <v>37060 OXFORD ST</v>
      </c>
      <c r="J481" t="str">
        <f t="shared" si="144"/>
        <v>HILLIARD FL 32046</v>
      </c>
      <c r="K481" t="str">
        <f>"OXFORD ST"</f>
        <v>OXFORD ST</v>
      </c>
      <c r="L481" t="str">
        <f t="shared" si="141"/>
        <v>HILLIARD FL 32046</v>
      </c>
      <c r="M481" t="str">
        <f>"IN OR 3 PG 408 CO REC"</f>
        <v>IN OR 3 PG 408 CO REC</v>
      </c>
      <c r="N481" t="str">
        <f>""</f>
        <v/>
      </c>
      <c r="O481" t="str">
        <f>"25188"</f>
        <v>25188</v>
      </c>
      <c r="P481" t="str">
        <f t="shared" si="137"/>
        <v>2017</v>
      </c>
      <c r="Q481" t="str">
        <f>""</f>
        <v/>
      </c>
      <c r="R481" t="str">
        <f>"N"</f>
        <v>N</v>
      </c>
      <c r="S481" t="str">
        <f>""</f>
        <v/>
      </c>
      <c r="T481" t="str">
        <f>"63.69"</f>
        <v>63.69</v>
      </c>
      <c r="U481" t="str">
        <f>"4560.00"</f>
        <v>4560.00</v>
      </c>
      <c r="V481" t="str">
        <f>"4560.00"</f>
        <v>4560.00</v>
      </c>
      <c r="W481" t="str">
        <f t="shared" si="138"/>
        <v>2017</v>
      </c>
      <c r="X481" t="str">
        <f>"21.00"</f>
        <v>21.00</v>
      </c>
      <c r="Y481" t="str">
        <f>"97.60"</f>
        <v>97.60</v>
      </c>
      <c r="Z481" t="str">
        <f>""</f>
        <v/>
      </c>
      <c r="AA481" t="str">
        <f>"4560.00"</f>
        <v>4560.00</v>
      </c>
      <c r="AB481" t="str">
        <f t="shared" si="146"/>
        <v>Residential</v>
      </c>
      <c r="AC481" t="str">
        <f t="shared" si="139"/>
        <v>0</v>
      </c>
      <c r="AD481" t="str">
        <f>""</f>
        <v/>
      </c>
      <c r="AE481" t="str">
        <f>""</f>
        <v/>
      </c>
      <c r="AF481" t="str">
        <f>"000"</f>
        <v>000</v>
      </c>
      <c r="AG481" t="str">
        <f t="shared" si="145"/>
        <v>FL</v>
      </c>
      <c r="AH481" t="str">
        <f>"10600.00"</f>
        <v>10600.00</v>
      </c>
      <c r="AI481" t="str">
        <f>"4560.00"</f>
        <v>4560.00</v>
      </c>
      <c r="AJ481" t="str">
        <f>"C55-000-586-8470-5"</f>
        <v>C55-000-586-8470-5</v>
      </c>
      <c r="AK481" t="str">
        <f>"7041"</f>
        <v>7041</v>
      </c>
      <c r="AL481">
        <v>2</v>
      </c>
      <c r="AM481">
        <v>554</v>
      </c>
      <c r="AN481">
        <v>100.88</v>
      </c>
      <c r="AQ481" t="s">
        <v>5291</v>
      </c>
      <c r="AR481" t="s">
        <v>5291</v>
      </c>
      <c r="AS481" t="s">
        <v>5291</v>
      </c>
      <c r="AU481" t="s">
        <v>396</v>
      </c>
      <c r="AV481">
        <v>2017</v>
      </c>
      <c r="AW481" t="str">
        <f>"09-3N-24-0000-0020-0000 "</f>
        <v xml:space="preserve">09-3N-24-0000-0020-0000 </v>
      </c>
      <c r="AZ481" t="s">
        <v>4365</v>
      </c>
      <c r="BA481" t="s">
        <v>1942</v>
      </c>
      <c r="BD481" t="s">
        <v>398</v>
      </c>
      <c r="BE481" t="s">
        <v>393</v>
      </c>
      <c r="BF481">
        <v>32046</v>
      </c>
      <c r="BG481" t="s">
        <v>4381</v>
      </c>
      <c r="BH481" t="s">
        <v>400</v>
      </c>
      <c r="BI481">
        <v>-81.920266359503799</v>
      </c>
      <c r="BJ481">
        <v>30.685635310593899</v>
      </c>
      <c r="BK481" t="s">
        <v>5292</v>
      </c>
      <c r="BM481" t="s">
        <v>5293</v>
      </c>
      <c r="BN481" t="s">
        <v>403</v>
      </c>
      <c r="BO481">
        <v>32046</v>
      </c>
      <c r="BP481" t="s">
        <v>404</v>
      </c>
      <c r="BQ481">
        <v>0</v>
      </c>
      <c r="BR481" t="s">
        <v>491</v>
      </c>
      <c r="BS481">
        <v>8001</v>
      </c>
      <c r="BT481" t="s">
        <v>492</v>
      </c>
      <c r="BU481">
        <v>1000</v>
      </c>
      <c r="BV481">
        <v>1060</v>
      </c>
      <c r="BW481">
        <v>10431</v>
      </c>
      <c r="BX481" t="s">
        <v>407</v>
      </c>
      <c r="BY481" t="s">
        <v>5281</v>
      </c>
      <c r="CD481">
        <v>2017</v>
      </c>
      <c r="CE481">
        <v>4560</v>
      </c>
      <c r="CG481">
        <v>4560</v>
      </c>
      <c r="CH481">
        <v>2017</v>
      </c>
      <c r="CI481">
        <v>4560</v>
      </c>
      <c r="CK481">
        <v>4560</v>
      </c>
      <c r="CL481">
        <v>2017</v>
      </c>
      <c r="CM481">
        <v>63.69</v>
      </c>
      <c r="DD481" t="s">
        <v>398</v>
      </c>
      <c r="DG481">
        <v>9</v>
      </c>
      <c r="DL481">
        <v>50400</v>
      </c>
      <c r="DM481" t="s">
        <v>5282</v>
      </c>
      <c r="DO481" t="s">
        <v>5294</v>
      </c>
      <c r="DP481">
        <v>0</v>
      </c>
      <c r="DQ481">
        <v>0</v>
      </c>
      <c r="DR481" t="s">
        <v>411</v>
      </c>
      <c r="DS481" t="b">
        <v>1</v>
      </c>
      <c r="DT481" t="s">
        <v>470</v>
      </c>
      <c r="DU481" t="s">
        <v>471</v>
      </c>
      <c r="DV481" t="s">
        <v>472</v>
      </c>
      <c r="DX481">
        <v>-9999</v>
      </c>
      <c r="DZ481" t="s">
        <v>447</v>
      </c>
      <c r="EA481" t="s">
        <v>448</v>
      </c>
      <c r="EB481" t="s">
        <v>1224</v>
      </c>
      <c r="EC481">
        <v>20101217</v>
      </c>
      <c r="ED481" t="s">
        <v>474</v>
      </c>
      <c r="EF481">
        <v>625.20000000000005</v>
      </c>
      <c r="EG481">
        <v>625.20000000000005</v>
      </c>
      <c r="EI481">
        <v>20160407</v>
      </c>
      <c r="EJ481">
        <v>0</v>
      </c>
      <c r="EK481">
        <v>0</v>
      </c>
      <c r="EP481" t="s">
        <v>595</v>
      </c>
      <c r="EQ481" t="s">
        <v>452</v>
      </c>
      <c r="ER481">
        <v>0</v>
      </c>
      <c r="ES481">
        <v>10</v>
      </c>
      <c r="ET481">
        <v>0</v>
      </c>
      <c r="EU481">
        <v>0</v>
      </c>
      <c r="EV481">
        <v>0</v>
      </c>
      <c r="EW481" s="2">
        <v>43222</v>
      </c>
      <c r="EX481" s="1">
        <v>42515</v>
      </c>
      <c r="EY481">
        <v>2015</v>
      </c>
      <c r="EZ481">
        <v>92.8</v>
      </c>
      <c r="FA481" t="s">
        <v>5295</v>
      </c>
      <c r="FB481">
        <v>18</v>
      </c>
      <c r="FC481" t="s">
        <v>603</v>
      </c>
      <c r="FD481" t="s">
        <v>425</v>
      </c>
      <c r="FF481">
        <v>22</v>
      </c>
      <c r="FG481">
        <v>9999999</v>
      </c>
      <c r="FH481" t="s">
        <v>604</v>
      </c>
      <c r="FI481" t="s">
        <v>458</v>
      </c>
      <c r="FJ481" s="1">
        <v>42515</v>
      </c>
      <c r="FK481">
        <v>2015</v>
      </c>
      <c r="FL481">
        <v>103.23</v>
      </c>
      <c r="FM481" t="s">
        <v>5295</v>
      </c>
      <c r="FN481">
        <v>18</v>
      </c>
      <c r="FO481" t="s">
        <v>424</v>
      </c>
      <c r="FP481" t="s">
        <v>425</v>
      </c>
      <c r="FQ481" s="1">
        <v>42864</v>
      </c>
      <c r="FR481">
        <v>12</v>
      </c>
      <c r="FS481">
        <v>7336691</v>
      </c>
      <c r="FT481" t="s">
        <v>5296</v>
      </c>
      <c r="FU481" t="s">
        <v>458</v>
      </c>
      <c r="FV481" s="1">
        <v>42151</v>
      </c>
      <c r="FW481">
        <v>2014</v>
      </c>
      <c r="FX481">
        <v>86.52</v>
      </c>
      <c r="FY481" t="s">
        <v>5297</v>
      </c>
      <c r="FZ481">
        <v>18</v>
      </c>
      <c r="GA481" t="s">
        <v>424</v>
      </c>
      <c r="GB481" t="s">
        <v>425</v>
      </c>
      <c r="GC481" s="1">
        <v>42864</v>
      </c>
      <c r="GD481">
        <v>24</v>
      </c>
      <c r="GE481">
        <v>10125</v>
      </c>
      <c r="GF481" t="s">
        <v>440</v>
      </c>
      <c r="GG481" t="s">
        <v>458</v>
      </c>
      <c r="GH481" s="1">
        <v>41423</v>
      </c>
      <c r="GI481">
        <v>2012</v>
      </c>
      <c r="GJ481">
        <v>419.94</v>
      </c>
      <c r="GK481" t="s">
        <v>5298</v>
      </c>
      <c r="GL481">
        <v>2.75</v>
      </c>
      <c r="GM481" t="s">
        <v>424</v>
      </c>
      <c r="GN481" t="s">
        <v>425</v>
      </c>
      <c r="GP481">
        <v>22</v>
      </c>
      <c r="GQ481">
        <v>15399</v>
      </c>
      <c r="GR481" t="s">
        <v>485</v>
      </c>
      <c r="GS481" t="s">
        <v>458</v>
      </c>
      <c r="GT481" s="1">
        <v>41423</v>
      </c>
      <c r="GU481">
        <v>2012</v>
      </c>
      <c r="GV481">
        <v>419.94</v>
      </c>
      <c r="GW481" t="s">
        <v>5298</v>
      </c>
      <c r="GX481">
        <v>2.75</v>
      </c>
      <c r="GY481" t="s">
        <v>424</v>
      </c>
      <c r="GZ481" t="s">
        <v>425</v>
      </c>
      <c r="HB481">
        <v>22</v>
      </c>
      <c r="HC481">
        <v>13027</v>
      </c>
      <c r="HD481" t="s">
        <v>826</v>
      </c>
      <c r="HE481" t="s">
        <v>458</v>
      </c>
      <c r="HF481" s="1">
        <v>41423</v>
      </c>
      <c r="HG481">
        <v>2012</v>
      </c>
      <c r="HH481">
        <v>419.94</v>
      </c>
      <c r="HI481" t="s">
        <v>5298</v>
      </c>
      <c r="HJ481">
        <v>2.75</v>
      </c>
      <c r="HK481" t="s">
        <v>424</v>
      </c>
      <c r="HL481" t="s">
        <v>425</v>
      </c>
      <c r="HN481">
        <v>22</v>
      </c>
      <c r="HO481">
        <v>11325</v>
      </c>
      <c r="HP481" t="s">
        <v>2402</v>
      </c>
      <c r="HQ481" t="s">
        <v>458</v>
      </c>
      <c r="HR481" s="1">
        <v>41423</v>
      </c>
      <c r="HS481">
        <v>2012</v>
      </c>
      <c r="HT481">
        <v>419.94</v>
      </c>
      <c r="HU481" t="s">
        <v>5298</v>
      </c>
      <c r="HV481">
        <v>2.75</v>
      </c>
      <c r="HW481" t="s">
        <v>424</v>
      </c>
      <c r="HX481" t="s">
        <v>425</v>
      </c>
      <c r="HZ481">
        <v>22</v>
      </c>
      <c r="IA481">
        <v>7045068</v>
      </c>
      <c r="IB481" t="s">
        <v>4968</v>
      </c>
      <c r="IC481" t="s">
        <v>458</v>
      </c>
      <c r="ID481" s="1">
        <v>41423</v>
      </c>
      <c r="IE481">
        <v>2012</v>
      </c>
      <c r="IF481">
        <v>419.94</v>
      </c>
      <c r="IG481" t="s">
        <v>5298</v>
      </c>
      <c r="IH481">
        <v>2.75</v>
      </c>
      <c r="II481" t="s">
        <v>424</v>
      </c>
      <c r="IJ481" t="s">
        <v>425</v>
      </c>
      <c r="IL481">
        <v>22</v>
      </c>
      <c r="IM481">
        <v>7336739</v>
      </c>
      <c r="IN481" t="s">
        <v>5299</v>
      </c>
      <c r="IO481" t="s">
        <v>458</v>
      </c>
      <c r="IP481" s="1">
        <v>41052</v>
      </c>
      <c r="IQ481">
        <v>2011</v>
      </c>
      <c r="IR481">
        <v>419.63</v>
      </c>
      <c r="IS481" t="s">
        <v>5300</v>
      </c>
      <c r="IT481">
        <v>5</v>
      </c>
      <c r="IU481" t="s">
        <v>424</v>
      </c>
      <c r="IV481" t="s">
        <v>425</v>
      </c>
      <c r="IW481" s="1">
        <v>41079</v>
      </c>
      <c r="IX481">
        <v>1</v>
      </c>
      <c r="IY481">
        <v>10125</v>
      </c>
      <c r="IZ481" t="s">
        <v>440</v>
      </c>
      <c r="JB481" s="1">
        <v>40688</v>
      </c>
      <c r="JC481">
        <v>2010</v>
      </c>
      <c r="JD481">
        <v>422.1</v>
      </c>
      <c r="JE481" t="s">
        <v>5301</v>
      </c>
      <c r="JF481">
        <v>11</v>
      </c>
      <c r="JG481" t="s">
        <v>424</v>
      </c>
      <c r="JH481" t="s">
        <v>425</v>
      </c>
      <c r="JI481" s="1">
        <v>40997</v>
      </c>
      <c r="JJ481">
        <v>10</v>
      </c>
      <c r="JK481">
        <v>10502</v>
      </c>
      <c r="JL481" t="s">
        <v>5302</v>
      </c>
    </row>
    <row r="482" spans="1:344" x14ac:dyDescent="0.25">
      <c r="A482">
        <v>16485489</v>
      </c>
      <c r="B482">
        <v>481</v>
      </c>
      <c r="C482" t="s">
        <v>393</v>
      </c>
      <c r="D482" t="s">
        <v>394</v>
      </c>
      <c r="F482" t="str">
        <f>"09-3N-24-0000-0022-0010"</f>
        <v>09-3N-24-0000-0022-0010</v>
      </c>
      <c r="H482" t="str">
        <f>"ANDERSON JAMES A"</f>
        <v>ANDERSON JAMES A</v>
      </c>
      <c r="I482" t="str">
        <f>"PO BOX 842"</f>
        <v>PO BOX 842</v>
      </c>
      <c r="J482" t="str">
        <f t="shared" si="144"/>
        <v>HILLIARD FL 32046</v>
      </c>
      <c r="K482" t="str">
        <f>"37013 OXFORD ST"</f>
        <v>37013 OXFORD ST</v>
      </c>
      <c r="L482" t="str">
        <f t="shared" si="141"/>
        <v>HILLIARD FL 32046</v>
      </c>
      <c r="M482" t="str">
        <f>"IN OR 790 PG 1794"</f>
        <v>IN OR 790 PG 1794</v>
      </c>
      <c r="N482" t="str">
        <f>""</f>
        <v/>
      </c>
      <c r="O482" t="str">
        <f>"25190"</f>
        <v>25190</v>
      </c>
      <c r="P482" t="str">
        <f t="shared" si="137"/>
        <v>2017</v>
      </c>
      <c r="Q482" t="str">
        <f>""</f>
        <v/>
      </c>
      <c r="R482" t="str">
        <f>"N"</f>
        <v>N</v>
      </c>
      <c r="S482" t="str">
        <f>""</f>
        <v/>
      </c>
      <c r="T482" t="str">
        <f>"26.19"</f>
        <v>26.19</v>
      </c>
      <c r="U482" t="str">
        <f>"1875.00"</f>
        <v>1875.00</v>
      </c>
      <c r="V482" t="str">
        <f>"1875.00"</f>
        <v>1875.00</v>
      </c>
      <c r="W482" t="str">
        <f t="shared" si="138"/>
        <v>2017</v>
      </c>
      <c r="X482" t="str">
        <f>"31.50"</f>
        <v>31.50</v>
      </c>
      <c r="Y482" t="str">
        <f>"58.98"</f>
        <v>58.98</v>
      </c>
      <c r="Z482" t="str">
        <f>""</f>
        <v/>
      </c>
      <c r="AA482" t="str">
        <f>"1875.00"</f>
        <v>1875.00</v>
      </c>
      <c r="AB482" t="str">
        <f t="shared" si="146"/>
        <v>Residential</v>
      </c>
      <c r="AC482" t="str">
        <f t="shared" si="139"/>
        <v>0</v>
      </c>
      <c r="AD482" t="str">
        <f>""</f>
        <v/>
      </c>
      <c r="AE482" t="str">
        <f>""</f>
        <v/>
      </c>
      <c r="AF482" t="str">
        <f>"000"</f>
        <v>000</v>
      </c>
      <c r="AG482" t="str">
        <f t="shared" si="145"/>
        <v>FL</v>
      </c>
      <c r="AH482" t="str">
        <f>"8925.00"</f>
        <v>8925.00</v>
      </c>
      <c r="AI482" t="str">
        <f>"1875.00"</f>
        <v>1875.00</v>
      </c>
      <c r="AJ482" t="str">
        <f>"C55-000-586-8472-1"</f>
        <v>C55-000-586-8472-1</v>
      </c>
      <c r="AK482" t="str">
        <f>"7043"</f>
        <v>7043</v>
      </c>
      <c r="AL482">
        <v>2</v>
      </c>
      <c r="AM482">
        <v>555</v>
      </c>
      <c r="AN482">
        <v>60.33</v>
      </c>
      <c r="AQ482" t="s">
        <v>5303</v>
      </c>
      <c r="AR482" t="s">
        <v>5303</v>
      </c>
      <c r="AS482" t="s">
        <v>5303</v>
      </c>
      <c r="AU482" t="s">
        <v>396</v>
      </c>
      <c r="AV482">
        <v>2017</v>
      </c>
      <c r="AW482" t="str">
        <f>"09-3N-24-0000-0022-0010 "</f>
        <v xml:space="preserve">09-3N-24-0000-0022-0010 </v>
      </c>
      <c r="AX482">
        <v>37013</v>
      </c>
      <c r="AZ482" t="s">
        <v>4365</v>
      </c>
      <c r="BA482" t="s">
        <v>1942</v>
      </c>
      <c r="BD482" t="s">
        <v>398</v>
      </c>
      <c r="BE482" t="s">
        <v>393</v>
      </c>
      <c r="BF482">
        <v>32046</v>
      </c>
      <c r="BG482" t="s">
        <v>5304</v>
      </c>
      <c r="BH482" t="s">
        <v>400</v>
      </c>
      <c r="BI482">
        <v>-81.919070964721698</v>
      </c>
      <c r="BJ482">
        <v>30.686418994194501</v>
      </c>
      <c r="BK482" t="s">
        <v>5305</v>
      </c>
      <c r="BM482" t="s">
        <v>5306</v>
      </c>
      <c r="BN482" t="s">
        <v>403</v>
      </c>
      <c r="BO482">
        <v>32046</v>
      </c>
      <c r="BP482" t="s">
        <v>404</v>
      </c>
      <c r="BQ482">
        <v>0</v>
      </c>
      <c r="BR482" t="s">
        <v>491</v>
      </c>
      <c r="BS482">
        <v>8001</v>
      </c>
      <c r="BT482" t="s">
        <v>492</v>
      </c>
      <c r="BU482">
        <v>750</v>
      </c>
      <c r="BV482">
        <v>1190</v>
      </c>
      <c r="BW482">
        <v>3750</v>
      </c>
      <c r="BX482" t="s">
        <v>407</v>
      </c>
      <c r="BY482" t="s">
        <v>5281</v>
      </c>
      <c r="CD482">
        <v>2017</v>
      </c>
      <c r="CE482">
        <v>1875</v>
      </c>
      <c r="CG482">
        <v>1875</v>
      </c>
      <c r="CH482">
        <v>2017</v>
      </c>
      <c r="CI482">
        <v>1875</v>
      </c>
      <c r="CK482">
        <v>1875</v>
      </c>
      <c r="CL482">
        <v>2017</v>
      </c>
      <c r="CM482">
        <v>26.19</v>
      </c>
      <c r="CN482" s="1">
        <v>35541</v>
      </c>
      <c r="CO482">
        <v>3000</v>
      </c>
      <c r="CZ482" s="1">
        <v>35541</v>
      </c>
      <c r="DD482" t="s">
        <v>398</v>
      </c>
      <c r="DG482">
        <v>9</v>
      </c>
      <c r="DL482">
        <v>50400</v>
      </c>
      <c r="DM482" t="s">
        <v>5282</v>
      </c>
      <c r="DO482" t="s">
        <v>5307</v>
      </c>
      <c r="DP482">
        <v>0</v>
      </c>
      <c r="DQ482">
        <v>0</v>
      </c>
      <c r="DR482" t="s">
        <v>411</v>
      </c>
      <c r="DS482" t="b">
        <v>1</v>
      </c>
      <c r="DT482" t="s">
        <v>470</v>
      </c>
      <c r="DU482" t="s">
        <v>471</v>
      </c>
      <c r="DV482" t="s">
        <v>472</v>
      </c>
      <c r="DX482">
        <v>-9999</v>
      </c>
      <c r="DZ482" t="s">
        <v>447</v>
      </c>
      <c r="EA482" t="s">
        <v>448</v>
      </c>
      <c r="EB482" t="s">
        <v>1224</v>
      </c>
      <c r="EC482">
        <v>20101217</v>
      </c>
      <c r="ED482" t="s">
        <v>474</v>
      </c>
      <c r="EF482">
        <v>570.4</v>
      </c>
      <c r="EG482">
        <v>570.4</v>
      </c>
      <c r="EI482">
        <v>20160407</v>
      </c>
      <c r="EJ482">
        <v>0</v>
      </c>
      <c r="EK482">
        <v>0</v>
      </c>
      <c r="EP482" t="s">
        <v>595</v>
      </c>
      <c r="EQ482" t="s">
        <v>422</v>
      </c>
      <c r="ER482">
        <v>9</v>
      </c>
      <c r="ES482">
        <v>0</v>
      </c>
      <c r="ET482">
        <v>543.74</v>
      </c>
      <c r="EU482">
        <v>478.73</v>
      </c>
      <c r="EV482">
        <v>1022.47</v>
      </c>
      <c r="EW482" s="2">
        <v>43222</v>
      </c>
      <c r="EX482" s="1">
        <v>42879</v>
      </c>
      <c r="EY482">
        <v>2016</v>
      </c>
      <c r="EZ482">
        <v>55.82</v>
      </c>
      <c r="FA482" t="s">
        <v>5308</v>
      </c>
      <c r="FB482">
        <v>18</v>
      </c>
      <c r="FC482" t="s">
        <v>603</v>
      </c>
      <c r="FD482" t="s">
        <v>454</v>
      </c>
      <c r="FF482">
        <v>12</v>
      </c>
      <c r="FG482">
        <v>9999999</v>
      </c>
      <c r="FH482" t="s">
        <v>604</v>
      </c>
      <c r="FJ482" s="1">
        <v>42515</v>
      </c>
      <c r="FK482">
        <v>2015</v>
      </c>
      <c r="FL482">
        <v>51.6</v>
      </c>
      <c r="FM482" t="s">
        <v>5309</v>
      </c>
      <c r="FN482">
        <v>18</v>
      </c>
      <c r="FO482" t="s">
        <v>603</v>
      </c>
      <c r="FP482" t="s">
        <v>454</v>
      </c>
      <c r="FR482">
        <v>24</v>
      </c>
      <c r="FS482">
        <v>9999999</v>
      </c>
      <c r="FT482" t="s">
        <v>604</v>
      </c>
      <c r="FV482" s="1">
        <v>42151</v>
      </c>
      <c r="FW482">
        <v>2014</v>
      </c>
      <c r="FX482">
        <v>63.08</v>
      </c>
      <c r="FY482" t="s">
        <v>5310</v>
      </c>
      <c r="FZ482">
        <v>18</v>
      </c>
      <c r="GA482" t="s">
        <v>424</v>
      </c>
      <c r="GB482" t="s">
        <v>454</v>
      </c>
      <c r="GD482">
        <v>36</v>
      </c>
      <c r="GE482">
        <v>10125</v>
      </c>
      <c r="GF482" t="s">
        <v>440</v>
      </c>
      <c r="GH482" s="1">
        <v>41787</v>
      </c>
      <c r="GI482">
        <v>2013</v>
      </c>
      <c r="GJ482">
        <v>60.75</v>
      </c>
      <c r="GK482" t="s">
        <v>5311</v>
      </c>
      <c r="GL482">
        <v>18</v>
      </c>
      <c r="GM482" t="s">
        <v>603</v>
      </c>
      <c r="GN482" t="s">
        <v>454</v>
      </c>
      <c r="GP482">
        <v>48</v>
      </c>
      <c r="GQ482">
        <v>9999999</v>
      </c>
      <c r="GR482" t="s">
        <v>604</v>
      </c>
      <c r="GT482" s="1">
        <v>41787</v>
      </c>
      <c r="GU482">
        <v>2013</v>
      </c>
      <c r="GV482">
        <v>77.94</v>
      </c>
      <c r="GW482" t="s">
        <v>5311</v>
      </c>
      <c r="GX482">
        <v>18</v>
      </c>
      <c r="GY482" t="s">
        <v>424</v>
      </c>
      <c r="GZ482" t="s">
        <v>454</v>
      </c>
      <c r="HB482">
        <v>48</v>
      </c>
      <c r="HC482">
        <v>7045033</v>
      </c>
      <c r="HD482" t="s">
        <v>4053</v>
      </c>
      <c r="HF482" s="1">
        <v>41423</v>
      </c>
      <c r="HG482">
        <v>2012</v>
      </c>
      <c r="HH482">
        <v>61.27</v>
      </c>
      <c r="HI482" t="s">
        <v>5312</v>
      </c>
      <c r="HJ482">
        <v>16.75</v>
      </c>
      <c r="HK482" t="s">
        <v>424</v>
      </c>
      <c r="HL482" t="s">
        <v>454</v>
      </c>
      <c r="HN482">
        <v>60</v>
      </c>
      <c r="HO482">
        <v>10125</v>
      </c>
      <c r="HP482" t="s">
        <v>440</v>
      </c>
      <c r="HR482" s="1">
        <v>41052</v>
      </c>
      <c r="HS482">
        <v>2011</v>
      </c>
      <c r="HT482">
        <v>53.94</v>
      </c>
      <c r="HU482" t="s">
        <v>5313</v>
      </c>
      <c r="HV482">
        <v>18</v>
      </c>
      <c r="HW482" t="s">
        <v>424</v>
      </c>
      <c r="HX482" t="s">
        <v>454</v>
      </c>
      <c r="HZ482">
        <v>72</v>
      </c>
      <c r="IA482">
        <v>10125</v>
      </c>
      <c r="IB482" t="s">
        <v>440</v>
      </c>
      <c r="ID482" s="1">
        <v>40688</v>
      </c>
      <c r="IE482">
        <v>2010</v>
      </c>
      <c r="IF482">
        <v>66.37</v>
      </c>
      <c r="IG482" t="s">
        <v>5314</v>
      </c>
      <c r="IH482">
        <v>18</v>
      </c>
      <c r="II482" t="s">
        <v>424</v>
      </c>
      <c r="IJ482" t="s">
        <v>454</v>
      </c>
      <c r="IL482">
        <v>84</v>
      </c>
      <c r="IM482">
        <v>12071</v>
      </c>
      <c r="IN482" t="s">
        <v>2936</v>
      </c>
      <c r="IP482" s="1">
        <v>40688</v>
      </c>
      <c r="IQ482">
        <v>2010</v>
      </c>
      <c r="IR482">
        <v>52.97</v>
      </c>
      <c r="IS482" t="s">
        <v>5314</v>
      </c>
      <c r="IT482">
        <v>18</v>
      </c>
      <c r="IU482" t="s">
        <v>603</v>
      </c>
      <c r="IV482" t="s">
        <v>454</v>
      </c>
      <c r="IX482">
        <v>84</v>
      </c>
      <c r="IY482">
        <v>9999999</v>
      </c>
      <c r="IZ482" t="s">
        <v>604</v>
      </c>
    </row>
    <row r="483" spans="1:344" x14ac:dyDescent="0.25">
      <c r="A483">
        <v>16485490</v>
      </c>
      <c r="B483">
        <v>482</v>
      </c>
      <c r="C483" t="s">
        <v>393</v>
      </c>
      <c r="D483" t="s">
        <v>394</v>
      </c>
      <c r="F483" t="str">
        <f>"09-3N-24-2480-0018-0010"</f>
        <v>09-3N-24-2480-0018-0010</v>
      </c>
      <c r="H483" t="str">
        <f>"MCLEMORE CHARLES L &amp; EVELYN L"</f>
        <v>MCLEMORE CHARLES L &amp; EVELYN L</v>
      </c>
      <c r="I483" t="str">
        <f>"37286 MILL STREET"</f>
        <v>37286 MILL STREET</v>
      </c>
      <c r="J483" t="str">
        <f t="shared" si="144"/>
        <v>HILLIARD FL 32046</v>
      </c>
      <c r="K483" t="str">
        <f>"MILL ST"</f>
        <v>MILL ST</v>
      </c>
      <c r="L483" t="str">
        <f t="shared" si="141"/>
        <v>HILLIARD FL 32046</v>
      </c>
      <c r="M483" t="str">
        <f>"N1/2 OF LOT 18 IN OR 1277/1839 PONSETTIA PARK PB 3/68"</f>
        <v>N1/2 OF LOT 18 IN OR 1277/1839 PONSETTIA PARK PB 3/68</v>
      </c>
      <c r="N483" t="str">
        <f>""</f>
        <v/>
      </c>
      <c r="O483" t="str">
        <f>"25257"</f>
        <v>25257</v>
      </c>
      <c r="P483" t="str">
        <f t="shared" si="137"/>
        <v>2017</v>
      </c>
      <c r="Q483" t="str">
        <f>""</f>
        <v/>
      </c>
      <c r="R483" t="str">
        <f>"N"</f>
        <v>N</v>
      </c>
      <c r="S483" t="str">
        <f>""</f>
        <v/>
      </c>
      <c r="T483" t="str">
        <f>"125.68"</f>
        <v>125.68</v>
      </c>
      <c r="U483" t="str">
        <f>"9000.00"</f>
        <v>9000.00</v>
      </c>
      <c r="V483" t="str">
        <f>"9000.00"</f>
        <v>9000.00</v>
      </c>
      <c r="W483" t="str">
        <f t="shared" si="138"/>
        <v>2017</v>
      </c>
      <c r="X483" t="str">
        <f>""</f>
        <v/>
      </c>
      <c r="Y483" t="str">
        <f>"161.45"</f>
        <v>161.45</v>
      </c>
      <c r="Z483" t="str">
        <f>""</f>
        <v/>
      </c>
      <c r="AA483" t="str">
        <f>"9000.00"</f>
        <v>9000.00</v>
      </c>
      <c r="AB483" t="str">
        <f t="shared" si="146"/>
        <v>Residential</v>
      </c>
      <c r="AC483" t="str">
        <f t="shared" si="139"/>
        <v>0</v>
      </c>
      <c r="AD483" t="str">
        <f>""</f>
        <v/>
      </c>
      <c r="AE483" t="str">
        <f>""</f>
        <v/>
      </c>
      <c r="AF483" t="str">
        <f>"000"</f>
        <v>000</v>
      </c>
      <c r="AG483" t="str">
        <f t="shared" si="145"/>
        <v>FL</v>
      </c>
      <c r="AH483" t="str">
        <f>"6300.00"</f>
        <v>6300.00</v>
      </c>
      <c r="AI483" t="str">
        <f>"9000.00"</f>
        <v>9000.00</v>
      </c>
      <c r="AJ483" t="str">
        <f>"C55-000-586-8527-2"</f>
        <v>C55-000-586-8527-2</v>
      </c>
      <c r="AK483" t="str">
        <f>"7101"</f>
        <v>7101</v>
      </c>
      <c r="AL483">
        <v>2</v>
      </c>
      <c r="AM483">
        <v>557</v>
      </c>
      <c r="AN483">
        <v>167.92</v>
      </c>
      <c r="AQ483" t="s">
        <v>5315</v>
      </c>
      <c r="AR483" t="s">
        <v>5315</v>
      </c>
      <c r="AS483" t="s">
        <v>5315</v>
      </c>
      <c r="AU483" t="s">
        <v>396</v>
      </c>
      <c r="AV483">
        <v>2017</v>
      </c>
      <c r="AW483" t="str">
        <f>"09-3N-24-2480-0018-0010 "</f>
        <v xml:space="preserve">09-3N-24-2480-0018-0010 </v>
      </c>
      <c r="AZ483" t="s">
        <v>5316</v>
      </c>
      <c r="BA483" t="s">
        <v>1942</v>
      </c>
      <c r="BD483" t="s">
        <v>398</v>
      </c>
      <c r="BE483" t="s">
        <v>393</v>
      </c>
      <c r="BF483">
        <v>32046</v>
      </c>
      <c r="BG483" t="s">
        <v>5317</v>
      </c>
      <c r="BH483" t="s">
        <v>400</v>
      </c>
      <c r="BI483">
        <v>-81.916996435463005</v>
      </c>
      <c r="BJ483">
        <v>30.694583410200799</v>
      </c>
      <c r="BK483" t="s">
        <v>5318</v>
      </c>
      <c r="BL483" t="s">
        <v>5319</v>
      </c>
      <c r="BM483" t="s">
        <v>5320</v>
      </c>
      <c r="BN483" t="s">
        <v>403</v>
      </c>
      <c r="BO483">
        <v>32046</v>
      </c>
      <c r="BP483" t="s">
        <v>404</v>
      </c>
      <c r="BQ483">
        <v>0</v>
      </c>
      <c r="BR483" t="s">
        <v>491</v>
      </c>
      <c r="BS483">
        <v>8001</v>
      </c>
      <c r="BT483" t="s">
        <v>492</v>
      </c>
      <c r="BU483">
        <v>600</v>
      </c>
      <c r="BV483">
        <v>1050</v>
      </c>
      <c r="BW483">
        <v>6300</v>
      </c>
      <c r="BX483" t="s">
        <v>407</v>
      </c>
      <c r="BY483" t="s">
        <v>4520</v>
      </c>
      <c r="CD483">
        <v>2017</v>
      </c>
      <c r="CE483">
        <v>9000</v>
      </c>
      <c r="CG483">
        <v>9000</v>
      </c>
      <c r="CH483">
        <v>2017</v>
      </c>
      <c r="CI483">
        <v>9000</v>
      </c>
      <c r="CK483">
        <v>9000</v>
      </c>
      <c r="CL483">
        <v>2017</v>
      </c>
      <c r="CM483">
        <v>125.68</v>
      </c>
      <c r="CN483" s="1">
        <v>38324</v>
      </c>
      <c r="CO483">
        <v>3500</v>
      </c>
      <c r="CZ483" s="1">
        <v>38324</v>
      </c>
      <c r="DD483" t="s">
        <v>398</v>
      </c>
      <c r="DF483">
        <v>18</v>
      </c>
      <c r="DG483">
        <v>9</v>
      </c>
      <c r="DL483">
        <v>50400</v>
      </c>
      <c r="DM483" t="s">
        <v>5282</v>
      </c>
      <c r="DO483" t="s">
        <v>5321</v>
      </c>
      <c r="DP483">
        <v>0</v>
      </c>
      <c r="DQ483">
        <v>0</v>
      </c>
      <c r="DR483" t="s">
        <v>411</v>
      </c>
    </row>
    <row r="484" spans="1:344" x14ac:dyDescent="0.25">
      <c r="A484">
        <v>16485491</v>
      </c>
      <c r="B484">
        <v>483</v>
      </c>
      <c r="C484" t="s">
        <v>393</v>
      </c>
      <c r="D484" t="s">
        <v>394</v>
      </c>
      <c r="F484" t="str">
        <f>"10-3N-24-073A-0001-0000"</f>
        <v>10-3N-24-073A-0001-0000</v>
      </c>
      <c r="H484" t="str">
        <f>"GREENWELL KEVIN"</f>
        <v>GREENWELL KEVIN</v>
      </c>
      <c r="I484" t="str">
        <f>"151040 COUNTY ROAD 108"</f>
        <v>151040 COUNTY ROAD 108</v>
      </c>
      <c r="J484" t="str">
        <f t="shared" si="144"/>
        <v>HILLIARD FL 32046</v>
      </c>
      <c r="K484" t="str">
        <f>"151040 CR 108"</f>
        <v>151040 CR 108</v>
      </c>
      <c r="L484" t="str">
        <f t="shared" si="141"/>
        <v>HILLIARD FL 32046</v>
      </c>
      <c r="M484" t="str">
        <f>"LOT 1 IN OR 847/259 R787320 &amp; R787321 HENDRICKS ACRES PB 6/91"</f>
        <v>LOT 1 IN OR 847/259 R787320 &amp; R787321 HENDRICKS ACRES PB 6/91</v>
      </c>
      <c r="N484" t="str">
        <f>""</f>
        <v/>
      </c>
      <c r="O484" t="str">
        <f>"26023"</f>
        <v>26023</v>
      </c>
      <c r="P484" t="str">
        <f t="shared" si="137"/>
        <v>2017</v>
      </c>
      <c r="Q484" t="str">
        <f>""</f>
        <v/>
      </c>
      <c r="R484" t="str">
        <f>"Y"</f>
        <v>Y</v>
      </c>
      <c r="S484" t="str">
        <f>"1.06"</f>
        <v>1.06</v>
      </c>
      <c r="T484" t="str">
        <f>"204.09"</f>
        <v>204.09</v>
      </c>
      <c r="U484" t="str">
        <f>"38481.00"</f>
        <v>38481.00</v>
      </c>
      <c r="V484" t="str">
        <f>"38481.00"</f>
        <v>38481.00</v>
      </c>
      <c r="W484" t="str">
        <f t="shared" si="138"/>
        <v>2017</v>
      </c>
      <c r="X484" t="str">
        <f>"3.67"</f>
        <v>3.67</v>
      </c>
      <c r="Y484" t="str">
        <f>"242.21"</f>
        <v>242.21</v>
      </c>
      <c r="Z484" t="str">
        <f>"25000.00"</f>
        <v>25000.00</v>
      </c>
      <c r="AA484" t="str">
        <f>"13481.00"</f>
        <v>13481.00</v>
      </c>
      <c r="AB484" t="str">
        <f t="shared" si="146"/>
        <v>Residential</v>
      </c>
      <c r="AC484" t="str">
        <f t="shared" si="139"/>
        <v>0</v>
      </c>
      <c r="AD484" t="str">
        <f>"4"</f>
        <v>4</v>
      </c>
      <c r="AE484" t="str">
        <f>"WOOD (INCLUDE STEEL STUDS)"</f>
        <v>WOOD (INCLUDE STEEL STUDS)</v>
      </c>
      <c r="AF484" t="str">
        <f>"002"</f>
        <v>002</v>
      </c>
      <c r="AG484" t="str">
        <f t="shared" si="145"/>
        <v>FL</v>
      </c>
      <c r="AH484" t="str">
        <f>"46173.00"</f>
        <v>46173.00</v>
      </c>
      <c r="AI484" t="str">
        <f>"15900.00"</f>
        <v>15900.00</v>
      </c>
      <c r="AJ484" t="str">
        <f>"C55-000-586-8983-7"</f>
        <v>C55-000-586-8983-7</v>
      </c>
      <c r="AK484" t="str">
        <f>"7135"</f>
        <v>7135</v>
      </c>
      <c r="AL484">
        <v>2</v>
      </c>
      <c r="AM484">
        <v>558</v>
      </c>
      <c r="AN484">
        <v>252.72</v>
      </c>
      <c r="AQ484" t="s">
        <v>5322</v>
      </c>
      <c r="AR484" t="s">
        <v>5322</v>
      </c>
      <c r="AS484" t="s">
        <v>5322</v>
      </c>
      <c r="AU484" t="s">
        <v>396</v>
      </c>
      <c r="AV484">
        <v>2017</v>
      </c>
      <c r="AW484" t="str">
        <f>"10-3N-24-073A-0001-0000 "</f>
        <v xml:space="preserve">10-3N-24-073A-0001-0000 </v>
      </c>
      <c r="AX484">
        <v>151040</v>
      </c>
      <c r="AZ484" t="s">
        <v>1206</v>
      </c>
      <c r="BD484" t="s">
        <v>398</v>
      </c>
      <c r="BE484" t="s">
        <v>393</v>
      </c>
      <c r="BF484">
        <v>32046</v>
      </c>
      <c r="BG484" t="s">
        <v>5323</v>
      </c>
      <c r="BH484" t="s">
        <v>400</v>
      </c>
      <c r="BI484">
        <v>-81.897133037870901</v>
      </c>
      <c r="BJ484">
        <v>30.698609983091298</v>
      </c>
      <c r="BK484" t="s">
        <v>5324</v>
      </c>
      <c r="BM484" t="s">
        <v>5325</v>
      </c>
      <c r="BN484" t="s">
        <v>403</v>
      </c>
      <c r="BO484">
        <v>32046</v>
      </c>
      <c r="BP484" t="s">
        <v>416</v>
      </c>
      <c r="BQ484">
        <v>200</v>
      </c>
      <c r="BR484" t="s">
        <v>405</v>
      </c>
      <c r="BS484">
        <v>1006</v>
      </c>
      <c r="BT484" t="s">
        <v>406</v>
      </c>
      <c r="BW484">
        <v>46173</v>
      </c>
      <c r="BX484" t="s">
        <v>407</v>
      </c>
      <c r="BZ484">
        <v>4</v>
      </c>
      <c r="CA484">
        <v>1998</v>
      </c>
      <c r="CB484">
        <v>1</v>
      </c>
      <c r="CC484">
        <v>1</v>
      </c>
      <c r="CD484">
        <v>2017</v>
      </c>
      <c r="CG484">
        <v>38481</v>
      </c>
      <c r="CH484">
        <v>2017</v>
      </c>
      <c r="CI484">
        <v>15900</v>
      </c>
      <c r="CJ484">
        <v>31998</v>
      </c>
      <c r="CK484">
        <v>47898</v>
      </c>
      <c r="CL484">
        <v>2017</v>
      </c>
      <c r="CM484">
        <v>204.09</v>
      </c>
      <c r="CN484" s="1">
        <v>36039</v>
      </c>
      <c r="CO484">
        <v>21000</v>
      </c>
      <c r="CZ484" s="1">
        <v>36039</v>
      </c>
      <c r="DD484" t="s">
        <v>398</v>
      </c>
      <c r="DF484">
        <v>1</v>
      </c>
      <c r="DG484">
        <v>10</v>
      </c>
      <c r="DL484">
        <v>50400</v>
      </c>
      <c r="DM484" t="s">
        <v>5326</v>
      </c>
      <c r="DO484" t="s">
        <v>5327</v>
      </c>
      <c r="DP484">
        <v>0</v>
      </c>
      <c r="DQ484">
        <v>0</v>
      </c>
      <c r="DR484" t="s">
        <v>411</v>
      </c>
      <c r="EP484" t="s">
        <v>595</v>
      </c>
      <c r="EQ484" t="s">
        <v>422</v>
      </c>
      <c r="ER484">
        <v>0</v>
      </c>
      <c r="ES484">
        <v>2</v>
      </c>
      <c r="ET484">
        <v>0</v>
      </c>
      <c r="EU484">
        <v>0</v>
      </c>
      <c r="EV484">
        <v>0</v>
      </c>
      <c r="EW484" s="2">
        <v>43222</v>
      </c>
      <c r="EX484" s="1">
        <v>42515</v>
      </c>
      <c r="EY484">
        <v>2015</v>
      </c>
      <c r="EZ484">
        <v>233.34</v>
      </c>
      <c r="FA484" t="s">
        <v>5328</v>
      </c>
      <c r="FB484">
        <v>18</v>
      </c>
      <c r="FC484" t="s">
        <v>603</v>
      </c>
      <c r="FD484" t="s">
        <v>425</v>
      </c>
      <c r="FF484">
        <v>22</v>
      </c>
      <c r="FG484">
        <v>9999999</v>
      </c>
      <c r="FH484" t="s">
        <v>604</v>
      </c>
      <c r="FJ484" s="1">
        <v>42515</v>
      </c>
      <c r="FK484">
        <v>2015</v>
      </c>
      <c r="FL484">
        <v>257.08999999999997</v>
      </c>
      <c r="FM484" t="s">
        <v>5328</v>
      </c>
      <c r="FN484">
        <v>18</v>
      </c>
      <c r="FO484" t="s">
        <v>424</v>
      </c>
      <c r="FP484" t="s">
        <v>425</v>
      </c>
      <c r="FQ484" s="1">
        <v>42768</v>
      </c>
      <c r="FR484">
        <v>9</v>
      </c>
      <c r="FS484">
        <v>7336144</v>
      </c>
      <c r="FT484" t="s">
        <v>5329</v>
      </c>
    </row>
    <row r="485" spans="1:344" x14ac:dyDescent="0.25">
      <c r="A485">
        <v>16485492</v>
      </c>
      <c r="B485">
        <v>484</v>
      </c>
      <c r="C485" t="s">
        <v>393</v>
      </c>
      <c r="D485" t="s">
        <v>394</v>
      </c>
      <c r="F485" t="str">
        <f>"10-3N-24-0775-0005-0000"</f>
        <v>10-3N-24-0775-0005-0000</v>
      </c>
      <c r="H485" t="str">
        <f>"DUBOSE KAREN"</f>
        <v>DUBOSE KAREN</v>
      </c>
      <c r="I485" t="str">
        <f>"151084 CR 108"</f>
        <v>151084 CR 108</v>
      </c>
      <c r="J485" t="str">
        <f t="shared" si="144"/>
        <v>HILLIARD FL 32046</v>
      </c>
      <c r="K485" t="str">
        <f>"151084 CR 108"</f>
        <v>151084 CR 108</v>
      </c>
      <c r="L485" t="str">
        <f t="shared" si="141"/>
        <v>HILLIARD FL 32046</v>
      </c>
      <c r="M485" t="str">
        <f>"LOT 5 IN OR 859/945 EX R/W IN OR 860/1122 HOG HILL 1 PB 5/327"</f>
        <v>LOT 5 IN OR 859/945 EX R/W IN OR 860/1122 HOG HILL 1 PB 5/327</v>
      </c>
      <c r="N485" t="str">
        <f>""</f>
        <v/>
      </c>
      <c r="O485" t="str">
        <f>"26036"</f>
        <v>26036</v>
      </c>
      <c r="P485" t="str">
        <f t="shared" si="137"/>
        <v>2017</v>
      </c>
      <c r="Q485" t="str">
        <f>""</f>
        <v/>
      </c>
      <c r="R485" t="str">
        <f>"N"</f>
        <v>N</v>
      </c>
      <c r="S485" t="str">
        <f>"1.07"</f>
        <v>1.07</v>
      </c>
      <c r="T485" t="str">
        <f>"468.94"</f>
        <v>468.94</v>
      </c>
      <c r="U485" t="str">
        <f>"27451.00"</f>
        <v>27451.00</v>
      </c>
      <c r="V485" t="str">
        <f>"27451.00"</f>
        <v>27451.00</v>
      </c>
      <c r="W485" t="str">
        <f t="shared" si="138"/>
        <v>2017</v>
      </c>
      <c r="X485" t="str">
        <f>"25.17"</f>
        <v>25.17</v>
      </c>
      <c r="Y485" t="str">
        <f>"515.01"</f>
        <v>515.01</v>
      </c>
      <c r="Z485" t="str">
        <f>""</f>
        <v/>
      </c>
      <c r="AA485" t="str">
        <f>"35538.00"</f>
        <v>35538.00</v>
      </c>
      <c r="AB485" t="str">
        <f t="shared" si="146"/>
        <v>Residential</v>
      </c>
      <c r="AC485" t="str">
        <f t="shared" si="139"/>
        <v>0</v>
      </c>
      <c r="AD485" t="str">
        <f>"4"</f>
        <v>4</v>
      </c>
      <c r="AE485" t="str">
        <f>"WOOD (INCLUDE STEEL STUDS)"</f>
        <v>WOOD (INCLUDE STEEL STUDS)</v>
      </c>
      <c r="AF485" t="str">
        <f>"002"</f>
        <v>002</v>
      </c>
      <c r="AG485" t="str">
        <f t="shared" si="145"/>
        <v>FL</v>
      </c>
      <c r="AH485" t="str">
        <f>"46609.00"</f>
        <v>46609.00</v>
      </c>
      <c r="AI485" t="str">
        <f>"16050.00"</f>
        <v>16050.00</v>
      </c>
      <c r="AJ485" t="str">
        <f>"C55-000-586-8995-1"</f>
        <v>C55-000-586-8995-1</v>
      </c>
      <c r="AK485" t="str">
        <f>"7147"</f>
        <v>7147</v>
      </c>
      <c r="AL485">
        <v>2</v>
      </c>
      <c r="AM485">
        <v>559</v>
      </c>
      <c r="AN485">
        <v>539.16</v>
      </c>
      <c r="AQ485" t="s">
        <v>5330</v>
      </c>
      <c r="AR485" t="s">
        <v>5330</v>
      </c>
      <c r="AS485" t="s">
        <v>5330</v>
      </c>
      <c r="AU485" t="s">
        <v>396</v>
      </c>
      <c r="AV485">
        <v>2017</v>
      </c>
      <c r="AW485" t="str">
        <f>"10-3N-24-0775-0005-0000 "</f>
        <v xml:space="preserve">10-3N-24-0775-0005-0000 </v>
      </c>
      <c r="AX485">
        <v>151084</v>
      </c>
      <c r="AZ485" t="s">
        <v>1206</v>
      </c>
      <c r="BD485" t="s">
        <v>398</v>
      </c>
      <c r="BE485" t="s">
        <v>393</v>
      </c>
      <c r="BF485">
        <v>32046</v>
      </c>
      <c r="BG485" t="s">
        <v>5331</v>
      </c>
      <c r="BH485" t="s">
        <v>400</v>
      </c>
      <c r="BI485">
        <v>-81.890265250672897</v>
      </c>
      <c r="BJ485">
        <v>30.699010700509799</v>
      </c>
      <c r="BK485" t="s">
        <v>5332</v>
      </c>
      <c r="BM485" t="s">
        <v>5331</v>
      </c>
      <c r="BN485" t="s">
        <v>403</v>
      </c>
      <c r="BO485">
        <v>32046</v>
      </c>
      <c r="BP485" t="s">
        <v>416</v>
      </c>
      <c r="BQ485">
        <v>200</v>
      </c>
      <c r="BR485" t="s">
        <v>405</v>
      </c>
      <c r="BS485">
        <v>1006</v>
      </c>
      <c r="BT485" t="s">
        <v>406</v>
      </c>
      <c r="BW485">
        <v>46609</v>
      </c>
      <c r="BX485" t="s">
        <v>407</v>
      </c>
      <c r="BY485" t="s">
        <v>408</v>
      </c>
      <c r="BZ485">
        <v>4</v>
      </c>
      <c r="CA485">
        <v>1993</v>
      </c>
      <c r="CC485">
        <v>1</v>
      </c>
      <c r="CD485">
        <v>2017</v>
      </c>
      <c r="CE485">
        <v>16050</v>
      </c>
      <c r="CF485">
        <v>19488</v>
      </c>
      <c r="CG485">
        <v>35538</v>
      </c>
      <c r="CH485">
        <v>2017</v>
      </c>
      <c r="CI485">
        <v>16050</v>
      </c>
      <c r="CJ485">
        <v>19488</v>
      </c>
      <c r="CK485">
        <v>35538</v>
      </c>
      <c r="CL485">
        <v>2017</v>
      </c>
      <c r="CM485">
        <v>468.94</v>
      </c>
      <c r="CN485" s="1">
        <v>36146</v>
      </c>
      <c r="CO485">
        <v>19400</v>
      </c>
      <c r="CZ485" s="1">
        <v>36146</v>
      </c>
      <c r="DD485" t="s">
        <v>398</v>
      </c>
      <c r="DF485">
        <v>5</v>
      </c>
      <c r="DG485">
        <v>10</v>
      </c>
      <c r="DL485">
        <v>50400</v>
      </c>
      <c r="DM485" t="s">
        <v>5326</v>
      </c>
      <c r="DO485" t="s">
        <v>5333</v>
      </c>
      <c r="DP485">
        <v>0</v>
      </c>
      <c r="DQ485">
        <v>0</v>
      </c>
      <c r="DR485" t="s">
        <v>411</v>
      </c>
      <c r="DS485" t="b">
        <v>1</v>
      </c>
      <c r="DT485" t="s">
        <v>470</v>
      </c>
      <c r="DU485" t="s">
        <v>471</v>
      </c>
      <c r="DV485" t="s">
        <v>472</v>
      </c>
      <c r="DX485">
        <v>-9999</v>
      </c>
      <c r="DZ485" t="s">
        <v>447</v>
      </c>
      <c r="EA485" t="s">
        <v>448</v>
      </c>
      <c r="EB485" t="s">
        <v>1224</v>
      </c>
      <c r="EC485">
        <v>20101217</v>
      </c>
      <c r="ED485" t="s">
        <v>474</v>
      </c>
      <c r="EF485">
        <v>296.5</v>
      </c>
      <c r="EG485">
        <v>296.5</v>
      </c>
      <c r="EI485">
        <v>20160407</v>
      </c>
      <c r="EJ485">
        <v>0</v>
      </c>
      <c r="EK485">
        <v>0</v>
      </c>
      <c r="EP485" t="s">
        <v>421</v>
      </c>
      <c r="EQ485" t="s">
        <v>422</v>
      </c>
      <c r="ER485">
        <v>0</v>
      </c>
      <c r="ES485">
        <v>16</v>
      </c>
      <c r="ET485">
        <v>0</v>
      </c>
      <c r="EU485">
        <v>0</v>
      </c>
      <c r="EV485">
        <v>0</v>
      </c>
      <c r="EW485" s="2">
        <v>43222</v>
      </c>
      <c r="EX485" s="1">
        <v>42515</v>
      </c>
      <c r="EY485">
        <v>2015</v>
      </c>
      <c r="EZ485">
        <v>386.8</v>
      </c>
      <c r="FA485" t="s">
        <v>5334</v>
      </c>
      <c r="FB485">
        <v>13.75</v>
      </c>
      <c r="FC485" t="s">
        <v>424</v>
      </c>
      <c r="FD485" t="s">
        <v>425</v>
      </c>
      <c r="FE485" s="1">
        <v>42825</v>
      </c>
      <c r="FF485">
        <v>10</v>
      </c>
      <c r="FG485">
        <v>10125</v>
      </c>
      <c r="FH485" t="s">
        <v>440</v>
      </c>
      <c r="FJ485" s="1">
        <v>42151</v>
      </c>
      <c r="FK485">
        <v>2014</v>
      </c>
      <c r="FL485">
        <v>422.91</v>
      </c>
      <c r="FM485" t="s">
        <v>5335</v>
      </c>
      <c r="FN485">
        <v>4</v>
      </c>
      <c r="FO485" t="s">
        <v>424</v>
      </c>
      <c r="FP485" t="s">
        <v>425</v>
      </c>
      <c r="FR485">
        <v>22</v>
      </c>
      <c r="FS485">
        <v>15399</v>
      </c>
      <c r="FT485" t="s">
        <v>485</v>
      </c>
      <c r="FV485" s="1">
        <v>42151</v>
      </c>
      <c r="FW485">
        <v>2014</v>
      </c>
      <c r="FX485">
        <v>422.91</v>
      </c>
      <c r="FY485" t="s">
        <v>5335</v>
      </c>
      <c r="FZ485">
        <v>4</v>
      </c>
      <c r="GA485" t="s">
        <v>424</v>
      </c>
      <c r="GB485" t="s">
        <v>425</v>
      </c>
      <c r="GD485">
        <v>22</v>
      </c>
      <c r="GE485">
        <v>7045016</v>
      </c>
      <c r="GF485" t="s">
        <v>4403</v>
      </c>
      <c r="GH485" s="1">
        <v>42151</v>
      </c>
      <c r="GI485">
        <v>2014</v>
      </c>
      <c r="GJ485">
        <v>422.91</v>
      </c>
      <c r="GK485" t="s">
        <v>5335</v>
      </c>
      <c r="GL485">
        <v>4</v>
      </c>
      <c r="GM485" t="s">
        <v>424</v>
      </c>
      <c r="GN485" t="s">
        <v>425</v>
      </c>
      <c r="GP485">
        <v>22</v>
      </c>
      <c r="GQ485">
        <v>7336692</v>
      </c>
      <c r="GR485" t="s">
        <v>822</v>
      </c>
      <c r="GT485" s="1">
        <v>42151</v>
      </c>
      <c r="GU485">
        <v>2014</v>
      </c>
      <c r="GV485">
        <v>422.91</v>
      </c>
      <c r="GW485" t="s">
        <v>5335</v>
      </c>
      <c r="GX485">
        <v>4</v>
      </c>
      <c r="GY485" t="s">
        <v>424</v>
      </c>
      <c r="GZ485" t="s">
        <v>425</v>
      </c>
      <c r="HA485" s="1">
        <v>42784</v>
      </c>
      <c r="HB485">
        <v>21</v>
      </c>
      <c r="HC485">
        <v>7336698</v>
      </c>
      <c r="HD485" t="s">
        <v>823</v>
      </c>
      <c r="HF485" s="1">
        <v>41423</v>
      </c>
      <c r="HG485">
        <v>2012</v>
      </c>
      <c r="HH485">
        <v>381.76</v>
      </c>
      <c r="HI485" t="s">
        <v>5336</v>
      </c>
      <c r="HJ485">
        <v>4.5</v>
      </c>
      <c r="HK485" t="s">
        <v>424</v>
      </c>
      <c r="HL485" t="s">
        <v>425</v>
      </c>
      <c r="HN485">
        <v>22</v>
      </c>
      <c r="HO485">
        <v>15399</v>
      </c>
      <c r="HP485" t="s">
        <v>485</v>
      </c>
      <c r="HR485" s="1">
        <v>41423</v>
      </c>
      <c r="HS485">
        <v>2012</v>
      </c>
      <c r="HT485">
        <v>381.76</v>
      </c>
      <c r="HU485" t="s">
        <v>5336</v>
      </c>
      <c r="HV485">
        <v>4.5</v>
      </c>
      <c r="HW485" t="s">
        <v>424</v>
      </c>
      <c r="HX485" t="s">
        <v>425</v>
      </c>
      <c r="HZ485">
        <v>22</v>
      </c>
      <c r="IA485">
        <v>13027</v>
      </c>
      <c r="IB485" t="s">
        <v>826</v>
      </c>
      <c r="ID485" s="1">
        <v>41423</v>
      </c>
      <c r="IE485">
        <v>2012</v>
      </c>
      <c r="IF485">
        <v>381.76</v>
      </c>
      <c r="IG485" t="s">
        <v>5336</v>
      </c>
      <c r="IH485">
        <v>4.5</v>
      </c>
      <c r="II485" t="s">
        <v>424</v>
      </c>
      <c r="IJ485" t="s">
        <v>425</v>
      </c>
      <c r="IL485">
        <v>22</v>
      </c>
      <c r="IM485">
        <v>7336692</v>
      </c>
      <c r="IN485" t="s">
        <v>822</v>
      </c>
      <c r="IP485" s="1">
        <v>41423</v>
      </c>
      <c r="IQ485">
        <v>2012</v>
      </c>
      <c r="IR485">
        <v>381.76</v>
      </c>
      <c r="IS485" t="s">
        <v>5336</v>
      </c>
      <c r="IT485">
        <v>4.5</v>
      </c>
      <c r="IU485" t="s">
        <v>424</v>
      </c>
      <c r="IV485" t="s">
        <v>425</v>
      </c>
      <c r="IW485" s="1">
        <v>42769</v>
      </c>
      <c r="IX485">
        <v>45</v>
      </c>
      <c r="IY485">
        <v>7336698</v>
      </c>
      <c r="IZ485" t="s">
        <v>823</v>
      </c>
      <c r="JB485" s="1">
        <v>41423</v>
      </c>
      <c r="JC485">
        <v>2011</v>
      </c>
      <c r="JD485">
        <v>407.81</v>
      </c>
      <c r="JE485" t="s">
        <v>5337</v>
      </c>
      <c r="JF485">
        <v>5.75</v>
      </c>
      <c r="JG485" t="s">
        <v>424</v>
      </c>
      <c r="JH485" t="s">
        <v>425</v>
      </c>
      <c r="JJ485">
        <v>22</v>
      </c>
      <c r="JK485">
        <v>1127</v>
      </c>
      <c r="JL485" t="s">
        <v>1379</v>
      </c>
      <c r="JN485" s="1">
        <v>41423</v>
      </c>
      <c r="JO485">
        <v>2011</v>
      </c>
      <c r="JP485">
        <v>407.81</v>
      </c>
      <c r="JQ485" t="s">
        <v>5337</v>
      </c>
      <c r="JR485">
        <v>5.75</v>
      </c>
      <c r="JS485" t="s">
        <v>424</v>
      </c>
      <c r="JT485" t="s">
        <v>425</v>
      </c>
      <c r="JV485">
        <v>22</v>
      </c>
      <c r="JW485">
        <v>2035919</v>
      </c>
      <c r="JX485" t="s">
        <v>507</v>
      </c>
      <c r="JZ485" s="1">
        <v>41423</v>
      </c>
      <c r="KA485">
        <v>2011</v>
      </c>
      <c r="KB485">
        <v>407.81</v>
      </c>
      <c r="KC485" t="s">
        <v>5337</v>
      </c>
      <c r="KD485">
        <v>5.75</v>
      </c>
      <c r="KE485" t="s">
        <v>424</v>
      </c>
      <c r="KF485" t="s">
        <v>425</v>
      </c>
      <c r="KG485" s="1">
        <v>42769</v>
      </c>
      <c r="KH485">
        <v>45</v>
      </c>
      <c r="KI485">
        <v>7336670</v>
      </c>
      <c r="KJ485" t="s">
        <v>2102</v>
      </c>
      <c r="KL485" s="1">
        <v>41423</v>
      </c>
      <c r="KM485">
        <v>2010</v>
      </c>
      <c r="KN485">
        <v>504.39</v>
      </c>
      <c r="KO485" t="s">
        <v>5338</v>
      </c>
      <c r="KP485">
        <v>5.75</v>
      </c>
      <c r="KQ485" t="s">
        <v>424</v>
      </c>
      <c r="KR485" t="s">
        <v>425</v>
      </c>
      <c r="KS485" s="1">
        <v>42058</v>
      </c>
      <c r="KT485">
        <v>21</v>
      </c>
      <c r="KU485">
        <v>1127</v>
      </c>
      <c r="KV485" t="s">
        <v>1379</v>
      </c>
      <c r="KX485" s="1">
        <v>41423</v>
      </c>
      <c r="KY485">
        <v>2010</v>
      </c>
      <c r="KZ485">
        <v>504.39</v>
      </c>
      <c r="LA485" t="s">
        <v>5338</v>
      </c>
      <c r="LB485">
        <v>5.75</v>
      </c>
      <c r="LC485" t="s">
        <v>424</v>
      </c>
      <c r="LD485" t="s">
        <v>425</v>
      </c>
      <c r="LF485">
        <v>22</v>
      </c>
      <c r="LG485">
        <v>2035919</v>
      </c>
      <c r="LH485" t="s">
        <v>507</v>
      </c>
      <c r="LJ485" s="1">
        <v>41423</v>
      </c>
      <c r="LK485">
        <v>2009</v>
      </c>
      <c r="LL485">
        <v>649.35</v>
      </c>
      <c r="LM485" t="s">
        <v>5339</v>
      </c>
      <c r="LN485">
        <v>5.75</v>
      </c>
      <c r="LO485" t="s">
        <v>424</v>
      </c>
      <c r="LP485" t="s">
        <v>425</v>
      </c>
      <c r="LQ485" s="1">
        <v>41684</v>
      </c>
      <c r="LR485">
        <v>9</v>
      </c>
      <c r="LS485">
        <v>1127</v>
      </c>
      <c r="LT485" t="s">
        <v>1379</v>
      </c>
      <c r="LV485" s="1">
        <v>41423</v>
      </c>
      <c r="LW485">
        <v>2009</v>
      </c>
      <c r="LX485">
        <v>649.35</v>
      </c>
      <c r="LY485" t="s">
        <v>5339</v>
      </c>
      <c r="LZ485">
        <v>5.75</v>
      </c>
      <c r="MA485" t="s">
        <v>424</v>
      </c>
      <c r="MB485" t="s">
        <v>425</v>
      </c>
      <c r="MD485">
        <v>22</v>
      </c>
      <c r="ME485">
        <v>2035919</v>
      </c>
      <c r="MF485" t="s">
        <v>507</v>
      </c>
    </row>
    <row r="486" spans="1:344" x14ac:dyDescent="0.25">
      <c r="A486">
        <v>16485493</v>
      </c>
      <c r="B486">
        <v>485</v>
      </c>
      <c r="C486" t="s">
        <v>393</v>
      </c>
      <c r="D486" t="s">
        <v>394</v>
      </c>
      <c r="F486" t="str">
        <f>"10-3N-24-2320-0040-0020"</f>
        <v>10-3N-24-2320-0040-0020</v>
      </c>
      <c r="H486" t="str">
        <f>"SMITH BRANDON K &amp; DEANNA M"</f>
        <v>SMITH BRANDON K &amp; DEANNA M</v>
      </c>
      <c r="I486" t="str">
        <f>"37076 MUNDEE PLACE"</f>
        <v>37076 MUNDEE PLACE</v>
      </c>
      <c r="J486" t="str">
        <f t="shared" si="144"/>
        <v>HILLIARD FL 32046</v>
      </c>
      <c r="K486" t="str">
        <f>"37076 MUNDEE PL"</f>
        <v>37076 MUNDEE PL</v>
      </c>
      <c r="L486" t="str">
        <f t="shared" si="141"/>
        <v>HILLIARD FL 32046</v>
      </c>
      <c r="M486" t="str">
        <f>"PT OF LOT 40 IN OR 1637/1305 R672172 &amp; 672173 2009 FLEET SW/MH EX 40-5 DUNN SURVEY"</f>
        <v>PT OF LOT 40 IN OR 1637/1305 R672172 &amp; 672173 2009 FLEET SW/MH EX 40-5 DUNN SURVEY</v>
      </c>
      <c r="N486" t="str">
        <f>""</f>
        <v/>
      </c>
      <c r="O486" t="str">
        <f>"26081"</f>
        <v>26081</v>
      </c>
      <c r="P486" t="str">
        <f t="shared" si="137"/>
        <v>2017</v>
      </c>
      <c r="Q486" t="str">
        <f>""</f>
        <v/>
      </c>
      <c r="R486" t="str">
        <f>"Y"</f>
        <v>Y</v>
      </c>
      <c r="S486" t="str">
        <f>"3.00"</f>
        <v>3.00</v>
      </c>
      <c r="T486" t="str">
        <f>"480.30"</f>
        <v>480.30</v>
      </c>
      <c r="U486" t="str">
        <f>"65433.00"</f>
        <v>65433.00</v>
      </c>
      <c r="V486" t="str">
        <f>"65433.00"</f>
        <v>65433.00</v>
      </c>
      <c r="W486" t="str">
        <f t="shared" si="138"/>
        <v>2017</v>
      </c>
      <c r="X486" t="str">
        <f>"16.00"</f>
        <v>16.00</v>
      </c>
      <c r="Y486" t="str">
        <f>"526.71"</f>
        <v>526.71</v>
      </c>
      <c r="Z486" t="str">
        <f>"25000.00"</f>
        <v>25000.00</v>
      </c>
      <c r="AA486" t="str">
        <f>"40433.00"</f>
        <v>40433.00</v>
      </c>
      <c r="AB486" t="str">
        <f t="shared" si="146"/>
        <v>Residential</v>
      </c>
      <c r="AC486" t="str">
        <f t="shared" si="139"/>
        <v>0</v>
      </c>
      <c r="AD486" t="str">
        <f>"4"</f>
        <v>4</v>
      </c>
      <c r="AE486" t="str">
        <f>"WOOD (INCLUDE STEEL STUDS)"</f>
        <v>WOOD (INCLUDE STEEL STUDS)</v>
      </c>
      <c r="AF486" t="str">
        <f>"002"</f>
        <v>002</v>
      </c>
      <c r="AG486" t="str">
        <f t="shared" si="145"/>
        <v>FL</v>
      </c>
      <c r="AH486" t="str">
        <f>"130680.00"</f>
        <v>130680.00</v>
      </c>
      <c r="AI486" t="str">
        <f>"24000.00"</f>
        <v>24000.00</v>
      </c>
      <c r="AJ486" t="str">
        <f>"C55-000-586-9030-6"</f>
        <v>C55-000-586-9030-6</v>
      </c>
      <c r="AK486" t="str">
        <f>"7189"</f>
        <v>7189</v>
      </c>
      <c r="AL486">
        <v>2</v>
      </c>
      <c r="AM486">
        <v>560</v>
      </c>
      <c r="AN486">
        <v>551.45000000000005</v>
      </c>
      <c r="AQ486" t="s">
        <v>5340</v>
      </c>
      <c r="AR486" t="s">
        <v>5340</v>
      </c>
      <c r="AS486" t="s">
        <v>5340</v>
      </c>
      <c r="AU486" t="s">
        <v>396</v>
      </c>
      <c r="AV486">
        <v>2017</v>
      </c>
      <c r="AW486" t="str">
        <f>"10-3N-24-2320-0040-0020 "</f>
        <v xml:space="preserve">10-3N-24-2320-0040-0020 </v>
      </c>
      <c r="AX486">
        <v>37076</v>
      </c>
      <c r="AZ486" t="s">
        <v>5341</v>
      </c>
      <c r="BA486" t="s">
        <v>641</v>
      </c>
      <c r="BD486" t="s">
        <v>398</v>
      </c>
      <c r="BE486" t="s">
        <v>393</v>
      </c>
      <c r="BF486">
        <v>32046</v>
      </c>
      <c r="BG486" t="s">
        <v>5342</v>
      </c>
      <c r="BH486" t="s">
        <v>400</v>
      </c>
      <c r="BI486">
        <v>-81.903976074369794</v>
      </c>
      <c r="BJ486">
        <v>30.692609705657301</v>
      </c>
      <c r="BK486" t="s">
        <v>5343</v>
      </c>
      <c r="BM486" t="s">
        <v>5344</v>
      </c>
      <c r="BN486" t="s">
        <v>403</v>
      </c>
      <c r="BO486">
        <v>32046</v>
      </c>
      <c r="BP486" t="s">
        <v>404</v>
      </c>
      <c r="BQ486">
        <v>200</v>
      </c>
      <c r="BR486" t="s">
        <v>405</v>
      </c>
      <c r="BS486">
        <v>1006</v>
      </c>
      <c r="BT486" t="s">
        <v>406</v>
      </c>
      <c r="BW486">
        <v>130680</v>
      </c>
      <c r="BX486" t="s">
        <v>407</v>
      </c>
      <c r="BY486" t="s">
        <v>408</v>
      </c>
      <c r="BZ486">
        <v>4</v>
      </c>
      <c r="CA486">
        <v>1979</v>
      </c>
      <c r="CB486">
        <v>1</v>
      </c>
      <c r="CC486">
        <v>2</v>
      </c>
      <c r="CD486">
        <v>2017</v>
      </c>
      <c r="CG486">
        <v>65433</v>
      </c>
      <c r="CH486">
        <v>2017</v>
      </c>
      <c r="CI486">
        <v>24000</v>
      </c>
      <c r="CJ486">
        <v>43581</v>
      </c>
      <c r="CK486">
        <v>67581</v>
      </c>
      <c r="CL486">
        <v>2017</v>
      </c>
      <c r="CM486">
        <v>480.3</v>
      </c>
      <c r="CN486" s="1">
        <v>43012</v>
      </c>
      <c r="CV486">
        <v>0</v>
      </c>
      <c r="CZ486" s="1">
        <v>43012</v>
      </c>
      <c r="DA486">
        <v>0</v>
      </c>
      <c r="DD486" t="s">
        <v>398</v>
      </c>
      <c r="DF486">
        <v>40</v>
      </c>
      <c r="DG486">
        <v>10</v>
      </c>
      <c r="DL486">
        <v>50400</v>
      </c>
      <c r="DM486" t="s">
        <v>5326</v>
      </c>
      <c r="DO486" t="s">
        <v>5345</v>
      </c>
      <c r="DP486">
        <v>0</v>
      </c>
      <c r="DQ486">
        <v>1</v>
      </c>
      <c r="DR486" t="s">
        <v>411</v>
      </c>
      <c r="EP486" t="s">
        <v>421</v>
      </c>
      <c r="EQ486" t="s">
        <v>422</v>
      </c>
      <c r="ER486">
        <v>0</v>
      </c>
      <c r="ES486">
        <v>2</v>
      </c>
      <c r="ET486">
        <v>0</v>
      </c>
      <c r="EU486">
        <v>0</v>
      </c>
      <c r="EV486">
        <v>0</v>
      </c>
      <c r="EW486" s="2">
        <v>43222</v>
      </c>
      <c r="EX486" s="1">
        <v>41787</v>
      </c>
      <c r="EY486">
        <v>2013</v>
      </c>
      <c r="EZ486">
        <v>590.1</v>
      </c>
      <c r="FA486" t="s">
        <v>5346</v>
      </c>
      <c r="FB486">
        <v>0.25</v>
      </c>
      <c r="FC486" t="s">
        <v>424</v>
      </c>
      <c r="FD486" t="s">
        <v>425</v>
      </c>
      <c r="FE486" s="1">
        <v>42073</v>
      </c>
      <c r="FF486">
        <v>10</v>
      </c>
      <c r="FG486">
        <v>2407503</v>
      </c>
      <c r="FH486" t="s">
        <v>461</v>
      </c>
      <c r="FJ486" s="1">
        <v>41052</v>
      </c>
      <c r="FK486">
        <v>2011</v>
      </c>
      <c r="FL486">
        <v>812.16</v>
      </c>
      <c r="FM486" t="s">
        <v>5347</v>
      </c>
      <c r="FN486">
        <v>4.75</v>
      </c>
      <c r="FO486" t="s">
        <v>424</v>
      </c>
      <c r="FP486" t="s">
        <v>425</v>
      </c>
      <c r="FQ486" s="1">
        <v>41729</v>
      </c>
      <c r="FR486">
        <v>22</v>
      </c>
      <c r="FS486">
        <v>12407</v>
      </c>
      <c r="FT486" t="s">
        <v>838</v>
      </c>
    </row>
    <row r="487" spans="1:344" x14ac:dyDescent="0.25">
      <c r="A487">
        <v>16485494</v>
      </c>
      <c r="B487">
        <v>486</v>
      </c>
      <c r="C487" t="s">
        <v>393</v>
      </c>
      <c r="D487" t="s">
        <v>394</v>
      </c>
      <c r="F487" t="str">
        <f>"10-3N-24-2320-0040-0040"</f>
        <v>10-3N-24-2320-0040-0040</v>
      </c>
      <c r="H487" t="str">
        <f>"ROBERTSON CYNTHIA T"</f>
        <v>ROBERTSON CYNTHIA T</v>
      </c>
      <c r="I487" t="str">
        <f>"PO BOX 554"</f>
        <v>PO BOX 554</v>
      </c>
      <c r="J487" t="str">
        <f t="shared" si="144"/>
        <v>HILLIARD FL 32046</v>
      </c>
      <c r="K487" t="str">
        <f>"37362 BULFORD RD"</f>
        <v>37362 BULFORD RD</v>
      </c>
      <c r="L487" t="str">
        <f t="shared" si="141"/>
        <v>HILLIARD FL 32046</v>
      </c>
      <c r="M487" t="str">
        <f>"PT OF LOT 40 IN OR 1163/721 DUNN SURVEY"</f>
        <v>PT OF LOT 40 IN OR 1163/721 DUNN SURVEY</v>
      </c>
      <c r="N487" t="str">
        <f>""</f>
        <v/>
      </c>
      <c r="O487" t="str">
        <f>"26083"</f>
        <v>26083</v>
      </c>
      <c r="P487" t="str">
        <f t="shared" si="137"/>
        <v>2017</v>
      </c>
      <c r="Q487" t="str">
        <f>""</f>
        <v/>
      </c>
      <c r="R487" t="str">
        <f t="shared" ref="R487:R494" si="147">"N"</f>
        <v>N</v>
      </c>
      <c r="S487" t="str">
        <f>"1.12"</f>
        <v>1.12</v>
      </c>
      <c r="T487" t="str">
        <f>"475.77"</f>
        <v>475.77</v>
      </c>
      <c r="U487" t="str">
        <f>"28659.00"</f>
        <v>28659.00</v>
      </c>
      <c r="V487" t="str">
        <f>"28659.00"</f>
        <v>28659.00</v>
      </c>
      <c r="W487" t="str">
        <f t="shared" si="138"/>
        <v>2017</v>
      </c>
      <c r="X487" t="str">
        <f>"28.86"</f>
        <v>28.86</v>
      </c>
      <c r="Y487" t="str">
        <f>"522.04"</f>
        <v>522.04</v>
      </c>
      <c r="Z487" t="str">
        <f>""</f>
        <v/>
      </c>
      <c r="AA487" t="str">
        <f>"35011.00"</f>
        <v>35011.00</v>
      </c>
      <c r="AB487" t="str">
        <f t="shared" si="146"/>
        <v>Residential</v>
      </c>
      <c r="AC487" t="str">
        <f t="shared" si="139"/>
        <v>0</v>
      </c>
      <c r="AD487" t="str">
        <f>"4"</f>
        <v>4</v>
      </c>
      <c r="AE487" t="str">
        <f>"WOOD (INCLUDE STEEL STUDS)"</f>
        <v>WOOD (INCLUDE STEEL STUDS)</v>
      </c>
      <c r="AF487" t="str">
        <f>"002"</f>
        <v>002</v>
      </c>
      <c r="AG487" t="str">
        <f t="shared" si="145"/>
        <v>FL</v>
      </c>
      <c r="AH487" t="str">
        <f>"48787.00"</f>
        <v>48787.00</v>
      </c>
      <c r="AI487" t="str">
        <f>"16800.00"</f>
        <v>16800.00</v>
      </c>
      <c r="AJ487" t="str">
        <f>"C55-000-588-9422-1"</f>
        <v>C55-000-588-9422-1</v>
      </c>
      <c r="AK487" t="str">
        <f>"7191"</f>
        <v>7191</v>
      </c>
      <c r="AL487">
        <v>2</v>
      </c>
      <c r="AM487">
        <v>561</v>
      </c>
      <c r="AN487">
        <v>546.54</v>
      </c>
      <c r="AQ487" t="s">
        <v>5348</v>
      </c>
      <c r="AR487" t="s">
        <v>5348</v>
      </c>
      <c r="AS487" t="s">
        <v>5348</v>
      </c>
      <c r="AU487" t="s">
        <v>396</v>
      </c>
      <c r="AV487">
        <v>2017</v>
      </c>
      <c r="AW487" t="str">
        <f>"10-3N-24-2320-0040-0040 "</f>
        <v xml:space="preserve">10-3N-24-2320-0040-0040 </v>
      </c>
      <c r="AX487">
        <v>37362</v>
      </c>
      <c r="AZ487" t="s">
        <v>5349</v>
      </c>
      <c r="BA487" t="s">
        <v>496</v>
      </c>
      <c r="BD487" t="s">
        <v>398</v>
      </c>
      <c r="BE487" t="s">
        <v>393</v>
      </c>
      <c r="BF487">
        <v>32046</v>
      </c>
      <c r="BG487" t="s">
        <v>5350</v>
      </c>
      <c r="BH487" t="s">
        <v>400</v>
      </c>
      <c r="BI487">
        <v>-81.902911622963401</v>
      </c>
      <c r="BJ487">
        <v>30.692850311591499</v>
      </c>
      <c r="BK487" t="s">
        <v>5351</v>
      </c>
      <c r="BM487" t="s">
        <v>5352</v>
      </c>
      <c r="BN487" t="s">
        <v>403</v>
      </c>
      <c r="BO487">
        <v>32046</v>
      </c>
      <c r="BP487" t="s">
        <v>404</v>
      </c>
      <c r="BQ487">
        <v>200</v>
      </c>
      <c r="BR487" t="s">
        <v>405</v>
      </c>
      <c r="BS487">
        <v>1006</v>
      </c>
      <c r="BT487" t="s">
        <v>406</v>
      </c>
      <c r="BW487">
        <v>48787</v>
      </c>
      <c r="BX487" t="s">
        <v>407</v>
      </c>
      <c r="BY487" t="s">
        <v>408</v>
      </c>
      <c r="BZ487">
        <v>4</v>
      </c>
      <c r="CA487">
        <v>1990</v>
      </c>
      <c r="CC487">
        <v>1</v>
      </c>
      <c r="CD487">
        <v>2017</v>
      </c>
      <c r="CE487">
        <v>16800</v>
      </c>
      <c r="CF487">
        <v>18211</v>
      </c>
      <c r="CG487">
        <v>35011</v>
      </c>
      <c r="CH487">
        <v>2017</v>
      </c>
      <c r="CI487">
        <v>16800</v>
      </c>
      <c r="CJ487">
        <v>18211</v>
      </c>
      <c r="CK487">
        <v>35011</v>
      </c>
      <c r="CL487">
        <v>2017</v>
      </c>
      <c r="CM487">
        <v>475.77</v>
      </c>
      <c r="CN487" s="1">
        <v>37852</v>
      </c>
      <c r="CZ487" s="1">
        <v>37852</v>
      </c>
      <c r="DD487" t="s">
        <v>398</v>
      </c>
      <c r="DF487">
        <v>40</v>
      </c>
      <c r="DG487">
        <v>10</v>
      </c>
      <c r="DL487">
        <v>50400</v>
      </c>
      <c r="DM487" t="s">
        <v>5326</v>
      </c>
      <c r="DO487" t="s">
        <v>5353</v>
      </c>
      <c r="DP487">
        <v>0</v>
      </c>
      <c r="DQ487">
        <v>0</v>
      </c>
      <c r="DR487" t="s">
        <v>411</v>
      </c>
      <c r="DS487" t="b">
        <v>1</v>
      </c>
      <c r="DT487" t="s">
        <v>470</v>
      </c>
      <c r="DU487" t="s">
        <v>471</v>
      </c>
      <c r="DV487" t="s">
        <v>472</v>
      </c>
      <c r="DX487">
        <v>-9999</v>
      </c>
      <c r="DZ487" t="s">
        <v>447</v>
      </c>
      <c r="EA487" t="s">
        <v>448</v>
      </c>
      <c r="EB487" t="s">
        <v>1224</v>
      </c>
      <c r="EC487">
        <v>20101217</v>
      </c>
      <c r="ED487" t="s">
        <v>474</v>
      </c>
      <c r="EF487">
        <v>240</v>
      </c>
      <c r="EG487">
        <v>240</v>
      </c>
      <c r="EI487">
        <v>20160407</v>
      </c>
      <c r="EJ487">
        <v>0</v>
      </c>
      <c r="EK487">
        <v>0</v>
      </c>
      <c r="EP487" t="s">
        <v>421</v>
      </c>
      <c r="EQ487" t="s">
        <v>422</v>
      </c>
      <c r="ER487">
        <v>2</v>
      </c>
      <c r="ES487">
        <v>4</v>
      </c>
      <c r="ET487">
        <v>970.03</v>
      </c>
      <c r="EU487">
        <v>209.18</v>
      </c>
      <c r="EV487">
        <v>1179.21</v>
      </c>
      <c r="EW487" s="2">
        <v>43222</v>
      </c>
      <c r="EX487" s="1">
        <v>42879</v>
      </c>
      <c r="EY487">
        <v>2016</v>
      </c>
      <c r="EZ487">
        <v>492.05</v>
      </c>
      <c r="FA487" t="s">
        <v>5354</v>
      </c>
      <c r="FB487">
        <v>4.5</v>
      </c>
      <c r="FC487" t="s">
        <v>424</v>
      </c>
      <c r="FD487" t="s">
        <v>454</v>
      </c>
      <c r="FF487">
        <v>12</v>
      </c>
      <c r="FG487">
        <v>2035919</v>
      </c>
      <c r="FH487" t="s">
        <v>507</v>
      </c>
      <c r="FJ487" s="1">
        <v>42515</v>
      </c>
      <c r="FK487">
        <v>2015</v>
      </c>
      <c r="FL487">
        <v>477.98</v>
      </c>
      <c r="FM487" t="s">
        <v>5355</v>
      </c>
      <c r="FN487">
        <v>18</v>
      </c>
      <c r="FO487" t="s">
        <v>424</v>
      </c>
      <c r="FP487" t="s">
        <v>454</v>
      </c>
      <c r="FR487">
        <v>24</v>
      </c>
      <c r="FS487">
        <v>10125</v>
      </c>
      <c r="FT487" t="s">
        <v>440</v>
      </c>
      <c r="FV487" s="1">
        <v>41787</v>
      </c>
      <c r="FW487">
        <v>2013</v>
      </c>
      <c r="FX487">
        <v>482.91</v>
      </c>
      <c r="FY487" t="s">
        <v>5356</v>
      </c>
      <c r="FZ487">
        <v>7.25</v>
      </c>
      <c r="GA487" t="s">
        <v>424</v>
      </c>
      <c r="GB487" t="s">
        <v>425</v>
      </c>
      <c r="GC487" s="1">
        <v>42093</v>
      </c>
      <c r="GD487">
        <v>10</v>
      </c>
      <c r="GE487">
        <v>2035919</v>
      </c>
      <c r="GF487" t="s">
        <v>507</v>
      </c>
      <c r="GH487" s="1">
        <v>41423</v>
      </c>
      <c r="GI487">
        <v>2012</v>
      </c>
      <c r="GJ487">
        <v>368.68</v>
      </c>
      <c r="GK487" t="s">
        <v>5357</v>
      </c>
      <c r="GL487">
        <v>5.75</v>
      </c>
      <c r="GM487" t="s">
        <v>424</v>
      </c>
      <c r="GN487" t="s">
        <v>425</v>
      </c>
      <c r="GO487" s="1">
        <v>42093</v>
      </c>
      <c r="GP487">
        <v>22</v>
      </c>
      <c r="GQ487">
        <v>2101381</v>
      </c>
      <c r="GR487" t="s">
        <v>605</v>
      </c>
      <c r="GT487" s="1">
        <v>41052</v>
      </c>
      <c r="GU487">
        <v>2011</v>
      </c>
      <c r="GV487">
        <v>411.35</v>
      </c>
      <c r="GW487" t="s">
        <v>5358</v>
      </c>
      <c r="GX487">
        <v>16.25</v>
      </c>
      <c r="GY487" t="s">
        <v>424</v>
      </c>
      <c r="GZ487" t="s">
        <v>425</v>
      </c>
      <c r="HA487" s="1">
        <v>42093</v>
      </c>
      <c r="HB487">
        <v>34</v>
      </c>
      <c r="HC487">
        <v>10125</v>
      </c>
      <c r="HD487" t="s">
        <v>440</v>
      </c>
      <c r="HF487" s="1">
        <v>40688</v>
      </c>
      <c r="HG487">
        <v>2010</v>
      </c>
      <c r="HH487">
        <v>446.73</v>
      </c>
      <c r="HI487" t="s">
        <v>5359</v>
      </c>
      <c r="HJ487">
        <v>8</v>
      </c>
      <c r="HK487" t="s">
        <v>424</v>
      </c>
      <c r="HL487" t="s">
        <v>425</v>
      </c>
      <c r="HM487" s="1">
        <v>42093</v>
      </c>
      <c r="HN487">
        <v>46</v>
      </c>
      <c r="HO487">
        <v>62</v>
      </c>
      <c r="HP487" t="s">
        <v>463</v>
      </c>
    </row>
    <row r="488" spans="1:344" x14ac:dyDescent="0.25">
      <c r="A488">
        <v>16485495</v>
      </c>
      <c r="B488">
        <v>487</v>
      </c>
      <c r="C488" t="s">
        <v>393</v>
      </c>
      <c r="D488" t="s">
        <v>394</v>
      </c>
      <c r="F488" t="str">
        <f>"10-3N-24-2320-0043-0030"</f>
        <v>10-3N-24-2320-0043-0030</v>
      </c>
      <c r="H488" t="str">
        <f>"SELLERS TINA &amp; VANGORDER JUANITA A EST"</f>
        <v>SELLERS TINA &amp; VANGORDER JUANITA A EST</v>
      </c>
      <c r="I488" t="str">
        <f>"37172 BULFORD ROAD"</f>
        <v>37172 BULFORD ROAD</v>
      </c>
      <c r="J488" t="str">
        <f t="shared" si="144"/>
        <v>HILLIARD FL 32046</v>
      </c>
      <c r="K488" t="str">
        <f>"37172 BULFORD RD"</f>
        <v>37172 BULFORD RD</v>
      </c>
      <c r="L488" t="str">
        <f t="shared" si="141"/>
        <v>HILLIARD FL 32046</v>
      </c>
      <c r="M488" t="str">
        <f>"PT OF LOT 43 IN OR 1039/1099 R278256 &amp; R278257 DUNNS SURVEY"</f>
        <v>PT OF LOT 43 IN OR 1039/1099 R278256 &amp; R278257 DUNNS SURVEY</v>
      </c>
      <c r="N488" t="str">
        <f>""</f>
        <v/>
      </c>
      <c r="O488" t="str">
        <f>"26095"</f>
        <v>26095</v>
      </c>
      <c r="P488" t="str">
        <f t="shared" si="137"/>
        <v>2017</v>
      </c>
      <c r="Q488" t="str">
        <f>""</f>
        <v/>
      </c>
      <c r="R488" t="str">
        <f t="shared" si="147"/>
        <v>N</v>
      </c>
      <c r="S488" t="str">
        <f>"2.77"</f>
        <v>2.77</v>
      </c>
      <c r="T488" t="str">
        <f>"818.33"</f>
        <v>818.33</v>
      </c>
      <c r="U488" t="str">
        <f>"53182.00"</f>
        <v>53182.00</v>
      </c>
      <c r="V488" t="str">
        <f>"53182.00"</f>
        <v>53182.00</v>
      </c>
      <c r="W488" t="str">
        <f t="shared" si="138"/>
        <v>2017</v>
      </c>
      <c r="X488" t="str">
        <f>"16.00"</f>
        <v>16.00</v>
      </c>
      <c r="Y488" t="str">
        <f>"874.88"</f>
        <v>874.88</v>
      </c>
      <c r="Z488" t="str">
        <f>""</f>
        <v/>
      </c>
      <c r="AA488" t="str">
        <f>"55185.00"</f>
        <v>55185.00</v>
      </c>
      <c r="AB488" t="str">
        <f t="shared" si="146"/>
        <v>Residential</v>
      </c>
      <c r="AC488" t="str">
        <f t="shared" si="139"/>
        <v>0</v>
      </c>
      <c r="AD488" t="str">
        <f>"4"</f>
        <v>4</v>
      </c>
      <c r="AE488" t="str">
        <f>"WOOD (INCLUDE STEEL STUDS)"</f>
        <v>WOOD (INCLUDE STEEL STUDS)</v>
      </c>
      <c r="AF488" t="str">
        <f>"002"</f>
        <v>002</v>
      </c>
      <c r="AG488" t="str">
        <f t="shared" si="145"/>
        <v>FL</v>
      </c>
      <c r="AH488" t="str">
        <f>"120661.00"</f>
        <v>120661.00</v>
      </c>
      <c r="AI488" t="str">
        <f>"33240.00"</f>
        <v>33240.00</v>
      </c>
      <c r="AJ488" t="str">
        <f>"C55-000-586-9042-1"</f>
        <v>C55-000-586-9042-1</v>
      </c>
      <c r="AK488" t="str">
        <f>"7203"</f>
        <v>7203</v>
      </c>
      <c r="AL488">
        <v>2</v>
      </c>
      <c r="AM488">
        <v>565</v>
      </c>
      <c r="AN488">
        <v>917.02</v>
      </c>
      <c r="AQ488" t="s">
        <v>5360</v>
      </c>
      <c r="AR488" t="s">
        <v>5360</v>
      </c>
      <c r="AS488" t="s">
        <v>5360</v>
      </c>
      <c r="AU488" t="s">
        <v>396</v>
      </c>
      <c r="AV488">
        <v>2017</v>
      </c>
      <c r="AW488" t="str">
        <f>"10-3N-24-2320-0043-0030 "</f>
        <v xml:space="preserve">10-3N-24-2320-0043-0030 </v>
      </c>
      <c r="AX488">
        <v>37172</v>
      </c>
      <c r="AZ488" t="s">
        <v>5349</v>
      </c>
      <c r="BA488" t="s">
        <v>496</v>
      </c>
      <c r="BD488" t="s">
        <v>398</v>
      </c>
      <c r="BE488" t="s">
        <v>393</v>
      </c>
      <c r="BF488">
        <v>32046</v>
      </c>
      <c r="BG488" t="s">
        <v>5361</v>
      </c>
      <c r="BH488" t="s">
        <v>400</v>
      </c>
      <c r="BI488">
        <v>-81.902525832645907</v>
      </c>
      <c r="BJ488">
        <v>30.690158015298401</v>
      </c>
      <c r="BK488" t="s">
        <v>5362</v>
      </c>
      <c r="BL488" t="s">
        <v>5363</v>
      </c>
      <c r="BM488" t="s">
        <v>5361</v>
      </c>
      <c r="BN488" t="s">
        <v>403</v>
      </c>
      <c r="BO488">
        <v>32046</v>
      </c>
      <c r="BP488" t="s">
        <v>416</v>
      </c>
      <c r="BQ488">
        <v>200</v>
      </c>
      <c r="BR488" t="s">
        <v>405</v>
      </c>
      <c r="BS488">
        <v>1006</v>
      </c>
      <c r="BT488" t="s">
        <v>406</v>
      </c>
      <c r="BW488">
        <v>120661</v>
      </c>
      <c r="BX488" t="s">
        <v>407</v>
      </c>
      <c r="BY488" t="s">
        <v>408</v>
      </c>
      <c r="BZ488">
        <v>4</v>
      </c>
      <c r="CA488">
        <v>1987</v>
      </c>
      <c r="CB488">
        <v>1</v>
      </c>
      <c r="CC488">
        <v>1</v>
      </c>
      <c r="CD488">
        <v>2017</v>
      </c>
      <c r="CE488">
        <v>33240</v>
      </c>
      <c r="CF488">
        <v>21945</v>
      </c>
      <c r="CG488">
        <v>55185</v>
      </c>
      <c r="CH488">
        <v>2017</v>
      </c>
      <c r="CI488">
        <v>33240</v>
      </c>
      <c r="CJ488">
        <v>21945</v>
      </c>
      <c r="CK488">
        <v>55185</v>
      </c>
      <c r="CL488">
        <v>2017</v>
      </c>
      <c r="CM488">
        <v>818.33</v>
      </c>
      <c r="CN488" s="1">
        <v>37312</v>
      </c>
      <c r="CZ488" s="1">
        <v>37312</v>
      </c>
      <c r="DD488" t="s">
        <v>398</v>
      </c>
      <c r="DF488">
        <v>43</v>
      </c>
      <c r="DG488">
        <v>10</v>
      </c>
      <c r="DL488">
        <v>50400</v>
      </c>
      <c r="DM488" t="s">
        <v>5326</v>
      </c>
      <c r="DO488" t="s">
        <v>5364</v>
      </c>
      <c r="DP488">
        <v>0</v>
      </c>
      <c r="DQ488">
        <v>0</v>
      </c>
      <c r="DR488" t="s">
        <v>411</v>
      </c>
      <c r="DS488" t="b">
        <v>1</v>
      </c>
      <c r="DT488" t="s">
        <v>470</v>
      </c>
      <c r="DU488" t="s">
        <v>471</v>
      </c>
      <c r="DV488" t="s">
        <v>472</v>
      </c>
      <c r="DX488">
        <v>-9999</v>
      </c>
      <c r="DZ488" t="s">
        <v>447</v>
      </c>
      <c r="EA488" t="s">
        <v>448</v>
      </c>
      <c r="EB488" t="s">
        <v>1224</v>
      </c>
      <c r="EC488">
        <v>20101217</v>
      </c>
      <c r="ED488" t="s">
        <v>474</v>
      </c>
      <c r="EF488">
        <v>1186.5</v>
      </c>
      <c r="EG488">
        <v>1186.5</v>
      </c>
      <c r="EI488">
        <v>20160407</v>
      </c>
      <c r="EJ488">
        <v>0</v>
      </c>
      <c r="EK488">
        <v>0</v>
      </c>
      <c r="EP488" t="s">
        <v>421</v>
      </c>
      <c r="EQ488" t="s">
        <v>422</v>
      </c>
      <c r="ER488">
        <v>0</v>
      </c>
      <c r="ES488">
        <v>5</v>
      </c>
      <c r="ET488">
        <v>0</v>
      </c>
      <c r="EU488">
        <v>0</v>
      </c>
      <c r="EV488">
        <v>0</v>
      </c>
      <c r="EW488" s="2">
        <v>43222</v>
      </c>
      <c r="EX488" s="1">
        <v>42515</v>
      </c>
      <c r="EY488">
        <v>2015</v>
      </c>
      <c r="EZ488">
        <v>853.89</v>
      </c>
      <c r="FA488" t="s">
        <v>5365</v>
      </c>
      <c r="FB488">
        <v>0.25</v>
      </c>
      <c r="FC488" t="s">
        <v>424</v>
      </c>
      <c r="FD488" t="s">
        <v>425</v>
      </c>
      <c r="FE488" s="1">
        <v>42877</v>
      </c>
      <c r="FF488">
        <v>12</v>
      </c>
      <c r="FG488">
        <v>2851116</v>
      </c>
      <c r="FH488" t="s">
        <v>480</v>
      </c>
      <c r="FJ488" s="1">
        <v>42515</v>
      </c>
      <c r="FK488">
        <v>2015</v>
      </c>
      <c r="FL488">
        <v>853.89</v>
      </c>
      <c r="FM488" t="s">
        <v>5365</v>
      </c>
      <c r="FN488">
        <v>0.25</v>
      </c>
      <c r="FO488" t="s">
        <v>424</v>
      </c>
      <c r="FP488" t="s">
        <v>425</v>
      </c>
      <c r="FR488">
        <v>22</v>
      </c>
      <c r="FS488">
        <v>5504855</v>
      </c>
      <c r="FT488" t="s">
        <v>5366</v>
      </c>
      <c r="FV488" s="1">
        <v>42151</v>
      </c>
      <c r="FW488">
        <v>2014</v>
      </c>
      <c r="FX488">
        <v>705.35</v>
      </c>
      <c r="FY488" t="s">
        <v>5367</v>
      </c>
      <c r="FZ488">
        <v>0.25</v>
      </c>
      <c r="GA488" t="s">
        <v>424</v>
      </c>
      <c r="GB488" t="s">
        <v>425</v>
      </c>
      <c r="GC488" s="1">
        <v>42877</v>
      </c>
      <c r="GD488">
        <v>24</v>
      </c>
      <c r="GE488">
        <v>2851116</v>
      </c>
      <c r="GF488" t="s">
        <v>480</v>
      </c>
      <c r="GH488" s="1">
        <v>42151</v>
      </c>
      <c r="GI488">
        <v>2014</v>
      </c>
      <c r="GJ488">
        <v>705.35</v>
      </c>
      <c r="GK488" t="s">
        <v>5367</v>
      </c>
      <c r="GL488">
        <v>0.25</v>
      </c>
      <c r="GM488" t="s">
        <v>424</v>
      </c>
      <c r="GN488" t="s">
        <v>425</v>
      </c>
      <c r="GP488">
        <v>22</v>
      </c>
      <c r="GQ488">
        <v>5227930</v>
      </c>
      <c r="GR488" t="s">
        <v>5368</v>
      </c>
      <c r="GT488" s="1">
        <v>40688</v>
      </c>
      <c r="GU488">
        <v>2010</v>
      </c>
      <c r="GV488">
        <v>546.27</v>
      </c>
      <c r="GW488" t="s">
        <v>5369</v>
      </c>
      <c r="GX488">
        <v>5.25</v>
      </c>
      <c r="GY488" t="s">
        <v>424</v>
      </c>
      <c r="GZ488" t="s">
        <v>425</v>
      </c>
      <c r="HA488" s="1">
        <v>40961</v>
      </c>
      <c r="HB488">
        <v>9</v>
      </c>
      <c r="HC488">
        <v>287</v>
      </c>
      <c r="HD488" t="s">
        <v>572</v>
      </c>
    </row>
    <row r="489" spans="1:344" x14ac:dyDescent="0.25">
      <c r="A489">
        <v>16485496</v>
      </c>
      <c r="B489">
        <v>488</v>
      </c>
      <c r="C489" t="s">
        <v>393</v>
      </c>
      <c r="D489" t="s">
        <v>394</v>
      </c>
      <c r="F489" t="str">
        <f>"15-3N-24-0000-0002-0000"</f>
        <v>15-3N-24-0000-0002-0000</v>
      </c>
      <c r="H489" t="str">
        <f>"OKEFENOKEE II L C"</f>
        <v>OKEFENOKEE II L C</v>
      </c>
      <c r="I489" t="str">
        <f>"PO BOX 50338"</f>
        <v>PO BOX 50338</v>
      </c>
      <c r="J489" t="str">
        <f>"JACKSONVILLE BEACH FL 32240"</f>
        <v>JACKSONVILLE BEACH FL 32240</v>
      </c>
      <c r="K489" t="str">
        <f>"ESMT OFF ALICE ST"</f>
        <v>ESMT OFF ALICE ST</v>
      </c>
      <c r="L489" t="str">
        <f t="shared" si="141"/>
        <v>HILLIARD FL 32046</v>
      </c>
      <c r="M489" t="str">
        <f>"PT OF NW1/4 OF NW1/4 OF SEC 15-3N-24E IN OR 1287/886 (EX PT IN OR 1115/1455 &amp; OR 1148/729)"</f>
        <v>PT OF NW1/4 OF NW1/4 OF SEC 15-3N-24E IN OR 1287/886 (EX PT IN OR 1115/1455 &amp; OR 1148/729)</v>
      </c>
      <c r="N489" t="str">
        <f>""</f>
        <v/>
      </c>
      <c r="O489" t="str">
        <f>"30649"</f>
        <v>30649</v>
      </c>
      <c r="P489" t="str">
        <f t="shared" si="137"/>
        <v>2017</v>
      </c>
      <c r="Q489" t="str">
        <f>""</f>
        <v/>
      </c>
      <c r="R489" t="str">
        <f t="shared" si="147"/>
        <v>N</v>
      </c>
      <c r="S489" t="str">
        <f>"1.14"</f>
        <v>1.14</v>
      </c>
      <c r="T489" t="str">
        <f>"125.91"</f>
        <v>125.91</v>
      </c>
      <c r="U489" t="str">
        <f>"6816.00"</f>
        <v>6816.00</v>
      </c>
      <c r="V489" t="str">
        <f>"6816.00"</f>
        <v>6816.00</v>
      </c>
      <c r="W489" t="str">
        <f t="shared" si="138"/>
        <v>2017</v>
      </c>
      <c r="X489" t="str">
        <f>""</f>
        <v/>
      </c>
      <c r="Y489" t="str">
        <f>"161.69"</f>
        <v>161.69</v>
      </c>
      <c r="Z489" t="str">
        <f>""</f>
        <v/>
      </c>
      <c r="AA489" t="str">
        <f>"10260.00"</f>
        <v>10260.00</v>
      </c>
      <c r="AB489" t="str">
        <f t="shared" si="146"/>
        <v>Residential</v>
      </c>
      <c r="AC489" t="str">
        <f t="shared" si="139"/>
        <v>0</v>
      </c>
      <c r="AD489" t="str">
        <f>""</f>
        <v/>
      </c>
      <c r="AE489" t="str">
        <f>""</f>
        <v/>
      </c>
      <c r="AF489" t="str">
        <f>"000"</f>
        <v>000</v>
      </c>
      <c r="AG489" t="str">
        <f t="shared" si="145"/>
        <v>FL</v>
      </c>
      <c r="AH489" t="str">
        <f>"49658.00"</f>
        <v>49658.00</v>
      </c>
      <c r="AI489" t="str">
        <f>"10260.00"</f>
        <v>10260.00</v>
      </c>
      <c r="AJ489" t="str">
        <f>"C55-000-587-0602-9"</f>
        <v>C55-000-587-0602-9</v>
      </c>
      <c r="AK489" t="str">
        <f>"7227"</f>
        <v>7227</v>
      </c>
      <c r="AL489">
        <v>2</v>
      </c>
      <c r="AM489">
        <v>566</v>
      </c>
      <c r="AN489">
        <v>168.17</v>
      </c>
      <c r="AQ489" t="s">
        <v>5370</v>
      </c>
      <c r="AR489" t="s">
        <v>5370</v>
      </c>
      <c r="AS489" t="s">
        <v>5370</v>
      </c>
      <c r="AU489" t="s">
        <v>396</v>
      </c>
      <c r="AV489">
        <v>2017</v>
      </c>
      <c r="AW489" t="str">
        <f>"15-3N-24-0000-0002-0000 "</f>
        <v xml:space="preserve">15-3N-24-0000-0002-0000 </v>
      </c>
      <c r="AZ489" t="s">
        <v>5371</v>
      </c>
      <c r="BA489" t="s">
        <v>1942</v>
      </c>
      <c r="BD489" t="s">
        <v>398</v>
      </c>
      <c r="BE489" t="s">
        <v>393</v>
      </c>
      <c r="BF489">
        <v>32046</v>
      </c>
      <c r="BG489" t="s">
        <v>5372</v>
      </c>
      <c r="BH489" t="s">
        <v>400</v>
      </c>
      <c r="BI489">
        <v>-81.900777542773397</v>
      </c>
      <c r="BJ489">
        <v>30.6813182520022</v>
      </c>
      <c r="BK489" t="s">
        <v>5373</v>
      </c>
      <c r="BM489" t="s">
        <v>5374</v>
      </c>
      <c r="BN489" t="s">
        <v>3912</v>
      </c>
      <c r="BO489">
        <v>32240</v>
      </c>
      <c r="BP489" t="s">
        <v>404</v>
      </c>
      <c r="BQ489">
        <v>0</v>
      </c>
      <c r="BR489" t="s">
        <v>491</v>
      </c>
      <c r="BS489">
        <v>8001</v>
      </c>
      <c r="BT489" t="s">
        <v>492</v>
      </c>
      <c r="BW489">
        <v>49658</v>
      </c>
      <c r="BX489" t="s">
        <v>407</v>
      </c>
      <c r="BY489" t="s">
        <v>408</v>
      </c>
      <c r="CD489">
        <v>2017</v>
      </c>
      <c r="CE489">
        <v>10260</v>
      </c>
      <c r="CG489">
        <v>10260</v>
      </c>
      <c r="CH489">
        <v>2017</v>
      </c>
      <c r="CI489">
        <v>10260</v>
      </c>
      <c r="CK489">
        <v>10260</v>
      </c>
      <c r="CL489">
        <v>2017</v>
      </c>
      <c r="CM489">
        <v>125.91</v>
      </c>
      <c r="CN489" s="1">
        <v>38364</v>
      </c>
      <c r="CZ489" s="1">
        <v>38364</v>
      </c>
      <c r="DD489" t="s">
        <v>398</v>
      </c>
      <c r="DG489">
        <v>15</v>
      </c>
      <c r="DM489" t="s">
        <v>5375</v>
      </c>
      <c r="DO489" t="s">
        <v>5376</v>
      </c>
      <c r="DP489">
        <v>0</v>
      </c>
      <c r="DQ489">
        <v>0</v>
      </c>
      <c r="DR489" t="s">
        <v>411</v>
      </c>
    </row>
    <row r="490" spans="1:344" x14ac:dyDescent="0.25">
      <c r="A490">
        <v>16485497</v>
      </c>
      <c r="B490">
        <v>489</v>
      </c>
      <c r="C490" t="s">
        <v>393</v>
      </c>
      <c r="D490" t="s">
        <v>394</v>
      </c>
      <c r="F490" t="str">
        <f>"15-3N-24-0000-0002-0040"</f>
        <v>15-3N-24-0000-0002-0040</v>
      </c>
      <c r="H490" t="str">
        <f>"OKEFENOKEE II LC"</f>
        <v>OKEFENOKEE II LC</v>
      </c>
      <c r="I490" t="str">
        <f>"PO BOX 50338"</f>
        <v>PO BOX 50338</v>
      </c>
      <c r="J490" t="str">
        <f>"JACKSONVILLE BEACH FL 32250"</f>
        <v>JACKSONVILLE BEACH FL 32250</v>
      </c>
      <c r="K490" t="str">
        <f>"EASTWOOD RD"</f>
        <v>EASTWOOD RD</v>
      </c>
      <c r="L490" t="str">
        <f t="shared" si="141"/>
        <v>HILLIARD FL 32046</v>
      </c>
      <c r="M490" t="str">
        <f>"PT OF NW1/4 OF SEC 15-3N-24E IN OR 1194/1968 (EX ESMTS IN OR 557/520 OR 557/527)"</f>
        <v>PT OF NW1/4 OF SEC 15-3N-24E IN OR 1194/1968 (EX ESMTS IN OR 557/520 OR 557/527)</v>
      </c>
      <c r="N490" t="str">
        <f>""</f>
        <v/>
      </c>
      <c r="O490" t="str">
        <f>"30652"</f>
        <v>30652</v>
      </c>
      <c r="P490" t="str">
        <f t="shared" si="137"/>
        <v>2017</v>
      </c>
      <c r="Q490" t="str">
        <f>""</f>
        <v/>
      </c>
      <c r="R490" t="str">
        <f t="shared" si="147"/>
        <v>N</v>
      </c>
      <c r="S490" t="str">
        <f>"25.27"</f>
        <v>25.27</v>
      </c>
      <c r="T490" t="str">
        <f>"1721.52"</f>
        <v>1721.52</v>
      </c>
      <c r="U490" t="str">
        <f>"113715.00"</f>
        <v>113715.00</v>
      </c>
      <c r="V490" t="str">
        <f>"113715.00"</f>
        <v>113715.00</v>
      </c>
      <c r="W490" t="str">
        <f t="shared" si="138"/>
        <v>2017</v>
      </c>
      <c r="X490" t="str">
        <f>""</f>
        <v/>
      </c>
      <c r="Y490" t="str">
        <f>"1805.17"</f>
        <v>1805.17</v>
      </c>
      <c r="Z490" t="str">
        <f>""</f>
        <v/>
      </c>
      <c r="AA490" t="str">
        <f>"113715.00"</f>
        <v>113715.00</v>
      </c>
      <c r="AB490" t="str">
        <f t="shared" si="146"/>
        <v>Residential</v>
      </c>
      <c r="AC490" t="str">
        <f t="shared" si="139"/>
        <v>0</v>
      </c>
      <c r="AD490" t="str">
        <f>""</f>
        <v/>
      </c>
      <c r="AE490" t="str">
        <f>""</f>
        <v/>
      </c>
      <c r="AF490" t="str">
        <f>"000"</f>
        <v>000</v>
      </c>
      <c r="AG490" t="str">
        <f t="shared" si="145"/>
        <v>FL</v>
      </c>
      <c r="AH490" t="str">
        <f>"1100761.00"</f>
        <v>1100761.00</v>
      </c>
      <c r="AI490" t="str">
        <f>"113715.00"</f>
        <v>113715.00</v>
      </c>
      <c r="AJ490" t="str">
        <f>"C55-000-587-0605-2"</f>
        <v>C55-000-587-0605-2</v>
      </c>
      <c r="AK490" t="str">
        <f>"7230"</f>
        <v>7230</v>
      </c>
      <c r="AL490">
        <v>2</v>
      </c>
      <c r="AM490">
        <v>567</v>
      </c>
      <c r="AN490">
        <v>1893.83</v>
      </c>
      <c r="AQ490" t="s">
        <v>5377</v>
      </c>
      <c r="AR490" t="s">
        <v>5377</v>
      </c>
      <c r="AS490" t="s">
        <v>5377</v>
      </c>
      <c r="AU490" t="s">
        <v>396</v>
      </c>
      <c r="AV490">
        <v>2017</v>
      </c>
      <c r="AW490" t="str">
        <f>"15-3N-24-0000-0002-0040 "</f>
        <v xml:space="preserve">15-3N-24-0000-0002-0040 </v>
      </c>
      <c r="AZ490" t="s">
        <v>855</v>
      </c>
      <c r="BA490" t="s">
        <v>496</v>
      </c>
      <c r="BD490" t="s">
        <v>398</v>
      </c>
      <c r="BE490" t="s">
        <v>393</v>
      </c>
      <c r="BF490">
        <v>32046</v>
      </c>
      <c r="BG490" t="s">
        <v>5378</v>
      </c>
      <c r="BH490" t="s">
        <v>400</v>
      </c>
      <c r="BI490">
        <v>-81.902164988292697</v>
      </c>
      <c r="BJ490">
        <v>30.682196557633301</v>
      </c>
      <c r="BK490" t="s">
        <v>5379</v>
      </c>
      <c r="BM490" t="s">
        <v>5374</v>
      </c>
      <c r="BN490" t="s">
        <v>3912</v>
      </c>
      <c r="BO490">
        <v>32240</v>
      </c>
      <c r="BP490" t="s">
        <v>404</v>
      </c>
      <c r="BQ490">
        <v>0</v>
      </c>
      <c r="BR490" t="s">
        <v>491</v>
      </c>
      <c r="BS490">
        <v>8001</v>
      </c>
      <c r="BT490" t="s">
        <v>492</v>
      </c>
      <c r="BW490">
        <v>1100761</v>
      </c>
      <c r="BX490" t="s">
        <v>407</v>
      </c>
      <c r="BY490" t="s">
        <v>5380</v>
      </c>
      <c r="CD490">
        <v>2017</v>
      </c>
      <c r="CE490">
        <v>113715</v>
      </c>
      <c r="CG490">
        <v>113715</v>
      </c>
      <c r="CH490">
        <v>2017</v>
      </c>
      <c r="CI490">
        <v>113715</v>
      </c>
      <c r="CK490">
        <v>113715</v>
      </c>
      <c r="CL490">
        <v>2017</v>
      </c>
      <c r="CM490">
        <v>1721.52</v>
      </c>
      <c r="CN490" s="1">
        <v>37967</v>
      </c>
      <c r="CO490">
        <v>200300</v>
      </c>
      <c r="CZ490" s="1">
        <v>37967</v>
      </c>
      <c r="DD490" t="s">
        <v>398</v>
      </c>
      <c r="DG490">
        <v>15</v>
      </c>
      <c r="DL490">
        <v>50400</v>
      </c>
      <c r="DM490" t="s">
        <v>5375</v>
      </c>
      <c r="DO490" t="s">
        <v>5381</v>
      </c>
      <c r="DP490">
        <v>0</v>
      </c>
      <c r="DQ490">
        <v>5</v>
      </c>
      <c r="DR490" t="s">
        <v>411</v>
      </c>
    </row>
    <row r="491" spans="1:344" x14ac:dyDescent="0.25">
      <c r="A491">
        <v>16485498</v>
      </c>
      <c r="B491">
        <v>490</v>
      </c>
      <c r="C491" t="s">
        <v>393</v>
      </c>
      <c r="D491" t="s">
        <v>394</v>
      </c>
      <c r="F491" t="str">
        <f>"15-3N-24-0000-0002-0050"</f>
        <v>15-3N-24-0000-0002-0050</v>
      </c>
      <c r="H491" t="str">
        <f>"OKEFENOKEE II L C"</f>
        <v>OKEFENOKEE II L C</v>
      </c>
      <c r="I491" t="str">
        <f>"PO BOX 50338"</f>
        <v>PO BOX 50338</v>
      </c>
      <c r="J491" t="str">
        <f>"JACKSONVILLE BEACH FL 32240"</f>
        <v>JACKSONVILLE BEACH FL 32240</v>
      </c>
      <c r="K491" t="str">
        <f>"EASTWOOD RD"</f>
        <v>EASTWOOD RD</v>
      </c>
      <c r="L491" t="str">
        <f t="shared" si="141"/>
        <v>HILLIARD FL 32046</v>
      </c>
      <c r="M491" t="str">
        <f>"PT OR 956/1102 ESMT OR 557/527 WATER TREATMENT PLANT"</f>
        <v>PT OR 956/1102 ESMT OR 557/527 WATER TREATMENT PLANT</v>
      </c>
      <c r="N491" t="str">
        <f>""</f>
        <v/>
      </c>
      <c r="O491" t="str">
        <f>"30653"</f>
        <v>30653</v>
      </c>
      <c r="P491" t="str">
        <f t="shared" si="137"/>
        <v>2017</v>
      </c>
      <c r="Q491" t="str">
        <f>""</f>
        <v/>
      </c>
      <c r="R491" t="str">
        <f t="shared" si="147"/>
        <v>N</v>
      </c>
      <c r="S491" t="str">
        <f>""</f>
        <v/>
      </c>
      <c r="T491" t="str">
        <f>"13.97"</f>
        <v>13.97</v>
      </c>
      <c r="U491" t="str">
        <f>"1000.00"</f>
        <v>1000.00</v>
      </c>
      <c r="V491" t="str">
        <f>"1000.00"</f>
        <v>1000.00</v>
      </c>
      <c r="W491" t="str">
        <f t="shared" si="138"/>
        <v>2017</v>
      </c>
      <c r="X491" t="str">
        <f>""</f>
        <v/>
      </c>
      <c r="Y491" t="str">
        <f>"46.39"</f>
        <v>46.39</v>
      </c>
      <c r="Z491" t="str">
        <f>""</f>
        <v/>
      </c>
      <c r="AA491" t="str">
        <f>"1000.00"</f>
        <v>1000.00</v>
      </c>
      <c r="AB491" t="str">
        <f t="shared" si="146"/>
        <v>Residential</v>
      </c>
      <c r="AC491" t="str">
        <f t="shared" si="139"/>
        <v>0</v>
      </c>
      <c r="AD491" t="str">
        <f>""</f>
        <v/>
      </c>
      <c r="AE491" t="str">
        <f>""</f>
        <v/>
      </c>
      <c r="AF491" t="str">
        <f>"000"</f>
        <v>000</v>
      </c>
      <c r="AG491" t="str">
        <f t="shared" si="145"/>
        <v>FL</v>
      </c>
      <c r="AH491" t="str">
        <f>"10454.00"</f>
        <v>10454.00</v>
      </c>
      <c r="AI491" t="str">
        <f>"1000.00"</f>
        <v>1000.00</v>
      </c>
      <c r="AJ491" t="str">
        <f>"C55-000-587-0606-0"</f>
        <v>C55-000-587-0606-0</v>
      </c>
      <c r="AK491" t="str">
        <f>"7231"</f>
        <v>7231</v>
      </c>
      <c r="AL491">
        <v>2</v>
      </c>
      <c r="AM491">
        <v>568</v>
      </c>
      <c r="AN491">
        <v>47.11</v>
      </c>
      <c r="AQ491" t="s">
        <v>5382</v>
      </c>
      <c r="AR491" t="s">
        <v>5382</v>
      </c>
      <c r="AS491" t="s">
        <v>5382</v>
      </c>
      <c r="AU491" t="s">
        <v>396</v>
      </c>
      <c r="AV491">
        <v>2017</v>
      </c>
      <c r="AW491" t="str">
        <f>"15-3N-24-0000-0002-0050 "</f>
        <v xml:space="preserve">15-3N-24-0000-0002-0050 </v>
      </c>
      <c r="AZ491" t="s">
        <v>855</v>
      </c>
      <c r="BA491" t="s">
        <v>496</v>
      </c>
      <c r="BD491" t="s">
        <v>398</v>
      </c>
      <c r="BE491" t="s">
        <v>393</v>
      </c>
      <c r="BF491">
        <v>32046</v>
      </c>
      <c r="BG491" t="s">
        <v>5378</v>
      </c>
      <c r="BH491" t="s">
        <v>400</v>
      </c>
      <c r="BI491">
        <v>-81.903299329709895</v>
      </c>
      <c r="BJ491">
        <v>30.6832371503532</v>
      </c>
      <c r="BK491" t="s">
        <v>5373</v>
      </c>
      <c r="BM491" t="s">
        <v>5374</v>
      </c>
      <c r="BN491" t="s">
        <v>3912</v>
      </c>
      <c r="BO491">
        <v>32240</v>
      </c>
      <c r="BP491" t="s">
        <v>404</v>
      </c>
      <c r="BQ491">
        <v>0</v>
      </c>
      <c r="BR491" t="s">
        <v>491</v>
      </c>
      <c r="BS491">
        <v>8001</v>
      </c>
      <c r="BT491" t="s">
        <v>492</v>
      </c>
      <c r="BW491">
        <v>10454</v>
      </c>
      <c r="BX491" t="s">
        <v>407</v>
      </c>
      <c r="BY491" t="s">
        <v>5383</v>
      </c>
      <c r="CD491">
        <v>2017</v>
      </c>
      <c r="CE491">
        <v>1000</v>
      </c>
      <c r="CG491">
        <v>1000</v>
      </c>
      <c r="CH491">
        <v>2017</v>
      </c>
      <c r="CI491">
        <v>1000</v>
      </c>
      <c r="CK491">
        <v>1000</v>
      </c>
      <c r="CL491">
        <v>2017</v>
      </c>
      <c r="CM491">
        <v>13.97</v>
      </c>
      <c r="CN491" s="1">
        <v>36831</v>
      </c>
      <c r="CO491">
        <v>33900</v>
      </c>
      <c r="CZ491" s="1">
        <v>36831</v>
      </c>
      <c r="DD491" t="s">
        <v>398</v>
      </c>
      <c r="DG491">
        <v>15</v>
      </c>
      <c r="DL491">
        <v>50400</v>
      </c>
      <c r="DM491" t="s">
        <v>5375</v>
      </c>
      <c r="DO491" t="s">
        <v>5384</v>
      </c>
      <c r="DP491">
        <v>0</v>
      </c>
      <c r="DQ491">
        <v>5</v>
      </c>
      <c r="DR491" t="s">
        <v>411</v>
      </c>
    </row>
    <row r="492" spans="1:344" x14ac:dyDescent="0.25">
      <c r="A492">
        <v>16485499</v>
      </c>
      <c r="B492">
        <v>491</v>
      </c>
      <c r="C492" t="s">
        <v>393</v>
      </c>
      <c r="D492" t="s">
        <v>394</v>
      </c>
      <c r="F492" t="str">
        <f>"15-3N-24-0000-0002-0060"</f>
        <v>15-3N-24-0000-0002-0060</v>
      </c>
      <c r="H492" t="str">
        <f>"OKEFENOKEE II L C"</f>
        <v>OKEFENOKEE II L C</v>
      </c>
      <c r="I492" t="str">
        <f>"PO BOX 50338"</f>
        <v>PO BOX 50338</v>
      </c>
      <c r="J492" t="str">
        <f>"JACKSONVILLE BEACH FL 32240"</f>
        <v>JACKSONVILLE BEACH FL 32240</v>
      </c>
      <c r="K492" t="str">
        <f>"ALICE ST"</f>
        <v>ALICE ST</v>
      </c>
      <c r="L492" t="str">
        <f t="shared" si="141"/>
        <v>HILLIARD FL 32046</v>
      </c>
      <c r="M492" t="str">
        <f>"PT OF NW1/4 OF NW1/4 OF SEC 15-3N-24E IN OR 1115/1455 (EX PT IN OR 1148/729)"</f>
        <v>PT OF NW1/4 OF NW1/4 OF SEC 15-3N-24E IN OR 1115/1455 (EX PT IN OR 1148/729)</v>
      </c>
      <c r="N492" t="str">
        <f>""</f>
        <v/>
      </c>
      <c r="O492" t="str">
        <f>"30654"</f>
        <v>30654</v>
      </c>
      <c r="P492" t="str">
        <f t="shared" si="137"/>
        <v>2017</v>
      </c>
      <c r="Q492" t="str">
        <f>""</f>
        <v/>
      </c>
      <c r="R492" t="str">
        <f t="shared" si="147"/>
        <v>N</v>
      </c>
      <c r="S492" t="str">
        <f>"1.06"</f>
        <v>1.06</v>
      </c>
      <c r="T492" t="str">
        <f>"117.08"</f>
        <v>117.08</v>
      </c>
      <c r="U492" t="str">
        <f>"6338.00"</f>
        <v>6338.00</v>
      </c>
      <c r="V492" t="str">
        <f>"6338.00"</f>
        <v>6338.00</v>
      </c>
      <c r="W492" t="str">
        <f t="shared" si="138"/>
        <v>2017</v>
      </c>
      <c r="X492" t="str">
        <f>""</f>
        <v/>
      </c>
      <c r="Y492" t="str">
        <f>"152.59"</f>
        <v>152.59</v>
      </c>
      <c r="Z492" t="str">
        <f>""</f>
        <v/>
      </c>
      <c r="AA492" t="str">
        <f>"9540.00"</f>
        <v>9540.00</v>
      </c>
      <c r="AB492" t="str">
        <f t="shared" si="146"/>
        <v>Residential</v>
      </c>
      <c r="AC492" t="str">
        <f t="shared" si="139"/>
        <v>0</v>
      </c>
      <c r="AD492" t="str">
        <f>""</f>
        <v/>
      </c>
      <c r="AE492" t="str">
        <f>""</f>
        <v/>
      </c>
      <c r="AF492" t="str">
        <f>"000"</f>
        <v>000</v>
      </c>
      <c r="AG492" t="str">
        <f t="shared" si="145"/>
        <v>FL</v>
      </c>
      <c r="AH492" t="str">
        <f>"46173.00"</f>
        <v>46173.00</v>
      </c>
      <c r="AI492" t="str">
        <f>"9540.00"</f>
        <v>9540.00</v>
      </c>
      <c r="AJ492" t="str">
        <f>"C55-000-588-8575-7"</f>
        <v>C55-000-588-8575-7</v>
      </c>
      <c r="AK492" t="str">
        <f>"7232"</f>
        <v>7232</v>
      </c>
      <c r="AL492">
        <v>2</v>
      </c>
      <c r="AM492">
        <v>569</v>
      </c>
      <c r="AN492">
        <v>158.62</v>
      </c>
      <c r="AQ492" t="s">
        <v>5385</v>
      </c>
      <c r="AR492" t="s">
        <v>5385</v>
      </c>
      <c r="AS492" t="s">
        <v>5385</v>
      </c>
      <c r="AU492" t="s">
        <v>396</v>
      </c>
      <c r="AV492">
        <v>2017</v>
      </c>
      <c r="AW492" t="str">
        <f>"15-3N-24-0000-0002-0060 "</f>
        <v xml:space="preserve">15-3N-24-0000-0002-0060 </v>
      </c>
      <c r="AZ492" t="s">
        <v>5386</v>
      </c>
      <c r="BA492" t="s">
        <v>1942</v>
      </c>
      <c r="BD492" t="s">
        <v>398</v>
      </c>
      <c r="BE492" t="s">
        <v>393</v>
      </c>
      <c r="BF492">
        <v>32046</v>
      </c>
      <c r="BG492" t="s">
        <v>5387</v>
      </c>
      <c r="BH492" t="s">
        <v>400</v>
      </c>
      <c r="BI492">
        <v>-81.900909556180096</v>
      </c>
      <c r="BJ492">
        <v>30.683188202025001</v>
      </c>
      <c r="BK492" t="s">
        <v>5373</v>
      </c>
      <c r="BM492" t="s">
        <v>5374</v>
      </c>
      <c r="BN492" t="s">
        <v>3912</v>
      </c>
      <c r="BO492">
        <v>32240</v>
      </c>
      <c r="BP492" t="s">
        <v>404</v>
      </c>
      <c r="BQ492">
        <v>0</v>
      </c>
      <c r="BR492" t="s">
        <v>491</v>
      </c>
      <c r="BS492">
        <v>8001</v>
      </c>
      <c r="BT492" t="s">
        <v>492</v>
      </c>
      <c r="BW492">
        <v>46173</v>
      </c>
      <c r="BX492" t="s">
        <v>407</v>
      </c>
      <c r="BY492" t="s">
        <v>408</v>
      </c>
      <c r="CD492">
        <v>2017</v>
      </c>
      <c r="CE492">
        <v>9540</v>
      </c>
      <c r="CG492">
        <v>9540</v>
      </c>
      <c r="CH492">
        <v>2017</v>
      </c>
      <c r="CI492">
        <v>9540</v>
      </c>
      <c r="CK492">
        <v>9540</v>
      </c>
      <c r="CL492">
        <v>2017</v>
      </c>
      <c r="CM492">
        <v>117.08</v>
      </c>
      <c r="CN492" s="1">
        <v>37676</v>
      </c>
      <c r="CZ492" s="1">
        <v>37676</v>
      </c>
      <c r="DD492" t="s">
        <v>398</v>
      </c>
      <c r="DG492">
        <v>15</v>
      </c>
      <c r="DL492">
        <v>50400</v>
      </c>
      <c r="DM492" t="s">
        <v>5375</v>
      </c>
      <c r="DO492" t="s">
        <v>5388</v>
      </c>
      <c r="DP492">
        <v>0</v>
      </c>
      <c r="DQ492">
        <v>0</v>
      </c>
      <c r="DR492" t="s">
        <v>411</v>
      </c>
    </row>
    <row r="493" spans="1:344" x14ac:dyDescent="0.25">
      <c r="A493">
        <v>16485500</v>
      </c>
      <c r="B493">
        <v>492</v>
      </c>
      <c r="C493" t="s">
        <v>393</v>
      </c>
      <c r="D493" t="s">
        <v>394</v>
      </c>
      <c r="F493" t="str">
        <f>"15-3N-24-0000-0006-0000"</f>
        <v>15-3N-24-0000-0006-0000</v>
      </c>
      <c r="H493" t="str">
        <f>"WELLS VIRGINIA J EST"</f>
        <v>WELLS VIRGINIA J EST</v>
      </c>
      <c r="I493" t="str">
        <f>"551090 US HWY 1"</f>
        <v>551090 US HWY 1</v>
      </c>
      <c r="J493" t="str">
        <f>"HILLIARD FL 32046"</f>
        <v>HILLIARD FL 32046</v>
      </c>
      <c r="K493" t="str">
        <f>"551091 US HWY 1"</f>
        <v>551091 US HWY 1</v>
      </c>
      <c r="L493" t="str">
        <f t="shared" si="141"/>
        <v>HILLIARD FL 32046</v>
      </c>
      <c r="M493" t="str">
        <f>"IN OR 1114/852"</f>
        <v>IN OR 1114/852</v>
      </c>
      <c r="N493" t="str">
        <f>""</f>
        <v/>
      </c>
      <c r="O493" t="str">
        <f>"30669"</f>
        <v>30669</v>
      </c>
      <c r="P493" t="str">
        <f t="shared" si="137"/>
        <v>2017</v>
      </c>
      <c r="Q493" t="str">
        <f>""</f>
        <v/>
      </c>
      <c r="R493" t="str">
        <f t="shared" si="147"/>
        <v>N</v>
      </c>
      <c r="S493" t="str">
        <f>""</f>
        <v/>
      </c>
      <c r="T493" t="str">
        <f>"2159.15"</f>
        <v>2159.15</v>
      </c>
      <c r="U493" t="str">
        <f>"142624.00"</f>
        <v>142624.00</v>
      </c>
      <c r="V493" t="str">
        <f>"142624.00"</f>
        <v>142624.00</v>
      </c>
      <c r="W493" t="str">
        <f t="shared" si="138"/>
        <v>2017</v>
      </c>
      <c r="X493" t="str">
        <f>""</f>
        <v/>
      </c>
      <c r="Y493" t="str">
        <f>"2255.92"</f>
        <v>2255.92</v>
      </c>
      <c r="Z493" t="str">
        <f>""</f>
        <v/>
      </c>
      <c r="AA493" t="str">
        <f>"142624.00"</f>
        <v>142624.00</v>
      </c>
      <c r="AB493" t="str">
        <f>"Commercial"</f>
        <v>Commercial</v>
      </c>
      <c r="AC493" t="str">
        <f t="shared" si="139"/>
        <v>0</v>
      </c>
      <c r="AD493" t="str">
        <f>"3"</f>
        <v>3</v>
      </c>
      <c r="AE493" t="str">
        <f>"MASONRY"</f>
        <v>MASONRY</v>
      </c>
      <c r="AF493" t="str">
        <f>"012"</f>
        <v>012</v>
      </c>
      <c r="AG493" t="str">
        <f t="shared" si="145"/>
        <v>FL</v>
      </c>
      <c r="AH493" t="str">
        <f>"43560.00"</f>
        <v>43560.00</v>
      </c>
      <c r="AI493" t="str">
        <f>"63702.00"</f>
        <v>63702.00</v>
      </c>
      <c r="AJ493" t="str">
        <f>"C55-000-587-0617-7"</f>
        <v>C55-000-587-0617-7</v>
      </c>
      <c r="AK493" t="str">
        <f>"7244"</f>
        <v>7244</v>
      </c>
      <c r="AL493">
        <v>2</v>
      </c>
      <c r="AM493">
        <v>570</v>
      </c>
      <c r="AN493">
        <v>2367.12</v>
      </c>
      <c r="AQ493" t="s">
        <v>5389</v>
      </c>
      <c r="AR493" t="s">
        <v>5389</v>
      </c>
      <c r="AS493" t="s">
        <v>5389</v>
      </c>
      <c r="AU493" t="s">
        <v>396</v>
      </c>
      <c r="AV493">
        <v>2017</v>
      </c>
      <c r="AW493" t="str">
        <f>"15-3N-24-0000-0006-0000 "</f>
        <v xml:space="preserve">15-3N-24-0000-0006-0000 </v>
      </c>
      <c r="AX493">
        <v>551091</v>
      </c>
      <c r="AZ493" t="s">
        <v>2386</v>
      </c>
      <c r="BD493" t="s">
        <v>398</v>
      </c>
      <c r="BE493" t="s">
        <v>393</v>
      </c>
      <c r="BF493">
        <v>32046</v>
      </c>
      <c r="BG493" t="s">
        <v>5390</v>
      </c>
      <c r="BH493" t="s">
        <v>400</v>
      </c>
      <c r="BI493">
        <v>-81.904237309986698</v>
      </c>
      <c r="BJ493">
        <v>30.6763538715803</v>
      </c>
      <c r="BK493" t="s">
        <v>5391</v>
      </c>
      <c r="BM493" t="s">
        <v>5392</v>
      </c>
      <c r="BN493" t="s">
        <v>403</v>
      </c>
      <c r="BO493">
        <v>32046</v>
      </c>
      <c r="BP493" t="s">
        <v>404</v>
      </c>
      <c r="BQ493">
        <v>1200</v>
      </c>
      <c r="BR493" t="s">
        <v>5393</v>
      </c>
      <c r="BS493">
        <v>2003</v>
      </c>
      <c r="BT493" t="s">
        <v>5394</v>
      </c>
      <c r="BW493">
        <v>43843</v>
      </c>
      <c r="BX493" t="s">
        <v>407</v>
      </c>
      <c r="BY493" t="s">
        <v>2221</v>
      </c>
      <c r="BZ493">
        <v>3</v>
      </c>
      <c r="CA493">
        <v>1950</v>
      </c>
      <c r="CB493">
        <v>1</v>
      </c>
      <c r="CC493">
        <v>1</v>
      </c>
      <c r="CD493">
        <v>2017</v>
      </c>
      <c r="CE493">
        <v>63702</v>
      </c>
      <c r="CF493">
        <v>78922</v>
      </c>
      <c r="CG493">
        <v>142624</v>
      </c>
      <c r="CH493">
        <v>2017</v>
      </c>
      <c r="CI493">
        <v>63702</v>
      </c>
      <c r="CJ493">
        <v>78922</v>
      </c>
      <c r="CK493">
        <v>142624</v>
      </c>
      <c r="CL493">
        <v>2017</v>
      </c>
      <c r="CM493">
        <v>2159.15</v>
      </c>
      <c r="CN493" s="1">
        <v>37672</v>
      </c>
      <c r="CZ493" s="1">
        <v>37672</v>
      </c>
      <c r="DD493" t="s">
        <v>398</v>
      </c>
      <c r="DG493">
        <v>15</v>
      </c>
      <c r="DL493">
        <v>50400</v>
      </c>
      <c r="DM493" t="s">
        <v>5375</v>
      </c>
      <c r="DO493" t="s">
        <v>5395</v>
      </c>
      <c r="DP493">
        <v>0</v>
      </c>
      <c r="DQ493">
        <v>6</v>
      </c>
      <c r="DR493" t="s">
        <v>1479</v>
      </c>
    </row>
    <row r="494" spans="1:344" x14ac:dyDescent="0.25">
      <c r="A494">
        <v>16485501</v>
      </c>
      <c r="B494">
        <v>493</v>
      </c>
      <c r="C494" t="s">
        <v>393</v>
      </c>
      <c r="D494" t="s">
        <v>394</v>
      </c>
      <c r="F494" t="str">
        <f>"15-3N-24-2320-0017-0030"</f>
        <v>15-3N-24-2320-0017-0030</v>
      </c>
      <c r="H494" t="str">
        <f>"HAMMAGE &amp; SKEET LLC"</f>
        <v>HAMMAGE &amp; SKEET LLC</v>
      </c>
      <c r="I494" t="str">
        <f>"4225 N PEARL STREET"</f>
        <v>4225 N PEARL STREET</v>
      </c>
      <c r="J494" t="str">
        <f>"JACKSONVILLE FL 32206"</f>
        <v>JACKSONVILLE FL 32206</v>
      </c>
      <c r="K494" t="str">
        <f>"37093 TESTONE LN"</f>
        <v>37093 TESTONE LN</v>
      </c>
      <c r="L494" t="str">
        <f t="shared" ref="L494:L518" si="148">"HILLIARD FL 32046"</f>
        <v>HILLIARD FL 32046</v>
      </c>
      <c r="M494" t="str">
        <f>"ALL LOT 17 W OF HWY &amp; ALL LOT 18 W OF HWY S-2 IN OR 1473/1633 497572 &amp; 497573 &amp; R497574 &amp; 497575 &amp; 497576 DUNN SURVEY"</f>
        <v>ALL LOT 17 W OF HWY &amp; ALL LOT 18 W OF HWY S-2 IN OR 1473/1633 497572 &amp; 497573 &amp; R497574 &amp; 497575 &amp; 497576 DUNN SURVEY</v>
      </c>
      <c r="N494" t="str">
        <f>""</f>
        <v/>
      </c>
      <c r="O494" t="str">
        <f>"30688"</f>
        <v>30688</v>
      </c>
      <c r="P494" t="str">
        <f t="shared" si="137"/>
        <v>2017</v>
      </c>
      <c r="Q494" t="str">
        <f>""</f>
        <v/>
      </c>
      <c r="R494" t="str">
        <f t="shared" si="147"/>
        <v>N</v>
      </c>
      <c r="S494" t="str">
        <f>"4.15"</f>
        <v>4.15</v>
      </c>
      <c r="T494" t="str">
        <f>"2792.91"</f>
        <v>2792.91</v>
      </c>
      <c r="U494" t="str">
        <f>"184488.00"</f>
        <v>184488.00</v>
      </c>
      <c r="V494" t="str">
        <f>"184488.00"</f>
        <v>184488.00</v>
      </c>
      <c r="W494" t="str">
        <f t="shared" si="138"/>
        <v>2017</v>
      </c>
      <c r="X494" t="str">
        <f>"9.75"</f>
        <v>9.75</v>
      </c>
      <c r="Y494" t="str">
        <f>"2908.70"</f>
        <v>2908.70</v>
      </c>
      <c r="Z494" t="str">
        <f>""</f>
        <v/>
      </c>
      <c r="AA494" t="str">
        <f>"184488.00"</f>
        <v>184488.00</v>
      </c>
      <c r="AB494" t="str">
        <f>"Residential"</f>
        <v>Residential</v>
      </c>
      <c r="AC494" t="str">
        <f t="shared" si="139"/>
        <v>0</v>
      </c>
      <c r="AD494" t="str">
        <f>"4"</f>
        <v>4</v>
      </c>
      <c r="AE494" t="str">
        <f>"WOOD (INCLUDE STEEL STUDS)"</f>
        <v>WOOD (INCLUDE STEEL STUDS)</v>
      </c>
      <c r="AF494" t="str">
        <f>"003"</f>
        <v>003</v>
      </c>
      <c r="AG494" t="str">
        <f t="shared" si="145"/>
        <v>FL</v>
      </c>
      <c r="AH494" t="str">
        <f>"180774.00"</f>
        <v>180774.00</v>
      </c>
      <c r="AI494" t="str">
        <f>"51875.00"</f>
        <v>51875.00</v>
      </c>
      <c r="AJ494" t="str">
        <f>"C55-000-587-0631-8"</f>
        <v>C55-000-587-0631-8</v>
      </c>
      <c r="AK494" t="str">
        <f>"7263"</f>
        <v>7263</v>
      </c>
      <c r="AL494">
        <v>2</v>
      </c>
      <c r="AM494">
        <v>571</v>
      </c>
      <c r="AN494">
        <v>3052.54</v>
      </c>
      <c r="AQ494" t="s">
        <v>5396</v>
      </c>
      <c r="AR494" t="s">
        <v>5396</v>
      </c>
      <c r="AS494" t="s">
        <v>5396</v>
      </c>
      <c r="AU494" t="s">
        <v>396</v>
      </c>
      <c r="AV494">
        <v>2017</v>
      </c>
      <c r="AW494" t="str">
        <f>"15-3N-24-2320-0017-0030 "</f>
        <v xml:space="preserve">15-3N-24-2320-0017-0030 </v>
      </c>
      <c r="AX494">
        <v>37093</v>
      </c>
      <c r="AZ494" t="s">
        <v>5397</v>
      </c>
      <c r="BA494" t="s">
        <v>653</v>
      </c>
      <c r="BD494" t="s">
        <v>398</v>
      </c>
      <c r="BE494" t="s">
        <v>393</v>
      </c>
      <c r="BF494">
        <v>32046</v>
      </c>
      <c r="BG494" t="s">
        <v>5398</v>
      </c>
      <c r="BH494" t="s">
        <v>400</v>
      </c>
      <c r="BI494">
        <v>-81.899519457905299</v>
      </c>
      <c r="BJ494">
        <v>30.671905016012801</v>
      </c>
      <c r="BK494" t="s">
        <v>5399</v>
      </c>
      <c r="BM494" t="s">
        <v>5400</v>
      </c>
      <c r="BN494" t="s">
        <v>548</v>
      </c>
      <c r="BO494">
        <v>32206</v>
      </c>
      <c r="BP494" t="s">
        <v>404</v>
      </c>
      <c r="BQ494">
        <v>300</v>
      </c>
      <c r="BR494" t="s">
        <v>5401</v>
      </c>
      <c r="BS494">
        <v>1110</v>
      </c>
      <c r="BT494" t="s">
        <v>5127</v>
      </c>
      <c r="BW494">
        <v>180774</v>
      </c>
      <c r="BX494" t="s">
        <v>407</v>
      </c>
      <c r="BY494" t="s">
        <v>408</v>
      </c>
      <c r="BZ494">
        <v>4</v>
      </c>
      <c r="CA494">
        <v>1942</v>
      </c>
      <c r="CB494">
        <v>1</v>
      </c>
      <c r="CC494">
        <v>10</v>
      </c>
      <c r="CD494">
        <v>2017</v>
      </c>
      <c r="CE494">
        <v>51875</v>
      </c>
      <c r="CF494">
        <v>132613</v>
      </c>
      <c r="CG494">
        <v>184488</v>
      </c>
      <c r="CH494">
        <v>2017</v>
      </c>
      <c r="CI494">
        <v>51875</v>
      </c>
      <c r="CJ494">
        <v>132613</v>
      </c>
      <c r="CK494">
        <v>184488</v>
      </c>
      <c r="CL494">
        <v>2017</v>
      </c>
      <c r="CM494">
        <v>2792.91</v>
      </c>
      <c r="CN494" s="1">
        <v>39105</v>
      </c>
      <c r="CV494">
        <v>275000</v>
      </c>
      <c r="CX494" t="s">
        <v>693</v>
      </c>
      <c r="CZ494" s="1">
        <v>39105</v>
      </c>
      <c r="DA494">
        <v>0</v>
      </c>
      <c r="DD494" t="s">
        <v>398</v>
      </c>
      <c r="DF494">
        <v>17</v>
      </c>
      <c r="DG494">
        <v>15</v>
      </c>
      <c r="DL494">
        <v>50400</v>
      </c>
      <c r="DM494" t="s">
        <v>5375</v>
      </c>
      <c r="DO494" t="s">
        <v>5402</v>
      </c>
      <c r="DP494">
        <v>0</v>
      </c>
      <c r="DQ494">
        <v>0</v>
      </c>
      <c r="DR494" t="s">
        <v>411</v>
      </c>
      <c r="DS494" t="b">
        <v>1</v>
      </c>
      <c r="DT494" t="s">
        <v>470</v>
      </c>
      <c r="DU494" t="s">
        <v>471</v>
      </c>
      <c r="DV494" t="s">
        <v>472</v>
      </c>
      <c r="DX494">
        <v>-9999</v>
      </c>
      <c r="DZ494" t="s">
        <v>447</v>
      </c>
      <c r="EA494" t="s">
        <v>448</v>
      </c>
      <c r="EB494" t="s">
        <v>1224</v>
      </c>
      <c r="EC494">
        <v>20101217</v>
      </c>
      <c r="ED494" t="s">
        <v>474</v>
      </c>
      <c r="EF494">
        <v>1395.9</v>
      </c>
      <c r="EG494">
        <v>1395.9</v>
      </c>
      <c r="EI494">
        <v>20160407</v>
      </c>
      <c r="EJ494">
        <v>0</v>
      </c>
      <c r="EK494">
        <v>0</v>
      </c>
      <c r="EP494" t="s">
        <v>421</v>
      </c>
      <c r="EQ494" t="s">
        <v>422</v>
      </c>
      <c r="ER494">
        <v>0</v>
      </c>
      <c r="ES494">
        <v>5</v>
      </c>
      <c r="ET494">
        <v>0</v>
      </c>
      <c r="EU494">
        <v>0</v>
      </c>
      <c r="EV494">
        <v>0</v>
      </c>
      <c r="EW494" s="2">
        <v>43222</v>
      </c>
      <c r="EX494" s="1">
        <v>42515</v>
      </c>
      <c r="EY494">
        <v>2015</v>
      </c>
      <c r="EZ494">
        <v>3162.64</v>
      </c>
      <c r="FA494" t="s">
        <v>5403</v>
      </c>
      <c r="FB494">
        <v>0.25</v>
      </c>
      <c r="FC494" t="s">
        <v>424</v>
      </c>
      <c r="FD494" t="s">
        <v>425</v>
      </c>
      <c r="FE494" s="1">
        <v>42825</v>
      </c>
      <c r="FF494">
        <v>10</v>
      </c>
      <c r="FG494">
        <v>7336671</v>
      </c>
      <c r="FH494" t="s">
        <v>437</v>
      </c>
      <c r="FJ494" s="1">
        <v>42515</v>
      </c>
      <c r="FK494">
        <v>2015</v>
      </c>
      <c r="FL494">
        <v>3162.64</v>
      </c>
      <c r="FM494" t="s">
        <v>5403</v>
      </c>
      <c r="FN494">
        <v>0.25</v>
      </c>
      <c r="FO494" t="s">
        <v>424</v>
      </c>
      <c r="FP494" t="s">
        <v>425</v>
      </c>
      <c r="FR494">
        <v>22</v>
      </c>
      <c r="FS494">
        <v>6757864</v>
      </c>
      <c r="FT494" t="s">
        <v>5404</v>
      </c>
      <c r="FV494" s="1">
        <v>42151</v>
      </c>
      <c r="FW494">
        <v>2014</v>
      </c>
      <c r="FX494">
        <v>2932.09</v>
      </c>
      <c r="FY494" t="s">
        <v>5405</v>
      </c>
      <c r="FZ494">
        <v>0.25</v>
      </c>
      <c r="GA494" t="s">
        <v>424</v>
      </c>
      <c r="GB494" t="s">
        <v>425</v>
      </c>
      <c r="GC494" s="1">
        <v>42450</v>
      </c>
      <c r="GD494">
        <v>10</v>
      </c>
      <c r="GE494">
        <v>4975594</v>
      </c>
      <c r="GF494" t="s">
        <v>457</v>
      </c>
      <c r="GH494" s="1">
        <v>42151</v>
      </c>
      <c r="GI494">
        <v>2014</v>
      </c>
      <c r="GJ494">
        <v>2932.09</v>
      </c>
      <c r="GK494" t="s">
        <v>5405</v>
      </c>
      <c r="GL494">
        <v>0.25</v>
      </c>
      <c r="GM494" t="s">
        <v>424</v>
      </c>
      <c r="GN494" t="s">
        <v>425</v>
      </c>
      <c r="GP494">
        <v>22</v>
      </c>
      <c r="GQ494">
        <v>6432193</v>
      </c>
      <c r="GR494" t="s">
        <v>5406</v>
      </c>
      <c r="GT494" s="1">
        <v>41423</v>
      </c>
      <c r="GU494">
        <v>2012</v>
      </c>
      <c r="GV494">
        <v>2698.71</v>
      </c>
      <c r="GW494" t="s">
        <v>5407</v>
      </c>
      <c r="GX494">
        <v>0.25</v>
      </c>
      <c r="GY494" t="s">
        <v>424</v>
      </c>
      <c r="GZ494" t="s">
        <v>425</v>
      </c>
      <c r="HA494" s="1">
        <v>41772</v>
      </c>
      <c r="HB494">
        <v>12</v>
      </c>
      <c r="HC494">
        <v>15970</v>
      </c>
      <c r="HD494" t="s">
        <v>1435</v>
      </c>
    </row>
    <row r="495" spans="1:344" x14ac:dyDescent="0.25">
      <c r="A495">
        <v>16485502</v>
      </c>
      <c r="B495">
        <v>494</v>
      </c>
      <c r="C495" t="s">
        <v>393</v>
      </c>
      <c r="D495" t="s">
        <v>394</v>
      </c>
      <c r="F495" t="str">
        <f>"16-3N-24-0000-0006-0270"</f>
        <v>16-3N-24-0000-0006-0270</v>
      </c>
      <c r="H495" t="str">
        <f>"SIMS PATRICK E"</f>
        <v>SIMS PATRICK E</v>
      </c>
      <c r="I495" t="str">
        <f>"3786 JOY LANE"</f>
        <v>3786 JOY LANE</v>
      </c>
      <c r="J495" t="str">
        <f>"HILLIARD FL 32046"</f>
        <v>HILLIARD FL 32046</v>
      </c>
      <c r="K495" t="str">
        <f>"3786 JOY LN"</f>
        <v>3786 JOY LN</v>
      </c>
      <c r="L495" t="str">
        <f t="shared" si="148"/>
        <v>HILLIARD FL 32046</v>
      </c>
      <c r="M495" t="str">
        <f>"PT OF NE1/4 OF NW1/4 IN OR 1376/771"</f>
        <v>PT OF NE1/4 OF NW1/4 IN OR 1376/771</v>
      </c>
      <c r="N495" t="str">
        <f>""</f>
        <v/>
      </c>
      <c r="O495" t="str">
        <f>"31469"</f>
        <v>31469</v>
      </c>
      <c r="P495" t="str">
        <f t="shared" si="137"/>
        <v>2017</v>
      </c>
      <c r="Q495" t="str">
        <f>""</f>
        <v/>
      </c>
      <c r="R495" t="str">
        <f>"Y"</f>
        <v>Y</v>
      </c>
      <c r="S495" t="str">
        <f>"1.09"</f>
        <v>1.09</v>
      </c>
      <c r="T495" t="str">
        <f>"681.67"</f>
        <v>681.67</v>
      </c>
      <c r="U495" t="str">
        <f>"87000.00"</f>
        <v>87000.00</v>
      </c>
      <c r="V495" t="str">
        <f>"87000.00"</f>
        <v>87000.00</v>
      </c>
      <c r="W495" t="str">
        <f t="shared" si="138"/>
        <v>2017</v>
      </c>
      <c r="X495" t="str">
        <f>"10.75"</f>
        <v>10.75</v>
      </c>
      <c r="Y495" t="str">
        <f>"734.12"</f>
        <v>734.12</v>
      </c>
      <c r="Z495" t="str">
        <f>"25000.00"</f>
        <v>25000.00</v>
      </c>
      <c r="AA495" t="str">
        <f>"62000.00"</f>
        <v>62000.00</v>
      </c>
      <c r="AB495" t="str">
        <f>"Residential"</f>
        <v>Residential</v>
      </c>
      <c r="AC495" t="str">
        <f t="shared" si="139"/>
        <v>0</v>
      </c>
      <c r="AD495" t="str">
        <f>"4"</f>
        <v>4</v>
      </c>
      <c r="AE495" t="str">
        <f>"WOOD (INCLUDE STEEL STUDS)"</f>
        <v>WOOD (INCLUDE STEEL STUDS)</v>
      </c>
      <c r="AF495" t="str">
        <f>"001"</f>
        <v>001</v>
      </c>
      <c r="AG495" t="str">
        <f t="shared" si="145"/>
        <v>FL</v>
      </c>
      <c r="AH495" t="str">
        <f>"47480.00"</f>
        <v>47480.00</v>
      </c>
      <c r="AI495" t="str">
        <f>"16350.00"</f>
        <v>16350.00</v>
      </c>
      <c r="AJ495" t="str">
        <f>"C55-000-969-7486-0"</f>
        <v>C55-000-969-7486-0</v>
      </c>
      <c r="AK495" t="str">
        <f>"7313"</f>
        <v>7313</v>
      </c>
      <c r="AL495">
        <v>2</v>
      </c>
      <c r="AM495">
        <v>572</v>
      </c>
      <c r="AN495">
        <v>769.23</v>
      </c>
      <c r="AQ495" t="s">
        <v>5408</v>
      </c>
      <c r="AR495" t="s">
        <v>5408</v>
      </c>
      <c r="AS495" t="s">
        <v>5408</v>
      </c>
      <c r="AU495" t="s">
        <v>396</v>
      </c>
      <c r="AV495">
        <v>2017</v>
      </c>
      <c r="AW495" t="str">
        <f>"16-3N-24-0000-0006-0270 "</f>
        <v xml:space="preserve">16-3N-24-0000-0006-0270 </v>
      </c>
      <c r="AX495">
        <v>3786</v>
      </c>
      <c r="AZ495" t="s">
        <v>5409</v>
      </c>
      <c r="BA495" t="s">
        <v>653</v>
      </c>
      <c r="BD495" t="s">
        <v>398</v>
      </c>
      <c r="BE495" t="s">
        <v>393</v>
      </c>
      <c r="BF495">
        <v>32046</v>
      </c>
      <c r="BG495" t="s">
        <v>5410</v>
      </c>
      <c r="BH495" t="s">
        <v>400</v>
      </c>
      <c r="BI495">
        <v>-81.915252409176105</v>
      </c>
      <c r="BJ495">
        <v>30.681524864731401</v>
      </c>
      <c r="BK495" t="s">
        <v>5411</v>
      </c>
      <c r="BM495" t="s">
        <v>5412</v>
      </c>
      <c r="BN495" t="s">
        <v>403</v>
      </c>
      <c r="BO495">
        <v>32046</v>
      </c>
      <c r="BP495" t="s">
        <v>416</v>
      </c>
      <c r="BQ495">
        <v>100</v>
      </c>
      <c r="BR495" t="s">
        <v>514</v>
      </c>
      <c r="BS495">
        <v>1001</v>
      </c>
      <c r="BT495" t="s">
        <v>515</v>
      </c>
      <c r="BW495">
        <v>47480</v>
      </c>
      <c r="BX495" t="s">
        <v>407</v>
      </c>
      <c r="BY495" t="s">
        <v>5281</v>
      </c>
      <c r="BZ495">
        <v>4</v>
      </c>
      <c r="CA495">
        <v>1997</v>
      </c>
      <c r="CB495">
        <v>1</v>
      </c>
      <c r="CC495">
        <v>1</v>
      </c>
      <c r="CD495">
        <v>2017</v>
      </c>
      <c r="CG495">
        <v>87000</v>
      </c>
      <c r="CH495">
        <v>2017</v>
      </c>
      <c r="CI495">
        <v>16350</v>
      </c>
      <c r="CJ495">
        <v>92318</v>
      </c>
      <c r="CK495">
        <v>108668</v>
      </c>
      <c r="CL495">
        <v>2017</v>
      </c>
      <c r="CM495">
        <v>681.67</v>
      </c>
      <c r="CN495" s="1">
        <v>38708</v>
      </c>
      <c r="CO495">
        <v>85000</v>
      </c>
      <c r="CZ495" s="1">
        <v>38708</v>
      </c>
      <c r="DD495" t="s">
        <v>398</v>
      </c>
      <c r="DG495">
        <v>16</v>
      </c>
      <c r="DL495">
        <v>50400</v>
      </c>
      <c r="DM495" t="s">
        <v>5413</v>
      </c>
      <c r="DO495" t="s">
        <v>5414</v>
      </c>
      <c r="DP495">
        <v>0</v>
      </c>
      <c r="DQ495">
        <v>0</v>
      </c>
      <c r="DR495" t="s">
        <v>411</v>
      </c>
      <c r="DS495" t="b">
        <v>1</v>
      </c>
      <c r="DT495" t="s">
        <v>470</v>
      </c>
      <c r="DU495" t="s">
        <v>471</v>
      </c>
      <c r="DV495" t="s">
        <v>472</v>
      </c>
      <c r="DX495">
        <v>-9999</v>
      </c>
      <c r="DZ495" t="s">
        <v>447</v>
      </c>
      <c r="EA495" t="s">
        <v>448</v>
      </c>
      <c r="EB495" t="s">
        <v>1224</v>
      </c>
      <c r="EC495">
        <v>20101217</v>
      </c>
      <c r="ED495" t="s">
        <v>474</v>
      </c>
      <c r="EF495">
        <v>1071.7</v>
      </c>
      <c r="EG495">
        <v>1071.7</v>
      </c>
      <c r="EI495">
        <v>20160407</v>
      </c>
      <c r="EJ495">
        <v>0</v>
      </c>
      <c r="EK495">
        <v>0</v>
      </c>
      <c r="EP495" t="s">
        <v>421</v>
      </c>
      <c r="EQ495" t="s">
        <v>422</v>
      </c>
      <c r="ER495">
        <v>0</v>
      </c>
      <c r="ES495">
        <v>10</v>
      </c>
      <c r="ET495">
        <v>0</v>
      </c>
      <c r="EU495">
        <v>0</v>
      </c>
      <c r="EV495">
        <v>0</v>
      </c>
      <c r="EW495" s="2">
        <v>43222</v>
      </c>
      <c r="EX495" s="1">
        <v>42879</v>
      </c>
      <c r="EY495">
        <v>2016</v>
      </c>
      <c r="EZ495">
        <v>751.94</v>
      </c>
      <c r="FA495" t="s">
        <v>5415</v>
      </c>
      <c r="FB495">
        <v>0.25</v>
      </c>
      <c r="FC495" t="s">
        <v>424</v>
      </c>
      <c r="FD495" t="s">
        <v>425</v>
      </c>
      <c r="FE495" s="1">
        <v>43033</v>
      </c>
      <c r="FF495">
        <v>5</v>
      </c>
      <c r="FG495">
        <v>2851116</v>
      </c>
      <c r="FH495" t="s">
        <v>480</v>
      </c>
      <c r="FJ495" s="1">
        <v>42879</v>
      </c>
      <c r="FK495">
        <v>2016</v>
      </c>
      <c r="FL495">
        <v>751.94</v>
      </c>
      <c r="FM495" t="s">
        <v>5415</v>
      </c>
      <c r="FN495">
        <v>0.25</v>
      </c>
      <c r="FO495" t="s">
        <v>424</v>
      </c>
      <c r="FP495" t="s">
        <v>425</v>
      </c>
      <c r="FR495">
        <v>22</v>
      </c>
      <c r="FS495">
        <v>5694824</v>
      </c>
      <c r="FT495" t="s">
        <v>5416</v>
      </c>
      <c r="FV495" s="1">
        <v>42515</v>
      </c>
      <c r="FW495">
        <v>2015</v>
      </c>
      <c r="FX495">
        <v>761.96</v>
      </c>
      <c r="FY495" t="s">
        <v>5417</v>
      </c>
      <c r="FZ495">
        <v>0.25</v>
      </c>
      <c r="GA495" t="s">
        <v>424</v>
      </c>
      <c r="GB495" t="s">
        <v>425</v>
      </c>
      <c r="GC495" s="1">
        <v>43033</v>
      </c>
      <c r="GD495">
        <v>17</v>
      </c>
      <c r="GE495">
        <v>11289</v>
      </c>
      <c r="GF495" t="s">
        <v>787</v>
      </c>
      <c r="GH495" s="1">
        <v>42515</v>
      </c>
      <c r="GI495">
        <v>2015</v>
      </c>
      <c r="GJ495">
        <v>761.96</v>
      </c>
      <c r="GK495" t="s">
        <v>5417</v>
      </c>
      <c r="GL495">
        <v>0.25</v>
      </c>
      <c r="GM495" t="s">
        <v>424</v>
      </c>
      <c r="GN495" t="s">
        <v>425</v>
      </c>
      <c r="GP495">
        <v>22</v>
      </c>
      <c r="GQ495">
        <v>7289553</v>
      </c>
      <c r="GR495" t="s">
        <v>5418</v>
      </c>
      <c r="GT495" s="1">
        <v>42151</v>
      </c>
      <c r="GU495">
        <v>2014</v>
      </c>
      <c r="GV495">
        <v>756.88</v>
      </c>
      <c r="GW495" t="s">
        <v>5419</v>
      </c>
      <c r="GX495">
        <v>0.25</v>
      </c>
      <c r="GY495" t="s">
        <v>424</v>
      </c>
      <c r="GZ495" t="s">
        <v>425</v>
      </c>
      <c r="HA495" s="1">
        <v>42760</v>
      </c>
      <c r="HB495">
        <v>20</v>
      </c>
      <c r="HC495">
        <v>11289</v>
      </c>
      <c r="HD495" t="s">
        <v>787</v>
      </c>
      <c r="HF495" s="1">
        <v>42151</v>
      </c>
      <c r="HG495">
        <v>2014</v>
      </c>
      <c r="HH495">
        <v>756.88</v>
      </c>
      <c r="HI495" t="s">
        <v>5419</v>
      </c>
      <c r="HJ495">
        <v>0.25</v>
      </c>
      <c r="HK495" t="s">
        <v>424</v>
      </c>
      <c r="HL495" t="s">
        <v>425</v>
      </c>
      <c r="HN495">
        <v>22</v>
      </c>
      <c r="HO495">
        <v>5139511</v>
      </c>
      <c r="HP495" t="s">
        <v>5420</v>
      </c>
      <c r="HR495" s="1">
        <v>41787</v>
      </c>
      <c r="HS495">
        <v>2013</v>
      </c>
      <c r="HT495">
        <v>711.51</v>
      </c>
      <c r="HU495" t="s">
        <v>5421</v>
      </c>
      <c r="HV495">
        <v>0.25</v>
      </c>
      <c r="HW495" t="s">
        <v>424</v>
      </c>
      <c r="HX495" t="s">
        <v>425</v>
      </c>
      <c r="HY495" s="1">
        <v>41946</v>
      </c>
      <c r="HZ495">
        <v>6</v>
      </c>
      <c r="IA495">
        <v>2757457</v>
      </c>
      <c r="IB495" t="s">
        <v>648</v>
      </c>
      <c r="ID495" s="1">
        <v>41423</v>
      </c>
      <c r="IE495">
        <v>2012</v>
      </c>
      <c r="IF495">
        <v>767.99</v>
      </c>
      <c r="IG495" t="s">
        <v>5422</v>
      </c>
      <c r="IH495">
        <v>0.25</v>
      </c>
      <c r="II495" t="s">
        <v>424</v>
      </c>
      <c r="IJ495" t="s">
        <v>425</v>
      </c>
      <c r="IK495" s="1">
        <v>41946</v>
      </c>
      <c r="IL495">
        <v>18</v>
      </c>
      <c r="IM495">
        <v>15259</v>
      </c>
      <c r="IN495" t="s">
        <v>891</v>
      </c>
      <c r="IP495" s="1">
        <v>41052</v>
      </c>
      <c r="IQ495">
        <v>2011</v>
      </c>
      <c r="IR495">
        <v>818.68</v>
      </c>
      <c r="IS495" t="s">
        <v>5423</v>
      </c>
      <c r="IT495">
        <v>0.25</v>
      </c>
      <c r="IU495" t="s">
        <v>424</v>
      </c>
      <c r="IV495" t="s">
        <v>425</v>
      </c>
      <c r="IW495" s="1">
        <v>41127</v>
      </c>
      <c r="IX495">
        <v>3</v>
      </c>
      <c r="IY495">
        <v>13773</v>
      </c>
      <c r="IZ495" t="s">
        <v>5424</v>
      </c>
      <c r="JB495" s="1">
        <v>40688</v>
      </c>
      <c r="JC495">
        <v>2010</v>
      </c>
      <c r="JD495">
        <v>912.16</v>
      </c>
      <c r="JE495" t="s">
        <v>5425</v>
      </c>
      <c r="JF495">
        <v>0.25</v>
      </c>
      <c r="JG495" t="s">
        <v>424</v>
      </c>
      <c r="JH495" t="s">
        <v>425</v>
      </c>
      <c r="JI495" s="1">
        <v>40864</v>
      </c>
      <c r="JJ495">
        <v>6</v>
      </c>
      <c r="JK495">
        <v>11141</v>
      </c>
      <c r="JL495" t="s">
        <v>1723</v>
      </c>
    </row>
    <row r="496" spans="1:344" x14ac:dyDescent="0.25">
      <c r="A496">
        <v>16485503</v>
      </c>
      <c r="B496">
        <v>495</v>
      </c>
      <c r="C496" t="s">
        <v>393</v>
      </c>
      <c r="D496" t="s">
        <v>394</v>
      </c>
      <c r="F496" t="str">
        <f>"16-3N-24-0000-0006-0290"</f>
        <v>16-3N-24-0000-0006-0290</v>
      </c>
      <c r="H496" t="str">
        <f>"SIMS PATRICK"</f>
        <v>SIMS PATRICK</v>
      </c>
      <c r="I496" t="str">
        <f>"3786 JOY LANE"</f>
        <v>3786 JOY LANE</v>
      </c>
      <c r="J496" t="str">
        <f>"HILLIARD FL 32046"</f>
        <v>HILLIARD FL 32046</v>
      </c>
      <c r="K496" t="str">
        <f>"3786 JOY LN"</f>
        <v>3786 JOY LN</v>
      </c>
      <c r="L496" t="str">
        <f t="shared" si="148"/>
        <v>HILLIARD FL 32046</v>
      </c>
      <c r="M496" t="str">
        <f>"PT OF NE1/4 OF NW1/4 IN OR 1577/775"</f>
        <v>PT OF NE1/4 OF NW1/4 IN OR 1577/775</v>
      </c>
      <c r="N496" t="str">
        <f>""</f>
        <v/>
      </c>
      <c r="O496" t="str">
        <f>"31471"</f>
        <v>31471</v>
      </c>
      <c r="P496" t="str">
        <f t="shared" si="137"/>
        <v>2017</v>
      </c>
      <c r="Q496" t="str">
        <f>""</f>
        <v/>
      </c>
      <c r="R496" t="str">
        <f t="shared" ref="R496:R506" si="149">"N"</f>
        <v>N</v>
      </c>
      <c r="S496" t="str">
        <f>"1.00"</f>
        <v>1.00</v>
      </c>
      <c r="T496" t="str">
        <f>"267.95"</f>
        <v>267.95</v>
      </c>
      <c r="U496" t="str">
        <f>"16928.00"</f>
        <v>16928.00</v>
      </c>
      <c r="V496" t="str">
        <f>"16928.00"</f>
        <v>16928.00</v>
      </c>
      <c r="W496" t="str">
        <f t="shared" si="138"/>
        <v>2017</v>
      </c>
      <c r="X496" t="str">
        <f>"10.60"</f>
        <v>10.60</v>
      </c>
      <c r="Y496" t="str">
        <f>"307.99"</f>
        <v>307.99</v>
      </c>
      <c r="Z496" t="str">
        <f>""</f>
        <v/>
      </c>
      <c r="AA496" t="str">
        <f>"21708.00"</f>
        <v>21708.00</v>
      </c>
      <c r="AB496" t="str">
        <f>"Residential"</f>
        <v>Residential</v>
      </c>
      <c r="AC496" t="str">
        <f t="shared" si="139"/>
        <v>0</v>
      </c>
      <c r="AD496" t="str">
        <f>""</f>
        <v/>
      </c>
      <c r="AE496" t="str">
        <f>""</f>
        <v/>
      </c>
      <c r="AF496" t="str">
        <f>"000"</f>
        <v>000</v>
      </c>
      <c r="AG496" t="str">
        <f t="shared" si="145"/>
        <v>FL</v>
      </c>
      <c r="AH496" t="str">
        <f>"43560.00"</f>
        <v>43560.00</v>
      </c>
      <c r="AI496" t="str">
        <f>"15000.00"</f>
        <v>15000.00</v>
      </c>
      <c r="AJ496" t="str">
        <f>"C55-001-026-2105-9"</f>
        <v>C55-001-026-2105-9</v>
      </c>
      <c r="AK496" t="str">
        <f>"7315"</f>
        <v>7315</v>
      </c>
      <c r="AL496">
        <v>2</v>
      </c>
      <c r="AM496">
        <v>573</v>
      </c>
      <c r="AN496">
        <v>321.79000000000002</v>
      </c>
      <c r="AQ496" t="s">
        <v>5426</v>
      </c>
      <c r="AR496" t="s">
        <v>5426</v>
      </c>
      <c r="AS496" t="s">
        <v>5426</v>
      </c>
      <c r="AU496" t="s">
        <v>396</v>
      </c>
      <c r="AV496">
        <v>2017</v>
      </c>
      <c r="AW496" t="str">
        <f>"16-3N-24-0000-0006-0290 "</f>
        <v xml:space="preserve">16-3N-24-0000-0006-0290 </v>
      </c>
      <c r="AX496">
        <v>3786</v>
      </c>
      <c r="AZ496" t="s">
        <v>5409</v>
      </c>
      <c r="BA496" t="s">
        <v>653</v>
      </c>
      <c r="BD496" t="s">
        <v>398</v>
      </c>
      <c r="BE496" t="s">
        <v>393</v>
      </c>
      <c r="BF496">
        <v>32046</v>
      </c>
      <c r="BG496" t="s">
        <v>5410</v>
      </c>
      <c r="BH496" t="s">
        <v>400</v>
      </c>
      <c r="BI496">
        <v>-81.914602492619593</v>
      </c>
      <c r="BJ496">
        <v>30.6815101473826</v>
      </c>
      <c r="BK496" t="s">
        <v>5427</v>
      </c>
      <c r="BM496" t="s">
        <v>5412</v>
      </c>
      <c r="BN496" t="s">
        <v>403</v>
      </c>
      <c r="BO496">
        <v>32046</v>
      </c>
      <c r="BP496" t="s">
        <v>404</v>
      </c>
      <c r="BQ496">
        <v>1</v>
      </c>
      <c r="BR496" t="s">
        <v>491</v>
      </c>
      <c r="BS496">
        <v>8001</v>
      </c>
      <c r="BT496" t="s">
        <v>492</v>
      </c>
      <c r="BW496">
        <v>43560</v>
      </c>
      <c r="BX496" t="s">
        <v>407</v>
      </c>
      <c r="BY496" t="s">
        <v>5281</v>
      </c>
      <c r="CD496">
        <v>2017</v>
      </c>
      <c r="CE496">
        <v>15000</v>
      </c>
      <c r="CF496">
        <v>6708</v>
      </c>
      <c r="CG496">
        <v>21708</v>
      </c>
      <c r="CH496">
        <v>2017</v>
      </c>
      <c r="CI496">
        <v>15000</v>
      </c>
      <c r="CJ496">
        <v>6708</v>
      </c>
      <c r="CK496">
        <v>21708</v>
      </c>
      <c r="CL496">
        <v>2017</v>
      </c>
      <c r="CM496">
        <v>267.95</v>
      </c>
      <c r="CN496" s="1">
        <v>39647</v>
      </c>
      <c r="CZ496" s="1">
        <v>39647</v>
      </c>
      <c r="DD496" t="s">
        <v>398</v>
      </c>
      <c r="DG496">
        <v>16</v>
      </c>
      <c r="DL496">
        <v>50400</v>
      </c>
      <c r="DM496" t="s">
        <v>5413</v>
      </c>
      <c r="DO496" t="s">
        <v>5428</v>
      </c>
      <c r="DP496">
        <v>0</v>
      </c>
      <c r="DQ496">
        <v>0</v>
      </c>
      <c r="DR496" t="s">
        <v>411</v>
      </c>
      <c r="DS496" t="b">
        <v>1</v>
      </c>
      <c r="DT496" t="s">
        <v>470</v>
      </c>
      <c r="DU496" t="s">
        <v>471</v>
      </c>
      <c r="DV496" t="s">
        <v>472</v>
      </c>
      <c r="DX496">
        <v>-9999</v>
      </c>
      <c r="DZ496" t="s">
        <v>447</v>
      </c>
      <c r="EA496" t="s">
        <v>448</v>
      </c>
      <c r="EB496" t="s">
        <v>1224</v>
      </c>
      <c r="EC496">
        <v>20101217</v>
      </c>
      <c r="ED496" t="s">
        <v>474</v>
      </c>
      <c r="EF496">
        <v>1165.8</v>
      </c>
      <c r="EG496">
        <v>1165.8</v>
      </c>
      <c r="EH496" t="s">
        <v>451</v>
      </c>
      <c r="EI496">
        <v>20140731</v>
      </c>
      <c r="EJ496">
        <v>0</v>
      </c>
      <c r="EK496">
        <v>0</v>
      </c>
      <c r="EP496" t="s">
        <v>421</v>
      </c>
      <c r="EQ496" t="s">
        <v>422</v>
      </c>
      <c r="ER496">
        <v>1</v>
      </c>
      <c r="ES496">
        <v>6</v>
      </c>
      <c r="ET496">
        <v>263.55</v>
      </c>
      <c r="EU496">
        <v>19.43</v>
      </c>
      <c r="EV496">
        <v>282.98</v>
      </c>
      <c r="EW496" s="2">
        <v>43222</v>
      </c>
      <c r="EX496" s="1">
        <v>42879</v>
      </c>
      <c r="EY496">
        <v>2016</v>
      </c>
      <c r="EZ496">
        <v>263.55</v>
      </c>
      <c r="FA496" t="s">
        <v>5429</v>
      </c>
      <c r="FB496">
        <v>4.75</v>
      </c>
      <c r="FC496" t="s">
        <v>424</v>
      </c>
      <c r="FD496" t="s">
        <v>454</v>
      </c>
      <c r="FF496">
        <v>12</v>
      </c>
      <c r="FG496">
        <v>10021</v>
      </c>
      <c r="FH496" t="s">
        <v>597</v>
      </c>
      <c r="FJ496" s="1">
        <v>42151</v>
      </c>
      <c r="FK496">
        <v>2014</v>
      </c>
      <c r="FL496">
        <v>266.7</v>
      </c>
      <c r="FM496" t="s">
        <v>5430</v>
      </c>
      <c r="FN496">
        <v>4.75</v>
      </c>
      <c r="FO496" t="s">
        <v>424</v>
      </c>
      <c r="FP496" t="s">
        <v>425</v>
      </c>
      <c r="FQ496" s="1">
        <v>42402</v>
      </c>
      <c r="FR496">
        <v>9</v>
      </c>
      <c r="FS496">
        <v>4975593</v>
      </c>
      <c r="FT496" t="s">
        <v>505</v>
      </c>
      <c r="FV496" s="1">
        <v>41787</v>
      </c>
      <c r="FW496">
        <v>2013</v>
      </c>
      <c r="FX496">
        <v>252.81</v>
      </c>
      <c r="FY496" t="s">
        <v>5431</v>
      </c>
      <c r="FZ496">
        <v>6.75</v>
      </c>
      <c r="GA496" t="s">
        <v>424</v>
      </c>
      <c r="GB496" t="s">
        <v>425</v>
      </c>
      <c r="GC496" s="1">
        <v>42397</v>
      </c>
      <c r="GD496">
        <v>20</v>
      </c>
      <c r="GE496">
        <v>2035919</v>
      </c>
      <c r="GF496" t="s">
        <v>507</v>
      </c>
      <c r="GH496" s="1">
        <v>41423</v>
      </c>
      <c r="GI496">
        <v>2012</v>
      </c>
      <c r="GJ496">
        <v>278.79000000000002</v>
      </c>
      <c r="GK496" t="s">
        <v>5432</v>
      </c>
      <c r="GL496">
        <v>6</v>
      </c>
      <c r="GM496" t="s">
        <v>424</v>
      </c>
      <c r="GN496" t="s">
        <v>425</v>
      </c>
      <c r="GO496" s="1">
        <v>41878</v>
      </c>
      <c r="GP496">
        <v>15</v>
      </c>
      <c r="GQ496">
        <v>375</v>
      </c>
      <c r="GR496" t="s">
        <v>776</v>
      </c>
      <c r="GT496" s="1">
        <v>41423</v>
      </c>
      <c r="GU496">
        <v>2012</v>
      </c>
      <c r="GV496">
        <v>278.79000000000002</v>
      </c>
      <c r="GW496" t="s">
        <v>5432</v>
      </c>
      <c r="GX496">
        <v>6</v>
      </c>
      <c r="GY496" t="s">
        <v>424</v>
      </c>
      <c r="GZ496" t="s">
        <v>425</v>
      </c>
      <c r="HB496">
        <v>22</v>
      </c>
      <c r="HC496">
        <v>105</v>
      </c>
      <c r="HD496" t="s">
        <v>946</v>
      </c>
      <c r="HF496" s="1">
        <v>41052</v>
      </c>
      <c r="HG496">
        <v>2011</v>
      </c>
      <c r="HH496">
        <v>305.99</v>
      </c>
      <c r="HI496" t="s">
        <v>5433</v>
      </c>
      <c r="HJ496">
        <v>6</v>
      </c>
      <c r="HK496" t="s">
        <v>424</v>
      </c>
      <c r="HL496" t="s">
        <v>425</v>
      </c>
      <c r="HM496" s="1">
        <v>41127</v>
      </c>
      <c r="HN496">
        <v>3</v>
      </c>
      <c r="HO496">
        <v>10125</v>
      </c>
      <c r="HP496" t="s">
        <v>440</v>
      </c>
      <c r="HR496" s="1">
        <v>40688</v>
      </c>
      <c r="HS496">
        <v>2010</v>
      </c>
      <c r="HT496">
        <v>330.07</v>
      </c>
      <c r="HU496" t="s">
        <v>5434</v>
      </c>
      <c r="HV496">
        <v>8</v>
      </c>
      <c r="HW496" t="s">
        <v>424</v>
      </c>
      <c r="HX496" t="s">
        <v>425</v>
      </c>
      <c r="HY496" s="1">
        <v>40864</v>
      </c>
      <c r="HZ496">
        <v>6</v>
      </c>
      <c r="IA496">
        <v>62</v>
      </c>
      <c r="IB496" t="s">
        <v>463</v>
      </c>
    </row>
    <row r="497" spans="1:236" x14ac:dyDescent="0.25">
      <c r="A497">
        <v>16485504</v>
      </c>
      <c r="B497">
        <v>496</v>
      </c>
      <c r="C497" t="s">
        <v>393</v>
      </c>
      <c r="D497" t="s">
        <v>394</v>
      </c>
      <c r="F497" t="str">
        <f>"16-3N-24-0000-0015-0000"</f>
        <v>16-3N-24-0000-0015-0000</v>
      </c>
      <c r="H497" t="str">
        <f>"NICKS JAMES C JR &amp; BETTY M"</f>
        <v>NICKS JAMES C JR &amp; BETTY M</v>
      </c>
      <c r="I497" t="str">
        <f>"15801 CR 108"</f>
        <v>15801 CR 108</v>
      </c>
      <c r="J497" t="str">
        <f>"HILLIARD FL 32046"</f>
        <v>HILLIARD FL 32046</v>
      </c>
      <c r="K497" t="str">
        <f>"37551 INGHAM RD"</f>
        <v>37551 INGHAM RD</v>
      </c>
      <c r="L497" t="str">
        <f t="shared" si="148"/>
        <v>HILLIARD FL 32046</v>
      </c>
      <c r="M497" t="str">
        <f>"IN OR 137 PG 42 (EX 15-2)"</f>
        <v>IN OR 137 PG 42 (EX 15-2)</v>
      </c>
      <c r="N497" t="str">
        <f>""</f>
        <v/>
      </c>
      <c r="O497" t="str">
        <f>"31485"</f>
        <v>31485</v>
      </c>
      <c r="P497" t="str">
        <f t="shared" si="137"/>
        <v>2017</v>
      </c>
      <c r="Q497" t="str">
        <f>""</f>
        <v/>
      </c>
      <c r="R497" t="str">
        <f t="shared" si="149"/>
        <v>N</v>
      </c>
      <c r="S497" t="str">
        <f>"1.77"</f>
        <v>1.77</v>
      </c>
      <c r="T497" t="str">
        <f>"243.11"</f>
        <v>243.11</v>
      </c>
      <c r="U497" t="str">
        <f>"16355.00"</f>
        <v>16355.00</v>
      </c>
      <c r="V497" t="str">
        <f>"16355.00"</f>
        <v>16355.00</v>
      </c>
      <c r="W497" t="str">
        <f t="shared" si="138"/>
        <v>2017</v>
      </c>
      <c r="X497" t="str">
        <f>"11.00"</f>
        <v>11.00</v>
      </c>
      <c r="Y497" t="str">
        <f>"282.40"</f>
        <v>282.40</v>
      </c>
      <c r="Z497" t="str">
        <f>""</f>
        <v/>
      </c>
      <c r="AA497" t="str">
        <f>"18585.00"</f>
        <v>18585.00</v>
      </c>
      <c r="AB497" t="str">
        <f>"Residential"</f>
        <v>Residential</v>
      </c>
      <c r="AC497" t="str">
        <f t="shared" si="139"/>
        <v>0</v>
      </c>
      <c r="AD497" t="str">
        <f>""</f>
        <v/>
      </c>
      <c r="AE497" t="str">
        <f>""</f>
        <v/>
      </c>
      <c r="AF497" t="str">
        <f>"000"</f>
        <v>000</v>
      </c>
      <c r="AG497" t="str">
        <f t="shared" si="145"/>
        <v>FL</v>
      </c>
      <c r="AH497" t="str">
        <f>"77101.00"</f>
        <v>77101.00</v>
      </c>
      <c r="AI497" t="str">
        <f>"18585.00"</f>
        <v>18585.00</v>
      </c>
      <c r="AJ497" t="str">
        <f>"C55-000-587-1203-5"</f>
        <v>C55-000-587-1203-5</v>
      </c>
      <c r="AK497" t="str">
        <f>"7326"</f>
        <v>7326</v>
      </c>
      <c r="AL497">
        <v>2</v>
      </c>
      <c r="AM497">
        <v>574</v>
      </c>
      <c r="AN497">
        <v>294.92</v>
      </c>
      <c r="AQ497" t="s">
        <v>5435</v>
      </c>
      <c r="AR497" t="s">
        <v>5435</v>
      </c>
      <c r="AS497" t="s">
        <v>5435</v>
      </c>
      <c r="AU497" t="s">
        <v>396</v>
      </c>
      <c r="AV497">
        <v>2017</v>
      </c>
      <c r="AW497" t="str">
        <f>"16-3N-24-0000-0015-0000 "</f>
        <v xml:space="preserve">16-3N-24-0000-0015-0000 </v>
      </c>
      <c r="AX497">
        <v>37551</v>
      </c>
      <c r="AZ497" t="s">
        <v>5436</v>
      </c>
      <c r="BA497" t="s">
        <v>496</v>
      </c>
      <c r="BD497" t="s">
        <v>398</v>
      </c>
      <c r="BE497" t="s">
        <v>393</v>
      </c>
      <c r="BF497">
        <v>32046</v>
      </c>
      <c r="BG497" t="s">
        <v>5437</v>
      </c>
      <c r="BH497" t="s">
        <v>400</v>
      </c>
      <c r="BI497">
        <v>-81.912959894639798</v>
      </c>
      <c r="BJ497">
        <v>30.678886532439599</v>
      </c>
      <c r="BK497" t="s">
        <v>5438</v>
      </c>
      <c r="BM497" t="s">
        <v>5439</v>
      </c>
      <c r="BN497" t="s">
        <v>403</v>
      </c>
      <c r="BO497">
        <v>32046</v>
      </c>
      <c r="BP497" t="s">
        <v>404</v>
      </c>
      <c r="BQ497">
        <v>0</v>
      </c>
      <c r="BR497" t="s">
        <v>491</v>
      </c>
      <c r="BS497">
        <v>8001</v>
      </c>
      <c r="BT497" t="s">
        <v>492</v>
      </c>
      <c r="BW497">
        <v>77101</v>
      </c>
      <c r="BX497" t="s">
        <v>407</v>
      </c>
      <c r="BY497" t="s">
        <v>5281</v>
      </c>
      <c r="CD497">
        <v>2017</v>
      </c>
      <c r="CE497">
        <v>18585</v>
      </c>
      <c r="CG497">
        <v>18585</v>
      </c>
      <c r="CH497">
        <v>2017</v>
      </c>
      <c r="CI497">
        <v>18585</v>
      </c>
      <c r="CK497">
        <v>18585</v>
      </c>
      <c r="CL497">
        <v>2017</v>
      </c>
      <c r="CM497">
        <v>243.11</v>
      </c>
      <c r="CN497" s="1">
        <v>26299</v>
      </c>
      <c r="CO497">
        <v>3000</v>
      </c>
      <c r="CZ497" s="1">
        <v>26299</v>
      </c>
      <c r="DD497" t="s">
        <v>398</v>
      </c>
      <c r="DG497">
        <v>16</v>
      </c>
      <c r="DL497">
        <v>50400</v>
      </c>
      <c r="DM497" t="s">
        <v>5413</v>
      </c>
      <c r="DO497" t="s">
        <v>5440</v>
      </c>
      <c r="DP497">
        <v>0</v>
      </c>
      <c r="DQ497">
        <v>0</v>
      </c>
      <c r="DR497" t="s">
        <v>411</v>
      </c>
      <c r="DS497" t="s">
        <v>695</v>
      </c>
      <c r="EJ497">
        <v>0</v>
      </c>
      <c r="EK497">
        <v>0</v>
      </c>
    </row>
    <row r="498" spans="1:236" x14ac:dyDescent="0.25">
      <c r="A498">
        <v>16485505</v>
      </c>
      <c r="B498">
        <v>497</v>
      </c>
      <c r="C498" t="s">
        <v>393</v>
      </c>
      <c r="D498" t="s">
        <v>394</v>
      </c>
      <c r="F498" t="str">
        <f>"16-3N-24-0000-0015-0010"</f>
        <v>16-3N-24-0000-0015-0010</v>
      </c>
      <c r="H498" t="str">
        <f>"GUYNN SHELTON"</f>
        <v>GUYNN SHELTON</v>
      </c>
      <c r="I498" t="str">
        <f>"17106 GUYNN DR"</f>
        <v>17106 GUYNN DR</v>
      </c>
      <c r="J498" t="str">
        <f>"HILLIARD FL 32046"</f>
        <v>HILLIARD FL 32046</v>
      </c>
      <c r="K498" t="str">
        <f>"INGHAM RD"</f>
        <v>INGHAM RD</v>
      </c>
      <c r="L498" t="str">
        <f t="shared" si="148"/>
        <v>HILLIARD FL 32046</v>
      </c>
      <c r="M498" t="str">
        <f>"IN OR 2040/1339"</f>
        <v>IN OR 2040/1339</v>
      </c>
      <c r="N498" t="str">
        <f>""</f>
        <v/>
      </c>
      <c r="O498" t="str">
        <f>"31486"</f>
        <v>31486</v>
      </c>
      <c r="P498" t="str">
        <f t="shared" si="137"/>
        <v>2017</v>
      </c>
      <c r="Q498" t="str">
        <f>""</f>
        <v/>
      </c>
      <c r="R498" t="str">
        <f t="shared" si="149"/>
        <v>N</v>
      </c>
      <c r="S498" t="str">
        <f>"5.00"</f>
        <v>5.00</v>
      </c>
      <c r="T498" t="str">
        <f>"558.62"</f>
        <v>558.62</v>
      </c>
      <c r="U498" t="str">
        <f>"40000.00"</f>
        <v>40000.00</v>
      </c>
      <c r="V498" t="str">
        <f>"40000.00"</f>
        <v>40000.00</v>
      </c>
      <c r="W498" t="str">
        <f t="shared" si="138"/>
        <v>2017</v>
      </c>
      <c r="X498" t="str">
        <f>"5.50"</f>
        <v>5.50</v>
      </c>
      <c r="Y498" t="str">
        <f>"607.38"</f>
        <v>607.38</v>
      </c>
      <c r="Z498" t="str">
        <f>""</f>
        <v/>
      </c>
      <c r="AA498" t="str">
        <f>"40000.00"</f>
        <v>40000.00</v>
      </c>
      <c r="AB498" t="str">
        <f>"Residential"</f>
        <v>Residential</v>
      </c>
      <c r="AC498" t="str">
        <f t="shared" si="139"/>
        <v>0</v>
      </c>
      <c r="AD498" t="str">
        <f>""</f>
        <v/>
      </c>
      <c r="AE498" t="str">
        <f>""</f>
        <v/>
      </c>
      <c r="AF498" t="str">
        <f>"000"</f>
        <v>000</v>
      </c>
      <c r="AG498" t="str">
        <f t="shared" si="145"/>
        <v>FL</v>
      </c>
      <c r="AH498" t="str">
        <f>"217800.00"</f>
        <v>217800.00</v>
      </c>
      <c r="AI498" t="str">
        <f>"40000.00"</f>
        <v>40000.00</v>
      </c>
      <c r="AJ498" t="str">
        <f>"C55-000-587-1204-3"</f>
        <v>C55-000-587-1204-3</v>
      </c>
      <c r="AK498" t="str">
        <f>"7327"</f>
        <v>7327</v>
      </c>
      <c r="AL498">
        <v>2</v>
      </c>
      <c r="AM498">
        <v>575</v>
      </c>
      <c r="AN498">
        <v>636.15</v>
      </c>
      <c r="AQ498" t="s">
        <v>5441</v>
      </c>
      <c r="AR498" t="s">
        <v>5441</v>
      </c>
      <c r="AS498" t="s">
        <v>5441</v>
      </c>
      <c r="AU498" t="s">
        <v>396</v>
      </c>
      <c r="AV498">
        <v>2017</v>
      </c>
      <c r="AW498" t="str">
        <f>"16-3N-24-0000-0015-0010 "</f>
        <v xml:space="preserve">16-3N-24-0000-0015-0010 </v>
      </c>
      <c r="AZ498" t="s">
        <v>5436</v>
      </c>
      <c r="BA498" t="s">
        <v>496</v>
      </c>
      <c r="BD498" t="s">
        <v>398</v>
      </c>
      <c r="BE498" t="s">
        <v>393</v>
      </c>
      <c r="BF498">
        <v>32046</v>
      </c>
      <c r="BG498" t="s">
        <v>5442</v>
      </c>
      <c r="BH498" t="s">
        <v>400</v>
      </c>
      <c r="BI498">
        <v>-81.914331081356593</v>
      </c>
      <c r="BJ498">
        <v>30.678818723381202</v>
      </c>
      <c r="BK498" t="s">
        <v>5443</v>
      </c>
      <c r="BM498" t="s">
        <v>5444</v>
      </c>
      <c r="BN498" t="s">
        <v>403</v>
      </c>
      <c r="BO498">
        <v>32046</v>
      </c>
      <c r="BP498" t="s">
        <v>404</v>
      </c>
      <c r="BQ498">
        <v>0</v>
      </c>
      <c r="BR498" t="s">
        <v>491</v>
      </c>
      <c r="BS498">
        <v>8001</v>
      </c>
      <c r="BT498" t="s">
        <v>492</v>
      </c>
      <c r="BW498">
        <v>217800</v>
      </c>
      <c r="BX498" t="s">
        <v>407</v>
      </c>
      <c r="BY498" t="s">
        <v>5281</v>
      </c>
      <c r="CD498">
        <v>2017</v>
      </c>
      <c r="CE498">
        <v>40000</v>
      </c>
      <c r="CG498">
        <v>40000</v>
      </c>
      <c r="CH498">
        <v>2017</v>
      </c>
      <c r="CI498">
        <v>40000</v>
      </c>
      <c r="CK498">
        <v>40000</v>
      </c>
      <c r="CL498">
        <v>2017</v>
      </c>
      <c r="CM498">
        <v>558.62</v>
      </c>
      <c r="CN498" s="1">
        <v>42478</v>
      </c>
      <c r="CZ498" s="1">
        <v>42478</v>
      </c>
      <c r="DD498" t="s">
        <v>398</v>
      </c>
      <c r="DG498">
        <v>16</v>
      </c>
      <c r="DL498">
        <v>50400</v>
      </c>
      <c r="DM498" t="s">
        <v>5413</v>
      </c>
      <c r="DO498" t="s">
        <v>5445</v>
      </c>
      <c r="DP498">
        <v>0</v>
      </c>
      <c r="DQ498">
        <v>0</v>
      </c>
      <c r="DR498" t="s">
        <v>411</v>
      </c>
      <c r="EP498" t="s">
        <v>421</v>
      </c>
      <c r="EQ498" t="s">
        <v>422</v>
      </c>
      <c r="ER498">
        <v>1</v>
      </c>
      <c r="ES498">
        <v>0</v>
      </c>
      <c r="ET498">
        <v>641.29999999999995</v>
      </c>
      <c r="EU498">
        <v>38.32</v>
      </c>
      <c r="EV498">
        <v>679.62</v>
      </c>
      <c r="EW498" s="2">
        <v>43222</v>
      </c>
      <c r="EX498" s="1">
        <v>42879</v>
      </c>
      <c r="EY498">
        <v>2016</v>
      </c>
      <c r="EZ498">
        <v>641.29999999999995</v>
      </c>
      <c r="FA498" t="s">
        <v>5446</v>
      </c>
      <c r="FB498">
        <v>0.25</v>
      </c>
      <c r="FC498" t="s">
        <v>424</v>
      </c>
      <c r="FD498" t="s">
        <v>454</v>
      </c>
      <c r="FF498">
        <v>12</v>
      </c>
      <c r="FG498">
        <v>7336745</v>
      </c>
      <c r="FH498" t="s">
        <v>502</v>
      </c>
    </row>
    <row r="499" spans="1:236" x14ac:dyDescent="0.25">
      <c r="A499">
        <v>16485506</v>
      </c>
      <c r="B499">
        <v>498</v>
      </c>
      <c r="C499" t="s">
        <v>393</v>
      </c>
      <c r="D499" t="s">
        <v>394</v>
      </c>
      <c r="F499" t="str">
        <f>"16-3N-24-0000-0024-0050"</f>
        <v>16-3N-24-0000-0024-0050</v>
      </c>
      <c r="H499" t="str">
        <f>"SMALLWOOD CHARLES A"</f>
        <v>SMALLWOOD CHARLES A</v>
      </c>
      <c r="I499" t="str">
        <f>"540 NE 45TH CT"</f>
        <v>540 NE 45TH CT</v>
      </c>
      <c r="J499" t="str">
        <f>"OCALA FL 34470"</f>
        <v>OCALA FL 34470</v>
      </c>
      <c r="K499" t="str">
        <f>"37405 HENRY SMITH RD"</f>
        <v>37405 HENRY SMITH RD</v>
      </c>
      <c r="L499" t="str">
        <f t="shared" si="148"/>
        <v>HILLIARD FL 32046</v>
      </c>
      <c r="M499" t="str">
        <f>"PT OF S1/2 OF NE1/4 OF SE1/4 OF SEC 16-3N-24E IN OR 1998/844"</f>
        <v>PT OF S1/2 OF NE1/4 OF SE1/4 OF SEC 16-3N-24E IN OR 1998/844</v>
      </c>
      <c r="N499" t="str">
        <f>""</f>
        <v/>
      </c>
      <c r="O499" t="str">
        <f>"31508"</f>
        <v>31508</v>
      </c>
      <c r="P499" t="str">
        <f t="shared" si="137"/>
        <v>2017</v>
      </c>
      <c r="Q499" t="str">
        <f>""</f>
        <v/>
      </c>
      <c r="R499" t="str">
        <f t="shared" si="149"/>
        <v>N</v>
      </c>
      <c r="S499" t="str">
        <f>""</f>
        <v/>
      </c>
      <c r="T499" t="str">
        <f>"182.65"</f>
        <v>182.65</v>
      </c>
      <c r="U499" t="str">
        <f>"13079.00"</f>
        <v>13079.00</v>
      </c>
      <c r="V499" t="str">
        <f>"13079.00"</f>
        <v>13079.00</v>
      </c>
      <c r="W499" t="str">
        <f t="shared" si="138"/>
        <v>2017</v>
      </c>
      <c r="X499" t="str">
        <f>"20.13"</f>
        <v>20.13</v>
      </c>
      <c r="Y499" t="str">
        <f>"220.13"</f>
        <v>220.13</v>
      </c>
      <c r="Z499" t="str">
        <f>""</f>
        <v/>
      </c>
      <c r="AA499" t="str">
        <f>"13079.00"</f>
        <v>13079.00</v>
      </c>
      <c r="AB499" t="str">
        <f>"Industrial"</f>
        <v>Industrial</v>
      </c>
      <c r="AC499" t="str">
        <f t="shared" si="139"/>
        <v>0</v>
      </c>
      <c r="AD499" t="str">
        <f>""</f>
        <v/>
      </c>
      <c r="AE499" t="str">
        <f>""</f>
        <v/>
      </c>
      <c r="AF499" t="str">
        <f>"040"</f>
        <v>040</v>
      </c>
      <c r="AG499" t="str">
        <f t="shared" si="145"/>
        <v>FL</v>
      </c>
      <c r="AH499" t="str">
        <f>"43598.00"</f>
        <v>43598.00</v>
      </c>
      <c r="AI499" t="str">
        <f>"13079.00"</f>
        <v>13079.00</v>
      </c>
      <c r="AJ499" t="str">
        <f>"C55-000-587-1224-1"</f>
        <v>C55-000-587-1224-1</v>
      </c>
      <c r="AK499" t="str">
        <f>"7348"</f>
        <v>7348</v>
      </c>
      <c r="AL499">
        <v>2</v>
      </c>
      <c r="AM499">
        <v>576</v>
      </c>
      <c r="AN499">
        <v>229.54</v>
      </c>
      <c r="AQ499" t="s">
        <v>5447</v>
      </c>
      <c r="AR499" t="s">
        <v>5447</v>
      </c>
      <c r="AS499" t="s">
        <v>5447</v>
      </c>
      <c r="AU499" t="s">
        <v>396</v>
      </c>
      <c r="AV499">
        <v>2017</v>
      </c>
      <c r="AW499" t="str">
        <f>"16-3N-24-0000-0024-0050 "</f>
        <v xml:space="preserve">16-3N-24-0000-0024-0050 </v>
      </c>
      <c r="AX499">
        <v>37405</v>
      </c>
      <c r="AZ499" t="s">
        <v>5448</v>
      </c>
      <c r="BA499" t="s">
        <v>496</v>
      </c>
      <c r="BD499" t="s">
        <v>398</v>
      </c>
      <c r="BE499" t="s">
        <v>393</v>
      </c>
      <c r="BF499">
        <v>32046</v>
      </c>
      <c r="BG499" t="s">
        <v>5449</v>
      </c>
      <c r="BH499" t="s">
        <v>400</v>
      </c>
      <c r="BI499">
        <v>-81.904998959721098</v>
      </c>
      <c r="BJ499">
        <v>30.674419113524799</v>
      </c>
      <c r="BK499" t="s">
        <v>5450</v>
      </c>
      <c r="BM499" t="s">
        <v>5451</v>
      </c>
      <c r="BN499" t="s">
        <v>5452</v>
      </c>
      <c r="BO499">
        <v>34470</v>
      </c>
      <c r="BP499" t="s">
        <v>404</v>
      </c>
      <c r="BQ499">
        <v>4000</v>
      </c>
      <c r="BR499" t="s">
        <v>5453</v>
      </c>
      <c r="BS499">
        <v>8003</v>
      </c>
      <c r="BT499" t="s">
        <v>5454</v>
      </c>
      <c r="BW499">
        <v>43598</v>
      </c>
      <c r="BX499" t="s">
        <v>407</v>
      </c>
      <c r="BY499" t="s">
        <v>5281</v>
      </c>
      <c r="CD499">
        <v>2017</v>
      </c>
      <c r="CE499">
        <v>13079</v>
      </c>
      <c r="CG499">
        <v>13079</v>
      </c>
      <c r="CH499">
        <v>2017</v>
      </c>
      <c r="CI499">
        <v>13079</v>
      </c>
      <c r="CK499">
        <v>13079</v>
      </c>
      <c r="CL499">
        <v>2017</v>
      </c>
      <c r="CM499">
        <v>182.65</v>
      </c>
      <c r="CN499" s="1">
        <v>42342</v>
      </c>
      <c r="CO499">
        <v>8000</v>
      </c>
      <c r="CV499">
        <v>0</v>
      </c>
      <c r="CZ499" s="1">
        <v>42342</v>
      </c>
      <c r="DA499">
        <v>0</v>
      </c>
      <c r="DD499" t="s">
        <v>398</v>
      </c>
      <c r="DG499">
        <v>16</v>
      </c>
      <c r="DL499">
        <v>50400</v>
      </c>
      <c r="DM499" t="s">
        <v>5413</v>
      </c>
      <c r="DO499" t="s">
        <v>5455</v>
      </c>
      <c r="DP499">
        <v>0</v>
      </c>
      <c r="DQ499">
        <v>0</v>
      </c>
      <c r="DR499" t="s">
        <v>411</v>
      </c>
      <c r="EP499" t="s">
        <v>421</v>
      </c>
      <c r="EQ499" t="s">
        <v>422</v>
      </c>
      <c r="ER499">
        <v>0</v>
      </c>
      <c r="ES499">
        <v>5</v>
      </c>
      <c r="ET499">
        <v>0</v>
      </c>
      <c r="EU499">
        <v>0</v>
      </c>
      <c r="EV499">
        <v>0</v>
      </c>
      <c r="EW499" s="2">
        <v>43222</v>
      </c>
      <c r="EX499" s="1">
        <v>41787</v>
      </c>
      <c r="EY499">
        <v>2013</v>
      </c>
      <c r="EZ499">
        <v>215.06</v>
      </c>
      <c r="FA499" t="s">
        <v>5456</v>
      </c>
      <c r="FB499">
        <v>6.75</v>
      </c>
      <c r="FC499" t="s">
        <v>424</v>
      </c>
      <c r="FD499" t="s">
        <v>425</v>
      </c>
      <c r="FE499" s="1">
        <v>42093</v>
      </c>
      <c r="FF499">
        <v>10</v>
      </c>
      <c r="FG499">
        <v>2035919</v>
      </c>
      <c r="FH499" t="s">
        <v>507</v>
      </c>
      <c r="FJ499" s="1">
        <v>41423</v>
      </c>
      <c r="FK499">
        <v>2012</v>
      </c>
      <c r="FL499">
        <v>196.86</v>
      </c>
      <c r="FM499" t="s">
        <v>5457</v>
      </c>
      <c r="FN499">
        <v>6.25</v>
      </c>
      <c r="FO499" t="s">
        <v>424</v>
      </c>
      <c r="FP499" t="s">
        <v>425</v>
      </c>
      <c r="FQ499" s="1">
        <v>42093</v>
      </c>
      <c r="FR499">
        <v>22</v>
      </c>
      <c r="FS499">
        <v>2101381</v>
      </c>
      <c r="FT499" t="s">
        <v>605</v>
      </c>
      <c r="FV499" s="1">
        <v>41052</v>
      </c>
      <c r="FW499">
        <v>2011</v>
      </c>
      <c r="FX499">
        <v>222.68</v>
      </c>
      <c r="FY499" t="s">
        <v>5458</v>
      </c>
      <c r="FZ499">
        <v>8.75</v>
      </c>
      <c r="GA499" t="s">
        <v>424</v>
      </c>
      <c r="GB499" t="s">
        <v>425</v>
      </c>
      <c r="GC499" s="1">
        <v>41708</v>
      </c>
      <c r="GD499">
        <v>22</v>
      </c>
      <c r="GE499">
        <v>10125</v>
      </c>
      <c r="GF499" t="s">
        <v>440</v>
      </c>
      <c r="GH499" s="1">
        <v>40688</v>
      </c>
      <c r="GI499">
        <v>2010</v>
      </c>
      <c r="GJ499">
        <v>246.27</v>
      </c>
      <c r="GK499" t="s">
        <v>5459</v>
      </c>
      <c r="GL499">
        <v>8.25</v>
      </c>
      <c r="GM499" t="s">
        <v>424</v>
      </c>
      <c r="GN499" t="s">
        <v>425</v>
      </c>
      <c r="GO499" s="1">
        <v>41327</v>
      </c>
      <c r="GP499">
        <v>21</v>
      </c>
      <c r="GQ499">
        <v>15175</v>
      </c>
      <c r="GR499" t="s">
        <v>588</v>
      </c>
      <c r="GT499" s="1">
        <v>40688</v>
      </c>
      <c r="GU499">
        <v>2010</v>
      </c>
      <c r="GV499">
        <v>246.27</v>
      </c>
      <c r="GW499" t="s">
        <v>5459</v>
      </c>
      <c r="GX499">
        <v>8.25</v>
      </c>
      <c r="GY499" t="s">
        <v>424</v>
      </c>
      <c r="GZ499" t="s">
        <v>425</v>
      </c>
      <c r="HB499">
        <v>22</v>
      </c>
      <c r="HC499">
        <v>10548</v>
      </c>
      <c r="HD499" t="s">
        <v>589</v>
      </c>
    </row>
    <row r="500" spans="1:236" x14ac:dyDescent="0.25">
      <c r="A500">
        <v>16485507</v>
      </c>
      <c r="B500">
        <v>499</v>
      </c>
      <c r="C500" t="s">
        <v>393</v>
      </c>
      <c r="D500" t="s">
        <v>394</v>
      </c>
      <c r="F500" t="str">
        <f>"16-3N-24-1270-0004-0000"</f>
        <v>16-3N-24-1270-0004-0000</v>
      </c>
      <c r="H500" t="str">
        <f>"ALESSI MICHAEL"</f>
        <v>ALESSI MICHAEL</v>
      </c>
      <c r="I500" t="str">
        <f>"37166 LORENA DRIVE"</f>
        <v>37166 LORENA DRIVE</v>
      </c>
      <c r="J500" t="str">
        <f>"HILLIARD FL 32046"</f>
        <v>HILLIARD FL 32046</v>
      </c>
      <c r="K500" t="str">
        <f>"37166 LORENA DR"</f>
        <v>37166 LORENA DR</v>
      </c>
      <c r="L500" t="str">
        <f t="shared" si="148"/>
        <v>HILLIARD FL 32046</v>
      </c>
      <c r="M500" t="str">
        <f>"LOT 4 IN OR 1651/1375 ESMTS PT OR 899/471 &amp; 474 LORENA SUB PB 5/313"</f>
        <v>LOT 4 IN OR 1651/1375 ESMTS PT OR 899/471 &amp; 474 LORENA SUB PB 5/313</v>
      </c>
      <c r="N500" t="str">
        <f>""</f>
        <v/>
      </c>
      <c r="O500" t="str">
        <f>"31525"</f>
        <v>31525</v>
      </c>
      <c r="P500" t="str">
        <f t="shared" si="137"/>
        <v>2017</v>
      </c>
      <c r="Q500" t="str">
        <f>""</f>
        <v/>
      </c>
      <c r="R500" t="str">
        <f t="shared" si="149"/>
        <v>N</v>
      </c>
      <c r="S500" t="str">
        <f>""</f>
        <v/>
      </c>
      <c r="T500" t="str">
        <f>"1605.70"</f>
        <v>1605.70</v>
      </c>
      <c r="U500" t="str">
        <f>"114976.00"</f>
        <v>114976.00</v>
      </c>
      <c r="V500" t="str">
        <f>"114976.00"</f>
        <v>114976.00</v>
      </c>
      <c r="W500" t="str">
        <f t="shared" si="138"/>
        <v>2017</v>
      </c>
      <c r="X500" t="str">
        <f>"1.00"</f>
        <v>1.00</v>
      </c>
      <c r="Y500" t="str">
        <f>"1685.87"</f>
        <v>1685.87</v>
      </c>
      <c r="Z500" t="str">
        <f>""</f>
        <v/>
      </c>
      <c r="AA500" t="str">
        <f>"114976.00"</f>
        <v>114976.00</v>
      </c>
      <c r="AB500" t="str">
        <f t="shared" ref="AB500:AB511" si="150">"Residential"</f>
        <v>Residential</v>
      </c>
      <c r="AC500" t="str">
        <f t="shared" si="139"/>
        <v>0</v>
      </c>
      <c r="AD500" t="str">
        <f>"4"</f>
        <v>4</v>
      </c>
      <c r="AE500" t="str">
        <f>"WOOD (INCLUDE STEEL STUDS)"</f>
        <v>WOOD (INCLUDE STEEL STUDS)</v>
      </c>
      <c r="AF500" t="str">
        <f>"001"</f>
        <v>001</v>
      </c>
      <c r="AG500" t="str">
        <f t="shared" si="145"/>
        <v>FL</v>
      </c>
      <c r="AH500" t="str">
        <f>"-"</f>
        <v>-</v>
      </c>
      <c r="AI500" t="str">
        <f>"10000.00"</f>
        <v>10000.00</v>
      </c>
      <c r="AJ500" t="str">
        <f>"C55-000-587-1239-9"</f>
        <v>C55-000-587-1239-9</v>
      </c>
      <c r="AK500" t="str">
        <f>"7363"</f>
        <v>7363</v>
      </c>
      <c r="AL500">
        <v>2</v>
      </c>
      <c r="AM500">
        <v>577</v>
      </c>
      <c r="AN500">
        <v>1768.56</v>
      </c>
      <c r="AQ500" t="s">
        <v>5460</v>
      </c>
      <c r="AR500" t="s">
        <v>5460</v>
      </c>
      <c r="AS500" t="s">
        <v>5460</v>
      </c>
      <c r="AU500" t="s">
        <v>396</v>
      </c>
      <c r="AV500">
        <v>2017</v>
      </c>
      <c r="AW500" t="str">
        <f>"16-3N-24-1270-0004-0000 "</f>
        <v xml:space="preserve">16-3N-24-1270-0004-0000 </v>
      </c>
      <c r="AX500">
        <v>37166</v>
      </c>
      <c r="AZ500" t="s">
        <v>5461</v>
      </c>
      <c r="BA500" t="s">
        <v>669</v>
      </c>
      <c r="BD500" t="s">
        <v>398</v>
      </c>
      <c r="BE500" t="s">
        <v>393</v>
      </c>
      <c r="BF500">
        <v>32046</v>
      </c>
      <c r="BG500" t="s">
        <v>5462</v>
      </c>
      <c r="BH500" t="s">
        <v>400</v>
      </c>
      <c r="BI500">
        <v>-81.918733030066804</v>
      </c>
      <c r="BJ500">
        <v>30.674462673245301</v>
      </c>
      <c r="BK500" t="s">
        <v>5463</v>
      </c>
      <c r="BM500" t="s">
        <v>5464</v>
      </c>
      <c r="BN500" t="s">
        <v>403</v>
      </c>
      <c r="BO500">
        <v>32046</v>
      </c>
      <c r="BP500" t="s">
        <v>416</v>
      </c>
      <c r="BQ500">
        <v>100</v>
      </c>
      <c r="BR500" t="s">
        <v>514</v>
      </c>
      <c r="BS500">
        <v>1001</v>
      </c>
      <c r="BT500" t="s">
        <v>515</v>
      </c>
      <c r="BW500">
        <v>14562</v>
      </c>
      <c r="BX500" t="s">
        <v>407</v>
      </c>
      <c r="BY500" t="s">
        <v>4520</v>
      </c>
      <c r="BZ500">
        <v>4</v>
      </c>
      <c r="CA500">
        <v>2001</v>
      </c>
      <c r="CC500">
        <v>1</v>
      </c>
      <c r="CD500">
        <v>2017</v>
      </c>
      <c r="CE500">
        <v>10000</v>
      </c>
      <c r="CF500">
        <v>104976</v>
      </c>
      <c r="CG500">
        <v>114976</v>
      </c>
      <c r="CH500">
        <v>2017</v>
      </c>
      <c r="CI500">
        <v>10000</v>
      </c>
      <c r="CJ500">
        <v>104976</v>
      </c>
      <c r="CK500">
        <v>114976</v>
      </c>
      <c r="CL500">
        <v>2017</v>
      </c>
      <c r="CM500">
        <v>1605.7</v>
      </c>
      <c r="CN500" s="1">
        <v>40154</v>
      </c>
      <c r="CO500">
        <v>177000</v>
      </c>
      <c r="CV500">
        <v>0</v>
      </c>
      <c r="CZ500" s="1">
        <v>40154</v>
      </c>
      <c r="DA500">
        <v>0</v>
      </c>
      <c r="DD500" t="s">
        <v>398</v>
      </c>
      <c r="DF500">
        <v>4</v>
      </c>
      <c r="DG500">
        <v>16</v>
      </c>
      <c r="DL500">
        <v>50400</v>
      </c>
      <c r="DM500" t="s">
        <v>5413</v>
      </c>
      <c r="DO500" t="s">
        <v>5465</v>
      </c>
      <c r="DP500">
        <v>0</v>
      </c>
      <c r="DQ500">
        <v>0</v>
      </c>
      <c r="DR500" t="s">
        <v>411</v>
      </c>
      <c r="EP500" t="s">
        <v>421</v>
      </c>
      <c r="EQ500" t="s">
        <v>422</v>
      </c>
      <c r="ER500">
        <v>0</v>
      </c>
      <c r="ES500">
        <v>1</v>
      </c>
      <c r="ET500">
        <v>0</v>
      </c>
      <c r="EU500">
        <v>0</v>
      </c>
      <c r="EV500">
        <v>0</v>
      </c>
      <c r="EW500" s="2">
        <v>43222</v>
      </c>
      <c r="EX500" s="1">
        <v>40688</v>
      </c>
      <c r="EY500">
        <v>2010</v>
      </c>
      <c r="EZ500">
        <v>1809.89</v>
      </c>
      <c r="FA500" t="s">
        <v>5466</v>
      </c>
      <c r="FB500">
        <v>0.25</v>
      </c>
      <c r="FC500" t="s">
        <v>424</v>
      </c>
      <c r="FD500" t="s">
        <v>425</v>
      </c>
      <c r="FE500" s="1">
        <v>40700</v>
      </c>
      <c r="FF500">
        <v>1</v>
      </c>
      <c r="FG500">
        <v>10506</v>
      </c>
      <c r="FH500" t="s">
        <v>892</v>
      </c>
    </row>
    <row r="501" spans="1:236" x14ac:dyDescent="0.25">
      <c r="A501">
        <v>16485508</v>
      </c>
      <c r="B501">
        <v>500</v>
      </c>
      <c r="C501" t="s">
        <v>393</v>
      </c>
      <c r="D501" t="s">
        <v>394</v>
      </c>
      <c r="F501" t="str">
        <f>"16-3N-24-1270-0014-0000"</f>
        <v>16-3N-24-1270-0014-0000</v>
      </c>
      <c r="H501" t="str">
        <f>"MUMFORD MELISSA"</f>
        <v>MUMFORD MELISSA</v>
      </c>
      <c r="I501" t="str">
        <f>"3755 LORENA AVE"</f>
        <v>3755 LORENA AVE</v>
      </c>
      <c r="J501" t="str">
        <f>"HILLIARD FL 32046"</f>
        <v>HILLIARD FL 32046</v>
      </c>
      <c r="K501" t="str">
        <f>"3755 LORENA DR"</f>
        <v>3755 LORENA DR</v>
      </c>
      <c r="L501" t="str">
        <f t="shared" si="148"/>
        <v>HILLIARD FL 32046</v>
      </c>
      <c r="M501" t="str">
        <f>"LOT 14 IN OR 1458/243 LORENA SUB PB 5/313"</f>
        <v>LOT 14 IN OR 1458/243 LORENA SUB PB 5/313</v>
      </c>
      <c r="N501" t="str">
        <f>""</f>
        <v/>
      </c>
      <c r="O501" t="str">
        <f>"31535"</f>
        <v>31535</v>
      </c>
      <c r="P501" t="str">
        <f t="shared" si="137"/>
        <v>2017</v>
      </c>
      <c r="Q501" t="str">
        <f>""</f>
        <v/>
      </c>
      <c r="R501" t="str">
        <f t="shared" si="149"/>
        <v>N</v>
      </c>
      <c r="S501" t="str">
        <f>""</f>
        <v/>
      </c>
      <c r="T501" t="str">
        <f>"1346.16"</f>
        <v>1346.16</v>
      </c>
      <c r="U501" t="str">
        <f>"96393.00"</f>
        <v>96393.00</v>
      </c>
      <c r="V501" t="str">
        <f>"96393.00"</f>
        <v>96393.00</v>
      </c>
      <c r="W501" t="str">
        <f t="shared" si="138"/>
        <v>2017</v>
      </c>
      <c r="X501" t="str">
        <f>"10.50"</f>
        <v>10.50</v>
      </c>
      <c r="Y501" t="str">
        <f>"1418.54"</f>
        <v>1418.54</v>
      </c>
      <c r="Z501" t="str">
        <f>""</f>
        <v/>
      </c>
      <c r="AA501" t="str">
        <f>"96393.00"</f>
        <v>96393.00</v>
      </c>
      <c r="AB501" t="str">
        <f t="shared" si="150"/>
        <v>Residential</v>
      </c>
      <c r="AC501" t="str">
        <f t="shared" si="139"/>
        <v>0</v>
      </c>
      <c r="AD501" t="str">
        <f>"4"</f>
        <v>4</v>
      </c>
      <c r="AE501" t="str">
        <f>"WOOD (INCLUDE STEEL STUDS)"</f>
        <v>WOOD (INCLUDE STEEL STUDS)</v>
      </c>
      <c r="AF501" t="str">
        <f>"001"</f>
        <v>001</v>
      </c>
      <c r="AG501" t="str">
        <f t="shared" si="145"/>
        <v>FL</v>
      </c>
      <c r="AH501" t="str">
        <f>"-"</f>
        <v>-</v>
      </c>
      <c r="AI501" t="str">
        <f>"10000.00"</f>
        <v>10000.00</v>
      </c>
      <c r="AJ501" t="str">
        <f>"C55-000-587-1249-8"</f>
        <v>C55-000-587-1249-8</v>
      </c>
      <c r="AK501" t="str">
        <f>"7373"</f>
        <v>7373</v>
      </c>
      <c r="AL501">
        <v>2</v>
      </c>
      <c r="AM501">
        <v>578</v>
      </c>
      <c r="AN501">
        <v>1487.87</v>
      </c>
      <c r="AQ501" t="s">
        <v>5467</v>
      </c>
      <c r="AR501" t="s">
        <v>5467</v>
      </c>
      <c r="AS501" t="s">
        <v>5467</v>
      </c>
      <c r="AU501" t="s">
        <v>396</v>
      </c>
      <c r="AV501">
        <v>2017</v>
      </c>
      <c r="AW501" t="str">
        <f>"16-3N-24-1270-0014-0000 "</f>
        <v xml:space="preserve">16-3N-24-1270-0014-0000 </v>
      </c>
      <c r="AX501">
        <v>3755</v>
      </c>
      <c r="AZ501" t="s">
        <v>5461</v>
      </c>
      <c r="BA501" t="s">
        <v>669</v>
      </c>
      <c r="BD501" t="s">
        <v>398</v>
      </c>
      <c r="BE501" t="s">
        <v>393</v>
      </c>
      <c r="BF501">
        <v>32046</v>
      </c>
      <c r="BG501" t="s">
        <v>5468</v>
      </c>
      <c r="BH501" t="s">
        <v>400</v>
      </c>
      <c r="BI501">
        <v>-81.920620175842501</v>
      </c>
      <c r="BJ501">
        <v>30.673935172387701</v>
      </c>
      <c r="BK501" t="s">
        <v>5469</v>
      </c>
      <c r="BM501" t="s">
        <v>5468</v>
      </c>
      <c r="BN501" t="s">
        <v>403</v>
      </c>
      <c r="BO501">
        <v>32046</v>
      </c>
      <c r="BP501" t="s">
        <v>416</v>
      </c>
      <c r="BQ501">
        <v>100</v>
      </c>
      <c r="BR501" t="s">
        <v>514</v>
      </c>
      <c r="BS501">
        <v>1001</v>
      </c>
      <c r="BT501" t="s">
        <v>515</v>
      </c>
      <c r="BW501">
        <v>14602</v>
      </c>
      <c r="BX501" t="s">
        <v>407</v>
      </c>
      <c r="BY501" t="s">
        <v>4520</v>
      </c>
      <c r="BZ501">
        <v>4</v>
      </c>
      <c r="CA501">
        <v>1994</v>
      </c>
      <c r="CB501">
        <v>1</v>
      </c>
      <c r="CC501">
        <v>1</v>
      </c>
      <c r="CD501">
        <v>2017</v>
      </c>
      <c r="CE501">
        <v>10000</v>
      </c>
      <c r="CF501">
        <v>86393</v>
      </c>
      <c r="CG501">
        <v>96393</v>
      </c>
      <c r="CH501">
        <v>2017</v>
      </c>
      <c r="CI501">
        <v>10000</v>
      </c>
      <c r="CJ501">
        <v>86393</v>
      </c>
      <c r="CK501">
        <v>96393</v>
      </c>
      <c r="CL501">
        <v>2017</v>
      </c>
      <c r="CM501">
        <v>1346.16</v>
      </c>
      <c r="CN501" s="1">
        <v>39030</v>
      </c>
      <c r="CO501">
        <v>133000</v>
      </c>
      <c r="CV501">
        <v>0</v>
      </c>
      <c r="CZ501" s="1">
        <v>39030</v>
      </c>
      <c r="DA501">
        <v>0</v>
      </c>
      <c r="DD501" t="s">
        <v>398</v>
      </c>
      <c r="DF501">
        <v>14</v>
      </c>
      <c r="DG501">
        <v>16</v>
      </c>
      <c r="DJ501" t="s">
        <v>5470</v>
      </c>
      <c r="DL501">
        <v>50400</v>
      </c>
      <c r="DM501" t="s">
        <v>5413</v>
      </c>
      <c r="DO501" t="s">
        <v>5471</v>
      </c>
      <c r="DP501">
        <v>0</v>
      </c>
      <c r="DQ501">
        <v>0</v>
      </c>
      <c r="DR501" t="s">
        <v>411</v>
      </c>
      <c r="EP501" t="s">
        <v>421</v>
      </c>
      <c r="EQ501" t="s">
        <v>422</v>
      </c>
      <c r="ER501">
        <v>0</v>
      </c>
      <c r="ES501">
        <v>1</v>
      </c>
      <c r="ET501">
        <v>0</v>
      </c>
      <c r="EU501">
        <v>0</v>
      </c>
      <c r="EV501">
        <v>0</v>
      </c>
      <c r="EW501" s="2">
        <v>43222</v>
      </c>
      <c r="EX501" s="1">
        <v>41787</v>
      </c>
      <c r="EY501">
        <v>2013</v>
      </c>
      <c r="EZ501">
        <v>1200.43</v>
      </c>
      <c r="FA501" t="s">
        <v>5472</v>
      </c>
      <c r="FB501">
        <v>0.25</v>
      </c>
      <c r="FC501" t="s">
        <v>424</v>
      </c>
      <c r="FD501" t="s">
        <v>425</v>
      </c>
      <c r="FE501" s="1">
        <v>42153</v>
      </c>
      <c r="FF501">
        <v>12</v>
      </c>
      <c r="FG501">
        <v>2719956</v>
      </c>
      <c r="FH501" t="s">
        <v>5473</v>
      </c>
    </row>
    <row r="502" spans="1:236" x14ac:dyDescent="0.25">
      <c r="A502">
        <v>16485509</v>
      </c>
      <c r="B502">
        <v>501</v>
      </c>
      <c r="C502" t="s">
        <v>393</v>
      </c>
      <c r="D502" t="s">
        <v>394</v>
      </c>
      <c r="F502" t="str">
        <f>"16-3N-24-2020-0034-0030"</f>
        <v>16-3N-24-2020-0034-0030</v>
      </c>
      <c r="H502" t="str">
        <f>"LATHAM EMILY EST C/O ALLAN DALE LATHAM &amp; BRENDA ACKERMAN"</f>
        <v>LATHAM EMILY EST C/O ALLAN DALE LATHAM &amp; BRENDA ACKERMAN</v>
      </c>
      <c r="I502" t="str">
        <f>""</f>
        <v/>
      </c>
      <c r="J502" t="str">
        <f>"CALLAHAN FL 32011"</f>
        <v>CALLAHAN FL 32011</v>
      </c>
      <c r="K502" t="str">
        <f>"551378 US HWY 1"</f>
        <v>551378 US HWY 1</v>
      </c>
      <c r="L502" t="str">
        <f t="shared" si="148"/>
        <v>HILLIARD FL 32046</v>
      </c>
      <c r="M502" t="str">
        <f>"PT OF LOT 34 IN DBK 272/54 CORNWALL SURVEY S/D OF SEC 16-3N-24E PBK O/31"</f>
        <v>PT OF LOT 34 IN DBK 272/54 CORNWALL SURVEY S/D OF SEC 16-3N-24E PBK O/31</v>
      </c>
      <c r="N502" t="str">
        <f>""</f>
        <v/>
      </c>
      <c r="O502" t="str">
        <f>"31599"</f>
        <v>31599</v>
      </c>
      <c r="P502" t="str">
        <f t="shared" si="137"/>
        <v>2017</v>
      </c>
      <c r="Q502" t="str">
        <f>""</f>
        <v/>
      </c>
      <c r="R502" t="str">
        <f t="shared" si="149"/>
        <v>N</v>
      </c>
      <c r="S502" t="str">
        <f>""</f>
        <v/>
      </c>
      <c r="T502" t="str">
        <f>"789.93"</f>
        <v>789.93</v>
      </c>
      <c r="U502" t="str">
        <f>"56563.00"</f>
        <v>56563.00</v>
      </c>
      <c r="V502" t="str">
        <f>"56563.00"</f>
        <v>56563.00</v>
      </c>
      <c r="W502" t="str">
        <f t="shared" si="138"/>
        <v>2017</v>
      </c>
      <c r="X502" t="str">
        <f>"1.00"</f>
        <v>1.00</v>
      </c>
      <c r="Y502" t="str">
        <f>"845.63"</f>
        <v>845.63</v>
      </c>
      <c r="Z502" t="str">
        <f>""</f>
        <v/>
      </c>
      <c r="AA502" t="str">
        <f>"56563.00"</f>
        <v>56563.00</v>
      </c>
      <c r="AB502" t="str">
        <f t="shared" si="150"/>
        <v>Residential</v>
      </c>
      <c r="AC502" t="str">
        <f t="shared" si="139"/>
        <v>0</v>
      </c>
      <c r="AD502" t="str">
        <f>"4"</f>
        <v>4</v>
      </c>
      <c r="AE502" t="str">
        <f>"WOOD (INCLUDE STEEL STUDS)"</f>
        <v>WOOD (INCLUDE STEEL STUDS)</v>
      </c>
      <c r="AF502" t="str">
        <f>"001"</f>
        <v>001</v>
      </c>
      <c r="AG502" t="str">
        <f t="shared" si="145"/>
        <v>FL</v>
      </c>
      <c r="AH502" t="str">
        <f>"20025.00"</f>
        <v>20025.00</v>
      </c>
      <c r="AI502" t="str">
        <f>"30037.00"</f>
        <v>30037.00</v>
      </c>
      <c r="AJ502" t="str">
        <f>"C55-000-587-1272-0"</f>
        <v>C55-000-587-1272-0</v>
      </c>
      <c r="AK502" t="str">
        <f>"7435"</f>
        <v>7435</v>
      </c>
      <c r="AL502">
        <v>2</v>
      </c>
      <c r="AM502">
        <v>579</v>
      </c>
      <c r="AN502">
        <v>886.31</v>
      </c>
      <c r="AQ502" t="s">
        <v>5474</v>
      </c>
      <c r="AR502" t="s">
        <v>5474</v>
      </c>
      <c r="AS502" t="s">
        <v>5474</v>
      </c>
      <c r="AU502" t="s">
        <v>396</v>
      </c>
      <c r="AV502">
        <v>2017</v>
      </c>
      <c r="AW502" t="str">
        <f>"16-3N-24-2020-0034-0030 "</f>
        <v xml:space="preserve">16-3N-24-2020-0034-0030 </v>
      </c>
      <c r="AX502">
        <v>551378</v>
      </c>
      <c r="AZ502" t="s">
        <v>2386</v>
      </c>
      <c r="BD502" t="s">
        <v>398</v>
      </c>
      <c r="BE502" t="s">
        <v>393</v>
      </c>
      <c r="BF502">
        <v>32046</v>
      </c>
      <c r="BG502" t="s">
        <v>5475</v>
      </c>
      <c r="BH502" t="s">
        <v>400</v>
      </c>
      <c r="BI502">
        <v>-81.911094273510201</v>
      </c>
      <c r="BJ502">
        <v>30.682243422962401</v>
      </c>
      <c r="BK502" t="s">
        <v>5476</v>
      </c>
      <c r="BL502" t="s">
        <v>5477</v>
      </c>
      <c r="BM502">
        <v>0</v>
      </c>
      <c r="BN502" t="s">
        <v>928</v>
      </c>
      <c r="BO502">
        <v>32011</v>
      </c>
      <c r="BP502" t="s">
        <v>404</v>
      </c>
      <c r="BQ502">
        <v>100</v>
      </c>
      <c r="BR502" t="s">
        <v>514</v>
      </c>
      <c r="BS502">
        <v>1001</v>
      </c>
      <c r="BT502" t="s">
        <v>515</v>
      </c>
      <c r="BW502">
        <v>20025</v>
      </c>
      <c r="BX502" t="s">
        <v>407</v>
      </c>
      <c r="BY502" t="s">
        <v>4244</v>
      </c>
      <c r="BZ502">
        <v>4</v>
      </c>
      <c r="CA502">
        <v>1958</v>
      </c>
      <c r="CB502">
        <v>1</v>
      </c>
      <c r="CC502">
        <v>2</v>
      </c>
      <c r="CD502">
        <v>2017</v>
      </c>
      <c r="CE502">
        <v>30037</v>
      </c>
      <c r="CF502">
        <v>26526</v>
      </c>
      <c r="CG502">
        <v>56563</v>
      </c>
      <c r="CH502">
        <v>2017</v>
      </c>
      <c r="CI502">
        <v>30037</v>
      </c>
      <c r="CJ502">
        <v>26526</v>
      </c>
      <c r="CK502">
        <v>56563</v>
      </c>
      <c r="CL502">
        <v>2017</v>
      </c>
      <c r="CM502">
        <v>789.93</v>
      </c>
      <c r="DD502" t="s">
        <v>398</v>
      </c>
      <c r="DF502">
        <v>34</v>
      </c>
      <c r="DG502">
        <v>16</v>
      </c>
      <c r="DJ502" t="s">
        <v>1990</v>
      </c>
      <c r="DL502">
        <v>50400</v>
      </c>
      <c r="DM502" t="s">
        <v>5413</v>
      </c>
      <c r="DO502" t="s">
        <v>5478</v>
      </c>
      <c r="DP502">
        <v>0</v>
      </c>
      <c r="DQ502">
        <v>2</v>
      </c>
      <c r="DR502" t="s">
        <v>1479</v>
      </c>
      <c r="DS502" t="b">
        <v>1</v>
      </c>
      <c r="DT502" t="s">
        <v>470</v>
      </c>
      <c r="DU502" t="s">
        <v>471</v>
      </c>
      <c r="DV502" t="s">
        <v>472</v>
      </c>
      <c r="DX502">
        <v>-9999</v>
      </c>
      <c r="DZ502" t="s">
        <v>447</v>
      </c>
      <c r="EA502" t="s">
        <v>448</v>
      </c>
      <c r="EB502" t="s">
        <v>1224</v>
      </c>
      <c r="EC502">
        <v>20101217</v>
      </c>
      <c r="ED502" t="s">
        <v>474</v>
      </c>
      <c r="EF502">
        <v>385.8</v>
      </c>
      <c r="EG502">
        <v>385.8</v>
      </c>
      <c r="EI502">
        <v>20160407</v>
      </c>
      <c r="EJ502">
        <v>0</v>
      </c>
      <c r="EK502">
        <v>0</v>
      </c>
      <c r="EP502" t="s">
        <v>421</v>
      </c>
      <c r="EQ502" t="s">
        <v>422</v>
      </c>
      <c r="ER502">
        <v>0</v>
      </c>
      <c r="ES502">
        <v>2</v>
      </c>
      <c r="ET502">
        <v>0</v>
      </c>
      <c r="EU502">
        <v>0</v>
      </c>
      <c r="EV502">
        <v>0</v>
      </c>
      <c r="EW502" s="2">
        <v>43222</v>
      </c>
      <c r="EX502" s="1">
        <v>42515</v>
      </c>
      <c r="EY502">
        <v>2015</v>
      </c>
      <c r="EZ502">
        <v>920.59</v>
      </c>
      <c r="FA502" t="s">
        <v>5479</v>
      </c>
      <c r="FB502">
        <v>0.25</v>
      </c>
      <c r="FC502" t="s">
        <v>424</v>
      </c>
      <c r="FD502" t="s">
        <v>425</v>
      </c>
      <c r="FE502" s="1">
        <v>42538</v>
      </c>
      <c r="FF502">
        <v>1</v>
      </c>
      <c r="FG502">
        <v>7045074</v>
      </c>
      <c r="FH502" t="s">
        <v>580</v>
      </c>
      <c r="FJ502" s="1">
        <v>42515</v>
      </c>
      <c r="FK502">
        <v>2015</v>
      </c>
      <c r="FL502">
        <v>920.59</v>
      </c>
      <c r="FM502" t="s">
        <v>5479</v>
      </c>
      <c r="FN502">
        <v>0.25</v>
      </c>
      <c r="FO502" t="s">
        <v>424</v>
      </c>
      <c r="FP502" t="s">
        <v>425</v>
      </c>
      <c r="FR502">
        <v>22</v>
      </c>
      <c r="FS502">
        <v>6265601</v>
      </c>
      <c r="FT502" t="s">
        <v>5480</v>
      </c>
    </row>
    <row r="503" spans="1:236" x14ac:dyDescent="0.25">
      <c r="A503">
        <v>16485510</v>
      </c>
      <c r="B503">
        <v>502</v>
      </c>
      <c r="C503" t="s">
        <v>393</v>
      </c>
      <c r="D503" t="s">
        <v>394</v>
      </c>
      <c r="F503" t="str">
        <f>"16-3N-24-2320-0001-0000"</f>
        <v>16-3N-24-2320-0001-0000</v>
      </c>
      <c r="H503" t="str">
        <f>"NYREN GERALD"</f>
        <v>NYREN GERALD</v>
      </c>
      <c r="I503" t="str">
        <f>"3911 PARK STREET"</f>
        <v>3911 PARK STREET</v>
      </c>
      <c r="J503" t="str">
        <f>"JACKSONVILLE FL 32205"</f>
        <v>JACKSONVILLE FL 32205</v>
      </c>
      <c r="K503" t="str">
        <f>"7624 NYRENS WY"</f>
        <v>7624 NYRENS WY</v>
      </c>
      <c r="L503" t="str">
        <f t="shared" si="148"/>
        <v>HILLIARD FL 32046</v>
      </c>
      <c r="M503" t="str">
        <f>"LOTS 1 &amp; PT OF LOTS 2 &amp; 3 IN OR 357/542 EX S-1 &amp; S-2 OF LOTS 1 &amp; 2 EX S-1 &amp; S-2 OF LOT 3 DUNN SURVEY"</f>
        <v>LOTS 1 &amp; PT OF LOTS 2 &amp; 3 IN OR 357/542 EX S-1 &amp; S-2 OF LOTS 1 &amp; 2 EX S-1 &amp; S-2 OF LOT 3 DUNN SURVEY</v>
      </c>
      <c r="N503" t="str">
        <f>""</f>
        <v/>
      </c>
      <c r="O503" t="str">
        <f>"31608"</f>
        <v>31608</v>
      </c>
      <c r="P503" t="str">
        <f t="shared" si="137"/>
        <v>2017</v>
      </c>
      <c r="Q503" t="str">
        <f>""</f>
        <v/>
      </c>
      <c r="R503" t="str">
        <f t="shared" si="149"/>
        <v>N</v>
      </c>
      <c r="S503" t="str">
        <f>"16.54"</f>
        <v>16.54</v>
      </c>
      <c r="T503" t="str">
        <f>"519.73"</f>
        <v>519.73</v>
      </c>
      <c r="U503" t="str">
        <f>"37215.00"</f>
        <v>37215.00</v>
      </c>
      <c r="V503" t="str">
        <f>"37215.00"</f>
        <v>37215.00</v>
      </c>
      <c r="W503" t="str">
        <f t="shared" si="138"/>
        <v>2017</v>
      </c>
      <c r="X503" t="str">
        <f>"31.83"</f>
        <v>31.83</v>
      </c>
      <c r="Y503" t="str">
        <f>"567.32"</f>
        <v>567.32</v>
      </c>
      <c r="Z503" t="str">
        <f>""</f>
        <v/>
      </c>
      <c r="AA503" t="str">
        <f>"37215.00"</f>
        <v>37215.00</v>
      </c>
      <c r="AB503" t="str">
        <f t="shared" si="150"/>
        <v>Residential</v>
      </c>
      <c r="AC503" t="str">
        <f t="shared" si="139"/>
        <v>0</v>
      </c>
      <c r="AD503" t="str">
        <f>""</f>
        <v/>
      </c>
      <c r="AE503" t="str">
        <f>""</f>
        <v/>
      </c>
      <c r="AF503" t="str">
        <f>"000"</f>
        <v>000</v>
      </c>
      <c r="AG503" t="str">
        <f t="shared" si="145"/>
        <v>FL</v>
      </c>
      <c r="AH503" t="str">
        <f>"720482.00"</f>
        <v>720482.00</v>
      </c>
      <c r="AI503" t="str">
        <f>"37215.00"</f>
        <v>37215.00</v>
      </c>
      <c r="AJ503" t="str">
        <f>"C55-000-587-1280-3"</f>
        <v>C55-000-587-1280-3</v>
      </c>
      <c r="AK503" t="str">
        <f>"7444"</f>
        <v>7444</v>
      </c>
      <c r="AL503">
        <v>2</v>
      </c>
      <c r="AM503">
        <v>580</v>
      </c>
      <c r="AN503">
        <v>594.09</v>
      </c>
      <c r="AQ503" t="s">
        <v>5481</v>
      </c>
      <c r="AR503" t="s">
        <v>5481</v>
      </c>
      <c r="AS503" t="s">
        <v>5481</v>
      </c>
      <c r="AU503" t="s">
        <v>396</v>
      </c>
      <c r="AV503">
        <v>2017</v>
      </c>
      <c r="AW503" t="str">
        <f>"16-3N-24-2320-0001-0000 "</f>
        <v xml:space="preserve">16-3N-24-2320-0001-0000 </v>
      </c>
      <c r="AX503">
        <v>7624</v>
      </c>
      <c r="AZ503" t="s">
        <v>5482</v>
      </c>
      <c r="BA503" t="s">
        <v>5483</v>
      </c>
      <c r="BD503" t="s">
        <v>398</v>
      </c>
      <c r="BE503" t="s">
        <v>393</v>
      </c>
      <c r="BF503">
        <v>32046</v>
      </c>
      <c r="BG503" t="s">
        <v>5484</v>
      </c>
      <c r="BH503" t="s">
        <v>400</v>
      </c>
      <c r="BI503">
        <v>-81.907959866446902</v>
      </c>
      <c r="BJ503">
        <v>30.682581786480601</v>
      </c>
      <c r="BK503" t="s">
        <v>5485</v>
      </c>
      <c r="BM503" t="s">
        <v>5486</v>
      </c>
      <c r="BN503" t="s">
        <v>548</v>
      </c>
      <c r="BO503">
        <v>32205</v>
      </c>
      <c r="BP503" t="s">
        <v>404</v>
      </c>
      <c r="BQ503">
        <v>0</v>
      </c>
      <c r="BR503" t="s">
        <v>491</v>
      </c>
      <c r="BS503">
        <v>8001</v>
      </c>
      <c r="BT503" t="s">
        <v>492</v>
      </c>
      <c r="BW503">
        <v>720482</v>
      </c>
      <c r="BX503" t="s">
        <v>407</v>
      </c>
      <c r="BY503" t="s">
        <v>5281</v>
      </c>
      <c r="CD503">
        <v>2017</v>
      </c>
      <c r="CE503">
        <v>37215</v>
      </c>
      <c r="CG503">
        <v>37215</v>
      </c>
      <c r="CH503">
        <v>2017</v>
      </c>
      <c r="CI503">
        <v>37215</v>
      </c>
      <c r="CK503">
        <v>37215</v>
      </c>
      <c r="CL503">
        <v>2017</v>
      </c>
      <c r="CM503">
        <v>519.73</v>
      </c>
      <c r="CN503" s="1">
        <v>30042</v>
      </c>
      <c r="CO503">
        <v>22500</v>
      </c>
      <c r="CZ503" s="1">
        <v>30042</v>
      </c>
      <c r="DD503" t="s">
        <v>398</v>
      </c>
      <c r="DG503">
        <v>16</v>
      </c>
      <c r="DL503">
        <v>50400</v>
      </c>
      <c r="DM503" t="s">
        <v>5413</v>
      </c>
      <c r="DO503" t="s">
        <v>5487</v>
      </c>
      <c r="DP503">
        <v>0</v>
      </c>
      <c r="DQ503">
        <v>2</v>
      </c>
      <c r="DR503" t="s">
        <v>411</v>
      </c>
      <c r="DS503" t="b">
        <v>1</v>
      </c>
      <c r="DT503" t="s">
        <v>396</v>
      </c>
      <c r="DV503" t="s">
        <v>446</v>
      </c>
      <c r="DX503">
        <v>-9999</v>
      </c>
      <c r="DZ503" t="s">
        <v>447</v>
      </c>
      <c r="EA503" t="s">
        <v>448</v>
      </c>
      <c r="EB503" t="s">
        <v>449</v>
      </c>
      <c r="EC503">
        <v>20101217</v>
      </c>
      <c r="ED503" t="s">
        <v>450</v>
      </c>
      <c r="EE503">
        <v>14.4</v>
      </c>
      <c r="EF503">
        <v>0</v>
      </c>
      <c r="EG503">
        <v>0</v>
      </c>
      <c r="EI503">
        <v>20160407</v>
      </c>
      <c r="EJ503">
        <v>0</v>
      </c>
      <c r="EK503">
        <v>0</v>
      </c>
      <c r="EP503" t="s">
        <v>421</v>
      </c>
      <c r="EQ503" t="s">
        <v>422</v>
      </c>
      <c r="ER503">
        <v>0</v>
      </c>
      <c r="ES503">
        <v>1</v>
      </c>
      <c r="ET503">
        <v>0</v>
      </c>
      <c r="EU503">
        <v>0</v>
      </c>
      <c r="EV503">
        <v>0</v>
      </c>
      <c r="EW503" s="2">
        <v>43222</v>
      </c>
      <c r="EX503" s="1">
        <v>42515</v>
      </c>
      <c r="EY503">
        <v>2015</v>
      </c>
      <c r="EZ503">
        <v>602.87</v>
      </c>
      <c r="FA503" t="s">
        <v>5488</v>
      </c>
      <c r="FB503">
        <v>6.25</v>
      </c>
      <c r="FC503" t="s">
        <v>424</v>
      </c>
      <c r="FD503" t="s">
        <v>425</v>
      </c>
      <c r="FE503" s="1">
        <v>42789</v>
      </c>
      <c r="FF503">
        <v>9</v>
      </c>
      <c r="FG503">
        <v>2035919</v>
      </c>
      <c r="FH503" t="s">
        <v>507</v>
      </c>
    </row>
    <row r="504" spans="1:236" x14ac:dyDescent="0.25">
      <c r="A504">
        <v>16485511</v>
      </c>
      <c r="B504">
        <v>503</v>
      </c>
      <c r="C504" t="s">
        <v>393</v>
      </c>
      <c r="D504" t="s">
        <v>394</v>
      </c>
      <c r="F504" t="str">
        <f>"16-3N-24-2320-0001-0020"</f>
        <v>16-3N-24-2320-0001-0020</v>
      </c>
      <c r="H504" t="str">
        <f>"NYREN GERALD"</f>
        <v>NYREN GERALD</v>
      </c>
      <c r="I504" t="str">
        <f>"3911 PARK STREET"</f>
        <v>3911 PARK STREET</v>
      </c>
      <c r="J504" t="str">
        <f>"JACKSONVILLE FL 32205"</f>
        <v>JACKSONVILLE FL 32205</v>
      </c>
      <c r="K504" t="str">
        <f>"NYRENS WY"</f>
        <v>NYRENS WY</v>
      </c>
      <c r="L504" t="str">
        <f t="shared" si="148"/>
        <v>HILLIARD FL 32046</v>
      </c>
      <c r="M504" t="str">
        <f>"PT OF LOTS 1 &amp; 2 (S-2) PT OR 357/542 DUNN SURVEY"</f>
        <v>PT OF LOTS 1 &amp; 2 (S-2) PT OR 357/542 DUNN SURVEY</v>
      </c>
      <c r="N504" t="str">
        <f>""</f>
        <v/>
      </c>
      <c r="O504" t="str">
        <f>"31610"</f>
        <v>31610</v>
      </c>
      <c r="P504" t="str">
        <f t="shared" si="137"/>
        <v>2017</v>
      </c>
      <c r="Q504" t="str">
        <f>""</f>
        <v/>
      </c>
      <c r="R504" t="str">
        <f t="shared" si="149"/>
        <v>N</v>
      </c>
      <c r="S504" t="str">
        <f>"1.25"</f>
        <v>1.25</v>
      </c>
      <c r="T504" t="str">
        <f>"196.22"</f>
        <v>196.22</v>
      </c>
      <c r="U504" t="str">
        <f>"13200.00"</f>
        <v>13200.00</v>
      </c>
      <c r="V504" t="str">
        <f>"13200.00"</f>
        <v>13200.00</v>
      </c>
      <c r="W504" t="str">
        <f t="shared" si="138"/>
        <v>2017</v>
      </c>
      <c r="X504" t="str">
        <f>"9.00"</f>
        <v>9.00</v>
      </c>
      <c r="Y504" t="str">
        <f>"234.11"</f>
        <v>234.11</v>
      </c>
      <c r="Z504" t="str">
        <f>""</f>
        <v/>
      </c>
      <c r="AA504" t="str">
        <f>"15000.00"</f>
        <v>15000.00</v>
      </c>
      <c r="AB504" t="str">
        <f t="shared" si="150"/>
        <v>Residential</v>
      </c>
      <c r="AC504" t="str">
        <f t="shared" si="139"/>
        <v>0</v>
      </c>
      <c r="AD504" t="str">
        <f>""</f>
        <v/>
      </c>
      <c r="AE504" t="str">
        <f>""</f>
        <v/>
      </c>
      <c r="AF504" t="str">
        <f>"000"</f>
        <v>000</v>
      </c>
      <c r="AG504" t="str">
        <f t="shared" si="145"/>
        <v>FL</v>
      </c>
      <c r="AH504" t="str">
        <f>"54450.00"</f>
        <v>54450.00</v>
      </c>
      <c r="AI504" t="str">
        <f>"15000.00"</f>
        <v>15000.00</v>
      </c>
      <c r="AJ504" t="str">
        <f>"C55-001-050-5009-0"</f>
        <v>C55-001-050-5009-0</v>
      </c>
      <c r="AK504" t="str">
        <f>"7446"</f>
        <v>7446</v>
      </c>
      <c r="AL504">
        <v>2</v>
      </c>
      <c r="AM504">
        <v>581</v>
      </c>
      <c r="AN504">
        <v>244.22</v>
      </c>
      <c r="AQ504" t="s">
        <v>5489</v>
      </c>
      <c r="AR504" t="s">
        <v>5489</v>
      </c>
      <c r="AS504" t="s">
        <v>5489</v>
      </c>
      <c r="AU504" t="s">
        <v>396</v>
      </c>
      <c r="AV504">
        <v>2017</v>
      </c>
      <c r="AW504" t="str">
        <f>"16-3N-24-2320-0001-0020 "</f>
        <v xml:space="preserve">16-3N-24-2320-0001-0020 </v>
      </c>
      <c r="AZ504" t="s">
        <v>5482</v>
      </c>
      <c r="BA504" t="s">
        <v>5483</v>
      </c>
      <c r="BD504" t="s">
        <v>398</v>
      </c>
      <c r="BE504" t="s">
        <v>393</v>
      </c>
      <c r="BF504">
        <v>32046</v>
      </c>
      <c r="BG504" t="s">
        <v>5490</v>
      </c>
      <c r="BH504" t="s">
        <v>400</v>
      </c>
      <c r="BI504">
        <v>-81.905426405148205</v>
      </c>
      <c r="BJ504">
        <v>30.6830452769454</v>
      </c>
      <c r="BK504" t="s">
        <v>5485</v>
      </c>
      <c r="BM504" t="s">
        <v>5486</v>
      </c>
      <c r="BN504" t="s">
        <v>548</v>
      </c>
      <c r="BO504">
        <v>32205</v>
      </c>
      <c r="BP504" t="s">
        <v>404</v>
      </c>
      <c r="BQ504">
        <v>0</v>
      </c>
      <c r="BR504" t="s">
        <v>491</v>
      </c>
      <c r="BS504">
        <v>8001</v>
      </c>
      <c r="BT504" t="s">
        <v>492</v>
      </c>
      <c r="BW504">
        <v>54450</v>
      </c>
      <c r="BX504" t="s">
        <v>407</v>
      </c>
      <c r="BY504" t="s">
        <v>5281</v>
      </c>
      <c r="CD504">
        <v>2017</v>
      </c>
      <c r="CE504">
        <v>15000</v>
      </c>
      <c r="CG504">
        <v>15000</v>
      </c>
      <c r="CH504">
        <v>2017</v>
      </c>
      <c r="CI504">
        <v>15000</v>
      </c>
      <c r="CK504">
        <v>15000</v>
      </c>
      <c r="CL504">
        <v>2017</v>
      </c>
      <c r="CM504">
        <v>196.22</v>
      </c>
      <c r="DD504" t="s">
        <v>398</v>
      </c>
      <c r="DG504">
        <v>16</v>
      </c>
      <c r="DL504">
        <v>50400</v>
      </c>
      <c r="DM504" t="s">
        <v>5413</v>
      </c>
      <c r="DO504" t="s">
        <v>5491</v>
      </c>
      <c r="DP504">
        <v>0</v>
      </c>
      <c r="DQ504">
        <v>1</v>
      </c>
      <c r="DR504" t="s">
        <v>411</v>
      </c>
      <c r="DS504" t="b">
        <v>1</v>
      </c>
      <c r="DT504" t="s">
        <v>470</v>
      </c>
      <c r="DU504" t="s">
        <v>471</v>
      </c>
      <c r="DV504" t="s">
        <v>472</v>
      </c>
      <c r="DX504">
        <v>-9999</v>
      </c>
      <c r="DZ504" t="s">
        <v>447</v>
      </c>
      <c r="EA504" t="s">
        <v>448</v>
      </c>
      <c r="EB504" t="s">
        <v>1224</v>
      </c>
      <c r="EC504">
        <v>20101217</v>
      </c>
      <c r="ED504" t="s">
        <v>474</v>
      </c>
      <c r="EF504">
        <v>755.9</v>
      </c>
      <c r="EG504">
        <v>755.9</v>
      </c>
      <c r="EI504">
        <v>20160407</v>
      </c>
      <c r="EJ504">
        <v>0</v>
      </c>
      <c r="EK504">
        <v>0</v>
      </c>
      <c r="EP504" t="s">
        <v>421</v>
      </c>
      <c r="EQ504" t="s">
        <v>422</v>
      </c>
      <c r="ER504">
        <v>0</v>
      </c>
      <c r="ES504">
        <v>1</v>
      </c>
      <c r="ET504">
        <v>0</v>
      </c>
      <c r="EU504">
        <v>0</v>
      </c>
      <c r="EV504">
        <v>0</v>
      </c>
      <c r="EW504" s="2">
        <v>43222</v>
      </c>
      <c r="EX504" s="1">
        <v>42515</v>
      </c>
      <c r="EY504">
        <v>2015</v>
      </c>
      <c r="EZ504">
        <v>203.41</v>
      </c>
      <c r="FA504" t="s">
        <v>5492</v>
      </c>
      <c r="FB504">
        <v>15.25</v>
      </c>
      <c r="FC504" t="s">
        <v>424</v>
      </c>
      <c r="FD504" t="s">
        <v>425</v>
      </c>
      <c r="FE504" s="1">
        <v>42789</v>
      </c>
      <c r="FF504">
        <v>9</v>
      </c>
      <c r="FG504">
        <v>10125</v>
      </c>
      <c r="FH504" t="s">
        <v>440</v>
      </c>
    </row>
    <row r="505" spans="1:236" x14ac:dyDescent="0.25">
      <c r="A505">
        <v>16485512</v>
      </c>
      <c r="B505">
        <v>504</v>
      </c>
      <c r="C505" t="s">
        <v>393</v>
      </c>
      <c r="D505" t="s">
        <v>394</v>
      </c>
      <c r="F505" t="str">
        <f>"16-3N-24-2320-0002-0010"</f>
        <v>16-3N-24-2320-0002-0010</v>
      </c>
      <c r="H505" t="str">
        <f>"OKEFENOKEE II L C"</f>
        <v>OKEFENOKEE II L C</v>
      </c>
      <c r="I505" t="str">
        <f>"PO BOX 50338"</f>
        <v>PO BOX 50338</v>
      </c>
      <c r="J505" t="str">
        <f>"JACKSONVILLE BEACH FL 32240"</f>
        <v>JACKSONVILLE BEACH FL 32240</v>
      </c>
      <c r="K505" t="str">
        <f>"NYRENS WAY"</f>
        <v>NYRENS WAY</v>
      </c>
      <c r="L505" t="str">
        <f t="shared" si="148"/>
        <v>HILLIARD FL 32046</v>
      </c>
      <c r="M505" t="str">
        <f>"PT OF LOTS 2 &amp; 3 PT OR 956/1102 SEWER PLANT DUNNS SURVEY"</f>
        <v>PT OF LOTS 2 &amp; 3 PT OR 956/1102 SEWER PLANT DUNNS SURVEY</v>
      </c>
      <c r="N505" t="str">
        <f>""</f>
        <v/>
      </c>
      <c r="O505" t="str">
        <f>"31611"</f>
        <v>31611</v>
      </c>
      <c r="P505" t="str">
        <f t="shared" si="137"/>
        <v>2017</v>
      </c>
      <c r="Q505" t="str">
        <f>""</f>
        <v/>
      </c>
      <c r="R505" t="str">
        <f t="shared" si="149"/>
        <v>N</v>
      </c>
      <c r="S505" t="str">
        <f>"4.34"</f>
        <v>4.34</v>
      </c>
      <c r="T505" t="str">
        <f>"321.23"</f>
        <v>321.23</v>
      </c>
      <c r="U505" t="str">
        <f>"11873.00"</f>
        <v>11873.00</v>
      </c>
      <c r="V505" t="str">
        <f>"11873.00"</f>
        <v>11873.00</v>
      </c>
      <c r="W505" t="str">
        <f t="shared" si="138"/>
        <v>2017</v>
      </c>
      <c r="X505" t="str">
        <f>""</f>
        <v/>
      </c>
      <c r="Y505" t="str">
        <f>"362.87"</f>
        <v>362.87</v>
      </c>
      <c r="Z505" t="str">
        <f>""</f>
        <v/>
      </c>
      <c r="AA505" t="str">
        <f>"35429.00"</f>
        <v>35429.00</v>
      </c>
      <c r="AB505" t="str">
        <f t="shared" si="150"/>
        <v>Residential</v>
      </c>
      <c r="AC505" t="str">
        <f t="shared" si="139"/>
        <v>0</v>
      </c>
      <c r="AD505" t="str">
        <f>""</f>
        <v/>
      </c>
      <c r="AE505" t="str">
        <f>""</f>
        <v/>
      </c>
      <c r="AF505" t="str">
        <f>"000"</f>
        <v>000</v>
      </c>
      <c r="AG505" t="str">
        <f t="shared" si="145"/>
        <v>FL</v>
      </c>
      <c r="AH505" t="str">
        <f>"189050.00"</f>
        <v>189050.00</v>
      </c>
      <c r="AI505" t="str">
        <f>"34720.00"</f>
        <v>34720.00</v>
      </c>
      <c r="AJ505" t="str">
        <f>"C55-000-587-1281-1"</f>
        <v>C55-000-587-1281-1</v>
      </c>
      <c r="AK505" t="str">
        <f>"7447"</f>
        <v>7447</v>
      </c>
      <c r="AL505">
        <v>2</v>
      </c>
      <c r="AM505">
        <v>582</v>
      </c>
      <c r="AN505">
        <v>379.41</v>
      </c>
      <c r="AQ505" t="s">
        <v>5493</v>
      </c>
      <c r="AR505" t="s">
        <v>5493</v>
      </c>
      <c r="AS505" t="s">
        <v>5493</v>
      </c>
      <c r="AU505" t="s">
        <v>396</v>
      </c>
      <c r="AV505">
        <v>2017</v>
      </c>
      <c r="AW505" t="str">
        <f>"16-3N-24-2320-0002-0010 "</f>
        <v xml:space="preserve">16-3N-24-2320-0002-0010 </v>
      </c>
      <c r="AZ505" t="s">
        <v>5482</v>
      </c>
      <c r="BA505" t="s">
        <v>866</v>
      </c>
      <c r="BD505" t="s">
        <v>398</v>
      </c>
      <c r="BE505" t="s">
        <v>393</v>
      </c>
      <c r="BF505">
        <v>32046</v>
      </c>
      <c r="BG505" t="s">
        <v>5494</v>
      </c>
      <c r="BH505" t="s">
        <v>400</v>
      </c>
      <c r="BI505">
        <v>-81.906305084349199</v>
      </c>
      <c r="BJ505">
        <v>30.681775732905098</v>
      </c>
      <c r="BK505" t="s">
        <v>5373</v>
      </c>
      <c r="BM505" t="s">
        <v>5374</v>
      </c>
      <c r="BN505" t="s">
        <v>3912</v>
      </c>
      <c r="BO505">
        <v>32240</v>
      </c>
      <c r="BP505" t="s">
        <v>404</v>
      </c>
      <c r="BQ505">
        <v>1</v>
      </c>
      <c r="BR505" t="s">
        <v>491</v>
      </c>
      <c r="BS505">
        <v>8001</v>
      </c>
      <c r="BT505" t="s">
        <v>492</v>
      </c>
      <c r="BW505">
        <v>189050</v>
      </c>
      <c r="BX505" t="s">
        <v>407</v>
      </c>
      <c r="BY505" t="s">
        <v>5281</v>
      </c>
      <c r="CD505">
        <v>2017</v>
      </c>
      <c r="CE505">
        <v>34720</v>
      </c>
      <c r="CF505">
        <v>709</v>
      </c>
      <c r="CG505">
        <v>35429</v>
      </c>
      <c r="CH505">
        <v>2017</v>
      </c>
      <c r="CI505">
        <v>34720</v>
      </c>
      <c r="CJ505">
        <v>709</v>
      </c>
      <c r="CK505">
        <v>35429</v>
      </c>
      <c r="CL505">
        <v>2017</v>
      </c>
      <c r="CM505">
        <v>321.23</v>
      </c>
      <c r="CN505" s="1">
        <v>36831</v>
      </c>
      <c r="CO505">
        <v>33900</v>
      </c>
      <c r="CZ505" s="1">
        <v>36831</v>
      </c>
      <c r="DD505" t="s">
        <v>398</v>
      </c>
      <c r="DG505">
        <v>16</v>
      </c>
      <c r="DL505">
        <v>50400</v>
      </c>
      <c r="DM505" t="s">
        <v>5413</v>
      </c>
      <c r="DO505" t="s">
        <v>5495</v>
      </c>
      <c r="DP505">
        <v>0</v>
      </c>
      <c r="DQ505">
        <v>0</v>
      </c>
      <c r="DR505" t="s">
        <v>411</v>
      </c>
    </row>
    <row r="506" spans="1:236" x14ac:dyDescent="0.25">
      <c r="A506">
        <v>16485513</v>
      </c>
      <c r="B506">
        <v>505</v>
      </c>
      <c r="C506" t="s">
        <v>393</v>
      </c>
      <c r="D506" t="s">
        <v>394</v>
      </c>
      <c r="F506" t="str">
        <f>"16-3N-24-2320-0003-0020"</f>
        <v>16-3N-24-2320-0003-0020</v>
      </c>
      <c r="H506" t="str">
        <f>"NYREN GERALD"</f>
        <v>NYREN GERALD</v>
      </c>
      <c r="I506" t="str">
        <f>"3911 PARK STREET"</f>
        <v>3911 PARK STREET</v>
      </c>
      <c r="J506" t="str">
        <f>"JACKSONVILLE FL 32205"</f>
        <v>JACKSONVILLE FL 32205</v>
      </c>
      <c r="K506" t="str">
        <f>"NYRENS WY"</f>
        <v>NYRENS WY</v>
      </c>
      <c r="L506" t="str">
        <f t="shared" si="148"/>
        <v>HILLIARD FL 32046</v>
      </c>
      <c r="M506" t="str">
        <f>"PT OF LOT 3 (S-2) PT OR 357/542 DUNN SURVEY"</f>
        <v>PT OF LOT 3 (S-2) PT OR 357/542 DUNN SURVEY</v>
      </c>
      <c r="N506" t="str">
        <f>""</f>
        <v/>
      </c>
      <c r="O506" t="str">
        <f>"31613"</f>
        <v>31613</v>
      </c>
      <c r="P506" t="str">
        <f t="shared" si="137"/>
        <v>2017</v>
      </c>
      <c r="Q506" t="str">
        <f>""</f>
        <v/>
      </c>
      <c r="R506" t="str">
        <f t="shared" si="149"/>
        <v>N</v>
      </c>
      <c r="S506" t="str">
        <f>"0.23"</f>
        <v>0.23</v>
      </c>
      <c r="T506" t="str">
        <f>"45.15"</f>
        <v>45.15</v>
      </c>
      <c r="U506" t="str">
        <f>"3036.00"</f>
        <v>3036.00</v>
      </c>
      <c r="V506" t="str">
        <f>"3036.00"</f>
        <v>3036.00</v>
      </c>
      <c r="W506" t="str">
        <f t="shared" si="138"/>
        <v>2017</v>
      </c>
      <c r="X506" t="str">
        <f>"9.00"</f>
        <v>9.00</v>
      </c>
      <c r="Y506" t="str">
        <f>"78.50"</f>
        <v>78.50</v>
      </c>
      <c r="Z506" t="str">
        <f>""</f>
        <v/>
      </c>
      <c r="AA506" t="str">
        <f>"3450.00"</f>
        <v>3450.00</v>
      </c>
      <c r="AB506" t="str">
        <f t="shared" si="150"/>
        <v>Residential</v>
      </c>
      <c r="AC506" t="str">
        <f t="shared" si="139"/>
        <v>0</v>
      </c>
      <c r="AD506" t="str">
        <f>""</f>
        <v/>
      </c>
      <c r="AE506" t="str">
        <f>""</f>
        <v/>
      </c>
      <c r="AF506" t="str">
        <f>"000"</f>
        <v>000</v>
      </c>
      <c r="AG506" t="str">
        <f t="shared" si="145"/>
        <v>FL</v>
      </c>
      <c r="AH506" t="str">
        <f>"10018.00"</f>
        <v>10018.00</v>
      </c>
      <c r="AI506" t="str">
        <f>"3450.00"</f>
        <v>3450.00</v>
      </c>
      <c r="AJ506" t="str">
        <f>"C55-001-050-5010-8"</f>
        <v>C55-001-050-5010-8</v>
      </c>
      <c r="AK506" t="str">
        <f>"7449"</f>
        <v>7449</v>
      </c>
      <c r="AL506">
        <v>2</v>
      </c>
      <c r="AM506">
        <v>583</v>
      </c>
      <c r="AN506">
        <v>80.83</v>
      </c>
      <c r="AQ506" t="s">
        <v>5496</v>
      </c>
      <c r="AR506" t="s">
        <v>5496</v>
      </c>
      <c r="AS506" t="s">
        <v>5496</v>
      </c>
      <c r="AU506" t="s">
        <v>396</v>
      </c>
      <c r="AV506">
        <v>2017</v>
      </c>
      <c r="AW506" t="str">
        <f>"16-3N-24-2320-0003-0020 "</f>
        <v xml:space="preserve">16-3N-24-2320-0003-0020 </v>
      </c>
      <c r="AZ506" t="s">
        <v>5482</v>
      </c>
      <c r="BA506" t="s">
        <v>5483</v>
      </c>
      <c r="BD506" t="s">
        <v>398</v>
      </c>
      <c r="BE506" t="s">
        <v>393</v>
      </c>
      <c r="BF506">
        <v>32046</v>
      </c>
      <c r="BG506" t="s">
        <v>5490</v>
      </c>
      <c r="BH506" t="s">
        <v>400</v>
      </c>
      <c r="BI506">
        <v>-81.905332170661197</v>
      </c>
      <c r="BJ506">
        <v>30.681340514019102</v>
      </c>
      <c r="BK506" t="s">
        <v>5485</v>
      </c>
      <c r="BM506" t="s">
        <v>5486</v>
      </c>
      <c r="BN506" t="s">
        <v>548</v>
      </c>
      <c r="BO506">
        <v>32205</v>
      </c>
      <c r="BP506" t="s">
        <v>404</v>
      </c>
      <c r="BQ506">
        <v>0</v>
      </c>
      <c r="BR506" t="s">
        <v>491</v>
      </c>
      <c r="BS506">
        <v>8001</v>
      </c>
      <c r="BT506" t="s">
        <v>492</v>
      </c>
      <c r="BW506">
        <v>10018</v>
      </c>
      <c r="BX506" t="s">
        <v>407</v>
      </c>
      <c r="BY506" t="s">
        <v>5281</v>
      </c>
      <c r="CD506">
        <v>2017</v>
      </c>
      <c r="CE506">
        <v>3450</v>
      </c>
      <c r="CG506">
        <v>3450</v>
      </c>
      <c r="CH506">
        <v>2017</v>
      </c>
      <c r="CI506">
        <v>3450</v>
      </c>
      <c r="CK506">
        <v>3450</v>
      </c>
      <c r="CL506">
        <v>2017</v>
      </c>
      <c r="CM506">
        <v>45.15</v>
      </c>
      <c r="DD506" t="s">
        <v>398</v>
      </c>
      <c r="DF506">
        <v>3</v>
      </c>
      <c r="DG506">
        <v>16</v>
      </c>
      <c r="DL506">
        <v>50400</v>
      </c>
      <c r="DM506" t="s">
        <v>5413</v>
      </c>
      <c r="DO506" t="s">
        <v>5497</v>
      </c>
      <c r="DP506">
        <v>0</v>
      </c>
      <c r="DQ506">
        <v>0</v>
      </c>
      <c r="DR506" t="s">
        <v>411</v>
      </c>
      <c r="DS506" t="b">
        <v>1</v>
      </c>
      <c r="DT506" t="s">
        <v>470</v>
      </c>
      <c r="DU506" t="s">
        <v>471</v>
      </c>
      <c r="DV506" t="s">
        <v>472</v>
      </c>
      <c r="DX506">
        <v>-9999</v>
      </c>
      <c r="DZ506" t="s">
        <v>447</v>
      </c>
      <c r="EA506" t="s">
        <v>448</v>
      </c>
      <c r="EB506" t="s">
        <v>1224</v>
      </c>
      <c r="EC506">
        <v>20101217</v>
      </c>
      <c r="ED506" t="s">
        <v>474</v>
      </c>
      <c r="EF506">
        <v>589.5</v>
      </c>
      <c r="EG506">
        <v>589.5</v>
      </c>
      <c r="EI506">
        <v>20160407</v>
      </c>
      <c r="EJ506">
        <v>0</v>
      </c>
      <c r="EK506">
        <v>0</v>
      </c>
      <c r="EP506" t="s">
        <v>595</v>
      </c>
      <c r="EQ506" t="s">
        <v>422</v>
      </c>
      <c r="ER506">
        <v>0</v>
      </c>
      <c r="ES506">
        <v>2</v>
      </c>
      <c r="ET506">
        <v>0</v>
      </c>
      <c r="EU506">
        <v>0</v>
      </c>
      <c r="EV506">
        <v>0</v>
      </c>
      <c r="EW506" s="2">
        <v>43222</v>
      </c>
      <c r="EX506" s="1">
        <v>42515</v>
      </c>
      <c r="EY506">
        <v>2015</v>
      </c>
      <c r="EZ506">
        <v>63.72</v>
      </c>
      <c r="FA506" t="s">
        <v>5498</v>
      </c>
      <c r="FB506">
        <v>18</v>
      </c>
      <c r="FC506" t="s">
        <v>603</v>
      </c>
      <c r="FD506" t="s">
        <v>425</v>
      </c>
      <c r="FF506">
        <v>22</v>
      </c>
      <c r="FG506">
        <v>9999999</v>
      </c>
      <c r="FH506" t="s">
        <v>604</v>
      </c>
      <c r="FJ506" s="1">
        <v>42515</v>
      </c>
      <c r="FK506">
        <v>2015</v>
      </c>
      <c r="FL506">
        <v>70.930000000000007</v>
      </c>
      <c r="FM506" t="s">
        <v>5498</v>
      </c>
      <c r="FN506">
        <v>18</v>
      </c>
      <c r="FO506" t="s">
        <v>424</v>
      </c>
      <c r="FP506" t="s">
        <v>425</v>
      </c>
      <c r="FQ506" s="1">
        <v>42789</v>
      </c>
      <c r="FR506">
        <v>9</v>
      </c>
      <c r="FS506">
        <v>7336685</v>
      </c>
      <c r="FT506" t="s">
        <v>5499</v>
      </c>
    </row>
    <row r="507" spans="1:236" x14ac:dyDescent="0.25">
      <c r="A507">
        <v>16485514</v>
      </c>
      <c r="B507">
        <v>506</v>
      </c>
      <c r="C507" t="s">
        <v>393</v>
      </c>
      <c r="D507" t="s">
        <v>394</v>
      </c>
      <c r="F507" t="str">
        <f>"16-3N-24-2580-0029-0020"</f>
        <v>16-3N-24-2580-0029-0020</v>
      </c>
      <c r="H507" t="str">
        <f>"BOWMAN WENDY"</f>
        <v>BOWMAN WENDY</v>
      </c>
      <c r="I507" t="str">
        <f>"37017 LITTLE MAGNOLIA CT"</f>
        <v>37017 LITTLE MAGNOLIA CT</v>
      </c>
      <c r="J507" t="str">
        <f>"HILLIARD FL 32046"</f>
        <v>HILLIARD FL 32046</v>
      </c>
      <c r="K507" t="str">
        <f>"37017 LITTLE MAGNOLIA CT"</f>
        <v>37017 LITTLE MAGNOLIA CT</v>
      </c>
      <c r="L507" t="str">
        <f t="shared" si="148"/>
        <v>HILLIARD FL 32046</v>
      </c>
      <c r="M507" t="str">
        <f>"PT OF LOT 29 &amp; 30 IN OR 2010/1678 SUB OF NW 1/4 PB 1/3"</f>
        <v>PT OF LOT 29 &amp; 30 IN OR 2010/1678 SUB OF NW 1/4 PB 1/3</v>
      </c>
      <c r="N507" t="str">
        <f>""</f>
        <v/>
      </c>
      <c r="O507" t="str">
        <f>"31650"</f>
        <v>31650</v>
      </c>
      <c r="P507" t="str">
        <f t="shared" si="137"/>
        <v>2017</v>
      </c>
      <c r="Q507" t="str">
        <f>""</f>
        <v/>
      </c>
      <c r="R507" t="str">
        <f>"Y"</f>
        <v>Y</v>
      </c>
      <c r="S507" t="str">
        <f>""</f>
        <v/>
      </c>
      <c r="T507" t="str">
        <f>"777.51"</f>
        <v>777.51</v>
      </c>
      <c r="U507" t="str">
        <f>"93863.00"</f>
        <v>93863.00</v>
      </c>
      <c r="V507" t="str">
        <f>"93863.00"</f>
        <v>93863.00</v>
      </c>
      <c r="W507" t="str">
        <f t="shared" si="138"/>
        <v>2017</v>
      </c>
      <c r="X507" t="str">
        <f>"10.00"</f>
        <v>10.00</v>
      </c>
      <c r="Y507" t="str">
        <f>"832.84"</f>
        <v>832.84</v>
      </c>
      <c r="Z507" t="str">
        <f>"25000.00"</f>
        <v>25000.00</v>
      </c>
      <c r="AA507" t="str">
        <f>"68863.00"</f>
        <v>68863.00</v>
      </c>
      <c r="AB507" t="str">
        <f t="shared" si="150"/>
        <v>Residential</v>
      </c>
      <c r="AC507" t="str">
        <f t="shared" si="139"/>
        <v>0</v>
      </c>
      <c r="AD507" t="str">
        <f>"4"</f>
        <v>4</v>
      </c>
      <c r="AE507" t="str">
        <f>"WOOD (INCLUDE STEEL STUDS)"</f>
        <v>WOOD (INCLUDE STEEL STUDS)</v>
      </c>
      <c r="AF507" t="str">
        <f>"001"</f>
        <v>001</v>
      </c>
      <c r="AG507" t="str">
        <f t="shared" si="145"/>
        <v>FL</v>
      </c>
      <c r="AH507" t="str">
        <f>"-"</f>
        <v>-</v>
      </c>
      <c r="AI507" t="str">
        <f>"12000.00"</f>
        <v>12000.00</v>
      </c>
      <c r="AJ507" t="str">
        <f>"C55-000-587-1313-2"</f>
        <v>C55-000-587-1313-2</v>
      </c>
      <c r="AK507" t="str">
        <f>"7480"</f>
        <v>7480</v>
      </c>
      <c r="AL507">
        <v>2</v>
      </c>
      <c r="AM507">
        <v>584</v>
      </c>
      <c r="AN507">
        <v>872.88</v>
      </c>
      <c r="AQ507" t="s">
        <v>5500</v>
      </c>
      <c r="AR507" t="s">
        <v>5500</v>
      </c>
      <c r="AS507" t="s">
        <v>5500</v>
      </c>
      <c r="AU507" t="s">
        <v>396</v>
      </c>
      <c r="AV507">
        <v>2017</v>
      </c>
      <c r="AW507" t="str">
        <f>"16-3N-24-2580-0029-0020 "</f>
        <v xml:space="preserve">16-3N-24-2580-0029-0020 </v>
      </c>
      <c r="AX507">
        <v>37017</v>
      </c>
      <c r="AZ507" t="s">
        <v>5501</v>
      </c>
      <c r="BA507" t="s">
        <v>3181</v>
      </c>
      <c r="BD507" t="s">
        <v>398</v>
      </c>
      <c r="BE507" t="s">
        <v>393</v>
      </c>
      <c r="BF507">
        <v>32046</v>
      </c>
      <c r="BG507" t="s">
        <v>5502</v>
      </c>
      <c r="BH507" t="s">
        <v>400</v>
      </c>
      <c r="BI507">
        <v>-81.919270104890501</v>
      </c>
      <c r="BJ507">
        <v>30.680557118837701</v>
      </c>
      <c r="BK507" t="s">
        <v>5503</v>
      </c>
      <c r="BM507" t="s">
        <v>5502</v>
      </c>
      <c r="BN507" t="s">
        <v>403</v>
      </c>
      <c r="BO507">
        <v>32046</v>
      </c>
      <c r="BP507" t="s">
        <v>416</v>
      </c>
      <c r="BQ507">
        <v>100</v>
      </c>
      <c r="BR507" t="s">
        <v>514</v>
      </c>
      <c r="BS507">
        <v>1001</v>
      </c>
      <c r="BT507" t="s">
        <v>515</v>
      </c>
      <c r="BW507">
        <v>45216</v>
      </c>
      <c r="BX507" t="s">
        <v>407</v>
      </c>
      <c r="BY507" t="s">
        <v>5281</v>
      </c>
      <c r="BZ507">
        <v>4</v>
      </c>
      <c r="CA507">
        <v>1977</v>
      </c>
      <c r="CB507">
        <v>1</v>
      </c>
      <c r="CC507">
        <v>1</v>
      </c>
      <c r="CD507">
        <v>2017</v>
      </c>
      <c r="CG507">
        <v>93863</v>
      </c>
      <c r="CH507">
        <v>2017</v>
      </c>
      <c r="CI507">
        <v>12000</v>
      </c>
      <c r="CJ507">
        <v>83518</v>
      </c>
      <c r="CK507">
        <v>95518</v>
      </c>
      <c r="CL507">
        <v>2017</v>
      </c>
      <c r="CM507">
        <v>777.51</v>
      </c>
      <c r="CN507" s="1">
        <v>42303</v>
      </c>
      <c r="CO507">
        <v>120000</v>
      </c>
      <c r="CV507">
        <v>0</v>
      </c>
      <c r="CZ507" s="1">
        <v>42303</v>
      </c>
      <c r="DA507">
        <v>0</v>
      </c>
      <c r="DD507" t="s">
        <v>398</v>
      </c>
      <c r="DF507">
        <v>29</v>
      </c>
      <c r="DG507">
        <v>16</v>
      </c>
      <c r="DJ507" t="s">
        <v>5504</v>
      </c>
      <c r="DL507">
        <v>50400</v>
      </c>
      <c r="DM507" t="s">
        <v>5413</v>
      </c>
      <c r="DO507" t="s">
        <v>5505</v>
      </c>
      <c r="DP507">
        <v>0</v>
      </c>
      <c r="DQ507">
        <v>0</v>
      </c>
      <c r="DR507" t="s">
        <v>411</v>
      </c>
      <c r="EP507" t="s">
        <v>421</v>
      </c>
      <c r="EQ507" t="s">
        <v>422</v>
      </c>
      <c r="ER507">
        <v>0</v>
      </c>
      <c r="ES507">
        <v>2</v>
      </c>
      <c r="ET507">
        <v>0</v>
      </c>
      <c r="EU507">
        <v>0</v>
      </c>
      <c r="EV507">
        <v>0</v>
      </c>
      <c r="EW507" s="2">
        <v>43222</v>
      </c>
      <c r="EX507" s="1">
        <v>42879</v>
      </c>
      <c r="EY507">
        <v>2016</v>
      </c>
      <c r="EZ507">
        <v>855.26</v>
      </c>
      <c r="FA507" t="s">
        <v>5506</v>
      </c>
      <c r="FB507">
        <v>0.25</v>
      </c>
      <c r="FC507" t="s">
        <v>424</v>
      </c>
      <c r="FD507" t="s">
        <v>425</v>
      </c>
      <c r="FE507" s="1">
        <v>43168</v>
      </c>
      <c r="FF507">
        <v>10</v>
      </c>
      <c r="FG507">
        <v>2851116</v>
      </c>
      <c r="FH507" t="s">
        <v>480</v>
      </c>
      <c r="FJ507" s="1">
        <v>42879</v>
      </c>
      <c r="FK507">
        <v>2016</v>
      </c>
      <c r="FL507">
        <v>855.26</v>
      </c>
      <c r="FM507" t="s">
        <v>5506</v>
      </c>
      <c r="FN507">
        <v>0.25</v>
      </c>
      <c r="FO507" t="s">
        <v>424</v>
      </c>
      <c r="FP507" t="s">
        <v>425</v>
      </c>
      <c r="FR507">
        <v>22</v>
      </c>
      <c r="FS507">
        <v>5724235</v>
      </c>
      <c r="FT507" t="s">
        <v>5507</v>
      </c>
    </row>
    <row r="508" spans="1:236" x14ac:dyDescent="0.25">
      <c r="A508">
        <v>16485515</v>
      </c>
      <c r="B508">
        <v>507</v>
      </c>
      <c r="C508" t="s">
        <v>393</v>
      </c>
      <c r="D508" t="s">
        <v>394</v>
      </c>
      <c r="F508" t="str">
        <f>"17-3N-24-2020-0022-0040"</f>
        <v>17-3N-24-2020-0022-0040</v>
      </c>
      <c r="H508" t="str">
        <f>"RIVER CITY HOLDINGS LLC"</f>
        <v>RIVER CITY HOLDINGS LLC</v>
      </c>
      <c r="I508" t="str">
        <f>"9378 ARLINGTON EXPRESSWAY 311"</f>
        <v>9378 ARLINGTON EXPRESSWAY 311</v>
      </c>
      <c r="J508" t="str">
        <f>"JACKSONVILLE FL 32225"</f>
        <v>JACKSONVILLE FL 32225</v>
      </c>
      <c r="K508" t="str">
        <f>"2783 GARTH LN"</f>
        <v>2783 GARTH LN</v>
      </c>
      <c r="L508" t="str">
        <f t="shared" si="148"/>
        <v>HILLIARD FL 32046</v>
      </c>
      <c r="M508" t="str">
        <f>"PT OF THE N1/2 OF THE S1/2 OF NE1/4 OF SW1/4 OF SEC 17-3N-24E IN OR 2134/171 AKA LOT 22 CORNWALL FARM LAND COMPANY PBK O/31"</f>
        <v>PT OF THE N1/2 OF THE S1/2 OF NE1/4 OF SW1/4 OF SEC 17-3N-24E IN OR 2134/171 AKA LOT 22 CORNWALL FARM LAND COMPANY PBK O/31</v>
      </c>
      <c r="N508" t="str">
        <f>""</f>
        <v/>
      </c>
      <c r="O508" t="str">
        <f>"32052"</f>
        <v>32052</v>
      </c>
      <c r="P508" t="str">
        <f t="shared" si="137"/>
        <v>2017</v>
      </c>
      <c r="Q508" t="str">
        <f>""</f>
        <v/>
      </c>
      <c r="R508" t="str">
        <f>"Y"</f>
        <v>Y</v>
      </c>
      <c r="S508" t="str">
        <f>"1.05"</f>
        <v>1.05</v>
      </c>
      <c r="T508" t="str">
        <f>"469.01"</f>
        <v>469.01</v>
      </c>
      <c r="U508" t="str">
        <f>"68168.00"</f>
        <v>68168.00</v>
      </c>
      <c r="V508" t="str">
        <f>"68168.00"</f>
        <v>68168.00</v>
      </c>
      <c r="W508" t="str">
        <f t="shared" si="138"/>
        <v>2017</v>
      </c>
      <c r="X508" t="str">
        <f>"2.00"</f>
        <v>2.00</v>
      </c>
      <c r="Y508" t="str">
        <f>"515.08"</f>
        <v>515.08</v>
      </c>
      <c r="Z508" t="str">
        <f>"25000.00"</f>
        <v>25000.00</v>
      </c>
      <c r="AA508" t="str">
        <f>"43168.00"</f>
        <v>43168.00</v>
      </c>
      <c r="AB508" t="str">
        <f t="shared" si="150"/>
        <v>Residential</v>
      </c>
      <c r="AC508" t="str">
        <f t="shared" si="139"/>
        <v>0</v>
      </c>
      <c r="AD508" t="str">
        <f>"4"</f>
        <v>4</v>
      </c>
      <c r="AE508" t="str">
        <f>"WOOD (INCLUDE STEEL STUDS)"</f>
        <v>WOOD (INCLUDE STEEL STUDS)</v>
      </c>
      <c r="AF508" t="str">
        <f>"001"</f>
        <v>001</v>
      </c>
      <c r="AG508" t="str">
        <f t="shared" si="145"/>
        <v>FL</v>
      </c>
      <c r="AH508" t="str">
        <f>"45738.00"</f>
        <v>45738.00</v>
      </c>
      <c r="AI508" t="str">
        <f>"15750.00"</f>
        <v>15750.00</v>
      </c>
      <c r="AJ508" t="str">
        <f>"C55-000-587-1612-7"</f>
        <v>C55-000-587-1612-7</v>
      </c>
      <c r="AK508" t="str">
        <f>"7563"</f>
        <v>7563</v>
      </c>
      <c r="AL508">
        <v>2</v>
      </c>
      <c r="AM508">
        <v>585</v>
      </c>
      <c r="AN508">
        <v>539.23</v>
      </c>
      <c r="AQ508" t="s">
        <v>5508</v>
      </c>
      <c r="AR508" t="s">
        <v>5508</v>
      </c>
      <c r="AS508" t="s">
        <v>5508</v>
      </c>
      <c r="AU508" t="s">
        <v>396</v>
      </c>
      <c r="AV508">
        <v>2017</v>
      </c>
      <c r="AW508" t="str">
        <f>"17-3N-24-2020-0022-0040 "</f>
        <v xml:space="preserve">17-3N-24-2020-0022-0040 </v>
      </c>
      <c r="AX508">
        <v>2783</v>
      </c>
      <c r="AZ508" t="s">
        <v>5509</v>
      </c>
      <c r="BA508" t="s">
        <v>653</v>
      </c>
      <c r="BD508" t="s">
        <v>398</v>
      </c>
      <c r="BE508" t="s">
        <v>393</v>
      </c>
      <c r="BF508">
        <v>32046</v>
      </c>
      <c r="BG508" t="s">
        <v>5510</v>
      </c>
      <c r="BH508" t="s">
        <v>400</v>
      </c>
      <c r="BI508">
        <v>-81.931225982543793</v>
      </c>
      <c r="BJ508">
        <v>30.6741512544139</v>
      </c>
      <c r="BK508" t="s">
        <v>5511</v>
      </c>
      <c r="BM508" t="s">
        <v>5512</v>
      </c>
      <c r="BN508" t="s">
        <v>548</v>
      </c>
      <c r="BO508">
        <v>32225</v>
      </c>
      <c r="BP508" t="s">
        <v>404</v>
      </c>
      <c r="BQ508">
        <v>100</v>
      </c>
      <c r="BR508" t="s">
        <v>514</v>
      </c>
      <c r="BS508">
        <v>1001</v>
      </c>
      <c r="BT508" t="s">
        <v>515</v>
      </c>
      <c r="BW508">
        <v>45738</v>
      </c>
      <c r="BX508" t="s">
        <v>407</v>
      </c>
      <c r="BZ508">
        <v>4</v>
      </c>
      <c r="CA508">
        <v>1994</v>
      </c>
      <c r="CB508">
        <v>1</v>
      </c>
      <c r="CC508">
        <v>1</v>
      </c>
      <c r="CD508">
        <v>2017</v>
      </c>
      <c r="CG508">
        <v>68168</v>
      </c>
      <c r="CH508">
        <v>2017</v>
      </c>
      <c r="CI508">
        <v>15750</v>
      </c>
      <c r="CJ508">
        <v>67535</v>
      </c>
      <c r="CK508">
        <v>83285</v>
      </c>
      <c r="CL508">
        <v>2017</v>
      </c>
      <c r="CM508">
        <v>469.01</v>
      </c>
      <c r="CN508" s="1">
        <v>42934</v>
      </c>
      <c r="CO508">
        <v>50000</v>
      </c>
      <c r="CV508">
        <v>78000</v>
      </c>
      <c r="CX508" t="s">
        <v>5513</v>
      </c>
      <c r="CZ508" s="1">
        <v>42934</v>
      </c>
      <c r="DA508">
        <v>0</v>
      </c>
      <c r="DD508" t="s">
        <v>398</v>
      </c>
      <c r="DG508">
        <v>17</v>
      </c>
      <c r="DL508">
        <v>50400</v>
      </c>
      <c r="DM508" t="s">
        <v>5514</v>
      </c>
      <c r="DO508" t="s">
        <v>5515</v>
      </c>
      <c r="DP508">
        <v>0</v>
      </c>
      <c r="DQ508">
        <v>0</v>
      </c>
      <c r="DR508" t="s">
        <v>411</v>
      </c>
    </row>
    <row r="509" spans="1:236" x14ac:dyDescent="0.25">
      <c r="A509">
        <v>16485516</v>
      </c>
      <c r="B509">
        <v>508</v>
      </c>
      <c r="C509" t="s">
        <v>393</v>
      </c>
      <c r="D509" t="s">
        <v>394</v>
      </c>
      <c r="F509" t="str">
        <f>"17-3N-24-2020-0037-0000"</f>
        <v>17-3N-24-2020-0037-0000</v>
      </c>
      <c r="H509" t="str">
        <f>"STOKES RAYMOND CHRISTOPHER"</f>
        <v>STOKES RAYMOND CHRISTOPHER</v>
      </c>
      <c r="I509" t="str">
        <f>"27138 BENT CREEK CIRCLE"</f>
        <v>27138 BENT CREEK CIRCLE</v>
      </c>
      <c r="J509" t="str">
        <f>"HILLIARD FL 32046"</f>
        <v>HILLIARD FL 32046</v>
      </c>
      <c r="K509" t="str">
        <f>"27138 BENT CREEK CIR"</f>
        <v>27138 BENT CREEK CIR</v>
      </c>
      <c r="L509" t="str">
        <f t="shared" si="148"/>
        <v>HILLIARD FL 32046</v>
      </c>
      <c r="M509" t="str">
        <f>"LOT 37 IN OR 448 PG 666 CORNWALL SURVEY S/D OF SEC 17-3N-24E PBK O/31"</f>
        <v>LOT 37 IN OR 448 PG 666 CORNWALL SURVEY S/D OF SEC 17-3N-24E PBK O/31</v>
      </c>
      <c r="N509" t="str">
        <f>""</f>
        <v/>
      </c>
      <c r="O509" t="str">
        <f>"32089"</f>
        <v>32089</v>
      </c>
      <c r="P509" t="str">
        <f t="shared" si="137"/>
        <v>2017</v>
      </c>
      <c r="Q509" t="str">
        <f>""</f>
        <v/>
      </c>
      <c r="R509" t="str">
        <f>"Y"</f>
        <v>Y</v>
      </c>
      <c r="S509" t="str">
        <f>"10.00"</f>
        <v>10.00</v>
      </c>
      <c r="T509" t="str">
        <f>"550.42"</f>
        <v>550.42</v>
      </c>
      <c r="U509" t="str">
        <f>"77602.00"</f>
        <v>77602.00</v>
      </c>
      <c r="V509" t="str">
        <f>"77602.00"</f>
        <v>77602.00</v>
      </c>
      <c r="W509" t="str">
        <f t="shared" si="138"/>
        <v>2017</v>
      </c>
      <c r="X509" t="str">
        <f>"12.50"</f>
        <v>12.50</v>
      </c>
      <c r="Y509" t="str">
        <f>"598.93"</f>
        <v>598.93</v>
      </c>
      <c r="Z509" t="str">
        <f>"25000.00"</f>
        <v>25000.00</v>
      </c>
      <c r="AA509" t="str">
        <f>"52602.00"</f>
        <v>52602.00</v>
      </c>
      <c r="AB509" t="str">
        <f t="shared" si="150"/>
        <v>Residential</v>
      </c>
      <c r="AC509" t="str">
        <f t="shared" si="139"/>
        <v>0</v>
      </c>
      <c r="AD509" t="str">
        <f>"4"</f>
        <v>4</v>
      </c>
      <c r="AE509" t="str">
        <f>"WOOD (INCLUDE STEEL STUDS)"</f>
        <v>WOOD (INCLUDE STEEL STUDS)</v>
      </c>
      <c r="AF509" t="str">
        <f>"001"</f>
        <v>001</v>
      </c>
      <c r="AG509" t="str">
        <f t="shared" si="145"/>
        <v>FL</v>
      </c>
      <c r="AH509" t="str">
        <f>"435600.00"</f>
        <v>435600.00</v>
      </c>
      <c r="AI509" t="str">
        <f>"66000.00"</f>
        <v>66000.00</v>
      </c>
      <c r="AJ509" t="str">
        <f>"C55-000-587-1642-4"</f>
        <v>C55-000-587-1642-4</v>
      </c>
      <c r="AK509" t="str">
        <f>"7597"</f>
        <v>7597</v>
      </c>
      <c r="AL509">
        <v>2</v>
      </c>
      <c r="AM509">
        <v>586</v>
      </c>
      <c r="AN509">
        <v>627.28</v>
      </c>
      <c r="AQ509" t="s">
        <v>5516</v>
      </c>
      <c r="AR509" t="s">
        <v>5516</v>
      </c>
      <c r="AS509" t="s">
        <v>5516</v>
      </c>
      <c r="AU509" t="s">
        <v>396</v>
      </c>
      <c r="AV509">
        <v>2017</v>
      </c>
      <c r="AW509" t="str">
        <f>"17-3N-24-2020-0037-0000 "</f>
        <v xml:space="preserve">17-3N-24-2020-0037-0000 </v>
      </c>
      <c r="AX509">
        <v>27138</v>
      </c>
      <c r="AZ509" t="s">
        <v>5517</v>
      </c>
      <c r="BA509" t="s">
        <v>1799</v>
      </c>
      <c r="BD509" t="s">
        <v>398</v>
      </c>
      <c r="BE509" t="s">
        <v>393</v>
      </c>
      <c r="BF509">
        <v>32046</v>
      </c>
      <c r="BG509" t="s">
        <v>5518</v>
      </c>
      <c r="BH509" t="s">
        <v>400</v>
      </c>
      <c r="BI509">
        <v>-81.928053919799495</v>
      </c>
      <c r="BJ509">
        <v>30.679630940250799</v>
      </c>
      <c r="BK509" t="s">
        <v>5519</v>
      </c>
      <c r="BM509" t="s">
        <v>5520</v>
      </c>
      <c r="BN509" t="s">
        <v>403</v>
      </c>
      <c r="BO509">
        <v>32046</v>
      </c>
      <c r="BP509" t="s">
        <v>416</v>
      </c>
      <c r="BQ509">
        <v>100</v>
      </c>
      <c r="BR509" t="s">
        <v>514</v>
      </c>
      <c r="BS509">
        <v>1001</v>
      </c>
      <c r="BT509" t="s">
        <v>515</v>
      </c>
      <c r="BW509">
        <v>435600</v>
      </c>
      <c r="BX509" t="s">
        <v>407</v>
      </c>
      <c r="BZ509">
        <v>4</v>
      </c>
      <c r="CA509">
        <v>1995</v>
      </c>
      <c r="CB509">
        <v>1.5</v>
      </c>
      <c r="CC509">
        <v>1</v>
      </c>
      <c r="CD509">
        <v>2017</v>
      </c>
      <c r="CG509">
        <v>77602</v>
      </c>
      <c r="CH509">
        <v>2017</v>
      </c>
      <c r="CI509">
        <v>66000</v>
      </c>
      <c r="CJ509">
        <v>75998</v>
      </c>
      <c r="CK509">
        <v>141998</v>
      </c>
      <c r="CL509">
        <v>2017</v>
      </c>
      <c r="CM509">
        <v>550.41999999999996</v>
      </c>
      <c r="CN509" s="1">
        <v>31107</v>
      </c>
      <c r="CZ509" s="1">
        <v>31107</v>
      </c>
      <c r="DD509" t="s">
        <v>398</v>
      </c>
      <c r="DF509">
        <v>37</v>
      </c>
      <c r="DG509">
        <v>17</v>
      </c>
      <c r="DJ509" t="s">
        <v>1990</v>
      </c>
      <c r="DL509">
        <v>50400</v>
      </c>
      <c r="DM509" t="s">
        <v>5514</v>
      </c>
      <c r="DO509" t="s">
        <v>5521</v>
      </c>
      <c r="DP509">
        <v>0</v>
      </c>
      <c r="DQ509">
        <v>0</v>
      </c>
      <c r="DR509" t="s">
        <v>411</v>
      </c>
    </row>
    <row r="510" spans="1:236" x14ac:dyDescent="0.25">
      <c r="A510">
        <v>16485517</v>
      </c>
      <c r="B510">
        <v>509</v>
      </c>
      <c r="C510" t="s">
        <v>393</v>
      </c>
      <c r="D510" t="s">
        <v>394</v>
      </c>
      <c r="F510" t="str">
        <f>"17-3N-24-2020-0053-0100"</f>
        <v>17-3N-24-2020-0053-0100</v>
      </c>
      <c r="H510" t="str">
        <f>"HOLDEN DAVID &amp; MELISSA"</f>
        <v>HOLDEN DAVID &amp; MELISSA</v>
      </c>
      <c r="I510" t="str">
        <f>"3799 FRIENDSHIP DR"</f>
        <v>3799 FRIENDSHIP DR</v>
      </c>
      <c r="J510" t="str">
        <f>"HILLIARD FL 32046"</f>
        <v>HILLIARD FL 32046</v>
      </c>
      <c r="K510" t="str">
        <f>"FRIENDSHIP CIR"</f>
        <v>FRIENDSHIP CIR</v>
      </c>
      <c r="L510" t="str">
        <f t="shared" si="148"/>
        <v>HILLIARD FL 32046</v>
      </c>
      <c r="M510" t="str">
        <f>"PT OF LOT 53 (S-10) IN OR 1298/1704 CORNWALL SURVEY"</f>
        <v>PT OF LOT 53 (S-10) IN OR 1298/1704 CORNWALL SURVEY</v>
      </c>
      <c r="N510" t="str">
        <f>""</f>
        <v/>
      </c>
      <c r="O510" t="str">
        <f>"32127"</f>
        <v>32127</v>
      </c>
      <c r="P510" t="str">
        <f t="shared" si="137"/>
        <v>2017</v>
      </c>
      <c r="Q510" t="str">
        <f>""</f>
        <v/>
      </c>
      <c r="R510" t="str">
        <f>"N"</f>
        <v>N</v>
      </c>
      <c r="S510" t="str">
        <f>"0.75"</f>
        <v>0.75</v>
      </c>
      <c r="T510" t="str">
        <f>"183.96"</f>
        <v>183.96</v>
      </c>
      <c r="U510" t="str">
        <f>"12375.00"</f>
        <v>12375.00</v>
      </c>
      <c r="V510" t="str">
        <f>"12375.00"</f>
        <v>12375.00</v>
      </c>
      <c r="W510" t="str">
        <f t="shared" si="138"/>
        <v>2017</v>
      </c>
      <c r="X510" t="str">
        <f>"18.80"</f>
        <v>18.80</v>
      </c>
      <c r="Y510" t="str">
        <f>"221.48"</f>
        <v>221.48</v>
      </c>
      <c r="Z510" t="str">
        <f>""</f>
        <v/>
      </c>
      <c r="AA510" t="str">
        <f>"14062.00"</f>
        <v>14062.00</v>
      </c>
      <c r="AB510" t="str">
        <f t="shared" si="150"/>
        <v>Residential</v>
      </c>
      <c r="AC510" t="str">
        <f t="shared" si="139"/>
        <v>0</v>
      </c>
      <c r="AD510" t="str">
        <f>""</f>
        <v/>
      </c>
      <c r="AE510" t="str">
        <f>""</f>
        <v/>
      </c>
      <c r="AF510" t="str">
        <f>"000"</f>
        <v>000</v>
      </c>
      <c r="AG510" t="str">
        <f t="shared" si="145"/>
        <v>FL</v>
      </c>
      <c r="AH510" t="str">
        <f>"32670.00"</f>
        <v>32670.00</v>
      </c>
      <c r="AI510" t="str">
        <f>"14062.00"</f>
        <v>14062.00</v>
      </c>
      <c r="AJ510" t="str">
        <f>"C55-000-588-8589-8"</f>
        <v>C55-000-588-8589-8</v>
      </c>
      <c r="AK510" t="str">
        <f>"7633"</f>
        <v>7633</v>
      </c>
      <c r="AL510">
        <v>2</v>
      </c>
      <c r="AM510">
        <v>587</v>
      </c>
      <c r="AN510">
        <v>230.95</v>
      </c>
      <c r="AQ510" t="s">
        <v>5522</v>
      </c>
      <c r="AR510" t="s">
        <v>5522</v>
      </c>
      <c r="AS510" t="s">
        <v>5522</v>
      </c>
      <c r="AU510" t="s">
        <v>396</v>
      </c>
      <c r="AV510">
        <v>2017</v>
      </c>
      <c r="AW510" t="str">
        <f>"17-3N-24-2020-0053-0100 "</f>
        <v xml:space="preserve">17-3N-24-2020-0053-0100 </v>
      </c>
      <c r="AZ510" t="s">
        <v>5523</v>
      </c>
      <c r="BA510" t="s">
        <v>1799</v>
      </c>
      <c r="BD510" t="s">
        <v>398</v>
      </c>
      <c r="BE510" t="s">
        <v>393</v>
      </c>
      <c r="BF510">
        <v>32046</v>
      </c>
      <c r="BG510" t="s">
        <v>5524</v>
      </c>
      <c r="BH510" t="s">
        <v>400</v>
      </c>
      <c r="BI510">
        <v>-81.923635950367995</v>
      </c>
      <c r="BJ510">
        <v>30.673388489556402</v>
      </c>
      <c r="BK510" t="s">
        <v>5525</v>
      </c>
      <c r="BM510" t="s">
        <v>5526</v>
      </c>
      <c r="BN510" t="s">
        <v>403</v>
      </c>
      <c r="BO510">
        <v>32046</v>
      </c>
      <c r="BP510" t="s">
        <v>404</v>
      </c>
      <c r="BQ510">
        <v>0</v>
      </c>
      <c r="BR510" t="s">
        <v>491</v>
      </c>
      <c r="BS510">
        <v>8001</v>
      </c>
      <c r="BT510" t="s">
        <v>492</v>
      </c>
      <c r="BW510">
        <v>32670</v>
      </c>
      <c r="BX510" t="s">
        <v>407</v>
      </c>
      <c r="CD510">
        <v>2017</v>
      </c>
      <c r="CE510">
        <v>14062</v>
      </c>
      <c r="CG510">
        <v>14062</v>
      </c>
      <c r="CH510">
        <v>2017</v>
      </c>
      <c r="CI510">
        <v>14062</v>
      </c>
      <c r="CK510">
        <v>14062</v>
      </c>
      <c r="CL510">
        <v>2017</v>
      </c>
      <c r="CM510">
        <v>183.96</v>
      </c>
      <c r="CN510" s="1">
        <v>38413</v>
      </c>
      <c r="CO510">
        <v>5200</v>
      </c>
      <c r="CV510">
        <v>0</v>
      </c>
      <c r="CZ510" s="1">
        <v>38413</v>
      </c>
      <c r="DA510">
        <v>0</v>
      </c>
      <c r="DD510" t="s">
        <v>398</v>
      </c>
      <c r="DF510">
        <v>53</v>
      </c>
      <c r="DG510">
        <v>17</v>
      </c>
      <c r="DJ510" t="s">
        <v>1990</v>
      </c>
      <c r="DL510">
        <v>50400</v>
      </c>
      <c r="DM510" t="s">
        <v>5514</v>
      </c>
      <c r="DO510" t="s">
        <v>5527</v>
      </c>
      <c r="DP510">
        <v>0</v>
      </c>
      <c r="DQ510">
        <v>0</v>
      </c>
      <c r="DR510" t="s">
        <v>411</v>
      </c>
      <c r="EP510" t="s">
        <v>595</v>
      </c>
      <c r="EQ510" t="s">
        <v>422</v>
      </c>
      <c r="ER510">
        <v>3</v>
      </c>
      <c r="ES510">
        <v>4</v>
      </c>
      <c r="ET510">
        <v>665.73</v>
      </c>
      <c r="EU510">
        <v>112.95</v>
      </c>
      <c r="EV510">
        <v>778.68</v>
      </c>
      <c r="EW510" s="2">
        <v>43222</v>
      </c>
      <c r="EX510" s="1">
        <v>42879</v>
      </c>
      <c r="EY510">
        <v>2016</v>
      </c>
      <c r="EZ510">
        <v>199.95</v>
      </c>
      <c r="FA510" t="s">
        <v>5528</v>
      </c>
      <c r="FB510">
        <v>14.5</v>
      </c>
      <c r="FC510" t="s">
        <v>424</v>
      </c>
      <c r="FD510" t="s">
        <v>454</v>
      </c>
      <c r="FF510">
        <v>12</v>
      </c>
      <c r="FG510">
        <v>10021</v>
      </c>
      <c r="FH510" t="s">
        <v>597</v>
      </c>
      <c r="FJ510" s="1">
        <v>42879</v>
      </c>
      <c r="FK510">
        <v>2015</v>
      </c>
      <c r="FL510">
        <v>234.9</v>
      </c>
      <c r="FM510" t="s">
        <v>5529</v>
      </c>
      <c r="FN510">
        <v>14</v>
      </c>
      <c r="FO510" t="s">
        <v>424</v>
      </c>
      <c r="FP510" t="s">
        <v>454</v>
      </c>
      <c r="FR510">
        <v>12</v>
      </c>
      <c r="FS510">
        <v>10021</v>
      </c>
      <c r="FT510" t="s">
        <v>597</v>
      </c>
      <c r="FV510" s="1">
        <v>42879</v>
      </c>
      <c r="FW510">
        <v>2014</v>
      </c>
      <c r="FX510">
        <v>230.88</v>
      </c>
      <c r="FY510" t="s">
        <v>5530</v>
      </c>
      <c r="FZ510">
        <v>14</v>
      </c>
      <c r="GA510" t="s">
        <v>424</v>
      </c>
      <c r="GB510" t="s">
        <v>454</v>
      </c>
      <c r="GD510">
        <v>12</v>
      </c>
      <c r="GE510">
        <v>10021</v>
      </c>
      <c r="GF510" t="s">
        <v>597</v>
      </c>
      <c r="GH510" s="1">
        <v>41423</v>
      </c>
      <c r="GI510">
        <v>2012</v>
      </c>
      <c r="GJ510">
        <v>170.62</v>
      </c>
      <c r="GK510" t="s">
        <v>5531</v>
      </c>
      <c r="GL510">
        <v>9.75</v>
      </c>
      <c r="GM510" t="s">
        <v>424</v>
      </c>
      <c r="GN510" t="s">
        <v>425</v>
      </c>
      <c r="GO510" s="1">
        <v>41723</v>
      </c>
      <c r="GP510">
        <v>10</v>
      </c>
      <c r="GQ510">
        <v>1127</v>
      </c>
      <c r="GR510" t="s">
        <v>1379</v>
      </c>
      <c r="GT510" s="1">
        <v>41423</v>
      </c>
      <c r="GU510">
        <v>2012</v>
      </c>
      <c r="GV510">
        <v>170.62</v>
      </c>
      <c r="GW510" t="s">
        <v>5531</v>
      </c>
      <c r="GX510">
        <v>9.75</v>
      </c>
      <c r="GY510" t="s">
        <v>424</v>
      </c>
      <c r="GZ510" t="s">
        <v>425</v>
      </c>
      <c r="HB510">
        <v>22</v>
      </c>
      <c r="HC510">
        <v>2035919</v>
      </c>
      <c r="HD510" t="s">
        <v>507</v>
      </c>
      <c r="HF510" s="1">
        <v>40688</v>
      </c>
      <c r="HG510">
        <v>2010</v>
      </c>
      <c r="HH510">
        <v>220.68</v>
      </c>
      <c r="HI510" t="s">
        <v>5532</v>
      </c>
      <c r="HJ510">
        <v>18</v>
      </c>
      <c r="HK510" t="s">
        <v>424</v>
      </c>
      <c r="HL510" t="s">
        <v>425</v>
      </c>
      <c r="HM510" s="1">
        <v>40960</v>
      </c>
      <c r="HN510">
        <v>9</v>
      </c>
      <c r="HO510">
        <v>574</v>
      </c>
      <c r="HP510" t="s">
        <v>5533</v>
      </c>
      <c r="HR510" s="1">
        <v>40688</v>
      </c>
      <c r="HS510">
        <v>2010</v>
      </c>
      <c r="HT510">
        <v>211.26</v>
      </c>
      <c r="HU510" t="s">
        <v>5532</v>
      </c>
      <c r="HV510">
        <v>18</v>
      </c>
      <c r="HW510" t="s">
        <v>603</v>
      </c>
      <c r="HX510" t="s">
        <v>425</v>
      </c>
      <c r="HZ510">
        <v>22</v>
      </c>
      <c r="IA510">
        <v>9999999</v>
      </c>
      <c r="IB510" t="s">
        <v>604</v>
      </c>
    </row>
    <row r="511" spans="1:236" x14ac:dyDescent="0.25">
      <c r="A511">
        <v>16485518</v>
      </c>
      <c r="B511">
        <v>510</v>
      </c>
      <c r="C511" t="s">
        <v>393</v>
      </c>
      <c r="D511" t="s">
        <v>394</v>
      </c>
      <c r="F511" t="str">
        <f>"17-3N-24-2020-0055-0020"</f>
        <v>17-3N-24-2020-0055-0020</v>
      </c>
      <c r="H511" t="str">
        <f>"WEST JAMIE L L/E"</f>
        <v>WEST JAMIE L L/E</v>
      </c>
      <c r="I511" t="str">
        <f>"36433 PINE ST"</f>
        <v>36433 PINE ST</v>
      </c>
      <c r="J511" t="str">
        <f>"HILLIARD FL 32046"</f>
        <v>HILLIARD FL 32046</v>
      </c>
      <c r="K511" t="str">
        <f>"36422 PINE ST"</f>
        <v>36422 PINE ST</v>
      </c>
      <c r="L511" t="str">
        <f t="shared" si="148"/>
        <v>HILLIARD FL 32046</v>
      </c>
      <c r="M511" t="str">
        <f>"PT LOT 55 IN OR 2061/72 CORNWALL SURVEY OF SEC 17-3N-24E S/D PBK O/31"</f>
        <v>PT LOT 55 IN OR 2061/72 CORNWALL SURVEY OF SEC 17-3N-24E S/D PBK O/31</v>
      </c>
      <c r="N511" t="str">
        <f>""</f>
        <v/>
      </c>
      <c r="O511" t="str">
        <f>"57196"</f>
        <v>57196</v>
      </c>
      <c r="P511" t="str">
        <f t="shared" si="137"/>
        <v>2017</v>
      </c>
      <c r="Q511" t="str">
        <f>""</f>
        <v/>
      </c>
      <c r="R511" t="str">
        <f>"N"</f>
        <v>N</v>
      </c>
      <c r="S511" t="str">
        <f>"1.00"</f>
        <v>1.00</v>
      </c>
      <c r="T511" t="str">
        <f>"1088.96"</f>
        <v>1088.96</v>
      </c>
      <c r="U511" t="str">
        <f>"77974.00"</f>
        <v>77974.00</v>
      </c>
      <c r="V511" t="str">
        <f>"77974.00"</f>
        <v>77974.00</v>
      </c>
      <c r="W511" t="str">
        <f t="shared" si="138"/>
        <v>2017</v>
      </c>
      <c r="X511" t="str">
        <f>""</f>
        <v/>
      </c>
      <c r="Y511" t="str">
        <f>"1153.63"</f>
        <v>1153.63</v>
      </c>
      <c r="Z511" t="str">
        <f>""</f>
        <v/>
      </c>
      <c r="AA511" t="str">
        <f>"77974.00"</f>
        <v>77974.00</v>
      </c>
      <c r="AB511" t="str">
        <f t="shared" si="150"/>
        <v>Residential</v>
      </c>
      <c r="AC511" t="str">
        <f t="shared" si="139"/>
        <v>0</v>
      </c>
      <c r="AD511" t="str">
        <f>"3"</f>
        <v>3</v>
      </c>
      <c r="AE511" t="str">
        <f>"MASONRY"</f>
        <v>MASONRY</v>
      </c>
      <c r="AF511" t="str">
        <f>"001"</f>
        <v>001</v>
      </c>
      <c r="AG511" t="str">
        <f t="shared" si="145"/>
        <v>FL</v>
      </c>
      <c r="AH511" t="str">
        <f>"43560.00"</f>
        <v>43560.00</v>
      </c>
      <c r="AI511" t="str">
        <f>"15000.00"</f>
        <v>15000.00</v>
      </c>
      <c r="AJ511" t="str">
        <f>"C55-001-092-7974-5"</f>
        <v>C55-001-092-7974-5</v>
      </c>
      <c r="AK511" t="str">
        <f>"7638"</f>
        <v>7638</v>
      </c>
      <c r="AL511">
        <v>2</v>
      </c>
      <c r="AM511">
        <v>588</v>
      </c>
      <c r="AN511">
        <v>1209.71</v>
      </c>
      <c r="AQ511" t="s">
        <v>5534</v>
      </c>
      <c r="AR511" t="s">
        <v>5534</v>
      </c>
      <c r="AS511" t="s">
        <v>5534</v>
      </c>
      <c r="AU511" t="s">
        <v>396</v>
      </c>
      <c r="AV511">
        <v>2017</v>
      </c>
      <c r="AW511" t="str">
        <f>"17-3N-24-2020-0055-0020 "</f>
        <v xml:space="preserve">17-3N-24-2020-0055-0020 </v>
      </c>
      <c r="AX511">
        <v>36422</v>
      </c>
      <c r="AZ511" t="s">
        <v>4621</v>
      </c>
      <c r="BA511" t="s">
        <v>1942</v>
      </c>
      <c r="BD511" t="s">
        <v>398</v>
      </c>
      <c r="BE511" t="s">
        <v>393</v>
      </c>
      <c r="BF511">
        <v>32046</v>
      </c>
      <c r="BG511" t="s">
        <v>5535</v>
      </c>
      <c r="BH511" t="s">
        <v>400</v>
      </c>
      <c r="BK511" t="s">
        <v>5536</v>
      </c>
      <c r="BM511" t="s">
        <v>5537</v>
      </c>
      <c r="BN511" t="s">
        <v>403</v>
      </c>
      <c r="BO511">
        <v>32046</v>
      </c>
      <c r="BQ511">
        <v>100</v>
      </c>
      <c r="BR511" t="s">
        <v>514</v>
      </c>
      <c r="BS511">
        <v>1001</v>
      </c>
      <c r="BT511" t="s">
        <v>515</v>
      </c>
      <c r="BW511">
        <v>43560</v>
      </c>
      <c r="BX511" t="s">
        <v>407</v>
      </c>
      <c r="BZ511">
        <v>3</v>
      </c>
      <c r="CA511">
        <v>1968</v>
      </c>
      <c r="CC511">
        <v>1</v>
      </c>
      <c r="CD511">
        <v>2017</v>
      </c>
      <c r="CE511">
        <v>15000</v>
      </c>
      <c r="CF511">
        <v>62974</v>
      </c>
      <c r="CG511">
        <v>77974</v>
      </c>
      <c r="CH511">
        <v>2017</v>
      </c>
      <c r="CI511">
        <v>15000</v>
      </c>
      <c r="CJ511">
        <v>62974</v>
      </c>
      <c r="CK511">
        <v>77974</v>
      </c>
      <c r="CL511">
        <v>2017</v>
      </c>
      <c r="CM511">
        <v>1088.96</v>
      </c>
      <c r="DD511" t="s">
        <v>398</v>
      </c>
      <c r="DM511" t="s">
        <v>5514</v>
      </c>
      <c r="DO511" t="s">
        <v>5538</v>
      </c>
    </row>
    <row r="512" spans="1:236" x14ac:dyDescent="0.25">
      <c r="A512">
        <v>16485519</v>
      </c>
      <c r="B512">
        <v>511</v>
      </c>
      <c r="C512" t="s">
        <v>393</v>
      </c>
      <c r="D512" t="s">
        <v>394</v>
      </c>
      <c r="F512" t="str">
        <f>"17-3N-24-2020-0057-0000"</f>
        <v>17-3N-24-2020-0057-0000</v>
      </c>
      <c r="H512" t="str">
        <f>"HILLIARD LLC"</f>
        <v>HILLIARD LLC</v>
      </c>
      <c r="I512" t="str">
        <f>"5639 COLDSTREAM CT"</f>
        <v>5639 COLDSTREAM CT</v>
      </c>
      <c r="J512" t="str">
        <f>"JACKSONVILLE FL 32222"</f>
        <v>JACKSONVILLE FL 32222</v>
      </c>
      <c r="K512" t="str">
        <f>"3714 RAVEN DR"</f>
        <v>3714 RAVEN DR</v>
      </c>
      <c r="L512" t="str">
        <f t="shared" si="148"/>
        <v>HILLIARD FL 32046</v>
      </c>
      <c r="M512" t="str">
        <f>"LOTS 57 58 59 &amp; 60 OR 1240/367 &amp; PT OR 1240/356 (EX R/W OR 78/549 &amp; OR 78/551) ESMTS OR 354/254 &amp; OR 451/327 CORNWALL SURVEY"</f>
        <v>LOTS 57 58 59 &amp; 60 OR 1240/367 &amp; PT OR 1240/356 (EX R/W OR 78/549 &amp; OR 78/551) ESMTS OR 354/254 &amp; OR 451/327 CORNWALL SURVEY</v>
      </c>
      <c r="N512" t="str">
        <f>""</f>
        <v/>
      </c>
      <c r="O512" t="str">
        <f>"32133"</f>
        <v>32133</v>
      </c>
      <c r="P512" t="str">
        <f t="shared" si="137"/>
        <v>2017</v>
      </c>
      <c r="Q512" t="str">
        <f>""</f>
        <v/>
      </c>
      <c r="R512" t="str">
        <f>"N"</f>
        <v>N</v>
      </c>
      <c r="S512" t="str">
        <f>"40.00"</f>
        <v>40.00</v>
      </c>
      <c r="T512" t="str">
        <f>"5571.78"</f>
        <v>5571.78</v>
      </c>
      <c r="U512" t="str">
        <f>"398970.00"</f>
        <v>398970.00</v>
      </c>
      <c r="V512" t="str">
        <f>"398970.00"</f>
        <v>398970.00</v>
      </c>
      <c r="W512" t="str">
        <f t="shared" si="138"/>
        <v>2017</v>
      </c>
      <c r="X512" t="str">
        <f>""</f>
        <v/>
      </c>
      <c r="Y512" t="str">
        <f>"5770.93"</f>
        <v>5770.93</v>
      </c>
      <c r="Z512" t="str">
        <f>""</f>
        <v/>
      </c>
      <c r="AA512" t="str">
        <f>"398970.00"</f>
        <v>398970.00</v>
      </c>
      <c r="AB512" t="str">
        <f>"Commercial"</f>
        <v>Commercial</v>
      </c>
      <c r="AC512" t="str">
        <f t="shared" si="139"/>
        <v>0</v>
      </c>
      <c r="AD512" t="str">
        <f>"4"</f>
        <v>4</v>
      </c>
      <c r="AE512" t="str">
        <f>"WOOD (INCLUDE STEEL STUDS)"</f>
        <v>WOOD (INCLUDE STEEL STUDS)</v>
      </c>
      <c r="AF512" t="str">
        <f>"028"</f>
        <v>028</v>
      </c>
      <c r="AG512" t="str">
        <f t="shared" si="145"/>
        <v>FL</v>
      </c>
      <c r="AH512" t="str">
        <f>"1742400.00"</f>
        <v>1742400.00</v>
      </c>
      <c r="AI512" t="str">
        <f>"160000.00"</f>
        <v>160000.00</v>
      </c>
      <c r="AJ512" t="str">
        <f>"C55-000-587-1683-8"</f>
        <v>C55-000-587-1683-8</v>
      </c>
      <c r="AK512" t="str">
        <f>"7640"</f>
        <v>7640</v>
      </c>
      <c r="AL512">
        <v>2</v>
      </c>
      <c r="AM512">
        <v>589</v>
      </c>
      <c r="AN512">
        <v>6057.88</v>
      </c>
      <c r="AQ512" t="s">
        <v>5539</v>
      </c>
      <c r="AR512" t="s">
        <v>5539</v>
      </c>
      <c r="AS512" t="s">
        <v>5539</v>
      </c>
      <c r="AU512" t="s">
        <v>396</v>
      </c>
      <c r="AV512">
        <v>2017</v>
      </c>
      <c r="AW512" t="str">
        <f>"17-3N-24-2020-0057-0000 "</f>
        <v xml:space="preserve">17-3N-24-2020-0057-0000 </v>
      </c>
      <c r="AX512">
        <v>3714</v>
      </c>
      <c r="AZ512" t="s">
        <v>5540</v>
      </c>
      <c r="BA512" t="s">
        <v>669</v>
      </c>
      <c r="BD512" t="s">
        <v>398</v>
      </c>
      <c r="BE512" t="s">
        <v>393</v>
      </c>
      <c r="BF512">
        <v>32046</v>
      </c>
      <c r="BG512" t="s">
        <v>5541</v>
      </c>
      <c r="BH512" t="s">
        <v>400</v>
      </c>
      <c r="BI512">
        <v>-81.923887302014506</v>
      </c>
      <c r="BJ512">
        <v>30.678294183980402</v>
      </c>
      <c r="BK512" t="s">
        <v>5542</v>
      </c>
      <c r="BM512" t="s">
        <v>5543</v>
      </c>
      <c r="BN512" t="s">
        <v>548</v>
      </c>
      <c r="BO512">
        <v>32222</v>
      </c>
      <c r="BP512" t="s">
        <v>404</v>
      </c>
      <c r="BQ512">
        <v>2800</v>
      </c>
      <c r="BR512" t="s">
        <v>4802</v>
      </c>
      <c r="BS512">
        <v>1109</v>
      </c>
      <c r="BT512" t="s">
        <v>4803</v>
      </c>
      <c r="BW512">
        <v>1742400</v>
      </c>
      <c r="BX512" t="s">
        <v>407</v>
      </c>
      <c r="BY512" t="s">
        <v>5544</v>
      </c>
      <c r="BZ512">
        <v>4</v>
      </c>
      <c r="CA512">
        <v>1980</v>
      </c>
      <c r="CC512">
        <v>11</v>
      </c>
      <c r="CD512">
        <v>2017</v>
      </c>
      <c r="CE512">
        <v>160000</v>
      </c>
      <c r="CF512">
        <v>238970</v>
      </c>
      <c r="CG512">
        <v>398970</v>
      </c>
      <c r="CH512">
        <v>2017</v>
      </c>
      <c r="CI512">
        <v>160000</v>
      </c>
      <c r="CJ512">
        <v>238970</v>
      </c>
      <c r="CK512">
        <v>398970</v>
      </c>
      <c r="CL512">
        <v>2017</v>
      </c>
      <c r="CM512">
        <v>5571.78</v>
      </c>
      <c r="CN512" s="1">
        <v>38161</v>
      </c>
      <c r="CO512">
        <v>80000</v>
      </c>
      <c r="CV512">
        <v>150000</v>
      </c>
      <c r="CX512" t="s">
        <v>707</v>
      </c>
      <c r="CZ512" s="1">
        <v>38161</v>
      </c>
      <c r="DA512">
        <v>0</v>
      </c>
      <c r="DD512" t="s">
        <v>398</v>
      </c>
      <c r="DG512">
        <v>17</v>
      </c>
      <c r="DM512" t="s">
        <v>5514</v>
      </c>
      <c r="DO512" t="s">
        <v>5545</v>
      </c>
      <c r="DP512">
        <v>0</v>
      </c>
      <c r="DQ512">
        <v>0</v>
      </c>
      <c r="DR512" t="s">
        <v>411</v>
      </c>
      <c r="EP512" t="s">
        <v>421</v>
      </c>
      <c r="EQ512" t="s">
        <v>422</v>
      </c>
      <c r="ER512">
        <v>2</v>
      </c>
      <c r="ES512">
        <v>0</v>
      </c>
      <c r="ET512">
        <v>12197.46</v>
      </c>
      <c r="EU512">
        <v>622.37</v>
      </c>
      <c r="EV512">
        <v>12819.83</v>
      </c>
      <c r="EW512" s="2">
        <v>43222</v>
      </c>
      <c r="EX512" s="1">
        <v>42879</v>
      </c>
      <c r="EY512">
        <v>2016</v>
      </c>
      <c r="EZ512">
        <v>6098.73</v>
      </c>
      <c r="FA512" t="s">
        <v>5546</v>
      </c>
      <c r="FB512">
        <v>0.25</v>
      </c>
      <c r="FC512" t="s">
        <v>424</v>
      </c>
      <c r="FD512" t="s">
        <v>454</v>
      </c>
      <c r="FF512">
        <v>12</v>
      </c>
      <c r="FG512">
        <v>2851116</v>
      </c>
      <c r="FH512" t="s">
        <v>480</v>
      </c>
      <c r="FJ512" s="1">
        <v>42879</v>
      </c>
      <c r="FK512">
        <v>2016</v>
      </c>
      <c r="FL512">
        <v>6098.73</v>
      </c>
      <c r="FM512" t="s">
        <v>5546</v>
      </c>
      <c r="FN512">
        <v>0.25</v>
      </c>
      <c r="FO512" t="s">
        <v>424</v>
      </c>
      <c r="FP512" t="s">
        <v>454</v>
      </c>
      <c r="FR512">
        <v>12</v>
      </c>
      <c r="FS512">
        <v>4886279</v>
      </c>
      <c r="FT512" t="s">
        <v>5547</v>
      </c>
    </row>
    <row r="513" spans="1:284" x14ac:dyDescent="0.25">
      <c r="A513">
        <v>16485520</v>
      </c>
      <c r="B513">
        <v>512</v>
      </c>
      <c r="C513" t="s">
        <v>393</v>
      </c>
      <c r="D513" t="s">
        <v>394</v>
      </c>
      <c r="F513" t="str">
        <f>"17-3N-24-2640-0002-0100"</f>
        <v>17-3N-24-2640-0002-0100</v>
      </c>
      <c r="H513" t="str">
        <f>"CHRISTENSEN EMMA MRS C/O MILDRED KLEBER"</f>
        <v>CHRISTENSEN EMMA MRS C/O MILDRED KLEBER</v>
      </c>
      <c r="I513" t="str">
        <f>"3350 LAKEVIEW DRIVE"</f>
        <v>3350 LAKEVIEW DRIVE</v>
      </c>
      <c r="J513" t="str">
        <f>"SUAMICO WI 54173"</f>
        <v>SUAMICO WI 54173</v>
      </c>
      <c r="K513" t="str">
        <f>"CR 108"</f>
        <v>CR 108</v>
      </c>
      <c r="L513" t="str">
        <f t="shared" si="148"/>
        <v>HILLIARD FL 32046</v>
      </c>
      <c r="M513" t="str">
        <f>"BLOCK 2 LOT 10 SOUTH HILLIARD TERRACE 3 PB 0/19 1/2"</f>
        <v>BLOCK 2 LOT 10 SOUTH HILLIARD TERRACE 3 PB 0/19 1/2</v>
      </c>
      <c r="N513" t="str">
        <f>""</f>
        <v/>
      </c>
      <c r="O513" t="str">
        <f>"32147"</f>
        <v>32147</v>
      </c>
      <c r="P513" t="str">
        <f t="shared" si="137"/>
        <v>2017</v>
      </c>
      <c r="Q513" t="str">
        <f>""</f>
        <v/>
      </c>
      <c r="R513" t="str">
        <f>"N"</f>
        <v>N</v>
      </c>
      <c r="S513" t="str">
        <f>"0.07"</f>
        <v>0.07</v>
      </c>
      <c r="T513" t="str">
        <f>"13.74"</f>
        <v>13.74</v>
      </c>
      <c r="U513" t="str">
        <f>"924.00"</f>
        <v>924.00</v>
      </c>
      <c r="V513" t="str">
        <f>"924.00"</f>
        <v>924.00</v>
      </c>
      <c r="W513" t="str">
        <f t="shared" si="138"/>
        <v>2017</v>
      </c>
      <c r="X513" t="str">
        <f>""</f>
        <v/>
      </c>
      <c r="Y513" t="str">
        <f>"46.15"</f>
        <v>46.15</v>
      </c>
      <c r="Z513" t="str">
        <f>""</f>
        <v/>
      </c>
      <c r="AA513" t="str">
        <f>"1050.00"</f>
        <v>1050.00</v>
      </c>
      <c r="AB513" t="str">
        <f>"Residential"</f>
        <v>Residential</v>
      </c>
      <c r="AC513" t="str">
        <f t="shared" si="139"/>
        <v>0</v>
      </c>
      <c r="AD513" t="str">
        <f>""</f>
        <v/>
      </c>
      <c r="AE513" t="str">
        <f>""</f>
        <v/>
      </c>
      <c r="AF513" t="str">
        <f>"000"</f>
        <v>000</v>
      </c>
      <c r="AG513" t="str">
        <f>"WI"</f>
        <v>WI</v>
      </c>
      <c r="AH513" t="str">
        <f>"3049.00"</f>
        <v>3049.00</v>
      </c>
      <c r="AI513" t="str">
        <f>"1050.00"</f>
        <v>1050.00</v>
      </c>
      <c r="AJ513" t="str">
        <f>"C55-000-587-1693-7"</f>
        <v>C55-000-587-1693-7</v>
      </c>
      <c r="AK513" t="str">
        <f>"7648"</f>
        <v>7648</v>
      </c>
      <c r="AL513">
        <v>2</v>
      </c>
      <c r="AM513">
        <v>590</v>
      </c>
      <c r="AN513">
        <v>46.86</v>
      </c>
      <c r="AQ513" t="s">
        <v>5548</v>
      </c>
      <c r="AR513" t="s">
        <v>5548</v>
      </c>
      <c r="AS513" t="s">
        <v>5548</v>
      </c>
      <c r="AU513" t="s">
        <v>396</v>
      </c>
      <c r="AV513">
        <v>2017</v>
      </c>
      <c r="AW513" t="str">
        <f>"17-3N-24-2640-0002-0100 "</f>
        <v xml:space="preserve">17-3N-24-2640-0002-0100 </v>
      </c>
      <c r="AZ513" t="s">
        <v>1206</v>
      </c>
      <c r="BD513" t="s">
        <v>398</v>
      </c>
      <c r="BE513" t="s">
        <v>393</v>
      </c>
      <c r="BF513">
        <v>32046</v>
      </c>
      <c r="BG513" t="s">
        <v>1206</v>
      </c>
      <c r="BH513" t="s">
        <v>400</v>
      </c>
      <c r="BI513">
        <v>-81.927452774352204</v>
      </c>
      <c r="BJ513">
        <v>30.680798946314201</v>
      </c>
      <c r="BK513" t="s">
        <v>5549</v>
      </c>
      <c r="BM513" t="s">
        <v>5550</v>
      </c>
      <c r="BN513" t="s">
        <v>5551</v>
      </c>
      <c r="BO513">
        <v>54173</v>
      </c>
      <c r="BP513" t="s">
        <v>404</v>
      </c>
      <c r="BQ513">
        <v>0</v>
      </c>
      <c r="BR513" t="s">
        <v>491</v>
      </c>
      <c r="BS513">
        <v>8001</v>
      </c>
      <c r="BT513" t="s">
        <v>492</v>
      </c>
      <c r="BW513">
        <v>3049</v>
      </c>
      <c r="BX513" t="s">
        <v>407</v>
      </c>
      <c r="CD513">
        <v>2017</v>
      </c>
      <c r="CE513">
        <v>1050</v>
      </c>
      <c r="CG513">
        <v>1050</v>
      </c>
      <c r="CH513">
        <v>2017</v>
      </c>
      <c r="CI513">
        <v>1050</v>
      </c>
      <c r="CK513">
        <v>1050</v>
      </c>
      <c r="CL513">
        <v>2017</v>
      </c>
      <c r="CM513">
        <v>13.74</v>
      </c>
      <c r="DD513" t="s">
        <v>398</v>
      </c>
      <c r="DF513">
        <v>10</v>
      </c>
      <c r="DG513">
        <v>17</v>
      </c>
      <c r="DJ513" t="s">
        <v>5552</v>
      </c>
      <c r="DM513" t="s">
        <v>5514</v>
      </c>
      <c r="DO513" t="s">
        <v>5553</v>
      </c>
      <c r="DP513">
        <v>0</v>
      </c>
      <c r="DQ513">
        <v>0</v>
      </c>
      <c r="DR513" t="s">
        <v>411</v>
      </c>
      <c r="DS513" t="b">
        <v>1</v>
      </c>
      <c r="DT513" t="s">
        <v>470</v>
      </c>
      <c r="DU513" t="s">
        <v>471</v>
      </c>
      <c r="DV513" t="s">
        <v>472</v>
      </c>
      <c r="DX513">
        <v>-9999</v>
      </c>
      <c r="DZ513" t="s">
        <v>447</v>
      </c>
      <c r="EA513" t="s">
        <v>448</v>
      </c>
      <c r="EB513" t="s">
        <v>1224</v>
      </c>
      <c r="EC513">
        <v>20101217</v>
      </c>
      <c r="ED513" t="s">
        <v>474</v>
      </c>
      <c r="EF513">
        <v>3119.5</v>
      </c>
      <c r="EG513">
        <v>3119.5</v>
      </c>
      <c r="EI513">
        <v>20160407</v>
      </c>
      <c r="EJ513">
        <v>0</v>
      </c>
      <c r="EK513">
        <v>0</v>
      </c>
      <c r="EP513" t="s">
        <v>595</v>
      </c>
      <c r="EQ513" t="s">
        <v>422</v>
      </c>
      <c r="ER513">
        <v>6</v>
      </c>
      <c r="ES513">
        <v>0</v>
      </c>
      <c r="ET513">
        <v>208.71</v>
      </c>
      <c r="EU513">
        <v>132.69999999999999</v>
      </c>
      <c r="EV513">
        <v>341.41</v>
      </c>
      <c r="EW513" s="2">
        <v>43222</v>
      </c>
      <c r="EX513" s="1">
        <v>42879</v>
      </c>
      <c r="EY513">
        <v>2016</v>
      </c>
      <c r="EZ513">
        <v>39.92</v>
      </c>
      <c r="FA513" t="s">
        <v>5554</v>
      </c>
      <c r="FB513">
        <v>18</v>
      </c>
      <c r="FC513" t="s">
        <v>603</v>
      </c>
      <c r="FD513" t="s">
        <v>454</v>
      </c>
      <c r="FF513">
        <v>12</v>
      </c>
      <c r="FG513">
        <v>9999999</v>
      </c>
      <c r="FH513" t="s">
        <v>604</v>
      </c>
      <c r="FJ513" s="1">
        <v>42515</v>
      </c>
      <c r="FK513">
        <v>2015</v>
      </c>
      <c r="FL513">
        <v>34.68</v>
      </c>
      <c r="FM513" t="s">
        <v>5555</v>
      </c>
      <c r="FN513">
        <v>18</v>
      </c>
      <c r="FO513" t="s">
        <v>603</v>
      </c>
      <c r="FP513" t="s">
        <v>454</v>
      </c>
      <c r="FR513">
        <v>24</v>
      </c>
      <c r="FS513">
        <v>9999999</v>
      </c>
      <c r="FT513" t="s">
        <v>604</v>
      </c>
      <c r="FV513" s="1">
        <v>42151</v>
      </c>
      <c r="FW513">
        <v>2014</v>
      </c>
      <c r="FX513">
        <v>33.130000000000003</v>
      </c>
      <c r="FY513" t="s">
        <v>5556</v>
      </c>
      <c r="FZ513">
        <v>18</v>
      </c>
      <c r="GA513" t="s">
        <v>603</v>
      </c>
      <c r="GB513" t="s">
        <v>454</v>
      </c>
      <c r="GD513">
        <v>36</v>
      </c>
      <c r="GE513">
        <v>9999999</v>
      </c>
      <c r="GF513" t="s">
        <v>604</v>
      </c>
      <c r="GH513" s="1">
        <v>41787</v>
      </c>
      <c r="GI513">
        <v>2013</v>
      </c>
      <c r="GJ513">
        <v>32.5</v>
      </c>
      <c r="GK513" t="s">
        <v>5557</v>
      </c>
      <c r="GL513">
        <v>18</v>
      </c>
      <c r="GM513" t="s">
        <v>603</v>
      </c>
      <c r="GN513" t="s">
        <v>454</v>
      </c>
      <c r="GP513">
        <v>48</v>
      </c>
      <c r="GQ513">
        <v>9999999</v>
      </c>
      <c r="GR513" t="s">
        <v>604</v>
      </c>
      <c r="GT513" s="1">
        <v>41423</v>
      </c>
      <c r="GU513">
        <v>2012</v>
      </c>
      <c r="GV513">
        <v>34.24</v>
      </c>
      <c r="GW513" t="s">
        <v>5558</v>
      </c>
      <c r="GX513">
        <v>10</v>
      </c>
      <c r="GY513" t="s">
        <v>424</v>
      </c>
      <c r="GZ513" t="s">
        <v>454</v>
      </c>
      <c r="HB513">
        <v>60</v>
      </c>
      <c r="HC513">
        <v>375</v>
      </c>
      <c r="HD513" t="s">
        <v>776</v>
      </c>
      <c r="HF513" s="1">
        <v>41423</v>
      </c>
      <c r="HG513">
        <v>2012</v>
      </c>
      <c r="HH513">
        <v>34.24</v>
      </c>
      <c r="HI513" t="s">
        <v>5558</v>
      </c>
      <c r="HJ513">
        <v>10</v>
      </c>
      <c r="HK513" t="s">
        <v>424</v>
      </c>
      <c r="HL513" t="s">
        <v>454</v>
      </c>
      <c r="HN513">
        <v>60</v>
      </c>
      <c r="HO513">
        <v>105</v>
      </c>
      <c r="HP513" t="s">
        <v>946</v>
      </c>
    </row>
    <row r="514" spans="1:284" x14ac:dyDescent="0.25">
      <c r="A514">
        <v>16485521</v>
      </c>
      <c r="B514">
        <v>513</v>
      </c>
      <c r="C514" t="s">
        <v>393</v>
      </c>
      <c r="D514" t="s">
        <v>394</v>
      </c>
      <c r="F514" t="str">
        <f>"20-3N-24-0000-0007-0000"</f>
        <v>20-3N-24-0000-0007-0000</v>
      </c>
      <c r="H514" t="str">
        <f>"REWIS BILLY CHARLES"</f>
        <v>REWIS BILLY CHARLES</v>
      </c>
      <c r="I514" t="str">
        <f>"37263 TOM BROWN ROAD"</f>
        <v>37263 TOM BROWN ROAD</v>
      </c>
      <c r="J514" t="str">
        <f>"HILLIARD FL 32046"</f>
        <v>HILLIARD FL 32046</v>
      </c>
      <c r="K514" t="str">
        <f>"37341 TOM BROWN RD"</f>
        <v>37341 TOM BROWN RD</v>
      </c>
      <c r="L514" t="str">
        <f t="shared" si="148"/>
        <v>HILLIARD FL 32046</v>
      </c>
      <c r="M514" t="str">
        <f>"PT OF SE1/4 OF NE1/4 PARCELS 7 7-1 &amp; 7-3 IN OR 1835/1644 R567578 &amp; R567579"</f>
        <v>PT OF SE1/4 OF NE1/4 PARCELS 7 7-1 &amp; 7-3 IN OR 1835/1644 R567578 &amp; R567579</v>
      </c>
      <c r="N514" t="str">
        <f>""</f>
        <v/>
      </c>
      <c r="O514" t="str">
        <f>"33192"</f>
        <v>33192</v>
      </c>
      <c r="P514" t="str">
        <f t="shared" ref="P514:P577" si="151">"2017"</f>
        <v>2017</v>
      </c>
      <c r="Q514" t="str">
        <f>""</f>
        <v/>
      </c>
      <c r="R514" t="str">
        <f>"N"</f>
        <v>N</v>
      </c>
      <c r="S514" t="str">
        <f>"3.50"</f>
        <v>3.50</v>
      </c>
      <c r="T514" t="str">
        <f>"844.53"</f>
        <v>844.53</v>
      </c>
      <c r="U514" t="str">
        <f>"51766.00"</f>
        <v>51766.00</v>
      </c>
      <c r="V514" t="str">
        <f>"51766.00"</f>
        <v>51766.00</v>
      </c>
      <c r="W514" t="str">
        <f t="shared" ref="W514:W577" si="152">"2017"</f>
        <v>2017</v>
      </c>
      <c r="X514" t="str">
        <f>"14.60"</f>
        <v>14.60</v>
      </c>
      <c r="Y514" t="str">
        <f>"901.87"</f>
        <v>901.87</v>
      </c>
      <c r="Z514" t="str">
        <f>""</f>
        <v/>
      </c>
      <c r="AA514" t="str">
        <f>"60988.00"</f>
        <v>60988.00</v>
      </c>
      <c r="AB514" t="str">
        <f>"Residential"</f>
        <v>Residential</v>
      </c>
      <c r="AC514" t="str">
        <f t="shared" ref="AC514:AC534" si="153">"0"</f>
        <v>0</v>
      </c>
      <c r="AD514" t="str">
        <f t="shared" ref="AD514:AD519" si="154">"4"</f>
        <v>4</v>
      </c>
      <c r="AE514" t="str">
        <f t="shared" ref="AE514:AE519" si="155">"WOOD (INCLUDE STEEL STUDS)"</f>
        <v>WOOD (INCLUDE STEEL STUDS)</v>
      </c>
      <c r="AF514" t="str">
        <f>"002"</f>
        <v>002</v>
      </c>
      <c r="AG514" t="str">
        <f t="shared" ref="AG514:AG534" si="156">"FL"</f>
        <v>FL</v>
      </c>
      <c r="AH514" t="str">
        <f>"152460.00"</f>
        <v>152460.00</v>
      </c>
      <c r="AI514" t="str">
        <f>"23800.00"</f>
        <v>23800.00</v>
      </c>
      <c r="AJ514" t="str">
        <f>"C55-000-587-2605-0"</f>
        <v>C55-000-587-2605-0</v>
      </c>
      <c r="AK514" t="str">
        <f>"7707"</f>
        <v>7707</v>
      </c>
      <c r="AL514">
        <v>2</v>
      </c>
      <c r="AM514">
        <v>591</v>
      </c>
      <c r="AN514">
        <v>945.36</v>
      </c>
      <c r="AQ514" t="s">
        <v>5559</v>
      </c>
      <c r="AR514" t="s">
        <v>5559</v>
      </c>
      <c r="AS514" t="s">
        <v>5559</v>
      </c>
      <c r="AU514" t="s">
        <v>396</v>
      </c>
      <c r="AV514">
        <v>2017</v>
      </c>
      <c r="AW514" t="str">
        <f>"20-3N-24-0000-0007-0000 "</f>
        <v xml:space="preserve">20-3N-24-0000-0007-0000 </v>
      </c>
      <c r="AX514">
        <v>37341</v>
      </c>
      <c r="AZ514" t="s">
        <v>5560</v>
      </c>
      <c r="BA514" t="s">
        <v>496</v>
      </c>
      <c r="BD514" t="s">
        <v>398</v>
      </c>
      <c r="BE514" t="s">
        <v>393</v>
      </c>
      <c r="BF514">
        <v>32046</v>
      </c>
      <c r="BG514" t="s">
        <v>5561</v>
      </c>
      <c r="BH514" t="s">
        <v>400</v>
      </c>
      <c r="BI514">
        <v>-81.922030502409399</v>
      </c>
      <c r="BJ514">
        <v>30.664456487599399</v>
      </c>
      <c r="BK514" t="s">
        <v>5562</v>
      </c>
      <c r="BM514" t="s">
        <v>5563</v>
      </c>
      <c r="BN514" t="s">
        <v>403</v>
      </c>
      <c r="BO514">
        <v>32046</v>
      </c>
      <c r="BP514" t="s">
        <v>404</v>
      </c>
      <c r="BQ514">
        <v>200</v>
      </c>
      <c r="BR514" t="s">
        <v>405</v>
      </c>
      <c r="BS514">
        <v>1006</v>
      </c>
      <c r="BT514" t="s">
        <v>406</v>
      </c>
      <c r="BW514">
        <v>152460</v>
      </c>
      <c r="BX514" t="s">
        <v>407</v>
      </c>
      <c r="BY514" t="s">
        <v>408</v>
      </c>
      <c r="BZ514">
        <v>4</v>
      </c>
      <c r="CA514">
        <v>1991</v>
      </c>
      <c r="CB514">
        <v>1</v>
      </c>
      <c r="CC514">
        <v>1</v>
      </c>
      <c r="CD514">
        <v>2017</v>
      </c>
      <c r="CE514">
        <v>23800</v>
      </c>
      <c r="CF514">
        <v>37188</v>
      </c>
      <c r="CG514">
        <v>60988</v>
      </c>
      <c r="CH514">
        <v>2017</v>
      </c>
      <c r="CI514">
        <v>23800</v>
      </c>
      <c r="CJ514">
        <v>37188</v>
      </c>
      <c r="CK514">
        <v>60988</v>
      </c>
      <c r="CL514">
        <v>2017</v>
      </c>
      <c r="CM514">
        <v>844.53</v>
      </c>
      <c r="CN514" s="1">
        <v>41142</v>
      </c>
      <c r="CO514">
        <v>15000</v>
      </c>
      <c r="CZ514" s="1">
        <v>41142</v>
      </c>
      <c r="DD514" t="s">
        <v>398</v>
      </c>
      <c r="DG514">
        <v>20</v>
      </c>
      <c r="DL514">
        <v>50400</v>
      </c>
      <c r="DM514" t="s">
        <v>5564</v>
      </c>
      <c r="DO514" t="s">
        <v>5565</v>
      </c>
      <c r="DP514">
        <v>0</v>
      </c>
      <c r="DQ514">
        <v>0</v>
      </c>
      <c r="DR514" t="s">
        <v>411</v>
      </c>
      <c r="DS514" t="b">
        <v>1</v>
      </c>
      <c r="DT514" t="s">
        <v>470</v>
      </c>
      <c r="DU514" t="s">
        <v>471</v>
      </c>
      <c r="DV514" t="s">
        <v>472</v>
      </c>
      <c r="DX514">
        <v>-9999</v>
      </c>
      <c r="DZ514" t="s">
        <v>447</v>
      </c>
      <c r="EA514" t="s">
        <v>448</v>
      </c>
      <c r="EB514" t="s">
        <v>1224</v>
      </c>
      <c r="EC514">
        <v>20101217</v>
      </c>
      <c r="ED514" t="s">
        <v>474</v>
      </c>
      <c r="EF514">
        <v>1468.6</v>
      </c>
      <c r="EG514">
        <v>1468.6</v>
      </c>
      <c r="EI514">
        <v>20160407</v>
      </c>
      <c r="EJ514">
        <v>0</v>
      </c>
      <c r="EK514">
        <v>0</v>
      </c>
      <c r="EP514" t="s">
        <v>421</v>
      </c>
      <c r="EQ514" t="s">
        <v>422</v>
      </c>
      <c r="ER514">
        <v>2</v>
      </c>
      <c r="ES514">
        <v>6</v>
      </c>
      <c r="ET514">
        <v>1616.56</v>
      </c>
      <c r="EU514">
        <v>93.33</v>
      </c>
      <c r="EV514">
        <v>1709.89</v>
      </c>
      <c r="EW514" s="2">
        <v>43222</v>
      </c>
      <c r="EX514" s="1">
        <v>42879</v>
      </c>
      <c r="EY514">
        <v>2016</v>
      </c>
      <c r="EZ514">
        <v>808.28</v>
      </c>
      <c r="FA514" t="s">
        <v>5566</v>
      </c>
      <c r="FB514">
        <v>0.25</v>
      </c>
      <c r="FC514" t="s">
        <v>424</v>
      </c>
      <c r="FD514" t="s">
        <v>454</v>
      </c>
      <c r="FF514">
        <v>12</v>
      </c>
      <c r="FG514">
        <v>2851116</v>
      </c>
      <c r="FH514" t="s">
        <v>480</v>
      </c>
      <c r="FJ514" s="1">
        <v>42879</v>
      </c>
      <c r="FK514">
        <v>2016</v>
      </c>
      <c r="FL514">
        <v>808.28</v>
      </c>
      <c r="FM514" t="s">
        <v>5566</v>
      </c>
      <c r="FN514">
        <v>0.25</v>
      </c>
      <c r="FO514" t="s">
        <v>424</v>
      </c>
      <c r="FP514" t="s">
        <v>454</v>
      </c>
      <c r="FR514">
        <v>12</v>
      </c>
      <c r="FS514">
        <v>5354536</v>
      </c>
      <c r="FT514" t="s">
        <v>2046</v>
      </c>
      <c r="FV514" s="1">
        <v>42515</v>
      </c>
      <c r="FW514">
        <v>2015</v>
      </c>
      <c r="FX514">
        <v>900.13</v>
      </c>
      <c r="FY514" t="s">
        <v>5567</v>
      </c>
      <c r="FZ514">
        <v>0.25</v>
      </c>
      <c r="GA514" t="s">
        <v>424</v>
      </c>
      <c r="GB514" t="s">
        <v>425</v>
      </c>
      <c r="GC514" s="1">
        <v>43151</v>
      </c>
      <c r="GD514">
        <v>21</v>
      </c>
      <c r="GE514">
        <v>2851116</v>
      </c>
      <c r="GF514" t="s">
        <v>480</v>
      </c>
      <c r="GH514" s="1">
        <v>42515</v>
      </c>
      <c r="GI514">
        <v>2015</v>
      </c>
      <c r="GJ514">
        <v>900.13</v>
      </c>
      <c r="GK514" t="s">
        <v>5567</v>
      </c>
      <c r="GL514">
        <v>0.25</v>
      </c>
      <c r="GM514" t="s">
        <v>424</v>
      </c>
      <c r="GN514" t="s">
        <v>425</v>
      </c>
      <c r="GP514">
        <v>22</v>
      </c>
      <c r="GQ514">
        <v>5251683</v>
      </c>
      <c r="GR514" t="s">
        <v>5568</v>
      </c>
      <c r="GT514" s="1">
        <v>42151</v>
      </c>
      <c r="GU514">
        <v>2014</v>
      </c>
      <c r="GV514">
        <v>795.49</v>
      </c>
      <c r="GW514" t="s">
        <v>5569</v>
      </c>
      <c r="GX514">
        <v>0.25</v>
      </c>
      <c r="GY514" t="s">
        <v>424</v>
      </c>
      <c r="GZ514" t="s">
        <v>425</v>
      </c>
      <c r="HA514" s="1">
        <v>42787</v>
      </c>
      <c r="HB514">
        <v>21</v>
      </c>
      <c r="HC514">
        <v>4975594</v>
      </c>
      <c r="HD514" t="s">
        <v>457</v>
      </c>
      <c r="HF514" s="1">
        <v>42151</v>
      </c>
      <c r="HG514">
        <v>2014</v>
      </c>
      <c r="HH514">
        <v>795.49</v>
      </c>
      <c r="HI514" t="s">
        <v>5569</v>
      </c>
      <c r="HJ514">
        <v>0.25</v>
      </c>
      <c r="HK514" t="s">
        <v>424</v>
      </c>
      <c r="HL514" t="s">
        <v>425</v>
      </c>
      <c r="HN514">
        <v>22</v>
      </c>
      <c r="HO514">
        <v>6320575</v>
      </c>
      <c r="HP514" t="s">
        <v>5570</v>
      </c>
      <c r="HR514" s="1">
        <v>41787</v>
      </c>
      <c r="HS514">
        <v>2013</v>
      </c>
      <c r="HT514">
        <v>894.53</v>
      </c>
      <c r="HU514" t="s">
        <v>5571</v>
      </c>
      <c r="HV514">
        <v>0.25</v>
      </c>
      <c r="HW514" t="s">
        <v>424</v>
      </c>
      <c r="HX514" t="s">
        <v>425</v>
      </c>
      <c r="HY514" s="1">
        <v>42399</v>
      </c>
      <c r="HZ514">
        <v>20</v>
      </c>
      <c r="IA514">
        <v>2407503</v>
      </c>
      <c r="IB514" t="s">
        <v>461</v>
      </c>
      <c r="ID514" s="1">
        <v>41423</v>
      </c>
      <c r="IE514">
        <v>2012</v>
      </c>
      <c r="IF514">
        <v>658.96</v>
      </c>
      <c r="IG514" t="s">
        <v>5572</v>
      </c>
      <c r="IH514">
        <v>3</v>
      </c>
      <c r="II514" t="s">
        <v>424</v>
      </c>
      <c r="IJ514" t="s">
        <v>425</v>
      </c>
      <c r="IK514" s="1">
        <v>41723</v>
      </c>
      <c r="IL514">
        <v>10</v>
      </c>
      <c r="IM514">
        <v>15399</v>
      </c>
      <c r="IN514" t="s">
        <v>485</v>
      </c>
    </row>
    <row r="515" spans="1:284" x14ac:dyDescent="0.25">
      <c r="A515">
        <v>16485522</v>
      </c>
      <c r="B515">
        <v>514</v>
      </c>
      <c r="C515" t="s">
        <v>393</v>
      </c>
      <c r="D515" t="s">
        <v>394</v>
      </c>
      <c r="F515" t="str">
        <f>"20-3N-24-0000-0007-0020"</f>
        <v>20-3N-24-0000-0007-0020</v>
      </c>
      <c r="H515" t="str">
        <f>"REWIS BILLY CHARLES"</f>
        <v>REWIS BILLY CHARLES</v>
      </c>
      <c r="I515" t="str">
        <f>"37263 TOM BROWN ROAD"</f>
        <v>37263 TOM BROWN ROAD</v>
      </c>
      <c r="J515" t="str">
        <f>"HILLIARD FL 32046"</f>
        <v>HILLIARD FL 32046</v>
      </c>
      <c r="K515" t="str">
        <f>"37263 TOM BROWN RD"</f>
        <v>37263 TOM BROWN RD</v>
      </c>
      <c r="L515" t="str">
        <f t="shared" si="148"/>
        <v>HILLIARD FL 32046</v>
      </c>
      <c r="M515" t="str">
        <f>"PT OF SE1/4 OF NE1/4 OR 136/20 L/E &amp; OR 726/1175"</f>
        <v>PT OF SE1/4 OF NE1/4 OR 136/20 L/E &amp; OR 726/1175</v>
      </c>
      <c r="N515" t="str">
        <f>""</f>
        <v/>
      </c>
      <c r="O515" t="str">
        <f>"33194"</f>
        <v>33194</v>
      </c>
      <c r="P515" t="str">
        <f t="shared" si="151"/>
        <v>2017</v>
      </c>
      <c r="Q515" t="str">
        <f>""</f>
        <v/>
      </c>
      <c r="R515" t="str">
        <f>"Y"</f>
        <v>Y</v>
      </c>
      <c r="S515" t="str">
        <f>"4.00"</f>
        <v>4.00</v>
      </c>
      <c r="T515" t="str">
        <f>"678.90"</f>
        <v>678.90</v>
      </c>
      <c r="U515" t="str">
        <f>"83949.00"</f>
        <v>83949.00</v>
      </c>
      <c r="V515" t="str">
        <f>"83949.00"</f>
        <v>83949.00</v>
      </c>
      <c r="W515" t="str">
        <f t="shared" si="152"/>
        <v>2017</v>
      </c>
      <c r="X515" t="str">
        <f>"14.71"</f>
        <v>14.71</v>
      </c>
      <c r="Y515" t="str">
        <f>"731.27"</f>
        <v>731.27</v>
      </c>
      <c r="Z515" t="str">
        <f>"25000.00"</f>
        <v>25000.00</v>
      </c>
      <c r="AA515" t="str">
        <f>"58949.00"</f>
        <v>58949.00</v>
      </c>
      <c r="AB515" t="str">
        <f>"Residential"</f>
        <v>Residential</v>
      </c>
      <c r="AC515" t="str">
        <f t="shared" si="153"/>
        <v>0</v>
      </c>
      <c r="AD515" t="str">
        <f t="shared" si="154"/>
        <v>4</v>
      </c>
      <c r="AE515" t="str">
        <f t="shared" si="155"/>
        <v>WOOD (INCLUDE STEEL STUDS)</v>
      </c>
      <c r="AF515" t="str">
        <f>"001"</f>
        <v>001</v>
      </c>
      <c r="AG515" t="str">
        <f t="shared" si="156"/>
        <v>FL</v>
      </c>
      <c r="AH515" t="str">
        <f>"174240.00"</f>
        <v>174240.00</v>
      </c>
      <c r="AI515" t="str">
        <f>"32000.00"</f>
        <v>32000.00</v>
      </c>
      <c r="AJ515" t="str">
        <f>"C55-000-587-2606-8"</f>
        <v>C55-000-587-2606-8</v>
      </c>
      <c r="AK515" t="str">
        <f>"7708"</f>
        <v>7708</v>
      </c>
      <c r="AL515">
        <v>2</v>
      </c>
      <c r="AM515">
        <v>592</v>
      </c>
      <c r="AN515">
        <v>766.23</v>
      </c>
      <c r="AQ515" t="s">
        <v>5573</v>
      </c>
      <c r="AR515" t="s">
        <v>5573</v>
      </c>
      <c r="AS515" t="s">
        <v>5573</v>
      </c>
      <c r="AU515" t="s">
        <v>396</v>
      </c>
      <c r="AV515">
        <v>2017</v>
      </c>
      <c r="AW515" t="str">
        <f>"20-3N-24-0000-0007-0020 "</f>
        <v xml:space="preserve">20-3N-24-0000-0007-0020 </v>
      </c>
      <c r="AX515">
        <v>37263</v>
      </c>
      <c r="AZ515" t="s">
        <v>5560</v>
      </c>
      <c r="BA515" t="s">
        <v>496</v>
      </c>
      <c r="BD515" t="s">
        <v>398</v>
      </c>
      <c r="BE515" t="s">
        <v>393</v>
      </c>
      <c r="BF515">
        <v>32046</v>
      </c>
      <c r="BG515" t="s">
        <v>5574</v>
      </c>
      <c r="BH515" t="s">
        <v>400</v>
      </c>
      <c r="BI515">
        <v>-81.922089252374207</v>
      </c>
      <c r="BJ515">
        <v>30.6651438658748</v>
      </c>
      <c r="BK515" t="s">
        <v>5562</v>
      </c>
      <c r="BM515" t="s">
        <v>5563</v>
      </c>
      <c r="BN515" t="s">
        <v>403</v>
      </c>
      <c r="BO515">
        <v>32046</v>
      </c>
      <c r="BP515" t="s">
        <v>416</v>
      </c>
      <c r="BQ515">
        <v>100</v>
      </c>
      <c r="BR515" t="s">
        <v>514</v>
      </c>
      <c r="BS515">
        <v>1001</v>
      </c>
      <c r="BT515" t="s">
        <v>515</v>
      </c>
      <c r="BW515">
        <v>174240</v>
      </c>
      <c r="BX515" t="s">
        <v>407</v>
      </c>
      <c r="BY515" t="s">
        <v>408</v>
      </c>
      <c r="BZ515">
        <v>4</v>
      </c>
      <c r="CA515">
        <v>1922</v>
      </c>
      <c r="CB515">
        <v>1</v>
      </c>
      <c r="CC515">
        <v>1</v>
      </c>
      <c r="CD515">
        <v>2017</v>
      </c>
      <c r="CG515">
        <v>83949</v>
      </c>
      <c r="CH515">
        <v>2017</v>
      </c>
      <c r="CI515">
        <v>32000</v>
      </c>
      <c r="CJ515">
        <v>65820</v>
      </c>
      <c r="CK515">
        <v>97820</v>
      </c>
      <c r="CL515">
        <v>2017</v>
      </c>
      <c r="CM515">
        <v>678.9</v>
      </c>
      <c r="CN515" s="1">
        <v>34787</v>
      </c>
      <c r="CZ515" s="1">
        <v>34787</v>
      </c>
      <c r="DD515" t="s">
        <v>398</v>
      </c>
      <c r="DG515">
        <v>20</v>
      </c>
      <c r="DL515">
        <v>50400</v>
      </c>
      <c r="DM515" t="s">
        <v>5564</v>
      </c>
      <c r="DO515" t="s">
        <v>5575</v>
      </c>
      <c r="DP515">
        <v>0</v>
      </c>
      <c r="DQ515">
        <v>0</v>
      </c>
      <c r="DR515" t="s">
        <v>411</v>
      </c>
      <c r="DS515" t="b">
        <v>1</v>
      </c>
      <c r="DT515" t="s">
        <v>470</v>
      </c>
      <c r="DU515" t="s">
        <v>471</v>
      </c>
      <c r="DV515" t="s">
        <v>472</v>
      </c>
      <c r="DX515">
        <v>-9999</v>
      </c>
      <c r="DZ515" t="s">
        <v>447</v>
      </c>
      <c r="EA515" t="s">
        <v>448</v>
      </c>
      <c r="EB515" t="s">
        <v>1224</v>
      </c>
      <c r="EC515">
        <v>20101217</v>
      </c>
      <c r="ED515" t="s">
        <v>474</v>
      </c>
      <c r="EF515">
        <v>1295.9000000000001</v>
      </c>
      <c r="EG515">
        <v>1295.9000000000001</v>
      </c>
      <c r="EH515" t="s">
        <v>451</v>
      </c>
      <c r="EI515">
        <v>20140731</v>
      </c>
      <c r="EJ515">
        <v>3</v>
      </c>
      <c r="EK515">
        <v>0</v>
      </c>
      <c r="EP515" t="s">
        <v>421</v>
      </c>
      <c r="EQ515" t="s">
        <v>422</v>
      </c>
      <c r="ER515">
        <v>2</v>
      </c>
      <c r="ES515">
        <v>4</v>
      </c>
      <c r="ET515">
        <v>1520.7</v>
      </c>
      <c r="EU515">
        <v>88.54</v>
      </c>
      <c r="EV515">
        <v>1609.24</v>
      </c>
      <c r="EW515" s="2">
        <v>43222</v>
      </c>
      <c r="EX515" s="1">
        <v>42879</v>
      </c>
      <c r="EY515">
        <v>2016</v>
      </c>
      <c r="EZ515">
        <v>760.35</v>
      </c>
      <c r="FA515" t="s">
        <v>5576</v>
      </c>
      <c r="FB515">
        <v>0.25</v>
      </c>
      <c r="FC515" t="s">
        <v>424</v>
      </c>
      <c r="FD515" t="s">
        <v>454</v>
      </c>
      <c r="FF515">
        <v>12</v>
      </c>
      <c r="FG515">
        <v>7336671</v>
      </c>
      <c r="FH515" t="s">
        <v>437</v>
      </c>
      <c r="FJ515" s="1">
        <v>42879</v>
      </c>
      <c r="FK515">
        <v>2016</v>
      </c>
      <c r="FL515">
        <v>760.35</v>
      </c>
      <c r="FM515" t="s">
        <v>5576</v>
      </c>
      <c r="FN515">
        <v>0.25</v>
      </c>
      <c r="FO515" t="s">
        <v>424</v>
      </c>
      <c r="FP515" t="s">
        <v>454</v>
      </c>
      <c r="FR515">
        <v>12</v>
      </c>
      <c r="FS515">
        <v>6751442</v>
      </c>
      <c r="FT515" t="s">
        <v>5577</v>
      </c>
      <c r="FV515" s="1">
        <v>42151</v>
      </c>
      <c r="FW515">
        <v>2014</v>
      </c>
      <c r="FX515">
        <v>761.88</v>
      </c>
      <c r="FY515" t="s">
        <v>5578</v>
      </c>
      <c r="FZ515">
        <v>0.25</v>
      </c>
      <c r="GA515" t="s">
        <v>424</v>
      </c>
      <c r="GB515" t="s">
        <v>425</v>
      </c>
      <c r="GC515" s="1">
        <v>42428</v>
      </c>
      <c r="GD515">
        <v>9</v>
      </c>
      <c r="GE515">
        <v>4975594</v>
      </c>
      <c r="GF515" t="s">
        <v>457</v>
      </c>
      <c r="GH515" s="1">
        <v>42151</v>
      </c>
      <c r="GI515">
        <v>2014</v>
      </c>
      <c r="GJ515">
        <v>761.88</v>
      </c>
      <c r="GK515" t="s">
        <v>5578</v>
      </c>
      <c r="GL515">
        <v>0.25</v>
      </c>
      <c r="GM515" t="s">
        <v>424</v>
      </c>
      <c r="GN515" t="s">
        <v>425</v>
      </c>
      <c r="GP515">
        <v>22</v>
      </c>
      <c r="GQ515">
        <v>6387866</v>
      </c>
      <c r="GR515" t="s">
        <v>5579</v>
      </c>
      <c r="GT515" s="1">
        <v>41787</v>
      </c>
      <c r="GU515">
        <v>2013</v>
      </c>
      <c r="GV515">
        <v>717.05</v>
      </c>
      <c r="GW515" t="s">
        <v>5580</v>
      </c>
      <c r="GX515">
        <v>0.25</v>
      </c>
      <c r="GY515" t="s">
        <v>424</v>
      </c>
      <c r="GZ515" t="s">
        <v>425</v>
      </c>
      <c r="HA515" s="1">
        <v>41931</v>
      </c>
      <c r="HB515">
        <v>5</v>
      </c>
      <c r="HC515">
        <v>15259</v>
      </c>
      <c r="HD515" t="s">
        <v>891</v>
      </c>
      <c r="HF515" s="1">
        <v>41423</v>
      </c>
      <c r="HG515">
        <v>2012</v>
      </c>
      <c r="HH515">
        <v>706.14</v>
      </c>
      <c r="HI515" t="s">
        <v>5581</v>
      </c>
      <c r="HJ515">
        <v>0.25</v>
      </c>
      <c r="HK515" t="s">
        <v>424</v>
      </c>
      <c r="HL515" t="s">
        <v>425</v>
      </c>
      <c r="HM515" s="1">
        <v>41723</v>
      </c>
      <c r="HN515">
        <v>10</v>
      </c>
      <c r="HO515">
        <v>2101382</v>
      </c>
      <c r="HP515" t="s">
        <v>993</v>
      </c>
    </row>
    <row r="516" spans="1:284" x14ac:dyDescent="0.25">
      <c r="A516">
        <v>16485523</v>
      </c>
      <c r="B516">
        <v>515</v>
      </c>
      <c r="C516" t="s">
        <v>393</v>
      </c>
      <c r="D516" t="s">
        <v>394</v>
      </c>
      <c r="F516" t="str">
        <f>"20-3N-24-2020-0023-0010"</f>
        <v>20-3N-24-2020-0023-0010</v>
      </c>
      <c r="H516" t="str">
        <f>"HOBBS BENJAMIN FRANKLIN &amp; HOBBS GORDON F &amp; CONNIE(JT/RS)"</f>
        <v>HOBBS BENJAMIN FRANKLIN &amp; HOBBS GORDON F &amp; CONNIE(JT/RS)</v>
      </c>
      <c r="I516" t="str">
        <f>"15616 CR 108"</f>
        <v>15616 CR 108</v>
      </c>
      <c r="J516" t="str">
        <f>"HILLIARD FL 32046"</f>
        <v>HILLIARD FL 32046</v>
      </c>
      <c r="K516" t="str">
        <f>"15616 CR 108"</f>
        <v>15616 CR 108</v>
      </c>
      <c r="L516" t="str">
        <f t="shared" si="148"/>
        <v>HILLIARD FL 32046</v>
      </c>
      <c r="M516" t="str">
        <f>"E 290 OF LOT 23 IN OR 2102/145 CORNWALL SURVEY PB O/31"</f>
        <v>E 290 OF LOT 23 IN OR 2102/145 CORNWALL SURVEY PB O/31</v>
      </c>
      <c r="N516" t="str">
        <f>""</f>
        <v/>
      </c>
      <c r="O516" t="str">
        <f>"57206"</f>
        <v>57206</v>
      </c>
      <c r="P516" t="str">
        <f t="shared" si="151"/>
        <v>2017</v>
      </c>
      <c r="Q516" t="str">
        <f>""</f>
        <v/>
      </c>
      <c r="R516" t="str">
        <f>"Y"</f>
        <v>Y</v>
      </c>
      <c r="S516" t="str">
        <f>"2.26"</f>
        <v>2.26</v>
      </c>
      <c r="T516" t="str">
        <f>"898.38"</f>
        <v>898.38</v>
      </c>
      <c r="U516" t="str">
        <f>"98447.00"</f>
        <v>98447.00</v>
      </c>
      <c r="V516" t="str">
        <f>"98447.00"</f>
        <v>98447.00</v>
      </c>
      <c r="W516" t="str">
        <f t="shared" si="152"/>
        <v>2017</v>
      </c>
      <c r="X516" t="str">
        <f>""</f>
        <v/>
      </c>
      <c r="Y516" t="str">
        <f>"957.33"</f>
        <v>957.33</v>
      </c>
      <c r="Z516" t="str">
        <f>"25000.00"</f>
        <v>25000.00</v>
      </c>
      <c r="AA516" t="str">
        <f>"73447.00"</f>
        <v>73447.00</v>
      </c>
      <c r="AB516" t="str">
        <f>"Residential"</f>
        <v>Residential</v>
      </c>
      <c r="AC516" t="str">
        <f t="shared" si="153"/>
        <v>0</v>
      </c>
      <c r="AD516" t="str">
        <f t="shared" si="154"/>
        <v>4</v>
      </c>
      <c r="AE516" t="str">
        <f t="shared" si="155"/>
        <v>WOOD (INCLUDE STEEL STUDS)</v>
      </c>
      <c r="AF516" t="str">
        <f>"002"</f>
        <v>002</v>
      </c>
      <c r="AG516" t="str">
        <f t="shared" si="156"/>
        <v>FL</v>
      </c>
      <c r="AH516" t="str">
        <f>"98445.00"</f>
        <v>98445.00</v>
      </c>
      <c r="AI516" t="str">
        <f>"27120.00"</f>
        <v>27120.00</v>
      </c>
      <c r="AJ516" t="str">
        <f>"C55-001-096-9523-9"</f>
        <v>C55-001-096-9523-9</v>
      </c>
      <c r="AK516" t="str">
        <f>"7721"</f>
        <v>7721</v>
      </c>
      <c r="AL516">
        <v>2</v>
      </c>
      <c r="AM516">
        <v>593</v>
      </c>
      <c r="AN516">
        <v>1003.6</v>
      </c>
      <c r="AQ516" t="s">
        <v>5582</v>
      </c>
      <c r="AR516" t="s">
        <v>5582</v>
      </c>
      <c r="AS516" t="s">
        <v>5582</v>
      </c>
      <c r="AU516" t="s">
        <v>396</v>
      </c>
      <c r="AV516">
        <v>2017</v>
      </c>
      <c r="AW516" t="str">
        <f>"20-3N-24-2020-0023-0010 "</f>
        <v xml:space="preserve">20-3N-24-2020-0023-0010 </v>
      </c>
      <c r="AX516">
        <v>15616</v>
      </c>
      <c r="AZ516" t="s">
        <v>1206</v>
      </c>
      <c r="BD516" t="s">
        <v>398</v>
      </c>
      <c r="BE516" t="s">
        <v>393</v>
      </c>
      <c r="BF516">
        <v>32046</v>
      </c>
      <c r="BG516" t="s">
        <v>5583</v>
      </c>
      <c r="BH516" t="s">
        <v>400</v>
      </c>
      <c r="BK516" t="s">
        <v>5584</v>
      </c>
      <c r="BM516" t="s">
        <v>5583</v>
      </c>
      <c r="BN516" t="s">
        <v>403</v>
      </c>
      <c r="BO516">
        <v>32046</v>
      </c>
      <c r="BQ516">
        <v>200</v>
      </c>
      <c r="BR516" t="s">
        <v>405</v>
      </c>
      <c r="BS516">
        <v>1006</v>
      </c>
      <c r="BT516" t="s">
        <v>406</v>
      </c>
      <c r="BW516">
        <v>98445</v>
      </c>
      <c r="BX516" t="s">
        <v>407</v>
      </c>
      <c r="BZ516">
        <v>4</v>
      </c>
      <c r="CA516">
        <v>2000</v>
      </c>
      <c r="CC516">
        <v>1</v>
      </c>
      <c r="CD516">
        <v>2017</v>
      </c>
      <c r="CE516">
        <v>27120</v>
      </c>
      <c r="CF516">
        <v>71327</v>
      </c>
      <c r="CG516">
        <v>98447</v>
      </c>
      <c r="CH516">
        <v>2017</v>
      </c>
      <c r="CI516">
        <v>27120</v>
      </c>
      <c r="CJ516">
        <v>71327</v>
      </c>
      <c r="CK516">
        <v>98447</v>
      </c>
      <c r="CL516">
        <v>2017</v>
      </c>
      <c r="CM516">
        <v>898.38</v>
      </c>
      <c r="DD516" t="s">
        <v>398</v>
      </c>
      <c r="DM516" t="s">
        <v>5564</v>
      </c>
      <c r="DO516" t="s">
        <v>5585</v>
      </c>
    </row>
    <row r="517" spans="1:284" x14ac:dyDescent="0.25">
      <c r="A517">
        <v>16485524</v>
      </c>
      <c r="B517">
        <v>516</v>
      </c>
      <c r="C517" t="s">
        <v>393</v>
      </c>
      <c r="D517" t="s">
        <v>394</v>
      </c>
      <c r="F517" t="str">
        <f>"20-3N-24-2020-0046-0000"</f>
        <v>20-3N-24-2020-0046-0000</v>
      </c>
      <c r="H517" t="str">
        <f>"HODGES WILL RANDALL &amp; LISA K &amp; HODGES ISOM ZANE"</f>
        <v>HODGES WILL RANDALL &amp; LISA K &amp; HODGES ISOM ZANE</v>
      </c>
      <c r="I517" t="str">
        <f>"15595 COUNTY ROAD 108"</f>
        <v>15595 COUNTY ROAD 108</v>
      </c>
      <c r="J517" t="str">
        <f>"HILLIARD FL 32046"</f>
        <v>HILLIARD FL 32046</v>
      </c>
      <c r="K517" t="str">
        <f>"15595 CR 108"</f>
        <v>15595 CR 108</v>
      </c>
      <c r="L517" t="str">
        <f t="shared" si="148"/>
        <v>HILLIARD FL 32046</v>
      </c>
      <c r="M517" t="str">
        <f>"LOT 46 IN OR 1195/801 1997 WEST SW/MH &amp; 1985 SHOW SW/MH CORNWALL SURVEY"</f>
        <v>LOT 46 IN OR 1195/801 1997 WEST SW/MH &amp; 1985 SHOW SW/MH CORNWALL SURVEY</v>
      </c>
      <c r="N517" t="str">
        <f>""</f>
        <v/>
      </c>
      <c r="O517" t="str">
        <f>"33244"</f>
        <v>33244</v>
      </c>
      <c r="P517" t="str">
        <f t="shared" si="151"/>
        <v>2017</v>
      </c>
      <c r="Q517" t="str">
        <f>""</f>
        <v/>
      </c>
      <c r="R517" t="str">
        <f>"Y"</f>
        <v>Y</v>
      </c>
      <c r="S517" t="str">
        <f>"10.00"</f>
        <v>10.00</v>
      </c>
      <c r="T517" t="str">
        <f>"421.71"</f>
        <v>421.71</v>
      </c>
      <c r="U517" t="str">
        <f>"52007.00"</f>
        <v>52007.00</v>
      </c>
      <c r="V517" t="str">
        <f>"52007.00"</f>
        <v>52007.00</v>
      </c>
      <c r="W517" t="str">
        <f t="shared" si="152"/>
        <v>2017</v>
      </c>
      <c r="X517" t="str">
        <f>"7.67"</f>
        <v>7.67</v>
      </c>
      <c r="Y517" t="str">
        <f>"466.36"</f>
        <v>466.36</v>
      </c>
      <c r="Z517" t="str">
        <f>"25000.00"</f>
        <v>25000.00</v>
      </c>
      <c r="AA517" t="str">
        <f>"28956.00"</f>
        <v>28956.00</v>
      </c>
      <c r="AB517" t="str">
        <f>"Agricultural"</f>
        <v>Agricultural</v>
      </c>
      <c r="AC517" t="str">
        <f t="shared" si="153"/>
        <v>0</v>
      </c>
      <c r="AD517" t="str">
        <f t="shared" si="154"/>
        <v>4</v>
      </c>
      <c r="AE517" t="str">
        <f t="shared" si="155"/>
        <v>WOOD (INCLUDE STEEL STUDS)</v>
      </c>
      <c r="AF517" t="str">
        <f>"050"</f>
        <v>050</v>
      </c>
      <c r="AG517" t="str">
        <f t="shared" si="156"/>
        <v>FL</v>
      </c>
      <c r="AH517" t="str">
        <f>"435600.00"</f>
        <v>435600.00</v>
      </c>
      <c r="AI517" t="str">
        <f>"32320.00"</f>
        <v>32320.00</v>
      </c>
      <c r="AJ517" t="str">
        <f>"C55-000-587-2649-8"</f>
        <v>C55-000-587-2649-8</v>
      </c>
      <c r="AK517" t="str">
        <f>"7750"</f>
        <v>7750</v>
      </c>
      <c r="AL517">
        <v>2</v>
      </c>
      <c r="AM517">
        <v>594</v>
      </c>
      <c r="AN517">
        <v>488.08</v>
      </c>
      <c r="AQ517" t="s">
        <v>5586</v>
      </c>
      <c r="AR517" t="s">
        <v>5586</v>
      </c>
      <c r="AS517" t="s">
        <v>5586</v>
      </c>
      <c r="AU517" t="s">
        <v>396</v>
      </c>
      <c r="AV517">
        <v>2017</v>
      </c>
      <c r="AW517" t="str">
        <f>"20-3N-24-2020-0046-0000 "</f>
        <v xml:space="preserve">20-3N-24-2020-0046-0000 </v>
      </c>
      <c r="AX517">
        <v>15595</v>
      </c>
      <c r="AZ517" t="s">
        <v>1206</v>
      </c>
      <c r="BD517" t="s">
        <v>398</v>
      </c>
      <c r="BE517" t="s">
        <v>393</v>
      </c>
      <c r="BF517">
        <v>32046</v>
      </c>
      <c r="BG517" t="s">
        <v>5587</v>
      </c>
      <c r="BH517" t="s">
        <v>400</v>
      </c>
      <c r="BI517">
        <v>-81.927164252324104</v>
      </c>
      <c r="BJ517">
        <v>30.656496612699499</v>
      </c>
      <c r="BK517" t="s">
        <v>5588</v>
      </c>
      <c r="BM517" t="s">
        <v>5589</v>
      </c>
      <c r="BN517" t="s">
        <v>403</v>
      </c>
      <c r="BO517">
        <v>32046</v>
      </c>
      <c r="BP517" t="s">
        <v>416</v>
      </c>
      <c r="BQ517">
        <v>5000</v>
      </c>
      <c r="BR517" t="s">
        <v>664</v>
      </c>
      <c r="BS517">
        <v>7000</v>
      </c>
      <c r="BT517" t="s">
        <v>665</v>
      </c>
      <c r="BW517">
        <v>435600</v>
      </c>
      <c r="BX517" t="s">
        <v>407</v>
      </c>
      <c r="BZ517">
        <v>4</v>
      </c>
      <c r="CA517">
        <v>1997</v>
      </c>
      <c r="CB517">
        <v>1</v>
      </c>
      <c r="CC517">
        <v>2</v>
      </c>
      <c r="CD517">
        <v>2017</v>
      </c>
      <c r="CG517">
        <v>53956</v>
      </c>
      <c r="CH517">
        <v>2017</v>
      </c>
      <c r="CI517">
        <v>32320</v>
      </c>
      <c r="CJ517">
        <v>96883</v>
      </c>
      <c r="CK517">
        <v>129203</v>
      </c>
      <c r="CL517">
        <v>2017</v>
      </c>
      <c r="CM517">
        <v>421.71</v>
      </c>
      <c r="CN517" s="1">
        <v>37971</v>
      </c>
      <c r="CZ517" s="1">
        <v>37971</v>
      </c>
      <c r="DD517" t="s">
        <v>398</v>
      </c>
      <c r="DF517">
        <v>46</v>
      </c>
      <c r="DG517">
        <v>20</v>
      </c>
      <c r="DL517">
        <v>50400</v>
      </c>
      <c r="DM517" t="s">
        <v>5564</v>
      </c>
      <c r="DO517" t="s">
        <v>5590</v>
      </c>
      <c r="DP517">
        <v>0</v>
      </c>
      <c r="DQ517">
        <v>0</v>
      </c>
      <c r="DR517" t="s">
        <v>411</v>
      </c>
      <c r="DS517" t="b">
        <v>1</v>
      </c>
      <c r="DT517" t="s">
        <v>470</v>
      </c>
      <c r="DU517" t="s">
        <v>471</v>
      </c>
      <c r="DV517" t="s">
        <v>472</v>
      </c>
      <c r="DX517">
        <v>-9999</v>
      </c>
      <c r="DZ517" t="s">
        <v>447</v>
      </c>
      <c r="EA517" t="s">
        <v>448</v>
      </c>
      <c r="EB517" t="s">
        <v>1224</v>
      </c>
      <c r="EC517">
        <v>20101217</v>
      </c>
      <c r="ED517" t="s">
        <v>474</v>
      </c>
      <c r="EF517">
        <v>1570.9</v>
      </c>
      <c r="EG517">
        <v>1570.9</v>
      </c>
      <c r="EI517">
        <v>20160407</v>
      </c>
      <c r="EJ517">
        <v>0</v>
      </c>
      <c r="EK517">
        <v>0</v>
      </c>
      <c r="EP517" t="s">
        <v>421</v>
      </c>
      <c r="EQ517" t="s">
        <v>422</v>
      </c>
      <c r="ER517">
        <v>0</v>
      </c>
      <c r="ES517">
        <v>3</v>
      </c>
      <c r="ET517">
        <v>0</v>
      </c>
      <c r="EU517">
        <v>0</v>
      </c>
      <c r="EV517">
        <v>0</v>
      </c>
      <c r="EW517" s="2">
        <v>43222</v>
      </c>
      <c r="EX517" s="1">
        <v>41787</v>
      </c>
      <c r="EY517">
        <v>2013</v>
      </c>
      <c r="EZ517">
        <v>423</v>
      </c>
      <c r="FA517" t="s">
        <v>5591</v>
      </c>
      <c r="FB517">
        <v>0.25</v>
      </c>
      <c r="FC517" t="s">
        <v>424</v>
      </c>
      <c r="FD517" t="s">
        <v>425</v>
      </c>
      <c r="FE517" s="1">
        <v>42090</v>
      </c>
      <c r="FF517">
        <v>10</v>
      </c>
      <c r="FG517">
        <v>2101382</v>
      </c>
      <c r="FH517" t="s">
        <v>993</v>
      </c>
      <c r="FJ517" s="1">
        <v>41423</v>
      </c>
      <c r="FK517">
        <v>2012</v>
      </c>
      <c r="FL517">
        <v>416.82</v>
      </c>
      <c r="FM517" t="s">
        <v>5592</v>
      </c>
      <c r="FN517">
        <v>3</v>
      </c>
      <c r="FO517" t="s">
        <v>424</v>
      </c>
      <c r="FP517" t="s">
        <v>425</v>
      </c>
      <c r="FQ517" s="1">
        <v>41746</v>
      </c>
      <c r="FR517">
        <v>11</v>
      </c>
      <c r="FS517">
        <v>15407</v>
      </c>
      <c r="FT517" t="s">
        <v>1134</v>
      </c>
      <c r="FV517" s="1">
        <v>41052</v>
      </c>
      <c r="FW517">
        <v>2011</v>
      </c>
      <c r="FX517">
        <v>464.7</v>
      </c>
      <c r="FY517" t="s">
        <v>5593</v>
      </c>
      <c r="FZ517">
        <v>6</v>
      </c>
      <c r="GA517" t="s">
        <v>424</v>
      </c>
      <c r="GB517" t="s">
        <v>425</v>
      </c>
      <c r="GC517" s="1">
        <v>41113</v>
      </c>
      <c r="GD517">
        <v>2</v>
      </c>
      <c r="GE517">
        <v>10125</v>
      </c>
      <c r="GF517" t="s">
        <v>440</v>
      </c>
    </row>
    <row r="518" spans="1:284" x14ac:dyDescent="0.25">
      <c r="A518">
        <v>16485525</v>
      </c>
      <c r="B518">
        <v>517</v>
      </c>
      <c r="C518" t="s">
        <v>393</v>
      </c>
      <c r="D518" t="s">
        <v>394</v>
      </c>
      <c r="F518" t="str">
        <f>"20-3N-24-2020-0047-0000"</f>
        <v>20-3N-24-2020-0047-0000</v>
      </c>
      <c r="H518" t="str">
        <f>"GILL TROY V SR &amp; DONNA E H"</f>
        <v>GILL TROY V SR &amp; DONNA E H</v>
      </c>
      <c r="I518" t="str">
        <f>"15585 CR 108"</f>
        <v>15585 CR 108</v>
      </c>
      <c r="J518" t="str">
        <f>"HILLIARD FL 32046"</f>
        <v>HILLIARD FL 32046</v>
      </c>
      <c r="K518" t="str">
        <f>"15585 CR 108"</f>
        <v>15585 CR 108</v>
      </c>
      <c r="L518" t="str">
        <f t="shared" si="148"/>
        <v>HILLIARD FL 32046</v>
      </c>
      <c r="M518" t="str">
        <f>"LOT 47 IN OR 1392/775 R583352 &amp; R583353 CORNWALL SURVEY"</f>
        <v>LOT 47 IN OR 1392/775 R583352 &amp; R583353 CORNWALL SURVEY</v>
      </c>
      <c r="N518" t="str">
        <f>""</f>
        <v/>
      </c>
      <c r="O518" t="str">
        <f>"33245"</f>
        <v>33245</v>
      </c>
      <c r="P518" t="str">
        <f t="shared" si="151"/>
        <v>2017</v>
      </c>
      <c r="Q518" t="str">
        <f>""</f>
        <v/>
      </c>
      <c r="R518" t="str">
        <f>"Y"</f>
        <v>Y</v>
      </c>
      <c r="S518" t="str">
        <f>"10.00"</f>
        <v>10.00</v>
      </c>
      <c r="T518" t="str">
        <f>"450.60"</f>
        <v>450.60</v>
      </c>
      <c r="U518" t="str">
        <f>"60930.00"</f>
        <v>60930.00</v>
      </c>
      <c r="V518" t="str">
        <f>"60930.00"</f>
        <v>60930.00</v>
      </c>
      <c r="W518" t="str">
        <f t="shared" si="152"/>
        <v>2017</v>
      </c>
      <c r="X518" t="str">
        <f>"12.71"</f>
        <v>12.71</v>
      </c>
      <c r="Y518" t="str">
        <f>"496.12"</f>
        <v>496.12</v>
      </c>
      <c r="Z518" t="str">
        <f>"25000.00"</f>
        <v>25000.00</v>
      </c>
      <c r="AA518" t="str">
        <f>"35930.00"</f>
        <v>35930.00</v>
      </c>
      <c r="AB518" t="str">
        <f>"Residential"</f>
        <v>Residential</v>
      </c>
      <c r="AC518" t="str">
        <f t="shared" si="153"/>
        <v>0</v>
      </c>
      <c r="AD518" t="str">
        <f t="shared" si="154"/>
        <v>4</v>
      </c>
      <c r="AE518" t="str">
        <f t="shared" si="155"/>
        <v>WOOD (INCLUDE STEEL STUDS)</v>
      </c>
      <c r="AF518" t="str">
        <f>"002"</f>
        <v>002</v>
      </c>
      <c r="AG518" t="str">
        <f t="shared" si="156"/>
        <v>FL</v>
      </c>
      <c r="AH518" t="str">
        <f>"435600.00"</f>
        <v>435600.00</v>
      </c>
      <c r="AI518" t="str">
        <f>"60000.00"</f>
        <v>60000.00</v>
      </c>
      <c r="AJ518" t="str">
        <f>"C55-000-587-2650-6"</f>
        <v>C55-000-587-2650-6</v>
      </c>
      <c r="AK518" t="str">
        <f>"7751"</f>
        <v>7751</v>
      </c>
      <c r="AL518">
        <v>2</v>
      </c>
      <c r="AM518">
        <v>595</v>
      </c>
      <c r="AN518">
        <v>519.33000000000004</v>
      </c>
      <c r="AQ518" t="s">
        <v>5594</v>
      </c>
      <c r="AR518" t="s">
        <v>5594</v>
      </c>
      <c r="AS518" t="s">
        <v>5594</v>
      </c>
      <c r="AU518" t="s">
        <v>396</v>
      </c>
      <c r="AV518">
        <v>2017</v>
      </c>
      <c r="AW518" t="str">
        <f>"20-3N-24-2020-0047-0000 "</f>
        <v xml:space="preserve">20-3N-24-2020-0047-0000 </v>
      </c>
      <c r="AX518">
        <v>15585</v>
      </c>
      <c r="AZ518" t="s">
        <v>1206</v>
      </c>
      <c r="BD518" t="s">
        <v>398</v>
      </c>
      <c r="BE518" t="s">
        <v>393</v>
      </c>
      <c r="BF518">
        <v>32046</v>
      </c>
      <c r="BG518" t="s">
        <v>5595</v>
      </c>
      <c r="BH518" t="s">
        <v>400</v>
      </c>
      <c r="BI518">
        <v>-81.927147675354604</v>
      </c>
      <c r="BJ518">
        <v>30.655621847703902</v>
      </c>
      <c r="BK518" t="s">
        <v>5596</v>
      </c>
      <c r="BM518" t="s">
        <v>5595</v>
      </c>
      <c r="BN518" t="s">
        <v>403</v>
      </c>
      <c r="BO518">
        <v>32046</v>
      </c>
      <c r="BP518" t="s">
        <v>416</v>
      </c>
      <c r="BQ518">
        <v>200</v>
      </c>
      <c r="BR518" t="s">
        <v>405</v>
      </c>
      <c r="BS518">
        <v>1006</v>
      </c>
      <c r="BT518" t="s">
        <v>406</v>
      </c>
      <c r="BW518">
        <v>435600</v>
      </c>
      <c r="BX518" t="s">
        <v>407</v>
      </c>
      <c r="BY518" t="s">
        <v>408</v>
      </c>
      <c r="BZ518">
        <v>4</v>
      </c>
      <c r="CA518">
        <v>1972</v>
      </c>
      <c r="CB518">
        <v>1</v>
      </c>
      <c r="CC518">
        <v>1</v>
      </c>
      <c r="CD518">
        <v>2017</v>
      </c>
      <c r="CG518">
        <v>60930</v>
      </c>
      <c r="CH518">
        <v>2017</v>
      </c>
      <c r="CI518">
        <v>60000</v>
      </c>
      <c r="CJ518">
        <v>13458</v>
      </c>
      <c r="CK518">
        <v>73458</v>
      </c>
      <c r="CL518">
        <v>2017</v>
      </c>
      <c r="CM518">
        <v>450.6</v>
      </c>
      <c r="CN518" s="1">
        <v>38777</v>
      </c>
      <c r="CZ518" s="1">
        <v>38777</v>
      </c>
      <c r="DD518" t="s">
        <v>398</v>
      </c>
      <c r="DG518">
        <v>20</v>
      </c>
      <c r="DL518">
        <v>50400</v>
      </c>
      <c r="DM518" t="s">
        <v>5564</v>
      </c>
      <c r="DO518" t="s">
        <v>5597</v>
      </c>
      <c r="DP518">
        <v>0</v>
      </c>
      <c r="DQ518">
        <v>0</v>
      </c>
      <c r="DR518" t="s">
        <v>411</v>
      </c>
      <c r="DS518" t="b">
        <v>1</v>
      </c>
      <c r="DT518" t="s">
        <v>470</v>
      </c>
      <c r="DU518" t="s">
        <v>471</v>
      </c>
      <c r="DV518" t="s">
        <v>472</v>
      </c>
      <c r="DX518">
        <v>-9999</v>
      </c>
      <c r="DZ518" t="s">
        <v>447</v>
      </c>
      <c r="EA518" t="s">
        <v>448</v>
      </c>
      <c r="EB518" t="s">
        <v>1224</v>
      </c>
      <c r="EC518">
        <v>20101217</v>
      </c>
      <c r="ED518" t="s">
        <v>474</v>
      </c>
      <c r="EF518">
        <v>1505.9</v>
      </c>
      <c r="EG518">
        <v>1505.9</v>
      </c>
      <c r="EI518">
        <v>20160407</v>
      </c>
      <c r="EJ518">
        <v>0</v>
      </c>
      <c r="EK518">
        <v>0</v>
      </c>
      <c r="EP518" t="s">
        <v>421</v>
      </c>
      <c r="EQ518" t="s">
        <v>422</v>
      </c>
      <c r="ER518">
        <v>0</v>
      </c>
      <c r="ES518">
        <v>7</v>
      </c>
      <c r="ET518">
        <v>0</v>
      </c>
      <c r="EU518">
        <v>0</v>
      </c>
      <c r="EV518">
        <v>0</v>
      </c>
      <c r="EW518" s="2">
        <v>43222</v>
      </c>
      <c r="EX518" s="1">
        <v>42515</v>
      </c>
      <c r="EY518">
        <v>2015</v>
      </c>
      <c r="EZ518">
        <v>518.79</v>
      </c>
      <c r="FA518" t="s">
        <v>5598</v>
      </c>
      <c r="FB518">
        <v>0.25</v>
      </c>
      <c r="FC518" t="s">
        <v>424</v>
      </c>
      <c r="FD518" t="s">
        <v>425</v>
      </c>
      <c r="FE518" s="1">
        <v>42695</v>
      </c>
      <c r="FF518">
        <v>6</v>
      </c>
      <c r="FG518">
        <v>2851116</v>
      </c>
      <c r="FH518" t="s">
        <v>480</v>
      </c>
      <c r="FJ518" s="1">
        <v>42515</v>
      </c>
      <c r="FK518">
        <v>2015</v>
      </c>
      <c r="FL518">
        <v>518.79</v>
      </c>
      <c r="FM518" t="s">
        <v>5598</v>
      </c>
      <c r="FN518">
        <v>0.25</v>
      </c>
      <c r="FO518" t="s">
        <v>424</v>
      </c>
      <c r="FP518" t="s">
        <v>425</v>
      </c>
      <c r="FR518">
        <v>22</v>
      </c>
      <c r="FS518">
        <v>4958219</v>
      </c>
      <c r="FT518" t="s">
        <v>5599</v>
      </c>
      <c r="FV518" s="1">
        <v>42151</v>
      </c>
      <c r="FW518">
        <v>2014</v>
      </c>
      <c r="FX518">
        <v>517.91999999999996</v>
      </c>
      <c r="FY518" t="s">
        <v>5600</v>
      </c>
      <c r="FZ518">
        <v>0.25</v>
      </c>
      <c r="GA518" t="s">
        <v>424</v>
      </c>
      <c r="GB518" t="s">
        <v>425</v>
      </c>
      <c r="GC518" s="1">
        <v>42695</v>
      </c>
      <c r="GD518">
        <v>18</v>
      </c>
      <c r="GE518">
        <v>2851116</v>
      </c>
      <c r="GF518" t="s">
        <v>480</v>
      </c>
      <c r="GH518" s="1">
        <v>42151</v>
      </c>
      <c r="GI518">
        <v>2014</v>
      </c>
      <c r="GJ518">
        <v>517.91999999999996</v>
      </c>
      <c r="GK518" t="s">
        <v>5600</v>
      </c>
      <c r="GL518">
        <v>0.25</v>
      </c>
      <c r="GM518" t="s">
        <v>424</v>
      </c>
      <c r="GN518" t="s">
        <v>425</v>
      </c>
      <c r="GP518">
        <v>22</v>
      </c>
      <c r="GQ518">
        <v>4890979</v>
      </c>
      <c r="GR518" t="s">
        <v>5601</v>
      </c>
      <c r="GT518" s="1">
        <v>41787</v>
      </c>
      <c r="GU518">
        <v>2013</v>
      </c>
      <c r="GV518">
        <v>489.5</v>
      </c>
      <c r="GW518" t="s">
        <v>5602</v>
      </c>
      <c r="GX518">
        <v>2.25</v>
      </c>
      <c r="GY518" t="s">
        <v>424</v>
      </c>
      <c r="GZ518" t="s">
        <v>425</v>
      </c>
      <c r="HA518" s="1">
        <v>42418</v>
      </c>
      <c r="HB518">
        <v>21</v>
      </c>
      <c r="HC518">
        <v>15399</v>
      </c>
      <c r="HD518" t="s">
        <v>485</v>
      </c>
      <c r="HF518" s="1">
        <v>41423</v>
      </c>
      <c r="HG518">
        <v>2012</v>
      </c>
      <c r="HH518">
        <v>488.23</v>
      </c>
      <c r="HI518" t="s">
        <v>5603</v>
      </c>
      <c r="HJ518">
        <v>3.5</v>
      </c>
      <c r="HK518" t="s">
        <v>424</v>
      </c>
      <c r="HL518" t="s">
        <v>425</v>
      </c>
      <c r="HM518" s="1">
        <v>42058</v>
      </c>
      <c r="HN518">
        <v>21</v>
      </c>
      <c r="HO518">
        <v>15399</v>
      </c>
      <c r="HP518" t="s">
        <v>485</v>
      </c>
      <c r="HR518" s="1">
        <v>40688</v>
      </c>
      <c r="HS518">
        <v>2010</v>
      </c>
      <c r="HT518">
        <v>469.77</v>
      </c>
      <c r="HU518" t="s">
        <v>5604</v>
      </c>
      <c r="HV518">
        <v>8</v>
      </c>
      <c r="HW518" t="s">
        <v>424</v>
      </c>
      <c r="HX518" t="s">
        <v>425</v>
      </c>
      <c r="HY518" s="1">
        <v>41031</v>
      </c>
      <c r="HZ518">
        <v>12</v>
      </c>
      <c r="IA518">
        <v>10548</v>
      </c>
      <c r="IB518" t="s">
        <v>589</v>
      </c>
    </row>
    <row r="519" spans="1:284" x14ac:dyDescent="0.25">
      <c r="A519">
        <v>16485526</v>
      </c>
      <c r="B519">
        <v>518</v>
      </c>
      <c r="C519" t="s">
        <v>393</v>
      </c>
      <c r="D519" t="s">
        <v>394</v>
      </c>
      <c r="F519" t="str">
        <f>"22-3N-24-2320-0006-0010"</f>
        <v>22-3N-24-2320-0006-0010</v>
      </c>
      <c r="H519" t="str">
        <f>"BEST CAROLINE EST"</f>
        <v>BEST CAROLINE EST</v>
      </c>
      <c r="I519" t="str">
        <f>"94070 WINTERBERRY AVE"</f>
        <v>94070 WINTERBERRY AVE</v>
      </c>
      <c r="J519" t="str">
        <f>"FERNANDINA BEACH FL 32034"</f>
        <v>FERNANDINA BEACH FL 32034</v>
      </c>
      <c r="K519" t="str">
        <f>"36507 PRATT SIDING RD"</f>
        <v>36507 PRATT SIDING RD</v>
      </c>
      <c r="L519" t="str">
        <f>"CALLAHAN FL 32011"</f>
        <v>CALLAHAN FL 32011</v>
      </c>
      <c r="M519" t="str">
        <f>"PT LOTS 6 7 &amp; 8 PAR 6-1 IN OR 411/100 DUNNS SURVEY DBK B-10/48"</f>
        <v>PT LOTS 6 7 &amp; 8 PAR 6-1 IN OR 411/100 DUNNS SURVEY DBK B-10/48</v>
      </c>
      <c r="N519" t="str">
        <f>""</f>
        <v/>
      </c>
      <c r="O519" t="str">
        <f>"33710"</f>
        <v>33710</v>
      </c>
      <c r="P519" t="str">
        <f t="shared" si="151"/>
        <v>2017</v>
      </c>
      <c r="Q519" t="str">
        <f>""</f>
        <v/>
      </c>
      <c r="R519" t="str">
        <f>"N"</f>
        <v>N</v>
      </c>
      <c r="S519" t="str">
        <f>"3.00"</f>
        <v>3.00</v>
      </c>
      <c r="T519" t="str">
        <f>"683.32"</f>
        <v>683.32</v>
      </c>
      <c r="U519" t="str">
        <f>"45137.00"</f>
        <v>45137.00</v>
      </c>
      <c r="V519" t="str">
        <f>"45137.00"</f>
        <v>45137.00</v>
      </c>
      <c r="W519" t="str">
        <f t="shared" si="152"/>
        <v>2017</v>
      </c>
      <c r="X519" t="str">
        <f>""</f>
        <v/>
      </c>
      <c r="Y519" t="str">
        <f>"735.82"</f>
        <v>735.82</v>
      </c>
      <c r="Z519" t="str">
        <f>""</f>
        <v/>
      </c>
      <c r="AA519" t="str">
        <f>"45137.00"</f>
        <v>45137.00</v>
      </c>
      <c r="AB519" t="str">
        <f>"Residential"</f>
        <v>Residential</v>
      </c>
      <c r="AC519" t="str">
        <f t="shared" si="153"/>
        <v>0</v>
      </c>
      <c r="AD519" t="str">
        <f t="shared" si="154"/>
        <v>4</v>
      </c>
      <c r="AE519" t="str">
        <f t="shared" si="155"/>
        <v>WOOD (INCLUDE STEEL STUDS)</v>
      </c>
      <c r="AF519" t="str">
        <f>"001"</f>
        <v>001</v>
      </c>
      <c r="AG519" t="str">
        <f t="shared" si="156"/>
        <v>FL</v>
      </c>
      <c r="AH519" t="str">
        <f>"130680.00"</f>
        <v>130680.00</v>
      </c>
      <c r="AI519" t="str">
        <f>"24000.00"</f>
        <v>24000.00</v>
      </c>
      <c r="AJ519" t="str">
        <f>"C55-000-587-3047-4"</f>
        <v>C55-000-587-3047-4</v>
      </c>
      <c r="AK519" t="str">
        <f>"7795"</f>
        <v>7795</v>
      </c>
      <c r="AL519">
        <v>2</v>
      </c>
      <c r="AM519">
        <v>598</v>
      </c>
      <c r="AN519">
        <v>771.01</v>
      </c>
      <c r="AQ519" t="s">
        <v>5605</v>
      </c>
      <c r="AR519" t="s">
        <v>5605</v>
      </c>
      <c r="AS519" t="s">
        <v>5605</v>
      </c>
      <c r="AU519" t="s">
        <v>396</v>
      </c>
      <c r="AV519">
        <v>2017</v>
      </c>
      <c r="AW519" t="str">
        <f>"22-3N-24-2320-0006-0010 "</f>
        <v xml:space="preserve">22-3N-24-2320-0006-0010 </v>
      </c>
      <c r="AX519">
        <v>36507</v>
      </c>
      <c r="AZ519" t="s">
        <v>5606</v>
      </c>
      <c r="BA519" t="s">
        <v>496</v>
      </c>
      <c r="BD519" t="s">
        <v>2785</v>
      </c>
      <c r="BE519" t="s">
        <v>393</v>
      </c>
      <c r="BF519">
        <v>32011</v>
      </c>
      <c r="BG519" t="s">
        <v>5607</v>
      </c>
      <c r="BH519" t="s">
        <v>2787</v>
      </c>
      <c r="BI519">
        <v>-81.8866818553646</v>
      </c>
      <c r="BJ519">
        <v>30.656283463660198</v>
      </c>
      <c r="BK519" t="s">
        <v>5608</v>
      </c>
      <c r="BM519" t="s">
        <v>5609</v>
      </c>
      <c r="BN519" t="s">
        <v>3983</v>
      </c>
      <c r="BO519">
        <v>32034</v>
      </c>
      <c r="BP519" t="s">
        <v>416</v>
      </c>
      <c r="BQ519">
        <v>100</v>
      </c>
      <c r="BR519" t="s">
        <v>514</v>
      </c>
      <c r="BS519">
        <v>1001</v>
      </c>
      <c r="BT519" t="s">
        <v>515</v>
      </c>
      <c r="BW519">
        <v>130680</v>
      </c>
      <c r="BX519" t="s">
        <v>407</v>
      </c>
      <c r="BY519" t="s">
        <v>408</v>
      </c>
      <c r="BZ519">
        <v>4</v>
      </c>
      <c r="CA519">
        <v>1960</v>
      </c>
      <c r="CB519">
        <v>1</v>
      </c>
      <c r="CC519">
        <v>1</v>
      </c>
      <c r="CD519">
        <v>2017</v>
      </c>
      <c r="CE519">
        <v>24000</v>
      </c>
      <c r="CF519">
        <v>21137</v>
      </c>
      <c r="CG519">
        <v>45137</v>
      </c>
      <c r="CH519">
        <v>2017</v>
      </c>
      <c r="CI519">
        <v>24000</v>
      </c>
      <c r="CJ519">
        <v>21137</v>
      </c>
      <c r="CK519">
        <v>45137</v>
      </c>
      <c r="CL519">
        <v>2017</v>
      </c>
      <c r="CM519">
        <v>683.32</v>
      </c>
      <c r="CN519" s="1">
        <v>30713</v>
      </c>
      <c r="CZ519" s="1">
        <v>30713</v>
      </c>
      <c r="DD519" t="s">
        <v>2785</v>
      </c>
      <c r="DG519">
        <v>22</v>
      </c>
      <c r="DJ519" t="s">
        <v>5610</v>
      </c>
      <c r="DL519">
        <v>50400</v>
      </c>
      <c r="DM519" t="s">
        <v>5611</v>
      </c>
      <c r="DO519" t="s">
        <v>5612</v>
      </c>
      <c r="DP519">
        <v>0</v>
      </c>
      <c r="DQ519">
        <v>0</v>
      </c>
      <c r="DR519" t="s">
        <v>411</v>
      </c>
    </row>
    <row r="520" spans="1:284" x14ac:dyDescent="0.25">
      <c r="A520">
        <v>16485527</v>
      </c>
      <c r="B520">
        <v>519</v>
      </c>
      <c r="C520" t="s">
        <v>393</v>
      </c>
      <c r="D520" t="s">
        <v>394</v>
      </c>
      <c r="F520" t="str">
        <f>"22-3N-24-2320-0010-0020"</f>
        <v>22-3N-24-2320-0010-0020</v>
      </c>
      <c r="H520" t="str">
        <f>"SCOTT JEANNE"</f>
        <v>SCOTT JEANNE</v>
      </c>
      <c r="I520" t="str">
        <f>"PO BOX 1199"</f>
        <v>PO BOX 1199</v>
      </c>
      <c r="J520" t="str">
        <f>"HILLIARD FL 32046"</f>
        <v>HILLIARD FL 32046</v>
      </c>
      <c r="K520" t="str">
        <f>"550602 US HWY 1"</f>
        <v>550602 US HWY 1</v>
      </c>
      <c r="L520" t="str">
        <f>"HILLIARD FL 32046"</f>
        <v>HILLIARD FL 32046</v>
      </c>
      <c r="M520" t="str">
        <f>"PT OF LOTS 10 &amp; 11 PAR 10-2 IN OR 1502/260 DUNNS SURVEY DBK B-10/48"</f>
        <v>PT OF LOTS 10 &amp; 11 PAR 10-2 IN OR 1502/260 DUNNS SURVEY DBK B-10/48</v>
      </c>
      <c r="N520" t="str">
        <f>""</f>
        <v/>
      </c>
      <c r="O520" t="str">
        <f>"33719"</f>
        <v>33719</v>
      </c>
      <c r="P520" t="str">
        <f t="shared" si="151"/>
        <v>2017</v>
      </c>
      <c r="Q520" t="str">
        <f>""</f>
        <v/>
      </c>
      <c r="R520" t="str">
        <f>"N"</f>
        <v>N</v>
      </c>
      <c r="S520" t="str">
        <f>""</f>
        <v/>
      </c>
      <c r="T520" t="str">
        <f>"1198.56"</f>
        <v>1198.56</v>
      </c>
      <c r="U520" t="str">
        <f>"79171.00"</f>
        <v>79171.00</v>
      </c>
      <c r="V520" t="str">
        <f>"79171.00"</f>
        <v>79171.00</v>
      </c>
      <c r="W520" t="str">
        <f t="shared" si="152"/>
        <v>2017</v>
      </c>
      <c r="X520" t="str">
        <f>"22.00"</f>
        <v>22.00</v>
      </c>
      <c r="Y520" t="str">
        <f>"1266.52"</f>
        <v>1266.52</v>
      </c>
      <c r="Z520" t="str">
        <f>""</f>
        <v/>
      </c>
      <c r="AA520" t="str">
        <f>"79171.00"</f>
        <v>79171.00</v>
      </c>
      <c r="AB520" t="str">
        <f>"Commercial"</f>
        <v>Commercial</v>
      </c>
      <c r="AC520" t="str">
        <f t="shared" si="153"/>
        <v>0</v>
      </c>
      <c r="AD520" t="str">
        <f>"3"</f>
        <v>3</v>
      </c>
      <c r="AE520" t="str">
        <f>"MASONRY"</f>
        <v>MASONRY</v>
      </c>
      <c r="AF520" t="str">
        <f>"033"</f>
        <v>033</v>
      </c>
      <c r="AG520" t="str">
        <f t="shared" si="156"/>
        <v>FL</v>
      </c>
      <c r="AH520" t="str">
        <f>"13549.00"</f>
        <v>13549.00</v>
      </c>
      <c r="AI520" t="str">
        <f>"33871.00"</f>
        <v>33871.00</v>
      </c>
      <c r="AJ520" t="str">
        <f>"C55-000-587-3052-4"</f>
        <v>C55-000-587-3052-4</v>
      </c>
      <c r="AK520" t="str">
        <f>"7804"</f>
        <v>7804</v>
      </c>
      <c r="AL520">
        <v>2</v>
      </c>
      <c r="AM520">
        <v>599</v>
      </c>
      <c r="AN520">
        <v>1328.25</v>
      </c>
      <c r="AQ520" t="s">
        <v>5613</v>
      </c>
      <c r="AR520" t="s">
        <v>5613</v>
      </c>
      <c r="AS520" t="s">
        <v>5613</v>
      </c>
      <c r="AU520" t="s">
        <v>396</v>
      </c>
      <c r="AV520">
        <v>2017</v>
      </c>
      <c r="AW520" t="str">
        <f>"22-3N-24-2320-0010-0020 "</f>
        <v xml:space="preserve">22-3N-24-2320-0010-0020 </v>
      </c>
      <c r="AX520">
        <v>550602</v>
      </c>
      <c r="AZ520" t="s">
        <v>2386</v>
      </c>
      <c r="BD520" t="s">
        <v>398</v>
      </c>
      <c r="BE520" t="s">
        <v>393</v>
      </c>
      <c r="BF520">
        <v>32046</v>
      </c>
      <c r="BG520" t="s">
        <v>5614</v>
      </c>
      <c r="BH520" t="s">
        <v>400</v>
      </c>
      <c r="BI520">
        <v>-81.891398404031307</v>
      </c>
      <c r="BJ520">
        <v>30.6678565762329</v>
      </c>
      <c r="BK520" t="s">
        <v>4547</v>
      </c>
      <c r="BM520" t="s">
        <v>5615</v>
      </c>
      <c r="BN520" t="s">
        <v>403</v>
      </c>
      <c r="BO520">
        <v>32046</v>
      </c>
      <c r="BP520" t="s">
        <v>404</v>
      </c>
      <c r="BQ520">
        <v>3300</v>
      </c>
      <c r="BR520" t="s">
        <v>5616</v>
      </c>
      <c r="BS520">
        <v>2048</v>
      </c>
      <c r="BT520" t="s">
        <v>5617</v>
      </c>
      <c r="BW520">
        <v>13547</v>
      </c>
      <c r="BX520" t="s">
        <v>407</v>
      </c>
      <c r="BZ520">
        <v>3</v>
      </c>
      <c r="CA520">
        <v>1954</v>
      </c>
      <c r="CB520">
        <v>1</v>
      </c>
      <c r="CC520">
        <v>1</v>
      </c>
      <c r="CD520">
        <v>2017</v>
      </c>
      <c r="CE520">
        <v>33871</v>
      </c>
      <c r="CF520">
        <v>45300</v>
      </c>
      <c r="CG520">
        <v>79171</v>
      </c>
      <c r="CH520">
        <v>2017</v>
      </c>
      <c r="CI520">
        <v>33871</v>
      </c>
      <c r="CJ520">
        <v>45300</v>
      </c>
      <c r="CK520">
        <v>79171</v>
      </c>
      <c r="CL520">
        <v>2017</v>
      </c>
      <c r="CM520">
        <v>1198.56</v>
      </c>
      <c r="CN520" s="1">
        <v>39232</v>
      </c>
      <c r="CO520">
        <v>120000</v>
      </c>
      <c r="CV520">
        <v>0</v>
      </c>
      <c r="CZ520" s="1">
        <v>39232</v>
      </c>
      <c r="DA520">
        <v>0</v>
      </c>
      <c r="DD520" t="s">
        <v>398</v>
      </c>
      <c r="DG520">
        <v>22</v>
      </c>
      <c r="DJ520" t="s">
        <v>5610</v>
      </c>
      <c r="DL520">
        <v>50400</v>
      </c>
      <c r="DM520" t="s">
        <v>5611</v>
      </c>
      <c r="DO520" t="s">
        <v>5618</v>
      </c>
      <c r="DP520">
        <v>0</v>
      </c>
      <c r="DQ520">
        <v>1</v>
      </c>
      <c r="DR520" t="s">
        <v>1479</v>
      </c>
      <c r="DS520" t="b">
        <v>1</v>
      </c>
      <c r="DT520" t="s">
        <v>470</v>
      </c>
      <c r="DU520" t="s">
        <v>471</v>
      </c>
      <c r="DV520" t="s">
        <v>472</v>
      </c>
      <c r="DX520">
        <v>-9999</v>
      </c>
      <c r="DZ520" t="s">
        <v>447</v>
      </c>
      <c r="EA520" t="s">
        <v>448</v>
      </c>
      <c r="EB520" t="s">
        <v>1224</v>
      </c>
      <c r="EC520">
        <v>20101217</v>
      </c>
      <c r="ED520" t="s">
        <v>474</v>
      </c>
      <c r="EF520">
        <v>495.1</v>
      </c>
      <c r="EG520">
        <v>495.1</v>
      </c>
      <c r="EI520">
        <v>20160407</v>
      </c>
      <c r="EJ520">
        <v>0</v>
      </c>
      <c r="EK520">
        <v>0</v>
      </c>
      <c r="EP520" t="s">
        <v>421</v>
      </c>
      <c r="EQ520" t="s">
        <v>422</v>
      </c>
      <c r="ER520">
        <v>0</v>
      </c>
      <c r="ES520">
        <v>2</v>
      </c>
      <c r="ET520">
        <v>0</v>
      </c>
      <c r="EU520">
        <v>0</v>
      </c>
      <c r="EV520">
        <v>0</v>
      </c>
      <c r="EW520" s="2">
        <v>43222</v>
      </c>
      <c r="EX520" s="1">
        <v>42515</v>
      </c>
      <c r="EY520">
        <v>2015</v>
      </c>
      <c r="EZ520">
        <v>1421.74</v>
      </c>
      <c r="FA520" t="s">
        <v>5619</v>
      </c>
      <c r="FB520">
        <v>0.25</v>
      </c>
      <c r="FC520" t="s">
        <v>424</v>
      </c>
      <c r="FD520" t="s">
        <v>425</v>
      </c>
      <c r="FE520" s="1">
        <v>43188</v>
      </c>
      <c r="FF520">
        <v>22</v>
      </c>
      <c r="FG520">
        <v>7045074</v>
      </c>
      <c r="FH520" t="s">
        <v>580</v>
      </c>
      <c r="FJ520" s="1">
        <v>42515</v>
      </c>
      <c r="FK520">
        <v>2015</v>
      </c>
      <c r="FL520">
        <v>1421.74</v>
      </c>
      <c r="FM520" t="s">
        <v>5619</v>
      </c>
      <c r="FN520">
        <v>0.25</v>
      </c>
      <c r="FO520" t="s">
        <v>424</v>
      </c>
      <c r="FP520" t="s">
        <v>425</v>
      </c>
      <c r="FR520">
        <v>22</v>
      </c>
      <c r="FS520">
        <v>6480983</v>
      </c>
      <c r="FT520" t="s">
        <v>5620</v>
      </c>
    </row>
    <row r="521" spans="1:284" x14ac:dyDescent="0.25">
      <c r="A521">
        <v>16485528</v>
      </c>
      <c r="B521">
        <v>520</v>
      </c>
      <c r="C521" t="s">
        <v>393</v>
      </c>
      <c r="D521" t="s">
        <v>394</v>
      </c>
      <c r="F521" t="str">
        <f>"26-3N-24-2300-0018-0030"</f>
        <v>26-3N-24-2300-0018-0030</v>
      </c>
      <c r="H521" t="str">
        <f>"PERKINS SANDRA M &amp; STOCKER MARY (D&amp;M)"</f>
        <v>PERKINS SANDRA M &amp; STOCKER MARY (D&amp;M)</v>
      </c>
      <c r="I521" t="str">
        <f>"36624 PATSY LANE"</f>
        <v>36624 PATSY LANE</v>
      </c>
      <c r="J521" t="str">
        <f>"CALLAHAN FL 32011"</f>
        <v>CALLAHAN FL 32011</v>
      </c>
      <c r="K521" t="str">
        <f>"36624 PATSY LN"</f>
        <v>36624 PATSY LN</v>
      </c>
      <c r="L521" t="str">
        <f t="shared" ref="L521:L528" si="157">"CALLAHAN FL 32011"</f>
        <v>CALLAHAN FL 32011</v>
      </c>
      <c r="M521" t="str">
        <f>"E1/2 OF LOT 18 (S-3) IN 0R 1234/36 R359365 &amp; R359366 ESMT OR 1621/1097 MAP OF TWNS 3 4 &amp; 5 RG 23 &amp; 24"</f>
        <v>E1/2 OF LOT 18 (S-3) IN 0R 1234/36 R359365 &amp; R359366 ESMT OR 1621/1097 MAP OF TWNS 3 4 &amp; 5 RG 23 &amp; 24</v>
      </c>
      <c r="N521" t="str">
        <f>""</f>
        <v/>
      </c>
      <c r="O521" t="str">
        <f>"36832"</f>
        <v>36832</v>
      </c>
      <c r="P521" t="str">
        <f t="shared" si="151"/>
        <v>2017</v>
      </c>
      <c r="Q521" t="str">
        <f>""</f>
        <v/>
      </c>
      <c r="R521" t="str">
        <f>"Y"</f>
        <v>Y</v>
      </c>
      <c r="S521" t="str">
        <f>"2.50"</f>
        <v>2.50</v>
      </c>
      <c r="T521" t="str">
        <f>"411.77"</f>
        <v>411.77</v>
      </c>
      <c r="U521" t="str">
        <f>"56196.00"</f>
        <v>56196.00</v>
      </c>
      <c r="V521" t="str">
        <f>"56196.00"</f>
        <v>56196.00</v>
      </c>
      <c r="W521" t="str">
        <f t="shared" si="152"/>
        <v>2017</v>
      </c>
      <c r="X521" t="str">
        <f>"15.00"</f>
        <v>15.00</v>
      </c>
      <c r="Y521" t="str">
        <f>"456.12"</f>
        <v>456.12</v>
      </c>
      <c r="Z521" t="str">
        <f>"25500.00"</f>
        <v>25500.00</v>
      </c>
      <c r="AA521" t="str">
        <f>"30696.00"</f>
        <v>30696.00</v>
      </c>
      <c r="AB521" t="str">
        <f t="shared" ref="AB521:AB534" si="158">"Residential"</f>
        <v>Residential</v>
      </c>
      <c r="AC521" t="str">
        <f t="shared" si="153"/>
        <v>0</v>
      </c>
      <c r="AD521" t="str">
        <f>"4"</f>
        <v>4</v>
      </c>
      <c r="AE521" t="str">
        <f>"WOOD (INCLUDE STEEL STUDS)"</f>
        <v>WOOD (INCLUDE STEEL STUDS)</v>
      </c>
      <c r="AF521" t="str">
        <f>"002"</f>
        <v>002</v>
      </c>
      <c r="AG521" t="str">
        <f t="shared" si="156"/>
        <v>FL</v>
      </c>
      <c r="AH521" t="str">
        <f>"108900.00"</f>
        <v>108900.00</v>
      </c>
      <c r="AI521" t="str">
        <f>"30000.00"</f>
        <v>30000.00</v>
      </c>
      <c r="AJ521" t="str">
        <f>"C55-000-587-4615-7"</f>
        <v>C55-000-587-4615-7</v>
      </c>
      <c r="AK521" t="str">
        <f>"7849"</f>
        <v>7849</v>
      </c>
      <c r="AL521">
        <v>2</v>
      </c>
      <c r="AM521">
        <v>603</v>
      </c>
      <c r="AN521">
        <v>477.33</v>
      </c>
      <c r="AQ521" t="s">
        <v>5621</v>
      </c>
      <c r="AR521" t="s">
        <v>5621</v>
      </c>
      <c r="AS521" t="s">
        <v>5621</v>
      </c>
      <c r="AU521" t="s">
        <v>396</v>
      </c>
      <c r="AV521">
        <v>2017</v>
      </c>
      <c r="AW521" t="str">
        <f>"26-3N-24-2300-0018-0030 "</f>
        <v xml:space="preserve">26-3N-24-2300-0018-0030 </v>
      </c>
      <c r="AX521">
        <v>36624</v>
      </c>
      <c r="AZ521" t="s">
        <v>5622</v>
      </c>
      <c r="BA521" t="s">
        <v>653</v>
      </c>
      <c r="BD521" t="s">
        <v>2785</v>
      </c>
      <c r="BE521" t="s">
        <v>393</v>
      </c>
      <c r="BF521">
        <v>32011</v>
      </c>
      <c r="BG521" t="s">
        <v>5623</v>
      </c>
      <c r="BH521" t="s">
        <v>2787</v>
      </c>
      <c r="BI521">
        <v>-81.882886280074899</v>
      </c>
      <c r="BJ521">
        <v>30.653627860763098</v>
      </c>
      <c r="BK521" t="s">
        <v>5624</v>
      </c>
      <c r="BL521" t="s">
        <v>5625</v>
      </c>
      <c r="BM521" t="s">
        <v>5623</v>
      </c>
      <c r="BN521" t="s">
        <v>928</v>
      </c>
      <c r="BO521">
        <v>32011</v>
      </c>
      <c r="BP521" t="s">
        <v>416</v>
      </c>
      <c r="BQ521">
        <v>200</v>
      </c>
      <c r="BR521" t="s">
        <v>405</v>
      </c>
      <c r="BS521">
        <v>1006</v>
      </c>
      <c r="BT521" t="s">
        <v>406</v>
      </c>
      <c r="BW521">
        <v>108900</v>
      </c>
      <c r="BX521" t="s">
        <v>407</v>
      </c>
      <c r="BY521" t="s">
        <v>408</v>
      </c>
      <c r="BZ521">
        <v>4</v>
      </c>
      <c r="CA521">
        <v>1973</v>
      </c>
      <c r="CB521">
        <v>1</v>
      </c>
      <c r="CC521">
        <v>2</v>
      </c>
      <c r="CD521">
        <v>2017</v>
      </c>
      <c r="CG521">
        <v>56196</v>
      </c>
      <c r="CH521">
        <v>2017</v>
      </c>
      <c r="CI521">
        <v>30000</v>
      </c>
      <c r="CJ521">
        <v>34871</v>
      </c>
      <c r="CK521">
        <v>64871</v>
      </c>
      <c r="CL521">
        <v>2017</v>
      </c>
      <c r="CM521">
        <v>411.77</v>
      </c>
      <c r="CN521" s="1">
        <v>38072</v>
      </c>
      <c r="CO521">
        <v>50000</v>
      </c>
      <c r="CV521">
        <v>20957</v>
      </c>
      <c r="CX521" t="s">
        <v>707</v>
      </c>
      <c r="CZ521" s="1">
        <v>38072</v>
      </c>
      <c r="DA521">
        <v>0</v>
      </c>
      <c r="DD521" t="s">
        <v>2785</v>
      </c>
      <c r="DF521">
        <v>18</v>
      </c>
      <c r="DG521">
        <v>26</v>
      </c>
      <c r="DL521">
        <v>50400</v>
      </c>
      <c r="DM521" t="s">
        <v>5626</v>
      </c>
      <c r="DO521" t="s">
        <v>5627</v>
      </c>
      <c r="DP521">
        <v>0</v>
      </c>
      <c r="DQ521">
        <v>0</v>
      </c>
      <c r="DR521" t="s">
        <v>411</v>
      </c>
      <c r="DS521" t="b">
        <v>1</v>
      </c>
      <c r="DT521" t="s">
        <v>470</v>
      </c>
      <c r="DU521" t="s">
        <v>471</v>
      </c>
      <c r="DV521" t="s">
        <v>472</v>
      </c>
      <c r="DX521">
        <v>-9999</v>
      </c>
      <c r="DZ521" t="s">
        <v>447</v>
      </c>
      <c r="EA521" t="s">
        <v>448</v>
      </c>
      <c r="EB521" t="s">
        <v>1224</v>
      </c>
      <c r="EC521">
        <v>20101217</v>
      </c>
      <c r="ED521" t="s">
        <v>474</v>
      </c>
      <c r="EF521">
        <v>67.8</v>
      </c>
      <c r="EG521">
        <v>67.8</v>
      </c>
      <c r="EI521">
        <v>20160407</v>
      </c>
      <c r="EJ521">
        <v>0</v>
      </c>
      <c r="EK521">
        <v>0</v>
      </c>
      <c r="EP521" t="s">
        <v>421</v>
      </c>
      <c r="EQ521" t="s">
        <v>422</v>
      </c>
      <c r="ER521">
        <v>4</v>
      </c>
      <c r="ES521">
        <v>2</v>
      </c>
      <c r="ET521">
        <v>1858.38</v>
      </c>
      <c r="EU521">
        <v>117.92</v>
      </c>
      <c r="EV521">
        <v>1976.3</v>
      </c>
      <c r="EW521" s="2">
        <v>43222</v>
      </c>
      <c r="EX521" s="1">
        <v>42879</v>
      </c>
      <c r="EY521">
        <v>2016</v>
      </c>
      <c r="EZ521">
        <v>460.99</v>
      </c>
      <c r="FA521" t="s">
        <v>5628</v>
      </c>
      <c r="FB521">
        <v>0.25</v>
      </c>
      <c r="FC521" t="s">
        <v>424</v>
      </c>
      <c r="FD521" t="s">
        <v>454</v>
      </c>
      <c r="FF521">
        <v>12</v>
      </c>
      <c r="FG521">
        <v>2851116</v>
      </c>
      <c r="FH521" t="s">
        <v>480</v>
      </c>
      <c r="FJ521" s="1">
        <v>42879</v>
      </c>
      <c r="FK521">
        <v>2016</v>
      </c>
      <c r="FL521">
        <v>460.99</v>
      </c>
      <c r="FM521" t="s">
        <v>5628</v>
      </c>
      <c r="FN521">
        <v>0.25</v>
      </c>
      <c r="FO521" t="s">
        <v>424</v>
      </c>
      <c r="FP521" t="s">
        <v>454</v>
      </c>
      <c r="FR521">
        <v>12</v>
      </c>
      <c r="FS521">
        <v>5080456</v>
      </c>
      <c r="FT521" t="s">
        <v>5629</v>
      </c>
      <c r="FV521" s="1">
        <v>42515</v>
      </c>
      <c r="FW521">
        <v>2015</v>
      </c>
      <c r="FX521">
        <v>468.2</v>
      </c>
      <c r="FY521" t="s">
        <v>5630</v>
      </c>
      <c r="FZ521">
        <v>0.25</v>
      </c>
      <c r="GA521" t="s">
        <v>424</v>
      </c>
      <c r="GB521" t="s">
        <v>454</v>
      </c>
      <c r="GD521">
        <v>24</v>
      </c>
      <c r="GE521">
        <v>11289</v>
      </c>
      <c r="GF521" t="s">
        <v>787</v>
      </c>
      <c r="GH521" s="1">
        <v>42515</v>
      </c>
      <c r="GI521">
        <v>2015</v>
      </c>
      <c r="GJ521">
        <v>468.2</v>
      </c>
      <c r="GK521" t="s">
        <v>5630</v>
      </c>
      <c r="GL521">
        <v>0.25</v>
      </c>
      <c r="GM521" t="s">
        <v>424</v>
      </c>
      <c r="GN521" t="s">
        <v>454</v>
      </c>
      <c r="GP521">
        <v>24</v>
      </c>
      <c r="GQ521">
        <v>7183205</v>
      </c>
      <c r="GR521" t="s">
        <v>5631</v>
      </c>
      <c r="GT521" s="1">
        <v>41787</v>
      </c>
      <c r="GU521">
        <v>2013</v>
      </c>
      <c r="GV521">
        <v>494.26</v>
      </c>
      <c r="GW521" t="s">
        <v>5632</v>
      </c>
      <c r="GX521">
        <v>0.25</v>
      </c>
      <c r="GY521" t="s">
        <v>424</v>
      </c>
      <c r="GZ521" t="s">
        <v>425</v>
      </c>
      <c r="HA521" s="1">
        <v>42432</v>
      </c>
      <c r="HB521">
        <v>22</v>
      </c>
      <c r="HC521">
        <v>13026</v>
      </c>
      <c r="HD521" t="s">
        <v>2129</v>
      </c>
      <c r="HF521" s="1">
        <v>40688</v>
      </c>
      <c r="HG521">
        <v>2010</v>
      </c>
      <c r="HH521">
        <v>376.51</v>
      </c>
      <c r="HI521" t="s">
        <v>5633</v>
      </c>
      <c r="HJ521">
        <v>8</v>
      </c>
      <c r="HK521" t="s">
        <v>424</v>
      </c>
      <c r="HL521" t="s">
        <v>425</v>
      </c>
      <c r="HM521" s="1">
        <v>40990</v>
      </c>
      <c r="HN521">
        <v>10</v>
      </c>
      <c r="HO521">
        <v>62</v>
      </c>
      <c r="HP521" t="s">
        <v>463</v>
      </c>
    </row>
    <row r="522" spans="1:284" x14ac:dyDescent="0.25">
      <c r="A522">
        <v>16485529</v>
      </c>
      <c r="B522">
        <v>521</v>
      </c>
      <c r="C522" t="s">
        <v>393</v>
      </c>
      <c r="D522" t="s">
        <v>394</v>
      </c>
      <c r="F522" t="str">
        <f>"26-3N-24-2300-0022-0040"</f>
        <v>26-3N-24-2300-0022-0040</v>
      </c>
      <c r="H522" t="str">
        <f>"BOYLES GLEN E"</f>
        <v>BOYLES GLEN E</v>
      </c>
      <c r="I522" t="str">
        <f>"36328 PATSY LN"</f>
        <v>36328 PATSY LN</v>
      </c>
      <c r="J522" t="str">
        <f>"CALLAHAN FL 32011"</f>
        <v>CALLAHAN FL 32011</v>
      </c>
      <c r="K522" t="str">
        <f>"36328 PATSY LN"</f>
        <v>36328 PATSY LN</v>
      </c>
      <c r="L522" t="str">
        <f t="shared" si="157"/>
        <v>CALLAHAN FL 32011</v>
      </c>
      <c r="M522" t="str">
        <f>"S116 FT OF W375 FT OF N264 FT OF E1/2 OF LOT 22 IN OR 2081/1008 2001 WSTN SW/MH MAP OF TWNS 3-5N &amp; RG 23 &amp; 24"</f>
        <v>S116 FT OF W375 FT OF N264 FT OF E1/2 OF LOT 22 IN OR 2081/1008 2001 WSTN SW/MH MAP OF TWNS 3-5N &amp; RG 23 &amp; 24</v>
      </c>
      <c r="N522" t="str">
        <f>""</f>
        <v/>
      </c>
      <c r="O522" t="str">
        <f>"36850"</f>
        <v>36850</v>
      </c>
      <c r="P522" t="str">
        <f t="shared" si="151"/>
        <v>2017</v>
      </c>
      <c r="Q522" t="str">
        <f>""</f>
        <v/>
      </c>
      <c r="R522" t="str">
        <f>"N"</f>
        <v>N</v>
      </c>
      <c r="S522" t="str">
        <f>"1.00"</f>
        <v>1.00</v>
      </c>
      <c r="T522" t="str">
        <f>"955.35"</f>
        <v>955.35</v>
      </c>
      <c r="U522" t="str">
        <f>"63106.00"</f>
        <v>63106.00</v>
      </c>
      <c r="V522" t="str">
        <f>"63106.00"</f>
        <v>63106.00</v>
      </c>
      <c r="W522" t="str">
        <f t="shared" si="152"/>
        <v>2017</v>
      </c>
      <c r="X522" t="str">
        <f>""</f>
        <v/>
      </c>
      <c r="Y522" t="str">
        <f>"1016.01"</f>
        <v>1016.01</v>
      </c>
      <c r="Z522" t="str">
        <f>""</f>
        <v/>
      </c>
      <c r="AA522" t="str">
        <f>"63106.00"</f>
        <v>63106.00</v>
      </c>
      <c r="AB522" t="str">
        <f t="shared" si="158"/>
        <v>Residential</v>
      </c>
      <c r="AC522" t="str">
        <f t="shared" si="153"/>
        <v>0</v>
      </c>
      <c r="AD522" t="str">
        <f>"4"</f>
        <v>4</v>
      </c>
      <c r="AE522" t="str">
        <f>"WOOD (INCLUDE STEEL STUDS)"</f>
        <v>WOOD (INCLUDE STEEL STUDS)</v>
      </c>
      <c r="AF522" t="str">
        <f>"002"</f>
        <v>002</v>
      </c>
      <c r="AG522" t="str">
        <f t="shared" si="156"/>
        <v>FL</v>
      </c>
      <c r="AH522" t="str">
        <f>"43560.00"</f>
        <v>43560.00</v>
      </c>
      <c r="AI522" t="str">
        <f>"15000.00"</f>
        <v>15000.00</v>
      </c>
      <c r="AJ522" t="str">
        <f>"C55-000-588-9605-1"</f>
        <v>C55-000-588-9605-1</v>
      </c>
      <c r="AK522" t="str">
        <f>"7867"</f>
        <v>7867</v>
      </c>
      <c r="AL522">
        <v>2</v>
      </c>
      <c r="AM522">
        <v>606</v>
      </c>
      <c r="AN522">
        <v>1065.21</v>
      </c>
      <c r="AQ522" t="s">
        <v>5634</v>
      </c>
      <c r="AR522" t="s">
        <v>5634</v>
      </c>
      <c r="AS522" t="s">
        <v>5634</v>
      </c>
      <c r="AU522" t="s">
        <v>396</v>
      </c>
      <c r="AV522">
        <v>2017</v>
      </c>
      <c r="AW522" t="str">
        <f>"26-3N-24-2300-0022-0040 "</f>
        <v xml:space="preserve">26-3N-24-2300-0022-0040 </v>
      </c>
      <c r="AX522">
        <v>36328</v>
      </c>
      <c r="AZ522" t="s">
        <v>5622</v>
      </c>
      <c r="BA522" t="s">
        <v>653</v>
      </c>
      <c r="BD522" t="s">
        <v>2785</v>
      </c>
      <c r="BE522" t="s">
        <v>393</v>
      </c>
      <c r="BF522">
        <v>32011</v>
      </c>
      <c r="BG522" t="s">
        <v>5635</v>
      </c>
      <c r="BH522" t="s">
        <v>2787</v>
      </c>
      <c r="BI522">
        <v>-81.883337017297293</v>
      </c>
      <c r="BJ522">
        <v>30.650092766161698</v>
      </c>
      <c r="BK522" t="s">
        <v>5636</v>
      </c>
      <c r="BM522" t="s">
        <v>5635</v>
      </c>
      <c r="BN522" t="s">
        <v>928</v>
      </c>
      <c r="BO522">
        <v>32011</v>
      </c>
      <c r="BP522" t="s">
        <v>404</v>
      </c>
      <c r="BQ522">
        <v>200</v>
      </c>
      <c r="BR522" t="s">
        <v>405</v>
      </c>
      <c r="BS522">
        <v>1006</v>
      </c>
      <c r="BT522" t="s">
        <v>406</v>
      </c>
      <c r="BW522">
        <v>43560</v>
      </c>
      <c r="BX522" t="s">
        <v>407</v>
      </c>
      <c r="BY522" t="s">
        <v>408</v>
      </c>
      <c r="BZ522">
        <v>4</v>
      </c>
      <c r="CA522">
        <v>2001</v>
      </c>
      <c r="CB522">
        <v>1</v>
      </c>
      <c r="CC522">
        <v>1</v>
      </c>
      <c r="CD522">
        <v>2017</v>
      </c>
      <c r="CE522">
        <v>15000</v>
      </c>
      <c r="CF522">
        <v>48106</v>
      </c>
      <c r="CG522">
        <v>63106</v>
      </c>
      <c r="CH522">
        <v>2017</v>
      </c>
      <c r="CI522">
        <v>15000</v>
      </c>
      <c r="CJ522">
        <v>48106</v>
      </c>
      <c r="CK522">
        <v>63106</v>
      </c>
      <c r="CL522">
        <v>2017</v>
      </c>
      <c r="CM522">
        <v>955.35</v>
      </c>
      <c r="CN522" s="1">
        <v>42677</v>
      </c>
      <c r="CO522">
        <v>53500</v>
      </c>
      <c r="CV522">
        <v>0</v>
      </c>
      <c r="CZ522" s="1">
        <v>42677</v>
      </c>
      <c r="DA522">
        <v>0</v>
      </c>
      <c r="DD522" t="s">
        <v>2785</v>
      </c>
      <c r="DF522">
        <v>22</v>
      </c>
      <c r="DG522">
        <v>26</v>
      </c>
      <c r="DL522">
        <v>50400</v>
      </c>
      <c r="DM522" t="s">
        <v>5626</v>
      </c>
      <c r="DO522" t="s">
        <v>5637</v>
      </c>
      <c r="DP522">
        <v>0</v>
      </c>
      <c r="DQ522">
        <v>0</v>
      </c>
      <c r="DR522" t="s">
        <v>411</v>
      </c>
    </row>
    <row r="523" spans="1:284" x14ac:dyDescent="0.25">
      <c r="A523">
        <v>16485530</v>
      </c>
      <c r="B523">
        <v>522</v>
      </c>
      <c r="C523" t="s">
        <v>393</v>
      </c>
      <c r="D523" t="s">
        <v>394</v>
      </c>
      <c r="F523" t="str">
        <f>"27-3N-24-0000-0001-0000"</f>
        <v>27-3N-24-0000-0001-0000</v>
      </c>
      <c r="H523" t="str">
        <f>"MILLER DWAINE K"</f>
        <v>MILLER DWAINE K</v>
      </c>
      <c r="I523" t="str">
        <f>"36144 PRATT SIDING ROAD"</f>
        <v>36144 PRATT SIDING ROAD</v>
      </c>
      <c r="J523" t="str">
        <f>"CALLAHAN FL 32011"</f>
        <v>CALLAHAN FL 32011</v>
      </c>
      <c r="K523" t="str">
        <f>"36144 PRATT SIDING RD"</f>
        <v>36144 PRATT SIDING RD</v>
      </c>
      <c r="L523" t="str">
        <f t="shared" si="157"/>
        <v>CALLAHAN FL 32011</v>
      </c>
      <c r="M523" t="str">
        <f>"PT OF NW1/4 OF NE1/4 E OF ACL R/W IN OR 1535/1513 PARCELS 1 1-7 &amp; 1-11"</f>
        <v>PT OF NW1/4 OF NE1/4 E OF ACL R/W IN OR 1535/1513 PARCELS 1 1-7 &amp; 1-11</v>
      </c>
      <c r="N523" t="str">
        <f>""</f>
        <v/>
      </c>
      <c r="O523" t="str">
        <f>"37776"</f>
        <v>37776</v>
      </c>
      <c r="P523" t="str">
        <f t="shared" si="151"/>
        <v>2017</v>
      </c>
      <c r="Q523" t="str">
        <f>""</f>
        <v/>
      </c>
      <c r="R523" t="str">
        <f>"Y"</f>
        <v>Y</v>
      </c>
      <c r="S523" t="str">
        <f>"2.00"</f>
        <v>2.00</v>
      </c>
      <c r="T523" t="str">
        <f>"582.80"</f>
        <v>582.80</v>
      </c>
      <c r="U523" t="str">
        <f>"77601.00"</f>
        <v>77601.00</v>
      </c>
      <c r="V523" t="str">
        <f>"77601.00"</f>
        <v>77601.00</v>
      </c>
      <c r="W523" t="str">
        <f t="shared" si="152"/>
        <v>2017</v>
      </c>
      <c r="X523" t="str">
        <f>"10.20"</f>
        <v>10.20</v>
      </c>
      <c r="Y523" t="str">
        <f>"632.28"</f>
        <v>632.28</v>
      </c>
      <c r="Z523" t="str">
        <f>"25000.00"</f>
        <v>25000.00</v>
      </c>
      <c r="AA523" t="str">
        <f>"52601.00"</f>
        <v>52601.00</v>
      </c>
      <c r="AB523" t="str">
        <f t="shared" si="158"/>
        <v>Residential</v>
      </c>
      <c r="AC523" t="str">
        <f t="shared" si="153"/>
        <v>0</v>
      </c>
      <c r="AD523" t="str">
        <f>"3"</f>
        <v>3</v>
      </c>
      <c r="AE523" t="str">
        <f>"MASONRY"</f>
        <v>MASONRY</v>
      </c>
      <c r="AF523" t="str">
        <f>"001"</f>
        <v>001</v>
      </c>
      <c r="AG523" t="str">
        <f t="shared" si="156"/>
        <v>FL</v>
      </c>
      <c r="AH523" t="str">
        <f>"87120.00"</f>
        <v>87120.00</v>
      </c>
      <c r="AI523" t="str">
        <f>"24000.00"</f>
        <v>24000.00</v>
      </c>
      <c r="AJ523" t="str">
        <f>"C55-000-587-5032-4"</f>
        <v>C55-000-587-5032-4</v>
      </c>
      <c r="AK523" t="str">
        <f>"7873"</f>
        <v>7873</v>
      </c>
      <c r="AL523">
        <v>2</v>
      </c>
      <c r="AM523">
        <v>607</v>
      </c>
      <c r="AN523">
        <v>662.29</v>
      </c>
      <c r="AQ523" t="s">
        <v>5638</v>
      </c>
      <c r="AR523" t="s">
        <v>5638</v>
      </c>
      <c r="AS523" t="s">
        <v>5638</v>
      </c>
      <c r="AU523" t="s">
        <v>396</v>
      </c>
      <c r="AV523">
        <v>2017</v>
      </c>
      <c r="AW523" t="str">
        <f>"27-3N-24-0000-0001-0000 "</f>
        <v xml:space="preserve">27-3N-24-0000-0001-0000 </v>
      </c>
      <c r="AX523">
        <v>36144</v>
      </c>
      <c r="AZ523" t="s">
        <v>5606</v>
      </c>
      <c r="BA523" t="s">
        <v>496</v>
      </c>
      <c r="BD523" t="s">
        <v>2785</v>
      </c>
      <c r="BE523" t="s">
        <v>393</v>
      </c>
      <c r="BF523">
        <v>32011</v>
      </c>
      <c r="BG523" t="s">
        <v>5639</v>
      </c>
      <c r="BH523" t="s">
        <v>2787</v>
      </c>
      <c r="BI523">
        <v>-81.892622089286803</v>
      </c>
      <c r="BJ523">
        <v>30.654538187979501</v>
      </c>
      <c r="BK523" t="s">
        <v>5640</v>
      </c>
      <c r="BM523" t="s">
        <v>5641</v>
      </c>
      <c r="BN523" t="s">
        <v>928</v>
      </c>
      <c r="BO523">
        <v>32011</v>
      </c>
      <c r="BP523" t="s">
        <v>416</v>
      </c>
      <c r="BQ523">
        <v>100</v>
      </c>
      <c r="BR523" t="s">
        <v>514</v>
      </c>
      <c r="BS523">
        <v>1001</v>
      </c>
      <c r="BT523" t="s">
        <v>515</v>
      </c>
      <c r="BW523">
        <v>87120</v>
      </c>
      <c r="BX523" t="s">
        <v>407</v>
      </c>
      <c r="BY523" t="s">
        <v>408</v>
      </c>
      <c r="BZ523">
        <v>3</v>
      </c>
      <c r="CA523">
        <v>1970</v>
      </c>
      <c r="CB523">
        <v>1</v>
      </c>
      <c r="CC523">
        <v>1</v>
      </c>
      <c r="CD523">
        <v>2017</v>
      </c>
      <c r="CG523">
        <v>77601</v>
      </c>
      <c r="CH523">
        <v>2017</v>
      </c>
      <c r="CI523">
        <v>24000</v>
      </c>
      <c r="CJ523">
        <v>66677</v>
      </c>
      <c r="CK523">
        <v>90677</v>
      </c>
      <c r="CL523">
        <v>2017</v>
      </c>
      <c r="CM523">
        <v>582.79999999999995</v>
      </c>
      <c r="CN523" s="1">
        <v>39400</v>
      </c>
      <c r="CV523">
        <v>0</v>
      </c>
      <c r="CZ523" s="1">
        <v>39400</v>
      </c>
      <c r="DA523">
        <v>0</v>
      </c>
      <c r="DD523" t="s">
        <v>2785</v>
      </c>
      <c r="DG523">
        <v>27</v>
      </c>
      <c r="DL523">
        <v>50400</v>
      </c>
      <c r="DM523" t="s">
        <v>5642</v>
      </c>
      <c r="DO523" t="s">
        <v>5643</v>
      </c>
      <c r="DP523">
        <v>0</v>
      </c>
      <c r="DQ523">
        <v>0</v>
      </c>
      <c r="DR523" t="s">
        <v>411</v>
      </c>
      <c r="DS523" t="b">
        <v>1</v>
      </c>
      <c r="DT523" t="s">
        <v>470</v>
      </c>
      <c r="DU523" t="s">
        <v>471</v>
      </c>
      <c r="DV523" t="s">
        <v>472</v>
      </c>
      <c r="DX523">
        <v>-9999</v>
      </c>
      <c r="DZ523" t="s">
        <v>447</v>
      </c>
      <c r="EA523" t="s">
        <v>448</v>
      </c>
      <c r="EB523" t="s">
        <v>1224</v>
      </c>
      <c r="EC523">
        <v>20101217</v>
      </c>
      <c r="ED523" t="s">
        <v>474</v>
      </c>
      <c r="EF523">
        <v>1230.7</v>
      </c>
      <c r="EG523">
        <v>1230.7</v>
      </c>
      <c r="EI523">
        <v>20160407</v>
      </c>
      <c r="EJ523">
        <v>0</v>
      </c>
      <c r="EK523">
        <v>0</v>
      </c>
      <c r="EP523" t="s">
        <v>421</v>
      </c>
      <c r="EQ523" t="s">
        <v>422</v>
      </c>
      <c r="ER523">
        <v>0</v>
      </c>
      <c r="ES523">
        <v>8</v>
      </c>
      <c r="ET523">
        <v>0</v>
      </c>
      <c r="EU523">
        <v>0</v>
      </c>
      <c r="EV523">
        <v>0</v>
      </c>
      <c r="EW523" s="2">
        <v>43222</v>
      </c>
      <c r="EX523" s="1">
        <v>42879</v>
      </c>
      <c r="EY523">
        <v>2016</v>
      </c>
      <c r="EZ523">
        <v>642.41999999999996</v>
      </c>
      <c r="FA523" t="s">
        <v>5644</v>
      </c>
      <c r="FB523">
        <v>0.25</v>
      </c>
      <c r="FC523" t="s">
        <v>424</v>
      </c>
      <c r="FD523" t="s">
        <v>425</v>
      </c>
      <c r="FE523" s="1">
        <v>43138</v>
      </c>
      <c r="FF523">
        <v>9</v>
      </c>
      <c r="FG523">
        <v>5856194</v>
      </c>
      <c r="FH523" t="s">
        <v>2685</v>
      </c>
      <c r="FJ523" s="1">
        <v>42879</v>
      </c>
      <c r="FK523">
        <v>2016</v>
      </c>
      <c r="FL523">
        <v>642.41999999999996</v>
      </c>
      <c r="FM523" t="s">
        <v>5644</v>
      </c>
      <c r="FN523">
        <v>0.25</v>
      </c>
      <c r="FO523" t="s">
        <v>424</v>
      </c>
      <c r="FP523" t="s">
        <v>425</v>
      </c>
      <c r="FR523">
        <v>22</v>
      </c>
      <c r="FS523">
        <v>6056129</v>
      </c>
      <c r="FT523" t="s">
        <v>5645</v>
      </c>
      <c r="FV523" s="1">
        <v>42515</v>
      </c>
      <c r="FW523">
        <v>2015</v>
      </c>
      <c r="FX523">
        <v>648.64</v>
      </c>
      <c r="FY523" t="s">
        <v>5646</v>
      </c>
      <c r="FZ523">
        <v>0.25</v>
      </c>
      <c r="GA523" t="s">
        <v>424</v>
      </c>
      <c r="GB523" t="s">
        <v>425</v>
      </c>
      <c r="GC523" s="1">
        <v>42796</v>
      </c>
      <c r="GD523">
        <v>10</v>
      </c>
      <c r="GE523">
        <v>7045074</v>
      </c>
      <c r="GF523" t="s">
        <v>580</v>
      </c>
      <c r="GH523" s="1">
        <v>42515</v>
      </c>
      <c r="GI523">
        <v>2015</v>
      </c>
      <c r="GJ523">
        <v>648.64</v>
      </c>
      <c r="GK523" t="s">
        <v>5646</v>
      </c>
      <c r="GL523">
        <v>0.25</v>
      </c>
      <c r="GM523" t="s">
        <v>424</v>
      </c>
      <c r="GN523" t="s">
        <v>425</v>
      </c>
      <c r="GP523">
        <v>22</v>
      </c>
      <c r="GQ523">
        <v>6357190</v>
      </c>
      <c r="GR523" t="s">
        <v>5647</v>
      </c>
      <c r="GT523" s="1">
        <v>42151</v>
      </c>
      <c r="GU523">
        <v>2014</v>
      </c>
      <c r="GV523">
        <v>643.44000000000005</v>
      </c>
      <c r="GW523" t="s">
        <v>5648</v>
      </c>
      <c r="GX523">
        <v>0.25</v>
      </c>
      <c r="GY523" t="s">
        <v>424</v>
      </c>
      <c r="GZ523" t="s">
        <v>425</v>
      </c>
      <c r="HA523" s="1">
        <v>42419</v>
      </c>
      <c r="HB523">
        <v>9</v>
      </c>
      <c r="HC523">
        <v>4975594</v>
      </c>
      <c r="HD523" t="s">
        <v>457</v>
      </c>
      <c r="HF523" s="1">
        <v>42151</v>
      </c>
      <c r="HG523">
        <v>2014</v>
      </c>
      <c r="HH523">
        <v>643.44000000000005</v>
      </c>
      <c r="HI523" t="s">
        <v>5648</v>
      </c>
      <c r="HJ523">
        <v>0.25</v>
      </c>
      <c r="HK523" t="s">
        <v>424</v>
      </c>
      <c r="HL523" t="s">
        <v>425</v>
      </c>
      <c r="HN523">
        <v>22</v>
      </c>
      <c r="HO523">
        <v>6368139</v>
      </c>
      <c r="HP523" t="s">
        <v>5649</v>
      </c>
      <c r="HR523" s="1">
        <v>41423</v>
      </c>
      <c r="HS523">
        <v>2012</v>
      </c>
      <c r="HT523">
        <v>611.34</v>
      </c>
      <c r="HU523" t="s">
        <v>5650</v>
      </c>
      <c r="HV523">
        <v>0.25</v>
      </c>
      <c r="HW523" t="s">
        <v>424</v>
      </c>
      <c r="HX523" t="s">
        <v>425</v>
      </c>
      <c r="HY523" s="1">
        <v>41771</v>
      </c>
      <c r="HZ523">
        <v>12</v>
      </c>
      <c r="IA523">
        <v>2101382</v>
      </c>
      <c r="IB523" t="s">
        <v>993</v>
      </c>
      <c r="ID523" s="1">
        <v>40688</v>
      </c>
      <c r="IE523">
        <v>2010</v>
      </c>
      <c r="IF523">
        <v>654.32000000000005</v>
      </c>
      <c r="IG523" t="s">
        <v>5651</v>
      </c>
      <c r="IH523">
        <v>0.25</v>
      </c>
      <c r="II523" t="s">
        <v>424</v>
      </c>
      <c r="IJ523" t="s">
        <v>425</v>
      </c>
      <c r="IK523" s="1">
        <v>41004</v>
      </c>
      <c r="IL523">
        <v>11</v>
      </c>
      <c r="IM523">
        <v>11177</v>
      </c>
      <c r="IN523" t="s">
        <v>650</v>
      </c>
    </row>
    <row r="524" spans="1:284" x14ac:dyDescent="0.25">
      <c r="A524">
        <v>16485531</v>
      </c>
      <c r="B524">
        <v>523</v>
      </c>
      <c r="C524" t="s">
        <v>393</v>
      </c>
      <c r="D524" t="s">
        <v>394</v>
      </c>
      <c r="F524" t="str">
        <f>"27-3N-24-0000-0001-0040"</f>
        <v>27-3N-24-0000-0001-0040</v>
      </c>
      <c r="H524" t="str">
        <f>"FIGUEIRA FELIPE &amp; TRIMINO-MARTINEZ MAILET (H&amp;W)"</f>
        <v>FIGUEIRA FELIPE &amp; TRIMINO-MARTINEZ MAILET (H&amp;W)</v>
      </c>
      <c r="I524" t="str">
        <f>"141 E 44TH ST"</f>
        <v>141 E 44TH ST</v>
      </c>
      <c r="J524" t="str">
        <f>"JACKSONVILLE FL 32208"</f>
        <v>JACKSONVILLE FL 32208</v>
      </c>
      <c r="K524" t="str">
        <f>"36270 PRATT SIDING RD"</f>
        <v>36270 PRATT SIDING RD</v>
      </c>
      <c r="L524" t="str">
        <f t="shared" si="157"/>
        <v>CALLAHAN FL 32011</v>
      </c>
      <c r="M524" t="str">
        <f>"PT OF NW1/4 OF NE1/4 IN OR 1866/1289"</f>
        <v>PT OF NW1/4 OF NE1/4 IN OR 1866/1289</v>
      </c>
      <c r="N524" t="str">
        <f>""</f>
        <v/>
      </c>
      <c r="O524" t="str">
        <f>"37779"</f>
        <v>37779</v>
      </c>
      <c r="P524" t="str">
        <f t="shared" si="151"/>
        <v>2017</v>
      </c>
      <c r="Q524" t="str">
        <f>""</f>
        <v/>
      </c>
      <c r="R524" t="str">
        <f>"N"</f>
        <v>N</v>
      </c>
      <c r="S524" t="str">
        <f>"10.00"</f>
        <v>10.00</v>
      </c>
      <c r="T524" t="str">
        <f>"1170.41"</f>
        <v>1170.41</v>
      </c>
      <c r="U524" t="str">
        <f>"73973.00"</f>
        <v>73973.00</v>
      </c>
      <c r="V524" t="str">
        <f>"73973.00"</f>
        <v>73973.00</v>
      </c>
      <c r="W524" t="str">
        <f t="shared" si="152"/>
        <v>2017</v>
      </c>
      <c r="X524" t="str">
        <f>"1.00"</f>
        <v>1.00</v>
      </c>
      <c r="Y524" t="str">
        <f>"1237.52"</f>
        <v>1237.52</v>
      </c>
      <c r="Z524" t="str">
        <f>""</f>
        <v/>
      </c>
      <c r="AA524" t="str">
        <f>"81634.00"</f>
        <v>81634.00</v>
      </c>
      <c r="AB524" t="str">
        <f t="shared" si="158"/>
        <v>Residential</v>
      </c>
      <c r="AC524" t="str">
        <f t="shared" si="153"/>
        <v>0</v>
      </c>
      <c r="AD524" t="str">
        <f>"4"</f>
        <v>4</v>
      </c>
      <c r="AE524" t="str">
        <f>"WOOD (INCLUDE STEEL STUDS)"</f>
        <v>WOOD (INCLUDE STEEL STUDS)</v>
      </c>
      <c r="AF524" t="str">
        <f>"002"</f>
        <v>002</v>
      </c>
      <c r="AG524" t="str">
        <f t="shared" si="156"/>
        <v>FL</v>
      </c>
      <c r="AH524" t="str">
        <f>"435600.00"</f>
        <v>435600.00</v>
      </c>
      <c r="AI524" t="str">
        <f>"60000.00"</f>
        <v>60000.00</v>
      </c>
      <c r="AJ524" t="str">
        <f>"C55-000-587-5034-0"</f>
        <v>C55-000-587-5034-0</v>
      </c>
      <c r="AK524" t="str">
        <f>"7876"</f>
        <v>7876</v>
      </c>
      <c r="AL524">
        <v>2</v>
      </c>
      <c r="AM524">
        <v>608</v>
      </c>
      <c r="AN524">
        <v>1297.8</v>
      </c>
      <c r="AQ524" t="s">
        <v>5652</v>
      </c>
      <c r="AR524" t="s">
        <v>5652</v>
      </c>
      <c r="AS524" t="s">
        <v>5652</v>
      </c>
      <c r="AU524" t="s">
        <v>396</v>
      </c>
      <c r="AV524">
        <v>2017</v>
      </c>
      <c r="AW524" t="str">
        <f>"27-3N-24-0000-0001-0040 "</f>
        <v xml:space="preserve">27-3N-24-0000-0001-0040 </v>
      </c>
      <c r="AX524">
        <v>36270</v>
      </c>
      <c r="AZ524" t="s">
        <v>5606</v>
      </c>
      <c r="BA524" t="s">
        <v>496</v>
      </c>
      <c r="BD524" t="s">
        <v>2785</v>
      </c>
      <c r="BE524" t="s">
        <v>393</v>
      </c>
      <c r="BF524">
        <v>32011</v>
      </c>
      <c r="BG524" t="s">
        <v>5653</v>
      </c>
      <c r="BH524" t="s">
        <v>2787</v>
      </c>
      <c r="BI524">
        <v>-81.891167110943599</v>
      </c>
      <c r="BJ524">
        <v>30.653964512896</v>
      </c>
      <c r="BK524" t="s">
        <v>5654</v>
      </c>
      <c r="BL524" t="s">
        <v>5655</v>
      </c>
      <c r="BM524" t="s">
        <v>5656</v>
      </c>
      <c r="BN524" t="s">
        <v>548</v>
      </c>
      <c r="BO524">
        <v>32208</v>
      </c>
      <c r="BP524" t="s">
        <v>404</v>
      </c>
      <c r="BQ524">
        <v>200</v>
      </c>
      <c r="BR524" t="s">
        <v>405</v>
      </c>
      <c r="BS524">
        <v>1006</v>
      </c>
      <c r="BT524" t="s">
        <v>406</v>
      </c>
      <c r="BW524">
        <v>435600</v>
      </c>
      <c r="BX524" t="s">
        <v>407</v>
      </c>
      <c r="BY524" t="s">
        <v>408</v>
      </c>
      <c r="BZ524">
        <v>4</v>
      </c>
      <c r="CA524">
        <v>1978</v>
      </c>
      <c r="CC524">
        <v>1</v>
      </c>
      <c r="CD524">
        <v>2017</v>
      </c>
      <c r="CE524">
        <v>60000</v>
      </c>
      <c r="CF524">
        <v>21634</v>
      </c>
      <c r="CG524">
        <v>81634</v>
      </c>
      <c r="CH524">
        <v>2017</v>
      </c>
      <c r="CI524">
        <v>60000</v>
      </c>
      <c r="CJ524">
        <v>21634</v>
      </c>
      <c r="CK524">
        <v>81634</v>
      </c>
      <c r="CL524">
        <v>2017</v>
      </c>
      <c r="CM524">
        <v>1170.4100000000001</v>
      </c>
      <c r="CN524" s="1">
        <v>41464</v>
      </c>
      <c r="CO524">
        <v>35000</v>
      </c>
      <c r="CV524">
        <v>28000</v>
      </c>
      <c r="CX524" t="s">
        <v>707</v>
      </c>
      <c r="CZ524" s="1">
        <v>41464</v>
      </c>
      <c r="DA524">
        <v>0</v>
      </c>
      <c r="DD524" t="s">
        <v>2785</v>
      </c>
      <c r="DG524">
        <v>27</v>
      </c>
      <c r="DL524">
        <v>50400</v>
      </c>
      <c r="DM524" t="s">
        <v>5642</v>
      </c>
      <c r="DO524" t="s">
        <v>5657</v>
      </c>
      <c r="DP524">
        <v>0</v>
      </c>
      <c r="DQ524">
        <v>0</v>
      </c>
      <c r="DR524" t="s">
        <v>411</v>
      </c>
      <c r="EP524" t="s">
        <v>421</v>
      </c>
      <c r="EQ524" t="s">
        <v>422</v>
      </c>
      <c r="ER524">
        <v>0</v>
      </c>
      <c r="ES524">
        <v>2</v>
      </c>
      <c r="ET524">
        <v>0</v>
      </c>
      <c r="EU524">
        <v>0</v>
      </c>
      <c r="EV524">
        <v>0</v>
      </c>
      <c r="EW524" s="2">
        <v>43222</v>
      </c>
      <c r="EX524" s="1">
        <v>42879</v>
      </c>
      <c r="EY524">
        <v>2016</v>
      </c>
      <c r="EZ524">
        <v>1162</v>
      </c>
      <c r="FA524" t="s">
        <v>5658</v>
      </c>
      <c r="FB524">
        <v>0.25</v>
      </c>
      <c r="FC524" t="s">
        <v>424</v>
      </c>
      <c r="FD524" t="s">
        <v>425</v>
      </c>
      <c r="FE524" s="1">
        <v>42898</v>
      </c>
      <c r="FF524">
        <v>1</v>
      </c>
      <c r="FG524">
        <v>2851116</v>
      </c>
      <c r="FH524" t="s">
        <v>480</v>
      </c>
      <c r="FJ524" s="1">
        <v>42879</v>
      </c>
      <c r="FK524">
        <v>2016</v>
      </c>
      <c r="FL524">
        <v>1162</v>
      </c>
      <c r="FM524" t="s">
        <v>5658</v>
      </c>
      <c r="FN524">
        <v>0.25</v>
      </c>
      <c r="FO524" t="s">
        <v>424</v>
      </c>
      <c r="FP524" t="s">
        <v>425</v>
      </c>
      <c r="FR524">
        <v>22</v>
      </c>
      <c r="FS524">
        <v>5749484</v>
      </c>
      <c r="FT524" t="s">
        <v>5659</v>
      </c>
    </row>
    <row r="525" spans="1:284" x14ac:dyDescent="0.25">
      <c r="A525">
        <v>16485532</v>
      </c>
      <c r="B525">
        <v>524</v>
      </c>
      <c r="C525" t="s">
        <v>393</v>
      </c>
      <c r="D525" t="s">
        <v>394</v>
      </c>
      <c r="F525" t="str">
        <f>"27-3N-24-2020-0037-0010"</f>
        <v>27-3N-24-2020-0037-0010</v>
      </c>
      <c r="H525" t="str">
        <f>"MANN ROBERT D"</f>
        <v>MANN ROBERT D</v>
      </c>
      <c r="I525" t="str">
        <f>"36748 WEDGEWOOD WAY"</f>
        <v>36748 WEDGEWOOD WAY</v>
      </c>
      <c r="J525" t="str">
        <f>"CALLAHAN FL 32011"</f>
        <v>CALLAHAN FL 32011</v>
      </c>
      <c r="K525" t="str">
        <f>"36748 WEDGEWOOD WAY"</f>
        <v>36748 WEDGEWOOD WAY</v>
      </c>
      <c r="L525" t="str">
        <f t="shared" si="157"/>
        <v>CALLAHAN FL 32011</v>
      </c>
      <c r="M525" t="str">
        <f>"PT OF LOT 37 IN OR 1552/956 R673154 &amp; R673155 ESMT PT OR 1861/825 CORNWALL SURVEY"</f>
        <v>PT OF LOT 37 IN OR 1552/956 R673154 &amp; R673155 ESMT PT OR 1861/825 CORNWALL SURVEY</v>
      </c>
      <c r="N525" t="str">
        <f>""</f>
        <v/>
      </c>
      <c r="O525" t="str">
        <f>"37793"</f>
        <v>37793</v>
      </c>
      <c r="P525" t="str">
        <f t="shared" si="151"/>
        <v>2017</v>
      </c>
      <c r="Q525" t="str">
        <f>""</f>
        <v/>
      </c>
      <c r="R525" t="str">
        <f>"Y"</f>
        <v>Y</v>
      </c>
      <c r="S525" t="str">
        <f>"3.10"</f>
        <v>3.10</v>
      </c>
      <c r="T525" t="str">
        <f>"586.27"</f>
        <v>586.27</v>
      </c>
      <c r="U525" t="str">
        <f>"77831.00"</f>
        <v>77831.00</v>
      </c>
      <c r="V525" t="str">
        <f>"77831.00"</f>
        <v>77831.00</v>
      </c>
      <c r="W525" t="str">
        <f t="shared" si="152"/>
        <v>2017</v>
      </c>
      <c r="X525" t="str">
        <f>"18.88"</f>
        <v>18.88</v>
      </c>
      <c r="Y525" t="str">
        <f>"635.86"</f>
        <v>635.86</v>
      </c>
      <c r="Z525" t="str">
        <f>"25000.00"</f>
        <v>25000.00</v>
      </c>
      <c r="AA525" t="str">
        <f>"52831.00"</f>
        <v>52831.00</v>
      </c>
      <c r="AB525" t="str">
        <f t="shared" si="158"/>
        <v>Residential</v>
      </c>
      <c r="AC525" t="str">
        <f t="shared" si="153"/>
        <v>0</v>
      </c>
      <c r="AD525" t="str">
        <f>"4"</f>
        <v>4</v>
      </c>
      <c r="AE525" t="str">
        <f>"WOOD (INCLUDE STEEL STUDS)"</f>
        <v>WOOD (INCLUDE STEEL STUDS)</v>
      </c>
      <c r="AF525" t="str">
        <f>"002"</f>
        <v>002</v>
      </c>
      <c r="AG525" t="str">
        <f t="shared" si="156"/>
        <v>FL</v>
      </c>
      <c r="AH525" t="str">
        <f>"135036.00"</f>
        <v>135036.00</v>
      </c>
      <c r="AI525" t="str">
        <f>"24800.00"</f>
        <v>24800.00</v>
      </c>
      <c r="AJ525" t="str">
        <f>"C55-000-587-5044-9"</f>
        <v>C55-000-587-5044-9</v>
      </c>
      <c r="AK525" t="str">
        <f>"7888"</f>
        <v>7888</v>
      </c>
      <c r="AL525">
        <v>2</v>
      </c>
      <c r="AM525">
        <v>609</v>
      </c>
      <c r="AN525">
        <v>666.05</v>
      </c>
      <c r="AQ525" t="s">
        <v>5660</v>
      </c>
      <c r="AR525" t="s">
        <v>5660</v>
      </c>
      <c r="AS525" t="s">
        <v>5660</v>
      </c>
      <c r="AU525" t="s">
        <v>396</v>
      </c>
      <c r="AV525">
        <v>2017</v>
      </c>
      <c r="AW525" t="str">
        <f>"27-3N-24-2020-0037-0010 "</f>
        <v xml:space="preserve">27-3N-24-2020-0037-0010 </v>
      </c>
      <c r="AX525">
        <v>36748</v>
      </c>
      <c r="AZ525" t="s">
        <v>5661</v>
      </c>
      <c r="BA525" t="s">
        <v>866</v>
      </c>
      <c r="BD525" t="s">
        <v>2785</v>
      </c>
      <c r="BE525" t="s">
        <v>393</v>
      </c>
      <c r="BF525">
        <v>32011</v>
      </c>
      <c r="BG525" t="s">
        <v>5662</v>
      </c>
      <c r="BH525" t="s">
        <v>2787</v>
      </c>
      <c r="BI525">
        <v>-81.891123591919296</v>
      </c>
      <c r="BJ525">
        <v>30.650909429348399</v>
      </c>
      <c r="BK525" t="s">
        <v>5663</v>
      </c>
      <c r="BM525" t="s">
        <v>5662</v>
      </c>
      <c r="BN525" t="s">
        <v>928</v>
      </c>
      <c r="BO525">
        <v>32011</v>
      </c>
      <c r="BP525" t="s">
        <v>416</v>
      </c>
      <c r="BQ525">
        <v>200</v>
      </c>
      <c r="BR525" t="s">
        <v>405</v>
      </c>
      <c r="BS525">
        <v>1006</v>
      </c>
      <c r="BT525" t="s">
        <v>406</v>
      </c>
      <c r="BW525">
        <v>135036</v>
      </c>
      <c r="BX525" t="s">
        <v>407</v>
      </c>
      <c r="BZ525">
        <v>4</v>
      </c>
      <c r="CA525">
        <v>1997</v>
      </c>
      <c r="CB525">
        <v>1</v>
      </c>
      <c r="CC525">
        <v>1</v>
      </c>
      <c r="CD525">
        <v>2017</v>
      </c>
      <c r="CG525">
        <v>77831</v>
      </c>
      <c r="CH525">
        <v>2017</v>
      </c>
      <c r="CI525">
        <v>24800</v>
      </c>
      <c r="CJ525">
        <v>64904</v>
      </c>
      <c r="CK525">
        <v>89704</v>
      </c>
      <c r="CL525">
        <v>2017</v>
      </c>
      <c r="CM525">
        <v>586.27</v>
      </c>
      <c r="CN525" s="1">
        <v>39503</v>
      </c>
      <c r="CZ525" s="1">
        <v>39503</v>
      </c>
      <c r="DD525" t="s">
        <v>2785</v>
      </c>
      <c r="DF525">
        <v>37</v>
      </c>
      <c r="DG525">
        <v>27</v>
      </c>
      <c r="DL525">
        <v>50400</v>
      </c>
      <c r="DM525" t="s">
        <v>5642</v>
      </c>
      <c r="DO525" t="s">
        <v>5664</v>
      </c>
      <c r="DP525">
        <v>0</v>
      </c>
      <c r="DQ525">
        <v>0</v>
      </c>
      <c r="DR525" t="s">
        <v>411</v>
      </c>
      <c r="DS525" t="b">
        <v>1</v>
      </c>
      <c r="DT525" t="s">
        <v>470</v>
      </c>
      <c r="DU525" t="s">
        <v>471</v>
      </c>
      <c r="DV525" t="s">
        <v>472</v>
      </c>
      <c r="DX525">
        <v>-9999</v>
      </c>
      <c r="DZ525" t="s">
        <v>447</v>
      </c>
      <c r="EA525" t="s">
        <v>448</v>
      </c>
      <c r="EB525" t="s">
        <v>1224</v>
      </c>
      <c r="EC525">
        <v>20101217</v>
      </c>
      <c r="ED525" t="s">
        <v>474</v>
      </c>
      <c r="EF525">
        <v>1140.3</v>
      </c>
      <c r="EG525">
        <v>1140.3</v>
      </c>
      <c r="EH525" t="s">
        <v>451</v>
      </c>
      <c r="EI525">
        <v>20140731</v>
      </c>
      <c r="EJ525">
        <v>0</v>
      </c>
      <c r="EK525">
        <v>0</v>
      </c>
      <c r="EP525" t="s">
        <v>421</v>
      </c>
      <c r="EQ525" t="s">
        <v>422</v>
      </c>
      <c r="ER525">
        <v>0</v>
      </c>
      <c r="ES525">
        <v>6</v>
      </c>
      <c r="ET525">
        <v>0</v>
      </c>
      <c r="EU525">
        <v>0</v>
      </c>
      <c r="EV525">
        <v>0</v>
      </c>
      <c r="EW525" s="2">
        <v>43222</v>
      </c>
      <c r="EX525" s="1">
        <v>42151</v>
      </c>
      <c r="EY525">
        <v>2014</v>
      </c>
      <c r="EZ525">
        <v>651.51</v>
      </c>
      <c r="FA525" t="s">
        <v>5665</v>
      </c>
      <c r="FB525">
        <v>0.25</v>
      </c>
      <c r="FC525" t="s">
        <v>424</v>
      </c>
      <c r="FD525" t="s">
        <v>425</v>
      </c>
      <c r="FE525" s="1">
        <v>42457</v>
      </c>
      <c r="FF525">
        <v>10</v>
      </c>
      <c r="FG525">
        <v>2851116</v>
      </c>
      <c r="FH525" t="s">
        <v>480</v>
      </c>
      <c r="FJ525" s="1">
        <v>42151</v>
      </c>
      <c r="FK525">
        <v>2014</v>
      </c>
      <c r="FL525">
        <v>651.51</v>
      </c>
      <c r="FM525" t="s">
        <v>5665</v>
      </c>
      <c r="FN525">
        <v>0.25</v>
      </c>
      <c r="FO525" t="s">
        <v>424</v>
      </c>
      <c r="FP525" t="s">
        <v>425</v>
      </c>
      <c r="FR525">
        <v>22</v>
      </c>
      <c r="FS525">
        <v>5404572</v>
      </c>
      <c r="FT525" t="s">
        <v>5666</v>
      </c>
      <c r="FV525" s="1">
        <v>41787</v>
      </c>
      <c r="FW525">
        <v>2013</v>
      </c>
      <c r="FX525">
        <v>795.54</v>
      </c>
      <c r="FY525" t="s">
        <v>5667</v>
      </c>
      <c r="FZ525">
        <v>0.25</v>
      </c>
      <c r="GA525" t="s">
        <v>424</v>
      </c>
      <c r="GB525" t="s">
        <v>425</v>
      </c>
      <c r="GC525" s="1">
        <v>42457</v>
      </c>
      <c r="GD525">
        <v>22</v>
      </c>
      <c r="GE525">
        <v>2407503</v>
      </c>
      <c r="GF525" t="s">
        <v>461</v>
      </c>
      <c r="GH525" s="1">
        <v>41423</v>
      </c>
      <c r="GI525">
        <v>2012</v>
      </c>
      <c r="GJ525">
        <v>899.12</v>
      </c>
      <c r="GK525" t="s">
        <v>5668</v>
      </c>
      <c r="GL525">
        <v>3</v>
      </c>
      <c r="GM525" t="s">
        <v>424</v>
      </c>
      <c r="GN525" t="s">
        <v>425</v>
      </c>
      <c r="GO525" s="1">
        <v>42053</v>
      </c>
      <c r="GP525">
        <v>21</v>
      </c>
      <c r="GQ525">
        <v>1155951</v>
      </c>
      <c r="GR525" t="s">
        <v>1451</v>
      </c>
      <c r="GT525" s="1">
        <v>41052</v>
      </c>
      <c r="GU525">
        <v>2011</v>
      </c>
      <c r="GV525">
        <v>949.87</v>
      </c>
      <c r="GW525" t="s">
        <v>5669</v>
      </c>
      <c r="GX525">
        <v>9.25</v>
      </c>
      <c r="GY525" t="s">
        <v>424</v>
      </c>
      <c r="GZ525" t="s">
        <v>425</v>
      </c>
      <c r="HA525" s="1">
        <v>41512</v>
      </c>
      <c r="HB525">
        <v>15</v>
      </c>
      <c r="HC525">
        <v>10125</v>
      </c>
      <c r="HD525" t="s">
        <v>440</v>
      </c>
      <c r="HF525" s="1">
        <v>40688</v>
      </c>
      <c r="HG525">
        <v>2010</v>
      </c>
      <c r="HH525">
        <v>967.83</v>
      </c>
      <c r="HI525" t="s">
        <v>5670</v>
      </c>
      <c r="HJ525">
        <v>5</v>
      </c>
      <c r="HK525" t="s">
        <v>424</v>
      </c>
      <c r="HL525" t="s">
        <v>425</v>
      </c>
      <c r="HM525" s="1">
        <v>41512</v>
      </c>
      <c r="HN525">
        <v>27</v>
      </c>
      <c r="HO525">
        <v>287</v>
      </c>
      <c r="HP525" t="s">
        <v>572</v>
      </c>
    </row>
    <row r="526" spans="1:284" x14ac:dyDescent="0.25">
      <c r="A526">
        <v>16485533</v>
      </c>
      <c r="B526">
        <v>525</v>
      </c>
      <c r="C526" t="s">
        <v>393</v>
      </c>
      <c r="D526" t="s">
        <v>394</v>
      </c>
      <c r="F526" t="str">
        <f>"27-3N-24-2020-0057-0010"</f>
        <v>27-3N-24-2020-0057-0010</v>
      </c>
      <c r="H526" t="str">
        <f>"WILKES PAUL B"</f>
        <v>WILKES PAUL B</v>
      </c>
      <c r="I526" t="str">
        <f>"P O BOX 1415"</f>
        <v>P O BOX 1415</v>
      </c>
      <c r="J526" t="str">
        <f>"HILLIARD FL 32046"</f>
        <v>HILLIARD FL 32046</v>
      </c>
      <c r="K526" t="str">
        <f>"37170 PEANUT TRL"</f>
        <v>37170 PEANUT TRL</v>
      </c>
      <c r="L526" t="str">
        <f t="shared" si="157"/>
        <v>CALLAHAN FL 32011</v>
      </c>
      <c r="M526" t="str">
        <f>"PT OF LOT 57 (S-1) &amp; PT OF LOT 40 IN OR 1358/1624 1997 WEST SW ESMT PT OR 1861/825 CORNWALL SURVEY"</f>
        <v>PT OF LOT 57 (S-1) &amp; PT OF LOT 40 IN OR 1358/1624 1997 WEST SW ESMT PT OR 1861/825 CORNWALL SURVEY</v>
      </c>
      <c r="N526" t="str">
        <f>""</f>
        <v/>
      </c>
      <c r="O526" t="str">
        <f>"37811"</f>
        <v>37811</v>
      </c>
      <c r="P526" t="str">
        <f t="shared" si="151"/>
        <v>2017</v>
      </c>
      <c r="Q526" t="str">
        <f>""</f>
        <v/>
      </c>
      <c r="R526" t="str">
        <f>"Y"</f>
        <v>Y</v>
      </c>
      <c r="S526" t="str">
        <f>"6.87"</f>
        <v>6.87</v>
      </c>
      <c r="T526" t="str">
        <f>"346.07"</f>
        <v>346.07</v>
      </c>
      <c r="U526" t="str">
        <f>"47860.00"</f>
        <v>47860.00</v>
      </c>
      <c r="V526" t="str">
        <f>"47860.00"</f>
        <v>47860.00</v>
      </c>
      <c r="W526" t="str">
        <f t="shared" si="152"/>
        <v>2017</v>
      </c>
      <c r="X526" t="str">
        <f>"19.00"</f>
        <v>19.00</v>
      </c>
      <c r="Y526" t="str">
        <f>"388.45"</f>
        <v>388.45</v>
      </c>
      <c r="Z526" t="str">
        <f>"25000.00"</f>
        <v>25000.00</v>
      </c>
      <c r="AA526" t="str">
        <f>"22860.00"</f>
        <v>22860.00</v>
      </c>
      <c r="AB526" t="str">
        <f t="shared" si="158"/>
        <v>Residential</v>
      </c>
      <c r="AC526" t="str">
        <f t="shared" si="153"/>
        <v>0</v>
      </c>
      <c r="AD526" t="str">
        <f>"4"</f>
        <v>4</v>
      </c>
      <c r="AE526" t="str">
        <f>"WOOD (INCLUDE STEEL STUDS)"</f>
        <v>WOOD (INCLUDE STEEL STUDS)</v>
      </c>
      <c r="AF526" t="str">
        <f>"002"</f>
        <v>002</v>
      </c>
      <c r="AG526" t="str">
        <f t="shared" si="156"/>
        <v>FL</v>
      </c>
      <c r="AH526" t="str">
        <f>"299257.00"</f>
        <v>299257.00</v>
      </c>
      <c r="AI526" t="str">
        <f>"41220.00"</f>
        <v>41220.00</v>
      </c>
      <c r="AJ526" t="str">
        <f>"C55-000-587-5056-3"</f>
        <v>C55-000-587-5056-3</v>
      </c>
      <c r="AK526" t="str">
        <f>"7903"</f>
        <v>7903</v>
      </c>
      <c r="AL526">
        <v>2</v>
      </c>
      <c r="AM526">
        <v>610</v>
      </c>
      <c r="AN526">
        <v>406.27</v>
      </c>
      <c r="AQ526" t="s">
        <v>5671</v>
      </c>
      <c r="AR526" t="s">
        <v>5671</v>
      </c>
      <c r="AS526" t="s">
        <v>5671</v>
      </c>
      <c r="AU526" t="s">
        <v>396</v>
      </c>
      <c r="AV526">
        <v>2017</v>
      </c>
      <c r="AW526" t="str">
        <f>"27-3N-24-2020-0057-0010 "</f>
        <v xml:space="preserve">27-3N-24-2020-0057-0010 </v>
      </c>
      <c r="AX526">
        <v>37170</v>
      </c>
      <c r="AZ526" t="s">
        <v>5672</v>
      </c>
      <c r="BA526" t="s">
        <v>2497</v>
      </c>
      <c r="BD526" t="s">
        <v>2785</v>
      </c>
      <c r="BE526" t="s">
        <v>393</v>
      </c>
      <c r="BF526">
        <v>32011</v>
      </c>
      <c r="BG526" t="s">
        <v>5673</v>
      </c>
      <c r="BH526" t="s">
        <v>2787</v>
      </c>
      <c r="BI526">
        <v>-81.887767102830097</v>
      </c>
      <c r="BJ526">
        <v>30.648331679366098</v>
      </c>
      <c r="BK526" t="s">
        <v>5674</v>
      </c>
      <c r="BM526" t="s">
        <v>5675</v>
      </c>
      <c r="BN526" t="s">
        <v>403</v>
      </c>
      <c r="BO526">
        <v>32046</v>
      </c>
      <c r="BP526" t="s">
        <v>404</v>
      </c>
      <c r="BQ526">
        <v>200</v>
      </c>
      <c r="BR526" t="s">
        <v>405</v>
      </c>
      <c r="BS526">
        <v>1006</v>
      </c>
      <c r="BT526" t="s">
        <v>406</v>
      </c>
      <c r="BW526">
        <v>299257</v>
      </c>
      <c r="BX526" t="s">
        <v>407</v>
      </c>
      <c r="BY526" t="s">
        <v>408</v>
      </c>
      <c r="BZ526">
        <v>4</v>
      </c>
      <c r="CA526">
        <v>1996</v>
      </c>
      <c r="CB526">
        <v>1</v>
      </c>
      <c r="CC526">
        <v>1</v>
      </c>
      <c r="CD526">
        <v>2017</v>
      </c>
      <c r="CG526">
        <v>47860</v>
      </c>
      <c r="CH526">
        <v>2017</v>
      </c>
      <c r="CI526">
        <v>41220</v>
      </c>
      <c r="CJ526">
        <v>18212</v>
      </c>
      <c r="CK526">
        <v>59432</v>
      </c>
      <c r="CL526">
        <v>2017</v>
      </c>
      <c r="CM526">
        <v>346.07</v>
      </c>
      <c r="CN526" s="1">
        <v>38639</v>
      </c>
      <c r="CO526">
        <v>98000</v>
      </c>
      <c r="CV526">
        <v>95333</v>
      </c>
      <c r="CX526" t="s">
        <v>675</v>
      </c>
      <c r="CZ526" s="1">
        <v>38639</v>
      </c>
      <c r="DA526">
        <v>0</v>
      </c>
      <c r="DD526" t="s">
        <v>2785</v>
      </c>
      <c r="DF526">
        <v>57</v>
      </c>
      <c r="DG526">
        <v>27</v>
      </c>
      <c r="DL526">
        <v>50400</v>
      </c>
      <c r="DM526" t="s">
        <v>5642</v>
      </c>
      <c r="DO526" t="s">
        <v>5676</v>
      </c>
      <c r="DP526">
        <v>0</v>
      </c>
      <c r="DQ526">
        <v>0</v>
      </c>
      <c r="DR526" t="s">
        <v>411</v>
      </c>
      <c r="DS526" t="b">
        <v>1</v>
      </c>
      <c r="DT526" t="s">
        <v>470</v>
      </c>
      <c r="DU526" t="s">
        <v>471</v>
      </c>
      <c r="DV526" t="s">
        <v>472</v>
      </c>
      <c r="DX526">
        <v>-9999</v>
      </c>
      <c r="DZ526" t="s">
        <v>447</v>
      </c>
      <c r="EA526" t="s">
        <v>448</v>
      </c>
      <c r="EB526" t="s">
        <v>1224</v>
      </c>
      <c r="EC526">
        <v>20101217</v>
      </c>
      <c r="ED526" t="s">
        <v>474</v>
      </c>
      <c r="EF526">
        <v>208.2</v>
      </c>
      <c r="EG526">
        <v>208.2</v>
      </c>
      <c r="EI526">
        <v>20160407</v>
      </c>
      <c r="EJ526">
        <v>0</v>
      </c>
      <c r="EK526">
        <v>0</v>
      </c>
      <c r="EP526" t="s">
        <v>421</v>
      </c>
      <c r="EQ526" t="s">
        <v>422</v>
      </c>
      <c r="ER526">
        <v>2</v>
      </c>
      <c r="ES526">
        <v>7</v>
      </c>
      <c r="ET526">
        <v>780.36</v>
      </c>
      <c r="EU526">
        <v>51.52</v>
      </c>
      <c r="EV526">
        <v>831.88</v>
      </c>
      <c r="EW526" s="2">
        <v>43222</v>
      </c>
      <c r="EX526" s="1">
        <v>42879</v>
      </c>
      <c r="EY526">
        <v>2016</v>
      </c>
      <c r="EZ526">
        <v>390.18</v>
      </c>
      <c r="FA526" t="s">
        <v>5677</v>
      </c>
      <c r="FB526">
        <v>0.25</v>
      </c>
      <c r="FC526" t="s">
        <v>424</v>
      </c>
      <c r="FD526" t="s">
        <v>454</v>
      </c>
      <c r="FF526">
        <v>12</v>
      </c>
      <c r="FG526">
        <v>2851116</v>
      </c>
      <c r="FH526" t="s">
        <v>480</v>
      </c>
      <c r="FJ526" s="1">
        <v>42879</v>
      </c>
      <c r="FK526">
        <v>2016</v>
      </c>
      <c r="FL526">
        <v>390.18</v>
      </c>
      <c r="FM526" t="s">
        <v>5677</v>
      </c>
      <c r="FN526">
        <v>0.25</v>
      </c>
      <c r="FO526" t="s">
        <v>424</v>
      </c>
      <c r="FP526" t="s">
        <v>454</v>
      </c>
      <c r="FR526">
        <v>12</v>
      </c>
      <c r="FS526">
        <v>5693565</v>
      </c>
      <c r="FT526" t="s">
        <v>5678</v>
      </c>
      <c r="FV526" s="1">
        <v>42515</v>
      </c>
      <c r="FW526">
        <v>2015</v>
      </c>
      <c r="FX526">
        <v>388.47</v>
      </c>
      <c r="FY526" t="s">
        <v>5679</v>
      </c>
      <c r="FZ526">
        <v>0.25</v>
      </c>
      <c r="GA526" t="s">
        <v>424</v>
      </c>
      <c r="GB526" t="s">
        <v>425</v>
      </c>
      <c r="GC526" s="1">
        <v>43136</v>
      </c>
      <c r="GD526">
        <v>21</v>
      </c>
      <c r="GE526">
        <v>2851116</v>
      </c>
      <c r="GF526" t="s">
        <v>480</v>
      </c>
      <c r="GH526" s="1">
        <v>42515</v>
      </c>
      <c r="GI526">
        <v>2015</v>
      </c>
      <c r="GJ526">
        <v>388.47</v>
      </c>
      <c r="GK526" t="s">
        <v>5679</v>
      </c>
      <c r="GL526">
        <v>0.25</v>
      </c>
      <c r="GM526" t="s">
        <v>424</v>
      </c>
      <c r="GN526" t="s">
        <v>425</v>
      </c>
      <c r="GP526">
        <v>22</v>
      </c>
      <c r="GQ526">
        <v>5548372</v>
      </c>
      <c r="GR526" t="s">
        <v>5680</v>
      </c>
      <c r="GT526" s="1">
        <v>42151</v>
      </c>
      <c r="GU526">
        <v>2014</v>
      </c>
      <c r="GV526">
        <v>384.02</v>
      </c>
      <c r="GW526" t="s">
        <v>5681</v>
      </c>
      <c r="GX526">
        <v>0.25</v>
      </c>
      <c r="GY526" t="s">
        <v>424</v>
      </c>
      <c r="GZ526" t="s">
        <v>425</v>
      </c>
      <c r="HA526" s="1">
        <v>42779</v>
      </c>
      <c r="HB526">
        <v>21</v>
      </c>
      <c r="HC526">
        <v>2851116</v>
      </c>
      <c r="HD526" t="s">
        <v>480</v>
      </c>
      <c r="HF526" s="1">
        <v>42151</v>
      </c>
      <c r="HG526">
        <v>2014</v>
      </c>
      <c r="HH526">
        <v>384.02</v>
      </c>
      <c r="HI526" t="s">
        <v>5681</v>
      </c>
      <c r="HJ526">
        <v>0.25</v>
      </c>
      <c r="HK526" t="s">
        <v>424</v>
      </c>
      <c r="HL526" t="s">
        <v>425</v>
      </c>
      <c r="HN526">
        <v>22</v>
      </c>
      <c r="HO526">
        <v>5050854</v>
      </c>
      <c r="HP526" t="s">
        <v>5682</v>
      </c>
      <c r="HR526" s="1">
        <v>41787</v>
      </c>
      <c r="HS526">
        <v>2013</v>
      </c>
      <c r="HT526">
        <v>459.84</v>
      </c>
      <c r="HU526" t="s">
        <v>5683</v>
      </c>
      <c r="HV526">
        <v>0.25</v>
      </c>
      <c r="HW526" t="s">
        <v>424</v>
      </c>
      <c r="HX526" t="s">
        <v>425</v>
      </c>
      <c r="HY526" s="1">
        <v>42411</v>
      </c>
      <c r="HZ526">
        <v>21</v>
      </c>
      <c r="IA526">
        <v>13026</v>
      </c>
      <c r="IB526" t="s">
        <v>2129</v>
      </c>
      <c r="ID526" s="1">
        <v>41052</v>
      </c>
      <c r="IE526">
        <v>2011</v>
      </c>
      <c r="IF526">
        <v>578.54</v>
      </c>
      <c r="IG526" t="s">
        <v>5684</v>
      </c>
      <c r="IH526">
        <v>5.75</v>
      </c>
      <c r="II526" t="s">
        <v>424</v>
      </c>
      <c r="IJ526" t="s">
        <v>425</v>
      </c>
      <c r="IK526" s="1">
        <v>41709</v>
      </c>
      <c r="IL526">
        <v>22</v>
      </c>
      <c r="IM526">
        <v>10125</v>
      </c>
      <c r="IN526" t="s">
        <v>440</v>
      </c>
      <c r="IP526" s="1">
        <v>40688</v>
      </c>
      <c r="IQ526">
        <v>2010</v>
      </c>
      <c r="IR526">
        <v>572.35</v>
      </c>
      <c r="IS526" t="s">
        <v>5685</v>
      </c>
      <c r="IT526">
        <v>8</v>
      </c>
      <c r="IU526" t="s">
        <v>424</v>
      </c>
      <c r="IV526" t="s">
        <v>425</v>
      </c>
      <c r="IW526" s="1">
        <v>40890</v>
      </c>
      <c r="IX526">
        <v>7</v>
      </c>
      <c r="IY526">
        <v>62</v>
      </c>
      <c r="IZ526" t="s">
        <v>463</v>
      </c>
    </row>
    <row r="527" spans="1:284" x14ac:dyDescent="0.25">
      <c r="A527">
        <v>16485534</v>
      </c>
      <c r="B527">
        <v>526</v>
      </c>
      <c r="C527" t="s">
        <v>393</v>
      </c>
      <c r="D527" t="s">
        <v>394</v>
      </c>
      <c r="F527" t="str">
        <f>"27-3N-24-2020-0061-0020"</f>
        <v>27-3N-24-2020-0061-0020</v>
      </c>
      <c r="H527" t="str">
        <f>"HENRY ANNETTE A"</f>
        <v>HENRY ANNETTE A</v>
      </c>
      <c r="I527" t="str">
        <f>"36117 VICTORY LN"</f>
        <v>36117 VICTORY LN</v>
      </c>
      <c r="J527" t="str">
        <f>"CALLAHAN FL 32011"</f>
        <v>CALLAHAN FL 32011</v>
      </c>
      <c r="K527" t="str">
        <f>"36117 VICTORY LN"</f>
        <v>36117 VICTORY LN</v>
      </c>
      <c r="L527" t="str">
        <f t="shared" si="157"/>
        <v>CALLAHAN FL 32011</v>
      </c>
      <c r="M527" t="str">
        <f>"W1/2 OF LOTS 61 62 &amp; 63 IN OR 576 PG 1218 R407712 R407710 R407711 &amp; R622293 &amp; R622294 CORNWALL SURVEY"</f>
        <v>W1/2 OF LOTS 61 62 &amp; 63 IN OR 576 PG 1218 R407712 R407710 R407711 &amp; R622293 &amp; R622294 CORNWALL SURVEY</v>
      </c>
      <c r="N527" t="str">
        <f>""</f>
        <v/>
      </c>
      <c r="O527" t="str">
        <f>"37816"</f>
        <v>37816</v>
      </c>
      <c r="P527" t="str">
        <f t="shared" si="151"/>
        <v>2017</v>
      </c>
      <c r="Q527" t="str">
        <f>""</f>
        <v/>
      </c>
      <c r="R527" t="str">
        <f>"Y"</f>
        <v>Y</v>
      </c>
      <c r="S527" t="str">
        <f>"15.00"</f>
        <v>15.00</v>
      </c>
      <c r="T527" t="str">
        <f>"725.83"</f>
        <v>725.83</v>
      </c>
      <c r="U527" t="str">
        <f>"123094.00"</f>
        <v>123094.00</v>
      </c>
      <c r="V527" t="str">
        <f>"123094.00"</f>
        <v>123094.00</v>
      </c>
      <c r="W527" t="str">
        <f t="shared" si="152"/>
        <v>2017</v>
      </c>
      <c r="X527" t="str">
        <f>"13.00"</f>
        <v>13.00</v>
      </c>
      <c r="Y527" t="str">
        <f>"779.60"</f>
        <v>779.60</v>
      </c>
      <c r="Z527" t="str">
        <f>"25000.00"</f>
        <v>25000.00</v>
      </c>
      <c r="AA527" t="str">
        <f>"98094.00"</f>
        <v>98094.00</v>
      </c>
      <c r="AB527" t="str">
        <f t="shared" si="158"/>
        <v>Residential</v>
      </c>
      <c r="AC527" t="str">
        <f t="shared" si="153"/>
        <v>0</v>
      </c>
      <c r="AD527" t="str">
        <f>"4"</f>
        <v>4</v>
      </c>
      <c r="AE527" t="str">
        <f>"WOOD (INCLUDE STEEL STUDS)"</f>
        <v>WOOD (INCLUDE STEEL STUDS)</v>
      </c>
      <c r="AF527" t="str">
        <f>"002"</f>
        <v>002</v>
      </c>
      <c r="AG527" t="str">
        <f t="shared" si="156"/>
        <v>FL</v>
      </c>
      <c r="AH527" t="str">
        <f>"653400.00"</f>
        <v>653400.00</v>
      </c>
      <c r="AI527" t="str">
        <f>"82500.00"</f>
        <v>82500.00</v>
      </c>
      <c r="AJ527" t="str">
        <f>"C55-000-587-5060-5"</f>
        <v>C55-000-587-5060-5</v>
      </c>
      <c r="AK527" t="str">
        <f>"7908"</f>
        <v>7908</v>
      </c>
      <c r="AL527">
        <v>2</v>
      </c>
      <c r="AM527">
        <v>612</v>
      </c>
      <c r="AN527">
        <v>816.98</v>
      </c>
      <c r="AQ527" t="s">
        <v>5686</v>
      </c>
      <c r="AR527" t="s">
        <v>5686</v>
      </c>
      <c r="AS527" t="s">
        <v>5686</v>
      </c>
      <c r="AU527" t="s">
        <v>396</v>
      </c>
      <c r="AV527">
        <v>2017</v>
      </c>
      <c r="AW527" t="str">
        <f>"27-3N-24-2020-0061-0020 "</f>
        <v xml:space="preserve">27-3N-24-2020-0061-0020 </v>
      </c>
      <c r="AX527">
        <v>36117</v>
      </c>
      <c r="AZ527" t="s">
        <v>5687</v>
      </c>
      <c r="BA527" t="s">
        <v>653</v>
      </c>
      <c r="BD527" t="s">
        <v>2785</v>
      </c>
      <c r="BE527" t="s">
        <v>393</v>
      </c>
      <c r="BF527">
        <v>32011</v>
      </c>
      <c r="BG527" t="s">
        <v>5688</v>
      </c>
      <c r="BH527" t="s">
        <v>2787</v>
      </c>
      <c r="BI527">
        <v>-81.889151986105503</v>
      </c>
      <c r="BJ527">
        <v>30.652841066060201</v>
      </c>
      <c r="BK527" t="s">
        <v>5689</v>
      </c>
      <c r="BM527" t="s">
        <v>5688</v>
      </c>
      <c r="BN527" t="s">
        <v>928</v>
      </c>
      <c r="BO527">
        <v>32011</v>
      </c>
      <c r="BP527" t="s">
        <v>416</v>
      </c>
      <c r="BQ527">
        <v>200</v>
      </c>
      <c r="BR527" t="s">
        <v>405</v>
      </c>
      <c r="BS527">
        <v>1006</v>
      </c>
      <c r="BT527" t="s">
        <v>406</v>
      </c>
      <c r="BW527">
        <v>653400</v>
      </c>
      <c r="BX527" t="s">
        <v>407</v>
      </c>
      <c r="BY527" t="s">
        <v>408</v>
      </c>
      <c r="BZ527">
        <v>4</v>
      </c>
      <c r="CA527">
        <v>1995</v>
      </c>
      <c r="CB527">
        <v>1</v>
      </c>
      <c r="CC527">
        <v>2</v>
      </c>
      <c r="CD527">
        <v>2017</v>
      </c>
      <c r="CG527">
        <v>123094</v>
      </c>
      <c r="CH527">
        <v>2017</v>
      </c>
      <c r="CI527">
        <v>82500</v>
      </c>
      <c r="CJ527">
        <v>73956</v>
      </c>
      <c r="CK527">
        <v>156456</v>
      </c>
      <c r="CL527">
        <v>2017</v>
      </c>
      <c r="CM527">
        <v>725.83</v>
      </c>
      <c r="CN527" s="1">
        <v>32734</v>
      </c>
      <c r="CO527">
        <v>62000</v>
      </c>
      <c r="CZ527" s="1">
        <v>32734</v>
      </c>
      <c r="DD527" t="s">
        <v>2785</v>
      </c>
      <c r="DG527">
        <v>27</v>
      </c>
      <c r="DL527">
        <v>50400</v>
      </c>
      <c r="DM527" t="s">
        <v>5642</v>
      </c>
      <c r="DO527" t="s">
        <v>5690</v>
      </c>
      <c r="DP527">
        <v>0</v>
      </c>
      <c r="DQ527">
        <v>0</v>
      </c>
      <c r="DR527" t="s">
        <v>411</v>
      </c>
      <c r="DS527" t="b">
        <v>1</v>
      </c>
      <c r="DT527" t="s">
        <v>470</v>
      </c>
      <c r="DU527" t="s">
        <v>471</v>
      </c>
      <c r="DV527" t="s">
        <v>472</v>
      </c>
      <c r="DX527">
        <v>-9999</v>
      </c>
      <c r="DZ527" t="s">
        <v>447</v>
      </c>
      <c r="EA527" t="s">
        <v>448</v>
      </c>
      <c r="EB527" t="s">
        <v>742</v>
      </c>
      <c r="EC527">
        <v>20101217</v>
      </c>
      <c r="ED527" t="s">
        <v>474</v>
      </c>
      <c r="EF527">
        <v>84.6</v>
      </c>
      <c r="EG527">
        <v>84.6</v>
      </c>
      <c r="EH527" t="s">
        <v>451</v>
      </c>
      <c r="EI527">
        <v>20140731</v>
      </c>
      <c r="EJ527">
        <v>6</v>
      </c>
      <c r="EK527">
        <v>0</v>
      </c>
      <c r="EP527" t="s">
        <v>421</v>
      </c>
      <c r="EQ527" t="s">
        <v>452</v>
      </c>
      <c r="ER527">
        <v>0</v>
      </c>
      <c r="ES527">
        <v>8</v>
      </c>
      <c r="ET527">
        <v>0</v>
      </c>
      <c r="EU527">
        <v>0</v>
      </c>
      <c r="EV527">
        <v>0</v>
      </c>
      <c r="EW527" s="2">
        <v>43222</v>
      </c>
      <c r="EX527" s="1">
        <v>42879</v>
      </c>
      <c r="EY527">
        <v>2016</v>
      </c>
      <c r="EZ527">
        <v>1046.82</v>
      </c>
      <c r="FA527" t="s">
        <v>5691</v>
      </c>
      <c r="FB527">
        <v>0.25</v>
      </c>
      <c r="FC527" t="s">
        <v>424</v>
      </c>
      <c r="FD527" t="s">
        <v>425</v>
      </c>
      <c r="FE527" s="1">
        <v>42913</v>
      </c>
      <c r="FF527">
        <v>1</v>
      </c>
      <c r="FG527">
        <v>11289</v>
      </c>
      <c r="FH527" t="s">
        <v>787</v>
      </c>
      <c r="FJ527" s="1">
        <v>42879</v>
      </c>
      <c r="FK527">
        <v>2016</v>
      </c>
      <c r="FL527">
        <v>1046.82</v>
      </c>
      <c r="FM527" t="s">
        <v>5691</v>
      </c>
      <c r="FN527">
        <v>0.25</v>
      </c>
      <c r="FO527" t="s">
        <v>424</v>
      </c>
      <c r="FP527" t="s">
        <v>425</v>
      </c>
      <c r="FR527">
        <v>22</v>
      </c>
      <c r="FS527">
        <v>7177943</v>
      </c>
      <c r="FT527" t="s">
        <v>5692</v>
      </c>
      <c r="FV527" s="1">
        <v>42151</v>
      </c>
      <c r="FW527">
        <v>2014</v>
      </c>
      <c r="FX527">
        <v>1433.5</v>
      </c>
      <c r="FY527" t="s">
        <v>5693</v>
      </c>
      <c r="FZ527">
        <v>0.25</v>
      </c>
      <c r="GA527" t="s">
        <v>424</v>
      </c>
      <c r="GB527" t="s">
        <v>425</v>
      </c>
      <c r="GC527" s="1">
        <v>42475</v>
      </c>
      <c r="GD527">
        <v>11</v>
      </c>
      <c r="GE527">
        <v>2851116</v>
      </c>
      <c r="GF527" t="s">
        <v>480</v>
      </c>
      <c r="GG527" t="s">
        <v>458</v>
      </c>
      <c r="GH527" s="1">
        <v>42151</v>
      </c>
      <c r="GI527">
        <v>2014</v>
      </c>
      <c r="GJ527">
        <v>1433.5</v>
      </c>
      <c r="GK527" t="s">
        <v>5693</v>
      </c>
      <c r="GL527">
        <v>0.25</v>
      </c>
      <c r="GM527" t="s">
        <v>424</v>
      </c>
      <c r="GN527" t="s">
        <v>425</v>
      </c>
      <c r="GP527">
        <v>22</v>
      </c>
      <c r="GQ527">
        <v>4916703</v>
      </c>
      <c r="GR527" t="s">
        <v>5694</v>
      </c>
      <c r="GS527" t="s">
        <v>458</v>
      </c>
      <c r="GT527" s="1">
        <v>41787</v>
      </c>
      <c r="GU527">
        <v>2013</v>
      </c>
      <c r="GV527">
        <v>1585.17</v>
      </c>
      <c r="GW527" t="s">
        <v>5695</v>
      </c>
      <c r="GX527">
        <v>0.25</v>
      </c>
      <c r="GY527" t="s">
        <v>424</v>
      </c>
      <c r="GZ527" t="s">
        <v>425</v>
      </c>
      <c r="HB527">
        <v>22</v>
      </c>
      <c r="HC527">
        <v>2407503</v>
      </c>
      <c r="HD527" t="s">
        <v>461</v>
      </c>
      <c r="HE527" t="s">
        <v>458</v>
      </c>
      <c r="HF527" s="1">
        <v>41423</v>
      </c>
      <c r="HG527">
        <v>2012</v>
      </c>
      <c r="HH527">
        <v>358.13</v>
      </c>
      <c r="HI527" t="s">
        <v>5696</v>
      </c>
      <c r="HJ527">
        <v>3.75</v>
      </c>
      <c r="HK527" t="s">
        <v>424</v>
      </c>
      <c r="HL527" t="s">
        <v>425</v>
      </c>
      <c r="HM527" s="1">
        <v>41676</v>
      </c>
      <c r="HN527">
        <v>9</v>
      </c>
      <c r="HO527">
        <v>15399</v>
      </c>
      <c r="HP527" t="s">
        <v>485</v>
      </c>
      <c r="HR527" s="1">
        <v>41052</v>
      </c>
      <c r="HS527">
        <v>2011</v>
      </c>
      <c r="HT527">
        <v>1845.99</v>
      </c>
      <c r="HU527" t="s">
        <v>5697</v>
      </c>
      <c r="HV527">
        <v>5.25</v>
      </c>
      <c r="HW527" t="s">
        <v>424</v>
      </c>
      <c r="HX527" t="s">
        <v>425</v>
      </c>
      <c r="HY527" s="1">
        <v>41676</v>
      </c>
      <c r="HZ527">
        <v>21</v>
      </c>
      <c r="IA527">
        <v>10125</v>
      </c>
      <c r="IB527" t="s">
        <v>440</v>
      </c>
      <c r="ID527" s="1">
        <v>40688</v>
      </c>
      <c r="IE527">
        <v>2010</v>
      </c>
      <c r="IF527">
        <v>1870.12</v>
      </c>
      <c r="IG527" t="s">
        <v>5698</v>
      </c>
      <c r="IH527">
        <v>8</v>
      </c>
      <c r="II527" t="s">
        <v>424</v>
      </c>
      <c r="IJ527" t="s">
        <v>425</v>
      </c>
      <c r="IK527" s="1">
        <v>41361</v>
      </c>
      <c r="IL527">
        <v>22</v>
      </c>
      <c r="IM527">
        <v>11298</v>
      </c>
      <c r="IN527" t="s">
        <v>5699</v>
      </c>
    </row>
    <row r="528" spans="1:284" x14ac:dyDescent="0.25">
      <c r="A528">
        <v>16485535</v>
      </c>
      <c r="B528">
        <v>527</v>
      </c>
      <c r="C528" t="s">
        <v>393</v>
      </c>
      <c r="D528" t="s">
        <v>394</v>
      </c>
      <c r="F528" t="str">
        <f>"27-3N-24-2020-0062-0020"</f>
        <v>27-3N-24-2020-0062-0020</v>
      </c>
      <c r="H528" t="str">
        <f>"PORTER MATTHEW B &amp; CONNIE FAYE"</f>
        <v>PORTER MATTHEW B &amp; CONNIE FAYE</v>
      </c>
      <c r="I528" t="str">
        <f>"36001 ALDERWOOD STREET"</f>
        <v>36001 ALDERWOOD STREET</v>
      </c>
      <c r="J528" t="str">
        <f>"CALLAHAN FL 32011"</f>
        <v>CALLAHAN FL 32011</v>
      </c>
      <c r="K528" t="str">
        <f>"36001 ALDERWOOD ST"</f>
        <v>36001 ALDERWOOD ST</v>
      </c>
      <c r="L528" t="str">
        <f t="shared" si="157"/>
        <v>CALLAHAN FL 32011</v>
      </c>
      <c r="M528" t="str">
        <f>"PT OF LOTS 62 63 &amp; 64 IN OR 583 PG 82 CORNWALL SURVEY PB 0/31"</f>
        <v>PT OF LOTS 62 63 &amp; 64 IN OR 583 PG 82 CORNWALL SURVEY PB 0/31</v>
      </c>
      <c r="N528" t="str">
        <f>""</f>
        <v/>
      </c>
      <c r="O528" t="str">
        <f>"37818"</f>
        <v>37818</v>
      </c>
      <c r="P528" t="str">
        <f t="shared" si="151"/>
        <v>2017</v>
      </c>
      <c r="Q528" t="str">
        <f>""</f>
        <v/>
      </c>
      <c r="R528" t="str">
        <f t="shared" ref="R528:R534" si="159">"N"</f>
        <v>N</v>
      </c>
      <c r="S528" t="str">
        <f>"10.00"</f>
        <v>10.00</v>
      </c>
      <c r="T528" t="str">
        <f>"2499.63"</f>
        <v>2499.63</v>
      </c>
      <c r="U528" t="str">
        <f>"165114.00"</f>
        <v>165114.00</v>
      </c>
      <c r="V528" t="str">
        <f>"165114.00"</f>
        <v>165114.00</v>
      </c>
      <c r="W528" t="str">
        <f t="shared" si="152"/>
        <v>2017</v>
      </c>
      <c r="X528" t="str">
        <f>"10.38"</f>
        <v>10.38</v>
      </c>
      <c r="Y528" t="str">
        <f>"2606.62"</f>
        <v>2606.62</v>
      </c>
      <c r="Z528" t="str">
        <f>""</f>
        <v/>
      </c>
      <c r="AA528" t="str">
        <f>"165114.00"</f>
        <v>165114.00</v>
      </c>
      <c r="AB528" t="str">
        <f t="shared" si="158"/>
        <v>Residential</v>
      </c>
      <c r="AC528" t="str">
        <f t="shared" si="153"/>
        <v>0</v>
      </c>
      <c r="AD528" t="str">
        <f>"4"</f>
        <v>4</v>
      </c>
      <c r="AE528" t="str">
        <f>"WOOD (INCLUDE STEEL STUDS)"</f>
        <v>WOOD (INCLUDE STEEL STUDS)</v>
      </c>
      <c r="AF528" t="str">
        <f>"001"</f>
        <v>001</v>
      </c>
      <c r="AG528" t="str">
        <f t="shared" si="156"/>
        <v>FL</v>
      </c>
      <c r="AH528" t="str">
        <f>"435600.00"</f>
        <v>435600.00</v>
      </c>
      <c r="AI528" t="str">
        <f>"60000.00"</f>
        <v>60000.00</v>
      </c>
      <c r="AJ528" t="str">
        <f>"C55-000-587-5062-1"</f>
        <v>C55-000-587-5062-1</v>
      </c>
      <c r="AK528" t="str">
        <f>"7910"</f>
        <v>7910</v>
      </c>
      <c r="AL528">
        <v>2</v>
      </c>
      <c r="AM528">
        <v>613</v>
      </c>
      <c r="AN528">
        <v>2735.35</v>
      </c>
      <c r="AQ528" t="s">
        <v>5700</v>
      </c>
      <c r="AR528" t="s">
        <v>5700</v>
      </c>
      <c r="AS528" t="s">
        <v>5700</v>
      </c>
      <c r="AU528" t="s">
        <v>396</v>
      </c>
      <c r="AV528">
        <v>2017</v>
      </c>
      <c r="AW528" t="str">
        <f>"27-3N-24-2020-0062-0020 "</f>
        <v xml:space="preserve">27-3N-24-2020-0062-0020 </v>
      </c>
      <c r="AX528">
        <v>36001</v>
      </c>
      <c r="AZ528" t="s">
        <v>5701</v>
      </c>
      <c r="BA528" t="s">
        <v>1942</v>
      </c>
      <c r="BD528" t="s">
        <v>2785</v>
      </c>
      <c r="BE528" t="s">
        <v>393</v>
      </c>
      <c r="BF528">
        <v>32011</v>
      </c>
      <c r="BG528" t="s">
        <v>5702</v>
      </c>
      <c r="BH528" t="s">
        <v>2787</v>
      </c>
      <c r="BI528">
        <v>-81.886713795665202</v>
      </c>
      <c r="BJ528">
        <v>30.6537293135606</v>
      </c>
      <c r="BK528" t="s">
        <v>5703</v>
      </c>
      <c r="BM528" t="s">
        <v>5704</v>
      </c>
      <c r="BN528" t="s">
        <v>928</v>
      </c>
      <c r="BO528">
        <v>32011</v>
      </c>
      <c r="BP528" t="s">
        <v>416</v>
      </c>
      <c r="BQ528">
        <v>100</v>
      </c>
      <c r="BR528" t="s">
        <v>514</v>
      </c>
      <c r="BS528">
        <v>1001</v>
      </c>
      <c r="BT528" t="s">
        <v>515</v>
      </c>
      <c r="BW528">
        <v>435600</v>
      </c>
      <c r="BX528" t="s">
        <v>407</v>
      </c>
      <c r="BY528" t="s">
        <v>408</v>
      </c>
      <c r="BZ528">
        <v>4</v>
      </c>
      <c r="CA528">
        <v>1976</v>
      </c>
      <c r="CB528">
        <v>1</v>
      </c>
      <c r="CC528">
        <v>1</v>
      </c>
      <c r="CD528">
        <v>2017</v>
      </c>
      <c r="CE528">
        <v>60000</v>
      </c>
      <c r="CF528">
        <v>105114</v>
      </c>
      <c r="CG528">
        <v>165114</v>
      </c>
      <c r="CH528">
        <v>2017</v>
      </c>
      <c r="CI528">
        <v>60000</v>
      </c>
      <c r="CJ528">
        <v>105114</v>
      </c>
      <c r="CK528">
        <v>165114</v>
      </c>
      <c r="CL528">
        <v>2017</v>
      </c>
      <c r="CM528">
        <v>2499.63</v>
      </c>
      <c r="CN528" s="1">
        <v>32818</v>
      </c>
      <c r="CO528">
        <v>88000</v>
      </c>
      <c r="CZ528" s="1">
        <v>32818</v>
      </c>
      <c r="DD528" t="s">
        <v>2785</v>
      </c>
      <c r="DG528">
        <v>27</v>
      </c>
      <c r="DJ528" t="s">
        <v>1990</v>
      </c>
      <c r="DL528">
        <v>50400</v>
      </c>
      <c r="DM528" t="s">
        <v>5642</v>
      </c>
      <c r="DO528" t="s">
        <v>5705</v>
      </c>
      <c r="DP528">
        <v>0</v>
      </c>
      <c r="DQ528">
        <v>0</v>
      </c>
      <c r="DR528" t="s">
        <v>411</v>
      </c>
      <c r="DS528" t="b">
        <v>1</v>
      </c>
      <c r="DT528" t="s">
        <v>470</v>
      </c>
      <c r="DU528" t="s">
        <v>471</v>
      </c>
      <c r="DV528" t="s">
        <v>472</v>
      </c>
      <c r="DX528">
        <v>-9999</v>
      </c>
      <c r="DZ528" t="s">
        <v>447</v>
      </c>
      <c r="EA528" t="s">
        <v>448</v>
      </c>
      <c r="EB528" t="s">
        <v>1224</v>
      </c>
      <c r="EC528">
        <v>20101217</v>
      </c>
      <c r="ED528" t="s">
        <v>474</v>
      </c>
      <c r="EF528">
        <v>1098.8</v>
      </c>
      <c r="EG528">
        <v>1098.8</v>
      </c>
      <c r="EI528">
        <v>20160407</v>
      </c>
      <c r="EJ528">
        <v>0</v>
      </c>
      <c r="EK528">
        <v>0</v>
      </c>
      <c r="EP528" t="s">
        <v>421</v>
      </c>
      <c r="EQ528" t="s">
        <v>422</v>
      </c>
      <c r="ER528">
        <v>0</v>
      </c>
      <c r="ES528">
        <v>11</v>
      </c>
      <c r="ET528">
        <v>0</v>
      </c>
      <c r="EU528">
        <v>0</v>
      </c>
      <c r="EV528">
        <v>0</v>
      </c>
      <c r="EW528" s="2">
        <v>43222</v>
      </c>
      <c r="EX528" s="1">
        <v>42879</v>
      </c>
      <c r="EY528">
        <v>2016</v>
      </c>
      <c r="EZ528">
        <v>2780.67</v>
      </c>
      <c r="FA528" t="s">
        <v>5706</v>
      </c>
      <c r="FB528">
        <v>0.25</v>
      </c>
      <c r="FC528" t="s">
        <v>424</v>
      </c>
      <c r="FD528" t="s">
        <v>425</v>
      </c>
      <c r="FE528" s="1">
        <v>43153</v>
      </c>
      <c r="FF528">
        <v>9</v>
      </c>
      <c r="FG528">
        <v>7336671</v>
      </c>
      <c r="FH528" t="s">
        <v>437</v>
      </c>
      <c r="FJ528" s="1">
        <v>42879</v>
      </c>
      <c r="FK528">
        <v>2016</v>
      </c>
      <c r="FL528">
        <v>2780.67</v>
      </c>
      <c r="FM528" t="s">
        <v>5706</v>
      </c>
      <c r="FN528">
        <v>0.25</v>
      </c>
      <c r="FO528" t="s">
        <v>424</v>
      </c>
      <c r="FP528" t="s">
        <v>425</v>
      </c>
      <c r="FR528">
        <v>22</v>
      </c>
      <c r="FS528">
        <v>6755979</v>
      </c>
      <c r="FT528" t="s">
        <v>5707</v>
      </c>
      <c r="FV528" s="1">
        <v>42515</v>
      </c>
      <c r="FW528">
        <v>2015</v>
      </c>
      <c r="FX528">
        <v>2790.19</v>
      </c>
      <c r="FY528" t="s">
        <v>5708</v>
      </c>
      <c r="FZ528">
        <v>0.25</v>
      </c>
      <c r="GA528" t="s">
        <v>424</v>
      </c>
      <c r="GB528" t="s">
        <v>425</v>
      </c>
      <c r="GC528" s="1">
        <v>42797</v>
      </c>
      <c r="GD528">
        <v>10</v>
      </c>
      <c r="GE528">
        <v>7336671</v>
      </c>
      <c r="GF528" t="s">
        <v>437</v>
      </c>
      <c r="GH528" s="1">
        <v>42515</v>
      </c>
      <c r="GI528">
        <v>2015</v>
      </c>
      <c r="GJ528">
        <v>2790.19</v>
      </c>
      <c r="GK528" t="s">
        <v>5708</v>
      </c>
      <c r="GL528">
        <v>0.25</v>
      </c>
      <c r="GM528" t="s">
        <v>424</v>
      </c>
      <c r="GN528" t="s">
        <v>425</v>
      </c>
      <c r="GP528">
        <v>22</v>
      </c>
      <c r="GQ528">
        <v>7030758</v>
      </c>
      <c r="GR528" t="s">
        <v>5709</v>
      </c>
      <c r="GT528" s="1">
        <v>42151</v>
      </c>
      <c r="GU528">
        <v>2014</v>
      </c>
      <c r="GV528">
        <v>2501.61</v>
      </c>
      <c r="GW528" t="s">
        <v>5710</v>
      </c>
      <c r="GX528">
        <v>0.25</v>
      </c>
      <c r="GY528" t="s">
        <v>424</v>
      </c>
      <c r="GZ528" t="s">
        <v>425</v>
      </c>
      <c r="HB528">
        <v>22</v>
      </c>
      <c r="HC528">
        <v>15259</v>
      </c>
      <c r="HD528" t="s">
        <v>891</v>
      </c>
      <c r="HF528" s="1">
        <v>42151</v>
      </c>
      <c r="HG528">
        <v>2014</v>
      </c>
      <c r="HH528">
        <v>2501.61</v>
      </c>
      <c r="HI528" t="s">
        <v>5710</v>
      </c>
      <c r="HJ528">
        <v>0.25</v>
      </c>
      <c r="HK528" t="s">
        <v>424</v>
      </c>
      <c r="HL528" t="s">
        <v>425</v>
      </c>
      <c r="HN528">
        <v>22</v>
      </c>
      <c r="HO528">
        <v>6816512</v>
      </c>
      <c r="HP528" t="s">
        <v>5711</v>
      </c>
      <c r="HR528" s="1">
        <v>42151</v>
      </c>
      <c r="HS528">
        <v>2014</v>
      </c>
      <c r="HT528">
        <v>2501.61</v>
      </c>
      <c r="HU528" t="s">
        <v>5710</v>
      </c>
      <c r="HV528">
        <v>0.25</v>
      </c>
      <c r="HW528" t="s">
        <v>424</v>
      </c>
      <c r="HX528" t="s">
        <v>425</v>
      </c>
      <c r="HY528" s="1">
        <v>42457</v>
      </c>
      <c r="HZ528">
        <v>10</v>
      </c>
      <c r="IA528">
        <v>7045049</v>
      </c>
      <c r="IB528" t="s">
        <v>1335</v>
      </c>
      <c r="ID528" s="1">
        <v>41787</v>
      </c>
      <c r="IE528">
        <v>2013</v>
      </c>
      <c r="IF528">
        <v>2427.1</v>
      </c>
      <c r="IG528" t="s">
        <v>5712</v>
      </c>
      <c r="IH528">
        <v>0.25</v>
      </c>
      <c r="II528" t="s">
        <v>424</v>
      </c>
      <c r="IJ528" t="s">
        <v>425</v>
      </c>
      <c r="IK528" s="1">
        <v>42080</v>
      </c>
      <c r="IL528">
        <v>10</v>
      </c>
      <c r="IM528">
        <v>2675455</v>
      </c>
      <c r="IN528" t="s">
        <v>1981</v>
      </c>
      <c r="IP528" s="1">
        <v>41423</v>
      </c>
      <c r="IQ528">
        <v>2012</v>
      </c>
      <c r="IR528">
        <v>2449.81</v>
      </c>
      <c r="IS528" t="s">
        <v>5713</v>
      </c>
      <c r="IT528">
        <v>0.25</v>
      </c>
      <c r="IU528" t="s">
        <v>424</v>
      </c>
      <c r="IV528" t="s">
        <v>425</v>
      </c>
      <c r="IW528" s="1">
        <v>41726</v>
      </c>
      <c r="IX528">
        <v>10</v>
      </c>
      <c r="IY528">
        <v>11289</v>
      </c>
      <c r="IZ528" t="s">
        <v>787</v>
      </c>
      <c r="JB528" s="1">
        <v>41052</v>
      </c>
      <c r="JC528">
        <v>2011</v>
      </c>
      <c r="JD528">
        <v>2648.42</v>
      </c>
      <c r="JE528" t="s">
        <v>5714</v>
      </c>
      <c r="JF528">
        <v>0.25</v>
      </c>
      <c r="JG528" t="s">
        <v>424</v>
      </c>
      <c r="JH528" t="s">
        <v>425</v>
      </c>
      <c r="JI528" s="1">
        <v>41649</v>
      </c>
      <c r="JJ528">
        <v>20</v>
      </c>
      <c r="JK528">
        <v>13778</v>
      </c>
      <c r="JL528" t="s">
        <v>5715</v>
      </c>
      <c r="JN528" s="1">
        <v>40688</v>
      </c>
      <c r="JO528">
        <v>2010</v>
      </c>
      <c r="JP528">
        <v>2788.35</v>
      </c>
      <c r="JQ528" t="s">
        <v>5716</v>
      </c>
      <c r="JR528">
        <v>0.25</v>
      </c>
      <c r="JS528" t="s">
        <v>424</v>
      </c>
      <c r="JT528" t="s">
        <v>425</v>
      </c>
      <c r="JU528" s="1">
        <v>40988</v>
      </c>
      <c r="JV528">
        <v>10</v>
      </c>
      <c r="JW528">
        <v>11177</v>
      </c>
      <c r="JX528" t="s">
        <v>650</v>
      </c>
    </row>
    <row r="529" spans="1:284" x14ac:dyDescent="0.25">
      <c r="A529">
        <v>16485536</v>
      </c>
      <c r="B529">
        <v>528</v>
      </c>
      <c r="C529" t="s">
        <v>393</v>
      </c>
      <c r="D529" t="s">
        <v>394</v>
      </c>
      <c r="F529" t="str">
        <f>"28-3N-24-0000-0001-0100"</f>
        <v>28-3N-24-0000-0001-0100</v>
      </c>
      <c r="H529" t="str">
        <f>"CRANE THOMAS PAUL"</f>
        <v>CRANE THOMAS PAUL</v>
      </c>
      <c r="I529" t="str">
        <f>"618351 MARTIN LUTHER KING AVE"</f>
        <v>618351 MARTIN LUTHER KING AVE</v>
      </c>
      <c r="J529" t="str">
        <f>"CALLAHAN FL 32011"</f>
        <v>CALLAHAN FL 32011</v>
      </c>
      <c r="K529" t="str">
        <f>"36124 UTOPIA TL"</f>
        <v>36124 UTOPIA TL</v>
      </c>
      <c r="L529" t="str">
        <f t="shared" ref="L529:L534" si="160">"HILLIARD FL 32046"</f>
        <v>HILLIARD FL 32046</v>
      </c>
      <c r="M529" t="str">
        <f>"PT OF NE1/4 OF SE1/4 PT OR 998/172"</f>
        <v>PT OF NE1/4 OF SE1/4 PT OR 998/172</v>
      </c>
      <c r="N529" t="str">
        <f>""</f>
        <v/>
      </c>
      <c r="O529" t="str">
        <f>"38225"</f>
        <v>38225</v>
      </c>
      <c r="P529" t="str">
        <f t="shared" si="151"/>
        <v>2017</v>
      </c>
      <c r="Q529" t="str">
        <f>""</f>
        <v/>
      </c>
      <c r="R529" t="str">
        <f t="shared" si="159"/>
        <v>N</v>
      </c>
      <c r="S529" t="str">
        <f>"1.89"</f>
        <v>1.89</v>
      </c>
      <c r="T529" t="str">
        <f>"467.89"</f>
        <v>467.89</v>
      </c>
      <c r="U529" t="str">
        <f>"28248.00"</f>
        <v>28248.00</v>
      </c>
      <c r="V529" t="str">
        <f>"28248.00"</f>
        <v>28248.00</v>
      </c>
      <c r="W529" t="str">
        <f t="shared" si="152"/>
        <v>2017</v>
      </c>
      <c r="X529" t="str">
        <f>"7.00"</f>
        <v>7.00</v>
      </c>
      <c r="Y529" t="str">
        <f>"513.93"</f>
        <v>513.93</v>
      </c>
      <c r="Z529" t="str">
        <f>""</f>
        <v/>
      </c>
      <c r="AA529" t="str">
        <f>"34350.00"</f>
        <v>34350.00</v>
      </c>
      <c r="AB529" t="str">
        <f t="shared" si="158"/>
        <v>Residential</v>
      </c>
      <c r="AC529" t="str">
        <f t="shared" si="153"/>
        <v>0</v>
      </c>
      <c r="AD529" t="str">
        <f>""</f>
        <v/>
      </c>
      <c r="AE529" t="str">
        <f>""</f>
        <v/>
      </c>
      <c r="AF529" t="str">
        <f>"000"</f>
        <v>000</v>
      </c>
      <c r="AG529" t="str">
        <f t="shared" si="156"/>
        <v>FL</v>
      </c>
      <c r="AH529" t="str">
        <f>"82328.00"</f>
        <v>82328.00</v>
      </c>
      <c r="AI529" t="str">
        <f>"28350.00"</f>
        <v>28350.00</v>
      </c>
      <c r="AJ529" t="str">
        <f>"C55-000-587-5366-6"</f>
        <v>C55-000-587-5366-6</v>
      </c>
      <c r="AK529" t="str">
        <f>"7919"</f>
        <v>7919</v>
      </c>
      <c r="AL529">
        <v>2</v>
      </c>
      <c r="AM529">
        <v>615</v>
      </c>
      <c r="AN529">
        <v>538.03</v>
      </c>
      <c r="AQ529" t="s">
        <v>5717</v>
      </c>
      <c r="AR529" t="s">
        <v>5717</v>
      </c>
      <c r="AS529" t="s">
        <v>5717</v>
      </c>
      <c r="AU529" t="s">
        <v>396</v>
      </c>
      <c r="AV529">
        <v>2017</v>
      </c>
      <c r="AW529" t="str">
        <f>"28-3N-24-0000-0001-0100 "</f>
        <v xml:space="preserve">28-3N-24-0000-0001-0100 </v>
      </c>
      <c r="AX529">
        <v>36124</v>
      </c>
      <c r="AZ529" t="s">
        <v>5718</v>
      </c>
      <c r="BD529" t="s">
        <v>398</v>
      </c>
      <c r="BE529" t="s">
        <v>393</v>
      </c>
      <c r="BF529">
        <v>32046</v>
      </c>
      <c r="BG529" t="s">
        <v>5719</v>
      </c>
      <c r="BH529" t="s">
        <v>400</v>
      </c>
      <c r="BI529">
        <v>-81.903846388649399</v>
      </c>
      <c r="BJ529">
        <v>30.6441341750695</v>
      </c>
      <c r="BK529" t="s">
        <v>5720</v>
      </c>
      <c r="BM529" t="s">
        <v>5721</v>
      </c>
      <c r="BN529" t="s">
        <v>928</v>
      </c>
      <c r="BO529">
        <v>32011</v>
      </c>
      <c r="BP529" t="s">
        <v>404</v>
      </c>
      <c r="BQ529">
        <v>1</v>
      </c>
      <c r="BR529" t="s">
        <v>491</v>
      </c>
      <c r="BS529">
        <v>8001</v>
      </c>
      <c r="BT529" t="s">
        <v>492</v>
      </c>
      <c r="BW529">
        <v>82328</v>
      </c>
      <c r="BX529" t="s">
        <v>407</v>
      </c>
      <c r="BY529" t="s">
        <v>408</v>
      </c>
      <c r="CD529">
        <v>2017</v>
      </c>
      <c r="CE529">
        <v>28350</v>
      </c>
      <c r="CF529">
        <v>6000</v>
      </c>
      <c r="CG529">
        <v>34350</v>
      </c>
      <c r="CH529">
        <v>2017</v>
      </c>
      <c r="CI529">
        <v>28350</v>
      </c>
      <c r="CJ529">
        <v>6000</v>
      </c>
      <c r="CK529">
        <v>34350</v>
      </c>
      <c r="CL529">
        <v>2017</v>
      </c>
      <c r="CM529">
        <v>467.89</v>
      </c>
      <c r="CN529" s="1">
        <v>37089</v>
      </c>
      <c r="CO529">
        <v>5000</v>
      </c>
      <c r="CZ529" s="1">
        <v>37089</v>
      </c>
      <c r="DD529" t="s">
        <v>398</v>
      </c>
      <c r="DG529">
        <v>28</v>
      </c>
      <c r="DL529">
        <v>50400</v>
      </c>
      <c r="DM529" t="s">
        <v>5722</v>
      </c>
      <c r="DO529" t="s">
        <v>5723</v>
      </c>
      <c r="DP529">
        <v>0</v>
      </c>
      <c r="DQ529">
        <v>0</v>
      </c>
      <c r="DR529" t="s">
        <v>411</v>
      </c>
      <c r="EP529" t="s">
        <v>6</v>
      </c>
      <c r="EQ529" t="s">
        <v>422</v>
      </c>
      <c r="ER529">
        <v>0</v>
      </c>
      <c r="ES529">
        <v>1</v>
      </c>
      <c r="ET529">
        <v>0</v>
      </c>
      <c r="EU529">
        <v>0</v>
      </c>
      <c r="EV529">
        <v>0</v>
      </c>
      <c r="EW529" s="2">
        <v>43222</v>
      </c>
      <c r="EX529" s="1">
        <v>41787</v>
      </c>
      <c r="EY529">
        <v>2013</v>
      </c>
      <c r="EZ529">
        <v>66.87</v>
      </c>
      <c r="FA529" t="s">
        <v>5724</v>
      </c>
      <c r="FB529">
        <v>18</v>
      </c>
      <c r="FC529" t="s">
        <v>603</v>
      </c>
      <c r="FD529" t="s">
        <v>425</v>
      </c>
      <c r="FE529" s="1">
        <v>41822</v>
      </c>
      <c r="FF529">
        <v>2</v>
      </c>
      <c r="FG529">
        <v>9999999</v>
      </c>
      <c r="FH529" t="s">
        <v>604</v>
      </c>
    </row>
    <row r="530" spans="1:284" x14ac:dyDescent="0.25">
      <c r="A530">
        <v>16485537</v>
      </c>
      <c r="B530">
        <v>529</v>
      </c>
      <c r="C530" t="s">
        <v>393</v>
      </c>
      <c r="D530" t="s">
        <v>394</v>
      </c>
      <c r="F530" t="str">
        <f>"28-3N-24-0000-0001-0200"</f>
        <v>28-3N-24-0000-0001-0200</v>
      </c>
      <c r="H530" t="str">
        <f>"CRANE THOMAS PAUL"</f>
        <v>CRANE THOMAS PAUL</v>
      </c>
      <c r="I530" t="str">
        <f>"618351 MARTIN LUTHER KING AVE"</f>
        <v>618351 MARTIN LUTHER KING AVE</v>
      </c>
      <c r="J530" t="str">
        <f>"CALLAHAN FL 32011"</f>
        <v>CALLAHAN FL 32011</v>
      </c>
      <c r="K530" t="str">
        <f>"36027 BETTS RD"</f>
        <v>36027 BETTS RD</v>
      </c>
      <c r="L530" t="str">
        <f t="shared" si="160"/>
        <v>HILLIARD FL 32046</v>
      </c>
      <c r="M530" t="str">
        <f>"PT OF NE1/4 OF SE1/4 PT OR 998/172"</f>
        <v>PT OF NE1/4 OF SE1/4 PT OR 998/172</v>
      </c>
      <c r="N530" t="str">
        <f>""</f>
        <v/>
      </c>
      <c r="O530" t="str">
        <f>"38234"</f>
        <v>38234</v>
      </c>
      <c r="P530" t="str">
        <f t="shared" si="151"/>
        <v>2017</v>
      </c>
      <c r="Q530" t="str">
        <f>""</f>
        <v/>
      </c>
      <c r="R530" t="str">
        <f t="shared" si="159"/>
        <v>N</v>
      </c>
      <c r="S530" t="str">
        <f>"1.00"</f>
        <v>1.00</v>
      </c>
      <c r="T530" t="str">
        <f>"361.09"</f>
        <v>361.09</v>
      </c>
      <c r="U530" t="str">
        <f>"21388.00"</f>
        <v>21388.00</v>
      </c>
      <c r="V530" t="str">
        <f>"21388.00"</f>
        <v>21388.00</v>
      </c>
      <c r="W530" t="str">
        <f t="shared" si="152"/>
        <v>2017</v>
      </c>
      <c r="X530" t="str">
        <f>"1.00"</f>
        <v>1.00</v>
      </c>
      <c r="Y530" t="str">
        <f>"403.92"</f>
        <v>403.92</v>
      </c>
      <c r="Z530" t="str">
        <f>""</f>
        <v/>
      </c>
      <c r="AA530" t="str">
        <f>"27042.00"</f>
        <v>27042.00</v>
      </c>
      <c r="AB530" t="str">
        <f t="shared" si="158"/>
        <v>Residential</v>
      </c>
      <c r="AC530" t="str">
        <f t="shared" si="153"/>
        <v>0</v>
      </c>
      <c r="AD530" t="str">
        <f>"4"</f>
        <v>4</v>
      </c>
      <c r="AE530" t="str">
        <f>"WOOD (INCLUDE STEEL STUDS)"</f>
        <v>WOOD (INCLUDE STEEL STUDS)</v>
      </c>
      <c r="AF530" t="str">
        <f>"002"</f>
        <v>002</v>
      </c>
      <c r="AG530" t="str">
        <f t="shared" si="156"/>
        <v>FL</v>
      </c>
      <c r="AH530" t="str">
        <f>"43560.00"</f>
        <v>43560.00</v>
      </c>
      <c r="AI530" t="str">
        <f>"15000.00"</f>
        <v>15000.00</v>
      </c>
      <c r="AJ530" t="str">
        <f>"C55-000-587-5375-7"</f>
        <v>C55-000-587-5375-7</v>
      </c>
      <c r="AK530" t="str">
        <f>"7927"</f>
        <v>7927</v>
      </c>
      <c r="AL530">
        <v>2</v>
      </c>
      <c r="AM530">
        <v>616</v>
      </c>
      <c r="AN530">
        <v>422.52</v>
      </c>
      <c r="AQ530" t="s">
        <v>5725</v>
      </c>
      <c r="AR530" t="s">
        <v>5725</v>
      </c>
      <c r="AS530" t="s">
        <v>5725</v>
      </c>
      <c r="AU530" t="s">
        <v>396</v>
      </c>
      <c r="AV530">
        <v>2017</v>
      </c>
      <c r="AW530" t="str">
        <f>"28-3N-24-0000-0001-0200 "</f>
        <v xml:space="preserve">28-3N-24-0000-0001-0200 </v>
      </c>
      <c r="AX530">
        <v>36027</v>
      </c>
      <c r="AZ530" t="s">
        <v>5726</v>
      </c>
      <c r="BA530" t="s">
        <v>496</v>
      </c>
      <c r="BD530" t="s">
        <v>398</v>
      </c>
      <c r="BE530" t="s">
        <v>393</v>
      </c>
      <c r="BF530">
        <v>32046</v>
      </c>
      <c r="BG530" t="s">
        <v>5727</v>
      </c>
      <c r="BH530" t="s">
        <v>400</v>
      </c>
      <c r="BI530">
        <v>-81.903557870333103</v>
      </c>
      <c r="BJ530">
        <v>30.643786698709899</v>
      </c>
      <c r="BK530" t="s">
        <v>5720</v>
      </c>
      <c r="BM530" t="s">
        <v>5721</v>
      </c>
      <c r="BN530" t="s">
        <v>928</v>
      </c>
      <c r="BO530">
        <v>32011</v>
      </c>
      <c r="BP530" t="s">
        <v>404</v>
      </c>
      <c r="BQ530">
        <v>200</v>
      </c>
      <c r="BR530" t="s">
        <v>405</v>
      </c>
      <c r="BS530">
        <v>1006</v>
      </c>
      <c r="BT530" t="s">
        <v>406</v>
      </c>
      <c r="BW530">
        <v>43560</v>
      </c>
      <c r="BX530" t="s">
        <v>407</v>
      </c>
      <c r="BZ530">
        <v>4</v>
      </c>
      <c r="CA530">
        <v>1993</v>
      </c>
      <c r="CC530">
        <v>1</v>
      </c>
      <c r="CD530">
        <v>2017</v>
      </c>
      <c r="CE530">
        <v>15000</v>
      </c>
      <c r="CF530">
        <v>12042</v>
      </c>
      <c r="CG530">
        <v>27042</v>
      </c>
      <c r="CH530">
        <v>2017</v>
      </c>
      <c r="CI530">
        <v>15000</v>
      </c>
      <c r="CJ530">
        <v>12042</v>
      </c>
      <c r="CK530">
        <v>27042</v>
      </c>
      <c r="CL530">
        <v>2017</v>
      </c>
      <c r="CM530">
        <v>361.09</v>
      </c>
      <c r="CN530" s="1">
        <v>37272</v>
      </c>
      <c r="CO530">
        <v>10000</v>
      </c>
      <c r="CZ530" s="1">
        <v>37272</v>
      </c>
      <c r="DD530" t="s">
        <v>398</v>
      </c>
      <c r="DG530">
        <v>28</v>
      </c>
      <c r="DL530">
        <v>50400</v>
      </c>
      <c r="DM530" t="s">
        <v>5722</v>
      </c>
      <c r="DO530" t="s">
        <v>5723</v>
      </c>
      <c r="DP530">
        <v>0</v>
      </c>
      <c r="DQ530">
        <v>0</v>
      </c>
      <c r="DR530" t="s">
        <v>411</v>
      </c>
      <c r="EP530" t="s">
        <v>421</v>
      </c>
      <c r="EQ530" t="s">
        <v>422</v>
      </c>
      <c r="ER530">
        <v>0</v>
      </c>
      <c r="ES530">
        <v>1</v>
      </c>
      <c r="ET530">
        <v>0</v>
      </c>
      <c r="EU530">
        <v>0</v>
      </c>
      <c r="EV530">
        <v>0</v>
      </c>
      <c r="EW530" s="2">
        <v>43222</v>
      </c>
      <c r="EX530" s="1">
        <v>41787</v>
      </c>
      <c r="EY530">
        <v>2013</v>
      </c>
      <c r="EZ530">
        <v>331.69</v>
      </c>
      <c r="FA530" t="s">
        <v>5728</v>
      </c>
      <c r="FB530">
        <v>0.25</v>
      </c>
      <c r="FC530" t="s">
        <v>424</v>
      </c>
      <c r="FD530" t="s">
        <v>425</v>
      </c>
      <c r="FE530" s="1">
        <v>41822</v>
      </c>
      <c r="FF530">
        <v>2</v>
      </c>
      <c r="FG530">
        <v>13026</v>
      </c>
      <c r="FH530" t="s">
        <v>2129</v>
      </c>
    </row>
    <row r="531" spans="1:284" x14ac:dyDescent="0.25">
      <c r="A531">
        <v>16485538</v>
      </c>
      <c r="B531">
        <v>530</v>
      </c>
      <c r="C531" t="s">
        <v>393</v>
      </c>
      <c r="D531" t="s">
        <v>394</v>
      </c>
      <c r="F531" t="str">
        <f>"28-3N-24-2020-0043-0020"</f>
        <v>28-3N-24-2020-0043-0020</v>
      </c>
      <c r="H531" t="str">
        <f>"SKELTON MARCUS E &amp; KATIE MARIE"</f>
        <v>SKELTON MARCUS E &amp; KATIE MARIE</v>
      </c>
      <c r="I531" t="str">
        <f>"37191 S OAK STREET"</f>
        <v>37191 S OAK STREET</v>
      </c>
      <c r="J531" t="str">
        <f>"HILLIARD FL 32046"</f>
        <v>HILLIARD FL 32046</v>
      </c>
      <c r="K531" t="str">
        <f>"VIOLET LN"</f>
        <v>VIOLET LN</v>
      </c>
      <c r="L531" t="str">
        <f t="shared" si="160"/>
        <v>HILLIARD FL 32046</v>
      </c>
      <c r="M531" t="str">
        <f>"E1/2 OF LOT 43 PT OR 1749/1421 EX S-3 &amp; S-4 CORNWALL SURVEY"</f>
        <v>E1/2 OF LOT 43 PT OR 1749/1421 EX S-3 &amp; S-4 CORNWALL SURVEY</v>
      </c>
      <c r="N531" t="str">
        <f>""</f>
        <v/>
      </c>
      <c r="O531" t="str">
        <f>"38248"</f>
        <v>38248</v>
      </c>
      <c r="P531" t="str">
        <f t="shared" si="151"/>
        <v>2017</v>
      </c>
      <c r="Q531" t="str">
        <f>""</f>
        <v/>
      </c>
      <c r="R531" t="str">
        <f t="shared" si="159"/>
        <v>N</v>
      </c>
      <c r="S531" t="str">
        <f>"2.19"</f>
        <v>2.19</v>
      </c>
      <c r="T531" t="str">
        <f>"359.62"</f>
        <v>359.62</v>
      </c>
      <c r="U531" t="str">
        <f>"21803.00"</f>
        <v>21803.00</v>
      </c>
      <c r="V531" t="str">
        <f>"21803.00"</f>
        <v>21803.00</v>
      </c>
      <c r="W531" t="str">
        <f t="shared" si="152"/>
        <v>2017</v>
      </c>
      <c r="X531" t="str">
        <f>""</f>
        <v/>
      </c>
      <c r="Y531" t="str">
        <f>"402.41"</f>
        <v>402.41</v>
      </c>
      <c r="Z531" t="str">
        <f>""</f>
        <v/>
      </c>
      <c r="AA531" t="str">
        <f>"26280.00"</f>
        <v>26280.00</v>
      </c>
      <c r="AB531" t="str">
        <f t="shared" si="158"/>
        <v>Residential</v>
      </c>
      <c r="AC531" t="str">
        <f t="shared" si="153"/>
        <v>0</v>
      </c>
      <c r="AD531" t="str">
        <f>""</f>
        <v/>
      </c>
      <c r="AE531" t="str">
        <f>""</f>
        <v/>
      </c>
      <c r="AF531" t="str">
        <f>"000"</f>
        <v>000</v>
      </c>
      <c r="AG531" t="str">
        <f t="shared" si="156"/>
        <v>FL</v>
      </c>
      <c r="AH531" t="str">
        <f>"95396.00"</f>
        <v>95396.00</v>
      </c>
      <c r="AI531" t="str">
        <f>"26280.00"</f>
        <v>26280.00</v>
      </c>
      <c r="AJ531" t="str">
        <f>"C55-000-587-5387-2"</f>
        <v>C55-000-587-5387-2</v>
      </c>
      <c r="AK531" t="str">
        <f>"7941"</f>
        <v>7941</v>
      </c>
      <c r="AL531">
        <v>2</v>
      </c>
      <c r="AM531">
        <v>617</v>
      </c>
      <c r="AN531">
        <v>420.93</v>
      </c>
      <c r="AQ531" t="s">
        <v>5729</v>
      </c>
      <c r="AR531" t="s">
        <v>5729</v>
      </c>
      <c r="AS531" t="s">
        <v>5729</v>
      </c>
      <c r="AU531" t="s">
        <v>396</v>
      </c>
      <c r="AV531">
        <v>2017</v>
      </c>
      <c r="AW531" t="str">
        <f>"28-3N-24-2020-0043-0020 "</f>
        <v xml:space="preserve">28-3N-24-2020-0043-0020 </v>
      </c>
      <c r="AZ531" t="s">
        <v>5730</v>
      </c>
      <c r="BA531" t="s">
        <v>653</v>
      </c>
      <c r="BD531" t="s">
        <v>398</v>
      </c>
      <c r="BE531" t="s">
        <v>393</v>
      </c>
      <c r="BF531">
        <v>32046</v>
      </c>
      <c r="BG531" t="s">
        <v>5731</v>
      </c>
      <c r="BH531" t="s">
        <v>400</v>
      </c>
      <c r="BI531">
        <v>-81.907675711907899</v>
      </c>
      <c r="BJ531">
        <v>30.644903695469999</v>
      </c>
      <c r="BK531" t="s">
        <v>5732</v>
      </c>
      <c r="BL531" t="s">
        <v>5733</v>
      </c>
      <c r="BM531" t="s">
        <v>5734</v>
      </c>
      <c r="BN531" t="s">
        <v>403</v>
      </c>
      <c r="BO531">
        <v>32046</v>
      </c>
      <c r="BP531" t="s">
        <v>404</v>
      </c>
      <c r="BQ531">
        <v>0</v>
      </c>
      <c r="BR531" t="s">
        <v>491</v>
      </c>
      <c r="BS531">
        <v>8001</v>
      </c>
      <c r="BT531" t="s">
        <v>492</v>
      </c>
      <c r="BW531">
        <v>95396</v>
      </c>
      <c r="BX531" t="s">
        <v>407</v>
      </c>
      <c r="BY531" t="s">
        <v>408</v>
      </c>
      <c r="CD531">
        <v>2017</v>
      </c>
      <c r="CE531">
        <v>26280</v>
      </c>
      <c r="CG531">
        <v>26280</v>
      </c>
      <c r="CH531">
        <v>2017</v>
      </c>
      <c r="CI531">
        <v>26280</v>
      </c>
      <c r="CK531">
        <v>26280</v>
      </c>
      <c r="CL531">
        <v>2017</v>
      </c>
      <c r="CM531">
        <v>359.62</v>
      </c>
      <c r="CN531" s="1">
        <v>40758</v>
      </c>
      <c r="CO531">
        <v>65000</v>
      </c>
      <c r="CV531">
        <v>0</v>
      </c>
      <c r="CZ531" s="1">
        <v>40758</v>
      </c>
      <c r="DA531">
        <v>0</v>
      </c>
      <c r="DD531" t="s">
        <v>398</v>
      </c>
      <c r="DF531">
        <v>43</v>
      </c>
      <c r="DG531">
        <v>28</v>
      </c>
      <c r="DL531">
        <v>50400</v>
      </c>
      <c r="DM531" t="s">
        <v>5722</v>
      </c>
      <c r="DO531" t="s">
        <v>5735</v>
      </c>
      <c r="DP531">
        <v>0</v>
      </c>
      <c r="DQ531">
        <v>0</v>
      </c>
      <c r="DR531" t="s">
        <v>411</v>
      </c>
      <c r="DS531" t="b">
        <v>1</v>
      </c>
      <c r="DT531" t="s">
        <v>470</v>
      </c>
      <c r="DU531" t="s">
        <v>471</v>
      </c>
      <c r="DV531" t="s">
        <v>472</v>
      </c>
      <c r="DX531">
        <v>-9999</v>
      </c>
      <c r="DZ531" t="s">
        <v>447</v>
      </c>
      <c r="EA531" t="s">
        <v>448</v>
      </c>
      <c r="EB531" t="s">
        <v>1224</v>
      </c>
      <c r="EC531">
        <v>20101217</v>
      </c>
      <c r="ED531" t="s">
        <v>474</v>
      </c>
      <c r="EF531">
        <v>756</v>
      </c>
      <c r="EG531">
        <v>756</v>
      </c>
      <c r="EI531">
        <v>20160407</v>
      </c>
      <c r="EJ531">
        <v>0</v>
      </c>
      <c r="EK531">
        <v>0</v>
      </c>
      <c r="EP531" t="s">
        <v>421</v>
      </c>
      <c r="EQ531" t="s">
        <v>422</v>
      </c>
      <c r="ER531">
        <v>3</v>
      </c>
      <c r="ES531">
        <v>0</v>
      </c>
      <c r="ET531">
        <v>1123.8</v>
      </c>
      <c r="EU531">
        <v>297.70999999999998</v>
      </c>
      <c r="EV531">
        <v>1421.51</v>
      </c>
      <c r="EW531" s="2">
        <v>43222</v>
      </c>
      <c r="EX531" s="1">
        <v>42879</v>
      </c>
      <c r="EY531">
        <v>2016</v>
      </c>
      <c r="EZ531">
        <v>403.52</v>
      </c>
      <c r="FA531" t="s">
        <v>5736</v>
      </c>
      <c r="FB531">
        <v>9</v>
      </c>
      <c r="FC531" t="s">
        <v>424</v>
      </c>
      <c r="FD531" t="s">
        <v>454</v>
      </c>
      <c r="FF531">
        <v>12</v>
      </c>
      <c r="FG531">
        <v>10125</v>
      </c>
      <c r="FH531" t="s">
        <v>440</v>
      </c>
      <c r="FJ531" s="1">
        <v>42515</v>
      </c>
      <c r="FK531">
        <v>2015</v>
      </c>
      <c r="FL531">
        <v>392.32</v>
      </c>
      <c r="FM531" t="s">
        <v>5737</v>
      </c>
      <c r="FN531">
        <v>15.25</v>
      </c>
      <c r="FO531" t="s">
        <v>424</v>
      </c>
      <c r="FP531" t="s">
        <v>454</v>
      </c>
      <c r="FR531">
        <v>24</v>
      </c>
      <c r="FS531">
        <v>10125</v>
      </c>
      <c r="FT531" t="s">
        <v>440</v>
      </c>
      <c r="FV531" s="1">
        <v>42151</v>
      </c>
      <c r="FW531">
        <v>2014</v>
      </c>
      <c r="FX531">
        <v>327.96</v>
      </c>
      <c r="FY531" t="s">
        <v>5738</v>
      </c>
      <c r="FZ531">
        <v>12.5</v>
      </c>
      <c r="GA531" t="s">
        <v>424</v>
      </c>
      <c r="GB531" t="s">
        <v>454</v>
      </c>
      <c r="GD531">
        <v>36</v>
      </c>
      <c r="GE531">
        <v>10125</v>
      </c>
      <c r="GF531" t="s">
        <v>440</v>
      </c>
    </row>
    <row r="532" spans="1:284" x14ac:dyDescent="0.25">
      <c r="A532">
        <v>16485539</v>
      </c>
      <c r="B532">
        <v>531</v>
      </c>
      <c r="C532" t="s">
        <v>393</v>
      </c>
      <c r="D532" t="s">
        <v>394</v>
      </c>
      <c r="F532" t="str">
        <f>"28-3N-24-2020-0044-0010"</f>
        <v>28-3N-24-2020-0044-0010</v>
      </c>
      <c r="H532" t="str">
        <f>"SKELTON MARCUS E &amp; KATIE MARIE"</f>
        <v>SKELTON MARCUS E &amp; KATIE MARIE</v>
      </c>
      <c r="I532" t="str">
        <f>"37191 S OAK STREET"</f>
        <v>37191 S OAK STREET</v>
      </c>
      <c r="J532" t="str">
        <f>"HILLIARD FL 32046"</f>
        <v>HILLIARD FL 32046</v>
      </c>
      <c r="K532" t="str">
        <f>"36325 BETTS RD"</f>
        <v>36325 BETTS RD</v>
      </c>
      <c r="L532" t="str">
        <f t="shared" si="160"/>
        <v>HILLIARD FL 32046</v>
      </c>
      <c r="M532" t="str">
        <f>"PT OF LOT 44 PT OR 1749/1421 &amp; ESMT OR 1753/850 (EX PT IN OR 485/162 OR 1437/95 &amp; OR 1879/645 &amp; ESMT PT OR 664/389) CORNWALL SURVEY PBK O/31"</f>
        <v>PT OF LOT 44 PT OR 1749/1421 &amp; ESMT OR 1753/850 (EX PT IN OR 485/162 OR 1437/95 &amp; OR 1879/645 &amp; ESMT PT OR 664/389) CORNWALL SURVEY PBK O/31</v>
      </c>
      <c r="N532" t="str">
        <f>""</f>
        <v/>
      </c>
      <c r="O532" t="str">
        <f>"38251"</f>
        <v>38251</v>
      </c>
      <c r="P532" t="str">
        <f t="shared" si="151"/>
        <v>2017</v>
      </c>
      <c r="Q532" t="str">
        <f>""</f>
        <v/>
      </c>
      <c r="R532" t="str">
        <f t="shared" si="159"/>
        <v>N</v>
      </c>
      <c r="S532" t="str">
        <f>"1.97"</f>
        <v>1.97</v>
      </c>
      <c r="T532" t="str">
        <f>"763.19"</f>
        <v>763.19</v>
      </c>
      <c r="U532" t="str">
        <f>"46079.00"</f>
        <v>46079.00</v>
      </c>
      <c r="V532" t="str">
        <f>"46079.00"</f>
        <v>46079.00</v>
      </c>
      <c r="W532" t="str">
        <f t="shared" si="152"/>
        <v>2017</v>
      </c>
      <c r="X532" t="str">
        <f>"13.00"</f>
        <v>13.00</v>
      </c>
      <c r="Y532" t="str">
        <f>"818.09"</f>
        <v>818.09</v>
      </c>
      <c r="Z532" t="str">
        <f>""</f>
        <v/>
      </c>
      <c r="AA532" t="str">
        <f>"56025.00"</f>
        <v>56025.00</v>
      </c>
      <c r="AB532" t="str">
        <f t="shared" si="158"/>
        <v>Residential</v>
      </c>
      <c r="AC532" t="str">
        <f t="shared" si="153"/>
        <v>0</v>
      </c>
      <c r="AD532" t="str">
        <f>"4"</f>
        <v>4</v>
      </c>
      <c r="AE532" t="str">
        <f>"WOOD (INCLUDE STEEL STUDS)"</f>
        <v>WOOD (INCLUDE STEEL STUDS)</v>
      </c>
      <c r="AF532" t="str">
        <f>"002"</f>
        <v>002</v>
      </c>
      <c r="AG532" t="str">
        <f t="shared" si="156"/>
        <v>FL</v>
      </c>
      <c r="AH532" t="str">
        <f>"85813.00"</f>
        <v>85813.00</v>
      </c>
      <c r="AI532" t="str">
        <f>"29550.00"</f>
        <v>29550.00</v>
      </c>
      <c r="AJ532" t="str">
        <f>"C55-000-587-5390-6"</f>
        <v>C55-000-587-5390-6</v>
      </c>
      <c r="AK532" t="str">
        <f>"7944"</f>
        <v>7944</v>
      </c>
      <c r="AL532">
        <v>2</v>
      </c>
      <c r="AM532">
        <v>618</v>
      </c>
      <c r="AN532">
        <v>857.39</v>
      </c>
      <c r="AQ532" t="s">
        <v>5739</v>
      </c>
      <c r="AR532" t="s">
        <v>5739</v>
      </c>
      <c r="AS532" t="s">
        <v>5739</v>
      </c>
      <c r="AU532" t="s">
        <v>396</v>
      </c>
      <c r="AV532">
        <v>2017</v>
      </c>
      <c r="AW532" t="str">
        <f>"28-3N-24-2020-0044-0010 "</f>
        <v xml:space="preserve">28-3N-24-2020-0044-0010 </v>
      </c>
      <c r="AX532">
        <v>36325</v>
      </c>
      <c r="AZ532" t="s">
        <v>5726</v>
      </c>
      <c r="BA532" t="s">
        <v>496</v>
      </c>
      <c r="BD532" t="s">
        <v>398</v>
      </c>
      <c r="BE532" t="s">
        <v>393</v>
      </c>
      <c r="BF532">
        <v>32046</v>
      </c>
      <c r="BG532" t="s">
        <v>5740</v>
      </c>
      <c r="BH532" t="s">
        <v>400</v>
      </c>
      <c r="BI532">
        <v>-81.907637138624693</v>
      </c>
      <c r="BJ532">
        <v>30.6440106219511</v>
      </c>
      <c r="BK532" t="s">
        <v>5732</v>
      </c>
      <c r="BL532" t="s">
        <v>5733</v>
      </c>
      <c r="BM532" t="s">
        <v>5734</v>
      </c>
      <c r="BN532" t="s">
        <v>403</v>
      </c>
      <c r="BO532">
        <v>32046</v>
      </c>
      <c r="BP532" t="s">
        <v>404</v>
      </c>
      <c r="BQ532">
        <v>200</v>
      </c>
      <c r="BR532" t="s">
        <v>405</v>
      </c>
      <c r="BS532">
        <v>1006</v>
      </c>
      <c r="BT532" t="s">
        <v>406</v>
      </c>
      <c r="BW532">
        <v>85813</v>
      </c>
      <c r="BX532" t="s">
        <v>407</v>
      </c>
      <c r="BY532" t="s">
        <v>408</v>
      </c>
      <c r="BZ532">
        <v>4</v>
      </c>
      <c r="CA532">
        <v>1997</v>
      </c>
      <c r="CC532">
        <v>1</v>
      </c>
      <c r="CD532">
        <v>2017</v>
      </c>
      <c r="CE532">
        <v>29550</v>
      </c>
      <c r="CF532">
        <v>26475</v>
      </c>
      <c r="CG532">
        <v>56025</v>
      </c>
      <c r="CH532">
        <v>2017</v>
      </c>
      <c r="CI532">
        <v>29550</v>
      </c>
      <c r="CJ532">
        <v>26475</v>
      </c>
      <c r="CK532">
        <v>56025</v>
      </c>
      <c r="CL532">
        <v>2017</v>
      </c>
      <c r="CM532">
        <v>763.19</v>
      </c>
      <c r="CN532" s="1">
        <v>41477</v>
      </c>
      <c r="CO532">
        <v>7300</v>
      </c>
      <c r="CV532">
        <v>0</v>
      </c>
      <c r="CZ532" s="1">
        <v>41477</v>
      </c>
      <c r="DA532">
        <v>0</v>
      </c>
      <c r="DD532" t="s">
        <v>398</v>
      </c>
      <c r="DF532">
        <v>44</v>
      </c>
      <c r="DG532">
        <v>28</v>
      </c>
      <c r="DL532">
        <v>50400</v>
      </c>
      <c r="DM532" t="s">
        <v>5722</v>
      </c>
      <c r="DO532" t="s">
        <v>5741</v>
      </c>
      <c r="DP532">
        <v>0</v>
      </c>
      <c r="DQ532">
        <v>0</v>
      </c>
      <c r="DR532" t="s">
        <v>411</v>
      </c>
      <c r="DS532" t="b">
        <v>1</v>
      </c>
      <c r="DT532" t="s">
        <v>470</v>
      </c>
      <c r="DU532" t="s">
        <v>471</v>
      </c>
      <c r="DV532" t="s">
        <v>472</v>
      </c>
      <c r="DX532">
        <v>-9999</v>
      </c>
      <c r="DZ532" t="s">
        <v>447</v>
      </c>
      <c r="EA532" t="s">
        <v>448</v>
      </c>
      <c r="EB532" t="s">
        <v>1224</v>
      </c>
      <c r="EC532">
        <v>20101217</v>
      </c>
      <c r="ED532" t="s">
        <v>474</v>
      </c>
      <c r="EF532">
        <v>476.3</v>
      </c>
      <c r="EG532">
        <v>476.3</v>
      </c>
      <c r="EI532">
        <v>20160407</v>
      </c>
      <c r="EJ532">
        <v>0</v>
      </c>
      <c r="EK532">
        <v>0</v>
      </c>
      <c r="EP532" t="s">
        <v>421</v>
      </c>
      <c r="EQ532" t="s">
        <v>452</v>
      </c>
      <c r="ER532">
        <v>0</v>
      </c>
      <c r="ES532">
        <v>6</v>
      </c>
      <c r="ET532">
        <v>0</v>
      </c>
      <c r="EU532">
        <v>0</v>
      </c>
      <c r="EV532">
        <v>0</v>
      </c>
      <c r="EW532" s="2">
        <v>43222</v>
      </c>
      <c r="EX532" s="1">
        <v>42879</v>
      </c>
      <c r="EY532">
        <v>2016</v>
      </c>
      <c r="EZ532">
        <v>737.5</v>
      </c>
      <c r="FA532" t="s">
        <v>5742</v>
      </c>
      <c r="FB532">
        <v>0.25</v>
      </c>
      <c r="FC532" t="s">
        <v>424</v>
      </c>
      <c r="FD532" t="s">
        <v>425</v>
      </c>
      <c r="FE532" s="1">
        <v>42914</v>
      </c>
      <c r="FF532">
        <v>1</v>
      </c>
      <c r="FG532">
        <v>7400234</v>
      </c>
      <c r="FH532" t="s">
        <v>426</v>
      </c>
      <c r="FI532" t="s">
        <v>458</v>
      </c>
      <c r="FJ532" s="1">
        <v>42879</v>
      </c>
      <c r="FK532">
        <v>2016</v>
      </c>
      <c r="FL532">
        <v>737.5</v>
      </c>
      <c r="FM532" t="s">
        <v>5742</v>
      </c>
      <c r="FN532">
        <v>0.25</v>
      </c>
      <c r="FO532" t="s">
        <v>424</v>
      </c>
      <c r="FP532" t="s">
        <v>425</v>
      </c>
      <c r="FR532">
        <v>22</v>
      </c>
      <c r="FS532">
        <v>7451308</v>
      </c>
      <c r="FT532" t="s">
        <v>5743</v>
      </c>
      <c r="FU532" t="s">
        <v>458</v>
      </c>
      <c r="FV532" s="1">
        <v>42515</v>
      </c>
      <c r="FW532">
        <v>2015</v>
      </c>
      <c r="FX532">
        <v>721.7</v>
      </c>
      <c r="FY532" t="s">
        <v>5744</v>
      </c>
      <c r="FZ532">
        <v>0.25</v>
      </c>
      <c r="GA532" t="s">
        <v>424</v>
      </c>
      <c r="GB532" t="s">
        <v>425</v>
      </c>
      <c r="GC532" s="1">
        <v>42914</v>
      </c>
      <c r="GD532">
        <v>13</v>
      </c>
      <c r="GE532">
        <v>2851116</v>
      </c>
      <c r="GF532" t="s">
        <v>480</v>
      </c>
      <c r="GG532" t="s">
        <v>458</v>
      </c>
      <c r="GH532" s="1">
        <v>42515</v>
      </c>
      <c r="GI532">
        <v>2015</v>
      </c>
      <c r="GJ532">
        <v>721.7</v>
      </c>
      <c r="GK532" t="s">
        <v>5744</v>
      </c>
      <c r="GL532">
        <v>0.25</v>
      </c>
      <c r="GM532" t="s">
        <v>424</v>
      </c>
      <c r="GN532" t="s">
        <v>425</v>
      </c>
      <c r="GP532">
        <v>22</v>
      </c>
      <c r="GQ532">
        <v>5272435</v>
      </c>
      <c r="GR532" t="s">
        <v>5745</v>
      </c>
      <c r="GS532" t="s">
        <v>458</v>
      </c>
      <c r="GT532" s="1">
        <v>42151</v>
      </c>
      <c r="GU532">
        <v>2014</v>
      </c>
      <c r="GV532">
        <v>613.67999999999995</v>
      </c>
      <c r="GW532" t="s">
        <v>5746</v>
      </c>
      <c r="GX532">
        <v>0.25</v>
      </c>
      <c r="GY532" t="s">
        <v>424</v>
      </c>
      <c r="GZ532" t="s">
        <v>425</v>
      </c>
      <c r="HB532">
        <v>22</v>
      </c>
      <c r="HC532">
        <v>4975594</v>
      </c>
      <c r="HD532" t="s">
        <v>457</v>
      </c>
      <c r="HE532" t="s">
        <v>458</v>
      </c>
      <c r="HF532" s="1">
        <v>42151</v>
      </c>
      <c r="HG532">
        <v>2014</v>
      </c>
      <c r="HH532">
        <v>613.67999999999995</v>
      </c>
      <c r="HI532" t="s">
        <v>5746</v>
      </c>
      <c r="HJ532">
        <v>0.25</v>
      </c>
      <c r="HK532" t="s">
        <v>424</v>
      </c>
      <c r="HL532" t="s">
        <v>425</v>
      </c>
      <c r="HN532">
        <v>22</v>
      </c>
      <c r="HO532">
        <v>6297885</v>
      </c>
      <c r="HP532" t="s">
        <v>5747</v>
      </c>
      <c r="HQ532" t="s">
        <v>458</v>
      </c>
    </row>
    <row r="533" spans="1:284" x14ac:dyDescent="0.25">
      <c r="A533">
        <v>16485540</v>
      </c>
      <c r="B533">
        <v>532</v>
      </c>
      <c r="C533" t="s">
        <v>393</v>
      </c>
      <c r="D533" t="s">
        <v>394</v>
      </c>
      <c r="F533" t="str">
        <f>"29-3N-24-0000-0003-0060"</f>
        <v>29-3N-24-0000-0003-0060</v>
      </c>
      <c r="H533" t="str">
        <f>"CARTER KENNETH WYATT"</f>
        <v>CARTER KENNETH WYATT</v>
      </c>
      <c r="I533" t="str">
        <f>"26216 H A STOKES RD"</f>
        <v>26216 H A STOKES RD</v>
      </c>
      <c r="J533" t="str">
        <f>"HILLIARD FL 32046"</f>
        <v>HILLIARD FL 32046</v>
      </c>
      <c r="K533" t="str">
        <f>"26216 H A STOKES RD"</f>
        <v>26216 H A STOKES RD</v>
      </c>
      <c r="L533" t="str">
        <f t="shared" si="160"/>
        <v>HILLIARD FL 32046</v>
      </c>
      <c r="M533" t="str">
        <f>"PT OF SE1/4 OF NW1/4 IN OR 2072/603"</f>
        <v>PT OF SE1/4 OF NW1/4 IN OR 2072/603</v>
      </c>
      <c r="N533" t="str">
        <f>""</f>
        <v/>
      </c>
      <c r="O533" t="str">
        <f>"38908"</f>
        <v>38908</v>
      </c>
      <c r="P533" t="str">
        <f t="shared" si="151"/>
        <v>2017</v>
      </c>
      <c r="Q533" t="str">
        <f>""</f>
        <v/>
      </c>
      <c r="R533" t="str">
        <f t="shared" si="159"/>
        <v>N</v>
      </c>
      <c r="S533" t="str">
        <f>"1.38"</f>
        <v>1.38</v>
      </c>
      <c r="T533" t="str">
        <f>"1078.30"</f>
        <v>1078.30</v>
      </c>
      <c r="U533" t="str">
        <f>"71227.00"</f>
        <v>71227.00</v>
      </c>
      <c r="V533" t="str">
        <f>"71227.00"</f>
        <v>71227.00</v>
      </c>
      <c r="W533" t="str">
        <f t="shared" si="152"/>
        <v>2017</v>
      </c>
      <c r="X533" t="str">
        <f>""</f>
        <v/>
      </c>
      <c r="Y533" t="str">
        <f>"1142.65"</f>
        <v>1142.65</v>
      </c>
      <c r="Z533" t="str">
        <f>""</f>
        <v/>
      </c>
      <c r="AA533" t="str">
        <f>"71227.00"</f>
        <v>71227.00</v>
      </c>
      <c r="AB533" t="str">
        <f t="shared" si="158"/>
        <v>Residential</v>
      </c>
      <c r="AC533" t="str">
        <f t="shared" si="153"/>
        <v>0</v>
      </c>
      <c r="AD533" t="str">
        <f>"4"</f>
        <v>4</v>
      </c>
      <c r="AE533" t="str">
        <f>"WOOD (INCLUDE STEEL STUDS)"</f>
        <v>WOOD (INCLUDE STEEL STUDS)</v>
      </c>
      <c r="AF533" t="str">
        <f>"001"</f>
        <v>001</v>
      </c>
      <c r="AG533" t="str">
        <f t="shared" si="156"/>
        <v>FL</v>
      </c>
      <c r="AH533" t="str">
        <f>"60112.00"</f>
        <v>60112.00</v>
      </c>
      <c r="AI533" t="str">
        <f>"20700.00"</f>
        <v>20700.00</v>
      </c>
      <c r="AJ533" t="str">
        <f>"C55-000-587-5893-9"</f>
        <v>C55-000-587-5893-9</v>
      </c>
      <c r="AK533" t="str">
        <f>"7964"</f>
        <v>7964</v>
      </c>
      <c r="AL533">
        <v>2</v>
      </c>
      <c r="AM533">
        <v>619</v>
      </c>
      <c r="AN533">
        <v>1198.18</v>
      </c>
      <c r="AQ533" t="s">
        <v>5748</v>
      </c>
      <c r="AR533" t="s">
        <v>5748</v>
      </c>
      <c r="AS533" t="s">
        <v>5748</v>
      </c>
      <c r="AU533" t="s">
        <v>396</v>
      </c>
      <c r="AV533">
        <v>2017</v>
      </c>
      <c r="AW533" t="str">
        <f>"29-3N-24-0000-0003-0060 "</f>
        <v xml:space="preserve">29-3N-24-0000-0003-0060 </v>
      </c>
      <c r="AX533" t="s">
        <v>5749</v>
      </c>
      <c r="AZ533" t="s">
        <v>5750</v>
      </c>
      <c r="BA533" t="s">
        <v>496</v>
      </c>
      <c r="BD533" t="s">
        <v>398</v>
      </c>
      <c r="BE533" t="s">
        <v>393</v>
      </c>
      <c r="BF533">
        <v>32046</v>
      </c>
      <c r="BG533" t="s">
        <v>5751</v>
      </c>
      <c r="BH533" t="s">
        <v>400</v>
      </c>
      <c r="BI533">
        <v>-81.933324443770402</v>
      </c>
      <c r="BJ533">
        <v>30.6490053321088</v>
      </c>
      <c r="BK533" t="s">
        <v>5752</v>
      </c>
      <c r="BM533" t="s">
        <v>5751</v>
      </c>
      <c r="BN533" t="s">
        <v>403</v>
      </c>
      <c r="BO533">
        <v>32046</v>
      </c>
      <c r="BP533" t="s">
        <v>416</v>
      </c>
      <c r="BQ533">
        <v>100</v>
      </c>
      <c r="BR533" t="s">
        <v>514</v>
      </c>
      <c r="BS533">
        <v>1001</v>
      </c>
      <c r="BT533" t="s">
        <v>515</v>
      </c>
      <c r="BW533">
        <v>60112</v>
      </c>
      <c r="BX533" t="s">
        <v>407</v>
      </c>
      <c r="BY533" t="s">
        <v>408</v>
      </c>
      <c r="BZ533">
        <v>4</v>
      </c>
      <c r="CA533">
        <v>1990</v>
      </c>
      <c r="CB533">
        <v>1</v>
      </c>
      <c r="CC533">
        <v>1</v>
      </c>
      <c r="CD533">
        <v>2017</v>
      </c>
      <c r="CE533">
        <v>20700</v>
      </c>
      <c r="CF533">
        <v>50527</v>
      </c>
      <c r="CG533">
        <v>71227</v>
      </c>
      <c r="CH533">
        <v>2017</v>
      </c>
      <c r="CI533">
        <v>20700</v>
      </c>
      <c r="CJ533">
        <v>50527</v>
      </c>
      <c r="CK533">
        <v>71227</v>
      </c>
      <c r="CL533">
        <v>2017</v>
      </c>
      <c r="CM533">
        <v>1078.3</v>
      </c>
      <c r="CN533" s="1">
        <v>33884</v>
      </c>
      <c r="CZ533" s="1">
        <v>33884</v>
      </c>
      <c r="DD533" t="s">
        <v>398</v>
      </c>
      <c r="DG533">
        <v>29</v>
      </c>
      <c r="DL533">
        <v>50400</v>
      </c>
      <c r="DM533" t="s">
        <v>5753</v>
      </c>
      <c r="DO533" t="s">
        <v>5754</v>
      </c>
      <c r="DP533">
        <v>0</v>
      </c>
      <c r="DQ533">
        <v>0</v>
      </c>
      <c r="DR533" t="s">
        <v>411</v>
      </c>
    </row>
    <row r="534" spans="1:284" x14ac:dyDescent="0.25">
      <c r="A534">
        <v>16485541</v>
      </c>
      <c r="B534">
        <v>533</v>
      </c>
      <c r="C534" t="s">
        <v>393</v>
      </c>
      <c r="D534" t="s">
        <v>394</v>
      </c>
      <c r="F534" t="str">
        <f>"29-3N-24-2020-0012-0020"</f>
        <v>29-3N-24-2020-0012-0020</v>
      </c>
      <c r="H534" t="str">
        <f>"BROWN IDA E STOKES EST"</f>
        <v>BROWN IDA E STOKES EST</v>
      </c>
      <c r="I534" t="str">
        <f>"11321 LANDING ESTATES DR"</f>
        <v>11321 LANDING ESTATES DR</v>
      </c>
      <c r="J534" t="str">
        <f>"JACKSONVILLE FL 32257"</f>
        <v>JACKSONVILLE FL 32257</v>
      </c>
      <c r="K534" t="str">
        <f>"26544 WILLIE HODGES RD"</f>
        <v>26544 WILLIE HODGES RD</v>
      </c>
      <c r="L534" t="str">
        <f t="shared" si="160"/>
        <v>HILLIARD FL 32046</v>
      </c>
      <c r="M534" t="str">
        <f>"PT OF LOTS 12 &amp; 13 (EX 12-4) IN OR 395 PG 1 RP 305 CORNWALL SURVEY"</f>
        <v>PT OF LOTS 12 &amp; 13 (EX 12-4) IN OR 395 PG 1 RP 305 CORNWALL SURVEY</v>
      </c>
      <c r="N534" t="str">
        <f>""</f>
        <v/>
      </c>
      <c r="O534" t="str">
        <f>"38915"</f>
        <v>38915</v>
      </c>
      <c r="P534" t="str">
        <f t="shared" si="151"/>
        <v>2017</v>
      </c>
      <c r="Q534" t="str">
        <f>""</f>
        <v/>
      </c>
      <c r="R534" t="str">
        <f t="shared" si="159"/>
        <v>N</v>
      </c>
      <c r="S534" t="str">
        <f>""</f>
        <v/>
      </c>
      <c r="T534" t="str">
        <f>"237.10"</f>
        <v>237.10</v>
      </c>
      <c r="U534" t="str">
        <f>"15661.00"</f>
        <v>15661.00</v>
      </c>
      <c r="V534" t="str">
        <f>"15661.00"</f>
        <v>15661.00</v>
      </c>
      <c r="W534" t="str">
        <f t="shared" si="152"/>
        <v>2017</v>
      </c>
      <c r="X534" t="str">
        <f>""</f>
        <v/>
      </c>
      <c r="Y534" t="str">
        <f>"276.21"</f>
        <v>276.21</v>
      </c>
      <c r="Z534" t="str">
        <f>""</f>
        <v/>
      </c>
      <c r="AA534" t="str">
        <f>"15661.00"</f>
        <v>15661.00</v>
      </c>
      <c r="AB534" t="str">
        <f t="shared" si="158"/>
        <v>Residential</v>
      </c>
      <c r="AC534" t="str">
        <f t="shared" si="153"/>
        <v>0</v>
      </c>
      <c r="AD534" t="str">
        <f>"4"</f>
        <v>4</v>
      </c>
      <c r="AE534" t="str">
        <f>"WOOD (INCLUDE STEEL STUDS)"</f>
        <v>WOOD (INCLUDE STEEL STUDS)</v>
      </c>
      <c r="AF534" t="str">
        <f>"002"</f>
        <v>002</v>
      </c>
      <c r="AG534" t="str">
        <f t="shared" si="156"/>
        <v>FL</v>
      </c>
      <c r="AH534" t="str">
        <f>"36642.00"</f>
        <v>36642.00</v>
      </c>
      <c r="AI534" t="str">
        <f>"10080.00"</f>
        <v>10080.00</v>
      </c>
      <c r="AJ534" t="str">
        <f>"C55-000-587-5900-2"</f>
        <v>C55-000-587-5900-2</v>
      </c>
      <c r="AK534" t="str">
        <f>"7972"</f>
        <v>7972</v>
      </c>
      <c r="AL534">
        <v>2</v>
      </c>
      <c r="AM534">
        <v>620</v>
      </c>
      <c r="AN534">
        <v>288.42</v>
      </c>
      <c r="AQ534" t="s">
        <v>5755</v>
      </c>
      <c r="AR534" t="s">
        <v>5755</v>
      </c>
      <c r="AS534" t="s">
        <v>5755</v>
      </c>
      <c r="AU534" t="s">
        <v>396</v>
      </c>
      <c r="AV534">
        <v>2017</v>
      </c>
      <c r="AW534" t="str">
        <f>"29-3N-24-2020-0012-0020 "</f>
        <v xml:space="preserve">29-3N-24-2020-0012-0020 </v>
      </c>
      <c r="AX534">
        <v>26544</v>
      </c>
      <c r="AZ534" t="s">
        <v>5756</v>
      </c>
      <c r="BA534" t="s">
        <v>496</v>
      </c>
      <c r="BD534" t="s">
        <v>398</v>
      </c>
      <c r="BE534" t="s">
        <v>393</v>
      </c>
      <c r="BF534">
        <v>32046</v>
      </c>
      <c r="BG534" t="s">
        <v>5757</v>
      </c>
      <c r="BH534" t="s">
        <v>400</v>
      </c>
      <c r="BI534">
        <v>-81.937954618228005</v>
      </c>
      <c r="BJ534">
        <v>30.642993645799798</v>
      </c>
      <c r="BK534" t="s">
        <v>5758</v>
      </c>
      <c r="BM534" t="s">
        <v>5759</v>
      </c>
      <c r="BN534" t="s">
        <v>548</v>
      </c>
      <c r="BO534">
        <v>32257</v>
      </c>
      <c r="BP534" t="s">
        <v>404</v>
      </c>
      <c r="BQ534">
        <v>200</v>
      </c>
      <c r="BR534" t="s">
        <v>405</v>
      </c>
      <c r="BS534">
        <v>1006</v>
      </c>
      <c r="BT534" t="s">
        <v>406</v>
      </c>
      <c r="BW534">
        <v>36642</v>
      </c>
      <c r="BX534" t="s">
        <v>407</v>
      </c>
      <c r="BY534" t="s">
        <v>408</v>
      </c>
      <c r="BZ534">
        <v>4</v>
      </c>
      <c r="CA534">
        <v>1970</v>
      </c>
      <c r="CB534">
        <v>1</v>
      </c>
      <c r="CC534">
        <v>1</v>
      </c>
      <c r="CD534">
        <v>2017</v>
      </c>
      <c r="CE534">
        <v>10080</v>
      </c>
      <c r="CF534">
        <v>5581</v>
      </c>
      <c r="CG534">
        <v>15661</v>
      </c>
      <c r="CH534">
        <v>2017</v>
      </c>
      <c r="CI534">
        <v>10080</v>
      </c>
      <c r="CJ534">
        <v>5581</v>
      </c>
      <c r="CK534">
        <v>15661</v>
      </c>
      <c r="CL534">
        <v>2017</v>
      </c>
      <c r="CM534">
        <v>237.1</v>
      </c>
      <c r="CN534" s="1">
        <v>40080</v>
      </c>
      <c r="CO534">
        <v>1000</v>
      </c>
      <c r="CV534">
        <v>0</v>
      </c>
      <c r="CZ534" s="1">
        <v>40080</v>
      </c>
      <c r="DA534">
        <v>0</v>
      </c>
      <c r="DD534" t="s">
        <v>398</v>
      </c>
      <c r="DG534">
        <v>29</v>
      </c>
      <c r="DL534">
        <v>50400</v>
      </c>
      <c r="DM534" t="s">
        <v>5753</v>
      </c>
      <c r="DO534" t="s">
        <v>5760</v>
      </c>
      <c r="DP534">
        <v>0</v>
      </c>
      <c r="DQ534">
        <v>0</v>
      </c>
      <c r="DR534" t="s">
        <v>411</v>
      </c>
      <c r="EP534" t="s">
        <v>421</v>
      </c>
      <c r="EQ534" t="s">
        <v>422</v>
      </c>
      <c r="ER534">
        <v>1</v>
      </c>
      <c r="ES534">
        <v>0</v>
      </c>
      <c r="ET534">
        <v>287</v>
      </c>
      <c r="EU534">
        <v>46.43</v>
      </c>
      <c r="EV534">
        <v>333.43</v>
      </c>
      <c r="EW534" s="2">
        <v>43222</v>
      </c>
      <c r="EX534" s="1">
        <v>42879</v>
      </c>
      <c r="EY534">
        <v>2016</v>
      </c>
      <c r="EZ534">
        <v>287</v>
      </c>
      <c r="FA534" t="s">
        <v>5761</v>
      </c>
      <c r="FB534">
        <v>14</v>
      </c>
      <c r="FC534" t="s">
        <v>424</v>
      </c>
      <c r="FD534" t="s">
        <v>454</v>
      </c>
      <c r="FF534">
        <v>12</v>
      </c>
      <c r="FG534">
        <v>10021</v>
      </c>
      <c r="FH534" t="s">
        <v>597</v>
      </c>
    </row>
    <row r="535" spans="1:284" x14ac:dyDescent="0.25">
      <c r="A535">
        <v>16485542</v>
      </c>
      <c r="B535">
        <v>534</v>
      </c>
      <c r="C535" t="s">
        <v>393</v>
      </c>
      <c r="D535" t="s">
        <v>394</v>
      </c>
      <c r="F535" t="str">
        <f>"29-3N-24-2020-0020-0000"</f>
        <v>29-3N-24-2020-0020-0000</v>
      </c>
      <c r="H535" t="str">
        <f>""</f>
        <v/>
      </c>
      <c r="I535" t="str">
        <f>""</f>
        <v/>
      </c>
      <c r="J535" t="str">
        <f>""</f>
        <v/>
      </c>
      <c r="K535" t="str">
        <f>""</f>
        <v/>
      </c>
      <c r="L535" t="str">
        <f>""</f>
        <v/>
      </c>
      <c r="M535" t="str">
        <f>"LOTS 20 21 22 23 24 &amp; S-1 &amp; S-2 OF LOT 24 IN OR 1255/1803 &amp; OR 1910/1721 1974 FLEET DW/MH &amp; TW/MH R672187 R672188 R672189 CORNWALL SURVEY"</f>
        <v>LOTS 20 21 22 23 24 &amp; S-1 &amp; S-2 OF LOT 24 IN OR 1255/1803 &amp; OR 1910/1721 1974 FLEET DW/MH &amp; TW/MH R672187 R672188 R672189 CORNWALL SURVEY</v>
      </c>
      <c r="N535" t="str">
        <f>""</f>
        <v/>
      </c>
      <c r="O535" t="str">
        <f>"38928"</f>
        <v>38928</v>
      </c>
      <c r="P535" t="str">
        <f t="shared" si="151"/>
        <v>2017</v>
      </c>
      <c r="Q535" t="str">
        <f>""</f>
        <v/>
      </c>
      <c r="R535" t="str">
        <f>""</f>
        <v/>
      </c>
      <c r="S535" t="str">
        <f>"50.00"</f>
        <v>50.00</v>
      </c>
      <c r="T535" t="str">
        <f>"2704.74"</f>
        <v>2704.74</v>
      </c>
      <c r="U535" t="str">
        <f>"175544.00"</f>
        <v>175544.00</v>
      </c>
      <c r="V535" t="str">
        <f>""</f>
        <v/>
      </c>
      <c r="W535" t="str">
        <f t="shared" si="152"/>
        <v>2017</v>
      </c>
      <c r="X535" t="str">
        <f>""</f>
        <v/>
      </c>
      <c r="Y535" t="str">
        <f>"2817.88"</f>
        <v>2817.88</v>
      </c>
      <c r="Z535" t="str">
        <f>""</f>
        <v/>
      </c>
      <c r="AA535" t="str">
        <f>"182698.00"</f>
        <v>182698.00</v>
      </c>
      <c r="AB535" t="str">
        <f>""</f>
        <v/>
      </c>
      <c r="AC535" t="str">
        <f>"1"</f>
        <v>1</v>
      </c>
      <c r="AD535" t="str">
        <f>""</f>
        <v/>
      </c>
      <c r="AE535" t="str">
        <f>""</f>
        <v/>
      </c>
      <c r="AF535" t="str">
        <f>""</f>
        <v/>
      </c>
      <c r="AG535" t="str">
        <f>""</f>
        <v/>
      </c>
      <c r="AH535" t="str">
        <f>""</f>
        <v/>
      </c>
      <c r="AI535" t="str">
        <f>""</f>
        <v/>
      </c>
      <c r="AJ535" t="str">
        <f>""</f>
        <v/>
      </c>
      <c r="AK535" t="str">
        <f>""</f>
        <v/>
      </c>
      <c r="AL535">
        <v>2</v>
      </c>
      <c r="AM535">
        <v>621</v>
      </c>
      <c r="AN535">
        <v>2957.17</v>
      </c>
      <c r="AQ535" t="s">
        <v>5762</v>
      </c>
      <c r="AR535" t="s">
        <v>5762</v>
      </c>
      <c r="AS535" t="s">
        <v>5762</v>
      </c>
      <c r="AT535" t="s">
        <v>5763</v>
      </c>
      <c r="AU535" t="s">
        <v>404</v>
      </c>
      <c r="AW535" t="str">
        <f>"29-3N-24-2020-0020-0000 "</f>
        <v xml:space="preserve">29-3N-24-2020-0020-0000 </v>
      </c>
      <c r="BE535" t="s">
        <v>393</v>
      </c>
      <c r="BX535" t="s">
        <v>407</v>
      </c>
    </row>
    <row r="536" spans="1:284" x14ac:dyDescent="0.25">
      <c r="A536">
        <v>16485543</v>
      </c>
      <c r="B536">
        <v>535</v>
      </c>
      <c r="C536" t="s">
        <v>393</v>
      </c>
      <c r="D536" t="s">
        <v>394</v>
      </c>
      <c r="F536" t="str">
        <f>"29-3N-24-2020-0032-0030"</f>
        <v>29-3N-24-2020-0032-0030</v>
      </c>
      <c r="H536" t="str">
        <f>"MCCULLOUGH DOUGLAS M"</f>
        <v>MCCULLOUGH DOUGLAS M</v>
      </c>
      <c r="I536" t="str">
        <f>"15561 CR 108"</f>
        <v>15561 CR 108</v>
      </c>
      <c r="J536" t="str">
        <f>"HILLIARD FL 32046"</f>
        <v>HILLIARD FL 32046</v>
      </c>
      <c r="K536" t="str">
        <f>"15561 CR 108"</f>
        <v>15561 CR 108</v>
      </c>
      <c r="L536" t="str">
        <f>"HILLIARD FL 32046"</f>
        <v>HILLIARD FL 32046</v>
      </c>
      <c r="M536" t="str">
        <f>"PT OF LOT 32 (S-3) IN OR 1113/865 EX S-4 CORNWALL SURVEY"</f>
        <v>PT OF LOT 32 (S-3) IN OR 1113/865 EX S-4 CORNWALL SURVEY</v>
      </c>
      <c r="N536" t="str">
        <f>""</f>
        <v/>
      </c>
      <c r="O536" t="str">
        <f>"38935"</f>
        <v>38935</v>
      </c>
      <c r="P536" t="str">
        <f t="shared" si="151"/>
        <v>2017</v>
      </c>
      <c r="Q536" t="str">
        <f>""</f>
        <v/>
      </c>
      <c r="R536" t="str">
        <f>"Y"</f>
        <v>Y</v>
      </c>
      <c r="S536" t="str">
        <f>"5.16"</f>
        <v>5.16</v>
      </c>
      <c r="T536" t="str">
        <f>"1471.61"</f>
        <v>1471.61</v>
      </c>
      <c r="U536" t="str">
        <f>"136312.00"</f>
        <v>136312.00</v>
      </c>
      <c r="V536" t="str">
        <f>"136312.00"</f>
        <v>136312.00</v>
      </c>
      <c r="W536" t="str">
        <f t="shared" si="152"/>
        <v>2017</v>
      </c>
      <c r="X536" t="str">
        <f>"8.00"</f>
        <v>8.00</v>
      </c>
      <c r="Y536" t="str">
        <f>"1547.76"</f>
        <v>1547.76</v>
      </c>
      <c r="Z536" t="str">
        <f>"25000.00"</f>
        <v>25000.00</v>
      </c>
      <c r="AA536" t="str">
        <f>"111312.00"</f>
        <v>111312.00</v>
      </c>
      <c r="AB536" t="str">
        <f>"Residential"</f>
        <v>Residential</v>
      </c>
      <c r="AC536" t="str">
        <f t="shared" ref="AC536:AC599" si="161">"0"</f>
        <v>0</v>
      </c>
      <c r="AD536" t="str">
        <f>"4"</f>
        <v>4</v>
      </c>
      <c r="AE536" t="str">
        <f>"WOOD (INCLUDE STEEL STUDS)"</f>
        <v>WOOD (INCLUDE STEEL STUDS)</v>
      </c>
      <c r="AF536" t="str">
        <f>"001"</f>
        <v>001</v>
      </c>
      <c r="AG536" t="str">
        <f>"FL"</f>
        <v>FL</v>
      </c>
      <c r="AH536" t="str">
        <f>"224769.00"</f>
        <v>224769.00</v>
      </c>
      <c r="AI536" t="str">
        <f>"41280.00"</f>
        <v>41280.00</v>
      </c>
      <c r="AJ536" t="str">
        <f>"C55-000-588-8732-4"</f>
        <v>C55-000-588-8732-4</v>
      </c>
      <c r="AK536" t="str">
        <f>"7988"</f>
        <v>7988</v>
      </c>
      <c r="AL536">
        <v>2</v>
      </c>
      <c r="AM536">
        <v>622</v>
      </c>
      <c r="AN536">
        <v>1623.55</v>
      </c>
      <c r="AQ536" t="s">
        <v>5764</v>
      </c>
      <c r="AR536" t="s">
        <v>5764</v>
      </c>
      <c r="AS536" t="s">
        <v>5764</v>
      </c>
      <c r="AU536" t="s">
        <v>396</v>
      </c>
      <c r="AV536">
        <v>2017</v>
      </c>
      <c r="AW536" t="str">
        <f>"29-3N-24-2020-0032-0030 "</f>
        <v xml:space="preserve">29-3N-24-2020-0032-0030 </v>
      </c>
      <c r="AX536">
        <v>15561</v>
      </c>
      <c r="AZ536" t="s">
        <v>1206</v>
      </c>
      <c r="BD536" t="s">
        <v>398</v>
      </c>
      <c r="BE536" t="s">
        <v>393</v>
      </c>
      <c r="BF536">
        <v>32046</v>
      </c>
      <c r="BG536" t="s">
        <v>5765</v>
      </c>
      <c r="BH536" t="s">
        <v>400</v>
      </c>
      <c r="BI536">
        <v>-81.931227337532803</v>
      </c>
      <c r="BJ536">
        <v>30.6536510925872</v>
      </c>
      <c r="BK536" t="s">
        <v>5766</v>
      </c>
      <c r="BM536" t="s">
        <v>2634</v>
      </c>
      <c r="BN536" t="s">
        <v>403</v>
      </c>
      <c r="BO536">
        <v>32046</v>
      </c>
      <c r="BP536" t="s">
        <v>416</v>
      </c>
      <c r="BQ536">
        <v>100</v>
      </c>
      <c r="BR536" t="s">
        <v>514</v>
      </c>
      <c r="BS536">
        <v>1001</v>
      </c>
      <c r="BT536" t="s">
        <v>515</v>
      </c>
      <c r="BW536">
        <v>224769</v>
      </c>
      <c r="BX536" t="s">
        <v>407</v>
      </c>
      <c r="BY536" t="s">
        <v>408</v>
      </c>
      <c r="BZ536">
        <v>4</v>
      </c>
      <c r="CA536">
        <v>2004</v>
      </c>
      <c r="CB536">
        <v>1</v>
      </c>
      <c r="CC536">
        <v>1</v>
      </c>
      <c r="CD536">
        <v>2017</v>
      </c>
      <c r="CG536">
        <v>136312</v>
      </c>
      <c r="CH536">
        <v>2017</v>
      </c>
      <c r="CI536">
        <v>41280</v>
      </c>
      <c r="CJ536">
        <v>104301</v>
      </c>
      <c r="CK536">
        <v>145581</v>
      </c>
      <c r="CL536">
        <v>2017</v>
      </c>
      <c r="CM536">
        <v>1471.61</v>
      </c>
      <c r="CN536" s="1">
        <v>42601</v>
      </c>
      <c r="CO536">
        <v>69500</v>
      </c>
      <c r="CV536">
        <v>64122</v>
      </c>
      <c r="CX536" t="s">
        <v>675</v>
      </c>
      <c r="CZ536" s="1">
        <v>42601</v>
      </c>
      <c r="DA536">
        <v>0</v>
      </c>
      <c r="DD536" t="s">
        <v>398</v>
      </c>
      <c r="DF536">
        <v>32</v>
      </c>
      <c r="DG536">
        <v>29</v>
      </c>
      <c r="DL536">
        <v>50400</v>
      </c>
      <c r="DM536" t="s">
        <v>5753</v>
      </c>
      <c r="DO536" t="s">
        <v>5767</v>
      </c>
      <c r="DP536">
        <v>0</v>
      </c>
      <c r="DQ536">
        <v>0</v>
      </c>
      <c r="DR536" t="s">
        <v>411</v>
      </c>
      <c r="DS536" t="b">
        <v>1</v>
      </c>
      <c r="DT536" t="s">
        <v>470</v>
      </c>
      <c r="DU536" t="s">
        <v>471</v>
      </c>
      <c r="DV536" t="s">
        <v>472</v>
      </c>
      <c r="DX536">
        <v>-9999</v>
      </c>
      <c r="DZ536" t="s">
        <v>447</v>
      </c>
      <c r="EA536" t="s">
        <v>448</v>
      </c>
      <c r="EB536" t="s">
        <v>1224</v>
      </c>
      <c r="EC536">
        <v>20101217</v>
      </c>
      <c r="ED536" t="s">
        <v>474</v>
      </c>
      <c r="EF536">
        <v>548.20000000000005</v>
      </c>
      <c r="EG536">
        <v>548.20000000000005</v>
      </c>
      <c r="EH536" t="s">
        <v>451</v>
      </c>
      <c r="EI536">
        <v>20140731</v>
      </c>
      <c r="EJ536">
        <v>0</v>
      </c>
      <c r="EK536">
        <v>0</v>
      </c>
      <c r="EP536" t="s">
        <v>421</v>
      </c>
      <c r="EQ536" t="s">
        <v>422</v>
      </c>
      <c r="ER536">
        <v>0</v>
      </c>
      <c r="ES536">
        <v>2</v>
      </c>
      <c r="ET536">
        <v>0</v>
      </c>
      <c r="EU536">
        <v>0</v>
      </c>
      <c r="EV536">
        <v>0</v>
      </c>
      <c r="EW536" s="2">
        <v>43222</v>
      </c>
      <c r="EX536" s="1">
        <v>42151</v>
      </c>
      <c r="EY536">
        <v>2014</v>
      </c>
      <c r="EZ536">
        <v>1610.5</v>
      </c>
      <c r="FA536" t="s">
        <v>5768</v>
      </c>
      <c r="FB536">
        <v>0.25</v>
      </c>
      <c r="FC536" t="s">
        <v>424</v>
      </c>
      <c r="FD536" t="s">
        <v>425</v>
      </c>
      <c r="FE536" s="1">
        <v>42396</v>
      </c>
      <c r="FF536">
        <v>8</v>
      </c>
      <c r="FG536">
        <v>4975594</v>
      </c>
      <c r="FH536" t="s">
        <v>457</v>
      </c>
      <c r="FJ536" s="1">
        <v>42151</v>
      </c>
      <c r="FK536">
        <v>2014</v>
      </c>
      <c r="FL536">
        <v>1610.5</v>
      </c>
      <c r="FM536" t="s">
        <v>5768</v>
      </c>
      <c r="FN536">
        <v>0.25</v>
      </c>
      <c r="FO536" t="s">
        <v>424</v>
      </c>
      <c r="FP536" t="s">
        <v>425</v>
      </c>
      <c r="FR536">
        <v>22</v>
      </c>
      <c r="FS536">
        <v>6646736</v>
      </c>
      <c r="FT536" t="s">
        <v>5769</v>
      </c>
    </row>
    <row r="537" spans="1:284" x14ac:dyDescent="0.25">
      <c r="A537">
        <v>16485544</v>
      </c>
      <c r="B537">
        <v>536</v>
      </c>
      <c r="C537" t="s">
        <v>393</v>
      </c>
      <c r="D537" t="s">
        <v>394</v>
      </c>
      <c r="F537" t="str">
        <f>"29-3N-24-2020-0032-0040"</f>
        <v>29-3N-24-2020-0032-0040</v>
      </c>
      <c r="H537" t="str">
        <f>"MCCULLOUGH DOUGLAS MARK"</f>
        <v>MCCULLOUGH DOUGLAS MARK</v>
      </c>
      <c r="I537" t="str">
        <f>"15561 CR 108"</f>
        <v>15561 CR 108</v>
      </c>
      <c r="J537" t="str">
        <f>"HILLIARD FL 32046"</f>
        <v>HILLIARD FL 32046</v>
      </c>
      <c r="K537" t="str">
        <f>"CR 108"</f>
        <v>CR 108</v>
      </c>
      <c r="L537" t="str">
        <f>"HILLIARD FL 32046"</f>
        <v>HILLIARD FL 32046</v>
      </c>
      <c r="M537" t="str">
        <f>"PT OF LOT 32 (S-4) IN OR 1913/1 CORNWALL SURVEY"</f>
        <v>PT OF LOT 32 (S-4) IN OR 1913/1 CORNWALL SURVEY</v>
      </c>
      <c r="N537" t="str">
        <f>""</f>
        <v/>
      </c>
      <c r="O537" t="str">
        <f>"38936"</f>
        <v>38936</v>
      </c>
      <c r="P537" t="str">
        <f t="shared" si="151"/>
        <v>2017</v>
      </c>
      <c r="Q537" t="str">
        <f>""</f>
        <v/>
      </c>
      <c r="R537" t="str">
        <f t="shared" ref="R537:R542" si="162">"N"</f>
        <v>N</v>
      </c>
      <c r="S537" t="str">
        <f>"1.49"</f>
        <v>1.49</v>
      </c>
      <c r="T537" t="str">
        <f>"315.44"</f>
        <v>315.44</v>
      </c>
      <c r="U537" t="str">
        <f>"19668.00"</f>
        <v>19668.00</v>
      </c>
      <c r="V537" t="str">
        <f>"19668.00"</f>
        <v>19668.00</v>
      </c>
      <c r="W537" t="str">
        <f t="shared" si="152"/>
        <v>2017</v>
      </c>
      <c r="X537" t="str">
        <f>"15.00"</f>
        <v>15.00</v>
      </c>
      <c r="Y537" t="str">
        <f>"356.90"</f>
        <v>356.90</v>
      </c>
      <c r="Z537" t="str">
        <f>""</f>
        <v/>
      </c>
      <c r="AA537" t="str">
        <f>"22350.00"</f>
        <v>22350.00</v>
      </c>
      <c r="AB537" t="str">
        <f>"Residential"</f>
        <v>Residential</v>
      </c>
      <c r="AC537" t="str">
        <f t="shared" si="161"/>
        <v>0</v>
      </c>
      <c r="AD537" t="str">
        <f>""</f>
        <v/>
      </c>
      <c r="AE537" t="str">
        <f>""</f>
        <v/>
      </c>
      <c r="AF537" t="str">
        <f>"000"</f>
        <v>000</v>
      </c>
      <c r="AG537" t="str">
        <f>"FL"</f>
        <v>FL</v>
      </c>
      <c r="AH537" t="str">
        <f>"64904.00"</f>
        <v>64904.00</v>
      </c>
      <c r="AI537" t="str">
        <f>"22350.00"</f>
        <v>22350.00</v>
      </c>
      <c r="AJ537" t="str">
        <f>"C55-001-028-2371-3"</f>
        <v>C55-001-028-2371-3</v>
      </c>
      <c r="AK537" t="str">
        <f>"7989"</f>
        <v>7989</v>
      </c>
      <c r="AL537">
        <v>2</v>
      </c>
      <c r="AM537">
        <v>623</v>
      </c>
      <c r="AN537">
        <v>373.15</v>
      </c>
      <c r="AQ537" t="s">
        <v>5770</v>
      </c>
      <c r="AR537" t="s">
        <v>5770</v>
      </c>
      <c r="AS537" t="s">
        <v>5770</v>
      </c>
      <c r="AU537" t="s">
        <v>396</v>
      </c>
      <c r="AV537">
        <v>2017</v>
      </c>
      <c r="AW537" t="str">
        <f>"29-3N-24-2020-0032-0040 "</f>
        <v xml:space="preserve">29-3N-24-2020-0032-0040 </v>
      </c>
      <c r="AZ537" t="s">
        <v>1206</v>
      </c>
      <c r="BD537" t="s">
        <v>398</v>
      </c>
      <c r="BE537" t="s">
        <v>393</v>
      </c>
      <c r="BF537">
        <v>32046</v>
      </c>
      <c r="BG537" t="s">
        <v>1206</v>
      </c>
      <c r="BH537" t="s">
        <v>400</v>
      </c>
      <c r="BI537">
        <v>-81.930166028897503</v>
      </c>
      <c r="BJ537">
        <v>30.653433655368001</v>
      </c>
      <c r="BK537" t="s">
        <v>5766</v>
      </c>
      <c r="BM537" t="s">
        <v>2634</v>
      </c>
      <c r="BN537" t="s">
        <v>403</v>
      </c>
      <c r="BO537">
        <v>32046</v>
      </c>
      <c r="BP537" t="s">
        <v>404</v>
      </c>
      <c r="BQ537">
        <v>0</v>
      </c>
      <c r="BR537" t="s">
        <v>491</v>
      </c>
      <c r="BS537">
        <v>8001</v>
      </c>
      <c r="BT537" t="s">
        <v>492</v>
      </c>
      <c r="BW537">
        <v>64904</v>
      </c>
      <c r="BX537" t="s">
        <v>407</v>
      </c>
      <c r="BY537" t="s">
        <v>408</v>
      </c>
      <c r="CD537">
        <v>2017</v>
      </c>
      <c r="CE537">
        <v>22350</v>
      </c>
      <c r="CG537">
        <v>22350</v>
      </c>
      <c r="CH537">
        <v>2017</v>
      </c>
      <c r="CI537">
        <v>22350</v>
      </c>
      <c r="CK537">
        <v>22350</v>
      </c>
      <c r="CL537">
        <v>2017</v>
      </c>
      <c r="CM537">
        <v>315.44</v>
      </c>
      <c r="CN537" s="1">
        <v>41745</v>
      </c>
      <c r="CO537">
        <v>8000</v>
      </c>
      <c r="CZ537" s="1">
        <v>41745</v>
      </c>
      <c r="DD537" t="s">
        <v>398</v>
      </c>
      <c r="DF537">
        <v>32</v>
      </c>
      <c r="DG537">
        <v>29</v>
      </c>
      <c r="DJ537" t="s">
        <v>1990</v>
      </c>
      <c r="DL537">
        <v>50400</v>
      </c>
      <c r="DM537" t="s">
        <v>5753</v>
      </c>
      <c r="DO537" t="s">
        <v>5771</v>
      </c>
      <c r="DP537">
        <v>0</v>
      </c>
      <c r="DQ537">
        <v>0</v>
      </c>
      <c r="DR537" t="s">
        <v>411</v>
      </c>
      <c r="DS537" t="b">
        <v>1</v>
      </c>
      <c r="DT537" t="s">
        <v>470</v>
      </c>
      <c r="DU537" t="s">
        <v>471</v>
      </c>
      <c r="DV537" t="s">
        <v>472</v>
      </c>
      <c r="DX537">
        <v>-9999</v>
      </c>
      <c r="DZ537" t="s">
        <v>447</v>
      </c>
      <c r="EA537" t="s">
        <v>448</v>
      </c>
      <c r="EB537" t="s">
        <v>1224</v>
      </c>
      <c r="EC537">
        <v>20101217</v>
      </c>
      <c r="ED537" t="s">
        <v>474</v>
      </c>
      <c r="EF537">
        <v>766.6</v>
      </c>
      <c r="EG537">
        <v>766.6</v>
      </c>
      <c r="EI537">
        <v>20160407</v>
      </c>
      <c r="EJ537">
        <v>0</v>
      </c>
      <c r="EK537">
        <v>0</v>
      </c>
      <c r="EP537" t="s">
        <v>421</v>
      </c>
      <c r="EQ537" t="s">
        <v>422</v>
      </c>
      <c r="ER537">
        <v>0</v>
      </c>
      <c r="ES537">
        <v>2</v>
      </c>
      <c r="ET537">
        <v>0</v>
      </c>
      <c r="EU537">
        <v>0</v>
      </c>
      <c r="EV537">
        <v>0</v>
      </c>
      <c r="EW537" s="2">
        <v>43222</v>
      </c>
      <c r="EX537" s="1">
        <v>42515</v>
      </c>
      <c r="EY537">
        <v>2015</v>
      </c>
      <c r="EZ537">
        <v>326.06</v>
      </c>
      <c r="FA537" t="s">
        <v>5772</v>
      </c>
      <c r="FB537">
        <v>15.25</v>
      </c>
      <c r="FC537" t="s">
        <v>424</v>
      </c>
      <c r="FD537" t="s">
        <v>425</v>
      </c>
      <c r="FE537" s="1">
        <v>42783</v>
      </c>
      <c r="FF537">
        <v>9</v>
      </c>
      <c r="FG537">
        <v>10125</v>
      </c>
      <c r="FH537" t="s">
        <v>440</v>
      </c>
      <c r="FJ537" s="1">
        <v>42151</v>
      </c>
      <c r="FK537">
        <v>2014</v>
      </c>
      <c r="FL537">
        <v>251.18</v>
      </c>
      <c r="FM537" t="s">
        <v>5773</v>
      </c>
      <c r="FN537">
        <v>5.5</v>
      </c>
      <c r="FO537" t="s">
        <v>424</v>
      </c>
      <c r="FP537" t="s">
        <v>425</v>
      </c>
      <c r="FQ537" s="1">
        <v>42783</v>
      </c>
      <c r="FR537">
        <v>21</v>
      </c>
      <c r="FS537">
        <v>10125</v>
      </c>
      <c r="FT537" t="s">
        <v>440</v>
      </c>
    </row>
    <row r="538" spans="1:284" x14ac:dyDescent="0.25">
      <c r="A538">
        <v>16485545</v>
      </c>
      <c r="B538">
        <v>537</v>
      </c>
      <c r="C538" t="s">
        <v>393</v>
      </c>
      <c r="D538" t="s">
        <v>394</v>
      </c>
      <c r="F538" t="str">
        <f>"30-3N-24-0000-0007-0020"</f>
        <v>30-3N-24-0000-0007-0020</v>
      </c>
      <c r="H538" t="str">
        <f>"SPANN GARY H &amp; ELIZABETH A"</f>
        <v>SPANN GARY H &amp; ELIZABETH A</v>
      </c>
      <c r="I538" t="str">
        <f>"3131 COSBY HIGHWAY"</f>
        <v>3131 COSBY HIGHWAY</v>
      </c>
      <c r="J538" t="str">
        <f>"COSBY TN 37722"</f>
        <v>COSBY TN 37722</v>
      </c>
      <c r="K538" t="str">
        <f>"WILLIE HODGES RD"</f>
        <v>WILLIE HODGES RD</v>
      </c>
      <c r="L538" t="str">
        <f>"HILLIARD FL 32046"</f>
        <v>HILLIARD FL 32046</v>
      </c>
      <c r="M538" t="str">
        <f>"PT OF SE1/4 PT OR 337 PG 262 EX 7-7 7-17 7-18 7-19 &amp; 7-20"</f>
        <v>PT OF SE1/4 PT OR 337 PG 262 EX 7-7 7-17 7-18 7-19 &amp; 7-20</v>
      </c>
      <c r="N538" t="str">
        <f>""</f>
        <v/>
      </c>
      <c r="O538" t="str">
        <f>"39525"</f>
        <v>39525</v>
      </c>
      <c r="P538" t="str">
        <f t="shared" si="151"/>
        <v>2017</v>
      </c>
      <c r="Q538" t="str">
        <f>""</f>
        <v/>
      </c>
      <c r="R538" t="str">
        <f t="shared" si="162"/>
        <v>N</v>
      </c>
      <c r="S538" t="str">
        <f>"0.43"</f>
        <v>0.43</v>
      </c>
      <c r="T538" t="str">
        <f>"9.11"</f>
        <v>9.11</v>
      </c>
      <c r="U538" t="str">
        <f>"568.00"</f>
        <v>568.00</v>
      </c>
      <c r="V538" t="str">
        <f>"568.00"</f>
        <v>568.00</v>
      </c>
      <c r="W538" t="str">
        <f t="shared" si="152"/>
        <v>2017</v>
      </c>
      <c r="X538" t="str">
        <f>""</f>
        <v/>
      </c>
      <c r="Y538" t="str">
        <f>"41.38"</f>
        <v>41.38</v>
      </c>
      <c r="Z538" t="str">
        <f>""</f>
        <v/>
      </c>
      <c r="AA538" t="str">
        <f>"645.00"</f>
        <v>645.00</v>
      </c>
      <c r="AB538" t="str">
        <f>"Residential"</f>
        <v>Residential</v>
      </c>
      <c r="AC538" t="str">
        <f t="shared" si="161"/>
        <v>0</v>
      </c>
      <c r="AD538" t="str">
        <f>""</f>
        <v/>
      </c>
      <c r="AE538" t="str">
        <f>""</f>
        <v/>
      </c>
      <c r="AF538" t="str">
        <f>"000"</f>
        <v>000</v>
      </c>
      <c r="AG538" t="str">
        <f>"TN"</f>
        <v>TN</v>
      </c>
      <c r="AH538" t="str">
        <f>"18730.00"</f>
        <v>18730.00</v>
      </c>
      <c r="AI538" t="str">
        <f>"645.00"</f>
        <v>645.00</v>
      </c>
      <c r="AJ538" t="str">
        <f>"C55-000-587-6245-1"</f>
        <v>C55-000-587-6245-1</v>
      </c>
      <c r="AK538" t="str">
        <f>"8023"</f>
        <v>8023</v>
      </c>
      <c r="AL538">
        <v>2</v>
      </c>
      <c r="AM538">
        <v>624</v>
      </c>
      <c r="AN538">
        <v>41.85</v>
      </c>
      <c r="AQ538" t="s">
        <v>5774</v>
      </c>
      <c r="AR538" t="s">
        <v>5774</v>
      </c>
      <c r="AS538" t="s">
        <v>5774</v>
      </c>
      <c r="AU538" t="s">
        <v>396</v>
      </c>
      <c r="AV538">
        <v>2017</v>
      </c>
      <c r="AW538" t="str">
        <f>"30-3N-24-0000-0007-0020 "</f>
        <v xml:space="preserve">30-3N-24-0000-0007-0020 </v>
      </c>
      <c r="AZ538" t="s">
        <v>5756</v>
      </c>
      <c r="BA538" t="s">
        <v>496</v>
      </c>
      <c r="BD538" t="s">
        <v>398</v>
      </c>
      <c r="BE538" t="s">
        <v>393</v>
      </c>
      <c r="BF538">
        <v>32046</v>
      </c>
      <c r="BG538" t="s">
        <v>5775</v>
      </c>
      <c r="BH538" t="s">
        <v>400</v>
      </c>
      <c r="BI538">
        <v>-81.941355144743099</v>
      </c>
      <c r="BJ538">
        <v>30.642312269278399</v>
      </c>
      <c r="BK538" t="s">
        <v>5776</v>
      </c>
      <c r="BL538" t="s">
        <v>5777</v>
      </c>
      <c r="BM538" t="s">
        <v>5778</v>
      </c>
      <c r="BN538" t="s">
        <v>5779</v>
      </c>
      <c r="BO538">
        <v>37722</v>
      </c>
      <c r="BP538" t="s">
        <v>404</v>
      </c>
      <c r="BQ538">
        <v>0</v>
      </c>
      <c r="BR538" t="s">
        <v>491</v>
      </c>
      <c r="BS538">
        <v>8001</v>
      </c>
      <c r="BT538" t="s">
        <v>492</v>
      </c>
      <c r="BW538">
        <v>18730</v>
      </c>
      <c r="BX538" t="s">
        <v>407</v>
      </c>
      <c r="BY538" t="s">
        <v>408</v>
      </c>
      <c r="CD538">
        <v>2017</v>
      </c>
      <c r="CE538">
        <v>645</v>
      </c>
      <c r="CG538">
        <v>645</v>
      </c>
      <c r="CH538">
        <v>2017</v>
      </c>
      <c r="CI538">
        <v>645</v>
      </c>
      <c r="CK538">
        <v>645</v>
      </c>
      <c r="CL538">
        <v>2017</v>
      </c>
      <c r="CM538">
        <v>9.11</v>
      </c>
      <c r="DD538" t="s">
        <v>398</v>
      </c>
      <c r="DG538">
        <v>30</v>
      </c>
      <c r="DL538">
        <v>50400</v>
      </c>
      <c r="DM538" t="s">
        <v>5780</v>
      </c>
      <c r="DO538" t="s">
        <v>5781</v>
      </c>
      <c r="DP538">
        <v>0</v>
      </c>
      <c r="DQ538">
        <v>0</v>
      </c>
      <c r="DR538" t="s">
        <v>411</v>
      </c>
      <c r="DS538" t="b">
        <v>1</v>
      </c>
      <c r="DT538" t="s">
        <v>470</v>
      </c>
      <c r="DU538" t="s">
        <v>471</v>
      </c>
      <c r="DV538" t="s">
        <v>472</v>
      </c>
      <c r="DX538">
        <v>-9999</v>
      </c>
      <c r="DZ538" t="s">
        <v>447</v>
      </c>
      <c r="EA538" t="s">
        <v>448</v>
      </c>
      <c r="EB538" t="s">
        <v>5782</v>
      </c>
      <c r="EC538">
        <v>20101217</v>
      </c>
      <c r="ED538" t="s">
        <v>474</v>
      </c>
      <c r="EF538">
        <v>434.7</v>
      </c>
      <c r="EG538">
        <v>434.7</v>
      </c>
      <c r="EI538">
        <v>20160407</v>
      </c>
      <c r="EJ538">
        <v>0</v>
      </c>
      <c r="EK538">
        <v>0</v>
      </c>
      <c r="EP538" t="s">
        <v>595</v>
      </c>
      <c r="EQ538" t="s">
        <v>422</v>
      </c>
      <c r="ER538">
        <v>11</v>
      </c>
      <c r="ES538">
        <v>0</v>
      </c>
      <c r="ET538">
        <v>345.52</v>
      </c>
      <c r="EU538">
        <v>321.45999999999998</v>
      </c>
      <c r="EV538">
        <v>666.98</v>
      </c>
      <c r="EW538" s="2">
        <v>43222</v>
      </c>
      <c r="EX538" s="1">
        <v>42879</v>
      </c>
      <c r="EY538">
        <v>2016</v>
      </c>
      <c r="EZ538">
        <v>35.58</v>
      </c>
      <c r="FA538" t="s">
        <v>5783</v>
      </c>
      <c r="FB538">
        <v>18</v>
      </c>
      <c r="FC538" t="s">
        <v>603</v>
      </c>
      <c r="FD538" t="s">
        <v>454</v>
      </c>
      <c r="FF538">
        <v>12</v>
      </c>
      <c r="FG538">
        <v>9999999</v>
      </c>
      <c r="FH538" t="s">
        <v>604</v>
      </c>
      <c r="FJ538" s="1">
        <v>42515</v>
      </c>
      <c r="FK538">
        <v>2015</v>
      </c>
      <c r="FL538">
        <v>30.38</v>
      </c>
      <c r="FM538" t="s">
        <v>5784</v>
      </c>
      <c r="FN538">
        <v>18</v>
      </c>
      <c r="FO538" t="s">
        <v>603</v>
      </c>
      <c r="FP538" t="s">
        <v>454</v>
      </c>
      <c r="FR538">
        <v>24</v>
      </c>
      <c r="FS538">
        <v>9999999</v>
      </c>
      <c r="FT538" t="s">
        <v>604</v>
      </c>
      <c r="FV538" s="1">
        <v>42515</v>
      </c>
      <c r="FW538">
        <v>2015</v>
      </c>
      <c r="FX538">
        <v>39.82</v>
      </c>
      <c r="FY538" t="s">
        <v>5784</v>
      </c>
      <c r="FZ538">
        <v>18</v>
      </c>
      <c r="GA538" t="s">
        <v>424</v>
      </c>
      <c r="GB538" t="s">
        <v>454</v>
      </c>
      <c r="GD538">
        <v>24</v>
      </c>
      <c r="GE538">
        <v>7336722</v>
      </c>
      <c r="GF538" t="s">
        <v>5785</v>
      </c>
      <c r="GH538" s="1">
        <v>42151</v>
      </c>
      <c r="GI538">
        <v>2014</v>
      </c>
      <c r="GJ538">
        <v>29.34</v>
      </c>
      <c r="GK538" t="s">
        <v>5786</v>
      </c>
      <c r="GL538">
        <v>18</v>
      </c>
      <c r="GM538" t="s">
        <v>603</v>
      </c>
      <c r="GN538" t="s">
        <v>454</v>
      </c>
      <c r="GP538">
        <v>36</v>
      </c>
      <c r="GQ538">
        <v>9999999</v>
      </c>
      <c r="GR538" t="s">
        <v>604</v>
      </c>
      <c r="GT538" s="1">
        <v>41787</v>
      </c>
      <c r="GU538">
        <v>2013</v>
      </c>
      <c r="GV538">
        <v>28.94</v>
      </c>
      <c r="GW538" t="s">
        <v>5787</v>
      </c>
      <c r="GX538">
        <v>18</v>
      </c>
      <c r="GY538" t="s">
        <v>603</v>
      </c>
      <c r="GZ538" t="s">
        <v>454</v>
      </c>
      <c r="HB538">
        <v>48</v>
      </c>
      <c r="HC538">
        <v>9999999</v>
      </c>
      <c r="HD538" t="s">
        <v>604</v>
      </c>
      <c r="HF538" s="1">
        <v>41787</v>
      </c>
      <c r="HG538">
        <v>2013</v>
      </c>
      <c r="HH538">
        <v>40.4</v>
      </c>
      <c r="HI538" t="s">
        <v>5787</v>
      </c>
      <c r="HJ538">
        <v>18</v>
      </c>
      <c r="HK538" t="s">
        <v>424</v>
      </c>
      <c r="HL538" t="s">
        <v>454</v>
      </c>
      <c r="HN538">
        <v>48</v>
      </c>
      <c r="HO538">
        <v>7045033</v>
      </c>
      <c r="HP538" t="s">
        <v>4053</v>
      </c>
      <c r="HR538" s="1">
        <v>41423</v>
      </c>
      <c r="HS538">
        <v>2012</v>
      </c>
      <c r="HT538">
        <v>30.07</v>
      </c>
      <c r="HU538" t="s">
        <v>5788</v>
      </c>
      <c r="HV538">
        <v>16.75</v>
      </c>
      <c r="HW538" t="s">
        <v>424</v>
      </c>
      <c r="HX538" t="s">
        <v>454</v>
      </c>
      <c r="HZ538">
        <v>60</v>
      </c>
      <c r="IA538">
        <v>10125</v>
      </c>
      <c r="IB538" t="s">
        <v>440</v>
      </c>
      <c r="ID538" s="1">
        <v>41052</v>
      </c>
      <c r="IE538">
        <v>2011</v>
      </c>
      <c r="IF538">
        <v>30.62</v>
      </c>
      <c r="IG538" t="s">
        <v>5789</v>
      </c>
      <c r="IH538">
        <v>18</v>
      </c>
      <c r="II538" t="s">
        <v>424</v>
      </c>
      <c r="IJ538" t="s">
        <v>454</v>
      </c>
      <c r="IL538">
        <v>72</v>
      </c>
      <c r="IM538">
        <v>15163</v>
      </c>
      <c r="IN538" t="s">
        <v>5790</v>
      </c>
      <c r="IP538" s="1">
        <v>41052</v>
      </c>
      <c r="IQ538">
        <v>2011</v>
      </c>
      <c r="IR538">
        <v>23.66</v>
      </c>
      <c r="IS538" t="s">
        <v>5789</v>
      </c>
      <c r="IT538">
        <v>18</v>
      </c>
      <c r="IU538" t="s">
        <v>603</v>
      </c>
      <c r="IV538" t="s">
        <v>454</v>
      </c>
      <c r="IX538">
        <v>72</v>
      </c>
      <c r="IY538">
        <v>9999999</v>
      </c>
      <c r="IZ538" t="s">
        <v>604</v>
      </c>
      <c r="JB538" s="1">
        <v>40688</v>
      </c>
      <c r="JC538">
        <v>2010</v>
      </c>
      <c r="JD538">
        <v>32.909999999999997</v>
      </c>
      <c r="JE538" t="s">
        <v>5791</v>
      </c>
      <c r="JF538">
        <v>18</v>
      </c>
      <c r="JG538" t="s">
        <v>424</v>
      </c>
      <c r="JH538" t="s">
        <v>454</v>
      </c>
      <c r="JJ538">
        <v>84</v>
      </c>
      <c r="JK538">
        <v>12079</v>
      </c>
      <c r="JL538" t="s">
        <v>5792</v>
      </c>
      <c r="JN538" s="1">
        <v>40688</v>
      </c>
      <c r="JO538">
        <v>2010</v>
      </c>
      <c r="JP538">
        <v>23.8</v>
      </c>
      <c r="JQ538" t="s">
        <v>5791</v>
      </c>
      <c r="JR538">
        <v>18</v>
      </c>
      <c r="JS538" t="s">
        <v>603</v>
      </c>
      <c r="JT538" t="s">
        <v>454</v>
      </c>
      <c r="JV538">
        <v>84</v>
      </c>
      <c r="JW538">
        <v>9999999</v>
      </c>
      <c r="JX538" t="s">
        <v>604</v>
      </c>
    </row>
    <row r="539" spans="1:284" x14ac:dyDescent="0.25">
      <c r="A539">
        <v>16485546</v>
      </c>
      <c r="B539">
        <v>538</v>
      </c>
      <c r="C539" t="s">
        <v>393</v>
      </c>
      <c r="D539" t="s">
        <v>394</v>
      </c>
      <c r="F539" t="str">
        <f>"36-3N-24-0000-0001-0000"</f>
        <v>36-3N-24-0000-0001-0000</v>
      </c>
      <c r="H539" t="str">
        <f>"JONES DOUGLAS Z"</f>
        <v>JONES DOUGLAS Z</v>
      </c>
      <c r="I539" t="str">
        <f>"361293 M SIKES ROAD"</f>
        <v>361293 M SIKES ROAD</v>
      </c>
      <c r="J539" t="str">
        <f t="shared" ref="J539:J544" si="163">"CALLAHAN FL 32011"</f>
        <v>CALLAHAN FL 32011</v>
      </c>
      <c r="K539" t="str">
        <f>"361293 M SIKES RD"</f>
        <v>361293 M SIKES RD</v>
      </c>
      <c r="L539" t="str">
        <f t="shared" ref="L539:L553" si="164">"CALLAHAN FL 32011"</f>
        <v>CALLAHAN FL 32011</v>
      </c>
      <c r="M539" t="str">
        <f>"NE1/4 OF NE1/4 NW1/4 OF NE1/4 IN OR 1589/1073 ESMT OR 1601/115 EX 1-1"</f>
        <v>NE1/4 OF NE1/4 NW1/4 OF NE1/4 IN OR 1589/1073 ESMT OR 1601/115 EX 1-1</v>
      </c>
      <c r="N539" t="str">
        <f>""</f>
        <v/>
      </c>
      <c r="O539" t="str">
        <f>"42162"</f>
        <v>42162</v>
      </c>
      <c r="P539" t="str">
        <f t="shared" si="151"/>
        <v>2017</v>
      </c>
      <c r="Q539" t="str">
        <f>""</f>
        <v/>
      </c>
      <c r="R539" t="str">
        <f t="shared" si="162"/>
        <v>N</v>
      </c>
      <c r="S539" t="str">
        <f>"74.94"</f>
        <v>74.94</v>
      </c>
      <c r="T539" t="str">
        <f>"2049.56"</f>
        <v>2049.56</v>
      </c>
      <c r="U539" t="str">
        <f>"135385.00"</f>
        <v>135385.00</v>
      </c>
      <c r="V539" t="str">
        <f>"135385.00"</f>
        <v>135385.00</v>
      </c>
      <c r="W539" t="str">
        <f t="shared" si="152"/>
        <v>2017</v>
      </c>
      <c r="X539" t="str">
        <f>"21.40"</f>
        <v>21.40</v>
      </c>
      <c r="Y539" t="str">
        <f>"2143.05"</f>
        <v>2143.05</v>
      </c>
      <c r="Z539" t="str">
        <f>""</f>
        <v/>
      </c>
      <c r="AA539" t="str">
        <f>"135385.00"</f>
        <v>135385.00</v>
      </c>
      <c r="AB539" t="str">
        <f>"Agricultural"</f>
        <v>Agricultural</v>
      </c>
      <c r="AC539" t="str">
        <f t="shared" si="161"/>
        <v>0</v>
      </c>
      <c r="AD539" t="str">
        <f>"4"</f>
        <v>4</v>
      </c>
      <c r="AE539" t="str">
        <f>"WOOD (INCLUDE STEEL STUDS)"</f>
        <v>WOOD (INCLUDE STEEL STUDS)</v>
      </c>
      <c r="AF539" t="str">
        <f>"050"</f>
        <v>050</v>
      </c>
      <c r="AG539" t="str">
        <f t="shared" ref="AG539:AG572" si="165">"FL"</f>
        <v>FL</v>
      </c>
      <c r="AH539" t="str">
        <f>"3264386.00"</f>
        <v>3264386.00</v>
      </c>
      <c r="AI539" t="str">
        <f>"41732.00"</f>
        <v>41732.00</v>
      </c>
      <c r="AJ539" t="str">
        <f>"C55-000-587-8174-1"</f>
        <v>C55-000-587-8174-1</v>
      </c>
      <c r="AK539" t="str">
        <f>"8118"</f>
        <v>8118</v>
      </c>
      <c r="AL539">
        <v>2</v>
      </c>
      <c r="AM539">
        <v>625</v>
      </c>
      <c r="AN539">
        <v>2248.6</v>
      </c>
      <c r="AQ539" t="s">
        <v>5793</v>
      </c>
      <c r="AR539" t="s">
        <v>5793</v>
      </c>
      <c r="AS539" t="s">
        <v>5793</v>
      </c>
      <c r="AU539" t="s">
        <v>396</v>
      </c>
      <c r="AV539">
        <v>2017</v>
      </c>
      <c r="AW539" t="str">
        <f>"36-3N-24-0000-0001-0000 "</f>
        <v xml:space="preserve">36-3N-24-0000-0001-0000 </v>
      </c>
      <c r="AX539" t="s">
        <v>5794</v>
      </c>
      <c r="AZ539" t="s">
        <v>1267</v>
      </c>
      <c r="BA539" t="s">
        <v>496</v>
      </c>
      <c r="BD539" t="s">
        <v>2785</v>
      </c>
      <c r="BE539" t="s">
        <v>393</v>
      </c>
      <c r="BF539">
        <v>32011</v>
      </c>
      <c r="BG539" t="s">
        <v>5795</v>
      </c>
      <c r="BH539" t="s">
        <v>2787</v>
      </c>
      <c r="BI539">
        <v>-81.8569106375367</v>
      </c>
      <c r="BJ539">
        <v>30.639658800593502</v>
      </c>
      <c r="BK539" t="s">
        <v>5796</v>
      </c>
      <c r="BL539" t="s">
        <v>5797</v>
      </c>
      <c r="BM539" t="s">
        <v>5795</v>
      </c>
      <c r="BN539" t="s">
        <v>928</v>
      </c>
      <c r="BO539">
        <v>32011</v>
      </c>
      <c r="BP539" t="s">
        <v>416</v>
      </c>
      <c r="BQ539">
        <v>5000</v>
      </c>
      <c r="BR539" t="s">
        <v>664</v>
      </c>
      <c r="BS539">
        <v>7000</v>
      </c>
      <c r="BT539" t="s">
        <v>665</v>
      </c>
      <c r="BW539">
        <v>3264386</v>
      </c>
      <c r="BX539" t="s">
        <v>407</v>
      </c>
      <c r="BY539" t="s">
        <v>408</v>
      </c>
      <c r="BZ539">
        <v>4</v>
      </c>
      <c r="CA539">
        <v>1987</v>
      </c>
      <c r="CB539">
        <v>1</v>
      </c>
      <c r="CC539">
        <v>1</v>
      </c>
      <c r="CD539">
        <v>2017</v>
      </c>
      <c r="CG539">
        <v>135385</v>
      </c>
      <c r="CH539">
        <v>2017</v>
      </c>
      <c r="CI539">
        <v>41732</v>
      </c>
      <c r="CJ539">
        <v>303921</v>
      </c>
      <c r="CK539">
        <v>345653</v>
      </c>
      <c r="CL539">
        <v>2017</v>
      </c>
      <c r="CM539">
        <v>2049.56</v>
      </c>
      <c r="CN539" s="1">
        <v>39737</v>
      </c>
      <c r="CZ539" s="1">
        <v>39737</v>
      </c>
      <c r="DD539" t="s">
        <v>2785</v>
      </c>
      <c r="DG539">
        <v>36</v>
      </c>
      <c r="DL539">
        <v>50400</v>
      </c>
      <c r="DM539" t="s">
        <v>5798</v>
      </c>
      <c r="DO539" t="s">
        <v>5799</v>
      </c>
      <c r="DP539">
        <v>0</v>
      </c>
      <c r="DQ539">
        <v>0</v>
      </c>
      <c r="DR539" t="s">
        <v>411</v>
      </c>
      <c r="DS539" t="b">
        <v>1</v>
      </c>
      <c r="DT539" t="s">
        <v>396</v>
      </c>
      <c r="DV539" t="s">
        <v>446</v>
      </c>
      <c r="DX539">
        <v>-9999</v>
      </c>
      <c r="DZ539" t="s">
        <v>447</v>
      </c>
      <c r="EA539" t="s">
        <v>448</v>
      </c>
      <c r="EB539" t="s">
        <v>449</v>
      </c>
      <c r="EC539">
        <v>20101217</v>
      </c>
      <c r="ED539" t="s">
        <v>450</v>
      </c>
      <c r="EE539">
        <v>14.6</v>
      </c>
      <c r="EF539">
        <v>0</v>
      </c>
      <c r="EG539">
        <v>0</v>
      </c>
      <c r="EI539">
        <v>20160407</v>
      </c>
      <c r="EJ539">
        <v>0</v>
      </c>
      <c r="EK539">
        <v>0</v>
      </c>
      <c r="EP539" t="s">
        <v>421</v>
      </c>
      <c r="EQ539" t="s">
        <v>422</v>
      </c>
      <c r="ER539">
        <v>2</v>
      </c>
      <c r="ES539">
        <v>7</v>
      </c>
      <c r="ET539">
        <v>4326.58</v>
      </c>
      <c r="EU539">
        <v>228.83</v>
      </c>
      <c r="EV539">
        <v>4555.41</v>
      </c>
      <c r="EW539" s="2">
        <v>43222</v>
      </c>
      <c r="EX539" s="1">
        <v>42879</v>
      </c>
      <c r="EY539">
        <v>2016</v>
      </c>
      <c r="EZ539">
        <v>2163.29</v>
      </c>
      <c r="FA539" t="s">
        <v>5800</v>
      </c>
      <c r="FB539">
        <v>0.25</v>
      </c>
      <c r="FC539" t="s">
        <v>424</v>
      </c>
      <c r="FD539" t="s">
        <v>454</v>
      </c>
      <c r="FF539">
        <v>12</v>
      </c>
      <c r="FG539">
        <v>7336753</v>
      </c>
      <c r="FH539" t="s">
        <v>1731</v>
      </c>
      <c r="FJ539" s="1">
        <v>42879</v>
      </c>
      <c r="FK539">
        <v>2016</v>
      </c>
      <c r="FL539">
        <v>2163.29</v>
      </c>
      <c r="FM539" t="s">
        <v>5800</v>
      </c>
      <c r="FN539">
        <v>0.25</v>
      </c>
      <c r="FO539" t="s">
        <v>424</v>
      </c>
      <c r="FP539" t="s">
        <v>454</v>
      </c>
      <c r="FR539">
        <v>12</v>
      </c>
      <c r="FS539">
        <v>7364514</v>
      </c>
      <c r="FT539" t="s">
        <v>5801</v>
      </c>
      <c r="FV539" s="1">
        <v>42515</v>
      </c>
      <c r="FW539">
        <v>2015</v>
      </c>
      <c r="FX539">
        <v>2196.41</v>
      </c>
      <c r="FY539" t="s">
        <v>5802</v>
      </c>
      <c r="FZ539">
        <v>0.25</v>
      </c>
      <c r="GA539" t="s">
        <v>424</v>
      </c>
      <c r="GB539" t="s">
        <v>425</v>
      </c>
      <c r="GC539" s="1">
        <v>43178</v>
      </c>
      <c r="GD539">
        <v>22</v>
      </c>
      <c r="GE539">
        <v>7045074</v>
      </c>
      <c r="GF539" t="s">
        <v>580</v>
      </c>
      <c r="GH539" s="1">
        <v>42515</v>
      </c>
      <c r="GI539">
        <v>2015</v>
      </c>
      <c r="GJ539">
        <v>2196.41</v>
      </c>
      <c r="GK539" t="s">
        <v>5802</v>
      </c>
      <c r="GL539">
        <v>0.25</v>
      </c>
      <c r="GM539" t="s">
        <v>424</v>
      </c>
      <c r="GN539" t="s">
        <v>425</v>
      </c>
      <c r="GP539">
        <v>22</v>
      </c>
      <c r="GQ539">
        <v>6283077</v>
      </c>
      <c r="GR539" t="s">
        <v>5803</v>
      </c>
      <c r="GT539" s="1">
        <v>42151</v>
      </c>
      <c r="GU539">
        <v>2014</v>
      </c>
      <c r="GV539">
        <v>1191.96</v>
      </c>
      <c r="GW539" t="s">
        <v>5804</v>
      </c>
      <c r="GX539">
        <v>0.25</v>
      </c>
      <c r="GY539" t="s">
        <v>424</v>
      </c>
      <c r="GZ539" t="s">
        <v>425</v>
      </c>
      <c r="HA539" s="1">
        <v>42794</v>
      </c>
      <c r="HB539">
        <v>21</v>
      </c>
      <c r="HC539">
        <v>4975594</v>
      </c>
      <c r="HD539" t="s">
        <v>457</v>
      </c>
      <c r="HF539" s="1">
        <v>42151</v>
      </c>
      <c r="HG539">
        <v>2014</v>
      </c>
      <c r="HH539">
        <v>1191.96</v>
      </c>
      <c r="HI539" t="s">
        <v>5804</v>
      </c>
      <c r="HJ539">
        <v>0.25</v>
      </c>
      <c r="HK539" t="s">
        <v>424</v>
      </c>
      <c r="HL539" t="s">
        <v>425</v>
      </c>
      <c r="HN539">
        <v>22</v>
      </c>
      <c r="HO539">
        <v>6291951</v>
      </c>
      <c r="HP539" t="s">
        <v>5805</v>
      </c>
      <c r="HR539" s="1">
        <v>41787</v>
      </c>
      <c r="HS539">
        <v>2013</v>
      </c>
      <c r="HT539">
        <v>1096.6300000000001</v>
      </c>
      <c r="HU539" t="s">
        <v>5806</v>
      </c>
      <c r="HV539">
        <v>0.25</v>
      </c>
      <c r="HW539" t="s">
        <v>424</v>
      </c>
      <c r="HX539" t="s">
        <v>425</v>
      </c>
      <c r="HY539" s="1">
        <v>42427</v>
      </c>
      <c r="HZ539">
        <v>21</v>
      </c>
      <c r="IA539">
        <v>2903114</v>
      </c>
      <c r="IB539" t="s">
        <v>1923</v>
      </c>
      <c r="ID539" s="1">
        <v>41423</v>
      </c>
      <c r="IE539">
        <v>2012</v>
      </c>
      <c r="IF539">
        <v>1040.9100000000001</v>
      </c>
      <c r="IG539" t="s">
        <v>5807</v>
      </c>
      <c r="IH539">
        <v>0.25</v>
      </c>
      <c r="II539" t="s">
        <v>424</v>
      </c>
      <c r="IJ539" t="s">
        <v>425</v>
      </c>
      <c r="IK539" s="1">
        <v>42068</v>
      </c>
      <c r="IL539">
        <v>22</v>
      </c>
      <c r="IM539">
        <v>606977</v>
      </c>
      <c r="IN539" t="s">
        <v>1286</v>
      </c>
      <c r="IP539" s="1">
        <v>41052</v>
      </c>
      <c r="IQ539">
        <v>2011</v>
      </c>
      <c r="IR539">
        <v>1089.8699999999999</v>
      </c>
      <c r="IS539" t="s">
        <v>5808</v>
      </c>
      <c r="IT539">
        <v>0.25</v>
      </c>
      <c r="IU539" t="s">
        <v>424</v>
      </c>
      <c r="IV539" t="s">
        <v>425</v>
      </c>
      <c r="IW539" s="1">
        <v>41698</v>
      </c>
      <c r="IX539">
        <v>21</v>
      </c>
      <c r="IY539">
        <v>13057</v>
      </c>
      <c r="IZ539" t="s">
        <v>1926</v>
      </c>
    </row>
    <row r="540" spans="1:284" x14ac:dyDescent="0.25">
      <c r="A540">
        <v>16485547</v>
      </c>
      <c r="B540">
        <v>539</v>
      </c>
      <c r="C540" t="s">
        <v>393</v>
      </c>
      <c r="D540" t="s">
        <v>394</v>
      </c>
      <c r="F540" t="str">
        <f>"37-3N-24-0000-0003-0000"</f>
        <v>37-3N-24-0000-0003-0000</v>
      </c>
      <c r="H540" t="str">
        <f>"TANNER HENRY"</f>
        <v>TANNER HENRY</v>
      </c>
      <c r="I540" t="str">
        <f>"545760 US HWY 1"</f>
        <v>545760 US HWY 1</v>
      </c>
      <c r="J540" t="str">
        <f t="shared" si="163"/>
        <v>CALLAHAN FL 32011</v>
      </c>
      <c r="K540" t="str">
        <f>"545760 US HWY 1"</f>
        <v>545760 US HWY 1</v>
      </c>
      <c r="L540" t="str">
        <f t="shared" si="164"/>
        <v>CALLAHAN FL 32011</v>
      </c>
      <c r="M540" t="str">
        <f>"IN OR 1621/1092 &amp; OR 1941/441 ESMT IN OR 374/2"</f>
        <v>IN OR 1621/1092 &amp; OR 1941/441 ESMT IN OR 374/2</v>
      </c>
      <c r="N540" t="str">
        <f>""</f>
        <v/>
      </c>
      <c r="O540" t="str">
        <f>"43981"</f>
        <v>43981</v>
      </c>
      <c r="P540" t="str">
        <f t="shared" si="151"/>
        <v>2017</v>
      </c>
      <c r="Q540" t="str">
        <f>""</f>
        <v/>
      </c>
      <c r="R540" t="str">
        <f t="shared" si="162"/>
        <v>N</v>
      </c>
      <c r="S540" t="str">
        <f>"1.60"</f>
        <v>1.60</v>
      </c>
      <c r="T540" t="str">
        <f>"2658.38"</f>
        <v>2658.38</v>
      </c>
      <c r="U540" t="str">
        <f>"168136.00"</f>
        <v>168136.00</v>
      </c>
      <c r="V540" t="str">
        <f>"168136.00"</f>
        <v>168136.00</v>
      </c>
      <c r="W540" t="str">
        <f t="shared" si="152"/>
        <v>2017</v>
      </c>
      <c r="X540" t="str">
        <f>"15.33"</f>
        <v>15.33</v>
      </c>
      <c r="Y540" t="str">
        <f>"2770.13"</f>
        <v>2770.13</v>
      </c>
      <c r="Z540" t="str">
        <f>""</f>
        <v/>
      </c>
      <c r="AA540" t="str">
        <f>"185261.00"</f>
        <v>185261.00</v>
      </c>
      <c r="AB540" t="str">
        <f>"Commercial"</f>
        <v>Commercial</v>
      </c>
      <c r="AC540" t="str">
        <f t="shared" si="161"/>
        <v>0</v>
      </c>
      <c r="AD540" t="str">
        <f>"3"</f>
        <v>3</v>
      </c>
      <c r="AE540" t="str">
        <f>"MASONRY"</f>
        <v>MASONRY</v>
      </c>
      <c r="AF540" t="str">
        <f>"011"</f>
        <v>011</v>
      </c>
      <c r="AG540" t="str">
        <f t="shared" si="165"/>
        <v>FL</v>
      </c>
      <c r="AH540" t="str">
        <f>"69696.00"</f>
        <v>69696.00</v>
      </c>
      <c r="AI540" t="str">
        <f>"32000.00"</f>
        <v>32000.00</v>
      </c>
      <c r="AJ540" t="str">
        <f>"C55-000-587-9779-6"</f>
        <v>C55-000-587-9779-6</v>
      </c>
      <c r="AK540" t="str">
        <f>"8146"</f>
        <v>8146</v>
      </c>
      <c r="AL540">
        <v>2</v>
      </c>
      <c r="AM540">
        <v>626</v>
      </c>
      <c r="AN540">
        <v>2907.04</v>
      </c>
      <c r="AQ540" t="s">
        <v>5809</v>
      </c>
      <c r="AR540" t="s">
        <v>5809</v>
      </c>
      <c r="AS540" t="s">
        <v>5809</v>
      </c>
      <c r="AU540" t="s">
        <v>396</v>
      </c>
      <c r="AV540">
        <v>2017</v>
      </c>
      <c r="AW540" t="str">
        <f>"37-3N-24-0000-0003-0000 "</f>
        <v xml:space="preserve">37-3N-24-0000-0003-0000 </v>
      </c>
      <c r="AX540">
        <v>545760</v>
      </c>
      <c r="AZ540" t="s">
        <v>2386</v>
      </c>
      <c r="BD540" t="s">
        <v>2785</v>
      </c>
      <c r="BE540" t="s">
        <v>393</v>
      </c>
      <c r="BF540">
        <v>32011</v>
      </c>
      <c r="BG540" t="s">
        <v>5810</v>
      </c>
      <c r="BH540" t="s">
        <v>2787</v>
      </c>
      <c r="BI540">
        <v>-81.871881423510104</v>
      </c>
      <c r="BJ540">
        <v>30.6487131541545</v>
      </c>
      <c r="BK540" t="s">
        <v>5811</v>
      </c>
      <c r="BM540" t="s">
        <v>5812</v>
      </c>
      <c r="BN540" t="s">
        <v>928</v>
      </c>
      <c r="BO540">
        <v>32011</v>
      </c>
      <c r="BP540" t="s">
        <v>404</v>
      </c>
      <c r="BQ540">
        <v>1100</v>
      </c>
      <c r="BR540" t="s">
        <v>4474</v>
      </c>
      <c r="BS540">
        <v>2000</v>
      </c>
      <c r="BT540" t="s">
        <v>4475</v>
      </c>
      <c r="BW540">
        <v>69696</v>
      </c>
      <c r="BX540" t="s">
        <v>407</v>
      </c>
      <c r="BY540" t="s">
        <v>2221</v>
      </c>
      <c r="BZ540">
        <v>3</v>
      </c>
      <c r="CA540">
        <v>1956</v>
      </c>
      <c r="CB540">
        <v>1</v>
      </c>
      <c r="CD540">
        <v>2017</v>
      </c>
      <c r="CE540">
        <v>32000</v>
      </c>
      <c r="CF540">
        <v>153261</v>
      </c>
      <c r="CG540">
        <v>185261</v>
      </c>
      <c r="CH540">
        <v>2017</v>
      </c>
      <c r="CI540">
        <v>32000</v>
      </c>
      <c r="CJ540">
        <v>153261</v>
      </c>
      <c r="CK540">
        <v>185261</v>
      </c>
      <c r="CL540">
        <v>2017</v>
      </c>
      <c r="CM540">
        <v>2658.38</v>
      </c>
      <c r="CN540" s="1">
        <v>37792</v>
      </c>
      <c r="CO540">
        <v>90000</v>
      </c>
      <c r="CV540">
        <v>0</v>
      </c>
      <c r="CZ540" s="1">
        <v>37792</v>
      </c>
      <c r="DA540">
        <v>0</v>
      </c>
      <c r="DD540" t="s">
        <v>2785</v>
      </c>
      <c r="DG540">
        <v>37</v>
      </c>
      <c r="DL540">
        <v>50400</v>
      </c>
      <c r="DM540" t="s">
        <v>5813</v>
      </c>
      <c r="DO540" t="s">
        <v>5814</v>
      </c>
      <c r="DP540">
        <v>0</v>
      </c>
      <c r="DQ540">
        <v>4</v>
      </c>
      <c r="DR540" t="s">
        <v>1479</v>
      </c>
      <c r="EP540" t="s">
        <v>421</v>
      </c>
      <c r="EQ540" t="s">
        <v>422</v>
      </c>
      <c r="ER540">
        <v>2</v>
      </c>
      <c r="ES540">
        <v>2</v>
      </c>
      <c r="ET540">
        <v>5607.14</v>
      </c>
      <c r="EU540">
        <v>292.86</v>
      </c>
      <c r="EV540">
        <v>5900</v>
      </c>
      <c r="EW540" s="2">
        <v>43222</v>
      </c>
      <c r="EX540" s="1">
        <v>42879</v>
      </c>
      <c r="EY540">
        <v>2016</v>
      </c>
      <c r="EZ540">
        <v>2803.57</v>
      </c>
      <c r="FA540" t="s">
        <v>5815</v>
      </c>
      <c r="FB540">
        <v>0.25</v>
      </c>
      <c r="FC540" t="s">
        <v>424</v>
      </c>
      <c r="FD540" t="s">
        <v>454</v>
      </c>
      <c r="FF540">
        <v>12</v>
      </c>
      <c r="FG540">
        <v>11289</v>
      </c>
      <c r="FH540" t="s">
        <v>787</v>
      </c>
      <c r="FJ540" s="1">
        <v>42879</v>
      </c>
      <c r="FK540">
        <v>2016</v>
      </c>
      <c r="FL540">
        <v>2803.57</v>
      </c>
      <c r="FM540" t="s">
        <v>5815</v>
      </c>
      <c r="FN540">
        <v>0.25</v>
      </c>
      <c r="FO540" t="s">
        <v>424</v>
      </c>
      <c r="FP540" t="s">
        <v>454</v>
      </c>
      <c r="FR540">
        <v>12</v>
      </c>
      <c r="FS540">
        <v>7131045</v>
      </c>
      <c r="FT540" t="s">
        <v>5816</v>
      </c>
      <c r="FV540" s="1">
        <v>41052</v>
      </c>
      <c r="FW540">
        <v>2011</v>
      </c>
      <c r="FX540">
        <v>2057.39</v>
      </c>
      <c r="FY540" t="s">
        <v>5817</v>
      </c>
      <c r="FZ540">
        <v>3.5</v>
      </c>
      <c r="GA540" t="s">
        <v>424</v>
      </c>
      <c r="GB540" t="s">
        <v>425</v>
      </c>
      <c r="GC540" s="1">
        <v>41248</v>
      </c>
      <c r="GD540">
        <v>7</v>
      </c>
      <c r="GE540">
        <v>13297</v>
      </c>
      <c r="GF540" t="s">
        <v>1471</v>
      </c>
      <c r="GH540" s="1">
        <v>40688</v>
      </c>
      <c r="GI540">
        <v>2010</v>
      </c>
      <c r="GJ540">
        <v>2155.02</v>
      </c>
      <c r="GK540" t="s">
        <v>5818</v>
      </c>
      <c r="GL540">
        <v>0.25</v>
      </c>
      <c r="GM540" t="s">
        <v>424</v>
      </c>
      <c r="GN540" t="s">
        <v>425</v>
      </c>
      <c r="GO540" s="1">
        <v>41248</v>
      </c>
      <c r="GP540">
        <v>19</v>
      </c>
      <c r="GQ540">
        <v>10591</v>
      </c>
      <c r="GR540" t="s">
        <v>4254</v>
      </c>
    </row>
    <row r="541" spans="1:284" x14ac:dyDescent="0.25">
      <c r="A541">
        <v>16485548</v>
      </c>
      <c r="B541">
        <v>540</v>
      </c>
      <c r="C541" t="s">
        <v>393</v>
      </c>
      <c r="D541" t="s">
        <v>394</v>
      </c>
      <c r="F541" t="str">
        <f>"37-3N-24-0000-0005-0000"</f>
        <v>37-3N-24-0000-0005-0000</v>
      </c>
      <c r="H541" t="str">
        <f>"HENDERSON CECIL R &amp; BETTIE H CO-TRUSTEES OF CECIL HENDERSON REVOC FAMILY TRUST"</f>
        <v>HENDERSON CECIL R &amp; BETTIE H CO-TRUSTEES OF CECIL HENDERSON REVOC FAMILY TRUST</v>
      </c>
      <c r="I541" t="str">
        <f>""</f>
        <v/>
      </c>
      <c r="J541" t="str">
        <f t="shared" si="163"/>
        <v>CALLAHAN FL 32011</v>
      </c>
      <c r="K541" t="str">
        <f>"US HWY 1"</f>
        <v>US HWY 1</v>
      </c>
      <c r="L541" t="str">
        <f t="shared" si="164"/>
        <v>CALLAHAN FL 32011</v>
      </c>
      <c r="M541" t="str">
        <f>"IN OR 787/1058 ESMT IN OR 374/3 EX 5-1 &amp; 5-2"</f>
        <v>IN OR 787/1058 ESMT IN OR 374/3 EX 5-1 &amp; 5-2</v>
      </c>
      <c r="N541" t="str">
        <f>""</f>
        <v/>
      </c>
      <c r="O541" t="str">
        <f>"43983"</f>
        <v>43983</v>
      </c>
      <c r="P541" t="str">
        <f t="shared" si="151"/>
        <v>2017</v>
      </c>
      <c r="Q541" t="str">
        <f>""</f>
        <v/>
      </c>
      <c r="R541" t="str">
        <f t="shared" si="162"/>
        <v>N</v>
      </c>
      <c r="S541" t="str">
        <f>"0.58"</f>
        <v>0.58</v>
      </c>
      <c r="T541" t="str">
        <f>"175.62"</f>
        <v>175.62</v>
      </c>
      <c r="U541" t="str">
        <f>"11600.00"</f>
        <v>11600.00</v>
      </c>
      <c r="V541" t="str">
        <f>"11600.00"</f>
        <v>11600.00</v>
      </c>
      <c r="W541" t="str">
        <f t="shared" si="152"/>
        <v>2017</v>
      </c>
      <c r="X541" t="str">
        <f>"21.00"</f>
        <v>21.00</v>
      </c>
      <c r="Y541" t="str">
        <f>"212.89"</f>
        <v>212.89</v>
      </c>
      <c r="Z541" t="str">
        <f>""</f>
        <v/>
      </c>
      <c r="AA541" t="str">
        <f>"11600.00"</f>
        <v>11600.00</v>
      </c>
      <c r="AB541" t="str">
        <f>"Commercial"</f>
        <v>Commercial</v>
      </c>
      <c r="AC541" t="str">
        <f t="shared" si="161"/>
        <v>0</v>
      </c>
      <c r="AD541" t="str">
        <f>""</f>
        <v/>
      </c>
      <c r="AE541" t="str">
        <f>""</f>
        <v/>
      </c>
      <c r="AF541" t="str">
        <f>"010"</f>
        <v>010</v>
      </c>
      <c r="AG541" t="str">
        <f t="shared" si="165"/>
        <v>FL</v>
      </c>
      <c r="AH541" t="str">
        <f>"25264.00"</f>
        <v>25264.00</v>
      </c>
      <c r="AI541" t="str">
        <f>"11600.00"</f>
        <v>11600.00</v>
      </c>
      <c r="AJ541" t="str">
        <f>"C55-000-587-9781-2"</f>
        <v>C55-000-587-9781-2</v>
      </c>
      <c r="AK541" t="str">
        <f>"8148"</f>
        <v>8148</v>
      </c>
      <c r="AL541">
        <v>2</v>
      </c>
      <c r="AM541">
        <v>627</v>
      </c>
      <c r="AN541">
        <v>221.93</v>
      </c>
      <c r="AQ541" t="s">
        <v>5819</v>
      </c>
      <c r="AR541" t="s">
        <v>5819</v>
      </c>
      <c r="AS541" t="s">
        <v>5819</v>
      </c>
      <c r="AU541" t="s">
        <v>396</v>
      </c>
      <c r="AV541">
        <v>2017</v>
      </c>
      <c r="AW541" t="str">
        <f>"37-3N-24-0000-0005-0000 "</f>
        <v xml:space="preserve">37-3N-24-0000-0005-0000 </v>
      </c>
      <c r="AZ541" t="s">
        <v>2386</v>
      </c>
      <c r="BD541" t="s">
        <v>2785</v>
      </c>
      <c r="BE541" t="s">
        <v>393</v>
      </c>
      <c r="BF541">
        <v>32011</v>
      </c>
      <c r="BG541" t="s">
        <v>2386</v>
      </c>
      <c r="BH541" t="s">
        <v>2787</v>
      </c>
      <c r="BI541">
        <v>-81.871366862347003</v>
      </c>
      <c r="BJ541">
        <v>30.6480303843496</v>
      </c>
      <c r="BK541" t="s">
        <v>5820</v>
      </c>
      <c r="BL541" t="s">
        <v>5821</v>
      </c>
      <c r="BM541" t="s">
        <v>5822</v>
      </c>
      <c r="BN541" t="s">
        <v>928</v>
      </c>
      <c r="BO541">
        <v>32011</v>
      </c>
      <c r="BP541" t="s">
        <v>404</v>
      </c>
      <c r="BQ541">
        <v>1001</v>
      </c>
      <c r="BR541" t="s">
        <v>2391</v>
      </c>
      <c r="BS541">
        <v>8002</v>
      </c>
      <c r="BT541" t="s">
        <v>2392</v>
      </c>
      <c r="BW541">
        <v>25264</v>
      </c>
      <c r="BX541" t="s">
        <v>407</v>
      </c>
      <c r="BY541" t="s">
        <v>2221</v>
      </c>
      <c r="CD541">
        <v>2017</v>
      </c>
      <c r="CE541">
        <v>11600</v>
      </c>
      <c r="CG541">
        <v>11600</v>
      </c>
      <c r="CH541">
        <v>2017</v>
      </c>
      <c r="CI541">
        <v>11600</v>
      </c>
      <c r="CK541">
        <v>11600</v>
      </c>
      <c r="CL541">
        <v>2017</v>
      </c>
      <c r="CM541">
        <v>175.62</v>
      </c>
      <c r="CN541" s="1">
        <v>35506</v>
      </c>
      <c r="CZ541" s="1">
        <v>35506</v>
      </c>
      <c r="DD541" t="s">
        <v>2785</v>
      </c>
      <c r="DG541">
        <v>37</v>
      </c>
      <c r="DL541">
        <v>50400</v>
      </c>
      <c r="DM541" t="s">
        <v>5813</v>
      </c>
      <c r="DO541" t="s">
        <v>5823</v>
      </c>
      <c r="DP541">
        <v>0</v>
      </c>
      <c r="DQ541">
        <v>1</v>
      </c>
      <c r="DR541" t="s">
        <v>1479</v>
      </c>
      <c r="DS541" t="b">
        <v>1</v>
      </c>
      <c r="DT541" t="s">
        <v>470</v>
      </c>
      <c r="DU541" t="s">
        <v>471</v>
      </c>
      <c r="DV541" t="s">
        <v>472</v>
      </c>
      <c r="DX541">
        <v>-9999</v>
      </c>
      <c r="DZ541" t="s">
        <v>447</v>
      </c>
      <c r="EA541" t="s">
        <v>448</v>
      </c>
      <c r="EB541" t="s">
        <v>742</v>
      </c>
      <c r="EC541">
        <v>20101217</v>
      </c>
      <c r="ED541" t="s">
        <v>474</v>
      </c>
      <c r="EF541">
        <v>1565.6</v>
      </c>
      <c r="EG541">
        <v>1565.6</v>
      </c>
      <c r="EI541">
        <v>20160407</v>
      </c>
      <c r="EJ541">
        <v>0</v>
      </c>
      <c r="EK541">
        <v>0</v>
      </c>
      <c r="EP541" t="s">
        <v>421</v>
      </c>
      <c r="EQ541" t="s">
        <v>422</v>
      </c>
      <c r="ER541">
        <v>1</v>
      </c>
      <c r="ES541">
        <v>6</v>
      </c>
      <c r="ET541">
        <v>219.59</v>
      </c>
      <c r="EU541">
        <v>36.99</v>
      </c>
      <c r="EV541">
        <v>256.58</v>
      </c>
      <c r="EW541" s="2">
        <v>43222</v>
      </c>
      <c r="EX541" s="1">
        <v>42879</v>
      </c>
      <c r="EY541">
        <v>2016</v>
      </c>
      <c r="EZ541">
        <v>219.59</v>
      </c>
      <c r="FA541" t="s">
        <v>5824</v>
      </c>
      <c r="FB541">
        <v>14</v>
      </c>
      <c r="FC541" t="s">
        <v>424</v>
      </c>
      <c r="FD541" t="s">
        <v>454</v>
      </c>
      <c r="FF541">
        <v>12</v>
      </c>
      <c r="FG541">
        <v>10021</v>
      </c>
      <c r="FH541" t="s">
        <v>597</v>
      </c>
      <c r="FJ541" s="1">
        <v>42515</v>
      </c>
      <c r="FK541">
        <v>2015</v>
      </c>
      <c r="FL541">
        <v>219.27</v>
      </c>
      <c r="FM541" t="s">
        <v>5825</v>
      </c>
      <c r="FN541">
        <v>18</v>
      </c>
      <c r="FO541" t="s">
        <v>424</v>
      </c>
      <c r="FP541" t="s">
        <v>425</v>
      </c>
      <c r="FQ541" s="1">
        <v>43154</v>
      </c>
      <c r="FR541">
        <v>21</v>
      </c>
      <c r="FS541">
        <v>7336677</v>
      </c>
      <c r="FT541" t="s">
        <v>5826</v>
      </c>
      <c r="FV541" s="1">
        <v>42151</v>
      </c>
      <c r="FW541">
        <v>2014</v>
      </c>
      <c r="FX541">
        <v>220.27</v>
      </c>
      <c r="FY541" t="s">
        <v>5827</v>
      </c>
      <c r="FZ541">
        <v>4.75</v>
      </c>
      <c r="GA541" t="s">
        <v>424</v>
      </c>
      <c r="GB541" t="s">
        <v>425</v>
      </c>
      <c r="GC541" s="1">
        <v>42793</v>
      </c>
      <c r="GD541">
        <v>21</v>
      </c>
      <c r="GE541">
        <v>4975593</v>
      </c>
      <c r="GF541" t="s">
        <v>505</v>
      </c>
      <c r="GH541" s="1">
        <v>41787</v>
      </c>
      <c r="GI541">
        <v>2013</v>
      </c>
      <c r="GJ541">
        <v>209.68</v>
      </c>
      <c r="GK541" t="s">
        <v>5828</v>
      </c>
      <c r="GL541">
        <v>6.75</v>
      </c>
      <c r="GM541" t="s">
        <v>424</v>
      </c>
      <c r="GN541" t="s">
        <v>425</v>
      </c>
      <c r="GO541" s="1">
        <v>42412</v>
      </c>
      <c r="GP541">
        <v>21</v>
      </c>
      <c r="GQ541">
        <v>2035919</v>
      </c>
      <c r="GR541" t="s">
        <v>507</v>
      </c>
      <c r="GT541" s="1">
        <v>41423</v>
      </c>
      <c r="GU541">
        <v>2012</v>
      </c>
      <c r="GV541">
        <v>208.03</v>
      </c>
      <c r="GW541" t="s">
        <v>5829</v>
      </c>
      <c r="GX541">
        <v>5.75</v>
      </c>
      <c r="GY541" t="s">
        <v>424</v>
      </c>
      <c r="GZ541" t="s">
        <v>425</v>
      </c>
      <c r="HA541" s="1">
        <v>42058</v>
      </c>
      <c r="HB541">
        <v>21</v>
      </c>
      <c r="HC541">
        <v>2101381</v>
      </c>
      <c r="HD541" t="s">
        <v>605</v>
      </c>
      <c r="HF541" s="1">
        <v>41052</v>
      </c>
      <c r="HG541">
        <v>2011</v>
      </c>
      <c r="HH541">
        <v>195.05</v>
      </c>
      <c r="HI541" t="s">
        <v>5830</v>
      </c>
      <c r="HJ541">
        <v>15.5</v>
      </c>
      <c r="HK541" t="s">
        <v>424</v>
      </c>
      <c r="HL541" t="s">
        <v>425</v>
      </c>
      <c r="HM541" s="1">
        <v>41683</v>
      </c>
      <c r="HN541">
        <v>21</v>
      </c>
      <c r="HO541">
        <v>13103</v>
      </c>
      <c r="HP541" t="s">
        <v>2203</v>
      </c>
      <c r="HR541" s="1">
        <v>40688</v>
      </c>
      <c r="HS541">
        <v>2010</v>
      </c>
      <c r="HT541">
        <v>206.92</v>
      </c>
      <c r="HU541" t="s">
        <v>5831</v>
      </c>
      <c r="HV541">
        <v>9.75</v>
      </c>
      <c r="HW541" t="s">
        <v>424</v>
      </c>
      <c r="HX541" t="s">
        <v>425</v>
      </c>
      <c r="HY541" s="1">
        <v>41326</v>
      </c>
      <c r="HZ541">
        <v>21</v>
      </c>
      <c r="IA541">
        <v>375</v>
      </c>
      <c r="IB541" t="s">
        <v>776</v>
      </c>
    </row>
    <row r="542" spans="1:284" x14ac:dyDescent="0.25">
      <c r="A542">
        <v>16485549</v>
      </c>
      <c r="B542">
        <v>541</v>
      </c>
      <c r="C542" t="s">
        <v>393</v>
      </c>
      <c r="D542" t="s">
        <v>394</v>
      </c>
      <c r="F542" t="str">
        <f>"37-3N-24-0000-0005-0010"</f>
        <v>37-3N-24-0000-0005-0010</v>
      </c>
      <c r="H542" t="str">
        <f>"HENDERSON CECIL R &amp; BETTIE H"</f>
        <v>HENDERSON CECIL R &amp; BETTIE H</v>
      </c>
      <c r="I542" t="str">
        <f>"36363 PRATT SIDING ROAD"</f>
        <v>36363 PRATT SIDING ROAD</v>
      </c>
      <c r="J542" t="str">
        <f t="shared" si="163"/>
        <v>CALLAHAN FL 32011</v>
      </c>
      <c r="K542" t="str">
        <f>"545740 US HWY 1"</f>
        <v>545740 US HWY 1</v>
      </c>
      <c r="L542" t="str">
        <f t="shared" si="164"/>
        <v>CALLAHAN FL 32011</v>
      </c>
      <c r="M542" t="str">
        <f>"IN OR 1361/728"</f>
        <v>IN OR 1361/728</v>
      </c>
      <c r="N542" t="str">
        <f>""</f>
        <v/>
      </c>
      <c r="O542" t="str">
        <f>"43984"</f>
        <v>43984</v>
      </c>
      <c r="P542" t="str">
        <f t="shared" si="151"/>
        <v>2017</v>
      </c>
      <c r="Q542" t="str">
        <f>""</f>
        <v/>
      </c>
      <c r="R542" t="str">
        <f t="shared" si="162"/>
        <v>N</v>
      </c>
      <c r="S542" t="str">
        <f>"1.02"</f>
        <v>1.02</v>
      </c>
      <c r="T542" t="str">
        <f>"1120.06"</f>
        <v>1120.06</v>
      </c>
      <c r="U542" t="str">
        <f>"73986.00"</f>
        <v>73986.00</v>
      </c>
      <c r="V542" t="str">
        <f>"73986.00"</f>
        <v>73986.00</v>
      </c>
      <c r="W542" t="str">
        <f t="shared" si="152"/>
        <v>2017</v>
      </c>
      <c r="X542" t="str">
        <f>"21.00"</f>
        <v>21.00</v>
      </c>
      <c r="Y542" t="str">
        <f>"1185.66"</f>
        <v>1185.66</v>
      </c>
      <c r="Z542" t="str">
        <f>""</f>
        <v/>
      </c>
      <c r="AA542" t="str">
        <f>"73986.00"</f>
        <v>73986.00</v>
      </c>
      <c r="AB542" t="str">
        <f>"Residential"</f>
        <v>Residential</v>
      </c>
      <c r="AC542" t="str">
        <f t="shared" si="161"/>
        <v>0</v>
      </c>
      <c r="AD542" t="str">
        <f>"3"</f>
        <v>3</v>
      </c>
      <c r="AE542" t="str">
        <f>"MASONRY"</f>
        <v>MASONRY</v>
      </c>
      <c r="AF542" t="str">
        <f>"008"</f>
        <v>008</v>
      </c>
      <c r="AG542" t="str">
        <f t="shared" si="165"/>
        <v>FL</v>
      </c>
      <c r="AH542" t="str">
        <f>"44431.00"</f>
        <v>44431.00</v>
      </c>
      <c r="AI542" t="str">
        <f>"20400.00"</f>
        <v>20400.00</v>
      </c>
      <c r="AJ542" t="str">
        <f>"C55-000-588-8807-4"</f>
        <v>C55-000-588-8807-4</v>
      </c>
      <c r="AK542" t="str">
        <f>"8149"</f>
        <v>8149</v>
      </c>
      <c r="AL542">
        <v>2</v>
      </c>
      <c r="AM542">
        <v>628</v>
      </c>
      <c r="AN542">
        <v>1243.3399999999999</v>
      </c>
      <c r="AQ542" t="s">
        <v>5832</v>
      </c>
      <c r="AR542" t="s">
        <v>5832</v>
      </c>
      <c r="AS542" t="s">
        <v>5832</v>
      </c>
      <c r="AU542" t="s">
        <v>396</v>
      </c>
      <c r="AV542">
        <v>2017</v>
      </c>
      <c r="AW542" t="str">
        <f>"37-3N-24-0000-0005-0010 "</f>
        <v xml:space="preserve">37-3N-24-0000-0005-0010 </v>
      </c>
      <c r="AX542">
        <v>545740</v>
      </c>
      <c r="AZ542" t="s">
        <v>2386</v>
      </c>
      <c r="BD542" t="s">
        <v>2785</v>
      </c>
      <c r="BE542" t="s">
        <v>393</v>
      </c>
      <c r="BF542">
        <v>32011</v>
      </c>
      <c r="BG542" t="s">
        <v>5833</v>
      </c>
      <c r="BH542" t="s">
        <v>2787</v>
      </c>
      <c r="BI542">
        <v>-81.871345188151906</v>
      </c>
      <c r="BJ542">
        <v>30.648447400389301</v>
      </c>
      <c r="BK542" t="s">
        <v>5820</v>
      </c>
      <c r="BL542" t="s">
        <v>5821</v>
      </c>
      <c r="BM542" t="s">
        <v>5822</v>
      </c>
      <c r="BN542" t="s">
        <v>928</v>
      </c>
      <c r="BO542">
        <v>32011</v>
      </c>
      <c r="BP542" t="s">
        <v>404</v>
      </c>
      <c r="BQ542">
        <v>800</v>
      </c>
      <c r="BR542" t="s">
        <v>5126</v>
      </c>
      <c r="BS542">
        <v>1110</v>
      </c>
      <c r="BT542" t="s">
        <v>5127</v>
      </c>
      <c r="BW542">
        <v>44431</v>
      </c>
      <c r="BX542" t="s">
        <v>407</v>
      </c>
      <c r="BY542" t="s">
        <v>2221</v>
      </c>
      <c r="BZ542">
        <v>3</v>
      </c>
      <c r="CA542">
        <v>1958</v>
      </c>
      <c r="CB542">
        <v>1</v>
      </c>
      <c r="CC542">
        <v>9</v>
      </c>
      <c r="CD542">
        <v>2017</v>
      </c>
      <c r="CE542">
        <v>20400</v>
      </c>
      <c r="CF542">
        <v>53586</v>
      </c>
      <c r="CG542">
        <v>73986</v>
      </c>
      <c r="CH542">
        <v>2017</v>
      </c>
      <c r="CI542">
        <v>20400</v>
      </c>
      <c r="CJ542">
        <v>53586</v>
      </c>
      <c r="CK542">
        <v>73986</v>
      </c>
      <c r="CL542">
        <v>2017</v>
      </c>
      <c r="CM542">
        <v>1120.06</v>
      </c>
      <c r="CN542" s="1">
        <v>38650</v>
      </c>
      <c r="CZ542" s="1">
        <v>38650</v>
      </c>
      <c r="DD542" t="s">
        <v>2785</v>
      </c>
      <c r="DG542">
        <v>37</v>
      </c>
      <c r="DL542">
        <v>50400</v>
      </c>
      <c r="DM542" t="s">
        <v>5813</v>
      </c>
      <c r="DO542" t="s">
        <v>5834</v>
      </c>
      <c r="DP542">
        <v>0</v>
      </c>
      <c r="DQ542">
        <v>1</v>
      </c>
      <c r="DR542" t="s">
        <v>1479</v>
      </c>
      <c r="DS542" t="b">
        <v>1</v>
      </c>
      <c r="DT542" t="s">
        <v>470</v>
      </c>
      <c r="DU542" t="s">
        <v>471</v>
      </c>
      <c r="DV542" t="s">
        <v>472</v>
      </c>
      <c r="DX542">
        <v>-9999</v>
      </c>
      <c r="DZ542" t="s">
        <v>447</v>
      </c>
      <c r="EA542" t="s">
        <v>448</v>
      </c>
      <c r="EB542" t="s">
        <v>742</v>
      </c>
      <c r="EC542">
        <v>20101217</v>
      </c>
      <c r="ED542" t="s">
        <v>474</v>
      </c>
      <c r="EF542">
        <v>1591.9</v>
      </c>
      <c r="EG542">
        <v>1591.9</v>
      </c>
      <c r="EI542">
        <v>20160407</v>
      </c>
      <c r="EJ542">
        <v>0</v>
      </c>
      <c r="EK542">
        <v>0</v>
      </c>
      <c r="EP542" t="s">
        <v>421</v>
      </c>
      <c r="EQ542" t="s">
        <v>422</v>
      </c>
      <c r="ER542">
        <v>2</v>
      </c>
      <c r="ES542">
        <v>9</v>
      </c>
      <c r="ET542">
        <v>2544.08</v>
      </c>
      <c r="EU542">
        <v>139.69999999999999</v>
      </c>
      <c r="EV542">
        <v>2683.78</v>
      </c>
      <c r="EW542" s="2">
        <v>43222</v>
      </c>
      <c r="EX542" s="1">
        <v>42879</v>
      </c>
      <c r="EY542">
        <v>2016</v>
      </c>
      <c r="EZ542">
        <v>1272.04</v>
      </c>
      <c r="FA542" t="s">
        <v>5835</v>
      </c>
      <c r="FB542">
        <v>0.25</v>
      </c>
      <c r="FC542" t="s">
        <v>424</v>
      </c>
      <c r="FD542" t="s">
        <v>454</v>
      </c>
      <c r="FF542">
        <v>12</v>
      </c>
      <c r="FG542">
        <v>2851116</v>
      </c>
      <c r="FH542" t="s">
        <v>480</v>
      </c>
      <c r="FJ542" s="1">
        <v>42879</v>
      </c>
      <c r="FK542">
        <v>2016</v>
      </c>
      <c r="FL542">
        <v>1272.04</v>
      </c>
      <c r="FM542" t="s">
        <v>5835</v>
      </c>
      <c r="FN542">
        <v>0.25</v>
      </c>
      <c r="FO542" t="s">
        <v>424</v>
      </c>
      <c r="FP542" t="s">
        <v>454</v>
      </c>
      <c r="FR542">
        <v>12</v>
      </c>
      <c r="FS542">
        <v>5344672</v>
      </c>
      <c r="FT542" t="s">
        <v>5836</v>
      </c>
      <c r="FV542" s="1">
        <v>42515</v>
      </c>
      <c r="FW542">
        <v>2015</v>
      </c>
      <c r="FX542">
        <v>1317.99</v>
      </c>
      <c r="FY542" t="s">
        <v>5837</v>
      </c>
      <c r="FZ542">
        <v>0.25</v>
      </c>
      <c r="GA542" t="s">
        <v>424</v>
      </c>
      <c r="GB542" t="s">
        <v>425</v>
      </c>
      <c r="GC542" s="1">
        <v>43154</v>
      </c>
      <c r="GD542">
        <v>21</v>
      </c>
      <c r="GE542">
        <v>2851116</v>
      </c>
      <c r="GF542" t="s">
        <v>480</v>
      </c>
      <c r="GH542" s="1">
        <v>42515</v>
      </c>
      <c r="GI542">
        <v>2015</v>
      </c>
      <c r="GJ542">
        <v>1317.99</v>
      </c>
      <c r="GK542" t="s">
        <v>5837</v>
      </c>
      <c r="GL542">
        <v>0.25</v>
      </c>
      <c r="GM542" t="s">
        <v>424</v>
      </c>
      <c r="GN542" t="s">
        <v>425</v>
      </c>
      <c r="GP542">
        <v>22</v>
      </c>
      <c r="GQ542">
        <v>5588318</v>
      </c>
      <c r="GR542" t="s">
        <v>5838</v>
      </c>
      <c r="GT542" s="1">
        <v>42151</v>
      </c>
      <c r="GU542">
        <v>2014</v>
      </c>
      <c r="GV542">
        <v>1605.39</v>
      </c>
      <c r="GW542" t="s">
        <v>5839</v>
      </c>
      <c r="GX542">
        <v>0.25</v>
      </c>
      <c r="GY542" t="s">
        <v>424</v>
      </c>
      <c r="GZ542" t="s">
        <v>425</v>
      </c>
      <c r="HA542" s="1">
        <v>42793</v>
      </c>
      <c r="HB542">
        <v>21</v>
      </c>
      <c r="HC542">
        <v>4975594</v>
      </c>
      <c r="HD542" t="s">
        <v>457</v>
      </c>
      <c r="HF542" s="1">
        <v>42151</v>
      </c>
      <c r="HG542">
        <v>2014</v>
      </c>
      <c r="HH542">
        <v>1605.39</v>
      </c>
      <c r="HI542" t="s">
        <v>5839</v>
      </c>
      <c r="HJ542">
        <v>0.25</v>
      </c>
      <c r="HK542" t="s">
        <v>424</v>
      </c>
      <c r="HL542" t="s">
        <v>425</v>
      </c>
      <c r="HN542">
        <v>22</v>
      </c>
      <c r="HO542">
        <v>6441403</v>
      </c>
      <c r="HP542" t="s">
        <v>5840</v>
      </c>
      <c r="HR542" s="1">
        <v>41787</v>
      </c>
      <c r="HS542">
        <v>2013</v>
      </c>
      <c r="HT542">
        <v>1527.68</v>
      </c>
      <c r="HU542" t="s">
        <v>5841</v>
      </c>
      <c r="HV542">
        <v>0.25</v>
      </c>
      <c r="HW542" t="s">
        <v>424</v>
      </c>
      <c r="HX542" t="s">
        <v>425</v>
      </c>
      <c r="HY542" s="1">
        <v>42412</v>
      </c>
      <c r="HZ542">
        <v>21</v>
      </c>
      <c r="IA542">
        <v>2101382</v>
      </c>
      <c r="IB542" t="s">
        <v>993</v>
      </c>
      <c r="ID542" s="1">
        <v>41423</v>
      </c>
      <c r="IE542">
        <v>2012</v>
      </c>
      <c r="IF542">
        <v>1553.72</v>
      </c>
      <c r="IG542" t="s">
        <v>5842</v>
      </c>
      <c r="IH542">
        <v>0.25</v>
      </c>
      <c r="II542" t="s">
        <v>424</v>
      </c>
      <c r="IJ542" t="s">
        <v>425</v>
      </c>
      <c r="IK542" s="1">
        <v>42058</v>
      </c>
      <c r="IL542">
        <v>21</v>
      </c>
      <c r="IM542">
        <v>1625550</v>
      </c>
      <c r="IN542" t="s">
        <v>5843</v>
      </c>
      <c r="IP542" s="1">
        <v>41052</v>
      </c>
      <c r="IQ542">
        <v>2011</v>
      </c>
      <c r="IR542">
        <v>1580.02</v>
      </c>
      <c r="IS542" t="s">
        <v>5844</v>
      </c>
      <c r="IT542">
        <v>0.25</v>
      </c>
      <c r="IU542" t="s">
        <v>424</v>
      </c>
      <c r="IV542" t="s">
        <v>425</v>
      </c>
      <c r="IW542" s="1">
        <v>41683</v>
      </c>
      <c r="IX542">
        <v>21</v>
      </c>
      <c r="IY542">
        <v>13104</v>
      </c>
      <c r="IZ542" t="s">
        <v>888</v>
      </c>
      <c r="JB542" s="1">
        <v>41052</v>
      </c>
      <c r="JC542">
        <v>2011</v>
      </c>
      <c r="JD542">
        <v>1580.02</v>
      </c>
      <c r="JE542" t="s">
        <v>5844</v>
      </c>
      <c r="JF542">
        <v>0.25</v>
      </c>
      <c r="JG542" t="s">
        <v>424</v>
      </c>
      <c r="JH542" t="s">
        <v>425</v>
      </c>
      <c r="JJ542">
        <v>22</v>
      </c>
      <c r="JK542">
        <v>13742</v>
      </c>
      <c r="JL542" t="s">
        <v>5845</v>
      </c>
      <c r="JN542" s="1">
        <v>40688</v>
      </c>
      <c r="JO542">
        <v>2010</v>
      </c>
      <c r="JP542">
        <v>1663.74</v>
      </c>
      <c r="JQ542" t="s">
        <v>5846</v>
      </c>
      <c r="JR542">
        <v>0.25</v>
      </c>
      <c r="JS542" t="s">
        <v>424</v>
      </c>
      <c r="JT542" t="s">
        <v>425</v>
      </c>
      <c r="JU542" s="1">
        <v>41326</v>
      </c>
      <c r="JV542">
        <v>21</v>
      </c>
      <c r="JW542">
        <v>10591</v>
      </c>
      <c r="JX542" t="s">
        <v>4254</v>
      </c>
    </row>
    <row r="543" spans="1:284" x14ac:dyDescent="0.25">
      <c r="A543">
        <v>16485550</v>
      </c>
      <c r="B543">
        <v>542</v>
      </c>
      <c r="C543" t="s">
        <v>393</v>
      </c>
      <c r="D543" t="s">
        <v>394</v>
      </c>
      <c r="F543" t="str">
        <f>"37-3N-24-0000-0010-0030"</f>
        <v>37-3N-24-0000-0010-0030</v>
      </c>
      <c r="H543" t="str">
        <f>"KELLY RANDY P &amp; ROBIN"</f>
        <v>KELLY RANDY P &amp; ROBIN</v>
      </c>
      <c r="I543" t="str">
        <f>"36001 RANMART WAY"</f>
        <v>36001 RANMART WAY</v>
      </c>
      <c r="J543" t="str">
        <f t="shared" si="163"/>
        <v>CALLAHAN FL 32011</v>
      </c>
      <c r="K543" t="str">
        <f>"36001 RANMART WAY"</f>
        <v>36001 RANMART WAY</v>
      </c>
      <c r="L543" t="str">
        <f t="shared" si="164"/>
        <v>CALLAHAN FL 32011</v>
      </c>
      <c r="M543" t="str">
        <f>"PT WILLIAM SPARKMAN GRANT SEC 37-3N-24E IN OR 798/1082 {R613206 &amp; R613207}"</f>
        <v>PT WILLIAM SPARKMAN GRANT SEC 37-3N-24E IN OR 798/1082 {R613206 &amp; R613207}</v>
      </c>
      <c r="N543" t="str">
        <f>""</f>
        <v/>
      </c>
      <c r="O543" t="str">
        <f>"43992"</f>
        <v>43992</v>
      </c>
      <c r="P543" t="str">
        <f t="shared" si="151"/>
        <v>2017</v>
      </c>
      <c r="Q543" t="str">
        <f>""</f>
        <v/>
      </c>
      <c r="R543" t="str">
        <f>"Y"</f>
        <v>Y</v>
      </c>
      <c r="S543" t="str">
        <f>"2.55"</f>
        <v>2.55</v>
      </c>
      <c r="T543" t="str">
        <f>"279.56"</f>
        <v>279.56</v>
      </c>
      <c r="U543" t="str">
        <f>"43466.00"</f>
        <v>43466.00</v>
      </c>
      <c r="V543" t="str">
        <f>"43466.00"</f>
        <v>43466.00</v>
      </c>
      <c r="W543" t="str">
        <f t="shared" si="152"/>
        <v>2017</v>
      </c>
      <c r="X543" t="str">
        <f>"3.88"</f>
        <v>3.88</v>
      </c>
      <c r="Y543" t="str">
        <f>"319.95"</f>
        <v>319.95</v>
      </c>
      <c r="Z543" t="str">
        <f>"25000.00"</f>
        <v>25000.00</v>
      </c>
      <c r="AA543" t="str">
        <f>"18466.00"</f>
        <v>18466.00</v>
      </c>
      <c r="AB543" t="str">
        <f>"Residential"</f>
        <v>Residential</v>
      </c>
      <c r="AC543" t="str">
        <f t="shared" si="161"/>
        <v>0</v>
      </c>
      <c r="AD543" t="str">
        <f>"4"</f>
        <v>4</v>
      </c>
      <c r="AE543" t="str">
        <f>"WOOD (INCLUDE STEEL STUDS)"</f>
        <v>WOOD (INCLUDE STEEL STUDS)</v>
      </c>
      <c r="AF543" t="str">
        <f>"002"</f>
        <v>002</v>
      </c>
      <c r="AG543" t="str">
        <f t="shared" si="165"/>
        <v>FL</v>
      </c>
      <c r="AH543" t="str">
        <f>"111078.00"</f>
        <v>111078.00</v>
      </c>
      <c r="AI543" t="str">
        <f>"30600.00"</f>
        <v>30600.00</v>
      </c>
      <c r="AJ543" t="str">
        <f>"C55-000-587-9788-7"</f>
        <v>C55-000-587-9788-7</v>
      </c>
      <c r="AK543" t="str">
        <f>"8156"</f>
        <v>8156</v>
      </c>
      <c r="AL543">
        <v>2</v>
      </c>
      <c r="AM543">
        <v>629</v>
      </c>
      <c r="AN543">
        <v>334.35</v>
      </c>
      <c r="AQ543" t="s">
        <v>5847</v>
      </c>
      <c r="AR543" t="s">
        <v>5847</v>
      </c>
      <c r="AS543" t="s">
        <v>5847</v>
      </c>
      <c r="AU543" t="s">
        <v>396</v>
      </c>
      <c r="AV543">
        <v>2017</v>
      </c>
      <c r="AW543" t="str">
        <f>"37-3N-24-0000-0010-0030 "</f>
        <v xml:space="preserve">37-3N-24-0000-0010-0030 </v>
      </c>
      <c r="AX543">
        <v>36001</v>
      </c>
      <c r="AZ543" t="s">
        <v>5848</v>
      </c>
      <c r="BA543" t="s">
        <v>866</v>
      </c>
      <c r="BD543" t="s">
        <v>2785</v>
      </c>
      <c r="BE543" t="s">
        <v>393</v>
      </c>
      <c r="BF543">
        <v>32011</v>
      </c>
      <c r="BG543" t="s">
        <v>5849</v>
      </c>
      <c r="BH543" t="s">
        <v>2787</v>
      </c>
      <c r="BI543">
        <v>-81.874412956189701</v>
      </c>
      <c r="BJ543">
        <v>30.648050279674401</v>
      </c>
      <c r="BK543" t="s">
        <v>5850</v>
      </c>
      <c r="BL543" t="s">
        <v>5851</v>
      </c>
      <c r="BM543" t="s">
        <v>5849</v>
      </c>
      <c r="BN543" t="s">
        <v>928</v>
      </c>
      <c r="BO543">
        <v>32011</v>
      </c>
      <c r="BP543" t="s">
        <v>416</v>
      </c>
      <c r="BQ543">
        <v>200</v>
      </c>
      <c r="BR543" t="s">
        <v>405</v>
      </c>
      <c r="BS543">
        <v>1006</v>
      </c>
      <c r="BT543" t="s">
        <v>406</v>
      </c>
      <c r="BW543">
        <v>111078</v>
      </c>
      <c r="BX543" t="s">
        <v>407</v>
      </c>
      <c r="BY543" t="s">
        <v>408</v>
      </c>
      <c r="BZ543">
        <v>4</v>
      </c>
      <c r="CA543">
        <v>1990</v>
      </c>
      <c r="CB543">
        <v>1</v>
      </c>
      <c r="CC543">
        <v>1</v>
      </c>
      <c r="CD543">
        <v>2017</v>
      </c>
      <c r="CG543">
        <v>43466</v>
      </c>
      <c r="CH543">
        <v>2017</v>
      </c>
      <c r="CI543">
        <v>30600</v>
      </c>
      <c r="CJ543">
        <v>31317</v>
      </c>
      <c r="CK543">
        <v>61917</v>
      </c>
      <c r="CL543">
        <v>2017</v>
      </c>
      <c r="CM543">
        <v>279.56</v>
      </c>
      <c r="CN543" s="1">
        <v>35614</v>
      </c>
      <c r="CZ543" s="1">
        <v>35614</v>
      </c>
      <c r="DD543" t="s">
        <v>2785</v>
      </c>
      <c r="DG543">
        <v>37</v>
      </c>
      <c r="DL543">
        <v>50400</v>
      </c>
      <c r="DM543" t="s">
        <v>5813</v>
      </c>
      <c r="DO543" t="s">
        <v>5852</v>
      </c>
      <c r="DP543">
        <v>0</v>
      </c>
      <c r="DQ543">
        <v>4</v>
      </c>
      <c r="DR543" t="s">
        <v>411</v>
      </c>
      <c r="DS543" t="b">
        <v>1</v>
      </c>
      <c r="DT543" t="s">
        <v>470</v>
      </c>
      <c r="DU543" t="s">
        <v>471</v>
      </c>
      <c r="DV543" t="s">
        <v>472</v>
      </c>
      <c r="DX543">
        <v>-9999</v>
      </c>
      <c r="DZ543" t="s">
        <v>447</v>
      </c>
      <c r="EA543" t="s">
        <v>448</v>
      </c>
      <c r="EB543" t="s">
        <v>742</v>
      </c>
      <c r="EC543">
        <v>20101217</v>
      </c>
      <c r="ED543" t="s">
        <v>474</v>
      </c>
      <c r="EF543">
        <v>734.5</v>
      </c>
      <c r="EG543">
        <v>734.5</v>
      </c>
      <c r="EI543">
        <v>20160407</v>
      </c>
      <c r="EJ543">
        <v>0</v>
      </c>
      <c r="EK543">
        <v>0</v>
      </c>
      <c r="EP543" t="s">
        <v>421</v>
      </c>
      <c r="EQ543" t="s">
        <v>422</v>
      </c>
      <c r="ER543">
        <v>0</v>
      </c>
      <c r="ES543">
        <v>8</v>
      </c>
      <c r="ET543">
        <v>0</v>
      </c>
      <c r="EU543">
        <v>0</v>
      </c>
      <c r="EV543">
        <v>0</v>
      </c>
      <c r="EW543" s="2">
        <v>43222</v>
      </c>
      <c r="EX543" s="1">
        <v>42879</v>
      </c>
      <c r="EY543">
        <v>2016</v>
      </c>
      <c r="EZ543">
        <v>318.72000000000003</v>
      </c>
      <c r="FA543" t="s">
        <v>5853</v>
      </c>
      <c r="FB543">
        <v>0.25</v>
      </c>
      <c r="FC543" t="s">
        <v>424</v>
      </c>
      <c r="FD543" t="s">
        <v>425</v>
      </c>
      <c r="FE543" s="1">
        <v>42901</v>
      </c>
      <c r="FF543">
        <v>1</v>
      </c>
      <c r="FG543">
        <v>2851116</v>
      </c>
      <c r="FH543" t="s">
        <v>480</v>
      </c>
      <c r="FJ543" s="1">
        <v>42879</v>
      </c>
      <c r="FK543">
        <v>2016</v>
      </c>
      <c r="FL543">
        <v>318.72000000000003</v>
      </c>
      <c r="FM543" t="s">
        <v>5853</v>
      </c>
      <c r="FN543">
        <v>0.25</v>
      </c>
      <c r="FO543" t="s">
        <v>424</v>
      </c>
      <c r="FP543" t="s">
        <v>425</v>
      </c>
      <c r="FR543">
        <v>22</v>
      </c>
      <c r="FS543">
        <v>4935867</v>
      </c>
      <c r="FT543" t="s">
        <v>5854</v>
      </c>
      <c r="FV543" s="1">
        <v>42515</v>
      </c>
      <c r="FW543">
        <v>2015</v>
      </c>
      <c r="FX543">
        <v>315.77999999999997</v>
      </c>
      <c r="FY543" t="s">
        <v>5855</v>
      </c>
      <c r="FZ543">
        <v>0.25</v>
      </c>
      <c r="GA543" t="s">
        <v>424</v>
      </c>
      <c r="GB543" t="s">
        <v>425</v>
      </c>
      <c r="GC543" s="1">
        <v>42586</v>
      </c>
      <c r="GD543">
        <v>3</v>
      </c>
      <c r="GE543">
        <v>2851116</v>
      </c>
      <c r="GF543" t="s">
        <v>480</v>
      </c>
      <c r="GH543" s="1">
        <v>42515</v>
      </c>
      <c r="GI543">
        <v>2015</v>
      </c>
      <c r="GJ543">
        <v>315.77999999999997</v>
      </c>
      <c r="GK543" t="s">
        <v>5855</v>
      </c>
      <c r="GL543">
        <v>0.25</v>
      </c>
      <c r="GM543" t="s">
        <v>424</v>
      </c>
      <c r="GN543" t="s">
        <v>425</v>
      </c>
      <c r="GP543">
        <v>22</v>
      </c>
      <c r="GQ543">
        <v>4935389</v>
      </c>
      <c r="GR543" t="s">
        <v>5856</v>
      </c>
      <c r="GT543" s="1">
        <v>42151</v>
      </c>
      <c r="GU543">
        <v>2014</v>
      </c>
      <c r="GV543">
        <v>311.52</v>
      </c>
      <c r="GW543" t="s">
        <v>5857</v>
      </c>
      <c r="GX543">
        <v>0.25</v>
      </c>
      <c r="GY543" t="s">
        <v>424</v>
      </c>
      <c r="GZ543" t="s">
        <v>425</v>
      </c>
      <c r="HA543" s="1">
        <v>42586</v>
      </c>
      <c r="HB543">
        <v>15</v>
      </c>
      <c r="HC543">
        <v>2101382</v>
      </c>
      <c r="HD543" t="s">
        <v>993</v>
      </c>
      <c r="HF543" s="1">
        <v>42151</v>
      </c>
      <c r="HG543">
        <v>2014</v>
      </c>
      <c r="HH543">
        <v>311.52</v>
      </c>
      <c r="HI543" t="s">
        <v>5857</v>
      </c>
      <c r="HJ543">
        <v>0.25</v>
      </c>
      <c r="HK543" t="s">
        <v>424</v>
      </c>
      <c r="HL543" t="s">
        <v>425</v>
      </c>
      <c r="HN543">
        <v>22</v>
      </c>
      <c r="HO543">
        <v>5453535</v>
      </c>
      <c r="HP543" t="s">
        <v>5858</v>
      </c>
      <c r="HR543" s="1">
        <v>41787</v>
      </c>
      <c r="HS543">
        <v>2013</v>
      </c>
      <c r="HT543">
        <v>436.58</v>
      </c>
      <c r="HU543" t="s">
        <v>5859</v>
      </c>
      <c r="HV543">
        <v>0.25</v>
      </c>
      <c r="HW543" t="s">
        <v>424</v>
      </c>
      <c r="HX543" t="s">
        <v>425</v>
      </c>
      <c r="HY543" s="1">
        <v>41906</v>
      </c>
      <c r="HZ543">
        <v>4</v>
      </c>
      <c r="IA543">
        <v>2101382</v>
      </c>
      <c r="IB543" t="s">
        <v>993</v>
      </c>
      <c r="ID543" s="1">
        <v>41423</v>
      </c>
      <c r="IE543">
        <v>2012</v>
      </c>
      <c r="IF543">
        <v>490.78</v>
      </c>
      <c r="IG543" t="s">
        <v>5860</v>
      </c>
      <c r="IH543">
        <v>3.5</v>
      </c>
      <c r="II543" t="s">
        <v>424</v>
      </c>
      <c r="IJ543" t="s">
        <v>425</v>
      </c>
      <c r="IK543" s="1">
        <v>41563</v>
      </c>
      <c r="IL543">
        <v>5</v>
      </c>
      <c r="IM543">
        <v>15399</v>
      </c>
      <c r="IN543" t="s">
        <v>485</v>
      </c>
    </row>
    <row r="544" spans="1:284" x14ac:dyDescent="0.25">
      <c r="A544">
        <v>16485551</v>
      </c>
      <c r="B544">
        <v>543</v>
      </c>
      <c r="C544" t="s">
        <v>393</v>
      </c>
      <c r="D544" t="s">
        <v>394</v>
      </c>
      <c r="F544" t="str">
        <f>"37-3N-24-0000-0013-0020"</f>
        <v>37-3N-24-0000-0013-0020</v>
      </c>
      <c r="H544" t="str">
        <f>"BREWER DORIS L LIVING TRUST BREWER DORIS L TRUSTEE"</f>
        <v>BREWER DORIS L LIVING TRUST BREWER DORIS L TRUSTEE</v>
      </c>
      <c r="I544" t="str">
        <f>"36176 J W ELLIOTT DR"</f>
        <v>36176 J W ELLIOTT DR</v>
      </c>
      <c r="J544" t="str">
        <f t="shared" si="163"/>
        <v>CALLAHAN FL 32011</v>
      </c>
      <c r="K544" t="str">
        <f>"545605 US HWY 1"</f>
        <v>545605 US HWY 1</v>
      </c>
      <c r="L544" t="str">
        <f t="shared" si="164"/>
        <v>CALLAHAN FL 32011</v>
      </c>
      <c r="M544" t="str">
        <f>"PT WILLIAM SPARKMAN GRANT SEC 37-3N-24E IN OR 1942/728 (EX PT IN OR 534/67 OR 935/10 OR 1303/916 OR 1363/1135 &amp; EX TWR LEASE &amp; ESMT IN OR 1579/1511)"</f>
        <v>PT WILLIAM SPARKMAN GRANT SEC 37-3N-24E IN OR 1942/728 (EX PT IN OR 534/67 OR 935/10 OR 1303/916 OR 1363/1135 &amp; EX TWR LEASE &amp; ESMT IN OR 1579/1511)</v>
      </c>
      <c r="N544" t="str">
        <f>""</f>
        <v/>
      </c>
      <c r="O544" t="str">
        <f>"44005"</f>
        <v>44005</v>
      </c>
      <c r="P544" t="str">
        <f t="shared" si="151"/>
        <v>2017</v>
      </c>
      <c r="Q544" t="str">
        <f>""</f>
        <v/>
      </c>
      <c r="R544" t="str">
        <f>"N"</f>
        <v>N</v>
      </c>
      <c r="S544" t="str">
        <f>"3.21"</f>
        <v>3.21</v>
      </c>
      <c r="T544" t="str">
        <f>"751.97"</f>
        <v>751.97</v>
      </c>
      <c r="U544" t="str">
        <f>"49672.00"</f>
        <v>49672.00</v>
      </c>
      <c r="V544" t="str">
        <f>"49672.00"</f>
        <v>49672.00</v>
      </c>
      <c r="W544" t="str">
        <f t="shared" si="152"/>
        <v>2017</v>
      </c>
      <c r="X544" t="str">
        <f>""</f>
        <v/>
      </c>
      <c r="Y544" t="str">
        <f>"806.53"</f>
        <v>806.53</v>
      </c>
      <c r="Z544" t="str">
        <f>""</f>
        <v/>
      </c>
      <c r="AA544" t="str">
        <f>"49672.00"</f>
        <v>49672.00</v>
      </c>
      <c r="AB544" t="str">
        <f>"Residential"</f>
        <v>Residential</v>
      </c>
      <c r="AC544" t="str">
        <f t="shared" si="161"/>
        <v>0</v>
      </c>
      <c r="AD544" t="str">
        <f>"4"</f>
        <v>4</v>
      </c>
      <c r="AE544" t="str">
        <f>"WOOD (INCLUDE STEEL STUDS)"</f>
        <v>WOOD (INCLUDE STEEL STUDS)</v>
      </c>
      <c r="AF544" t="str">
        <f>"001"</f>
        <v>001</v>
      </c>
      <c r="AG544" t="str">
        <f t="shared" si="165"/>
        <v>FL</v>
      </c>
      <c r="AH544" t="str">
        <f>"139827.00"</f>
        <v>139827.00</v>
      </c>
      <c r="AI544" t="str">
        <f>"25680.00"</f>
        <v>25680.00</v>
      </c>
      <c r="AJ544" t="str">
        <f>"C55-000-587-9796-0"</f>
        <v>C55-000-587-9796-0</v>
      </c>
      <c r="AK544" t="str">
        <f>"8168"</f>
        <v>8168</v>
      </c>
      <c r="AL544">
        <v>2</v>
      </c>
      <c r="AM544">
        <v>630</v>
      </c>
      <c r="AN544">
        <v>845.26</v>
      </c>
      <c r="AQ544" t="s">
        <v>5861</v>
      </c>
      <c r="AR544" t="s">
        <v>5861</v>
      </c>
      <c r="AS544" t="s">
        <v>5861</v>
      </c>
      <c r="AU544" t="s">
        <v>396</v>
      </c>
      <c r="AV544">
        <v>2017</v>
      </c>
      <c r="AW544" t="str">
        <f>"37-3N-24-0000-0013-0020 "</f>
        <v xml:space="preserve">37-3N-24-0000-0013-0020 </v>
      </c>
      <c r="AX544">
        <v>545605</v>
      </c>
      <c r="AZ544" t="s">
        <v>2386</v>
      </c>
      <c r="BD544" t="s">
        <v>2785</v>
      </c>
      <c r="BE544" t="s">
        <v>393</v>
      </c>
      <c r="BF544">
        <v>32011</v>
      </c>
      <c r="BG544" t="s">
        <v>5862</v>
      </c>
      <c r="BH544" t="s">
        <v>2787</v>
      </c>
      <c r="BI544">
        <v>-81.870031269046095</v>
      </c>
      <c r="BJ544">
        <v>30.643836205590901</v>
      </c>
      <c r="BK544" t="s">
        <v>5863</v>
      </c>
      <c r="BL544" t="s">
        <v>5864</v>
      </c>
      <c r="BM544" t="s">
        <v>5865</v>
      </c>
      <c r="BN544" t="s">
        <v>928</v>
      </c>
      <c r="BO544">
        <v>32011</v>
      </c>
      <c r="BP544" t="s">
        <v>404</v>
      </c>
      <c r="BQ544">
        <v>100</v>
      </c>
      <c r="BR544" t="s">
        <v>514</v>
      </c>
      <c r="BS544">
        <v>1001</v>
      </c>
      <c r="BT544" t="s">
        <v>515</v>
      </c>
      <c r="BW544">
        <v>139827</v>
      </c>
      <c r="BX544" t="s">
        <v>407</v>
      </c>
      <c r="BY544" t="s">
        <v>2221</v>
      </c>
      <c r="BZ544">
        <v>4</v>
      </c>
      <c r="CA544">
        <v>1980</v>
      </c>
      <c r="CB544">
        <v>1</v>
      </c>
      <c r="CC544">
        <v>1</v>
      </c>
      <c r="CD544">
        <v>2017</v>
      </c>
      <c r="CE544">
        <v>25680</v>
      </c>
      <c r="CF544">
        <v>23992</v>
      </c>
      <c r="CG544">
        <v>49672</v>
      </c>
      <c r="CH544">
        <v>2017</v>
      </c>
      <c r="CI544">
        <v>25680</v>
      </c>
      <c r="CJ544">
        <v>23992</v>
      </c>
      <c r="CK544">
        <v>49672</v>
      </c>
      <c r="CL544">
        <v>2017</v>
      </c>
      <c r="CM544">
        <v>751.97</v>
      </c>
      <c r="CN544" s="1">
        <v>41689</v>
      </c>
      <c r="CZ544" s="1">
        <v>41689</v>
      </c>
      <c r="DD544" t="s">
        <v>2785</v>
      </c>
      <c r="DG544">
        <v>37</v>
      </c>
      <c r="DL544">
        <v>50400</v>
      </c>
      <c r="DM544" t="s">
        <v>5813</v>
      </c>
      <c r="DO544" t="s">
        <v>5866</v>
      </c>
      <c r="DP544">
        <v>0</v>
      </c>
      <c r="DQ544">
        <v>1</v>
      </c>
      <c r="DR544" t="s">
        <v>1479</v>
      </c>
      <c r="DS544" t="b">
        <v>1</v>
      </c>
      <c r="DT544" t="s">
        <v>470</v>
      </c>
      <c r="DU544" t="s">
        <v>471</v>
      </c>
      <c r="DV544" t="s">
        <v>472</v>
      </c>
      <c r="DX544">
        <v>-9999</v>
      </c>
      <c r="DZ544" t="s">
        <v>447</v>
      </c>
      <c r="EA544" t="s">
        <v>448</v>
      </c>
      <c r="EB544" t="s">
        <v>742</v>
      </c>
      <c r="EC544">
        <v>20101217</v>
      </c>
      <c r="ED544" t="s">
        <v>474</v>
      </c>
      <c r="EF544">
        <v>957.9</v>
      </c>
      <c r="EG544">
        <v>957.9</v>
      </c>
      <c r="EI544">
        <v>20160407</v>
      </c>
      <c r="EJ544">
        <v>0</v>
      </c>
      <c r="EK544">
        <v>0</v>
      </c>
    </row>
    <row r="545" spans="1:320" x14ac:dyDescent="0.25">
      <c r="A545">
        <v>16485552</v>
      </c>
      <c r="B545">
        <v>544</v>
      </c>
      <c r="C545" t="s">
        <v>393</v>
      </c>
      <c r="D545" t="s">
        <v>394</v>
      </c>
      <c r="F545" t="str">
        <f>"37-3N-24-0000-0016-0030"</f>
        <v>37-3N-24-0000-0016-0030</v>
      </c>
      <c r="H545" t="str">
        <f>"HOLLEY VIVIAN C (1/4 INT) &amp; HOLLEY JOHN O EST (1/4 INT) &amp; S TRANSPORTATION INC ETAL"</f>
        <v>HOLLEY VIVIAN C (1/4 INT) &amp; HOLLEY JOHN O EST (1/4 INT) &amp; S TRANSPORTATION INC ETAL</v>
      </c>
      <c r="I545" t="str">
        <f>""</f>
        <v/>
      </c>
      <c r="J545" t="str">
        <f>"HILLIARD FL 32046"</f>
        <v>HILLIARD FL 32046</v>
      </c>
      <c r="K545" t="str">
        <f>"545819 US HWY 1"</f>
        <v>545819 US HWY 1</v>
      </c>
      <c r="L545" t="str">
        <f t="shared" si="164"/>
        <v>CALLAHAN FL 32011</v>
      </c>
      <c r="M545" t="str">
        <f>"IN OR 239/243 &amp; OR 268/549 &amp; IN OR 1342/236"</f>
        <v>IN OR 239/243 &amp; OR 268/549 &amp; IN OR 1342/236</v>
      </c>
      <c r="N545" t="str">
        <f>""</f>
        <v/>
      </c>
      <c r="O545" t="str">
        <f>"44016"</f>
        <v>44016</v>
      </c>
      <c r="P545" t="str">
        <f t="shared" si="151"/>
        <v>2017</v>
      </c>
      <c r="Q545" t="str">
        <f>""</f>
        <v/>
      </c>
      <c r="R545" t="str">
        <f>"N"</f>
        <v>N</v>
      </c>
      <c r="S545" t="str">
        <f>"1.00"</f>
        <v>1.00</v>
      </c>
      <c r="T545" t="str">
        <f>"776.79"</f>
        <v>776.79</v>
      </c>
      <c r="U545" t="str">
        <f>"51311.00"</f>
        <v>51311.00</v>
      </c>
      <c r="V545" t="str">
        <f>"51311.00"</f>
        <v>51311.00</v>
      </c>
      <c r="W545" t="str">
        <f t="shared" si="152"/>
        <v>2017</v>
      </c>
      <c r="X545" t="str">
        <f>""</f>
        <v/>
      </c>
      <c r="Y545" t="str">
        <f>"832.09"</f>
        <v>832.09</v>
      </c>
      <c r="Z545" t="str">
        <f>""</f>
        <v/>
      </c>
      <c r="AA545" t="str">
        <f>"51311.00"</f>
        <v>51311.00</v>
      </c>
      <c r="AB545" t="str">
        <f>"Commercial"</f>
        <v>Commercial</v>
      </c>
      <c r="AC545" t="str">
        <f t="shared" si="161"/>
        <v>0</v>
      </c>
      <c r="AD545" t="str">
        <f>"3"</f>
        <v>3</v>
      </c>
      <c r="AE545" t="str">
        <f>"MASONRY"</f>
        <v>MASONRY</v>
      </c>
      <c r="AF545" t="str">
        <f>"011"</f>
        <v>011</v>
      </c>
      <c r="AG545" t="str">
        <f t="shared" si="165"/>
        <v>FL</v>
      </c>
      <c r="AH545" t="str">
        <f>"43560.00"</f>
        <v>43560.00</v>
      </c>
      <c r="AI545" t="str">
        <f>"25000.00"</f>
        <v>25000.00</v>
      </c>
      <c r="AJ545" t="str">
        <f>"C55-000-587-9806-7"</f>
        <v>C55-000-587-9806-7</v>
      </c>
      <c r="AK545" t="str">
        <f>"8177"</f>
        <v>8177</v>
      </c>
      <c r="AL545">
        <v>2</v>
      </c>
      <c r="AM545">
        <v>631</v>
      </c>
      <c r="AN545">
        <v>872.09</v>
      </c>
      <c r="AQ545" t="s">
        <v>5867</v>
      </c>
      <c r="AR545" t="s">
        <v>5867</v>
      </c>
      <c r="AS545" t="s">
        <v>5867</v>
      </c>
      <c r="AU545" t="s">
        <v>396</v>
      </c>
      <c r="AV545">
        <v>2017</v>
      </c>
      <c r="AW545" t="str">
        <f>"37-3N-24-0000-0016-0030 "</f>
        <v xml:space="preserve">37-3N-24-0000-0016-0030 </v>
      </c>
      <c r="AX545">
        <v>545819</v>
      </c>
      <c r="AZ545" t="s">
        <v>2386</v>
      </c>
      <c r="BD545" t="s">
        <v>2785</v>
      </c>
      <c r="BE545" t="s">
        <v>393</v>
      </c>
      <c r="BF545">
        <v>32011</v>
      </c>
      <c r="BG545" t="s">
        <v>5868</v>
      </c>
      <c r="BH545" t="s">
        <v>2787</v>
      </c>
      <c r="BI545">
        <v>-81.874063293214604</v>
      </c>
      <c r="BJ545">
        <v>30.649745022722801</v>
      </c>
      <c r="BK545" t="s">
        <v>5869</v>
      </c>
      <c r="BL545" t="s">
        <v>5870</v>
      </c>
      <c r="BM545" t="s">
        <v>5871</v>
      </c>
      <c r="BN545" t="s">
        <v>403</v>
      </c>
      <c r="BO545">
        <v>32046</v>
      </c>
      <c r="BP545" t="s">
        <v>404</v>
      </c>
      <c r="BQ545">
        <v>1100</v>
      </c>
      <c r="BR545" t="s">
        <v>4474</v>
      </c>
      <c r="BS545">
        <v>2000</v>
      </c>
      <c r="BT545" t="s">
        <v>4475</v>
      </c>
      <c r="BW545">
        <v>43560</v>
      </c>
      <c r="BX545" t="s">
        <v>407</v>
      </c>
      <c r="BY545" t="s">
        <v>2221</v>
      </c>
      <c r="BZ545">
        <v>3</v>
      </c>
      <c r="CA545">
        <v>1962</v>
      </c>
      <c r="CD545">
        <v>2017</v>
      </c>
      <c r="CE545">
        <v>25000</v>
      </c>
      <c r="CF545">
        <v>26311</v>
      </c>
      <c r="CG545">
        <v>51311</v>
      </c>
      <c r="CH545">
        <v>2017</v>
      </c>
      <c r="CI545">
        <v>25000</v>
      </c>
      <c r="CJ545">
        <v>26311</v>
      </c>
      <c r="CK545">
        <v>51311</v>
      </c>
      <c r="CL545">
        <v>2017</v>
      </c>
      <c r="CM545">
        <v>776.79</v>
      </c>
      <c r="CN545" s="1">
        <v>38580</v>
      </c>
      <c r="CO545">
        <v>10000</v>
      </c>
      <c r="CV545">
        <v>0</v>
      </c>
      <c r="CZ545" s="1">
        <v>38580</v>
      </c>
      <c r="DA545">
        <v>0</v>
      </c>
      <c r="DD545" t="s">
        <v>2785</v>
      </c>
      <c r="DG545">
        <v>37</v>
      </c>
      <c r="DL545">
        <v>50400</v>
      </c>
      <c r="DM545" t="s">
        <v>5813</v>
      </c>
      <c r="DO545" t="s">
        <v>5872</v>
      </c>
      <c r="DP545">
        <v>0</v>
      </c>
      <c r="DQ545">
        <v>4</v>
      </c>
      <c r="DR545" t="s">
        <v>1479</v>
      </c>
      <c r="DS545" t="b">
        <v>1</v>
      </c>
      <c r="DT545" t="s">
        <v>470</v>
      </c>
      <c r="DU545" t="s">
        <v>471</v>
      </c>
      <c r="DV545" t="s">
        <v>472</v>
      </c>
      <c r="DX545">
        <v>-9999</v>
      </c>
      <c r="DZ545" t="s">
        <v>447</v>
      </c>
      <c r="EA545" t="s">
        <v>448</v>
      </c>
      <c r="EB545" t="s">
        <v>742</v>
      </c>
      <c r="EC545">
        <v>20101217</v>
      </c>
      <c r="ED545" t="s">
        <v>474</v>
      </c>
      <c r="EF545">
        <v>696.6</v>
      </c>
      <c r="EG545">
        <v>696.6</v>
      </c>
      <c r="EI545">
        <v>20160407</v>
      </c>
      <c r="EJ545">
        <v>0</v>
      </c>
      <c r="EK545">
        <v>0</v>
      </c>
      <c r="EP545" t="s">
        <v>421</v>
      </c>
      <c r="EQ545" t="s">
        <v>422</v>
      </c>
      <c r="ER545">
        <v>14</v>
      </c>
      <c r="ES545">
        <v>0</v>
      </c>
      <c r="ET545">
        <v>14071.34</v>
      </c>
      <c r="EU545">
        <v>7422.35</v>
      </c>
      <c r="EV545">
        <v>21493.69</v>
      </c>
      <c r="EW545" s="2">
        <v>43222</v>
      </c>
      <c r="EX545" s="1">
        <v>42879</v>
      </c>
      <c r="EY545">
        <v>2016</v>
      </c>
      <c r="EZ545">
        <v>838.48</v>
      </c>
      <c r="FA545" t="s">
        <v>5873</v>
      </c>
      <c r="FB545">
        <v>18</v>
      </c>
      <c r="FC545" t="s">
        <v>424</v>
      </c>
      <c r="FD545" t="s">
        <v>454</v>
      </c>
      <c r="FF545">
        <v>12</v>
      </c>
      <c r="FG545">
        <v>10125</v>
      </c>
      <c r="FH545" t="s">
        <v>440</v>
      </c>
      <c r="FJ545" s="1">
        <v>42515</v>
      </c>
      <c r="FK545">
        <v>2015</v>
      </c>
      <c r="FL545">
        <v>747.78</v>
      </c>
      <c r="FM545" t="s">
        <v>5874</v>
      </c>
      <c r="FN545">
        <v>18</v>
      </c>
      <c r="FO545" t="s">
        <v>424</v>
      </c>
      <c r="FP545" t="s">
        <v>454</v>
      </c>
      <c r="FR545">
        <v>24</v>
      </c>
      <c r="FS545">
        <v>10125</v>
      </c>
      <c r="FT545" t="s">
        <v>440</v>
      </c>
      <c r="FV545" s="1">
        <v>42151</v>
      </c>
      <c r="FW545">
        <v>2014</v>
      </c>
      <c r="FX545">
        <v>1113.94</v>
      </c>
      <c r="FY545" t="s">
        <v>5875</v>
      </c>
      <c r="FZ545">
        <v>18</v>
      </c>
      <c r="GA545" t="s">
        <v>424</v>
      </c>
      <c r="GB545" t="s">
        <v>454</v>
      </c>
      <c r="GD545">
        <v>36</v>
      </c>
      <c r="GE545">
        <v>10125</v>
      </c>
      <c r="GF545" t="s">
        <v>440</v>
      </c>
      <c r="GH545" s="1">
        <v>41787</v>
      </c>
      <c r="GI545">
        <v>2013</v>
      </c>
      <c r="GJ545">
        <v>1057.18</v>
      </c>
      <c r="GK545" t="s">
        <v>5876</v>
      </c>
      <c r="GL545">
        <v>16.5</v>
      </c>
      <c r="GM545" t="s">
        <v>424</v>
      </c>
      <c r="GN545" t="s">
        <v>454</v>
      </c>
      <c r="GP545">
        <v>48</v>
      </c>
      <c r="GQ545">
        <v>10125</v>
      </c>
      <c r="GR545" t="s">
        <v>440</v>
      </c>
      <c r="GT545" s="1">
        <v>41423</v>
      </c>
      <c r="GU545">
        <v>2012</v>
      </c>
      <c r="GV545">
        <v>1060.02</v>
      </c>
      <c r="GW545" t="s">
        <v>5877</v>
      </c>
      <c r="GX545">
        <v>4.75</v>
      </c>
      <c r="GY545" t="s">
        <v>424</v>
      </c>
      <c r="GZ545" t="s">
        <v>454</v>
      </c>
      <c r="HB545">
        <v>60</v>
      </c>
      <c r="HC545">
        <v>15407</v>
      </c>
      <c r="HD545" t="s">
        <v>1134</v>
      </c>
      <c r="HF545" s="1">
        <v>41423</v>
      </c>
      <c r="HG545">
        <v>2012</v>
      </c>
      <c r="HH545">
        <v>1060.02</v>
      </c>
      <c r="HI545" t="s">
        <v>5877</v>
      </c>
      <c r="HJ545">
        <v>4.75</v>
      </c>
      <c r="HK545" t="s">
        <v>424</v>
      </c>
      <c r="HL545" t="s">
        <v>454</v>
      </c>
      <c r="HN545">
        <v>60</v>
      </c>
      <c r="HO545">
        <v>7336708</v>
      </c>
      <c r="HP545" t="s">
        <v>5878</v>
      </c>
      <c r="HR545" s="1">
        <v>41423</v>
      </c>
      <c r="HS545">
        <v>2012</v>
      </c>
      <c r="HT545">
        <v>1060.02</v>
      </c>
      <c r="HU545" t="s">
        <v>5877</v>
      </c>
      <c r="HV545">
        <v>4.75</v>
      </c>
      <c r="HW545" t="s">
        <v>424</v>
      </c>
      <c r="HX545" t="s">
        <v>454</v>
      </c>
      <c r="HZ545">
        <v>60</v>
      </c>
      <c r="IA545">
        <v>7685292</v>
      </c>
      <c r="IB545" t="s">
        <v>5879</v>
      </c>
      <c r="ID545" s="1">
        <v>41423</v>
      </c>
      <c r="IE545">
        <v>2012</v>
      </c>
      <c r="IF545">
        <v>1060.02</v>
      </c>
      <c r="IG545" t="s">
        <v>5877</v>
      </c>
      <c r="IH545">
        <v>4.75</v>
      </c>
      <c r="II545" t="s">
        <v>424</v>
      </c>
      <c r="IJ545" t="s">
        <v>454</v>
      </c>
      <c r="IL545">
        <v>60</v>
      </c>
      <c r="IM545">
        <v>7336708</v>
      </c>
      <c r="IN545" t="s">
        <v>5878</v>
      </c>
      <c r="IP545" s="1">
        <v>41052</v>
      </c>
      <c r="IQ545">
        <v>2011</v>
      </c>
      <c r="IR545">
        <v>964.12</v>
      </c>
      <c r="IS545" t="s">
        <v>5880</v>
      </c>
      <c r="IT545">
        <v>14.75</v>
      </c>
      <c r="IU545" t="s">
        <v>424</v>
      </c>
      <c r="IV545" t="s">
        <v>454</v>
      </c>
      <c r="IX545">
        <v>72</v>
      </c>
      <c r="IY545">
        <v>13042</v>
      </c>
      <c r="IZ545" t="s">
        <v>5881</v>
      </c>
      <c r="JB545" s="1">
        <v>41052</v>
      </c>
      <c r="JC545">
        <v>2011</v>
      </c>
      <c r="JD545">
        <v>964.12</v>
      </c>
      <c r="JE545" t="s">
        <v>5880</v>
      </c>
      <c r="JF545">
        <v>14.75</v>
      </c>
      <c r="JG545" t="s">
        <v>424</v>
      </c>
      <c r="JH545" t="s">
        <v>454</v>
      </c>
      <c r="JJ545">
        <v>72</v>
      </c>
      <c r="JK545">
        <v>12259</v>
      </c>
      <c r="JL545" t="s">
        <v>1032</v>
      </c>
      <c r="JN545" s="1">
        <v>40688</v>
      </c>
      <c r="JO545">
        <v>2010</v>
      </c>
      <c r="JP545">
        <v>1036.4100000000001</v>
      </c>
      <c r="JQ545" t="s">
        <v>5882</v>
      </c>
      <c r="JR545">
        <v>10</v>
      </c>
      <c r="JS545" t="s">
        <v>424</v>
      </c>
      <c r="JT545" t="s">
        <v>454</v>
      </c>
      <c r="JV545">
        <v>84</v>
      </c>
      <c r="JW545">
        <v>10198</v>
      </c>
      <c r="JX545" t="s">
        <v>5883</v>
      </c>
      <c r="JZ545" s="1">
        <v>40688</v>
      </c>
      <c r="KA545">
        <v>2010</v>
      </c>
      <c r="KB545">
        <v>1036.4100000000001</v>
      </c>
      <c r="KC545" t="s">
        <v>5882</v>
      </c>
      <c r="KD545">
        <v>10</v>
      </c>
      <c r="KE545" t="s">
        <v>424</v>
      </c>
      <c r="KF545" t="s">
        <v>454</v>
      </c>
      <c r="KH545">
        <v>84</v>
      </c>
      <c r="KI545">
        <v>11150</v>
      </c>
      <c r="KJ545" t="s">
        <v>5884</v>
      </c>
      <c r="KL545" s="1">
        <v>40688</v>
      </c>
      <c r="KM545">
        <v>2010</v>
      </c>
      <c r="KN545">
        <v>1036.4100000000001</v>
      </c>
      <c r="KO545" t="s">
        <v>5882</v>
      </c>
      <c r="KP545">
        <v>10</v>
      </c>
      <c r="KQ545" t="s">
        <v>424</v>
      </c>
      <c r="KR545" t="s">
        <v>454</v>
      </c>
      <c r="KT545">
        <v>84</v>
      </c>
      <c r="KU545">
        <v>7336708</v>
      </c>
      <c r="KV545" t="s">
        <v>5878</v>
      </c>
      <c r="KX545" s="1">
        <v>40688</v>
      </c>
      <c r="KY545">
        <v>2010</v>
      </c>
      <c r="KZ545">
        <v>1036.4100000000001</v>
      </c>
      <c r="LA545" t="s">
        <v>5882</v>
      </c>
      <c r="LB545">
        <v>10</v>
      </c>
      <c r="LC545" t="s">
        <v>424</v>
      </c>
      <c r="LD545" t="s">
        <v>454</v>
      </c>
      <c r="LF545">
        <v>84</v>
      </c>
      <c r="LG545">
        <v>7685143</v>
      </c>
      <c r="LH545" t="s">
        <v>5885</v>
      </c>
    </row>
    <row r="546" spans="1:320" x14ac:dyDescent="0.25">
      <c r="A546">
        <v>16485553</v>
      </c>
      <c r="B546">
        <v>545</v>
      </c>
      <c r="C546" t="s">
        <v>393</v>
      </c>
      <c r="D546" t="s">
        <v>394</v>
      </c>
      <c r="F546" t="str">
        <f>"37-3N-24-2710-0002-0000"</f>
        <v>37-3N-24-2710-0002-0000</v>
      </c>
      <c r="H546" t="str">
        <f>"SAPP MELODY L"</f>
        <v>SAPP MELODY L</v>
      </c>
      <c r="I546" t="str">
        <f>"36341 HOLIDAY DRIVE"</f>
        <v>36341 HOLIDAY DRIVE</v>
      </c>
      <c r="J546" t="str">
        <f>"CALLAHAN FL 32011"</f>
        <v>CALLAHAN FL 32011</v>
      </c>
      <c r="K546" t="str">
        <f>"36341 HOLIDAY DR"</f>
        <v>36341 HOLIDAY DR</v>
      </c>
      <c r="L546" t="str">
        <f t="shared" si="164"/>
        <v>CALLAHAN FL 32011</v>
      </c>
      <c r="M546" t="str">
        <f>"LOT 2 IN OR 804 PG 355 R583756 &amp; R583757 HOLIDAY ACRES SUB PB 4/50"</f>
        <v>LOT 2 IN OR 804 PG 355 R583756 &amp; R583757 HOLIDAY ACRES SUB PB 4/50</v>
      </c>
      <c r="N546" t="str">
        <f>""</f>
        <v/>
      </c>
      <c r="O546" t="str">
        <f>"44022"</f>
        <v>44022</v>
      </c>
      <c r="P546" t="str">
        <f t="shared" si="151"/>
        <v>2017</v>
      </c>
      <c r="Q546" t="str">
        <f>""</f>
        <v/>
      </c>
      <c r="R546" t="str">
        <f>"Y"</f>
        <v>Y</v>
      </c>
      <c r="S546" t="str">
        <f>"1.20"</f>
        <v>1.20</v>
      </c>
      <c r="T546" t="str">
        <f>"274.99"</f>
        <v>274.99</v>
      </c>
      <c r="U546" t="str">
        <f>"43165.00"</f>
        <v>43165.00</v>
      </c>
      <c r="V546" t="str">
        <f>"43165.00"</f>
        <v>43165.00</v>
      </c>
      <c r="W546" t="str">
        <f t="shared" si="152"/>
        <v>2017</v>
      </c>
      <c r="X546" t="str">
        <f>"23.08"</f>
        <v>23.08</v>
      </c>
      <c r="Y546" t="str">
        <f>"315.24"</f>
        <v>315.24</v>
      </c>
      <c r="Z546" t="str">
        <f>"25000.00"</f>
        <v>25000.00</v>
      </c>
      <c r="AA546" t="str">
        <f>"18165.00"</f>
        <v>18165.00</v>
      </c>
      <c r="AB546" t="str">
        <f t="shared" ref="AB546:AB553" si="166">"Residential"</f>
        <v>Residential</v>
      </c>
      <c r="AC546" t="str">
        <f t="shared" si="161"/>
        <v>0</v>
      </c>
      <c r="AD546" t="str">
        <f>"4"</f>
        <v>4</v>
      </c>
      <c r="AE546" t="str">
        <f>"WOOD (INCLUDE STEEL STUDS)"</f>
        <v>WOOD (INCLUDE STEEL STUDS)</v>
      </c>
      <c r="AF546" t="str">
        <f>"002"</f>
        <v>002</v>
      </c>
      <c r="AG546" t="str">
        <f t="shared" si="165"/>
        <v>FL</v>
      </c>
      <c r="AH546" t="str">
        <f>"52272.00"</f>
        <v>52272.00</v>
      </c>
      <c r="AI546" t="str">
        <f>"18000.00"</f>
        <v>18000.00</v>
      </c>
      <c r="AJ546" t="str">
        <f>"C55-000-587-9811-7"</f>
        <v>C55-000-587-9811-7</v>
      </c>
      <c r="AK546" t="str">
        <f>"8182"</f>
        <v>8182</v>
      </c>
      <c r="AL546">
        <v>2</v>
      </c>
      <c r="AM546">
        <v>632</v>
      </c>
      <c r="AN546">
        <v>329.4</v>
      </c>
      <c r="AQ546" t="s">
        <v>5886</v>
      </c>
      <c r="AR546" t="s">
        <v>5886</v>
      </c>
      <c r="AS546" t="s">
        <v>5886</v>
      </c>
      <c r="AU546" t="s">
        <v>396</v>
      </c>
      <c r="AV546">
        <v>2017</v>
      </c>
      <c r="AW546" t="str">
        <f>"37-3N-24-2710-0002-0000 "</f>
        <v xml:space="preserve">37-3N-24-2710-0002-0000 </v>
      </c>
      <c r="AX546">
        <v>36341</v>
      </c>
      <c r="AZ546" t="s">
        <v>5887</v>
      </c>
      <c r="BA546" t="s">
        <v>669</v>
      </c>
      <c r="BD546" t="s">
        <v>2785</v>
      </c>
      <c r="BE546" t="s">
        <v>393</v>
      </c>
      <c r="BF546">
        <v>32011</v>
      </c>
      <c r="BG546" t="s">
        <v>5888</v>
      </c>
      <c r="BH546" t="s">
        <v>2787</v>
      </c>
      <c r="BI546">
        <v>-81.8759885163973</v>
      </c>
      <c r="BJ546">
        <v>30.6514280728343</v>
      </c>
      <c r="BK546" t="s">
        <v>5889</v>
      </c>
      <c r="BM546" t="s">
        <v>5888</v>
      </c>
      <c r="BN546" t="s">
        <v>928</v>
      </c>
      <c r="BO546">
        <v>32011</v>
      </c>
      <c r="BP546" t="s">
        <v>416</v>
      </c>
      <c r="BQ546">
        <v>200</v>
      </c>
      <c r="BR546" t="s">
        <v>405</v>
      </c>
      <c r="BS546">
        <v>1006</v>
      </c>
      <c r="BT546" t="s">
        <v>406</v>
      </c>
      <c r="BW546">
        <v>52272</v>
      </c>
      <c r="BX546" t="s">
        <v>407</v>
      </c>
      <c r="BY546" t="s">
        <v>408</v>
      </c>
      <c r="BZ546">
        <v>4</v>
      </c>
      <c r="CA546">
        <v>1994</v>
      </c>
      <c r="CB546">
        <v>1</v>
      </c>
      <c r="CC546">
        <v>1</v>
      </c>
      <c r="CD546">
        <v>2017</v>
      </c>
      <c r="CG546">
        <v>43165</v>
      </c>
      <c r="CH546">
        <v>2017</v>
      </c>
      <c r="CI546">
        <v>18000</v>
      </c>
      <c r="CJ546">
        <v>41690</v>
      </c>
      <c r="CK546">
        <v>59690</v>
      </c>
      <c r="CL546">
        <v>2017</v>
      </c>
      <c r="CM546">
        <v>274.99</v>
      </c>
      <c r="CN546" s="1">
        <v>35664</v>
      </c>
      <c r="CZ546" s="1">
        <v>35664</v>
      </c>
      <c r="DD546" t="s">
        <v>2785</v>
      </c>
      <c r="DF546">
        <v>2</v>
      </c>
      <c r="DG546">
        <v>37</v>
      </c>
      <c r="DL546">
        <v>50400</v>
      </c>
      <c r="DM546" t="s">
        <v>5813</v>
      </c>
      <c r="DO546" t="s">
        <v>5890</v>
      </c>
      <c r="DP546">
        <v>0</v>
      </c>
      <c r="DQ546">
        <v>2</v>
      </c>
      <c r="DR546" t="s">
        <v>411</v>
      </c>
      <c r="DS546" t="b">
        <v>1</v>
      </c>
      <c r="DT546" t="s">
        <v>470</v>
      </c>
      <c r="DU546" t="s">
        <v>471</v>
      </c>
      <c r="DV546" t="s">
        <v>472</v>
      </c>
      <c r="DX546">
        <v>-9999</v>
      </c>
      <c r="DZ546" t="s">
        <v>447</v>
      </c>
      <c r="EA546" t="s">
        <v>448</v>
      </c>
      <c r="EB546" t="s">
        <v>742</v>
      </c>
      <c r="EC546">
        <v>20101217</v>
      </c>
      <c r="ED546" t="s">
        <v>474</v>
      </c>
      <c r="EF546">
        <v>373.6</v>
      </c>
      <c r="EG546">
        <v>373.6</v>
      </c>
      <c r="EI546">
        <v>20160407</v>
      </c>
      <c r="EJ546">
        <v>0</v>
      </c>
      <c r="EK546">
        <v>0</v>
      </c>
      <c r="EP546" t="s">
        <v>421</v>
      </c>
      <c r="EQ546" t="s">
        <v>422</v>
      </c>
      <c r="ER546">
        <v>2</v>
      </c>
      <c r="ES546">
        <v>8</v>
      </c>
      <c r="ET546">
        <v>627.66</v>
      </c>
      <c r="EU546">
        <v>43.88</v>
      </c>
      <c r="EV546">
        <v>671.54</v>
      </c>
      <c r="EW546" s="2">
        <v>43222</v>
      </c>
      <c r="EX546" s="1">
        <v>42879</v>
      </c>
      <c r="EY546">
        <v>2016</v>
      </c>
      <c r="EZ546">
        <v>313.83</v>
      </c>
      <c r="FA546" t="s">
        <v>5891</v>
      </c>
      <c r="FB546">
        <v>0.25</v>
      </c>
      <c r="FC546" t="s">
        <v>424</v>
      </c>
      <c r="FD546" t="s">
        <v>454</v>
      </c>
      <c r="FF546">
        <v>12</v>
      </c>
      <c r="FG546">
        <v>2851116</v>
      </c>
      <c r="FH546" t="s">
        <v>480</v>
      </c>
      <c r="FJ546" s="1">
        <v>42879</v>
      </c>
      <c r="FK546">
        <v>2016</v>
      </c>
      <c r="FL546">
        <v>313.83</v>
      </c>
      <c r="FM546" t="s">
        <v>5891</v>
      </c>
      <c r="FN546">
        <v>0.25</v>
      </c>
      <c r="FO546" t="s">
        <v>424</v>
      </c>
      <c r="FP546" t="s">
        <v>454</v>
      </c>
      <c r="FR546">
        <v>12</v>
      </c>
      <c r="FS546">
        <v>5350024</v>
      </c>
      <c r="FT546" t="s">
        <v>5892</v>
      </c>
      <c r="FV546" s="1">
        <v>42515</v>
      </c>
      <c r="FW546">
        <v>2015</v>
      </c>
      <c r="FX546">
        <v>310.79000000000002</v>
      </c>
      <c r="FY546" t="s">
        <v>5893</v>
      </c>
      <c r="FZ546">
        <v>0.25</v>
      </c>
      <c r="GA546" t="s">
        <v>424</v>
      </c>
      <c r="GB546" t="s">
        <v>425</v>
      </c>
      <c r="GC546" s="1">
        <v>43136</v>
      </c>
      <c r="GD546">
        <v>21</v>
      </c>
      <c r="GE546">
        <v>2851116</v>
      </c>
      <c r="GF546" t="s">
        <v>480</v>
      </c>
      <c r="GH546" s="1">
        <v>42515</v>
      </c>
      <c r="GI546">
        <v>2015</v>
      </c>
      <c r="GJ546">
        <v>310.79000000000002</v>
      </c>
      <c r="GK546" t="s">
        <v>5893</v>
      </c>
      <c r="GL546">
        <v>0.25</v>
      </c>
      <c r="GM546" t="s">
        <v>424</v>
      </c>
      <c r="GN546" t="s">
        <v>425</v>
      </c>
      <c r="GP546">
        <v>22</v>
      </c>
      <c r="GQ546">
        <v>5697522</v>
      </c>
      <c r="GR546" t="s">
        <v>5894</v>
      </c>
      <c r="GT546" s="1">
        <v>42151</v>
      </c>
      <c r="GU546">
        <v>2014</v>
      </c>
      <c r="GV546">
        <v>306.56</v>
      </c>
      <c r="GW546" t="s">
        <v>5895</v>
      </c>
      <c r="GX546">
        <v>0.25</v>
      </c>
      <c r="GY546" t="s">
        <v>424</v>
      </c>
      <c r="GZ546" t="s">
        <v>425</v>
      </c>
      <c r="HA546" s="1">
        <v>42769</v>
      </c>
      <c r="HB546">
        <v>21</v>
      </c>
      <c r="HC546">
        <v>2851116</v>
      </c>
      <c r="HD546" t="s">
        <v>480</v>
      </c>
      <c r="HF546" s="1">
        <v>42151</v>
      </c>
      <c r="HG546">
        <v>2014</v>
      </c>
      <c r="HH546">
        <v>306.56</v>
      </c>
      <c r="HI546" t="s">
        <v>5895</v>
      </c>
      <c r="HJ546">
        <v>0.25</v>
      </c>
      <c r="HK546" t="s">
        <v>424</v>
      </c>
      <c r="HL546" t="s">
        <v>425</v>
      </c>
      <c r="HN546">
        <v>22</v>
      </c>
      <c r="HO546">
        <v>5360371</v>
      </c>
      <c r="HP546" t="s">
        <v>5896</v>
      </c>
      <c r="HR546" s="1">
        <v>41787</v>
      </c>
      <c r="HS546">
        <v>2013</v>
      </c>
      <c r="HT546">
        <v>462.9</v>
      </c>
      <c r="HU546" t="s">
        <v>5897</v>
      </c>
      <c r="HV546">
        <v>2.5</v>
      </c>
      <c r="HW546" t="s">
        <v>424</v>
      </c>
      <c r="HX546" t="s">
        <v>425</v>
      </c>
      <c r="HY546" s="1">
        <v>42405</v>
      </c>
      <c r="HZ546">
        <v>21</v>
      </c>
      <c r="IA546">
        <v>2035919</v>
      </c>
      <c r="IB546" t="s">
        <v>507</v>
      </c>
      <c r="ID546" s="1">
        <v>41423</v>
      </c>
      <c r="IE546">
        <v>2012</v>
      </c>
      <c r="IF546">
        <v>495.32</v>
      </c>
      <c r="IG546" t="s">
        <v>5898</v>
      </c>
      <c r="IH546">
        <v>3</v>
      </c>
      <c r="II546" t="s">
        <v>424</v>
      </c>
      <c r="IJ546" t="s">
        <v>425</v>
      </c>
      <c r="IK546" s="1">
        <v>42047</v>
      </c>
      <c r="IL546">
        <v>21</v>
      </c>
      <c r="IM546">
        <v>15399</v>
      </c>
      <c r="IN546" t="s">
        <v>485</v>
      </c>
      <c r="IP546" s="1">
        <v>41052</v>
      </c>
      <c r="IQ546">
        <v>2011</v>
      </c>
      <c r="IR546">
        <v>498.41</v>
      </c>
      <c r="IS546" t="s">
        <v>5899</v>
      </c>
      <c r="IT546">
        <v>6</v>
      </c>
      <c r="IU546" t="s">
        <v>424</v>
      </c>
      <c r="IV546" t="s">
        <v>425</v>
      </c>
      <c r="IW546" s="1">
        <v>41680</v>
      </c>
      <c r="IX546">
        <v>21</v>
      </c>
      <c r="IY546">
        <v>305</v>
      </c>
      <c r="IZ546" t="s">
        <v>1078</v>
      </c>
      <c r="JB546" s="1">
        <v>40688</v>
      </c>
      <c r="JC546">
        <v>2010</v>
      </c>
      <c r="JD546">
        <v>492.46</v>
      </c>
      <c r="JE546" t="s">
        <v>5900</v>
      </c>
      <c r="JF546">
        <v>5</v>
      </c>
      <c r="JG546" t="s">
        <v>424</v>
      </c>
      <c r="JH546" t="s">
        <v>425</v>
      </c>
      <c r="JI546" s="1">
        <v>41309</v>
      </c>
      <c r="JJ546">
        <v>21</v>
      </c>
      <c r="JK546">
        <v>287</v>
      </c>
      <c r="JL546" t="s">
        <v>572</v>
      </c>
    </row>
    <row r="547" spans="1:320" x14ac:dyDescent="0.25">
      <c r="A547">
        <v>16485554</v>
      </c>
      <c r="B547">
        <v>546</v>
      </c>
      <c r="C547" t="s">
        <v>393</v>
      </c>
      <c r="D547" t="s">
        <v>394</v>
      </c>
      <c r="F547" t="str">
        <f>"37-3N-24-2710-0003-0000"</f>
        <v>37-3N-24-2710-0003-0000</v>
      </c>
      <c r="H547" t="str">
        <f>"SHAW DONALD GRAHAM &amp; DAWN L"</f>
        <v>SHAW DONALD GRAHAM &amp; DAWN L</v>
      </c>
      <c r="I547" t="str">
        <f>"36315 HOLIDAY DR"</f>
        <v>36315 HOLIDAY DR</v>
      </c>
      <c r="J547" t="str">
        <f>"CALLAHAN FL 32011"</f>
        <v>CALLAHAN FL 32011</v>
      </c>
      <c r="K547" t="str">
        <f>"36315 HOLIDAY DR"</f>
        <v>36315 HOLIDAY DR</v>
      </c>
      <c r="L547" t="str">
        <f t="shared" si="164"/>
        <v>CALLAHAN FL 32011</v>
      </c>
      <c r="M547" t="str">
        <f>"LOT 3 IN OR 2018/1428 HOLIDAY ACRES SUB PB 4/50"</f>
        <v>LOT 3 IN OR 2018/1428 HOLIDAY ACRES SUB PB 4/50</v>
      </c>
      <c r="N547" t="str">
        <f>""</f>
        <v/>
      </c>
      <c r="O547" t="str">
        <f>"44023"</f>
        <v>44023</v>
      </c>
      <c r="P547" t="str">
        <f t="shared" si="151"/>
        <v>2017</v>
      </c>
      <c r="Q547" t="str">
        <f>""</f>
        <v/>
      </c>
      <c r="R547" t="str">
        <f>"Y"</f>
        <v>Y</v>
      </c>
      <c r="S547" t="str">
        <f>"1.26"</f>
        <v>1.26</v>
      </c>
      <c r="T547" t="str">
        <f>"1088.30"</f>
        <v>1088.30</v>
      </c>
      <c r="U547" t="str">
        <f>"110993.00"</f>
        <v>110993.00</v>
      </c>
      <c r="V547" t="str">
        <f>"110993.00"</f>
        <v>110993.00</v>
      </c>
      <c r="W547" t="str">
        <f t="shared" si="152"/>
        <v>2017</v>
      </c>
      <c r="X547" t="str">
        <f>""</f>
        <v/>
      </c>
      <c r="Y547" t="str">
        <f>"1152.95"</f>
        <v>1152.95</v>
      </c>
      <c r="Z547" t="str">
        <f>"25000.00"</f>
        <v>25000.00</v>
      </c>
      <c r="AA547" t="str">
        <f>"85993.00"</f>
        <v>85993.00</v>
      </c>
      <c r="AB547" t="str">
        <f t="shared" si="166"/>
        <v>Residential</v>
      </c>
      <c r="AC547" t="str">
        <f t="shared" si="161"/>
        <v>0</v>
      </c>
      <c r="AD547" t="str">
        <f>"4"</f>
        <v>4</v>
      </c>
      <c r="AE547" t="str">
        <f>"WOOD (INCLUDE STEEL STUDS)"</f>
        <v>WOOD (INCLUDE STEEL STUDS)</v>
      </c>
      <c r="AF547" t="str">
        <f>"001"</f>
        <v>001</v>
      </c>
      <c r="AG547" t="str">
        <f t="shared" si="165"/>
        <v>FL</v>
      </c>
      <c r="AH547" t="str">
        <f>"54885.00"</f>
        <v>54885.00</v>
      </c>
      <c r="AI547" t="str">
        <f>"18900.00"</f>
        <v>18900.00</v>
      </c>
      <c r="AJ547" t="str">
        <f>"C55-000-587-9812-5"</f>
        <v>C55-000-587-9812-5</v>
      </c>
      <c r="AK547" t="str">
        <f>"8183"</f>
        <v>8183</v>
      </c>
      <c r="AL547">
        <v>2</v>
      </c>
      <c r="AM547">
        <v>633</v>
      </c>
      <c r="AN547">
        <v>1209</v>
      </c>
      <c r="AQ547" t="s">
        <v>5901</v>
      </c>
      <c r="AR547" t="s">
        <v>5901</v>
      </c>
      <c r="AS547" t="s">
        <v>5901</v>
      </c>
      <c r="AU547" t="s">
        <v>396</v>
      </c>
      <c r="AV547">
        <v>2017</v>
      </c>
      <c r="AW547" t="str">
        <f>"37-3N-24-2710-0003-0000 "</f>
        <v xml:space="preserve">37-3N-24-2710-0003-0000 </v>
      </c>
      <c r="AX547">
        <v>36315</v>
      </c>
      <c r="AZ547" t="s">
        <v>5887</v>
      </c>
      <c r="BA547" t="s">
        <v>669</v>
      </c>
      <c r="BD547" t="s">
        <v>2785</v>
      </c>
      <c r="BE547" t="s">
        <v>393</v>
      </c>
      <c r="BF547">
        <v>32011</v>
      </c>
      <c r="BG547" t="s">
        <v>5902</v>
      </c>
      <c r="BH547" t="s">
        <v>2787</v>
      </c>
      <c r="BI547">
        <v>-81.876294445128394</v>
      </c>
      <c r="BJ547">
        <v>30.6510506196732</v>
      </c>
      <c r="BK547" t="s">
        <v>5903</v>
      </c>
      <c r="BL547" t="s">
        <v>5904</v>
      </c>
      <c r="BM547" t="s">
        <v>5902</v>
      </c>
      <c r="BN547" t="s">
        <v>928</v>
      </c>
      <c r="BO547">
        <v>32011</v>
      </c>
      <c r="BP547" t="s">
        <v>416</v>
      </c>
      <c r="BQ547">
        <v>100</v>
      </c>
      <c r="BR547" t="s">
        <v>514</v>
      </c>
      <c r="BS547">
        <v>1001</v>
      </c>
      <c r="BT547" t="s">
        <v>515</v>
      </c>
      <c r="BW547">
        <v>54885</v>
      </c>
      <c r="BX547" t="s">
        <v>407</v>
      </c>
      <c r="BY547" t="s">
        <v>408</v>
      </c>
      <c r="BZ547">
        <v>4</v>
      </c>
      <c r="CA547">
        <v>2007</v>
      </c>
      <c r="CB547">
        <v>1</v>
      </c>
      <c r="CC547">
        <v>1</v>
      </c>
      <c r="CD547">
        <v>2017</v>
      </c>
      <c r="CE547">
        <v>18900</v>
      </c>
      <c r="CF547">
        <v>92093</v>
      </c>
      <c r="CG547">
        <v>110993</v>
      </c>
      <c r="CH547">
        <v>2017</v>
      </c>
      <c r="CI547">
        <v>18900</v>
      </c>
      <c r="CJ547">
        <v>92093</v>
      </c>
      <c r="CK547">
        <v>110993</v>
      </c>
      <c r="CL547">
        <v>2017</v>
      </c>
      <c r="CM547">
        <v>1088.3</v>
      </c>
      <c r="CN547" s="1">
        <v>42353</v>
      </c>
      <c r="CO547">
        <v>150000</v>
      </c>
      <c r="CV547">
        <v>0</v>
      </c>
      <c r="CZ547" s="1">
        <v>42353</v>
      </c>
      <c r="DA547">
        <v>0</v>
      </c>
      <c r="DD547" t="s">
        <v>2785</v>
      </c>
      <c r="DF547">
        <v>3</v>
      </c>
      <c r="DG547">
        <v>37</v>
      </c>
      <c r="DJ547" t="s">
        <v>5905</v>
      </c>
      <c r="DL547">
        <v>50400</v>
      </c>
      <c r="DM547" t="s">
        <v>5813</v>
      </c>
      <c r="DO547" t="s">
        <v>5906</v>
      </c>
      <c r="DP547">
        <v>0</v>
      </c>
      <c r="DQ547">
        <v>0</v>
      </c>
      <c r="DR547" t="s">
        <v>411</v>
      </c>
      <c r="EP547" t="s">
        <v>421</v>
      </c>
      <c r="EQ547" t="s">
        <v>422</v>
      </c>
      <c r="ER547">
        <v>2</v>
      </c>
      <c r="ES547">
        <v>0</v>
      </c>
      <c r="ET547">
        <v>3629.42</v>
      </c>
      <c r="EU547">
        <v>193.97</v>
      </c>
      <c r="EV547">
        <v>3823.39</v>
      </c>
      <c r="EW547" s="2">
        <v>43222</v>
      </c>
      <c r="EX547" s="1">
        <v>42879</v>
      </c>
      <c r="EY547">
        <v>2016</v>
      </c>
      <c r="EZ547">
        <v>1814.71</v>
      </c>
      <c r="FA547" t="s">
        <v>5907</v>
      </c>
      <c r="FB547">
        <v>0.25</v>
      </c>
      <c r="FC547" t="s">
        <v>424</v>
      </c>
      <c r="FD547" t="s">
        <v>454</v>
      </c>
      <c r="FF547">
        <v>12</v>
      </c>
      <c r="FG547">
        <v>5856194</v>
      </c>
      <c r="FH547" t="s">
        <v>2685</v>
      </c>
      <c r="FJ547" s="1">
        <v>42879</v>
      </c>
      <c r="FK547">
        <v>2016</v>
      </c>
      <c r="FL547">
        <v>1814.71</v>
      </c>
      <c r="FM547" t="s">
        <v>5907</v>
      </c>
      <c r="FN547">
        <v>0.25</v>
      </c>
      <c r="FO547" t="s">
        <v>424</v>
      </c>
      <c r="FP547" t="s">
        <v>454</v>
      </c>
      <c r="FR547">
        <v>12</v>
      </c>
      <c r="FS547">
        <v>6147446</v>
      </c>
      <c r="FT547" t="s">
        <v>5908</v>
      </c>
    </row>
    <row r="548" spans="1:320" x14ac:dyDescent="0.25">
      <c r="A548">
        <v>16485555</v>
      </c>
      <c r="B548">
        <v>547</v>
      </c>
      <c r="C548" t="s">
        <v>393</v>
      </c>
      <c r="D548" t="s">
        <v>394</v>
      </c>
      <c r="F548" t="str">
        <f>"37-3N-24-2710-0014-0000"</f>
        <v>37-3N-24-2710-0014-0000</v>
      </c>
      <c r="H548" t="str">
        <f>"BANNISTER ERNEST M &amp; DENISE M"</f>
        <v>BANNISTER ERNEST M &amp; DENISE M</v>
      </c>
      <c r="I548" t="str">
        <f>"36031 HOLIDAY DR"</f>
        <v>36031 HOLIDAY DR</v>
      </c>
      <c r="J548" t="str">
        <f>"CALLAHAN FL 32011"</f>
        <v>CALLAHAN FL 32011</v>
      </c>
      <c r="K548" t="str">
        <f>"36031 HOLIDAY DR"</f>
        <v>36031 HOLIDAY DR</v>
      </c>
      <c r="L548" t="str">
        <f t="shared" si="164"/>
        <v>CALLAHAN FL 32011</v>
      </c>
      <c r="M548" t="str">
        <f>"LOT 14 R567598 IN OR 1197/1159 HOLIDAY ACRES SUB PB 4/50"</f>
        <v>LOT 14 R567598 IN OR 1197/1159 HOLIDAY ACRES SUB PB 4/50</v>
      </c>
      <c r="N548" t="str">
        <f>""</f>
        <v/>
      </c>
      <c r="O548" t="str">
        <f>"44032"</f>
        <v>44032</v>
      </c>
      <c r="P548" t="str">
        <f t="shared" si="151"/>
        <v>2017</v>
      </c>
      <c r="Q548" t="str">
        <f>""</f>
        <v/>
      </c>
      <c r="R548" t="str">
        <f>"N"</f>
        <v>N</v>
      </c>
      <c r="S548" t="str">
        <f>"1.00"</f>
        <v>1.00</v>
      </c>
      <c r="T548" t="str">
        <f>"353.31"</f>
        <v>353.31</v>
      </c>
      <c r="U548" t="str">
        <f>"22231.00"</f>
        <v>22231.00</v>
      </c>
      <c r="V548" t="str">
        <f>"22231.00"</f>
        <v>22231.00</v>
      </c>
      <c r="W548" t="str">
        <f t="shared" si="152"/>
        <v>2017</v>
      </c>
      <c r="X548" t="str">
        <f>"11.40"</f>
        <v>11.40</v>
      </c>
      <c r="Y548" t="str">
        <f>"311.59"</f>
        <v>311.59</v>
      </c>
      <c r="Z548" t="str">
        <f>""</f>
        <v/>
      </c>
      <c r="AA548" t="str">
        <f>"24771.00"</f>
        <v>24771.00</v>
      </c>
      <c r="AB548" t="str">
        <f t="shared" si="166"/>
        <v>Residential</v>
      </c>
      <c r="AC548" t="str">
        <f t="shared" si="161"/>
        <v>0</v>
      </c>
      <c r="AD548" t="str">
        <f>"4"</f>
        <v>4</v>
      </c>
      <c r="AE548" t="str">
        <f>"WOOD (INCLUDE STEEL STUDS)"</f>
        <v>WOOD (INCLUDE STEEL STUDS)</v>
      </c>
      <c r="AF548" t="str">
        <f>"002"</f>
        <v>002</v>
      </c>
      <c r="AG548" t="str">
        <f t="shared" si="165"/>
        <v>FL</v>
      </c>
      <c r="AH548" t="str">
        <f>"43560.00"</f>
        <v>43560.00</v>
      </c>
      <c r="AI548" t="str">
        <f>"15000.00"</f>
        <v>15000.00</v>
      </c>
      <c r="AJ548" t="str">
        <f>"C55-000-587-9821-6"</f>
        <v>C55-000-587-9821-6</v>
      </c>
      <c r="AK548" t="str">
        <f>"8192"</f>
        <v>8192</v>
      </c>
      <c r="AL548">
        <v>2</v>
      </c>
      <c r="AM548">
        <v>634</v>
      </c>
      <c r="AN548">
        <v>325.57</v>
      </c>
      <c r="AQ548" t="s">
        <v>5909</v>
      </c>
      <c r="AR548" t="s">
        <v>5909</v>
      </c>
      <c r="AS548" t="s">
        <v>5909</v>
      </c>
      <c r="AU548" t="s">
        <v>396</v>
      </c>
      <c r="AV548">
        <v>2017</v>
      </c>
      <c r="AW548" t="str">
        <f>"37-3N-24-2710-0014-0000 "</f>
        <v xml:space="preserve">37-3N-24-2710-0014-0000 </v>
      </c>
      <c r="AX548">
        <v>36031</v>
      </c>
      <c r="AZ548" t="s">
        <v>5887</v>
      </c>
      <c r="BA548" t="s">
        <v>669</v>
      </c>
      <c r="BD548" t="s">
        <v>2785</v>
      </c>
      <c r="BE548" t="s">
        <v>393</v>
      </c>
      <c r="BF548">
        <v>32011</v>
      </c>
      <c r="BG548" t="s">
        <v>5910</v>
      </c>
      <c r="BH548" t="s">
        <v>2787</v>
      </c>
      <c r="BI548">
        <v>-81.876663565500706</v>
      </c>
      <c r="BJ548">
        <v>30.646852295632598</v>
      </c>
      <c r="BK548" t="s">
        <v>5911</v>
      </c>
      <c r="BL548" t="s">
        <v>5912</v>
      </c>
      <c r="BM548" t="s">
        <v>5910</v>
      </c>
      <c r="BN548" t="s">
        <v>928</v>
      </c>
      <c r="BO548">
        <v>32011</v>
      </c>
      <c r="BP548" t="s">
        <v>416</v>
      </c>
      <c r="BQ548">
        <v>200</v>
      </c>
      <c r="BR548" t="s">
        <v>405</v>
      </c>
      <c r="BS548">
        <v>1006</v>
      </c>
      <c r="BT548" t="s">
        <v>406</v>
      </c>
      <c r="BW548">
        <v>43560</v>
      </c>
      <c r="BX548" t="s">
        <v>407</v>
      </c>
      <c r="BY548" t="s">
        <v>408</v>
      </c>
      <c r="BZ548">
        <v>4</v>
      </c>
      <c r="CA548">
        <v>1985</v>
      </c>
      <c r="CB548">
        <v>1</v>
      </c>
      <c r="CC548">
        <v>1</v>
      </c>
      <c r="CD548">
        <v>2017</v>
      </c>
      <c r="CE548">
        <v>15000</v>
      </c>
      <c r="CF548">
        <v>9771</v>
      </c>
      <c r="CG548">
        <v>24771</v>
      </c>
      <c r="CH548">
        <v>2017</v>
      </c>
      <c r="CI548">
        <v>15000</v>
      </c>
      <c r="CJ548">
        <v>9771</v>
      </c>
      <c r="CK548">
        <v>24771</v>
      </c>
      <c r="CL548">
        <v>2017</v>
      </c>
      <c r="CM548">
        <v>353.31</v>
      </c>
      <c r="CN548" s="1">
        <v>37979</v>
      </c>
      <c r="CO548">
        <v>17500</v>
      </c>
      <c r="CZ548" s="1">
        <v>37979</v>
      </c>
      <c r="DD548" t="s">
        <v>2785</v>
      </c>
      <c r="DF548">
        <v>14</v>
      </c>
      <c r="DG548">
        <v>37</v>
      </c>
      <c r="DJ548" t="s">
        <v>5905</v>
      </c>
      <c r="DL548">
        <v>50400</v>
      </c>
      <c r="DM548" t="s">
        <v>5813</v>
      </c>
      <c r="DO548" t="s">
        <v>5913</v>
      </c>
      <c r="DP548">
        <v>0</v>
      </c>
      <c r="DQ548">
        <v>0</v>
      </c>
      <c r="DR548" t="s">
        <v>411</v>
      </c>
      <c r="DS548" t="b">
        <v>1</v>
      </c>
      <c r="DT548" t="s">
        <v>470</v>
      </c>
      <c r="DU548" t="s">
        <v>471</v>
      </c>
      <c r="DV548" t="s">
        <v>472</v>
      </c>
      <c r="DX548">
        <v>-9999</v>
      </c>
      <c r="DZ548" t="s">
        <v>447</v>
      </c>
      <c r="EA548" t="s">
        <v>448</v>
      </c>
      <c r="EB548" t="s">
        <v>742</v>
      </c>
      <c r="EC548">
        <v>20101217</v>
      </c>
      <c r="ED548" t="s">
        <v>474</v>
      </c>
      <c r="EF548">
        <v>138.6</v>
      </c>
      <c r="EG548">
        <v>138.6</v>
      </c>
      <c r="EI548">
        <v>20160407</v>
      </c>
      <c r="EJ548">
        <v>0</v>
      </c>
      <c r="EK548">
        <v>0</v>
      </c>
      <c r="EP548" t="s">
        <v>421</v>
      </c>
      <c r="EQ548" t="s">
        <v>422</v>
      </c>
      <c r="ER548">
        <v>0</v>
      </c>
      <c r="ES548">
        <v>5</v>
      </c>
      <c r="ET548">
        <v>0</v>
      </c>
      <c r="EU548">
        <v>0</v>
      </c>
      <c r="EV548">
        <v>0</v>
      </c>
      <c r="EW548" s="2">
        <v>43222</v>
      </c>
      <c r="EX548" s="1">
        <v>42515</v>
      </c>
      <c r="EY548">
        <v>2015</v>
      </c>
      <c r="EZ548">
        <v>368.37</v>
      </c>
      <c r="FA548" t="s">
        <v>5914</v>
      </c>
      <c r="FB548">
        <v>0.25</v>
      </c>
      <c r="FC548" t="s">
        <v>424</v>
      </c>
      <c r="FD548" t="s">
        <v>425</v>
      </c>
      <c r="FE548" s="1">
        <v>43159</v>
      </c>
      <c r="FF548">
        <v>21</v>
      </c>
      <c r="FG548">
        <v>2035919</v>
      </c>
      <c r="FH548" t="s">
        <v>507</v>
      </c>
      <c r="FJ548" s="1">
        <v>42151</v>
      </c>
      <c r="FK548">
        <v>2014</v>
      </c>
      <c r="FL548">
        <v>307.47000000000003</v>
      </c>
      <c r="FM548" t="s">
        <v>5915</v>
      </c>
      <c r="FN548">
        <v>0.25</v>
      </c>
      <c r="FO548" t="s">
        <v>424</v>
      </c>
      <c r="FP548" t="s">
        <v>425</v>
      </c>
      <c r="FQ548" s="1">
        <v>42473</v>
      </c>
      <c r="FR548">
        <v>11</v>
      </c>
      <c r="FS548">
        <v>13026</v>
      </c>
      <c r="FT548" t="s">
        <v>2129</v>
      </c>
      <c r="FV548" s="1">
        <v>42151</v>
      </c>
      <c r="FW548">
        <v>2014</v>
      </c>
      <c r="FX548">
        <v>307.47000000000003</v>
      </c>
      <c r="FY548" t="s">
        <v>5915</v>
      </c>
      <c r="FZ548">
        <v>0.25</v>
      </c>
      <c r="GA548" t="s">
        <v>424</v>
      </c>
      <c r="GB548" t="s">
        <v>425</v>
      </c>
      <c r="GD548">
        <v>22</v>
      </c>
      <c r="GE548">
        <v>4699169</v>
      </c>
      <c r="GF548" t="s">
        <v>5916</v>
      </c>
      <c r="GH548" s="1">
        <v>41787</v>
      </c>
      <c r="GI548">
        <v>2013</v>
      </c>
      <c r="GJ548">
        <v>378.13</v>
      </c>
      <c r="GK548" t="s">
        <v>5917</v>
      </c>
      <c r="GL548">
        <v>0.25</v>
      </c>
      <c r="GM548" t="s">
        <v>424</v>
      </c>
      <c r="GN548" t="s">
        <v>425</v>
      </c>
      <c r="GO548" s="1">
        <v>42006</v>
      </c>
      <c r="GP548">
        <v>8</v>
      </c>
      <c r="GQ548">
        <v>13026</v>
      </c>
      <c r="GR548" t="s">
        <v>2129</v>
      </c>
      <c r="GT548" s="1">
        <v>41423</v>
      </c>
      <c r="GU548">
        <v>2012</v>
      </c>
      <c r="GV548">
        <v>414.47</v>
      </c>
      <c r="GW548" t="s">
        <v>5918</v>
      </c>
      <c r="GX548">
        <v>3.25</v>
      </c>
      <c r="GY548" t="s">
        <v>424</v>
      </c>
      <c r="GZ548" t="s">
        <v>425</v>
      </c>
      <c r="HA548" s="1">
        <v>41599</v>
      </c>
      <c r="HB548">
        <v>6</v>
      </c>
      <c r="HC548">
        <v>15399</v>
      </c>
      <c r="HD548" t="s">
        <v>485</v>
      </c>
    </row>
    <row r="549" spans="1:320" x14ac:dyDescent="0.25">
      <c r="A549">
        <v>16485556</v>
      </c>
      <c r="B549">
        <v>548</v>
      </c>
      <c r="C549" t="s">
        <v>393</v>
      </c>
      <c r="D549" t="s">
        <v>394</v>
      </c>
      <c r="F549" t="str">
        <f>"37-3N-24-2710-0018-0000"</f>
        <v>37-3N-24-2710-0018-0000</v>
      </c>
      <c r="H549" t="str">
        <f>"NEVES RAYMOND H EST"</f>
        <v>NEVES RAYMOND H EST</v>
      </c>
      <c r="I549" t="str">
        <f>"36064 HOLIDAY DRIVE EAST"</f>
        <v>36064 HOLIDAY DRIVE EAST</v>
      </c>
      <c r="J549" t="str">
        <f>"CALLAHAN FL 32011"</f>
        <v>CALLAHAN FL 32011</v>
      </c>
      <c r="K549" t="str">
        <f>"36064 HOLIDAY DR"</f>
        <v>36064 HOLIDAY DR</v>
      </c>
      <c r="L549" t="str">
        <f t="shared" si="164"/>
        <v>CALLAHAN FL 32011</v>
      </c>
      <c r="M549" t="str">
        <f>"LOTS 18 &amp; 19 R498297 IN OR 673/43 &amp; OR 674/1921 HOLIDAY ACRES SUB PB 4/50"</f>
        <v>LOTS 18 &amp; 19 R498297 IN OR 673/43 &amp; OR 674/1921 HOLIDAY ACRES SUB PB 4/50</v>
      </c>
      <c r="N549" t="str">
        <f>""</f>
        <v/>
      </c>
      <c r="O549" t="str">
        <f>"44036"</f>
        <v>44036</v>
      </c>
      <c r="P549" t="str">
        <f t="shared" si="151"/>
        <v>2017</v>
      </c>
      <c r="Q549" t="str">
        <f>""</f>
        <v/>
      </c>
      <c r="R549" t="str">
        <f>"N"</f>
        <v>N</v>
      </c>
      <c r="S549" t="str">
        <f>"3.62"</f>
        <v>3.62</v>
      </c>
      <c r="T549" t="str">
        <f>"591.33"</f>
        <v>591.33</v>
      </c>
      <c r="U549" t="str">
        <f>"39060.00"</f>
        <v>39060.00</v>
      </c>
      <c r="V549" t="str">
        <f>"39060.00"</f>
        <v>39060.00</v>
      </c>
      <c r="W549" t="str">
        <f t="shared" si="152"/>
        <v>2017</v>
      </c>
      <c r="X549" t="str">
        <f>""</f>
        <v/>
      </c>
      <c r="Y549" t="str">
        <f>"641.07"</f>
        <v>641.07</v>
      </c>
      <c r="Z549" t="str">
        <f>""</f>
        <v/>
      </c>
      <c r="AA549" t="str">
        <f>"39060.00"</f>
        <v>39060.00</v>
      </c>
      <c r="AB549" t="str">
        <f t="shared" si="166"/>
        <v>Residential</v>
      </c>
      <c r="AC549" t="str">
        <f t="shared" si="161"/>
        <v>0</v>
      </c>
      <c r="AD549" t="str">
        <f>"4"</f>
        <v>4</v>
      </c>
      <c r="AE549" t="str">
        <f>"WOOD (INCLUDE STEEL STUDS)"</f>
        <v>WOOD (INCLUDE STEEL STUDS)</v>
      </c>
      <c r="AF549" t="str">
        <f>"002"</f>
        <v>002</v>
      </c>
      <c r="AG549" t="str">
        <f t="shared" si="165"/>
        <v>FL</v>
      </c>
      <c r="AH549" t="str">
        <f>"157687.00"</f>
        <v>157687.00</v>
      </c>
      <c r="AI549" t="str">
        <f>"28960.00"</f>
        <v>28960.00</v>
      </c>
      <c r="AJ549" t="str">
        <f>"C55-000-587-9825-7"</f>
        <v>C55-000-587-9825-7</v>
      </c>
      <c r="AK549" t="str">
        <f>"8196"</f>
        <v>8196</v>
      </c>
      <c r="AL549">
        <v>2</v>
      </c>
      <c r="AM549">
        <v>635</v>
      </c>
      <c r="AN549">
        <v>671.52</v>
      </c>
      <c r="AQ549" t="s">
        <v>5919</v>
      </c>
      <c r="AR549" t="s">
        <v>5919</v>
      </c>
      <c r="AS549" t="s">
        <v>5919</v>
      </c>
      <c r="AU549" t="s">
        <v>396</v>
      </c>
      <c r="AV549">
        <v>2017</v>
      </c>
      <c r="AW549" t="str">
        <f>"37-3N-24-2710-0018-0000 "</f>
        <v xml:space="preserve">37-3N-24-2710-0018-0000 </v>
      </c>
      <c r="AX549">
        <v>36064</v>
      </c>
      <c r="AZ549" t="s">
        <v>5887</v>
      </c>
      <c r="BA549" t="s">
        <v>669</v>
      </c>
      <c r="BD549" t="s">
        <v>2785</v>
      </c>
      <c r="BE549" t="s">
        <v>393</v>
      </c>
      <c r="BF549">
        <v>32011</v>
      </c>
      <c r="BG549" t="s">
        <v>5920</v>
      </c>
      <c r="BH549" t="s">
        <v>2787</v>
      </c>
      <c r="BI549">
        <v>-81.875141878057804</v>
      </c>
      <c r="BJ549">
        <v>30.6471942461013</v>
      </c>
      <c r="BK549" t="s">
        <v>5921</v>
      </c>
      <c r="BM549" t="s">
        <v>5920</v>
      </c>
      <c r="BN549" t="s">
        <v>928</v>
      </c>
      <c r="BO549">
        <v>32011</v>
      </c>
      <c r="BP549" t="s">
        <v>416</v>
      </c>
      <c r="BQ549">
        <v>200</v>
      </c>
      <c r="BR549" t="s">
        <v>405</v>
      </c>
      <c r="BS549">
        <v>1006</v>
      </c>
      <c r="BT549" t="s">
        <v>406</v>
      </c>
      <c r="BW549">
        <v>157687</v>
      </c>
      <c r="BX549" t="s">
        <v>407</v>
      </c>
      <c r="BY549" t="s">
        <v>408</v>
      </c>
      <c r="BZ549">
        <v>4</v>
      </c>
      <c r="CA549">
        <v>1983</v>
      </c>
      <c r="CB549">
        <v>1</v>
      </c>
      <c r="CC549">
        <v>1</v>
      </c>
      <c r="CD549">
        <v>2017</v>
      </c>
      <c r="CE549">
        <v>28960</v>
      </c>
      <c r="CF549">
        <v>10100</v>
      </c>
      <c r="CG549">
        <v>39060</v>
      </c>
      <c r="CH549">
        <v>2017</v>
      </c>
      <c r="CI549">
        <v>28960</v>
      </c>
      <c r="CJ549">
        <v>10100</v>
      </c>
      <c r="CK549">
        <v>39060</v>
      </c>
      <c r="CL549">
        <v>2017</v>
      </c>
      <c r="CM549">
        <v>591.33000000000004</v>
      </c>
      <c r="CN549" s="1">
        <v>33969</v>
      </c>
      <c r="CO549">
        <v>15500</v>
      </c>
      <c r="CZ549" s="1">
        <v>33969</v>
      </c>
      <c r="DD549" t="s">
        <v>2785</v>
      </c>
      <c r="DG549">
        <v>37</v>
      </c>
      <c r="DJ549" t="s">
        <v>5905</v>
      </c>
      <c r="DL549">
        <v>50400</v>
      </c>
      <c r="DM549" t="s">
        <v>5813</v>
      </c>
      <c r="DO549" t="s">
        <v>5922</v>
      </c>
      <c r="DP549">
        <v>0</v>
      </c>
      <c r="DQ549">
        <v>0</v>
      </c>
      <c r="DR549" t="s">
        <v>411</v>
      </c>
    </row>
    <row r="550" spans="1:320" x14ac:dyDescent="0.25">
      <c r="A550">
        <v>16485557</v>
      </c>
      <c r="B550">
        <v>549</v>
      </c>
      <c r="C550" t="s">
        <v>393</v>
      </c>
      <c r="D550" t="s">
        <v>394</v>
      </c>
      <c r="F550" t="str">
        <f>"37-3N-24-2710-0027-0000"</f>
        <v>37-3N-24-2710-0027-0000</v>
      </c>
      <c r="H550" t="str">
        <f>"GATLIN LINDA"</f>
        <v>GATLIN LINDA</v>
      </c>
      <c r="I550" t="str">
        <f>"PO BOX 715"</f>
        <v>PO BOX 715</v>
      </c>
      <c r="J550" t="str">
        <f>"HILLIARD FL 32046"</f>
        <v>HILLIARD FL 32046</v>
      </c>
      <c r="K550" t="str">
        <f>"36366 HOLIDAY DR"</f>
        <v>36366 HOLIDAY DR</v>
      </c>
      <c r="L550" t="str">
        <f t="shared" si="164"/>
        <v>CALLAHAN FL 32011</v>
      </c>
      <c r="M550" t="str">
        <f>"LOT 27 IN OR 1691/1297 R378190 &amp; R378191 HOLIDAY ACRES SUB PB 4/50"</f>
        <v>LOT 27 IN OR 1691/1297 R378190 &amp; R378191 HOLIDAY ACRES SUB PB 4/50</v>
      </c>
      <c r="N550" t="str">
        <f>""</f>
        <v/>
      </c>
      <c r="O550" t="str">
        <f>"44044"</f>
        <v>44044</v>
      </c>
      <c r="P550" t="str">
        <f t="shared" si="151"/>
        <v>2017</v>
      </c>
      <c r="Q550" t="str">
        <f>""</f>
        <v/>
      </c>
      <c r="R550" t="str">
        <f>"N"</f>
        <v>N</v>
      </c>
      <c r="S550" t="str">
        <f>"1.15"</f>
        <v>1.15</v>
      </c>
      <c r="T550" t="str">
        <f>"478.58"</f>
        <v>478.58</v>
      </c>
      <c r="U550" t="str">
        <f>"28272.00"</f>
        <v>28272.00</v>
      </c>
      <c r="V550" t="str">
        <f>"28272.00"</f>
        <v>28272.00</v>
      </c>
      <c r="W550" t="str">
        <f t="shared" si="152"/>
        <v>2017</v>
      </c>
      <c r="X550" t="str">
        <f>"16.83"</f>
        <v>16.83</v>
      </c>
      <c r="Y550" t="str">
        <f>"524.94"</f>
        <v>524.94</v>
      </c>
      <c r="Z550" t="str">
        <f>""</f>
        <v/>
      </c>
      <c r="AA550" t="str">
        <f>"35939.00"</f>
        <v>35939.00</v>
      </c>
      <c r="AB550" t="str">
        <f t="shared" si="166"/>
        <v>Residential</v>
      </c>
      <c r="AC550" t="str">
        <f t="shared" si="161"/>
        <v>0</v>
      </c>
      <c r="AD550" t="str">
        <f>"4"</f>
        <v>4</v>
      </c>
      <c r="AE550" t="str">
        <f>"WOOD (INCLUDE STEEL STUDS)"</f>
        <v>WOOD (INCLUDE STEEL STUDS)</v>
      </c>
      <c r="AF550" t="str">
        <f>"002"</f>
        <v>002</v>
      </c>
      <c r="AG550" t="str">
        <f t="shared" si="165"/>
        <v>FL</v>
      </c>
      <c r="AH550" t="str">
        <f>"50094.00"</f>
        <v>50094.00</v>
      </c>
      <c r="AI550" t="str">
        <f>"17250.00"</f>
        <v>17250.00</v>
      </c>
      <c r="AJ550" t="str">
        <f>"C55-000-587-9833-1"</f>
        <v>C55-000-587-9833-1</v>
      </c>
      <c r="AK550" t="str">
        <f>"8204"</f>
        <v>8204</v>
      </c>
      <c r="AL550">
        <v>2</v>
      </c>
      <c r="AM550">
        <v>636</v>
      </c>
      <c r="AN550">
        <v>549.59</v>
      </c>
      <c r="AQ550" t="s">
        <v>5923</v>
      </c>
      <c r="AR550" t="s">
        <v>5923</v>
      </c>
      <c r="AS550" t="s">
        <v>5923</v>
      </c>
      <c r="AU550" t="s">
        <v>396</v>
      </c>
      <c r="AV550">
        <v>2017</v>
      </c>
      <c r="AW550" t="str">
        <f>"37-3N-24-2710-0027-0000 "</f>
        <v xml:space="preserve">37-3N-24-2710-0027-0000 </v>
      </c>
      <c r="AX550">
        <v>36366</v>
      </c>
      <c r="AZ550" t="s">
        <v>5887</v>
      </c>
      <c r="BA550" t="s">
        <v>669</v>
      </c>
      <c r="BD550" t="s">
        <v>2785</v>
      </c>
      <c r="BE550" t="s">
        <v>393</v>
      </c>
      <c r="BF550">
        <v>32011</v>
      </c>
      <c r="BG550" t="s">
        <v>5924</v>
      </c>
      <c r="BH550" t="s">
        <v>2787</v>
      </c>
      <c r="BI550">
        <v>-81.875264491710197</v>
      </c>
      <c r="BJ550">
        <v>30.650850947809499</v>
      </c>
      <c r="BK550" t="s">
        <v>5925</v>
      </c>
      <c r="BM550" t="s">
        <v>5926</v>
      </c>
      <c r="BN550" t="s">
        <v>403</v>
      </c>
      <c r="BO550">
        <v>32046</v>
      </c>
      <c r="BP550" t="s">
        <v>404</v>
      </c>
      <c r="BQ550">
        <v>200</v>
      </c>
      <c r="BR550" t="s">
        <v>405</v>
      </c>
      <c r="BS550">
        <v>1006</v>
      </c>
      <c r="BT550" t="s">
        <v>406</v>
      </c>
      <c r="BW550">
        <v>50094</v>
      </c>
      <c r="BX550" t="s">
        <v>407</v>
      </c>
      <c r="BY550" t="s">
        <v>408</v>
      </c>
      <c r="BZ550">
        <v>4</v>
      </c>
      <c r="CA550">
        <v>1989</v>
      </c>
      <c r="CB550">
        <v>1</v>
      </c>
      <c r="CC550">
        <v>1</v>
      </c>
      <c r="CD550">
        <v>2017</v>
      </c>
      <c r="CE550">
        <v>17250</v>
      </c>
      <c r="CF550">
        <v>18689</v>
      </c>
      <c r="CG550">
        <v>35939</v>
      </c>
      <c r="CH550">
        <v>2017</v>
      </c>
      <c r="CI550">
        <v>17250</v>
      </c>
      <c r="CJ550">
        <v>18689</v>
      </c>
      <c r="CK550">
        <v>35939</v>
      </c>
      <c r="CL550">
        <v>2017</v>
      </c>
      <c r="CM550">
        <v>478.58</v>
      </c>
      <c r="CN550" s="1">
        <v>40392</v>
      </c>
      <c r="CO550">
        <v>18000</v>
      </c>
      <c r="CV550">
        <v>0</v>
      </c>
      <c r="CZ550" s="1">
        <v>40392</v>
      </c>
      <c r="DA550">
        <v>0</v>
      </c>
      <c r="DD550" t="s">
        <v>2785</v>
      </c>
      <c r="DF550">
        <v>27</v>
      </c>
      <c r="DG550">
        <v>37</v>
      </c>
      <c r="DL550">
        <v>50400</v>
      </c>
      <c r="DM550" t="s">
        <v>5813</v>
      </c>
      <c r="DO550" t="s">
        <v>5927</v>
      </c>
      <c r="DP550">
        <v>0</v>
      </c>
      <c r="DQ550">
        <v>4</v>
      </c>
      <c r="DR550" t="s">
        <v>411</v>
      </c>
      <c r="DS550" t="b">
        <v>1</v>
      </c>
      <c r="DT550" t="s">
        <v>470</v>
      </c>
      <c r="DU550" t="s">
        <v>471</v>
      </c>
      <c r="DV550" t="s">
        <v>472</v>
      </c>
      <c r="DX550">
        <v>-9999</v>
      </c>
      <c r="DZ550" t="s">
        <v>447</v>
      </c>
      <c r="EA550" t="s">
        <v>448</v>
      </c>
      <c r="EB550" t="s">
        <v>742</v>
      </c>
      <c r="EC550">
        <v>20101217</v>
      </c>
      <c r="ED550" t="s">
        <v>474</v>
      </c>
      <c r="EF550">
        <v>361.5</v>
      </c>
      <c r="EG550">
        <v>361.5</v>
      </c>
      <c r="EH550" t="s">
        <v>451</v>
      </c>
      <c r="EI550">
        <v>20140731</v>
      </c>
      <c r="EJ550">
        <v>0</v>
      </c>
      <c r="EK550">
        <v>0</v>
      </c>
      <c r="EP550" t="s">
        <v>421</v>
      </c>
      <c r="EQ550" t="s">
        <v>422</v>
      </c>
      <c r="ER550">
        <v>0</v>
      </c>
      <c r="ES550">
        <v>4</v>
      </c>
      <c r="ET550">
        <v>0</v>
      </c>
      <c r="EU550">
        <v>0</v>
      </c>
      <c r="EV550">
        <v>0</v>
      </c>
      <c r="EW550" s="2">
        <v>43222</v>
      </c>
      <c r="EX550" s="1">
        <v>42151</v>
      </c>
      <c r="EY550">
        <v>2014</v>
      </c>
      <c r="EZ550">
        <v>406.54</v>
      </c>
      <c r="FA550" t="s">
        <v>5928</v>
      </c>
      <c r="FB550">
        <v>3.75</v>
      </c>
      <c r="FC550" t="s">
        <v>424</v>
      </c>
      <c r="FD550" t="s">
        <v>425</v>
      </c>
      <c r="FE550" s="1">
        <v>42656</v>
      </c>
      <c r="FF550">
        <v>17</v>
      </c>
      <c r="FG550">
        <v>4975593</v>
      </c>
      <c r="FH550" t="s">
        <v>505</v>
      </c>
      <c r="FJ550" s="1">
        <v>41787</v>
      </c>
      <c r="FK550">
        <v>2013</v>
      </c>
      <c r="FL550">
        <v>532.01</v>
      </c>
      <c r="FM550" t="s">
        <v>5929</v>
      </c>
      <c r="FN550">
        <v>7.25</v>
      </c>
      <c r="FO550" t="s">
        <v>424</v>
      </c>
      <c r="FP550" t="s">
        <v>425</v>
      </c>
      <c r="FQ550" s="1">
        <v>42656</v>
      </c>
      <c r="FR550">
        <v>29</v>
      </c>
      <c r="FS550">
        <v>2035919</v>
      </c>
      <c r="FT550" t="s">
        <v>507</v>
      </c>
      <c r="FV550" s="1">
        <v>41423</v>
      </c>
      <c r="FW550">
        <v>2012</v>
      </c>
      <c r="FX550">
        <v>573.23</v>
      </c>
      <c r="FY550" t="s">
        <v>5930</v>
      </c>
      <c r="FZ550">
        <v>3.75</v>
      </c>
      <c r="GA550" t="s">
        <v>424</v>
      </c>
      <c r="GB550" t="s">
        <v>425</v>
      </c>
      <c r="GC550" s="1">
        <v>42061</v>
      </c>
      <c r="GD550">
        <v>21</v>
      </c>
      <c r="GE550">
        <v>1625515</v>
      </c>
      <c r="GF550" t="s">
        <v>487</v>
      </c>
      <c r="GH550" s="1">
        <v>41052</v>
      </c>
      <c r="GI550">
        <v>2011</v>
      </c>
      <c r="GJ550">
        <v>579.82000000000005</v>
      </c>
      <c r="GK550" t="s">
        <v>5931</v>
      </c>
      <c r="GL550">
        <v>6</v>
      </c>
      <c r="GM550" t="s">
        <v>424</v>
      </c>
      <c r="GN550" t="s">
        <v>425</v>
      </c>
      <c r="GO550" s="1">
        <v>41680</v>
      </c>
      <c r="GP550">
        <v>21</v>
      </c>
      <c r="GQ550">
        <v>1109</v>
      </c>
      <c r="GR550" t="s">
        <v>852</v>
      </c>
    </row>
    <row r="551" spans="1:320" x14ac:dyDescent="0.25">
      <c r="A551">
        <v>16485558</v>
      </c>
      <c r="B551">
        <v>550</v>
      </c>
      <c r="C551" t="s">
        <v>393</v>
      </c>
      <c r="D551" t="s">
        <v>394</v>
      </c>
      <c r="F551" t="str">
        <f>"37-3N-24-2720-0005-0020"</f>
        <v>37-3N-24-2720-0005-0020</v>
      </c>
      <c r="H551" t="str">
        <f>"GILDNER AMY &amp; MIXON KALA K &amp; AMANDA D ET AL"</f>
        <v>GILDNER AMY &amp; MIXON KALA K &amp; AMANDA D ET AL</v>
      </c>
      <c r="I551" t="str">
        <f>"45121 BROWN ST APT 103"</f>
        <v>45121 BROWN ST APT 103</v>
      </c>
      <c r="J551" t="str">
        <f>"CALLAHAN FL 32011"</f>
        <v>CALLAHAN FL 32011</v>
      </c>
      <c r="K551" t="str">
        <f>"J W ELLIOTT DR"</f>
        <v>J W ELLIOTT DR</v>
      </c>
      <c r="L551" t="str">
        <f t="shared" si="164"/>
        <v>CALLAHAN FL 32011</v>
      </c>
      <c r="M551" t="str">
        <f>"PT OF LOTS 5 &amp; 6 (EX S-3) IN OR 1808/42 &amp; OR 2061/1514 HOLIDAY TIME SUB PB 5/14"</f>
        <v>PT OF LOTS 5 &amp; 6 (EX S-3) IN OR 1808/42 &amp; OR 2061/1514 HOLIDAY TIME SUB PB 5/14</v>
      </c>
      <c r="N551" t="str">
        <f>""</f>
        <v/>
      </c>
      <c r="O551" t="str">
        <f>"44053"</f>
        <v>44053</v>
      </c>
      <c r="P551" t="str">
        <f t="shared" si="151"/>
        <v>2017</v>
      </c>
      <c r="Q551" t="str">
        <f>""</f>
        <v/>
      </c>
      <c r="R551" t="str">
        <f>"N"</f>
        <v>N</v>
      </c>
      <c r="S551" t="str">
        <f>"0.50"</f>
        <v>0.50</v>
      </c>
      <c r="T551" t="str">
        <f>"105.86"</f>
        <v>105.86</v>
      </c>
      <c r="U551" t="str">
        <f>"6600.00"</f>
        <v>6600.00</v>
      </c>
      <c r="V551" t="str">
        <f>"6600.00"</f>
        <v>6600.00</v>
      </c>
      <c r="W551" t="str">
        <f t="shared" si="152"/>
        <v>2017</v>
      </c>
      <c r="X551" t="str">
        <f>""</f>
        <v/>
      </c>
      <c r="Y551" t="str">
        <f>"141.04"</f>
        <v>141.04</v>
      </c>
      <c r="Z551" t="str">
        <f>""</f>
        <v/>
      </c>
      <c r="AA551" t="str">
        <f>"7500.00"</f>
        <v>7500.00</v>
      </c>
      <c r="AB551" t="str">
        <f t="shared" si="166"/>
        <v>Residential</v>
      </c>
      <c r="AC551" t="str">
        <f t="shared" si="161"/>
        <v>0</v>
      </c>
      <c r="AD551" t="str">
        <f>""</f>
        <v/>
      </c>
      <c r="AE551" t="str">
        <f>""</f>
        <v/>
      </c>
      <c r="AF551" t="str">
        <f>"000"</f>
        <v>000</v>
      </c>
      <c r="AG551" t="str">
        <f t="shared" si="165"/>
        <v>FL</v>
      </c>
      <c r="AH551" t="str">
        <f>"21780.00"</f>
        <v>21780.00</v>
      </c>
      <c r="AI551" t="str">
        <f>"7500.00"</f>
        <v>7500.00</v>
      </c>
      <c r="AJ551" t="str">
        <f>"C55-000-588-9677-0"</f>
        <v>C55-000-588-9677-0</v>
      </c>
      <c r="AK551" t="str">
        <f>"8212"</f>
        <v>8212</v>
      </c>
      <c r="AL551">
        <v>2</v>
      </c>
      <c r="AM551">
        <v>638</v>
      </c>
      <c r="AN551">
        <v>146.49</v>
      </c>
      <c r="AQ551" t="s">
        <v>5932</v>
      </c>
      <c r="AR551" t="s">
        <v>5932</v>
      </c>
      <c r="AS551" t="s">
        <v>5932</v>
      </c>
      <c r="AU551" t="s">
        <v>396</v>
      </c>
      <c r="AV551">
        <v>2017</v>
      </c>
      <c r="AW551" t="str">
        <f>"37-3N-24-2720-0005-0020 "</f>
        <v xml:space="preserve">37-3N-24-2720-0005-0020 </v>
      </c>
      <c r="AZ551" t="s">
        <v>5933</v>
      </c>
      <c r="BA551" t="s">
        <v>669</v>
      </c>
      <c r="BD551" t="s">
        <v>2785</v>
      </c>
      <c r="BE551" t="s">
        <v>393</v>
      </c>
      <c r="BF551">
        <v>32011</v>
      </c>
      <c r="BG551" t="s">
        <v>5934</v>
      </c>
      <c r="BH551" t="s">
        <v>2787</v>
      </c>
      <c r="BI551">
        <v>-81.872589661563694</v>
      </c>
      <c r="BJ551">
        <v>30.6432946750875</v>
      </c>
      <c r="BK551" t="s">
        <v>5935</v>
      </c>
      <c r="BM551" t="s">
        <v>5936</v>
      </c>
      <c r="BN551" t="s">
        <v>928</v>
      </c>
      <c r="BO551">
        <v>32011</v>
      </c>
      <c r="BP551" t="s">
        <v>404</v>
      </c>
      <c r="BQ551">
        <v>0</v>
      </c>
      <c r="BR551" t="s">
        <v>491</v>
      </c>
      <c r="BS551">
        <v>8001</v>
      </c>
      <c r="BT551" t="s">
        <v>492</v>
      </c>
      <c r="BW551">
        <v>21780</v>
      </c>
      <c r="BX551" t="s">
        <v>407</v>
      </c>
      <c r="BY551" t="s">
        <v>408</v>
      </c>
      <c r="CD551">
        <v>2017</v>
      </c>
      <c r="CE551">
        <v>7500</v>
      </c>
      <c r="CG551">
        <v>7500</v>
      </c>
      <c r="CH551">
        <v>2017</v>
      </c>
      <c r="CI551">
        <v>7500</v>
      </c>
      <c r="CK551">
        <v>7500</v>
      </c>
      <c r="CL551">
        <v>2017</v>
      </c>
      <c r="CM551">
        <v>105.86</v>
      </c>
      <c r="CN551" s="1">
        <v>42580</v>
      </c>
      <c r="CZ551" s="1">
        <v>42580</v>
      </c>
      <c r="DD551" t="s">
        <v>2785</v>
      </c>
      <c r="DG551">
        <v>37</v>
      </c>
      <c r="DJ551" t="s">
        <v>5937</v>
      </c>
      <c r="DL551">
        <v>50400</v>
      </c>
      <c r="DM551" t="s">
        <v>5813</v>
      </c>
      <c r="DO551" t="s">
        <v>5938</v>
      </c>
      <c r="DP551">
        <v>0</v>
      </c>
      <c r="DQ551">
        <v>0</v>
      </c>
      <c r="DR551" t="s">
        <v>411</v>
      </c>
      <c r="EP551" t="s">
        <v>421</v>
      </c>
      <c r="EQ551" t="s">
        <v>422</v>
      </c>
      <c r="ER551">
        <v>1</v>
      </c>
      <c r="ES551">
        <v>0</v>
      </c>
      <c r="ET551">
        <v>126.61</v>
      </c>
      <c r="EU551">
        <v>26.82</v>
      </c>
      <c r="EV551">
        <v>153.43</v>
      </c>
      <c r="EW551" s="2">
        <v>43222</v>
      </c>
      <c r="EX551" s="1">
        <v>42879</v>
      </c>
      <c r="EY551">
        <v>2016</v>
      </c>
      <c r="EZ551">
        <v>126.61</v>
      </c>
      <c r="FA551" t="s">
        <v>5939</v>
      </c>
      <c r="FB551">
        <v>16.25</v>
      </c>
      <c r="FC551" t="s">
        <v>424</v>
      </c>
      <c r="FD551" t="s">
        <v>454</v>
      </c>
      <c r="FF551">
        <v>12</v>
      </c>
      <c r="FG551">
        <v>10021</v>
      </c>
      <c r="FH551" t="s">
        <v>597</v>
      </c>
    </row>
    <row r="552" spans="1:320" x14ac:dyDescent="0.25">
      <c r="A552">
        <v>16485559</v>
      </c>
      <c r="B552">
        <v>551</v>
      </c>
      <c r="C552" t="s">
        <v>393</v>
      </c>
      <c r="D552" t="s">
        <v>394</v>
      </c>
      <c r="F552" t="str">
        <f>"38-3N-24-0000-0004-0000"</f>
        <v>38-3N-24-0000-0004-0000</v>
      </c>
      <c r="H552" t="str">
        <f>"EVERLY JOHNNY &amp; MAXINE"</f>
        <v>EVERLY JOHNNY &amp; MAXINE</v>
      </c>
      <c r="I552" t="str">
        <f>"36583 DYAL RD"</f>
        <v>36583 DYAL RD</v>
      </c>
      <c r="J552" t="str">
        <f>"CALLAHAN FL 32011"</f>
        <v>CALLAHAN FL 32011</v>
      </c>
      <c r="K552" t="str">
        <f>"DYAL RD"</f>
        <v>DYAL RD</v>
      </c>
      <c r="L552" t="str">
        <f t="shared" si="164"/>
        <v>CALLAHAN FL 32011</v>
      </c>
      <c r="M552" t="str">
        <f>"L/E IN OR 699/1685 EX OR 185/320 EX 4-1 &amp; 4-2"</f>
        <v>L/E IN OR 699/1685 EX OR 185/320 EX 4-1 &amp; 4-2</v>
      </c>
      <c r="N552" t="str">
        <f>""</f>
        <v/>
      </c>
      <c r="O552" t="str">
        <f>"45702"</f>
        <v>45702</v>
      </c>
      <c r="P552" t="str">
        <f t="shared" si="151"/>
        <v>2017</v>
      </c>
      <c r="Q552" t="str">
        <f>""</f>
        <v/>
      </c>
      <c r="R552" t="str">
        <f>"N"</f>
        <v>N</v>
      </c>
      <c r="S552" t="str">
        <f>"1.78"</f>
        <v>1.78</v>
      </c>
      <c r="T552" t="str">
        <f>"405.52"</f>
        <v>405.52</v>
      </c>
      <c r="U552" t="str">
        <f>"23122.00"</f>
        <v>23122.00</v>
      </c>
      <c r="V552" t="str">
        <f>"23122.00"</f>
        <v>23122.00</v>
      </c>
      <c r="W552" t="str">
        <f t="shared" si="152"/>
        <v>2017</v>
      </c>
      <c r="X552" t="str">
        <f>"31.13"</f>
        <v>31.13</v>
      </c>
      <c r="Y552" t="str">
        <f>"449.69"</f>
        <v>449.69</v>
      </c>
      <c r="Z552" t="str">
        <f>""</f>
        <v/>
      </c>
      <c r="AA552" t="str">
        <f>"31530.00"</f>
        <v>31530.00</v>
      </c>
      <c r="AB552" t="str">
        <f t="shared" si="166"/>
        <v>Residential</v>
      </c>
      <c r="AC552" t="str">
        <f t="shared" si="161"/>
        <v>0</v>
      </c>
      <c r="AD552" t="str">
        <f>""</f>
        <v/>
      </c>
      <c r="AE552" t="str">
        <f>""</f>
        <v/>
      </c>
      <c r="AF552" t="str">
        <f>"000"</f>
        <v>000</v>
      </c>
      <c r="AG552" t="str">
        <f t="shared" si="165"/>
        <v>FL</v>
      </c>
      <c r="AH552" t="str">
        <f>"77536.00"</f>
        <v>77536.00</v>
      </c>
      <c r="AI552" t="str">
        <f>"24030.00"</f>
        <v>24030.00</v>
      </c>
      <c r="AJ552" t="str">
        <f>"C55-000-588-0463-4"</f>
        <v>C55-000-588-0463-4</v>
      </c>
      <c r="AK552" t="str">
        <f>"8225"</f>
        <v>8225</v>
      </c>
      <c r="AL552">
        <v>2</v>
      </c>
      <c r="AM552">
        <v>639</v>
      </c>
      <c r="AN552">
        <v>470.57</v>
      </c>
      <c r="AQ552" t="s">
        <v>5940</v>
      </c>
      <c r="AR552" t="s">
        <v>5940</v>
      </c>
      <c r="AS552" t="s">
        <v>5940</v>
      </c>
      <c r="AU552" t="s">
        <v>396</v>
      </c>
      <c r="AV552">
        <v>2017</v>
      </c>
      <c r="AW552" t="str">
        <f>"38-3N-24-0000-0004-0000 "</f>
        <v xml:space="preserve">38-3N-24-0000-0004-0000 </v>
      </c>
      <c r="AZ552" t="s">
        <v>3703</v>
      </c>
      <c r="BA552" t="s">
        <v>496</v>
      </c>
      <c r="BD552" t="s">
        <v>2785</v>
      </c>
      <c r="BE552" t="s">
        <v>393</v>
      </c>
      <c r="BF552">
        <v>32011</v>
      </c>
      <c r="BG552" t="s">
        <v>5941</v>
      </c>
      <c r="BH552" t="s">
        <v>2787</v>
      </c>
      <c r="BI552">
        <v>-81.866728203447906</v>
      </c>
      <c r="BJ552">
        <v>30.628044527158099</v>
      </c>
      <c r="BK552" t="s">
        <v>5942</v>
      </c>
      <c r="BL552" t="s">
        <v>5943</v>
      </c>
      <c r="BM552" t="s">
        <v>5944</v>
      </c>
      <c r="BN552" t="s">
        <v>928</v>
      </c>
      <c r="BO552">
        <v>32011</v>
      </c>
      <c r="BP552" t="s">
        <v>404</v>
      </c>
      <c r="BQ552">
        <v>1</v>
      </c>
      <c r="BR552" t="s">
        <v>491</v>
      </c>
      <c r="BS552">
        <v>8001</v>
      </c>
      <c r="BT552" t="s">
        <v>492</v>
      </c>
      <c r="BW552">
        <v>77536</v>
      </c>
      <c r="BX552" t="s">
        <v>407</v>
      </c>
      <c r="BY552" t="s">
        <v>408</v>
      </c>
      <c r="CD552">
        <v>2017</v>
      </c>
      <c r="CE552">
        <v>24030</v>
      </c>
      <c r="CF552">
        <v>7500</v>
      </c>
      <c r="CG552">
        <v>31530</v>
      </c>
      <c r="CH552">
        <v>2017</v>
      </c>
      <c r="CI552">
        <v>24030</v>
      </c>
      <c r="CJ552">
        <v>7500</v>
      </c>
      <c r="CK552">
        <v>31530</v>
      </c>
      <c r="CL552">
        <v>2017</v>
      </c>
      <c r="CM552">
        <v>405.52</v>
      </c>
      <c r="CN552" s="1">
        <v>34400</v>
      </c>
      <c r="CZ552" s="1">
        <v>34400</v>
      </c>
      <c r="DD552" t="s">
        <v>2785</v>
      </c>
      <c r="DG552">
        <v>38</v>
      </c>
      <c r="DL552">
        <v>50503</v>
      </c>
      <c r="DM552" t="s">
        <v>5945</v>
      </c>
      <c r="DO552" t="s">
        <v>5946</v>
      </c>
      <c r="DP552">
        <v>0</v>
      </c>
      <c r="DQ552">
        <v>0</v>
      </c>
      <c r="DR552" t="s">
        <v>411</v>
      </c>
      <c r="DS552" t="b">
        <v>1</v>
      </c>
      <c r="DT552" t="s">
        <v>470</v>
      </c>
      <c r="DU552" t="s">
        <v>471</v>
      </c>
      <c r="DV552" t="s">
        <v>472</v>
      </c>
      <c r="DX552">
        <v>-9999</v>
      </c>
      <c r="DZ552" t="s">
        <v>447</v>
      </c>
      <c r="EA552" t="s">
        <v>448</v>
      </c>
      <c r="EB552" t="s">
        <v>742</v>
      </c>
      <c r="EC552">
        <v>20101217</v>
      </c>
      <c r="ED552" t="s">
        <v>474</v>
      </c>
      <c r="EF552">
        <v>242.5</v>
      </c>
      <c r="EG552">
        <v>242.5</v>
      </c>
      <c r="EI552">
        <v>20160407</v>
      </c>
      <c r="EJ552">
        <v>0</v>
      </c>
      <c r="EK552">
        <v>0</v>
      </c>
      <c r="EP552" t="s">
        <v>421</v>
      </c>
      <c r="EQ552" t="s">
        <v>422</v>
      </c>
      <c r="ER552">
        <v>3</v>
      </c>
      <c r="ES552">
        <v>5</v>
      </c>
      <c r="ET552">
        <v>1136.69</v>
      </c>
      <c r="EU552">
        <v>290.06</v>
      </c>
      <c r="EV552">
        <v>1426.75</v>
      </c>
      <c r="EW552" s="2">
        <v>43222</v>
      </c>
      <c r="EX552" s="1">
        <v>42879</v>
      </c>
      <c r="EY552">
        <v>2016</v>
      </c>
      <c r="EZ552">
        <v>375.97</v>
      </c>
      <c r="FA552" t="s">
        <v>5947</v>
      </c>
      <c r="FB552">
        <v>14</v>
      </c>
      <c r="FC552" t="s">
        <v>424</v>
      </c>
      <c r="FD552" t="s">
        <v>454</v>
      </c>
      <c r="FF552">
        <v>12</v>
      </c>
      <c r="FG552">
        <v>10125</v>
      </c>
      <c r="FH552" t="s">
        <v>440</v>
      </c>
      <c r="FJ552" s="1">
        <v>42515</v>
      </c>
      <c r="FK552">
        <v>2015</v>
      </c>
      <c r="FL552">
        <v>379.45</v>
      </c>
      <c r="FM552" t="s">
        <v>5948</v>
      </c>
      <c r="FN552">
        <v>15.25</v>
      </c>
      <c r="FO552" t="s">
        <v>424</v>
      </c>
      <c r="FP552" t="s">
        <v>454</v>
      </c>
      <c r="FR552">
        <v>24</v>
      </c>
      <c r="FS552">
        <v>10125</v>
      </c>
      <c r="FT552" t="s">
        <v>440</v>
      </c>
      <c r="FV552" s="1">
        <v>42151</v>
      </c>
      <c r="FW552">
        <v>2014</v>
      </c>
      <c r="FX552">
        <v>381.27</v>
      </c>
      <c r="FY552" t="s">
        <v>5949</v>
      </c>
      <c r="FZ552">
        <v>9</v>
      </c>
      <c r="GA552" t="s">
        <v>424</v>
      </c>
      <c r="GB552" t="s">
        <v>454</v>
      </c>
      <c r="GD552">
        <v>36</v>
      </c>
      <c r="GE552">
        <v>10125</v>
      </c>
      <c r="GF552" t="s">
        <v>440</v>
      </c>
      <c r="GH552" s="1">
        <v>41787</v>
      </c>
      <c r="GI552">
        <v>2013</v>
      </c>
      <c r="GJ552">
        <v>362.05</v>
      </c>
      <c r="GK552" t="s">
        <v>5950</v>
      </c>
      <c r="GL552">
        <v>7.25</v>
      </c>
      <c r="GM552" t="s">
        <v>424</v>
      </c>
      <c r="GN552" t="s">
        <v>425</v>
      </c>
      <c r="GP552">
        <v>22</v>
      </c>
      <c r="GQ552">
        <v>2035919</v>
      </c>
      <c r="GR552" t="s">
        <v>507</v>
      </c>
      <c r="GT552" s="1">
        <v>41787</v>
      </c>
      <c r="GU552">
        <v>2013</v>
      </c>
      <c r="GV552">
        <v>362.05</v>
      </c>
      <c r="GW552" t="s">
        <v>5950</v>
      </c>
      <c r="GX552">
        <v>7.25</v>
      </c>
      <c r="GY552" t="s">
        <v>424</v>
      </c>
      <c r="GZ552" t="s">
        <v>425</v>
      </c>
      <c r="HA552" s="1">
        <v>43214</v>
      </c>
      <c r="HB552">
        <v>47</v>
      </c>
      <c r="HC552">
        <v>7336670</v>
      </c>
      <c r="HD552" t="s">
        <v>2102</v>
      </c>
      <c r="HF552" s="1">
        <v>41423</v>
      </c>
      <c r="HG552">
        <v>2012</v>
      </c>
      <c r="HH552">
        <v>405.66</v>
      </c>
      <c r="HI552" t="s">
        <v>5951</v>
      </c>
      <c r="HJ552">
        <v>4.75</v>
      </c>
      <c r="HK552" t="s">
        <v>424</v>
      </c>
      <c r="HL552" t="s">
        <v>425</v>
      </c>
      <c r="HM552" s="1">
        <v>42139</v>
      </c>
      <c r="HN552">
        <v>24</v>
      </c>
      <c r="HO552">
        <v>1625515</v>
      </c>
      <c r="HP552" t="s">
        <v>487</v>
      </c>
      <c r="HR552" s="1">
        <v>41052</v>
      </c>
      <c r="HS552">
        <v>2011</v>
      </c>
      <c r="HT552">
        <v>457.76</v>
      </c>
      <c r="HU552" t="s">
        <v>5952</v>
      </c>
      <c r="HV552">
        <v>6</v>
      </c>
      <c r="HW552" t="s">
        <v>424</v>
      </c>
      <c r="HX552" t="s">
        <v>425</v>
      </c>
      <c r="HY552" s="1">
        <v>42139</v>
      </c>
      <c r="HZ552">
        <v>36</v>
      </c>
      <c r="IA552">
        <v>1109</v>
      </c>
      <c r="IB552" t="s">
        <v>852</v>
      </c>
      <c r="ID552" s="1">
        <v>40688</v>
      </c>
      <c r="IE552">
        <v>2010</v>
      </c>
      <c r="IF552">
        <v>499.47</v>
      </c>
      <c r="IG552" t="s">
        <v>5953</v>
      </c>
      <c r="IH552">
        <v>8</v>
      </c>
      <c r="II552" t="s">
        <v>424</v>
      </c>
      <c r="IJ552" t="s">
        <v>425</v>
      </c>
      <c r="IK552" s="1">
        <v>41333</v>
      </c>
      <c r="IL552">
        <v>21</v>
      </c>
      <c r="IM552">
        <v>62</v>
      </c>
      <c r="IN552" t="s">
        <v>463</v>
      </c>
    </row>
    <row r="553" spans="1:320" x14ac:dyDescent="0.25">
      <c r="A553">
        <v>16485560</v>
      </c>
      <c r="B553">
        <v>552</v>
      </c>
      <c r="C553" t="s">
        <v>393</v>
      </c>
      <c r="D553" t="s">
        <v>394</v>
      </c>
      <c r="F553" t="str">
        <f>"38-3N-24-0000-0004-0010"</f>
        <v>38-3N-24-0000-0004-0010</v>
      </c>
      <c r="H553" t="str">
        <f>"EVERLY JOHNNY &amp; MAXINE"</f>
        <v>EVERLY JOHNNY &amp; MAXINE</v>
      </c>
      <c r="I553" t="str">
        <f>"36583 DYAL RD"</f>
        <v>36583 DYAL RD</v>
      </c>
      <c r="J553" t="str">
        <f>"CALLAHAN FL 32011"</f>
        <v>CALLAHAN FL 32011</v>
      </c>
      <c r="K553" t="str">
        <f>"36583 DYAL RD"</f>
        <v>36583 DYAL RD</v>
      </c>
      <c r="L553" t="str">
        <f t="shared" si="164"/>
        <v>CALLAHAN FL 32011</v>
      </c>
      <c r="M553" t="str">
        <f>"OR 188 PG 206 EX R/W IN OR 723/716"</f>
        <v>OR 188 PG 206 EX R/W IN OR 723/716</v>
      </c>
      <c r="N553" t="str">
        <f>""</f>
        <v/>
      </c>
      <c r="O553" t="str">
        <f>"45703"</f>
        <v>45703</v>
      </c>
      <c r="P553" t="str">
        <f t="shared" si="151"/>
        <v>2017</v>
      </c>
      <c r="Q553" t="str">
        <f>""</f>
        <v/>
      </c>
      <c r="R553" t="str">
        <f>"Y"</f>
        <v>Y</v>
      </c>
      <c r="S553" t="str">
        <f>"3.96"</f>
        <v>3.96</v>
      </c>
      <c r="T553" t="str">
        <f>"467.60"</f>
        <v>467.60</v>
      </c>
      <c r="U553" t="str">
        <f>"63507.00"</f>
        <v>63507.00</v>
      </c>
      <c r="V553" t="str">
        <f>"63507.00"</f>
        <v>63507.00</v>
      </c>
      <c r="W553" t="str">
        <f t="shared" si="152"/>
        <v>2017</v>
      </c>
      <c r="X553" t="str">
        <f>""</f>
        <v/>
      </c>
      <c r="Y553" t="str">
        <f>"513.63"</f>
        <v>513.63</v>
      </c>
      <c r="Z553" t="str">
        <f>"25000.00"</f>
        <v>25000.00</v>
      </c>
      <c r="AA553" t="str">
        <f>"38507.00"</f>
        <v>38507.00</v>
      </c>
      <c r="AB553" t="str">
        <f t="shared" si="166"/>
        <v>Residential</v>
      </c>
      <c r="AC553" t="str">
        <f t="shared" si="161"/>
        <v>0</v>
      </c>
      <c r="AD553" t="str">
        <f>"4"</f>
        <v>4</v>
      </c>
      <c r="AE553" t="str">
        <f>"WOOD (INCLUDE STEEL STUDS)"</f>
        <v>WOOD (INCLUDE STEEL STUDS)</v>
      </c>
      <c r="AF553" t="str">
        <f>"001"</f>
        <v>001</v>
      </c>
      <c r="AG553" t="str">
        <f t="shared" si="165"/>
        <v>FL</v>
      </c>
      <c r="AH553" t="str">
        <f>"172497.00"</f>
        <v>172497.00</v>
      </c>
      <c r="AI553" t="str">
        <f>"31680.00"</f>
        <v>31680.00</v>
      </c>
      <c r="AJ553" t="str">
        <f>"C55-000-588-0464-2"</f>
        <v>C55-000-588-0464-2</v>
      </c>
      <c r="AK553" t="str">
        <f>"8226"</f>
        <v>8226</v>
      </c>
      <c r="AL553">
        <v>2</v>
      </c>
      <c r="AM553">
        <v>640</v>
      </c>
      <c r="AN553">
        <v>537.71</v>
      </c>
      <c r="AQ553" t="s">
        <v>5954</v>
      </c>
      <c r="AR553" t="s">
        <v>5954</v>
      </c>
      <c r="AS553" t="s">
        <v>5954</v>
      </c>
      <c r="AU553" t="s">
        <v>396</v>
      </c>
      <c r="AV553">
        <v>2017</v>
      </c>
      <c r="AW553" t="str">
        <f>"38-3N-24-0000-0004-0010 "</f>
        <v xml:space="preserve">38-3N-24-0000-0004-0010 </v>
      </c>
      <c r="AX553">
        <v>36583</v>
      </c>
      <c r="AZ553" t="s">
        <v>3703</v>
      </c>
      <c r="BA553" t="s">
        <v>496</v>
      </c>
      <c r="BD553" t="s">
        <v>2785</v>
      </c>
      <c r="BE553" t="s">
        <v>393</v>
      </c>
      <c r="BF553">
        <v>32011</v>
      </c>
      <c r="BG553" t="s">
        <v>5944</v>
      </c>
      <c r="BH553" t="s">
        <v>2787</v>
      </c>
      <c r="BI553">
        <v>-81.866928001322293</v>
      </c>
      <c r="BJ553">
        <v>30.627095771037901</v>
      </c>
      <c r="BK553" t="s">
        <v>5942</v>
      </c>
      <c r="BL553" t="s">
        <v>5943</v>
      </c>
      <c r="BM553" t="s">
        <v>5944</v>
      </c>
      <c r="BN553" t="s">
        <v>928</v>
      </c>
      <c r="BO553">
        <v>32011</v>
      </c>
      <c r="BP553" t="s">
        <v>416</v>
      </c>
      <c r="BQ553">
        <v>100</v>
      </c>
      <c r="BR553" t="s">
        <v>514</v>
      </c>
      <c r="BS553">
        <v>1001</v>
      </c>
      <c r="BT553" t="s">
        <v>515</v>
      </c>
      <c r="BW553">
        <v>172497</v>
      </c>
      <c r="BX553" t="s">
        <v>407</v>
      </c>
      <c r="BY553" t="s">
        <v>408</v>
      </c>
      <c r="BZ553">
        <v>4</v>
      </c>
      <c r="CA553">
        <v>1960</v>
      </c>
      <c r="CB553">
        <v>1</v>
      </c>
      <c r="CC553">
        <v>1</v>
      </c>
      <c r="CD553">
        <v>2017</v>
      </c>
      <c r="CG553">
        <v>63507</v>
      </c>
      <c r="CH553">
        <v>2017</v>
      </c>
      <c r="CI553">
        <v>31680</v>
      </c>
      <c r="CJ553">
        <v>48902</v>
      </c>
      <c r="CK553">
        <v>80582</v>
      </c>
      <c r="CL553">
        <v>2017</v>
      </c>
      <c r="CM553">
        <v>467.6</v>
      </c>
      <c r="CN553" s="1">
        <v>27395</v>
      </c>
      <c r="CZ553" s="1">
        <v>27395</v>
      </c>
      <c r="DD553" t="s">
        <v>2785</v>
      </c>
      <c r="DG553">
        <v>38</v>
      </c>
      <c r="DL553">
        <v>50503</v>
      </c>
      <c r="DM553" t="s">
        <v>5945</v>
      </c>
      <c r="DO553" t="s">
        <v>5955</v>
      </c>
      <c r="DP553">
        <v>0</v>
      </c>
      <c r="DQ553">
        <v>0</v>
      </c>
      <c r="DR553" t="s">
        <v>411</v>
      </c>
      <c r="EP553" t="s">
        <v>421</v>
      </c>
      <c r="EQ553" t="s">
        <v>422</v>
      </c>
      <c r="ER553">
        <v>2</v>
      </c>
      <c r="ES553">
        <v>0</v>
      </c>
      <c r="ET553">
        <v>1063.42</v>
      </c>
      <c r="EU553">
        <v>65.67</v>
      </c>
      <c r="EV553">
        <v>1129.0899999999999</v>
      </c>
      <c r="EW553" s="2">
        <v>43222</v>
      </c>
      <c r="EX553" s="1">
        <v>42879</v>
      </c>
      <c r="EY553">
        <v>2016</v>
      </c>
      <c r="EZ553">
        <v>531.71</v>
      </c>
      <c r="FA553" t="s">
        <v>5956</v>
      </c>
      <c r="FB553">
        <v>0.25</v>
      </c>
      <c r="FC553" t="s">
        <v>424</v>
      </c>
      <c r="FD553" t="s">
        <v>454</v>
      </c>
      <c r="FF553">
        <v>12</v>
      </c>
      <c r="FG553">
        <v>7336753</v>
      </c>
      <c r="FH553" t="s">
        <v>1731</v>
      </c>
      <c r="FJ553" s="1">
        <v>42879</v>
      </c>
      <c r="FK553">
        <v>2016</v>
      </c>
      <c r="FL553">
        <v>531.71</v>
      </c>
      <c r="FM553" t="s">
        <v>5956</v>
      </c>
      <c r="FN553">
        <v>0.25</v>
      </c>
      <c r="FO553" t="s">
        <v>424</v>
      </c>
      <c r="FP553" t="s">
        <v>454</v>
      </c>
      <c r="FR553">
        <v>12</v>
      </c>
      <c r="FS553">
        <v>4846829</v>
      </c>
      <c r="FT553" t="s">
        <v>5957</v>
      </c>
    </row>
    <row r="554" spans="1:320" x14ac:dyDescent="0.25">
      <c r="A554">
        <v>16485561</v>
      </c>
      <c r="B554">
        <v>553</v>
      </c>
      <c r="C554" t="s">
        <v>393</v>
      </c>
      <c r="D554" t="s">
        <v>394</v>
      </c>
      <c r="F554" t="str">
        <f>"05-4N-24-0000-0001-0010"</f>
        <v>05-4N-24-0000-0001-0010</v>
      </c>
      <c r="H554" t="str">
        <f>"SCOTT JEANNE H &amp; MILLIGAN RONALD G (W&amp;H)"</f>
        <v>SCOTT JEANNE H &amp; MILLIGAN RONALD G (W&amp;H)</v>
      </c>
      <c r="I554" t="str">
        <f>"PO BOX 1199"</f>
        <v>PO BOX 1199</v>
      </c>
      <c r="J554" t="str">
        <f t="shared" ref="J554:J559" si="167">"HILLIARD FL 32046"</f>
        <v>HILLIARD FL 32046</v>
      </c>
      <c r="K554" t="str">
        <f>"PENNY HADDOCK RD"</f>
        <v>PENNY HADDOCK RD</v>
      </c>
      <c r="L554" t="str">
        <f t="shared" ref="L554:L593" si="168">"HILLIARD FL 32046"</f>
        <v>HILLIARD FL 32046</v>
      </c>
      <c r="M554" t="str">
        <f>"PT OF SE1/4 OF NW1/4 OF SEC 5-4N-24E IN OR 1497/1479 BEING PARCEL 2"</f>
        <v>PT OF SE1/4 OF NW1/4 OF SEC 5-4N-24E IN OR 1497/1479 BEING PARCEL 2</v>
      </c>
      <c r="N554" t="str">
        <f>""</f>
        <v/>
      </c>
      <c r="O554" t="str">
        <f>"21615"</f>
        <v>21615</v>
      </c>
      <c r="P554" t="str">
        <f t="shared" si="151"/>
        <v>2017</v>
      </c>
      <c r="Q554" t="str">
        <f>""</f>
        <v/>
      </c>
      <c r="R554" t="str">
        <f t="shared" ref="R554:R562" si="169">"N"</f>
        <v>N</v>
      </c>
      <c r="S554" t="str">
        <f>"9.00"</f>
        <v>9.00</v>
      </c>
      <c r="T554" t="str">
        <f>"39.51"</f>
        <v>39.51</v>
      </c>
      <c r="U554" t="str">
        <f>"2610.00"</f>
        <v>2610.00</v>
      </c>
      <c r="V554" t="str">
        <f>"2610.00"</f>
        <v>2610.00</v>
      </c>
      <c r="W554" t="str">
        <f t="shared" si="152"/>
        <v>2017</v>
      </c>
      <c r="X554" t="str">
        <f>"11.00"</f>
        <v>11.00</v>
      </c>
      <c r="Y554" t="str">
        <f>"72.70"</f>
        <v>72.70</v>
      </c>
      <c r="Z554" t="str">
        <f>""</f>
        <v/>
      </c>
      <c r="AA554" t="str">
        <f>"2610.00"</f>
        <v>2610.00</v>
      </c>
      <c r="AB554" t="str">
        <f>"Agricultural"</f>
        <v>Agricultural</v>
      </c>
      <c r="AC554" t="str">
        <f t="shared" si="161"/>
        <v>0</v>
      </c>
      <c r="AD554" t="str">
        <f>""</f>
        <v/>
      </c>
      <c r="AE554" t="str">
        <f>""</f>
        <v/>
      </c>
      <c r="AF554" t="str">
        <f>"056"</f>
        <v>056</v>
      </c>
      <c r="AG554" t="str">
        <f t="shared" si="165"/>
        <v>FL</v>
      </c>
      <c r="AH554" t="str">
        <f>"392040.00"</f>
        <v>392040.00</v>
      </c>
      <c r="AI554" t="str">
        <f>"2610.00"</f>
        <v>2610.00</v>
      </c>
      <c r="AJ554" t="str">
        <f>"C55-000-586-6382-4"</f>
        <v>C55-000-586-6382-4</v>
      </c>
      <c r="AK554" t="str">
        <f>"8233"</f>
        <v>8233</v>
      </c>
      <c r="AL554">
        <v>2</v>
      </c>
      <c r="AM554">
        <v>641</v>
      </c>
      <c r="AN554">
        <v>74.739999999999995</v>
      </c>
      <c r="AQ554" t="s">
        <v>5958</v>
      </c>
      <c r="AR554" t="s">
        <v>5958</v>
      </c>
      <c r="AS554" t="s">
        <v>5958</v>
      </c>
      <c r="AU554" t="s">
        <v>396</v>
      </c>
      <c r="AV554">
        <v>2017</v>
      </c>
      <c r="AW554" t="str">
        <f>"05-4N-24-0000-0001-0010 "</f>
        <v xml:space="preserve">05-4N-24-0000-0001-0010 </v>
      </c>
      <c r="AZ554" t="s">
        <v>5959</v>
      </c>
      <c r="BA554" t="s">
        <v>496</v>
      </c>
      <c r="BD554" t="s">
        <v>398</v>
      </c>
      <c r="BE554" t="s">
        <v>393</v>
      </c>
      <c r="BF554">
        <v>32046</v>
      </c>
      <c r="BG554" t="s">
        <v>5960</v>
      </c>
      <c r="BH554" t="s">
        <v>400</v>
      </c>
      <c r="BI554">
        <v>-81.934206664612304</v>
      </c>
      <c r="BJ554">
        <v>30.7971007434227</v>
      </c>
      <c r="BK554" t="s">
        <v>5961</v>
      </c>
      <c r="BM554" t="s">
        <v>5615</v>
      </c>
      <c r="BN554" t="s">
        <v>403</v>
      </c>
      <c r="BO554">
        <v>32046</v>
      </c>
      <c r="BP554" t="s">
        <v>404</v>
      </c>
      <c r="BQ554">
        <v>5600</v>
      </c>
      <c r="BR554" t="s">
        <v>417</v>
      </c>
      <c r="BS554">
        <v>7009</v>
      </c>
      <c r="BT554" t="s">
        <v>418</v>
      </c>
      <c r="BW554">
        <v>421660</v>
      </c>
      <c r="BX554" t="s">
        <v>407</v>
      </c>
      <c r="BY554" t="s">
        <v>408</v>
      </c>
      <c r="CD554">
        <v>2017</v>
      </c>
      <c r="CG554">
        <v>2610</v>
      </c>
      <c r="CH554">
        <v>2017</v>
      </c>
      <c r="CI554">
        <v>2610</v>
      </c>
      <c r="CJ554">
        <v>51390</v>
      </c>
      <c r="CK554">
        <v>54000</v>
      </c>
      <c r="CL554">
        <v>2017</v>
      </c>
      <c r="CM554">
        <v>39.51</v>
      </c>
      <c r="CN554" s="1">
        <v>42580</v>
      </c>
      <c r="CV554">
        <v>0</v>
      </c>
      <c r="CZ554" s="1">
        <v>42580</v>
      </c>
      <c r="DA554">
        <v>0</v>
      </c>
      <c r="DD554" t="s">
        <v>398</v>
      </c>
      <c r="DG554">
        <v>5</v>
      </c>
      <c r="DM554" t="s">
        <v>5962</v>
      </c>
      <c r="DO554" t="s">
        <v>5963</v>
      </c>
      <c r="DP554">
        <v>0</v>
      </c>
      <c r="DQ554">
        <v>0</v>
      </c>
      <c r="DR554" t="s">
        <v>411</v>
      </c>
      <c r="EP554" t="s">
        <v>595</v>
      </c>
      <c r="EQ554" t="s">
        <v>422</v>
      </c>
      <c r="ER554">
        <v>0</v>
      </c>
      <c r="ES554">
        <v>2</v>
      </c>
      <c r="ET554">
        <v>0</v>
      </c>
      <c r="EU554">
        <v>0</v>
      </c>
      <c r="EV554">
        <v>0</v>
      </c>
      <c r="EW554" s="2">
        <v>43222</v>
      </c>
      <c r="EX554" s="1">
        <v>41787</v>
      </c>
      <c r="EY554">
        <v>2013</v>
      </c>
      <c r="EZ554">
        <v>58.02</v>
      </c>
      <c r="FA554" t="s">
        <v>5964</v>
      </c>
      <c r="FB554">
        <v>18</v>
      </c>
      <c r="FC554" t="s">
        <v>603</v>
      </c>
      <c r="FD554" t="s">
        <v>425</v>
      </c>
      <c r="FF554">
        <v>22</v>
      </c>
      <c r="FG554">
        <v>9999999</v>
      </c>
      <c r="FH554" t="s">
        <v>604</v>
      </c>
      <c r="FJ554" s="1">
        <v>41787</v>
      </c>
      <c r="FK554">
        <v>2013</v>
      </c>
      <c r="FL554">
        <v>66.88</v>
      </c>
      <c r="FM554" t="s">
        <v>5964</v>
      </c>
      <c r="FN554">
        <v>18</v>
      </c>
      <c r="FO554" t="s">
        <v>424</v>
      </c>
      <c r="FP554" t="s">
        <v>425</v>
      </c>
      <c r="FQ554" s="1">
        <v>42115</v>
      </c>
      <c r="FR554">
        <v>11</v>
      </c>
      <c r="FS554">
        <v>2101381</v>
      </c>
      <c r="FT554" t="s">
        <v>605</v>
      </c>
    </row>
    <row r="555" spans="1:320" x14ac:dyDescent="0.25">
      <c r="A555">
        <v>16485562</v>
      </c>
      <c r="B555">
        <v>554</v>
      </c>
      <c r="C555" t="s">
        <v>393</v>
      </c>
      <c r="D555" t="s">
        <v>394</v>
      </c>
      <c r="F555" t="str">
        <f>"05-4N-24-0000-0001-0040"</f>
        <v>05-4N-24-0000-0001-0040</v>
      </c>
      <c r="H555" t="str">
        <f>"THORNTON ARTHUR PAUL"</f>
        <v>THORNTON ARTHUR PAUL</v>
      </c>
      <c r="I555" t="str">
        <f>"P O BOX 1199"</f>
        <v>P O BOX 1199</v>
      </c>
      <c r="J555" t="str">
        <f t="shared" si="167"/>
        <v>HILLIARD FL 32046</v>
      </c>
      <c r="K555" t="str">
        <f>"PENNY HADDOCK RD"</f>
        <v>PENNY HADDOCK RD</v>
      </c>
      <c r="L555" t="str">
        <f t="shared" si="168"/>
        <v>HILLIARD FL 32046</v>
      </c>
      <c r="M555" t="str">
        <f>"PT OF SW1/4 OF NE1/4 OF SEC 5-4N-24E IN OR 2061/1878"</f>
        <v>PT OF SW1/4 OF NE1/4 OF SEC 5-4N-24E IN OR 2061/1878</v>
      </c>
      <c r="N555" t="str">
        <f>""</f>
        <v/>
      </c>
      <c r="O555" t="str">
        <f>"57030"</f>
        <v>57030</v>
      </c>
      <c r="P555" t="str">
        <f t="shared" si="151"/>
        <v>2017</v>
      </c>
      <c r="Q555" t="str">
        <f>""</f>
        <v/>
      </c>
      <c r="R555" t="str">
        <f t="shared" si="169"/>
        <v>N</v>
      </c>
      <c r="S555" t="str">
        <f>"0.68"</f>
        <v>0.68</v>
      </c>
      <c r="T555" t="str">
        <f>"154.42"</f>
        <v>154.42</v>
      </c>
      <c r="U555" t="str">
        <f>"10200.00"</f>
        <v>10200.00</v>
      </c>
      <c r="V555" t="str">
        <f>"10200.00"</f>
        <v>10200.00</v>
      </c>
      <c r="W555" t="str">
        <f t="shared" si="152"/>
        <v>2017</v>
      </c>
      <c r="X555" t="str">
        <f>""</f>
        <v/>
      </c>
      <c r="Y555" t="str">
        <f>"191.05"</f>
        <v>191.05</v>
      </c>
      <c r="Z555" t="str">
        <f>""</f>
        <v/>
      </c>
      <c r="AA555" t="str">
        <f>"10200.00"</f>
        <v>10200.00</v>
      </c>
      <c r="AB555" t="str">
        <f>"Residential"</f>
        <v>Residential</v>
      </c>
      <c r="AC555" t="str">
        <f t="shared" si="161"/>
        <v>0</v>
      </c>
      <c r="AD555" t="str">
        <f>""</f>
        <v/>
      </c>
      <c r="AE555" t="str">
        <f>""</f>
        <v/>
      </c>
      <c r="AF555" t="str">
        <f>"000"</f>
        <v>000</v>
      </c>
      <c r="AG555" t="str">
        <f t="shared" si="165"/>
        <v>FL</v>
      </c>
      <c r="AH555" t="str">
        <f>"29620.00"</f>
        <v>29620.00</v>
      </c>
      <c r="AI555" t="str">
        <f>"10200.00"</f>
        <v>10200.00</v>
      </c>
      <c r="AJ555" t="str">
        <f>"C55-001-092-7861-4"</f>
        <v>C55-001-092-7861-4</v>
      </c>
      <c r="AK555" t="str">
        <f>"8235"</f>
        <v>8235</v>
      </c>
      <c r="AL555">
        <v>2</v>
      </c>
      <c r="AM555">
        <v>642</v>
      </c>
      <c r="AN555">
        <v>199</v>
      </c>
      <c r="AQ555" t="s">
        <v>5965</v>
      </c>
      <c r="AR555" t="s">
        <v>5965</v>
      </c>
      <c r="AS555" t="s">
        <v>5965</v>
      </c>
      <c r="AU555" t="s">
        <v>396</v>
      </c>
      <c r="AV555">
        <v>2017</v>
      </c>
      <c r="AW555" t="str">
        <f>"05-4N-24-0000-0001-0040 "</f>
        <v xml:space="preserve">05-4N-24-0000-0001-0040 </v>
      </c>
      <c r="AZ555" t="s">
        <v>5959</v>
      </c>
      <c r="BA555" t="s">
        <v>496</v>
      </c>
      <c r="BD555" t="s">
        <v>398</v>
      </c>
      <c r="BE555" t="s">
        <v>393</v>
      </c>
      <c r="BF555">
        <v>32046</v>
      </c>
      <c r="BG555" t="s">
        <v>5960</v>
      </c>
      <c r="BH555" t="s">
        <v>400</v>
      </c>
      <c r="BK555" t="s">
        <v>5961</v>
      </c>
      <c r="BM555" t="s">
        <v>5966</v>
      </c>
      <c r="BN555" t="s">
        <v>403</v>
      </c>
      <c r="BO555">
        <v>32046</v>
      </c>
      <c r="BQ555">
        <v>0</v>
      </c>
      <c r="BR555" t="s">
        <v>491</v>
      </c>
      <c r="BS555">
        <v>8001</v>
      </c>
      <c r="BT555" t="s">
        <v>492</v>
      </c>
      <c r="BW555">
        <v>29620</v>
      </c>
      <c r="BX555" t="s">
        <v>407</v>
      </c>
      <c r="CD555">
        <v>2017</v>
      </c>
      <c r="CE555">
        <v>10200</v>
      </c>
      <c r="CG555">
        <v>10200</v>
      </c>
      <c r="CH555">
        <v>2017</v>
      </c>
      <c r="CI555">
        <v>10200</v>
      </c>
      <c r="CK555">
        <v>10200</v>
      </c>
      <c r="CL555">
        <v>2017</v>
      </c>
      <c r="CM555">
        <v>154.41999999999999</v>
      </c>
      <c r="DD555" t="s">
        <v>398</v>
      </c>
      <c r="DM555" t="s">
        <v>5962</v>
      </c>
      <c r="DO555" t="s">
        <v>5967</v>
      </c>
    </row>
    <row r="556" spans="1:320" x14ac:dyDescent="0.25">
      <c r="A556">
        <v>16485563</v>
      </c>
      <c r="B556">
        <v>555</v>
      </c>
      <c r="C556" t="s">
        <v>393</v>
      </c>
      <c r="D556" t="s">
        <v>394</v>
      </c>
      <c r="F556" t="str">
        <f>"05-4N-24-0000-0006-0020"</f>
        <v>05-4N-24-0000-0006-0020</v>
      </c>
      <c r="H556" t="str">
        <f>"SCOTT JEANNE H &amp; MILLIGAN RONALD G (W&amp;H)"</f>
        <v>SCOTT JEANNE H &amp; MILLIGAN RONALD G (W&amp;H)</v>
      </c>
      <c r="I556" t="str">
        <f>"PO BOX 1199"</f>
        <v>PO BOX 1199</v>
      </c>
      <c r="J556" t="str">
        <f t="shared" si="167"/>
        <v>HILLIARD FL 32046</v>
      </c>
      <c r="K556" t="str">
        <f>"PENNY HADDOCK RD"</f>
        <v>PENNY HADDOCK RD</v>
      </c>
      <c r="L556" t="str">
        <f t="shared" si="168"/>
        <v>HILLIARD FL 32046</v>
      </c>
      <c r="M556" t="str">
        <f>"PT OF SE1/4 OF NW/14 IN OR 1497/1474"</f>
        <v>PT OF SE1/4 OF NW/14 IN OR 1497/1474</v>
      </c>
      <c r="N556" t="str">
        <f>""</f>
        <v/>
      </c>
      <c r="O556" t="str">
        <f>"21621"</f>
        <v>21621</v>
      </c>
      <c r="P556" t="str">
        <f t="shared" si="151"/>
        <v>2017</v>
      </c>
      <c r="Q556" t="str">
        <f>""</f>
        <v/>
      </c>
      <c r="R556" t="str">
        <f t="shared" si="169"/>
        <v>N</v>
      </c>
      <c r="S556" t="str">
        <f>"10.00"</f>
        <v>10.00</v>
      </c>
      <c r="T556" t="str">
        <f>"43.90"</f>
        <v>43.90</v>
      </c>
      <c r="U556" t="str">
        <f>"2900.00"</f>
        <v>2900.00</v>
      </c>
      <c r="V556" t="str">
        <f>"2900.00"</f>
        <v>2900.00</v>
      </c>
      <c r="W556" t="str">
        <f t="shared" si="152"/>
        <v>2017</v>
      </c>
      <c r="X556" t="str">
        <f>"11.00"</f>
        <v>11.00</v>
      </c>
      <c r="Y556" t="str">
        <f>"77.22"</f>
        <v>77.22</v>
      </c>
      <c r="Z556" t="str">
        <f>""</f>
        <v/>
      </c>
      <c r="AA556" t="str">
        <f>"2900.00"</f>
        <v>2900.00</v>
      </c>
      <c r="AB556" t="str">
        <f>"Agricultural"</f>
        <v>Agricultural</v>
      </c>
      <c r="AC556" t="str">
        <f t="shared" si="161"/>
        <v>0</v>
      </c>
      <c r="AD556" t="str">
        <f>""</f>
        <v/>
      </c>
      <c r="AE556" t="str">
        <f>""</f>
        <v/>
      </c>
      <c r="AF556" t="str">
        <f>"056"</f>
        <v>056</v>
      </c>
      <c r="AG556" t="str">
        <f t="shared" si="165"/>
        <v>FL</v>
      </c>
      <c r="AH556" t="str">
        <f>"435600.00"</f>
        <v>435600.00</v>
      </c>
      <c r="AI556" t="str">
        <f>"2900.00"</f>
        <v>2900.00</v>
      </c>
      <c r="AJ556" t="str">
        <f>"C55-000-586-6387-3"</f>
        <v>C55-000-586-6387-3</v>
      </c>
      <c r="AK556" t="str">
        <f>"8239"</f>
        <v>8239</v>
      </c>
      <c r="AL556">
        <v>2</v>
      </c>
      <c r="AM556">
        <v>643</v>
      </c>
      <c r="AN556">
        <v>79.48</v>
      </c>
      <c r="AQ556" t="s">
        <v>5968</v>
      </c>
      <c r="AR556" t="s">
        <v>5968</v>
      </c>
      <c r="AS556" t="s">
        <v>5968</v>
      </c>
      <c r="AU556" t="s">
        <v>396</v>
      </c>
      <c r="AV556">
        <v>2017</v>
      </c>
      <c r="AW556" t="str">
        <f>"05-4N-24-0000-0006-0020 "</f>
        <v xml:space="preserve">05-4N-24-0000-0006-0020 </v>
      </c>
      <c r="AZ556" t="s">
        <v>5959</v>
      </c>
      <c r="BA556" t="s">
        <v>496</v>
      </c>
      <c r="BD556" t="s">
        <v>398</v>
      </c>
      <c r="BE556" t="s">
        <v>393</v>
      </c>
      <c r="BF556">
        <v>32046</v>
      </c>
      <c r="BG556" t="s">
        <v>5960</v>
      </c>
      <c r="BH556" t="s">
        <v>400</v>
      </c>
      <c r="BI556">
        <v>-81.935462059745703</v>
      </c>
      <c r="BJ556">
        <v>30.796676560553902</v>
      </c>
      <c r="BK556" t="s">
        <v>5969</v>
      </c>
      <c r="BL556" t="s">
        <v>5970</v>
      </c>
      <c r="BM556" t="s">
        <v>5615</v>
      </c>
      <c r="BN556" t="s">
        <v>403</v>
      </c>
      <c r="BO556">
        <v>32046</v>
      </c>
      <c r="BP556" t="s">
        <v>404</v>
      </c>
      <c r="BQ556">
        <v>5600</v>
      </c>
      <c r="BR556" t="s">
        <v>417</v>
      </c>
      <c r="BS556">
        <v>7009</v>
      </c>
      <c r="BT556" t="s">
        <v>418</v>
      </c>
      <c r="BW556">
        <v>435600</v>
      </c>
      <c r="BX556" t="s">
        <v>407</v>
      </c>
      <c r="BY556" t="s">
        <v>408</v>
      </c>
      <c r="CD556">
        <v>2017</v>
      </c>
      <c r="CG556">
        <v>2900</v>
      </c>
      <c r="CH556">
        <v>2017</v>
      </c>
      <c r="CI556">
        <v>2900</v>
      </c>
      <c r="CJ556">
        <v>57100</v>
      </c>
      <c r="CK556">
        <v>60000</v>
      </c>
      <c r="CL556">
        <v>2017</v>
      </c>
      <c r="CM556">
        <v>43.9</v>
      </c>
      <c r="CN556" s="1">
        <v>39210</v>
      </c>
      <c r="CO556">
        <v>100000</v>
      </c>
      <c r="CV556">
        <v>0</v>
      </c>
      <c r="CZ556" s="1">
        <v>39210</v>
      </c>
      <c r="DA556">
        <v>0</v>
      </c>
      <c r="DD556" t="s">
        <v>398</v>
      </c>
      <c r="DG556">
        <v>5</v>
      </c>
      <c r="DL556">
        <v>50400</v>
      </c>
      <c r="DM556" t="s">
        <v>5962</v>
      </c>
      <c r="DO556" t="s">
        <v>5971</v>
      </c>
      <c r="DP556">
        <v>0</v>
      </c>
      <c r="DQ556">
        <v>0</v>
      </c>
      <c r="DR556" t="s">
        <v>411</v>
      </c>
      <c r="EP556" t="s">
        <v>595</v>
      </c>
      <c r="EQ556" t="s">
        <v>422</v>
      </c>
      <c r="ER556">
        <v>0</v>
      </c>
      <c r="ES556">
        <v>2</v>
      </c>
      <c r="ET556">
        <v>0</v>
      </c>
      <c r="EU556">
        <v>0</v>
      </c>
      <c r="EV556">
        <v>0</v>
      </c>
      <c r="EW556" s="2">
        <v>43222</v>
      </c>
      <c r="EX556" s="1">
        <v>41787</v>
      </c>
      <c r="EY556">
        <v>2013</v>
      </c>
      <c r="EZ556">
        <v>59.21</v>
      </c>
      <c r="FA556" t="s">
        <v>5972</v>
      </c>
      <c r="FB556">
        <v>18</v>
      </c>
      <c r="FC556" t="s">
        <v>603</v>
      </c>
      <c r="FD556" t="s">
        <v>425</v>
      </c>
      <c r="FF556">
        <v>22</v>
      </c>
      <c r="FG556">
        <v>9999999</v>
      </c>
      <c r="FH556" t="s">
        <v>604</v>
      </c>
      <c r="FJ556" s="1">
        <v>41787</v>
      </c>
      <c r="FK556">
        <v>2013</v>
      </c>
      <c r="FL556">
        <v>68.12</v>
      </c>
      <c r="FM556" t="s">
        <v>5972</v>
      </c>
      <c r="FN556">
        <v>18</v>
      </c>
      <c r="FO556" t="s">
        <v>424</v>
      </c>
      <c r="FP556" t="s">
        <v>425</v>
      </c>
      <c r="FQ556" s="1">
        <v>42115</v>
      </c>
      <c r="FR556">
        <v>11</v>
      </c>
      <c r="FS556">
        <v>2101381</v>
      </c>
      <c r="FT556" t="s">
        <v>605</v>
      </c>
    </row>
    <row r="557" spans="1:320" x14ac:dyDescent="0.25">
      <c r="A557">
        <v>16485564</v>
      </c>
      <c r="B557">
        <v>556</v>
      </c>
      <c r="C557" t="s">
        <v>393</v>
      </c>
      <c r="D557" t="s">
        <v>394</v>
      </c>
      <c r="F557" t="str">
        <f>"05-4N-24-0000-0006-0030"</f>
        <v>05-4N-24-0000-0006-0030</v>
      </c>
      <c r="H557" t="str">
        <f>"SCOTT JEANNE"</f>
        <v>SCOTT JEANNE</v>
      </c>
      <c r="I557" t="str">
        <f>"PO BOX 1199"</f>
        <v>PO BOX 1199</v>
      </c>
      <c r="J557" t="str">
        <f t="shared" si="167"/>
        <v>HILLIARD FL 32046</v>
      </c>
      <c r="K557" t="str">
        <f>"29964 KARA LYNN LN"</f>
        <v>29964 KARA LYNN LN</v>
      </c>
      <c r="L557" t="str">
        <f t="shared" si="168"/>
        <v>HILLIARD FL 32046</v>
      </c>
      <c r="M557" t="str">
        <f>"PT OF SE1/4 OF NW1/4 IN OR 1448/1589 &amp; OR 1448/1580 1988 NEWM SW/MH"</f>
        <v>PT OF SE1/4 OF NW1/4 IN OR 1448/1589 &amp; OR 1448/1580 1988 NEWM SW/MH</v>
      </c>
      <c r="N557" t="str">
        <f>""</f>
        <v/>
      </c>
      <c r="O557" t="str">
        <f>"21622"</f>
        <v>21622</v>
      </c>
      <c r="P557" t="str">
        <f t="shared" si="151"/>
        <v>2017</v>
      </c>
      <c r="Q557" t="str">
        <f>""</f>
        <v/>
      </c>
      <c r="R557" t="str">
        <f t="shared" si="169"/>
        <v>N</v>
      </c>
      <c r="S557" t="str">
        <f>"14.00"</f>
        <v>14.00</v>
      </c>
      <c r="T557" t="str">
        <f>"462.38"</f>
        <v>462.38</v>
      </c>
      <c r="U557" t="str">
        <f>"28067.00"</f>
        <v>28067.00</v>
      </c>
      <c r="V557" t="str">
        <f>"28067.00"</f>
        <v>28067.00</v>
      </c>
      <c r="W557" t="str">
        <f t="shared" si="152"/>
        <v>2017</v>
      </c>
      <c r="X557" t="str">
        <f>"16.50"</f>
        <v>16.50</v>
      </c>
      <c r="Y557" t="str">
        <f>"508.25"</f>
        <v>508.25</v>
      </c>
      <c r="Z557" t="str">
        <f>""</f>
        <v/>
      </c>
      <c r="AA557" t="str">
        <f>"33745.00"</f>
        <v>33745.00</v>
      </c>
      <c r="AB557" t="str">
        <f>"Agricultural"</f>
        <v>Agricultural</v>
      </c>
      <c r="AC557" t="str">
        <f t="shared" si="161"/>
        <v>0</v>
      </c>
      <c r="AD557" t="str">
        <f>"4"</f>
        <v>4</v>
      </c>
      <c r="AE557" t="str">
        <f>"WOOD (INCLUDE STEEL STUDS)"</f>
        <v>WOOD (INCLUDE STEEL STUDS)</v>
      </c>
      <c r="AF557" t="str">
        <f>"050"</f>
        <v>050</v>
      </c>
      <c r="AG557" t="str">
        <f t="shared" si="165"/>
        <v>FL</v>
      </c>
      <c r="AH557" t="str">
        <f>"609840.00"</f>
        <v>609840.00</v>
      </c>
      <c r="AI557" t="str">
        <f>"18770.00"</f>
        <v>18770.00</v>
      </c>
      <c r="AJ557" t="str">
        <f>"C55-000-586-6388-1"</f>
        <v>C55-000-586-6388-1</v>
      </c>
      <c r="AK557" t="str">
        <f>"8240"</f>
        <v>8240</v>
      </c>
      <c r="AL557">
        <v>2</v>
      </c>
      <c r="AM557">
        <v>644</v>
      </c>
      <c r="AN557">
        <v>532.05999999999995</v>
      </c>
      <c r="AQ557" t="s">
        <v>5973</v>
      </c>
      <c r="AR557" t="s">
        <v>5973</v>
      </c>
      <c r="AS557" t="s">
        <v>5973</v>
      </c>
      <c r="AU557" t="s">
        <v>396</v>
      </c>
      <c r="AV557">
        <v>2017</v>
      </c>
      <c r="AW557" t="str">
        <f>"05-4N-24-0000-0006-0030 "</f>
        <v xml:space="preserve">05-4N-24-0000-0006-0030 </v>
      </c>
      <c r="AX557">
        <v>29964</v>
      </c>
      <c r="AZ557" t="s">
        <v>5974</v>
      </c>
      <c r="BA557" t="s">
        <v>653</v>
      </c>
      <c r="BD557" t="s">
        <v>398</v>
      </c>
      <c r="BE557" t="s">
        <v>393</v>
      </c>
      <c r="BF557">
        <v>32046</v>
      </c>
      <c r="BG557" t="s">
        <v>5975</v>
      </c>
      <c r="BH557" t="s">
        <v>400</v>
      </c>
      <c r="BI557">
        <v>-81.936868363670897</v>
      </c>
      <c r="BJ557">
        <v>30.796356018897601</v>
      </c>
      <c r="BK557" t="s">
        <v>4547</v>
      </c>
      <c r="BM557" t="s">
        <v>5615</v>
      </c>
      <c r="BN557" t="s">
        <v>403</v>
      </c>
      <c r="BO557">
        <v>32046</v>
      </c>
      <c r="BP557" t="s">
        <v>404</v>
      </c>
      <c r="BQ557">
        <v>5000</v>
      </c>
      <c r="BR557" t="s">
        <v>664</v>
      </c>
      <c r="BS557">
        <v>7000</v>
      </c>
      <c r="BT557" t="s">
        <v>665</v>
      </c>
      <c r="BW557">
        <v>609840</v>
      </c>
      <c r="BX557" t="s">
        <v>407</v>
      </c>
      <c r="BZ557">
        <v>4</v>
      </c>
      <c r="CA557">
        <v>1988</v>
      </c>
      <c r="CB557">
        <v>1</v>
      </c>
      <c r="CC557">
        <v>1</v>
      </c>
      <c r="CD557">
        <v>2017</v>
      </c>
      <c r="CG557">
        <v>33745</v>
      </c>
      <c r="CH557">
        <v>2017</v>
      </c>
      <c r="CI557">
        <v>18770</v>
      </c>
      <c r="CJ557">
        <v>82705</v>
      </c>
      <c r="CK557">
        <v>101475</v>
      </c>
      <c r="CL557">
        <v>2017</v>
      </c>
      <c r="CM557">
        <v>462.38</v>
      </c>
      <c r="CN557" s="1">
        <v>38992</v>
      </c>
      <c r="CO557">
        <v>190000</v>
      </c>
      <c r="CZ557" s="1">
        <v>38992</v>
      </c>
      <c r="DD557" t="s">
        <v>398</v>
      </c>
      <c r="DG557">
        <v>5</v>
      </c>
      <c r="DL557">
        <v>50400</v>
      </c>
      <c r="DM557" t="s">
        <v>5962</v>
      </c>
      <c r="DO557" t="s">
        <v>5976</v>
      </c>
      <c r="DP557">
        <v>0</v>
      </c>
      <c r="DQ557">
        <v>0</v>
      </c>
      <c r="DR557" t="s">
        <v>411</v>
      </c>
      <c r="DS557" t="b">
        <v>1</v>
      </c>
      <c r="DT557" t="s">
        <v>470</v>
      </c>
      <c r="DU557" t="s">
        <v>471</v>
      </c>
      <c r="DV557" t="s">
        <v>472</v>
      </c>
      <c r="DX557">
        <v>-9999</v>
      </c>
      <c r="DZ557" t="s">
        <v>447</v>
      </c>
      <c r="EA557" t="s">
        <v>448</v>
      </c>
      <c r="EB557" t="s">
        <v>1224</v>
      </c>
      <c r="EC557">
        <v>20101217</v>
      </c>
      <c r="ED557" t="s">
        <v>474</v>
      </c>
      <c r="EF557">
        <v>1157.3</v>
      </c>
      <c r="EG557">
        <v>1157.3</v>
      </c>
      <c r="EI557">
        <v>20160407</v>
      </c>
      <c r="EJ557">
        <v>0</v>
      </c>
      <c r="EK557">
        <v>0</v>
      </c>
      <c r="EP557" t="s">
        <v>421</v>
      </c>
      <c r="EQ557" t="s">
        <v>422</v>
      </c>
      <c r="ER557">
        <v>0</v>
      </c>
      <c r="ES557">
        <v>3</v>
      </c>
      <c r="ET557">
        <v>0</v>
      </c>
      <c r="EU557">
        <v>0</v>
      </c>
      <c r="EV557">
        <v>0</v>
      </c>
      <c r="EW557" s="2">
        <v>43222</v>
      </c>
      <c r="EX557" s="1">
        <v>42515</v>
      </c>
      <c r="EY557">
        <v>2015</v>
      </c>
      <c r="EZ557">
        <v>471.59</v>
      </c>
      <c r="FA557" t="s">
        <v>5977</v>
      </c>
      <c r="FB557">
        <v>0.25</v>
      </c>
      <c r="FC557" t="s">
        <v>424</v>
      </c>
      <c r="FD557" t="s">
        <v>425</v>
      </c>
      <c r="FE557" s="1">
        <v>43188</v>
      </c>
      <c r="FF557">
        <v>22</v>
      </c>
      <c r="FG557">
        <v>5916895</v>
      </c>
      <c r="FH557" t="s">
        <v>1390</v>
      </c>
      <c r="FJ557" s="1">
        <v>42515</v>
      </c>
      <c r="FK557">
        <v>2015</v>
      </c>
      <c r="FL557">
        <v>471.59</v>
      </c>
      <c r="FM557" t="s">
        <v>5977</v>
      </c>
      <c r="FN557">
        <v>0.25</v>
      </c>
      <c r="FO557" t="s">
        <v>424</v>
      </c>
      <c r="FP557" t="s">
        <v>425</v>
      </c>
      <c r="FR557">
        <v>22</v>
      </c>
      <c r="FS557">
        <v>6015242</v>
      </c>
      <c r="FT557" t="s">
        <v>5978</v>
      </c>
      <c r="FV557" s="1">
        <v>41787</v>
      </c>
      <c r="FW557">
        <v>2013</v>
      </c>
      <c r="FX557">
        <v>475.01</v>
      </c>
      <c r="FY557" t="s">
        <v>5979</v>
      </c>
      <c r="FZ557">
        <v>0.25</v>
      </c>
      <c r="GA557" t="s">
        <v>424</v>
      </c>
      <c r="GB557" t="s">
        <v>425</v>
      </c>
      <c r="GC557" s="1">
        <v>42116</v>
      </c>
      <c r="GD557">
        <v>11</v>
      </c>
      <c r="GE557">
        <v>11340</v>
      </c>
      <c r="GF557" t="s">
        <v>1230</v>
      </c>
    </row>
    <row r="558" spans="1:320" x14ac:dyDescent="0.25">
      <c r="A558">
        <v>16485565</v>
      </c>
      <c r="B558">
        <v>557</v>
      </c>
      <c r="C558" t="s">
        <v>393</v>
      </c>
      <c r="D558" t="s">
        <v>394</v>
      </c>
      <c r="F558" t="str">
        <f>"05-4N-24-1630-0009-0000"</f>
        <v>05-4N-24-1630-0009-0000</v>
      </c>
      <c r="H558" t="str">
        <f>"DAVIS MARK L EST"</f>
        <v>DAVIS MARK L EST</v>
      </c>
      <c r="I558" t="str">
        <f>"291395 PENNY HADDOCK ROAD"</f>
        <v>291395 PENNY HADDOCK ROAD</v>
      </c>
      <c r="J558" t="str">
        <f t="shared" si="167"/>
        <v>HILLIARD FL 32046</v>
      </c>
      <c r="K558" t="str">
        <f>"291395 PENNY HADDOCK RD"</f>
        <v>291395 PENNY HADDOCK RD</v>
      </c>
      <c r="L558" t="str">
        <f t="shared" si="168"/>
        <v>HILLIARD FL 32046</v>
      </c>
      <c r="M558" t="str">
        <f>"LOT 9 IN OR 679 PG 1529 PENNY HADDOCK ESTATES PB 5/338"</f>
        <v>LOT 9 IN OR 679 PG 1529 PENNY HADDOCK ESTATES PB 5/338</v>
      </c>
      <c r="N558" t="str">
        <f>""</f>
        <v/>
      </c>
      <c r="O558" t="str">
        <f>"21634"</f>
        <v>21634</v>
      </c>
      <c r="P558" t="str">
        <f t="shared" si="151"/>
        <v>2017</v>
      </c>
      <c r="Q558" t="str">
        <f>""</f>
        <v/>
      </c>
      <c r="R558" t="str">
        <f t="shared" si="169"/>
        <v>N</v>
      </c>
      <c r="S558" t="str">
        <f>"27.13"</f>
        <v>27.13</v>
      </c>
      <c r="T558" t="str">
        <f>"432.85"</f>
        <v>432.85</v>
      </c>
      <c r="U558" t="str">
        <f>"28098.00"</f>
        <v>28098.00</v>
      </c>
      <c r="V558" t="str">
        <f>"28098.00"</f>
        <v>28098.00</v>
      </c>
      <c r="W558" t="str">
        <f t="shared" si="152"/>
        <v>2017</v>
      </c>
      <c r="X558" t="str">
        <f>"21.33"</f>
        <v>21.33</v>
      </c>
      <c r="Y558" t="str">
        <f>"477.84"</f>
        <v>477.84</v>
      </c>
      <c r="Z558" t="str">
        <f>""</f>
        <v/>
      </c>
      <c r="AA558" t="str">
        <f>"29232.00"</f>
        <v>29232.00</v>
      </c>
      <c r="AB558" t="str">
        <f>"Agricultural"</f>
        <v>Agricultural</v>
      </c>
      <c r="AC558" t="str">
        <f t="shared" si="161"/>
        <v>0</v>
      </c>
      <c r="AD558" t="str">
        <f>"4"</f>
        <v>4</v>
      </c>
      <c r="AE558" t="str">
        <f>"WOOD (INCLUDE STEEL STUDS)"</f>
        <v>WOOD (INCLUDE STEEL STUDS)</v>
      </c>
      <c r="AF558" t="str">
        <f>"050"</f>
        <v>050</v>
      </c>
      <c r="AG558" t="str">
        <f t="shared" si="165"/>
        <v>FL</v>
      </c>
      <c r="AH558" t="str">
        <f>"1181782.00"</f>
        <v>1181782.00</v>
      </c>
      <c r="AI558" t="str">
        <f>"22577.00"</f>
        <v>22577.00</v>
      </c>
      <c r="AJ558" t="str">
        <f>"C55-000-586-6395-6"</f>
        <v>C55-000-586-6395-6</v>
      </c>
      <c r="AK558" t="str">
        <f>"8249"</f>
        <v>8249</v>
      </c>
      <c r="AL558">
        <v>2</v>
      </c>
      <c r="AM558">
        <v>645</v>
      </c>
      <c r="AN558">
        <v>500.13</v>
      </c>
      <c r="AQ558" t="s">
        <v>5980</v>
      </c>
      <c r="AR558" t="s">
        <v>5980</v>
      </c>
      <c r="AS558" t="s">
        <v>5980</v>
      </c>
      <c r="AU558" t="s">
        <v>396</v>
      </c>
      <c r="AV558">
        <v>2017</v>
      </c>
      <c r="AW558" t="str">
        <f>"05-4N-24-1630-0009-0000 "</f>
        <v xml:space="preserve">05-4N-24-1630-0009-0000 </v>
      </c>
      <c r="AX558">
        <v>291395</v>
      </c>
      <c r="AZ558" t="s">
        <v>5959</v>
      </c>
      <c r="BA558" t="s">
        <v>496</v>
      </c>
      <c r="BD558" t="s">
        <v>398</v>
      </c>
      <c r="BE558" t="s">
        <v>393</v>
      </c>
      <c r="BF558">
        <v>32046</v>
      </c>
      <c r="BG558" t="s">
        <v>5981</v>
      </c>
      <c r="BH558" t="s">
        <v>400</v>
      </c>
      <c r="BI558">
        <v>-81.928633782459301</v>
      </c>
      <c r="BJ558">
        <v>30.799046587129101</v>
      </c>
      <c r="BK558" t="s">
        <v>5982</v>
      </c>
      <c r="BM558" t="s">
        <v>5981</v>
      </c>
      <c r="BN558" t="s">
        <v>403</v>
      </c>
      <c r="BO558">
        <v>32046</v>
      </c>
      <c r="BP558" t="s">
        <v>416</v>
      </c>
      <c r="BQ558">
        <v>5000</v>
      </c>
      <c r="BR558" t="s">
        <v>664</v>
      </c>
      <c r="BS558">
        <v>7000</v>
      </c>
      <c r="BT558" t="s">
        <v>665</v>
      </c>
      <c r="BW558">
        <v>1181782</v>
      </c>
      <c r="BX558" t="s">
        <v>407</v>
      </c>
      <c r="BZ558">
        <v>4</v>
      </c>
      <c r="CA558">
        <v>1970</v>
      </c>
      <c r="CC558">
        <v>1</v>
      </c>
      <c r="CD558">
        <v>2017</v>
      </c>
      <c r="CG558">
        <v>29232</v>
      </c>
      <c r="CH558">
        <v>2017</v>
      </c>
      <c r="CI558">
        <v>22577</v>
      </c>
      <c r="CJ558">
        <v>121163</v>
      </c>
      <c r="CK558">
        <v>143740</v>
      </c>
      <c r="CL558">
        <v>2017</v>
      </c>
      <c r="CM558">
        <v>432.85</v>
      </c>
      <c r="CN558" s="1">
        <v>34086</v>
      </c>
      <c r="CO558">
        <v>46200</v>
      </c>
      <c r="CZ558" s="1">
        <v>34086</v>
      </c>
      <c r="DD558" t="s">
        <v>398</v>
      </c>
      <c r="DF558">
        <v>9</v>
      </c>
      <c r="DG558">
        <v>5</v>
      </c>
      <c r="DJ558" t="s">
        <v>5983</v>
      </c>
      <c r="DL558">
        <v>50400</v>
      </c>
      <c r="DM558" t="s">
        <v>5962</v>
      </c>
      <c r="DO558" t="s">
        <v>5984</v>
      </c>
      <c r="DP558">
        <v>0</v>
      </c>
      <c r="DQ558">
        <v>0</v>
      </c>
      <c r="DR558" t="s">
        <v>411</v>
      </c>
      <c r="DS558" t="b">
        <v>1</v>
      </c>
      <c r="DT558" t="s">
        <v>470</v>
      </c>
      <c r="DU558" t="s">
        <v>471</v>
      </c>
      <c r="DV558" t="s">
        <v>472</v>
      </c>
      <c r="DX558">
        <v>-9999</v>
      </c>
      <c r="DZ558" t="s">
        <v>447</v>
      </c>
      <c r="EA558" t="s">
        <v>448</v>
      </c>
      <c r="EB558" t="s">
        <v>1224</v>
      </c>
      <c r="EC558">
        <v>20101217</v>
      </c>
      <c r="ED558" t="s">
        <v>474</v>
      </c>
      <c r="EF558">
        <v>505.4</v>
      </c>
      <c r="EG558">
        <v>505.4</v>
      </c>
      <c r="EI558">
        <v>20160407</v>
      </c>
      <c r="EJ558">
        <v>0</v>
      </c>
      <c r="EK558">
        <v>0</v>
      </c>
      <c r="EP558" t="s">
        <v>421</v>
      </c>
      <c r="EQ558" t="s">
        <v>422</v>
      </c>
      <c r="ER558">
        <v>2</v>
      </c>
      <c r="ES558">
        <v>9</v>
      </c>
      <c r="ET558">
        <v>907.7</v>
      </c>
      <c r="EU558">
        <v>57.88</v>
      </c>
      <c r="EV558">
        <v>965.58</v>
      </c>
      <c r="EW558" s="2">
        <v>43222</v>
      </c>
      <c r="EX558" s="1">
        <v>42879</v>
      </c>
      <c r="EY558">
        <v>2016</v>
      </c>
      <c r="EZ558">
        <v>453.85</v>
      </c>
      <c r="FA558" t="s">
        <v>5985</v>
      </c>
      <c r="FB558">
        <v>0.25</v>
      </c>
      <c r="FC558" t="s">
        <v>424</v>
      </c>
      <c r="FD558" t="s">
        <v>454</v>
      </c>
      <c r="FF558">
        <v>12</v>
      </c>
      <c r="FG558">
        <v>7400234</v>
      </c>
      <c r="FH558" t="s">
        <v>426</v>
      </c>
      <c r="FJ558" s="1">
        <v>42879</v>
      </c>
      <c r="FK558">
        <v>2016</v>
      </c>
      <c r="FL558">
        <v>453.85</v>
      </c>
      <c r="FM558" t="s">
        <v>5985</v>
      </c>
      <c r="FN558">
        <v>0.25</v>
      </c>
      <c r="FO558" t="s">
        <v>424</v>
      </c>
      <c r="FP558" t="s">
        <v>454</v>
      </c>
      <c r="FR558">
        <v>12</v>
      </c>
      <c r="FS558">
        <v>7562089</v>
      </c>
      <c r="FT558" t="s">
        <v>5986</v>
      </c>
      <c r="FV558" s="1">
        <v>42515</v>
      </c>
      <c r="FW558">
        <v>2015</v>
      </c>
      <c r="FX558">
        <v>439.29</v>
      </c>
      <c r="FY558" t="s">
        <v>5987</v>
      </c>
      <c r="FZ558">
        <v>0.25</v>
      </c>
      <c r="GA558" t="s">
        <v>424</v>
      </c>
      <c r="GB558" t="s">
        <v>425</v>
      </c>
      <c r="GC558" s="1">
        <v>43152</v>
      </c>
      <c r="GD558">
        <v>21</v>
      </c>
      <c r="GE558">
        <v>7045074</v>
      </c>
      <c r="GF558" t="s">
        <v>580</v>
      </c>
      <c r="GH558" s="1">
        <v>42515</v>
      </c>
      <c r="GI558">
        <v>2015</v>
      </c>
      <c r="GJ558">
        <v>439.29</v>
      </c>
      <c r="GK558" t="s">
        <v>5987</v>
      </c>
      <c r="GL558">
        <v>0.25</v>
      </c>
      <c r="GM558" t="s">
        <v>424</v>
      </c>
      <c r="GN558" t="s">
        <v>425</v>
      </c>
      <c r="GP558">
        <v>22</v>
      </c>
      <c r="GQ558">
        <v>6469528</v>
      </c>
      <c r="GR558" t="s">
        <v>5988</v>
      </c>
      <c r="GT558" s="1">
        <v>42151</v>
      </c>
      <c r="GU558">
        <v>2014</v>
      </c>
      <c r="GV558">
        <v>397.55</v>
      </c>
      <c r="GW558" t="s">
        <v>5989</v>
      </c>
      <c r="GX558">
        <v>4.75</v>
      </c>
      <c r="GY558" t="s">
        <v>424</v>
      </c>
      <c r="GZ558" t="s">
        <v>425</v>
      </c>
      <c r="HB558">
        <v>22</v>
      </c>
      <c r="HC558">
        <v>4844942</v>
      </c>
      <c r="HD558" t="s">
        <v>2472</v>
      </c>
      <c r="HF558" s="1">
        <v>42151</v>
      </c>
      <c r="HG558">
        <v>2014</v>
      </c>
      <c r="HH558">
        <v>397.55</v>
      </c>
      <c r="HI558" t="s">
        <v>5989</v>
      </c>
      <c r="HJ558">
        <v>4.75</v>
      </c>
      <c r="HK558" t="s">
        <v>424</v>
      </c>
      <c r="HL558" t="s">
        <v>425</v>
      </c>
      <c r="HM558" s="1">
        <v>42794</v>
      </c>
      <c r="HN558">
        <v>21</v>
      </c>
      <c r="HO558">
        <v>7045032</v>
      </c>
      <c r="HP558" t="s">
        <v>2473</v>
      </c>
      <c r="HR558" s="1">
        <v>41787</v>
      </c>
      <c r="HS558">
        <v>2013</v>
      </c>
      <c r="HT558">
        <v>370.54</v>
      </c>
      <c r="HU558" t="s">
        <v>5990</v>
      </c>
      <c r="HV558">
        <v>7.25</v>
      </c>
      <c r="HW558" t="s">
        <v>424</v>
      </c>
      <c r="HX558" t="s">
        <v>425</v>
      </c>
      <c r="HY558" s="1">
        <v>42426</v>
      </c>
      <c r="HZ558">
        <v>21</v>
      </c>
      <c r="IA558">
        <v>116</v>
      </c>
      <c r="IB558" t="s">
        <v>509</v>
      </c>
      <c r="ID558" s="1">
        <v>41423</v>
      </c>
      <c r="IE558">
        <v>2012</v>
      </c>
      <c r="IF558">
        <v>369.29</v>
      </c>
      <c r="IG558" t="s">
        <v>5991</v>
      </c>
      <c r="IH558">
        <v>4.75</v>
      </c>
      <c r="II558" t="s">
        <v>424</v>
      </c>
      <c r="IJ558" t="s">
        <v>425</v>
      </c>
      <c r="IK558" s="1">
        <v>42060</v>
      </c>
      <c r="IL558">
        <v>21</v>
      </c>
      <c r="IM558">
        <v>15407</v>
      </c>
      <c r="IN558" t="s">
        <v>1134</v>
      </c>
      <c r="IP558" s="1">
        <v>41052</v>
      </c>
      <c r="IQ558">
        <v>2011</v>
      </c>
      <c r="IR558">
        <v>400.72</v>
      </c>
      <c r="IS558" t="s">
        <v>5992</v>
      </c>
      <c r="IT558">
        <v>6</v>
      </c>
      <c r="IU558" t="s">
        <v>424</v>
      </c>
      <c r="IV558" t="s">
        <v>425</v>
      </c>
      <c r="IW558" s="1">
        <v>41698</v>
      </c>
      <c r="IX558">
        <v>21</v>
      </c>
      <c r="IY558">
        <v>1625515</v>
      </c>
      <c r="IZ558" t="s">
        <v>487</v>
      </c>
      <c r="JB558" s="1">
        <v>41052</v>
      </c>
      <c r="JC558">
        <v>2011</v>
      </c>
      <c r="JD558">
        <v>400.72</v>
      </c>
      <c r="JE558" t="s">
        <v>5992</v>
      </c>
      <c r="JF558">
        <v>6</v>
      </c>
      <c r="JG558" t="s">
        <v>424</v>
      </c>
      <c r="JH558" t="s">
        <v>425</v>
      </c>
      <c r="JJ558">
        <v>22</v>
      </c>
      <c r="JK558">
        <v>10579</v>
      </c>
      <c r="JL558" t="s">
        <v>488</v>
      </c>
      <c r="JN558" s="1">
        <v>40688</v>
      </c>
      <c r="JO558">
        <v>2010</v>
      </c>
      <c r="JP558">
        <v>416.02</v>
      </c>
      <c r="JQ558" t="s">
        <v>5993</v>
      </c>
      <c r="JR558">
        <v>6.75</v>
      </c>
      <c r="JS558" t="s">
        <v>424</v>
      </c>
      <c r="JT558" t="s">
        <v>425</v>
      </c>
      <c r="JU558" s="1">
        <v>41319</v>
      </c>
      <c r="JV558">
        <v>21</v>
      </c>
      <c r="JW558">
        <v>10579</v>
      </c>
      <c r="JX558" t="s">
        <v>488</v>
      </c>
    </row>
    <row r="559" spans="1:320" x14ac:dyDescent="0.25">
      <c r="A559">
        <v>16485566</v>
      </c>
      <c r="B559">
        <v>558</v>
      </c>
      <c r="C559" t="s">
        <v>393</v>
      </c>
      <c r="D559" t="s">
        <v>394</v>
      </c>
      <c r="F559" t="str">
        <f>"05-4N-24-1630-0013-0000"</f>
        <v>05-4N-24-1630-0013-0000</v>
      </c>
      <c r="H559" t="str">
        <f>"HARRIS ELMO A"</f>
        <v>HARRIS ELMO A</v>
      </c>
      <c r="I559" t="str">
        <f>"PO BOX 1076"</f>
        <v>PO BOX 1076</v>
      </c>
      <c r="J559" t="str">
        <f t="shared" si="167"/>
        <v>HILLIARD FL 32046</v>
      </c>
      <c r="K559" t="str">
        <f>"292041 PENNY HADDOCK RD"</f>
        <v>292041 PENNY HADDOCK RD</v>
      </c>
      <c r="L559" t="str">
        <f t="shared" si="168"/>
        <v>HILLIARD FL 32046</v>
      </c>
      <c r="M559" t="str">
        <f>"LOT 13 (IN SEC 32-5N-24) IN OR 1245/1581 PENNY HADDOCK ESTATES PB 5/338"</f>
        <v>LOT 13 (IN SEC 32-5N-24) IN OR 1245/1581 PENNY HADDOCK ESTATES PB 5/338</v>
      </c>
      <c r="N559" t="str">
        <f>""</f>
        <v/>
      </c>
      <c r="O559" t="str">
        <f>"21638"</f>
        <v>21638</v>
      </c>
      <c r="P559" t="str">
        <f t="shared" si="151"/>
        <v>2017</v>
      </c>
      <c r="Q559" t="str">
        <f>""</f>
        <v/>
      </c>
      <c r="R559" t="str">
        <f t="shared" si="169"/>
        <v>N</v>
      </c>
      <c r="S559" t="str">
        <f>"20.03"</f>
        <v>20.03</v>
      </c>
      <c r="T559" t="str">
        <f>"691.64"</f>
        <v>691.64</v>
      </c>
      <c r="U559" t="str">
        <f>"40150.00"</f>
        <v>40150.00</v>
      </c>
      <c r="V559" t="str">
        <f>"40150.00"</f>
        <v>40150.00</v>
      </c>
      <c r="W559" t="str">
        <f t="shared" si="152"/>
        <v>2017</v>
      </c>
      <c r="X559" t="str">
        <f>""</f>
        <v/>
      </c>
      <c r="Y559" t="str">
        <f>"744.39"</f>
        <v>744.39</v>
      </c>
      <c r="Z559" t="str">
        <f>""</f>
        <v/>
      </c>
      <c r="AA559" t="str">
        <f>"52853.00"</f>
        <v>52853.00</v>
      </c>
      <c r="AB559" t="str">
        <f>"Agricultural"</f>
        <v>Agricultural</v>
      </c>
      <c r="AC559" t="str">
        <f t="shared" si="161"/>
        <v>0</v>
      </c>
      <c r="AD559" t="str">
        <f>"4"</f>
        <v>4</v>
      </c>
      <c r="AE559" t="str">
        <f>"WOOD (INCLUDE STEEL STUDS)"</f>
        <v>WOOD (INCLUDE STEEL STUDS)</v>
      </c>
      <c r="AF559" t="str">
        <f>"060"</f>
        <v>060</v>
      </c>
      <c r="AG559" t="str">
        <f t="shared" si="165"/>
        <v>FL</v>
      </c>
      <c r="AH559" t="str">
        <f>"872506.00"</f>
        <v>872506.00</v>
      </c>
      <c r="AI559" t="str">
        <f>"21235.00"</f>
        <v>21235.00</v>
      </c>
      <c r="AJ559" t="str">
        <f>"C55-000-586-6399-8"</f>
        <v>C55-000-586-6399-8</v>
      </c>
      <c r="AK559" t="str">
        <f>"8254"</f>
        <v>8254</v>
      </c>
      <c r="AL559">
        <v>2</v>
      </c>
      <c r="AM559">
        <v>646</v>
      </c>
      <c r="AN559">
        <v>780.01</v>
      </c>
      <c r="AQ559" t="s">
        <v>5994</v>
      </c>
      <c r="AR559" t="s">
        <v>5994</v>
      </c>
      <c r="AS559" t="s">
        <v>5994</v>
      </c>
      <c r="AU559" t="s">
        <v>396</v>
      </c>
      <c r="AV559">
        <v>2017</v>
      </c>
      <c r="AW559" t="str">
        <f>"05-4N-24-1630-0013-0000 "</f>
        <v xml:space="preserve">05-4N-24-1630-0013-0000 </v>
      </c>
      <c r="AX559">
        <v>292041</v>
      </c>
      <c r="AZ559" t="s">
        <v>5959</v>
      </c>
      <c r="BA559" t="s">
        <v>496</v>
      </c>
      <c r="BD559" t="s">
        <v>398</v>
      </c>
      <c r="BE559" t="s">
        <v>393</v>
      </c>
      <c r="BF559">
        <v>32046</v>
      </c>
      <c r="BG559" t="s">
        <v>5995</v>
      </c>
      <c r="BH559" t="s">
        <v>400</v>
      </c>
      <c r="BI559">
        <v>-81.926770489844898</v>
      </c>
      <c r="BJ559">
        <v>30.805374409198301</v>
      </c>
      <c r="BK559" t="s">
        <v>4461</v>
      </c>
      <c r="BM559" t="s">
        <v>4462</v>
      </c>
      <c r="BN559" t="s">
        <v>403</v>
      </c>
      <c r="BO559">
        <v>32046</v>
      </c>
      <c r="BP559" t="s">
        <v>404</v>
      </c>
      <c r="BQ559">
        <v>6000</v>
      </c>
      <c r="BR559" t="s">
        <v>433</v>
      </c>
      <c r="BS559">
        <v>7003</v>
      </c>
      <c r="BT559" t="s">
        <v>434</v>
      </c>
      <c r="BW559">
        <v>872506</v>
      </c>
      <c r="BX559" t="s">
        <v>407</v>
      </c>
      <c r="BY559" t="s">
        <v>408</v>
      </c>
      <c r="BZ559">
        <v>4</v>
      </c>
      <c r="CA559">
        <v>1992</v>
      </c>
      <c r="CC559">
        <v>1</v>
      </c>
      <c r="CD559">
        <v>2017</v>
      </c>
      <c r="CG559">
        <v>52853</v>
      </c>
      <c r="CH559">
        <v>2017</v>
      </c>
      <c r="CI559">
        <v>21235</v>
      </c>
      <c r="CJ559">
        <v>115518</v>
      </c>
      <c r="CK559">
        <v>136753</v>
      </c>
      <c r="CL559">
        <v>2017</v>
      </c>
      <c r="CM559">
        <v>691.64</v>
      </c>
      <c r="CN559" s="1">
        <v>38183</v>
      </c>
      <c r="CZ559" s="1">
        <v>38183</v>
      </c>
      <c r="DD559" t="s">
        <v>398</v>
      </c>
      <c r="DF559">
        <v>13</v>
      </c>
      <c r="DG559">
        <v>32</v>
      </c>
      <c r="DJ559" t="s">
        <v>5983</v>
      </c>
      <c r="DL559">
        <v>50400</v>
      </c>
      <c r="DM559" t="s">
        <v>5996</v>
      </c>
      <c r="DO559" t="s">
        <v>5997</v>
      </c>
      <c r="DP559">
        <v>0</v>
      </c>
      <c r="DQ559">
        <v>0</v>
      </c>
      <c r="DR559" t="s">
        <v>411</v>
      </c>
    </row>
    <row r="560" spans="1:320" x14ac:dyDescent="0.25">
      <c r="A560">
        <v>16485567</v>
      </c>
      <c r="B560">
        <v>559</v>
      </c>
      <c r="C560" t="s">
        <v>393</v>
      </c>
      <c r="D560" t="s">
        <v>394</v>
      </c>
      <c r="F560" t="str">
        <f>"07-4N-24-0000-0006-0150"</f>
        <v>07-4N-24-0000-0006-0150</v>
      </c>
      <c r="H560" t="str">
        <f>"PURVIS WILLIAM B &amp; SYBIL H"</f>
        <v>PURVIS WILLIAM B &amp; SYBIL H</v>
      </c>
      <c r="I560" t="str">
        <f>"36002 DUSDEE WILLOWS LANE"</f>
        <v>36002 DUSDEE WILLOWS LANE</v>
      </c>
      <c r="J560" t="str">
        <f>"CALLAHAN FL 32011"</f>
        <v>CALLAHAN FL 32011</v>
      </c>
      <c r="K560" t="str">
        <f>"29114 PIGEON CREEK RD"</f>
        <v>29114 PIGEON CREEK RD</v>
      </c>
      <c r="L560" t="str">
        <f t="shared" si="168"/>
        <v>HILLIARD FL 32046</v>
      </c>
      <c r="M560" t="str">
        <f>"PT GOVT LOT 4 OF SEC 7-4N-24E IN OR 1382/1828 {2001 NOBI-DW}"</f>
        <v>PT GOVT LOT 4 OF SEC 7-4N-24E IN OR 1382/1828 {2001 NOBI-DW}</v>
      </c>
      <c r="N560" t="str">
        <f>""</f>
        <v/>
      </c>
      <c r="O560" t="str">
        <f>"22604"</f>
        <v>22604</v>
      </c>
      <c r="P560" t="str">
        <f t="shared" si="151"/>
        <v>2017</v>
      </c>
      <c r="Q560" t="str">
        <f>""</f>
        <v/>
      </c>
      <c r="R560" t="str">
        <f t="shared" si="169"/>
        <v>N</v>
      </c>
      <c r="S560" t="str">
        <f>"1.25"</f>
        <v>1.25</v>
      </c>
      <c r="T560" t="str">
        <f>"585.02"</f>
        <v>585.02</v>
      </c>
      <c r="U560" t="str">
        <f>"35102.00"</f>
        <v>35102.00</v>
      </c>
      <c r="V560" t="str">
        <f>"35102.00"</f>
        <v>35102.00</v>
      </c>
      <c r="W560" t="str">
        <f t="shared" si="152"/>
        <v>2017</v>
      </c>
      <c r="X560" t="str">
        <f>""</f>
        <v/>
      </c>
      <c r="Y560" t="str">
        <f>"634.57"</f>
        <v>634.57</v>
      </c>
      <c r="Z560" t="str">
        <f>""</f>
        <v/>
      </c>
      <c r="AA560" t="str">
        <f>"43231.00"</f>
        <v>43231.00</v>
      </c>
      <c r="AB560" t="str">
        <f t="shared" ref="AB560:AB576" si="170">"Residential"</f>
        <v>Residential</v>
      </c>
      <c r="AC560" t="str">
        <f t="shared" si="161"/>
        <v>0</v>
      </c>
      <c r="AD560" t="str">
        <f>"4"</f>
        <v>4</v>
      </c>
      <c r="AE560" t="str">
        <f>"WOOD (INCLUDE STEEL STUDS)"</f>
        <v>WOOD (INCLUDE STEEL STUDS)</v>
      </c>
      <c r="AF560" t="str">
        <f>"002"</f>
        <v>002</v>
      </c>
      <c r="AG560" t="str">
        <f t="shared" si="165"/>
        <v>FL</v>
      </c>
      <c r="AH560" t="str">
        <f>"54450.00"</f>
        <v>54450.00</v>
      </c>
      <c r="AI560" t="str">
        <f>"18750.00"</f>
        <v>18750.00</v>
      </c>
      <c r="AJ560" t="str">
        <f>"C55-000-586-6984-7"</f>
        <v>C55-000-586-6984-7</v>
      </c>
      <c r="AK560" t="str">
        <f>"8278"</f>
        <v>8278</v>
      </c>
      <c r="AL560">
        <v>2</v>
      </c>
      <c r="AM560">
        <v>647</v>
      </c>
      <c r="AN560">
        <v>664.7</v>
      </c>
      <c r="AQ560" t="s">
        <v>5998</v>
      </c>
      <c r="AR560" t="s">
        <v>5998</v>
      </c>
      <c r="AS560" t="s">
        <v>5998</v>
      </c>
      <c r="AU560" t="s">
        <v>396</v>
      </c>
      <c r="AV560">
        <v>2017</v>
      </c>
      <c r="AW560" t="str">
        <f>"07-4N-24-0000-0006-0150 "</f>
        <v xml:space="preserve">07-4N-24-0000-0006-0150 </v>
      </c>
      <c r="AX560">
        <v>29114</v>
      </c>
      <c r="AZ560" t="s">
        <v>5999</v>
      </c>
      <c r="BA560" t="s">
        <v>496</v>
      </c>
      <c r="BD560" t="s">
        <v>398</v>
      </c>
      <c r="BE560" t="s">
        <v>393</v>
      </c>
      <c r="BF560">
        <v>32046</v>
      </c>
      <c r="BG560" t="s">
        <v>6000</v>
      </c>
      <c r="BH560" t="s">
        <v>400</v>
      </c>
      <c r="BI560">
        <v>-81.950653850232101</v>
      </c>
      <c r="BJ560">
        <v>30.778320081229499</v>
      </c>
      <c r="BK560" t="s">
        <v>6001</v>
      </c>
      <c r="BM560" t="s">
        <v>2414</v>
      </c>
      <c r="BN560" t="s">
        <v>403</v>
      </c>
      <c r="BO560">
        <v>32046</v>
      </c>
      <c r="BP560" t="s">
        <v>404</v>
      </c>
      <c r="BQ560">
        <v>200</v>
      </c>
      <c r="BR560" t="s">
        <v>405</v>
      </c>
      <c r="BS560">
        <v>1006</v>
      </c>
      <c r="BT560" t="s">
        <v>406</v>
      </c>
      <c r="BW560">
        <v>54450</v>
      </c>
      <c r="BX560" t="s">
        <v>407</v>
      </c>
      <c r="BY560" t="s">
        <v>408</v>
      </c>
      <c r="BZ560">
        <v>4</v>
      </c>
      <c r="CA560">
        <v>2001</v>
      </c>
      <c r="CC560">
        <v>1</v>
      </c>
      <c r="CD560">
        <v>2017</v>
      </c>
      <c r="CE560">
        <v>18750</v>
      </c>
      <c r="CF560">
        <v>24481</v>
      </c>
      <c r="CG560">
        <v>43231</v>
      </c>
      <c r="CH560">
        <v>2017</v>
      </c>
      <c r="CI560">
        <v>18750</v>
      </c>
      <c r="CJ560">
        <v>24481</v>
      </c>
      <c r="CK560">
        <v>43231</v>
      </c>
      <c r="CL560">
        <v>2017</v>
      </c>
      <c r="CM560">
        <v>585.02</v>
      </c>
      <c r="CN560" s="1">
        <v>43011</v>
      </c>
      <c r="CO560">
        <v>390000</v>
      </c>
      <c r="CV560">
        <v>39000</v>
      </c>
      <c r="CX560" t="s">
        <v>675</v>
      </c>
      <c r="CZ560" s="1">
        <v>43011</v>
      </c>
      <c r="DA560">
        <v>0</v>
      </c>
      <c r="DD560" t="s">
        <v>398</v>
      </c>
      <c r="DF560">
        <v>4</v>
      </c>
      <c r="DG560">
        <v>7</v>
      </c>
      <c r="DL560">
        <v>50400</v>
      </c>
      <c r="DM560" t="s">
        <v>6002</v>
      </c>
      <c r="DO560" t="s">
        <v>6003</v>
      </c>
      <c r="DP560">
        <v>0</v>
      </c>
      <c r="DQ560">
        <v>0</v>
      </c>
      <c r="DR560" t="s">
        <v>411</v>
      </c>
    </row>
    <row r="561" spans="1:272" x14ac:dyDescent="0.25">
      <c r="A561">
        <v>16485568</v>
      </c>
      <c r="B561">
        <v>560</v>
      </c>
      <c r="C561" t="s">
        <v>393</v>
      </c>
      <c r="D561" t="s">
        <v>394</v>
      </c>
      <c r="F561" t="str">
        <f>"07-4N-24-0000-0009-0000"</f>
        <v>07-4N-24-0000-0009-0000</v>
      </c>
      <c r="H561" t="str">
        <f>"KEENE HAL L JR"</f>
        <v>KEENE HAL L JR</v>
      </c>
      <c r="I561" t="str">
        <f>"282131 LAKE HAMPTON ROAD"</f>
        <v>282131 LAKE HAMPTON ROAD</v>
      </c>
      <c r="J561" t="str">
        <f>"HILLIARD FL 32046"</f>
        <v>HILLIARD FL 32046</v>
      </c>
      <c r="K561" t="str">
        <f>"282085 LAKE HAMPTON RD"</f>
        <v>282085 LAKE HAMPTON RD</v>
      </c>
      <c r="L561" t="str">
        <f t="shared" si="168"/>
        <v>HILLIARD FL 32046</v>
      </c>
      <c r="M561" t="str">
        <f>"IN OR 1498/1525 R/W IN OR 631/1041 EX 9-1"</f>
        <v>IN OR 1498/1525 R/W IN OR 631/1041 EX 9-1</v>
      </c>
      <c r="N561" t="str">
        <f>""</f>
        <v/>
      </c>
      <c r="O561" t="str">
        <f>"22610"</f>
        <v>22610</v>
      </c>
      <c r="P561" t="str">
        <f t="shared" si="151"/>
        <v>2017</v>
      </c>
      <c r="Q561" t="str">
        <f>""</f>
        <v/>
      </c>
      <c r="R561" t="str">
        <f t="shared" si="169"/>
        <v>N</v>
      </c>
      <c r="S561" t="str">
        <f>"2.46"</f>
        <v>2.46</v>
      </c>
      <c r="T561" t="str">
        <f>"290.48"</f>
        <v>290.48</v>
      </c>
      <c r="U561" t="str">
        <f>"19188.00"</f>
        <v>19188.00</v>
      </c>
      <c r="V561" t="str">
        <f>"19188.00"</f>
        <v>19188.00</v>
      </c>
      <c r="W561" t="str">
        <f t="shared" si="152"/>
        <v>2017</v>
      </c>
      <c r="X561" t="str">
        <f>"15.71"</f>
        <v>15.71</v>
      </c>
      <c r="Y561" t="str">
        <f>"331.19"</f>
        <v>331.19</v>
      </c>
      <c r="Z561" t="str">
        <f>""</f>
        <v/>
      </c>
      <c r="AA561" t="str">
        <f>"19188.00"</f>
        <v>19188.00</v>
      </c>
      <c r="AB561" t="str">
        <f t="shared" si="170"/>
        <v>Residential</v>
      </c>
      <c r="AC561" t="str">
        <f t="shared" si="161"/>
        <v>0</v>
      </c>
      <c r="AD561" t="str">
        <f>""</f>
        <v/>
      </c>
      <c r="AE561" t="str">
        <f>""</f>
        <v/>
      </c>
      <c r="AF561" t="str">
        <f>"000"</f>
        <v>000</v>
      </c>
      <c r="AG561" t="str">
        <f t="shared" si="165"/>
        <v>FL</v>
      </c>
      <c r="AH561" t="str">
        <f>"107157.00"</f>
        <v>107157.00</v>
      </c>
      <c r="AI561" t="str">
        <f>"19188.00"</f>
        <v>19188.00</v>
      </c>
      <c r="AJ561" t="str">
        <f>"C55-000-586-6987-0"</f>
        <v>C55-000-586-6987-0</v>
      </c>
      <c r="AK561" t="str">
        <f>"8284"</f>
        <v>8284</v>
      </c>
      <c r="AL561">
        <v>2</v>
      </c>
      <c r="AM561">
        <v>648</v>
      </c>
      <c r="AN561">
        <v>346.15</v>
      </c>
      <c r="AQ561" t="s">
        <v>6004</v>
      </c>
      <c r="AR561" t="s">
        <v>6004</v>
      </c>
      <c r="AS561" t="s">
        <v>6004</v>
      </c>
      <c r="AU561" t="s">
        <v>396</v>
      </c>
      <c r="AV561">
        <v>2017</v>
      </c>
      <c r="AW561" t="str">
        <f>"07-4N-24-0000-0009-0000 "</f>
        <v xml:space="preserve">07-4N-24-0000-0009-0000 </v>
      </c>
      <c r="AX561">
        <v>282085</v>
      </c>
      <c r="AZ561" t="s">
        <v>2217</v>
      </c>
      <c r="BA561" t="s">
        <v>496</v>
      </c>
      <c r="BD561" t="s">
        <v>398</v>
      </c>
      <c r="BE561" t="s">
        <v>393</v>
      </c>
      <c r="BF561">
        <v>32046</v>
      </c>
      <c r="BG561" t="s">
        <v>6005</v>
      </c>
      <c r="BH561" t="s">
        <v>400</v>
      </c>
      <c r="BI561">
        <v>-81.945375910082106</v>
      </c>
      <c r="BJ561">
        <v>30.780116951843699</v>
      </c>
      <c r="BK561" t="s">
        <v>6006</v>
      </c>
      <c r="BM561" t="s">
        <v>6007</v>
      </c>
      <c r="BN561" t="s">
        <v>403</v>
      </c>
      <c r="BO561">
        <v>32046</v>
      </c>
      <c r="BP561" t="s">
        <v>404</v>
      </c>
      <c r="BQ561">
        <v>0</v>
      </c>
      <c r="BR561" t="s">
        <v>491</v>
      </c>
      <c r="BS561">
        <v>8001</v>
      </c>
      <c r="BT561" t="s">
        <v>492</v>
      </c>
      <c r="BW561">
        <v>107157</v>
      </c>
      <c r="BX561" t="s">
        <v>407</v>
      </c>
      <c r="BY561" t="s">
        <v>408</v>
      </c>
      <c r="CD561">
        <v>2017</v>
      </c>
      <c r="CE561">
        <v>19188</v>
      </c>
      <c r="CG561">
        <v>19188</v>
      </c>
      <c r="CH561">
        <v>2017</v>
      </c>
      <c r="CI561">
        <v>19188</v>
      </c>
      <c r="CK561">
        <v>19188</v>
      </c>
      <c r="CL561">
        <v>2017</v>
      </c>
      <c r="CM561">
        <v>290.48</v>
      </c>
      <c r="CN561" s="1">
        <v>39216</v>
      </c>
      <c r="CO561">
        <v>26100</v>
      </c>
      <c r="CV561">
        <v>0</v>
      </c>
      <c r="CZ561" s="1">
        <v>39216</v>
      </c>
      <c r="DA561">
        <v>0</v>
      </c>
      <c r="DD561" t="s">
        <v>398</v>
      </c>
      <c r="DG561">
        <v>7</v>
      </c>
      <c r="DL561">
        <v>50400</v>
      </c>
      <c r="DM561" t="s">
        <v>6002</v>
      </c>
      <c r="DO561" t="s">
        <v>6008</v>
      </c>
      <c r="DP561">
        <v>0</v>
      </c>
      <c r="DQ561">
        <v>0</v>
      </c>
      <c r="DR561" t="s">
        <v>411</v>
      </c>
      <c r="DS561" t="b">
        <v>1</v>
      </c>
      <c r="DT561" t="s">
        <v>470</v>
      </c>
      <c r="DU561" t="s">
        <v>471</v>
      </c>
      <c r="DV561" t="s">
        <v>472</v>
      </c>
      <c r="DX561">
        <v>-9999</v>
      </c>
      <c r="DZ561" t="s">
        <v>447</v>
      </c>
      <c r="EA561" t="s">
        <v>448</v>
      </c>
      <c r="EB561" t="s">
        <v>1224</v>
      </c>
      <c r="EC561">
        <v>20101217</v>
      </c>
      <c r="ED561" t="s">
        <v>474</v>
      </c>
      <c r="EF561">
        <v>2317.9</v>
      </c>
      <c r="EG561">
        <v>2317.9</v>
      </c>
      <c r="EI561">
        <v>20160407</v>
      </c>
      <c r="EJ561">
        <v>0</v>
      </c>
      <c r="EK561">
        <v>0</v>
      </c>
      <c r="EP561" t="s">
        <v>421</v>
      </c>
      <c r="EQ561" t="s">
        <v>422</v>
      </c>
      <c r="ER561">
        <v>0</v>
      </c>
      <c r="ES561">
        <v>6</v>
      </c>
      <c r="ET561">
        <v>0</v>
      </c>
      <c r="EU561">
        <v>0</v>
      </c>
      <c r="EV561">
        <v>0</v>
      </c>
      <c r="EW561" s="2">
        <v>43222</v>
      </c>
      <c r="EX561" s="1">
        <v>42515</v>
      </c>
      <c r="EY561">
        <v>2015</v>
      </c>
      <c r="EZ561">
        <v>333.48</v>
      </c>
      <c r="FA561" t="s">
        <v>6009</v>
      </c>
      <c r="FB561">
        <v>15.25</v>
      </c>
      <c r="FC561" t="s">
        <v>424</v>
      </c>
      <c r="FD561" t="s">
        <v>425</v>
      </c>
      <c r="FE561" s="1">
        <v>42851</v>
      </c>
      <c r="FF561">
        <v>11</v>
      </c>
      <c r="FG561">
        <v>10125</v>
      </c>
      <c r="FH561" t="s">
        <v>440</v>
      </c>
      <c r="FJ561" s="1">
        <v>42151</v>
      </c>
      <c r="FK561">
        <v>2014</v>
      </c>
      <c r="FL561">
        <v>295.29000000000002</v>
      </c>
      <c r="FM561" t="s">
        <v>6010</v>
      </c>
      <c r="FN561">
        <v>4.75</v>
      </c>
      <c r="FO561" t="s">
        <v>424</v>
      </c>
      <c r="FP561" t="s">
        <v>425</v>
      </c>
      <c r="FQ561" s="1">
        <v>42807</v>
      </c>
      <c r="FR561">
        <v>22</v>
      </c>
      <c r="FS561">
        <v>4975593</v>
      </c>
      <c r="FT561" t="s">
        <v>505</v>
      </c>
      <c r="FV561" s="1">
        <v>41787</v>
      </c>
      <c r="FW561">
        <v>2013</v>
      </c>
      <c r="FX561">
        <v>280.68</v>
      </c>
      <c r="FY561" t="s">
        <v>6011</v>
      </c>
      <c r="FZ561">
        <v>6.75</v>
      </c>
      <c r="GA561" t="s">
        <v>424</v>
      </c>
      <c r="GB561" t="s">
        <v>425</v>
      </c>
      <c r="GD561">
        <v>22</v>
      </c>
      <c r="GE561">
        <v>2035919</v>
      </c>
      <c r="GF561" t="s">
        <v>507</v>
      </c>
      <c r="GH561" s="1">
        <v>41787</v>
      </c>
      <c r="GI561">
        <v>2013</v>
      </c>
      <c r="GJ561">
        <v>280.68</v>
      </c>
      <c r="GK561" t="s">
        <v>6011</v>
      </c>
      <c r="GL561">
        <v>6.75</v>
      </c>
      <c r="GM561" t="s">
        <v>424</v>
      </c>
      <c r="GN561" t="s">
        <v>425</v>
      </c>
      <c r="GO561" s="1">
        <v>42647</v>
      </c>
      <c r="GP561">
        <v>29</v>
      </c>
      <c r="GQ561">
        <v>7336670</v>
      </c>
      <c r="GR561" t="s">
        <v>2102</v>
      </c>
      <c r="GT561" s="1">
        <v>41423</v>
      </c>
      <c r="GU561">
        <v>2012</v>
      </c>
      <c r="GV561">
        <v>323.18</v>
      </c>
      <c r="GW561" t="s">
        <v>6012</v>
      </c>
      <c r="GX561">
        <v>5.75</v>
      </c>
      <c r="GY561" t="s">
        <v>424</v>
      </c>
      <c r="GZ561" t="s">
        <v>425</v>
      </c>
      <c r="HA561" s="1">
        <v>42151</v>
      </c>
      <c r="HB561">
        <v>24</v>
      </c>
      <c r="HC561">
        <v>2101381</v>
      </c>
      <c r="HD561" t="s">
        <v>605</v>
      </c>
      <c r="HF561" s="1">
        <v>41052</v>
      </c>
      <c r="HG561">
        <v>2011</v>
      </c>
      <c r="HH561">
        <v>373.76</v>
      </c>
      <c r="HI561" t="s">
        <v>6013</v>
      </c>
      <c r="HJ561">
        <v>6.25</v>
      </c>
      <c r="HK561" t="s">
        <v>424</v>
      </c>
      <c r="HL561" t="s">
        <v>425</v>
      </c>
      <c r="HM561" s="1">
        <v>41698</v>
      </c>
      <c r="HN561">
        <v>21</v>
      </c>
      <c r="HO561">
        <v>375</v>
      </c>
      <c r="HP561" t="s">
        <v>776</v>
      </c>
    </row>
    <row r="562" spans="1:272" x14ac:dyDescent="0.25">
      <c r="A562">
        <v>16485569</v>
      </c>
      <c r="B562">
        <v>561</v>
      </c>
      <c r="C562" t="s">
        <v>393</v>
      </c>
      <c r="D562" t="s">
        <v>394</v>
      </c>
      <c r="F562" t="str">
        <f>"09-4N-24-0000-0002-0030"</f>
        <v>09-4N-24-0000-0002-0030</v>
      </c>
      <c r="H562" t="str">
        <f>"JORDAN THEODORE C &amp; JORDAN AMANDA A (JT/RS)"</f>
        <v>JORDAN THEODORE C &amp; JORDAN AMANDA A (JT/RS)</v>
      </c>
      <c r="I562" t="str">
        <f>"39107 HIERS WAY"</f>
        <v>39107 HIERS WAY</v>
      </c>
      <c r="J562" t="str">
        <f>"HILLIARD FL 32046"</f>
        <v>HILLIARD FL 32046</v>
      </c>
      <c r="K562" t="str">
        <f>"39107 HIERS WAY"</f>
        <v>39107 HIERS WAY</v>
      </c>
      <c r="L562" t="str">
        <f t="shared" si="168"/>
        <v>HILLIARD FL 32046</v>
      </c>
      <c r="M562" t="str">
        <f>"NE1/4 OF NW1/4 OF SEC 9 PARCELS 2-3 &amp; 2-17 SE1/4 OF SW1/4 OF SEC 40 PARCEL 2-3 IN OR 2008/966 R497952 &amp; R497953 (1981 MH) 2000 PION DW/MH"</f>
        <v>NE1/4 OF NW1/4 OF SEC 9 PARCELS 2-3 &amp; 2-17 SE1/4 OF SW1/4 OF SEC 40 PARCEL 2-3 IN OR 2008/966 R497952 &amp; R497953 (1981 MH) 2000 PION DW/MH</v>
      </c>
      <c r="N562" t="str">
        <f>""</f>
        <v/>
      </c>
      <c r="O562" t="str">
        <f>"25315"</f>
        <v>25315</v>
      </c>
      <c r="P562" t="str">
        <f t="shared" si="151"/>
        <v>2017</v>
      </c>
      <c r="Q562" t="str">
        <f>""</f>
        <v/>
      </c>
      <c r="R562" t="str">
        <f t="shared" si="169"/>
        <v>N</v>
      </c>
      <c r="S562" t="str">
        <f>"10.00"</f>
        <v>10.00</v>
      </c>
      <c r="T562" t="str">
        <f>"1916.59"</f>
        <v>1916.59</v>
      </c>
      <c r="U562" t="str">
        <f>"126601.00"</f>
        <v>126601.00</v>
      </c>
      <c r="V562" t="str">
        <f>"126601.00"</f>
        <v>126601.00</v>
      </c>
      <c r="W562" t="str">
        <f t="shared" si="152"/>
        <v>2017</v>
      </c>
      <c r="X562" t="str">
        <f>"21.67"</f>
        <v>21.67</v>
      </c>
      <c r="Y562" t="str">
        <f>"2006.09"</f>
        <v>2006.09</v>
      </c>
      <c r="Z562" t="str">
        <f>""</f>
        <v/>
      </c>
      <c r="AA562" t="str">
        <f>"126601.00"</f>
        <v>126601.00</v>
      </c>
      <c r="AB562" t="str">
        <f t="shared" si="170"/>
        <v>Residential</v>
      </c>
      <c r="AC562" t="str">
        <f t="shared" si="161"/>
        <v>0</v>
      </c>
      <c r="AD562" t="str">
        <f>"4"</f>
        <v>4</v>
      </c>
      <c r="AE562" t="str">
        <f>"WOOD (INCLUDE STEEL STUDS)"</f>
        <v>WOOD (INCLUDE STEEL STUDS)</v>
      </c>
      <c r="AF562" t="str">
        <f>"002"</f>
        <v>002</v>
      </c>
      <c r="AG562" t="str">
        <f t="shared" si="165"/>
        <v>FL</v>
      </c>
      <c r="AH562" t="str">
        <f>"435600.00"</f>
        <v>435600.00</v>
      </c>
      <c r="AI562" t="str">
        <f>"48000.00"</f>
        <v>48000.00</v>
      </c>
      <c r="AJ562" t="str">
        <f>"C55-000-586-8578-5"</f>
        <v>C55-000-586-8578-5</v>
      </c>
      <c r="AK562" t="str">
        <f>"8323"</f>
        <v>8323</v>
      </c>
      <c r="AL562">
        <v>2</v>
      </c>
      <c r="AM562">
        <v>649</v>
      </c>
      <c r="AN562">
        <v>2104.79</v>
      </c>
      <c r="AQ562" t="s">
        <v>6014</v>
      </c>
      <c r="AR562" t="s">
        <v>6014</v>
      </c>
      <c r="AS562" t="s">
        <v>6014</v>
      </c>
      <c r="AU562" t="s">
        <v>396</v>
      </c>
      <c r="AV562">
        <v>2017</v>
      </c>
      <c r="AW562" t="str">
        <f>"09-4N-24-0000-0002-0030 "</f>
        <v xml:space="preserve">09-4N-24-0000-0002-0030 </v>
      </c>
      <c r="AX562">
        <v>39107</v>
      </c>
      <c r="AZ562" t="s">
        <v>6015</v>
      </c>
      <c r="BA562" t="s">
        <v>866</v>
      </c>
      <c r="BD562" t="s">
        <v>398</v>
      </c>
      <c r="BE562" t="s">
        <v>393</v>
      </c>
      <c r="BF562">
        <v>32046</v>
      </c>
      <c r="BG562" t="s">
        <v>6016</v>
      </c>
      <c r="BH562" t="s">
        <v>400</v>
      </c>
      <c r="BI562">
        <v>-81.918011163515303</v>
      </c>
      <c r="BJ562">
        <v>30.782438753338901</v>
      </c>
      <c r="BK562" t="s">
        <v>6017</v>
      </c>
      <c r="BL562" t="s">
        <v>6018</v>
      </c>
      <c r="BM562" t="s">
        <v>6016</v>
      </c>
      <c r="BN562" t="s">
        <v>403</v>
      </c>
      <c r="BO562">
        <v>32046</v>
      </c>
      <c r="BP562" t="s">
        <v>416</v>
      </c>
      <c r="BQ562">
        <v>200</v>
      </c>
      <c r="BR562" t="s">
        <v>405</v>
      </c>
      <c r="BS562">
        <v>1006</v>
      </c>
      <c r="BT562" t="s">
        <v>406</v>
      </c>
      <c r="BW562">
        <v>435600</v>
      </c>
      <c r="BX562" t="s">
        <v>407</v>
      </c>
      <c r="BY562" t="s">
        <v>408</v>
      </c>
      <c r="BZ562">
        <v>4</v>
      </c>
      <c r="CA562">
        <v>1981</v>
      </c>
      <c r="CB562">
        <v>1</v>
      </c>
      <c r="CC562">
        <v>2</v>
      </c>
      <c r="CD562">
        <v>2017</v>
      </c>
      <c r="CE562">
        <v>48000</v>
      </c>
      <c r="CF562">
        <v>78601</v>
      </c>
      <c r="CG562">
        <v>126601</v>
      </c>
      <c r="CH562">
        <v>2017</v>
      </c>
      <c r="CI562">
        <v>48000</v>
      </c>
      <c r="CJ562">
        <v>78601</v>
      </c>
      <c r="CK562">
        <v>126601</v>
      </c>
      <c r="CL562">
        <v>2017</v>
      </c>
      <c r="CM562">
        <v>1916.59</v>
      </c>
      <c r="CN562" s="1">
        <v>42290</v>
      </c>
      <c r="CO562">
        <v>86200</v>
      </c>
      <c r="CV562">
        <v>86200</v>
      </c>
      <c r="CX562" t="s">
        <v>675</v>
      </c>
      <c r="CZ562" s="1">
        <v>42290</v>
      </c>
      <c r="DA562">
        <v>0</v>
      </c>
      <c r="DD562" t="s">
        <v>398</v>
      </c>
      <c r="DG562">
        <v>9</v>
      </c>
      <c r="DL562">
        <v>50400</v>
      </c>
      <c r="DM562" t="s">
        <v>6019</v>
      </c>
      <c r="DO562" t="s">
        <v>6020</v>
      </c>
      <c r="DP562">
        <v>0</v>
      </c>
      <c r="DQ562">
        <v>0</v>
      </c>
      <c r="DR562" t="s">
        <v>411</v>
      </c>
      <c r="DS562" t="b">
        <v>1</v>
      </c>
      <c r="DT562" t="s">
        <v>470</v>
      </c>
      <c r="DU562" t="s">
        <v>471</v>
      </c>
      <c r="DV562" t="s">
        <v>472</v>
      </c>
      <c r="DX562">
        <v>-9999</v>
      </c>
      <c r="DZ562" t="s">
        <v>447</v>
      </c>
      <c r="EA562" t="s">
        <v>448</v>
      </c>
      <c r="EB562" t="s">
        <v>1224</v>
      </c>
      <c r="EC562">
        <v>20101217</v>
      </c>
      <c r="ED562" t="s">
        <v>474</v>
      </c>
      <c r="EF562">
        <v>433.2</v>
      </c>
      <c r="EG562">
        <v>433.2</v>
      </c>
      <c r="EI562">
        <v>20160407</v>
      </c>
      <c r="EJ562">
        <v>0</v>
      </c>
      <c r="EK562">
        <v>0</v>
      </c>
      <c r="EP562" t="s">
        <v>421</v>
      </c>
      <c r="EQ562" t="s">
        <v>422</v>
      </c>
      <c r="ER562">
        <v>2</v>
      </c>
      <c r="ES562">
        <v>6</v>
      </c>
      <c r="ET562">
        <v>4097.9799999999996</v>
      </c>
      <c r="EU562">
        <v>217.4</v>
      </c>
      <c r="EV562">
        <v>4315.38</v>
      </c>
      <c r="EW562" s="2">
        <v>43222</v>
      </c>
      <c r="EX562" s="1">
        <v>42879</v>
      </c>
      <c r="EY562">
        <v>2016</v>
      </c>
      <c r="EZ562">
        <v>2048.9899999999998</v>
      </c>
      <c r="FA562" t="s">
        <v>6021</v>
      </c>
      <c r="FB562">
        <v>0.25</v>
      </c>
      <c r="FC562" t="s">
        <v>424</v>
      </c>
      <c r="FD562" t="s">
        <v>454</v>
      </c>
      <c r="FF562">
        <v>12</v>
      </c>
      <c r="FG562">
        <v>2851116</v>
      </c>
      <c r="FH562" t="s">
        <v>480</v>
      </c>
      <c r="FJ562" s="1">
        <v>42879</v>
      </c>
      <c r="FK562">
        <v>2016</v>
      </c>
      <c r="FL562">
        <v>2048.9899999999998</v>
      </c>
      <c r="FM562" t="s">
        <v>6021</v>
      </c>
      <c r="FN562">
        <v>0.25</v>
      </c>
      <c r="FO562" t="s">
        <v>424</v>
      </c>
      <c r="FP562" t="s">
        <v>454</v>
      </c>
      <c r="FR562">
        <v>12</v>
      </c>
      <c r="FS562">
        <v>5402715</v>
      </c>
      <c r="FT562" t="s">
        <v>6022</v>
      </c>
      <c r="FV562" s="1">
        <v>42515</v>
      </c>
      <c r="FW562">
        <v>2015</v>
      </c>
      <c r="FX562">
        <v>2085.5500000000002</v>
      </c>
      <c r="FY562" t="s">
        <v>6023</v>
      </c>
      <c r="FZ562">
        <v>0.25</v>
      </c>
      <c r="GA562" t="s">
        <v>424</v>
      </c>
      <c r="GB562" t="s">
        <v>425</v>
      </c>
      <c r="GC562" s="1">
        <v>43159</v>
      </c>
      <c r="GD562">
        <v>21</v>
      </c>
      <c r="GE562">
        <v>11289</v>
      </c>
      <c r="GF562" t="s">
        <v>787</v>
      </c>
      <c r="GH562" s="1">
        <v>42515</v>
      </c>
      <c r="GI562">
        <v>2015</v>
      </c>
      <c r="GJ562">
        <v>2085.5500000000002</v>
      </c>
      <c r="GK562" t="s">
        <v>6023</v>
      </c>
      <c r="GL562">
        <v>0.25</v>
      </c>
      <c r="GM562" t="s">
        <v>424</v>
      </c>
      <c r="GN562" t="s">
        <v>425</v>
      </c>
      <c r="GP562">
        <v>22</v>
      </c>
      <c r="GQ562">
        <v>7172104</v>
      </c>
      <c r="GR562" t="s">
        <v>6024</v>
      </c>
      <c r="GT562" s="1">
        <v>42151</v>
      </c>
      <c r="GU562">
        <v>2014</v>
      </c>
      <c r="GV562">
        <v>1382.49</v>
      </c>
      <c r="GW562" t="s">
        <v>6025</v>
      </c>
      <c r="GX562">
        <v>0.25</v>
      </c>
      <c r="GY562" t="s">
        <v>424</v>
      </c>
      <c r="GZ562" t="s">
        <v>425</v>
      </c>
      <c r="HB562">
        <v>22</v>
      </c>
      <c r="HC562">
        <v>11289</v>
      </c>
      <c r="HD562" t="s">
        <v>787</v>
      </c>
      <c r="HF562" s="1">
        <v>42151</v>
      </c>
      <c r="HG562">
        <v>2014</v>
      </c>
      <c r="HH562">
        <v>1382.49</v>
      </c>
      <c r="HI562" t="s">
        <v>6025</v>
      </c>
      <c r="HJ562">
        <v>0.25</v>
      </c>
      <c r="HK562" t="s">
        <v>424</v>
      </c>
      <c r="HL562" t="s">
        <v>425</v>
      </c>
      <c r="HN562">
        <v>22</v>
      </c>
      <c r="HO562">
        <v>5171399</v>
      </c>
      <c r="HP562" t="s">
        <v>6026</v>
      </c>
      <c r="HR562" s="1">
        <v>42151</v>
      </c>
      <c r="HS562">
        <v>2014</v>
      </c>
      <c r="HT562">
        <v>1382.49</v>
      </c>
      <c r="HU562" t="s">
        <v>6025</v>
      </c>
      <c r="HV562">
        <v>0.25</v>
      </c>
      <c r="HW562" t="s">
        <v>424</v>
      </c>
      <c r="HX562" t="s">
        <v>425</v>
      </c>
      <c r="HY562" s="1">
        <v>42825</v>
      </c>
      <c r="HZ562">
        <v>22</v>
      </c>
      <c r="IA562">
        <v>7045059</v>
      </c>
      <c r="IB562" t="s">
        <v>5073</v>
      </c>
      <c r="ID562" s="1">
        <v>41787</v>
      </c>
      <c r="IE562">
        <v>2013</v>
      </c>
      <c r="IF562">
        <v>1246.42</v>
      </c>
      <c r="IG562" t="s">
        <v>6027</v>
      </c>
      <c r="IH562">
        <v>0.25</v>
      </c>
      <c r="II562" t="s">
        <v>424</v>
      </c>
      <c r="IJ562" t="s">
        <v>425</v>
      </c>
      <c r="IK562" s="1">
        <v>42458</v>
      </c>
      <c r="IL562">
        <v>22</v>
      </c>
      <c r="IM562">
        <v>2851116</v>
      </c>
      <c r="IN562" t="s">
        <v>480</v>
      </c>
    </row>
    <row r="563" spans="1:272" x14ac:dyDescent="0.25">
      <c r="A563">
        <v>16485570</v>
      </c>
      <c r="B563">
        <v>562</v>
      </c>
      <c r="C563" t="s">
        <v>393</v>
      </c>
      <c r="D563" t="s">
        <v>394</v>
      </c>
      <c r="F563" t="str">
        <f>"09-4N-24-0000-0002-0140"</f>
        <v>09-4N-24-0000-0002-0140</v>
      </c>
      <c r="H563" t="str">
        <f>"EADY WILLIAM JR &amp; LISA"</f>
        <v>EADY WILLIAM JR &amp; LISA</v>
      </c>
      <c r="I563" t="str">
        <f>"39313 KOLARS FERRY ROAD"</f>
        <v>39313 KOLARS FERRY ROAD</v>
      </c>
      <c r="J563" t="str">
        <f>"HILLIARD FL 32046"</f>
        <v>HILLIARD FL 32046</v>
      </c>
      <c r="K563" t="str">
        <f>"39313 KOLARS FERRY RD"</f>
        <v>39313 KOLARS FERRY RD</v>
      </c>
      <c r="L563" t="str">
        <f t="shared" si="168"/>
        <v>HILLIARD FL 32046</v>
      </c>
      <c r="M563" t="str">
        <f>"PT OF NE1/4 OF NE1/4 IN OR 855/1179 2001 MERT DW/MH"</f>
        <v>PT OF NE1/4 OF NE1/4 IN OR 855/1179 2001 MERT DW/MH</v>
      </c>
      <c r="N563" t="str">
        <f>""</f>
        <v/>
      </c>
      <c r="O563" t="str">
        <f>"25324"</f>
        <v>25324</v>
      </c>
      <c r="P563" t="str">
        <f t="shared" si="151"/>
        <v>2017</v>
      </c>
      <c r="Q563" t="str">
        <f>""</f>
        <v/>
      </c>
      <c r="R563" t="str">
        <f>"Y"</f>
        <v>Y</v>
      </c>
      <c r="S563" t="str">
        <f>"2.48"</f>
        <v>2.48</v>
      </c>
      <c r="T563" t="str">
        <f>"452.15"</f>
        <v>452.15</v>
      </c>
      <c r="U563" t="str">
        <f>"61166.00"</f>
        <v>61166.00</v>
      </c>
      <c r="V563" t="str">
        <f>"61166.00"</f>
        <v>61166.00</v>
      </c>
      <c r="W563" t="str">
        <f t="shared" si="152"/>
        <v>2017</v>
      </c>
      <c r="X563" t="str">
        <f>"20.43"</f>
        <v>20.43</v>
      </c>
      <c r="Y563" t="str">
        <f>"497.71"</f>
        <v>497.71</v>
      </c>
      <c r="Z563" t="str">
        <f>"25000.00"</f>
        <v>25000.00</v>
      </c>
      <c r="AA563" t="str">
        <f>"36166.00"</f>
        <v>36166.00</v>
      </c>
      <c r="AB563" t="str">
        <f t="shared" si="170"/>
        <v>Residential</v>
      </c>
      <c r="AC563" t="str">
        <f t="shared" si="161"/>
        <v>0</v>
      </c>
      <c r="AD563" t="str">
        <f>"4"</f>
        <v>4</v>
      </c>
      <c r="AE563" t="str">
        <f>"WOOD (INCLUDE STEEL STUDS)"</f>
        <v>WOOD (INCLUDE STEEL STUDS)</v>
      </c>
      <c r="AF563" t="str">
        <f>"002"</f>
        <v>002</v>
      </c>
      <c r="AG563" t="str">
        <f t="shared" si="165"/>
        <v>FL</v>
      </c>
      <c r="AH563" t="str">
        <f>"108028.00"</f>
        <v>108028.00</v>
      </c>
      <c r="AI563" t="str">
        <f>"23808.00"</f>
        <v>23808.00</v>
      </c>
      <c r="AJ563" t="str">
        <f>"C55-000-586-8587-6"</f>
        <v>C55-000-586-8587-6</v>
      </c>
      <c r="AK563" t="str">
        <f>"8332"</f>
        <v>8332</v>
      </c>
      <c r="AL563">
        <v>2</v>
      </c>
      <c r="AM563">
        <v>650</v>
      </c>
      <c r="AN563">
        <v>521</v>
      </c>
      <c r="AQ563" t="s">
        <v>6028</v>
      </c>
      <c r="AR563" t="s">
        <v>6028</v>
      </c>
      <c r="AS563" t="s">
        <v>6028</v>
      </c>
      <c r="AU563" t="s">
        <v>396</v>
      </c>
      <c r="AV563">
        <v>2017</v>
      </c>
      <c r="AW563" t="str">
        <f>"09-4N-24-0000-0002-0140 "</f>
        <v xml:space="preserve">09-4N-24-0000-0002-0140 </v>
      </c>
      <c r="AX563">
        <v>39313</v>
      </c>
      <c r="AZ563" t="s">
        <v>6029</v>
      </c>
      <c r="BA563" t="s">
        <v>496</v>
      </c>
      <c r="BD563" t="s">
        <v>398</v>
      </c>
      <c r="BE563" t="s">
        <v>393</v>
      </c>
      <c r="BF563">
        <v>32046</v>
      </c>
      <c r="BG563" t="s">
        <v>6030</v>
      </c>
      <c r="BH563" t="s">
        <v>400</v>
      </c>
      <c r="BI563">
        <v>-81.919374698909706</v>
      </c>
      <c r="BJ563">
        <v>30.783271160078598</v>
      </c>
      <c r="BK563" t="s">
        <v>6031</v>
      </c>
      <c r="BL563" t="s">
        <v>6032</v>
      </c>
      <c r="BM563" t="s">
        <v>6030</v>
      </c>
      <c r="BN563" t="s">
        <v>403</v>
      </c>
      <c r="BO563">
        <v>32046</v>
      </c>
      <c r="BP563" t="s">
        <v>416</v>
      </c>
      <c r="BQ563">
        <v>200</v>
      </c>
      <c r="BR563" t="s">
        <v>405</v>
      </c>
      <c r="BS563">
        <v>1006</v>
      </c>
      <c r="BT563" t="s">
        <v>406</v>
      </c>
      <c r="BW563">
        <v>108028</v>
      </c>
      <c r="BX563" t="s">
        <v>407</v>
      </c>
      <c r="BY563" t="s">
        <v>408</v>
      </c>
      <c r="BZ563">
        <v>4</v>
      </c>
      <c r="CA563">
        <v>2001</v>
      </c>
      <c r="CC563">
        <v>1</v>
      </c>
      <c r="CD563">
        <v>2017</v>
      </c>
      <c r="CG563">
        <v>61166</v>
      </c>
      <c r="CH563">
        <v>2017</v>
      </c>
      <c r="CI563">
        <v>23808</v>
      </c>
      <c r="CJ563">
        <v>52320</v>
      </c>
      <c r="CK563">
        <v>76128</v>
      </c>
      <c r="CL563">
        <v>2017</v>
      </c>
      <c r="CM563">
        <v>452.15</v>
      </c>
      <c r="CN563" s="1">
        <v>36112</v>
      </c>
      <c r="CO563">
        <v>17400</v>
      </c>
      <c r="CZ563" s="1">
        <v>36112</v>
      </c>
      <c r="DD563" t="s">
        <v>398</v>
      </c>
      <c r="DG563">
        <v>9</v>
      </c>
      <c r="DL563">
        <v>50400</v>
      </c>
      <c r="DM563" t="s">
        <v>6019</v>
      </c>
      <c r="DO563" t="s">
        <v>6033</v>
      </c>
      <c r="DP563">
        <v>0</v>
      </c>
      <c r="DQ563">
        <v>0</v>
      </c>
      <c r="DR563" t="s">
        <v>411</v>
      </c>
      <c r="DS563" t="b">
        <v>1</v>
      </c>
      <c r="DT563" t="s">
        <v>470</v>
      </c>
      <c r="DU563" t="s">
        <v>471</v>
      </c>
      <c r="DV563" t="s">
        <v>472</v>
      </c>
      <c r="DX563">
        <v>-9999</v>
      </c>
      <c r="DZ563" t="s">
        <v>447</v>
      </c>
      <c r="EA563" t="s">
        <v>448</v>
      </c>
      <c r="EB563" t="s">
        <v>1224</v>
      </c>
      <c r="EC563">
        <v>20101217</v>
      </c>
      <c r="ED563" t="s">
        <v>474</v>
      </c>
      <c r="EF563">
        <v>255.5</v>
      </c>
      <c r="EG563">
        <v>255.5</v>
      </c>
      <c r="EI563">
        <v>20160407</v>
      </c>
      <c r="EJ563">
        <v>0</v>
      </c>
      <c r="EK563">
        <v>0</v>
      </c>
      <c r="EP563" t="s">
        <v>421</v>
      </c>
      <c r="EQ563" t="s">
        <v>422</v>
      </c>
      <c r="ER563">
        <v>0</v>
      </c>
      <c r="ES563">
        <v>8</v>
      </c>
      <c r="ET563">
        <v>0</v>
      </c>
      <c r="EU563">
        <v>0</v>
      </c>
      <c r="EV563">
        <v>0</v>
      </c>
      <c r="EW563" s="2">
        <v>43222</v>
      </c>
      <c r="EX563" s="1">
        <v>42515</v>
      </c>
      <c r="EY563">
        <v>2015</v>
      </c>
      <c r="EZ563">
        <v>554.71</v>
      </c>
      <c r="FA563" t="s">
        <v>6034</v>
      </c>
      <c r="FB563">
        <v>0.25</v>
      </c>
      <c r="FC563" t="s">
        <v>424</v>
      </c>
      <c r="FD563" t="s">
        <v>425</v>
      </c>
      <c r="FE563" s="1">
        <v>43153</v>
      </c>
      <c r="FF563">
        <v>21</v>
      </c>
      <c r="FG563">
        <v>2851116</v>
      </c>
      <c r="FH563" t="s">
        <v>480</v>
      </c>
      <c r="FJ563" s="1">
        <v>42515</v>
      </c>
      <c r="FK563">
        <v>2015</v>
      </c>
      <c r="FL563">
        <v>554.71</v>
      </c>
      <c r="FM563" t="s">
        <v>6034</v>
      </c>
      <c r="FN563">
        <v>0.25</v>
      </c>
      <c r="FO563" t="s">
        <v>424</v>
      </c>
      <c r="FP563" t="s">
        <v>425</v>
      </c>
      <c r="FR563">
        <v>22</v>
      </c>
      <c r="FS563">
        <v>4892993</v>
      </c>
      <c r="FT563" t="s">
        <v>6035</v>
      </c>
      <c r="FV563" s="1">
        <v>42151</v>
      </c>
      <c r="FW563">
        <v>2014</v>
      </c>
      <c r="FX563">
        <v>574.89</v>
      </c>
      <c r="FY563" t="s">
        <v>6036</v>
      </c>
      <c r="FZ563">
        <v>0.25</v>
      </c>
      <c r="GA563" t="s">
        <v>424</v>
      </c>
      <c r="GB563" t="s">
        <v>425</v>
      </c>
      <c r="GC563" s="1">
        <v>42941</v>
      </c>
      <c r="GD563">
        <v>26</v>
      </c>
      <c r="GE563">
        <v>2851116</v>
      </c>
      <c r="GF563" t="s">
        <v>480</v>
      </c>
      <c r="GH563" s="1">
        <v>42151</v>
      </c>
      <c r="GI563">
        <v>2014</v>
      </c>
      <c r="GJ563">
        <v>574.89</v>
      </c>
      <c r="GK563" t="s">
        <v>6036</v>
      </c>
      <c r="GL563">
        <v>0.25</v>
      </c>
      <c r="GM563" t="s">
        <v>424</v>
      </c>
      <c r="GN563" t="s">
        <v>425</v>
      </c>
      <c r="GP563">
        <v>22</v>
      </c>
      <c r="GQ563">
        <v>4880963</v>
      </c>
      <c r="GR563" t="s">
        <v>6037</v>
      </c>
      <c r="GT563" s="1">
        <v>41787</v>
      </c>
      <c r="GU563">
        <v>2013</v>
      </c>
      <c r="GV563">
        <v>577.73</v>
      </c>
      <c r="GW563" t="s">
        <v>6038</v>
      </c>
      <c r="GX563">
        <v>0.25</v>
      </c>
      <c r="GY563" t="s">
        <v>424</v>
      </c>
      <c r="GZ563" t="s">
        <v>425</v>
      </c>
      <c r="HA563" s="1">
        <v>42426</v>
      </c>
      <c r="HB563">
        <v>21</v>
      </c>
      <c r="HC563">
        <v>2407503</v>
      </c>
      <c r="HD563" t="s">
        <v>461</v>
      </c>
      <c r="HF563" s="1">
        <v>41423</v>
      </c>
      <c r="HG563">
        <v>2012</v>
      </c>
      <c r="HH563">
        <v>602.87</v>
      </c>
      <c r="HI563" t="s">
        <v>6039</v>
      </c>
      <c r="HJ563">
        <v>3</v>
      </c>
      <c r="HK563" t="s">
        <v>424</v>
      </c>
      <c r="HL563" t="s">
        <v>425</v>
      </c>
      <c r="HM563" s="1">
        <v>42062</v>
      </c>
      <c r="HN563">
        <v>21</v>
      </c>
      <c r="HO563">
        <v>15399</v>
      </c>
      <c r="HP563" t="s">
        <v>485</v>
      </c>
      <c r="HR563" s="1">
        <v>41052</v>
      </c>
      <c r="HS563">
        <v>2011</v>
      </c>
      <c r="HT563">
        <v>807.94</v>
      </c>
      <c r="HU563" t="s">
        <v>6040</v>
      </c>
      <c r="HV563">
        <v>5.75</v>
      </c>
      <c r="HW563" t="s">
        <v>424</v>
      </c>
      <c r="HX563" t="s">
        <v>425</v>
      </c>
      <c r="HY563" s="1">
        <v>41698</v>
      </c>
      <c r="HZ563">
        <v>21</v>
      </c>
      <c r="IA563">
        <v>10125</v>
      </c>
      <c r="IB563" t="s">
        <v>440</v>
      </c>
      <c r="ID563" s="1">
        <v>40688</v>
      </c>
      <c r="IE563">
        <v>2010</v>
      </c>
      <c r="IF563">
        <v>789.08</v>
      </c>
      <c r="IG563" t="s">
        <v>6041</v>
      </c>
      <c r="IH563">
        <v>5</v>
      </c>
      <c r="II563" t="s">
        <v>424</v>
      </c>
      <c r="IJ563" t="s">
        <v>425</v>
      </c>
      <c r="IK563" s="1">
        <v>41332</v>
      </c>
      <c r="IL563">
        <v>21</v>
      </c>
      <c r="IM563">
        <v>287</v>
      </c>
      <c r="IN563" t="s">
        <v>572</v>
      </c>
    </row>
    <row r="564" spans="1:272" x14ac:dyDescent="0.25">
      <c r="A564">
        <v>16485571</v>
      </c>
      <c r="B564">
        <v>563</v>
      </c>
      <c r="C564" t="s">
        <v>393</v>
      </c>
      <c r="D564" t="s">
        <v>394</v>
      </c>
      <c r="F564" t="str">
        <f>"16-4N-24-0000-0007-0000"</f>
        <v>16-4N-24-0000-0007-0000</v>
      </c>
      <c r="H564" t="str">
        <f>"KELLEY ROBERT L"</f>
        <v>KELLEY ROBERT L</v>
      </c>
      <c r="I564" t="str">
        <f>"2347 WILMONT AVE"</f>
        <v>2347 WILMONT AVE</v>
      </c>
      <c r="J564" t="str">
        <f>"JACKSONVILLE FL 32218"</f>
        <v>JACKSONVILLE FL 32218</v>
      </c>
      <c r="K564" t="str">
        <f>"MURRHEE RD"</f>
        <v>MURRHEE RD</v>
      </c>
      <c r="L564" t="str">
        <f t="shared" si="168"/>
        <v>HILLIARD FL 32046</v>
      </c>
      <c r="M564" t="str">
        <f>"IN OR 1351/1203"</f>
        <v>IN OR 1351/1203</v>
      </c>
      <c r="N564" t="str">
        <f>""</f>
        <v/>
      </c>
      <c r="O564" t="str">
        <f>"31699"</f>
        <v>31699</v>
      </c>
      <c r="P564" t="str">
        <f t="shared" si="151"/>
        <v>2017</v>
      </c>
      <c r="Q564" t="str">
        <f>""</f>
        <v/>
      </c>
      <c r="R564" t="str">
        <f>"N"</f>
        <v>N</v>
      </c>
      <c r="S564" t="str">
        <f>"1.30"</f>
        <v>1.30</v>
      </c>
      <c r="T564" t="str">
        <f>"275.23"</f>
        <v>275.23</v>
      </c>
      <c r="U564" t="str">
        <f>"17160.00"</f>
        <v>17160.00</v>
      </c>
      <c r="V564" t="str">
        <f>"17160.00"</f>
        <v>17160.00</v>
      </c>
      <c r="W564" t="str">
        <f t="shared" si="152"/>
        <v>2017</v>
      </c>
      <c r="X564" t="str">
        <f>"20.75"</f>
        <v>20.75</v>
      </c>
      <c r="Y564" t="str">
        <f>"315.49"</f>
        <v>315.49</v>
      </c>
      <c r="Z564" t="str">
        <f>""</f>
        <v/>
      </c>
      <c r="AA564" t="str">
        <f>"19500.00"</f>
        <v>19500.00</v>
      </c>
      <c r="AB564" t="str">
        <f t="shared" si="170"/>
        <v>Residential</v>
      </c>
      <c r="AC564" t="str">
        <f t="shared" si="161"/>
        <v>0</v>
      </c>
      <c r="AD564" t="str">
        <f>""</f>
        <v/>
      </c>
      <c r="AE564" t="str">
        <f>""</f>
        <v/>
      </c>
      <c r="AF564" t="str">
        <f>"000"</f>
        <v>000</v>
      </c>
      <c r="AG564" t="str">
        <f t="shared" si="165"/>
        <v>FL</v>
      </c>
      <c r="AH564" t="str">
        <f>"56628.00"</f>
        <v>56628.00</v>
      </c>
      <c r="AI564" t="str">
        <f>"19500.00"</f>
        <v>19500.00</v>
      </c>
      <c r="AJ564" t="str">
        <f>"C55-000-587-1351-2"</f>
        <v>C55-000-587-1351-2</v>
      </c>
      <c r="AK564" t="str">
        <f>"8372"</f>
        <v>8372</v>
      </c>
      <c r="AL564">
        <v>2</v>
      </c>
      <c r="AM564">
        <v>651</v>
      </c>
      <c r="AN564">
        <v>329.66</v>
      </c>
      <c r="AQ564" t="s">
        <v>6042</v>
      </c>
      <c r="AR564" t="s">
        <v>6042</v>
      </c>
      <c r="AS564" t="s">
        <v>6042</v>
      </c>
      <c r="AU564" t="s">
        <v>396</v>
      </c>
      <c r="AV564">
        <v>2017</v>
      </c>
      <c r="AW564" t="str">
        <f>"16-4N-24-0000-0007-0000 "</f>
        <v xml:space="preserve">16-4N-24-0000-0007-0000 </v>
      </c>
      <c r="AZ564" t="s">
        <v>6043</v>
      </c>
      <c r="BA564" t="s">
        <v>496</v>
      </c>
      <c r="BD564" t="s">
        <v>398</v>
      </c>
      <c r="BE564" t="s">
        <v>393</v>
      </c>
      <c r="BF564">
        <v>32046</v>
      </c>
      <c r="BG564" t="s">
        <v>6044</v>
      </c>
      <c r="BH564" t="s">
        <v>400</v>
      </c>
      <c r="BI564">
        <v>-81.9239919929135</v>
      </c>
      <c r="BJ564">
        <v>30.7623628974033</v>
      </c>
      <c r="BK564" t="s">
        <v>6045</v>
      </c>
      <c r="BM564" t="s">
        <v>6046</v>
      </c>
      <c r="BN564" t="s">
        <v>548</v>
      </c>
      <c r="BO564">
        <v>32218</v>
      </c>
      <c r="BP564" t="s">
        <v>404</v>
      </c>
      <c r="BQ564">
        <v>0</v>
      </c>
      <c r="BR564" t="s">
        <v>491</v>
      </c>
      <c r="BS564">
        <v>8001</v>
      </c>
      <c r="BT564" t="s">
        <v>492</v>
      </c>
      <c r="BW564">
        <v>56628</v>
      </c>
      <c r="BX564" t="s">
        <v>407</v>
      </c>
      <c r="BY564" t="s">
        <v>408</v>
      </c>
      <c r="CD564">
        <v>2017</v>
      </c>
      <c r="CE564">
        <v>19500</v>
      </c>
      <c r="CG564">
        <v>19500</v>
      </c>
      <c r="CH564">
        <v>2017</v>
      </c>
      <c r="CI564">
        <v>19500</v>
      </c>
      <c r="CK564">
        <v>19500</v>
      </c>
      <c r="CL564">
        <v>2017</v>
      </c>
      <c r="CM564">
        <v>275.23</v>
      </c>
      <c r="CN564" s="1">
        <v>37116</v>
      </c>
      <c r="CO564">
        <v>10000</v>
      </c>
      <c r="CV564">
        <v>10000</v>
      </c>
      <c r="CX564" t="s">
        <v>707</v>
      </c>
      <c r="CZ564" s="1">
        <v>37116</v>
      </c>
      <c r="DA564">
        <v>0</v>
      </c>
      <c r="DD564" t="s">
        <v>398</v>
      </c>
      <c r="DG564">
        <v>16</v>
      </c>
      <c r="DL564">
        <v>50400</v>
      </c>
      <c r="DM564" t="s">
        <v>6047</v>
      </c>
      <c r="DO564" t="s">
        <v>6048</v>
      </c>
      <c r="DP564">
        <v>0</v>
      </c>
      <c r="DQ564">
        <v>0</v>
      </c>
      <c r="DR564" t="s">
        <v>411</v>
      </c>
      <c r="DS564" t="b">
        <v>1</v>
      </c>
      <c r="DT564" t="s">
        <v>470</v>
      </c>
      <c r="DU564" t="s">
        <v>471</v>
      </c>
      <c r="DV564" t="s">
        <v>472</v>
      </c>
      <c r="DX564">
        <v>-9999</v>
      </c>
      <c r="DZ564" t="s">
        <v>447</v>
      </c>
      <c r="EA564" t="s">
        <v>448</v>
      </c>
      <c r="EB564" t="s">
        <v>1224</v>
      </c>
      <c r="EC564">
        <v>20101217</v>
      </c>
      <c r="ED564" t="s">
        <v>474</v>
      </c>
      <c r="EF564">
        <v>1760.7</v>
      </c>
      <c r="EG564">
        <v>1760.7</v>
      </c>
      <c r="EI564">
        <v>20160407</v>
      </c>
      <c r="EJ564">
        <v>0</v>
      </c>
      <c r="EK564">
        <v>0</v>
      </c>
      <c r="EP564" t="s">
        <v>421</v>
      </c>
      <c r="EQ564" t="s">
        <v>422</v>
      </c>
      <c r="ER564">
        <v>1</v>
      </c>
      <c r="ES564">
        <v>7</v>
      </c>
      <c r="ET564">
        <v>285.99</v>
      </c>
      <c r="EU564">
        <v>20.55</v>
      </c>
      <c r="EV564">
        <v>306.54000000000002</v>
      </c>
      <c r="EW564" s="2">
        <v>43222</v>
      </c>
      <c r="EX564" s="1">
        <v>42879</v>
      </c>
      <c r="EY564">
        <v>2016</v>
      </c>
      <c r="EZ564">
        <v>285.99</v>
      </c>
      <c r="FA564" t="s">
        <v>6049</v>
      </c>
      <c r="FB564">
        <v>4.75</v>
      </c>
      <c r="FC564" t="s">
        <v>424</v>
      </c>
      <c r="FD564" t="s">
        <v>454</v>
      </c>
      <c r="FF564">
        <v>12</v>
      </c>
      <c r="FG564">
        <v>10021</v>
      </c>
      <c r="FH564" t="s">
        <v>597</v>
      </c>
      <c r="FJ564" s="1">
        <v>42515</v>
      </c>
      <c r="FK564">
        <v>2015</v>
      </c>
      <c r="FL564">
        <v>275.23</v>
      </c>
      <c r="FM564" t="s">
        <v>6050</v>
      </c>
      <c r="FN564">
        <v>0.25</v>
      </c>
      <c r="FO564" t="s">
        <v>424</v>
      </c>
      <c r="FP564" t="s">
        <v>425</v>
      </c>
      <c r="FQ564" s="1">
        <v>43210</v>
      </c>
      <c r="FR564">
        <v>23</v>
      </c>
      <c r="FS564">
        <v>7336671</v>
      </c>
      <c r="FT564" t="s">
        <v>437</v>
      </c>
      <c r="FV564" s="1">
        <v>42515</v>
      </c>
      <c r="FW564">
        <v>2015</v>
      </c>
      <c r="FX564">
        <v>275.23</v>
      </c>
      <c r="FY564" t="s">
        <v>6050</v>
      </c>
      <c r="FZ564">
        <v>0.25</v>
      </c>
      <c r="GA564" t="s">
        <v>424</v>
      </c>
      <c r="GB564" t="s">
        <v>425</v>
      </c>
      <c r="GD564">
        <v>22</v>
      </c>
      <c r="GE564">
        <v>6783836</v>
      </c>
      <c r="GF564" t="s">
        <v>6051</v>
      </c>
      <c r="GH564" s="1">
        <v>41787</v>
      </c>
      <c r="GI564">
        <v>2013</v>
      </c>
      <c r="GJ564">
        <v>232.29</v>
      </c>
      <c r="GK564" t="s">
        <v>6052</v>
      </c>
      <c r="GL564">
        <v>6.75</v>
      </c>
      <c r="GM564" t="s">
        <v>424</v>
      </c>
      <c r="GN564" t="s">
        <v>425</v>
      </c>
      <c r="GO564" s="1">
        <v>42150</v>
      </c>
      <c r="GP564">
        <v>12</v>
      </c>
      <c r="GQ564">
        <v>2035919</v>
      </c>
      <c r="GR564" t="s">
        <v>507</v>
      </c>
      <c r="GT564" s="1">
        <v>41423</v>
      </c>
      <c r="GU564">
        <v>2012</v>
      </c>
      <c r="GV564">
        <v>266.88</v>
      </c>
      <c r="GW564" t="s">
        <v>6053</v>
      </c>
      <c r="GX564">
        <v>5.75</v>
      </c>
      <c r="GY564" t="s">
        <v>424</v>
      </c>
      <c r="GZ564" t="s">
        <v>425</v>
      </c>
      <c r="HA564" s="1">
        <v>42058</v>
      </c>
      <c r="HB564">
        <v>21</v>
      </c>
      <c r="HC564">
        <v>2101381</v>
      </c>
      <c r="HD564" t="s">
        <v>605</v>
      </c>
      <c r="HF564" s="1">
        <v>41052</v>
      </c>
      <c r="HG564">
        <v>2011</v>
      </c>
      <c r="HH564">
        <v>306.49</v>
      </c>
      <c r="HI564" t="s">
        <v>6054</v>
      </c>
      <c r="HJ564">
        <v>6</v>
      </c>
      <c r="HK564" t="s">
        <v>424</v>
      </c>
      <c r="HL564" t="s">
        <v>425</v>
      </c>
      <c r="HM564" s="1">
        <v>41751</v>
      </c>
      <c r="HN564">
        <v>23</v>
      </c>
      <c r="HO564">
        <v>10125</v>
      </c>
      <c r="HP564" t="s">
        <v>440</v>
      </c>
      <c r="HR564" s="1">
        <v>40688</v>
      </c>
      <c r="HS564">
        <v>2010</v>
      </c>
      <c r="HT564">
        <v>339.77</v>
      </c>
      <c r="HU564" t="s">
        <v>6055</v>
      </c>
      <c r="HV564">
        <v>8.25</v>
      </c>
      <c r="HW564" t="s">
        <v>424</v>
      </c>
      <c r="HX564" t="s">
        <v>425</v>
      </c>
      <c r="HY564" s="1">
        <v>41319</v>
      </c>
      <c r="HZ564">
        <v>21</v>
      </c>
      <c r="IA564">
        <v>15175</v>
      </c>
      <c r="IB564" t="s">
        <v>588</v>
      </c>
      <c r="ID564" s="1">
        <v>40688</v>
      </c>
      <c r="IE564">
        <v>2010</v>
      </c>
      <c r="IF564">
        <v>339.77</v>
      </c>
      <c r="IG564" t="s">
        <v>6055</v>
      </c>
      <c r="IH564">
        <v>8.25</v>
      </c>
      <c r="II564" t="s">
        <v>424</v>
      </c>
      <c r="IJ564" t="s">
        <v>425</v>
      </c>
      <c r="IL564">
        <v>22</v>
      </c>
      <c r="IM564">
        <v>10548</v>
      </c>
      <c r="IN564" t="s">
        <v>589</v>
      </c>
    </row>
    <row r="565" spans="1:272" x14ac:dyDescent="0.25">
      <c r="A565">
        <v>16485572</v>
      </c>
      <c r="B565">
        <v>564</v>
      </c>
      <c r="C565" t="s">
        <v>393</v>
      </c>
      <c r="D565" t="s">
        <v>394</v>
      </c>
      <c r="F565" t="str">
        <f>"16-4N-24-0180-0004-0000"</f>
        <v>16-4N-24-0180-0004-0000</v>
      </c>
      <c r="H565" t="str">
        <f>"HOLSOMBACH HELEN A"</f>
        <v>HOLSOMBACH HELEN A</v>
      </c>
      <c r="I565" t="str">
        <f>"PO BOX 947"</f>
        <v>PO BOX 947</v>
      </c>
      <c r="J565" t="str">
        <f>"HILLIARD FL 32046"</f>
        <v>HILLIARD FL 32046</v>
      </c>
      <c r="K565" t="str">
        <f>"273491 MURRHEE RD"</f>
        <v>273491 MURRHEE RD</v>
      </c>
      <c r="L565" t="str">
        <f t="shared" si="168"/>
        <v>HILLIARD FL 32046</v>
      </c>
      <c r="M565" t="str">
        <f>"TRACT 4 SEC 16-4N-24 IN OR 826/1767 R407663 BRANTLEY FARMS PB 5/97"</f>
        <v>TRACT 4 SEC 16-4N-24 IN OR 826/1767 R407663 BRANTLEY FARMS PB 5/97</v>
      </c>
      <c r="N565" t="str">
        <f>""</f>
        <v/>
      </c>
      <c r="O565" t="str">
        <f>"31706"</f>
        <v>31706</v>
      </c>
      <c r="P565" t="str">
        <f t="shared" si="151"/>
        <v>2017</v>
      </c>
      <c r="Q565" t="str">
        <f>""</f>
        <v/>
      </c>
      <c r="R565" t="str">
        <f>"N"</f>
        <v>N</v>
      </c>
      <c r="S565" t="str">
        <f>"1.65"</f>
        <v>1.65</v>
      </c>
      <c r="T565" t="str">
        <f>"583.12"</f>
        <v>583.12</v>
      </c>
      <c r="U565" t="str">
        <f>"32418.00"</f>
        <v>32418.00</v>
      </c>
      <c r="V565" t="str">
        <f>"32418.00"</f>
        <v>32418.00</v>
      </c>
      <c r="W565" t="str">
        <f t="shared" si="152"/>
        <v>2017</v>
      </c>
      <c r="X565" t="str">
        <f>""</f>
        <v/>
      </c>
      <c r="Y565" t="str">
        <f>"632.61"</f>
        <v>632.61</v>
      </c>
      <c r="Z565" t="str">
        <f>""</f>
        <v/>
      </c>
      <c r="AA565" t="str">
        <f>"46414.00"</f>
        <v>46414.00</v>
      </c>
      <c r="AB565" t="str">
        <f t="shared" si="170"/>
        <v>Residential</v>
      </c>
      <c r="AC565" t="str">
        <f t="shared" si="161"/>
        <v>0</v>
      </c>
      <c r="AD565" t="str">
        <f t="shared" ref="AD565:AD571" si="171">"4"</f>
        <v>4</v>
      </c>
      <c r="AE565" t="str">
        <f t="shared" ref="AE565:AE571" si="172">"WOOD (INCLUDE STEEL STUDS)"</f>
        <v>WOOD (INCLUDE STEEL STUDS)</v>
      </c>
      <c r="AF565" t="str">
        <f>"002"</f>
        <v>002</v>
      </c>
      <c r="AG565" t="str">
        <f t="shared" si="165"/>
        <v>FL</v>
      </c>
      <c r="AH565" t="str">
        <f>"71874.00"</f>
        <v>71874.00</v>
      </c>
      <c r="AI565" t="str">
        <f>"24750.00"</f>
        <v>24750.00</v>
      </c>
      <c r="AJ565" t="str">
        <f>"C55-000-587-1357-9"</f>
        <v>C55-000-587-1357-9</v>
      </c>
      <c r="AK565" t="str">
        <f>"8378"</f>
        <v>8378</v>
      </c>
      <c r="AL565">
        <v>2</v>
      </c>
      <c r="AM565">
        <v>652</v>
      </c>
      <c r="AN565">
        <v>662.64</v>
      </c>
      <c r="AQ565" t="s">
        <v>6056</v>
      </c>
      <c r="AR565" t="s">
        <v>6056</v>
      </c>
      <c r="AS565" t="s">
        <v>6056</v>
      </c>
      <c r="AU565" t="s">
        <v>396</v>
      </c>
      <c r="AV565">
        <v>2017</v>
      </c>
      <c r="AW565" t="str">
        <f>"16-4N-24-0180-0004-0000 "</f>
        <v xml:space="preserve">16-4N-24-0180-0004-0000 </v>
      </c>
      <c r="AX565">
        <v>273491</v>
      </c>
      <c r="AZ565" t="s">
        <v>6043</v>
      </c>
      <c r="BA565" t="s">
        <v>496</v>
      </c>
      <c r="BD565" t="s">
        <v>398</v>
      </c>
      <c r="BE565" t="s">
        <v>393</v>
      </c>
      <c r="BF565">
        <v>32046</v>
      </c>
      <c r="BG565" t="s">
        <v>6057</v>
      </c>
      <c r="BH565" t="s">
        <v>400</v>
      </c>
      <c r="BI565">
        <v>-81.922788015418504</v>
      </c>
      <c r="BJ565">
        <v>30.763500937436302</v>
      </c>
      <c r="BK565" t="s">
        <v>6058</v>
      </c>
      <c r="BM565" t="s">
        <v>6059</v>
      </c>
      <c r="BN565" t="s">
        <v>403</v>
      </c>
      <c r="BO565">
        <v>32046</v>
      </c>
      <c r="BP565" t="s">
        <v>404</v>
      </c>
      <c r="BQ565">
        <v>200</v>
      </c>
      <c r="BR565" t="s">
        <v>405</v>
      </c>
      <c r="BS565">
        <v>1006</v>
      </c>
      <c r="BT565" t="s">
        <v>406</v>
      </c>
      <c r="BW565">
        <v>71874</v>
      </c>
      <c r="BX565" t="s">
        <v>407</v>
      </c>
      <c r="BY565" t="s">
        <v>408</v>
      </c>
      <c r="BZ565">
        <v>4</v>
      </c>
      <c r="CA565">
        <v>1987</v>
      </c>
      <c r="CC565">
        <v>1</v>
      </c>
      <c r="CD565">
        <v>2017</v>
      </c>
      <c r="CE565">
        <v>24750</v>
      </c>
      <c r="CF565">
        <v>21664</v>
      </c>
      <c r="CG565">
        <v>46414</v>
      </c>
      <c r="CH565">
        <v>2017</v>
      </c>
      <c r="CI565">
        <v>24750</v>
      </c>
      <c r="CJ565">
        <v>21664</v>
      </c>
      <c r="CK565">
        <v>46414</v>
      </c>
      <c r="CL565">
        <v>2017</v>
      </c>
      <c r="CM565">
        <v>583.12</v>
      </c>
      <c r="CN565" s="1">
        <v>35873</v>
      </c>
      <c r="CO565">
        <v>17500</v>
      </c>
      <c r="CZ565" s="1">
        <v>35873</v>
      </c>
      <c r="DD565" t="s">
        <v>398</v>
      </c>
      <c r="DG565">
        <v>16</v>
      </c>
      <c r="DJ565" t="s">
        <v>6060</v>
      </c>
      <c r="DL565">
        <v>50400</v>
      </c>
      <c r="DM565" t="s">
        <v>6047</v>
      </c>
      <c r="DO565" t="s">
        <v>6061</v>
      </c>
      <c r="DP565">
        <v>0</v>
      </c>
      <c r="DQ565">
        <v>0</v>
      </c>
      <c r="DR565" t="s">
        <v>411</v>
      </c>
    </row>
    <row r="566" spans="1:272" x14ac:dyDescent="0.25">
      <c r="A566">
        <v>16485573</v>
      </c>
      <c r="B566">
        <v>565</v>
      </c>
      <c r="C566" t="s">
        <v>393</v>
      </c>
      <c r="D566" t="s">
        <v>394</v>
      </c>
      <c r="F566" t="str">
        <f>"16-4N-24-0180-0005-0000"</f>
        <v>16-4N-24-0180-0005-0000</v>
      </c>
      <c r="H566" t="str">
        <f>"HANNAH CLYDE C JR"</f>
        <v>HANNAH CLYDE C JR</v>
      </c>
      <c r="I566" t="str">
        <f>"55193 WHITE OAK PLACE"</f>
        <v>55193 WHITE OAK PLACE</v>
      </c>
      <c r="J566" t="str">
        <f>"CALLAHAN FL 32011"</f>
        <v>CALLAHAN FL 32011</v>
      </c>
      <c r="K566" t="str">
        <f>"273471 MURRHEE RD"</f>
        <v>273471 MURRHEE RD</v>
      </c>
      <c r="L566" t="str">
        <f t="shared" si="168"/>
        <v>HILLIARD FL 32046</v>
      </c>
      <c r="M566" t="str">
        <f>"LOT 5 IN OR 837/581 R674034 &amp; R674035 BRANTLEY FARMS PB 5/97"</f>
        <v>LOT 5 IN OR 837/581 R674034 &amp; R674035 BRANTLEY FARMS PB 5/97</v>
      </c>
      <c r="N566" t="str">
        <f>""</f>
        <v/>
      </c>
      <c r="O566" t="str">
        <f>"31707"</f>
        <v>31707</v>
      </c>
      <c r="P566" t="str">
        <f t="shared" si="151"/>
        <v>2017</v>
      </c>
      <c r="Q566" t="str">
        <f>""</f>
        <v/>
      </c>
      <c r="R566" t="str">
        <f>"N"</f>
        <v>N</v>
      </c>
      <c r="S566" t="str">
        <f>"1.65"</f>
        <v>1.65</v>
      </c>
      <c r="T566" t="str">
        <f>"565.94"</f>
        <v>565.94</v>
      </c>
      <c r="U566" t="str">
        <f>"33696.00"</f>
        <v>33696.00</v>
      </c>
      <c r="V566" t="str">
        <f>"33696.00"</f>
        <v>33696.00</v>
      </c>
      <c r="W566" t="str">
        <f t="shared" si="152"/>
        <v>2017</v>
      </c>
      <c r="X566" t="str">
        <f>"13.67"</f>
        <v>13.67</v>
      </c>
      <c r="Y566" t="str">
        <f>"614.92"</f>
        <v>614.92</v>
      </c>
      <c r="Z566" t="str">
        <f>""</f>
        <v/>
      </c>
      <c r="AA566" t="str">
        <f>"42156.00"</f>
        <v>42156.00</v>
      </c>
      <c r="AB566" t="str">
        <f t="shared" si="170"/>
        <v>Residential</v>
      </c>
      <c r="AC566" t="str">
        <f t="shared" si="161"/>
        <v>0</v>
      </c>
      <c r="AD566" t="str">
        <f t="shared" si="171"/>
        <v>4</v>
      </c>
      <c r="AE566" t="str">
        <f t="shared" si="172"/>
        <v>WOOD (INCLUDE STEEL STUDS)</v>
      </c>
      <c r="AF566" t="str">
        <f>"002"</f>
        <v>002</v>
      </c>
      <c r="AG566" t="str">
        <f t="shared" si="165"/>
        <v>FL</v>
      </c>
      <c r="AH566" t="str">
        <f>"71874.00"</f>
        <v>71874.00</v>
      </c>
      <c r="AI566" t="str">
        <f>"24750.00"</f>
        <v>24750.00</v>
      </c>
      <c r="AJ566" t="str">
        <f>"C55-000-587-1358-7"</f>
        <v>C55-000-587-1358-7</v>
      </c>
      <c r="AK566" t="str">
        <f>"8379"</f>
        <v>8379</v>
      </c>
      <c r="AL566">
        <v>2</v>
      </c>
      <c r="AM566">
        <v>653</v>
      </c>
      <c r="AN566">
        <v>644.07000000000005</v>
      </c>
      <c r="AQ566" t="s">
        <v>6062</v>
      </c>
      <c r="AR566" t="s">
        <v>6062</v>
      </c>
      <c r="AS566" t="s">
        <v>6062</v>
      </c>
      <c r="AU566" t="s">
        <v>396</v>
      </c>
      <c r="AV566">
        <v>2017</v>
      </c>
      <c r="AW566" t="str">
        <f>"16-4N-24-0180-0005-0000 "</f>
        <v xml:space="preserve">16-4N-24-0180-0005-0000 </v>
      </c>
      <c r="AX566">
        <v>273471</v>
      </c>
      <c r="AZ566" t="s">
        <v>6043</v>
      </c>
      <c r="BA566" t="s">
        <v>496</v>
      </c>
      <c r="BD566" t="s">
        <v>398</v>
      </c>
      <c r="BE566" t="s">
        <v>393</v>
      </c>
      <c r="BF566">
        <v>32046</v>
      </c>
      <c r="BG566" t="s">
        <v>6063</v>
      </c>
      <c r="BH566" t="s">
        <v>400</v>
      </c>
      <c r="BI566">
        <v>-81.9227165947364</v>
      </c>
      <c r="BJ566">
        <v>30.763093590740901</v>
      </c>
      <c r="BK566" t="s">
        <v>6064</v>
      </c>
      <c r="BM566" t="s">
        <v>6065</v>
      </c>
      <c r="BN566" t="s">
        <v>928</v>
      </c>
      <c r="BO566">
        <v>32011</v>
      </c>
      <c r="BP566" t="s">
        <v>404</v>
      </c>
      <c r="BQ566">
        <v>200</v>
      </c>
      <c r="BR566" t="s">
        <v>405</v>
      </c>
      <c r="BS566">
        <v>1006</v>
      </c>
      <c r="BT566" t="s">
        <v>406</v>
      </c>
      <c r="BW566">
        <v>71874</v>
      </c>
      <c r="BX566" t="s">
        <v>407</v>
      </c>
      <c r="BZ566">
        <v>4</v>
      </c>
      <c r="CA566">
        <v>1993</v>
      </c>
      <c r="CB566">
        <v>1</v>
      </c>
      <c r="CC566">
        <v>1</v>
      </c>
      <c r="CD566">
        <v>2017</v>
      </c>
      <c r="CE566">
        <v>24750</v>
      </c>
      <c r="CF566">
        <v>17406</v>
      </c>
      <c r="CG566">
        <v>42156</v>
      </c>
      <c r="CH566">
        <v>2017</v>
      </c>
      <c r="CI566">
        <v>24750</v>
      </c>
      <c r="CJ566">
        <v>17406</v>
      </c>
      <c r="CK566">
        <v>42156</v>
      </c>
      <c r="CL566">
        <v>2017</v>
      </c>
      <c r="CM566">
        <v>565.94000000000005</v>
      </c>
      <c r="CN566" s="1">
        <v>35957</v>
      </c>
      <c r="CZ566" s="1">
        <v>35957</v>
      </c>
      <c r="DD566" t="s">
        <v>398</v>
      </c>
      <c r="DF566">
        <v>5</v>
      </c>
      <c r="DG566">
        <v>16</v>
      </c>
      <c r="DL566">
        <v>50400</v>
      </c>
      <c r="DM566" t="s">
        <v>6047</v>
      </c>
      <c r="DO566" t="s">
        <v>6066</v>
      </c>
      <c r="DP566">
        <v>0</v>
      </c>
      <c r="DQ566">
        <v>0</v>
      </c>
      <c r="DR566" t="s">
        <v>411</v>
      </c>
      <c r="DS566" t="b">
        <v>1</v>
      </c>
      <c r="DT566" t="s">
        <v>470</v>
      </c>
      <c r="DU566" t="s">
        <v>471</v>
      </c>
      <c r="DV566" t="s">
        <v>472</v>
      </c>
      <c r="DX566">
        <v>-9999</v>
      </c>
      <c r="DZ566" t="s">
        <v>447</v>
      </c>
      <c r="EA566" t="s">
        <v>448</v>
      </c>
      <c r="EB566" t="s">
        <v>1224</v>
      </c>
      <c r="EC566">
        <v>20101217</v>
      </c>
      <c r="ED566" t="s">
        <v>474</v>
      </c>
      <c r="EF566">
        <v>2147</v>
      </c>
      <c r="EG566">
        <v>2147</v>
      </c>
      <c r="EI566">
        <v>20160407</v>
      </c>
      <c r="EJ566">
        <v>0</v>
      </c>
      <c r="EK566">
        <v>0</v>
      </c>
      <c r="EP566" t="s">
        <v>421</v>
      </c>
      <c r="EQ566" t="s">
        <v>422</v>
      </c>
      <c r="ER566">
        <v>2</v>
      </c>
      <c r="ES566">
        <v>7</v>
      </c>
      <c r="ET566">
        <v>1071.1600000000001</v>
      </c>
      <c r="EU566">
        <v>66.06</v>
      </c>
      <c r="EV566">
        <v>1137.22</v>
      </c>
      <c r="EW566" s="2">
        <v>43222</v>
      </c>
      <c r="EX566" s="1">
        <v>42879</v>
      </c>
      <c r="EY566">
        <v>2016</v>
      </c>
      <c r="EZ566">
        <v>535.58000000000004</v>
      </c>
      <c r="FA566" t="s">
        <v>6067</v>
      </c>
      <c r="FB566">
        <v>0.25</v>
      </c>
      <c r="FC566" t="s">
        <v>424</v>
      </c>
      <c r="FD566" t="s">
        <v>454</v>
      </c>
      <c r="FF566">
        <v>12</v>
      </c>
      <c r="FG566">
        <v>2851116</v>
      </c>
      <c r="FH566" t="s">
        <v>480</v>
      </c>
      <c r="FJ566" s="1">
        <v>42879</v>
      </c>
      <c r="FK566">
        <v>2016</v>
      </c>
      <c r="FL566">
        <v>535.58000000000004</v>
      </c>
      <c r="FM566" t="s">
        <v>6067</v>
      </c>
      <c r="FN566">
        <v>0.25</v>
      </c>
      <c r="FO566" t="s">
        <v>424</v>
      </c>
      <c r="FP566" t="s">
        <v>454</v>
      </c>
      <c r="FR566">
        <v>12</v>
      </c>
      <c r="FS566">
        <v>5750281</v>
      </c>
      <c r="FT566" t="s">
        <v>6068</v>
      </c>
      <c r="FV566" s="1">
        <v>42515</v>
      </c>
      <c r="FW566">
        <v>2015</v>
      </c>
      <c r="FX566">
        <v>572.53</v>
      </c>
      <c r="FY566" t="s">
        <v>6069</v>
      </c>
      <c r="FZ566">
        <v>0.25</v>
      </c>
      <c r="GA566" t="s">
        <v>424</v>
      </c>
      <c r="GB566" t="s">
        <v>425</v>
      </c>
      <c r="GC566" s="1">
        <v>43190</v>
      </c>
      <c r="GD566">
        <v>22</v>
      </c>
      <c r="GE566">
        <v>2851116</v>
      </c>
      <c r="GF566" t="s">
        <v>480</v>
      </c>
      <c r="GH566" s="1">
        <v>42515</v>
      </c>
      <c r="GI566">
        <v>2015</v>
      </c>
      <c r="GJ566">
        <v>572.53</v>
      </c>
      <c r="GK566" t="s">
        <v>6069</v>
      </c>
      <c r="GL566">
        <v>0.25</v>
      </c>
      <c r="GM566" t="s">
        <v>424</v>
      </c>
      <c r="GN566" t="s">
        <v>425</v>
      </c>
      <c r="GP566">
        <v>22</v>
      </c>
      <c r="GQ566">
        <v>5578401</v>
      </c>
      <c r="GR566" t="s">
        <v>6070</v>
      </c>
      <c r="GT566" s="1">
        <v>42151</v>
      </c>
      <c r="GU566">
        <v>2014</v>
      </c>
      <c r="GV566">
        <v>498.71</v>
      </c>
      <c r="GW566" t="s">
        <v>6071</v>
      </c>
      <c r="GX566">
        <v>3.75</v>
      </c>
      <c r="GY566" t="s">
        <v>424</v>
      </c>
      <c r="GZ566" t="s">
        <v>425</v>
      </c>
      <c r="HA566" s="1">
        <v>42793</v>
      </c>
      <c r="HB566">
        <v>21</v>
      </c>
      <c r="HC566">
        <v>4975593</v>
      </c>
      <c r="HD566" t="s">
        <v>505</v>
      </c>
      <c r="HF566" s="1">
        <v>41787</v>
      </c>
      <c r="HG566">
        <v>2013</v>
      </c>
      <c r="HH566">
        <v>523.91</v>
      </c>
      <c r="HI566" t="s">
        <v>6072</v>
      </c>
      <c r="HJ566">
        <v>2.25</v>
      </c>
      <c r="HK566" t="s">
        <v>424</v>
      </c>
      <c r="HL566" t="s">
        <v>425</v>
      </c>
      <c r="HM566" s="1">
        <v>42373</v>
      </c>
      <c r="HN566">
        <v>20</v>
      </c>
      <c r="HO566">
        <v>15399</v>
      </c>
      <c r="HP566" t="s">
        <v>485</v>
      </c>
      <c r="HR566" s="1">
        <v>41423</v>
      </c>
      <c r="HS566">
        <v>2012</v>
      </c>
      <c r="HT566">
        <v>583.16</v>
      </c>
      <c r="HU566" t="s">
        <v>6073</v>
      </c>
      <c r="HV566">
        <v>3.25</v>
      </c>
      <c r="HW566" t="s">
        <v>424</v>
      </c>
      <c r="HX566" t="s">
        <v>425</v>
      </c>
      <c r="HY566" s="1">
        <v>42060</v>
      </c>
      <c r="HZ566">
        <v>21</v>
      </c>
      <c r="IA566">
        <v>15399</v>
      </c>
      <c r="IB566" t="s">
        <v>485</v>
      </c>
      <c r="ID566" s="1">
        <v>41052</v>
      </c>
      <c r="IE566">
        <v>2011</v>
      </c>
      <c r="IF566">
        <v>679.72</v>
      </c>
      <c r="IG566" t="s">
        <v>6074</v>
      </c>
      <c r="IH566">
        <v>6</v>
      </c>
      <c r="II566" t="s">
        <v>424</v>
      </c>
      <c r="IJ566" t="s">
        <v>425</v>
      </c>
      <c r="IK566" s="1">
        <v>41697</v>
      </c>
      <c r="IL566">
        <v>21</v>
      </c>
      <c r="IM566">
        <v>10125</v>
      </c>
      <c r="IN566" t="s">
        <v>440</v>
      </c>
      <c r="IP566" s="1">
        <v>40688</v>
      </c>
      <c r="IQ566">
        <v>2010</v>
      </c>
      <c r="IR566">
        <v>712.01</v>
      </c>
      <c r="IS566" t="s">
        <v>6075</v>
      </c>
      <c r="IT566">
        <v>7.5</v>
      </c>
      <c r="IU566" t="s">
        <v>424</v>
      </c>
      <c r="IV566" t="s">
        <v>425</v>
      </c>
      <c r="IW566" s="1">
        <v>40704</v>
      </c>
      <c r="IX566">
        <v>1</v>
      </c>
      <c r="IY566">
        <v>10579</v>
      </c>
      <c r="IZ566" t="s">
        <v>488</v>
      </c>
    </row>
    <row r="567" spans="1:272" x14ac:dyDescent="0.25">
      <c r="A567">
        <v>16485574</v>
      </c>
      <c r="B567">
        <v>566</v>
      </c>
      <c r="C567" t="s">
        <v>393</v>
      </c>
      <c r="D567" t="s">
        <v>394</v>
      </c>
      <c r="F567" t="str">
        <f>"17-4N-24-0000-0001-0020"</f>
        <v>17-4N-24-0000-0001-0020</v>
      </c>
      <c r="H567" t="str">
        <f>"SALIS JAMES &amp; KAREN"</f>
        <v>SALIS JAMES &amp; KAREN</v>
      </c>
      <c r="I567" t="str">
        <f>"274000 MURRHEE RD"</f>
        <v>274000 MURRHEE RD</v>
      </c>
      <c r="J567" t="str">
        <f t="shared" ref="J567:J572" si="173">"HILLIARD FL 32046"</f>
        <v>HILLIARD FL 32046</v>
      </c>
      <c r="K567" t="str">
        <f>"274000 MURRHEE RD"</f>
        <v>274000 MURRHEE RD</v>
      </c>
      <c r="L567" t="str">
        <f t="shared" si="168"/>
        <v>HILLIARD FL 32046</v>
      </c>
      <c r="M567" t="str">
        <f>"PT OF NE1/4 OF NE1/4 PARCELS 1-2 &amp; 1-4 IN OR 2133/1337 EX R/W IN OR 634/68 EX 1-8"</f>
        <v>PT OF NE1/4 OF NE1/4 PARCELS 1-2 &amp; 1-4 IN OR 2133/1337 EX R/W IN OR 634/68 EX 1-8</v>
      </c>
      <c r="N567" t="str">
        <f>""</f>
        <v/>
      </c>
      <c r="O567" t="str">
        <f>"32190"</f>
        <v>32190</v>
      </c>
      <c r="P567" t="str">
        <f t="shared" si="151"/>
        <v>2017</v>
      </c>
      <c r="Q567" t="str">
        <f>""</f>
        <v/>
      </c>
      <c r="R567" t="str">
        <f>"Y"</f>
        <v>Y</v>
      </c>
      <c r="S567" t="str">
        <f>"4.00"</f>
        <v>4.00</v>
      </c>
      <c r="T567" t="str">
        <f>"853.28"</f>
        <v>853.28</v>
      </c>
      <c r="U567" t="str">
        <f>"95968.00"</f>
        <v>95968.00</v>
      </c>
      <c r="V567" t="str">
        <f>"95968.00"</f>
        <v>95968.00</v>
      </c>
      <c r="W567" t="str">
        <f t="shared" si="152"/>
        <v>2017</v>
      </c>
      <c r="X567" t="str">
        <f>"21.00"</f>
        <v>21.00</v>
      </c>
      <c r="Y567" t="str">
        <f>"910.88"</f>
        <v>910.88</v>
      </c>
      <c r="Z567" t="str">
        <f>"25500.00"</f>
        <v>25500.00</v>
      </c>
      <c r="AA567" t="str">
        <f>"70468.00"</f>
        <v>70468.00</v>
      </c>
      <c r="AB567" t="str">
        <f t="shared" si="170"/>
        <v>Residential</v>
      </c>
      <c r="AC567" t="str">
        <f t="shared" si="161"/>
        <v>0</v>
      </c>
      <c r="AD567" t="str">
        <f t="shared" si="171"/>
        <v>4</v>
      </c>
      <c r="AE567" t="str">
        <f t="shared" si="172"/>
        <v>WOOD (INCLUDE STEEL STUDS)</v>
      </c>
      <c r="AF567" t="str">
        <f>"001"</f>
        <v>001</v>
      </c>
      <c r="AG567" t="str">
        <f t="shared" si="165"/>
        <v>FL</v>
      </c>
      <c r="AH567" t="str">
        <f>"174240.00"</f>
        <v>174240.00</v>
      </c>
      <c r="AI567" t="str">
        <f>"32000.00"</f>
        <v>32000.00</v>
      </c>
      <c r="AJ567" t="str">
        <f>"C55-000-587-1731-5"</f>
        <v>C55-000-587-1731-5</v>
      </c>
      <c r="AK567" t="str">
        <f>"8398"</f>
        <v>8398</v>
      </c>
      <c r="AL567">
        <v>2</v>
      </c>
      <c r="AM567">
        <v>654</v>
      </c>
      <c r="AN567">
        <v>954.82</v>
      </c>
      <c r="AQ567" t="s">
        <v>6076</v>
      </c>
      <c r="AR567" t="s">
        <v>6076</v>
      </c>
      <c r="AS567" t="s">
        <v>6076</v>
      </c>
      <c r="AU567" t="s">
        <v>396</v>
      </c>
      <c r="AV567">
        <v>2017</v>
      </c>
      <c r="AW567" t="str">
        <f>"17-4N-24-0000-0001-0020 "</f>
        <v xml:space="preserve">17-4N-24-0000-0001-0020 </v>
      </c>
      <c r="AX567">
        <v>274000</v>
      </c>
      <c r="AZ567" t="s">
        <v>6043</v>
      </c>
      <c r="BA567" t="s">
        <v>496</v>
      </c>
      <c r="BD567" t="s">
        <v>398</v>
      </c>
      <c r="BE567" t="s">
        <v>393</v>
      </c>
      <c r="BF567">
        <v>32046</v>
      </c>
      <c r="BG567" t="s">
        <v>6077</v>
      </c>
      <c r="BH567" t="s">
        <v>400</v>
      </c>
      <c r="BI567">
        <v>-81.926373105518493</v>
      </c>
      <c r="BJ567">
        <v>30.770430146219699</v>
      </c>
      <c r="BK567" t="s">
        <v>6078</v>
      </c>
      <c r="BL567" t="s">
        <v>6079</v>
      </c>
      <c r="BM567" t="s">
        <v>6077</v>
      </c>
      <c r="BN567" t="s">
        <v>403</v>
      </c>
      <c r="BO567">
        <v>32046</v>
      </c>
      <c r="BP567" t="s">
        <v>416</v>
      </c>
      <c r="BQ567">
        <v>100</v>
      </c>
      <c r="BR567" t="s">
        <v>514</v>
      </c>
      <c r="BS567">
        <v>1001</v>
      </c>
      <c r="BT567" t="s">
        <v>515</v>
      </c>
      <c r="BW567">
        <v>174240</v>
      </c>
      <c r="BX567" t="s">
        <v>407</v>
      </c>
      <c r="BY567" t="s">
        <v>408</v>
      </c>
      <c r="BZ567">
        <v>4</v>
      </c>
      <c r="CA567">
        <v>1968</v>
      </c>
      <c r="CB567">
        <v>1</v>
      </c>
      <c r="CC567">
        <v>1</v>
      </c>
      <c r="CD567">
        <v>2017</v>
      </c>
      <c r="CG567">
        <v>95968</v>
      </c>
      <c r="CH567">
        <v>2017</v>
      </c>
      <c r="CI567">
        <v>32000</v>
      </c>
      <c r="CJ567">
        <v>87850</v>
      </c>
      <c r="CK567">
        <v>119850</v>
      </c>
      <c r="CL567">
        <v>2017</v>
      </c>
      <c r="CM567">
        <v>853.28</v>
      </c>
      <c r="CN567" s="1">
        <v>38534</v>
      </c>
      <c r="CZ567" s="1">
        <v>38534</v>
      </c>
      <c r="DD567" t="s">
        <v>398</v>
      </c>
      <c r="DG567">
        <v>17</v>
      </c>
      <c r="DL567">
        <v>50400</v>
      </c>
      <c r="DM567" t="s">
        <v>6080</v>
      </c>
      <c r="DO567" t="s">
        <v>6081</v>
      </c>
      <c r="DP567">
        <v>0</v>
      </c>
      <c r="DQ567">
        <v>0</v>
      </c>
      <c r="DR567" t="s">
        <v>411</v>
      </c>
      <c r="DS567" t="b">
        <v>1</v>
      </c>
      <c r="DT567" t="s">
        <v>470</v>
      </c>
      <c r="DU567" t="s">
        <v>471</v>
      </c>
      <c r="DV567" t="s">
        <v>472</v>
      </c>
      <c r="DX567">
        <v>-9999</v>
      </c>
      <c r="DZ567" t="s">
        <v>447</v>
      </c>
      <c r="EA567" t="s">
        <v>448</v>
      </c>
      <c r="EB567" t="s">
        <v>1224</v>
      </c>
      <c r="EC567">
        <v>20101217</v>
      </c>
      <c r="ED567" t="s">
        <v>474</v>
      </c>
      <c r="EF567">
        <v>2499.8000000000002</v>
      </c>
      <c r="EG567">
        <v>2499.8000000000002</v>
      </c>
      <c r="EH567" t="s">
        <v>451</v>
      </c>
      <c r="EI567">
        <v>20140731</v>
      </c>
      <c r="EJ567">
        <v>0</v>
      </c>
      <c r="EK567">
        <v>0</v>
      </c>
      <c r="EP567" t="s">
        <v>421</v>
      </c>
      <c r="EQ567" t="s">
        <v>422</v>
      </c>
      <c r="ER567">
        <v>0</v>
      </c>
      <c r="ES567">
        <v>2</v>
      </c>
      <c r="ET567">
        <v>0</v>
      </c>
      <c r="EU567">
        <v>0</v>
      </c>
      <c r="EV567">
        <v>0</v>
      </c>
      <c r="EW567" s="2">
        <v>43222</v>
      </c>
      <c r="EX567" s="1">
        <v>42151</v>
      </c>
      <c r="EY567">
        <v>2014</v>
      </c>
      <c r="EZ567">
        <v>942.1</v>
      </c>
      <c r="FA567" t="s">
        <v>6082</v>
      </c>
      <c r="FB567">
        <v>0.25</v>
      </c>
      <c r="FC567" t="s">
        <v>424</v>
      </c>
      <c r="FD567" t="s">
        <v>425</v>
      </c>
      <c r="FE567" s="1">
        <v>42793</v>
      </c>
      <c r="FF567">
        <v>21</v>
      </c>
      <c r="FG567">
        <v>4975594</v>
      </c>
      <c r="FH567" t="s">
        <v>457</v>
      </c>
      <c r="FJ567" s="1">
        <v>42151</v>
      </c>
      <c r="FK567">
        <v>2014</v>
      </c>
      <c r="FL567">
        <v>942.1</v>
      </c>
      <c r="FM567" t="s">
        <v>6082</v>
      </c>
      <c r="FN567">
        <v>0.25</v>
      </c>
      <c r="FO567" t="s">
        <v>424</v>
      </c>
      <c r="FP567" t="s">
        <v>425</v>
      </c>
      <c r="FR567">
        <v>22</v>
      </c>
      <c r="FS567">
        <v>6514112</v>
      </c>
      <c r="FT567" t="s">
        <v>6083</v>
      </c>
    </row>
    <row r="568" spans="1:272" x14ac:dyDescent="0.25">
      <c r="A568">
        <v>16485575</v>
      </c>
      <c r="B568">
        <v>567</v>
      </c>
      <c r="C568" t="s">
        <v>393</v>
      </c>
      <c r="D568" t="s">
        <v>394</v>
      </c>
      <c r="F568" t="str">
        <f>"17-4N-24-0000-0008-0010"</f>
        <v>17-4N-24-0000-0008-0010</v>
      </c>
      <c r="H568" t="str">
        <f>"PARKER DOREEN EST"</f>
        <v>PARKER DOREEN EST</v>
      </c>
      <c r="I568" t="str">
        <f>"3846 COLLECTION PLACE"</f>
        <v>3846 COLLECTION PLACE</v>
      </c>
      <c r="J568" t="str">
        <f t="shared" si="173"/>
        <v>HILLIARD FL 32046</v>
      </c>
      <c r="K568" t="str">
        <f>"3846 COLLECTION PL"</f>
        <v>3846 COLLECTION PL</v>
      </c>
      <c r="L568" t="str">
        <f t="shared" si="168"/>
        <v>HILLIARD FL 32046</v>
      </c>
      <c r="M568" t="str">
        <f>"PT SE1/4 OF SE1/4 OF SEC 17-4N-24E IN OR 579/1014 {R407788 &amp; R497468}"</f>
        <v>PT SE1/4 OF SE1/4 OF SEC 17-4N-24E IN OR 579/1014 {R407788 &amp; R497468}</v>
      </c>
      <c r="N568" t="str">
        <f>""</f>
        <v/>
      </c>
      <c r="O568" t="str">
        <f>"32214"</f>
        <v>32214</v>
      </c>
      <c r="P568" t="str">
        <f t="shared" si="151"/>
        <v>2017</v>
      </c>
      <c r="Q568" t="str">
        <f>""</f>
        <v/>
      </c>
      <c r="R568" t="str">
        <f>"N"</f>
        <v>N</v>
      </c>
      <c r="S568" t="str">
        <f>""</f>
        <v/>
      </c>
      <c r="T568" t="str">
        <f>"395.50"</f>
        <v>395.50</v>
      </c>
      <c r="U568" t="str">
        <f>"26124.00"</f>
        <v>26124.00</v>
      </c>
      <c r="V568" t="str">
        <f>"26124.00"</f>
        <v>26124.00</v>
      </c>
      <c r="W568" t="str">
        <f t="shared" si="152"/>
        <v>2017</v>
      </c>
      <c r="X568" t="str">
        <f>"15.17"</f>
        <v>15.17</v>
      </c>
      <c r="Y568" t="str">
        <f>"439.37"</f>
        <v>439.37</v>
      </c>
      <c r="Z568" t="str">
        <f>""</f>
        <v/>
      </c>
      <c r="AA568" t="str">
        <f>"26124.00"</f>
        <v>26124.00</v>
      </c>
      <c r="AB568" t="str">
        <f t="shared" si="170"/>
        <v>Residential</v>
      </c>
      <c r="AC568" t="str">
        <f t="shared" si="161"/>
        <v>0</v>
      </c>
      <c r="AD568" t="str">
        <f t="shared" si="171"/>
        <v>4</v>
      </c>
      <c r="AE568" t="str">
        <f t="shared" si="172"/>
        <v>WOOD (INCLUDE STEEL STUDS)</v>
      </c>
      <c r="AF568" t="str">
        <f>"002"</f>
        <v>002</v>
      </c>
      <c r="AG568" t="str">
        <f t="shared" si="165"/>
        <v>FL</v>
      </c>
      <c r="AH568" t="str">
        <f>"-"</f>
        <v>-</v>
      </c>
      <c r="AI568" t="str">
        <f>"12000.00"</f>
        <v>12000.00</v>
      </c>
      <c r="AJ568" t="str">
        <f>"C55-000-587-1750-5"</f>
        <v>C55-000-587-1750-5</v>
      </c>
      <c r="AK568" t="str">
        <f>"8419"</f>
        <v>8419</v>
      </c>
      <c r="AL568">
        <v>2</v>
      </c>
      <c r="AM568">
        <v>655</v>
      </c>
      <c r="AN568">
        <v>459.74</v>
      </c>
      <c r="AQ568" t="s">
        <v>6084</v>
      </c>
      <c r="AR568" t="s">
        <v>6084</v>
      </c>
      <c r="AS568" t="s">
        <v>6084</v>
      </c>
      <c r="AU568" t="s">
        <v>396</v>
      </c>
      <c r="AV568">
        <v>2017</v>
      </c>
      <c r="AW568" t="str">
        <f>"17-4N-24-0000-0008-0010 "</f>
        <v xml:space="preserve">17-4N-24-0000-0008-0010 </v>
      </c>
      <c r="AX568">
        <v>3846</v>
      </c>
      <c r="AZ568" t="s">
        <v>6085</v>
      </c>
      <c r="BA568" t="s">
        <v>641</v>
      </c>
      <c r="BD568" t="s">
        <v>398</v>
      </c>
      <c r="BE568" t="s">
        <v>393</v>
      </c>
      <c r="BF568">
        <v>32046</v>
      </c>
      <c r="BG568" t="s">
        <v>6086</v>
      </c>
      <c r="BH568" t="s">
        <v>400</v>
      </c>
      <c r="BI568">
        <v>-81.928610305089904</v>
      </c>
      <c r="BJ568">
        <v>30.760086858010499</v>
      </c>
      <c r="BK568" t="s">
        <v>6087</v>
      </c>
      <c r="BM568" t="s">
        <v>6086</v>
      </c>
      <c r="BN568" t="s">
        <v>403</v>
      </c>
      <c r="BO568">
        <v>32046</v>
      </c>
      <c r="BP568" t="s">
        <v>416</v>
      </c>
      <c r="BQ568">
        <v>200</v>
      </c>
      <c r="BR568" t="s">
        <v>405</v>
      </c>
      <c r="BS568">
        <v>1006</v>
      </c>
      <c r="BT568" t="s">
        <v>406</v>
      </c>
      <c r="BW568">
        <v>25407</v>
      </c>
      <c r="BX568" t="s">
        <v>407</v>
      </c>
      <c r="BY568" t="s">
        <v>408</v>
      </c>
      <c r="BZ568">
        <v>4</v>
      </c>
      <c r="CA568">
        <v>1966</v>
      </c>
      <c r="CB568">
        <v>1</v>
      </c>
      <c r="CC568">
        <v>2</v>
      </c>
      <c r="CD568">
        <v>2017</v>
      </c>
      <c r="CE568">
        <v>12000</v>
      </c>
      <c r="CF568">
        <v>14124</v>
      </c>
      <c r="CG568">
        <v>26124</v>
      </c>
      <c r="CH568">
        <v>2017</v>
      </c>
      <c r="CI568">
        <v>12000</v>
      </c>
      <c r="CJ568">
        <v>14124</v>
      </c>
      <c r="CK568">
        <v>26124</v>
      </c>
      <c r="CL568">
        <v>2017</v>
      </c>
      <c r="CM568">
        <v>395.5</v>
      </c>
      <c r="CN568" s="1">
        <v>32776</v>
      </c>
      <c r="CO568">
        <v>1000</v>
      </c>
      <c r="CZ568" s="1">
        <v>32776</v>
      </c>
      <c r="DD568" t="s">
        <v>398</v>
      </c>
      <c r="DG568">
        <v>17</v>
      </c>
      <c r="DL568">
        <v>50400</v>
      </c>
      <c r="DM568" t="s">
        <v>6080</v>
      </c>
      <c r="DO568" t="s">
        <v>6088</v>
      </c>
      <c r="DP568">
        <v>0</v>
      </c>
      <c r="DQ568">
        <v>0</v>
      </c>
      <c r="DR568" t="s">
        <v>411</v>
      </c>
      <c r="DS568" t="b">
        <v>1</v>
      </c>
      <c r="DT568" t="s">
        <v>470</v>
      </c>
      <c r="DU568" t="s">
        <v>471</v>
      </c>
      <c r="DV568" t="s">
        <v>472</v>
      </c>
      <c r="DX568">
        <v>-9999</v>
      </c>
      <c r="DZ568" t="s">
        <v>447</v>
      </c>
      <c r="EA568" t="s">
        <v>448</v>
      </c>
      <c r="EB568" t="s">
        <v>1224</v>
      </c>
      <c r="EC568">
        <v>20101217</v>
      </c>
      <c r="ED568" t="s">
        <v>474</v>
      </c>
      <c r="EF568">
        <v>1065.5</v>
      </c>
      <c r="EG568">
        <v>1065.5</v>
      </c>
      <c r="EI568">
        <v>20160407</v>
      </c>
      <c r="EJ568">
        <v>0</v>
      </c>
      <c r="EK568">
        <v>0</v>
      </c>
      <c r="EP568" t="s">
        <v>595</v>
      </c>
      <c r="EQ568" t="s">
        <v>422</v>
      </c>
      <c r="ER568">
        <v>0</v>
      </c>
      <c r="ES568">
        <v>6</v>
      </c>
      <c r="ET568">
        <v>0</v>
      </c>
      <c r="EU568">
        <v>0</v>
      </c>
      <c r="EV568">
        <v>0</v>
      </c>
      <c r="EW568" s="2">
        <v>43222</v>
      </c>
      <c r="EX568" s="1">
        <v>42879</v>
      </c>
      <c r="EY568">
        <v>2016</v>
      </c>
      <c r="EZ568">
        <v>422.12</v>
      </c>
      <c r="FA568" t="s">
        <v>6089</v>
      </c>
      <c r="FB568">
        <v>4.5</v>
      </c>
      <c r="FC568" t="s">
        <v>424</v>
      </c>
      <c r="FD568" t="s">
        <v>425</v>
      </c>
      <c r="FE568" s="1">
        <v>43188</v>
      </c>
      <c r="FF568">
        <v>10</v>
      </c>
      <c r="FG568">
        <v>2035919</v>
      </c>
      <c r="FH568" t="s">
        <v>507</v>
      </c>
      <c r="FJ568" s="1">
        <v>42515</v>
      </c>
      <c r="FK568">
        <v>2015</v>
      </c>
      <c r="FL568">
        <v>406.3</v>
      </c>
      <c r="FM568" t="s">
        <v>6090</v>
      </c>
      <c r="FN568">
        <v>6</v>
      </c>
      <c r="FO568" t="s">
        <v>424</v>
      </c>
      <c r="FP568" t="s">
        <v>425</v>
      </c>
      <c r="FQ568" s="1">
        <v>43159</v>
      </c>
      <c r="FR568">
        <v>21</v>
      </c>
      <c r="FS568">
        <v>2035919</v>
      </c>
      <c r="FT568" t="s">
        <v>507</v>
      </c>
      <c r="FV568" s="1">
        <v>42151</v>
      </c>
      <c r="FW568">
        <v>2014</v>
      </c>
      <c r="FX568">
        <v>377.43</v>
      </c>
      <c r="FY568" t="s">
        <v>6091</v>
      </c>
      <c r="FZ568">
        <v>3.75</v>
      </c>
      <c r="GA568" t="s">
        <v>424</v>
      </c>
      <c r="GB568" t="s">
        <v>425</v>
      </c>
      <c r="GC568" s="1">
        <v>42311</v>
      </c>
      <c r="GD568">
        <v>6</v>
      </c>
      <c r="GE568">
        <v>4975593</v>
      </c>
      <c r="GF568" t="s">
        <v>505</v>
      </c>
      <c r="GH568" s="1">
        <v>41787</v>
      </c>
      <c r="GI568">
        <v>2013</v>
      </c>
      <c r="GJ568">
        <v>349.67</v>
      </c>
      <c r="GK568" t="s">
        <v>6092</v>
      </c>
      <c r="GL568">
        <v>0.25</v>
      </c>
      <c r="GM568" t="s">
        <v>424</v>
      </c>
      <c r="GN568" t="s">
        <v>425</v>
      </c>
      <c r="GO568" s="1">
        <v>42130</v>
      </c>
      <c r="GP568">
        <v>12</v>
      </c>
      <c r="GQ568">
        <v>13026</v>
      </c>
      <c r="GR568" t="s">
        <v>2129</v>
      </c>
      <c r="GT568" s="1">
        <v>41052</v>
      </c>
      <c r="GU568">
        <v>2011</v>
      </c>
      <c r="GV568">
        <v>109.89</v>
      </c>
      <c r="GW568" t="s">
        <v>6093</v>
      </c>
      <c r="GX568">
        <v>18</v>
      </c>
      <c r="GY568" t="s">
        <v>603</v>
      </c>
      <c r="GZ568" t="s">
        <v>425</v>
      </c>
      <c r="HA568" s="1">
        <v>41696</v>
      </c>
      <c r="HB568">
        <v>21</v>
      </c>
      <c r="HC568">
        <v>9999999</v>
      </c>
      <c r="HD568" t="s">
        <v>604</v>
      </c>
      <c r="HF568" s="1">
        <v>40688</v>
      </c>
      <c r="HG568">
        <v>2010</v>
      </c>
      <c r="HH568">
        <v>118.66</v>
      </c>
      <c r="HI568" t="s">
        <v>6094</v>
      </c>
      <c r="HJ568">
        <v>9.75</v>
      </c>
      <c r="HK568" t="s">
        <v>424</v>
      </c>
      <c r="HL568" t="s">
        <v>425</v>
      </c>
      <c r="HM568" s="1">
        <v>41330</v>
      </c>
      <c r="HN568">
        <v>21</v>
      </c>
      <c r="HO568">
        <v>105</v>
      </c>
      <c r="HP568" t="s">
        <v>946</v>
      </c>
    </row>
    <row r="569" spans="1:272" x14ac:dyDescent="0.25">
      <c r="A569">
        <v>16485576</v>
      </c>
      <c r="B569">
        <v>568</v>
      </c>
      <c r="C569" t="s">
        <v>393</v>
      </c>
      <c r="D569" t="s">
        <v>394</v>
      </c>
      <c r="F569" t="str">
        <f>"18-4N-24-0000-0004-0010"</f>
        <v>18-4N-24-0000-0004-0010</v>
      </c>
      <c r="H569" t="str">
        <f>"WILCOX RICHARD T &amp; CHURCH KAREN K"</f>
        <v>WILCOX RICHARD T &amp; CHURCH KAREN K</v>
      </c>
      <c r="I569" t="str">
        <f>"29946 PIGEON CREEK RD"</f>
        <v>29946 PIGEON CREEK RD</v>
      </c>
      <c r="J569" t="str">
        <f t="shared" si="173"/>
        <v>HILLIARD FL 32046</v>
      </c>
      <c r="K569" t="str">
        <f>"29946 PIGEON CREEK RD"</f>
        <v>29946 PIGEON CREEK RD</v>
      </c>
      <c r="L569" t="str">
        <f t="shared" si="168"/>
        <v>HILLIARD FL 32046</v>
      </c>
      <c r="M569" t="str">
        <f>"PARCELS 4-1 &amp; 4 IN OR 1639/173 EX FPL ESMT OR 328/376 &amp; OR 332 PG 156 EX ESMT PT OR 673/945 ESMT IN OR 875/1781 ESMT PT OR 1371/928 &amp; ESMT PT OR 1370/1480 EX 4-3 &amp; 4-4"</f>
        <v>PARCELS 4-1 &amp; 4 IN OR 1639/173 EX FPL ESMT OR 328/376 &amp; OR 332 PG 156 EX ESMT PT OR 673/945 ESMT IN OR 875/1781 ESMT PT OR 1371/928 &amp; ESMT PT OR 1370/1480 EX 4-3 &amp; 4-4</v>
      </c>
      <c r="N569" t="str">
        <f>""</f>
        <v/>
      </c>
      <c r="O569" t="str">
        <f>"32461"</f>
        <v>32461</v>
      </c>
      <c r="P569" t="str">
        <f t="shared" si="151"/>
        <v>2017</v>
      </c>
      <c r="Q569" t="str">
        <f>""</f>
        <v/>
      </c>
      <c r="R569" t="str">
        <f>"Y"</f>
        <v>Y</v>
      </c>
      <c r="S569" t="str">
        <f>"4.00"</f>
        <v>4.00</v>
      </c>
      <c r="T569" t="str">
        <f>"919.77"</f>
        <v>919.77</v>
      </c>
      <c r="U569" t="str">
        <f>"85756.00"</f>
        <v>85756.00</v>
      </c>
      <c r="V569" t="str">
        <f>"85756.00"</f>
        <v>85756.00</v>
      </c>
      <c r="W569" t="str">
        <f t="shared" si="152"/>
        <v>2017</v>
      </c>
      <c r="X569" t="str">
        <f>"15.60"</f>
        <v>15.60</v>
      </c>
      <c r="Y569" t="str">
        <f>"979.36"</f>
        <v>979.36</v>
      </c>
      <c r="Z569" t="str">
        <f>"25000.00"</f>
        <v>25000.00</v>
      </c>
      <c r="AA569" t="str">
        <f>"60756.00"</f>
        <v>60756.00</v>
      </c>
      <c r="AB569" t="str">
        <f t="shared" si="170"/>
        <v>Residential</v>
      </c>
      <c r="AC569" t="str">
        <f t="shared" si="161"/>
        <v>0</v>
      </c>
      <c r="AD569" t="str">
        <f t="shared" si="171"/>
        <v>4</v>
      </c>
      <c r="AE569" t="str">
        <f t="shared" si="172"/>
        <v>WOOD (INCLUDE STEEL STUDS)</v>
      </c>
      <c r="AF569" t="str">
        <f>"001"</f>
        <v>001</v>
      </c>
      <c r="AG569" t="str">
        <f t="shared" si="165"/>
        <v>FL</v>
      </c>
      <c r="AH569" t="str">
        <f>"174240.00"</f>
        <v>174240.00</v>
      </c>
      <c r="AI569" t="str">
        <f>"19200.00"</f>
        <v>19200.00</v>
      </c>
      <c r="AJ569" t="str">
        <f>"C55-000-587-1959-2"</f>
        <v>C55-000-587-1959-2</v>
      </c>
      <c r="AK569" t="str">
        <f>"8423"</f>
        <v>8423</v>
      </c>
      <c r="AL569">
        <v>2</v>
      </c>
      <c r="AM569">
        <v>656</v>
      </c>
      <c r="AN569">
        <v>1026.73</v>
      </c>
      <c r="AQ569" t="s">
        <v>6095</v>
      </c>
      <c r="AR569" t="s">
        <v>6095</v>
      </c>
      <c r="AS569" t="s">
        <v>6095</v>
      </c>
      <c r="AU569" t="s">
        <v>396</v>
      </c>
      <c r="AV569">
        <v>2017</v>
      </c>
      <c r="AW569" t="str">
        <f>"18-4N-24-0000-0004-0010 "</f>
        <v xml:space="preserve">18-4N-24-0000-0004-0010 </v>
      </c>
      <c r="AX569">
        <v>29946</v>
      </c>
      <c r="AZ569" t="s">
        <v>5999</v>
      </c>
      <c r="BA569" t="s">
        <v>496</v>
      </c>
      <c r="BD569" t="s">
        <v>398</v>
      </c>
      <c r="BE569" t="s">
        <v>393</v>
      </c>
      <c r="BF569">
        <v>32046</v>
      </c>
      <c r="BG569" t="s">
        <v>6096</v>
      </c>
      <c r="BH569" t="s">
        <v>400</v>
      </c>
      <c r="BI569">
        <v>-81.949102836420494</v>
      </c>
      <c r="BJ569">
        <v>30.7683117491685</v>
      </c>
      <c r="BK569" t="s">
        <v>6097</v>
      </c>
      <c r="BL569" t="s">
        <v>6098</v>
      </c>
      <c r="BM569" t="s">
        <v>6096</v>
      </c>
      <c r="BN569" t="s">
        <v>403</v>
      </c>
      <c r="BO569">
        <v>32046</v>
      </c>
      <c r="BP569" t="s">
        <v>416</v>
      </c>
      <c r="BQ569">
        <v>100</v>
      </c>
      <c r="BR569" t="s">
        <v>514</v>
      </c>
      <c r="BS569">
        <v>1001</v>
      </c>
      <c r="BT569" t="s">
        <v>515</v>
      </c>
      <c r="BW569">
        <v>174240</v>
      </c>
      <c r="BX569" t="s">
        <v>407</v>
      </c>
      <c r="BY569" t="s">
        <v>408</v>
      </c>
      <c r="BZ569">
        <v>4</v>
      </c>
      <c r="CA569">
        <v>1981</v>
      </c>
      <c r="CB569">
        <v>1</v>
      </c>
      <c r="CC569">
        <v>1</v>
      </c>
      <c r="CD569">
        <v>2017</v>
      </c>
      <c r="CG569">
        <v>85756</v>
      </c>
      <c r="CH569">
        <v>2017</v>
      </c>
      <c r="CI569">
        <v>19200</v>
      </c>
      <c r="CJ569">
        <v>71876</v>
      </c>
      <c r="CK569">
        <v>91076</v>
      </c>
      <c r="CL569">
        <v>2017</v>
      </c>
      <c r="CM569">
        <v>919.77</v>
      </c>
      <c r="CN569" s="1">
        <v>40067</v>
      </c>
      <c r="CZ569" s="1">
        <v>40067</v>
      </c>
      <c r="DD569" t="s">
        <v>398</v>
      </c>
      <c r="DG569">
        <v>18</v>
      </c>
      <c r="DL569">
        <v>50400</v>
      </c>
      <c r="DM569" t="s">
        <v>6099</v>
      </c>
      <c r="DO569" t="s">
        <v>6100</v>
      </c>
      <c r="DP569">
        <v>0</v>
      </c>
      <c r="DQ569">
        <v>0</v>
      </c>
      <c r="DR569" t="s">
        <v>411</v>
      </c>
      <c r="DS569" t="b">
        <v>1</v>
      </c>
      <c r="DT569" t="s">
        <v>470</v>
      </c>
      <c r="DU569" t="s">
        <v>471</v>
      </c>
      <c r="DV569" t="s">
        <v>472</v>
      </c>
      <c r="DX569">
        <v>-9999</v>
      </c>
      <c r="DZ569" t="s">
        <v>447</v>
      </c>
      <c r="EA569" t="s">
        <v>448</v>
      </c>
      <c r="EB569" t="s">
        <v>1224</v>
      </c>
      <c r="EC569">
        <v>20101217</v>
      </c>
      <c r="ED569" t="s">
        <v>474</v>
      </c>
      <c r="EF569">
        <v>2784</v>
      </c>
      <c r="EG569">
        <v>2784</v>
      </c>
      <c r="EI569">
        <v>20160407</v>
      </c>
      <c r="EJ569">
        <v>0</v>
      </c>
      <c r="EK569">
        <v>0</v>
      </c>
      <c r="EP569" t="s">
        <v>421</v>
      </c>
      <c r="EQ569" t="s">
        <v>422</v>
      </c>
      <c r="ER569">
        <v>0</v>
      </c>
      <c r="ES569">
        <v>10</v>
      </c>
      <c r="ET569">
        <v>0</v>
      </c>
      <c r="EU569">
        <v>0</v>
      </c>
      <c r="EV569">
        <v>0</v>
      </c>
      <c r="EW569" s="2">
        <v>43222</v>
      </c>
      <c r="EX569" s="1">
        <v>42515</v>
      </c>
      <c r="EY569">
        <v>2015</v>
      </c>
      <c r="EZ569">
        <v>1036.2</v>
      </c>
      <c r="FA569" t="s">
        <v>6101</v>
      </c>
      <c r="FB569">
        <v>0.25</v>
      </c>
      <c r="FC569" t="s">
        <v>424</v>
      </c>
      <c r="FD569" t="s">
        <v>425</v>
      </c>
      <c r="FE569" s="1">
        <v>42559</v>
      </c>
      <c r="FF569">
        <v>2</v>
      </c>
      <c r="FG569">
        <v>7045074</v>
      </c>
      <c r="FH569" t="s">
        <v>580</v>
      </c>
      <c r="FJ569" s="1">
        <v>42515</v>
      </c>
      <c r="FK569">
        <v>2015</v>
      </c>
      <c r="FL569">
        <v>1036.2</v>
      </c>
      <c r="FM569" t="s">
        <v>6101</v>
      </c>
      <c r="FN569">
        <v>0.25</v>
      </c>
      <c r="FO569" t="s">
        <v>424</v>
      </c>
      <c r="FP569" t="s">
        <v>425</v>
      </c>
      <c r="FR569">
        <v>22</v>
      </c>
      <c r="FS569">
        <v>6477084</v>
      </c>
      <c r="FT569" t="s">
        <v>6102</v>
      </c>
      <c r="FV569" s="1">
        <v>42151</v>
      </c>
      <c r="FW569">
        <v>2014</v>
      </c>
      <c r="FX569">
        <v>965.5</v>
      </c>
      <c r="FY569" t="s">
        <v>6103</v>
      </c>
      <c r="FZ569">
        <v>0.25</v>
      </c>
      <c r="GA569" t="s">
        <v>424</v>
      </c>
      <c r="GB569" t="s">
        <v>425</v>
      </c>
      <c r="GC569" s="1">
        <v>42559</v>
      </c>
      <c r="GD569">
        <v>14</v>
      </c>
      <c r="GE569">
        <v>4844982</v>
      </c>
      <c r="GF569" t="s">
        <v>5287</v>
      </c>
      <c r="GH569" s="1">
        <v>42151</v>
      </c>
      <c r="GI569">
        <v>2014</v>
      </c>
      <c r="GJ569">
        <v>965.5</v>
      </c>
      <c r="GK569" t="s">
        <v>6103</v>
      </c>
      <c r="GL569">
        <v>0.25</v>
      </c>
      <c r="GM569" t="s">
        <v>424</v>
      </c>
      <c r="GN569" t="s">
        <v>425</v>
      </c>
      <c r="GP569">
        <v>22</v>
      </c>
      <c r="GQ569">
        <v>5719111</v>
      </c>
      <c r="GR569" t="s">
        <v>6104</v>
      </c>
      <c r="GT569" s="1">
        <v>41787</v>
      </c>
      <c r="GU569">
        <v>2013</v>
      </c>
      <c r="GV569">
        <v>857.53</v>
      </c>
      <c r="GW569" t="s">
        <v>6105</v>
      </c>
      <c r="GX569">
        <v>0.25</v>
      </c>
      <c r="GY569" t="s">
        <v>424</v>
      </c>
      <c r="GZ569" t="s">
        <v>425</v>
      </c>
      <c r="HB569">
        <v>22</v>
      </c>
      <c r="HC569">
        <v>11289</v>
      </c>
      <c r="HD569" t="s">
        <v>787</v>
      </c>
      <c r="HF569" s="1">
        <v>41787</v>
      </c>
      <c r="HG569">
        <v>2013</v>
      </c>
      <c r="HH569">
        <v>857.53</v>
      </c>
      <c r="HI569" t="s">
        <v>6105</v>
      </c>
      <c r="HJ569">
        <v>0.25</v>
      </c>
      <c r="HK569" t="s">
        <v>424</v>
      </c>
      <c r="HL569" t="s">
        <v>425</v>
      </c>
      <c r="HM569" s="1">
        <v>42457</v>
      </c>
      <c r="HN569">
        <v>22</v>
      </c>
      <c r="HO569">
        <v>4844954</v>
      </c>
      <c r="HP569" t="s">
        <v>1719</v>
      </c>
      <c r="HR569" s="1">
        <v>41423</v>
      </c>
      <c r="HS569">
        <v>2012</v>
      </c>
      <c r="HT569">
        <v>994.78</v>
      </c>
      <c r="HU569" t="s">
        <v>6106</v>
      </c>
      <c r="HV569">
        <v>0.25</v>
      </c>
      <c r="HW569" t="s">
        <v>424</v>
      </c>
      <c r="HX569" t="s">
        <v>425</v>
      </c>
      <c r="HY569" s="1">
        <v>42086</v>
      </c>
      <c r="HZ569">
        <v>22</v>
      </c>
      <c r="IA569">
        <v>15398</v>
      </c>
      <c r="IB569" t="s">
        <v>1180</v>
      </c>
      <c r="ID569" s="1">
        <v>41052</v>
      </c>
      <c r="IE569">
        <v>2011</v>
      </c>
      <c r="IF569">
        <v>1077.1400000000001</v>
      </c>
      <c r="IG569" t="s">
        <v>6107</v>
      </c>
      <c r="IH569">
        <v>0.25</v>
      </c>
      <c r="II569" t="s">
        <v>424</v>
      </c>
      <c r="IJ569" t="s">
        <v>425</v>
      </c>
      <c r="IK569" s="1">
        <v>41709</v>
      </c>
      <c r="IL569">
        <v>22</v>
      </c>
      <c r="IM569">
        <v>13104</v>
      </c>
      <c r="IN569" t="s">
        <v>888</v>
      </c>
      <c r="IP569" s="1">
        <v>41052</v>
      </c>
      <c r="IQ569">
        <v>2011</v>
      </c>
      <c r="IR569">
        <v>1077.1400000000001</v>
      </c>
      <c r="IS569" t="s">
        <v>6107</v>
      </c>
      <c r="IT569">
        <v>0.25</v>
      </c>
      <c r="IU569" t="s">
        <v>424</v>
      </c>
      <c r="IV569" t="s">
        <v>425</v>
      </c>
      <c r="IX569">
        <v>22</v>
      </c>
      <c r="IY569">
        <v>13710</v>
      </c>
      <c r="IZ569" t="s">
        <v>1437</v>
      </c>
      <c r="JB569" s="1">
        <v>40688</v>
      </c>
      <c r="JC569">
        <v>2010</v>
      </c>
      <c r="JD569">
        <v>931</v>
      </c>
      <c r="JE569" t="s">
        <v>6108</v>
      </c>
      <c r="JF569">
        <v>0.25</v>
      </c>
      <c r="JG569" t="s">
        <v>424</v>
      </c>
      <c r="JH569" t="s">
        <v>425</v>
      </c>
      <c r="JI569" s="1">
        <v>41330</v>
      </c>
      <c r="JJ569">
        <v>21</v>
      </c>
      <c r="JK569">
        <v>11287</v>
      </c>
      <c r="JL569" t="s">
        <v>511</v>
      </c>
    </row>
    <row r="570" spans="1:272" x14ac:dyDescent="0.25">
      <c r="A570">
        <v>16485577</v>
      </c>
      <c r="B570">
        <v>569</v>
      </c>
      <c r="C570" t="s">
        <v>393</v>
      </c>
      <c r="D570" t="s">
        <v>394</v>
      </c>
      <c r="F570" t="str">
        <f>"19-4N-24-0000-0004-0030"</f>
        <v>19-4N-24-0000-0004-0030</v>
      </c>
      <c r="H570" t="str">
        <f>"ANDREU ALAN A"</f>
        <v>ANDREU ALAN A</v>
      </c>
      <c r="I570" t="str">
        <f>"554041 US HWY 1 NORTH"</f>
        <v>554041 US HWY 1 NORTH</v>
      </c>
      <c r="J570" t="str">
        <f t="shared" si="173"/>
        <v>HILLIARD FL 32046</v>
      </c>
      <c r="K570" t="str">
        <f>"554041 US HWY 1"</f>
        <v>554041 US HWY 1</v>
      </c>
      <c r="L570" t="str">
        <f t="shared" si="168"/>
        <v>HILLIARD FL 32046</v>
      </c>
      <c r="M570" t="str">
        <f>"PT GOVT LOTS 11 &amp; 12 OF SEC 19-4N-24E IN OR 1112/1681 (EX UTIL ESMT IN OF 1321/1970) {1994 EAGL DW/MH}"</f>
        <v>PT GOVT LOTS 11 &amp; 12 OF SEC 19-4N-24E IN OR 1112/1681 (EX UTIL ESMT IN OF 1321/1970) {1994 EAGL DW/MH}</v>
      </c>
      <c r="N570" t="str">
        <f>""</f>
        <v/>
      </c>
      <c r="O570" t="str">
        <f>"32968"</f>
        <v>32968</v>
      </c>
      <c r="P570" t="str">
        <f t="shared" si="151"/>
        <v>2017</v>
      </c>
      <c r="Q570" t="str">
        <f>""</f>
        <v/>
      </c>
      <c r="R570" t="str">
        <f>"Y"</f>
        <v>Y</v>
      </c>
      <c r="S570" t="str">
        <f>"25.00"</f>
        <v>25.00</v>
      </c>
      <c r="T570" t="str">
        <f>"1852.39"</f>
        <v>1852.39</v>
      </c>
      <c r="U570" t="str">
        <f>"161465.00"</f>
        <v>161465.00</v>
      </c>
      <c r="V570" t="str">
        <f>"161465.00"</f>
        <v>161465.00</v>
      </c>
      <c r="W570" t="str">
        <f t="shared" si="152"/>
        <v>2017</v>
      </c>
      <c r="X570" t="str">
        <f>"18.70"</f>
        <v>18.70</v>
      </c>
      <c r="Y570" t="str">
        <f>"1939.96"</f>
        <v>1939.96</v>
      </c>
      <c r="Z570" t="str">
        <f>"25000.00"</f>
        <v>25000.00</v>
      </c>
      <c r="AA570" t="str">
        <f>"136465.00"</f>
        <v>136465.00</v>
      </c>
      <c r="AB570" t="str">
        <f t="shared" si="170"/>
        <v>Residential</v>
      </c>
      <c r="AC570" t="str">
        <f t="shared" si="161"/>
        <v>0</v>
      </c>
      <c r="AD570" t="str">
        <f t="shared" si="171"/>
        <v>4</v>
      </c>
      <c r="AE570" t="str">
        <f t="shared" si="172"/>
        <v>WOOD (INCLUDE STEEL STUDS)</v>
      </c>
      <c r="AF570" t="str">
        <f>"002"</f>
        <v>002</v>
      </c>
      <c r="AG570" t="str">
        <f t="shared" si="165"/>
        <v>FL</v>
      </c>
      <c r="AH570" t="str">
        <f>"1089000.00"</f>
        <v>1089000.00</v>
      </c>
      <c r="AI570" t="str">
        <f>"112500.00"</f>
        <v>112500.00</v>
      </c>
      <c r="AJ570" t="str">
        <f>"C55-000-588-9545-9"</f>
        <v>C55-000-588-9545-9</v>
      </c>
      <c r="AK570" t="str">
        <f>"8435"</f>
        <v>8435</v>
      </c>
      <c r="AL570">
        <v>2</v>
      </c>
      <c r="AM570">
        <v>657</v>
      </c>
      <c r="AN570">
        <v>2035.36</v>
      </c>
      <c r="AQ570" t="s">
        <v>6109</v>
      </c>
      <c r="AR570" t="s">
        <v>6109</v>
      </c>
      <c r="AS570" t="s">
        <v>6109</v>
      </c>
      <c r="AU570" t="s">
        <v>396</v>
      </c>
      <c r="AV570">
        <v>2017</v>
      </c>
      <c r="AW570" t="str">
        <f>"19-4N-24-0000-0004-0030 "</f>
        <v xml:space="preserve">19-4N-24-0000-0004-0030 </v>
      </c>
      <c r="AX570">
        <v>554041</v>
      </c>
      <c r="AZ570" t="s">
        <v>2386</v>
      </c>
      <c r="BD570" t="s">
        <v>398</v>
      </c>
      <c r="BE570" t="s">
        <v>393</v>
      </c>
      <c r="BF570">
        <v>32046</v>
      </c>
      <c r="BG570" t="s">
        <v>6110</v>
      </c>
      <c r="BH570" t="s">
        <v>400</v>
      </c>
      <c r="BI570">
        <v>-81.958272099046496</v>
      </c>
      <c r="BJ570">
        <v>30.745593979649801</v>
      </c>
      <c r="BK570" t="s">
        <v>2389</v>
      </c>
      <c r="BM570" t="s">
        <v>6111</v>
      </c>
      <c r="BN570" t="s">
        <v>403</v>
      </c>
      <c r="BO570">
        <v>32046</v>
      </c>
      <c r="BP570" t="s">
        <v>416</v>
      </c>
      <c r="BQ570">
        <v>200</v>
      </c>
      <c r="BR570" t="s">
        <v>405</v>
      </c>
      <c r="BS570">
        <v>1006</v>
      </c>
      <c r="BT570" t="s">
        <v>406</v>
      </c>
      <c r="BW570">
        <v>1089000</v>
      </c>
      <c r="BX570" t="s">
        <v>407</v>
      </c>
      <c r="BY570" t="s">
        <v>408</v>
      </c>
      <c r="BZ570">
        <v>4</v>
      </c>
      <c r="CA570">
        <v>1994</v>
      </c>
      <c r="CC570">
        <v>1</v>
      </c>
      <c r="CD570">
        <v>2017</v>
      </c>
      <c r="CG570">
        <v>161465</v>
      </c>
      <c r="CH570">
        <v>2017</v>
      </c>
      <c r="CI570">
        <v>112500</v>
      </c>
      <c r="CJ570">
        <v>55320</v>
      </c>
      <c r="CK570">
        <v>167820</v>
      </c>
      <c r="CL570">
        <v>2017</v>
      </c>
      <c r="CM570">
        <v>1852.39</v>
      </c>
      <c r="CN570" s="1">
        <v>37659</v>
      </c>
      <c r="CO570">
        <v>48400</v>
      </c>
      <c r="CZ570" s="1">
        <v>37659</v>
      </c>
      <c r="DD570" t="s">
        <v>398</v>
      </c>
      <c r="DG570">
        <v>19</v>
      </c>
      <c r="DL570">
        <v>50400</v>
      </c>
      <c r="DM570" t="s">
        <v>6112</v>
      </c>
      <c r="DO570" t="s">
        <v>6113</v>
      </c>
      <c r="DP570">
        <v>0</v>
      </c>
      <c r="DQ570">
        <v>2</v>
      </c>
      <c r="DR570" t="s">
        <v>411</v>
      </c>
      <c r="DS570" t="b">
        <v>1</v>
      </c>
      <c r="DT570" t="s">
        <v>470</v>
      </c>
      <c r="DU570" t="s">
        <v>471</v>
      </c>
      <c r="DV570" t="s">
        <v>472</v>
      </c>
      <c r="DX570">
        <v>-9999</v>
      </c>
      <c r="DZ570" t="s">
        <v>447</v>
      </c>
      <c r="EA570" t="s">
        <v>448</v>
      </c>
      <c r="EB570" t="s">
        <v>1224</v>
      </c>
      <c r="EC570">
        <v>20101217</v>
      </c>
      <c r="ED570" t="s">
        <v>474</v>
      </c>
      <c r="EF570">
        <v>1007</v>
      </c>
      <c r="EG570">
        <v>1007</v>
      </c>
      <c r="EI570">
        <v>20160407</v>
      </c>
      <c r="EJ570">
        <v>0</v>
      </c>
      <c r="EK570">
        <v>0</v>
      </c>
      <c r="EP570" t="s">
        <v>421</v>
      </c>
      <c r="EQ570" t="s">
        <v>422</v>
      </c>
      <c r="ER570">
        <v>2</v>
      </c>
      <c r="ES570">
        <v>8</v>
      </c>
      <c r="ET570">
        <v>4052.2</v>
      </c>
      <c r="EU570">
        <v>215.11</v>
      </c>
      <c r="EV570">
        <v>4267.3100000000004</v>
      </c>
      <c r="EW570" s="2">
        <v>43222</v>
      </c>
      <c r="EX570" s="1">
        <v>42879</v>
      </c>
      <c r="EY570">
        <v>2016</v>
      </c>
      <c r="EZ570">
        <v>2026.1</v>
      </c>
      <c r="FA570" t="s">
        <v>6114</v>
      </c>
      <c r="FB570">
        <v>0.25</v>
      </c>
      <c r="FC570" t="s">
        <v>424</v>
      </c>
      <c r="FD570" t="s">
        <v>454</v>
      </c>
      <c r="FF570">
        <v>12</v>
      </c>
      <c r="FG570">
        <v>2851116</v>
      </c>
      <c r="FH570" t="s">
        <v>480</v>
      </c>
      <c r="FJ570" s="1">
        <v>42879</v>
      </c>
      <c r="FK570">
        <v>2016</v>
      </c>
      <c r="FL570">
        <v>2026.1</v>
      </c>
      <c r="FM570" t="s">
        <v>6114</v>
      </c>
      <c r="FN570">
        <v>0.25</v>
      </c>
      <c r="FO570" t="s">
        <v>424</v>
      </c>
      <c r="FP570" t="s">
        <v>454</v>
      </c>
      <c r="FR570">
        <v>12</v>
      </c>
      <c r="FS570">
        <v>5283856</v>
      </c>
      <c r="FT570" t="s">
        <v>6115</v>
      </c>
      <c r="FV570" s="1">
        <v>42515</v>
      </c>
      <c r="FW570">
        <v>2015</v>
      </c>
      <c r="FX570">
        <v>2468.94</v>
      </c>
      <c r="FY570" t="s">
        <v>6116</v>
      </c>
      <c r="FZ570">
        <v>0.25</v>
      </c>
      <c r="GA570" t="s">
        <v>424</v>
      </c>
      <c r="GB570" t="s">
        <v>425</v>
      </c>
      <c r="GC570" s="1">
        <v>43153</v>
      </c>
      <c r="GD570">
        <v>21</v>
      </c>
      <c r="GE570">
        <v>7045074</v>
      </c>
      <c r="GF570" t="s">
        <v>580</v>
      </c>
      <c r="GH570" s="1">
        <v>42515</v>
      </c>
      <c r="GI570">
        <v>2015</v>
      </c>
      <c r="GJ570">
        <v>2468.94</v>
      </c>
      <c r="GK570" t="s">
        <v>6116</v>
      </c>
      <c r="GL570">
        <v>0.25</v>
      </c>
      <c r="GM570" t="s">
        <v>424</v>
      </c>
      <c r="GN570" t="s">
        <v>425</v>
      </c>
      <c r="GP570">
        <v>22</v>
      </c>
      <c r="GQ570">
        <v>6320895</v>
      </c>
      <c r="GR570" t="s">
        <v>6117</v>
      </c>
      <c r="GT570" s="1">
        <v>42151</v>
      </c>
      <c r="GU570">
        <v>2014</v>
      </c>
      <c r="GV570">
        <v>2249.6</v>
      </c>
      <c r="GW570" t="s">
        <v>6118</v>
      </c>
      <c r="GX570">
        <v>0.25</v>
      </c>
      <c r="GY570" t="s">
        <v>424</v>
      </c>
      <c r="GZ570" t="s">
        <v>425</v>
      </c>
      <c r="HA570" s="1">
        <v>42814</v>
      </c>
      <c r="HB570">
        <v>22</v>
      </c>
      <c r="HC570">
        <v>2851116</v>
      </c>
      <c r="HD570" t="s">
        <v>480</v>
      </c>
      <c r="HF570" s="1">
        <v>42151</v>
      </c>
      <c r="HG570">
        <v>2014</v>
      </c>
      <c r="HH570">
        <v>2249.6</v>
      </c>
      <c r="HI570" t="s">
        <v>6118</v>
      </c>
      <c r="HJ570">
        <v>0.25</v>
      </c>
      <c r="HK570" t="s">
        <v>424</v>
      </c>
      <c r="HL570" t="s">
        <v>425</v>
      </c>
      <c r="HN570">
        <v>22</v>
      </c>
      <c r="HO570">
        <v>5431061</v>
      </c>
      <c r="HP570" t="s">
        <v>6119</v>
      </c>
      <c r="HR570" s="1">
        <v>41787</v>
      </c>
      <c r="HS570">
        <v>2013</v>
      </c>
      <c r="HT570">
        <v>1824.17</v>
      </c>
      <c r="HU570" t="s">
        <v>6120</v>
      </c>
      <c r="HV570">
        <v>0.25</v>
      </c>
      <c r="HW570" t="s">
        <v>424</v>
      </c>
      <c r="HX570" t="s">
        <v>425</v>
      </c>
      <c r="HY570" s="1">
        <v>42426</v>
      </c>
      <c r="HZ570">
        <v>21</v>
      </c>
      <c r="IA570">
        <v>2851116</v>
      </c>
      <c r="IB570" t="s">
        <v>480</v>
      </c>
      <c r="ID570" s="1">
        <v>41423</v>
      </c>
      <c r="IE570">
        <v>2012</v>
      </c>
      <c r="IF570">
        <v>1288.01</v>
      </c>
      <c r="IG570" t="s">
        <v>6121</v>
      </c>
      <c r="IH570">
        <v>0.25</v>
      </c>
      <c r="II570" t="s">
        <v>424</v>
      </c>
      <c r="IJ570" t="s">
        <v>425</v>
      </c>
      <c r="IK570" s="1">
        <v>42024</v>
      </c>
      <c r="IL570">
        <v>20</v>
      </c>
      <c r="IM570">
        <v>606981</v>
      </c>
      <c r="IN570" t="s">
        <v>792</v>
      </c>
      <c r="IP570" s="1">
        <v>41052</v>
      </c>
      <c r="IQ570">
        <v>2011</v>
      </c>
      <c r="IR570">
        <v>1392.56</v>
      </c>
      <c r="IS570" t="s">
        <v>6122</v>
      </c>
      <c r="IT570">
        <v>6</v>
      </c>
      <c r="IU570" t="s">
        <v>424</v>
      </c>
      <c r="IV570" t="s">
        <v>425</v>
      </c>
      <c r="IW570" s="1">
        <v>41694</v>
      </c>
      <c r="IX570">
        <v>21</v>
      </c>
      <c r="IY570">
        <v>10125</v>
      </c>
      <c r="IZ570" t="s">
        <v>440</v>
      </c>
      <c r="JB570" s="1">
        <v>40688</v>
      </c>
      <c r="JC570">
        <v>2010</v>
      </c>
      <c r="JD570">
        <v>1492.22</v>
      </c>
      <c r="JE570" t="s">
        <v>6123</v>
      </c>
      <c r="JF570">
        <v>5</v>
      </c>
      <c r="JG570" t="s">
        <v>424</v>
      </c>
      <c r="JH570" t="s">
        <v>425</v>
      </c>
      <c r="JI570" s="1">
        <v>41317</v>
      </c>
      <c r="JJ570">
        <v>21</v>
      </c>
      <c r="JK570">
        <v>287</v>
      </c>
      <c r="JL570" t="s">
        <v>572</v>
      </c>
    </row>
    <row r="571" spans="1:272" x14ac:dyDescent="0.25">
      <c r="A571">
        <v>16485578</v>
      </c>
      <c r="B571">
        <v>570</v>
      </c>
      <c r="C571" t="s">
        <v>393</v>
      </c>
      <c r="D571" t="s">
        <v>394</v>
      </c>
      <c r="F571" t="str">
        <f>"19-4N-24-1212-0015-0000"</f>
        <v>19-4N-24-1212-0015-0000</v>
      </c>
      <c r="H571" t="str">
        <f>"STUTSMAN KELLI ELAINE"</f>
        <v>STUTSMAN KELLI ELAINE</v>
      </c>
      <c r="I571" t="str">
        <f>"553936 US HWY 1"</f>
        <v>553936 US HWY 1</v>
      </c>
      <c r="J571" t="str">
        <f t="shared" si="173"/>
        <v>HILLIARD FL 32046</v>
      </c>
      <c r="K571" t="str">
        <f>"553936 US HWY 1"</f>
        <v>553936 US HWY 1</v>
      </c>
      <c r="L571" t="str">
        <f t="shared" si="168"/>
        <v>HILLIARD FL 32046</v>
      </c>
      <c r="M571" t="str">
        <f>"LOT 15 IN OR 1687/402 2002 WFLD SW/MH LAKE HAMPTON HILLS PB 6/2"</f>
        <v>LOT 15 IN OR 1687/402 2002 WFLD SW/MH LAKE HAMPTON HILLS PB 6/2</v>
      </c>
      <c r="N571" t="str">
        <f>""</f>
        <v/>
      </c>
      <c r="O571" t="str">
        <f>"32986"</f>
        <v>32986</v>
      </c>
      <c r="P571" t="str">
        <f t="shared" si="151"/>
        <v>2017</v>
      </c>
      <c r="Q571" t="str">
        <f>""</f>
        <v/>
      </c>
      <c r="R571" t="str">
        <f t="shared" ref="R571:R597" si="174">"N"</f>
        <v>N</v>
      </c>
      <c r="S571" t="str">
        <f>"1.04"</f>
        <v>1.04</v>
      </c>
      <c r="T571" t="str">
        <f>"507.23"</f>
        <v>507.23</v>
      </c>
      <c r="U571" t="str">
        <f>"31285.00"</f>
        <v>31285.00</v>
      </c>
      <c r="V571" t="str">
        <f>"31285.00"</f>
        <v>31285.00</v>
      </c>
      <c r="W571" t="str">
        <f t="shared" si="152"/>
        <v>2017</v>
      </c>
      <c r="X571" t="str">
        <f>""</f>
        <v/>
      </c>
      <c r="Y571" t="str">
        <f>"554.45"</f>
        <v>554.45</v>
      </c>
      <c r="Z571" t="str">
        <f>""</f>
        <v/>
      </c>
      <c r="AA571" t="str">
        <f>"36379.00"</f>
        <v>36379.00</v>
      </c>
      <c r="AB571" t="str">
        <f t="shared" si="170"/>
        <v>Residential</v>
      </c>
      <c r="AC571" t="str">
        <f t="shared" si="161"/>
        <v>0</v>
      </c>
      <c r="AD571" t="str">
        <f t="shared" si="171"/>
        <v>4</v>
      </c>
      <c r="AE571" t="str">
        <f t="shared" si="172"/>
        <v>WOOD (INCLUDE STEEL STUDS)</v>
      </c>
      <c r="AF571" t="str">
        <f>"002"</f>
        <v>002</v>
      </c>
      <c r="AG571" t="str">
        <f t="shared" si="165"/>
        <v>FL</v>
      </c>
      <c r="AH571" t="str">
        <f>"45302.00"</f>
        <v>45302.00</v>
      </c>
      <c r="AI571" t="str">
        <f>"15600.00"</f>
        <v>15600.00</v>
      </c>
      <c r="AJ571" t="str">
        <f>"C55-000-587-2435-2"</f>
        <v>C55-000-587-2435-2</v>
      </c>
      <c r="AK571" t="str">
        <f>"8452"</f>
        <v>8452</v>
      </c>
      <c r="AL571">
        <v>3</v>
      </c>
      <c r="AM571">
        <v>659</v>
      </c>
      <c r="AN571">
        <v>580.57000000000005</v>
      </c>
      <c r="AQ571" t="s">
        <v>6124</v>
      </c>
      <c r="AR571" t="s">
        <v>6124</v>
      </c>
      <c r="AS571" t="s">
        <v>6124</v>
      </c>
      <c r="AU571" t="s">
        <v>396</v>
      </c>
      <c r="AV571">
        <v>2017</v>
      </c>
      <c r="AW571" t="str">
        <f>"19-4N-24-1212-0015-0000 "</f>
        <v xml:space="preserve">19-4N-24-1212-0015-0000 </v>
      </c>
      <c r="AX571">
        <v>553936</v>
      </c>
      <c r="AZ571" t="s">
        <v>2386</v>
      </c>
      <c r="BD571" t="s">
        <v>398</v>
      </c>
      <c r="BE571" t="s">
        <v>393</v>
      </c>
      <c r="BF571">
        <v>32046</v>
      </c>
      <c r="BG571" t="s">
        <v>6125</v>
      </c>
      <c r="BH571" t="s">
        <v>400</v>
      </c>
      <c r="BI571">
        <v>-81.9549242205577</v>
      </c>
      <c r="BJ571">
        <v>30.745940580451901</v>
      </c>
      <c r="BK571" t="s">
        <v>6126</v>
      </c>
      <c r="BM571" t="s">
        <v>6127</v>
      </c>
      <c r="BN571" t="s">
        <v>403</v>
      </c>
      <c r="BO571">
        <v>32046</v>
      </c>
      <c r="BP571" t="s">
        <v>416</v>
      </c>
      <c r="BQ571">
        <v>200</v>
      </c>
      <c r="BR571" t="s">
        <v>405</v>
      </c>
      <c r="BS571">
        <v>1006</v>
      </c>
      <c r="BT571" t="s">
        <v>406</v>
      </c>
      <c r="BW571">
        <v>45302</v>
      </c>
      <c r="BX571" t="s">
        <v>407</v>
      </c>
      <c r="BY571" t="s">
        <v>408</v>
      </c>
      <c r="BZ571">
        <v>4</v>
      </c>
      <c r="CA571">
        <v>2002</v>
      </c>
      <c r="CC571">
        <v>1</v>
      </c>
      <c r="CD571">
        <v>2017</v>
      </c>
      <c r="CE571">
        <v>15600</v>
      </c>
      <c r="CF571">
        <v>20779</v>
      </c>
      <c r="CG571">
        <v>36379</v>
      </c>
      <c r="CH571">
        <v>2017</v>
      </c>
      <c r="CI571">
        <v>15600</v>
      </c>
      <c r="CJ571">
        <v>20779</v>
      </c>
      <c r="CK571">
        <v>36379</v>
      </c>
      <c r="CL571">
        <v>2017</v>
      </c>
      <c r="CM571">
        <v>507.23</v>
      </c>
      <c r="CN571" s="1">
        <v>40367</v>
      </c>
      <c r="CO571">
        <v>10000</v>
      </c>
      <c r="CV571">
        <v>0</v>
      </c>
      <c r="CZ571" s="1">
        <v>40367</v>
      </c>
      <c r="DA571">
        <v>0</v>
      </c>
      <c r="DD571" t="s">
        <v>398</v>
      </c>
      <c r="DF571">
        <v>15</v>
      </c>
      <c r="DG571">
        <v>19</v>
      </c>
      <c r="DL571">
        <v>50400</v>
      </c>
      <c r="DM571" t="s">
        <v>6112</v>
      </c>
      <c r="DO571" t="s">
        <v>6128</v>
      </c>
      <c r="DP571">
        <v>0</v>
      </c>
      <c r="DQ571">
        <v>1</v>
      </c>
      <c r="DR571" t="s">
        <v>411</v>
      </c>
    </row>
    <row r="572" spans="1:272" x14ac:dyDescent="0.25">
      <c r="A572">
        <v>16485579</v>
      </c>
      <c r="B572">
        <v>571</v>
      </c>
      <c r="C572" t="s">
        <v>393</v>
      </c>
      <c r="D572" t="s">
        <v>394</v>
      </c>
      <c r="F572" t="str">
        <f>"21-4N-24-0000-0005-0010"</f>
        <v>21-4N-24-0000-0005-0010</v>
      </c>
      <c r="H572" t="str">
        <f>"MCLENDON LUTHER SPAULDING III&amp; ERIC PAUL MCLENDON"</f>
        <v>MCLENDON LUTHER SPAULDING III&amp; ERIC PAUL MCLENDON</v>
      </c>
      <c r="I572" t="str">
        <f>"18401 CONNER RD"</f>
        <v>18401 CONNER RD</v>
      </c>
      <c r="J572" t="str">
        <f t="shared" si="173"/>
        <v>HILLIARD FL 32046</v>
      </c>
      <c r="K572" t="str">
        <f>"MURRHEE RD"</f>
        <v>MURRHEE RD</v>
      </c>
      <c r="L572" t="str">
        <f t="shared" si="168"/>
        <v>HILLIARD FL 32046</v>
      </c>
      <c r="M572" t="str">
        <f>"PARCELS 5-1 &amp; 6-2 IN 21-4N-24 &amp; PARCEL 2-1 IN SEC 39-4N-24 IN OR 887/389"</f>
        <v>PARCELS 5-1 &amp; 6-2 IN 21-4N-24 &amp; PARCEL 2-1 IN SEC 39-4N-24 IN OR 887/389</v>
      </c>
      <c r="N572" t="str">
        <f>""</f>
        <v/>
      </c>
      <c r="O572" t="str">
        <f>"33548"</f>
        <v>33548</v>
      </c>
      <c r="P572" t="str">
        <f t="shared" si="151"/>
        <v>2017</v>
      </c>
      <c r="Q572" t="str">
        <f>""</f>
        <v/>
      </c>
      <c r="R572" t="str">
        <f t="shared" si="174"/>
        <v>N</v>
      </c>
      <c r="S572" t="str">
        <f>"7.86"</f>
        <v>7.86</v>
      </c>
      <c r="T572" t="str">
        <f>"713.96"</f>
        <v>713.96</v>
      </c>
      <c r="U572" t="str">
        <f>"47160.00"</f>
        <v>47160.00</v>
      </c>
      <c r="V572" t="str">
        <f>"47160.00"</f>
        <v>47160.00</v>
      </c>
      <c r="W572" t="str">
        <f t="shared" si="152"/>
        <v>2017</v>
      </c>
      <c r="X572" t="str">
        <f>"18.00"</f>
        <v>18.00</v>
      </c>
      <c r="Y572" t="str">
        <f>"767.38"</f>
        <v>767.38</v>
      </c>
      <c r="Z572" t="str">
        <f>""</f>
        <v/>
      </c>
      <c r="AA572" t="str">
        <f>"47160.00"</f>
        <v>47160.00</v>
      </c>
      <c r="AB572" t="str">
        <f t="shared" si="170"/>
        <v>Residential</v>
      </c>
      <c r="AC572" t="str">
        <f t="shared" si="161"/>
        <v>0</v>
      </c>
      <c r="AD572" t="str">
        <f>""</f>
        <v/>
      </c>
      <c r="AE572" t="str">
        <f>""</f>
        <v/>
      </c>
      <c r="AF572" t="str">
        <f>"000"</f>
        <v>000</v>
      </c>
      <c r="AG572" t="str">
        <f t="shared" si="165"/>
        <v>FL</v>
      </c>
      <c r="AH572" t="str">
        <f>"342381.00"</f>
        <v>342381.00</v>
      </c>
      <c r="AI572" t="str">
        <f>"47160.00"</f>
        <v>47160.00</v>
      </c>
      <c r="AJ572" t="str">
        <f>"C55-000-587-2911-2"</f>
        <v>C55-000-587-2911-2</v>
      </c>
      <c r="AK572" t="str">
        <f>"8471"</f>
        <v>8471</v>
      </c>
      <c r="AL572">
        <v>3</v>
      </c>
      <c r="AM572">
        <v>660</v>
      </c>
      <c r="AN572">
        <v>804.15</v>
      </c>
      <c r="AQ572" t="s">
        <v>6129</v>
      </c>
      <c r="AR572" t="s">
        <v>6129</v>
      </c>
      <c r="AS572" t="s">
        <v>6129</v>
      </c>
      <c r="AU572" t="s">
        <v>396</v>
      </c>
      <c r="AV572">
        <v>2017</v>
      </c>
      <c r="AW572" t="str">
        <f>"21-4N-24-0000-0005-0010 "</f>
        <v xml:space="preserve">21-4N-24-0000-0005-0010 </v>
      </c>
      <c r="AZ572" t="s">
        <v>6043</v>
      </c>
      <c r="BA572" t="s">
        <v>496</v>
      </c>
      <c r="BD572" t="s">
        <v>398</v>
      </c>
      <c r="BE572" t="s">
        <v>393</v>
      </c>
      <c r="BF572">
        <v>32046</v>
      </c>
      <c r="BG572" t="s">
        <v>6044</v>
      </c>
      <c r="BH572" t="s">
        <v>400</v>
      </c>
      <c r="BI572">
        <v>-81.922439788557298</v>
      </c>
      <c r="BJ572">
        <v>30.750231244115099</v>
      </c>
      <c r="BK572" t="s">
        <v>6130</v>
      </c>
      <c r="BL572" t="s">
        <v>6131</v>
      </c>
      <c r="BM572" t="s">
        <v>1753</v>
      </c>
      <c r="BN572" t="s">
        <v>403</v>
      </c>
      <c r="BO572">
        <v>32046</v>
      </c>
      <c r="BP572" t="s">
        <v>404</v>
      </c>
      <c r="BQ572">
        <v>0</v>
      </c>
      <c r="BR572" t="s">
        <v>491</v>
      </c>
      <c r="BS572">
        <v>8001</v>
      </c>
      <c r="BT572" t="s">
        <v>492</v>
      </c>
      <c r="BW572">
        <v>342381</v>
      </c>
      <c r="BX572" t="s">
        <v>407</v>
      </c>
      <c r="CD572">
        <v>2017</v>
      </c>
      <c r="CE572">
        <v>47160</v>
      </c>
      <c r="CG572">
        <v>47160</v>
      </c>
      <c r="CH572">
        <v>2017</v>
      </c>
      <c r="CI572">
        <v>47160</v>
      </c>
      <c r="CK572">
        <v>47160</v>
      </c>
      <c r="CL572">
        <v>2017</v>
      </c>
      <c r="CM572">
        <v>713.96</v>
      </c>
      <c r="CN572" s="1">
        <v>36326</v>
      </c>
      <c r="CO572">
        <v>30000</v>
      </c>
      <c r="CZ572" s="1">
        <v>36326</v>
      </c>
      <c r="DD572" t="s">
        <v>398</v>
      </c>
      <c r="DG572">
        <v>21</v>
      </c>
      <c r="DL572">
        <v>50400</v>
      </c>
      <c r="DM572" t="s">
        <v>6132</v>
      </c>
      <c r="DO572" t="s">
        <v>6133</v>
      </c>
      <c r="DP572">
        <v>0</v>
      </c>
      <c r="DQ572">
        <v>0</v>
      </c>
      <c r="DR572" t="s">
        <v>411</v>
      </c>
      <c r="DS572" t="b">
        <v>1</v>
      </c>
      <c r="DT572" t="s">
        <v>470</v>
      </c>
      <c r="DU572" t="s">
        <v>471</v>
      </c>
      <c r="DV572" t="s">
        <v>472</v>
      </c>
      <c r="DX572">
        <v>-9999</v>
      </c>
      <c r="DZ572" t="s">
        <v>447</v>
      </c>
      <c r="EA572" t="s">
        <v>448</v>
      </c>
      <c r="EB572" t="s">
        <v>1224</v>
      </c>
      <c r="EC572">
        <v>20101217</v>
      </c>
      <c r="ED572" t="s">
        <v>474</v>
      </c>
      <c r="EF572">
        <v>994.5</v>
      </c>
      <c r="EG572">
        <v>994.5</v>
      </c>
      <c r="EI572">
        <v>20160407</v>
      </c>
      <c r="EJ572">
        <v>0</v>
      </c>
      <c r="EK572">
        <v>0</v>
      </c>
      <c r="EP572" t="s">
        <v>421</v>
      </c>
      <c r="EQ572" t="s">
        <v>422</v>
      </c>
      <c r="ER572">
        <v>1</v>
      </c>
      <c r="ES572">
        <v>5</v>
      </c>
      <c r="ET572">
        <v>809.96</v>
      </c>
      <c r="EU572">
        <v>46.75</v>
      </c>
      <c r="EV572">
        <v>856.71</v>
      </c>
      <c r="EW572" s="2">
        <v>43222</v>
      </c>
      <c r="EX572" s="1">
        <v>42879</v>
      </c>
      <c r="EY572">
        <v>2016</v>
      </c>
      <c r="EZ572">
        <v>809.96</v>
      </c>
      <c r="FA572" t="s">
        <v>6134</v>
      </c>
      <c r="FB572">
        <v>4.5</v>
      </c>
      <c r="FC572" t="s">
        <v>424</v>
      </c>
      <c r="FD572" t="s">
        <v>454</v>
      </c>
      <c r="FF572">
        <v>12</v>
      </c>
      <c r="FG572">
        <v>7336745</v>
      </c>
      <c r="FH572" t="s">
        <v>502</v>
      </c>
      <c r="FJ572" s="1">
        <v>42515</v>
      </c>
      <c r="FK572">
        <v>2015</v>
      </c>
      <c r="FL572">
        <v>787.54</v>
      </c>
      <c r="FM572" t="s">
        <v>6135</v>
      </c>
      <c r="FN572">
        <v>6.25</v>
      </c>
      <c r="FO572" t="s">
        <v>424</v>
      </c>
      <c r="FP572" t="s">
        <v>425</v>
      </c>
      <c r="FQ572" s="1">
        <v>43174</v>
      </c>
      <c r="FR572">
        <v>22</v>
      </c>
      <c r="FS572">
        <v>2035919</v>
      </c>
      <c r="FT572" t="s">
        <v>507</v>
      </c>
      <c r="FV572" s="1">
        <v>41787</v>
      </c>
      <c r="FW572">
        <v>2013</v>
      </c>
      <c r="FX572">
        <v>784.92</v>
      </c>
      <c r="FY572" t="s">
        <v>6136</v>
      </c>
      <c r="FZ572">
        <v>3</v>
      </c>
      <c r="GA572" t="s">
        <v>424</v>
      </c>
      <c r="GB572" t="s">
        <v>425</v>
      </c>
      <c r="GC572" s="1">
        <v>42114</v>
      </c>
      <c r="GD572">
        <v>11</v>
      </c>
      <c r="GE572">
        <v>116</v>
      </c>
      <c r="GF572" t="s">
        <v>509</v>
      </c>
      <c r="GH572" s="1">
        <v>41423</v>
      </c>
      <c r="GI572">
        <v>2012</v>
      </c>
      <c r="GJ572">
        <v>836.31</v>
      </c>
      <c r="GK572" t="s">
        <v>6137</v>
      </c>
      <c r="GL572">
        <v>3.75</v>
      </c>
      <c r="GM572" t="s">
        <v>424</v>
      </c>
      <c r="GN572" t="s">
        <v>425</v>
      </c>
      <c r="GO572" s="1">
        <v>41673</v>
      </c>
      <c r="GP572">
        <v>9</v>
      </c>
      <c r="GQ572">
        <v>1625515</v>
      </c>
      <c r="GR572" t="s">
        <v>487</v>
      </c>
      <c r="GT572" s="1">
        <v>41052</v>
      </c>
      <c r="GU572">
        <v>2011</v>
      </c>
      <c r="GV572">
        <v>986.63</v>
      </c>
      <c r="GW572" t="s">
        <v>6138</v>
      </c>
      <c r="GX572">
        <v>4.75</v>
      </c>
      <c r="GY572" t="s">
        <v>424</v>
      </c>
      <c r="GZ572" t="s">
        <v>425</v>
      </c>
      <c r="HA572" s="1">
        <v>41673</v>
      </c>
      <c r="HB572">
        <v>21</v>
      </c>
      <c r="HC572">
        <v>10125</v>
      </c>
      <c r="HD572" t="s">
        <v>440</v>
      </c>
      <c r="HF572" s="1">
        <v>40688</v>
      </c>
      <c r="HG572">
        <v>2010</v>
      </c>
      <c r="HH572">
        <v>1099.6300000000001</v>
      </c>
      <c r="HI572" t="s">
        <v>6139</v>
      </c>
      <c r="HJ572">
        <v>5.75</v>
      </c>
      <c r="HK572" t="s">
        <v>424</v>
      </c>
      <c r="HL572" t="s">
        <v>425</v>
      </c>
      <c r="HM572" s="1">
        <v>41331</v>
      </c>
      <c r="HN572">
        <v>21</v>
      </c>
      <c r="HO572">
        <v>10591</v>
      </c>
      <c r="HP572" t="s">
        <v>4254</v>
      </c>
    </row>
    <row r="573" spans="1:272" x14ac:dyDescent="0.25">
      <c r="A573">
        <v>16485580</v>
      </c>
      <c r="B573">
        <v>572</v>
      </c>
      <c r="C573" t="s">
        <v>393</v>
      </c>
      <c r="D573" t="s">
        <v>394</v>
      </c>
      <c r="F573" t="str">
        <f>"21-4N-24-0000-0005-0020"</f>
        <v>21-4N-24-0000-0005-0020</v>
      </c>
      <c r="H573" t="str">
        <f>"KING SHAUN ALAN &amp; AMBER NICOLE"</f>
        <v>KING SHAUN ALAN &amp; AMBER NICOLE</v>
      </c>
      <c r="I573" t="str">
        <f>"680 SNOWDEN RD"</f>
        <v>680 SNOWDEN RD</v>
      </c>
      <c r="J573" t="str">
        <f>"FOLKSTON GA 31537"</f>
        <v>FOLKSTON GA 31537</v>
      </c>
      <c r="K573" t="str">
        <f>"MURRHEE RD"</f>
        <v>MURRHEE RD</v>
      </c>
      <c r="L573" t="str">
        <f t="shared" si="168"/>
        <v>HILLIARD FL 32046</v>
      </c>
      <c r="M573" t="str">
        <f>"PT GOVT LOT 5 IN OR 1979/259"</f>
        <v>PT GOVT LOT 5 IN OR 1979/259</v>
      </c>
      <c r="N573" t="str">
        <f>""</f>
        <v/>
      </c>
      <c r="O573" t="str">
        <f>"33549"</f>
        <v>33549</v>
      </c>
      <c r="P573" t="str">
        <f t="shared" si="151"/>
        <v>2017</v>
      </c>
      <c r="Q573" t="str">
        <f>""</f>
        <v/>
      </c>
      <c r="R573" t="str">
        <f t="shared" si="174"/>
        <v>N</v>
      </c>
      <c r="S573" t="str">
        <f>"0.41"</f>
        <v>0.41</v>
      </c>
      <c r="T573" t="str">
        <f>"65.11"</f>
        <v>65.11</v>
      </c>
      <c r="U573" t="str">
        <f>"4059.00"</f>
        <v>4059.00</v>
      </c>
      <c r="V573" t="str">
        <f>"4059.00"</f>
        <v>4059.00</v>
      </c>
      <c r="W573" t="str">
        <f t="shared" si="152"/>
        <v>2017</v>
      </c>
      <c r="X573" t="str">
        <f>""</f>
        <v/>
      </c>
      <c r="Y573" t="str">
        <f>"99.06"</f>
        <v>99.06</v>
      </c>
      <c r="Z573" t="str">
        <f>""</f>
        <v/>
      </c>
      <c r="AA573" t="str">
        <f>"4612.00"</f>
        <v>4612.00</v>
      </c>
      <c r="AB573" t="str">
        <f t="shared" si="170"/>
        <v>Residential</v>
      </c>
      <c r="AC573" t="str">
        <f t="shared" si="161"/>
        <v>0</v>
      </c>
      <c r="AD573" t="str">
        <f>""</f>
        <v/>
      </c>
      <c r="AE573" t="str">
        <f>""</f>
        <v/>
      </c>
      <c r="AF573" t="str">
        <f>"000"</f>
        <v>000</v>
      </c>
      <c r="AG573" t="str">
        <f>"GA"</f>
        <v>GA</v>
      </c>
      <c r="AH573" t="str">
        <f>"17859.00"</f>
        <v>17859.00</v>
      </c>
      <c r="AI573" t="str">
        <f>"4612.00"</f>
        <v>4612.00</v>
      </c>
      <c r="AJ573" t="str">
        <f>"C55-001-053-4282-8"</f>
        <v>C55-001-053-4282-8</v>
      </c>
      <c r="AK573" t="str">
        <f>"8472"</f>
        <v>8472</v>
      </c>
      <c r="AL573">
        <v>3</v>
      </c>
      <c r="AM573">
        <v>661</v>
      </c>
      <c r="AN573">
        <v>102.41</v>
      </c>
      <c r="AQ573" t="s">
        <v>6140</v>
      </c>
      <c r="AR573" t="s">
        <v>6140</v>
      </c>
      <c r="AS573" t="s">
        <v>6140</v>
      </c>
      <c r="AU573" t="s">
        <v>396</v>
      </c>
      <c r="AV573">
        <v>2017</v>
      </c>
      <c r="AW573" t="str">
        <f>"21-4N-24-0000-0005-0020 "</f>
        <v xml:space="preserve">21-4N-24-0000-0005-0020 </v>
      </c>
      <c r="AZ573" t="s">
        <v>6043</v>
      </c>
      <c r="BA573" t="s">
        <v>496</v>
      </c>
      <c r="BD573" t="s">
        <v>398</v>
      </c>
      <c r="BE573" t="s">
        <v>393</v>
      </c>
      <c r="BF573">
        <v>32046</v>
      </c>
      <c r="BG573" t="s">
        <v>6044</v>
      </c>
      <c r="BH573" t="s">
        <v>400</v>
      </c>
      <c r="BI573">
        <v>-81.920935770792994</v>
      </c>
      <c r="BJ573">
        <v>30.754457782152802</v>
      </c>
      <c r="BK573" t="s">
        <v>6141</v>
      </c>
      <c r="BL573" t="s">
        <v>6142</v>
      </c>
      <c r="BM573" t="s">
        <v>6143</v>
      </c>
      <c r="BN573" t="s">
        <v>4596</v>
      </c>
      <c r="BO573">
        <v>31537</v>
      </c>
      <c r="BP573" t="s">
        <v>404</v>
      </c>
      <c r="BQ573">
        <v>0</v>
      </c>
      <c r="BR573" t="s">
        <v>491</v>
      </c>
      <c r="BS573">
        <v>8001</v>
      </c>
      <c r="BT573" t="s">
        <v>492</v>
      </c>
      <c r="BW573">
        <v>17859</v>
      </c>
      <c r="BX573" t="s">
        <v>407</v>
      </c>
      <c r="CD573">
        <v>2017</v>
      </c>
      <c r="CE573">
        <v>4612</v>
      </c>
      <c r="CG573">
        <v>4612</v>
      </c>
      <c r="CH573">
        <v>2017</v>
      </c>
      <c r="CI573">
        <v>4612</v>
      </c>
      <c r="CK573">
        <v>4612</v>
      </c>
      <c r="CL573">
        <v>2017</v>
      </c>
      <c r="CM573">
        <v>65.11</v>
      </c>
      <c r="CN573" s="1">
        <v>42135</v>
      </c>
      <c r="CO573">
        <v>25000</v>
      </c>
      <c r="CZ573" s="1">
        <v>42135</v>
      </c>
      <c r="DD573" t="s">
        <v>398</v>
      </c>
      <c r="DF573">
        <v>5</v>
      </c>
      <c r="DG573">
        <v>21</v>
      </c>
      <c r="DL573">
        <v>50400</v>
      </c>
      <c r="DM573" t="s">
        <v>6132</v>
      </c>
      <c r="DO573" t="s">
        <v>6144</v>
      </c>
      <c r="DP573">
        <v>0</v>
      </c>
      <c r="DQ573">
        <v>0</v>
      </c>
      <c r="DR573" t="s">
        <v>411</v>
      </c>
    </row>
    <row r="574" spans="1:272" x14ac:dyDescent="0.25">
      <c r="A574">
        <v>16485581</v>
      </c>
      <c r="B574">
        <v>573</v>
      </c>
      <c r="C574" t="s">
        <v>393</v>
      </c>
      <c r="D574" t="s">
        <v>394</v>
      </c>
      <c r="F574" t="str">
        <f>"24-4N-24-0000-0006-0010"</f>
        <v>24-4N-24-0000-0006-0010</v>
      </c>
      <c r="H574" t="str">
        <f>"BRADDOCK CLAUDINE P EST C/O DONALD G BRADDOCK"</f>
        <v>BRADDOCK CLAUDINE P EST C/O DONALD G BRADDOCK</v>
      </c>
      <c r="I574" t="str">
        <f>"45134 BOOTH ST"</f>
        <v>45134 BOOTH ST</v>
      </c>
      <c r="J574" t="str">
        <f>"CALLAHAN FL 32011"</f>
        <v>CALLAHAN FL 32011</v>
      </c>
      <c r="K574" t="str">
        <f>"375037 KINGS FERRY RD"</f>
        <v>375037 KINGS FERRY RD</v>
      </c>
      <c r="L574" t="str">
        <f t="shared" si="168"/>
        <v>HILLIARD FL 32046</v>
      </c>
      <c r="M574" t="str">
        <f>"PT GOVT LOT 3 IN OR 391/300 (BY WILL)"</f>
        <v>PT GOVT LOT 3 IN OR 391/300 (BY WILL)</v>
      </c>
      <c r="N574" t="str">
        <f>""</f>
        <v/>
      </c>
      <c r="O574" t="str">
        <f>"34905"</f>
        <v>34905</v>
      </c>
      <c r="P574" t="str">
        <f t="shared" si="151"/>
        <v>2017</v>
      </c>
      <c r="Q574" t="str">
        <f>""</f>
        <v/>
      </c>
      <c r="R574" t="str">
        <f t="shared" si="174"/>
        <v>N</v>
      </c>
      <c r="S574" t="str">
        <f>"10.00"</f>
        <v>10.00</v>
      </c>
      <c r="T574" t="str">
        <f>"1092.25"</f>
        <v>1092.25</v>
      </c>
      <c r="U574" t="str">
        <f>"72149.00"</f>
        <v>72149.00</v>
      </c>
      <c r="V574" t="str">
        <f>"72149.00"</f>
        <v>72149.00</v>
      </c>
      <c r="W574" t="str">
        <f t="shared" si="152"/>
        <v>2017</v>
      </c>
      <c r="X574" t="str">
        <f>"27.14"</f>
        <v>27.14</v>
      </c>
      <c r="Y574" t="str">
        <f>"1157.02"</f>
        <v>1157.02</v>
      </c>
      <c r="Z574" t="str">
        <f>""</f>
        <v/>
      </c>
      <c r="AA574" t="str">
        <f>"72149.00"</f>
        <v>72149.00</v>
      </c>
      <c r="AB574" t="str">
        <f t="shared" si="170"/>
        <v>Residential</v>
      </c>
      <c r="AC574" t="str">
        <f t="shared" si="161"/>
        <v>0</v>
      </c>
      <c r="AD574" t="str">
        <f>"4"</f>
        <v>4</v>
      </c>
      <c r="AE574" t="str">
        <f>"WOOD (INCLUDE STEEL STUDS)"</f>
        <v>WOOD (INCLUDE STEEL STUDS)</v>
      </c>
      <c r="AF574" t="str">
        <f>"002"</f>
        <v>002</v>
      </c>
      <c r="AG574" t="str">
        <f t="shared" ref="AG574:AG588" si="175">"FL"</f>
        <v>FL</v>
      </c>
      <c r="AH574" t="str">
        <f>"435600.00"</f>
        <v>435600.00</v>
      </c>
      <c r="AI574" t="str">
        <f>"60000.00"</f>
        <v>60000.00</v>
      </c>
      <c r="AJ574" t="str">
        <f>"C55-000-587-3842-8"</f>
        <v>C55-000-587-3842-8</v>
      </c>
      <c r="AK574" t="str">
        <f>"8493"</f>
        <v>8493</v>
      </c>
      <c r="AL574">
        <v>3</v>
      </c>
      <c r="AM574">
        <v>662</v>
      </c>
      <c r="AN574">
        <v>1213.27</v>
      </c>
      <c r="AQ574" t="s">
        <v>6145</v>
      </c>
      <c r="AR574" t="s">
        <v>6145</v>
      </c>
      <c r="AS574" t="s">
        <v>6145</v>
      </c>
      <c r="AU574" t="s">
        <v>396</v>
      </c>
      <c r="AV574">
        <v>2017</v>
      </c>
      <c r="AW574" t="str">
        <f>"24-4N-24-0000-0006-0010 "</f>
        <v xml:space="preserve">24-4N-24-0000-0006-0010 </v>
      </c>
      <c r="AX574">
        <v>375037</v>
      </c>
      <c r="AZ574" t="s">
        <v>4186</v>
      </c>
      <c r="BA574" t="s">
        <v>496</v>
      </c>
      <c r="BD574" t="s">
        <v>398</v>
      </c>
      <c r="BE574" t="s">
        <v>393</v>
      </c>
      <c r="BF574">
        <v>32046</v>
      </c>
      <c r="BG574" t="s">
        <v>6146</v>
      </c>
      <c r="BH574" t="s">
        <v>400</v>
      </c>
      <c r="BI574">
        <v>-81.8612723423971</v>
      </c>
      <c r="BJ574">
        <v>30.747020698564501</v>
      </c>
      <c r="BK574" t="s">
        <v>6147</v>
      </c>
      <c r="BM574" t="s">
        <v>6148</v>
      </c>
      <c r="BN574" t="s">
        <v>928</v>
      </c>
      <c r="BO574">
        <v>32011</v>
      </c>
      <c r="BP574" t="s">
        <v>404</v>
      </c>
      <c r="BQ574">
        <v>200</v>
      </c>
      <c r="BR574" t="s">
        <v>405</v>
      </c>
      <c r="BS574">
        <v>1006</v>
      </c>
      <c r="BT574" t="s">
        <v>406</v>
      </c>
      <c r="BW574">
        <v>435600</v>
      </c>
      <c r="BX574" t="s">
        <v>407</v>
      </c>
      <c r="BY574" t="s">
        <v>408</v>
      </c>
      <c r="BZ574">
        <v>4</v>
      </c>
      <c r="CA574">
        <v>1983</v>
      </c>
      <c r="CC574">
        <v>1</v>
      </c>
      <c r="CD574">
        <v>2017</v>
      </c>
      <c r="CE574">
        <v>60000</v>
      </c>
      <c r="CF574">
        <v>12149</v>
      </c>
      <c r="CG574">
        <v>72149</v>
      </c>
      <c r="CH574">
        <v>2017</v>
      </c>
      <c r="CI574">
        <v>60000</v>
      </c>
      <c r="CJ574">
        <v>12149</v>
      </c>
      <c r="CK574">
        <v>72149</v>
      </c>
      <c r="CL574">
        <v>2017</v>
      </c>
      <c r="CM574">
        <v>1092.25</v>
      </c>
      <c r="CN574" s="1">
        <v>30468</v>
      </c>
      <c r="CZ574" s="1">
        <v>30468</v>
      </c>
      <c r="DD574" t="s">
        <v>398</v>
      </c>
      <c r="DF574">
        <v>3</v>
      </c>
      <c r="DG574">
        <v>24</v>
      </c>
      <c r="DL574">
        <v>50400</v>
      </c>
      <c r="DM574" t="s">
        <v>6149</v>
      </c>
      <c r="DO574" t="s">
        <v>6150</v>
      </c>
      <c r="DP574">
        <v>0</v>
      </c>
      <c r="DQ574">
        <v>0</v>
      </c>
      <c r="DR574" t="s">
        <v>411</v>
      </c>
      <c r="DS574" t="s">
        <v>695</v>
      </c>
      <c r="EJ574">
        <v>0</v>
      </c>
      <c r="EK574">
        <v>0</v>
      </c>
      <c r="EP574" t="s">
        <v>421</v>
      </c>
      <c r="EQ574" t="s">
        <v>422</v>
      </c>
      <c r="ER574">
        <v>5</v>
      </c>
      <c r="ES574">
        <v>3</v>
      </c>
      <c r="ET574">
        <v>5652.68</v>
      </c>
      <c r="EU574">
        <v>313.88</v>
      </c>
      <c r="EV574">
        <v>5966.56</v>
      </c>
      <c r="EW574" s="2">
        <v>43222</v>
      </c>
      <c r="EX574" s="1">
        <v>42879</v>
      </c>
      <c r="EY574">
        <v>2016</v>
      </c>
      <c r="EZ574">
        <v>1224.82</v>
      </c>
      <c r="FA574" t="s">
        <v>6151</v>
      </c>
      <c r="FB574">
        <v>0.25</v>
      </c>
      <c r="FC574" t="s">
        <v>424</v>
      </c>
      <c r="FD574" t="s">
        <v>454</v>
      </c>
      <c r="FF574">
        <v>12</v>
      </c>
      <c r="FG574">
        <v>2851116</v>
      </c>
      <c r="FH574" t="s">
        <v>480</v>
      </c>
      <c r="FJ574" s="1">
        <v>42879</v>
      </c>
      <c r="FK574">
        <v>2016</v>
      </c>
      <c r="FL574">
        <v>1224.82</v>
      </c>
      <c r="FM574" t="s">
        <v>6151</v>
      </c>
      <c r="FN574">
        <v>0.25</v>
      </c>
      <c r="FO574" t="s">
        <v>424</v>
      </c>
      <c r="FP574" t="s">
        <v>454</v>
      </c>
      <c r="FR574">
        <v>12</v>
      </c>
      <c r="FS574">
        <v>5397592</v>
      </c>
      <c r="FT574" t="s">
        <v>6152</v>
      </c>
      <c r="FV574" s="1">
        <v>42151</v>
      </c>
      <c r="FW574">
        <v>2014</v>
      </c>
      <c r="FX574">
        <v>1067.68</v>
      </c>
      <c r="FY574" t="s">
        <v>6153</v>
      </c>
      <c r="FZ574">
        <v>0.25</v>
      </c>
      <c r="GA574" t="s">
        <v>424</v>
      </c>
      <c r="GB574" t="s">
        <v>454</v>
      </c>
      <c r="GD574">
        <v>36</v>
      </c>
      <c r="GE574">
        <v>2851116</v>
      </c>
      <c r="GF574" t="s">
        <v>480</v>
      </c>
      <c r="GH574" s="1">
        <v>42151</v>
      </c>
      <c r="GI574">
        <v>2014</v>
      </c>
      <c r="GJ574">
        <v>1067.68</v>
      </c>
      <c r="GK574" t="s">
        <v>6153</v>
      </c>
      <c r="GL574">
        <v>0.25</v>
      </c>
      <c r="GM574" t="s">
        <v>424</v>
      </c>
      <c r="GN574" t="s">
        <v>454</v>
      </c>
      <c r="GP574">
        <v>36</v>
      </c>
      <c r="GQ574">
        <v>5018198</v>
      </c>
      <c r="GR574" t="s">
        <v>6154</v>
      </c>
      <c r="GT574" s="1">
        <v>42151</v>
      </c>
      <c r="GU574">
        <v>2014</v>
      </c>
      <c r="GV574">
        <v>1067.68</v>
      </c>
      <c r="GW574" t="s">
        <v>6153</v>
      </c>
      <c r="GX574">
        <v>0.25</v>
      </c>
      <c r="GY574" t="s">
        <v>424</v>
      </c>
      <c r="GZ574" t="s">
        <v>454</v>
      </c>
      <c r="HB574">
        <v>36</v>
      </c>
      <c r="HC574">
        <v>7336670</v>
      </c>
      <c r="HD574" t="s">
        <v>2102</v>
      </c>
      <c r="HF574" s="1">
        <v>41423</v>
      </c>
      <c r="HG574">
        <v>2012</v>
      </c>
      <c r="HH574">
        <v>897.75</v>
      </c>
      <c r="HI574" t="s">
        <v>6155</v>
      </c>
      <c r="HJ574">
        <v>3.5</v>
      </c>
      <c r="HK574" t="s">
        <v>424</v>
      </c>
      <c r="HL574" t="s">
        <v>425</v>
      </c>
      <c r="HM574" s="1">
        <v>41698</v>
      </c>
      <c r="HN574">
        <v>9</v>
      </c>
      <c r="HO574">
        <v>1625515</v>
      </c>
      <c r="HP574" t="s">
        <v>487</v>
      </c>
      <c r="HR574" s="1">
        <v>41052</v>
      </c>
      <c r="HS574">
        <v>2011</v>
      </c>
      <c r="HT574">
        <v>1056.73</v>
      </c>
      <c r="HU574" t="s">
        <v>6156</v>
      </c>
      <c r="HV574">
        <v>6.75</v>
      </c>
      <c r="HW574" t="s">
        <v>424</v>
      </c>
      <c r="HX574" t="s">
        <v>425</v>
      </c>
      <c r="HY574" s="1">
        <v>41698</v>
      </c>
      <c r="HZ574">
        <v>21</v>
      </c>
      <c r="IA574">
        <v>10125</v>
      </c>
      <c r="IB574" t="s">
        <v>440</v>
      </c>
      <c r="ID574" s="1">
        <v>40688</v>
      </c>
      <c r="IE574">
        <v>2010</v>
      </c>
      <c r="IF574">
        <v>1175.22</v>
      </c>
      <c r="IG574" t="s">
        <v>6157</v>
      </c>
      <c r="IH574">
        <v>9</v>
      </c>
      <c r="II574" t="s">
        <v>424</v>
      </c>
      <c r="IJ574" t="s">
        <v>425</v>
      </c>
      <c r="IK574" s="1">
        <v>41698</v>
      </c>
      <c r="IL574">
        <v>33</v>
      </c>
      <c r="IM574">
        <v>11325</v>
      </c>
      <c r="IN574" t="s">
        <v>2402</v>
      </c>
    </row>
    <row r="575" spans="1:272" x14ac:dyDescent="0.25">
      <c r="A575">
        <v>16485582</v>
      </c>
      <c r="B575">
        <v>574</v>
      </c>
      <c r="C575" t="s">
        <v>393</v>
      </c>
      <c r="D575" t="s">
        <v>394</v>
      </c>
      <c r="F575" t="str">
        <f>"25-4N-24-2020-0003-0010"</f>
        <v>25-4N-24-2020-0003-0010</v>
      </c>
      <c r="H575" t="str">
        <f>"FOLEY PETER BRUCE EST"</f>
        <v>FOLEY PETER BRUCE EST</v>
      </c>
      <c r="I575" t="str">
        <f>"38084 DAHOMA RD"</f>
        <v>38084 DAHOMA RD</v>
      </c>
      <c r="J575" t="str">
        <f>"HILLIARD FL 32046"</f>
        <v>HILLIARD FL 32046</v>
      </c>
      <c r="K575" t="str">
        <f>"38084 DAHOMA RD"</f>
        <v>38084 DAHOMA RD</v>
      </c>
      <c r="L575" t="str">
        <f t="shared" si="168"/>
        <v>HILLIARD FL 32046</v>
      </c>
      <c r="M575" t="str">
        <f>"PT OF LOT 3 EX S-4 IN OR 653/869 R 107342 &amp; 107343"</f>
        <v>PT OF LOT 3 EX S-4 IN OR 653/869 R 107342 &amp; 107343</v>
      </c>
      <c r="N575" t="str">
        <f>""</f>
        <v/>
      </c>
      <c r="O575" t="str">
        <f>"35947"</f>
        <v>35947</v>
      </c>
      <c r="P575" t="str">
        <f t="shared" si="151"/>
        <v>2017</v>
      </c>
      <c r="Q575" t="str">
        <f>""</f>
        <v/>
      </c>
      <c r="R575" t="str">
        <f t="shared" si="174"/>
        <v>N</v>
      </c>
      <c r="S575" t="str">
        <f>"6.64"</f>
        <v>6.64</v>
      </c>
      <c r="T575" t="str">
        <f>"846.83"</f>
        <v>846.83</v>
      </c>
      <c r="U575" t="str">
        <f>"55937.00"</f>
        <v>55937.00</v>
      </c>
      <c r="V575" t="str">
        <f>"55937.00"</f>
        <v>55937.00</v>
      </c>
      <c r="W575" t="str">
        <f t="shared" si="152"/>
        <v>2017</v>
      </c>
      <c r="X575" t="str">
        <f>"22.46"</f>
        <v>22.46</v>
      </c>
      <c r="Y575" t="str">
        <f>"904.23"</f>
        <v>904.23</v>
      </c>
      <c r="Z575" t="str">
        <f>""</f>
        <v/>
      </c>
      <c r="AA575" t="str">
        <f>"55937.00"</f>
        <v>55937.00</v>
      </c>
      <c r="AB575" t="str">
        <f t="shared" si="170"/>
        <v>Residential</v>
      </c>
      <c r="AC575" t="str">
        <f t="shared" si="161"/>
        <v>0</v>
      </c>
      <c r="AD575" t="str">
        <f>"4"</f>
        <v>4</v>
      </c>
      <c r="AE575" t="str">
        <f>"WOOD (INCLUDE STEEL STUDS)"</f>
        <v>WOOD (INCLUDE STEEL STUDS)</v>
      </c>
      <c r="AF575" t="str">
        <f>"002"</f>
        <v>002</v>
      </c>
      <c r="AG575" t="str">
        <f t="shared" si="175"/>
        <v>FL</v>
      </c>
      <c r="AH575" t="str">
        <f>"289238.00"</f>
        <v>289238.00</v>
      </c>
      <c r="AI575" t="str">
        <f>"31872.00"</f>
        <v>31872.00</v>
      </c>
      <c r="AJ575" t="str">
        <f>"C55-000-587-4436-8"</f>
        <v>C55-000-587-4436-8</v>
      </c>
      <c r="AK575" t="str">
        <f>"8497"</f>
        <v>8497</v>
      </c>
      <c r="AL575">
        <v>3</v>
      </c>
      <c r="AM575">
        <v>663</v>
      </c>
      <c r="AN575">
        <v>947.84</v>
      </c>
      <c r="AQ575" t="s">
        <v>6158</v>
      </c>
      <c r="AR575" t="s">
        <v>6158</v>
      </c>
      <c r="AS575" t="s">
        <v>6158</v>
      </c>
      <c r="AU575" t="s">
        <v>396</v>
      </c>
      <c r="AV575">
        <v>2017</v>
      </c>
      <c r="AW575" t="str">
        <f>"25-4N-24-2020-0003-0010 "</f>
        <v xml:space="preserve">25-4N-24-2020-0003-0010 </v>
      </c>
      <c r="AX575">
        <v>38084</v>
      </c>
      <c r="AZ575" t="s">
        <v>6159</v>
      </c>
      <c r="BA575" t="s">
        <v>496</v>
      </c>
      <c r="BD575" t="s">
        <v>398</v>
      </c>
      <c r="BE575" t="s">
        <v>393</v>
      </c>
      <c r="BF575">
        <v>32046</v>
      </c>
      <c r="BG575" t="s">
        <v>6160</v>
      </c>
      <c r="BH575" t="s">
        <v>400</v>
      </c>
      <c r="BI575">
        <v>-81.871747152876495</v>
      </c>
      <c r="BJ575">
        <v>30.741745720257001</v>
      </c>
      <c r="BK575" t="s">
        <v>6161</v>
      </c>
      <c r="BM575" t="s">
        <v>6160</v>
      </c>
      <c r="BN575" t="s">
        <v>403</v>
      </c>
      <c r="BO575">
        <v>32046</v>
      </c>
      <c r="BP575" t="s">
        <v>416</v>
      </c>
      <c r="BQ575">
        <v>200</v>
      </c>
      <c r="BR575" t="s">
        <v>405</v>
      </c>
      <c r="BS575">
        <v>1006</v>
      </c>
      <c r="BT575" t="s">
        <v>406</v>
      </c>
      <c r="BW575">
        <v>289238</v>
      </c>
      <c r="BX575" t="s">
        <v>407</v>
      </c>
      <c r="BY575" t="s">
        <v>408</v>
      </c>
      <c r="BZ575">
        <v>4</v>
      </c>
      <c r="CA575">
        <v>1981</v>
      </c>
      <c r="CB575">
        <v>1</v>
      </c>
      <c r="CC575">
        <v>1</v>
      </c>
      <c r="CD575">
        <v>2017</v>
      </c>
      <c r="CE575">
        <v>31872</v>
      </c>
      <c r="CF575">
        <v>24065</v>
      </c>
      <c r="CG575">
        <v>55937</v>
      </c>
      <c r="CH575">
        <v>2017</v>
      </c>
      <c r="CI575">
        <v>31872</v>
      </c>
      <c r="CJ575">
        <v>24065</v>
      </c>
      <c r="CK575">
        <v>55937</v>
      </c>
      <c r="CL575">
        <v>2017</v>
      </c>
      <c r="CM575">
        <v>846.83</v>
      </c>
      <c r="CN575" s="1">
        <v>33695</v>
      </c>
      <c r="CO575">
        <v>25400</v>
      </c>
      <c r="CZ575" s="1">
        <v>33695</v>
      </c>
      <c r="DD575" t="s">
        <v>398</v>
      </c>
      <c r="DF575">
        <v>3</v>
      </c>
      <c r="DG575">
        <v>25</v>
      </c>
      <c r="DL575">
        <v>50400</v>
      </c>
      <c r="DM575" t="s">
        <v>6162</v>
      </c>
      <c r="DO575" t="s">
        <v>6163</v>
      </c>
      <c r="DP575">
        <v>0</v>
      </c>
      <c r="DQ575">
        <v>0</v>
      </c>
      <c r="DR575" t="s">
        <v>411</v>
      </c>
      <c r="DS575" t="b">
        <v>1</v>
      </c>
      <c r="DT575" t="s">
        <v>470</v>
      </c>
      <c r="DU575" t="s">
        <v>471</v>
      </c>
      <c r="DV575" t="s">
        <v>472</v>
      </c>
      <c r="DX575">
        <v>-9999</v>
      </c>
      <c r="DZ575" t="s">
        <v>447</v>
      </c>
      <c r="EA575" t="s">
        <v>448</v>
      </c>
      <c r="EB575" t="s">
        <v>6164</v>
      </c>
      <c r="EC575">
        <v>20101217</v>
      </c>
      <c r="ED575" t="s">
        <v>474</v>
      </c>
      <c r="EF575">
        <v>968.9</v>
      </c>
      <c r="EG575">
        <v>968.9</v>
      </c>
      <c r="EI575">
        <v>20160407</v>
      </c>
      <c r="EJ575">
        <v>0</v>
      </c>
      <c r="EK575">
        <v>0</v>
      </c>
      <c r="EP575" t="s">
        <v>421</v>
      </c>
      <c r="EQ575" t="s">
        <v>452</v>
      </c>
      <c r="ER575">
        <v>2</v>
      </c>
      <c r="ES575">
        <v>7</v>
      </c>
      <c r="ET575">
        <v>1919.74</v>
      </c>
      <c r="EU575">
        <v>108.49</v>
      </c>
      <c r="EV575">
        <v>2028.23</v>
      </c>
      <c r="EW575" s="2">
        <v>43222</v>
      </c>
      <c r="EX575" s="1">
        <v>42879</v>
      </c>
      <c r="EY575">
        <v>2016</v>
      </c>
      <c r="EZ575">
        <v>959.87</v>
      </c>
      <c r="FA575" t="s">
        <v>6165</v>
      </c>
      <c r="FB575">
        <v>0.25</v>
      </c>
      <c r="FC575" t="s">
        <v>424</v>
      </c>
      <c r="FD575" t="s">
        <v>454</v>
      </c>
      <c r="FF575">
        <v>12</v>
      </c>
      <c r="FG575">
        <v>2851116</v>
      </c>
      <c r="FH575" t="s">
        <v>480</v>
      </c>
      <c r="FJ575" s="1">
        <v>42879</v>
      </c>
      <c r="FK575">
        <v>2016</v>
      </c>
      <c r="FL575">
        <v>959.87</v>
      </c>
      <c r="FM575" t="s">
        <v>6165</v>
      </c>
      <c r="FN575">
        <v>0.25</v>
      </c>
      <c r="FO575" t="s">
        <v>424</v>
      </c>
      <c r="FP575" t="s">
        <v>454</v>
      </c>
      <c r="FR575">
        <v>12</v>
      </c>
      <c r="FS575">
        <v>5033685</v>
      </c>
      <c r="FT575" t="s">
        <v>6166</v>
      </c>
      <c r="FV575" s="1">
        <v>42515</v>
      </c>
      <c r="FW575">
        <v>2015</v>
      </c>
      <c r="FX575">
        <v>938.5</v>
      </c>
      <c r="FY575" t="s">
        <v>6167</v>
      </c>
      <c r="FZ575">
        <v>0.25</v>
      </c>
      <c r="GA575" t="s">
        <v>424</v>
      </c>
      <c r="GB575" t="s">
        <v>425</v>
      </c>
      <c r="GD575">
        <v>22</v>
      </c>
      <c r="GE575">
        <v>7336670</v>
      </c>
      <c r="GF575" t="s">
        <v>2102</v>
      </c>
      <c r="GG575" t="s">
        <v>458</v>
      </c>
      <c r="GH575" s="1">
        <v>42151</v>
      </c>
      <c r="GI575">
        <v>2014</v>
      </c>
      <c r="GJ575">
        <v>824.1</v>
      </c>
      <c r="GK575" t="s">
        <v>6168</v>
      </c>
      <c r="GL575">
        <v>4.75</v>
      </c>
      <c r="GM575" t="s">
        <v>424</v>
      </c>
      <c r="GN575" t="s">
        <v>425</v>
      </c>
      <c r="GO575" s="1">
        <v>42551</v>
      </c>
      <c r="GP575">
        <v>13</v>
      </c>
      <c r="GQ575">
        <v>4975593</v>
      </c>
      <c r="GR575" t="s">
        <v>505</v>
      </c>
      <c r="GS575" t="s">
        <v>458</v>
      </c>
      <c r="GT575" s="1">
        <v>41787</v>
      </c>
      <c r="GU575">
        <v>2013</v>
      </c>
      <c r="GV575">
        <v>455.11</v>
      </c>
      <c r="GW575" t="s">
        <v>6169</v>
      </c>
      <c r="GX575">
        <v>7.25</v>
      </c>
      <c r="GY575" t="s">
        <v>424</v>
      </c>
      <c r="GZ575" t="s">
        <v>425</v>
      </c>
      <c r="HB575">
        <v>22</v>
      </c>
      <c r="HC575">
        <v>2035919</v>
      </c>
      <c r="HD575" t="s">
        <v>507</v>
      </c>
      <c r="HE575" t="s">
        <v>458</v>
      </c>
      <c r="HF575" s="1">
        <v>41787</v>
      </c>
      <c r="HG575">
        <v>2013</v>
      </c>
      <c r="HH575">
        <v>455.11</v>
      </c>
      <c r="HI575" t="s">
        <v>6169</v>
      </c>
      <c r="HJ575">
        <v>7.25</v>
      </c>
      <c r="HK575" t="s">
        <v>424</v>
      </c>
      <c r="HL575" t="s">
        <v>425</v>
      </c>
      <c r="HN575">
        <v>22</v>
      </c>
      <c r="HO575">
        <v>7336670</v>
      </c>
      <c r="HP575" t="s">
        <v>2102</v>
      </c>
      <c r="HQ575" t="s">
        <v>458</v>
      </c>
      <c r="HR575" s="1">
        <v>41423</v>
      </c>
      <c r="HS575">
        <v>2012</v>
      </c>
      <c r="HT575">
        <v>453.57</v>
      </c>
      <c r="HU575" t="s">
        <v>6170</v>
      </c>
      <c r="HV575">
        <v>4.5</v>
      </c>
      <c r="HW575" t="s">
        <v>424</v>
      </c>
      <c r="HX575" t="s">
        <v>425</v>
      </c>
      <c r="HY575" s="1">
        <v>42198</v>
      </c>
      <c r="HZ575">
        <v>26</v>
      </c>
      <c r="IA575">
        <v>15407</v>
      </c>
      <c r="IB575" t="s">
        <v>1134</v>
      </c>
      <c r="ID575" s="1">
        <v>41052</v>
      </c>
      <c r="IE575">
        <v>2011</v>
      </c>
      <c r="IF575">
        <v>519.55999999999995</v>
      </c>
      <c r="IG575" t="s">
        <v>6171</v>
      </c>
      <c r="IH575">
        <v>5.75</v>
      </c>
      <c r="II575" t="s">
        <v>424</v>
      </c>
      <c r="IJ575" t="s">
        <v>425</v>
      </c>
      <c r="IK575" s="1">
        <v>41894</v>
      </c>
      <c r="IL575">
        <v>28</v>
      </c>
      <c r="IM575">
        <v>10125</v>
      </c>
      <c r="IN575" t="s">
        <v>440</v>
      </c>
      <c r="IP575" s="1">
        <v>40688</v>
      </c>
      <c r="IQ575">
        <v>2010</v>
      </c>
      <c r="IR575">
        <v>568.07000000000005</v>
      </c>
      <c r="IS575" t="s">
        <v>6172</v>
      </c>
      <c r="IT575">
        <v>5</v>
      </c>
      <c r="IU575" t="s">
        <v>424</v>
      </c>
      <c r="IV575" t="s">
        <v>425</v>
      </c>
      <c r="IW575" s="1">
        <v>41443</v>
      </c>
      <c r="IX575">
        <v>25</v>
      </c>
      <c r="IY575">
        <v>287</v>
      </c>
      <c r="IZ575" t="s">
        <v>572</v>
      </c>
    </row>
    <row r="576" spans="1:272" x14ac:dyDescent="0.25">
      <c r="A576">
        <v>16485583</v>
      </c>
      <c r="B576">
        <v>575</v>
      </c>
      <c r="C576" t="s">
        <v>393</v>
      </c>
      <c r="D576" t="s">
        <v>394</v>
      </c>
      <c r="F576" t="str">
        <f>"28-4N-24-2020-0004-0030"</f>
        <v>28-4N-24-2020-0004-0030</v>
      </c>
      <c r="H576" t="str">
        <f>"PERMIS PASCAL &amp; MICHELINE"</f>
        <v>PERMIS PASCAL &amp; MICHELINE</v>
      </c>
      <c r="I576" t="str">
        <f>"15248 SW MYRTLE DR"</f>
        <v>15248 SW MYRTLE DR</v>
      </c>
      <c r="J576" t="str">
        <f>"INDIAN TOWN FL 34956"</f>
        <v>INDIAN TOWN FL 34956</v>
      </c>
      <c r="K576" t="str">
        <f>"MURRHEE RD"</f>
        <v>MURRHEE RD</v>
      </c>
      <c r="L576" t="str">
        <f t="shared" si="168"/>
        <v>HILLIARD FL 32046</v>
      </c>
      <c r="M576" t="str">
        <f>"LOTS 4 5 &amp; 6 LYING WEST OF &amp; ADJACENT TO CONNER MURRHEE RD IN OR 1325/388 CORNWALL SURVEY"</f>
        <v>LOTS 4 5 &amp; 6 LYING WEST OF &amp; ADJACENT TO CONNER MURRHEE RD IN OR 1325/388 CORNWALL SURVEY</v>
      </c>
      <c r="N576" t="str">
        <f>""</f>
        <v/>
      </c>
      <c r="O576" t="str">
        <f>"38300"</f>
        <v>38300</v>
      </c>
      <c r="P576" t="str">
        <f t="shared" si="151"/>
        <v>2017</v>
      </c>
      <c r="Q576" t="str">
        <f>""</f>
        <v/>
      </c>
      <c r="R576" t="str">
        <f t="shared" si="174"/>
        <v>N</v>
      </c>
      <c r="S576" t="str">
        <f>"6.20"</f>
        <v>6.20</v>
      </c>
      <c r="T576" t="str">
        <f>"563.16"</f>
        <v>563.16</v>
      </c>
      <c r="U576" t="str">
        <f>"37200.00"</f>
        <v>37200.00</v>
      </c>
      <c r="V576" t="str">
        <f>"37200.00"</f>
        <v>37200.00</v>
      </c>
      <c r="W576" t="str">
        <f t="shared" si="152"/>
        <v>2017</v>
      </c>
      <c r="X576" t="str">
        <f>"19.44"</f>
        <v>19.44</v>
      </c>
      <c r="Y576" t="str">
        <f>"612.05"</f>
        <v>612.05</v>
      </c>
      <c r="Z576" t="str">
        <f>""</f>
        <v/>
      </c>
      <c r="AA576" t="str">
        <f>"37200.00"</f>
        <v>37200.00</v>
      </c>
      <c r="AB576" t="str">
        <f t="shared" si="170"/>
        <v>Residential</v>
      </c>
      <c r="AC576" t="str">
        <f t="shared" si="161"/>
        <v>0</v>
      </c>
      <c r="AD576" t="str">
        <f>""</f>
        <v/>
      </c>
      <c r="AE576" t="str">
        <f>""</f>
        <v/>
      </c>
      <c r="AF576" t="str">
        <f>"000"</f>
        <v>000</v>
      </c>
      <c r="AG576" t="str">
        <f t="shared" si="175"/>
        <v>FL</v>
      </c>
      <c r="AH576" t="str">
        <f>"270072.00"</f>
        <v>270072.00</v>
      </c>
      <c r="AI576" t="str">
        <f>"37200.00"</f>
        <v>37200.00</v>
      </c>
      <c r="AJ576" t="str">
        <f>"C55-000-589-2859-9"</f>
        <v>C55-000-589-2859-9</v>
      </c>
      <c r="AK576" t="str">
        <f>"8553"</f>
        <v>8553</v>
      </c>
      <c r="AL576">
        <v>3</v>
      </c>
      <c r="AM576">
        <v>664</v>
      </c>
      <c r="AN576">
        <v>641.04999999999995</v>
      </c>
      <c r="AQ576" t="s">
        <v>6173</v>
      </c>
      <c r="AR576" t="s">
        <v>6173</v>
      </c>
      <c r="AS576" t="s">
        <v>6173</v>
      </c>
      <c r="AU576" t="s">
        <v>396</v>
      </c>
      <c r="AV576">
        <v>2017</v>
      </c>
      <c r="AW576" t="str">
        <f>"28-4N-24-2020-0004-0030 "</f>
        <v xml:space="preserve">28-4N-24-2020-0004-0030 </v>
      </c>
      <c r="AZ576" t="s">
        <v>6043</v>
      </c>
      <c r="BA576" t="s">
        <v>496</v>
      </c>
      <c r="BD576" t="s">
        <v>398</v>
      </c>
      <c r="BE576" t="s">
        <v>393</v>
      </c>
      <c r="BF576">
        <v>32046</v>
      </c>
      <c r="BG576" t="s">
        <v>6044</v>
      </c>
      <c r="BH576" t="s">
        <v>400</v>
      </c>
      <c r="BI576">
        <v>-81.923355662864793</v>
      </c>
      <c r="BJ576">
        <v>30.7398275884062</v>
      </c>
      <c r="BK576" t="s">
        <v>6174</v>
      </c>
      <c r="BL576" t="s">
        <v>6175</v>
      </c>
      <c r="BM576" t="s">
        <v>6176</v>
      </c>
      <c r="BN576" t="s">
        <v>6177</v>
      </c>
      <c r="BO576">
        <v>34956</v>
      </c>
      <c r="BP576" t="s">
        <v>404</v>
      </c>
      <c r="BQ576">
        <v>0</v>
      </c>
      <c r="BR576" t="s">
        <v>491</v>
      </c>
      <c r="BS576">
        <v>8001</v>
      </c>
      <c r="BT576" t="s">
        <v>492</v>
      </c>
      <c r="BW576">
        <v>270072</v>
      </c>
      <c r="BX576" t="s">
        <v>407</v>
      </c>
      <c r="BY576" t="s">
        <v>408</v>
      </c>
      <c r="CD576">
        <v>2017</v>
      </c>
      <c r="CE576">
        <v>37200</v>
      </c>
      <c r="CG576">
        <v>37200</v>
      </c>
      <c r="CH576">
        <v>2017</v>
      </c>
      <c r="CI576">
        <v>37200</v>
      </c>
      <c r="CK576">
        <v>37200</v>
      </c>
      <c r="CL576">
        <v>2017</v>
      </c>
      <c r="CM576">
        <v>563.16</v>
      </c>
      <c r="CN576" s="1">
        <v>38516</v>
      </c>
      <c r="CO576">
        <v>45000</v>
      </c>
      <c r="CZ576" s="1">
        <v>38516</v>
      </c>
      <c r="DD576" t="s">
        <v>398</v>
      </c>
      <c r="DG576">
        <v>28</v>
      </c>
      <c r="DM576" t="s">
        <v>6178</v>
      </c>
      <c r="DO576" t="s">
        <v>6179</v>
      </c>
      <c r="DP576">
        <v>0</v>
      </c>
      <c r="DQ576">
        <v>0</v>
      </c>
      <c r="DR576" t="s">
        <v>411</v>
      </c>
      <c r="DS576" t="b">
        <v>1</v>
      </c>
      <c r="DT576" t="s">
        <v>396</v>
      </c>
      <c r="DV576" t="s">
        <v>446</v>
      </c>
      <c r="DX576">
        <v>-9999</v>
      </c>
      <c r="DZ576" t="s">
        <v>447</v>
      </c>
      <c r="EA576" t="s">
        <v>448</v>
      </c>
      <c r="EB576" t="s">
        <v>449</v>
      </c>
      <c r="EC576">
        <v>20101217</v>
      </c>
      <c r="ED576" t="s">
        <v>450</v>
      </c>
      <c r="EE576">
        <v>12.5</v>
      </c>
      <c r="EF576">
        <v>0</v>
      </c>
      <c r="EG576">
        <v>0</v>
      </c>
      <c r="EI576">
        <v>20160407</v>
      </c>
      <c r="EJ576">
        <v>0</v>
      </c>
      <c r="EK576">
        <v>0</v>
      </c>
      <c r="EP576" t="s">
        <v>421</v>
      </c>
      <c r="EQ576" t="s">
        <v>422</v>
      </c>
      <c r="ER576">
        <v>1</v>
      </c>
      <c r="ES576">
        <v>6</v>
      </c>
      <c r="ET576">
        <v>644.59</v>
      </c>
      <c r="EU576">
        <v>38.479999999999997</v>
      </c>
      <c r="EV576">
        <v>683.07</v>
      </c>
      <c r="EW576" s="2">
        <v>43222</v>
      </c>
      <c r="EX576" s="1">
        <v>42879</v>
      </c>
      <c r="EY576">
        <v>2016</v>
      </c>
      <c r="EZ576">
        <v>644.59</v>
      </c>
      <c r="FA576" t="s">
        <v>6180</v>
      </c>
      <c r="FB576">
        <v>4.5</v>
      </c>
      <c r="FC576" t="s">
        <v>424</v>
      </c>
      <c r="FD576" t="s">
        <v>454</v>
      </c>
      <c r="FF576">
        <v>12</v>
      </c>
      <c r="FG576">
        <v>7336745</v>
      </c>
      <c r="FH576" t="s">
        <v>502</v>
      </c>
      <c r="FJ576" s="1">
        <v>42515</v>
      </c>
      <c r="FK576">
        <v>2015</v>
      </c>
      <c r="FL576">
        <v>625.87</v>
      </c>
      <c r="FM576" t="s">
        <v>6181</v>
      </c>
      <c r="FN576">
        <v>6.25</v>
      </c>
      <c r="FO576" t="s">
        <v>424</v>
      </c>
      <c r="FP576" t="s">
        <v>425</v>
      </c>
      <c r="FQ576" s="1">
        <v>42787</v>
      </c>
      <c r="FR576">
        <v>9</v>
      </c>
      <c r="FS576">
        <v>2035919</v>
      </c>
      <c r="FT576" t="s">
        <v>507</v>
      </c>
      <c r="FV576" s="1">
        <v>42151</v>
      </c>
      <c r="FW576">
        <v>2014</v>
      </c>
      <c r="FX576">
        <v>551.84</v>
      </c>
      <c r="FY576" t="s">
        <v>6182</v>
      </c>
      <c r="FZ576">
        <v>9</v>
      </c>
      <c r="GA576" t="s">
        <v>424</v>
      </c>
      <c r="GB576" t="s">
        <v>425</v>
      </c>
      <c r="GC576" s="1">
        <v>42706</v>
      </c>
      <c r="GD576">
        <v>19</v>
      </c>
      <c r="GE576">
        <v>10125</v>
      </c>
      <c r="GF576" t="s">
        <v>440</v>
      </c>
      <c r="GH576" s="1">
        <v>41787</v>
      </c>
      <c r="GI576">
        <v>2013</v>
      </c>
      <c r="GJ576">
        <v>623.79</v>
      </c>
      <c r="GK576" t="s">
        <v>6183</v>
      </c>
      <c r="GL576">
        <v>7.25</v>
      </c>
      <c r="GM576" t="s">
        <v>424</v>
      </c>
      <c r="GN576" t="s">
        <v>425</v>
      </c>
      <c r="GO576" s="1">
        <v>42394</v>
      </c>
      <c r="GP576">
        <v>20</v>
      </c>
      <c r="GQ576">
        <v>116</v>
      </c>
      <c r="GR576" t="s">
        <v>509</v>
      </c>
      <c r="GT576" s="1">
        <v>41423</v>
      </c>
      <c r="GU576">
        <v>2012</v>
      </c>
      <c r="GV576">
        <v>605.92999999999995</v>
      </c>
      <c r="GW576" t="s">
        <v>6184</v>
      </c>
      <c r="GX576">
        <v>4</v>
      </c>
      <c r="GY576" t="s">
        <v>424</v>
      </c>
      <c r="GZ576" t="s">
        <v>425</v>
      </c>
      <c r="HA576" s="1">
        <v>42046</v>
      </c>
      <c r="HB576">
        <v>21</v>
      </c>
      <c r="HC576">
        <v>1625515</v>
      </c>
      <c r="HD576" t="s">
        <v>487</v>
      </c>
      <c r="HF576" s="1">
        <v>41052</v>
      </c>
      <c r="HG576">
        <v>2011</v>
      </c>
      <c r="HH576">
        <v>711.46</v>
      </c>
      <c r="HI576" t="s">
        <v>6185</v>
      </c>
      <c r="HJ576">
        <v>4.75</v>
      </c>
      <c r="HK576" t="s">
        <v>424</v>
      </c>
      <c r="HL576" t="s">
        <v>425</v>
      </c>
      <c r="HM576" s="1">
        <v>41682</v>
      </c>
      <c r="HN576">
        <v>21</v>
      </c>
      <c r="HO576">
        <v>10125</v>
      </c>
      <c r="HP576" t="s">
        <v>440</v>
      </c>
      <c r="HR576" s="1">
        <v>40688</v>
      </c>
      <c r="HS576">
        <v>2010</v>
      </c>
      <c r="HT576">
        <v>792.23</v>
      </c>
      <c r="HU576" t="s">
        <v>6186</v>
      </c>
      <c r="HV576">
        <v>5.75</v>
      </c>
      <c r="HW576" t="s">
        <v>424</v>
      </c>
      <c r="HX576" t="s">
        <v>425</v>
      </c>
      <c r="HY576" s="1">
        <v>41317</v>
      </c>
      <c r="HZ576">
        <v>21</v>
      </c>
      <c r="IA576">
        <v>10591</v>
      </c>
      <c r="IB576" t="s">
        <v>4254</v>
      </c>
    </row>
    <row r="577" spans="1:284" x14ac:dyDescent="0.25">
      <c r="A577">
        <v>16485584</v>
      </c>
      <c r="B577">
        <v>576</v>
      </c>
      <c r="C577" t="s">
        <v>393</v>
      </c>
      <c r="D577" t="s">
        <v>394</v>
      </c>
      <c r="F577" t="str">
        <f>"30-4N-24-0000-0004-0000"</f>
        <v>30-4N-24-0000-0004-0000</v>
      </c>
      <c r="H577" t="str">
        <f>"MUHEISEN NAJHY"</f>
        <v>MUHEISEN NAJHY</v>
      </c>
      <c r="I577" t="str">
        <f>"4046 MISSION HILLS"</f>
        <v>4046 MISSION HILLS</v>
      </c>
      <c r="J577" t="str">
        <f>"JACKSONVILLE FL 32225"</f>
        <v>JACKSONVILLE FL 32225</v>
      </c>
      <c r="K577" t="str">
        <f>"553584 US HWY 1"</f>
        <v>553584 US HWY 1</v>
      </c>
      <c r="L577" t="str">
        <f t="shared" si="168"/>
        <v>HILLIARD FL 32046</v>
      </c>
      <c r="M577" t="str">
        <f>"IN OR 2010/1108"</f>
        <v>IN OR 2010/1108</v>
      </c>
      <c r="N577" t="str">
        <f>""</f>
        <v/>
      </c>
      <c r="O577" t="str">
        <f>"39583"</f>
        <v>39583</v>
      </c>
      <c r="P577" t="str">
        <f t="shared" si="151"/>
        <v>2017</v>
      </c>
      <c r="Q577" t="str">
        <f>""</f>
        <v/>
      </c>
      <c r="R577" t="str">
        <f t="shared" si="174"/>
        <v>N</v>
      </c>
      <c r="S577" t="str">
        <f>"9.00"</f>
        <v>9.00</v>
      </c>
      <c r="T577" t="str">
        <f>"3316.95"</f>
        <v>3316.95</v>
      </c>
      <c r="U577" t="str">
        <f>"219103.00"</f>
        <v>219103.00</v>
      </c>
      <c r="V577" t="str">
        <f>"219103.00"</f>
        <v>219103.00</v>
      </c>
      <c r="W577" t="str">
        <f t="shared" si="152"/>
        <v>2017</v>
      </c>
      <c r="X577" t="str">
        <f>"11.50"</f>
        <v>11.50</v>
      </c>
      <c r="Y577" t="str">
        <f>"3448.46"</f>
        <v>3448.46</v>
      </c>
      <c r="Z577" t="str">
        <f>""</f>
        <v/>
      </c>
      <c r="AA577" t="str">
        <f>"219103.00"</f>
        <v>219103.00</v>
      </c>
      <c r="AB577" t="str">
        <f>"Commercial"</f>
        <v>Commercial</v>
      </c>
      <c r="AC577" t="str">
        <f t="shared" si="161"/>
        <v>0</v>
      </c>
      <c r="AD577" t="str">
        <f>"3"</f>
        <v>3</v>
      </c>
      <c r="AE577" t="str">
        <f>"MASONRY"</f>
        <v>MASONRY</v>
      </c>
      <c r="AF577" t="str">
        <f>"011"</f>
        <v>011</v>
      </c>
      <c r="AG577" t="str">
        <f t="shared" si="175"/>
        <v>FL</v>
      </c>
      <c r="AH577" t="str">
        <f>"392040.00"</f>
        <v>392040.00</v>
      </c>
      <c r="AI577" t="str">
        <f>"72000.00"</f>
        <v>72000.00</v>
      </c>
      <c r="AJ577" t="str">
        <f>"C55-000-587-6290-7"</f>
        <v>C55-000-587-6290-7</v>
      </c>
      <c r="AK577" t="str">
        <f>"8594"</f>
        <v>8594</v>
      </c>
      <c r="AL577">
        <v>3</v>
      </c>
      <c r="AM577">
        <v>665</v>
      </c>
      <c r="AN577">
        <v>3619.28</v>
      </c>
      <c r="AQ577" t="s">
        <v>6187</v>
      </c>
      <c r="AR577" t="s">
        <v>6187</v>
      </c>
      <c r="AS577" t="s">
        <v>6187</v>
      </c>
      <c r="AU577" t="s">
        <v>396</v>
      </c>
      <c r="AV577">
        <v>2017</v>
      </c>
      <c r="AW577" t="str">
        <f>"30-4N-24-0000-0004-0000 "</f>
        <v xml:space="preserve">30-4N-24-0000-0004-0000 </v>
      </c>
      <c r="AX577">
        <v>553584</v>
      </c>
      <c r="AZ577" t="s">
        <v>2386</v>
      </c>
      <c r="BD577" t="s">
        <v>398</v>
      </c>
      <c r="BE577" t="s">
        <v>393</v>
      </c>
      <c r="BF577">
        <v>32046</v>
      </c>
      <c r="BG577" t="s">
        <v>6188</v>
      </c>
      <c r="BH577" t="s">
        <v>400</v>
      </c>
      <c r="BI577">
        <v>-81.948262454991905</v>
      </c>
      <c r="BJ577">
        <v>30.736987983461098</v>
      </c>
      <c r="BK577" t="s">
        <v>6189</v>
      </c>
      <c r="BM577" t="s">
        <v>6190</v>
      </c>
      <c r="BN577" t="s">
        <v>548</v>
      </c>
      <c r="BO577">
        <v>32225</v>
      </c>
      <c r="BP577" t="s">
        <v>404</v>
      </c>
      <c r="BQ577">
        <v>1100</v>
      </c>
      <c r="BR577" t="s">
        <v>4474</v>
      </c>
      <c r="BS577">
        <v>2000</v>
      </c>
      <c r="BT577" t="s">
        <v>4475</v>
      </c>
      <c r="BW577">
        <v>392040</v>
      </c>
      <c r="BX577" t="s">
        <v>407</v>
      </c>
      <c r="BY577" t="s">
        <v>2221</v>
      </c>
      <c r="BZ577">
        <v>3</v>
      </c>
      <c r="CA577">
        <v>1942</v>
      </c>
      <c r="CB577">
        <v>1.5</v>
      </c>
      <c r="CD577">
        <v>2017</v>
      </c>
      <c r="CE577">
        <v>72000</v>
      </c>
      <c r="CF577">
        <v>147103</v>
      </c>
      <c r="CG577">
        <v>219103</v>
      </c>
      <c r="CH577">
        <v>2017</v>
      </c>
      <c r="CI577">
        <v>72000</v>
      </c>
      <c r="CJ577">
        <v>147103</v>
      </c>
      <c r="CK577">
        <v>219103</v>
      </c>
      <c r="CL577">
        <v>2017</v>
      </c>
      <c r="CM577">
        <v>3316.95</v>
      </c>
      <c r="CN577" s="1">
        <v>42300</v>
      </c>
      <c r="CO577">
        <v>300000</v>
      </c>
      <c r="CV577">
        <v>500000</v>
      </c>
      <c r="CX577" t="s">
        <v>693</v>
      </c>
      <c r="CZ577" s="1">
        <v>42300</v>
      </c>
      <c r="DA577">
        <v>0</v>
      </c>
      <c r="DD577" t="s">
        <v>398</v>
      </c>
      <c r="DG577">
        <v>30</v>
      </c>
      <c r="DL577">
        <v>50400</v>
      </c>
      <c r="DM577" t="s">
        <v>6191</v>
      </c>
      <c r="DO577" t="s">
        <v>6192</v>
      </c>
      <c r="DP577">
        <v>0</v>
      </c>
      <c r="DQ577">
        <v>1</v>
      </c>
      <c r="DR577" t="s">
        <v>411</v>
      </c>
      <c r="DS577" t="b">
        <v>1</v>
      </c>
      <c r="DT577" t="s">
        <v>470</v>
      </c>
      <c r="DU577" t="s">
        <v>471</v>
      </c>
      <c r="DV577" t="s">
        <v>472</v>
      </c>
      <c r="DX577">
        <v>-9999</v>
      </c>
      <c r="DZ577" t="s">
        <v>447</v>
      </c>
      <c r="EA577" t="s">
        <v>448</v>
      </c>
      <c r="EB577" t="s">
        <v>1224</v>
      </c>
      <c r="EC577">
        <v>20101217</v>
      </c>
      <c r="ED577" t="s">
        <v>474</v>
      </c>
      <c r="EF577">
        <v>1020.3</v>
      </c>
      <c r="EG577">
        <v>1020.3</v>
      </c>
      <c r="EI577">
        <v>20160407</v>
      </c>
      <c r="EJ577">
        <v>0</v>
      </c>
      <c r="EK577">
        <v>0</v>
      </c>
      <c r="EP577" t="s">
        <v>421</v>
      </c>
      <c r="EQ577" t="s">
        <v>422</v>
      </c>
      <c r="ER577">
        <v>4</v>
      </c>
      <c r="ES577">
        <v>7</v>
      </c>
      <c r="ET577">
        <v>11441.14</v>
      </c>
      <c r="EU577">
        <v>597.05999999999995</v>
      </c>
      <c r="EV577">
        <v>12038.2</v>
      </c>
      <c r="EW577" s="2">
        <v>43222</v>
      </c>
      <c r="EX577" s="1">
        <v>42879</v>
      </c>
      <c r="EY577">
        <v>2016</v>
      </c>
      <c r="EZ577">
        <v>3673.71</v>
      </c>
      <c r="FA577" t="s">
        <v>6193</v>
      </c>
      <c r="FB577">
        <v>0.25</v>
      </c>
      <c r="FC577" t="s">
        <v>424</v>
      </c>
      <c r="FD577" t="s">
        <v>454</v>
      </c>
      <c r="FF577">
        <v>12</v>
      </c>
      <c r="FG577">
        <v>7336671</v>
      </c>
      <c r="FH577" t="s">
        <v>437</v>
      </c>
      <c r="FJ577" s="1">
        <v>42879</v>
      </c>
      <c r="FK577">
        <v>2016</v>
      </c>
      <c r="FL577">
        <v>3673.71</v>
      </c>
      <c r="FM577" t="s">
        <v>6193</v>
      </c>
      <c r="FN577">
        <v>0.25</v>
      </c>
      <c r="FO577" t="s">
        <v>424</v>
      </c>
      <c r="FP577" t="s">
        <v>454</v>
      </c>
      <c r="FR577">
        <v>12</v>
      </c>
      <c r="FS577">
        <v>6910155</v>
      </c>
      <c r="FT577" t="s">
        <v>6194</v>
      </c>
      <c r="FV577" s="1">
        <v>42515</v>
      </c>
      <c r="FW577">
        <v>2015</v>
      </c>
      <c r="FX577">
        <v>2046.86</v>
      </c>
      <c r="FY577" t="s">
        <v>6195</v>
      </c>
      <c r="FZ577">
        <v>0.25</v>
      </c>
      <c r="GA577" t="s">
        <v>424</v>
      </c>
      <c r="GB577" t="s">
        <v>454</v>
      </c>
      <c r="GD577">
        <v>24</v>
      </c>
      <c r="GE577">
        <v>11289</v>
      </c>
      <c r="GF577" t="s">
        <v>787</v>
      </c>
      <c r="GH577" s="1">
        <v>42515</v>
      </c>
      <c r="GI577">
        <v>2015</v>
      </c>
      <c r="GJ577">
        <v>2046.86</v>
      </c>
      <c r="GK577" t="s">
        <v>6195</v>
      </c>
      <c r="GL577">
        <v>0.25</v>
      </c>
      <c r="GM577" t="s">
        <v>424</v>
      </c>
      <c r="GN577" t="s">
        <v>454</v>
      </c>
      <c r="GP577">
        <v>24</v>
      </c>
      <c r="GQ577">
        <v>7072647</v>
      </c>
      <c r="GR577" t="s">
        <v>6196</v>
      </c>
      <c r="GT577" s="1">
        <v>42151</v>
      </c>
      <c r="GU577">
        <v>2014</v>
      </c>
      <c r="GV577">
        <v>1890.44</v>
      </c>
      <c r="GW577" t="s">
        <v>6197</v>
      </c>
      <c r="GX577">
        <v>0.25</v>
      </c>
      <c r="GY577" t="s">
        <v>424</v>
      </c>
      <c r="GZ577" t="s">
        <v>425</v>
      </c>
      <c r="HA577" s="1">
        <v>42277</v>
      </c>
      <c r="HB577">
        <v>4</v>
      </c>
      <c r="HC577">
        <v>2851116</v>
      </c>
      <c r="HD577" t="s">
        <v>480</v>
      </c>
      <c r="HF577" s="1">
        <v>42151</v>
      </c>
      <c r="HG577">
        <v>2014</v>
      </c>
      <c r="HH577">
        <v>1890.44</v>
      </c>
      <c r="HI577" t="s">
        <v>6197</v>
      </c>
      <c r="HJ577">
        <v>0.25</v>
      </c>
      <c r="HK577" t="s">
        <v>424</v>
      </c>
      <c r="HL577" t="s">
        <v>425</v>
      </c>
      <c r="HN577">
        <v>22</v>
      </c>
      <c r="HO577">
        <v>5367896</v>
      </c>
      <c r="HP577" t="s">
        <v>6198</v>
      </c>
      <c r="HR577" s="1">
        <v>41787</v>
      </c>
      <c r="HS577">
        <v>2013</v>
      </c>
      <c r="HT577">
        <v>1780.98</v>
      </c>
      <c r="HU577" t="s">
        <v>6199</v>
      </c>
      <c r="HV577">
        <v>0.25</v>
      </c>
      <c r="HW577" t="s">
        <v>424</v>
      </c>
      <c r="HX577" t="s">
        <v>425</v>
      </c>
      <c r="HY577" s="1">
        <v>42277</v>
      </c>
      <c r="HZ577">
        <v>16</v>
      </c>
      <c r="IA577">
        <v>2851116</v>
      </c>
      <c r="IB577" t="s">
        <v>480</v>
      </c>
      <c r="ID577" s="1">
        <v>41423</v>
      </c>
      <c r="IE577">
        <v>2012</v>
      </c>
      <c r="IF577">
        <v>1532.73</v>
      </c>
      <c r="IG577" t="s">
        <v>6200</v>
      </c>
      <c r="IH577">
        <v>0.25</v>
      </c>
      <c r="II577" t="s">
        <v>424</v>
      </c>
      <c r="IJ577" t="s">
        <v>425</v>
      </c>
      <c r="IK577" s="1">
        <v>41688</v>
      </c>
      <c r="IL577">
        <v>9</v>
      </c>
      <c r="IM577">
        <v>606981</v>
      </c>
      <c r="IN577" t="s">
        <v>792</v>
      </c>
      <c r="IP577" s="1">
        <v>41052</v>
      </c>
      <c r="IQ577">
        <v>2011</v>
      </c>
      <c r="IR577">
        <v>1537.32</v>
      </c>
      <c r="IS577" t="s">
        <v>6201</v>
      </c>
      <c r="IT577">
        <v>5.75</v>
      </c>
      <c r="IU577" t="s">
        <v>424</v>
      </c>
      <c r="IV577" t="s">
        <v>425</v>
      </c>
      <c r="IW577" s="1">
        <v>41688</v>
      </c>
      <c r="IX577">
        <v>21</v>
      </c>
      <c r="IY577">
        <v>1625515</v>
      </c>
      <c r="IZ577" t="s">
        <v>487</v>
      </c>
      <c r="JB577" s="1">
        <v>41052</v>
      </c>
      <c r="JC577">
        <v>2011</v>
      </c>
      <c r="JD577">
        <v>1537.32</v>
      </c>
      <c r="JE577" t="s">
        <v>6201</v>
      </c>
      <c r="JF577">
        <v>5.75</v>
      </c>
      <c r="JG577" t="s">
        <v>424</v>
      </c>
      <c r="JH577" t="s">
        <v>425</v>
      </c>
      <c r="JJ577">
        <v>22</v>
      </c>
      <c r="JK577">
        <v>10579</v>
      </c>
      <c r="JL577" t="s">
        <v>488</v>
      </c>
      <c r="JN577" s="1">
        <v>40688</v>
      </c>
      <c r="JO577">
        <v>2010</v>
      </c>
      <c r="JP577">
        <v>1755.81</v>
      </c>
      <c r="JQ577" t="s">
        <v>6202</v>
      </c>
      <c r="JR577">
        <v>0.25</v>
      </c>
      <c r="JS577" t="s">
        <v>424</v>
      </c>
      <c r="JT577" t="s">
        <v>425</v>
      </c>
      <c r="JU577" s="1">
        <v>40891</v>
      </c>
      <c r="JV577">
        <v>7</v>
      </c>
      <c r="JW577">
        <v>10591</v>
      </c>
      <c r="JX577" t="s">
        <v>4254</v>
      </c>
    </row>
    <row r="578" spans="1:284" x14ac:dyDescent="0.25">
      <c r="A578">
        <v>16485585</v>
      </c>
      <c r="B578">
        <v>577</v>
      </c>
      <c r="C578" t="s">
        <v>393</v>
      </c>
      <c r="D578" t="s">
        <v>394</v>
      </c>
      <c r="F578" t="str">
        <f>"30-4N-24-0000-0008-0000"</f>
        <v>30-4N-24-0000-0008-0000</v>
      </c>
      <c r="H578" t="str">
        <f>"HOLOKA NAOMI EST C/O DAVID HOLOKA"</f>
        <v>HOLOKA NAOMI EST C/O DAVID HOLOKA</v>
      </c>
      <c r="I578" t="str">
        <f>"1341 WOODRUFF AVE"</f>
        <v>1341 WOODRUFF AVE</v>
      </c>
      <c r="J578" t="str">
        <f>"JACKSONVILLE FL 32205"</f>
        <v>JACKSONVILLE FL 32205</v>
      </c>
      <c r="K578" t="str">
        <f>"US HWY 1"</f>
        <v>US HWY 1</v>
      </c>
      <c r="L578" t="str">
        <f t="shared" si="168"/>
        <v>HILLIARD FL 32046</v>
      </c>
      <c r="M578" t="str">
        <f>"PT GOVT LOT 3 OF SEC 30-4N-24E IN OR 405/243 (EX PT IN OR 58/341)"</f>
        <v>PT GOVT LOT 3 OF SEC 30-4N-24E IN OR 405/243 (EX PT IN OR 58/341)</v>
      </c>
      <c r="N578" t="str">
        <f>""</f>
        <v/>
      </c>
      <c r="O578" t="str">
        <f>"39593"</f>
        <v>39593</v>
      </c>
      <c r="P578" t="str">
        <f t="shared" ref="P578:P641" si="176">"2017"</f>
        <v>2017</v>
      </c>
      <c r="Q578" t="str">
        <f>""</f>
        <v/>
      </c>
      <c r="R578" t="str">
        <f t="shared" si="174"/>
        <v>N</v>
      </c>
      <c r="S578" t="str">
        <f>"5.00"</f>
        <v>5.00</v>
      </c>
      <c r="T578" t="str">
        <f>"605.56"</f>
        <v>605.56</v>
      </c>
      <c r="U578" t="str">
        <f>"40000.00"</f>
        <v>40000.00</v>
      </c>
      <c r="V578" t="str">
        <f>"40000.00"</f>
        <v>40000.00</v>
      </c>
      <c r="W578" t="str">
        <f t="shared" ref="W578:W641" si="177">"2017"</f>
        <v>2017</v>
      </c>
      <c r="X578" t="str">
        <f>"20.38"</f>
        <v>20.38</v>
      </c>
      <c r="Y578" t="str">
        <f>"655.73"</f>
        <v>655.73</v>
      </c>
      <c r="Z578" t="str">
        <f>""</f>
        <v/>
      </c>
      <c r="AA578" t="str">
        <f>"40000.00"</f>
        <v>40000.00</v>
      </c>
      <c r="AB578" t="str">
        <f>"Residential"</f>
        <v>Residential</v>
      </c>
      <c r="AC578" t="str">
        <f t="shared" si="161"/>
        <v>0</v>
      </c>
      <c r="AD578" t="str">
        <f>""</f>
        <v/>
      </c>
      <c r="AE578" t="str">
        <f>""</f>
        <v/>
      </c>
      <c r="AF578" t="str">
        <f>"000"</f>
        <v>000</v>
      </c>
      <c r="AG578" t="str">
        <f t="shared" si="175"/>
        <v>FL</v>
      </c>
      <c r="AH578" t="str">
        <f>"217800.00"</f>
        <v>217800.00</v>
      </c>
      <c r="AI578" t="str">
        <f>"40000.00"</f>
        <v>40000.00</v>
      </c>
      <c r="AJ578" t="str">
        <f>"C55-000-587-6300-4"</f>
        <v>C55-000-587-6300-4</v>
      </c>
      <c r="AK578" t="str">
        <f>"8604"</f>
        <v>8604</v>
      </c>
      <c r="AL578">
        <v>3</v>
      </c>
      <c r="AM578">
        <v>666</v>
      </c>
      <c r="AN578">
        <v>686.92</v>
      </c>
      <c r="AQ578" t="s">
        <v>6203</v>
      </c>
      <c r="AR578" t="s">
        <v>6203</v>
      </c>
      <c r="AS578" t="s">
        <v>6203</v>
      </c>
      <c r="AU578" t="s">
        <v>396</v>
      </c>
      <c r="AV578">
        <v>2017</v>
      </c>
      <c r="AW578" t="str">
        <f>"30-4N-24-0000-0008-0000 "</f>
        <v xml:space="preserve">30-4N-24-0000-0008-0000 </v>
      </c>
      <c r="AZ578" t="s">
        <v>2386</v>
      </c>
      <c r="BD578" t="s">
        <v>398</v>
      </c>
      <c r="BE578" t="s">
        <v>393</v>
      </c>
      <c r="BF578">
        <v>32046</v>
      </c>
      <c r="BG578" t="s">
        <v>2386</v>
      </c>
      <c r="BH578" t="s">
        <v>400</v>
      </c>
      <c r="BI578">
        <v>-81.9528983543495</v>
      </c>
      <c r="BJ578">
        <v>30.7386973650747</v>
      </c>
      <c r="BK578" t="s">
        <v>6204</v>
      </c>
      <c r="BM578" t="s">
        <v>6205</v>
      </c>
      <c r="BN578" t="s">
        <v>548</v>
      </c>
      <c r="BO578">
        <v>32205</v>
      </c>
      <c r="BP578" t="s">
        <v>404</v>
      </c>
      <c r="BQ578">
        <v>0</v>
      </c>
      <c r="BR578" t="s">
        <v>491</v>
      </c>
      <c r="BS578">
        <v>8001</v>
      </c>
      <c r="BT578" t="s">
        <v>492</v>
      </c>
      <c r="BW578">
        <v>217800</v>
      </c>
      <c r="BX578" t="s">
        <v>407</v>
      </c>
      <c r="BY578" t="s">
        <v>408</v>
      </c>
      <c r="CD578">
        <v>2017</v>
      </c>
      <c r="CE578">
        <v>40000</v>
      </c>
      <c r="CG578">
        <v>40000</v>
      </c>
      <c r="CH578">
        <v>2017</v>
      </c>
      <c r="CI578">
        <v>40000</v>
      </c>
      <c r="CK578">
        <v>40000</v>
      </c>
      <c r="CL578">
        <v>2017</v>
      </c>
      <c r="CM578">
        <v>605.55999999999995</v>
      </c>
      <c r="CN578" s="1">
        <v>30643</v>
      </c>
      <c r="CZ578" s="1">
        <v>30643</v>
      </c>
      <c r="DD578" t="s">
        <v>398</v>
      </c>
      <c r="DF578">
        <v>3</v>
      </c>
      <c r="DG578">
        <v>30</v>
      </c>
      <c r="DL578">
        <v>50400</v>
      </c>
      <c r="DM578" t="s">
        <v>6191</v>
      </c>
      <c r="DO578" t="s">
        <v>6206</v>
      </c>
      <c r="DP578">
        <v>0</v>
      </c>
      <c r="DQ578">
        <v>0</v>
      </c>
      <c r="DR578" t="s">
        <v>411</v>
      </c>
      <c r="DS578" t="b">
        <v>1</v>
      </c>
      <c r="DT578" t="s">
        <v>470</v>
      </c>
      <c r="DU578" t="s">
        <v>471</v>
      </c>
      <c r="DV578" t="s">
        <v>472</v>
      </c>
      <c r="DX578">
        <v>-9999</v>
      </c>
      <c r="DZ578" t="s">
        <v>447</v>
      </c>
      <c r="EA578" t="s">
        <v>448</v>
      </c>
      <c r="EB578" t="s">
        <v>1224</v>
      </c>
      <c r="EC578">
        <v>20101217</v>
      </c>
      <c r="ED578" t="s">
        <v>474</v>
      </c>
      <c r="EF578">
        <v>1123.7</v>
      </c>
      <c r="EG578">
        <v>1123.7</v>
      </c>
      <c r="EI578">
        <v>20160407</v>
      </c>
      <c r="EJ578">
        <v>0</v>
      </c>
      <c r="EK578">
        <v>0</v>
      </c>
      <c r="EP578" t="s">
        <v>421</v>
      </c>
      <c r="EQ578" t="s">
        <v>422</v>
      </c>
      <c r="ER578">
        <v>1</v>
      </c>
      <c r="ES578">
        <v>7</v>
      </c>
      <c r="ET578">
        <v>691.08</v>
      </c>
      <c r="EU578">
        <v>40.799999999999997</v>
      </c>
      <c r="EV578">
        <v>731.88</v>
      </c>
      <c r="EW578" s="2">
        <v>43222</v>
      </c>
      <c r="EX578" s="1">
        <v>42879</v>
      </c>
      <c r="EY578">
        <v>2016</v>
      </c>
      <c r="EZ578">
        <v>691.08</v>
      </c>
      <c r="FA578" t="s">
        <v>6207</v>
      </c>
      <c r="FB578">
        <v>4.5</v>
      </c>
      <c r="FC578" t="s">
        <v>424</v>
      </c>
      <c r="FD578" t="s">
        <v>454</v>
      </c>
      <c r="FF578">
        <v>12</v>
      </c>
      <c r="FG578">
        <v>7336745</v>
      </c>
      <c r="FH578" t="s">
        <v>502</v>
      </c>
      <c r="FJ578" s="1">
        <v>42515</v>
      </c>
      <c r="FK578">
        <v>2015</v>
      </c>
      <c r="FL578">
        <v>686.14</v>
      </c>
      <c r="FM578" t="s">
        <v>6208</v>
      </c>
      <c r="FN578">
        <v>6.25</v>
      </c>
      <c r="FO578" t="s">
        <v>424</v>
      </c>
      <c r="FP578" t="s">
        <v>425</v>
      </c>
      <c r="FQ578" s="1">
        <v>43186</v>
      </c>
      <c r="FR578">
        <v>22</v>
      </c>
      <c r="FS578">
        <v>2035919</v>
      </c>
      <c r="FT578" t="s">
        <v>507</v>
      </c>
      <c r="FV578" s="1">
        <v>42151</v>
      </c>
      <c r="FW578">
        <v>2014</v>
      </c>
      <c r="FX578">
        <v>637.74</v>
      </c>
      <c r="FY578" t="s">
        <v>6209</v>
      </c>
      <c r="FZ578">
        <v>4.75</v>
      </c>
      <c r="GA578" t="s">
        <v>424</v>
      </c>
      <c r="GB578" t="s">
        <v>425</v>
      </c>
      <c r="GC578" s="1">
        <v>42802</v>
      </c>
      <c r="GD578">
        <v>22</v>
      </c>
      <c r="GE578">
        <v>4975593</v>
      </c>
      <c r="GF578" t="s">
        <v>505</v>
      </c>
      <c r="GH578" s="1">
        <v>41787</v>
      </c>
      <c r="GI578">
        <v>2013</v>
      </c>
      <c r="GJ578">
        <v>580.36</v>
      </c>
      <c r="GK578" t="s">
        <v>6210</v>
      </c>
      <c r="GL578">
        <v>7.25</v>
      </c>
      <c r="GM578" t="s">
        <v>424</v>
      </c>
      <c r="GN578" t="s">
        <v>425</v>
      </c>
      <c r="GO578" s="1">
        <v>42426</v>
      </c>
      <c r="GP578">
        <v>21</v>
      </c>
      <c r="GQ578">
        <v>2035919</v>
      </c>
      <c r="GR578" t="s">
        <v>507</v>
      </c>
      <c r="GT578" s="1">
        <v>41423</v>
      </c>
      <c r="GU578">
        <v>2012</v>
      </c>
      <c r="GV578">
        <v>492.9</v>
      </c>
      <c r="GW578" t="s">
        <v>6211</v>
      </c>
      <c r="GX578">
        <v>4.5</v>
      </c>
      <c r="GY578" t="s">
        <v>424</v>
      </c>
      <c r="GZ578" t="s">
        <v>425</v>
      </c>
      <c r="HA578" s="1">
        <v>42087</v>
      </c>
      <c r="HB578">
        <v>22</v>
      </c>
      <c r="HC578">
        <v>1625515</v>
      </c>
      <c r="HD578" t="s">
        <v>487</v>
      </c>
      <c r="HF578" s="1">
        <v>41052</v>
      </c>
      <c r="HG578">
        <v>2011</v>
      </c>
      <c r="HH578">
        <v>576.47</v>
      </c>
      <c r="HI578" t="s">
        <v>6212</v>
      </c>
      <c r="HJ578">
        <v>5.75</v>
      </c>
      <c r="HK578" t="s">
        <v>424</v>
      </c>
      <c r="HL578" t="s">
        <v>425</v>
      </c>
      <c r="HM578" s="1">
        <v>41705</v>
      </c>
      <c r="HN578">
        <v>22</v>
      </c>
      <c r="HO578">
        <v>1625515</v>
      </c>
      <c r="HP578" t="s">
        <v>487</v>
      </c>
      <c r="HR578" s="1">
        <v>41052</v>
      </c>
      <c r="HS578">
        <v>2011</v>
      </c>
      <c r="HT578">
        <v>576.47</v>
      </c>
      <c r="HU578" t="s">
        <v>6212</v>
      </c>
      <c r="HV578">
        <v>5.75</v>
      </c>
      <c r="HW578" t="s">
        <v>424</v>
      </c>
      <c r="HX578" t="s">
        <v>425</v>
      </c>
      <c r="HZ578">
        <v>22</v>
      </c>
      <c r="IA578">
        <v>10579</v>
      </c>
      <c r="IB578" t="s">
        <v>488</v>
      </c>
      <c r="ID578" s="1">
        <v>40688</v>
      </c>
      <c r="IE578">
        <v>2010</v>
      </c>
      <c r="IF578">
        <v>641.4</v>
      </c>
      <c r="IG578" t="s">
        <v>6213</v>
      </c>
      <c r="IH578">
        <v>8</v>
      </c>
      <c r="II578" t="s">
        <v>424</v>
      </c>
      <c r="IJ578" t="s">
        <v>425</v>
      </c>
      <c r="IK578" s="1">
        <v>41332</v>
      </c>
      <c r="IL578">
        <v>21</v>
      </c>
      <c r="IM578">
        <v>10579</v>
      </c>
      <c r="IN578" t="s">
        <v>488</v>
      </c>
    </row>
    <row r="579" spans="1:284" x14ac:dyDescent="0.25">
      <c r="A579">
        <v>16485586</v>
      </c>
      <c r="B579">
        <v>578</v>
      </c>
      <c r="C579" t="s">
        <v>393</v>
      </c>
      <c r="D579" t="s">
        <v>394</v>
      </c>
      <c r="F579" t="str">
        <f>"30-4N-24-0000-0009-0000"</f>
        <v>30-4N-24-0000-0009-0000</v>
      </c>
      <c r="H579" t="str">
        <f>"HOLOKA NAOMI EST C/O DAVID HOLOKA"</f>
        <v>HOLOKA NAOMI EST C/O DAVID HOLOKA</v>
      </c>
      <c r="I579" t="str">
        <f>"1341 WOODRUFF AVE"</f>
        <v>1341 WOODRUFF AVE</v>
      </c>
      <c r="J579" t="str">
        <f>"JACKSONVILLE FL 32205"</f>
        <v>JACKSONVILLE FL 32205</v>
      </c>
      <c r="K579" t="str">
        <f>"553777 US HWY 1"</f>
        <v>553777 US HWY 1</v>
      </c>
      <c r="L579" t="str">
        <f t="shared" si="168"/>
        <v>HILLIARD FL 32046</v>
      </c>
      <c r="M579" t="str">
        <f>"PT GOVT LOTS 3 6 SEC 30-4N-24E IN OR 58/341"</f>
        <v>PT GOVT LOTS 3 6 SEC 30-4N-24E IN OR 58/341</v>
      </c>
      <c r="N579" t="str">
        <f>""</f>
        <v/>
      </c>
      <c r="O579" t="str">
        <f>"39594"</f>
        <v>39594</v>
      </c>
      <c r="P579" t="str">
        <f t="shared" si="176"/>
        <v>2017</v>
      </c>
      <c r="Q579" t="str">
        <f>""</f>
        <v/>
      </c>
      <c r="R579" t="str">
        <f t="shared" si="174"/>
        <v>N</v>
      </c>
      <c r="S579" t="str">
        <f>"2.72"</f>
        <v>2.72</v>
      </c>
      <c r="T579" t="str">
        <f>"1238.46"</f>
        <v>1238.46</v>
      </c>
      <c r="U579" t="str">
        <f>"81808.00"</f>
        <v>81808.00</v>
      </c>
      <c r="V579" t="str">
        <f>"81808.00"</f>
        <v>81808.00</v>
      </c>
      <c r="W579" t="str">
        <f t="shared" si="177"/>
        <v>2017</v>
      </c>
      <c r="X579" t="str">
        <f>"20.14"</f>
        <v>20.14</v>
      </c>
      <c r="Y579" t="str">
        <f>"1307.61"</f>
        <v>1307.61</v>
      </c>
      <c r="Z579" t="str">
        <f>""</f>
        <v/>
      </c>
      <c r="AA579" t="str">
        <f>"81808.00"</f>
        <v>81808.00</v>
      </c>
      <c r="AB579" t="str">
        <f>"Commercial"</f>
        <v>Commercial</v>
      </c>
      <c r="AC579" t="str">
        <f t="shared" si="161"/>
        <v>0</v>
      </c>
      <c r="AD579" t="str">
        <f>"4"</f>
        <v>4</v>
      </c>
      <c r="AE579" t="str">
        <f>"WOOD (INCLUDE STEEL STUDS)"</f>
        <v>WOOD (INCLUDE STEEL STUDS)</v>
      </c>
      <c r="AF579" t="str">
        <f>"039"</f>
        <v>039</v>
      </c>
      <c r="AG579" t="str">
        <f t="shared" si="175"/>
        <v>FL</v>
      </c>
      <c r="AH579" t="str">
        <f>"118483.00"</f>
        <v>118483.00</v>
      </c>
      <c r="AI579" t="str">
        <f>"19040.00"</f>
        <v>19040.00</v>
      </c>
      <c r="AJ579" t="str">
        <f>"C55-000-587-6301-2"</f>
        <v>C55-000-587-6301-2</v>
      </c>
      <c r="AK579" t="str">
        <f>"8605"</f>
        <v>8605</v>
      </c>
      <c r="AL579">
        <v>3</v>
      </c>
      <c r="AM579">
        <v>667</v>
      </c>
      <c r="AN579">
        <v>1371.39</v>
      </c>
      <c r="AQ579" t="s">
        <v>6214</v>
      </c>
      <c r="AR579" t="s">
        <v>6214</v>
      </c>
      <c r="AS579" t="s">
        <v>6214</v>
      </c>
      <c r="AU579" t="s">
        <v>396</v>
      </c>
      <c r="AV579">
        <v>2017</v>
      </c>
      <c r="AW579" t="str">
        <f>"30-4N-24-0000-0009-0000 "</f>
        <v xml:space="preserve">30-4N-24-0000-0009-0000 </v>
      </c>
      <c r="AX579">
        <v>553777</v>
      </c>
      <c r="AZ579" t="s">
        <v>2386</v>
      </c>
      <c r="BD579" t="s">
        <v>398</v>
      </c>
      <c r="BE579" t="s">
        <v>393</v>
      </c>
      <c r="BF579">
        <v>32046</v>
      </c>
      <c r="BG579" t="s">
        <v>6215</v>
      </c>
      <c r="BH579" t="s">
        <v>400</v>
      </c>
      <c r="BI579">
        <v>-81.951473605920199</v>
      </c>
      <c r="BJ579">
        <v>30.738173864212701</v>
      </c>
      <c r="BK579" t="s">
        <v>6204</v>
      </c>
      <c r="BM579" t="s">
        <v>6205</v>
      </c>
      <c r="BN579" t="s">
        <v>548</v>
      </c>
      <c r="BO579">
        <v>32205</v>
      </c>
      <c r="BP579" t="s">
        <v>404</v>
      </c>
      <c r="BQ579">
        <v>3900</v>
      </c>
      <c r="BR579" t="s">
        <v>6216</v>
      </c>
      <c r="BS579">
        <v>2034</v>
      </c>
      <c r="BT579" t="s">
        <v>6217</v>
      </c>
      <c r="BW579">
        <v>118483</v>
      </c>
      <c r="BX579" t="s">
        <v>407</v>
      </c>
      <c r="BY579" t="s">
        <v>2221</v>
      </c>
      <c r="BZ579">
        <v>4</v>
      </c>
      <c r="CA579">
        <v>1949</v>
      </c>
      <c r="CB579">
        <v>1</v>
      </c>
      <c r="CC579">
        <v>1</v>
      </c>
      <c r="CD579">
        <v>2017</v>
      </c>
      <c r="CE579">
        <v>19040</v>
      </c>
      <c r="CF579">
        <v>62768</v>
      </c>
      <c r="CG579">
        <v>81808</v>
      </c>
      <c r="CH579">
        <v>2017</v>
      </c>
      <c r="CI579">
        <v>19040</v>
      </c>
      <c r="CJ579">
        <v>62768</v>
      </c>
      <c r="CK579">
        <v>81808</v>
      </c>
      <c r="CL579">
        <v>2017</v>
      </c>
      <c r="CM579">
        <v>1238.46</v>
      </c>
      <c r="CN579" s="1">
        <v>23743</v>
      </c>
      <c r="CO579">
        <v>30000</v>
      </c>
      <c r="CZ579" s="1">
        <v>23743</v>
      </c>
      <c r="DD579" t="s">
        <v>398</v>
      </c>
      <c r="DG579">
        <v>30</v>
      </c>
      <c r="DL579">
        <v>50400</v>
      </c>
      <c r="DM579" t="s">
        <v>6191</v>
      </c>
      <c r="DO579" t="s">
        <v>6218</v>
      </c>
      <c r="DP579">
        <v>0</v>
      </c>
      <c r="DQ579">
        <v>1</v>
      </c>
      <c r="DR579" t="s">
        <v>411</v>
      </c>
      <c r="DS579" t="b">
        <v>1</v>
      </c>
      <c r="DT579" t="s">
        <v>470</v>
      </c>
      <c r="DU579" t="s">
        <v>471</v>
      </c>
      <c r="DV579" t="s">
        <v>472</v>
      </c>
      <c r="DX579">
        <v>-9999</v>
      </c>
      <c r="DZ579" t="s">
        <v>447</v>
      </c>
      <c r="EA579" t="s">
        <v>448</v>
      </c>
      <c r="EB579" t="s">
        <v>1224</v>
      </c>
      <c r="EC579">
        <v>20101217</v>
      </c>
      <c r="ED579" t="s">
        <v>474</v>
      </c>
      <c r="EF579">
        <v>1191</v>
      </c>
      <c r="EG579">
        <v>1191</v>
      </c>
      <c r="EI579">
        <v>20160407</v>
      </c>
      <c r="EJ579">
        <v>0</v>
      </c>
      <c r="EK579">
        <v>0</v>
      </c>
      <c r="EP579" t="s">
        <v>421</v>
      </c>
      <c r="EQ579" t="s">
        <v>422</v>
      </c>
      <c r="ER579">
        <v>2</v>
      </c>
      <c r="ES579">
        <v>9</v>
      </c>
      <c r="ET579">
        <v>3220.08</v>
      </c>
      <c r="EU579">
        <v>173.5</v>
      </c>
      <c r="EV579">
        <v>3393.58</v>
      </c>
      <c r="EW579" s="2">
        <v>43222</v>
      </c>
      <c r="EX579" s="1">
        <v>42879</v>
      </c>
      <c r="EY579">
        <v>2016</v>
      </c>
      <c r="EZ579">
        <v>1610.04</v>
      </c>
      <c r="FA579" t="s">
        <v>6219</v>
      </c>
      <c r="FB579">
        <v>0.25</v>
      </c>
      <c r="FC579" t="s">
        <v>424</v>
      </c>
      <c r="FD579" t="s">
        <v>454</v>
      </c>
      <c r="FF579">
        <v>12</v>
      </c>
      <c r="FG579">
        <v>2851116</v>
      </c>
      <c r="FH579" t="s">
        <v>480</v>
      </c>
      <c r="FJ579" s="1">
        <v>42879</v>
      </c>
      <c r="FK579">
        <v>2016</v>
      </c>
      <c r="FL579">
        <v>1610.04</v>
      </c>
      <c r="FM579" t="s">
        <v>6219</v>
      </c>
      <c r="FN579">
        <v>0.25</v>
      </c>
      <c r="FO579" t="s">
        <v>424</v>
      </c>
      <c r="FP579" t="s">
        <v>454</v>
      </c>
      <c r="FR579">
        <v>12</v>
      </c>
      <c r="FS579">
        <v>5717178</v>
      </c>
      <c r="FT579" t="s">
        <v>6220</v>
      </c>
      <c r="FV579" s="1">
        <v>42515</v>
      </c>
      <c r="FW579">
        <v>2015</v>
      </c>
      <c r="FX579">
        <v>1858.22</v>
      </c>
      <c r="FY579" t="s">
        <v>6221</v>
      </c>
      <c r="FZ579">
        <v>0.25</v>
      </c>
      <c r="GA579" t="s">
        <v>424</v>
      </c>
      <c r="GB579" t="s">
        <v>425</v>
      </c>
      <c r="GC579" s="1">
        <v>43186</v>
      </c>
      <c r="GD579">
        <v>22</v>
      </c>
      <c r="GE579">
        <v>2851116</v>
      </c>
      <c r="GF579" t="s">
        <v>480</v>
      </c>
      <c r="GH579" s="1">
        <v>42515</v>
      </c>
      <c r="GI579">
        <v>2015</v>
      </c>
      <c r="GJ579">
        <v>1858.22</v>
      </c>
      <c r="GK579" t="s">
        <v>6221</v>
      </c>
      <c r="GL579">
        <v>0.25</v>
      </c>
      <c r="GM579" t="s">
        <v>424</v>
      </c>
      <c r="GN579" t="s">
        <v>425</v>
      </c>
      <c r="GP579">
        <v>22</v>
      </c>
      <c r="GQ579">
        <v>5041107</v>
      </c>
      <c r="GR579" t="s">
        <v>6222</v>
      </c>
      <c r="GT579" s="1">
        <v>42151</v>
      </c>
      <c r="GU579">
        <v>2014</v>
      </c>
      <c r="GV579">
        <v>1802.71</v>
      </c>
      <c r="GW579" t="s">
        <v>6223</v>
      </c>
      <c r="GX579">
        <v>0.25</v>
      </c>
      <c r="GY579" t="s">
        <v>424</v>
      </c>
      <c r="GZ579" t="s">
        <v>425</v>
      </c>
      <c r="HA579" s="1">
        <v>42802</v>
      </c>
      <c r="HB579">
        <v>22</v>
      </c>
      <c r="HC579">
        <v>2101382</v>
      </c>
      <c r="HD579" t="s">
        <v>993</v>
      </c>
      <c r="HF579" s="1">
        <v>42151</v>
      </c>
      <c r="HG579">
        <v>2014</v>
      </c>
      <c r="HH579">
        <v>1802.71</v>
      </c>
      <c r="HI579" t="s">
        <v>6223</v>
      </c>
      <c r="HJ579">
        <v>0.25</v>
      </c>
      <c r="HK579" t="s">
        <v>424</v>
      </c>
      <c r="HL579" t="s">
        <v>425</v>
      </c>
      <c r="HN579">
        <v>22</v>
      </c>
      <c r="HO579">
        <v>5535361</v>
      </c>
      <c r="HP579" t="s">
        <v>6224</v>
      </c>
      <c r="HR579" s="1">
        <v>41787</v>
      </c>
      <c r="HS579">
        <v>2013</v>
      </c>
      <c r="HT579">
        <v>1658.35</v>
      </c>
      <c r="HU579" t="s">
        <v>6225</v>
      </c>
      <c r="HV579">
        <v>0.25</v>
      </c>
      <c r="HW579" t="s">
        <v>424</v>
      </c>
      <c r="HX579" t="s">
        <v>425</v>
      </c>
      <c r="HY579" s="1">
        <v>42426</v>
      </c>
      <c r="HZ579">
        <v>21</v>
      </c>
      <c r="IA579">
        <v>2851116</v>
      </c>
      <c r="IB579" t="s">
        <v>480</v>
      </c>
      <c r="ID579" s="1">
        <v>41423</v>
      </c>
      <c r="IE579">
        <v>2012</v>
      </c>
      <c r="IF579">
        <v>1965.94</v>
      </c>
      <c r="IG579" t="s">
        <v>6226</v>
      </c>
      <c r="IH579">
        <v>0.25</v>
      </c>
      <c r="II579" t="s">
        <v>424</v>
      </c>
      <c r="IJ579" t="s">
        <v>425</v>
      </c>
      <c r="IK579" s="1">
        <v>42087</v>
      </c>
      <c r="IL579">
        <v>22</v>
      </c>
      <c r="IM579">
        <v>606981</v>
      </c>
      <c r="IN579" t="s">
        <v>792</v>
      </c>
      <c r="IP579" s="1">
        <v>41052</v>
      </c>
      <c r="IQ579">
        <v>2011</v>
      </c>
      <c r="IR579">
        <v>1961.81</v>
      </c>
      <c r="IS579" t="s">
        <v>6227</v>
      </c>
      <c r="IT579">
        <v>4</v>
      </c>
      <c r="IU579" t="s">
        <v>424</v>
      </c>
      <c r="IV579" t="s">
        <v>425</v>
      </c>
      <c r="IW579" s="1">
        <v>41705</v>
      </c>
      <c r="IX579">
        <v>22</v>
      </c>
      <c r="IY579">
        <v>13104</v>
      </c>
      <c r="IZ579" t="s">
        <v>888</v>
      </c>
      <c r="JB579" s="1">
        <v>41052</v>
      </c>
      <c r="JC579">
        <v>2011</v>
      </c>
      <c r="JD579">
        <v>1961.81</v>
      </c>
      <c r="JE579" t="s">
        <v>6227</v>
      </c>
      <c r="JF579">
        <v>4</v>
      </c>
      <c r="JG579" t="s">
        <v>424</v>
      </c>
      <c r="JH579" t="s">
        <v>425</v>
      </c>
      <c r="JJ579">
        <v>22</v>
      </c>
      <c r="JK579">
        <v>13665</v>
      </c>
      <c r="JL579" t="s">
        <v>6228</v>
      </c>
      <c r="JN579" s="1">
        <v>40688</v>
      </c>
      <c r="JO579">
        <v>2010</v>
      </c>
      <c r="JP579">
        <v>2060.7800000000002</v>
      </c>
      <c r="JQ579" t="s">
        <v>6229</v>
      </c>
      <c r="JR579">
        <v>0.25</v>
      </c>
      <c r="JS579" t="s">
        <v>424</v>
      </c>
      <c r="JT579" t="s">
        <v>425</v>
      </c>
      <c r="JU579" s="1">
        <v>41332</v>
      </c>
      <c r="JV579">
        <v>21</v>
      </c>
      <c r="JW579">
        <v>10591</v>
      </c>
      <c r="JX579" t="s">
        <v>4254</v>
      </c>
    </row>
    <row r="580" spans="1:284" x14ac:dyDescent="0.25">
      <c r="A580">
        <v>16485587</v>
      </c>
      <c r="B580">
        <v>579</v>
      </c>
      <c r="C580" t="s">
        <v>393</v>
      </c>
      <c r="D580" t="s">
        <v>394</v>
      </c>
      <c r="F580" t="str">
        <f>"30-4N-24-0000-0013-0010"</f>
        <v>30-4N-24-0000-0013-0010</v>
      </c>
      <c r="H580" t="str">
        <f>"HOGAN LARRY"</f>
        <v>HOGAN LARRY</v>
      </c>
      <c r="I580" t="str">
        <f>"28104 JACKSON TRAIL"</f>
        <v>28104 JACKSON TRAIL</v>
      </c>
      <c r="J580" t="str">
        <f>"HILLIARD FL 32046"</f>
        <v>HILLIARD FL 32046</v>
      </c>
      <c r="K580" t="str">
        <f>"28104 JACKSON TRL"</f>
        <v>28104 JACKSON TRL</v>
      </c>
      <c r="L580" t="str">
        <f t="shared" si="168"/>
        <v>HILLIARD FL 32046</v>
      </c>
      <c r="M580" t="str">
        <f>"PT OF GOVT LOT 8 IN OR 2001/1706 2009 FLTWD DW/MH UTILITY ESMT IN OR 993/84 (EX 13-3)"</f>
        <v>PT OF GOVT LOT 8 IN OR 2001/1706 2009 FLTWD DW/MH UTILITY ESMT IN OR 993/84 (EX 13-3)</v>
      </c>
      <c r="N580" t="str">
        <f>""</f>
        <v/>
      </c>
      <c r="O580" t="str">
        <f>"39600"</f>
        <v>39600</v>
      </c>
      <c r="P580" t="str">
        <f t="shared" si="176"/>
        <v>2017</v>
      </c>
      <c r="Q580" t="str">
        <f>""</f>
        <v/>
      </c>
      <c r="R580" t="str">
        <f t="shared" si="174"/>
        <v>N</v>
      </c>
      <c r="S580" t="str">
        <f>"1.01"</f>
        <v>1.01</v>
      </c>
      <c r="T580" t="str">
        <f>"877.70"</f>
        <v>877.70</v>
      </c>
      <c r="U580" t="str">
        <f>"57976.00"</f>
        <v>57976.00</v>
      </c>
      <c r="V580" t="str">
        <f>"57976.00"</f>
        <v>57976.00</v>
      </c>
      <c r="W580" t="str">
        <f t="shared" si="177"/>
        <v>2017</v>
      </c>
      <c r="X580" t="str">
        <f>""</f>
        <v/>
      </c>
      <c r="Y580" t="str">
        <f>"936.03"</f>
        <v>936.03</v>
      </c>
      <c r="Z580" t="str">
        <f>""</f>
        <v/>
      </c>
      <c r="AA580" t="str">
        <f>"57976.00"</f>
        <v>57976.00</v>
      </c>
      <c r="AB580" t="str">
        <f>"Residential"</f>
        <v>Residential</v>
      </c>
      <c r="AC580" t="str">
        <f t="shared" si="161"/>
        <v>0</v>
      </c>
      <c r="AD580" t="str">
        <f>"4"</f>
        <v>4</v>
      </c>
      <c r="AE580" t="str">
        <f>"WOOD (INCLUDE STEEL STUDS)"</f>
        <v>WOOD (INCLUDE STEEL STUDS)</v>
      </c>
      <c r="AF580" t="str">
        <f>"002"</f>
        <v>002</v>
      </c>
      <c r="AG580" t="str">
        <f t="shared" si="175"/>
        <v>FL</v>
      </c>
      <c r="AH580" t="str">
        <f>"43995.00"</f>
        <v>43995.00</v>
      </c>
      <c r="AI580" t="str">
        <f>"15150.00"</f>
        <v>15150.00</v>
      </c>
      <c r="AJ580" t="str">
        <f>"C55-000-587-6307-9"</f>
        <v>C55-000-587-6307-9</v>
      </c>
      <c r="AK580" t="str">
        <f>"8611"</f>
        <v>8611</v>
      </c>
      <c r="AL580">
        <v>3</v>
      </c>
      <c r="AM580">
        <v>668</v>
      </c>
      <c r="AN580">
        <v>981.23</v>
      </c>
      <c r="AQ580" t="s">
        <v>6230</v>
      </c>
      <c r="AR580" t="s">
        <v>6230</v>
      </c>
      <c r="AS580" t="s">
        <v>6230</v>
      </c>
      <c r="AU580" t="s">
        <v>396</v>
      </c>
      <c r="AV580">
        <v>2017</v>
      </c>
      <c r="AW580" t="str">
        <f>"30-4N-24-0000-0013-0010 "</f>
        <v xml:space="preserve">30-4N-24-0000-0013-0010 </v>
      </c>
      <c r="AX580">
        <v>28104</v>
      </c>
      <c r="AZ580" t="s">
        <v>6231</v>
      </c>
      <c r="BA580" t="s">
        <v>2497</v>
      </c>
      <c r="BD580" t="s">
        <v>398</v>
      </c>
      <c r="BE580" t="s">
        <v>393</v>
      </c>
      <c r="BF580">
        <v>32046</v>
      </c>
      <c r="BG580" t="s">
        <v>2195</v>
      </c>
      <c r="BH580" t="s">
        <v>400</v>
      </c>
      <c r="BI580">
        <v>-81.948871501150904</v>
      </c>
      <c r="BJ580">
        <v>30.732698441921201</v>
      </c>
      <c r="BK580" t="s">
        <v>6232</v>
      </c>
      <c r="BM580" t="s">
        <v>2195</v>
      </c>
      <c r="BN580" t="s">
        <v>403</v>
      </c>
      <c r="BO580">
        <v>32046</v>
      </c>
      <c r="BP580" t="s">
        <v>416</v>
      </c>
      <c r="BQ580">
        <v>200</v>
      </c>
      <c r="BR580" t="s">
        <v>405</v>
      </c>
      <c r="BS580">
        <v>1006</v>
      </c>
      <c r="BT580" t="s">
        <v>406</v>
      </c>
      <c r="BW580">
        <v>43995</v>
      </c>
      <c r="BX580" t="s">
        <v>407</v>
      </c>
      <c r="BY580" t="s">
        <v>408</v>
      </c>
      <c r="BZ580">
        <v>4</v>
      </c>
      <c r="CA580">
        <v>2008</v>
      </c>
      <c r="CC580">
        <v>1</v>
      </c>
      <c r="CD580">
        <v>2017</v>
      </c>
      <c r="CE580">
        <v>15150</v>
      </c>
      <c r="CF580">
        <v>42826</v>
      </c>
      <c r="CG580">
        <v>57976</v>
      </c>
      <c r="CH580">
        <v>2017</v>
      </c>
      <c r="CI580">
        <v>15150</v>
      </c>
      <c r="CJ580">
        <v>42826</v>
      </c>
      <c r="CK580">
        <v>57976</v>
      </c>
      <c r="CL580">
        <v>2017</v>
      </c>
      <c r="CM580">
        <v>877.7</v>
      </c>
      <c r="CN580" s="1">
        <v>42256</v>
      </c>
      <c r="CO580">
        <v>25000</v>
      </c>
      <c r="CV580">
        <v>0</v>
      </c>
      <c r="CZ580" s="1">
        <v>42256</v>
      </c>
      <c r="DA580">
        <v>0</v>
      </c>
      <c r="DD580" t="s">
        <v>398</v>
      </c>
      <c r="DF580">
        <v>8</v>
      </c>
      <c r="DG580">
        <v>30</v>
      </c>
      <c r="DL580">
        <v>50400</v>
      </c>
      <c r="DM580" t="s">
        <v>6191</v>
      </c>
      <c r="DO580" t="s">
        <v>6233</v>
      </c>
      <c r="DP580">
        <v>0</v>
      </c>
      <c r="DQ580">
        <v>0</v>
      </c>
      <c r="DR580" t="s">
        <v>411</v>
      </c>
    </row>
    <row r="581" spans="1:284" x14ac:dyDescent="0.25">
      <c r="A581">
        <v>16485588</v>
      </c>
      <c r="B581">
        <v>580</v>
      </c>
      <c r="C581" t="s">
        <v>393</v>
      </c>
      <c r="D581" t="s">
        <v>394</v>
      </c>
      <c r="F581" t="str">
        <f>"30-4N-24-2740-0001-0000"</f>
        <v>30-4N-24-2740-0001-0000</v>
      </c>
      <c r="H581" t="str">
        <f>"HOLLEY MARCUS W"</f>
        <v>HOLLEY MARCUS W</v>
      </c>
      <c r="I581" t="str">
        <f>"PO BOX 940"</f>
        <v>PO BOX 940</v>
      </c>
      <c r="J581" t="str">
        <f>"HILLIARD FL 32046"</f>
        <v>HILLIARD FL 32046</v>
      </c>
      <c r="K581" t="str">
        <f>"US HWY 1"</f>
        <v>US HWY 1</v>
      </c>
      <c r="L581" t="str">
        <f t="shared" si="168"/>
        <v>HILLIARD FL 32046</v>
      </c>
      <c r="M581" t="str">
        <f>"LOTS 1 &amp; 2 IN OR 2117/190 ST MARYS HEIGHTS SUB PB 3/36"</f>
        <v>LOTS 1 &amp; 2 IN OR 2117/190 ST MARYS HEIGHTS SUB PB 3/36</v>
      </c>
      <c r="N581" t="str">
        <f>""</f>
        <v/>
      </c>
      <c r="O581" t="str">
        <f>"39611"</f>
        <v>39611</v>
      </c>
      <c r="P581" t="str">
        <f t="shared" si="176"/>
        <v>2017</v>
      </c>
      <c r="Q581" t="str">
        <f>""</f>
        <v/>
      </c>
      <c r="R581" t="str">
        <f t="shared" si="174"/>
        <v>N</v>
      </c>
      <c r="S581" t="str">
        <f>"3.00"</f>
        <v>3.00</v>
      </c>
      <c r="T581" t="str">
        <f>"794.79"</f>
        <v>794.79</v>
      </c>
      <c r="U581" t="str">
        <f>"52500.00"</f>
        <v>52500.00</v>
      </c>
      <c r="V581" t="str">
        <f>"52500.00"</f>
        <v>52500.00</v>
      </c>
      <c r="W581" t="str">
        <f t="shared" si="177"/>
        <v>2017</v>
      </c>
      <c r="X581" t="str">
        <f>"15.43"</f>
        <v>15.43</v>
      </c>
      <c r="Y581" t="str">
        <f>"850.63"</f>
        <v>850.63</v>
      </c>
      <c r="Z581" t="str">
        <f>""</f>
        <v/>
      </c>
      <c r="AA581" t="str">
        <f>"52500.00"</f>
        <v>52500.00</v>
      </c>
      <c r="AB581" t="str">
        <f>"Commercial"</f>
        <v>Commercial</v>
      </c>
      <c r="AC581" t="str">
        <f t="shared" si="161"/>
        <v>0</v>
      </c>
      <c r="AD581" t="str">
        <f>""</f>
        <v/>
      </c>
      <c r="AE581" t="str">
        <f>""</f>
        <v/>
      </c>
      <c r="AF581" t="str">
        <f>"010"</f>
        <v>010</v>
      </c>
      <c r="AG581" t="str">
        <f t="shared" si="175"/>
        <v>FL</v>
      </c>
      <c r="AH581" t="str">
        <f>"130680.00"</f>
        <v>130680.00</v>
      </c>
      <c r="AI581" t="str">
        <f>"52500.00"</f>
        <v>52500.00</v>
      </c>
      <c r="AJ581" t="str">
        <f>"C55-000-587-6312-9"</f>
        <v>C55-000-587-6312-9</v>
      </c>
      <c r="AK581" t="str">
        <f>"8621"</f>
        <v>8621</v>
      </c>
      <c r="AL581">
        <v>3</v>
      </c>
      <c r="AM581">
        <v>669</v>
      </c>
      <c r="AN581">
        <v>891.56</v>
      </c>
      <c r="AQ581" t="s">
        <v>6234</v>
      </c>
      <c r="AR581" t="s">
        <v>6234</v>
      </c>
      <c r="AS581" t="s">
        <v>6234</v>
      </c>
      <c r="AU581" t="s">
        <v>396</v>
      </c>
      <c r="AV581">
        <v>2017</v>
      </c>
      <c r="AW581" t="str">
        <f>"30-4N-24-2740-0001-0000 "</f>
        <v xml:space="preserve">30-4N-24-2740-0001-0000 </v>
      </c>
      <c r="AZ581" t="s">
        <v>2386</v>
      </c>
      <c r="BD581" t="s">
        <v>398</v>
      </c>
      <c r="BE581" t="s">
        <v>393</v>
      </c>
      <c r="BF581">
        <v>32046</v>
      </c>
      <c r="BG581" t="s">
        <v>2386</v>
      </c>
      <c r="BH581" t="s">
        <v>400</v>
      </c>
      <c r="BI581">
        <v>-81.949701221940003</v>
      </c>
      <c r="BJ581">
        <v>30.735299459931799</v>
      </c>
      <c r="BK581" t="s">
        <v>4988</v>
      </c>
      <c r="BM581" t="s">
        <v>4962</v>
      </c>
      <c r="BN581" t="s">
        <v>403</v>
      </c>
      <c r="BO581">
        <v>32046</v>
      </c>
      <c r="BP581" t="s">
        <v>404</v>
      </c>
      <c r="BQ581">
        <v>1000</v>
      </c>
      <c r="BR581" t="s">
        <v>2391</v>
      </c>
      <c r="BS581">
        <v>8002</v>
      </c>
      <c r="BT581" t="s">
        <v>2392</v>
      </c>
      <c r="BW581">
        <v>130680</v>
      </c>
      <c r="BX581" t="s">
        <v>407</v>
      </c>
      <c r="BY581" t="s">
        <v>4413</v>
      </c>
      <c r="CD581">
        <v>2017</v>
      </c>
      <c r="CE581">
        <v>52500</v>
      </c>
      <c r="CG581">
        <v>52500</v>
      </c>
      <c r="CH581">
        <v>2017</v>
      </c>
      <c r="CI581">
        <v>52500</v>
      </c>
      <c r="CK581">
        <v>52500</v>
      </c>
      <c r="CL581">
        <v>2017</v>
      </c>
      <c r="CM581">
        <v>794.79</v>
      </c>
      <c r="CN581" s="1">
        <v>38698</v>
      </c>
      <c r="CO581">
        <v>58000</v>
      </c>
      <c r="CV581">
        <v>0</v>
      </c>
      <c r="CZ581" s="1">
        <v>38698</v>
      </c>
      <c r="DA581">
        <v>0</v>
      </c>
      <c r="DD581" t="s">
        <v>398</v>
      </c>
      <c r="DG581">
        <v>30</v>
      </c>
      <c r="DJ581" t="s">
        <v>6235</v>
      </c>
      <c r="DL581">
        <v>50400</v>
      </c>
      <c r="DM581" t="s">
        <v>6191</v>
      </c>
      <c r="DO581" t="s">
        <v>6236</v>
      </c>
      <c r="DP581">
        <v>0</v>
      </c>
      <c r="DQ581">
        <v>1</v>
      </c>
      <c r="DR581" t="s">
        <v>411</v>
      </c>
      <c r="DS581" t="b">
        <v>1</v>
      </c>
      <c r="DT581" t="s">
        <v>470</v>
      </c>
      <c r="DU581" t="s">
        <v>471</v>
      </c>
      <c r="DV581" t="s">
        <v>472</v>
      </c>
      <c r="DX581">
        <v>-9999</v>
      </c>
      <c r="DZ581" t="s">
        <v>447</v>
      </c>
      <c r="EA581" t="s">
        <v>448</v>
      </c>
      <c r="EB581" t="s">
        <v>1224</v>
      </c>
      <c r="EC581">
        <v>20101217</v>
      </c>
      <c r="ED581" t="s">
        <v>474</v>
      </c>
      <c r="EF581">
        <v>1597</v>
      </c>
      <c r="EG581">
        <v>1597</v>
      </c>
      <c r="EI581">
        <v>20160407</v>
      </c>
      <c r="EJ581">
        <v>0</v>
      </c>
      <c r="EK581">
        <v>0</v>
      </c>
      <c r="EP581" t="s">
        <v>421</v>
      </c>
      <c r="EQ581" t="s">
        <v>422</v>
      </c>
      <c r="ER581">
        <v>0</v>
      </c>
      <c r="ES581">
        <v>6</v>
      </c>
      <c r="ET581">
        <v>0</v>
      </c>
      <c r="EU581">
        <v>0</v>
      </c>
      <c r="EV581">
        <v>0</v>
      </c>
      <c r="EW581" s="2">
        <v>43222</v>
      </c>
      <c r="EX581" s="1">
        <v>42515</v>
      </c>
      <c r="EY581">
        <v>2015</v>
      </c>
      <c r="EZ581">
        <v>914.76</v>
      </c>
      <c r="FA581" t="s">
        <v>6237</v>
      </c>
      <c r="FB581">
        <v>6.25</v>
      </c>
      <c r="FC581" t="s">
        <v>424</v>
      </c>
      <c r="FD581" t="s">
        <v>425</v>
      </c>
      <c r="FE581" s="1">
        <v>42808</v>
      </c>
      <c r="FF581">
        <v>10</v>
      </c>
      <c r="FG581">
        <v>2035919</v>
      </c>
      <c r="FH581" t="s">
        <v>507</v>
      </c>
      <c r="FJ581" s="1">
        <v>42151</v>
      </c>
      <c r="FK581">
        <v>2014</v>
      </c>
      <c r="FL581">
        <v>919.29</v>
      </c>
      <c r="FM581" t="s">
        <v>6238</v>
      </c>
      <c r="FN581">
        <v>4.75</v>
      </c>
      <c r="FO581" t="s">
        <v>424</v>
      </c>
      <c r="FP581" t="s">
        <v>425</v>
      </c>
      <c r="FQ581" s="1">
        <v>42808</v>
      </c>
      <c r="FR581">
        <v>22</v>
      </c>
      <c r="FS581">
        <v>4975593</v>
      </c>
      <c r="FT581" t="s">
        <v>505</v>
      </c>
      <c r="FV581" s="1">
        <v>41787</v>
      </c>
      <c r="FW581">
        <v>2013</v>
      </c>
      <c r="FX581">
        <v>871.31</v>
      </c>
      <c r="FY581" t="s">
        <v>6239</v>
      </c>
      <c r="FZ581">
        <v>6.75</v>
      </c>
      <c r="GA581" t="s">
        <v>424</v>
      </c>
      <c r="GB581" t="s">
        <v>425</v>
      </c>
      <c r="GD581">
        <v>22</v>
      </c>
      <c r="GE581">
        <v>2035919</v>
      </c>
      <c r="GF581" t="s">
        <v>507</v>
      </c>
      <c r="GH581" s="1">
        <v>41787</v>
      </c>
      <c r="GI581">
        <v>2013</v>
      </c>
      <c r="GJ581">
        <v>871.31</v>
      </c>
      <c r="GK581" t="s">
        <v>6239</v>
      </c>
      <c r="GL581">
        <v>6.75</v>
      </c>
      <c r="GM581" t="s">
        <v>424</v>
      </c>
      <c r="GN581" t="s">
        <v>425</v>
      </c>
      <c r="GO581" s="1">
        <v>42808</v>
      </c>
      <c r="GP581">
        <v>34</v>
      </c>
      <c r="GQ581">
        <v>7336670</v>
      </c>
      <c r="GR581" t="s">
        <v>2102</v>
      </c>
      <c r="GT581" s="1">
        <v>41423</v>
      </c>
      <c r="GU581">
        <v>2012</v>
      </c>
      <c r="GV581">
        <v>881.92</v>
      </c>
      <c r="GW581" t="s">
        <v>6240</v>
      </c>
      <c r="GX581">
        <v>0.25</v>
      </c>
      <c r="GY581" t="s">
        <v>424</v>
      </c>
      <c r="GZ581" t="s">
        <v>425</v>
      </c>
      <c r="HA581" s="1">
        <v>41759</v>
      </c>
      <c r="HB581">
        <v>11</v>
      </c>
      <c r="HC581">
        <v>2101385</v>
      </c>
      <c r="HD581" t="s">
        <v>810</v>
      </c>
      <c r="HF581" s="1">
        <v>40688</v>
      </c>
      <c r="HG581">
        <v>2010</v>
      </c>
      <c r="HH581">
        <v>1007.96</v>
      </c>
      <c r="HI581" t="s">
        <v>6241</v>
      </c>
      <c r="HJ581">
        <v>0.25</v>
      </c>
      <c r="HK581" t="s">
        <v>424</v>
      </c>
      <c r="HL581" t="s">
        <v>425</v>
      </c>
      <c r="HM581" s="1">
        <v>41015</v>
      </c>
      <c r="HN581">
        <v>11</v>
      </c>
      <c r="HO581">
        <v>10591</v>
      </c>
      <c r="HP581" t="s">
        <v>4254</v>
      </c>
    </row>
    <row r="582" spans="1:284" x14ac:dyDescent="0.25">
      <c r="A582">
        <v>16485589</v>
      </c>
      <c r="B582">
        <v>581</v>
      </c>
      <c r="C582" t="s">
        <v>393</v>
      </c>
      <c r="D582" t="s">
        <v>394</v>
      </c>
      <c r="F582" t="str">
        <f>"30-4N-24-2740-0003-0000"</f>
        <v>30-4N-24-2740-0003-0000</v>
      </c>
      <c r="H582" t="str">
        <f>"SNIPES VELAR O EST C/O BARBARA A BAUGH"</f>
        <v>SNIPES VELAR O EST C/O BARBARA A BAUGH</v>
      </c>
      <c r="I582" t="str">
        <f>"10222 WESTMAR RD"</f>
        <v>10222 WESTMAR RD</v>
      </c>
      <c r="J582" t="str">
        <f>"JACKSONVILLE FL 32218"</f>
        <v>JACKSONVILLE FL 32218</v>
      </c>
      <c r="K582" t="str">
        <f>"553519 US HWY 1"</f>
        <v>553519 US HWY 1</v>
      </c>
      <c r="L582" t="str">
        <f t="shared" si="168"/>
        <v>HILLIARD FL 32046</v>
      </c>
      <c r="M582" t="str">
        <f>"LOTS 3 &amp; 4 IN OR 863/211 R672863 &amp; R672864 ST MARYS HEIGHT SUB PB 3/36"</f>
        <v>LOTS 3 &amp; 4 IN OR 863/211 R672863 &amp; R672864 ST MARYS HEIGHT SUB PB 3/36</v>
      </c>
      <c r="N582" t="str">
        <f>""</f>
        <v/>
      </c>
      <c r="O582" t="str">
        <f>"39612"</f>
        <v>39612</v>
      </c>
      <c r="P582" t="str">
        <f t="shared" si="176"/>
        <v>2017</v>
      </c>
      <c r="Q582" t="str">
        <f>""</f>
        <v/>
      </c>
      <c r="R582" t="str">
        <f t="shared" si="174"/>
        <v>N</v>
      </c>
      <c r="S582" t="str">
        <f>"3.08"</f>
        <v>3.08</v>
      </c>
      <c r="T582" t="str">
        <f>"587.52"</f>
        <v>587.52</v>
      </c>
      <c r="U582" t="str">
        <f>"38809.00"</f>
        <v>38809.00</v>
      </c>
      <c r="V582" t="str">
        <f>"38809.00"</f>
        <v>38809.00</v>
      </c>
      <c r="W582" t="str">
        <f t="shared" si="177"/>
        <v>2017</v>
      </c>
      <c r="X582" t="str">
        <f>""</f>
        <v/>
      </c>
      <c r="Y582" t="str">
        <f>"637.15"</f>
        <v>637.15</v>
      </c>
      <c r="Z582" t="str">
        <f>""</f>
        <v/>
      </c>
      <c r="AA582" t="str">
        <f>"38809.00"</f>
        <v>38809.00</v>
      </c>
      <c r="AB582" t="str">
        <f>"Residential"</f>
        <v>Residential</v>
      </c>
      <c r="AC582" t="str">
        <f t="shared" si="161"/>
        <v>0</v>
      </c>
      <c r="AD582" t="str">
        <f>"4"</f>
        <v>4</v>
      </c>
      <c r="AE582" t="str">
        <f>"WOOD (INCLUDE STEEL STUDS)"</f>
        <v>WOOD (INCLUDE STEEL STUDS)</v>
      </c>
      <c r="AF582" t="str">
        <f>"002"</f>
        <v>002</v>
      </c>
      <c r="AG582" t="str">
        <f t="shared" si="175"/>
        <v>FL</v>
      </c>
      <c r="AH582" t="str">
        <f>"134164.00"</f>
        <v>134164.00</v>
      </c>
      <c r="AI582" t="str">
        <f>"24640.00"</f>
        <v>24640.00</v>
      </c>
      <c r="AJ582" t="str">
        <f>"C55-000-587-6313-7"</f>
        <v>C55-000-587-6313-7</v>
      </c>
      <c r="AK582" t="str">
        <f>"8622"</f>
        <v>8622</v>
      </c>
      <c r="AL582">
        <v>3</v>
      </c>
      <c r="AM582">
        <v>670</v>
      </c>
      <c r="AN582">
        <v>667.41</v>
      </c>
      <c r="AQ582" t="s">
        <v>6242</v>
      </c>
      <c r="AR582" t="s">
        <v>6242</v>
      </c>
      <c r="AS582" t="s">
        <v>6242</v>
      </c>
      <c r="AU582" t="s">
        <v>396</v>
      </c>
      <c r="AV582">
        <v>2017</v>
      </c>
      <c r="AW582" t="str">
        <f>"30-4N-24-2740-0003-0000 "</f>
        <v xml:space="preserve">30-4N-24-2740-0003-0000 </v>
      </c>
      <c r="AX582">
        <v>553519</v>
      </c>
      <c r="AZ582" t="s">
        <v>2386</v>
      </c>
      <c r="BD582" t="s">
        <v>398</v>
      </c>
      <c r="BE582" t="s">
        <v>393</v>
      </c>
      <c r="BF582">
        <v>32046</v>
      </c>
      <c r="BG582" t="s">
        <v>6243</v>
      </c>
      <c r="BH582" t="s">
        <v>400</v>
      </c>
      <c r="BI582">
        <v>-81.949011332446403</v>
      </c>
      <c r="BJ582">
        <v>30.734310475161902</v>
      </c>
      <c r="BK582" t="s">
        <v>6244</v>
      </c>
      <c r="BM582" t="s">
        <v>6245</v>
      </c>
      <c r="BN582" t="s">
        <v>6246</v>
      </c>
      <c r="BO582">
        <v>34491</v>
      </c>
      <c r="BP582" t="s">
        <v>404</v>
      </c>
      <c r="BQ582">
        <v>200</v>
      </c>
      <c r="BR582" t="s">
        <v>405</v>
      </c>
      <c r="BS582">
        <v>1006</v>
      </c>
      <c r="BT582" t="s">
        <v>406</v>
      </c>
      <c r="BW582">
        <v>134164</v>
      </c>
      <c r="BX582" t="s">
        <v>407</v>
      </c>
      <c r="BY582" t="s">
        <v>408</v>
      </c>
      <c r="BZ582">
        <v>4</v>
      </c>
      <c r="CA582">
        <v>1974</v>
      </c>
      <c r="CB582">
        <v>1</v>
      </c>
      <c r="CC582">
        <v>1</v>
      </c>
      <c r="CD582">
        <v>2017</v>
      </c>
      <c r="CE582">
        <v>24640</v>
      </c>
      <c r="CF582">
        <v>14169</v>
      </c>
      <c r="CG582">
        <v>38809</v>
      </c>
      <c r="CH582">
        <v>2017</v>
      </c>
      <c r="CI582">
        <v>24640</v>
      </c>
      <c r="CJ582">
        <v>14169</v>
      </c>
      <c r="CK582">
        <v>38809</v>
      </c>
      <c r="CL582">
        <v>2017</v>
      </c>
      <c r="CM582">
        <v>587.52</v>
      </c>
      <c r="CN582" s="1">
        <v>36175</v>
      </c>
      <c r="CZ582" s="1">
        <v>36175</v>
      </c>
      <c r="DD582" t="s">
        <v>398</v>
      </c>
      <c r="DG582">
        <v>30</v>
      </c>
      <c r="DL582">
        <v>50400</v>
      </c>
      <c r="DM582" t="s">
        <v>6191</v>
      </c>
      <c r="DO582" t="s">
        <v>6247</v>
      </c>
      <c r="DP582">
        <v>0</v>
      </c>
      <c r="DQ582">
        <v>0</v>
      </c>
      <c r="DR582" t="s">
        <v>411</v>
      </c>
    </row>
    <row r="583" spans="1:284" x14ac:dyDescent="0.25">
      <c r="A583">
        <v>16485590</v>
      </c>
      <c r="B583">
        <v>582</v>
      </c>
      <c r="C583" t="s">
        <v>393</v>
      </c>
      <c r="D583" t="s">
        <v>394</v>
      </c>
      <c r="F583" t="str">
        <f>"30-4N-24-2740-0020-0010"</f>
        <v>30-4N-24-2740-0020-0010</v>
      </c>
      <c r="H583" t="str">
        <f>"HADDOCK BRANDI DALE &amp; KITTRELL J B"</f>
        <v>HADDOCK BRANDI DALE &amp; KITTRELL J B</v>
      </c>
      <c r="I583" t="str">
        <f>"27359 GEIGER ROAD"</f>
        <v>27359 GEIGER ROAD</v>
      </c>
      <c r="J583" t="str">
        <f>"HILLIARD FL 32046"</f>
        <v>HILLIARD FL 32046</v>
      </c>
      <c r="K583" t="str">
        <f>"553408 US HY 1"</f>
        <v>553408 US HY 1</v>
      </c>
      <c r="L583" t="str">
        <f t="shared" si="168"/>
        <v>HILLIARD FL 32046</v>
      </c>
      <c r="M583" t="str">
        <f>"PT OF LOT 20 &amp; ALL LOTS 21 THRU 23 IN OR 2108/707 ST MARYS HEIGHT SUB PB 3/36 &amp; PT IN DB 63/292 E OF US 1 &amp; PT WILLIAM HOGAN GRANT IN SEC 38-4N-24E (EX OR 62/308 &amp; EX 4-2 &amp; 4-3)"</f>
        <v>PT OF LOT 20 &amp; ALL LOTS 21 THRU 23 IN OR 2108/707 ST MARYS HEIGHT SUB PB 3/36 &amp; PT IN DB 63/292 E OF US 1 &amp; PT WILLIAM HOGAN GRANT IN SEC 38-4N-24E (EX OR 62/308 &amp; EX 4-2 &amp; 4-3)</v>
      </c>
      <c r="N583" t="str">
        <f>""</f>
        <v/>
      </c>
      <c r="O583" t="str">
        <f>"39628"</f>
        <v>39628</v>
      </c>
      <c r="P583" t="str">
        <f t="shared" si="176"/>
        <v>2017</v>
      </c>
      <c r="Q583" t="str">
        <f>""</f>
        <v/>
      </c>
      <c r="R583" t="str">
        <f t="shared" si="174"/>
        <v>N</v>
      </c>
      <c r="S583" t="str">
        <f>"14.22"</f>
        <v>14.22</v>
      </c>
      <c r="T583" t="str">
        <f>"1184.00"</f>
        <v>1184.00</v>
      </c>
      <c r="U583" t="str">
        <f>"78210.00"</f>
        <v>78210.00</v>
      </c>
      <c r="V583" t="str">
        <f>"78210.00"</f>
        <v>78210.00</v>
      </c>
      <c r="W583" t="str">
        <f t="shared" si="177"/>
        <v>2017</v>
      </c>
      <c r="X583" t="str">
        <f>"10.57"</f>
        <v>10.57</v>
      </c>
      <c r="Y583" t="str">
        <f>"1251.52"</f>
        <v>1251.52</v>
      </c>
      <c r="Z583" t="str">
        <f>""</f>
        <v/>
      </c>
      <c r="AA583" t="str">
        <f>"78210.00"</f>
        <v>78210.00</v>
      </c>
      <c r="AB583" t="str">
        <f>"Residential"</f>
        <v>Residential</v>
      </c>
      <c r="AC583" t="str">
        <f t="shared" si="161"/>
        <v>0</v>
      </c>
      <c r="AD583" t="str">
        <f>""</f>
        <v/>
      </c>
      <c r="AE583" t="str">
        <f>""</f>
        <v/>
      </c>
      <c r="AF583" t="str">
        <f>"000"</f>
        <v>000</v>
      </c>
      <c r="AG583" t="str">
        <f t="shared" si="175"/>
        <v>FL</v>
      </c>
      <c r="AH583" t="str">
        <f>"619423.00"</f>
        <v>619423.00</v>
      </c>
      <c r="AI583" t="str">
        <f>"78210.00"</f>
        <v>78210.00</v>
      </c>
      <c r="AJ583" t="str">
        <f>"C55-000-587-6329-3"</f>
        <v>C55-000-587-6329-3</v>
      </c>
      <c r="AK583" t="str">
        <f>"8638"</f>
        <v>8638</v>
      </c>
      <c r="AL583">
        <v>3</v>
      </c>
      <c r="AM583">
        <v>671</v>
      </c>
      <c r="AN583">
        <v>1312.5</v>
      </c>
      <c r="AQ583" t="s">
        <v>6248</v>
      </c>
      <c r="AR583" t="s">
        <v>6248</v>
      </c>
      <c r="AS583" t="s">
        <v>6248</v>
      </c>
      <c r="AU583" t="s">
        <v>396</v>
      </c>
      <c r="AV583">
        <v>2017</v>
      </c>
      <c r="AW583" t="str">
        <f>"30-4N-24-2740-0020-0010 "</f>
        <v xml:space="preserve">30-4N-24-2740-0020-0010 </v>
      </c>
      <c r="AX583">
        <v>553408</v>
      </c>
      <c r="AZ583" t="s">
        <v>3684</v>
      </c>
      <c r="BC583">
        <v>1</v>
      </c>
      <c r="BD583" t="s">
        <v>398</v>
      </c>
      <c r="BE583" t="s">
        <v>393</v>
      </c>
      <c r="BF583">
        <v>32046</v>
      </c>
      <c r="BG583" t="s">
        <v>6249</v>
      </c>
      <c r="BH583" t="s">
        <v>400</v>
      </c>
      <c r="BI583">
        <v>-81.945959402139806</v>
      </c>
      <c r="BJ583">
        <v>30.7327408579341</v>
      </c>
      <c r="BK583" t="s">
        <v>6250</v>
      </c>
      <c r="BL583" t="s">
        <v>6251</v>
      </c>
      <c r="BM583" t="s">
        <v>6252</v>
      </c>
      <c r="BN583" t="s">
        <v>403</v>
      </c>
      <c r="BO583">
        <v>32046</v>
      </c>
      <c r="BP583" t="s">
        <v>404</v>
      </c>
      <c r="BQ583">
        <v>0</v>
      </c>
      <c r="BR583" t="s">
        <v>491</v>
      </c>
      <c r="BS583">
        <v>8001</v>
      </c>
      <c r="BT583" t="s">
        <v>492</v>
      </c>
      <c r="BW583">
        <v>248727</v>
      </c>
      <c r="BX583" t="s">
        <v>407</v>
      </c>
      <c r="CD583">
        <v>2017</v>
      </c>
      <c r="CE583">
        <v>78210</v>
      </c>
      <c r="CG583">
        <v>78210</v>
      </c>
      <c r="CH583">
        <v>2017</v>
      </c>
      <c r="CI583">
        <v>78210</v>
      </c>
      <c r="CK583">
        <v>78210</v>
      </c>
      <c r="CL583">
        <v>2017</v>
      </c>
      <c r="CM583">
        <v>1184</v>
      </c>
      <c r="CN583" s="1">
        <v>37907</v>
      </c>
      <c r="CO583">
        <v>100100</v>
      </c>
      <c r="CV583">
        <v>0</v>
      </c>
      <c r="CZ583" s="1">
        <v>37907</v>
      </c>
      <c r="DA583">
        <v>0</v>
      </c>
      <c r="DD583" t="s">
        <v>398</v>
      </c>
      <c r="DF583">
        <v>20</v>
      </c>
      <c r="DG583">
        <v>30</v>
      </c>
      <c r="DL583">
        <v>50400</v>
      </c>
      <c r="DM583" t="s">
        <v>6191</v>
      </c>
      <c r="DO583" t="s">
        <v>6253</v>
      </c>
      <c r="DP583">
        <v>0</v>
      </c>
      <c r="DQ583">
        <v>0</v>
      </c>
      <c r="DR583" t="s">
        <v>411</v>
      </c>
      <c r="DS583" t="b">
        <v>1</v>
      </c>
      <c r="DT583" t="s">
        <v>470</v>
      </c>
      <c r="DU583" t="s">
        <v>471</v>
      </c>
      <c r="DV583" t="s">
        <v>472</v>
      </c>
      <c r="DX583">
        <v>-9999</v>
      </c>
      <c r="DZ583" t="s">
        <v>447</v>
      </c>
      <c r="EA583" t="s">
        <v>448</v>
      </c>
      <c r="EB583" t="s">
        <v>1224</v>
      </c>
      <c r="EC583">
        <v>20101217</v>
      </c>
      <c r="ED583" t="s">
        <v>474</v>
      </c>
      <c r="EF583">
        <v>339.4</v>
      </c>
      <c r="EG583">
        <v>339.4</v>
      </c>
      <c r="EI583">
        <v>20160407</v>
      </c>
      <c r="EJ583">
        <v>0</v>
      </c>
      <c r="EK583">
        <v>0</v>
      </c>
      <c r="EP583" t="s">
        <v>421</v>
      </c>
      <c r="EQ583" t="s">
        <v>422</v>
      </c>
      <c r="ER583">
        <v>0</v>
      </c>
      <c r="ES583">
        <v>7</v>
      </c>
      <c r="ET583">
        <v>0</v>
      </c>
      <c r="EU583">
        <v>0</v>
      </c>
      <c r="EV583">
        <v>0</v>
      </c>
      <c r="EW583" s="2">
        <v>43222</v>
      </c>
      <c r="EX583" s="1">
        <v>42515</v>
      </c>
      <c r="EY583">
        <v>2015</v>
      </c>
      <c r="EZ583">
        <v>798.8</v>
      </c>
      <c r="FA583" t="s">
        <v>6254</v>
      </c>
      <c r="FB583">
        <v>6.25</v>
      </c>
      <c r="FC583" t="s">
        <v>424</v>
      </c>
      <c r="FD583" t="s">
        <v>425</v>
      </c>
      <c r="FE583" s="1">
        <v>42754</v>
      </c>
      <c r="FF583">
        <v>8</v>
      </c>
      <c r="FG583">
        <v>2035919</v>
      </c>
      <c r="FH583" t="s">
        <v>507</v>
      </c>
      <c r="FJ583" s="1">
        <v>42151</v>
      </c>
      <c r="FK583">
        <v>2014</v>
      </c>
      <c r="FL583">
        <v>753.93</v>
      </c>
      <c r="FM583" t="s">
        <v>6255</v>
      </c>
      <c r="FN583">
        <v>0.25</v>
      </c>
      <c r="FO583" t="s">
        <v>424</v>
      </c>
      <c r="FP583" t="s">
        <v>425</v>
      </c>
      <c r="FQ583" s="1">
        <v>42754</v>
      </c>
      <c r="FR583">
        <v>20</v>
      </c>
      <c r="FS583">
        <v>2101382</v>
      </c>
      <c r="FT583" t="s">
        <v>993</v>
      </c>
      <c r="FV583" s="1">
        <v>42151</v>
      </c>
      <c r="FW583">
        <v>2014</v>
      </c>
      <c r="FX583">
        <v>753.93</v>
      </c>
      <c r="FY583" t="s">
        <v>6255</v>
      </c>
      <c r="FZ583">
        <v>0.25</v>
      </c>
      <c r="GA583" t="s">
        <v>424</v>
      </c>
      <c r="GB583" t="s">
        <v>425</v>
      </c>
      <c r="GD583">
        <v>22</v>
      </c>
      <c r="GE583">
        <v>5440933</v>
      </c>
      <c r="GF583" t="s">
        <v>6256</v>
      </c>
      <c r="GH583" s="1">
        <v>41787</v>
      </c>
      <c r="GI583">
        <v>2013</v>
      </c>
      <c r="GJ583">
        <v>689.33</v>
      </c>
      <c r="GK583" t="s">
        <v>6257</v>
      </c>
      <c r="GL583">
        <v>4.75</v>
      </c>
      <c r="GM583" t="s">
        <v>424</v>
      </c>
      <c r="GN583" t="s">
        <v>425</v>
      </c>
      <c r="GO583" s="1">
        <v>42108</v>
      </c>
      <c r="GP583">
        <v>11</v>
      </c>
      <c r="GQ583">
        <v>116</v>
      </c>
      <c r="GR583" t="s">
        <v>509</v>
      </c>
      <c r="GT583" s="1">
        <v>41423</v>
      </c>
      <c r="GU583">
        <v>2012</v>
      </c>
      <c r="GV583">
        <v>613.54</v>
      </c>
      <c r="GW583" t="s">
        <v>6258</v>
      </c>
      <c r="GX583">
        <v>4.75</v>
      </c>
      <c r="GY583" t="s">
        <v>424</v>
      </c>
      <c r="GZ583" t="s">
        <v>425</v>
      </c>
      <c r="HA583" s="1">
        <v>41610</v>
      </c>
      <c r="HB583">
        <v>7</v>
      </c>
      <c r="HC583">
        <v>15407</v>
      </c>
      <c r="HD583" t="s">
        <v>1134</v>
      </c>
      <c r="HF583" s="1">
        <v>41052</v>
      </c>
      <c r="HG583">
        <v>2011</v>
      </c>
      <c r="HH583">
        <v>720.59</v>
      </c>
      <c r="HI583" t="s">
        <v>6259</v>
      </c>
      <c r="HJ583">
        <v>5.75</v>
      </c>
      <c r="HK583" t="s">
        <v>424</v>
      </c>
      <c r="HL583" t="s">
        <v>425</v>
      </c>
      <c r="HM583" s="1">
        <v>41610</v>
      </c>
      <c r="HN583">
        <v>19</v>
      </c>
      <c r="HO583">
        <v>116</v>
      </c>
      <c r="HP583" t="s">
        <v>509</v>
      </c>
      <c r="HR583" s="1">
        <v>40688</v>
      </c>
      <c r="HS583">
        <v>2010</v>
      </c>
      <c r="HT583">
        <v>802.41</v>
      </c>
      <c r="HU583" t="s">
        <v>6260</v>
      </c>
      <c r="HV583">
        <v>5.75</v>
      </c>
      <c r="HW583" t="s">
        <v>424</v>
      </c>
      <c r="HX583" t="s">
        <v>425</v>
      </c>
      <c r="HY583" s="1">
        <v>40906</v>
      </c>
      <c r="HZ583">
        <v>7</v>
      </c>
      <c r="IA583">
        <v>10591</v>
      </c>
      <c r="IB583" t="s">
        <v>4254</v>
      </c>
    </row>
    <row r="584" spans="1:284" x14ac:dyDescent="0.25">
      <c r="A584">
        <v>16485591</v>
      </c>
      <c r="B584">
        <v>583</v>
      </c>
      <c r="C584" t="s">
        <v>393</v>
      </c>
      <c r="D584" t="s">
        <v>394</v>
      </c>
      <c r="F584" t="str">
        <f>"31-4N-24-0000-0002-0000"</f>
        <v>31-4N-24-0000-0002-0000</v>
      </c>
      <c r="H584" t="str">
        <f>"HADDOCK RODNEY D"</f>
        <v>HADDOCK RODNEY D</v>
      </c>
      <c r="I584" t="str">
        <f>"27359 GEIGER RD"</f>
        <v>27359 GEIGER RD</v>
      </c>
      <c r="J584" t="str">
        <f>"HILLIARD FL 32046"</f>
        <v>HILLIARD FL 32046</v>
      </c>
      <c r="K584" t="str">
        <f>"553079 US HWY 1"</f>
        <v>553079 US HWY 1</v>
      </c>
      <c r="L584" t="str">
        <f t="shared" si="168"/>
        <v>HILLIARD FL 32046</v>
      </c>
      <c r="M584" t="str">
        <f>"PT OF NE1/4 IN OR 1597/904 EX 2-1"</f>
        <v>PT OF NE1/4 IN OR 1597/904 EX 2-1</v>
      </c>
      <c r="N584" t="str">
        <f>""</f>
        <v/>
      </c>
      <c r="O584" t="str">
        <f>"40067"</f>
        <v>40067</v>
      </c>
      <c r="P584" t="str">
        <f t="shared" si="176"/>
        <v>2017</v>
      </c>
      <c r="Q584" t="str">
        <f>""</f>
        <v/>
      </c>
      <c r="R584" t="str">
        <f t="shared" si="174"/>
        <v>N</v>
      </c>
      <c r="S584" t="str">
        <f>"1.94"</f>
        <v>1.94</v>
      </c>
      <c r="T584" t="str">
        <f>"2147.58"</f>
        <v>2147.58</v>
      </c>
      <c r="U584" t="str">
        <f>"141859.00"</f>
        <v>141859.00</v>
      </c>
      <c r="V584" t="str">
        <f>"141859.00"</f>
        <v>141859.00</v>
      </c>
      <c r="W584" t="str">
        <f t="shared" si="177"/>
        <v>2017</v>
      </c>
      <c r="X584" t="str">
        <f>"9.00"</f>
        <v>9.00</v>
      </c>
      <c r="Y584" t="str">
        <f>"2244.01"</f>
        <v>2244.01</v>
      </c>
      <c r="Z584" t="str">
        <f>""</f>
        <v/>
      </c>
      <c r="AA584" t="str">
        <f>"141859.00"</f>
        <v>141859.00</v>
      </c>
      <c r="AB584" t="str">
        <f>"Commercial"</f>
        <v>Commercial</v>
      </c>
      <c r="AC584" t="str">
        <f t="shared" si="161"/>
        <v>0</v>
      </c>
      <c r="AD584" t="str">
        <f>"5"</f>
        <v>5</v>
      </c>
      <c r="AE584" t="str">
        <f>"STEEL FRAME/INCOMBUSTIBLE WALLS/ROOF"</f>
        <v>STEEL FRAME/INCOMBUSTIBLE WALLS/ROOF</v>
      </c>
      <c r="AF584" t="str">
        <f>"027"</f>
        <v>027</v>
      </c>
      <c r="AG584" t="str">
        <f t="shared" si="175"/>
        <v>FL</v>
      </c>
      <c r="AH584" t="str">
        <f>"84506.00"</f>
        <v>84506.00</v>
      </c>
      <c r="AI584" t="str">
        <f>"29100.00"</f>
        <v>29100.00</v>
      </c>
      <c r="AJ584" t="str">
        <f>"C55-000-588-9635-8"</f>
        <v>C55-000-588-9635-8</v>
      </c>
      <c r="AK584" t="str">
        <f>"8640"</f>
        <v>8640</v>
      </c>
      <c r="AL584">
        <v>3</v>
      </c>
      <c r="AM584">
        <v>672</v>
      </c>
      <c r="AN584">
        <v>2354.61</v>
      </c>
      <c r="AQ584" t="s">
        <v>6261</v>
      </c>
      <c r="AR584" t="s">
        <v>6261</v>
      </c>
      <c r="AS584" t="s">
        <v>6261</v>
      </c>
      <c r="AU584" t="s">
        <v>396</v>
      </c>
      <c r="AV584">
        <v>2017</v>
      </c>
      <c r="AW584" t="str">
        <f>"31-4N-24-0000-0002-0000 "</f>
        <v xml:space="preserve">31-4N-24-0000-0002-0000 </v>
      </c>
      <c r="AX584">
        <v>553079</v>
      </c>
      <c r="AZ584" t="s">
        <v>2386</v>
      </c>
      <c r="BD584" t="s">
        <v>398</v>
      </c>
      <c r="BE584" t="s">
        <v>393</v>
      </c>
      <c r="BF584">
        <v>32046</v>
      </c>
      <c r="BG584" t="s">
        <v>6262</v>
      </c>
      <c r="BH584" t="s">
        <v>400</v>
      </c>
      <c r="BI584">
        <v>-81.941626867459902</v>
      </c>
      <c r="BJ584">
        <v>30.7237074375909</v>
      </c>
      <c r="BK584" t="s">
        <v>4578</v>
      </c>
      <c r="BM584" t="s">
        <v>2414</v>
      </c>
      <c r="BN584" t="s">
        <v>403</v>
      </c>
      <c r="BO584">
        <v>32046</v>
      </c>
      <c r="BP584" t="s">
        <v>404</v>
      </c>
      <c r="BQ584">
        <v>2700</v>
      </c>
      <c r="BR584" t="s">
        <v>4567</v>
      </c>
      <c r="BS584">
        <v>2023</v>
      </c>
      <c r="BT584" t="s">
        <v>4568</v>
      </c>
      <c r="BW584">
        <v>84506</v>
      </c>
      <c r="BX584" t="s">
        <v>407</v>
      </c>
      <c r="BY584" t="s">
        <v>4413</v>
      </c>
      <c r="BZ584">
        <v>5</v>
      </c>
      <c r="CA584">
        <v>2006</v>
      </c>
      <c r="CB584">
        <v>1</v>
      </c>
      <c r="CD584">
        <v>2017</v>
      </c>
      <c r="CE584">
        <v>29100</v>
      </c>
      <c r="CF584">
        <v>112759</v>
      </c>
      <c r="CG584">
        <v>141859</v>
      </c>
      <c r="CH584">
        <v>2017</v>
      </c>
      <c r="CI584">
        <v>29100</v>
      </c>
      <c r="CJ584">
        <v>112759</v>
      </c>
      <c r="CK584">
        <v>141859</v>
      </c>
      <c r="CL584">
        <v>2017</v>
      </c>
      <c r="CM584">
        <v>2147.58</v>
      </c>
      <c r="CN584" s="1">
        <v>39797</v>
      </c>
      <c r="CO584">
        <v>225000</v>
      </c>
      <c r="CV584">
        <v>246712</v>
      </c>
      <c r="CX584" t="s">
        <v>693</v>
      </c>
      <c r="CZ584" s="1">
        <v>39797</v>
      </c>
      <c r="DA584">
        <v>0</v>
      </c>
      <c r="DD584" t="s">
        <v>398</v>
      </c>
      <c r="DG584">
        <v>31</v>
      </c>
      <c r="DL584">
        <v>50400</v>
      </c>
      <c r="DM584" t="s">
        <v>6263</v>
      </c>
      <c r="DO584" t="s">
        <v>6264</v>
      </c>
      <c r="DP584">
        <v>0</v>
      </c>
      <c r="DQ584">
        <v>0</v>
      </c>
      <c r="DR584" t="s">
        <v>411</v>
      </c>
      <c r="DS584" t="b">
        <v>1</v>
      </c>
      <c r="DT584" t="s">
        <v>470</v>
      </c>
      <c r="DU584" t="s">
        <v>471</v>
      </c>
      <c r="DV584" t="s">
        <v>472</v>
      </c>
      <c r="DX584">
        <v>-9999</v>
      </c>
      <c r="DZ584" t="s">
        <v>447</v>
      </c>
      <c r="EA584" t="s">
        <v>448</v>
      </c>
      <c r="EB584" t="s">
        <v>1224</v>
      </c>
      <c r="EC584">
        <v>20101217</v>
      </c>
      <c r="ED584" t="s">
        <v>474</v>
      </c>
      <c r="EF584">
        <v>1426.4</v>
      </c>
      <c r="EG584">
        <v>1426.4</v>
      </c>
      <c r="EH584" t="s">
        <v>451</v>
      </c>
      <c r="EI584">
        <v>20140731</v>
      </c>
      <c r="EJ584">
        <v>0</v>
      </c>
      <c r="EK584">
        <v>0</v>
      </c>
      <c r="EP584" t="s">
        <v>421</v>
      </c>
      <c r="EQ584" t="s">
        <v>422</v>
      </c>
      <c r="ER584">
        <v>2</v>
      </c>
      <c r="ES584">
        <v>5</v>
      </c>
      <c r="ET584">
        <v>4815.82</v>
      </c>
      <c r="EU584">
        <v>253.29</v>
      </c>
      <c r="EV584">
        <v>5069.1099999999997</v>
      </c>
      <c r="EW584" s="2">
        <v>43222</v>
      </c>
      <c r="EX584" s="1">
        <v>42879</v>
      </c>
      <c r="EY584">
        <v>2016</v>
      </c>
      <c r="EZ584">
        <v>2407.91</v>
      </c>
      <c r="FA584" t="s">
        <v>6265</v>
      </c>
      <c r="FB584">
        <v>0.25</v>
      </c>
      <c r="FC584" t="s">
        <v>424</v>
      </c>
      <c r="FD584" t="s">
        <v>454</v>
      </c>
      <c r="FF584">
        <v>12</v>
      </c>
      <c r="FG584">
        <v>7400234</v>
      </c>
      <c r="FH584" t="s">
        <v>426</v>
      </c>
      <c r="FJ584" s="1">
        <v>42879</v>
      </c>
      <c r="FK584">
        <v>2016</v>
      </c>
      <c r="FL584">
        <v>2407.91</v>
      </c>
      <c r="FM584" t="s">
        <v>6265</v>
      </c>
      <c r="FN584">
        <v>0.25</v>
      </c>
      <c r="FO584" t="s">
        <v>424</v>
      </c>
      <c r="FP584" t="s">
        <v>454</v>
      </c>
      <c r="FR584">
        <v>12</v>
      </c>
      <c r="FS584">
        <v>7410751</v>
      </c>
      <c r="FT584" t="s">
        <v>6266</v>
      </c>
      <c r="FV584" s="1">
        <v>42151</v>
      </c>
      <c r="FW584">
        <v>2014</v>
      </c>
      <c r="FX584">
        <v>2956.94</v>
      </c>
      <c r="FY584" t="s">
        <v>6267</v>
      </c>
      <c r="FZ584">
        <v>0.25</v>
      </c>
      <c r="GA584" t="s">
        <v>424</v>
      </c>
      <c r="GB584" t="s">
        <v>425</v>
      </c>
      <c r="GC584" s="1">
        <v>42605</v>
      </c>
      <c r="GD584">
        <v>15</v>
      </c>
      <c r="GE584">
        <v>2851116</v>
      </c>
      <c r="GF584" t="s">
        <v>480</v>
      </c>
      <c r="GH584" s="1">
        <v>42151</v>
      </c>
      <c r="GI584">
        <v>2014</v>
      </c>
      <c r="GJ584">
        <v>2956.94</v>
      </c>
      <c r="GK584" t="s">
        <v>6267</v>
      </c>
      <c r="GL584">
        <v>0.25</v>
      </c>
      <c r="GM584" t="s">
        <v>424</v>
      </c>
      <c r="GN584" t="s">
        <v>425</v>
      </c>
      <c r="GP584">
        <v>22</v>
      </c>
      <c r="GQ584">
        <v>4983055</v>
      </c>
      <c r="GR584" t="s">
        <v>6268</v>
      </c>
      <c r="GT584" s="1">
        <v>41052</v>
      </c>
      <c r="GU584">
        <v>2011</v>
      </c>
      <c r="GV584">
        <v>2916.64</v>
      </c>
      <c r="GW584" t="s">
        <v>6269</v>
      </c>
      <c r="GX584">
        <v>3.5</v>
      </c>
      <c r="GY584" t="s">
        <v>424</v>
      </c>
      <c r="GZ584" t="s">
        <v>425</v>
      </c>
      <c r="HA584" s="1">
        <v>41383</v>
      </c>
      <c r="HB584">
        <v>11</v>
      </c>
      <c r="HC584">
        <v>13104</v>
      </c>
      <c r="HD584" t="s">
        <v>888</v>
      </c>
      <c r="HF584" s="1">
        <v>41052</v>
      </c>
      <c r="HG584">
        <v>2011</v>
      </c>
      <c r="HH584">
        <v>2916.64</v>
      </c>
      <c r="HI584" t="s">
        <v>6269</v>
      </c>
      <c r="HJ584">
        <v>3.5</v>
      </c>
      <c r="HK584" t="s">
        <v>424</v>
      </c>
      <c r="HL584" t="s">
        <v>425</v>
      </c>
      <c r="HN584">
        <v>22</v>
      </c>
      <c r="HO584">
        <v>13699</v>
      </c>
      <c r="HP584" t="s">
        <v>6270</v>
      </c>
      <c r="HR584" s="1">
        <v>40688</v>
      </c>
      <c r="HS584">
        <v>2010</v>
      </c>
      <c r="HT584">
        <v>2887.56</v>
      </c>
      <c r="HU584" t="s">
        <v>6271</v>
      </c>
      <c r="HV584">
        <v>0.25</v>
      </c>
      <c r="HW584" t="s">
        <v>424</v>
      </c>
      <c r="HX584" t="s">
        <v>425</v>
      </c>
      <c r="HY584" s="1">
        <v>40704</v>
      </c>
      <c r="HZ584">
        <v>1</v>
      </c>
      <c r="IA584">
        <v>10591</v>
      </c>
      <c r="IB584" t="s">
        <v>4254</v>
      </c>
    </row>
    <row r="585" spans="1:284" x14ac:dyDescent="0.25">
      <c r="A585">
        <v>16485592</v>
      </c>
      <c r="B585">
        <v>584</v>
      </c>
      <c r="C585" t="s">
        <v>393</v>
      </c>
      <c r="D585" t="s">
        <v>394</v>
      </c>
      <c r="F585" t="str">
        <f>"31-4N-24-2020-0062-0020"</f>
        <v>31-4N-24-2020-0062-0020</v>
      </c>
      <c r="H585" t="str">
        <f>"DEMAGGIO PETE"</f>
        <v>DEMAGGIO PETE</v>
      </c>
      <c r="I585" t="str">
        <f>"3760 HIGGINBOTHAM ROAD"</f>
        <v>3760 HIGGINBOTHAM ROAD</v>
      </c>
      <c r="J585" t="str">
        <f>"HILLIARD FL 32046"</f>
        <v>HILLIARD FL 32046</v>
      </c>
      <c r="K585" t="str">
        <f>"US HWY 1"</f>
        <v>US HWY 1</v>
      </c>
      <c r="L585" t="str">
        <f t="shared" si="168"/>
        <v>HILLIARD FL 32046</v>
      </c>
      <c r="M585" t="str">
        <f>"LOT 62 W OF US 1 (S-2) IN OR 1396/764 EX RR/RW &amp; 62-3 ESMT PT OR 1861/825 CORNWALL SURVEY PB 0/31"</f>
        <v>LOT 62 W OF US 1 (S-2) IN OR 1396/764 EX RR/RW &amp; 62-3 ESMT PT OR 1861/825 CORNWALL SURVEY PB 0/31</v>
      </c>
      <c r="N585" t="str">
        <f>""</f>
        <v/>
      </c>
      <c r="O585" t="str">
        <f>"40086"</f>
        <v>40086</v>
      </c>
      <c r="P585" t="str">
        <f t="shared" si="176"/>
        <v>2017</v>
      </c>
      <c r="Q585" t="str">
        <f>""</f>
        <v/>
      </c>
      <c r="R585" t="str">
        <f t="shared" si="174"/>
        <v>N</v>
      </c>
      <c r="S585" t="str">
        <f>"0.24"</f>
        <v>0.24</v>
      </c>
      <c r="T585" t="str">
        <f>"50.80"</f>
        <v>50.80</v>
      </c>
      <c r="U585" t="str">
        <f>"3168.00"</f>
        <v>3168.00</v>
      </c>
      <c r="V585" t="str">
        <f>"3168.00"</f>
        <v>3168.00</v>
      </c>
      <c r="W585" t="str">
        <f t="shared" si="177"/>
        <v>2017</v>
      </c>
      <c r="X585" t="str">
        <f>""</f>
        <v/>
      </c>
      <c r="Y585" t="str">
        <f>"84.32"</f>
        <v>84.32</v>
      </c>
      <c r="Z585" t="str">
        <f>""</f>
        <v/>
      </c>
      <c r="AA585" t="str">
        <f>"3600.00"</f>
        <v>3600.00</v>
      </c>
      <c r="AB585" t="str">
        <f t="shared" ref="AB585:AB591" si="178">"Residential"</f>
        <v>Residential</v>
      </c>
      <c r="AC585" t="str">
        <f t="shared" si="161"/>
        <v>0</v>
      </c>
      <c r="AD585" t="str">
        <f>""</f>
        <v/>
      </c>
      <c r="AE585" t="str">
        <f>""</f>
        <v/>
      </c>
      <c r="AF585" t="str">
        <f>"000"</f>
        <v>000</v>
      </c>
      <c r="AG585" t="str">
        <f t="shared" si="175"/>
        <v>FL</v>
      </c>
      <c r="AH585" t="str">
        <f>"10454.00"</f>
        <v>10454.00</v>
      </c>
      <c r="AI585" t="str">
        <f>"3600.00"</f>
        <v>3600.00</v>
      </c>
      <c r="AJ585" t="str">
        <f>"C55-000-587-6705-4"</f>
        <v>C55-000-587-6705-4</v>
      </c>
      <c r="AK585" t="str">
        <f>"8656"</f>
        <v>8656</v>
      </c>
      <c r="AL585">
        <v>3</v>
      </c>
      <c r="AM585">
        <v>673</v>
      </c>
      <c r="AN585">
        <v>86.94</v>
      </c>
      <c r="AQ585" t="s">
        <v>6272</v>
      </c>
      <c r="AR585" t="s">
        <v>6272</v>
      </c>
      <c r="AS585" t="s">
        <v>6272</v>
      </c>
      <c r="AU585" t="s">
        <v>396</v>
      </c>
      <c r="AV585">
        <v>2017</v>
      </c>
      <c r="AW585" t="str">
        <f>"31-4N-24-2020-0062-0020 "</f>
        <v xml:space="preserve">31-4N-24-2020-0062-0020 </v>
      </c>
      <c r="AZ585" t="s">
        <v>2386</v>
      </c>
      <c r="BD585" t="s">
        <v>398</v>
      </c>
      <c r="BE585" t="s">
        <v>393</v>
      </c>
      <c r="BF585">
        <v>32046</v>
      </c>
      <c r="BG585" t="s">
        <v>2386</v>
      </c>
      <c r="BH585" t="s">
        <v>400</v>
      </c>
      <c r="BI585">
        <v>-81.945045713392204</v>
      </c>
      <c r="BJ585">
        <v>30.7249824979096</v>
      </c>
      <c r="BK585" t="s">
        <v>6273</v>
      </c>
      <c r="BM585" t="s">
        <v>6274</v>
      </c>
      <c r="BN585" t="s">
        <v>403</v>
      </c>
      <c r="BO585">
        <v>32046</v>
      </c>
      <c r="BP585" t="s">
        <v>404</v>
      </c>
      <c r="BQ585">
        <v>0</v>
      </c>
      <c r="BR585" t="s">
        <v>491</v>
      </c>
      <c r="BS585">
        <v>8001</v>
      </c>
      <c r="BT585" t="s">
        <v>492</v>
      </c>
      <c r="BW585">
        <v>10454</v>
      </c>
      <c r="BX585" t="s">
        <v>407</v>
      </c>
      <c r="BY585" t="s">
        <v>408</v>
      </c>
      <c r="CD585">
        <v>2017</v>
      </c>
      <c r="CE585">
        <v>3600</v>
      </c>
      <c r="CG585">
        <v>3600</v>
      </c>
      <c r="CH585">
        <v>2017</v>
      </c>
      <c r="CI585">
        <v>3600</v>
      </c>
      <c r="CK585">
        <v>3600</v>
      </c>
      <c r="CL585">
        <v>2017</v>
      </c>
      <c r="CM585">
        <v>50.8</v>
      </c>
      <c r="CN585" s="1">
        <v>38946</v>
      </c>
      <c r="CO585">
        <v>112500</v>
      </c>
      <c r="CV585">
        <v>0</v>
      </c>
      <c r="CZ585" s="1">
        <v>38946</v>
      </c>
      <c r="DA585">
        <v>0</v>
      </c>
      <c r="DD585" t="s">
        <v>398</v>
      </c>
      <c r="DF585">
        <v>62</v>
      </c>
      <c r="DG585">
        <v>31</v>
      </c>
      <c r="DL585">
        <v>50400</v>
      </c>
      <c r="DM585" t="s">
        <v>6263</v>
      </c>
      <c r="DO585" t="s">
        <v>6275</v>
      </c>
      <c r="DP585">
        <v>0</v>
      </c>
      <c r="DQ585">
        <v>0</v>
      </c>
      <c r="DR585" t="s">
        <v>411</v>
      </c>
      <c r="DS585" t="b">
        <v>1</v>
      </c>
      <c r="DT585" t="s">
        <v>470</v>
      </c>
      <c r="DU585" t="s">
        <v>471</v>
      </c>
      <c r="DV585" t="s">
        <v>472</v>
      </c>
      <c r="DX585">
        <v>-9999</v>
      </c>
      <c r="DZ585" t="s">
        <v>447</v>
      </c>
      <c r="EA585" t="s">
        <v>448</v>
      </c>
      <c r="EB585" t="s">
        <v>1224</v>
      </c>
      <c r="EC585">
        <v>20101217</v>
      </c>
      <c r="ED585" t="s">
        <v>474</v>
      </c>
      <c r="EF585">
        <v>473.9</v>
      </c>
      <c r="EG585">
        <v>473.9</v>
      </c>
      <c r="EI585">
        <v>20160407</v>
      </c>
      <c r="EJ585">
        <v>0</v>
      </c>
      <c r="EK585">
        <v>0</v>
      </c>
      <c r="EP585" t="s">
        <v>595</v>
      </c>
      <c r="EQ585" t="s">
        <v>422</v>
      </c>
      <c r="ER585">
        <v>10</v>
      </c>
      <c r="ES585">
        <v>0</v>
      </c>
      <c r="ET585">
        <v>717.36</v>
      </c>
      <c r="EU585">
        <v>599.9</v>
      </c>
      <c r="EV585">
        <v>1317.26</v>
      </c>
      <c r="EW585" s="2">
        <v>43222</v>
      </c>
      <c r="EX585" s="1">
        <v>42879</v>
      </c>
      <c r="EY585">
        <v>2016</v>
      </c>
      <c r="EZ585">
        <v>74.819999999999993</v>
      </c>
      <c r="FA585" t="s">
        <v>6276</v>
      </c>
      <c r="FB585">
        <v>18</v>
      </c>
      <c r="FC585" t="s">
        <v>603</v>
      </c>
      <c r="FD585" t="s">
        <v>454</v>
      </c>
      <c r="FF585">
        <v>12</v>
      </c>
      <c r="FG585">
        <v>9999999</v>
      </c>
      <c r="FH585" t="s">
        <v>604</v>
      </c>
      <c r="FJ585" s="1">
        <v>42879</v>
      </c>
      <c r="FK585">
        <v>2016</v>
      </c>
      <c r="FL585">
        <v>84.44</v>
      </c>
      <c r="FM585" t="s">
        <v>6276</v>
      </c>
      <c r="FN585">
        <v>18</v>
      </c>
      <c r="FO585" t="s">
        <v>424</v>
      </c>
      <c r="FP585" t="s">
        <v>454</v>
      </c>
      <c r="FR585">
        <v>12</v>
      </c>
      <c r="FS585">
        <v>7685298</v>
      </c>
      <c r="FT585" t="s">
        <v>6277</v>
      </c>
      <c r="FV585" s="1">
        <v>42515</v>
      </c>
      <c r="FW585">
        <v>2015</v>
      </c>
      <c r="FX585">
        <v>68.760000000000005</v>
      </c>
      <c r="FY585" t="s">
        <v>6278</v>
      </c>
      <c r="FZ585">
        <v>18</v>
      </c>
      <c r="GA585" t="s">
        <v>603</v>
      </c>
      <c r="GB585" t="s">
        <v>454</v>
      </c>
      <c r="GD585">
        <v>24</v>
      </c>
      <c r="GE585">
        <v>9999999</v>
      </c>
      <c r="GF585" t="s">
        <v>604</v>
      </c>
      <c r="GH585" s="1">
        <v>42151</v>
      </c>
      <c r="GI585">
        <v>2014</v>
      </c>
      <c r="GJ585">
        <v>63.02</v>
      </c>
      <c r="GK585" t="s">
        <v>6279</v>
      </c>
      <c r="GL585">
        <v>18</v>
      </c>
      <c r="GM585" t="s">
        <v>424</v>
      </c>
      <c r="GN585" t="s">
        <v>454</v>
      </c>
      <c r="GP585">
        <v>36</v>
      </c>
      <c r="GQ585">
        <v>10125</v>
      </c>
      <c r="GR585" t="s">
        <v>440</v>
      </c>
      <c r="GT585" s="1">
        <v>41787</v>
      </c>
      <c r="GU585">
        <v>2013</v>
      </c>
      <c r="GV585">
        <v>60.84</v>
      </c>
      <c r="GW585" t="s">
        <v>6280</v>
      </c>
      <c r="GX585">
        <v>18</v>
      </c>
      <c r="GY585" t="s">
        <v>603</v>
      </c>
      <c r="GZ585" t="s">
        <v>454</v>
      </c>
      <c r="HB585">
        <v>48</v>
      </c>
      <c r="HC585">
        <v>9999999</v>
      </c>
      <c r="HD585" t="s">
        <v>604</v>
      </c>
      <c r="HF585" s="1">
        <v>41423</v>
      </c>
      <c r="HG585">
        <v>2012</v>
      </c>
      <c r="HH585">
        <v>67.2</v>
      </c>
      <c r="HI585" t="s">
        <v>6281</v>
      </c>
      <c r="HJ585">
        <v>16.75</v>
      </c>
      <c r="HK585" t="s">
        <v>424</v>
      </c>
      <c r="HL585" t="s">
        <v>454</v>
      </c>
      <c r="HN585">
        <v>60</v>
      </c>
      <c r="HO585">
        <v>10125</v>
      </c>
      <c r="HP585" t="s">
        <v>440</v>
      </c>
      <c r="HR585" s="1">
        <v>41052</v>
      </c>
      <c r="HS585">
        <v>2011</v>
      </c>
      <c r="HT585">
        <v>76.290000000000006</v>
      </c>
      <c r="HU585" t="s">
        <v>6282</v>
      </c>
      <c r="HV585">
        <v>18</v>
      </c>
      <c r="HW585" t="s">
        <v>424</v>
      </c>
      <c r="HX585" t="s">
        <v>454</v>
      </c>
      <c r="HZ585">
        <v>72</v>
      </c>
      <c r="IA585">
        <v>14813</v>
      </c>
      <c r="IB585" t="s">
        <v>6283</v>
      </c>
      <c r="ID585" s="1">
        <v>41052</v>
      </c>
      <c r="IE585">
        <v>2011</v>
      </c>
      <c r="IF585">
        <v>68</v>
      </c>
      <c r="IG585" t="s">
        <v>6282</v>
      </c>
      <c r="IH585">
        <v>18</v>
      </c>
      <c r="II585" t="s">
        <v>603</v>
      </c>
      <c r="IJ585" t="s">
        <v>454</v>
      </c>
      <c r="IL585">
        <v>72</v>
      </c>
      <c r="IM585">
        <v>9999999</v>
      </c>
      <c r="IN585" t="s">
        <v>604</v>
      </c>
      <c r="IP585" s="1">
        <v>40688</v>
      </c>
      <c r="IQ585">
        <v>2010</v>
      </c>
      <c r="IR585">
        <v>80.67</v>
      </c>
      <c r="IS585" t="s">
        <v>6284</v>
      </c>
      <c r="IT585">
        <v>18</v>
      </c>
      <c r="IU585" t="s">
        <v>424</v>
      </c>
      <c r="IV585" t="s">
        <v>454</v>
      </c>
      <c r="IX585">
        <v>84</v>
      </c>
      <c r="IY585">
        <v>11521</v>
      </c>
      <c r="IZ585" t="s">
        <v>4985</v>
      </c>
      <c r="JB585" s="1">
        <v>40688</v>
      </c>
      <c r="JC585">
        <v>2010</v>
      </c>
      <c r="JD585">
        <v>73.319999999999993</v>
      </c>
      <c r="JE585" t="s">
        <v>6284</v>
      </c>
      <c r="JF585">
        <v>18</v>
      </c>
      <c r="JG585" t="s">
        <v>603</v>
      </c>
      <c r="JH585" t="s">
        <v>454</v>
      </c>
      <c r="JJ585">
        <v>84</v>
      </c>
      <c r="JK585">
        <v>9999999</v>
      </c>
      <c r="JL585" t="s">
        <v>604</v>
      </c>
    </row>
    <row r="586" spans="1:284" x14ac:dyDescent="0.25">
      <c r="A586">
        <v>16485593</v>
      </c>
      <c r="B586">
        <v>585</v>
      </c>
      <c r="C586" t="s">
        <v>393</v>
      </c>
      <c r="D586" t="s">
        <v>394</v>
      </c>
      <c r="F586" t="str">
        <f>"32-4N-24-0000-0003-0020"</f>
        <v>32-4N-24-0000-0003-0020</v>
      </c>
      <c r="H586" t="str">
        <f>"ALDERMAN KENNETH W"</f>
        <v>ALDERMAN KENNETH W</v>
      </c>
      <c r="I586" t="str">
        <f>"27184 MURRHEE ROAD"</f>
        <v>27184 MURRHEE ROAD</v>
      </c>
      <c r="J586" t="str">
        <f>"HILLIARD FL 32046"</f>
        <v>HILLIARD FL 32046</v>
      </c>
      <c r="K586" t="str">
        <f>"MURRHEE RD"</f>
        <v>MURRHEE RD</v>
      </c>
      <c r="L586" t="str">
        <f t="shared" si="168"/>
        <v>HILLIARD FL 32046</v>
      </c>
      <c r="M586" t="str">
        <f>"PT OF SW1/4 IN OR 1630/1903"</f>
        <v>PT OF SW1/4 IN OR 1630/1903</v>
      </c>
      <c r="N586" t="str">
        <f>""</f>
        <v/>
      </c>
      <c r="O586" t="str">
        <f>"40632"</f>
        <v>40632</v>
      </c>
      <c r="P586" t="str">
        <f t="shared" si="176"/>
        <v>2017</v>
      </c>
      <c r="Q586" t="str">
        <f>""</f>
        <v/>
      </c>
      <c r="R586" t="str">
        <f t="shared" si="174"/>
        <v>N</v>
      </c>
      <c r="S586" t="str">
        <f>"1.01"</f>
        <v>1.01</v>
      </c>
      <c r="T586" t="str">
        <f>"213.83"</f>
        <v>213.83</v>
      </c>
      <c r="U586" t="str">
        <f>"13332.00"</f>
        <v>13332.00</v>
      </c>
      <c r="V586" t="str">
        <f>"13332.00"</f>
        <v>13332.00</v>
      </c>
      <c r="W586" t="str">
        <f t="shared" si="177"/>
        <v>2017</v>
      </c>
      <c r="X586" t="str">
        <f>""</f>
        <v/>
      </c>
      <c r="Y586" t="str">
        <f>"252.24"</f>
        <v>252.24</v>
      </c>
      <c r="Z586" t="str">
        <f>""</f>
        <v/>
      </c>
      <c r="AA586" t="str">
        <f>"15150.00"</f>
        <v>15150.00</v>
      </c>
      <c r="AB586" t="str">
        <f t="shared" si="178"/>
        <v>Residential</v>
      </c>
      <c r="AC586" t="str">
        <f t="shared" si="161"/>
        <v>0</v>
      </c>
      <c r="AD586" t="str">
        <f>""</f>
        <v/>
      </c>
      <c r="AE586" t="str">
        <f>""</f>
        <v/>
      </c>
      <c r="AF586" t="str">
        <f>"000"</f>
        <v>000</v>
      </c>
      <c r="AG586" t="str">
        <f t="shared" si="175"/>
        <v>FL</v>
      </c>
      <c r="AH586" t="str">
        <f>"43995.00"</f>
        <v>43995.00</v>
      </c>
      <c r="AI586" t="str">
        <f>"15150.00"</f>
        <v>15150.00</v>
      </c>
      <c r="AJ586" t="str">
        <f>"C55-001-035-8250-8"</f>
        <v>C55-001-035-8250-8</v>
      </c>
      <c r="AK586" t="str">
        <f>"8666"</f>
        <v>8666</v>
      </c>
      <c r="AL586">
        <v>3</v>
      </c>
      <c r="AM586">
        <v>674</v>
      </c>
      <c r="AN586">
        <v>263.25</v>
      </c>
      <c r="AQ586" t="s">
        <v>6285</v>
      </c>
      <c r="AR586" t="s">
        <v>6285</v>
      </c>
      <c r="AS586" t="s">
        <v>6285</v>
      </c>
      <c r="AU586" t="s">
        <v>396</v>
      </c>
      <c r="AV586">
        <v>2017</v>
      </c>
      <c r="AW586" t="str">
        <f>"32-4N-24-0000-0003-0020 "</f>
        <v xml:space="preserve">32-4N-24-0000-0003-0020 </v>
      </c>
      <c r="AZ586" t="s">
        <v>6043</v>
      </c>
      <c r="BA586" t="s">
        <v>496</v>
      </c>
      <c r="BD586" t="s">
        <v>398</v>
      </c>
      <c r="BE586" t="s">
        <v>393</v>
      </c>
      <c r="BF586">
        <v>32046</v>
      </c>
      <c r="BG586" t="s">
        <v>6044</v>
      </c>
      <c r="BH586" t="s">
        <v>400</v>
      </c>
      <c r="BI586">
        <v>-81.935434567221506</v>
      </c>
      <c r="BJ586">
        <v>30.720315210844799</v>
      </c>
      <c r="BK586" t="s">
        <v>6286</v>
      </c>
      <c r="BM586" t="s">
        <v>6287</v>
      </c>
      <c r="BN586" t="s">
        <v>403</v>
      </c>
      <c r="BO586">
        <v>32046</v>
      </c>
      <c r="BP586" t="s">
        <v>404</v>
      </c>
      <c r="BQ586">
        <v>0</v>
      </c>
      <c r="BR586" t="s">
        <v>491</v>
      </c>
      <c r="BS586">
        <v>8001</v>
      </c>
      <c r="BT586" t="s">
        <v>492</v>
      </c>
      <c r="BW586">
        <v>43995</v>
      </c>
      <c r="BX586" t="s">
        <v>407</v>
      </c>
      <c r="BY586" t="s">
        <v>408</v>
      </c>
      <c r="CD586">
        <v>2017</v>
      </c>
      <c r="CE586">
        <v>15150</v>
      </c>
      <c r="CG586">
        <v>15150</v>
      </c>
      <c r="CH586">
        <v>2017</v>
      </c>
      <c r="CI586">
        <v>15150</v>
      </c>
      <c r="CK586">
        <v>15150</v>
      </c>
      <c r="CL586">
        <v>2017</v>
      </c>
      <c r="CM586">
        <v>213.83</v>
      </c>
      <c r="CN586" s="1">
        <v>40004</v>
      </c>
      <c r="CO586">
        <v>35000</v>
      </c>
      <c r="CZ586" s="1">
        <v>40004</v>
      </c>
      <c r="DD586" t="s">
        <v>398</v>
      </c>
      <c r="DG586">
        <v>32</v>
      </c>
      <c r="DL586">
        <v>50400</v>
      </c>
      <c r="DM586" t="s">
        <v>6288</v>
      </c>
      <c r="DO586" t="s">
        <v>6289</v>
      </c>
      <c r="DP586">
        <v>0</v>
      </c>
      <c r="DQ586">
        <v>0</v>
      </c>
      <c r="DR586" t="s">
        <v>411</v>
      </c>
    </row>
    <row r="587" spans="1:284" x14ac:dyDescent="0.25">
      <c r="A587">
        <v>16485594</v>
      </c>
      <c r="B587">
        <v>586</v>
      </c>
      <c r="C587" t="s">
        <v>393</v>
      </c>
      <c r="D587" t="s">
        <v>394</v>
      </c>
      <c r="F587" t="str">
        <f>"32-4N-24-0000-0005-0010"</f>
        <v>32-4N-24-0000-0005-0010</v>
      </c>
      <c r="H587" t="str">
        <f>"TANNER HENRY"</f>
        <v>TANNER HENRY</v>
      </c>
      <c r="I587" t="str">
        <f>"545760 US HWY 1"</f>
        <v>545760 US HWY 1</v>
      </c>
      <c r="J587" t="str">
        <f>"CALLAHAN FL 32011"</f>
        <v>CALLAHAN FL 32011</v>
      </c>
      <c r="K587" t="str">
        <f>"US HWY 1"</f>
        <v>US HWY 1</v>
      </c>
      <c r="L587" t="str">
        <f t="shared" si="168"/>
        <v>HILLIARD FL 32046</v>
      </c>
      <c r="M587" t="str">
        <f>"IN OR 1988/773 ESMT PT OR 1861/825"</f>
        <v>IN OR 1988/773 ESMT PT OR 1861/825</v>
      </c>
      <c r="N587" t="str">
        <f>""</f>
        <v/>
      </c>
      <c r="O587" t="str">
        <f>"40635"</f>
        <v>40635</v>
      </c>
      <c r="P587" t="str">
        <f t="shared" si="176"/>
        <v>2017</v>
      </c>
      <c r="Q587" t="str">
        <f>""</f>
        <v/>
      </c>
      <c r="R587" t="str">
        <f t="shared" si="174"/>
        <v>N</v>
      </c>
      <c r="S587" t="str">
        <f>"7.55"</f>
        <v>7.55</v>
      </c>
      <c r="T587" t="str">
        <f>"1714.47"</f>
        <v>1714.47</v>
      </c>
      <c r="U587" t="str">
        <f>"113250.00"</f>
        <v>113250.00</v>
      </c>
      <c r="V587" t="str">
        <f>"113250.00"</f>
        <v>113250.00</v>
      </c>
      <c r="W587" t="str">
        <f t="shared" si="177"/>
        <v>2017</v>
      </c>
      <c r="X587" t="str">
        <f>"15.33"</f>
        <v>15.33</v>
      </c>
      <c r="Y587" t="str">
        <f>"1797.90"</f>
        <v>1797.90</v>
      </c>
      <c r="Z587" t="str">
        <f>""</f>
        <v/>
      </c>
      <c r="AA587" t="str">
        <f>"113250.00"</f>
        <v>113250.00</v>
      </c>
      <c r="AB587" t="str">
        <f t="shared" si="178"/>
        <v>Residential</v>
      </c>
      <c r="AC587" t="str">
        <f t="shared" si="161"/>
        <v>0</v>
      </c>
      <c r="AD587" t="str">
        <f>""</f>
        <v/>
      </c>
      <c r="AE587" t="str">
        <f>""</f>
        <v/>
      </c>
      <c r="AF587" t="str">
        <f>"000"</f>
        <v>000</v>
      </c>
      <c r="AG587" t="str">
        <f t="shared" si="175"/>
        <v>FL</v>
      </c>
      <c r="AH587" t="str">
        <f>"328878.00"</f>
        <v>328878.00</v>
      </c>
      <c r="AI587" t="str">
        <f>"113250.00"</f>
        <v>113250.00</v>
      </c>
      <c r="AJ587" t="str">
        <f>"C55-000-587-7063-7"</f>
        <v>C55-000-587-7063-7</v>
      </c>
      <c r="AK587" t="str">
        <f>"8669"</f>
        <v>8669</v>
      </c>
      <c r="AL587">
        <v>3</v>
      </c>
      <c r="AM587">
        <v>675</v>
      </c>
      <c r="AN587">
        <v>1886.2</v>
      </c>
      <c r="AQ587" t="s">
        <v>6290</v>
      </c>
      <c r="AR587" t="s">
        <v>6290</v>
      </c>
      <c r="AS587" t="s">
        <v>6290</v>
      </c>
      <c r="AU587" t="s">
        <v>396</v>
      </c>
      <c r="AV587">
        <v>2017</v>
      </c>
      <c r="AW587" t="str">
        <f>"32-4N-24-0000-0005-0010 "</f>
        <v xml:space="preserve">32-4N-24-0000-0005-0010 </v>
      </c>
      <c r="AZ587" t="s">
        <v>2386</v>
      </c>
      <c r="BD587" t="s">
        <v>398</v>
      </c>
      <c r="BE587" t="s">
        <v>393</v>
      </c>
      <c r="BF587">
        <v>32046</v>
      </c>
      <c r="BG587" t="s">
        <v>2386</v>
      </c>
      <c r="BH587" t="s">
        <v>400</v>
      </c>
      <c r="BI587">
        <v>-81.939183216428106</v>
      </c>
      <c r="BJ587">
        <v>30.719785903920901</v>
      </c>
      <c r="BK587" t="s">
        <v>5811</v>
      </c>
      <c r="BM587" t="s">
        <v>5812</v>
      </c>
      <c r="BN587" t="s">
        <v>928</v>
      </c>
      <c r="BO587">
        <v>32011</v>
      </c>
      <c r="BP587" t="s">
        <v>404</v>
      </c>
      <c r="BQ587">
        <v>0</v>
      </c>
      <c r="BR587" t="s">
        <v>491</v>
      </c>
      <c r="BS587">
        <v>8001</v>
      </c>
      <c r="BT587" t="s">
        <v>492</v>
      </c>
      <c r="BW587">
        <v>328878</v>
      </c>
      <c r="BX587" t="s">
        <v>407</v>
      </c>
      <c r="BY587" t="s">
        <v>4413</v>
      </c>
      <c r="CD587">
        <v>2017</v>
      </c>
      <c r="CE587">
        <v>113250</v>
      </c>
      <c r="CG587">
        <v>113250</v>
      </c>
      <c r="CH587">
        <v>2017</v>
      </c>
      <c r="CI587">
        <v>113250</v>
      </c>
      <c r="CK587">
        <v>113250</v>
      </c>
      <c r="CL587">
        <v>2017</v>
      </c>
      <c r="CM587">
        <v>1714.47</v>
      </c>
      <c r="CN587" s="1">
        <v>42185</v>
      </c>
      <c r="CZ587" s="1">
        <v>42185</v>
      </c>
      <c r="DD587" t="s">
        <v>398</v>
      </c>
      <c r="DG587">
        <v>32</v>
      </c>
      <c r="DL587">
        <v>50400</v>
      </c>
      <c r="DM587" t="s">
        <v>6288</v>
      </c>
      <c r="DO587" t="s">
        <v>6291</v>
      </c>
      <c r="DP587">
        <v>0</v>
      </c>
      <c r="DQ587">
        <v>0</v>
      </c>
      <c r="DR587" t="s">
        <v>411</v>
      </c>
      <c r="EP587" t="s">
        <v>421</v>
      </c>
      <c r="EQ587" t="s">
        <v>422</v>
      </c>
      <c r="ER587">
        <v>2</v>
      </c>
      <c r="ES587">
        <v>2</v>
      </c>
      <c r="ET587">
        <v>3814.32</v>
      </c>
      <c r="EU587">
        <v>203.22</v>
      </c>
      <c r="EV587">
        <v>4017.54</v>
      </c>
      <c r="EW587" s="2">
        <v>43222</v>
      </c>
      <c r="EX587" s="1">
        <v>42879</v>
      </c>
      <c r="EY587">
        <v>2016</v>
      </c>
      <c r="EZ587">
        <v>1907.16</v>
      </c>
      <c r="FA587" t="s">
        <v>6292</v>
      </c>
      <c r="FB587">
        <v>0.25</v>
      </c>
      <c r="FC587" t="s">
        <v>424</v>
      </c>
      <c r="FD587" t="s">
        <v>454</v>
      </c>
      <c r="FF587">
        <v>12</v>
      </c>
      <c r="FG587">
        <v>7400234</v>
      </c>
      <c r="FH587" t="s">
        <v>426</v>
      </c>
      <c r="FJ587" s="1">
        <v>42879</v>
      </c>
      <c r="FK587">
        <v>2016</v>
      </c>
      <c r="FL587">
        <v>1907.16</v>
      </c>
      <c r="FM587" t="s">
        <v>6292</v>
      </c>
      <c r="FN587">
        <v>0.25</v>
      </c>
      <c r="FO587" t="s">
        <v>424</v>
      </c>
      <c r="FP587" t="s">
        <v>454</v>
      </c>
      <c r="FR587">
        <v>12</v>
      </c>
      <c r="FS587">
        <v>7561215</v>
      </c>
      <c r="FT587" t="s">
        <v>6293</v>
      </c>
      <c r="FV587" s="1">
        <v>41052</v>
      </c>
      <c r="FW587">
        <v>2011</v>
      </c>
      <c r="FX587">
        <v>1744.13</v>
      </c>
      <c r="FY587" t="s">
        <v>6294</v>
      </c>
      <c r="FZ587">
        <v>5.75</v>
      </c>
      <c r="GA587" t="s">
        <v>424</v>
      </c>
      <c r="GB587" t="s">
        <v>425</v>
      </c>
      <c r="GC587" s="1">
        <v>41248</v>
      </c>
      <c r="GD587">
        <v>7</v>
      </c>
      <c r="GE587">
        <v>10579</v>
      </c>
      <c r="GF587" t="s">
        <v>488</v>
      </c>
      <c r="GH587" s="1">
        <v>40688</v>
      </c>
      <c r="GI587">
        <v>2010</v>
      </c>
      <c r="GJ587">
        <v>2056.98</v>
      </c>
      <c r="GK587" t="s">
        <v>6295</v>
      </c>
      <c r="GL587">
        <v>5.75</v>
      </c>
      <c r="GM587" t="s">
        <v>424</v>
      </c>
      <c r="GN587" t="s">
        <v>425</v>
      </c>
      <c r="GO587" s="1">
        <v>41248</v>
      </c>
      <c r="GP587">
        <v>19</v>
      </c>
      <c r="GQ587">
        <v>10591</v>
      </c>
      <c r="GR587" t="s">
        <v>4254</v>
      </c>
    </row>
    <row r="588" spans="1:284" x14ac:dyDescent="0.25">
      <c r="A588">
        <v>16485595</v>
      </c>
      <c r="B588">
        <v>587</v>
      </c>
      <c r="C588" t="s">
        <v>393</v>
      </c>
      <c r="D588" t="s">
        <v>394</v>
      </c>
      <c r="F588" t="str">
        <f>"32-4N-24-0000-0017-0040"</f>
        <v>32-4N-24-0000-0017-0040</v>
      </c>
      <c r="H588" t="str">
        <f>"LOWERY LEE D &amp; DOROTHY O"</f>
        <v>LOWERY LEE D &amp; DOROTHY O</v>
      </c>
      <c r="I588" t="str">
        <f>"37116 POWER DRIVE"</f>
        <v>37116 POWER DRIVE</v>
      </c>
      <c r="J588" t="str">
        <f>"HILLIARD FL 32046"</f>
        <v>HILLIARD FL 32046</v>
      </c>
      <c r="K588" t="str">
        <f>"37116 POWER DR"</f>
        <v>37116 POWER DR</v>
      </c>
      <c r="L588" t="str">
        <f t="shared" si="168"/>
        <v>HILLIARD FL 32046</v>
      </c>
      <c r="M588" t="str">
        <f>"PT OF GOVT LOT 3 IN OR 799 PG 1174 EX 17-5 ESMT PT OR 1572/1791"</f>
        <v>PT OF GOVT LOT 3 IN OR 799 PG 1174 EX 17-5 ESMT PT OR 1572/1791</v>
      </c>
      <c r="N588" t="str">
        <f>""</f>
        <v/>
      </c>
      <c r="O588" t="str">
        <f>"40651"</f>
        <v>40651</v>
      </c>
      <c r="P588" t="str">
        <f t="shared" si="176"/>
        <v>2017</v>
      </c>
      <c r="Q588" t="str">
        <f>""</f>
        <v/>
      </c>
      <c r="R588" t="str">
        <f t="shared" si="174"/>
        <v>N</v>
      </c>
      <c r="S588" t="str">
        <f>"2.00"</f>
        <v>2.00</v>
      </c>
      <c r="T588" t="str">
        <f>"608.16"</f>
        <v>608.16</v>
      </c>
      <c r="U588" t="str">
        <f>"40172.00"</f>
        <v>40172.00</v>
      </c>
      <c r="V588" t="str">
        <f>"40172.00"</f>
        <v>40172.00</v>
      </c>
      <c r="W588" t="str">
        <f t="shared" si="177"/>
        <v>2017</v>
      </c>
      <c r="X588" t="str">
        <f>"20.75"</f>
        <v>20.75</v>
      </c>
      <c r="Y588" t="str">
        <f>"658.40"</f>
        <v>658.40</v>
      </c>
      <c r="Z588" t="str">
        <f>""</f>
        <v/>
      </c>
      <c r="AA588" t="str">
        <f>"40172.00"</f>
        <v>40172.00</v>
      </c>
      <c r="AB588" t="str">
        <f t="shared" si="178"/>
        <v>Residential</v>
      </c>
      <c r="AC588" t="str">
        <f t="shared" si="161"/>
        <v>0</v>
      </c>
      <c r="AD588" t="str">
        <f>"4"</f>
        <v>4</v>
      </c>
      <c r="AE588" t="str">
        <f>"WOOD (INCLUDE STEEL STUDS)"</f>
        <v>WOOD (INCLUDE STEEL STUDS)</v>
      </c>
      <c r="AF588" t="str">
        <f>"002"</f>
        <v>002</v>
      </c>
      <c r="AG588" t="str">
        <f t="shared" si="175"/>
        <v>FL</v>
      </c>
      <c r="AH588" t="str">
        <f>"87120.00"</f>
        <v>87120.00</v>
      </c>
      <c r="AI588" t="str">
        <f>"24000.00"</f>
        <v>24000.00</v>
      </c>
      <c r="AJ588" t="str">
        <f>"C55-000-587-7078-5"</f>
        <v>C55-000-587-7078-5</v>
      </c>
      <c r="AK588" t="str">
        <f>"8685"</f>
        <v>8685</v>
      </c>
      <c r="AL588">
        <v>3</v>
      </c>
      <c r="AM588">
        <v>676</v>
      </c>
      <c r="AN588">
        <v>689.72</v>
      </c>
      <c r="AQ588" t="s">
        <v>6296</v>
      </c>
      <c r="AR588" t="s">
        <v>6296</v>
      </c>
      <c r="AS588" t="s">
        <v>6296</v>
      </c>
      <c r="AU588" t="s">
        <v>396</v>
      </c>
      <c r="AV588">
        <v>2017</v>
      </c>
      <c r="AW588" t="str">
        <f>"32-4N-24-0000-0017-0040 "</f>
        <v xml:space="preserve">32-4N-24-0000-0017-0040 </v>
      </c>
      <c r="AX588">
        <v>37116</v>
      </c>
      <c r="AZ588" t="s">
        <v>6297</v>
      </c>
      <c r="BA588" t="s">
        <v>669</v>
      </c>
      <c r="BD588" t="s">
        <v>398</v>
      </c>
      <c r="BE588" t="s">
        <v>393</v>
      </c>
      <c r="BF588">
        <v>32046</v>
      </c>
      <c r="BG588" t="s">
        <v>6298</v>
      </c>
      <c r="BH588" t="s">
        <v>400</v>
      </c>
      <c r="BI588">
        <v>-81.924249979973993</v>
      </c>
      <c r="BJ588">
        <v>30.714307199604999</v>
      </c>
      <c r="BK588" t="s">
        <v>6299</v>
      </c>
      <c r="BL588" t="s">
        <v>6300</v>
      </c>
      <c r="BM588" t="s">
        <v>6298</v>
      </c>
      <c r="BN588" t="s">
        <v>403</v>
      </c>
      <c r="BO588">
        <v>32046</v>
      </c>
      <c r="BP588" t="s">
        <v>416</v>
      </c>
      <c r="BQ588">
        <v>200</v>
      </c>
      <c r="BR588" t="s">
        <v>405</v>
      </c>
      <c r="BS588">
        <v>1006</v>
      </c>
      <c r="BT588" t="s">
        <v>406</v>
      </c>
      <c r="BW588">
        <v>87120</v>
      </c>
      <c r="BX588" t="s">
        <v>407</v>
      </c>
      <c r="BZ588">
        <v>4</v>
      </c>
      <c r="CA588">
        <v>1982</v>
      </c>
      <c r="CC588">
        <v>1</v>
      </c>
      <c r="CD588">
        <v>2017</v>
      </c>
      <c r="CE588">
        <v>24000</v>
      </c>
      <c r="CF588">
        <v>16172</v>
      </c>
      <c r="CG588">
        <v>40172</v>
      </c>
      <c r="CH588">
        <v>2017</v>
      </c>
      <c r="CI588">
        <v>24000</v>
      </c>
      <c r="CJ588">
        <v>16172</v>
      </c>
      <c r="CK588">
        <v>40172</v>
      </c>
      <c r="CL588">
        <v>2017</v>
      </c>
      <c r="CM588">
        <v>608.16</v>
      </c>
      <c r="CN588" s="1">
        <v>35625</v>
      </c>
      <c r="CZ588" s="1">
        <v>35625</v>
      </c>
      <c r="DD588" t="s">
        <v>398</v>
      </c>
      <c r="DF588">
        <v>3</v>
      </c>
      <c r="DG588">
        <v>32</v>
      </c>
      <c r="DL588">
        <v>50400</v>
      </c>
      <c r="DM588" t="s">
        <v>6288</v>
      </c>
      <c r="DO588" t="s">
        <v>6301</v>
      </c>
      <c r="DP588">
        <v>0</v>
      </c>
      <c r="DQ588">
        <v>1</v>
      </c>
      <c r="DR588" t="s">
        <v>1479</v>
      </c>
      <c r="DS588" t="b">
        <v>1</v>
      </c>
      <c r="DT588" t="s">
        <v>470</v>
      </c>
      <c r="DU588" t="s">
        <v>471</v>
      </c>
      <c r="DV588" t="s">
        <v>472</v>
      </c>
      <c r="DX588">
        <v>-9999</v>
      </c>
      <c r="DZ588" t="s">
        <v>447</v>
      </c>
      <c r="EA588" t="s">
        <v>448</v>
      </c>
      <c r="EB588" t="s">
        <v>1224</v>
      </c>
      <c r="EC588">
        <v>20101217</v>
      </c>
      <c r="ED588" t="s">
        <v>474</v>
      </c>
      <c r="EF588">
        <v>739.7</v>
      </c>
      <c r="EG588">
        <v>739.7</v>
      </c>
      <c r="EI588">
        <v>20160407</v>
      </c>
      <c r="EJ588">
        <v>0</v>
      </c>
      <c r="EK588">
        <v>0</v>
      </c>
      <c r="EP588" t="s">
        <v>421</v>
      </c>
      <c r="EQ588" t="s">
        <v>422</v>
      </c>
      <c r="ER588">
        <v>2</v>
      </c>
      <c r="ES588">
        <v>6</v>
      </c>
      <c r="ET588">
        <v>1348.08</v>
      </c>
      <c r="EU588">
        <v>79.900000000000006</v>
      </c>
      <c r="EV588">
        <v>1427.98</v>
      </c>
      <c r="EW588" s="2">
        <v>43222</v>
      </c>
      <c r="EX588" s="1">
        <v>42879</v>
      </c>
      <c r="EY588">
        <v>2016</v>
      </c>
      <c r="EZ588">
        <v>674.04</v>
      </c>
      <c r="FA588" t="s">
        <v>6302</v>
      </c>
      <c r="FB588">
        <v>0.25</v>
      </c>
      <c r="FC588" t="s">
        <v>424</v>
      </c>
      <c r="FD588" t="s">
        <v>454</v>
      </c>
      <c r="FF588">
        <v>12</v>
      </c>
      <c r="FG588">
        <v>2851116</v>
      </c>
      <c r="FH588" t="s">
        <v>480</v>
      </c>
      <c r="FJ588" s="1">
        <v>42879</v>
      </c>
      <c r="FK588">
        <v>2016</v>
      </c>
      <c r="FL588">
        <v>674.04</v>
      </c>
      <c r="FM588" t="s">
        <v>6302</v>
      </c>
      <c r="FN588">
        <v>0.25</v>
      </c>
      <c r="FO588" t="s">
        <v>424</v>
      </c>
      <c r="FP588" t="s">
        <v>454</v>
      </c>
      <c r="FR588">
        <v>12</v>
      </c>
      <c r="FS588">
        <v>5087696</v>
      </c>
      <c r="FT588" t="s">
        <v>6303</v>
      </c>
      <c r="FV588" s="1">
        <v>42515</v>
      </c>
      <c r="FW588">
        <v>2015</v>
      </c>
      <c r="FX588">
        <v>653.85</v>
      </c>
      <c r="FY588" t="s">
        <v>6304</v>
      </c>
      <c r="FZ588">
        <v>0.25</v>
      </c>
      <c r="GA588" t="s">
        <v>424</v>
      </c>
      <c r="GB588" t="s">
        <v>425</v>
      </c>
      <c r="GC588" s="1">
        <v>43140</v>
      </c>
      <c r="GD588">
        <v>21</v>
      </c>
      <c r="GE588">
        <v>2851116</v>
      </c>
      <c r="GF588" t="s">
        <v>480</v>
      </c>
      <c r="GH588" s="1">
        <v>42515</v>
      </c>
      <c r="GI588">
        <v>2015</v>
      </c>
      <c r="GJ588">
        <v>653.85</v>
      </c>
      <c r="GK588" t="s">
        <v>6304</v>
      </c>
      <c r="GL588">
        <v>0.25</v>
      </c>
      <c r="GM588" t="s">
        <v>424</v>
      </c>
      <c r="GN588" t="s">
        <v>425</v>
      </c>
      <c r="GP588">
        <v>22</v>
      </c>
      <c r="GQ588">
        <v>4906214</v>
      </c>
      <c r="GR588" t="s">
        <v>6305</v>
      </c>
      <c r="GT588" s="1">
        <v>42151</v>
      </c>
      <c r="GU588">
        <v>2014</v>
      </c>
      <c r="GV588">
        <v>558.21</v>
      </c>
      <c r="GW588" t="s">
        <v>6306</v>
      </c>
      <c r="GX588">
        <v>0.25</v>
      </c>
      <c r="GY588" t="s">
        <v>424</v>
      </c>
      <c r="GZ588" t="s">
        <v>425</v>
      </c>
      <c r="HA588" s="1">
        <v>42776</v>
      </c>
      <c r="HB588">
        <v>21</v>
      </c>
      <c r="HC588">
        <v>2851116</v>
      </c>
      <c r="HD588" t="s">
        <v>480</v>
      </c>
      <c r="HF588" s="1">
        <v>42151</v>
      </c>
      <c r="HG588">
        <v>2014</v>
      </c>
      <c r="HH588">
        <v>558.21</v>
      </c>
      <c r="HI588" t="s">
        <v>6306</v>
      </c>
      <c r="HJ588">
        <v>0.25</v>
      </c>
      <c r="HK588" t="s">
        <v>424</v>
      </c>
      <c r="HL588" t="s">
        <v>425</v>
      </c>
      <c r="HN588">
        <v>22</v>
      </c>
      <c r="HO588">
        <v>5040123</v>
      </c>
      <c r="HP588" t="s">
        <v>6307</v>
      </c>
      <c r="HR588" s="1">
        <v>41787</v>
      </c>
      <c r="HS588">
        <v>2013</v>
      </c>
      <c r="HT588">
        <v>503.01</v>
      </c>
      <c r="HU588" t="s">
        <v>6308</v>
      </c>
      <c r="HV588">
        <v>2.25</v>
      </c>
      <c r="HW588" t="s">
        <v>424</v>
      </c>
      <c r="HX588" t="s">
        <v>425</v>
      </c>
      <c r="HY588" s="1">
        <v>42394</v>
      </c>
      <c r="HZ588">
        <v>20</v>
      </c>
      <c r="IA588">
        <v>15399</v>
      </c>
      <c r="IB588" t="s">
        <v>485</v>
      </c>
      <c r="ID588" s="1">
        <v>41423</v>
      </c>
      <c r="IE588">
        <v>2012</v>
      </c>
      <c r="IF588">
        <v>547.02</v>
      </c>
      <c r="IG588" t="s">
        <v>6309</v>
      </c>
      <c r="IH588">
        <v>3.25</v>
      </c>
      <c r="II588" t="s">
        <v>424</v>
      </c>
      <c r="IJ588" t="s">
        <v>425</v>
      </c>
      <c r="IK588" s="1">
        <v>42046</v>
      </c>
      <c r="IL588">
        <v>21</v>
      </c>
      <c r="IM588">
        <v>15399</v>
      </c>
      <c r="IN588" t="s">
        <v>485</v>
      </c>
    </row>
    <row r="589" spans="1:284" x14ac:dyDescent="0.25">
      <c r="A589">
        <v>16485596</v>
      </c>
      <c r="B589">
        <v>588</v>
      </c>
      <c r="C589" t="s">
        <v>393</v>
      </c>
      <c r="D589" t="s">
        <v>394</v>
      </c>
      <c r="F589" t="str">
        <f>"32-4N-24-2020-0008-0020"</f>
        <v>32-4N-24-2020-0008-0020</v>
      </c>
      <c r="H589" t="str">
        <f>"MOWERY JOSEPH L"</f>
        <v>MOWERY JOSEPH L</v>
      </c>
      <c r="I589" t="str">
        <f>"2550 PLOVER RD"</f>
        <v>2550 PLOVER RD</v>
      </c>
      <c r="J589" t="str">
        <f>"WISCONSIN RAPIDS WI 54494"</f>
        <v>WISCONSIN RAPIDS WI 54494</v>
      </c>
      <c r="K589" t="str">
        <f>"552959 US HWY 1"</f>
        <v>552959 US HWY 1</v>
      </c>
      <c r="L589" t="str">
        <f t="shared" si="168"/>
        <v>HILLIARD FL 32046</v>
      </c>
      <c r="M589" t="str">
        <f>"N PT OF LOT 8 W OF HWY IN OR 1989/1683 CORNWALL SURVEY"</f>
        <v>N PT OF LOT 8 W OF HWY IN OR 1989/1683 CORNWALL SURVEY</v>
      </c>
      <c r="N589" t="str">
        <f>""</f>
        <v/>
      </c>
      <c r="O589" t="str">
        <f>"40682"</f>
        <v>40682</v>
      </c>
      <c r="P589" t="str">
        <f t="shared" si="176"/>
        <v>2017</v>
      </c>
      <c r="Q589" t="str">
        <f>""</f>
        <v/>
      </c>
      <c r="R589" t="str">
        <f t="shared" si="174"/>
        <v>N</v>
      </c>
      <c r="S589" t="str">
        <f>"2.00"</f>
        <v>2.00</v>
      </c>
      <c r="T589" t="str">
        <f>"791.47"</f>
        <v>791.47</v>
      </c>
      <c r="U589" t="str">
        <f>"52281.00"</f>
        <v>52281.00</v>
      </c>
      <c r="V589" t="str">
        <f>"52281.00"</f>
        <v>52281.00</v>
      </c>
      <c r="W589" t="str">
        <f t="shared" si="177"/>
        <v>2017</v>
      </c>
      <c r="X589" t="str">
        <f>"6.00"</f>
        <v>6.00</v>
      </c>
      <c r="Y589" t="str">
        <f>"847.21"</f>
        <v>847.21</v>
      </c>
      <c r="Z589" t="str">
        <f>""</f>
        <v/>
      </c>
      <c r="AA589" t="str">
        <f>"52281.00"</f>
        <v>52281.00</v>
      </c>
      <c r="AB589" t="str">
        <f t="shared" si="178"/>
        <v>Residential</v>
      </c>
      <c r="AC589" t="str">
        <f t="shared" si="161"/>
        <v>0</v>
      </c>
      <c r="AD589" t="str">
        <f>"3"</f>
        <v>3</v>
      </c>
      <c r="AE589" t="str">
        <f>"MASONRY"</f>
        <v>MASONRY</v>
      </c>
      <c r="AF589" t="str">
        <f>"001"</f>
        <v>001</v>
      </c>
      <c r="AG589" t="str">
        <f>"WI"</f>
        <v>WI</v>
      </c>
      <c r="AH589" t="str">
        <f>"87120.00"</f>
        <v>87120.00</v>
      </c>
      <c r="AI589" t="str">
        <f>"30000.00"</f>
        <v>30000.00</v>
      </c>
      <c r="AJ589" t="str">
        <f>"C55-000-587-7100-7"</f>
        <v>C55-000-587-7100-7</v>
      </c>
      <c r="AK589" t="str">
        <f>"8710"</f>
        <v>8710</v>
      </c>
      <c r="AL589">
        <v>3</v>
      </c>
      <c r="AM589">
        <v>677</v>
      </c>
      <c r="AN589">
        <v>887.97</v>
      </c>
      <c r="AQ589" t="s">
        <v>6310</v>
      </c>
      <c r="AR589" t="s">
        <v>6310</v>
      </c>
      <c r="AS589" t="s">
        <v>6310</v>
      </c>
      <c r="AU589" t="s">
        <v>396</v>
      </c>
      <c r="AV589">
        <v>2017</v>
      </c>
      <c r="AW589" t="str">
        <f>"32-4N-24-2020-0008-0020 "</f>
        <v xml:space="preserve">32-4N-24-2020-0008-0020 </v>
      </c>
      <c r="AX589">
        <v>552959</v>
      </c>
      <c r="AZ589" t="s">
        <v>2386</v>
      </c>
      <c r="BD589" t="s">
        <v>398</v>
      </c>
      <c r="BE589" t="s">
        <v>393</v>
      </c>
      <c r="BF589">
        <v>32046</v>
      </c>
      <c r="BG589" t="s">
        <v>6311</v>
      </c>
      <c r="BH589" t="s">
        <v>400</v>
      </c>
      <c r="BI589">
        <v>-81.939826688698105</v>
      </c>
      <c r="BJ589">
        <v>30.721116304274901</v>
      </c>
      <c r="BK589" t="s">
        <v>6312</v>
      </c>
      <c r="BM589" t="s">
        <v>6313</v>
      </c>
      <c r="BN589" t="s">
        <v>6314</v>
      </c>
      <c r="BO589">
        <v>54494</v>
      </c>
      <c r="BP589" t="s">
        <v>404</v>
      </c>
      <c r="BQ589">
        <v>100</v>
      </c>
      <c r="BR589" t="s">
        <v>514</v>
      </c>
      <c r="BS589">
        <v>1001</v>
      </c>
      <c r="BT589" t="s">
        <v>515</v>
      </c>
      <c r="BW589">
        <v>87120</v>
      </c>
      <c r="BX589" t="s">
        <v>407</v>
      </c>
      <c r="BY589" t="s">
        <v>4413</v>
      </c>
      <c r="BZ589">
        <v>3</v>
      </c>
      <c r="CA589">
        <v>1956</v>
      </c>
      <c r="CB589">
        <v>1</v>
      </c>
      <c r="CC589">
        <v>2</v>
      </c>
      <c r="CD589">
        <v>2017</v>
      </c>
      <c r="CE589">
        <v>30000</v>
      </c>
      <c r="CF589">
        <v>22281</v>
      </c>
      <c r="CG589">
        <v>52281</v>
      </c>
      <c r="CH589">
        <v>2017</v>
      </c>
      <c r="CI589">
        <v>30000</v>
      </c>
      <c r="CJ589">
        <v>22281</v>
      </c>
      <c r="CK589">
        <v>52281</v>
      </c>
      <c r="CL589">
        <v>2017</v>
      </c>
      <c r="CM589">
        <v>791.47</v>
      </c>
      <c r="CN589" s="1">
        <v>42193</v>
      </c>
      <c r="CO589">
        <v>40000</v>
      </c>
      <c r="CV589">
        <v>0</v>
      </c>
      <c r="CZ589" s="1">
        <v>42193</v>
      </c>
      <c r="DA589">
        <v>0</v>
      </c>
      <c r="DD589" t="s">
        <v>398</v>
      </c>
      <c r="DF589">
        <v>8</v>
      </c>
      <c r="DG589">
        <v>32</v>
      </c>
      <c r="DJ589" t="s">
        <v>1990</v>
      </c>
      <c r="DL589">
        <v>50400</v>
      </c>
      <c r="DM589" t="s">
        <v>6288</v>
      </c>
      <c r="DO589" t="s">
        <v>6315</v>
      </c>
      <c r="DP589">
        <v>0</v>
      </c>
      <c r="DQ589">
        <v>0</v>
      </c>
      <c r="DR589" t="s">
        <v>411</v>
      </c>
      <c r="DS589" t="b">
        <v>1</v>
      </c>
      <c r="DT589" t="s">
        <v>470</v>
      </c>
      <c r="DU589" t="s">
        <v>471</v>
      </c>
      <c r="DV589" t="s">
        <v>472</v>
      </c>
      <c r="DX589">
        <v>-9999</v>
      </c>
      <c r="DZ589" t="s">
        <v>447</v>
      </c>
      <c r="EA589" t="s">
        <v>448</v>
      </c>
      <c r="EB589" t="s">
        <v>1224</v>
      </c>
      <c r="EC589">
        <v>20101217</v>
      </c>
      <c r="ED589" t="s">
        <v>474</v>
      </c>
      <c r="EF589">
        <v>1403</v>
      </c>
      <c r="EG589">
        <v>1403</v>
      </c>
      <c r="EI589">
        <v>20160407</v>
      </c>
      <c r="EJ589">
        <v>0</v>
      </c>
      <c r="EK589">
        <v>0</v>
      </c>
      <c r="EP589" t="s">
        <v>421</v>
      </c>
      <c r="EQ589" t="s">
        <v>422</v>
      </c>
      <c r="ER589">
        <v>0</v>
      </c>
      <c r="ES589">
        <v>2</v>
      </c>
      <c r="ET589">
        <v>0</v>
      </c>
      <c r="EU589">
        <v>0</v>
      </c>
      <c r="EV589">
        <v>0</v>
      </c>
      <c r="EW589" s="2">
        <v>43222</v>
      </c>
      <c r="EX589" s="1">
        <v>42515</v>
      </c>
      <c r="EY589">
        <v>2015</v>
      </c>
      <c r="EZ589">
        <v>928.3</v>
      </c>
      <c r="FA589" t="s">
        <v>6316</v>
      </c>
      <c r="FB589">
        <v>0.25</v>
      </c>
      <c r="FC589" t="s">
        <v>424</v>
      </c>
      <c r="FD589" t="s">
        <v>425</v>
      </c>
      <c r="FE589" s="1">
        <v>42704</v>
      </c>
      <c r="FF589">
        <v>6</v>
      </c>
      <c r="FG589">
        <v>2851116</v>
      </c>
      <c r="FH589" t="s">
        <v>480</v>
      </c>
      <c r="FJ589" s="1">
        <v>42515</v>
      </c>
      <c r="FK589">
        <v>2015</v>
      </c>
      <c r="FL589">
        <v>928.3</v>
      </c>
      <c r="FM589" t="s">
        <v>6316</v>
      </c>
      <c r="FN589">
        <v>0.25</v>
      </c>
      <c r="FO589" t="s">
        <v>424</v>
      </c>
      <c r="FP589" t="s">
        <v>425</v>
      </c>
      <c r="FR589">
        <v>22</v>
      </c>
      <c r="FS589">
        <v>5505487</v>
      </c>
      <c r="FT589" t="s">
        <v>6317</v>
      </c>
    </row>
    <row r="590" spans="1:284" x14ac:dyDescent="0.25">
      <c r="A590">
        <v>16485597</v>
      </c>
      <c r="B590">
        <v>589</v>
      </c>
      <c r="C590" t="s">
        <v>393</v>
      </c>
      <c r="D590" t="s">
        <v>394</v>
      </c>
      <c r="F590" t="str">
        <f>"34-4N-24-2020-0005-0000"</f>
        <v>34-4N-24-2020-0005-0000</v>
      </c>
      <c r="H590" t="str">
        <f>"LSF9 MASTER PARTICIPATION TRST US BANK TRUST N A TRUSTEE"</f>
        <v>LSF9 MASTER PARTICIPATION TRST US BANK TRUST N A TRUSTEE</v>
      </c>
      <c r="I590" t="str">
        <f>"3701 REGENT BLVD"</f>
        <v>3701 REGENT BLVD</v>
      </c>
      <c r="J590" t="str">
        <f>"IRVING TX 75063"</f>
        <v>IRVING TX 75063</v>
      </c>
      <c r="K590" t="str">
        <f>"SR 115"</f>
        <v>SR 115</v>
      </c>
      <c r="L590" t="str">
        <f t="shared" si="168"/>
        <v>HILLIARD FL 32046</v>
      </c>
      <c r="M590" t="str">
        <f>"PT OF TRACT 5 LYING SE OF SR 115A IN OR 2026/897 CORNWALL SURVEY"</f>
        <v>PT OF TRACT 5 LYING SE OF SR 115A IN OR 2026/897 CORNWALL SURVEY</v>
      </c>
      <c r="N590" t="str">
        <f>""</f>
        <v/>
      </c>
      <c r="O590" t="str">
        <f>"41564"</f>
        <v>41564</v>
      </c>
      <c r="P590" t="str">
        <f t="shared" si="176"/>
        <v>2017</v>
      </c>
      <c r="Q590" t="str">
        <f>""</f>
        <v/>
      </c>
      <c r="R590" t="str">
        <f t="shared" si="174"/>
        <v>N</v>
      </c>
      <c r="S590" t="str">
        <f>"0.14"</f>
        <v>0.14</v>
      </c>
      <c r="T590" t="str">
        <f>"31.80"</f>
        <v>31.80</v>
      </c>
      <c r="U590" t="str">
        <f>"2100.00"</f>
        <v>2100.00</v>
      </c>
      <c r="V590" t="str">
        <f>"2100.00"</f>
        <v>2100.00</v>
      </c>
      <c r="W590" t="str">
        <f t="shared" si="177"/>
        <v>2017</v>
      </c>
      <c r="X590" t="str">
        <f>"10.29"</f>
        <v>10.29</v>
      </c>
      <c r="Y590" t="str">
        <f>"64.75"</f>
        <v>64.75</v>
      </c>
      <c r="Z590" t="str">
        <f>""</f>
        <v/>
      </c>
      <c r="AA590" t="str">
        <f>"2100.00"</f>
        <v>2100.00</v>
      </c>
      <c r="AB590" t="str">
        <f t="shared" si="178"/>
        <v>Residential</v>
      </c>
      <c r="AC590" t="str">
        <f t="shared" si="161"/>
        <v>0</v>
      </c>
      <c r="AD590" t="str">
        <f>""</f>
        <v/>
      </c>
      <c r="AE590" t="str">
        <f>""</f>
        <v/>
      </c>
      <c r="AF590" t="str">
        <f>"000"</f>
        <v>000</v>
      </c>
      <c r="AG590" t="str">
        <f>"TX"</f>
        <v>TX</v>
      </c>
      <c r="AH590" t="str">
        <f>"6098.00"</f>
        <v>6098.00</v>
      </c>
      <c r="AI590" t="str">
        <f>"2100.00"</f>
        <v>2100.00</v>
      </c>
      <c r="AJ590" t="str">
        <f>"C55-000-587-7725-1"</f>
        <v>C55-000-587-7725-1</v>
      </c>
      <c r="AK590" t="str">
        <f>"8732"</f>
        <v>8732</v>
      </c>
      <c r="AL590">
        <v>3</v>
      </c>
      <c r="AM590">
        <v>678</v>
      </c>
      <c r="AN590">
        <v>66.39</v>
      </c>
      <c r="AQ590" t="s">
        <v>6318</v>
      </c>
      <c r="AR590" t="s">
        <v>6318</v>
      </c>
      <c r="AS590" t="s">
        <v>6318</v>
      </c>
      <c r="AU590" t="s">
        <v>396</v>
      </c>
      <c r="AV590">
        <v>2017</v>
      </c>
      <c r="AW590" t="str">
        <f>"34-4N-24-2020-0005-0000 "</f>
        <v xml:space="preserve">34-4N-24-2020-0005-0000 </v>
      </c>
      <c r="AZ590" t="s">
        <v>6319</v>
      </c>
      <c r="BD590" t="s">
        <v>398</v>
      </c>
      <c r="BE590" t="s">
        <v>393</v>
      </c>
      <c r="BF590">
        <v>32046</v>
      </c>
      <c r="BG590" t="s">
        <v>6319</v>
      </c>
      <c r="BH590" t="s">
        <v>400</v>
      </c>
      <c r="BI590">
        <v>-81.902317098690801</v>
      </c>
      <c r="BJ590">
        <v>30.724345514912098</v>
      </c>
      <c r="BK590" t="s">
        <v>6320</v>
      </c>
      <c r="BM590" t="s">
        <v>6321</v>
      </c>
      <c r="BN590" t="s">
        <v>6322</v>
      </c>
      <c r="BO590">
        <v>75063</v>
      </c>
      <c r="BP590" t="s">
        <v>404</v>
      </c>
      <c r="BQ590">
        <v>0</v>
      </c>
      <c r="BR590" t="s">
        <v>491</v>
      </c>
      <c r="BS590">
        <v>8001</v>
      </c>
      <c r="BT590" t="s">
        <v>492</v>
      </c>
      <c r="BW590">
        <v>6098</v>
      </c>
      <c r="BX590" t="s">
        <v>407</v>
      </c>
      <c r="BY590" t="s">
        <v>408</v>
      </c>
      <c r="CD590">
        <v>2017</v>
      </c>
      <c r="CE590">
        <v>2100</v>
      </c>
      <c r="CG590">
        <v>2100</v>
      </c>
      <c r="CH590">
        <v>2017</v>
      </c>
      <c r="CI590">
        <v>2100</v>
      </c>
      <c r="CK590">
        <v>2100</v>
      </c>
      <c r="CL590">
        <v>2017</v>
      </c>
      <c r="CM590">
        <v>31.8</v>
      </c>
      <c r="CN590" s="1">
        <v>42402</v>
      </c>
      <c r="CZ590" s="1">
        <v>42402</v>
      </c>
      <c r="DD590" t="s">
        <v>398</v>
      </c>
      <c r="DG590">
        <v>34</v>
      </c>
      <c r="DM590" t="s">
        <v>6323</v>
      </c>
      <c r="DO590" t="s">
        <v>6324</v>
      </c>
      <c r="DP590">
        <v>0</v>
      </c>
      <c r="DQ590">
        <v>0</v>
      </c>
      <c r="DR590" t="s">
        <v>411</v>
      </c>
      <c r="DS590" t="b">
        <v>1</v>
      </c>
      <c r="DT590" t="s">
        <v>470</v>
      </c>
      <c r="DU590" t="s">
        <v>471</v>
      </c>
      <c r="DV590" t="s">
        <v>472</v>
      </c>
      <c r="DX590">
        <v>-9999</v>
      </c>
      <c r="DZ590" t="s">
        <v>447</v>
      </c>
      <c r="EA590" t="s">
        <v>448</v>
      </c>
      <c r="EB590" t="s">
        <v>1224</v>
      </c>
      <c r="EC590">
        <v>20101217</v>
      </c>
      <c r="ED590" t="s">
        <v>474</v>
      </c>
      <c r="EF590">
        <v>641.6</v>
      </c>
      <c r="EG590">
        <v>641.6</v>
      </c>
      <c r="EH590" t="s">
        <v>451</v>
      </c>
      <c r="EI590">
        <v>20140731</v>
      </c>
      <c r="EJ590">
        <v>0</v>
      </c>
      <c r="EK590">
        <v>0</v>
      </c>
      <c r="EP590" t="s">
        <v>595</v>
      </c>
      <c r="EQ590" t="s">
        <v>422</v>
      </c>
      <c r="ER590">
        <v>0</v>
      </c>
      <c r="ES590">
        <v>5</v>
      </c>
      <c r="ET590">
        <v>0</v>
      </c>
      <c r="EU590">
        <v>0</v>
      </c>
      <c r="EV590">
        <v>0</v>
      </c>
      <c r="EW590" s="2">
        <v>43222</v>
      </c>
      <c r="EX590" s="1">
        <v>42151</v>
      </c>
      <c r="EY590">
        <v>2014</v>
      </c>
      <c r="EZ590">
        <v>45.93</v>
      </c>
      <c r="FA590" t="s">
        <v>6325</v>
      </c>
      <c r="FB590">
        <v>18</v>
      </c>
      <c r="FC590" t="s">
        <v>603</v>
      </c>
      <c r="FD590" t="s">
        <v>425</v>
      </c>
      <c r="FF590">
        <v>22</v>
      </c>
      <c r="FG590">
        <v>9999999</v>
      </c>
      <c r="FH590" t="s">
        <v>604</v>
      </c>
      <c r="FJ590" s="1">
        <v>42151</v>
      </c>
      <c r="FK590">
        <v>2014</v>
      </c>
      <c r="FL590">
        <v>52.87</v>
      </c>
      <c r="FM590" t="s">
        <v>6325</v>
      </c>
      <c r="FN590">
        <v>18</v>
      </c>
      <c r="FO590" t="s">
        <v>424</v>
      </c>
      <c r="FP590" t="s">
        <v>425</v>
      </c>
      <c r="FQ590" s="1">
        <v>42436</v>
      </c>
      <c r="FR590">
        <v>10</v>
      </c>
      <c r="FS590">
        <v>7045040</v>
      </c>
      <c r="FT590" t="s">
        <v>6326</v>
      </c>
      <c r="FV590" s="1">
        <v>41423</v>
      </c>
      <c r="FW590">
        <v>2012</v>
      </c>
      <c r="FX590">
        <v>48.37</v>
      </c>
      <c r="FY590" t="s">
        <v>6327</v>
      </c>
      <c r="FZ590">
        <v>10</v>
      </c>
      <c r="GA590" t="s">
        <v>424</v>
      </c>
      <c r="GB590" t="s">
        <v>425</v>
      </c>
      <c r="GC590" s="1">
        <v>41445</v>
      </c>
      <c r="GD590">
        <v>1</v>
      </c>
      <c r="GE590">
        <v>375</v>
      </c>
      <c r="GF590" t="s">
        <v>776</v>
      </c>
      <c r="GH590" s="1">
        <v>41052</v>
      </c>
      <c r="GI590">
        <v>2011</v>
      </c>
      <c r="GJ590">
        <v>45.5</v>
      </c>
      <c r="GK590" t="s">
        <v>6328</v>
      </c>
      <c r="GL590">
        <v>18</v>
      </c>
      <c r="GM590" t="s">
        <v>424</v>
      </c>
      <c r="GN590" t="s">
        <v>425</v>
      </c>
      <c r="GO590" s="1">
        <v>41445</v>
      </c>
      <c r="GP590">
        <v>13</v>
      </c>
      <c r="GQ590">
        <v>10125</v>
      </c>
      <c r="GR590" t="s">
        <v>440</v>
      </c>
      <c r="GT590" s="1">
        <v>40688</v>
      </c>
      <c r="GU590">
        <v>2010</v>
      </c>
      <c r="GV590">
        <v>48.2</v>
      </c>
      <c r="GW590" t="s">
        <v>6329</v>
      </c>
      <c r="GX590">
        <v>9.75</v>
      </c>
      <c r="GY590" t="s">
        <v>424</v>
      </c>
      <c r="GZ590" t="s">
        <v>425</v>
      </c>
      <c r="HA590" s="1">
        <v>41445</v>
      </c>
      <c r="HB590">
        <v>25</v>
      </c>
      <c r="HC590">
        <v>375</v>
      </c>
      <c r="HD590" t="s">
        <v>776</v>
      </c>
    </row>
    <row r="591" spans="1:284" x14ac:dyDescent="0.25">
      <c r="A591">
        <v>16485598</v>
      </c>
      <c r="B591">
        <v>590</v>
      </c>
      <c r="C591" t="s">
        <v>393</v>
      </c>
      <c r="D591" t="s">
        <v>394</v>
      </c>
      <c r="F591" t="str">
        <f>"34-4N-24-2020-0008-0020"</f>
        <v>34-4N-24-2020-0008-0020</v>
      </c>
      <c r="H591" t="str">
        <f>"JOHNSON VERNON"</f>
        <v>JOHNSON VERNON</v>
      </c>
      <c r="I591" t="str">
        <f>"3658 BLUEBERRY LN"</f>
        <v>3658 BLUEBERRY LN</v>
      </c>
      <c r="J591" t="str">
        <f>"HILLIARD FL 32046"</f>
        <v>HILLIARD FL 32046</v>
      </c>
      <c r="K591" t="str">
        <f>"37168 ABERCORN RD"</f>
        <v>37168 ABERCORN RD</v>
      </c>
      <c r="L591" t="str">
        <f t="shared" si="168"/>
        <v>HILLIARD FL 32046</v>
      </c>
      <c r="M591" t="str">
        <f>"PT OF LOTS 8 &amp; 9 (S-2) IN OR 2021/1503 CORNWALL SURVEY 2000 CMH DW/MH"</f>
        <v>PT OF LOTS 8 &amp; 9 (S-2) IN OR 2021/1503 CORNWALL SURVEY 2000 CMH DW/MH</v>
      </c>
      <c r="N591" t="str">
        <f>""</f>
        <v/>
      </c>
      <c r="O591" t="str">
        <f>"41570"</f>
        <v>41570</v>
      </c>
      <c r="P591" t="str">
        <f t="shared" si="176"/>
        <v>2017</v>
      </c>
      <c r="Q591" t="str">
        <f>""</f>
        <v/>
      </c>
      <c r="R591" t="str">
        <f t="shared" si="174"/>
        <v>N</v>
      </c>
      <c r="S591" t="str">
        <f>"5.58"</f>
        <v>5.58</v>
      </c>
      <c r="T591" t="str">
        <f>"1514.38"</f>
        <v>1514.38</v>
      </c>
      <c r="U591" t="str">
        <f>"100033.00"</f>
        <v>100033.00</v>
      </c>
      <c r="V591" t="str">
        <f>"100033.00"</f>
        <v>100033.00</v>
      </c>
      <c r="W591" t="str">
        <f t="shared" si="177"/>
        <v>2017</v>
      </c>
      <c r="X591" t="str">
        <f>"14.00"</f>
        <v>14.00</v>
      </c>
      <c r="Y591" t="str">
        <f>"1591.81"</f>
        <v>1591.81</v>
      </c>
      <c r="Z591" t="str">
        <f>""</f>
        <v/>
      </c>
      <c r="AA591" t="str">
        <f>"100033.00"</f>
        <v>100033.00</v>
      </c>
      <c r="AB591" t="str">
        <f t="shared" si="178"/>
        <v>Residential</v>
      </c>
      <c r="AC591" t="str">
        <f t="shared" si="161"/>
        <v>0</v>
      </c>
      <c r="AD591" t="str">
        <f>"4"</f>
        <v>4</v>
      </c>
      <c r="AE591" t="str">
        <f>"WOOD (INCLUDE STEEL STUDS)"</f>
        <v>WOOD (INCLUDE STEEL STUDS)</v>
      </c>
      <c r="AF591" t="str">
        <f>"002"</f>
        <v>002</v>
      </c>
      <c r="AG591" t="str">
        <f t="shared" ref="AG591:AG602" si="179">"FL"</f>
        <v>FL</v>
      </c>
      <c r="AH591" t="str">
        <f>"243064.00"</f>
        <v>243064.00</v>
      </c>
      <c r="AI591" t="str">
        <f>"44640.00"</f>
        <v>44640.00</v>
      </c>
      <c r="AJ591" t="str">
        <f>"C55-000-587-7730-1"</f>
        <v>C55-000-587-7730-1</v>
      </c>
      <c r="AK591" t="str">
        <f>"8737"</f>
        <v>8737</v>
      </c>
      <c r="AL591">
        <v>3</v>
      </c>
      <c r="AM591">
        <v>679</v>
      </c>
      <c r="AN591">
        <v>1669.8</v>
      </c>
      <c r="AQ591" t="s">
        <v>6330</v>
      </c>
      <c r="AR591" t="s">
        <v>6330</v>
      </c>
      <c r="AS591" t="s">
        <v>6330</v>
      </c>
      <c r="AU591" t="s">
        <v>396</v>
      </c>
      <c r="AV591">
        <v>2017</v>
      </c>
      <c r="AW591" t="str">
        <f>"34-4N-24-2020-0008-0020 "</f>
        <v xml:space="preserve">34-4N-24-2020-0008-0020 </v>
      </c>
      <c r="AX591">
        <v>37168</v>
      </c>
      <c r="AZ591" t="s">
        <v>6331</v>
      </c>
      <c r="BA591" t="s">
        <v>496</v>
      </c>
      <c r="BD591" t="s">
        <v>398</v>
      </c>
      <c r="BE591" t="s">
        <v>393</v>
      </c>
      <c r="BF591">
        <v>32046</v>
      </c>
      <c r="BG591" t="s">
        <v>6332</v>
      </c>
      <c r="BH591" t="s">
        <v>400</v>
      </c>
      <c r="BI591">
        <v>-81.902757633704098</v>
      </c>
      <c r="BJ591">
        <v>30.721516289304201</v>
      </c>
      <c r="BK591" t="s">
        <v>6333</v>
      </c>
      <c r="BM591" t="s">
        <v>1171</v>
      </c>
      <c r="BN591" t="s">
        <v>403</v>
      </c>
      <c r="BO591">
        <v>32046</v>
      </c>
      <c r="BP591" t="s">
        <v>404</v>
      </c>
      <c r="BQ591">
        <v>200</v>
      </c>
      <c r="BR591" t="s">
        <v>405</v>
      </c>
      <c r="BS591">
        <v>1006</v>
      </c>
      <c r="BT591" t="s">
        <v>406</v>
      </c>
      <c r="BW591">
        <v>243064</v>
      </c>
      <c r="BX591" t="s">
        <v>407</v>
      </c>
      <c r="BY591" t="s">
        <v>408</v>
      </c>
      <c r="BZ591">
        <v>4</v>
      </c>
      <c r="CA591">
        <v>2000</v>
      </c>
      <c r="CC591">
        <v>1</v>
      </c>
      <c r="CD591">
        <v>2017</v>
      </c>
      <c r="CE591">
        <v>44640</v>
      </c>
      <c r="CF591">
        <v>55393</v>
      </c>
      <c r="CG591">
        <v>100033</v>
      </c>
      <c r="CH591">
        <v>2017</v>
      </c>
      <c r="CI591">
        <v>44640</v>
      </c>
      <c r="CJ591">
        <v>55393</v>
      </c>
      <c r="CK591">
        <v>100033</v>
      </c>
      <c r="CL591">
        <v>2017</v>
      </c>
      <c r="CM591">
        <v>1514.38</v>
      </c>
      <c r="CN591" s="1">
        <v>42374</v>
      </c>
      <c r="CO591">
        <v>26000</v>
      </c>
      <c r="CV591">
        <v>0</v>
      </c>
      <c r="CZ591" s="1">
        <v>42374</v>
      </c>
      <c r="DA591">
        <v>0</v>
      </c>
      <c r="DD591" t="s">
        <v>398</v>
      </c>
      <c r="DG591">
        <v>34</v>
      </c>
      <c r="DJ591" t="s">
        <v>1990</v>
      </c>
      <c r="DL591">
        <v>50400</v>
      </c>
      <c r="DM591" t="s">
        <v>6323</v>
      </c>
      <c r="DO591" t="s">
        <v>6334</v>
      </c>
      <c r="DP591">
        <v>0</v>
      </c>
      <c r="DQ591">
        <v>0</v>
      </c>
      <c r="DR591" t="s">
        <v>411</v>
      </c>
      <c r="EP591" t="s">
        <v>421</v>
      </c>
      <c r="EQ591" t="s">
        <v>422</v>
      </c>
      <c r="ER591">
        <v>2</v>
      </c>
      <c r="ES591">
        <v>2</v>
      </c>
      <c r="ET591">
        <v>3142.22</v>
      </c>
      <c r="EU591">
        <v>169.61</v>
      </c>
      <c r="EV591">
        <v>3311.83</v>
      </c>
      <c r="EW591" s="2">
        <v>43222</v>
      </c>
      <c r="EX591" s="1">
        <v>42879</v>
      </c>
      <c r="EY591">
        <v>2016</v>
      </c>
      <c r="EZ591">
        <v>1571.11</v>
      </c>
      <c r="FA591" t="s">
        <v>6335</v>
      </c>
      <c r="FB591">
        <v>0.25</v>
      </c>
      <c r="FC591" t="s">
        <v>424</v>
      </c>
      <c r="FD591" t="s">
        <v>454</v>
      </c>
      <c r="FF591">
        <v>12</v>
      </c>
      <c r="FG591">
        <v>7400234</v>
      </c>
      <c r="FH591" t="s">
        <v>426</v>
      </c>
      <c r="FJ591" s="1">
        <v>42879</v>
      </c>
      <c r="FK591">
        <v>2016</v>
      </c>
      <c r="FL591">
        <v>1571.11</v>
      </c>
      <c r="FM591" t="s">
        <v>6335</v>
      </c>
      <c r="FN591">
        <v>0.25</v>
      </c>
      <c r="FO591" t="s">
        <v>424</v>
      </c>
      <c r="FP591" t="s">
        <v>454</v>
      </c>
      <c r="FR591">
        <v>12</v>
      </c>
      <c r="FS591">
        <v>7527041</v>
      </c>
      <c r="FT591" t="s">
        <v>6336</v>
      </c>
      <c r="FV591" s="1">
        <v>41787</v>
      </c>
      <c r="FW591">
        <v>2013</v>
      </c>
      <c r="FX591">
        <v>1546.19</v>
      </c>
      <c r="FY591" t="s">
        <v>6337</v>
      </c>
      <c r="FZ591">
        <v>0.25</v>
      </c>
      <c r="GA591" t="s">
        <v>424</v>
      </c>
      <c r="GB591" t="s">
        <v>425</v>
      </c>
      <c r="GC591" s="1">
        <v>41941</v>
      </c>
      <c r="GD591">
        <v>5</v>
      </c>
      <c r="GE591">
        <v>2851116</v>
      </c>
      <c r="GF591" t="s">
        <v>480</v>
      </c>
      <c r="GH591" s="1">
        <v>41423</v>
      </c>
      <c r="GI591">
        <v>2012</v>
      </c>
      <c r="GJ591">
        <v>1545.3</v>
      </c>
      <c r="GK591" t="s">
        <v>6338</v>
      </c>
      <c r="GL591">
        <v>0.25</v>
      </c>
      <c r="GM591" t="s">
        <v>424</v>
      </c>
      <c r="GN591" t="s">
        <v>425</v>
      </c>
      <c r="GO591" s="1">
        <v>41460</v>
      </c>
      <c r="GP591">
        <v>2</v>
      </c>
      <c r="GQ591">
        <v>606981</v>
      </c>
      <c r="GR591" t="s">
        <v>792</v>
      </c>
    </row>
    <row r="592" spans="1:284" x14ac:dyDescent="0.25">
      <c r="A592">
        <v>16485599</v>
      </c>
      <c r="B592">
        <v>591</v>
      </c>
      <c r="C592" t="s">
        <v>393</v>
      </c>
      <c r="D592" t="s">
        <v>394</v>
      </c>
      <c r="F592" t="str">
        <f>"34-4N-24-2020-0011-0010"</f>
        <v>34-4N-24-2020-0011-0010</v>
      </c>
      <c r="H592" t="str">
        <f>"REED FLAVIUS THOMAS"</f>
        <v>REED FLAVIUS THOMAS</v>
      </c>
      <c r="I592" t="str">
        <f>"37028 TRACTOR LN"</f>
        <v>37028 TRACTOR LN</v>
      </c>
      <c r="J592" t="str">
        <f>"HILLIARD FL 32046"</f>
        <v>HILLIARD FL 32046</v>
      </c>
      <c r="K592" t="str">
        <f>"LIBBY RD"</f>
        <v>LIBBY RD</v>
      </c>
      <c r="L592" t="str">
        <f t="shared" si="168"/>
        <v>HILLIARD FL 32046</v>
      </c>
      <c r="M592" t="str">
        <f>"E1/2 LOT 11 PT E1/2 OF LOT 12 OF CORNWALL SURVEY PBK O/31 &amp; &amp; PT SW1/4 OF SW1/4 OF SEC 34-4N-24E IN OR 1927/981 &amp; ESMT IN OR 533/835"</f>
        <v>E1/2 LOT 11 PT E1/2 OF LOT 12 OF CORNWALL SURVEY PBK O/31 &amp; &amp; PT SW1/4 OF SW1/4 OF SEC 34-4N-24E IN OR 1927/981 &amp; ESMT IN OR 533/835</v>
      </c>
      <c r="N592" t="str">
        <f>""</f>
        <v/>
      </c>
      <c r="O592" t="str">
        <f>"41580"</f>
        <v>41580</v>
      </c>
      <c r="P592" t="str">
        <f t="shared" si="176"/>
        <v>2017</v>
      </c>
      <c r="Q592" t="str">
        <f>""</f>
        <v/>
      </c>
      <c r="R592" t="str">
        <f t="shared" si="174"/>
        <v>N</v>
      </c>
      <c r="S592" t="str">
        <f>"11.66"</f>
        <v>11.66</v>
      </c>
      <c r="T592" t="str">
        <f>"69.39"</f>
        <v>69.39</v>
      </c>
      <c r="U592" t="str">
        <f>"4583.00"</f>
        <v>4583.00</v>
      </c>
      <c r="V592" t="str">
        <f>"4583.00"</f>
        <v>4583.00</v>
      </c>
      <c r="W592" t="str">
        <f t="shared" si="177"/>
        <v>2017</v>
      </c>
      <c r="X592" t="str">
        <f>"16.67"</f>
        <v>16.67</v>
      </c>
      <c r="Y592" t="str">
        <f>"103.47"</f>
        <v>103.47</v>
      </c>
      <c r="Z592" t="str">
        <f>""</f>
        <v/>
      </c>
      <c r="AA592" t="str">
        <f>"4583.00"</f>
        <v>4583.00</v>
      </c>
      <c r="AB592" t="str">
        <f>"Agricultural"</f>
        <v>Agricultural</v>
      </c>
      <c r="AC592" t="str">
        <f t="shared" si="161"/>
        <v>0</v>
      </c>
      <c r="AD592" t="str">
        <f>""</f>
        <v/>
      </c>
      <c r="AE592" t="str">
        <f>""</f>
        <v/>
      </c>
      <c r="AF592" t="str">
        <f>"055"</f>
        <v>055</v>
      </c>
      <c r="AG592" t="str">
        <f t="shared" si="179"/>
        <v>FL</v>
      </c>
      <c r="AH592" t="str">
        <f>"507909.00"</f>
        <v>507909.00</v>
      </c>
      <c r="AI592" t="str">
        <f>"4583.00"</f>
        <v>4583.00</v>
      </c>
      <c r="AJ592" t="str">
        <f>"C55-000-587-7740-0"</f>
        <v>C55-000-587-7740-0</v>
      </c>
      <c r="AK592" t="str">
        <f>"8748"</f>
        <v>8748</v>
      </c>
      <c r="AL592">
        <v>3</v>
      </c>
      <c r="AM592">
        <v>680</v>
      </c>
      <c r="AN592">
        <v>107.04</v>
      </c>
      <c r="AQ592" t="s">
        <v>6339</v>
      </c>
      <c r="AR592" t="s">
        <v>6339</v>
      </c>
      <c r="AS592" t="s">
        <v>6339</v>
      </c>
      <c r="AU592" t="s">
        <v>396</v>
      </c>
      <c r="AV592">
        <v>2017</v>
      </c>
      <c r="AW592" t="str">
        <f>"34-4N-24-2020-0011-0010 "</f>
        <v xml:space="preserve">34-4N-24-2020-0011-0010 </v>
      </c>
      <c r="AZ592" t="s">
        <v>6340</v>
      </c>
      <c r="BA592" t="s">
        <v>496</v>
      </c>
      <c r="BD592" t="s">
        <v>398</v>
      </c>
      <c r="BE592" t="s">
        <v>393</v>
      </c>
      <c r="BF592">
        <v>32046</v>
      </c>
      <c r="BG592" t="s">
        <v>6341</v>
      </c>
      <c r="BH592" t="s">
        <v>400</v>
      </c>
      <c r="BI592">
        <v>-81.902712934331007</v>
      </c>
      <c r="BJ592">
        <v>30.718332251575202</v>
      </c>
      <c r="BK592" t="s">
        <v>6342</v>
      </c>
      <c r="BM592" t="s">
        <v>6343</v>
      </c>
      <c r="BN592" t="s">
        <v>403</v>
      </c>
      <c r="BO592">
        <v>32046</v>
      </c>
      <c r="BP592" t="s">
        <v>404</v>
      </c>
      <c r="BQ592">
        <v>5500</v>
      </c>
      <c r="BR592" t="s">
        <v>1353</v>
      </c>
      <c r="BS592">
        <v>7009</v>
      </c>
      <c r="BT592" t="s">
        <v>418</v>
      </c>
      <c r="BW592">
        <v>507909</v>
      </c>
      <c r="BX592" t="s">
        <v>407</v>
      </c>
      <c r="BY592" t="s">
        <v>408</v>
      </c>
      <c r="CD592">
        <v>2017</v>
      </c>
      <c r="CG592">
        <v>4583</v>
      </c>
      <c r="CH592">
        <v>2017</v>
      </c>
      <c r="CI592">
        <v>4583</v>
      </c>
      <c r="CJ592">
        <v>59547</v>
      </c>
      <c r="CK592">
        <v>64130</v>
      </c>
      <c r="CL592">
        <v>2017</v>
      </c>
      <c r="CM592">
        <v>69.39</v>
      </c>
      <c r="CN592" s="1">
        <v>41830</v>
      </c>
      <c r="CZ592" s="1">
        <v>41830</v>
      </c>
      <c r="DD592" t="s">
        <v>398</v>
      </c>
      <c r="DF592">
        <v>11</v>
      </c>
      <c r="DG592">
        <v>34</v>
      </c>
      <c r="DJ592" t="s">
        <v>1990</v>
      </c>
      <c r="DL592">
        <v>50400</v>
      </c>
      <c r="DM592" t="s">
        <v>6323</v>
      </c>
      <c r="DO592" t="s">
        <v>6344</v>
      </c>
      <c r="DP592">
        <v>0</v>
      </c>
      <c r="DQ592">
        <v>0</v>
      </c>
      <c r="DR592" t="s">
        <v>411</v>
      </c>
      <c r="DS592" t="b">
        <v>1</v>
      </c>
      <c r="DT592" t="s">
        <v>396</v>
      </c>
      <c r="DV592" t="s">
        <v>446</v>
      </c>
      <c r="DX592">
        <v>-9999</v>
      </c>
      <c r="DZ592" t="s">
        <v>447</v>
      </c>
      <c r="EA592" t="s">
        <v>448</v>
      </c>
      <c r="EB592" t="s">
        <v>449</v>
      </c>
      <c r="EC592">
        <v>20101217</v>
      </c>
      <c r="ED592" t="s">
        <v>450</v>
      </c>
      <c r="EE592">
        <v>12.8</v>
      </c>
      <c r="EF592">
        <v>0</v>
      </c>
      <c r="EG592">
        <v>0</v>
      </c>
      <c r="EI592">
        <v>20160407</v>
      </c>
      <c r="EJ592">
        <v>0</v>
      </c>
      <c r="EK592">
        <v>0</v>
      </c>
      <c r="EP592" t="s">
        <v>595</v>
      </c>
      <c r="EQ592" t="s">
        <v>422</v>
      </c>
      <c r="ER592">
        <v>3</v>
      </c>
      <c r="ES592">
        <v>3</v>
      </c>
      <c r="ET592">
        <v>274.27</v>
      </c>
      <c r="EU592">
        <v>114.58</v>
      </c>
      <c r="EV592">
        <v>388.85</v>
      </c>
      <c r="EW592" s="2">
        <v>43222</v>
      </c>
      <c r="EX592" s="1">
        <v>42879</v>
      </c>
      <c r="EY592">
        <v>2016</v>
      </c>
      <c r="EZ592">
        <v>97.29</v>
      </c>
      <c r="FA592" t="s">
        <v>6345</v>
      </c>
      <c r="FB592">
        <v>16.75</v>
      </c>
      <c r="FC592" t="s">
        <v>424</v>
      </c>
      <c r="FD592" t="s">
        <v>454</v>
      </c>
      <c r="FF592">
        <v>12</v>
      </c>
      <c r="FG592">
        <v>10125</v>
      </c>
      <c r="FH592" t="s">
        <v>440</v>
      </c>
      <c r="FJ592" s="1">
        <v>42515</v>
      </c>
      <c r="FK592">
        <v>2015</v>
      </c>
      <c r="FL592">
        <v>89.06</v>
      </c>
      <c r="FM592" t="s">
        <v>6346</v>
      </c>
      <c r="FN592">
        <v>18</v>
      </c>
      <c r="FO592" t="s">
        <v>424</v>
      </c>
      <c r="FP592" t="s">
        <v>454</v>
      </c>
      <c r="FR592">
        <v>24</v>
      </c>
      <c r="FS592">
        <v>10125</v>
      </c>
      <c r="FT592" t="s">
        <v>440</v>
      </c>
      <c r="FV592" s="1">
        <v>42151</v>
      </c>
      <c r="FW592">
        <v>2014</v>
      </c>
      <c r="FX592">
        <v>87.92</v>
      </c>
      <c r="FY592" t="s">
        <v>6347</v>
      </c>
      <c r="FZ592">
        <v>18</v>
      </c>
      <c r="GA592" t="s">
        <v>424</v>
      </c>
      <c r="GB592" t="s">
        <v>454</v>
      </c>
      <c r="GD592">
        <v>36</v>
      </c>
      <c r="GE592">
        <v>10125</v>
      </c>
      <c r="GF592" t="s">
        <v>440</v>
      </c>
      <c r="GH592" s="1">
        <v>41787</v>
      </c>
      <c r="GI592">
        <v>2013</v>
      </c>
      <c r="GJ592">
        <v>72.2</v>
      </c>
      <c r="GK592" t="s">
        <v>6348</v>
      </c>
      <c r="GL592">
        <v>18</v>
      </c>
      <c r="GM592" t="s">
        <v>603</v>
      </c>
      <c r="GN592" t="s">
        <v>425</v>
      </c>
      <c r="GO592" s="1">
        <v>41837</v>
      </c>
      <c r="GP592">
        <v>2</v>
      </c>
      <c r="GQ592">
        <v>9999999</v>
      </c>
      <c r="GR592" t="s">
        <v>604</v>
      </c>
      <c r="GT592" s="1">
        <v>41423</v>
      </c>
      <c r="GU592">
        <v>2012</v>
      </c>
      <c r="GV592">
        <v>58.38</v>
      </c>
      <c r="GW592" t="s">
        <v>6349</v>
      </c>
      <c r="GX592">
        <v>10</v>
      </c>
      <c r="GY592" t="s">
        <v>424</v>
      </c>
      <c r="GZ592" t="s">
        <v>425</v>
      </c>
      <c r="HA592" s="1">
        <v>41837</v>
      </c>
      <c r="HB592">
        <v>14</v>
      </c>
      <c r="HC592">
        <v>375</v>
      </c>
      <c r="HD592" t="s">
        <v>776</v>
      </c>
      <c r="HF592" s="1">
        <v>40688</v>
      </c>
      <c r="HG592">
        <v>2010</v>
      </c>
      <c r="HH592">
        <v>45.26</v>
      </c>
      <c r="HI592" t="s">
        <v>6350</v>
      </c>
      <c r="HJ592">
        <v>12</v>
      </c>
      <c r="HK592" t="s">
        <v>424</v>
      </c>
      <c r="HL592" t="s">
        <v>425</v>
      </c>
      <c r="HM592" s="1">
        <v>40967</v>
      </c>
      <c r="HN592">
        <v>9</v>
      </c>
      <c r="HO592">
        <v>10486</v>
      </c>
      <c r="HP592" t="s">
        <v>6351</v>
      </c>
    </row>
    <row r="593" spans="1:272" x14ac:dyDescent="0.25">
      <c r="A593">
        <v>16485600</v>
      </c>
      <c r="B593">
        <v>592</v>
      </c>
      <c r="C593" t="s">
        <v>393</v>
      </c>
      <c r="D593" t="s">
        <v>394</v>
      </c>
      <c r="F593" t="str">
        <f>"28-5N-24-0000-0001-0020"</f>
        <v>28-5N-24-0000-0001-0020</v>
      </c>
      <c r="H593" t="str">
        <f>"POTURICH NICHOLAS J &amp; TONI A"</f>
        <v>POTURICH NICHOLAS J &amp; TONI A</v>
      </c>
      <c r="I593" t="str">
        <f>"210 CAHOON ROAD"</f>
        <v>210 CAHOON ROAD</v>
      </c>
      <c r="J593" t="str">
        <f>"JACKSONVILLE FL 32220"</f>
        <v>JACKSONVILLE FL 32220</v>
      </c>
      <c r="K593" t="str">
        <f>"392273 PROSPECT LANDING RD"</f>
        <v>392273 PROSPECT LANDING RD</v>
      </c>
      <c r="L593" t="str">
        <f t="shared" si="168"/>
        <v>HILLIARD FL 32046</v>
      </c>
      <c r="M593" t="str">
        <f>"IN OR 1520/472 PARCEL 1-2 SECS 28 &amp; 33-5N-24 PARCEL 2-11 SEC 33-5N-24"</f>
        <v>IN OR 1520/472 PARCEL 1-2 SECS 28 &amp; 33-5N-24 PARCEL 2-11 SEC 33-5N-24</v>
      </c>
      <c r="N593" t="str">
        <f>""</f>
        <v/>
      </c>
      <c r="O593" t="str">
        <f>"38348"</f>
        <v>38348</v>
      </c>
      <c r="P593" t="str">
        <f t="shared" si="176"/>
        <v>2017</v>
      </c>
      <c r="Q593" t="str">
        <f>""</f>
        <v/>
      </c>
      <c r="R593" t="str">
        <f t="shared" si="174"/>
        <v>N</v>
      </c>
      <c r="S593" t="str">
        <f>"2.13"</f>
        <v>2.13</v>
      </c>
      <c r="T593" t="str">
        <f>"958.49"</f>
        <v>958.49</v>
      </c>
      <c r="U593" t="str">
        <f>"63313.00"</f>
        <v>63313.00</v>
      </c>
      <c r="V593" t="str">
        <f>"63313.00"</f>
        <v>63313.00</v>
      </c>
      <c r="W593" t="str">
        <f t="shared" si="177"/>
        <v>2017</v>
      </c>
      <c r="X593" t="str">
        <f>"23.63"</f>
        <v>23.63</v>
      </c>
      <c r="Y593" t="str">
        <f>"1019.24"</f>
        <v>1019.24</v>
      </c>
      <c r="Z593" t="str">
        <f>""</f>
        <v/>
      </c>
      <c r="AA593" t="str">
        <f>"63313.00"</f>
        <v>63313.00</v>
      </c>
      <c r="AB593" t="str">
        <f t="shared" ref="AB593:AB608" si="180">"Residential"</f>
        <v>Residential</v>
      </c>
      <c r="AC593" t="str">
        <f t="shared" si="161"/>
        <v>0</v>
      </c>
      <c r="AD593" t="str">
        <f>""</f>
        <v/>
      </c>
      <c r="AE593" t="str">
        <f>""</f>
        <v/>
      </c>
      <c r="AF593" t="str">
        <f>"000"</f>
        <v>000</v>
      </c>
      <c r="AG593" t="str">
        <f t="shared" si="179"/>
        <v>FL</v>
      </c>
      <c r="AH593" t="str">
        <f>"92782.00"</f>
        <v>92782.00</v>
      </c>
      <c r="AI593" t="str">
        <f>"45360.00"</f>
        <v>45360.00</v>
      </c>
      <c r="AJ593" t="str">
        <f>"C55-001-011-3481-5"</f>
        <v>C55-001-011-3481-5</v>
      </c>
      <c r="AK593" t="str">
        <f>"8850"</f>
        <v>8850</v>
      </c>
      <c r="AL593">
        <v>3</v>
      </c>
      <c r="AM593">
        <v>682</v>
      </c>
      <c r="AN593">
        <v>1068.5999999999999</v>
      </c>
      <c r="AQ593" t="s">
        <v>6352</v>
      </c>
      <c r="AR593" t="s">
        <v>6352</v>
      </c>
      <c r="AS593" t="s">
        <v>6352</v>
      </c>
      <c r="AU593" t="s">
        <v>396</v>
      </c>
      <c r="AV593">
        <v>2017</v>
      </c>
      <c r="AW593" t="str">
        <f>"28-5N-24-0000-0001-0020 "</f>
        <v xml:space="preserve">28-5N-24-0000-0001-0020 </v>
      </c>
      <c r="AX593">
        <v>392273</v>
      </c>
      <c r="AZ593" t="s">
        <v>6353</v>
      </c>
      <c r="BA593" t="s">
        <v>496</v>
      </c>
      <c r="BD593" t="s">
        <v>398</v>
      </c>
      <c r="BE593" t="s">
        <v>393</v>
      </c>
      <c r="BF593">
        <v>32046</v>
      </c>
      <c r="BG593" t="s">
        <v>6354</v>
      </c>
      <c r="BH593" t="s">
        <v>400</v>
      </c>
      <c r="BI593">
        <v>-81.919837189879502</v>
      </c>
      <c r="BJ593">
        <v>30.816444269617001</v>
      </c>
      <c r="BK593" t="s">
        <v>6355</v>
      </c>
      <c r="BL593" t="s">
        <v>6356</v>
      </c>
      <c r="BM593" t="s">
        <v>6357</v>
      </c>
      <c r="BN593" t="s">
        <v>548</v>
      </c>
      <c r="BO593">
        <v>32220</v>
      </c>
      <c r="BP593" t="s">
        <v>404</v>
      </c>
      <c r="BQ593">
        <v>1</v>
      </c>
      <c r="BR593" t="s">
        <v>491</v>
      </c>
      <c r="BS593">
        <v>8001</v>
      </c>
      <c r="BT593" t="s">
        <v>492</v>
      </c>
      <c r="BW593">
        <v>92782</v>
      </c>
      <c r="BX593" t="s">
        <v>407</v>
      </c>
      <c r="BY593" t="s">
        <v>408</v>
      </c>
      <c r="CD593">
        <v>2017</v>
      </c>
      <c r="CE593">
        <v>45360</v>
      </c>
      <c r="CF593">
        <v>17953</v>
      </c>
      <c r="CG593">
        <v>63313</v>
      </c>
      <c r="CH593">
        <v>2017</v>
      </c>
      <c r="CI593">
        <v>45360</v>
      </c>
      <c r="CJ593">
        <v>17953</v>
      </c>
      <c r="CK593">
        <v>63313</v>
      </c>
      <c r="CL593">
        <v>2017</v>
      </c>
      <c r="CM593">
        <v>958.49</v>
      </c>
      <c r="CN593" s="1">
        <v>39314</v>
      </c>
      <c r="CO593">
        <v>115000</v>
      </c>
      <c r="CZ593" s="1">
        <v>39314</v>
      </c>
      <c r="DD593" t="s">
        <v>398</v>
      </c>
      <c r="DG593">
        <v>28</v>
      </c>
      <c r="DL593">
        <v>50400</v>
      </c>
      <c r="DM593" t="s">
        <v>6358</v>
      </c>
      <c r="DO593" t="s">
        <v>6359</v>
      </c>
      <c r="DP593">
        <v>0</v>
      </c>
      <c r="DQ593">
        <v>0</v>
      </c>
      <c r="DR593" t="s">
        <v>411</v>
      </c>
      <c r="DS593" t="b">
        <v>1</v>
      </c>
      <c r="DT593" t="s">
        <v>396</v>
      </c>
      <c r="DV593" t="s">
        <v>446</v>
      </c>
      <c r="DX593">
        <v>-9999</v>
      </c>
      <c r="DZ593" t="s">
        <v>447</v>
      </c>
      <c r="EA593" t="s">
        <v>448</v>
      </c>
      <c r="EB593" t="s">
        <v>449</v>
      </c>
      <c r="EC593">
        <v>20101217</v>
      </c>
      <c r="ED593" t="s">
        <v>450</v>
      </c>
      <c r="EE593">
        <v>9.4</v>
      </c>
      <c r="EF593">
        <v>0</v>
      </c>
      <c r="EG593">
        <v>0</v>
      </c>
      <c r="EI593">
        <v>20160407</v>
      </c>
      <c r="EJ593">
        <v>0</v>
      </c>
      <c r="EK593">
        <v>0</v>
      </c>
      <c r="EP593" t="s">
        <v>421</v>
      </c>
      <c r="EQ593" t="s">
        <v>422</v>
      </c>
      <c r="ER593">
        <v>1</v>
      </c>
      <c r="ES593">
        <v>6</v>
      </c>
      <c r="ET593">
        <v>1014.4</v>
      </c>
      <c r="EU593">
        <v>56.97</v>
      </c>
      <c r="EV593">
        <v>1071.3699999999999</v>
      </c>
      <c r="EW593" s="2">
        <v>43222</v>
      </c>
      <c r="EX593" s="1">
        <v>42879</v>
      </c>
      <c r="EY593">
        <v>2016</v>
      </c>
      <c r="EZ593">
        <v>1014.4</v>
      </c>
      <c r="FA593" t="s">
        <v>6360</v>
      </c>
      <c r="FB593">
        <v>0.25</v>
      </c>
      <c r="FC593" t="s">
        <v>424</v>
      </c>
      <c r="FD593" t="s">
        <v>454</v>
      </c>
      <c r="FF593">
        <v>12</v>
      </c>
      <c r="FG593">
        <v>2035919</v>
      </c>
      <c r="FH593" t="s">
        <v>507</v>
      </c>
      <c r="FJ593" s="1">
        <v>42515</v>
      </c>
      <c r="FK593">
        <v>2015</v>
      </c>
      <c r="FL593">
        <v>1040.05</v>
      </c>
      <c r="FM593" t="s">
        <v>6361</v>
      </c>
      <c r="FN593">
        <v>4.75</v>
      </c>
      <c r="FO593" t="s">
        <v>424</v>
      </c>
      <c r="FP593" t="s">
        <v>425</v>
      </c>
      <c r="FQ593" s="1">
        <v>43154</v>
      </c>
      <c r="FR593">
        <v>21</v>
      </c>
      <c r="FS593">
        <v>2035919</v>
      </c>
      <c r="FT593" t="s">
        <v>507</v>
      </c>
      <c r="FV593" s="1">
        <v>42151</v>
      </c>
      <c r="FW593">
        <v>2014</v>
      </c>
      <c r="FX593">
        <v>802.48</v>
      </c>
      <c r="FY593" t="s">
        <v>6362</v>
      </c>
      <c r="FZ593">
        <v>9</v>
      </c>
      <c r="GA593" t="s">
        <v>424</v>
      </c>
      <c r="GB593" t="s">
        <v>425</v>
      </c>
      <c r="GC593" s="1">
        <v>42814</v>
      </c>
      <c r="GD593">
        <v>22</v>
      </c>
      <c r="GE593">
        <v>10125</v>
      </c>
      <c r="GF593" t="s">
        <v>440</v>
      </c>
      <c r="GH593" s="1">
        <v>41787</v>
      </c>
      <c r="GI593">
        <v>2013</v>
      </c>
      <c r="GJ593">
        <v>762.23</v>
      </c>
      <c r="GK593" t="s">
        <v>6363</v>
      </c>
      <c r="GL593">
        <v>7.25</v>
      </c>
      <c r="GM593" t="s">
        <v>424</v>
      </c>
      <c r="GN593" t="s">
        <v>425</v>
      </c>
      <c r="GO593" s="1">
        <v>42814</v>
      </c>
      <c r="GP593">
        <v>34</v>
      </c>
      <c r="GQ593">
        <v>116</v>
      </c>
      <c r="GR593" t="s">
        <v>509</v>
      </c>
      <c r="GT593" s="1">
        <v>41423</v>
      </c>
      <c r="GU593">
        <v>2012</v>
      </c>
      <c r="GV593">
        <v>770.94</v>
      </c>
      <c r="GW593" t="s">
        <v>6364</v>
      </c>
      <c r="GX593">
        <v>4.5</v>
      </c>
      <c r="GY593" t="s">
        <v>424</v>
      </c>
      <c r="GZ593" t="s">
        <v>425</v>
      </c>
      <c r="HA593" s="1">
        <v>42061</v>
      </c>
      <c r="HB593">
        <v>21</v>
      </c>
      <c r="HC593">
        <v>1625515</v>
      </c>
      <c r="HD593" t="s">
        <v>487</v>
      </c>
      <c r="HF593" s="1">
        <v>41052</v>
      </c>
      <c r="HG593">
        <v>2011</v>
      </c>
      <c r="HH593">
        <v>806.98</v>
      </c>
      <c r="HI593" t="s">
        <v>6365</v>
      </c>
      <c r="HJ593">
        <v>5.75</v>
      </c>
      <c r="HK593" t="s">
        <v>424</v>
      </c>
      <c r="HL593" t="s">
        <v>425</v>
      </c>
      <c r="HM593" s="1">
        <v>41703</v>
      </c>
      <c r="HN593">
        <v>22</v>
      </c>
      <c r="HO593">
        <v>10125</v>
      </c>
      <c r="HP593" t="s">
        <v>440</v>
      </c>
      <c r="HR593" s="1">
        <v>40688</v>
      </c>
      <c r="HS593">
        <v>2010</v>
      </c>
      <c r="HT593">
        <v>837.57</v>
      </c>
      <c r="HU593" t="s">
        <v>6366</v>
      </c>
      <c r="HV593">
        <v>0.25</v>
      </c>
      <c r="HW593" t="s">
        <v>424</v>
      </c>
      <c r="HX593" t="s">
        <v>425</v>
      </c>
      <c r="HY593" s="1">
        <v>41703</v>
      </c>
      <c r="HZ593">
        <v>34</v>
      </c>
      <c r="IA593">
        <v>10591</v>
      </c>
      <c r="IB593" t="s">
        <v>4254</v>
      </c>
    </row>
    <row r="594" spans="1:272" x14ac:dyDescent="0.25">
      <c r="A594">
        <v>16485601</v>
      </c>
      <c r="B594">
        <v>593</v>
      </c>
      <c r="C594" t="s">
        <v>393</v>
      </c>
      <c r="D594" t="s">
        <v>394</v>
      </c>
      <c r="F594" t="str">
        <f>"03-1N-25-0000-0001-0060"</f>
        <v>03-1N-25-0000-0001-0060</v>
      </c>
      <c r="H594" t="str">
        <f>"DAVIS BILLY WAYNE"</f>
        <v>DAVIS BILLY WAYNE</v>
      </c>
      <c r="I594" t="str">
        <f>"12605 GILLESPIE RD"</f>
        <v>12605 GILLESPIE RD</v>
      </c>
      <c r="J594" t="str">
        <f>"JACKSONVILLE FL 32218"</f>
        <v>JACKSONVILLE FL 32218</v>
      </c>
      <c r="K594" t="str">
        <f>"54163 CRAVEY RD"</f>
        <v>54163 CRAVEY RD</v>
      </c>
      <c r="L594" t="str">
        <f t="shared" ref="L594:L657" si="181">"CALLAHAN FL 32011"</f>
        <v>CALLAHAN FL 32011</v>
      </c>
      <c r="M594" t="str">
        <f>"PT SE1/4 OF SW1/4 EX 1-43 IN OR 2008/1015 R378297 &amp; R378298"</f>
        <v>PT SE1/4 OF SW1/4 EX 1-43 IN OR 2008/1015 R378297 &amp; R378298</v>
      </c>
      <c r="N594" t="str">
        <f>""</f>
        <v/>
      </c>
      <c r="O594" t="str">
        <f>"18597"</f>
        <v>18597</v>
      </c>
      <c r="P594" t="str">
        <f t="shared" si="176"/>
        <v>2017</v>
      </c>
      <c r="Q594" t="str">
        <f>""</f>
        <v/>
      </c>
      <c r="R594" t="str">
        <f t="shared" si="174"/>
        <v>N</v>
      </c>
      <c r="S594" t="str">
        <f>"1.00"</f>
        <v>1.00</v>
      </c>
      <c r="T594" t="str">
        <f>"631.54"</f>
        <v>631.54</v>
      </c>
      <c r="U594" t="str">
        <f>"36665.00"</f>
        <v>36665.00</v>
      </c>
      <c r="V594" t="str">
        <f>"36665.00"</f>
        <v>36665.00</v>
      </c>
      <c r="W594" t="str">
        <f t="shared" si="177"/>
        <v>2017</v>
      </c>
      <c r="X594" t="str">
        <f>"20.00"</f>
        <v>20.00</v>
      </c>
      <c r="Y594" t="str">
        <f>"682.49"</f>
        <v>682.49</v>
      </c>
      <c r="Z594" t="str">
        <f>""</f>
        <v/>
      </c>
      <c r="AA594" t="str">
        <f>"48255.00"</f>
        <v>48255.00</v>
      </c>
      <c r="AB594" t="str">
        <f t="shared" si="180"/>
        <v>Residential</v>
      </c>
      <c r="AC594" t="str">
        <f t="shared" si="161"/>
        <v>0</v>
      </c>
      <c r="AD594" t="str">
        <f>"4"</f>
        <v>4</v>
      </c>
      <c r="AE594" t="str">
        <f>"WOOD (INCLUDE STEEL STUDS)"</f>
        <v>WOOD (INCLUDE STEEL STUDS)</v>
      </c>
      <c r="AF594" t="str">
        <f>"002"</f>
        <v>002</v>
      </c>
      <c r="AG594" t="str">
        <f t="shared" si="179"/>
        <v>FL</v>
      </c>
      <c r="AH594" t="str">
        <f>"43560.00"</f>
        <v>43560.00</v>
      </c>
      <c r="AI594" t="str">
        <f>"15000.00"</f>
        <v>15000.00</v>
      </c>
      <c r="AJ594" t="str">
        <f>"C55-000-586-4221-6"</f>
        <v>C55-000-586-4221-6</v>
      </c>
      <c r="AK594" t="str">
        <f>"9577"</f>
        <v>9577</v>
      </c>
      <c r="AL594">
        <v>3</v>
      </c>
      <c r="AM594">
        <v>683</v>
      </c>
      <c r="AN594">
        <v>715.01</v>
      </c>
      <c r="AQ594" t="s">
        <v>6367</v>
      </c>
      <c r="AR594" t="s">
        <v>6367</v>
      </c>
      <c r="AS594" t="s">
        <v>6367</v>
      </c>
      <c r="AU594" t="s">
        <v>396</v>
      </c>
      <c r="AV594">
        <v>2017</v>
      </c>
      <c r="AW594" t="str">
        <f>"03-1N-25-0000-0001-0060 "</f>
        <v xml:space="preserve">03-1N-25-0000-0001-0060 </v>
      </c>
      <c r="AX594">
        <v>54163</v>
      </c>
      <c r="AZ594" t="s">
        <v>6368</v>
      </c>
      <c r="BA594" t="s">
        <v>496</v>
      </c>
      <c r="BD594" t="s">
        <v>2785</v>
      </c>
      <c r="BE594" t="s">
        <v>393</v>
      </c>
      <c r="BF594">
        <v>32011</v>
      </c>
      <c r="BG594" t="s">
        <v>6369</v>
      </c>
      <c r="BH594" t="s">
        <v>2787</v>
      </c>
      <c r="BI594">
        <v>-81.795357929046801</v>
      </c>
      <c r="BJ594">
        <v>30.5277190733912</v>
      </c>
      <c r="BK594" t="s">
        <v>6370</v>
      </c>
      <c r="BM594" t="s">
        <v>6371</v>
      </c>
      <c r="BN594" t="s">
        <v>548</v>
      </c>
      <c r="BO594">
        <v>32218</v>
      </c>
      <c r="BP594" t="s">
        <v>404</v>
      </c>
      <c r="BQ594">
        <v>200</v>
      </c>
      <c r="BR594" t="s">
        <v>405</v>
      </c>
      <c r="BS594">
        <v>1006</v>
      </c>
      <c r="BT594" t="s">
        <v>406</v>
      </c>
      <c r="BW594">
        <v>43560</v>
      </c>
      <c r="BX594" t="s">
        <v>407</v>
      </c>
      <c r="BY594" t="s">
        <v>408</v>
      </c>
      <c r="BZ594">
        <v>4</v>
      </c>
      <c r="CA594">
        <v>1989</v>
      </c>
      <c r="CB594">
        <v>1</v>
      </c>
      <c r="CC594">
        <v>1</v>
      </c>
      <c r="CD594">
        <v>2017</v>
      </c>
      <c r="CE594">
        <v>15000</v>
      </c>
      <c r="CF594">
        <v>33255</v>
      </c>
      <c r="CG594">
        <v>48255</v>
      </c>
      <c r="CH594">
        <v>2017</v>
      </c>
      <c r="CI594">
        <v>15000</v>
      </c>
      <c r="CJ594">
        <v>33255</v>
      </c>
      <c r="CK594">
        <v>48255</v>
      </c>
      <c r="CL594">
        <v>2017</v>
      </c>
      <c r="CM594">
        <v>631.54</v>
      </c>
      <c r="CN594" s="1">
        <v>42271</v>
      </c>
      <c r="CZ594" s="1">
        <v>42271</v>
      </c>
      <c r="DD594" t="s">
        <v>2785</v>
      </c>
      <c r="DG594">
        <v>3</v>
      </c>
      <c r="DL594">
        <v>50502</v>
      </c>
      <c r="DM594" t="s">
        <v>6372</v>
      </c>
      <c r="DO594" t="s">
        <v>6373</v>
      </c>
      <c r="DP594">
        <v>0</v>
      </c>
      <c r="DQ594">
        <v>0</v>
      </c>
      <c r="DR594" t="s">
        <v>411</v>
      </c>
      <c r="EP594" t="s">
        <v>421</v>
      </c>
      <c r="EQ594" t="s">
        <v>422</v>
      </c>
      <c r="ER594">
        <v>0</v>
      </c>
      <c r="ES594">
        <v>7</v>
      </c>
      <c r="ET594">
        <v>0</v>
      </c>
      <c r="EU594">
        <v>0</v>
      </c>
      <c r="EV594">
        <v>0</v>
      </c>
      <c r="EW594" s="2">
        <v>43222</v>
      </c>
      <c r="EX594" s="1">
        <v>42879</v>
      </c>
      <c r="EY594">
        <v>2016</v>
      </c>
      <c r="EZ594">
        <v>580.38</v>
      </c>
      <c r="FA594" t="s">
        <v>6374</v>
      </c>
      <c r="FB594">
        <v>0.25</v>
      </c>
      <c r="FC594" t="s">
        <v>424</v>
      </c>
      <c r="FD594" t="s">
        <v>425</v>
      </c>
      <c r="FE594" s="1">
        <v>43108</v>
      </c>
      <c r="FF594">
        <v>8</v>
      </c>
      <c r="FG594">
        <v>2851116</v>
      </c>
      <c r="FH594" t="s">
        <v>480</v>
      </c>
      <c r="FJ594" s="1">
        <v>42879</v>
      </c>
      <c r="FK594">
        <v>2016</v>
      </c>
      <c r="FL594">
        <v>580.38</v>
      </c>
      <c r="FM594" t="s">
        <v>6374</v>
      </c>
      <c r="FN594">
        <v>0.25</v>
      </c>
      <c r="FO594" t="s">
        <v>424</v>
      </c>
      <c r="FP594" t="s">
        <v>425</v>
      </c>
      <c r="FR594">
        <v>22</v>
      </c>
      <c r="FS594">
        <v>4899442</v>
      </c>
      <c r="FT594" t="s">
        <v>6375</v>
      </c>
      <c r="FV594" s="1">
        <v>41787</v>
      </c>
      <c r="FW594">
        <v>2013</v>
      </c>
      <c r="FX594">
        <v>389.09</v>
      </c>
      <c r="FY594" t="s">
        <v>6376</v>
      </c>
      <c r="FZ594">
        <v>2.25</v>
      </c>
      <c r="GA594" t="s">
        <v>424</v>
      </c>
      <c r="GB594" t="s">
        <v>425</v>
      </c>
      <c r="GC594" s="1">
        <v>42360</v>
      </c>
      <c r="GD594">
        <v>19</v>
      </c>
      <c r="GE594">
        <v>15399</v>
      </c>
      <c r="GF594" t="s">
        <v>485</v>
      </c>
      <c r="GH594" s="1">
        <v>41423</v>
      </c>
      <c r="GI594">
        <v>2012</v>
      </c>
      <c r="GJ594">
        <v>448.64</v>
      </c>
      <c r="GK594" t="s">
        <v>6377</v>
      </c>
      <c r="GL594">
        <v>3.5</v>
      </c>
      <c r="GM594" t="s">
        <v>424</v>
      </c>
      <c r="GN594" t="s">
        <v>425</v>
      </c>
      <c r="GO594" s="1">
        <v>42086</v>
      </c>
      <c r="GP594">
        <v>22</v>
      </c>
      <c r="GQ594">
        <v>15399</v>
      </c>
      <c r="GR594" t="s">
        <v>485</v>
      </c>
      <c r="GT594" s="1">
        <v>41052</v>
      </c>
      <c r="GU594">
        <v>2011</v>
      </c>
      <c r="GV594">
        <v>494.87</v>
      </c>
      <c r="GW594" t="s">
        <v>6378</v>
      </c>
      <c r="GX594">
        <v>7</v>
      </c>
      <c r="GY594" t="s">
        <v>424</v>
      </c>
      <c r="GZ594" t="s">
        <v>425</v>
      </c>
      <c r="HA594" s="1">
        <v>41733</v>
      </c>
      <c r="HB594">
        <v>23</v>
      </c>
      <c r="HC594">
        <v>10125</v>
      </c>
      <c r="HD594" t="s">
        <v>440</v>
      </c>
      <c r="HF594" s="1">
        <v>40688</v>
      </c>
      <c r="HG594">
        <v>2010</v>
      </c>
      <c r="HH594">
        <v>504.41</v>
      </c>
      <c r="HI594" t="s">
        <v>6379</v>
      </c>
      <c r="HJ594">
        <v>8</v>
      </c>
      <c r="HK594" t="s">
        <v>424</v>
      </c>
      <c r="HL594" t="s">
        <v>425</v>
      </c>
      <c r="HM594" s="1">
        <v>41337</v>
      </c>
      <c r="HN594">
        <v>22</v>
      </c>
      <c r="HO594">
        <v>15175</v>
      </c>
      <c r="HP594" t="s">
        <v>588</v>
      </c>
      <c r="HR594" s="1">
        <v>40688</v>
      </c>
      <c r="HS594">
        <v>2010</v>
      </c>
      <c r="HT594">
        <v>504.41</v>
      </c>
      <c r="HU594" t="s">
        <v>6379</v>
      </c>
      <c r="HV594">
        <v>8</v>
      </c>
      <c r="HW594" t="s">
        <v>424</v>
      </c>
      <c r="HX594" t="s">
        <v>425</v>
      </c>
      <c r="HZ594">
        <v>22</v>
      </c>
      <c r="IA594">
        <v>10548</v>
      </c>
      <c r="IB594" t="s">
        <v>589</v>
      </c>
    </row>
    <row r="595" spans="1:272" x14ac:dyDescent="0.25">
      <c r="A595">
        <v>16485602</v>
      </c>
      <c r="B595">
        <v>594</v>
      </c>
      <c r="C595" t="s">
        <v>393</v>
      </c>
      <c r="D595" t="s">
        <v>394</v>
      </c>
      <c r="F595" t="str">
        <f>"03-1N-25-0000-0001-0270"</f>
        <v>03-1N-25-0000-0001-0270</v>
      </c>
      <c r="H595" t="str">
        <f>"BAKER SUSAN B"</f>
        <v>BAKER SUSAN B</v>
      </c>
      <c r="I595" t="str">
        <f>"PO BOX 343"</f>
        <v>PO BOX 343</v>
      </c>
      <c r="J595" t="str">
        <f>"CALLAHAN FL 32011"</f>
        <v>CALLAHAN FL 32011</v>
      </c>
      <c r="K595" t="str">
        <f>"CHURCH RD"</f>
        <v>CHURCH RD</v>
      </c>
      <c r="L595" t="str">
        <f t="shared" si="181"/>
        <v>CALLAHAN FL 32011</v>
      </c>
      <c r="M595" t="str">
        <f>"IN OR 854/55"</f>
        <v>IN OR 854/55</v>
      </c>
      <c r="N595" t="str">
        <f>""</f>
        <v/>
      </c>
      <c r="O595" t="str">
        <f>"18619"</f>
        <v>18619</v>
      </c>
      <c r="P595" t="str">
        <f t="shared" si="176"/>
        <v>2017</v>
      </c>
      <c r="Q595" t="str">
        <f>""</f>
        <v/>
      </c>
      <c r="R595" t="str">
        <f t="shared" si="174"/>
        <v>N</v>
      </c>
      <c r="S595" t="str">
        <f>"1.20"</f>
        <v>1.20</v>
      </c>
      <c r="T595" t="str">
        <f>"221.06"</f>
        <v>221.06</v>
      </c>
      <c r="U595" t="str">
        <f>"13686.00"</f>
        <v>13686.00</v>
      </c>
      <c r="V595" t="str">
        <f>"13686.00"</f>
        <v>13686.00</v>
      </c>
      <c r="W595" t="str">
        <f t="shared" si="177"/>
        <v>2017</v>
      </c>
      <c r="X595" t="str">
        <f>"17.60"</f>
        <v>17.60</v>
      </c>
      <c r="Y595" t="str">
        <f>"259.69"</f>
        <v>259.69</v>
      </c>
      <c r="Z595" t="str">
        <f>""</f>
        <v/>
      </c>
      <c r="AA595" t="str">
        <f>"15787.00"</f>
        <v>15787.00</v>
      </c>
      <c r="AB595" t="str">
        <f t="shared" si="180"/>
        <v>Residential</v>
      </c>
      <c r="AC595" t="str">
        <f t="shared" si="161"/>
        <v>0</v>
      </c>
      <c r="AD595" t="str">
        <f>""</f>
        <v/>
      </c>
      <c r="AE595" t="str">
        <f>""</f>
        <v/>
      </c>
      <c r="AF595" t="str">
        <f>"000"</f>
        <v>000</v>
      </c>
      <c r="AG595" t="str">
        <f t="shared" si="179"/>
        <v>FL</v>
      </c>
      <c r="AH595" t="str">
        <f>"52272.00"</f>
        <v>52272.00</v>
      </c>
      <c r="AI595" t="str">
        <f>"14400.00"</f>
        <v>14400.00</v>
      </c>
      <c r="AJ595" t="str">
        <f>"C55-000-586-4242-2"</f>
        <v>C55-000-586-4242-2</v>
      </c>
      <c r="AK595" t="str">
        <f>"9597"</f>
        <v>9597</v>
      </c>
      <c r="AL595">
        <v>3</v>
      </c>
      <c r="AM595">
        <v>684</v>
      </c>
      <c r="AN595">
        <v>271.07</v>
      </c>
      <c r="AQ595" t="s">
        <v>6380</v>
      </c>
      <c r="AR595" t="s">
        <v>6380</v>
      </c>
      <c r="AS595" t="s">
        <v>6380</v>
      </c>
      <c r="AU595" t="s">
        <v>396</v>
      </c>
      <c r="AV595">
        <v>2017</v>
      </c>
      <c r="AW595" t="str">
        <f>"03-1N-25-0000-0001-0270 "</f>
        <v xml:space="preserve">03-1N-25-0000-0001-0270 </v>
      </c>
      <c r="AZ595" t="s">
        <v>2234</v>
      </c>
      <c r="BA595" t="s">
        <v>496</v>
      </c>
      <c r="BD595" t="s">
        <v>2785</v>
      </c>
      <c r="BE595" t="s">
        <v>393</v>
      </c>
      <c r="BF595">
        <v>32011</v>
      </c>
      <c r="BG595" t="s">
        <v>6381</v>
      </c>
      <c r="BH595" t="s">
        <v>2787</v>
      </c>
      <c r="BI595">
        <v>-81.790019689403096</v>
      </c>
      <c r="BJ595">
        <v>30.5256835260911</v>
      </c>
      <c r="BK595" t="s">
        <v>6382</v>
      </c>
      <c r="BM595" t="s">
        <v>6383</v>
      </c>
      <c r="BN595" t="s">
        <v>928</v>
      </c>
      <c r="BO595">
        <v>32011</v>
      </c>
      <c r="BP595" t="s">
        <v>404</v>
      </c>
      <c r="BQ595">
        <v>1</v>
      </c>
      <c r="BR595" t="s">
        <v>491</v>
      </c>
      <c r="BS595">
        <v>8001</v>
      </c>
      <c r="BT595" t="s">
        <v>492</v>
      </c>
      <c r="BW595">
        <v>52272</v>
      </c>
      <c r="BX595" t="s">
        <v>407</v>
      </c>
      <c r="BY595" t="s">
        <v>408</v>
      </c>
      <c r="CD595">
        <v>2017</v>
      </c>
      <c r="CE595">
        <v>14400</v>
      </c>
      <c r="CF595">
        <v>1387</v>
      </c>
      <c r="CG595">
        <v>15787</v>
      </c>
      <c r="CH595">
        <v>2017</v>
      </c>
      <c r="CI595">
        <v>14400</v>
      </c>
      <c r="CJ595">
        <v>1387</v>
      </c>
      <c r="CK595">
        <v>15787</v>
      </c>
      <c r="CL595">
        <v>2017</v>
      </c>
      <c r="CM595">
        <v>221.06</v>
      </c>
      <c r="CN595" s="1">
        <v>36097</v>
      </c>
      <c r="CZ595" s="1">
        <v>36097</v>
      </c>
      <c r="DD595" t="s">
        <v>2785</v>
      </c>
      <c r="DG595">
        <v>3</v>
      </c>
      <c r="DL595">
        <v>50502</v>
      </c>
      <c r="DM595" t="s">
        <v>6372</v>
      </c>
      <c r="DO595" t="s">
        <v>6384</v>
      </c>
      <c r="DP595">
        <v>0</v>
      </c>
      <c r="DQ595">
        <v>0</v>
      </c>
      <c r="DR595" t="s">
        <v>411</v>
      </c>
      <c r="DS595" t="s">
        <v>695</v>
      </c>
      <c r="EJ595">
        <v>0</v>
      </c>
      <c r="EK595">
        <v>0</v>
      </c>
      <c r="EP595" t="s">
        <v>421</v>
      </c>
      <c r="EQ595" t="s">
        <v>422</v>
      </c>
      <c r="ER595">
        <v>1</v>
      </c>
      <c r="ES595">
        <v>1</v>
      </c>
      <c r="ET595">
        <v>233.58</v>
      </c>
      <c r="EU595">
        <v>17.93</v>
      </c>
      <c r="EV595">
        <v>251.51</v>
      </c>
      <c r="EW595" s="2">
        <v>43222</v>
      </c>
      <c r="EX595" s="1">
        <v>42879</v>
      </c>
      <c r="EY595">
        <v>2016</v>
      </c>
      <c r="EZ595">
        <v>233.58</v>
      </c>
      <c r="FA595" t="s">
        <v>6385</v>
      </c>
      <c r="FB595">
        <v>4.75</v>
      </c>
      <c r="FC595" t="s">
        <v>424</v>
      </c>
      <c r="FD595" t="s">
        <v>454</v>
      </c>
      <c r="FF595">
        <v>12</v>
      </c>
      <c r="FG595">
        <v>10021</v>
      </c>
      <c r="FH595" t="s">
        <v>597</v>
      </c>
      <c r="FJ595" s="1">
        <v>42151</v>
      </c>
      <c r="FK595">
        <v>2014</v>
      </c>
      <c r="FL595">
        <v>235.68</v>
      </c>
      <c r="FM595" t="s">
        <v>6386</v>
      </c>
      <c r="FN595">
        <v>5.5</v>
      </c>
      <c r="FO595" t="s">
        <v>424</v>
      </c>
      <c r="FP595" t="s">
        <v>425</v>
      </c>
      <c r="FQ595" s="1">
        <v>42471</v>
      </c>
      <c r="FR595">
        <v>11</v>
      </c>
      <c r="FS595">
        <v>10125</v>
      </c>
      <c r="FT595" t="s">
        <v>440</v>
      </c>
    </row>
    <row r="596" spans="1:272" x14ac:dyDescent="0.25">
      <c r="A596">
        <v>16485603</v>
      </c>
      <c r="B596">
        <v>595</v>
      </c>
      <c r="C596" t="s">
        <v>393</v>
      </c>
      <c r="D596" t="s">
        <v>394</v>
      </c>
      <c r="F596" t="str">
        <f>"03-1N-25-0000-0003-0060"</f>
        <v>03-1N-25-0000-0003-0060</v>
      </c>
      <c r="H596" t="str">
        <f>"HALL EUGENE &amp; HALL VERNON W (JT/RS)"</f>
        <v>HALL EUGENE &amp; HALL VERNON W (JT/RS)</v>
      </c>
      <c r="I596" t="str">
        <f>"54123 CHURCH RD"</f>
        <v>54123 CHURCH RD</v>
      </c>
      <c r="J596" t="str">
        <f>"CALLAHAN FL 32011"</f>
        <v>CALLAHAN FL 32011</v>
      </c>
      <c r="K596" t="str">
        <f>"54123 CHURCH RD"</f>
        <v>54123 CHURCH RD</v>
      </c>
      <c r="L596" t="str">
        <f t="shared" si="181"/>
        <v>CALLAHAN FL 32011</v>
      </c>
      <c r="M596" t="str">
        <f>"IN OR 1077/853 1974 DPST DW/MH EX R/W OR 262/87 ESMT OR 287/74"</f>
        <v>IN OR 1077/853 1974 DPST DW/MH EX R/W OR 262/87 ESMT OR 287/74</v>
      </c>
      <c r="N596" t="str">
        <f>""</f>
        <v/>
      </c>
      <c r="O596" t="str">
        <f>"18670"</f>
        <v>18670</v>
      </c>
      <c r="P596" t="str">
        <f t="shared" si="176"/>
        <v>2017</v>
      </c>
      <c r="Q596" t="str">
        <f>""</f>
        <v/>
      </c>
      <c r="R596" t="str">
        <f t="shared" si="174"/>
        <v>N</v>
      </c>
      <c r="S596" t="str">
        <f>"1.00"</f>
        <v>1.00</v>
      </c>
      <c r="T596" t="str">
        <f>"485.24"</f>
        <v>485.24</v>
      </c>
      <c r="U596" t="str">
        <f>"32049.00"</f>
        <v>32049.00</v>
      </c>
      <c r="V596" t="str">
        <f>"32049.00"</f>
        <v>32049.00</v>
      </c>
      <c r="W596" t="str">
        <f t="shared" si="177"/>
        <v>2017</v>
      </c>
      <c r="X596" t="str">
        <f>"12.44"</f>
        <v>12.44</v>
      </c>
      <c r="Y596" t="str">
        <f>"531.80"</f>
        <v>531.80</v>
      </c>
      <c r="Z596" t="str">
        <f>""</f>
        <v/>
      </c>
      <c r="AA596" t="str">
        <f>"32057.00"</f>
        <v>32057.00</v>
      </c>
      <c r="AB596" t="str">
        <f t="shared" si="180"/>
        <v>Residential</v>
      </c>
      <c r="AC596" t="str">
        <f t="shared" si="161"/>
        <v>0</v>
      </c>
      <c r="AD596" t="str">
        <f t="shared" ref="AD596:AD605" si="182">"4"</f>
        <v>4</v>
      </c>
      <c r="AE596" t="str">
        <f t="shared" ref="AE596:AE605" si="183">"WOOD (INCLUDE STEEL STUDS)"</f>
        <v>WOOD (INCLUDE STEEL STUDS)</v>
      </c>
      <c r="AF596" t="str">
        <f t="shared" ref="AF596:AF601" si="184">"002"</f>
        <v>002</v>
      </c>
      <c r="AG596" t="str">
        <f t="shared" si="179"/>
        <v>FL</v>
      </c>
      <c r="AH596" t="str">
        <f>"43560.00"</f>
        <v>43560.00</v>
      </c>
      <c r="AI596" t="str">
        <f>"15000.00"</f>
        <v>15000.00</v>
      </c>
      <c r="AJ596" t="str">
        <f>"C55-000-586-4278-6"</f>
        <v>C55-000-586-4278-6</v>
      </c>
      <c r="AK596" t="str">
        <f>"9639"</f>
        <v>9639</v>
      </c>
      <c r="AL596">
        <v>3</v>
      </c>
      <c r="AM596">
        <v>686</v>
      </c>
      <c r="AN596">
        <v>556.79</v>
      </c>
      <c r="AQ596" t="s">
        <v>6387</v>
      </c>
      <c r="AR596" t="s">
        <v>6387</v>
      </c>
      <c r="AS596" t="s">
        <v>6387</v>
      </c>
      <c r="AU596" t="s">
        <v>396</v>
      </c>
      <c r="AV596">
        <v>2017</v>
      </c>
      <c r="AW596" t="str">
        <f>"03-1N-25-0000-0003-0060 "</f>
        <v xml:space="preserve">03-1N-25-0000-0003-0060 </v>
      </c>
      <c r="AX596">
        <v>54123</v>
      </c>
      <c r="AZ596" t="s">
        <v>2234</v>
      </c>
      <c r="BA596" t="s">
        <v>496</v>
      </c>
      <c r="BD596" t="s">
        <v>2785</v>
      </c>
      <c r="BE596" t="s">
        <v>393</v>
      </c>
      <c r="BF596">
        <v>32011</v>
      </c>
      <c r="BG596" t="s">
        <v>6388</v>
      </c>
      <c r="BH596" t="s">
        <v>2787</v>
      </c>
      <c r="BI596">
        <v>-81.796210978580206</v>
      </c>
      <c r="BJ596">
        <v>30.5256902761341</v>
      </c>
      <c r="BK596" t="s">
        <v>6389</v>
      </c>
      <c r="BL596" t="s">
        <v>6390</v>
      </c>
      <c r="BM596" t="s">
        <v>6388</v>
      </c>
      <c r="BN596" t="s">
        <v>928</v>
      </c>
      <c r="BO596">
        <v>32011</v>
      </c>
      <c r="BP596" t="s">
        <v>416</v>
      </c>
      <c r="BQ596">
        <v>200</v>
      </c>
      <c r="BR596" t="s">
        <v>405</v>
      </c>
      <c r="BS596">
        <v>1006</v>
      </c>
      <c r="BT596" t="s">
        <v>406</v>
      </c>
      <c r="BW596">
        <v>43560</v>
      </c>
      <c r="BX596" t="s">
        <v>407</v>
      </c>
      <c r="BY596" t="s">
        <v>408</v>
      </c>
      <c r="BZ596">
        <v>4</v>
      </c>
      <c r="CA596">
        <v>1974</v>
      </c>
      <c r="CB596">
        <v>1</v>
      </c>
      <c r="CC596">
        <v>1</v>
      </c>
      <c r="CD596">
        <v>2017</v>
      </c>
      <c r="CE596">
        <v>15000</v>
      </c>
      <c r="CF596">
        <v>17057</v>
      </c>
      <c r="CG596">
        <v>32057</v>
      </c>
      <c r="CH596">
        <v>2017</v>
      </c>
      <c r="CI596">
        <v>15000</v>
      </c>
      <c r="CJ596">
        <v>17057</v>
      </c>
      <c r="CK596">
        <v>32057</v>
      </c>
      <c r="CL596">
        <v>2017</v>
      </c>
      <c r="CM596">
        <v>485.24</v>
      </c>
      <c r="CN596" s="1">
        <v>37496</v>
      </c>
      <c r="CZ596" s="1">
        <v>37496</v>
      </c>
      <c r="DD596" t="s">
        <v>2785</v>
      </c>
      <c r="DG596">
        <v>3</v>
      </c>
      <c r="DL596">
        <v>50502</v>
      </c>
      <c r="DM596" t="s">
        <v>6372</v>
      </c>
      <c r="DO596" t="s">
        <v>6391</v>
      </c>
      <c r="DP596">
        <v>0</v>
      </c>
      <c r="DQ596">
        <v>1</v>
      </c>
      <c r="DR596" t="s">
        <v>1479</v>
      </c>
      <c r="DS596" t="b">
        <v>1</v>
      </c>
      <c r="DT596" t="s">
        <v>470</v>
      </c>
      <c r="DU596" t="s">
        <v>471</v>
      </c>
      <c r="DV596" t="s">
        <v>472</v>
      </c>
      <c r="DX596">
        <v>-9999</v>
      </c>
      <c r="DZ596" t="s">
        <v>447</v>
      </c>
      <c r="EA596" t="s">
        <v>448</v>
      </c>
      <c r="EB596" t="s">
        <v>742</v>
      </c>
      <c r="EC596">
        <v>20101217</v>
      </c>
      <c r="ED596" t="s">
        <v>474</v>
      </c>
      <c r="EF596">
        <v>2563.1999999999998</v>
      </c>
      <c r="EG596">
        <v>2563.1999999999998</v>
      </c>
      <c r="EI596">
        <v>20160407</v>
      </c>
      <c r="EJ596">
        <v>0</v>
      </c>
      <c r="EK596">
        <v>0</v>
      </c>
      <c r="EP596" t="s">
        <v>421</v>
      </c>
      <c r="EQ596" t="s">
        <v>422</v>
      </c>
      <c r="ER596">
        <v>0</v>
      </c>
      <c r="ES596">
        <v>8</v>
      </c>
      <c r="ET596">
        <v>0</v>
      </c>
      <c r="EU596">
        <v>0</v>
      </c>
      <c r="EV596">
        <v>0</v>
      </c>
      <c r="EW596" s="2">
        <v>43222</v>
      </c>
      <c r="EX596" s="1">
        <v>42879</v>
      </c>
      <c r="EY596">
        <v>2016</v>
      </c>
      <c r="EZ596">
        <v>510.7</v>
      </c>
      <c r="FA596" t="s">
        <v>6392</v>
      </c>
      <c r="FB596">
        <v>0.25</v>
      </c>
      <c r="FC596" t="s">
        <v>424</v>
      </c>
      <c r="FD596" t="s">
        <v>425</v>
      </c>
      <c r="FE596" s="1">
        <v>43031</v>
      </c>
      <c r="FF596">
        <v>5</v>
      </c>
      <c r="FG596">
        <v>7400234</v>
      </c>
      <c r="FH596" t="s">
        <v>426</v>
      </c>
      <c r="FJ596" s="1">
        <v>42879</v>
      </c>
      <c r="FK596">
        <v>2016</v>
      </c>
      <c r="FL596">
        <v>510.7</v>
      </c>
      <c r="FM596" t="s">
        <v>6392</v>
      </c>
      <c r="FN596">
        <v>0.25</v>
      </c>
      <c r="FO596" t="s">
        <v>424</v>
      </c>
      <c r="FP596" t="s">
        <v>425</v>
      </c>
      <c r="FR596">
        <v>22</v>
      </c>
      <c r="FS596">
        <v>7434826</v>
      </c>
      <c r="FT596" t="s">
        <v>6393</v>
      </c>
      <c r="FV596" s="1">
        <v>42515</v>
      </c>
      <c r="FW596">
        <v>2015</v>
      </c>
      <c r="FX596">
        <v>561.07000000000005</v>
      </c>
      <c r="FY596" t="s">
        <v>6394</v>
      </c>
      <c r="FZ596">
        <v>0.25</v>
      </c>
      <c r="GA596" t="s">
        <v>424</v>
      </c>
      <c r="GB596" t="s">
        <v>425</v>
      </c>
      <c r="GC596" s="1">
        <v>43031</v>
      </c>
      <c r="GD596">
        <v>17</v>
      </c>
      <c r="GE596">
        <v>2851116</v>
      </c>
      <c r="GF596" t="s">
        <v>480</v>
      </c>
      <c r="GH596" s="1">
        <v>42515</v>
      </c>
      <c r="GI596">
        <v>2015</v>
      </c>
      <c r="GJ596">
        <v>561.07000000000005</v>
      </c>
      <c r="GK596" t="s">
        <v>6394</v>
      </c>
      <c r="GL596">
        <v>0.25</v>
      </c>
      <c r="GM596" t="s">
        <v>424</v>
      </c>
      <c r="GN596" t="s">
        <v>425</v>
      </c>
      <c r="GP596">
        <v>22</v>
      </c>
      <c r="GQ596">
        <v>4971400</v>
      </c>
      <c r="GR596" t="s">
        <v>6395</v>
      </c>
      <c r="GT596" s="1">
        <v>42151</v>
      </c>
      <c r="GU596">
        <v>2014</v>
      </c>
      <c r="GV596">
        <v>495.36</v>
      </c>
      <c r="GW596" t="s">
        <v>6396</v>
      </c>
      <c r="GX596">
        <v>3.75</v>
      </c>
      <c r="GY596" t="s">
        <v>424</v>
      </c>
      <c r="GZ596" t="s">
        <v>425</v>
      </c>
      <c r="HA596" s="1">
        <v>42515</v>
      </c>
      <c r="HB596">
        <v>12</v>
      </c>
      <c r="HC596">
        <v>4975593</v>
      </c>
      <c r="HD596" t="s">
        <v>505</v>
      </c>
      <c r="HF596" s="1">
        <v>41787</v>
      </c>
      <c r="HG596">
        <v>2013</v>
      </c>
      <c r="HH596">
        <v>521.23</v>
      </c>
      <c r="HI596" t="s">
        <v>6397</v>
      </c>
      <c r="HJ596">
        <v>0.25</v>
      </c>
      <c r="HK596" t="s">
        <v>424</v>
      </c>
      <c r="HL596" t="s">
        <v>425</v>
      </c>
      <c r="HM596" s="1">
        <v>42118</v>
      </c>
      <c r="HN596">
        <v>11</v>
      </c>
      <c r="HO596">
        <v>13026</v>
      </c>
      <c r="HP596" t="s">
        <v>2129</v>
      </c>
      <c r="HR596" s="1">
        <v>41052</v>
      </c>
      <c r="HS596">
        <v>2011</v>
      </c>
      <c r="HT596">
        <v>635.04999999999995</v>
      </c>
      <c r="HU596" t="s">
        <v>6398</v>
      </c>
      <c r="HV596">
        <v>6.75</v>
      </c>
      <c r="HW596" t="s">
        <v>424</v>
      </c>
      <c r="HX596" t="s">
        <v>425</v>
      </c>
      <c r="HY596" s="1">
        <v>41688</v>
      </c>
      <c r="HZ596">
        <v>21</v>
      </c>
      <c r="IA596">
        <v>10125</v>
      </c>
      <c r="IB596" t="s">
        <v>440</v>
      </c>
      <c r="ID596" s="1">
        <v>40688</v>
      </c>
      <c r="IE596">
        <v>2010</v>
      </c>
      <c r="IF596">
        <v>221.72</v>
      </c>
      <c r="IG596" t="s">
        <v>6399</v>
      </c>
      <c r="IH596">
        <v>8</v>
      </c>
      <c r="II596" t="s">
        <v>424</v>
      </c>
      <c r="IJ596" t="s">
        <v>425</v>
      </c>
      <c r="IK596" s="1">
        <v>41054</v>
      </c>
      <c r="IL596">
        <v>12</v>
      </c>
      <c r="IM596">
        <v>10548</v>
      </c>
      <c r="IN596" t="s">
        <v>589</v>
      </c>
    </row>
    <row r="597" spans="1:272" x14ac:dyDescent="0.25">
      <c r="A597">
        <v>16485604</v>
      </c>
      <c r="B597">
        <v>596</v>
      </c>
      <c r="C597" t="s">
        <v>393</v>
      </c>
      <c r="D597" t="s">
        <v>394</v>
      </c>
      <c r="F597" t="str">
        <f>"03-1N-25-0620-0001-0000"</f>
        <v>03-1N-25-0620-0001-0000</v>
      </c>
      <c r="H597" t="str">
        <f>"MEEKS GARY L"</f>
        <v>MEEKS GARY L</v>
      </c>
      <c r="I597" t="str">
        <f>"54143 HONEYSUCKLE LANE"</f>
        <v>54143 HONEYSUCKLE LANE</v>
      </c>
      <c r="J597" t="str">
        <f>"CALLAHAN FL 32011"</f>
        <v>CALLAHAN FL 32011</v>
      </c>
      <c r="K597" t="str">
        <f>"54143 HONEYSUCKLE LN"</f>
        <v>54143 HONEYSUCKLE LN</v>
      </c>
      <c r="L597" t="str">
        <f t="shared" si="181"/>
        <v>CALLAHAN FL 32011</v>
      </c>
      <c r="M597" t="str">
        <f>"LOT 1 R497590 IN OR 729 PG 1557 GARDEN POINT PB 5/94"</f>
        <v>LOT 1 R497590 IN OR 729 PG 1557 GARDEN POINT PB 5/94</v>
      </c>
      <c r="N597" t="str">
        <f>""</f>
        <v/>
      </c>
      <c r="O597" t="str">
        <f>"18734"</f>
        <v>18734</v>
      </c>
      <c r="P597" t="str">
        <f t="shared" si="176"/>
        <v>2017</v>
      </c>
      <c r="Q597" t="str">
        <f>""</f>
        <v/>
      </c>
      <c r="R597" t="str">
        <f t="shared" si="174"/>
        <v>N</v>
      </c>
      <c r="S597" t="str">
        <f>"1.00"</f>
        <v>1.00</v>
      </c>
      <c r="T597" t="str">
        <f>"315.75"</f>
        <v>315.75</v>
      </c>
      <c r="U597" t="str">
        <f>"19434.00"</f>
        <v>19434.00</v>
      </c>
      <c r="V597" t="str">
        <f>"19434.00"</f>
        <v>19434.00</v>
      </c>
      <c r="W597" t="str">
        <f t="shared" si="177"/>
        <v>2017</v>
      </c>
      <c r="X597" t="str">
        <f>"18.67"</f>
        <v>18.67</v>
      </c>
      <c r="Y597" t="str">
        <f>"357.22"</f>
        <v>357.22</v>
      </c>
      <c r="Z597" t="str">
        <f>""</f>
        <v/>
      </c>
      <c r="AA597" t="str">
        <f>"22702.00"</f>
        <v>22702.00</v>
      </c>
      <c r="AB597" t="str">
        <f t="shared" si="180"/>
        <v>Residential</v>
      </c>
      <c r="AC597" t="str">
        <f t="shared" si="161"/>
        <v>0</v>
      </c>
      <c r="AD597" t="str">
        <f t="shared" si="182"/>
        <v>4</v>
      </c>
      <c r="AE597" t="str">
        <f t="shared" si="183"/>
        <v>WOOD (INCLUDE STEEL STUDS)</v>
      </c>
      <c r="AF597" t="str">
        <f t="shared" si="184"/>
        <v>002</v>
      </c>
      <c r="AG597" t="str">
        <f t="shared" si="179"/>
        <v>FL</v>
      </c>
      <c r="AH597" t="str">
        <f>"43560.00"</f>
        <v>43560.00</v>
      </c>
      <c r="AI597" t="str">
        <f>"15000.00"</f>
        <v>15000.00</v>
      </c>
      <c r="AJ597" t="str">
        <f>"C55-000-586-4285-1"</f>
        <v>C55-000-586-4285-1</v>
      </c>
      <c r="AK597" t="str">
        <f>"9698"</f>
        <v>9698</v>
      </c>
      <c r="AL597">
        <v>3</v>
      </c>
      <c r="AM597">
        <v>687</v>
      </c>
      <c r="AN597">
        <v>373.48</v>
      </c>
      <c r="AQ597" t="s">
        <v>6400</v>
      </c>
      <c r="AR597" t="s">
        <v>6400</v>
      </c>
      <c r="AS597" t="s">
        <v>6400</v>
      </c>
      <c r="AU597" t="s">
        <v>396</v>
      </c>
      <c r="AV597">
        <v>2017</v>
      </c>
      <c r="AW597" t="str">
        <f>"03-1N-25-0620-0001-0000 "</f>
        <v xml:space="preserve">03-1N-25-0620-0001-0000 </v>
      </c>
      <c r="AX597">
        <v>54143</v>
      </c>
      <c r="AZ597" t="s">
        <v>6401</v>
      </c>
      <c r="BA597" t="s">
        <v>653</v>
      </c>
      <c r="BD597" t="s">
        <v>2785</v>
      </c>
      <c r="BE597" t="s">
        <v>393</v>
      </c>
      <c r="BF597">
        <v>32011</v>
      </c>
      <c r="BG597" t="s">
        <v>6402</v>
      </c>
      <c r="BH597" t="s">
        <v>2787</v>
      </c>
      <c r="BI597">
        <v>-81.790008181355503</v>
      </c>
      <c r="BJ597">
        <v>30.537042934582299</v>
      </c>
      <c r="BK597" t="s">
        <v>6403</v>
      </c>
      <c r="BM597" t="s">
        <v>6402</v>
      </c>
      <c r="BN597" t="s">
        <v>928</v>
      </c>
      <c r="BO597">
        <v>32011</v>
      </c>
      <c r="BP597" t="s">
        <v>416</v>
      </c>
      <c r="BQ597">
        <v>200</v>
      </c>
      <c r="BR597" t="s">
        <v>405</v>
      </c>
      <c r="BS597">
        <v>1006</v>
      </c>
      <c r="BT597" t="s">
        <v>406</v>
      </c>
      <c r="BW597">
        <v>43560</v>
      </c>
      <c r="BX597" t="s">
        <v>407</v>
      </c>
      <c r="BY597" t="s">
        <v>408</v>
      </c>
      <c r="BZ597">
        <v>4</v>
      </c>
      <c r="CA597">
        <v>1979</v>
      </c>
      <c r="CB597">
        <v>1</v>
      </c>
      <c r="CC597">
        <v>1</v>
      </c>
      <c r="CD597">
        <v>2017</v>
      </c>
      <c r="CE597">
        <v>15000</v>
      </c>
      <c r="CF597">
        <v>7702</v>
      </c>
      <c r="CG597">
        <v>22702</v>
      </c>
      <c r="CH597">
        <v>2017</v>
      </c>
      <c r="CI597">
        <v>15000</v>
      </c>
      <c r="CJ597">
        <v>7702</v>
      </c>
      <c r="CK597">
        <v>22702</v>
      </c>
      <c r="CL597">
        <v>2017</v>
      </c>
      <c r="CM597">
        <v>315.75</v>
      </c>
      <c r="CN597" s="1">
        <v>34836</v>
      </c>
      <c r="CO597">
        <v>26000</v>
      </c>
      <c r="CZ597" s="1">
        <v>34836</v>
      </c>
      <c r="DD597" t="s">
        <v>2785</v>
      </c>
      <c r="DF597">
        <v>1</v>
      </c>
      <c r="DG597">
        <v>3</v>
      </c>
      <c r="DJ597" t="s">
        <v>6404</v>
      </c>
      <c r="DL597">
        <v>50502</v>
      </c>
      <c r="DM597" t="s">
        <v>6372</v>
      </c>
      <c r="DO597" t="s">
        <v>6405</v>
      </c>
      <c r="DP597">
        <v>0</v>
      </c>
      <c r="DQ597">
        <v>0</v>
      </c>
      <c r="DR597" t="s">
        <v>411</v>
      </c>
      <c r="DS597" t="b">
        <v>1</v>
      </c>
      <c r="DT597" t="s">
        <v>470</v>
      </c>
      <c r="DU597" t="s">
        <v>471</v>
      </c>
      <c r="DV597" t="s">
        <v>472</v>
      </c>
      <c r="DX597">
        <v>-9999</v>
      </c>
      <c r="DZ597" t="s">
        <v>447</v>
      </c>
      <c r="EA597" t="s">
        <v>448</v>
      </c>
      <c r="EB597" t="s">
        <v>6406</v>
      </c>
      <c r="EC597">
        <v>20101217</v>
      </c>
      <c r="ED597" t="s">
        <v>474</v>
      </c>
      <c r="EF597">
        <v>371</v>
      </c>
      <c r="EG597">
        <v>371</v>
      </c>
      <c r="EH597" t="s">
        <v>6407</v>
      </c>
      <c r="EI597">
        <v>20160407</v>
      </c>
      <c r="EJ597">
        <v>0</v>
      </c>
      <c r="EK597">
        <v>0</v>
      </c>
      <c r="EP597" t="s">
        <v>421</v>
      </c>
      <c r="EQ597" t="s">
        <v>422</v>
      </c>
      <c r="ER597">
        <v>1</v>
      </c>
      <c r="ES597">
        <v>1</v>
      </c>
      <c r="ET597">
        <v>340.77</v>
      </c>
      <c r="EU597">
        <v>23.29</v>
      </c>
      <c r="EV597">
        <v>364.06</v>
      </c>
      <c r="EW597" s="2">
        <v>43222</v>
      </c>
      <c r="EX597" s="1">
        <v>42879</v>
      </c>
      <c r="EY597">
        <v>2016</v>
      </c>
      <c r="EZ597">
        <v>340.77</v>
      </c>
      <c r="FA597" t="s">
        <v>6408</v>
      </c>
      <c r="FB597">
        <v>4.75</v>
      </c>
      <c r="FC597" t="s">
        <v>424</v>
      </c>
      <c r="FD597" t="s">
        <v>454</v>
      </c>
      <c r="FF597">
        <v>12</v>
      </c>
      <c r="FG597">
        <v>10021</v>
      </c>
      <c r="FH597" t="s">
        <v>597</v>
      </c>
      <c r="FJ597" s="1">
        <v>42515</v>
      </c>
      <c r="FK597">
        <v>2015</v>
      </c>
      <c r="FL597">
        <v>329.51</v>
      </c>
      <c r="FM597" t="s">
        <v>6409</v>
      </c>
      <c r="FN597">
        <v>14.75</v>
      </c>
      <c r="FO597" t="s">
        <v>424</v>
      </c>
      <c r="FP597" t="s">
        <v>425</v>
      </c>
      <c r="FQ597" s="1">
        <v>43136</v>
      </c>
      <c r="FR597">
        <v>21</v>
      </c>
      <c r="FS597">
        <v>7336143</v>
      </c>
      <c r="FT597" t="s">
        <v>539</v>
      </c>
    </row>
    <row r="598" spans="1:272" x14ac:dyDescent="0.25">
      <c r="A598">
        <v>16485605</v>
      </c>
      <c r="B598">
        <v>597</v>
      </c>
      <c r="C598" t="s">
        <v>393</v>
      </c>
      <c r="D598" t="s">
        <v>394</v>
      </c>
      <c r="F598" t="str">
        <f>"03-1N-25-0620-0006-0000"</f>
        <v>03-1N-25-0620-0006-0000</v>
      </c>
      <c r="H598" t="str">
        <f>"MEEKS GARY L"</f>
        <v>MEEKS GARY L</v>
      </c>
      <c r="I598" t="str">
        <f>"54051 HONEYSUCKLE LANE"</f>
        <v>54051 HONEYSUCKLE LANE</v>
      </c>
      <c r="J598" t="str">
        <f>"CALLAHAN FL 32011"</f>
        <v>CALLAHAN FL 32011</v>
      </c>
      <c r="K598" t="str">
        <f>"54051 HONEYSUCKLE LN"</f>
        <v>54051 HONEYSUCKLE LN</v>
      </c>
      <c r="L598" t="str">
        <f t="shared" si="181"/>
        <v>CALLAHAN FL 32011</v>
      </c>
      <c r="M598" t="str">
        <f>"LOT 6 2001 FLEETWOOD DW IN OR 600/432 &amp; 434 GARDEN POINT PB 5/94"</f>
        <v>LOT 6 2001 FLEETWOOD DW IN OR 600/432 &amp; 434 GARDEN POINT PB 5/94</v>
      </c>
      <c r="N598" t="str">
        <f>""</f>
        <v/>
      </c>
      <c r="O598" t="str">
        <f>"18738"</f>
        <v>18738</v>
      </c>
      <c r="P598" t="str">
        <f t="shared" si="176"/>
        <v>2017</v>
      </c>
      <c r="Q598" t="str">
        <f>""</f>
        <v/>
      </c>
      <c r="R598" t="str">
        <f>"Y"</f>
        <v>Y</v>
      </c>
      <c r="S598" t="str">
        <f>"1.00"</f>
        <v>1.00</v>
      </c>
      <c r="T598" t="str">
        <f>"412.81"</f>
        <v>412.81</v>
      </c>
      <c r="U598" t="str">
        <f>"55680.00"</f>
        <v>55680.00</v>
      </c>
      <c r="V598" t="str">
        <f>"55680.00"</f>
        <v>55680.00</v>
      </c>
      <c r="W598" t="str">
        <f t="shared" si="177"/>
        <v>2017</v>
      </c>
      <c r="X598" t="str">
        <f>"12.00"</f>
        <v>12.00</v>
      </c>
      <c r="Y598" t="str">
        <f>"457.19"</f>
        <v>457.19</v>
      </c>
      <c r="Z598" t="str">
        <f>"25500.00"</f>
        <v>25500.00</v>
      </c>
      <c r="AA598" t="str">
        <f>"30180.00"</f>
        <v>30180.00</v>
      </c>
      <c r="AB598" t="str">
        <f t="shared" si="180"/>
        <v>Residential</v>
      </c>
      <c r="AC598" t="str">
        <f t="shared" si="161"/>
        <v>0</v>
      </c>
      <c r="AD598" t="str">
        <f t="shared" si="182"/>
        <v>4</v>
      </c>
      <c r="AE598" t="str">
        <f t="shared" si="183"/>
        <v>WOOD (INCLUDE STEEL STUDS)</v>
      </c>
      <c r="AF598" t="str">
        <f t="shared" si="184"/>
        <v>002</v>
      </c>
      <c r="AG598" t="str">
        <f t="shared" si="179"/>
        <v>FL</v>
      </c>
      <c r="AH598" t="str">
        <f>"43560.00"</f>
        <v>43560.00</v>
      </c>
      <c r="AI598" t="str">
        <f>"15000.00"</f>
        <v>15000.00</v>
      </c>
      <c r="AJ598" t="str">
        <f>"C55-000-586-4289-3"</f>
        <v>C55-000-586-4289-3</v>
      </c>
      <c r="AK598" t="str">
        <f>"9702"</f>
        <v>9702</v>
      </c>
      <c r="AL598">
        <v>3</v>
      </c>
      <c r="AM598">
        <v>688</v>
      </c>
      <c r="AN598">
        <v>478.45</v>
      </c>
      <c r="AQ598" t="s">
        <v>6410</v>
      </c>
      <c r="AR598" t="s">
        <v>6410</v>
      </c>
      <c r="AS598" t="s">
        <v>6410</v>
      </c>
      <c r="AU598" t="s">
        <v>396</v>
      </c>
      <c r="AV598">
        <v>2017</v>
      </c>
      <c r="AW598" t="str">
        <f>"03-1N-25-0620-0006-0000 "</f>
        <v xml:space="preserve">03-1N-25-0620-0006-0000 </v>
      </c>
      <c r="AX598">
        <v>54051</v>
      </c>
      <c r="AZ598" t="s">
        <v>6401</v>
      </c>
      <c r="BA598" t="s">
        <v>653</v>
      </c>
      <c r="BD598" t="s">
        <v>2785</v>
      </c>
      <c r="BE598" t="s">
        <v>393</v>
      </c>
      <c r="BF598">
        <v>32011</v>
      </c>
      <c r="BG598" t="s">
        <v>6411</v>
      </c>
      <c r="BH598" t="s">
        <v>2787</v>
      </c>
      <c r="BI598">
        <v>-81.791599712494701</v>
      </c>
      <c r="BJ598">
        <v>30.537127534400099</v>
      </c>
      <c r="BK598" t="s">
        <v>6403</v>
      </c>
      <c r="BM598" t="s">
        <v>6411</v>
      </c>
      <c r="BN598" t="s">
        <v>928</v>
      </c>
      <c r="BO598">
        <v>32011</v>
      </c>
      <c r="BP598" t="s">
        <v>416</v>
      </c>
      <c r="BQ598">
        <v>200</v>
      </c>
      <c r="BR598" t="s">
        <v>405</v>
      </c>
      <c r="BS598">
        <v>1006</v>
      </c>
      <c r="BT598" t="s">
        <v>406</v>
      </c>
      <c r="BW598">
        <v>43560</v>
      </c>
      <c r="BX598" t="s">
        <v>407</v>
      </c>
      <c r="BY598" t="s">
        <v>408</v>
      </c>
      <c r="BZ598">
        <v>4</v>
      </c>
      <c r="CA598">
        <v>2001</v>
      </c>
      <c r="CB598">
        <v>1</v>
      </c>
      <c r="CC598">
        <v>1</v>
      </c>
      <c r="CD598">
        <v>2017</v>
      </c>
      <c r="CG598">
        <v>55680</v>
      </c>
      <c r="CH598">
        <v>2017</v>
      </c>
      <c r="CI598">
        <v>15000</v>
      </c>
      <c r="CJ598">
        <v>61651</v>
      </c>
      <c r="CK598">
        <v>76651</v>
      </c>
      <c r="CL598">
        <v>2017</v>
      </c>
      <c r="CM598">
        <v>412.81</v>
      </c>
      <c r="CN598" s="1">
        <v>33049</v>
      </c>
      <c r="CZ598" s="1">
        <v>33049</v>
      </c>
      <c r="DD598" t="s">
        <v>2785</v>
      </c>
      <c r="DF598">
        <v>6</v>
      </c>
      <c r="DG598">
        <v>3</v>
      </c>
      <c r="DJ598" t="s">
        <v>6404</v>
      </c>
      <c r="DL598">
        <v>50502</v>
      </c>
      <c r="DM598" t="s">
        <v>6372</v>
      </c>
      <c r="DO598" t="s">
        <v>6412</v>
      </c>
      <c r="DP598">
        <v>0</v>
      </c>
      <c r="DQ598">
        <v>0</v>
      </c>
      <c r="DR598" t="s">
        <v>411</v>
      </c>
      <c r="DS598" t="b">
        <v>1</v>
      </c>
      <c r="DT598" t="s">
        <v>470</v>
      </c>
      <c r="DU598" t="s">
        <v>471</v>
      </c>
      <c r="DV598" t="s">
        <v>472</v>
      </c>
      <c r="DX598">
        <v>-9999</v>
      </c>
      <c r="DZ598" t="s">
        <v>447</v>
      </c>
      <c r="EA598" t="s">
        <v>448</v>
      </c>
      <c r="EB598" t="s">
        <v>6406</v>
      </c>
      <c r="EC598">
        <v>20101217</v>
      </c>
      <c r="ED598" t="s">
        <v>474</v>
      </c>
      <c r="EF598">
        <v>222.3</v>
      </c>
      <c r="EG598">
        <v>222.3</v>
      </c>
      <c r="EH598" t="s">
        <v>6407</v>
      </c>
      <c r="EI598">
        <v>20160407</v>
      </c>
      <c r="EJ598">
        <v>0</v>
      </c>
      <c r="EK598">
        <v>0</v>
      </c>
      <c r="EP598" t="s">
        <v>421</v>
      </c>
      <c r="EQ598" t="s">
        <v>422</v>
      </c>
      <c r="ER598">
        <v>2</v>
      </c>
      <c r="ES598">
        <v>3</v>
      </c>
      <c r="ET598">
        <v>944.74</v>
      </c>
      <c r="EU598">
        <v>59.74</v>
      </c>
      <c r="EV598">
        <v>1004.48</v>
      </c>
      <c r="EW598" s="2">
        <v>43222</v>
      </c>
      <c r="EX598" s="1">
        <v>42879</v>
      </c>
      <c r="EY598">
        <v>2016</v>
      </c>
      <c r="EZ598">
        <v>472.37</v>
      </c>
      <c r="FA598" t="s">
        <v>6413</v>
      </c>
      <c r="FB598">
        <v>0.25</v>
      </c>
      <c r="FC598" t="s">
        <v>424</v>
      </c>
      <c r="FD598" t="s">
        <v>454</v>
      </c>
      <c r="FF598">
        <v>12</v>
      </c>
      <c r="FG598">
        <v>2851116</v>
      </c>
      <c r="FH598" t="s">
        <v>480</v>
      </c>
      <c r="FJ598" s="1">
        <v>42879</v>
      </c>
      <c r="FK598">
        <v>2016</v>
      </c>
      <c r="FL598">
        <v>472.37</v>
      </c>
      <c r="FM598" t="s">
        <v>6413</v>
      </c>
      <c r="FN598">
        <v>0.25</v>
      </c>
      <c r="FO598" t="s">
        <v>424</v>
      </c>
      <c r="FP598" t="s">
        <v>454</v>
      </c>
      <c r="FR598">
        <v>12</v>
      </c>
      <c r="FS598">
        <v>5079776</v>
      </c>
      <c r="FT598" t="s">
        <v>6414</v>
      </c>
      <c r="FV598" s="1">
        <v>42515</v>
      </c>
      <c r="FW598">
        <v>2015</v>
      </c>
      <c r="FX598">
        <v>514.98</v>
      </c>
      <c r="FY598" t="s">
        <v>6415</v>
      </c>
      <c r="FZ598">
        <v>0.25</v>
      </c>
      <c r="GA598" t="s">
        <v>424</v>
      </c>
      <c r="GB598" t="s">
        <v>425</v>
      </c>
      <c r="GC598" s="1">
        <v>43136</v>
      </c>
      <c r="GD598">
        <v>21</v>
      </c>
      <c r="GE598">
        <v>2851116</v>
      </c>
      <c r="GF598" t="s">
        <v>480</v>
      </c>
      <c r="GH598" s="1">
        <v>42515</v>
      </c>
      <c r="GI598">
        <v>2015</v>
      </c>
      <c r="GJ598">
        <v>514.98</v>
      </c>
      <c r="GK598" t="s">
        <v>6415</v>
      </c>
      <c r="GL598">
        <v>0.25</v>
      </c>
      <c r="GM598" t="s">
        <v>424</v>
      </c>
      <c r="GN598" t="s">
        <v>425</v>
      </c>
      <c r="GP598">
        <v>22</v>
      </c>
      <c r="GQ598">
        <v>5564220</v>
      </c>
      <c r="GR598" t="s">
        <v>6416</v>
      </c>
      <c r="GT598" s="1">
        <v>41052</v>
      </c>
      <c r="GU598">
        <v>2011</v>
      </c>
      <c r="GV598">
        <v>821.73</v>
      </c>
      <c r="GW598" t="s">
        <v>6417</v>
      </c>
      <c r="GX598">
        <v>4.75</v>
      </c>
      <c r="GY598" t="s">
        <v>424</v>
      </c>
      <c r="GZ598" t="s">
        <v>425</v>
      </c>
      <c r="HA598" s="1">
        <v>41142</v>
      </c>
      <c r="HB598">
        <v>3</v>
      </c>
      <c r="HC598">
        <v>12407</v>
      </c>
      <c r="HD598" t="s">
        <v>838</v>
      </c>
    </row>
    <row r="599" spans="1:272" x14ac:dyDescent="0.25">
      <c r="A599">
        <v>16485606</v>
      </c>
      <c r="B599">
        <v>598</v>
      </c>
      <c r="C599" t="s">
        <v>393</v>
      </c>
      <c r="D599" t="s">
        <v>394</v>
      </c>
      <c r="F599" t="str">
        <f>"03-1N-25-1421-0004-0000"</f>
        <v>03-1N-25-1421-0004-0000</v>
      </c>
      <c r="H599" t="str">
        <f>"JOHNSON TONY M &amp; TONI D"</f>
        <v>JOHNSON TONY M &amp; TONI D</v>
      </c>
      <c r="I599" t="str">
        <f>"54267 CHURCH RD"</f>
        <v>54267 CHURCH RD</v>
      </c>
      <c r="J599" t="str">
        <f>"CALLAHAN FL 32011"</f>
        <v>CALLAHAN FL 32011</v>
      </c>
      <c r="K599" t="str">
        <f>"54267 CHURCH RD"</f>
        <v>54267 CHURCH RD</v>
      </c>
      <c r="L599" t="str">
        <f t="shared" si="181"/>
        <v>CALLAHAN FL 32011</v>
      </c>
      <c r="M599" t="str">
        <f>"LOT 4 2001 FLTWD DW IN OR 732 PG 1310 NATURE TRAIL 2 PB 5/403"</f>
        <v>LOT 4 2001 FLTWD DW IN OR 732 PG 1310 NATURE TRAIL 2 PB 5/403</v>
      </c>
      <c r="N599" t="str">
        <f>""</f>
        <v/>
      </c>
      <c r="O599" t="str">
        <f>"18763"</f>
        <v>18763</v>
      </c>
      <c r="P599" t="str">
        <f t="shared" si="176"/>
        <v>2017</v>
      </c>
      <c r="Q599" t="str">
        <f>""</f>
        <v/>
      </c>
      <c r="R599" t="str">
        <f>"Y"</f>
        <v>Y</v>
      </c>
      <c r="S599" t="str">
        <f>"1.16"</f>
        <v>1.16</v>
      </c>
      <c r="T599" t="str">
        <f>"388.63"</f>
        <v>388.63</v>
      </c>
      <c r="U599" t="str">
        <f>"51537.00"</f>
        <v>51537.00</v>
      </c>
      <c r="V599" t="str">
        <f>"51537.00"</f>
        <v>51537.00</v>
      </c>
      <c r="W599" t="str">
        <f t="shared" si="177"/>
        <v>2017</v>
      </c>
      <c r="X599" t="str">
        <f>"9.33"</f>
        <v>9.33</v>
      </c>
      <c r="Y599" t="str">
        <f>"432.29"</f>
        <v>432.29</v>
      </c>
      <c r="Z599" t="str">
        <f>"25000.00"</f>
        <v>25000.00</v>
      </c>
      <c r="AA599" t="str">
        <f>"26537.00"</f>
        <v>26537.00</v>
      </c>
      <c r="AB599" t="str">
        <f t="shared" si="180"/>
        <v>Residential</v>
      </c>
      <c r="AC599" t="str">
        <f t="shared" si="161"/>
        <v>0</v>
      </c>
      <c r="AD599" t="str">
        <f t="shared" si="182"/>
        <v>4</v>
      </c>
      <c r="AE599" t="str">
        <f t="shared" si="183"/>
        <v>WOOD (INCLUDE STEEL STUDS)</v>
      </c>
      <c r="AF599" t="str">
        <f t="shared" si="184"/>
        <v>002</v>
      </c>
      <c r="AG599" t="str">
        <f t="shared" si="179"/>
        <v>FL</v>
      </c>
      <c r="AH599" t="str">
        <f>"50529.00"</f>
        <v>50529.00</v>
      </c>
      <c r="AI599" t="str">
        <f>"17400.00"</f>
        <v>17400.00</v>
      </c>
      <c r="AJ599" t="str">
        <f>"C55-000-586-4304-0"</f>
        <v>C55-000-586-4304-0</v>
      </c>
      <c r="AK599" t="str">
        <f>"9722"</f>
        <v>9722</v>
      </c>
      <c r="AL599">
        <v>3</v>
      </c>
      <c r="AM599">
        <v>690</v>
      </c>
      <c r="AN599">
        <v>452.3</v>
      </c>
      <c r="AQ599" t="s">
        <v>6418</v>
      </c>
      <c r="AR599" t="s">
        <v>6418</v>
      </c>
      <c r="AS599" t="s">
        <v>6418</v>
      </c>
      <c r="AU599" t="s">
        <v>396</v>
      </c>
      <c r="AV599">
        <v>2017</v>
      </c>
      <c r="AW599" t="str">
        <f>"03-1N-25-1421-0004-0000 "</f>
        <v xml:space="preserve">03-1N-25-1421-0004-0000 </v>
      </c>
      <c r="AX599">
        <v>54267</v>
      </c>
      <c r="AZ599" t="s">
        <v>2234</v>
      </c>
      <c r="BA599" t="s">
        <v>496</v>
      </c>
      <c r="BD599" t="s">
        <v>2785</v>
      </c>
      <c r="BE599" t="s">
        <v>393</v>
      </c>
      <c r="BF599">
        <v>32011</v>
      </c>
      <c r="BG599" t="s">
        <v>6419</v>
      </c>
      <c r="BH599" t="s">
        <v>2787</v>
      </c>
      <c r="BI599">
        <v>-81.790028574381694</v>
      </c>
      <c r="BJ599">
        <v>30.5267992282125</v>
      </c>
      <c r="BK599" t="s">
        <v>6420</v>
      </c>
      <c r="BL599" t="s">
        <v>6421</v>
      </c>
      <c r="BM599" t="s">
        <v>6419</v>
      </c>
      <c r="BN599" t="s">
        <v>928</v>
      </c>
      <c r="BO599">
        <v>32011</v>
      </c>
      <c r="BP599" t="s">
        <v>416</v>
      </c>
      <c r="BQ599">
        <v>200</v>
      </c>
      <c r="BR599" t="s">
        <v>405</v>
      </c>
      <c r="BS599">
        <v>1006</v>
      </c>
      <c r="BT599" t="s">
        <v>406</v>
      </c>
      <c r="BW599">
        <v>50529</v>
      </c>
      <c r="BX599" t="s">
        <v>407</v>
      </c>
      <c r="BY599" t="s">
        <v>408</v>
      </c>
      <c r="BZ599">
        <v>4</v>
      </c>
      <c r="CA599">
        <v>2001</v>
      </c>
      <c r="CB599">
        <v>1</v>
      </c>
      <c r="CC599">
        <v>1</v>
      </c>
      <c r="CD599">
        <v>2017</v>
      </c>
      <c r="CG599">
        <v>51537</v>
      </c>
      <c r="CH599">
        <v>2017</v>
      </c>
      <c r="CI599">
        <v>17400</v>
      </c>
      <c r="CJ599">
        <v>52180</v>
      </c>
      <c r="CK599">
        <v>69580</v>
      </c>
      <c r="CL599">
        <v>2017</v>
      </c>
      <c r="CM599">
        <v>388.63</v>
      </c>
      <c r="CN599" s="1">
        <v>34878</v>
      </c>
      <c r="CO599">
        <v>15000</v>
      </c>
      <c r="CZ599" s="1">
        <v>34878</v>
      </c>
      <c r="DD599" t="s">
        <v>2785</v>
      </c>
      <c r="DF599">
        <v>4</v>
      </c>
      <c r="DG599">
        <v>3</v>
      </c>
      <c r="DJ599" t="s">
        <v>6422</v>
      </c>
      <c r="DL599">
        <v>50502</v>
      </c>
      <c r="DM599" t="s">
        <v>6372</v>
      </c>
      <c r="DO599" t="s">
        <v>6423</v>
      </c>
      <c r="DP599">
        <v>0</v>
      </c>
      <c r="DQ599">
        <v>0</v>
      </c>
      <c r="DR599" t="s">
        <v>411</v>
      </c>
      <c r="DS599" t="b">
        <v>1</v>
      </c>
      <c r="DT599" t="s">
        <v>470</v>
      </c>
      <c r="DU599" t="s">
        <v>471</v>
      </c>
      <c r="DV599" t="s">
        <v>472</v>
      </c>
      <c r="DX599">
        <v>-9999</v>
      </c>
      <c r="DZ599" t="s">
        <v>447</v>
      </c>
      <c r="EA599" t="s">
        <v>448</v>
      </c>
      <c r="EB599" t="s">
        <v>742</v>
      </c>
      <c r="EC599">
        <v>20101217</v>
      </c>
      <c r="ED599" t="s">
        <v>474</v>
      </c>
      <c r="EF599">
        <v>4020.4</v>
      </c>
      <c r="EG599">
        <v>4020.4</v>
      </c>
      <c r="EI599">
        <v>20160407</v>
      </c>
      <c r="EJ599">
        <v>0</v>
      </c>
      <c r="EK599">
        <v>0</v>
      </c>
      <c r="EP599" t="s">
        <v>421</v>
      </c>
      <c r="EQ599" t="s">
        <v>422</v>
      </c>
      <c r="ER599">
        <v>0</v>
      </c>
      <c r="ES599">
        <v>9</v>
      </c>
      <c r="ET599">
        <v>0</v>
      </c>
      <c r="EU599">
        <v>0</v>
      </c>
      <c r="EV599">
        <v>0</v>
      </c>
      <c r="EW599" s="2">
        <v>43222</v>
      </c>
      <c r="EX599" s="1">
        <v>42879</v>
      </c>
      <c r="EY599">
        <v>2016</v>
      </c>
      <c r="EZ599">
        <v>445.56</v>
      </c>
      <c r="FA599" t="s">
        <v>6424</v>
      </c>
      <c r="FB599">
        <v>0.25</v>
      </c>
      <c r="FC599" t="s">
        <v>424</v>
      </c>
      <c r="FD599" t="s">
        <v>425</v>
      </c>
      <c r="FE599" s="1">
        <v>43161</v>
      </c>
      <c r="FF599">
        <v>10</v>
      </c>
      <c r="FG599">
        <v>2851116</v>
      </c>
      <c r="FH599" t="s">
        <v>480</v>
      </c>
      <c r="FJ599" s="1">
        <v>42879</v>
      </c>
      <c r="FK599">
        <v>2016</v>
      </c>
      <c r="FL599">
        <v>445.56</v>
      </c>
      <c r="FM599" t="s">
        <v>6424</v>
      </c>
      <c r="FN599">
        <v>0.25</v>
      </c>
      <c r="FO599" t="s">
        <v>424</v>
      </c>
      <c r="FP599" t="s">
        <v>425</v>
      </c>
      <c r="FR599">
        <v>22</v>
      </c>
      <c r="FS599">
        <v>5680175</v>
      </c>
      <c r="FT599" t="s">
        <v>6425</v>
      </c>
      <c r="FV599" s="1">
        <v>42515</v>
      </c>
      <c r="FW599">
        <v>2015</v>
      </c>
      <c r="FX599">
        <v>480.17</v>
      </c>
      <c r="FY599" t="s">
        <v>6426</v>
      </c>
      <c r="FZ599">
        <v>0.25</v>
      </c>
      <c r="GA599" t="s">
        <v>424</v>
      </c>
      <c r="GB599" t="s">
        <v>425</v>
      </c>
      <c r="GC599" s="1">
        <v>42823</v>
      </c>
      <c r="GD599">
        <v>10</v>
      </c>
      <c r="GE599">
        <v>11289</v>
      </c>
      <c r="GF599" t="s">
        <v>787</v>
      </c>
      <c r="GH599" s="1">
        <v>42515</v>
      </c>
      <c r="GI599">
        <v>2015</v>
      </c>
      <c r="GJ599">
        <v>480.17</v>
      </c>
      <c r="GK599" t="s">
        <v>6426</v>
      </c>
      <c r="GL599">
        <v>0.25</v>
      </c>
      <c r="GM599" t="s">
        <v>424</v>
      </c>
      <c r="GN599" t="s">
        <v>425</v>
      </c>
      <c r="GP599">
        <v>22</v>
      </c>
      <c r="GQ599">
        <v>7304967</v>
      </c>
      <c r="GR599" t="s">
        <v>6427</v>
      </c>
      <c r="GT599" s="1">
        <v>42151</v>
      </c>
      <c r="GU599">
        <v>2014</v>
      </c>
      <c r="GV599">
        <v>528.38</v>
      </c>
      <c r="GW599" t="s">
        <v>6428</v>
      </c>
      <c r="GX599">
        <v>0.25</v>
      </c>
      <c r="GY599" t="s">
        <v>424</v>
      </c>
      <c r="GZ599" t="s">
        <v>425</v>
      </c>
      <c r="HA599" s="1">
        <v>42423</v>
      </c>
      <c r="HB599">
        <v>9</v>
      </c>
      <c r="HC599">
        <v>2101382</v>
      </c>
      <c r="HD599" t="s">
        <v>993</v>
      </c>
      <c r="HF599" s="1">
        <v>42151</v>
      </c>
      <c r="HG599">
        <v>2014</v>
      </c>
      <c r="HH599">
        <v>528.38</v>
      </c>
      <c r="HI599" t="s">
        <v>6428</v>
      </c>
      <c r="HJ599">
        <v>0.25</v>
      </c>
      <c r="HK599" t="s">
        <v>424</v>
      </c>
      <c r="HL599" t="s">
        <v>425</v>
      </c>
      <c r="HN599">
        <v>22</v>
      </c>
      <c r="HO599">
        <v>5518681</v>
      </c>
      <c r="HP599" t="s">
        <v>6429</v>
      </c>
      <c r="HR599" s="1">
        <v>41787</v>
      </c>
      <c r="HS599">
        <v>2013</v>
      </c>
      <c r="HT599">
        <v>524.33000000000004</v>
      </c>
      <c r="HU599" t="s">
        <v>6430</v>
      </c>
      <c r="HV599">
        <v>0.25</v>
      </c>
      <c r="HW599" t="s">
        <v>424</v>
      </c>
      <c r="HX599" t="s">
        <v>425</v>
      </c>
      <c r="HY599" s="1">
        <v>42054</v>
      </c>
      <c r="HZ599">
        <v>9</v>
      </c>
      <c r="IA599">
        <v>2407503</v>
      </c>
      <c r="IB599" t="s">
        <v>461</v>
      </c>
      <c r="ID599" s="1">
        <v>41423</v>
      </c>
      <c r="IE599">
        <v>2012</v>
      </c>
      <c r="IF599">
        <v>556.96</v>
      </c>
      <c r="IG599" t="s">
        <v>6431</v>
      </c>
      <c r="IH599">
        <v>3</v>
      </c>
      <c r="II599" t="s">
        <v>424</v>
      </c>
      <c r="IJ599" t="s">
        <v>425</v>
      </c>
      <c r="IK599" s="1">
        <v>41690</v>
      </c>
      <c r="IL599">
        <v>9</v>
      </c>
      <c r="IM599">
        <v>15399</v>
      </c>
      <c r="IN599" t="s">
        <v>485</v>
      </c>
      <c r="IP599" s="1">
        <v>41052</v>
      </c>
      <c r="IQ599">
        <v>2011</v>
      </c>
      <c r="IR599">
        <v>674.26</v>
      </c>
      <c r="IS599" t="s">
        <v>6432</v>
      </c>
      <c r="IT599">
        <v>7</v>
      </c>
      <c r="IU599" t="s">
        <v>424</v>
      </c>
      <c r="IV599" t="s">
        <v>425</v>
      </c>
      <c r="IW599" s="1">
        <v>41332</v>
      </c>
      <c r="IX599">
        <v>9</v>
      </c>
      <c r="IY599">
        <v>10125</v>
      </c>
      <c r="IZ599" t="s">
        <v>440</v>
      </c>
    </row>
    <row r="600" spans="1:272" x14ac:dyDescent="0.25">
      <c r="A600">
        <v>16485607</v>
      </c>
      <c r="B600">
        <v>599</v>
      </c>
      <c r="C600" t="s">
        <v>393</v>
      </c>
      <c r="D600" t="s">
        <v>394</v>
      </c>
      <c r="F600" t="str">
        <f>"03-1N-25-2750-0003-0000"</f>
        <v>03-1N-25-2750-0003-0000</v>
      </c>
      <c r="H600" t="str">
        <f>"BROWN ROBYN L"</f>
        <v>BROWN ROBYN L</v>
      </c>
      <c r="I600" t="str">
        <f>"85362 JOANN ROAD"</f>
        <v>85362 JOANN ROAD</v>
      </c>
      <c r="J600" t="str">
        <f>"YULEE FL 32097"</f>
        <v>YULEE FL 32097</v>
      </c>
      <c r="K600" t="str">
        <f>"54310 CHURCH RD"</f>
        <v>54310 CHURCH RD</v>
      </c>
      <c r="L600" t="str">
        <f t="shared" si="181"/>
        <v>CALLAHAN FL 32011</v>
      </c>
      <c r="M600" t="str">
        <f>"TRACT 3 (EX S-2) IN OR 1207/1153 1983 DUTCH DW/MH CRAVEY SUB UNR"</f>
        <v>TRACT 3 (EX S-2) IN OR 1207/1153 1983 DUTCH DW/MH CRAVEY SUB UNR</v>
      </c>
      <c r="N600" t="str">
        <f>""</f>
        <v/>
      </c>
      <c r="O600" t="str">
        <f>"18770"</f>
        <v>18770</v>
      </c>
      <c r="P600" t="str">
        <f t="shared" si="176"/>
        <v>2017</v>
      </c>
      <c r="Q600" t="str">
        <f>""</f>
        <v/>
      </c>
      <c r="R600" t="str">
        <f>"N"</f>
        <v>N</v>
      </c>
      <c r="S600" t="str">
        <f>"1.00"</f>
        <v>1.00</v>
      </c>
      <c r="T600" t="str">
        <f>"514.14"</f>
        <v>514.14</v>
      </c>
      <c r="U600" t="str">
        <f>"32342.00"</f>
        <v>32342.00</v>
      </c>
      <c r="V600" t="str">
        <f>"32342.00"</f>
        <v>32342.00</v>
      </c>
      <c r="W600" t="str">
        <f t="shared" si="177"/>
        <v>2017</v>
      </c>
      <c r="X600" t="str">
        <f>"11.00"</f>
        <v>11.00</v>
      </c>
      <c r="Y600" t="str">
        <f>"561.56"</f>
        <v>561.56</v>
      </c>
      <c r="Z600" t="str">
        <f>""</f>
        <v/>
      </c>
      <c r="AA600" t="str">
        <f>"36059.00"</f>
        <v>36059.00</v>
      </c>
      <c r="AB600" t="str">
        <f t="shared" si="180"/>
        <v>Residential</v>
      </c>
      <c r="AC600" t="str">
        <f t="shared" ref="AC600:AC663" si="185">"0"</f>
        <v>0</v>
      </c>
      <c r="AD600" t="str">
        <f t="shared" si="182"/>
        <v>4</v>
      </c>
      <c r="AE600" t="str">
        <f t="shared" si="183"/>
        <v>WOOD (INCLUDE STEEL STUDS)</v>
      </c>
      <c r="AF600" t="str">
        <f t="shared" si="184"/>
        <v>002</v>
      </c>
      <c r="AG600" t="str">
        <f t="shared" si="179"/>
        <v>FL</v>
      </c>
      <c r="AH600" t="str">
        <f>"43560.00"</f>
        <v>43560.00</v>
      </c>
      <c r="AI600" t="str">
        <f>"15000.00"</f>
        <v>15000.00</v>
      </c>
      <c r="AJ600" t="str">
        <f>"C55-000-586-4308-1"</f>
        <v>C55-000-586-4308-1</v>
      </c>
      <c r="AK600" t="str">
        <f>"9727"</f>
        <v>9727</v>
      </c>
      <c r="AL600">
        <v>3</v>
      </c>
      <c r="AM600">
        <v>691</v>
      </c>
      <c r="AN600">
        <v>588.04</v>
      </c>
      <c r="AQ600" t="s">
        <v>6433</v>
      </c>
      <c r="AR600" t="s">
        <v>6433</v>
      </c>
      <c r="AS600" t="s">
        <v>6433</v>
      </c>
      <c r="AU600" t="s">
        <v>396</v>
      </c>
      <c r="AV600">
        <v>2017</v>
      </c>
      <c r="AW600" t="str">
        <f>"03-1N-25-2750-0003-0000 "</f>
        <v xml:space="preserve">03-1N-25-2750-0003-0000 </v>
      </c>
      <c r="AX600">
        <v>54310</v>
      </c>
      <c r="AZ600" t="s">
        <v>2234</v>
      </c>
      <c r="BA600" t="s">
        <v>496</v>
      </c>
      <c r="BD600" t="s">
        <v>2785</v>
      </c>
      <c r="BE600" t="s">
        <v>393</v>
      </c>
      <c r="BF600">
        <v>32011</v>
      </c>
      <c r="BG600" t="s">
        <v>6434</v>
      </c>
      <c r="BH600" t="s">
        <v>2787</v>
      </c>
      <c r="BI600">
        <v>-81.787772785628505</v>
      </c>
      <c r="BJ600">
        <v>30.525839999602901</v>
      </c>
      <c r="BK600" t="s">
        <v>6435</v>
      </c>
      <c r="BM600" t="s">
        <v>6436</v>
      </c>
      <c r="BN600" t="s">
        <v>1778</v>
      </c>
      <c r="BO600">
        <v>32097</v>
      </c>
      <c r="BP600" t="s">
        <v>404</v>
      </c>
      <c r="BQ600">
        <v>200</v>
      </c>
      <c r="BR600" t="s">
        <v>405</v>
      </c>
      <c r="BS600">
        <v>1006</v>
      </c>
      <c r="BT600" t="s">
        <v>406</v>
      </c>
      <c r="BW600">
        <v>43560</v>
      </c>
      <c r="BX600" t="s">
        <v>407</v>
      </c>
      <c r="BY600" t="s">
        <v>408</v>
      </c>
      <c r="BZ600">
        <v>4</v>
      </c>
      <c r="CA600">
        <v>1983</v>
      </c>
      <c r="CB600">
        <v>1</v>
      </c>
      <c r="CC600">
        <v>1</v>
      </c>
      <c r="CD600">
        <v>2017</v>
      </c>
      <c r="CE600">
        <v>15000</v>
      </c>
      <c r="CF600">
        <v>21059</v>
      </c>
      <c r="CG600">
        <v>36059</v>
      </c>
      <c r="CH600">
        <v>2017</v>
      </c>
      <c r="CI600">
        <v>15000</v>
      </c>
      <c r="CJ600">
        <v>21059</v>
      </c>
      <c r="CK600">
        <v>36059</v>
      </c>
      <c r="CL600">
        <v>2017</v>
      </c>
      <c r="CM600">
        <v>514.14</v>
      </c>
      <c r="CN600" s="1">
        <v>38028</v>
      </c>
      <c r="CO600">
        <v>42500</v>
      </c>
      <c r="CV600">
        <v>0</v>
      </c>
      <c r="CZ600" s="1">
        <v>38028</v>
      </c>
      <c r="DA600">
        <v>0</v>
      </c>
      <c r="DD600" t="s">
        <v>2785</v>
      </c>
      <c r="DG600">
        <v>3</v>
      </c>
      <c r="DL600">
        <v>50502</v>
      </c>
      <c r="DM600" t="s">
        <v>6372</v>
      </c>
      <c r="DO600" t="s">
        <v>6437</v>
      </c>
      <c r="DP600">
        <v>0</v>
      </c>
      <c r="DQ600">
        <v>0</v>
      </c>
      <c r="DR600" t="s">
        <v>411</v>
      </c>
      <c r="DS600" t="b">
        <v>1</v>
      </c>
      <c r="DT600" t="s">
        <v>470</v>
      </c>
      <c r="DU600" t="s">
        <v>471</v>
      </c>
      <c r="DV600" t="s">
        <v>472</v>
      </c>
      <c r="DX600">
        <v>-9999</v>
      </c>
      <c r="DZ600" t="s">
        <v>447</v>
      </c>
      <c r="EA600" t="s">
        <v>448</v>
      </c>
      <c r="EB600" t="s">
        <v>742</v>
      </c>
      <c r="EC600">
        <v>20101217</v>
      </c>
      <c r="ED600" t="s">
        <v>474</v>
      </c>
      <c r="EF600">
        <v>4438.2</v>
      </c>
      <c r="EG600">
        <v>4438.2</v>
      </c>
      <c r="EI600">
        <v>20160407</v>
      </c>
      <c r="EJ600">
        <v>0</v>
      </c>
      <c r="EK600">
        <v>0</v>
      </c>
      <c r="EP600" t="s">
        <v>421</v>
      </c>
      <c r="EQ600" t="s">
        <v>422</v>
      </c>
      <c r="ER600">
        <v>2</v>
      </c>
      <c r="ES600">
        <v>2</v>
      </c>
      <c r="ET600">
        <v>1083.98</v>
      </c>
      <c r="EU600">
        <v>66.7</v>
      </c>
      <c r="EV600">
        <v>1150.68</v>
      </c>
      <c r="EW600" s="2">
        <v>43222</v>
      </c>
      <c r="EX600" s="1">
        <v>42879</v>
      </c>
      <c r="EY600">
        <v>2016</v>
      </c>
      <c r="EZ600">
        <v>541.99</v>
      </c>
      <c r="FA600" t="s">
        <v>6438</v>
      </c>
      <c r="FB600">
        <v>0.25</v>
      </c>
      <c r="FC600" t="s">
        <v>424</v>
      </c>
      <c r="FD600" t="s">
        <v>454</v>
      </c>
      <c r="FF600">
        <v>12</v>
      </c>
      <c r="FG600">
        <v>7400234</v>
      </c>
      <c r="FH600" t="s">
        <v>426</v>
      </c>
      <c r="FJ600" s="1">
        <v>42879</v>
      </c>
      <c r="FK600">
        <v>2016</v>
      </c>
      <c r="FL600">
        <v>541.99</v>
      </c>
      <c r="FM600" t="s">
        <v>6438</v>
      </c>
      <c r="FN600">
        <v>0.25</v>
      </c>
      <c r="FO600" t="s">
        <v>424</v>
      </c>
      <c r="FP600" t="s">
        <v>454</v>
      </c>
      <c r="FR600">
        <v>12</v>
      </c>
      <c r="FS600">
        <v>7484407</v>
      </c>
      <c r="FT600" t="s">
        <v>6439</v>
      </c>
      <c r="FV600" s="1">
        <v>42515</v>
      </c>
      <c r="FW600">
        <v>2015</v>
      </c>
      <c r="FX600">
        <v>525.51</v>
      </c>
      <c r="FY600" t="s">
        <v>6440</v>
      </c>
      <c r="FZ600">
        <v>6.25</v>
      </c>
      <c r="GA600" t="s">
        <v>424</v>
      </c>
      <c r="GB600" t="s">
        <v>425</v>
      </c>
      <c r="GC600" s="1">
        <v>42838</v>
      </c>
      <c r="GD600">
        <v>11</v>
      </c>
      <c r="GE600">
        <v>2035919</v>
      </c>
      <c r="GF600" t="s">
        <v>507</v>
      </c>
      <c r="GH600" s="1">
        <v>42151</v>
      </c>
      <c r="GI600">
        <v>2014</v>
      </c>
      <c r="GJ600">
        <v>437.3</v>
      </c>
      <c r="GK600" t="s">
        <v>6441</v>
      </c>
      <c r="GL600">
        <v>3.75</v>
      </c>
      <c r="GM600" t="s">
        <v>424</v>
      </c>
      <c r="GN600" t="s">
        <v>425</v>
      </c>
      <c r="GO600" s="1">
        <v>42477</v>
      </c>
      <c r="GP600">
        <v>11</v>
      </c>
      <c r="GQ600">
        <v>4975593</v>
      </c>
      <c r="GR600" t="s">
        <v>505</v>
      </c>
    </row>
    <row r="601" spans="1:272" x14ac:dyDescent="0.25">
      <c r="A601">
        <v>16485608</v>
      </c>
      <c r="B601">
        <v>600</v>
      </c>
      <c r="C601" t="s">
        <v>393</v>
      </c>
      <c r="D601" t="s">
        <v>394</v>
      </c>
      <c r="F601" t="str">
        <f>"03-1N-25-2752-0017-0000"</f>
        <v>03-1N-25-2752-0017-0000</v>
      </c>
      <c r="H601" t="str">
        <f>"HELBERT SEAN"</f>
        <v>HELBERT SEAN</v>
      </c>
      <c r="I601" t="str">
        <f>"77089 PARKER RD"</f>
        <v>77089 PARKER RD</v>
      </c>
      <c r="J601" t="str">
        <f>"YULEE FL 32097"</f>
        <v>YULEE FL 32097</v>
      </c>
      <c r="K601" t="str">
        <f>"54460 CHURCH RD"</f>
        <v>54460 CHURCH RD</v>
      </c>
      <c r="L601" t="str">
        <f t="shared" si="181"/>
        <v>CALLAHAN FL 32011</v>
      </c>
      <c r="M601" t="str">
        <f>"LOT 17 2003 MERT DW IN OR 1993/1546 CASE NO 05-304-DR CRAVEY SUB 2 UNR"</f>
        <v>LOT 17 2003 MERT DW IN OR 1993/1546 CASE NO 05-304-DR CRAVEY SUB 2 UNR</v>
      </c>
      <c r="N601" t="str">
        <f>""</f>
        <v/>
      </c>
      <c r="O601" t="str">
        <f>"18792"</f>
        <v>18792</v>
      </c>
      <c r="P601" t="str">
        <f t="shared" si="176"/>
        <v>2017</v>
      </c>
      <c r="Q601" t="str">
        <f>""</f>
        <v/>
      </c>
      <c r="R601" t="str">
        <f>"N"</f>
        <v>N</v>
      </c>
      <c r="S601" t="str">
        <f>"1.00"</f>
        <v>1.00</v>
      </c>
      <c r="T601" t="str">
        <f>"1148.48"</f>
        <v>1148.48</v>
      </c>
      <c r="U601" t="str">
        <f>"70245.00"</f>
        <v>70245.00</v>
      </c>
      <c r="V601" t="str">
        <f>"70245.00"</f>
        <v>70245.00</v>
      </c>
      <c r="W601" t="str">
        <f t="shared" si="177"/>
        <v>2017</v>
      </c>
      <c r="X601" t="str">
        <f>"1.00"</f>
        <v>1.00</v>
      </c>
      <c r="Y601" t="str">
        <f>"1214.93"</f>
        <v>1214.93</v>
      </c>
      <c r="Z601" t="str">
        <f>""</f>
        <v/>
      </c>
      <c r="AA601" t="str">
        <f>"83135.00"</f>
        <v>83135.00</v>
      </c>
      <c r="AB601" t="str">
        <f t="shared" si="180"/>
        <v>Residential</v>
      </c>
      <c r="AC601" t="str">
        <f t="shared" si="185"/>
        <v>0</v>
      </c>
      <c r="AD601" t="str">
        <f t="shared" si="182"/>
        <v>4</v>
      </c>
      <c r="AE601" t="str">
        <f t="shared" si="183"/>
        <v>WOOD (INCLUDE STEEL STUDS)</v>
      </c>
      <c r="AF601" t="str">
        <f t="shared" si="184"/>
        <v>002</v>
      </c>
      <c r="AG601" t="str">
        <f t="shared" si="179"/>
        <v>FL</v>
      </c>
      <c r="AH601" t="str">
        <f>"43560.00"</f>
        <v>43560.00</v>
      </c>
      <c r="AI601" t="str">
        <f>"15000.00"</f>
        <v>15000.00</v>
      </c>
      <c r="AJ601" t="str">
        <f>"C55-000-586-4327-1"</f>
        <v>C55-000-586-4327-1</v>
      </c>
      <c r="AK601" t="str">
        <f>"9747"</f>
        <v>9747</v>
      </c>
      <c r="AL601">
        <v>3</v>
      </c>
      <c r="AM601">
        <v>692</v>
      </c>
      <c r="AN601">
        <v>1274.08</v>
      </c>
      <c r="AQ601" t="s">
        <v>6442</v>
      </c>
      <c r="AR601" t="s">
        <v>6442</v>
      </c>
      <c r="AS601" t="s">
        <v>6442</v>
      </c>
      <c r="AU601" t="s">
        <v>396</v>
      </c>
      <c r="AV601">
        <v>2017</v>
      </c>
      <c r="AW601" t="str">
        <f>"03-1N-25-2752-0017-0000 "</f>
        <v xml:space="preserve">03-1N-25-2752-0017-0000 </v>
      </c>
      <c r="AX601">
        <v>54460</v>
      </c>
      <c r="AZ601" t="s">
        <v>2234</v>
      </c>
      <c r="BA601" t="s">
        <v>496</v>
      </c>
      <c r="BD601" t="s">
        <v>2785</v>
      </c>
      <c r="BE601" t="s">
        <v>393</v>
      </c>
      <c r="BF601">
        <v>32011</v>
      </c>
      <c r="BG601" t="s">
        <v>6443</v>
      </c>
      <c r="BH601" t="s">
        <v>2787</v>
      </c>
      <c r="BI601">
        <v>-81.787186901970401</v>
      </c>
      <c r="BJ601">
        <v>30.531868692967301</v>
      </c>
      <c r="BK601" t="s">
        <v>6444</v>
      </c>
      <c r="BL601" t="s">
        <v>6445</v>
      </c>
      <c r="BM601" t="s">
        <v>6446</v>
      </c>
      <c r="BN601" t="s">
        <v>1778</v>
      </c>
      <c r="BO601">
        <v>32097</v>
      </c>
      <c r="BP601" t="s">
        <v>404</v>
      </c>
      <c r="BQ601">
        <v>200</v>
      </c>
      <c r="BR601" t="s">
        <v>405</v>
      </c>
      <c r="BS601">
        <v>1006</v>
      </c>
      <c r="BT601" t="s">
        <v>406</v>
      </c>
      <c r="BW601">
        <v>43560</v>
      </c>
      <c r="BX601" t="s">
        <v>407</v>
      </c>
      <c r="BY601" t="s">
        <v>408</v>
      </c>
      <c r="BZ601">
        <v>4</v>
      </c>
      <c r="CA601">
        <v>2002</v>
      </c>
      <c r="CB601">
        <v>1</v>
      </c>
      <c r="CC601">
        <v>1</v>
      </c>
      <c r="CD601">
        <v>2017</v>
      </c>
      <c r="CE601">
        <v>15000</v>
      </c>
      <c r="CF601">
        <v>68135</v>
      </c>
      <c r="CG601">
        <v>83135</v>
      </c>
      <c r="CH601">
        <v>2017</v>
      </c>
      <c r="CI601">
        <v>15000</v>
      </c>
      <c r="CJ601">
        <v>68135</v>
      </c>
      <c r="CK601">
        <v>83135</v>
      </c>
      <c r="CL601">
        <v>2017</v>
      </c>
      <c r="CM601">
        <v>1148.48</v>
      </c>
      <c r="CN601" s="1">
        <v>42213</v>
      </c>
      <c r="CZ601" s="1">
        <v>42213</v>
      </c>
      <c r="DD601" t="s">
        <v>2785</v>
      </c>
      <c r="DF601">
        <v>17</v>
      </c>
      <c r="DG601">
        <v>3</v>
      </c>
      <c r="DL601">
        <v>50502</v>
      </c>
      <c r="DM601" t="s">
        <v>6372</v>
      </c>
      <c r="DO601" t="s">
        <v>6447</v>
      </c>
      <c r="DP601">
        <v>0</v>
      </c>
      <c r="DQ601">
        <v>0</v>
      </c>
      <c r="DR601" t="s">
        <v>411</v>
      </c>
      <c r="EP601" t="s">
        <v>421</v>
      </c>
      <c r="EQ601" t="s">
        <v>422</v>
      </c>
      <c r="ER601">
        <v>0</v>
      </c>
      <c r="ES601">
        <v>2</v>
      </c>
      <c r="ET601">
        <v>0</v>
      </c>
      <c r="EU601">
        <v>0</v>
      </c>
      <c r="EV601">
        <v>0</v>
      </c>
      <c r="EW601" s="2">
        <v>43222</v>
      </c>
      <c r="EX601" s="1">
        <v>42879</v>
      </c>
      <c r="EY601">
        <v>2016</v>
      </c>
      <c r="EZ601">
        <v>1087.19</v>
      </c>
      <c r="FA601" t="s">
        <v>6448</v>
      </c>
      <c r="FB601">
        <v>0.25</v>
      </c>
      <c r="FC601" t="s">
        <v>424</v>
      </c>
      <c r="FD601" t="s">
        <v>425</v>
      </c>
      <c r="FE601" s="1">
        <v>42898</v>
      </c>
      <c r="FF601">
        <v>1</v>
      </c>
      <c r="FG601">
        <v>11289</v>
      </c>
      <c r="FH601" t="s">
        <v>787</v>
      </c>
      <c r="FJ601" s="1">
        <v>42879</v>
      </c>
      <c r="FK601">
        <v>2016</v>
      </c>
      <c r="FL601">
        <v>1087.19</v>
      </c>
      <c r="FM601" t="s">
        <v>6448</v>
      </c>
      <c r="FN601">
        <v>0.25</v>
      </c>
      <c r="FO601" t="s">
        <v>424</v>
      </c>
      <c r="FP601" t="s">
        <v>425</v>
      </c>
      <c r="FR601">
        <v>22</v>
      </c>
      <c r="FS601">
        <v>7287587</v>
      </c>
      <c r="FT601" t="s">
        <v>6449</v>
      </c>
    </row>
    <row r="602" spans="1:272" x14ac:dyDescent="0.25">
      <c r="A602">
        <v>16485609</v>
      </c>
      <c r="B602">
        <v>601</v>
      </c>
      <c r="C602" t="s">
        <v>393</v>
      </c>
      <c r="D602" t="s">
        <v>394</v>
      </c>
      <c r="F602" t="str">
        <f>"03-1N-25-2752-0027-0000"</f>
        <v>03-1N-25-2752-0027-0000</v>
      </c>
      <c r="H602" t="str">
        <f>"MYERS CHARLES R &amp; MYERS ANDRIA &amp; ROBERT (JT/RS)"</f>
        <v>MYERS CHARLES R &amp; MYERS ANDRIA &amp; ROBERT (JT/RS)</v>
      </c>
      <c r="I602" t="str">
        <f>"54572 CHURCH ROAD"</f>
        <v>54572 CHURCH ROAD</v>
      </c>
      <c r="J602" t="str">
        <f>"CALLAHAN FL 32011"</f>
        <v>CALLAHAN FL 32011</v>
      </c>
      <c r="K602" t="str">
        <f>"54572 CHURCH RD"</f>
        <v>54572 CHURCH RD</v>
      </c>
      <c r="L602" t="str">
        <f t="shared" si="181"/>
        <v>CALLAHAN FL 32011</v>
      </c>
      <c r="M602" t="str">
        <f>"LOT 27 IN OR 1175/1860 ESMT OR 416/635 CRAVEY SUB 2 UNR"</f>
        <v>LOT 27 IN OR 1175/1860 ESMT OR 416/635 CRAVEY SUB 2 UNR</v>
      </c>
      <c r="N602" t="str">
        <f>""</f>
        <v/>
      </c>
      <c r="O602" t="str">
        <f>"18801"</f>
        <v>18801</v>
      </c>
      <c r="P602" t="str">
        <f t="shared" si="176"/>
        <v>2017</v>
      </c>
      <c r="Q602" t="str">
        <f>""</f>
        <v/>
      </c>
      <c r="R602" t="str">
        <f>"Y"</f>
        <v>Y</v>
      </c>
      <c r="S602" t="str">
        <f>"1.00"</f>
        <v>1.00</v>
      </c>
      <c r="T602" t="str">
        <f>"1269.92"</f>
        <v>1269.92</v>
      </c>
      <c r="U602" t="str">
        <f>"123489.00"</f>
        <v>123489.00</v>
      </c>
      <c r="V602" t="str">
        <f>"123489.00"</f>
        <v>123489.00</v>
      </c>
      <c r="W602" t="str">
        <f t="shared" si="177"/>
        <v>2017</v>
      </c>
      <c r="X602" t="str">
        <f>""</f>
        <v/>
      </c>
      <c r="Y602" t="str">
        <f>"1340.02"</f>
        <v>1340.02</v>
      </c>
      <c r="Z602" t="str">
        <f>"25500.00"</f>
        <v>25500.00</v>
      </c>
      <c r="AA602" t="str">
        <f>"97989.00"</f>
        <v>97989.00</v>
      </c>
      <c r="AB602" t="str">
        <f t="shared" si="180"/>
        <v>Residential</v>
      </c>
      <c r="AC602" t="str">
        <f t="shared" si="185"/>
        <v>0</v>
      </c>
      <c r="AD602" t="str">
        <f t="shared" si="182"/>
        <v>4</v>
      </c>
      <c r="AE602" t="str">
        <f t="shared" si="183"/>
        <v>WOOD (INCLUDE STEEL STUDS)</v>
      </c>
      <c r="AF602" t="str">
        <f>"001"</f>
        <v>001</v>
      </c>
      <c r="AG602" t="str">
        <f t="shared" si="179"/>
        <v>FL</v>
      </c>
      <c r="AH602" t="str">
        <f>"43560.00"</f>
        <v>43560.00</v>
      </c>
      <c r="AI602" t="str">
        <f>"15000.00"</f>
        <v>15000.00</v>
      </c>
      <c r="AJ602" t="str">
        <f>"C55-000-586-4336-2"</f>
        <v>C55-000-586-4336-2</v>
      </c>
      <c r="AK602" t="str">
        <f>"9756"</f>
        <v>9756</v>
      </c>
      <c r="AL602">
        <v>3</v>
      </c>
      <c r="AM602">
        <v>694</v>
      </c>
      <c r="AN602">
        <v>1405.42</v>
      </c>
      <c r="AQ602" t="s">
        <v>6450</v>
      </c>
      <c r="AR602" t="s">
        <v>6450</v>
      </c>
      <c r="AS602" t="s">
        <v>6450</v>
      </c>
      <c r="AU602" t="s">
        <v>396</v>
      </c>
      <c r="AV602">
        <v>2017</v>
      </c>
      <c r="AW602" t="str">
        <f>"03-1N-25-2752-0027-0000 "</f>
        <v xml:space="preserve">03-1N-25-2752-0027-0000 </v>
      </c>
      <c r="AX602">
        <v>54572</v>
      </c>
      <c r="AZ602" t="s">
        <v>2234</v>
      </c>
      <c r="BA602" t="s">
        <v>496</v>
      </c>
      <c r="BD602" t="s">
        <v>2785</v>
      </c>
      <c r="BE602" t="s">
        <v>393</v>
      </c>
      <c r="BF602">
        <v>32011</v>
      </c>
      <c r="BG602" t="s">
        <v>6451</v>
      </c>
      <c r="BH602" t="s">
        <v>2787</v>
      </c>
      <c r="BI602">
        <v>-81.788357770661904</v>
      </c>
      <c r="BJ602">
        <v>30.5361842200487</v>
      </c>
      <c r="BK602" t="s">
        <v>6452</v>
      </c>
      <c r="BL602" t="s">
        <v>6453</v>
      </c>
      <c r="BM602" t="s">
        <v>6451</v>
      </c>
      <c r="BN602" t="s">
        <v>928</v>
      </c>
      <c r="BO602">
        <v>32011</v>
      </c>
      <c r="BP602" t="s">
        <v>416</v>
      </c>
      <c r="BQ602">
        <v>100</v>
      </c>
      <c r="BR602" t="s">
        <v>514</v>
      </c>
      <c r="BS602">
        <v>1001</v>
      </c>
      <c r="BT602" t="s">
        <v>515</v>
      </c>
      <c r="BW602">
        <v>43560</v>
      </c>
      <c r="BX602" t="s">
        <v>407</v>
      </c>
      <c r="BY602" t="s">
        <v>408</v>
      </c>
      <c r="BZ602">
        <v>4</v>
      </c>
      <c r="CA602">
        <v>1979</v>
      </c>
      <c r="CB602">
        <v>1</v>
      </c>
      <c r="CC602">
        <v>1</v>
      </c>
      <c r="CD602">
        <v>2017</v>
      </c>
      <c r="CG602">
        <v>123489</v>
      </c>
      <c r="CH602">
        <v>2017</v>
      </c>
      <c r="CI602">
        <v>15000</v>
      </c>
      <c r="CJ602">
        <v>164569</v>
      </c>
      <c r="CK602">
        <v>179569</v>
      </c>
      <c r="CL602">
        <v>2017</v>
      </c>
      <c r="CM602">
        <v>1269.92</v>
      </c>
      <c r="CN602" s="1">
        <v>37893</v>
      </c>
      <c r="CZ602" s="1">
        <v>37893</v>
      </c>
      <c r="DD602" t="s">
        <v>2785</v>
      </c>
      <c r="DF602">
        <v>27</v>
      </c>
      <c r="DG602">
        <v>3</v>
      </c>
      <c r="DL602">
        <v>50502</v>
      </c>
      <c r="DM602" t="s">
        <v>6372</v>
      </c>
      <c r="DO602" t="s">
        <v>6454</v>
      </c>
      <c r="DP602">
        <v>0</v>
      </c>
      <c r="DQ602">
        <v>0</v>
      </c>
      <c r="DR602" t="s">
        <v>411</v>
      </c>
      <c r="EP602" t="s">
        <v>421</v>
      </c>
      <c r="EQ602" t="s">
        <v>422</v>
      </c>
      <c r="ER602">
        <v>2</v>
      </c>
      <c r="ES602">
        <v>0</v>
      </c>
      <c r="ET602">
        <v>2763.22</v>
      </c>
      <c r="EU602">
        <v>150.66</v>
      </c>
      <c r="EV602">
        <v>2913.88</v>
      </c>
      <c r="EW602" s="2">
        <v>43222</v>
      </c>
      <c r="EX602" s="1">
        <v>42879</v>
      </c>
      <c r="EY602">
        <v>2016</v>
      </c>
      <c r="EZ602">
        <v>1381.61</v>
      </c>
      <c r="FA602" t="s">
        <v>6455</v>
      </c>
      <c r="FB602">
        <v>0.25</v>
      </c>
      <c r="FC602" t="s">
        <v>424</v>
      </c>
      <c r="FD602" t="s">
        <v>454</v>
      </c>
      <c r="FF602">
        <v>12</v>
      </c>
      <c r="FG602">
        <v>5857474</v>
      </c>
      <c r="FH602" t="s">
        <v>900</v>
      </c>
      <c r="FJ602" s="1">
        <v>42879</v>
      </c>
      <c r="FK602">
        <v>2016</v>
      </c>
      <c r="FL602">
        <v>1381.61</v>
      </c>
      <c r="FM602" t="s">
        <v>6455</v>
      </c>
      <c r="FN602">
        <v>0.25</v>
      </c>
      <c r="FO602" t="s">
        <v>424</v>
      </c>
      <c r="FP602" t="s">
        <v>454</v>
      </c>
      <c r="FR602">
        <v>12</v>
      </c>
      <c r="FS602">
        <v>6605141</v>
      </c>
      <c r="FT602" t="s">
        <v>6456</v>
      </c>
    </row>
    <row r="603" spans="1:272" x14ac:dyDescent="0.25">
      <c r="A603">
        <v>16485610</v>
      </c>
      <c r="B603">
        <v>602</v>
      </c>
      <c r="C603" t="s">
        <v>393</v>
      </c>
      <c r="D603" t="s">
        <v>394</v>
      </c>
      <c r="F603" t="str">
        <f>"03-1N-25-2752-0042-0000"</f>
        <v>03-1N-25-2752-0042-0000</v>
      </c>
      <c r="H603" t="str">
        <f>"GORDEN MARY &amp; BARRY"</f>
        <v>GORDEN MARY &amp; BARRY</v>
      </c>
      <c r="I603" t="str">
        <f>"1101 W 1ST ST"</f>
        <v>1101 W 1ST ST</v>
      </c>
      <c r="J603" t="str">
        <f>"MIDWAY GA 31320"</f>
        <v>MIDWAY GA 31320</v>
      </c>
      <c r="K603" t="str">
        <f>"54439 CHURCH RD"</f>
        <v>54439 CHURCH RD</v>
      </c>
      <c r="L603" t="str">
        <f t="shared" si="181"/>
        <v>CALLAHAN FL 32011</v>
      </c>
      <c r="M603" t="str">
        <f>"LOT 42 R106966 IN OR 1876/426 CRAVEY SUB 2 UNR"</f>
        <v>LOT 42 R106966 IN OR 1876/426 CRAVEY SUB 2 UNR</v>
      </c>
      <c r="N603" t="str">
        <f>""</f>
        <v/>
      </c>
      <c r="O603" t="str">
        <f>"18817"</f>
        <v>18817</v>
      </c>
      <c r="P603" t="str">
        <f t="shared" si="176"/>
        <v>2017</v>
      </c>
      <c r="Q603" t="str">
        <f>""</f>
        <v/>
      </c>
      <c r="R603" t="str">
        <f>"N"</f>
        <v>N</v>
      </c>
      <c r="S603" t="str">
        <f>"1.50"</f>
        <v>1.50</v>
      </c>
      <c r="T603" t="str">
        <f>"557.57"</f>
        <v>557.57</v>
      </c>
      <c r="U603" t="str">
        <f>"36308.00"</f>
        <v>36308.00</v>
      </c>
      <c r="V603" t="str">
        <f>"36308.00"</f>
        <v>36308.00</v>
      </c>
      <c r="W603" t="str">
        <f t="shared" si="177"/>
        <v>2017</v>
      </c>
      <c r="X603" t="str">
        <f>"3.67"</f>
        <v>3.67</v>
      </c>
      <c r="Y603" t="str">
        <f>"606.30"</f>
        <v>606.30</v>
      </c>
      <c r="Z603" t="str">
        <f>""</f>
        <v/>
      </c>
      <c r="AA603" t="str">
        <f>"37507.00"</f>
        <v>37507.00</v>
      </c>
      <c r="AB603" t="str">
        <f t="shared" si="180"/>
        <v>Residential</v>
      </c>
      <c r="AC603" t="str">
        <f t="shared" si="185"/>
        <v>0</v>
      </c>
      <c r="AD603" t="str">
        <f t="shared" si="182"/>
        <v>4</v>
      </c>
      <c r="AE603" t="str">
        <f t="shared" si="183"/>
        <v>WOOD (INCLUDE STEEL STUDS)</v>
      </c>
      <c r="AF603" t="str">
        <f>"002"</f>
        <v>002</v>
      </c>
      <c r="AG603" t="str">
        <f>"GA"</f>
        <v>GA</v>
      </c>
      <c r="AH603" t="str">
        <f>"65340.00"</f>
        <v>65340.00</v>
      </c>
      <c r="AI603" t="str">
        <f>"22500.00"</f>
        <v>22500.00</v>
      </c>
      <c r="AJ603" t="str">
        <f>"C55-000-586-4352-9"</f>
        <v>C55-000-586-4352-9</v>
      </c>
      <c r="AK603" t="str">
        <f>"9771"</f>
        <v>9771</v>
      </c>
      <c r="AL603">
        <v>3</v>
      </c>
      <c r="AM603">
        <v>696</v>
      </c>
      <c r="AN603">
        <v>635.02</v>
      </c>
      <c r="AQ603" t="s">
        <v>6457</v>
      </c>
      <c r="AR603" t="s">
        <v>6457</v>
      </c>
      <c r="AS603" t="s">
        <v>6457</v>
      </c>
      <c r="AU603" t="s">
        <v>396</v>
      </c>
      <c r="AV603">
        <v>2017</v>
      </c>
      <c r="AW603" t="str">
        <f>"03-1N-25-2752-0042-0000 "</f>
        <v xml:space="preserve">03-1N-25-2752-0042-0000 </v>
      </c>
      <c r="AX603">
        <v>54439</v>
      </c>
      <c r="AZ603" t="s">
        <v>2234</v>
      </c>
      <c r="BA603" t="s">
        <v>496</v>
      </c>
      <c r="BD603" t="s">
        <v>2785</v>
      </c>
      <c r="BE603" t="s">
        <v>393</v>
      </c>
      <c r="BF603">
        <v>32011</v>
      </c>
      <c r="BG603" t="s">
        <v>6458</v>
      </c>
      <c r="BH603" t="s">
        <v>2787</v>
      </c>
      <c r="BI603">
        <v>-81.7883031069357</v>
      </c>
      <c r="BJ603">
        <v>30.5308024384432</v>
      </c>
      <c r="BK603" t="s">
        <v>6459</v>
      </c>
      <c r="BL603" t="s">
        <v>6460</v>
      </c>
      <c r="BM603" t="s">
        <v>6461</v>
      </c>
      <c r="BN603" t="s">
        <v>6462</v>
      </c>
      <c r="BO603">
        <v>31320</v>
      </c>
      <c r="BP603" t="s">
        <v>404</v>
      </c>
      <c r="BQ603">
        <v>200</v>
      </c>
      <c r="BR603" t="s">
        <v>405</v>
      </c>
      <c r="BS603">
        <v>1006</v>
      </c>
      <c r="BT603" t="s">
        <v>406</v>
      </c>
      <c r="BW603">
        <v>65340</v>
      </c>
      <c r="BX603" t="s">
        <v>407</v>
      </c>
      <c r="BY603" t="s">
        <v>408</v>
      </c>
      <c r="BZ603">
        <v>4</v>
      </c>
      <c r="CA603">
        <v>1964</v>
      </c>
      <c r="CB603">
        <v>1</v>
      </c>
      <c r="CC603">
        <v>1</v>
      </c>
      <c r="CD603">
        <v>2017</v>
      </c>
      <c r="CE603">
        <v>22500</v>
      </c>
      <c r="CF603">
        <v>15007</v>
      </c>
      <c r="CG603">
        <v>37507</v>
      </c>
      <c r="CH603">
        <v>2017</v>
      </c>
      <c r="CI603">
        <v>22500</v>
      </c>
      <c r="CJ603">
        <v>15007</v>
      </c>
      <c r="CK603">
        <v>37507</v>
      </c>
      <c r="CL603">
        <v>2017</v>
      </c>
      <c r="CM603">
        <v>557.57000000000005</v>
      </c>
      <c r="CN603" s="1">
        <v>41466</v>
      </c>
      <c r="CZ603" s="1">
        <v>41466</v>
      </c>
      <c r="DD603" t="s">
        <v>2785</v>
      </c>
      <c r="DG603">
        <v>3</v>
      </c>
      <c r="DJ603" t="s">
        <v>6463</v>
      </c>
      <c r="DL603">
        <v>50502</v>
      </c>
      <c r="DM603" t="s">
        <v>6372</v>
      </c>
      <c r="DO603" t="s">
        <v>6464</v>
      </c>
      <c r="DP603">
        <v>0</v>
      </c>
      <c r="DQ603">
        <v>0</v>
      </c>
      <c r="DR603" t="s">
        <v>411</v>
      </c>
      <c r="DS603" t="b">
        <v>1</v>
      </c>
      <c r="DT603" t="s">
        <v>470</v>
      </c>
      <c r="DU603" t="s">
        <v>471</v>
      </c>
      <c r="DV603" t="s">
        <v>472</v>
      </c>
      <c r="DX603">
        <v>-9999</v>
      </c>
      <c r="DZ603" t="s">
        <v>447</v>
      </c>
      <c r="EA603" t="s">
        <v>448</v>
      </c>
      <c r="EB603" t="s">
        <v>742</v>
      </c>
      <c r="EC603">
        <v>20101217</v>
      </c>
      <c r="ED603" t="s">
        <v>474</v>
      </c>
      <c r="EF603">
        <v>2346.3000000000002</v>
      </c>
      <c r="EG603">
        <v>2346.3000000000002</v>
      </c>
      <c r="EI603">
        <v>20160407</v>
      </c>
      <c r="EJ603">
        <v>0</v>
      </c>
      <c r="EK603">
        <v>0</v>
      </c>
      <c r="EP603" t="s">
        <v>421</v>
      </c>
      <c r="EQ603" t="s">
        <v>422</v>
      </c>
      <c r="ER603">
        <v>0</v>
      </c>
      <c r="ES603">
        <v>5</v>
      </c>
      <c r="ET603">
        <v>0</v>
      </c>
      <c r="EU603">
        <v>0</v>
      </c>
      <c r="EV603">
        <v>0</v>
      </c>
      <c r="EW603" s="2">
        <v>43222</v>
      </c>
      <c r="EX603" s="1">
        <v>42879</v>
      </c>
      <c r="EY603">
        <v>2016</v>
      </c>
      <c r="EZ603">
        <v>574.98</v>
      </c>
      <c r="FA603" t="s">
        <v>6465</v>
      </c>
      <c r="FB603">
        <v>0.25</v>
      </c>
      <c r="FC603" t="s">
        <v>424</v>
      </c>
      <c r="FD603" t="s">
        <v>425</v>
      </c>
      <c r="FE603" s="1">
        <v>43019</v>
      </c>
      <c r="FF603">
        <v>5</v>
      </c>
      <c r="FG603">
        <v>2851116</v>
      </c>
      <c r="FH603" t="s">
        <v>480</v>
      </c>
      <c r="FJ603" s="1">
        <v>42879</v>
      </c>
      <c r="FK603">
        <v>2016</v>
      </c>
      <c r="FL603">
        <v>574.98</v>
      </c>
      <c r="FM603" t="s">
        <v>6465</v>
      </c>
      <c r="FN603">
        <v>0.25</v>
      </c>
      <c r="FO603" t="s">
        <v>424</v>
      </c>
      <c r="FP603" t="s">
        <v>425</v>
      </c>
      <c r="FR603">
        <v>22</v>
      </c>
      <c r="FS603">
        <v>5700239</v>
      </c>
      <c r="FT603" t="s">
        <v>6466</v>
      </c>
      <c r="FV603" s="1">
        <v>42515</v>
      </c>
      <c r="FW603">
        <v>2015</v>
      </c>
      <c r="FX603">
        <v>567.08000000000004</v>
      </c>
      <c r="FY603" t="s">
        <v>6467</v>
      </c>
      <c r="FZ603">
        <v>0.25</v>
      </c>
      <c r="GA603" t="s">
        <v>424</v>
      </c>
      <c r="GB603" t="s">
        <v>425</v>
      </c>
      <c r="GC603" s="1">
        <v>42565</v>
      </c>
      <c r="GD603">
        <v>2</v>
      </c>
      <c r="GE603">
        <v>2851116</v>
      </c>
      <c r="GF603" t="s">
        <v>480</v>
      </c>
      <c r="GH603" s="1">
        <v>42515</v>
      </c>
      <c r="GI603">
        <v>2015</v>
      </c>
      <c r="GJ603">
        <v>567.08000000000004</v>
      </c>
      <c r="GK603" t="s">
        <v>6467</v>
      </c>
      <c r="GL603">
        <v>0.25</v>
      </c>
      <c r="GM603" t="s">
        <v>424</v>
      </c>
      <c r="GN603" t="s">
        <v>425</v>
      </c>
      <c r="GP603">
        <v>22</v>
      </c>
      <c r="GQ603">
        <v>5474456</v>
      </c>
      <c r="GR603" t="s">
        <v>6468</v>
      </c>
      <c r="GT603" s="1">
        <v>42151</v>
      </c>
      <c r="GU603">
        <v>2014</v>
      </c>
      <c r="GV603">
        <v>507.67</v>
      </c>
      <c r="GW603" t="s">
        <v>6469</v>
      </c>
      <c r="GX603">
        <v>3.75</v>
      </c>
      <c r="GY603" t="s">
        <v>424</v>
      </c>
      <c r="GZ603" t="s">
        <v>425</v>
      </c>
      <c r="HA603" s="1">
        <v>42253</v>
      </c>
      <c r="HB603">
        <v>4</v>
      </c>
      <c r="HC603">
        <v>4975593</v>
      </c>
      <c r="HD603" t="s">
        <v>505</v>
      </c>
    </row>
    <row r="604" spans="1:272" x14ac:dyDescent="0.25">
      <c r="A604">
        <v>16485611</v>
      </c>
      <c r="B604">
        <v>603</v>
      </c>
      <c r="C604" t="s">
        <v>393</v>
      </c>
      <c r="D604" t="s">
        <v>394</v>
      </c>
      <c r="F604" t="str">
        <f>"04-1N-25-0000-0006-0000"</f>
        <v>04-1N-25-0000-0006-0000</v>
      </c>
      <c r="H604" t="str">
        <f>"OWENS MICHAEL S"</f>
        <v>OWENS MICHAEL S</v>
      </c>
      <c r="I604" t="str">
        <f>"44062 ADA ELIZABETH LN"</f>
        <v>44062 ADA ELIZABETH LN</v>
      </c>
      <c r="J604" t="str">
        <f>"CALLAHAN FL 32011"</f>
        <v>CALLAHAN FL 32011</v>
      </c>
      <c r="K604" t="str">
        <f>"44097 CUSHMAN RD"</f>
        <v>44097 CUSHMAN RD</v>
      </c>
      <c r="L604" t="str">
        <f t="shared" si="181"/>
        <v>CALLAHAN FL 32011</v>
      </c>
      <c r="M604" t="str">
        <f>"IN OR 2078/111 RP 259"</f>
        <v>IN OR 2078/111 RP 259</v>
      </c>
      <c r="N604" t="str">
        <f>""</f>
        <v/>
      </c>
      <c r="O604" t="str">
        <f>"19638"</f>
        <v>19638</v>
      </c>
      <c r="P604" t="str">
        <f t="shared" si="176"/>
        <v>2017</v>
      </c>
      <c r="Q604" t="str">
        <f>""</f>
        <v/>
      </c>
      <c r="R604" t="str">
        <f>"Y"</f>
        <v>Y</v>
      </c>
      <c r="S604" t="str">
        <f>"2.00"</f>
        <v>2.00</v>
      </c>
      <c r="T604" t="str">
        <f>"468.44"</f>
        <v>468.44</v>
      </c>
      <c r="U604" t="str">
        <f>"63635.00"</f>
        <v>63635.00</v>
      </c>
      <c r="V604" t="str">
        <f>"63635.00"</f>
        <v>63635.00</v>
      </c>
      <c r="W604" t="str">
        <f t="shared" si="177"/>
        <v>2017</v>
      </c>
      <c r="X604" t="str">
        <f>""</f>
        <v/>
      </c>
      <c r="Y604" t="str">
        <f>"514.49"</f>
        <v>514.49</v>
      </c>
      <c r="Z604" t="str">
        <f>"25000.00"</f>
        <v>25000.00</v>
      </c>
      <c r="AA604" t="str">
        <f>"38635.00"</f>
        <v>38635.00</v>
      </c>
      <c r="AB604" t="str">
        <f t="shared" si="180"/>
        <v>Residential</v>
      </c>
      <c r="AC604" t="str">
        <f t="shared" si="185"/>
        <v>0</v>
      </c>
      <c r="AD604" t="str">
        <f t="shared" si="182"/>
        <v>4</v>
      </c>
      <c r="AE604" t="str">
        <f t="shared" si="183"/>
        <v>WOOD (INCLUDE STEEL STUDS)</v>
      </c>
      <c r="AF604" t="str">
        <f>"001"</f>
        <v>001</v>
      </c>
      <c r="AG604" t="str">
        <f t="shared" ref="AG604:AG636" si="186">"FL"</f>
        <v>FL</v>
      </c>
      <c r="AH604" t="str">
        <f>"87120.00"</f>
        <v>87120.00</v>
      </c>
      <c r="AI604" t="str">
        <f>"24000.00"</f>
        <v>24000.00</v>
      </c>
      <c r="AJ604" t="str">
        <f>"C55-000-586-4809-8"</f>
        <v>C55-000-586-4809-8</v>
      </c>
      <c r="AK604" t="str">
        <f>"9785"</f>
        <v>9785</v>
      </c>
      <c r="AL604">
        <v>3</v>
      </c>
      <c r="AM604">
        <v>697</v>
      </c>
      <c r="AN604">
        <v>538.61</v>
      </c>
      <c r="AQ604" t="s">
        <v>6470</v>
      </c>
      <c r="AR604" t="s">
        <v>6470</v>
      </c>
      <c r="AS604" t="s">
        <v>6470</v>
      </c>
      <c r="AU604" t="s">
        <v>396</v>
      </c>
      <c r="AV604">
        <v>2017</v>
      </c>
      <c r="AW604" t="str">
        <f>"04-1N-25-0000-0006-0000 "</f>
        <v xml:space="preserve">04-1N-25-0000-0006-0000 </v>
      </c>
      <c r="AX604">
        <v>44097</v>
      </c>
      <c r="AZ604" t="s">
        <v>6471</v>
      </c>
      <c r="BA604" t="s">
        <v>496</v>
      </c>
      <c r="BD604" t="s">
        <v>2785</v>
      </c>
      <c r="BE604" t="s">
        <v>393</v>
      </c>
      <c r="BF604">
        <v>32011</v>
      </c>
      <c r="BG604" t="s">
        <v>6472</v>
      </c>
      <c r="BH604" t="s">
        <v>2787</v>
      </c>
      <c r="BI604">
        <v>-81.808052486811803</v>
      </c>
      <c r="BJ604">
        <v>30.532293922865101</v>
      </c>
      <c r="BK604" t="s">
        <v>6473</v>
      </c>
      <c r="BM604" t="s">
        <v>6472</v>
      </c>
      <c r="BN604" t="s">
        <v>928</v>
      </c>
      <c r="BO604">
        <v>32011</v>
      </c>
      <c r="BP604" t="s">
        <v>416</v>
      </c>
      <c r="BQ604">
        <v>100</v>
      </c>
      <c r="BR604" t="s">
        <v>514</v>
      </c>
      <c r="BS604">
        <v>1001</v>
      </c>
      <c r="BT604" t="s">
        <v>515</v>
      </c>
      <c r="BW604">
        <v>87120</v>
      </c>
      <c r="BX604" t="s">
        <v>407</v>
      </c>
      <c r="BY604" t="s">
        <v>408</v>
      </c>
      <c r="BZ604">
        <v>4</v>
      </c>
      <c r="CA604">
        <v>1972</v>
      </c>
      <c r="CB604">
        <v>1</v>
      </c>
      <c r="CC604">
        <v>1</v>
      </c>
      <c r="CD604">
        <v>2017</v>
      </c>
      <c r="CG604">
        <v>63635</v>
      </c>
      <c r="CH604">
        <v>2017</v>
      </c>
      <c r="CI604">
        <v>24000</v>
      </c>
      <c r="CJ604">
        <v>65757</v>
      </c>
      <c r="CK604">
        <v>89757</v>
      </c>
      <c r="CL604">
        <v>2017</v>
      </c>
      <c r="CM604">
        <v>468.44</v>
      </c>
      <c r="DD604" t="s">
        <v>2785</v>
      </c>
      <c r="DG604">
        <v>4</v>
      </c>
      <c r="DL604">
        <v>50502</v>
      </c>
      <c r="DM604" t="s">
        <v>6474</v>
      </c>
      <c r="DO604" t="s">
        <v>6475</v>
      </c>
      <c r="DP604">
        <v>0</v>
      </c>
      <c r="DQ604">
        <v>2</v>
      </c>
      <c r="DR604" t="s">
        <v>1479</v>
      </c>
    </row>
    <row r="605" spans="1:272" x14ac:dyDescent="0.25">
      <c r="A605">
        <v>16485612</v>
      </c>
      <c r="B605">
        <v>604</v>
      </c>
      <c r="C605" t="s">
        <v>393</v>
      </c>
      <c r="D605" t="s">
        <v>394</v>
      </c>
      <c r="F605" t="str">
        <f>"04-1N-25-2755-0020-0000"</f>
        <v>04-1N-25-2755-0020-0000</v>
      </c>
      <c r="H605" t="str">
        <f>"MILLER BRIAN K &amp; ROBERTA L OBRIEN (JT/RS)"</f>
        <v>MILLER BRIAN K &amp; ROBERTA L OBRIEN (JT/RS)</v>
      </c>
      <c r="I605" t="str">
        <f>"P O BOX 1144"</f>
        <v>P O BOX 1144</v>
      </c>
      <c r="J605" t="str">
        <f>"CALLAHAN FL 32011"</f>
        <v>CALLAHAN FL 32011</v>
      </c>
      <c r="K605" t="str">
        <f>"44303 CHARWOOD DR"</f>
        <v>44303 CHARWOOD DR</v>
      </c>
      <c r="L605" t="str">
        <f t="shared" si="181"/>
        <v>CALLAHAN FL 32011</v>
      </c>
      <c r="M605" t="str">
        <f>"TRACT 20 IN OR 941/1464 CHARWOOD ESTATES PB 4/65"</f>
        <v>TRACT 20 IN OR 941/1464 CHARWOOD ESTATES PB 4/65</v>
      </c>
      <c r="N605" t="str">
        <f>""</f>
        <v/>
      </c>
      <c r="O605" t="str">
        <f>"19668"</f>
        <v>19668</v>
      </c>
      <c r="P605" t="str">
        <f t="shared" si="176"/>
        <v>2017</v>
      </c>
      <c r="Q605" t="str">
        <f>""</f>
        <v/>
      </c>
      <c r="R605" t="str">
        <f>"N"</f>
        <v>N</v>
      </c>
      <c r="S605" t="str">
        <f>"1.14"</f>
        <v>1.14</v>
      </c>
      <c r="T605" t="str">
        <f>"799.32"</f>
        <v>799.32</v>
      </c>
      <c r="U605" t="str">
        <f>"46361.00"</f>
        <v>46361.00</v>
      </c>
      <c r="V605" t="str">
        <f>"46361.00"</f>
        <v>46361.00</v>
      </c>
      <c r="W605" t="str">
        <f t="shared" si="177"/>
        <v>2017</v>
      </c>
      <c r="X605" t="str">
        <f>"20.63"</f>
        <v>20.63</v>
      </c>
      <c r="Y605" t="str">
        <f>"855.30"</f>
        <v>855.30</v>
      </c>
      <c r="Z605" t="str">
        <f>""</f>
        <v/>
      </c>
      <c r="AA605" t="str">
        <f>"61133.00"</f>
        <v>61133.00</v>
      </c>
      <c r="AB605" t="str">
        <f t="shared" si="180"/>
        <v>Residential</v>
      </c>
      <c r="AC605" t="str">
        <f t="shared" si="185"/>
        <v>0</v>
      </c>
      <c r="AD605" t="str">
        <f t="shared" si="182"/>
        <v>4</v>
      </c>
      <c r="AE605" t="str">
        <f t="shared" si="183"/>
        <v>WOOD (INCLUDE STEEL STUDS)</v>
      </c>
      <c r="AF605" t="str">
        <f>"002"</f>
        <v>002</v>
      </c>
      <c r="AG605" t="str">
        <f t="shared" si="186"/>
        <v>FL</v>
      </c>
      <c r="AH605" t="str">
        <f>"49658.00"</f>
        <v>49658.00</v>
      </c>
      <c r="AI605" t="str">
        <f>"17100.00"</f>
        <v>17100.00</v>
      </c>
      <c r="AJ605" t="str">
        <f>"C55-000-586-4838-7"</f>
        <v>C55-000-586-4838-7</v>
      </c>
      <c r="AK605" t="str">
        <f>"9810"</f>
        <v>9810</v>
      </c>
      <c r="AL605">
        <v>3</v>
      </c>
      <c r="AM605">
        <v>698</v>
      </c>
      <c r="AN605">
        <v>896.47</v>
      </c>
      <c r="AQ605" t="s">
        <v>6476</v>
      </c>
      <c r="AR605" t="s">
        <v>6476</v>
      </c>
      <c r="AS605" t="s">
        <v>6476</v>
      </c>
      <c r="AU605" t="s">
        <v>396</v>
      </c>
      <c r="AV605">
        <v>2017</v>
      </c>
      <c r="AW605" t="str">
        <f>"04-1N-25-2755-0020-0000 "</f>
        <v xml:space="preserve">04-1N-25-2755-0020-0000 </v>
      </c>
      <c r="AX605">
        <v>44303</v>
      </c>
      <c r="AZ605" t="s">
        <v>6477</v>
      </c>
      <c r="BA605" t="s">
        <v>669</v>
      </c>
      <c r="BD605" t="s">
        <v>2785</v>
      </c>
      <c r="BE605" t="s">
        <v>393</v>
      </c>
      <c r="BF605">
        <v>32011</v>
      </c>
      <c r="BG605" t="s">
        <v>6478</v>
      </c>
      <c r="BH605" t="s">
        <v>2787</v>
      </c>
      <c r="BI605">
        <v>-81.807226243651996</v>
      </c>
      <c r="BJ605">
        <v>30.529498031174398</v>
      </c>
      <c r="BK605" t="s">
        <v>6479</v>
      </c>
      <c r="BL605" t="s">
        <v>6480</v>
      </c>
      <c r="BM605" t="s">
        <v>6481</v>
      </c>
      <c r="BN605" t="s">
        <v>928</v>
      </c>
      <c r="BO605">
        <v>32011</v>
      </c>
      <c r="BP605" t="s">
        <v>404</v>
      </c>
      <c r="BQ605">
        <v>200</v>
      </c>
      <c r="BR605" t="s">
        <v>405</v>
      </c>
      <c r="BS605">
        <v>1006</v>
      </c>
      <c r="BT605" t="s">
        <v>406</v>
      </c>
      <c r="BW605">
        <v>49658</v>
      </c>
      <c r="BX605" t="s">
        <v>407</v>
      </c>
      <c r="BY605" t="s">
        <v>4360</v>
      </c>
      <c r="BZ605">
        <v>4</v>
      </c>
      <c r="CA605">
        <v>1994</v>
      </c>
      <c r="CB605">
        <v>1</v>
      </c>
      <c r="CC605">
        <v>1</v>
      </c>
      <c r="CD605">
        <v>2017</v>
      </c>
      <c r="CE605">
        <v>17100</v>
      </c>
      <c r="CF605">
        <v>44033</v>
      </c>
      <c r="CG605">
        <v>61133</v>
      </c>
      <c r="CH605">
        <v>2017</v>
      </c>
      <c r="CI605">
        <v>17100</v>
      </c>
      <c r="CJ605">
        <v>44033</v>
      </c>
      <c r="CK605">
        <v>61133</v>
      </c>
      <c r="CL605">
        <v>2017</v>
      </c>
      <c r="CM605">
        <v>799.32</v>
      </c>
      <c r="CN605" s="1">
        <v>36727</v>
      </c>
      <c r="CO605">
        <v>28000</v>
      </c>
      <c r="CV605">
        <v>20000</v>
      </c>
      <c r="CX605" t="s">
        <v>707</v>
      </c>
      <c r="CZ605" s="1">
        <v>36727</v>
      </c>
      <c r="DA605">
        <v>0</v>
      </c>
      <c r="DD605" t="s">
        <v>2785</v>
      </c>
      <c r="DG605">
        <v>4</v>
      </c>
      <c r="DJ605" t="s">
        <v>6482</v>
      </c>
      <c r="DL605">
        <v>50502</v>
      </c>
      <c r="DM605" t="s">
        <v>6474</v>
      </c>
      <c r="DO605" t="s">
        <v>6483</v>
      </c>
      <c r="DP605">
        <v>0</v>
      </c>
      <c r="DQ605">
        <v>1</v>
      </c>
      <c r="DR605" t="s">
        <v>411</v>
      </c>
      <c r="DS605" t="b">
        <v>1</v>
      </c>
      <c r="DT605" t="s">
        <v>470</v>
      </c>
      <c r="DU605" t="s">
        <v>471</v>
      </c>
      <c r="DV605" t="s">
        <v>472</v>
      </c>
      <c r="DX605">
        <v>-9999</v>
      </c>
      <c r="DZ605" t="s">
        <v>447</v>
      </c>
      <c r="EA605" t="s">
        <v>448</v>
      </c>
      <c r="EB605" t="s">
        <v>742</v>
      </c>
      <c r="EC605">
        <v>20101217</v>
      </c>
      <c r="ED605" t="s">
        <v>474</v>
      </c>
      <c r="EF605">
        <v>646.1</v>
      </c>
      <c r="EG605">
        <v>646.1</v>
      </c>
      <c r="EI605">
        <v>20160407</v>
      </c>
      <c r="EJ605">
        <v>0</v>
      </c>
      <c r="EK605">
        <v>0</v>
      </c>
      <c r="EP605" t="s">
        <v>421</v>
      </c>
      <c r="EQ605" t="s">
        <v>422</v>
      </c>
      <c r="ER605">
        <v>2</v>
      </c>
      <c r="ES605">
        <v>8</v>
      </c>
      <c r="ET605">
        <v>1453.42</v>
      </c>
      <c r="EU605">
        <v>85.17</v>
      </c>
      <c r="EV605">
        <v>1538.59</v>
      </c>
      <c r="EW605" s="2">
        <v>43222</v>
      </c>
      <c r="EX605" s="1">
        <v>42879</v>
      </c>
      <c r="EY605">
        <v>2016</v>
      </c>
      <c r="EZ605">
        <v>726.71</v>
      </c>
      <c r="FA605" t="s">
        <v>6484</v>
      </c>
      <c r="FB605">
        <v>0.25</v>
      </c>
      <c r="FC605" t="s">
        <v>424</v>
      </c>
      <c r="FD605" t="s">
        <v>454</v>
      </c>
      <c r="FF605">
        <v>12</v>
      </c>
      <c r="FG605">
        <v>7400234</v>
      </c>
      <c r="FH605" t="s">
        <v>426</v>
      </c>
      <c r="FJ605" s="1">
        <v>42879</v>
      </c>
      <c r="FK605">
        <v>2016</v>
      </c>
      <c r="FL605">
        <v>726.71</v>
      </c>
      <c r="FM605" t="s">
        <v>6484</v>
      </c>
      <c r="FN605">
        <v>0.25</v>
      </c>
      <c r="FO605" t="s">
        <v>424</v>
      </c>
      <c r="FP605" t="s">
        <v>454</v>
      </c>
      <c r="FR605">
        <v>12</v>
      </c>
      <c r="FS605">
        <v>7505193</v>
      </c>
      <c r="FT605" t="s">
        <v>6485</v>
      </c>
      <c r="FV605" s="1">
        <v>42515</v>
      </c>
      <c r="FW605">
        <v>2015</v>
      </c>
      <c r="FX605">
        <v>849.78</v>
      </c>
      <c r="FY605" t="s">
        <v>6486</v>
      </c>
      <c r="FZ605">
        <v>0.25</v>
      </c>
      <c r="GA605" t="s">
        <v>424</v>
      </c>
      <c r="GB605" t="s">
        <v>425</v>
      </c>
      <c r="GC605" s="1">
        <v>43164</v>
      </c>
      <c r="GD605">
        <v>22</v>
      </c>
      <c r="GE605">
        <v>7045074</v>
      </c>
      <c r="GF605" t="s">
        <v>580</v>
      </c>
      <c r="GH605" s="1">
        <v>42515</v>
      </c>
      <c r="GI605">
        <v>2015</v>
      </c>
      <c r="GJ605">
        <v>849.78</v>
      </c>
      <c r="GK605" t="s">
        <v>6486</v>
      </c>
      <c r="GL605">
        <v>0.25</v>
      </c>
      <c r="GM605" t="s">
        <v>424</v>
      </c>
      <c r="GN605" t="s">
        <v>425</v>
      </c>
      <c r="GP605">
        <v>22</v>
      </c>
      <c r="GQ605">
        <v>6707704</v>
      </c>
      <c r="GR605" t="s">
        <v>6487</v>
      </c>
      <c r="GT605" s="1">
        <v>42151</v>
      </c>
      <c r="GU605">
        <v>2014</v>
      </c>
      <c r="GV605">
        <v>771.05</v>
      </c>
      <c r="GW605" t="s">
        <v>6488</v>
      </c>
      <c r="GX605">
        <v>0.25</v>
      </c>
      <c r="GY605" t="s">
        <v>424</v>
      </c>
      <c r="GZ605" t="s">
        <v>425</v>
      </c>
      <c r="HA605" s="1">
        <v>42871</v>
      </c>
      <c r="HB605">
        <v>24</v>
      </c>
      <c r="HC605">
        <v>2851116</v>
      </c>
      <c r="HD605" t="s">
        <v>480</v>
      </c>
      <c r="HF605" s="1">
        <v>42151</v>
      </c>
      <c r="HG605">
        <v>2014</v>
      </c>
      <c r="HH605">
        <v>771.05</v>
      </c>
      <c r="HI605" t="s">
        <v>6488</v>
      </c>
      <c r="HJ605">
        <v>0.25</v>
      </c>
      <c r="HK605" t="s">
        <v>424</v>
      </c>
      <c r="HL605" t="s">
        <v>425</v>
      </c>
      <c r="HN605">
        <v>22</v>
      </c>
      <c r="HO605">
        <v>5064941</v>
      </c>
      <c r="HP605" t="s">
        <v>6489</v>
      </c>
      <c r="HR605" s="1">
        <v>41787</v>
      </c>
      <c r="HS605">
        <v>2013</v>
      </c>
      <c r="HT605">
        <v>1058.6400000000001</v>
      </c>
      <c r="HU605" t="s">
        <v>6490</v>
      </c>
      <c r="HV605">
        <v>0.25</v>
      </c>
      <c r="HW605" t="s">
        <v>424</v>
      </c>
      <c r="HX605" t="s">
        <v>425</v>
      </c>
      <c r="HY605" s="1">
        <v>42429</v>
      </c>
      <c r="HZ605">
        <v>21</v>
      </c>
      <c r="IA605">
        <v>2851116</v>
      </c>
      <c r="IB605" t="s">
        <v>480</v>
      </c>
      <c r="ID605" s="1">
        <v>41423</v>
      </c>
      <c r="IE605">
        <v>2012</v>
      </c>
      <c r="IF605">
        <v>355.97</v>
      </c>
      <c r="IG605" t="s">
        <v>6491</v>
      </c>
      <c r="IH605">
        <v>5.75</v>
      </c>
      <c r="II605" t="s">
        <v>424</v>
      </c>
      <c r="IJ605" t="s">
        <v>425</v>
      </c>
      <c r="IK605" s="1">
        <v>42093</v>
      </c>
      <c r="IL605">
        <v>22</v>
      </c>
      <c r="IM605">
        <v>2101381</v>
      </c>
      <c r="IN605" t="s">
        <v>605</v>
      </c>
      <c r="IP605" s="1">
        <v>41052</v>
      </c>
      <c r="IQ605">
        <v>2011</v>
      </c>
      <c r="IR605">
        <v>382.32</v>
      </c>
      <c r="IS605" t="s">
        <v>6492</v>
      </c>
      <c r="IT605">
        <v>6.25</v>
      </c>
      <c r="IU605" t="s">
        <v>424</v>
      </c>
      <c r="IV605" t="s">
        <v>425</v>
      </c>
      <c r="IW605" s="1">
        <v>41697</v>
      </c>
      <c r="IX605">
        <v>21</v>
      </c>
      <c r="IY605">
        <v>1109</v>
      </c>
      <c r="IZ605" t="s">
        <v>852</v>
      </c>
      <c r="JB605" s="1">
        <v>40688</v>
      </c>
      <c r="JC605">
        <v>2010</v>
      </c>
      <c r="JD605">
        <v>383.34</v>
      </c>
      <c r="JE605" t="s">
        <v>6493</v>
      </c>
      <c r="JF605">
        <v>9.75</v>
      </c>
      <c r="JG605" t="s">
        <v>424</v>
      </c>
      <c r="JH605" t="s">
        <v>425</v>
      </c>
      <c r="JI605" s="1">
        <v>41379</v>
      </c>
      <c r="JJ605">
        <v>23</v>
      </c>
      <c r="JK605">
        <v>105</v>
      </c>
      <c r="JL605" t="s">
        <v>946</v>
      </c>
    </row>
    <row r="606" spans="1:272" x14ac:dyDescent="0.25">
      <c r="A606">
        <v>16485613</v>
      </c>
      <c r="B606">
        <v>605</v>
      </c>
      <c r="C606" t="s">
        <v>393</v>
      </c>
      <c r="D606" t="s">
        <v>394</v>
      </c>
      <c r="F606" t="str">
        <f>"04-1N-25-2755-0035-0000"</f>
        <v>04-1N-25-2755-0035-0000</v>
      </c>
      <c r="H606" t="str">
        <f>"PETERS CLINTON"</f>
        <v>PETERS CLINTON</v>
      </c>
      <c r="I606" t="str">
        <f>"482 15TH AVE SOUTH"</f>
        <v>482 15TH AVE SOUTH</v>
      </c>
      <c r="J606" t="str">
        <f>"JACKSONVILLE BEACH FL 32250"</f>
        <v>JACKSONVILLE BEACH FL 32250</v>
      </c>
      <c r="K606" t="str">
        <f>"44002 CHARWOOD DR"</f>
        <v>44002 CHARWOOD DR</v>
      </c>
      <c r="L606" t="str">
        <f t="shared" si="181"/>
        <v>CALLAHAN FL 32011</v>
      </c>
      <c r="M606" t="str">
        <f>"TRACT 35 IN OR 1167/160 CHARWOOD ESTATES PB 4/65"</f>
        <v>TRACT 35 IN OR 1167/160 CHARWOOD ESTATES PB 4/65</v>
      </c>
      <c r="N606" t="str">
        <f>""</f>
        <v/>
      </c>
      <c r="O606" t="str">
        <f>"19683"</f>
        <v>19683</v>
      </c>
      <c r="P606" t="str">
        <f t="shared" si="176"/>
        <v>2017</v>
      </c>
      <c r="Q606" t="str">
        <f>""</f>
        <v/>
      </c>
      <c r="R606" t="str">
        <f>"N"</f>
        <v>N</v>
      </c>
      <c r="S606" t="str">
        <f>"1.08"</f>
        <v>1.08</v>
      </c>
      <c r="T606" t="str">
        <f>"293.46"</f>
        <v>293.46</v>
      </c>
      <c r="U606" t="str">
        <f>"15890.00"</f>
        <v>15890.00</v>
      </c>
      <c r="V606" t="str">
        <f>"15890.00"</f>
        <v>15890.00</v>
      </c>
      <c r="W606" t="str">
        <f t="shared" si="177"/>
        <v>2017</v>
      </c>
      <c r="X606" t="str">
        <f>"8.00"</f>
        <v>8.00</v>
      </c>
      <c r="Y606" t="str">
        <f>"334.26"</f>
        <v>334.26</v>
      </c>
      <c r="Z606" t="str">
        <f>""</f>
        <v/>
      </c>
      <c r="AA606" t="str">
        <f>"23907.00"</f>
        <v>23907.00</v>
      </c>
      <c r="AB606" t="str">
        <f t="shared" si="180"/>
        <v>Residential</v>
      </c>
      <c r="AC606" t="str">
        <f t="shared" si="185"/>
        <v>0</v>
      </c>
      <c r="AD606" t="str">
        <f>""</f>
        <v/>
      </c>
      <c r="AE606" t="str">
        <f>""</f>
        <v/>
      </c>
      <c r="AF606" t="str">
        <f>"000"</f>
        <v>000</v>
      </c>
      <c r="AG606" t="str">
        <f t="shared" si="186"/>
        <v>FL</v>
      </c>
      <c r="AH606" t="str">
        <f>"47044.00"</f>
        <v>47044.00</v>
      </c>
      <c r="AI606" t="str">
        <f>"16200.00"</f>
        <v>16200.00</v>
      </c>
      <c r="AJ606" t="str">
        <f>"C55-000-586-4853-6"</f>
        <v>C55-000-586-4853-6</v>
      </c>
      <c r="AK606" t="str">
        <f>"9825"</f>
        <v>9825</v>
      </c>
      <c r="AL606">
        <v>3</v>
      </c>
      <c r="AM606">
        <v>699</v>
      </c>
      <c r="AN606">
        <v>349.37</v>
      </c>
      <c r="AQ606" t="s">
        <v>6494</v>
      </c>
      <c r="AR606" t="s">
        <v>6494</v>
      </c>
      <c r="AS606" t="s">
        <v>6494</v>
      </c>
      <c r="AU606" t="s">
        <v>396</v>
      </c>
      <c r="AV606">
        <v>2017</v>
      </c>
      <c r="AW606" t="str">
        <f>"04-1N-25-2755-0035-0000 "</f>
        <v xml:space="preserve">04-1N-25-2755-0035-0000 </v>
      </c>
      <c r="AX606">
        <v>44002</v>
      </c>
      <c r="AZ606" t="s">
        <v>6477</v>
      </c>
      <c r="BA606" t="s">
        <v>669</v>
      </c>
      <c r="BD606" t="s">
        <v>2785</v>
      </c>
      <c r="BE606" t="s">
        <v>393</v>
      </c>
      <c r="BF606">
        <v>32011</v>
      </c>
      <c r="BG606" t="s">
        <v>6495</v>
      </c>
      <c r="BH606" t="s">
        <v>2787</v>
      </c>
      <c r="BI606">
        <v>-81.811209097985497</v>
      </c>
      <c r="BJ606">
        <v>30.526454726609899</v>
      </c>
      <c r="BK606" t="s">
        <v>6496</v>
      </c>
      <c r="BM606" t="s">
        <v>6497</v>
      </c>
      <c r="BN606" t="s">
        <v>3912</v>
      </c>
      <c r="BO606">
        <v>32250</v>
      </c>
      <c r="BP606" t="s">
        <v>404</v>
      </c>
      <c r="BQ606">
        <v>1</v>
      </c>
      <c r="BR606" t="s">
        <v>491</v>
      </c>
      <c r="BS606">
        <v>8001</v>
      </c>
      <c r="BT606" t="s">
        <v>492</v>
      </c>
      <c r="BW606">
        <v>47044</v>
      </c>
      <c r="BX606" t="s">
        <v>407</v>
      </c>
      <c r="BY606" t="s">
        <v>4360</v>
      </c>
      <c r="CD606">
        <v>2017</v>
      </c>
      <c r="CE606">
        <v>16200</v>
      </c>
      <c r="CF606">
        <v>7707</v>
      </c>
      <c r="CG606">
        <v>23907</v>
      </c>
      <c r="CH606">
        <v>2017</v>
      </c>
      <c r="CI606">
        <v>16200</v>
      </c>
      <c r="CJ606">
        <v>7707</v>
      </c>
      <c r="CK606">
        <v>23907</v>
      </c>
      <c r="CL606">
        <v>2017</v>
      </c>
      <c r="CM606">
        <v>293.45999999999998</v>
      </c>
      <c r="CN606" s="1">
        <v>37866</v>
      </c>
      <c r="CV606">
        <v>0</v>
      </c>
      <c r="CZ606" s="1">
        <v>37866</v>
      </c>
      <c r="DA606">
        <v>0</v>
      </c>
      <c r="DD606" t="s">
        <v>2785</v>
      </c>
      <c r="DG606">
        <v>4</v>
      </c>
      <c r="DJ606" t="s">
        <v>6482</v>
      </c>
      <c r="DL606">
        <v>50502</v>
      </c>
      <c r="DM606" t="s">
        <v>6474</v>
      </c>
      <c r="DO606" t="s">
        <v>6498</v>
      </c>
      <c r="DP606">
        <v>0</v>
      </c>
      <c r="DQ606">
        <v>0</v>
      </c>
      <c r="DR606" t="s">
        <v>411</v>
      </c>
      <c r="DS606" t="b">
        <v>1</v>
      </c>
      <c r="DT606" t="s">
        <v>470</v>
      </c>
      <c r="DU606" t="s">
        <v>471</v>
      </c>
      <c r="DV606" t="s">
        <v>472</v>
      </c>
      <c r="DX606">
        <v>-9999</v>
      </c>
      <c r="DZ606" t="s">
        <v>447</v>
      </c>
      <c r="EA606" t="s">
        <v>448</v>
      </c>
      <c r="EB606" t="s">
        <v>742</v>
      </c>
      <c r="EC606">
        <v>20101217</v>
      </c>
      <c r="ED606" t="s">
        <v>474</v>
      </c>
      <c r="EF606">
        <v>1436.1</v>
      </c>
      <c r="EG606">
        <v>1436.1</v>
      </c>
      <c r="EI606">
        <v>20160407</v>
      </c>
      <c r="EJ606">
        <v>0</v>
      </c>
      <c r="EK606">
        <v>0</v>
      </c>
      <c r="EP606" t="s">
        <v>421</v>
      </c>
      <c r="EQ606" t="s">
        <v>422</v>
      </c>
      <c r="ER606">
        <v>1</v>
      </c>
      <c r="ES606">
        <v>1</v>
      </c>
      <c r="ET606">
        <v>294.33</v>
      </c>
      <c r="EU606">
        <v>20.97</v>
      </c>
      <c r="EV606">
        <v>315.3</v>
      </c>
      <c r="EW606" s="2">
        <v>43222</v>
      </c>
      <c r="EX606" s="1">
        <v>42879</v>
      </c>
      <c r="EY606">
        <v>2016</v>
      </c>
      <c r="EZ606">
        <v>294.33</v>
      </c>
      <c r="FA606" t="s">
        <v>6499</v>
      </c>
      <c r="FB606">
        <v>4.75</v>
      </c>
      <c r="FC606" t="s">
        <v>424</v>
      </c>
      <c r="FD606" t="s">
        <v>454</v>
      </c>
      <c r="FF606">
        <v>12</v>
      </c>
      <c r="FG606">
        <v>10021</v>
      </c>
      <c r="FH606" t="s">
        <v>597</v>
      </c>
      <c r="FJ606" s="1">
        <v>42515</v>
      </c>
      <c r="FK606">
        <v>2015</v>
      </c>
      <c r="FL606">
        <v>284.62</v>
      </c>
      <c r="FM606" t="s">
        <v>6500</v>
      </c>
      <c r="FN606">
        <v>15</v>
      </c>
      <c r="FO606" t="s">
        <v>424</v>
      </c>
      <c r="FP606" t="s">
        <v>425</v>
      </c>
      <c r="FQ606" s="1">
        <v>42754</v>
      </c>
      <c r="FR606">
        <v>8</v>
      </c>
      <c r="FS606">
        <v>7336143</v>
      </c>
      <c r="FT606" t="s">
        <v>539</v>
      </c>
    </row>
    <row r="607" spans="1:272" x14ac:dyDescent="0.25">
      <c r="A607">
        <v>16485614</v>
      </c>
      <c r="B607">
        <v>606</v>
      </c>
      <c r="C607" t="s">
        <v>393</v>
      </c>
      <c r="D607" t="s">
        <v>394</v>
      </c>
      <c r="F607" t="str">
        <f>"04-1N-25-2760-0008-0030"</f>
        <v>04-1N-25-2760-0008-0030</v>
      </c>
      <c r="H607" t="str">
        <f>"MCKENDREE JOSEPH WADE &amp; BELLAMY MARY CATHERINE ETAL"</f>
        <v>MCKENDREE JOSEPH WADE &amp; BELLAMY MARY CATHERINE ETAL</v>
      </c>
      <c r="I607" t="str">
        <f>"35199 QUAIL RD"</f>
        <v>35199 QUAIL RD</v>
      </c>
      <c r="J607" t="str">
        <f>"CALLAHAN FL 32011"</f>
        <v>CALLAHAN FL 32011</v>
      </c>
      <c r="K607" t="str">
        <f>"44136 MCKENDREE DR"</f>
        <v>44136 MCKENDREE DR</v>
      </c>
      <c r="L607" t="str">
        <f t="shared" si="181"/>
        <v>CALLAHAN FL 32011</v>
      </c>
      <c r="M607" t="str">
        <f>"PT LOTS 8 &amp; 9 IN OR 1932/64 (EX PT IN OR 679/297 OR 725/200) EAST GRAY GABLES SUB PBK 2/50"</f>
        <v>PT LOTS 8 &amp; 9 IN OR 1932/64 (EX PT IN OR 679/297 OR 725/200) EAST GRAY GABLES SUB PBK 2/50</v>
      </c>
      <c r="N607" t="str">
        <f>""</f>
        <v/>
      </c>
      <c r="O607" t="str">
        <f>"19696"</f>
        <v>19696</v>
      </c>
      <c r="P607" t="str">
        <f t="shared" si="176"/>
        <v>2017</v>
      </c>
      <c r="Q607" t="str">
        <f>""</f>
        <v/>
      </c>
      <c r="R607" t="str">
        <f>"N"</f>
        <v>N</v>
      </c>
      <c r="S607" t="str">
        <f>"4.26"</f>
        <v>4.26</v>
      </c>
      <c r="T607" t="str">
        <f>"1350.92"</f>
        <v>1350.92</v>
      </c>
      <c r="U607" t="str">
        <f>"89235.00"</f>
        <v>89235.00</v>
      </c>
      <c r="V607" t="str">
        <f>"89235.00"</f>
        <v>89235.00</v>
      </c>
      <c r="W607" t="str">
        <f t="shared" si="177"/>
        <v>2017</v>
      </c>
      <c r="X607" t="str">
        <f>"16.86"</f>
        <v>16.86</v>
      </c>
      <c r="Y607" t="str">
        <f>"1423.45"</f>
        <v>1423.45</v>
      </c>
      <c r="Z607" t="str">
        <f>""</f>
        <v/>
      </c>
      <c r="AA607" t="str">
        <f>"89235.00"</f>
        <v>89235.00</v>
      </c>
      <c r="AB607" t="str">
        <f t="shared" si="180"/>
        <v>Residential</v>
      </c>
      <c r="AC607" t="str">
        <f t="shared" si="185"/>
        <v>0</v>
      </c>
      <c r="AD607" t="str">
        <f>"4"</f>
        <v>4</v>
      </c>
      <c r="AE607" t="str">
        <f>"WOOD (INCLUDE STEEL STUDS)"</f>
        <v>WOOD (INCLUDE STEEL STUDS)</v>
      </c>
      <c r="AF607" t="str">
        <f>"001"</f>
        <v>001</v>
      </c>
      <c r="AG607" t="str">
        <f t="shared" si="186"/>
        <v>FL</v>
      </c>
      <c r="AH607" t="str">
        <f>"185565.00"</f>
        <v>185565.00</v>
      </c>
      <c r="AI607" t="str">
        <f>"34080.00"</f>
        <v>34080.00</v>
      </c>
      <c r="AJ607" t="str">
        <f>"C55-000-586-4865-0"</f>
        <v>C55-000-586-4865-0</v>
      </c>
      <c r="AK607" t="str">
        <f>"9886"</f>
        <v>9886</v>
      </c>
      <c r="AL607">
        <v>3</v>
      </c>
      <c r="AM607">
        <v>700</v>
      </c>
      <c r="AN607">
        <v>1493.02</v>
      </c>
      <c r="AQ607" t="s">
        <v>6501</v>
      </c>
      <c r="AR607" t="s">
        <v>6501</v>
      </c>
      <c r="AS607" t="s">
        <v>6501</v>
      </c>
      <c r="AU607" t="s">
        <v>396</v>
      </c>
      <c r="AV607">
        <v>2017</v>
      </c>
      <c r="AW607" t="str">
        <f>"04-1N-25-2760-0008-0030 "</f>
        <v xml:space="preserve">04-1N-25-2760-0008-0030 </v>
      </c>
      <c r="AX607">
        <v>44136</v>
      </c>
      <c r="AZ607" t="s">
        <v>6502</v>
      </c>
      <c r="BA607" t="s">
        <v>669</v>
      </c>
      <c r="BD607" t="s">
        <v>2785</v>
      </c>
      <c r="BE607" t="s">
        <v>393</v>
      </c>
      <c r="BF607">
        <v>32011</v>
      </c>
      <c r="BG607" t="s">
        <v>6503</v>
      </c>
      <c r="BH607" t="s">
        <v>2787</v>
      </c>
      <c r="BI607">
        <v>-81.804120286955495</v>
      </c>
      <c r="BJ607">
        <v>30.5320583901823</v>
      </c>
      <c r="BK607" t="s">
        <v>6504</v>
      </c>
      <c r="BL607" t="s">
        <v>6505</v>
      </c>
      <c r="BM607" t="s">
        <v>6506</v>
      </c>
      <c r="BN607" t="s">
        <v>928</v>
      </c>
      <c r="BO607">
        <v>32011</v>
      </c>
      <c r="BP607" t="s">
        <v>404</v>
      </c>
      <c r="BQ607">
        <v>100</v>
      </c>
      <c r="BR607" t="s">
        <v>514</v>
      </c>
      <c r="BS607">
        <v>1001</v>
      </c>
      <c r="BT607" t="s">
        <v>515</v>
      </c>
      <c r="BW607">
        <v>185565</v>
      </c>
      <c r="BX607" t="s">
        <v>407</v>
      </c>
      <c r="BZ607">
        <v>4</v>
      </c>
      <c r="CA607">
        <v>1940</v>
      </c>
      <c r="CB607">
        <v>1</v>
      </c>
      <c r="CC607">
        <v>1</v>
      </c>
      <c r="CD607">
        <v>2017</v>
      </c>
      <c r="CE607">
        <v>34080</v>
      </c>
      <c r="CF607">
        <v>55155</v>
      </c>
      <c r="CG607">
        <v>89235</v>
      </c>
      <c r="CH607">
        <v>2017</v>
      </c>
      <c r="CI607">
        <v>34080</v>
      </c>
      <c r="CJ607">
        <v>55155</v>
      </c>
      <c r="CK607">
        <v>89235</v>
      </c>
      <c r="CL607">
        <v>2017</v>
      </c>
      <c r="CM607">
        <v>1350.92</v>
      </c>
      <c r="CN607" s="1">
        <v>41863</v>
      </c>
      <c r="CZ607" s="1">
        <v>41863</v>
      </c>
      <c r="DD607" t="s">
        <v>2785</v>
      </c>
      <c r="DG607">
        <v>4</v>
      </c>
      <c r="DL607">
        <v>50502</v>
      </c>
      <c r="DM607" t="s">
        <v>6474</v>
      </c>
      <c r="DO607" t="s">
        <v>6507</v>
      </c>
      <c r="DP607">
        <v>0</v>
      </c>
      <c r="DQ607">
        <v>1</v>
      </c>
      <c r="DR607" t="s">
        <v>411</v>
      </c>
      <c r="DS607" t="b">
        <v>1</v>
      </c>
      <c r="DT607" t="s">
        <v>470</v>
      </c>
      <c r="DU607" t="s">
        <v>471</v>
      </c>
      <c r="DV607" t="s">
        <v>472</v>
      </c>
      <c r="DX607">
        <v>-9999</v>
      </c>
      <c r="DZ607" t="s">
        <v>447</v>
      </c>
      <c r="EA607" t="s">
        <v>448</v>
      </c>
      <c r="EB607" t="s">
        <v>742</v>
      </c>
      <c r="EC607">
        <v>20101217</v>
      </c>
      <c r="ED607" t="s">
        <v>474</v>
      </c>
      <c r="EF607">
        <v>131.19999999999999</v>
      </c>
      <c r="EG607">
        <v>131.19999999999999</v>
      </c>
      <c r="EI607">
        <v>20160407</v>
      </c>
      <c r="EJ607">
        <v>0</v>
      </c>
      <c r="EK607">
        <v>0</v>
      </c>
      <c r="EP607" t="s">
        <v>421</v>
      </c>
      <c r="EQ607" t="s">
        <v>422</v>
      </c>
      <c r="ER607">
        <v>2</v>
      </c>
      <c r="ES607">
        <v>4</v>
      </c>
      <c r="ET607">
        <v>2939.76</v>
      </c>
      <c r="EU607">
        <v>159.49</v>
      </c>
      <c r="EV607">
        <v>3099.25</v>
      </c>
      <c r="EW607" s="2">
        <v>43222</v>
      </c>
      <c r="EX607" s="1">
        <v>42879</v>
      </c>
      <c r="EY607">
        <v>2016</v>
      </c>
      <c r="EZ607">
        <v>1469.88</v>
      </c>
      <c r="FA607" t="s">
        <v>6508</v>
      </c>
      <c r="FB607">
        <v>0.25</v>
      </c>
      <c r="FC607" t="s">
        <v>424</v>
      </c>
      <c r="FD607" t="s">
        <v>454</v>
      </c>
      <c r="FF607">
        <v>12</v>
      </c>
      <c r="FG607">
        <v>7400234</v>
      </c>
      <c r="FH607" t="s">
        <v>426</v>
      </c>
      <c r="FJ607" s="1">
        <v>42879</v>
      </c>
      <c r="FK607">
        <v>2016</v>
      </c>
      <c r="FL607">
        <v>1469.88</v>
      </c>
      <c r="FM607" t="s">
        <v>6508</v>
      </c>
      <c r="FN607">
        <v>0.25</v>
      </c>
      <c r="FO607" t="s">
        <v>424</v>
      </c>
      <c r="FP607" t="s">
        <v>454</v>
      </c>
      <c r="FR607">
        <v>12</v>
      </c>
      <c r="FS607">
        <v>7486248</v>
      </c>
      <c r="FT607" t="s">
        <v>6509</v>
      </c>
      <c r="FV607" s="1">
        <v>42515</v>
      </c>
      <c r="FW607">
        <v>2015</v>
      </c>
      <c r="FX607">
        <v>1502.96</v>
      </c>
      <c r="FY607" t="s">
        <v>6510</v>
      </c>
      <c r="FZ607">
        <v>0.25</v>
      </c>
      <c r="GA607" t="s">
        <v>424</v>
      </c>
      <c r="GB607" t="s">
        <v>425</v>
      </c>
      <c r="GC607" s="1">
        <v>43052</v>
      </c>
      <c r="GD607">
        <v>18</v>
      </c>
      <c r="GE607">
        <v>7045074</v>
      </c>
      <c r="GF607" t="s">
        <v>580</v>
      </c>
      <c r="GH607" s="1">
        <v>42515</v>
      </c>
      <c r="GI607">
        <v>2015</v>
      </c>
      <c r="GJ607">
        <v>1502.96</v>
      </c>
      <c r="GK607" t="s">
        <v>6510</v>
      </c>
      <c r="GL607">
        <v>0.25</v>
      </c>
      <c r="GM607" t="s">
        <v>424</v>
      </c>
      <c r="GN607" t="s">
        <v>425</v>
      </c>
      <c r="GP607">
        <v>22</v>
      </c>
      <c r="GQ607">
        <v>6255931</v>
      </c>
      <c r="GR607" t="s">
        <v>6511</v>
      </c>
      <c r="GT607" s="1">
        <v>41052</v>
      </c>
      <c r="GU607">
        <v>2011</v>
      </c>
      <c r="GV607">
        <v>595.08000000000004</v>
      </c>
      <c r="GW607" t="s">
        <v>6512</v>
      </c>
      <c r="GX607">
        <v>0.25</v>
      </c>
      <c r="GY607" t="s">
        <v>424</v>
      </c>
      <c r="GZ607" t="s">
        <v>425</v>
      </c>
      <c r="HA607" s="1">
        <v>41229</v>
      </c>
      <c r="HB607">
        <v>6</v>
      </c>
      <c r="HC607">
        <v>13661</v>
      </c>
      <c r="HD607" t="s">
        <v>6513</v>
      </c>
      <c r="HF607" s="1">
        <v>40688</v>
      </c>
      <c r="HG607">
        <v>2010</v>
      </c>
      <c r="HH607">
        <v>587.70000000000005</v>
      </c>
      <c r="HI607" t="s">
        <v>6514</v>
      </c>
      <c r="HJ607">
        <v>0.25</v>
      </c>
      <c r="HK607" t="s">
        <v>424</v>
      </c>
      <c r="HL607" t="s">
        <v>425</v>
      </c>
      <c r="HM607" s="1">
        <v>41229</v>
      </c>
      <c r="HN607">
        <v>18</v>
      </c>
      <c r="HO607">
        <v>11141</v>
      </c>
      <c r="HP607" t="s">
        <v>1723</v>
      </c>
    </row>
    <row r="608" spans="1:272" x14ac:dyDescent="0.25">
      <c r="A608">
        <v>16485615</v>
      </c>
      <c r="B608">
        <v>607</v>
      </c>
      <c r="C608" t="s">
        <v>393</v>
      </c>
      <c r="D608" t="s">
        <v>394</v>
      </c>
      <c r="F608" t="str">
        <f>"04-1N-25-2760-0009-0030"</f>
        <v>04-1N-25-2760-0009-0030</v>
      </c>
      <c r="H608" t="str">
        <f>"MCBEE MICHAEL E &amp; JANE M"</f>
        <v>MCBEE MICHAEL E &amp; JANE M</v>
      </c>
      <c r="I608" t="str">
        <f>"44182 MCKENDREE DRIVE"</f>
        <v>44182 MCKENDREE DRIVE</v>
      </c>
      <c r="J608" t="str">
        <f>"CALLAHAN FL 32011"</f>
        <v>CALLAHAN FL 32011</v>
      </c>
      <c r="K608" t="str">
        <f>"44182 MCKENDREE DR"</f>
        <v>44182 MCKENDREE DR</v>
      </c>
      <c r="L608" t="str">
        <f t="shared" si="181"/>
        <v>CALLAHAN FL 32011</v>
      </c>
      <c r="M608" t="str">
        <f>"PT OF LOTS 9 &amp; 10 IN OR 679 PG 297 EAST GRAY GABLES SUB PB 2/50"</f>
        <v>PT OF LOTS 9 &amp; 10 IN OR 679 PG 297 EAST GRAY GABLES SUB PB 2/50</v>
      </c>
      <c r="N608" t="str">
        <f>""</f>
        <v/>
      </c>
      <c r="O608" t="str">
        <f>"19697"</f>
        <v>19697</v>
      </c>
      <c r="P608" t="str">
        <f t="shared" si="176"/>
        <v>2017</v>
      </c>
      <c r="Q608" t="str">
        <f>""</f>
        <v/>
      </c>
      <c r="R608" t="str">
        <f>"Y"</f>
        <v>Y</v>
      </c>
      <c r="S608" t="str">
        <f>"1.30"</f>
        <v>1.30</v>
      </c>
      <c r="T608" t="str">
        <f>"693.31"</f>
        <v>693.31</v>
      </c>
      <c r="U608" t="str">
        <f>"84901.00"</f>
        <v>84901.00</v>
      </c>
      <c r="V608" t="str">
        <f>"84901.00"</f>
        <v>84901.00</v>
      </c>
      <c r="W608" t="str">
        <f t="shared" si="177"/>
        <v>2017</v>
      </c>
      <c r="X608" t="str">
        <f>"17.46"</f>
        <v>17.46</v>
      </c>
      <c r="Y608" t="str">
        <f>"746.11"</f>
        <v>746.11</v>
      </c>
      <c r="Z608" t="str">
        <f>"25000.00"</f>
        <v>25000.00</v>
      </c>
      <c r="AA608" t="str">
        <f>"59901.00"</f>
        <v>59901.00</v>
      </c>
      <c r="AB608" t="str">
        <f t="shared" si="180"/>
        <v>Residential</v>
      </c>
      <c r="AC608" t="str">
        <f t="shared" si="185"/>
        <v>0</v>
      </c>
      <c r="AD608" t="str">
        <f>"4"</f>
        <v>4</v>
      </c>
      <c r="AE608" t="str">
        <f>"WOOD (INCLUDE STEEL STUDS)"</f>
        <v>WOOD (INCLUDE STEEL STUDS)</v>
      </c>
      <c r="AF608" t="str">
        <f>"001"</f>
        <v>001</v>
      </c>
      <c r="AG608" t="str">
        <f t="shared" si="186"/>
        <v>FL</v>
      </c>
      <c r="AH608" t="str">
        <f>"56628.00"</f>
        <v>56628.00</v>
      </c>
      <c r="AI608" t="str">
        <f>"19500.00"</f>
        <v>19500.00</v>
      </c>
      <c r="AJ608" t="str">
        <f>"C55-000-586-4866-8"</f>
        <v>C55-000-586-4866-8</v>
      </c>
      <c r="AK608" t="str">
        <f>"9887"</f>
        <v>9887</v>
      </c>
      <c r="AL608">
        <v>3</v>
      </c>
      <c r="AM608">
        <v>701</v>
      </c>
      <c r="AN608">
        <v>781.82</v>
      </c>
      <c r="AQ608" t="s">
        <v>6515</v>
      </c>
      <c r="AR608" t="s">
        <v>6515</v>
      </c>
      <c r="AS608" t="s">
        <v>6515</v>
      </c>
      <c r="AU608" t="s">
        <v>396</v>
      </c>
      <c r="AV608">
        <v>2017</v>
      </c>
      <c r="AW608" t="str">
        <f>"04-1N-25-2760-0009-0030 "</f>
        <v xml:space="preserve">04-1N-25-2760-0009-0030 </v>
      </c>
      <c r="AX608">
        <v>44182</v>
      </c>
      <c r="AZ608" t="s">
        <v>6502</v>
      </c>
      <c r="BA608" t="s">
        <v>669</v>
      </c>
      <c r="BD608" t="s">
        <v>2785</v>
      </c>
      <c r="BE608" t="s">
        <v>393</v>
      </c>
      <c r="BF608">
        <v>32011</v>
      </c>
      <c r="BG608" t="s">
        <v>6516</v>
      </c>
      <c r="BH608" t="s">
        <v>2787</v>
      </c>
      <c r="BI608">
        <v>-81.804040725203194</v>
      </c>
      <c r="BJ608">
        <v>30.5327206956492</v>
      </c>
      <c r="BK608" t="s">
        <v>6517</v>
      </c>
      <c r="BL608" t="s">
        <v>6518</v>
      </c>
      <c r="BM608" t="s">
        <v>6516</v>
      </c>
      <c r="BN608" t="s">
        <v>928</v>
      </c>
      <c r="BO608">
        <v>32011</v>
      </c>
      <c r="BP608" t="s">
        <v>416</v>
      </c>
      <c r="BQ608">
        <v>100</v>
      </c>
      <c r="BR608" t="s">
        <v>514</v>
      </c>
      <c r="BS608">
        <v>1001</v>
      </c>
      <c r="BT608" t="s">
        <v>515</v>
      </c>
      <c r="BW608">
        <v>56628</v>
      </c>
      <c r="BX608" t="s">
        <v>407</v>
      </c>
      <c r="BY608" t="s">
        <v>4360</v>
      </c>
      <c r="BZ608">
        <v>4</v>
      </c>
      <c r="CA608">
        <v>1994</v>
      </c>
      <c r="CB608">
        <v>1</v>
      </c>
      <c r="CC608">
        <v>1</v>
      </c>
      <c r="CD608">
        <v>2017</v>
      </c>
      <c r="CG608">
        <v>84901</v>
      </c>
      <c r="CH608">
        <v>2017</v>
      </c>
      <c r="CI608">
        <v>19500</v>
      </c>
      <c r="CJ608">
        <v>76683</v>
      </c>
      <c r="CK608">
        <v>96183</v>
      </c>
      <c r="CL608">
        <v>2017</v>
      </c>
      <c r="CM608">
        <v>693.31</v>
      </c>
      <c r="CN608" s="1">
        <v>34078</v>
      </c>
      <c r="CZ608" s="1">
        <v>34078</v>
      </c>
      <c r="DD608" t="s">
        <v>2785</v>
      </c>
      <c r="DG608">
        <v>4</v>
      </c>
      <c r="DJ608" t="s">
        <v>6519</v>
      </c>
      <c r="DL608">
        <v>50502</v>
      </c>
      <c r="DM608" t="s">
        <v>6474</v>
      </c>
      <c r="DO608" t="s">
        <v>6520</v>
      </c>
      <c r="DP608">
        <v>0</v>
      </c>
      <c r="DQ608">
        <v>0</v>
      </c>
      <c r="DR608" t="s">
        <v>411</v>
      </c>
      <c r="DS608" t="b">
        <v>1</v>
      </c>
      <c r="DT608" t="s">
        <v>470</v>
      </c>
      <c r="DU608" t="s">
        <v>471</v>
      </c>
      <c r="DV608" t="s">
        <v>472</v>
      </c>
      <c r="DX608">
        <v>-9999</v>
      </c>
      <c r="DZ608" t="s">
        <v>447</v>
      </c>
      <c r="EA608" t="s">
        <v>448</v>
      </c>
      <c r="EB608" t="s">
        <v>742</v>
      </c>
      <c r="EC608">
        <v>20101217</v>
      </c>
      <c r="ED608" t="s">
        <v>474</v>
      </c>
      <c r="EF608">
        <v>235.6</v>
      </c>
      <c r="EG608">
        <v>235.6</v>
      </c>
      <c r="EH608" t="s">
        <v>451</v>
      </c>
      <c r="EI608">
        <v>20140731</v>
      </c>
      <c r="EJ608">
        <v>0</v>
      </c>
      <c r="EK608">
        <v>0</v>
      </c>
      <c r="EP608" t="s">
        <v>421</v>
      </c>
      <c r="EQ608" t="s">
        <v>422</v>
      </c>
      <c r="ER608">
        <v>2</v>
      </c>
      <c r="ES608">
        <v>8</v>
      </c>
      <c r="ET608">
        <v>1522.28</v>
      </c>
      <c r="EU608">
        <v>88.61</v>
      </c>
      <c r="EV608">
        <v>1610.89</v>
      </c>
      <c r="EW608" s="2">
        <v>43222</v>
      </c>
      <c r="EX608" s="1">
        <v>42879</v>
      </c>
      <c r="EY608">
        <v>2016</v>
      </c>
      <c r="EZ608">
        <v>761.14</v>
      </c>
      <c r="FA608" t="s">
        <v>6521</v>
      </c>
      <c r="FB608">
        <v>0.25</v>
      </c>
      <c r="FC608" t="s">
        <v>424</v>
      </c>
      <c r="FD608" t="s">
        <v>454</v>
      </c>
      <c r="FF608">
        <v>12</v>
      </c>
      <c r="FG608">
        <v>5857474</v>
      </c>
      <c r="FH608" t="s">
        <v>900</v>
      </c>
      <c r="FJ608" s="1">
        <v>42879</v>
      </c>
      <c r="FK608">
        <v>2016</v>
      </c>
      <c r="FL608">
        <v>761.14</v>
      </c>
      <c r="FM608" t="s">
        <v>6521</v>
      </c>
      <c r="FN608">
        <v>0.25</v>
      </c>
      <c r="FO608" t="s">
        <v>424</v>
      </c>
      <c r="FP608" t="s">
        <v>454</v>
      </c>
      <c r="FR608">
        <v>12</v>
      </c>
      <c r="FS608">
        <v>6518117</v>
      </c>
      <c r="FT608" t="s">
        <v>6522</v>
      </c>
      <c r="FV608" s="1">
        <v>42151</v>
      </c>
      <c r="FW608">
        <v>2014</v>
      </c>
      <c r="FX608">
        <v>762.69</v>
      </c>
      <c r="FY608" t="s">
        <v>6523</v>
      </c>
      <c r="FZ608">
        <v>0.25</v>
      </c>
      <c r="GA608" t="s">
        <v>424</v>
      </c>
      <c r="GB608" t="s">
        <v>425</v>
      </c>
      <c r="GC608" s="1">
        <v>42815</v>
      </c>
      <c r="GD608">
        <v>22</v>
      </c>
      <c r="GE608">
        <v>2101382</v>
      </c>
      <c r="GF608" t="s">
        <v>993</v>
      </c>
      <c r="GH608" s="1">
        <v>42151</v>
      </c>
      <c r="GI608">
        <v>2014</v>
      </c>
      <c r="GJ608">
        <v>762.69</v>
      </c>
      <c r="GK608" t="s">
        <v>6523</v>
      </c>
      <c r="GL608">
        <v>0.25</v>
      </c>
      <c r="GM608" t="s">
        <v>424</v>
      </c>
      <c r="GN608" t="s">
        <v>425</v>
      </c>
      <c r="GP608">
        <v>22</v>
      </c>
      <c r="GQ608">
        <v>5579129</v>
      </c>
      <c r="GR608" t="s">
        <v>6524</v>
      </c>
      <c r="GT608" s="1">
        <v>41787</v>
      </c>
      <c r="GU608">
        <v>2013</v>
      </c>
      <c r="GV608">
        <v>717.79</v>
      </c>
      <c r="GW608" t="s">
        <v>6525</v>
      </c>
      <c r="GX608">
        <v>0.25</v>
      </c>
      <c r="GY608" t="s">
        <v>424</v>
      </c>
      <c r="GZ608" t="s">
        <v>425</v>
      </c>
      <c r="HA608" s="1">
        <v>42403</v>
      </c>
      <c r="HB608">
        <v>21</v>
      </c>
      <c r="HC608">
        <v>2407503</v>
      </c>
      <c r="HD608" t="s">
        <v>461</v>
      </c>
      <c r="HF608" s="1">
        <v>41423</v>
      </c>
      <c r="HG608">
        <v>2012</v>
      </c>
      <c r="HH608">
        <v>779.62</v>
      </c>
      <c r="HI608" t="s">
        <v>6526</v>
      </c>
      <c r="HJ608">
        <v>0.25</v>
      </c>
      <c r="HK608" t="s">
        <v>424</v>
      </c>
      <c r="HL608" t="s">
        <v>425</v>
      </c>
      <c r="HN608">
        <v>22</v>
      </c>
      <c r="HO608">
        <v>11303</v>
      </c>
      <c r="HP608" t="s">
        <v>918</v>
      </c>
      <c r="HR608" s="1">
        <v>41423</v>
      </c>
      <c r="HS608">
        <v>2012</v>
      </c>
      <c r="HT608">
        <v>779.62</v>
      </c>
      <c r="HU608" t="s">
        <v>6526</v>
      </c>
      <c r="HV608">
        <v>0.25</v>
      </c>
      <c r="HW608" t="s">
        <v>424</v>
      </c>
      <c r="HX608" t="s">
        <v>425</v>
      </c>
      <c r="HY608" s="1">
        <v>42083</v>
      </c>
      <c r="HZ608">
        <v>22</v>
      </c>
      <c r="IA608">
        <v>4844956</v>
      </c>
      <c r="IB608" t="s">
        <v>919</v>
      </c>
      <c r="ID608" s="1">
        <v>41052</v>
      </c>
      <c r="IE608">
        <v>2011</v>
      </c>
      <c r="IF608">
        <v>780.48</v>
      </c>
      <c r="IG608" t="s">
        <v>6527</v>
      </c>
      <c r="IH608">
        <v>0.25</v>
      </c>
      <c r="II608" t="s">
        <v>424</v>
      </c>
      <c r="IJ608" t="s">
        <v>425</v>
      </c>
      <c r="IK608" s="1">
        <v>41719</v>
      </c>
      <c r="IL608">
        <v>22</v>
      </c>
      <c r="IM608">
        <v>13104</v>
      </c>
      <c r="IN608" t="s">
        <v>888</v>
      </c>
      <c r="IP608" s="1">
        <v>41052</v>
      </c>
      <c r="IQ608">
        <v>2011</v>
      </c>
      <c r="IR608">
        <v>780.48</v>
      </c>
      <c r="IS608" t="s">
        <v>6527</v>
      </c>
      <c r="IT608">
        <v>0.25</v>
      </c>
      <c r="IU608" t="s">
        <v>424</v>
      </c>
      <c r="IV608" t="s">
        <v>425</v>
      </c>
      <c r="IX608">
        <v>22</v>
      </c>
      <c r="IY608">
        <v>13658</v>
      </c>
      <c r="IZ608" t="s">
        <v>2749</v>
      </c>
      <c r="JB608" s="1">
        <v>40688</v>
      </c>
      <c r="JC608">
        <v>2010</v>
      </c>
      <c r="JD608">
        <v>761.9</v>
      </c>
      <c r="JE608" t="s">
        <v>6528</v>
      </c>
      <c r="JF608">
        <v>0.25</v>
      </c>
      <c r="JG608" t="s">
        <v>424</v>
      </c>
      <c r="JH608" t="s">
        <v>425</v>
      </c>
      <c r="JI608" s="1">
        <v>41354</v>
      </c>
      <c r="JJ608">
        <v>22</v>
      </c>
      <c r="JK608">
        <v>11141</v>
      </c>
      <c r="JL608" t="s">
        <v>1723</v>
      </c>
    </row>
    <row r="609" spans="1:296" x14ac:dyDescent="0.25">
      <c r="A609">
        <v>16485616</v>
      </c>
      <c r="B609">
        <v>608</v>
      </c>
      <c r="C609" t="s">
        <v>393</v>
      </c>
      <c r="D609" t="s">
        <v>394</v>
      </c>
      <c r="F609" t="str">
        <f>"04-1N-25-2760-0013-0020"</f>
        <v>04-1N-25-2760-0013-0020</v>
      </c>
      <c r="H609" t="str">
        <f>"GREEN JOSEPH BRIAN D/B/A GREENS ROD SHOP &amp; RESTORATIONS"</f>
        <v>GREEN JOSEPH BRIAN D/B/A GREENS ROD SHOP &amp; RESTORATIONS</v>
      </c>
      <c r="I609" t="str">
        <f>""</f>
        <v/>
      </c>
      <c r="J609" t="str">
        <f>"CALLAHAN FL 32011"</f>
        <v>CALLAHAN FL 32011</v>
      </c>
      <c r="K609" t="str">
        <f>"541064 US HWY 1"</f>
        <v>541064 US HWY 1</v>
      </c>
      <c r="L609" t="str">
        <f t="shared" si="181"/>
        <v>CALLAHAN FL 32011</v>
      </c>
      <c r="M609" t="str">
        <f>"SW 313 FT OF LOT 13 EX R/W IN OR 1445/288 EAST GRAY GABLES SUB PB 2/50"</f>
        <v>SW 313 FT OF LOT 13 EX R/W IN OR 1445/288 EAST GRAY GABLES SUB PB 2/50</v>
      </c>
      <c r="N609" t="str">
        <f>""</f>
        <v/>
      </c>
      <c r="O609" t="str">
        <f>"19703"</f>
        <v>19703</v>
      </c>
      <c r="P609" t="str">
        <f t="shared" si="176"/>
        <v>2017</v>
      </c>
      <c r="Q609" t="str">
        <f>""</f>
        <v/>
      </c>
      <c r="R609" t="str">
        <f>"N"</f>
        <v>N</v>
      </c>
      <c r="S609" t="str">
        <f>""</f>
        <v/>
      </c>
      <c r="T609" t="str">
        <f>"5149.42"</f>
        <v>5149.42</v>
      </c>
      <c r="U609" t="str">
        <f>"340147.00"</f>
        <v>340147.00</v>
      </c>
      <c r="V609" t="str">
        <f>"340147.00"</f>
        <v>340147.00</v>
      </c>
      <c r="W609" t="str">
        <f t="shared" si="177"/>
        <v>2017</v>
      </c>
      <c r="X609" t="str">
        <f>"20.14"</f>
        <v>20.14</v>
      </c>
      <c r="Y609" t="str">
        <f>"5335.90"</f>
        <v>5335.90</v>
      </c>
      <c r="Z609" t="str">
        <f>""</f>
        <v/>
      </c>
      <c r="AA609" t="str">
        <f>"340147.00"</f>
        <v>340147.00</v>
      </c>
      <c r="AB609" t="str">
        <f>"Commercial"</f>
        <v>Commercial</v>
      </c>
      <c r="AC609" t="str">
        <f t="shared" si="185"/>
        <v>0</v>
      </c>
      <c r="AD609" t="str">
        <f>"5"</f>
        <v>5</v>
      </c>
      <c r="AE609" t="str">
        <f>"STEEL FRAME/INCOMBUSTIBLE WALLS/ROOF"</f>
        <v>STEEL FRAME/INCOMBUSTIBLE WALLS/ROOF</v>
      </c>
      <c r="AF609" t="str">
        <f>"027"</f>
        <v>027</v>
      </c>
      <c r="AG609" t="str">
        <f t="shared" si="186"/>
        <v>FL</v>
      </c>
      <c r="AH609" t="str">
        <f>"177289.00"</f>
        <v>177289.00</v>
      </c>
      <c r="AI609" t="str">
        <f>"88644.00"</f>
        <v>88644.00</v>
      </c>
      <c r="AJ609" t="str">
        <f>"C55-000-586-4872-6"</f>
        <v>C55-000-586-4872-6</v>
      </c>
      <c r="AK609" t="str">
        <f>"9893"</f>
        <v>9893</v>
      </c>
      <c r="AL609">
        <v>3</v>
      </c>
      <c r="AM609">
        <v>702</v>
      </c>
      <c r="AN609">
        <v>5601.1</v>
      </c>
      <c r="AQ609" t="s">
        <v>6529</v>
      </c>
      <c r="AR609" t="s">
        <v>6529</v>
      </c>
      <c r="AS609" t="s">
        <v>6529</v>
      </c>
      <c r="AU609" t="s">
        <v>396</v>
      </c>
      <c r="AV609">
        <v>2017</v>
      </c>
      <c r="AW609" t="str">
        <f>"04-1N-25-2760-0013-0020 "</f>
        <v xml:space="preserve">04-1N-25-2760-0013-0020 </v>
      </c>
      <c r="AX609">
        <v>541064</v>
      </c>
      <c r="AZ609" t="s">
        <v>2386</v>
      </c>
      <c r="BD609" t="s">
        <v>2785</v>
      </c>
      <c r="BE609" t="s">
        <v>393</v>
      </c>
      <c r="BF609">
        <v>32011</v>
      </c>
      <c r="BG609" t="s">
        <v>6530</v>
      </c>
      <c r="BH609" t="s">
        <v>2787</v>
      </c>
      <c r="BI609">
        <v>-81.807067923997806</v>
      </c>
      <c r="BJ609">
        <v>30.533072040390699</v>
      </c>
      <c r="BK609" t="s">
        <v>6531</v>
      </c>
      <c r="BL609" t="s">
        <v>6532</v>
      </c>
      <c r="BM609" t="s">
        <v>6533</v>
      </c>
      <c r="BN609" t="s">
        <v>928</v>
      </c>
      <c r="BO609">
        <v>32011</v>
      </c>
      <c r="BP609" t="s">
        <v>404</v>
      </c>
      <c r="BQ609">
        <v>2700</v>
      </c>
      <c r="BR609" t="s">
        <v>4567</v>
      </c>
      <c r="BS609">
        <v>2023</v>
      </c>
      <c r="BT609" t="s">
        <v>4568</v>
      </c>
      <c r="BW609">
        <v>172789</v>
      </c>
      <c r="BX609" t="s">
        <v>407</v>
      </c>
      <c r="BY609" t="s">
        <v>4413</v>
      </c>
      <c r="BZ609">
        <v>5</v>
      </c>
      <c r="CA609">
        <v>2004</v>
      </c>
      <c r="CB609">
        <v>1</v>
      </c>
      <c r="CD609">
        <v>2017</v>
      </c>
      <c r="CE609">
        <v>88644</v>
      </c>
      <c r="CF609">
        <v>251503</v>
      </c>
      <c r="CG609">
        <v>340147</v>
      </c>
      <c r="CH609">
        <v>2017</v>
      </c>
      <c r="CI609">
        <v>88644</v>
      </c>
      <c r="CJ609">
        <v>251503</v>
      </c>
      <c r="CK609">
        <v>340147</v>
      </c>
      <c r="CL609">
        <v>2017</v>
      </c>
      <c r="CM609">
        <v>5149.42</v>
      </c>
      <c r="CN609" s="1">
        <v>38978</v>
      </c>
      <c r="CO609">
        <v>295000</v>
      </c>
      <c r="CV609">
        <v>390000</v>
      </c>
      <c r="CX609" t="s">
        <v>3031</v>
      </c>
      <c r="CZ609" s="1">
        <v>38978</v>
      </c>
      <c r="DA609">
        <v>0</v>
      </c>
      <c r="DD609" t="s">
        <v>2785</v>
      </c>
      <c r="DF609">
        <v>13</v>
      </c>
      <c r="DG609">
        <v>4</v>
      </c>
      <c r="DJ609" t="s">
        <v>6519</v>
      </c>
      <c r="DL609">
        <v>50502</v>
      </c>
      <c r="DM609" t="s">
        <v>6474</v>
      </c>
      <c r="DO609" t="s">
        <v>6534</v>
      </c>
      <c r="DP609">
        <v>1</v>
      </c>
      <c r="DQ609">
        <v>2</v>
      </c>
      <c r="DR609" t="s">
        <v>1174</v>
      </c>
      <c r="DS609" t="b">
        <v>1</v>
      </c>
      <c r="DT609" t="s">
        <v>470</v>
      </c>
      <c r="DU609" t="s">
        <v>471</v>
      </c>
      <c r="DV609" t="s">
        <v>472</v>
      </c>
      <c r="DX609">
        <v>-9999</v>
      </c>
      <c r="DZ609" t="s">
        <v>447</v>
      </c>
      <c r="EA609" t="s">
        <v>448</v>
      </c>
      <c r="EB609" t="s">
        <v>742</v>
      </c>
      <c r="EC609">
        <v>20101217</v>
      </c>
      <c r="ED609" t="s">
        <v>474</v>
      </c>
      <c r="EF609">
        <v>142.9</v>
      </c>
      <c r="EG609">
        <v>142.9</v>
      </c>
      <c r="EI609">
        <v>20160407</v>
      </c>
      <c r="EJ609">
        <v>0</v>
      </c>
      <c r="EK609">
        <v>0</v>
      </c>
      <c r="EP609" t="s">
        <v>421</v>
      </c>
      <c r="EQ609" t="s">
        <v>422</v>
      </c>
      <c r="ER609">
        <v>2</v>
      </c>
      <c r="ES609">
        <v>9</v>
      </c>
      <c r="ET609">
        <v>11470.36</v>
      </c>
      <c r="EU609">
        <v>586.02</v>
      </c>
      <c r="EV609">
        <v>12056.38</v>
      </c>
      <c r="EW609" s="2">
        <v>43222</v>
      </c>
      <c r="EX609" s="1">
        <v>42879</v>
      </c>
      <c r="EY609">
        <v>2016</v>
      </c>
      <c r="EZ609">
        <v>5735.18</v>
      </c>
      <c r="FA609" t="s">
        <v>6535</v>
      </c>
      <c r="FB609">
        <v>0.25</v>
      </c>
      <c r="FC609" t="s">
        <v>424</v>
      </c>
      <c r="FD609" t="s">
        <v>454</v>
      </c>
      <c r="FF609">
        <v>12</v>
      </c>
      <c r="FG609">
        <v>2851116</v>
      </c>
      <c r="FH609" t="s">
        <v>480</v>
      </c>
      <c r="FJ609" s="1">
        <v>42879</v>
      </c>
      <c r="FK609">
        <v>2016</v>
      </c>
      <c r="FL609">
        <v>5735.18</v>
      </c>
      <c r="FM609" t="s">
        <v>6535</v>
      </c>
      <c r="FN609">
        <v>0.25</v>
      </c>
      <c r="FO609" t="s">
        <v>424</v>
      </c>
      <c r="FP609" t="s">
        <v>454</v>
      </c>
      <c r="FR609">
        <v>12</v>
      </c>
      <c r="FS609">
        <v>5071052</v>
      </c>
      <c r="FT609" t="s">
        <v>6536</v>
      </c>
      <c r="FV609" s="1">
        <v>42515</v>
      </c>
      <c r="FW609">
        <v>2015</v>
      </c>
      <c r="FX609">
        <v>5928.13</v>
      </c>
      <c r="FY609" t="s">
        <v>6537</v>
      </c>
      <c r="FZ609">
        <v>0.25</v>
      </c>
      <c r="GA609" t="s">
        <v>424</v>
      </c>
      <c r="GB609" t="s">
        <v>425</v>
      </c>
      <c r="GC609" s="1">
        <v>43157</v>
      </c>
      <c r="GD609">
        <v>21</v>
      </c>
      <c r="GE609">
        <v>2851116</v>
      </c>
      <c r="GF609" t="s">
        <v>480</v>
      </c>
      <c r="GH609" s="1">
        <v>42515</v>
      </c>
      <c r="GI609">
        <v>2015</v>
      </c>
      <c r="GJ609">
        <v>5928.13</v>
      </c>
      <c r="GK609" t="s">
        <v>6537</v>
      </c>
      <c r="GL609">
        <v>0.25</v>
      </c>
      <c r="GM609" t="s">
        <v>424</v>
      </c>
      <c r="GN609" t="s">
        <v>425</v>
      </c>
      <c r="GP609">
        <v>22</v>
      </c>
      <c r="GQ609">
        <v>5097735</v>
      </c>
      <c r="GR609" t="s">
        <v>6538</v>
      </c>
      <c r="GT609" s="1">
        <v>42151</v>
      </c>
      <c r="GU609">
        <v>2014</v>
      </c>
      <c r="GV609">
        <v>5869</v>
      </c>
      <c r="GW609" t="s">
        <v>6539</v>
      </c>
      <c r="GX609">
        <v>0.25</v>
      </c>
      <c r="GY609" t="s">
        <v>424</v>
      </c>
      <c r="GZ609" t="s">
        <v>425</v>
      </c>
      <c r="HA609" s="1">
        <v>42612</v>
      </c>
      <c r="HB609">
        <v>15</v>
      </c>
      <c r="HC609">
        <v>2851116</v>
      </c>
      <c r="HD609" t="s">
        <v>480</v>
      </c>
      <c r="HF609" s="1">
        <v>42151</v>
      </c>
      <c r="HG609">
        <v>2014</v>
      </c>
      <c r="HH609">
        <v>5869</v>
      </c>
      <c r="HI609" t="s">
        <v>6539</v>
      </c>
      <c r="HJ609">
        <v>0.25</v>
      </c>
      <c r="HK609" t="s">
        <v>424</v>
      </c>
      <c r="HL609" t="s">
        <v>425</v>
      </c>
      <c r="HN609">
        <v>22</v>
      </c>
      <c r="HO609">
        <v>5357262</v>
      </c>
      <c r="HP609" t="s">
        <v>6540</v>
      </c>
      <c r="HR609" s="1">
        <v>41787</v>
      </c>
      <c r="HS609">
        <v>2013</v>
      </c>
      <c r="HT609">
        <v>5609.64</v>
      </c>
      <c r="HU609" t="s">
        <v>6541</v>
      </c>
      <c r="HV609">
        <v>0.25</v>
      </c>
      <c r="HW609" t="s">
        <v>424</v>
      </c>
      <c r="HX609" t="s">
        <v>425</v>
      </c>
      <c r="HY609" s="1">
        <v>42426</v>
      </c>
      <c r="HZ609">
        <v>21</v>
      </c>
      <c r="IA609">
        <v>2101382</v>
      </c>
      <c r="IB609" t="s">
        <v>993</v>
      </c>
      <c r="ID609" s="1">
        <v>41423</v>
      </c>
      <c r="IE609">
        <v>2012</v>
      </c>
      <c r="IF609">
        <v>5456.77</v>
      </c>
      <c r="IG609" t="s">
        <v>6542</v>
      </c>
      <c r="IH609">
        <v>0.25</v>
      </c>
      <c r="II609" t="s">
        <v>424</v>
      </c>
      <c r="IJ609" t="s">
        <v>425</v>
      </c>
      <c r="IK609" s="1">
        <v>42062</v>
      </c>
      <c r="IL609">
        <v>21</v>
      </c>
      <c r="IM609">
        <v>1625551</v>
      </c>
      <c r="IN609" t="s">
        <v>2839</v>
      </c>
      <c r="IP609" s="1">
        <v>41052</v>
      </c>
      <c r="IQ609">
        <v>2011</v>
      </c>
      <c r="IR609">
        <v>5597.63</v>
      </c>
      <c r="IS609" t="s">
        <v>6543</v>
      </c>
      <c r="IT609">
        <v>5.75</v>
      </c>
      <c r="IU609" t="s">
        <v>424</v>
      </c>
      <c r="IV609" t="s">
        <v>425</v>
      </c>
      <c r="IW609" s="1">
        <v>41697</v>
      </c>
      <c r="IX609">
        <v>21</v>
      </c>
      <c r="IY609">
        <v>1625515</v>
      </c>
      <c r="IZ609" t="s">
        <v>487</v>
      </c>
      <c r="JB609" s="1">
        <v>41052</v>
      </c>
      <c r="JC609">
        <v>2011</v>
      </c>
      <c r="JD609">
        <v>5597.63</v>
      </c>
      <c r="JE609" t="s">
        <v>6543</v>
      </c>
      <c r="JF609">
        <v>5.75</v>
      </c>
      <c r="JG609" t="s">
        <v>424</v>
      </c>
      <c r="JH609" t="s">
        <v>425</v>
      </c>
      <c r="JJ609">
        <v>22</v>
      </c>
      <c r="JK609">
        <v>10579</v>
      </c>
      <c r="JL609" t="s">
        <v>488</v>
      </c>
      <c r="JN609" s="1">
        <v>40688</v>
      </c>
      <c r="JO609">
        <v>2010</v>
      </c>
      <c r="JP609">
        <v>5642.23</v>
      </c>
      <c r="JQ609" t="s">
        <v>6544</v>
      </c>
      <c r="JR609">
        <v>0.25</v>
      </c>
      <c r="JS609" t="s">
        <v>424</v>
      </c>
      <c r="JT609" t="s">
        <v>425</v>
      </c>
      <c r="JU609" s="1">
        <v>41333</v>
      </c>
      <c r="JV609">
        <v>21</v>
      </c>
      <c r="JW609">
        <v>10591</v>
      </c>
      <c r="JX609" t="s">
        <v>4254</v>
      </c>
    </row>
    <row r="610" spans="1:296" x14ac:dyDescent="0.25">
      <c r="A610">
        <v>16485617</v>
      </c>
      <c r="B610">
        <v>609</v>
      </c>
      <c r="C610" t="s">
        <v>393</v>
      </c>
      <c r="D610" t="s">
        <v>394</v>
      </c>
      <c r="F610" t="str">
        <f>"04-1N-25-2760-0014-0040"</f>
        <v>04-1N-25-2760-0014-0040</v>
      </c>
      <c r="H610" t="str">
        <f>"DENHAM PERRY P &amp; JENNIFER L"</f>
        <v>DENHAM PERRY P &amp; JENNIFER L</v>
      </c>
      <c r="I610" t="str">
        <f>"44127 MCKENDREE DRIVE"</f>
        <v>44127 MCKENDREE DRIVE</v>
      </c>
      <c r="J610" t="str">
        <f>"CALLAHAN FL 32011"</f>
        <v>CALLAHAN FL 32011</v>
      </c>
      <c r="K610" t="str">
        <f>"44127 MCKENDREE DR"</f>
        <v>44127 MCKENDREE DR</v>
      </c>
      <c r="L610" t="str">
        <f t="shared" si="181"/>
        <v>CALLAHAN FL 32011</v>
      </c>
      <c r="M610" t="str">
        <f>"PT OF LOT 14 (S-4) IN OR 962/43 EAST GRAY GABLES SUB PB 2/50"</f>
        <v>PT OF LOT 14 (S-4) IN OR 962/43 EAST GRAY GABLES SUB PB 2/50</v>
      </c>
      <c r="N610" t="str">
        <f>""</f>
        <v/>
      </c>
      <c r="O610" t="str">
        <f>"19706"</f>
        <v>19706</v>
      </c>
      <c r="P610" t="str">
        <f t="shared" si="176"/>
        <v>2017</v>
      </c>
      <c r="Q610" t="str">
        <f>""</f>
        <v/>
      </c>
      <c r="R610" t="str">
        <f>"Y"</f>
        <v>Y</v>
      </c>
      <c r="S610" t="str">
        <f>"2.41"</f>
        <v>2.41</v>
      </c>
      <c r="T610" t="str">
        <f>"1494.72"</f>
        <v>1494.72</v>
      </c>
      <c r="U610" t="str">
        <f>"137838.00"</f>
        <v>137838.00</v>
      </c>
      <c r="V610" t="str">
        <f>"137838.00"</f>
        <v>137838.00</v>
      </c>
      <c r="W610" t="str">
        <f t="shared" si="177"/>
        <v>2017</v>
      </c>
      <c r="X610" t="str">
        <f>"32.00"</f>
        <v>32.00</v>
      </c>
      <c r="Y610" t="str">
        <f>"1571.56"</f>
        <v>1571.56</v>
      </c>
      <c r="Z610" t="str">
        <f>"25000.00"</f>
        <v>25000.00</v>
      </c>
      <c r="AA610" t="str">
        <f>"112838.00"</f>
        <v>112838.00</v>
      </c>
      <c r="AB610" t="str">
        <f t="shared" ref="AB610:AB641" si="187">"Residential"</f>
        <v>Residential</v>
      </c>
      <c r="AC610" t="str">
        <f t="shared" si="185"/>
        <v>0</v>
      </c>
      <c r="AD610" t="str">
        <f>"4"</f>
        <v>4</v>
      </c>
      <c r="AE610" t="str">
        <f>"WOOD (INCLUDE STEEL STUDS)"</f>
        <v>WOOD (INCLUDE STEEL STUDS)</v>
      </c>
      <c r="AF610" t="str">
        <f>"001"</f>
        <v>001</v>
      </c>
      <c r="AG610" t="str">
        <f t="shared" si="186"/>
        <v>FL</v>
      </c>
      <c r="AH610" t="str">
        <f>"104979.00"</f>
        <v>104979.00</v>
      </c>
      <c r="AI610" t="str">
        <f>"28920.00"</f>
        <v>28920.00</v>
      </c>
      <c r="AJ610" t="str">
        <f>"C55-000-586-4874-2"</f>
        <v>C55-000-586-4874-2</v>
      </c>
      <c r="AK610" t="str">
        <f>"9895"</f>
        <v>9895</v>
      </c>
      <c r="AL610">
        <v>3</v>
      </c>
      <c r="AM610">
        <v>703</v>
      </c>
      <c r="AN610">
        <v>1648.54</v>
      </c>
      <c r="AQ610" t="s">
        <v>6545</v>
      </c>
      <c r="AR610" t="s">
        <v>6545</v>
      </c>
      <c r="AS610" t="s">
        <v>6545</v>
      </c>
      <c r="AU610" t="s">
        <v>396</v>
      </c>
      <c r="AV610">
        <v>2017</v>
      </c>
      <c r="AW610" t="str">
        <f>"04-1N-25-2760-0014-0040 "</f>
        <v xml:space="preserve">04-1N-25-2760-0014-0040 </v>
      </c>
      <c r="AX610">
        <v>44127</v>
      </c>
      <c r="AZ610" t="s">
        <v>6502</v>
      </c>
      <c r="BA610" t="s">
        <v>669</v>
      </c>
      <c r="BD610" t="s">
        <v>2785</v>
      </c>
      <c r="BE610" t="s">
        <v>393</v>
      </c>
      <c r="BF610">
        <v>32011</v>
      </c>
      <c r="BG610" t="s">
        <v>6546</v>
      </c>
      <c r="BH610" t="s">
        <v>2787</v>
      </c>
      <c r="BI610">
        <v>-81.805783302628797</v>
      </c>
      <c r="BJ610">
        <v>30.533730811291299</v>
      </c>
      <c r="BK610" t="s">
        <v>6547</v>
      </c>
      <c r="BL610" t="s">
        <v>6548</v>
      </c>
      <c r="BM610" t="s">
        <v>6546</v>
      </c>
      <c r="BN610" t="s">
        <v>928</v>
      </c>
      <c r="BO610">
        <v>32011</v>
      </c>
      <c r="BP610" t="s">
        <v>416</v>
      </c>
      <c r="BQ610">
        <v>100</v>
      </c>
      <c r="BR610" t="s">
        <v>514</v>
      </c>
      <c r="BS610">
        <v>1001</v>
      </c>
      <c r="BT610" t="s">
        <v>515</v>
      </c>
      <c r="BW610">
        <v>104979</v>
      </c>
      <c r="BX610" t="s">
        <v>407</v>
      </c>
      <c r="BY610" t="s">
        <v>4360</v>
      </c>
      <c r="BZ610">
        <v>4</v>
      </c>
      <c r="CA610">
        <v>1975</v>
      </c>
      <c r="CB610">
        <v>1</v>
      </c>
      <c r="CC610">
        <v>1</v>
      </c>
      <c r="CD610">
        <v>2017</v>
      </c>
      <c r="CG610">
        <v>137838</v>
      </c>
      <c r="CH610">
        <v>2017</v>
      </c>
      <c r="CI610">
        <v>28920</v>
      </c>
      <c r="CJ610">
        <v>158864</v>
      </c>
      <c r="CK610">
        <v>187784</v>
      </c>
      <c r="CL610">
        <v>2017</v>
      </c>
      <c r="CM610">
        <v>1494.72</v>
      </c>
      <c r="CN610" s="1">
        <v>36874</v>
      </c>
      <c r="CO610">
        <v>140000</v>
      </c>
      <c r="CZ610" s="1">
        <v>36874</v>
      </c>
      <c r="DD610" t="s">
        <v>2785</v>
      </c>
      <c r="DF610">
        <v>14</v>
      </c>
      <c r="DG610">
        <v>4</v>
      </c>
      <c r="DJ610" t="s">
        <v>6519</v>
      </c>
      <c r="DL610">
        <v>50502</v>
      </c>
      <c r="DM610" t="s">
        <v>6474</v>
      </c>
      <c r="DO610" t="s">
        <v>6549</v>
      </c>
      <c r="DP610">
        <v>0</v>
      </c>
      <c r="DQ610">
        <v>1</v>
      </c>
      <c r="DR610" t="s">
        <v>411</v>
      </c>
    </row>
    <row r="611" spans="1:296" x14ac:dyDescent="0.25">
      <c r="A611">
        <v>16485618</v>
      </c>
      <c r="B611">
        <v>610</v>
      </c>
      <c r="C611" t="s">
        <v>393</v>
      </c>
      <c r="D611" t="s">
        <v>394</v>
      </c>
      <c r="F611" t="str">
        <f>"04-1N-25-276C-0010-0000"</f>
        <v>04-1N-25-276C-0010-0000</v>
      </c>
      <c r="H611" t="str">
        <f>"LUKE KENNETH CARLTON"</f>
        <v>LUKE KENNETH CARLTON</v>
      </c>
      <c r="I611" t="str">
        <f>"44839 PINE BREEZE CIR"</f>
        <v>44839 PINE BREEZE CIR</v>
      </c>
      <c r="J611" t="str">
        <f>"CALLAHAN FL 32011"</f>
        <v>CALLAHAN FL 32011</v>
      </c>
      <c r="K611" t="str">
        <f>"44839 PINEBREEZE CIR"</f>
        <v>44839 PINEBREEZE CIR</v>
      </c>
      <c r="L611" t="str">
        <f t="shared" si="181"/>
        <v>CALLAHAN FL 32011</v>
      </c>
      <c r="M611" t="str">
        <f>"LOT 10 R672991 &amp; R672992 IN OR 883/1398 AMENDED CUSHING CREEK ESTATES PB 6/92-94"</f>
        <v>LOT 10 R672991 &amp; R672992 IN OR 883/1398 AMENDED CUSHING CREEK ESTATES PB 6/92-94</v>
      </c>
      <c r="N611" t="str">
        <f>""</f>
        <v/>
      </c>
      <c r="O611" t="str">
        <f>"19723"</f>
        <v>19723</v>
      </c>
      <c r="P611" t="str">
        <f t="shared" si="176"/>
        <v>2017</v>
      </c>
      <c r="Q611" t="str">
        <f>""</f>
        <v/>
      </c>
      <c r="R611" t="str">
        <f>"Y"</f>
        <v>Y</v>
      </c>
      <c r="S611" t="str">
        <f>"1.18"</f>
        <v>1.18</v>
      </c>
      <c r="T611" t="str">
        <f>"596.24"</f>
        <v>596.24</v>
      </c>
      <c r="U611" t="str">
        <f>"78489.00"</f>
        <v>78489.00</v>
      </c>
      <c r="V611" t="str">
        <f>"78489.00"</f>
        <v>78489.00</v>
      </c>
      <c r="W611" t="str">
        <f t="shared" si="177"/>
        <v>2017</v>
      </c>
      <c r="X611" t="str">
        <f>"19.70"</f>
        <v>19.70</v>
      </c>
      <c r="Y611" t="str">
        <f>"646.13"</f>
        <v>646.13</v>
      </c>
      <c r="Z611" t="str">
        <f>"25000.00"</f>
        <v>25000.00</v>
      </c>
      <c r="AA611" t="str">
        <f>"53489.00"</f>
        <v>53489.00</v>
      </c>
      <c r="AB611" t="str">
        <f t="shared" si="187"/>
        <v>Residential</v>
      </c>
      <c r="AC611" t="str">
        <f t="shared" si="185"/>
        <v>0</v>
      </c>
      <c r="AD611" t="str">
        <f>"4"</f>
        <v>4</v>
      </c>
      <c r="AE611" t="str">
        <f>"WOOD (INCLUDE STEEL STUDS)"</f>
        <v>WOOD (INCLUDE STEEL STUDS)</v>
      </c>
      <c r="AF611" t="str">
        <f>"002"</f>
        <v>002</v>
      </c>
      <c r="AG611" t="str">
        <f t="shared" si="186"/>
        <v>FL</v>
      </c>
      <c r="AH611" t="str">
        <f>"51400.00"</f>
        <v>51400.00</v>
      </c>
      <c r="AI611" t="str">
        <f>"17700.00"</f>
        <v>17700.00</v>
      </c>
      <c r="AJ611" t="str">
        <f>"C55-000-586-4887-4"</f>
        <v>C55-000-586-4887-4</v>
      </c>
      <c r="AK611" t="str">
        <f>"9835"</f>
        <v>9835</v>
      </c>
      <c r="AL611">
        <v>3</v>
      </c>
      <c r="AM611">
        <v>704</v>
      </c>
      <c r="AN611">
        <v>676.84</v>
      </c>
      <c r="AQ611" t="s">
        <v>6550</v>
      </c>
      <c r="AR611" t="s">
        <v>6550</v>
      </c>
      <c r="AS611" t="s">
        <v>6550</v>
      </c>
      <c r="AU611" t="s">
        <v>396</v>
      </c>
      <c r="AV611">
        <v>2017</v>
      </c>
      <c r="AW611" t="str">
        <f>"04-1N-25-276C-0010-0000 "</f>
        <v xml:space="preserve">04-1N-25-276C-0010-0000 </v>
      </c>
      <c r="AX611">
        <v>44839</v>
      </c>
      <c r="AZ611" t="s">
        <v>6551</v>
      </c>
      <c r="BA611" t="s">
        <v>1799</v>
      </c>
      <c r="BD611" t="s">
        <v>2785</v>
      </c>
      <c r="BE611" t="s">
        <v>393</v>
      </c>
      <c r="BF611">
        <v>32011</v>
      </c>
      <c r="BG611" t="s">
        <v>6552</v>
      </c>
      <c r="BH611" t="s">
        <v>2787</v>
      </c>
      <c r="BI611">
        <v>-81.814973579436597</v>
      </c>
      <c r="BJ611">
        <v>30.536286325388399</v>
      </c>
      <c r="BK611" t="s">
        <v>6553</v>
      </c>
      <c r="BM611" t="s">
        <v>6552</v>
      </c>
      <c r="BN611" t="s">
        <v>928</v>
      </c>
      <c r="BO611">
        <v>32011</v>
      </c>
      <c r="BP611" t="s">
        <v>416</v>
      </c>
      <c r="BQ611">
        <v>200</v>
      </c>
      <c r="BR611" t="s">
        <v>405</v>
      </c>
      <c r="BS611">
        <v>1006</v>
      </c>
      <c r="BT611" t="s">
        <v>406</v>
      </c>
      <c r="BW611">
        <v>51400</v>
      </c>
      <c r="BX611" t="s">
        <v>407</v>
      </c>
      <c r="BZ611">
        <v>4</v>
      </c>
      <c r="CA611">
        <v>1998</v>
      </c>
      <c r="CB611">
        <v>1</v>
      </c>
      <c r="CC611">
        <v>1</v>
      </c>
      <c r="CD611">
        <v>2017</v>
      </c>
      <c r="CG611">
        <v>78489</v>
      </c>
      <c r="CH611">
        <v>2017</v>
      </c>
      <c r="CI611">
        <v>17700</v>
      </c>
      <c r="CJ611">
        <v>72929</v>
      </c>
      <c r="CK611">
        <v>90629</v>
      </c>
      <c r="CL611">
        <v>2017</v>
      </c>
      <c r="CM611">
        <v>596.24</v>
      </c>
      <c r="CN611" s="1">
        <v>36299</v>
      </c>
      <c r="CZ611" s="1">
        <v>36299</v>
      </c>
      <c r="DD611" t="s">
        <v>2785</v>
      </c>
      <c r="DF611">
        <v>10</v>
      </c>
      <c r="DG611">
        <v>4</v>
      </c>
      <c r="DJ611" t="s">
        <v>6554</v>
      </c>
      <c r="DL611">
        <v>50502</v>
      </c>
      <c r="DM611" t="s">
        <v>6474</v>
      </c>
      <c r="DO611" t="s">
        <v>6555</v>
      </c>
      <c r="DP611">
        <v>0</v>
      </c>
      <c r="DQ611">
        <v>0</v>
      </c>
      <c r="DR611" t="s">
        <v>411</v>
      </c>
      <c r="DS611" t="b">
        <v>1</v>
      </c>
      <c r="DT611" t="s">
        <v>470</v>
      </c>
      <c r="DU611" t="s">
        <v>471</v>
      </c>
      <c r="DV611" t="s">
        <v>472</v>
      </c>
      <c r="DX611">
        <v>-9999</v>
      </c>
      <c r="DZ611" t="s">
        <v>447</v>
      </c>
      <c r="EA611" t="s">
        <v>448</v>
      </c>
      <c r="EB611" t="s">
        <v>742</v>
      </c>
      <c r="EC611">
        <v>20101217</v>
      </c>
      <c r="ED611" t="s">
        <v>474</v>
      </c>
      <c r="EF611">
        <v>272</v>
      </c>
      <c r="EG611">
        <v>272</v>
      </c>
      <c r="EI611">
        <v>20160407</v>
      </c>
      <c r="EJ611">
        <v>0</v>
      </c>
      <c r="EK611">
        <v>0</v>
      </c>
      <c r="EP611" t="s">
        <v>421</v>
      </c>
      <c r="EQ611" t="s">
        <v>422</v>
      </c>
      <c r="ER611">
        <v>2</v>
      </c>
      <c r="ES611">
        <v>10</v>
      </c>
      <c r="ET611">
        <v>1313.74</v>
      </c>
      <c r="EU611">
        <v>78.19</v>
      </c>
      <c r="EV611">
        <v>1391.93</v>
      </c>
      <c r="EW611" s="2">
        <v>43222</v>
      </c>
      <c r="EX611" s="1">
        <v>42879</v>
      </c>
      <c r="EY611">
        <v>2016</v>
      </c>
      <c r="EZ611">
        <v>656.87</v>
      </c>
      <c r="FA611" t="s">
        <v>6556</v>
      </c>
      <c r="FB611">
        <v>0.25</v>
      </c>
      <c r="FC611" t="s">
        <v>424</v>
      </c>
      <c r="FD611" t="s">
        <v>454</v>
      </c>
      <c r="FF611">
        <v>12</v>
      </c>
      <c r="FG611">
        <v>2851116</v>
      </c>
      <c r="FH611" t="s">
        <v>480</v>
      </c>
      <c r="FJ611" s="1">
        <v>42879</v>
      </c>
      <c r="FK611">
        <v>2016</v>
      </c>
      <c r="FL611">
        <v>656.87</v>
      </c>
      <c r="FM611" t="s">
        <v>6556</v>
      </c>
      <c r="FN611">
        <v>0.25</v>
      </c>
      <c r="FO611" t="s">
        <v>424</v>
      </c>
      <c r="FP611" t="s">
        <v>454</v>
      </c>
      <c r="FR611">
        <v>12</v>
      </c>
      <c r="FS611">
        <v>4971119</v>
      </c>
      <c r="FT611" t="s">
        <v>6557</v>
      </c>
      <c r="FV611" s="1">
        <v>42515</v>
      </c>
      <c r="FW611">
        <v>2015</v>
      </c>
      <c r="FX611">
        <v>665.65</v>
      </c>
      <c r="FY611" t="s">
        <v>6558</v>
      </c>
      <c r="FZ611">
        <v>0.25</v>
      </c>
      <c r="GA611" t="s">
        <v>424</v>
      </c>
      <c r="GB611" t="s">
        <v>425</v>
      </c>
      <c r="GC611" s="1">
        <v>43158</v>
      </c>
      <c r="GD611">
        <v>21</v>
      </c>
      <c r="GE611">
        <v>7336671</v>
      </c>
      <c r="GF611" t="s">
        <v>437</v>
      </c>
      <c r="GH611" s="1">
        <v>42515</v>
      </c>
      <c r="GI611">
        <v>2015</v>
      </c>
      <c r="GJ611">
        <v>665.65</v>
      </c>
      <c r="GK611" t="s">
        <v>6558</v>
      </c>
      <c r="GL611">
        <v>0.25</v>
      </c>
      <c r="GM611" t="s">
        <v>424</v>
      </c>
      <c r="GN611" t="s">
        <v>425</v>
      </c>
      <c r="GP611">
        <v>22</v>
      </c>
      <c r="GQ611">
        <v>6997758</v>
      </c>
      <c r="GR611" t="s">
        <v>6559</v>
      </c>
      <c r="GT611" s="1">
        <v>42151</v>
      </c>
      <c r="GU611">
        <v>2014</v>
      </c>
      <c r="GV611">
        <v>664.79</v>
      </c>
      <c r="GW611" t="s">
        <v>6560</v>
      </c>
      <c r="GX611">
        <v>0.25</v>
      </c>
      <c r="GY611" t="s">
        <v>424</v>
      </c>
      <c r="GZ611" t="s">
        <v>425</v>
      </c>
      <c r="HA611" s="1">
        <v>42794</v>
      </c>
      <c r="HB611">
        <v>21</v>
      </c>
      <c r="HC611">
        <v>4975594</v>
      </c>
      <c r="HD611" t="s">
        <v>457</v>
      </c>
      <c r="HF611" s="1">
        <v>42151</v>
      </c>
      <c r="HG611">
        <v>2014</v>
      </c>
      <c r="HH611">
        <v>664.79</v>
      </c>
      <c r="HI611" t="s">
        <v>6560</v>
      </c>
      <c r="HJ611">
        <v>0.25</v>
      </c>
      <c r="HK611" t="s">
        <v>424</v>
      </c>
      <c r="HL611" t="s">
        <v>425</v>
      </c>
      <c r="HN611">
        <v>22</v>
      </c>
      <c r="HO611">
        <v>6658716</v>
      </c>
      <c r="HP611" t="s">
        <v>6561</v>
      </c>
      <c r="HR611" s="1">
        <v>41787</v>
      </c>
      <c r="HS611">
        <v>2013</v>
      </c>
      <c r="HT611">
        <v>809.88</v>
      </c>
      <c r="HU611" t="s">
        <v>6562</v>
      </c>
      <c r="HV611">
        <v>0.25</v>
      </c>
      <c r="HW611" t="s">
        <v>424</v>
      </c>
      <c r="HX611" t="s">
        <v>425</v>
      </c>
      <c r="HZ611">
        <v>22</v>
      </c>
      <c r="IA611">
        <v>11289</v>
      </c>
      <c r="IB611" t="s">
        <v>787</v>
      </c>
      <c r="ID611" s="1">
        <v>41787</v>
      </c>
      <c r="IE611">
        <v>2013</v>
      </c>
      <c r="IF611">
        <v>809.88</v>
      </c>
      <c r="IG611" t="s">
        <v>6562</v>
      </c>
      <c r="IH611">
        <v>0.25</v>
      </c>
      <c r="II611" t="s">
        <v>424</v>
      </c>
      <c r="IJ611" t="s">
        <v>425</v>
      </c>
      <c r="IK611" s="1">
        <v>42425</v>
      </c>
      <c r="IL611">
        <v>21</v>
      </c>
      <c r="IM611">
        <v>4844954</v>
      </c>
      <c r="IN611" t="s">
        <v>1719</v>
      </c>
      <c r="IP611" s="1">
        <v>41423</v>
      </c>
      <c r="IQ611">
        <v>2012</v>
      </c>
      <c r="IR611">
        <v>898.3</v>
      </c>
      <c r="IS611" t="s">
        <v>6563</v>
      </c>
      <c r="IT611">
        <v>0.25</v>
      </c>
      <c r="IU611" t="s">
        <v>424</v>
      </c>
      <c r="IV611" t="s">
        <v>425</v>
      </c>
      <c r="IW611" s="1">
        <v>42045</v>
      </c>
      <c r="IX611">
        <v>21</v>
      </c>
      <c r="IY611">
        <v>1155951</v>
      </c>
      <c r="IZ611" t="s">
        <v>1451</v>
      </c>
      <c r="JB611" s="1">
        <v>41052</v>
      </c>
      <c r="JC611">
        <v>2011</v>
      </c>
      <c r="JD611">
        <v>1112.49</v>
      </c>
      <c r="JE611" t="s">
        <v>6564</v>
      </c>
      <c r="JF611">
        <v>6.25</v>
      </c>
      <c r="JG611" t="s">
        <v>424</v>
      </c>
      <c r="JH611" t="s">
        <v>425</v>
      </c>
      <c r="JI611" s="1">
        <v>41697</v>
      </c>
      <c r="JJ611">
        <v>21</v>
      </c>
      <c r="JK611">
        <v>375</v>
      </c>
      <c r="JL611" t="s">
        <v>776</v>
      </c>
      <c r="JN611" s="1">
        <v>40688</v>
      </c>
      <c r="JO611">
        <v>2010</v>
      </c>
      <c r="JP611">
        <v>1135.23</v>
      </c>
      <c r="JQ611" t="s">
        <v>6565</v>
      </c>
      <c r="JR611">
        <v>8</v>
      </c>
      <c r="JS611" t="s">
        <v>424</v>
      </c>
      <c r="JT611" t="s">
        <v>425</v>
      </c>
      <c r="JU611" s="1">
        <v>41333</v>
      </c>
      <c r="JV611">
        <v>21</v>
      </c>
      <c r="JW611">
        <v>15175</v>
      </c>
      <c r="JX611" t="s">
        <v>588</v>
      </c>
      <c r="JZ611" s="1">
        <v>40688</v>
      </c>
      <c r="KA611">
        <v>2010</v>
      </c>
      <c r="KB611">
        <v>1135.23</v>
      </c>
      <c r="KC611" t="s">
        <v>6565</v>
      </c>
      <c r="KD611">
        <v>8</v>
      </c>
      <c r="KE611" t="s">
        <v>424</v>
      </c>
      <c r="KF611" t="s">
        <v>425</v>
      </c>
      <c r="KH611">
        <v>22</v>
      </c>
      <c r="KI611">
        <v>10548</v>
      </c>
      <c r="KJ611" t="s">
        <v>589</v>
      </c>
    </row>
    <row r="612" spans="1:296" x14ac:dyDescent="0.25">
      <c r="A612">
        <v>16485619</v>
      </c>
      <c r="B612">
        <v>611</v>
      </c>
      <c r="C612" t="s">
        <v>393</v>
      </c>
      <c r="D612" t="s">
        <v>394</v>
      </c>
      <c r="F612" t="str">
        <f>"04-1N-25-276C-0018-0000"</f>
        <v>04-1N-25-276C-0018-0000</v>
      </c>
      <c r="H612" t="str">
        <f>"CROCCO BARTHOLOMEW L &amp; CROCCO BRUCE V (JT/RS)"</f>
        <v>CROCCO BARTHOLOMEW L &amp; CROCCO BRUCE V (JT/RS)</v>
      </c>
      <c r="I612" t="str">
        <f>"3518 LENCZYK DR W"</f>
        <v>3518 LENCZYK DR W</v>
      </c>
      <c r="J612" t="str">
        <f>"JACKSONVILLE FL 32277"</f>
        <v>JACKSONVILLE FL 32277</v>
      </c>
      <c r="K612" t="str">
        <f>"44609 PINEBREEZE CIR"</f>
        <v>44609 PINEBREEZE CIR</v>
      </c>
      <c r="L612" t="str">
        <f t="shared" si="181"/>
        <v>CALLAHAN FL 32011</v>
      </c>
      <c r="M612" t="str">
        <f>"LOT 18 SEC 5-1N-25 IN OR 1796/1087 AMENDED CUSHING CREEK ESTATES PB 6/92-94"</f>
        <v>LOT 18 SEC 5-1N-25 IN OR 1796/1087 AMENDED CUSHING CREEK ESTATES PB 6/92-94</v>
      </c>
      <c r="N612" t="str">
        <f>""</f>
        <v/>
      </c>
      <c r="O612" t="str">
        <f>"19731"</f>
        <v>19731</v>
      </c>
      <c r="P612" t="str">
        <f t="shared" si="176"/>
        <v>2017</v>
      </c>
      <c r="Q612" t="str">
        <f>""</f>
        <v/>
      </c>
      <c r="R612" t="str">
        <f>"N"</f>
        <v>N</v>
      </c>
      <c r="S612" t="str">
        <f>"2.27"</f>
        <v>2.27</v>
      </c>
      <c r="T612" t="str">
        <f>"412.38"</f>
        <v>412.38</v>
      </c>
      <c r="U612" t="str">
        <f>"27240.00"</f>
        <v>27240.00</v>
      </c>
      <c r="V612" t="str">
        <f>"27240.00"</f>
        <v>27240.00</v>
      </c>
      <c r="W612" t="str">
        <f t="shared" si="177"/>
        <v>2017</v>
      </c>
      <c r="X612" t="str">
        <f>"9.17"</f>
        <v>9.17</v>
      </c>
      <c r="Y612" t="str">
        <f>"456.75"</f>
        <v>456.75</v>
      </c>
      <c r="Z612" t="str">
        <f>""</f>
        <v/>
      </c>
      <c r="AA612" t="str">
        <f>"27240.00"</f>
        <v>27240.00</v>
      </c>
      <c r="AB612" t="str">
        <f t="shared" si="187"/>
        <v>Residential</v>
      </c>
      <c r="AC612" t="str">
        <f t="shared" si="185"/>
        <v>0</v>
      </c>
      <c r="AD612" t="str">
        <f>""</f>
        <v/>
      </c>
      <c r="AE612" t="str">
        <f>""</f>
        <v/>
      </c>
      <c r="AF612" t="str">
        <f>"000"</f>
        <v>000</v>
      </c>
      <c r="AG612" t="str">
        <f t="shared" si="186"/>
        <v>FL</v>
      </c>
      <c r="AH612" t="str">
        <f>"98881.00"</f>
        <v>98881.00</v>
      </c>
      <c r="AI612" t="str">
        <f>"27240.00"</f>
        <v>27240.00</v>
      </c>
      <c r="AJ612" t="str">
        <f>"C55-000-586-4895-7"</f>
        <v>C55-000-586-4895-7</v>
      </c>
      <c r="AK612" t="str">
        <f>"9843"</f>
        <v>9843</v>
      </c>
      <c r="AL612">
        <v>3</v>
      </c>
      <c r="AM612">
        <v>705</v>
      </c>
      <c r="AN612">
        <v>477.99</v>
      </c>
      <c r="AQ612" t="s">
        <v>6566</v>
      </c>
      <c r="AR612" t="s">
        <v>6566</v>
      </c>
      <c r="AS612" t="s">
        <v>6566</v>
      </c>
      <c r="AU612" t="s">
        <v>396</v>
      </c>
      <c r="AV612">
        <v>2017</v>
      </c>
      <c r="AW612" t="str">
        <f>"04-1N-25-276C-0018-0000 "</f>
        <v xml:space="preserve">04-1N-25-276C-0018-0000 </v>
      </c>
      <c r="AX612">
        <v>44609</v>
      </c>
      <c r="AZ612" t="s">
        <v>6551</v>
      </c>
      <c r="BA612" t="s">
        <v>1799</v>
      </c>
      <c r="BD612" t="s">
        <v>2785</v>
      </c>
      <c r="BE612" t="s">
        <v>393</v>
      </c>
      <c r="BF612">
        <v>32011</v>
      </c>
      <c r="BG612" t="s">
        <v>6567</v>
      </c>
      <c r="BH612" t="s">
        <v>2787</v>
      </c>
      <c r="BI612">
        <v>-81.818287133338998</v>
      </c>
      <c r="BJ612">
        <v>30.536723780592901</v>
      </c>
      <c r="BK612" t="s">
        <v>6568</v>
      </c>
      <c r="BL612" t="s">
        <v>6569</v>
      </c>
      <c r="BM612" t="s">
        <v>6570</v>
      </c>
      <c r="BN612" t="s">
        <v>548</v>
      </c>
      <c r="BO612">
        <v>32277</v>
      </c>
      <c r="BP612" t="s">
        <v>404</v>
      </c>
      <c r="BQ612">
        <v>0</v>
      </c>
      <c r="BR612" t="s">
        <v>491</v>
      </c>
      <c r="BS612">
        <v>8001</v>
      </c>
      <c r="BT612" t="s">
        <v>492</v>
      </c>
      <c r="BW612">
        <v>98881</v>
      </c>
      <c r="BX612" t="s">
        <v>407</v>
      </c>
      <c r="CD612">
        <v>2017</v>
      </c>
      <c r="CE612">
        <v>27240</v>
      </c>
      <c r="CG612">
        <v>27240</v>
      </c>
      <c r="CH612">
        <v>2017</v>
      </c>
      <c r="CI612">
        <v>27240</v>
      </c>
      <c r="CK612">
        <v>27240</v>
      </c>
      <c r="CL612">
        <v>2017</v>
      </c>
      <c r="CM612">
        <v>412.38</v>
      </c>
      <c r="CN612" s="1">
        <v>41066</v>
      </c>
      <c r="CO612">
        <v>11000</v>
      </c>
      <c r="CV612">
        <v>0</v>
      </c>
      <c r="CZ612" s="1">
        <v>41066</v>
      </c>
      <c r="DA612">
        <v>0</v>
      </c>
      <c r="DD612" t="s">
        <v>2785</v>
      </c>
      <c r="DF612">
        <v>18</v>
      </c>
      <c r="DG612">
        <v>5</v>
      </c>
      <c r="DJ612" t="s">
        <v>6554</v>
      </c>
      <c r="DL612">
        <v>50502</v>
      </c>
      <c r="DM612" t="s">
        <v>6571</v>
      </c>
      <c r="DO612" t="s">
        <v>6572</v>
      </c>
      <c r="DP612">
        <v>0</v>
      </c>
      <c r="DQ612">
        <v>0</v>
      </c>
      <c r="DR612" t="s">
        <v>411</v>
      </c>
      <c r="DS612" t="b">
        <v>1</v>
      </c>
      <c r="DT612" t="s">
        <v>396</v>
      </c>
      <c r="DV612" t="s">
        <v>446</v>
      </c>
      <c r="DX612">
        <v>-9999</v>
      </c>
      <c r="DZ612" t="s">
        <v>447</v>
      </c>
      <c r="EA612" t="s">
        <v>448</v>
      </c>
      <c r="EB612" t="s">
        <v>6573</v>
      </c>
      <c r="EC612">
        <v>20101217</v>
      </c>
      <c r="ED612" t="s">
        <v>450</v>
      </c>
      <c r="EE612">
        <v>16.5</v>
      </c>
      <c r="EF612">
        <v>0</v>
      </c>
      <c r="EG612">
        <v>0</v>
      </c>
      <c r="EI612">
        <v>20160407</v>
      </c>
      <c r="EJ612">
        <v>0</v>
      </c>
      <c r="EK612">
        <v>0</v>
      </c>
      <c r="EP612" t="s">
        <v>421</v>
      </c>
      <c r="EQ612" t="s">
        <v>422</v>
      </c>
      <c r="ER612">
        <v>1</v>
      </c>
      <c r="ES612">
        <v>5</v>
      </c>
      <c r="ET612">
        <v>479.24</v>
      </c>
      <c r="EU612">
        <v>30.21</v>
      </c>
      <c r="EV612">
        <v>509.45</v>
      </c>
      <c r="EW612" s="2">
        <v>43222</v>
      </c>
      <c r="EX612" s="1">
        <v>42879</v>
      </c>
      <c r="EY612">
        <v>2016</v>
      </c>
      <c r="EZ612">
        <v>479.24</v>
      </c>
      <c r="FA612" t="s">
        <v>6574</v>
      </c>
      <c r="FB612">
        <v>4.75</v>
      </c>
      <c r="FC612" t="s">
        <v>424</v>
      </c>
      <c r="FD612" t="s">
        <v>454</v>
      </c>
      <c r="FF612">
        <v>12</v>
      </c>
      <c r="FG612">
        <v>10021</v>
      </c>
      <c r="FH612" t="s">
        <v>597</v>
      </c>
      <c r="FJ612" s="1">
        <v>42515</v>
      </c>
      <c r="FK612">
        <v>2015</v>
      </c>
      <c r="FL612">
        <v>464.19</v>
      </c>
      <c r="FM612" t="s">
        <v>6575</v>
      </c>
      <c r="FN612">
        <v>0.25</v>
      </c>
      <c r="FO612" t="s">
        <v>424</v>
      </c>
      <c r="FP612" t="s">
        <v>425</v>
      </c>
      <c r="FQ612" s="1">
        <v>43158</v>
      </c>
      <c r="FR612">
        <v>21</v>
      </c>
      <c r="FS612">
        <v>7336671</v>
      </c>
      <c r="FT612" t="s">
        <v>437</v>
      </c>
      <c r="FV612" s="1">
        <v>42515</v>
      </c>
      <c r="FW612">
        <v>2015</v>
      </c>
      <c r="FX612">
        <v>464.19</v>
      </c>
      <c r="FY612" t="s">
        <v>6575</v>
      </c>
      <c r="FZ612">
        <v>0.25</v>
      </c>
      <c r="GA612" t="s">
        <v>424</v>
      </c>
      <c r="GB612" t="s">
        <v>425</v>
      </c>
      <c r="GD612">
        <v>22</v>
      </c>
      <c r="GE612">
        <v>6970481</v>
      </c>
      <c r="GF612" t="s">
        <v>6576</v>
      </c>
      <c r="GH612" s="1">
        <v>42151</v>
      </c>
      <c r="GI612">
        <v>2014</v>
      </c>
      <c r="GJ612">
        <v>409.96</v>
      </c>
      <c r="GK612" t="s">
        <v>6577</v>
      </c>
      <c r="GL612">
        <v>4.75</v>
      </c>
      <c r="GM612" t="s">
        <v>424</v>
      </c>
      <c r="GN612" t="s">
        <v>425</v>
      </c>
      <c r="GO612" s="1">
        <v>42260</v>
      </c>
      <c r="GP612">
        <v>4</v>
      </c>
      <c r="GQ612">
        <v>4975593</v>
      </c>
      <c r="GR612" t="s">
        <v>505</v>
      </c>
      <c r="GT612" s="1">
        <v>41787</v>
      </c>
      <c r="GU612">
        <v>2013</v>
      </c>
      <c r="GV612">
        <v>444.3</v>
      </c>
      <c r="GW612" t="s">
        <v>6578</v>
      </c>
      <c r="GX612">
        <v>0.25</v>
      </c>
      <c r="GY612" t="s">
        <v>424</v>
      </c>
      <c r="GZ612" t="s">
        <v>425</v>
      </c>
      <c r="HA612" s="1">
        <v>42260</v>
      </c>
      <c r="HB612">
        <v>16</v>
      </c>
      <c r="HC612">
        <v>11340</v>
      </c>
      <c r="HD612" t="s">
        <v>1230</v>
      </c>
      <c r="HF612" s="1">
        <v>41423</v>
      </c>
      <c r="HG612">
        <v>2012</v>
      </c>
      <c r="HH612">
        <v>398.45</v>
      </c>
      <c r="HI612" t="s">
        <v>6579</v>
      </c>
      <c r="HJ612">
        <v>5.75</v>
      </c>
      <c r="HK612" t="s">
        <v>424</v>
      </c>
      <c r="HL612" t="s">
        <v>425</v>
      </c>
      <c r="HM612" s="1">
        <v>41460</v>
      </c>
      <c r="HN612">
        <v>2</v>
      </c>
      <c r="HO612">
        <v>2101381</v>
      </c>
      <c r="HP612" t="s">
        <v>605</v>
      </c>
    </row>
    <row r="613" spans="1:296" x14ac:dyDescent="0.25">
      <c r="A613">
        <v>16485620</v>
      </c>
      <c r="B613">
        <v>612</v>
      </c>
      <c r="C613" t="s">
        <v>393</v>
      </c>
      <c r="D613" t="s">
        <v>394</v>
      </c>
      <c r="F613" t="str">
        <f>"04-1N-25-276C-0029-0000"</f>
        <v>04-1N-25-276C-0029-0000</v>
      </c>
      <c r="H613" t="str">
        <f>"MULLIGAN FRANK"</f>
        <v>MULLIGAN FRANK</v>
      </c>
      <c r="I613" t="str">
        <f>"4179 SANDHILL CRANE TERRACE"</f>
        <v>4179 SANDHILL CRANE TERRACE</v>
      </c>
      <c r="J613" t="str">
        <f>"MIDDLEBURG FL 32068"</f>
        <v>MIDDLEBURG FL 32068</v>
      </c>
      <c r="K613" t="str">
        <f>"44536 PINEBREEZE CIR"</f>
        <v>44536 PINEBREEZE CIR</v>
      </c>
      <c r="L613" t="str">
        <f t="shared" si="181"/>
        <v>CALLAHAN FL 32011</v>
      </c>
      <c r="M613" t="str">
        <f>"LOT 29 SEC 5-1N-25 IN OR 1886/150 AMENDED CUSHING CREEK ESTATES PB 6/92-94"</f>
        <v>LOT 29 SEC 5-1N-25 IN OR 1886/150 AMENDED CUSHING CREEK ESTATES PB 6/92-94</v>
      </c>
      <c r="N613" t="str">
        <f>""</f>
        <v/>
      </c>
      <c r="O613" t="str">
        <f>"19742"</f>
        <v>19742</v>
      </c>
      <c r="P613" t="str">
        <f t="shared" si="176"/>
        <v>2017</v>
      </c>
      <c r="Q613" t="str">
        <f>""</f>
        <v/>
      </c>
      <c r="R613" t="str">
        <f>"N"</f>
        <v>N</v>
      </c>
      <c r="S613" t="str">
        <f>"1.00"</f>
        <v>1.00</v>
      </c>
      <c r="T613" t="str">
        <f>"1625.61"</f>
        <v>1625.61</v>
      </c>
      <c r="U613" t="str">
        <f>"107180.00"</f>
        <v>107180.00</v>
      </c>
      <c r="V613" t="str">
        <f>"107180.00"</f>
        <v>107180.00</v>
      </c>
      <c r="W613" t="str">
        <f t="shared" si="177"/>
        <v>2017</v>
      </c>
      <c r="X613" t="str">
        <f>"7.00"</f>
        <v>7.00</v>
      </c>
      <c r="Y613" t="str">
        <f>"1706.38"</f>
        <v>1706.38</v>
      </c>
      <c r="Z613" t="str">
        <f>""</f>
        <v/>
      </c>
      <c r="AA613" t="str">
        <f>"107638.00"</f>
        <v>107638.00</v>
      </c>
      <c r="AB613" t="str">
        <f t="shared" si="187"/>
        <v>Residential</v>
      </c>
      <c r="AC613" t="str">
        <f t="shared" si="185"/>
        <v>0</v>
      </c>
      <c r="AD613" t="str">
        <f>"4"</f>
        <v>4</v>
      </c>
      <c r="AE613" t="str">
        <f>"WOOD (INCLUDE STEEL STUDS)"</f>
        <v>WOOD (INCLUDE STEEL STUDS)</v>
      </c>
      <c r="AF613" t="str">
        <f>"001"</f>
        <v>001</v>
      </c>
      <c r="AG613" t="str">
        <f t="shared" si="186"/>
        <v>FL</v>
      </c>
      <c r="AH613" t="str">
        <f>"43560.00"</f>
        <v>43560.00</v>
      </c>
      <c r="AI613" t="str">
        <f>"15000.00"</f>
        <v>15000.00</v>
      </c>
      <c r="AJ613" t="str">
        <f>"C55-000-586-4906-2"</f>
        <v>C55-000-586-4906-2</v>
      </c>
      <c r="AK613" t="str">
        <f>"9854"</f>
        <v>9854</v>
      </c>
      <c r="AL613">
        <v>3</v>
      </c>
      <c r="AM613">
        <v>706</v>
      </c>
      <c r="AN613">
        <v>1790.1</v>
      </c>
      <c r="AQ613" t="s">
        <v>6580</v>
      </c>
      <c r="AR613" t="s">
        <v>6580</v>
      </c>
      <c r="AS613" t="s">
        <v>6580</v>
      </c>
      <c r="AU613" t="s">
        <v>396</v>
      </c>
      <c r="AV613">
        <v>2017</v>
      </c>
      <c r="AW613" t="str">
        <f>"04-1N-25-276C-0029-0000 "</f>
        <v xml:space="preserve">04-1N-25-276C-0029-0000 </v>
      </c>
      <c r="AX613">
        <v>44536</v>
      </c>
      <c r="AZ613" t="s">
        <v>6551</v>
      </c>
      <c r="BA613" t="s">
        <v>1799</v>
      </c>
      <c r="BD613" t="s">
        <v>2785</v>
      </c>
      <c r="BE613" t="s">
        <v>393</v>
      </c>
      <c r="BF613">
        <v>32011</v>
      </c>
      <c r="BG613" t="s">
        <v>6581</v>
      </c>
      <c r="BH613" t="s">
        <v>2787</v>
      </c>
      <c r="BI613">
        <v>-81.818777375248402</v>
      </c>
      <c r="BJ613">
        <v>30.534909122231898</v>
      </c>
      <c r="BK613" t="s">
        <v>6582</v>
      </c>
      <c r="BM613" t="s">
        <v>6583</v>
      </c>
      <c r="BN613" t="s">
        <v>6584</v>
      </c>
      <c r="BO613">
        <v>32068</v>
      </c>
      <c r="BP613" t="s">
        <v>404</v>
      </c>
      <c r="BQ613">
        <v>100</v>
      </c>
      <c r="BR613" t="s">
        <v>514</v>
      </c>
      <c r="BS613">
        <v>1001</v>
      </c>
      <c r="BT613" t="s">
        <v>515</v>
      </c>
      <c r="BW613">
        <v>43560</v>
      </c>
      <c r="BX613" t="s">
        <v>407</v>
      </c>
      <c r="BZ613">
        <v>4</v>
      </c>
      <c r="CA613">
        <v>2014</v>
      </c>
      <c r="CB613">
        <v>1</v>
      </c>
      <c r="CC613">
        <v>1</v>
      </c>
      <c r="CD613">
        <v>2017</v>
      </c>
      <c r="CE613">
        <v>15000</v>
      </c>
      <c r="CF613">
        <v>92638</v>
      </c>
      <c r="CG613">
        <v>107638</v>
      </c>
      <c r="CH613">
        <v>2017</v>
      </c>
      <c r="CI613">
        <v>15000</v>
      </c>
      <c r="CJ613">
        <v>92638</v>
      </c>
      <c r="CK613">
        <v>107638</v>
      </c>
      <c r="CL613">
        <v>2017</v>
      </c>
      <c r="CM613">
        <v>1625.61</v>
      </c>
      <c r="CN613" s="1">
        <v>41571</v>
      </c>
      <c r="CO613">
        <v>18000</v>
      </c>
      <c r="CV613">
        <v>0</v>
      </c>
      <c r="CZ613" s="1">
        <v>41571</v>
      </c>
      <c r="DA613">
        <v>0</v>
      </c>
      <c r="DD613" t="s">
        <v>2785</v>
      </c>
      <c r="DF613">
        <v>29</v>
      </c>
      <c r="DG613">
        <v>5</v>
      </c>
      <c r="DJ613" t="s">
        <v>6554</v>
      </c>
      <c r="DL613">
        <v>50502</v>
      </c>
      <c r="DM613" t="s">
        <v>6571</v>
      </c>
      <c r="DO613" t="s">
        <v>6585</v>
      </c>
      <c r="DP613">
        <v>0</v>
      </c>
      <c r="DQ613">
        <v>0</v>
      </c>
      <c r="DR613" t="s">
        <v>411</v>
      </c>
      <c r="DS613" t="b">
        <v>1</v>
      </c>
      <c r="DT613" t="s">
        <v>470</v>
      </c>
      <c r="DU613" t="s">
        <v>471</v>
      </c>
      <c r="DV613" t="s">
        <v>472</v>
      </c>
      <c r="DX613">
        <v>-9999</v>
      </c>
      <c r="DZ613" t="s">
        <v>447</v>
      </c>
      <c r="EA613" t="s">
        <v>448</v>
      </c>
      <c r="EB613" t="s">
        <v>742</v>
      </c>
      <c r="EC613">
        <v>20101217</v>
      </c>
      <c r="ED613" t="s">
        <v>474</v>
      </c>
      <c r="EF613">
        <v>569.79999999999995</v>
      </c>
      <c r="EG613">
        <v>569.79999999999995</v>
      </c>
      <c r="EH613" t="s">
        <v>451</v>
      </c>
      <c r="EI613">
        <v>20140731</v>
      </c>
      <c r="EJ613">
        <v>0</v>
      </c>
      <c r="EK613">
        <v>0</v>
      </c>
      <c r="EP613" t="s">
        <v>421</v>
      </c>
      <c r="EQ613" t="s">
        <v>422</v>
      </c>
      <c r="ER613">
        <v>2</v>
      </c>
      <c r="ES613">
        <v>2</v>
      </c>
      <c r="ET613">
        <v>3289.26</v>
      </c>
      <c r="EU613">
        <v>176.96</v>
      </c>
      <c r="EV613">
        <v>3466.22</v>
      </c>
      <c r="EW613" s="2">
        <v>43222</v>
      </c>
      <c r="EX613" s="1">
        <v>42879</v>
      </c>
      <c r="EY613">
        <v>2016</v>
      </c>
      <c r="EZ613">
        <v>1644.63</v>
      </c>
      <c r="FA613" t="s">
        <v>6586</v>
      </c>
      <c r="FB613">
        <v>0.25</v>
      </c>
      <c r="FC613" t="s">
        <v>424</v>
      </c>
      <c r="FD613" t="s">
        <v>454</v>
      </c>
      <c r="FF613">
        <v>12</v>
      </c>
      <c r="FG613">
        <v>5856194</v>
      </c>
      <c r="FH613" t="s">
        <v>2685</v>
      </c>
      <c r="FJ613" s="1">
        <v>42879</v>
      </c>
      <c r="FK613">
        <v>2016</v>
      </c>
      <c r="FL613">
        <v>1644.63</v>
      </c>
      <c r="FM613" t="s">
        <v>6586</v>
      </c>
      <c r="FN613">
        <v>0.25</v>
      </c>
      <c r="FO613" t="s">
        <v>424</v>
      </c>
      <c r="FP613" t="s">
        <v>454</v>
      </c>
      <c r="FR613">
        <v>12</v>
      </c>
      <c r="FS613">
        <v>6041005</v>
      </c>
      <c r="FT613" t="s">
        <v>6587</v>
      </c>
      <c r="FV613" s="1">
        <v>42151</v>
      </c>
      <c r="FW613">
        <v>2014</v>
      </c>
      <c r="FX613">
        <v>192.91</v>
      </c>
      <c r="FY613" t="s">
        <v>6588</v>
      </c>
      <c r="FZ613">
        <v>5.5</v>
      </c>
      <c r="GA613" t="s">
        <v>424</v>
      </c>
      <c r="GB613" t="s">
        <v>425</v>
      </c>
      <c r="GC613" s="1">
        <v>42164</v>
      </c>
      <c r="GD613">
        <v>1</v>
      </c>
      <c r="GE613">
        <v>10125</v>
      </c>
      <c r="GF613" t="s">
        <v>440</v>
      </c>
      <c r="GH613" s="1">
        <v>41787</v>
      </c>
      <c r="GI613">
        <v>2013</v>
      </c>
      <c r="GJ613">
        <v>208.05</v>
      </c>
      <c r="GK613" t="s">
        <v>6589</v>
      </c>
      <c r="GL613">
        <v>6.75</v>
      </c>
      <c r="GM613" t="s">
        <v>424</v>
      </c>
      <c r="GN613" t="s">
        <v>425</v>
      </c>
      <c r="GO613" s="1">
        <v>42160</v>
      </c>
      <c r="GP613">
        <v>13</v>
      </c>
      <c r="GQ613">
        <v>2035919</v>
      </c>
      <c r="GR613" t="s">
        <v>507</v>
      </c>
    </row>
    <row r="614" spans="1:296" x14ac:dyDescent="0.25">
      <c r="A614">
        <v>16485621</v>
      </c>
      <c r="B614">
        <v>613</v>
      </c>
      <c r="C614" t="s">
        <v>393</v>
      </c>
      <c r="D614" t="s">
        <v>394</v>
      </c>
      <c r="F614" t="str">
        <f>"04-1N-25-276C-0042-0000"</f>
        <v>04-1N-25-276C-0042-0000</v>
      </c>
      <c r="H614" t="str">
        <f>"STRINE TRACEY H"</f>
        <v>STRINE TRACEY H</v>
      </c>
      <c r="I614" t="str">
        <f>"44802 PINEBREEZE CIR"</f>
        <v>44802 PINEBREEZE CIR</v>
      </c>
      <c r="J614" t="str">
        <f t="shared" ref="J614:J627" si="188">"CALLAHAN FL 32011"</f>
        <v>CALLAHAN FL 32011</v>
      </c>
      <c r="K614" t="str">
        <f>"44802 PINEBREEZE CIR"</f>
        <v>44802 PINEBREEZE CIR</v>
      </c>
      <c r="L614" t="str">
        <f t="shared" si="181"/>
        <v>CALLAHAN FL 32011</v>
      </c>
      <c r="M614" t="str">
        <f>"LOT 42 R673579 IN OR 857/625 AMENDED CUSHING CREEK ESTATES PB 6/92-94"</f>
        <v>LOT 42 R673579 IN OR 857/625 AMENDED CUSHING CREEK ESTATES PB 6/92-94</v>
      </c>
      <c r="N614" t="str">
        <f>""</f>
        <v/>
      </c>
      <c r="O614" t="str">
        <f>"19755"</f>
        <v>19755</v>
      </c>
      <c r="P614" t="str">
        <f t="shared" si="176"/>
        <v>2017</v>
      </c>
      <c r="Q614" t="str">
        <f>""</f>
        <v/>
      </c>
      <c r="R614" t="str">
        <f>"Y"</f>
        <v>Y</v>
      </c>
      <c r="S614" t="str">
        <f>"1.78"</f>
        <v>1.78</v>
      </c>
      <c r="T614" t="str">
        <f>"279.01"</f>
        <v>279.01</v>
      </c>
      <c r="U614" t="str">
        <f>"43930.00"</f>
        <v>43930.00</v>
      </c>
      <c r="V614" t="str">
        <f>"43930.00"</f>
        <v>43930.00</v>
      </c>
      <c r="W614" t="str">
        <f t="shared" si="177"/>
        <v>2017</v>
      </c>
      <c r="X614" t="str">
        <f>"21.60"</f>
        <v>21.60</v>
      </c>
      <c r="Y614" t="str">
        <f>"319.38"</f>
        <v>319.38</v>
      </c>
      <c r="Z614" t="str">
        <f>"25500.00"</f>
        <v>25500.00</v>
      </c>
      <c r="AA614" t="str">
        <f>"18430.00"</f>
        <v>18430.00</v>
      </c>
      <c r="AB614" t="str">
        <f t="shared" si="187"/>
        <v>Residential</v>
      </c>
      <c r="AC614" t="str">
        <f t="shared" si="185"/>
        <v>0</v>
      </c>
      <c r="AD614" t="str">
        <f>"4"</f>
        <v>4</v>
      </c>
      <c r="AE614" t="str">
        <f>"WOOD (INCLUDE STEEL STUDS)"</f>
        <v>WOOD (INCLUDE STEEL STUDS)</v>
      </c>
      <c r="AF614" t="str">
        <f>"002"</f>
        <v>002</v>
      </c>
      <c r="AG614" t="str">
        <f t="shared" si="186"/>
        <v>FL</v>
      </c>
      <c r="AH614" t="str">
        <f>"77536.00"</f>
        <v>77536.00</v>
      </c>
      <c r="AI614" t="str">
        <f>"26700.00"</f>
        <v>26700.00</v>
      </c>
      <c r="AJ614" t="str">
        <f>"C55-000-586-4919-5"</f>
        <v>C55-000-586-4919-5</v>
      </c>
      <c r="AK614" t="str">
        <f>"9867"</f>
        <v>9867</v>
      </c>
      <c r="AL614">
        <v>3</v>
      </c>
      <c r="AM614">
        <v>707</v>
      </c>
      <c r="AN614">
        <v>333.75</v>
      </c>
      <c r="AQ614" t="s">
        <v>6590</v>
      </c>
      <c r="AR614" t="s">
        <v>6590</v>
      </c>
      <c r="AS614" t="s">
        <v>6590</v>
      </c>
      <c r="AU614" t="s">
        <v>396</v>
      </c>
      <c r="AV614">
        <v>2017</v>
      </c>
      <c r="AW614" t="str">
        <f>"04-1N-25-276C-0042-0000 "</f>
        <v xml:space="preserve">04-1N-25-276C-0042-0000 </v>
      </c>
      <c r="AX614">
        <v>44802</v>
      </c>
      <c r="AZ614" t="s">
        <v>6551</v>
      </c>
      <c r="BA614" t="s">
        <v>1799</v>
      </c>
      <c r="BD614" t="s">
        <v>2785</v>
      </c>
      <c r="BE614" t="s">
        <v>393</v>
      </c>
      <c r="BF614">
        <v>32011</v>
      </c>
      <c r="BG614" t="s">
        <v>6591</v>
      </c>
      <c r="BH614" t="s">
        <v>2787</v>
      </c>
      <c r="BI614">
        <v>-81.813675447975598</v>
      </c>
      <c r="BJ614">
        <v>30.535333595672299</v>
      </c>
      <c r="BK614" t="s">
        <v>6592</v>
      </c>
      <c r="BM614" t="s">
        <v>6591</v>
      </c>
      <c r="BN614" t="s">
        <v>928</v>
      </c>
      <c r="BO614">
        <v>32011</v>
      </c>
      <c r="BP614" t="s">
        <v>416</v>
      </c>
      <c r="BQ614">
        <v>200</v>
      </c>
      <c r="BR614" t="s">
        <v>405</v>
      </c>
      <c r="BS614">
        <v>1006</v>
      </c>
      <c r="BT614" t="s">
        <v>406</v>
      </c>
      <c r="BW614">
        <v>77536</v>
      </c>
      <c r="BX614" t="s">
        <v>407</v>
      </c>
      <c r="BZ614">
        <v>4</v>
      </c>
      <c r="CA614">
        <v>1994</v>
      </c>
      <c r="CB614">
        <v>1</v>
      </c>
      <c r="CC614">
        <v>1</v>
      </c>
      <c r="CD614">
        <v>2017</v>
      </c>
      <c r="CG614">
        <v>43930</v>
      </c>
      <c r="CH614">
        <v>2017</v>
      </c>
      <c r="CI614">
        <v>26700</v>
      </c>
      <c r="CJ614">
        <v>27656</v>
      </c>
      <c r="CK614">
        <v>54356</v>
      </c>
      <c r="CL614">
        <v>2017</v>
      </c>
      <c r="CM614">
        <v>279.01</v>
      </c>
      <c r="CN614" s="1">
        <v>36130</v>
      </c>
      <c r="CO614">
        <v>27000</v>
      </c>
      <c r="CZ614" s="1">
        <v>36130</v>
      </c>
      <c r="DD614" t="s">
        <v>2785</v>
      </c>
      <c r="DF614">
        <v>42</v>
      </c>
      <c r="DG614">
        <v>4</v>
      </c>
      <c r="DJ614" t="s">
        <v>6554</v>
      </c>
      <c r="DL614">
        <v>50502</v>
      </c>
      <c r="DM614" t="s">
        <v>6474</v>
      </c>
      <c r="DO614" t="s">
        <v>6593</v>
      </c>
      <c r="DP614">
        <v>0</v>
      </c>
      <c r="DQ614">
        <v>0</v>
      </c>
      <c r="DR614" t="s">
        <v>411</v>
      </c>
      <c r="DS614" t="b">
        <v>1</v>
      </c>
      <c r="DT614" t="s">
        <v>470</v>
      </c>
      <c r="DU614" t="s">
        <v>471</v>
      </c>
      <c r="DV614" t="s">
        <v>472</v>
      </c>
      <c r="DX614">
        <v>-9999</v>
      </c>
      <c r="DZ614" t="s">
        <v>447</v>
      </c>
      <c r="EA614" t="s">
        <v>448</v>
      </c>
      <c r="EB614" t="s">
        <v>742</v>
      </c>
      <c r="EC614">
        <v>20101217</v>
      </c>
      <c r="ED614" t="s">
        <v>474</v>
      </c>
      <c r="EF614">
        <v>617.79999999999995</v>
      </c>
      <c r="EG614">
        <v>617.79999999999995</v>
      </c>
      <c r="EI614">
        <v>20160407</v>
      </c>
      <c r="EJ614">
        <v>0</v>
      </c>
      <c r="EK614">
        <v>0</v>
      </c>
      <c r="EP614" t="s">
        <v>421</v>
      </c>
      <c r="EQ614" t="s">
        <v>422</v>
      </c>
      <c r="ER614">
        <v>0</v>
      </c>
      <c r="ES614">
        <v>6</v>
      </c>
      <c r="ET614">
        <v>0</v>
      </c>
      <c r="EU614">
        <v>0</v>
      </c>
      <c r="EV614">
        <v>0</v>
      </c>
      <c r="EW614" s="2">
        <v>43222</v>
      </c>
      <c r="EX614" s="1">
        <v>42515</v>
      </c>
      <c r="EY614">
        <v>2015</v>
      </c>
      <c r="EZ614">
        <v>314.95</v>
      </c>
      <c r="FA614" t="s">
        <v>6594</v>
      </c>
      <c r="FB614">
        <v>0.25</v>
      </c>
      <c r="FC614" t="s">
        <v>424</v>
      </c>
      <c r="FD614" t="s">
        <v>425</v>
      </c>
      <c r="FE614" s="1">
        <v>43132</v>
      </c>
      <c r="FF614">
        <v>21</v>
      </c>
      <c r="FG614">
        <v>2851116</v>
      </c>
      <c r="FH614" t="s">
        <v>480</v>
      </c>
      <c r="FJ614" s="1">
        <v>42515</v>
      </c>
      <c r="FK614">
        <v>2015</v>
      </c>
      <c r="FL614">
        <v>314.95</v>
      </c>
      <c r="FM614" t="s">
        <v>6594</v>
      </c>
      <c r="FN614">
        <v>0.25</v>
      </c>
      <c r="FO614" t="s">
        <v>424</v>
      </c>
      <c r="FP614" t="s">
        <v>425</v>
      </c>
      <c r="FR614">
        <v>22</v>
      </c>
      <c r="FS614">
        <v>5233880</v>
      </c>
      <c r="FT614" t="s">
        <v>6595</v>
      </c>
      <c r="FV614" s="1">
        <v>41423</v>
      </c>
      <c r="FW614">
        <v>2012</v>
      </c>
      <c r="FX614">
        <v>452.57</v>
      </c>
      <c r="FY614" t="s">
        <v>6596</v>
      </c>
      <c r="FZ614">
        <v>3.5</v>
      </c>
      <c r="GA614" t="s">
        <v>424</v>
      </c>
      <c r="GB614" t="s">
        <v>425</v>
      </c>
      <c r="GC614" s="1">
        <v>41556</v>
      </c>
      <c r="GD614">
        <v>5</v>
      </c>
      <c r="GE614">
        <v>15399</v>
      </c>
      <c r="GF614" t="s">
        <v>485</v>
      </c>
      <c r="GH614" s="1">
        <v>41052</v>
      </c>
      <c r="GI614">
        <v>2011</v>
      </c>
      <c r="GJ614">
        <v>497.98</v>
      </c>
      <c r="GK614" t="s">
        <v>6597</v>
      </c>
      <c r="GL614">
        <v>6</v>
      </c>
      <c r="GM614" t="s">
        <v>424</v>
      </c>
      <c r="GN614" t="s">
        <v>425</v>
      </c>
      <c r="GO614" s="1">
        <v>41556</v>
      </c>
      <c r="GP614">
        <v>17</v>
      </c>
      <c r="GQ614">
        <v>62</v>
      </c>
      <c r="GR614" t="s">
        <v>463</v>
      </c>
      <c r="GT614" s="1">
        <v>40688</v>
      </c>
      <c r="GU614">
        <v>2010</v>
      </c>
      <c r="GV614">
        <v>492.02</v>
      </c>
      <c r="GW614" t="s">
        <v>6598</v>
      </c>
      <c r="GX614">
        <v>8</v>
      </c>
      <c r="GY614" t="s">
        <v>424</v>
      </c>
      <c r="GZ614" t="s">
        <v>425</v>
      </c>
      <c r="HA614" s="1">
        <v>41312</v>
      </c>
      <c r="HB614">
        <v>21</v>
      </c>
      <c r="HC614">
        <v>15175</v>
      </c>
      <c r="HD614" t="s">
        <v>588</v>
      </c>
      <c r="HF614" s="1">
        <v>40688</v>
      </c>
      <c r="HG614">
        <v>2010</v>
      </c>
      <c r="HH614">
        <v>492.02</v>
      </c>
      <c r="HI614" t="s">
        <v>6598</v>
      </c>
      <c r="HJ614">
        <v>8</v>
      </c>
      <c r="HK614" t="s">
        <v>424</v>
      </c>
      <c r="HL614" t="s">
        <v>425</v>
      </c>
      <c r="HN614">
        <v>22</v>
      </c>
      <c r="HO614">
        <v>10548</v>
      </c>
      <c r="HP614" t="s">
        <v>589</v>
      </c>
    </row>
    <row r="615" spans="1:296" x14ac:dyDescent="0.25">
      <c r="A615">
        <v>16485622</v>
      </c>
      <c r="B615">
        <v>614</v>
      </c>
      <c r="C615" t="s">
        <v>393</v>
      </c>
      <c r="D615" t="s">
        <v>394</v>
      </c>
      <c r="F615" t="str">
        <f>"04-1N-25-2780-0002-0000"</f>
        <v>04-1N-25-2780-0002-0000</v>
      </c>
      <c r="H615" t="str">
        <f>"SWEAT CHARLES &amp; SWEAT JENNIFER"</f>
        <v>SWEAT CHARLES &amp; SWEAT JENNIFER</v>
      </c>
      <c r="I615" t="str">
        <f>"44014 CUSHMAN RD"</f>
        <v>44014 CUSHMAN RD</v>
      </c>
      <c r="J615" t="str">
        <f t="shared" si="188"/>
        <v>CALLAHAN FL 32011</v>
      </c>
      <c r="K615" t="str">
        <f>"44014 CUSHMAN RD"</f>
        <v>44014 CUSHMAN RD</v>
      </c>
      <c r="L615" t="str">
        <f t="shared" si="181"/>
        <v>CALLAHAN FL 32011</v>
      </c>
      <c r="M615" t="str">
        <f>"LOT 2 (EX S-1) R622389 R360157 IN OR 1792/1842 EX DRNAGE ESMT OR 199/658 GRAY GABLES SUB PB 0/52"</f>
        <v>LOT 2 (EX S-1) R622389 R360157 IN OR 1792/1842 EX DRNAGE ESMT OR 199/658 GRAY GABLES SUB PB 0/52</v>
      </c>
      <c r="N615" t="str">
        <f>""</f>
        <v/>
      </c>
      <c r="O615" t="str">
        <f>"19765"</f>
        <v>19765</v>
      </c>
      <c r="P615" t="str">
        <f t="shared" si="176"/>
        <v>2017</v>
      </c>
      <c r="Q615" t="str">
        <f>""</f>
        <v/>
      </c>
      <c r="R615" t="str">
        <f>"N"</f>
        <v>N</v>
      </c>
      <c r="S615" t="str">
        <f>"1.48"</f>
        <v>1.48</v>
      </c>
      <c r="T615" t="str">
        <f>"606.16"</f>
        <v>606.16</v>
      </c>
      <c r="U615" t="str">
        <f>"35809.00"</f>
        <v>35809.00</v>
      </c>
      <c r="V615" t="str">
        <f>"35809.00"</f>
        <v>35809.00</v>
      </c>
      <c r="W615" t="str">
        <f t="shared" si="177"/>
        <v>2017</v>
      </c>
      <c r="X615" t="str">
        <f>"21.33"</f>
        <v>21.33</v>
      </c>
      <c r="Y615" t="str">
        <f>"656.34"</f>
        <v>656.34</v>
      </c>
      <c r="Z615" t="str">
        <f>""</f>
        <v/>
      </c>
      <c r="AA615" t="str">
        <f>"45517.00"</f>
        <v>45517.00</v>
      </c>
      <c r="AB615" t="str">
        <f t="shared" si="187"/>
        <v>Residential</v>
      </c>
      <c r="AC615" t="str">
        <f t="shared" si="185"/>
        <v>0</v>
      </c>
      <c r="AD615" t="str">
        <f>"4"</f>
        <v>4</v>
      </c>
      <c r="AE615" t="str">
        <f>"WOOD (INCLUDE STEEL STUDS)"</f>
        <v>WOOD (INCLUDE STEEL STUDS)</v>
      </c>
      <c r="AF615" t="str">
        <f>"002"</f>
        <v>002</v>
      </c>
      <c r="AG615" t="str">
        <f t="shared" si="186"/>
        <v>FL</v>
      </c>
      <c r="AH615" t="str">
        <f>"64468.00"</f>
        <v>64468.00</v>
      </c>
      <c r="AI615" t="str">
        <f>"22200.00"</f>
        <v>22200.00</v>
      </c>
      <c r="AJ615" t="str">
        <f>"C55-000-586-4926-0"</f>
        <v>C55-000-586-4926-0</v>
      </c>
      <c r="AK615" t="str">
        <f>"9903"</f>
        <v>9903</v>
      </c>
      <c r="AL615">
        <v>3</v>
      </c>
      <c r="AM615">
        <v>708</v>
      </c>
      <c r="AN615">
        <v>687.56</v>
      </c>
      <c r="AQ615" t="s">
        <v>6599</v>
      </c>
      <c r="AR615" t="s">
        <v>6599</v>
      </c>
      <c r="AS615" t="s">
        <v>6599</v>
      </c>
      <c r="AU615" t="s">
        <v>396</v>
      </c>
      <c r="AV615">
        <v>2017</v>
      </c>
      <c r="AW615" t="str">
        <f>"04-1N-25-2780-0002-0000 "</f>
        <v xml:space="preserve">04-1N-25-2780-0002-0000 </v>
      </c>
      <c r="AX615">
        <v>44014</v>
      </c>
      <c r="AZ615" t="s">
        <v>6471</v>
      </c>
      <c r="BA615" t="s">
        <v>496</v>
      </c>
      <c r="BD615" t="s">
        <v>2785</v>
      </c>
      <c r="BE615" t="s">
        <v>393</v>
      </c>
      <c r="BF615">
        <v>32011</v>
      </c>
      <c r="BG615" t="s">
        <v>6600</v>
      </c>
      <c r="BH615" t="s">
        <v>2787</v>
      </c>
      <c r="BI615">
        <v>-81.808838985353105</v>
      </c>
      <c r="BJ615">
        <v>30.5307467731296</v>
      </c>
      <c r="BK615" t="s">
        <v>6601</v>
      </c>
      <c r="BL615" t="s">
        <v>6602</v>
      </c>
      <c r="BM615" t="s">
        <v>6600</v>
      </c>
      <c r="BN615" t="s">
        <v>928</v>
      </c>
      <c r="BO615">
        <v>32011</v>
      </c>
      <c r="BP615" t="s">
        <v>416</v>
      </c>
      <c r="BQ615">
        <v>200</v>
      </c>
      <c r="BR615" t="s">
        <v>405</v>
      </c>
      <c r="BS615">
        <v>1006</v>
      </c>
      <c r="BT615" t="s">
        <v>406</v>
      </c>
      <c r="BW615">
        <v>64468</v>
      </c>
      <c r="BX615" t="s">
        <v>407</v>
      </c>
      <c r="BY615" t="s">
        <v>4360</v>
      </c>
      <c r="BZ615">
        <v>4</v>
      </c>
      <c r="CA615">
        <v>1989</v>
      </c>
      <c r="CB615">
        <v>1</v>
      </c>
      <c r="CC615">
        <v>1</v>
      </c>
      <c r="CD615">
        <v>2017</v>
      </c>
      <c r="CE615">
        <v>22200</v>
      </c>
      <c r="CF615">
        <v>23317</v>
      </c>
      <c r="CG615">
        <v>45517</v>
      </c>
      <c r="CH615">
        <v>2017</v>
      </c>
      <c r="CI615">
        <v>22200</v>
      </c>
      <c r="CJ615">
        <v>23317</v>
      </c>
      <c r="CK615">
        <v>45517</v>
      </c>
      <c r="CL615">
        <v>2017</v>
      </c>
      <c r="CM615">
        <v>606.16</v>
      </c>
      <c r="CN615" s="1">
        <v>41012</v>
      </c>
      <c r="CZ615" s="1">
        <v>41012</v>
      </c>
      <c r="DD615" t="s">
        <v>2785</v>
      </c>
      <c r="DG615">
        <v>4</v>
      </c>
      <c r="DL615">
        <v>50502</v>
      </c>
      <c r="DM615" t="s">
        <v>6474</v>
      </c>
      <c r="DO615" t="s">
        <v>6603</v>
      </c>
      <c r="DP615">
        <v>0</v>
      </c>
      <c r="DQ615">
        <v>1</v>
      </c>
      <c r="DR615" t="s">
        <v>1479</v>
      </c>
      <c r="DS615" t="b">
        <v>1</v>
      </c>
      <c r="DT615" t="s">
        <v>470</v>
      </c>
      <c r="DU615" t="s">
        <v>471</v>
      </c>
      <c r="DV615" t="s">
        <v>472</v>
      </c>
      <c r="DX615">
        <v>-9999</v>
      </c>
      <c r="DZ615" t="s">
        <v>447</v>
      </c>
      <c r="EA615" t="s">
        <v>448</v>
      </c>
      <c r="EB615" t="s">
        <v>742</v>
      </c>
      <c r="EC615">
        <v>20101217</v>
      </c>
      <c r="ED615" t="s">
        <v>474</v>
      </c>
      <c r="EF615">
        <v>564.20000000000005</v>
      </c>
      <c r="EG615">
        <v>564.20000000000005</v>
      </c>
      <c r="EI615">
        <v>20160407</v>
      </c>
      <c r="EJ615">
        <v>0</v>
      </c>
      <c r="EK615">
        <v>0</v>
      </c>
      <c r="EP615" t="s">
        <v>421</v>
      </c>
      <c r="EQ615" t="s">
        <v>422</v>
      </c>
      <c r="ER615">
        <v>2</v>
      </c>
      <c r="ES615">
        <v>3</v>
      </c>
      <c r="ET615">
        <v>1134.94</v>
      </c>
      <c r="EU615">
        <v>69.25</v>
      </c>
      <c r="EV615">
        <v>1204.19</v>
      </c>
      <c r="EW615" s="2">
        <v>43222</v>
      </c>
      <c r="EX615" s="1">
        <v>42879</v>
      </c>
      <c r="EY615">
        <v>2016</v>
      </c>
      <c r="EZ615">
        <v>567.47</v>
      </c>
      <c r="FA615" t="s">
        <v>6604</v>
      </c>
      <c r="FB615">
        <v>0.25</v>
      </c>
      <c r="FC615" t="s">
        <v>424</v>
      </c>
      <c r="FD615" t="s">
        <v>454</v>
      </c>
      <c r="FF615">
        <v>12</v>
      </c>
      <c r="FG615">
        <v>2851116</v>
      </c>
      <c r="FH615" t="s">
        <v>480</v>
      </c>
      <c r="FJ615" s="1">
        <v>42879</v>
      </c>
      <c r="FK615">
        <v>2016</v>
      </c>
      <c r="FL615">
        <v>567.47</v>
      </c>
      <c r="FM615" t="s">
        <v>6604</v>
      </c>
      <c r="FN615">
        <v>0.25</v>
      </c>
      <c r="FO615" t="s">
        <v>424</v>
      </c>
      <c r="FP615" t="s">
        <v>454</v>
      </c>
      <c r="FR615">
        <v>12</v>
      </c>
      <c r="FS615">
        <v>5368912</v>
      </c>
      <c r="FT615" t="s">
        <v>6605</v>
      </c>
      <c r="FV615" s="1">
        <v>42515</v>
      </c>
      <c r="FW615">
        <v>2015</v>
      </c>
      <c r="FX615">
        <v>587.91999999999996</v>
      </c>
      <c r="FY615" t="s">
        <v>6606</v>
      </c>
      <c r="FZ615">
        <v>6.25</v>
      </c>
      <c r="GA615" t="s">
        <v>424</v>
      </c>
      <c r="GB615" t="s">
        <v>425</v>
      </c>
      <c r="GC615" s="1">
        <v>43168</v>
      </c>
      <c r="GD615">
        <v>22</v>
      </c>
      <c r="GE615">
        <v>2035919</v>
      </c>
      <c r="GF615" t="s">
        <v>507</v>
      </c>
      <c r="GH615" s="1">
        <v>42151</v>
      </c>
      <c r="GI615">
        <v>2014</v>
      </c>
      <c r="GJ615">
        <v>485.97</v>
      </c>
      <c r="GK615" t="s">
        <v>6607</v>
      </c>
      <c r="GL615">
        <v>3.75</v>
      </c>
      <c r="GM615" t="s">
        <v>424</v>
      </c>
      <c r="GN615" t="s">
        <v>425</v>
      </c>
      <c r="GO615" s="1">
        <v>42781</v>
      </c>
      <c r="GP615">
        <v>21</v>
      </c>
      <c r="GQ615">
        <v>4975593</v>
      </c>
      <c r="GR615" t="s">
        <v>505</v>
      </c>
      <c r="GT615" s="1">
        <v>41787</v>
      </c>
      <c r="GU615">
        <v>2013</v>
      </c>
      <c r="GV615">
        <v>592.08000000000004</v>
      </c>
      <c r="GW615" t="s">
        <v>6608</v>
      </c>
      <c r="GX615">
        <v>0.25</v>
      </c>
      <c r="GY615" t="s">
        <v>424</v>
      </c>
      <c r="GZ615" t="s">
        <v>425</v>
      </c>
      <c r="HA615" s="1">
        <v>42410</v>
      </c>
      <c r="HB615">
        <v>21</v>
      </c>
      <c r="HC615">
        <v>2407503</v>
      </c>
      <c r="HD615" t="s">
        <v>461</v>
      </c>
    </row>
    <row r="616" spans="1:296" x14ac:dyDescent="0.25">
      <c r="A616">
        <v>16485623</v>
      </c>
      <c r="B616">
        <v>615</v>
      </c>
      <c r="C616" t="s">
        <v>393</v>
      </c>
      <c r="D616" t="s">
        <v>394</v>
      </c>
      <c r="F616" t="str">
        <f>"04-1N-25-2780-0003-0010"</f>
        <v>04-1N-25-2780-0003-0010</v>
      </c>
      <c r="H616" t="str">
        <f>"SWEAT ROBYN M EST"</f>
        <v>SWEAT ROBYN M EST</v>
      </c>
      <c r="I616" t="str">
        <f>"45227 ROBINWOOD CIRCLE"</f>
        <v>45227 ROBINWOOD CIRCLE</v>
      </c>
      <c r="J616" t="str">
        <f t="shared" si="188"/>
        <v>CALLAHAN FL 32011</v>
      </c>
      <c r="K616" t="str">
        <f>"44002 CUSHMAN RD"</f>
        <v>44002 CUSHMAN RD</v>
      </c>
      <c r="L616" t="str">
        <f t="shared" si="181"/>
        <v>CALLAHAN FL 32011</v>
      </c>
      <c r="M616" t="str">
        <f>"N1/2 OF LOT 3 (S-1) IN OR 1317/1902 GRAY GABLES SUB PB 0/52 1988 PALM DWMH"</f>
        <v>N1/2 OF LOT 3 (S-1) IN OR 1317/1902 GRAY GABLES SUB PB 0/52 1988 PALM DWMH</v>
      </c>
      <c r="N616" t="str">
        <f>""</f>
        <v/>
      </c>
      <c r="O616" t="str">
        <f>"19767"</f>
        <v>19767</v>
      </c>
      <c r="P616" t="str">
        <f t="shared" si="176"/>
        <v>2017</v>
      </c>
      <c r="Q616" t="str">
        <f>""</f>
        <v/>
      </c>
      <c r="R616" t="str">
        <f>"N"</f>
        <v>N</v>
      </c>
      <c r="S616" t="str">
        <f>"1.00"</f>
        <v>1.00</v>
      </c>
      <c r="T616" t="str">
        <f>"343.92"</f>
        <v>343.92</v>
      </c>
      <c r="U616" t="str">
        <f>"22553.00"</f>
        <v>22553.00</v>
      </c>
      <c r="V616" t="str">
        <f>"22553.00"</f>
        <v>22553.00</v>
      </c>
      <c r="W616" t="str">
        <f t="shared" si="177"/>
        <v>2017</v>
      </c>
      <c r="X616" t="str">
        <f>"21.33"</f>
        <v>21.33</v>
      </c>
      <c r="Y616" t="str">
        <f>"386.24"</f>
        <v>386.24</v>
      </c>
      <c r="Z616" t="str">
        <f>""</f>
        <v/>
      </c>
      <c r="AA616" t="str">
        <f>"22932.00"</f>
        <v>22932.00</v>
      </c>
      <c r="AB616" t="str">
        <f t="shared" si="187"/>
        <v>Residential</v>
      </c>
      <c r="AC616" t="str">
        <f t="shared" si="185"/>
        <v>0</v>
      </c>
      <c r="AD616" t="str">
        <f>""</f>
        <v/>
      </c>
      <c r="AE616" t="str">
        <f>""</f>
        <v/>
      </c>
      <c r="AF616" t="str">
        <f>"000"</f>
        <v>000</v>
      </c>
      <c r="AG616" t="str">
        <f t="shared" si="186"/>
        <v>FL</v>
      </c>
      <c r="AH616" t="str">
        <f>"43560.00"</f>
        <v>43560.00</v>
      </c>
      <c r="AI616" t="str">
        <f>"15000.00"</f>
        <v>15000.00</v>
      </c>
      <c r="AJ616" t="str">
        <f>"C55-000-589-2481-2"</f>
        <v>C55-000-589-2481-2</v>
      </c>
      <c r="AK616" t="str">
        <f>"9905"</f>
        <v>9905</v>
      </c>
      <c r="AL616">
        <v>3</v>
      </c>
      <c r="AM616">
        <v>709</v>
      </c>
      <c r="AN616">
        <v>403.95</v>
      </c>
      <c r="AQ616" t="s">
        <v>6609</v>
      </c>
      <c r="AR616" t="s">
        <v>6609</v>
      </c>
      <c r="AS616" t="s">
        <v>6609</v>
      </c>
      <c r="AU616" t="s">
        <v>396</v>
      </c>
      <c r="AV616">
        <v>2017</v>
      </c>
      <c r="AW616" t="str">
        <f>"04-1N-25-2780-0003-0010 "</f>
        <v xml:space="preserve">04-1N-25-2780-0003-0010 </v>
      </c>
      <c r="AX616">
        <v>44002</v>
      </c>
      <c r="AZ616" t="s">
        <v>6471</v>
      </c>
      <c r="BA616" t="s">
        <v>496</v>
      </c>
      <c r="BD616" t="s">
        <v>2785</v>
      </c>
      <c r="BE616" t="s">
        <v>393</v>
      </c>
      <c r="BF616">
        <v>32011</v>
      </c>
      <c r="BG616" t="s">
        <v>6610</v>
      </c>
      <c r="BH616" t="s">
        <v>2787</v>
      </c>
      <c r="BI616">
        <v>-81.809496531738603</v>
      </c>
      <c r="BJ616">
        <v>30.530647312524</v>
      </c>
      <c r="BK616" t="s">
        <v>6611</v>
      </c>
      <c r="BL616" t="s">
        <v>6612</v>
      </c>
      <c r="BM616" t="s">
        <v>6613</v>
      </c>
      <c r="BN616" t="s">
        <v>928</v>
      </c>
      <c r="BO616">
        <v>32011</v>
      </c>
      <c r="BP616" t="s">
        <v>404</v>
      </c>
      <c r="BQ616">
        <v>1</v>
      </c>
      <c r="BR616" t="s">
        <v>491</v>
      </c>
      <c r="BS616">
        <v>8001</v>
      </c>
      <c r="BT616" t="s">
        <v>492</v>
      </c>
      <c r="BW616">
        <v>43560</v>
      </c>
      <c r="BX616" t="s">
        <v>407</v>
      </c>
      <c r="BY616" t="s">
        <v>4360</v>
      </c>
      <c r="CB616">
        <v>1</v>
      </c>
      <c r="CD616">
        <v>2017</v>
      </c>
      <c r="CE616">
        <v>15000</v>
      </c>
      <c r="CF616">
        <v>7932</v>
      </c>
      <c r="CG616">
        <v>22932</v>
      </c>
      <c r="CH616">
        <v>2017</v>
      </c>
      <c r="CI616">
        <v>15000</v>
      </c>
      <c r="CJ616">
        <v>7932</v>
      </c>
      <c r="CK616">
        <v>22932</v>
      </c>
      <c r="CL616">
        <v>2017</v>
      </c>
      <c r="CM616">
        <v>343.92</v>
      </c>
      <c r="CN616" s="1">
        <v>38488</v>
      </c>
      <c r="CZ616" s="1">
        <v>38488</v>
      </c>
      <c r="DD616" t="s">
        <v>2785</v>
      </c>
      <c r="DF616">
        <v>3</v>
      </c>
      <c r="DG616">
        <v>4</v>
      </c>
      <c r="DJ616" t="s">
        <v>6519</v>
      </c>
      <c r="DL616">
        <v>50502</v>
      </c>
      <c r="DM616" t="s">
        <v>6474</v>
      </c>
      <c r="DO616" t="s">
        <v>6614</v>
      </c>
      <c r="DP616">
        <v>0</v>
      </c>
      <c r="DQ616">
        <v>1</v>
      </c>
      <c r="DR616" t="s">
        <v>411</v>
      </c>
      <c r="DS616" t="b">
        <v>1</v>
      </c>
      <c r="DT616" t="s">
        <v>470</v>
      </c>
      <c r="DU616" t="s">
        <v>471</v>
      </c>
      <c r="DV616" t="s">
        <v>472</v>
      </c>
      <c r="DX616">
        <v>-9999</v>
      </c>
      <c r="DZ616" t="s">
        <v>447</v>
      </c>
      <c r="EA616" t="s">
        <v>448</v>
      </c>
      <c r="EB616" t="s">
        <v>742</v>
      </c>
      <c r="EC616">
        <v>20101217</v>
      </c>
      <c r="ED616" t="s">
        <v>474</v>
      </c>
      <c r="EF616">
        <v>442.3</v>
      </c>
      <c r="EG616">
        <v>442.3</v>
      </c>
      <c r="EI616">
        <v>20160407</v>
      </c>
      <c r="EJ616">
        <v>0</v>
      </c>
      <c r="EK616">
        <v>0</v>
      </c>
      <c r="EP616" t="s">
        <v>421</v>
      </c>
      <c r="EQ616" t="s">
        <v>422</v>
      </c>
      <c r="ER616">
        <v>2</v>
      </c>
      <c r="ES616">
        <v>3</v>
      </c>
      <c r="ET616">
        <v>920.68</v>
      </c>
      <c r="EU616">
        <v>58.53</v>
      </c>
      <c r="EV616">
        <v>979.21</v>
      </c>
      <c r="EW616" s="2">
        <v>43222</v>
      </c>
      <c r="EX616" s="1">
        <v>42879</v>
      </c>
      <c r="EY616">
        <v>2016</v>
      </c>
      <c r="EZ616">
        <v>460.34</v>
      </c>
      <c r="FA616" t="s">
        <v>6615</v>
      </c>
      <c r="FB616">
        <v>0.25</v>
      </c>
      <c r="FC616" t="s">
        <v>424</v>
      </c>
      <c r="FD616" t="s">
        <v>454</v>
      </c>
      <c r="FF616">
        <v>12</v>
      </c>
      <c r="FG616">
        <v>7400234</v>
      </c>
      <c r="FH616" t="s">
        <v>426</v>
      </c>
      <c r="FJ616" s="1">
        <v>42879</v>
      </c>
      <c r="FK616">
        <v>2016</v>
      </c>
      <c r="FL616">
        <v>460.34</v>
      </c>
      <c r="FM616" t="s">
        <v>6615</v>
      </c>
      <c r="FN616">
        <v>0.25</v>
      </c>
      <c r="FO616" t="s">
        <v>424</v>
      </c>
      <c r="FP616" t="s">
        <v>454</v>
      </c>
      <c r="FR616">
        <v>12</v>
      </c>
      <c r="FS616">
        <v>7511716</v>
      </c>
      <c r="FT616" t="s">
        <v>6616</v>
      </c>
      <c r="FV616" s="1">
        <v>42515</v>
      </c>
      <c r="FW616">
        <v>2015</v>
      </c>
      <c r="FX616">
        <v>524.80999999999995</v>
      </c>
      <c r="FY616" t="s">
        <v>6617</v>
      </c>
      <c r="FZ616">
        <v>6.25</v>
      </c>
      <c r="GA616" t="s">
        <v>424</v>
      </c>
      <c r="GB616" t="s">
        <v>425</v>
      </c>
      <c r="GC616" s="1">
        <v>43181</v>
      </c>
      <c r="GD616">
        <v>22</v>
      </c>
      <c r="GE616">
        <v>2035919</v>
      </c>
      <c r="GF616" t="s">
        <v>507</v>
      </c>
      <c r="GH616" s="1">
        <v>42151</v>
      </c>
      <c r="GI616">
        <v>2014</v>
      </c>
      <c r="GJ616">
        <v>444.5</v>
      </c>
      <c r="GK616" t="s">
        <v>6618</v>
      </c>
      <c r="GL616">
        <v>3.75</v>
      </c>
      <c r="GM616" t="s">
        <v>424</v>
      </c>
      <c r="GN616" t="s">
        <v>425</v>
      </c>
      <c r="GO616" s="1">
        <v>42789</v>
      </c>
      <c r="GP616">
        <v>21</v>
      </c>
      <c r="GQ616">
        <v>4975593</v>
      </c>
      <c r="GR616" t="s">
        <v>505</v>
      </c>
      <c r="GT616" s="1">
        <v>41787</v>
      </c>
      <c r="GU616">
        <v>2013</v>
      </c>
      <c r="GV616">
        <v>603.17999999999995</v>
      </c>
      <c r="GW616" t="s">
        <v>6619</v>
      </c>
      <c r="GX616">
        <v>0.25</v>
      </c>
      <c r="GY616" t="s">
        <v>424</v>
      </c>
      <c r="GZ616" t="s">
        <v>425</v>
      </c>
      <c r="HA616" s="1">
        <v>42410</v>
      </c>
      <c r="HB616">
        <v>21</v>
      </c>
      <c r="HC616">
        <v>2407503</v>
      </c>
      <c r="HD616" t="s">
        <v>461</v>
      </c>
    </row>
    <row r="617" spans="1:296" x14ac:dyDescent="0.25">
      <c r="A617">
        <v>16485624</v>
      </c>
      <c r="B617">
        <v>616</v>
      </c>
      <c r="C617" t="s">
        <v>393</v>
      </c>
      <c r="D617" t="s">
        <v>394</v>
      </c>
      <c r="F617" t="str">
        <f>"04-1N-25-2780-0004-0000"</f>
        <v>04-1N-25-2780-0004-0000</v>
      </c>
      <c r="H617" t="str">
        <f>"FENCIK KRISTIE LEEANN"</f>
        <v>FENCIK KRISTIE LEEANN</v>
      </c>
      <c r="I617" t="str">
        <f>"44725 ARTESIAN BLVD"</f>
        <v>44725 ARTESIAN BLVD</v>
      </c>
      <c r="J617" t="str">
        <f t="shared" si="188"/>
        <v>CALLAHAN FL 32011</v>
      </c>
      <c r="K617" t="str">
        <f>"44725 ARTESIAN BLVD"</f>
        <v>44725 ARTESIAN BLVD</v>
      </c>
      <c r="L617" t="str">
        <f t="shared" si="181"/>
        <v>CALLAHAN FL 32011</v>
      </c>
      <c r="M617" t="str">
        <f>"LOT 4 IN OR 587/852 GRAY GABLES SUB PB 0/52"</f>
        <v>LOT 4 IN OR 587/852 GRAY GABLES SUB PB 0/52</v>
      </c>
      <c r="N617" t="str">
        <f>""</f>
        <v/>
      </c>
      <c r="O617" t="str">
        <f>"19768"</f>
        <v>19768</v>
      </c>
      <c r="P617" t="str">
        <f t="shared" si="176"/>
        <v>2017</v>
      </c>
      <c r="Q617" t="str">
        <f>""</f>
        <v/>
      </c>
      <c r="R617" t="str">
        <f>"N"</f>
        <v>N</v>
      </c>
      <c r="S617" t="str">
        <f>"2.00"</f>
        <v>2.00</v>
      </c>
      <c r="T617" t="str">
        <f>"476.88"</f>
        <v>476.88</v>
      </c>
      <c r="U617" t="str">
        <f>"31500.00"</f>
        <v>31500.00</v>
      </c>
      <c r="V617" t="str">
        <f>"31500.00"</f>
        <v>31500.00</v>
      </c>
      <c r="W617" t="str">
        <f t="shared" si="177"/>
        <v>2017</v>
      </c>
      <c r="X617" t="str">
        <f>"10.00"</f>
        <v>10.00</v>
      </c>
      <c r="Y617" t="str">
        <f>"523.19"</f>
        <v>523.19</v>
      </c>
      <c r="Z617" t="str">
        <f>""</f>
        <v/>
      </c>
      <c r="AA617" t="str">
        <f>"31500.00"</f>
        <v>31500.00</v>
      </c>
      <c r="AB617" t="str">
        <f t="shared" si="187"/>
        <v>Residential</v>
      </c>
      <c r="AC617" t="str">
        <f t="shared" si="185"/>
        <v>0</v>
      </c>
      <c r="AD617" t="str">
        <f>""</f>
        <v/>
      </c>
      <c r="AE617" t="str">
        <f>""</f>
        <v/>
      </c>
      <c r="AF617" t="str">
        <f>"000"</f>
        <v>000</v>
      </c>
      <c r="AG617" t="str">
        <f t="shared" si="186"/>
        <v>FL</v>
      </c>
      <c r="AH617" t="str">
        <f>"87120.00"</f>
        <v>87120.00</v>
      </c>
      <c r="AI617" t="str">
        <f>"24000.00"</f>
        <v>24000.00</v>
      </c>
      <c r="AJ617" t="str">
        <f>"C55-000-586-4928-6"</f>
        <v>C55-000-586-4928-6</v>
      </c>
      <c r="AK617" t="str">
        <f>"9906"</f>
        <v>9906</v>
      </c>
      <c r="AL617">
        <v>3</v>
      </c>
      <c r="AM617">
        <v>710</v>
      </c>
      <c r="AN617">
        <v>547.75</v>
      </c>
      <c r="AQ617" t="s">
        <v>6620</v>
      </c>
      <c r="AR617" t="s">
        <v>6620</v>
      </c>
      <c r="AS617" t="s">
        <v>6620</v>
      </c>
      <c r="AU617" t="s">
        <v>396</v>
      </c>
      <c r="AV617">
        <v>2017</v>
      </c>
      <c r="AW617" t="str">
        <f>"04-1N-25-2780-0004-0000 "</f>
        <v xml:space="preserve">04-1N-25-2780-0004-0000 </v>
      </c>
      <c r="AX617">
        <v>44725</v>
      </c>
      <c r="AZ617" t="s">
        <v>6621</v>
      </c>
      <c r="BA617" t="s">
        <v>6622</v>
      </c>
      <c r="BD617" t="s">
        <v>2785</v>
      </c>
      <c r="BE617" t="s">
        <v>393</v>
      </c>
      <c r="BF617">
        <v>32011</v>
      </c>
      <c r="BG617" t="s">
        <v>6623</v>
      </c>
      <c r="BH617" t="s">
        <v>2787</v>
      </c>
      <c r="BI617">
        <v>-81.809891841790304</v>
      </c>
      <c r="BJ617">
        <v>30.5301036005554</v>
      </c>
      <c r="BK617" t="s">
        <v>6624</v>
      </c>
      <c r="BM617" t="s">
        <v>6623</v>
      </c>
      <c r="BN617" t="s">
        <v>928</v>
      </c>
      <c r="BO617">
        <v>32011</v>
      </c>
      <c r="BP617" t="s">
        <v>416</v>
      </c>
      <c r="BQ617">
        <v>1</v>
      </c>
      <c r="BR617" t="s">
        <v>491</v>
      </c>
      <c r="BS617">
        <v>8001</v>
      </c>
      <c r="BT617" t="s">
        <v>492</v>
      </c>
      <c r="BW617">
        <v>87120</v>
      </c>
      <c r="BX617" t="s">
        <v>407</v>
      </c>
      <c r="BY617" t="s">
        <v>4360</v>
      </c>
      <c r="CD617">
        <v>2017</v>
      </c>
      <c r="CE617">
        <v>24000</v>
      </c>
      <c r="CF617">
        <v>7500</v>
      </c>
      <c r="CG617">
        <v>31500</v>
      </c>
      <c r="CH617">
        <v>2017</v>
      </c>
      <c r="CI617">
        <v>24000</v>
      </c>
      <c r="CJ617">
        <v>7500</v>
      </c>
      <c r="CK617">
        <v>31500</v>
      </c>
      <c r="CL617">
        <v>2017</v>
      </c>
      <c r="CM617">
        <v>476.88</v>
      </c>
      <c r="CN617" s="1">
        <v>32878</v>
      </c>
      <c r="CZ617" s="1">
        <v>32878</v>
      </c>
      <c r="DD617" t="s">
        <v>2785</v>
      </c>
      <c r="DF617">
        <v>4</v>
      </c>
      <c r="DG617">
        <v>4</v>
      </c>
      <c r="DJ617" t="s">
        <v>6519</v>
      </c>
      <c r="DL617">
        <v>50502</v>
      </c>
      <c r="DM617" t="s">
        <v>6474</v>
      </c>
      <c r="DO617" t="s">
        <v>6625</v>
      </c>
      <c r="DP617">
        <v>0</v>
      </c>
      <c r="DQ617">
        <v>0</v>
      </c>
      <c r="DR617" t="s">
        <v>411</v>
      </c>
    </row>
    <row r="618" spans="1:296" x14ac:dyDescent="0.25">
      <c r="A618">
        <v>16485625</v>
      </c>
      <c r="B618">
        <v>617</v>
      </c>
      <c r="C618" t="s">
        <v>393</v>
      </c>
      <c r="D618" t="s">
        <v>394</v>
      </c>
      <c r="F618" t="str">
        <f>"04-1N-25-2786-0017-0000"</f>
        <v>04-1N-25-2786-0017-0000</v>
      </c>
      <c r="H618" t="str">
        <f>"POWELL TANYA NYE"</f>
        <v>POWELL TANYA NYE</v>
      </c>
      <c r="I618" t="str">
        <f>"44329 PINEBREEZE CIR"</f>
        <v>44329 PINEBREEZE CIR</v>
      </c>
      <c r="J618" t="str">
        <f t="shared" si="188"/>
        <v>CALLAHAN FL 32011</v>
      </c>
      <c r="K618" t="str">
        <f>"44329 PINEBREEZE CIR"</f>
        <v>44329 PINEBREEZE CIR</v>
      </c>
      <c r="L618" t="str">
        <f t="shared" si="181"/>
        <v>CALLAHAN FL 32011</v>
      </c>
      <c r="M618" t="str">
        <f>"LOT 17 1998 FLEET DW/MH IN OR 1374/1037 MEARES MEADOWS PB 6/17-18"</f>
        <v>LOT 17 1998 FLEET DW/MH IN OR 1374/1037 MEARES MEADOWS PB 6/17-18</v>
      </c>
      <c r="N618" t="str">
        <f>""</f>
        <v/>
      </c>
      <c r="O618" t="str">
        <f>"19819"</f>
        <v>19819</v>
      </c>
      <c r="P618" t="str">
        <f t="shared" si="176"/>
        <v>2017</v>
      </c>
      <c r="Q618" t="str">
        <f>""</f>
        <v/>
      </c>
      <c r="R618" t="str">
        <f>"N"</f>
        <v>N</v>
      </c>
      <c r="S618" t="str">
        <f>"1.52"</f>
        <v>1.52</v>
      </c>
      <c r="T618" t="str">
        <f>"993.69"</f>
        <v>993.69</v>
      </c>
      <c r="U618" t="str">
        <f>"61785.00"</f>
        <v>61785.00</v>
      </c>
      <c r="V618" t="str">
        <f>"61785.00"</f>
        <v>61785.00</v>
      </c>
      <c r="W618" t="str">
        <f t="shared" si="177"/>
        <v>2017</v>
      </c>
      <c r="X618" t="str">
        <f>"13.14"</f>
        <v>13.14</v>
      </c>
      <c r="Y618" t="str">
        <f>"1055.50"</f>
        <v>1055.50</v>
      </c>
      <c r="Z618" t="str">
        <f>""</f>
        <v/>
      </c>
      <c r="AA618" t="str">
        <f>"70628.00"</f>
        <v>70628.00</v>
      </c>
      <c r="AB618" t="str">
        <f t="shared" si="187"/>
        <v>Residential</v>
      </c>
      <c r="AC618" t="str">
        <f t="shared" si="185"/>
        <v>0</v>
      </c>
      <c r="AD618" t="str">
        <f t="shared" ref="AD618:AD626" si="189">"4"</f>
        <v>4</v>
      </c>
      <c r="AE618" t="str">
        <f t="shared" ref="AE618:AE626" si="190">"WOOD (INCLUDE STEEL STUDS)"</f>
        <v>WOOD (INCLUDE STEEL STUDS)</v>
      </c>
      <c r="AF618" t="str">
        <f>"002"</f>
        <v>002</v>
      </c>
      <c r="AG618" t="str">
        <f t="shared" si="186"/>
        <v>FL</v>
      </c>
      <c r="AH618" t="str">
        <f>"66211.00"</f>
        <v>66211.00</v>
      </c>
      <c r="AI618" t="str">
        <f>"22800.00"</f>
        <v>22800.00</v>
      </c>
      <c r="AJ618" t="str">
        <f>"C55-000-586-4972-4"</f>
        <v>C55-000-586-4972-4</v>
      </c>
      <c r="AK618" t="str">
        <f>"9953"</f>
        <v>9953</v>
      </c>
      <c r="AL618">
        <v>3</v>
      </c>
      <c r="AM618">
        <v>712</v>
      </c>
      <c r="AN618">
        <v>1106.68</v>
      </c>
      <c r="AQ618" t="s">
        <v>6626</v>
      </c>
      <c r="AR618" t="s">
        <v>6626</v>
      </c>
      <c r="AS618" t="s">
        <v>6626</v>
      </c>
      <c r="AU618" t="s">
        <v>396</v>
      </c>
      <c r="AV618">
        <v>2017</v>
      </c>
      <c r="AW618" t="str">
        <f>"04-1N-25-2786-0017-0000 "</f>
        <v xml:space="preserve">04-1N-25-2786-0017-0000 </v>
      </c>
      <c r="AX618">
        <v>44329</v>
      </c>
      <c r="AZ618" t="s">
        <v>6551</v>
      </c>
      <c r="BA618" t="s">
        <v>1799</v>
      </c>
      <c r="BD618" t="s">
        <v>2785</v>
      </c>
      <c r="BE618" t="s">
        <v>393</v>
      </c>
      <c r="BF618">
        <v>32011</v>
      </c>
      <c r="BG618" t="s">
        <v>6627</v>
      </c>
      <c r="BH618" t="s">
        <v>2787</v>
      </c>
      <c r="BI618">
        <v>-81.816190084946598</v>
      </c>
      <c r="BJ618">
        <v>30.5322766326526</v>
      </c>
      <c r="BK618" t="s">
        <v>6628</v>
      </c>
      <c r="BM618" t="s">
        <v>6627</v>
      </c>
      <c r="BN618" t="s">
        <v>928</v>
      </c>
      <c r="BO618">
        <v>32011</v>
      </c>
      <c r="BP618" t="s">
        <v>416</v>
      </c>
      <c r="BQ618">
        <v>200</v>
      </c>
      <c r="BR618" t="s">
        <v>405</v>
      </c>
      <c r="BS618">
        <v>1006</v>
      </c>
      <c r="BT618" t="s">
        <v>406</v>
      </c>
      <c r="BW618">
        <v>66211</v>
      </c>
      <c r="BX618" t="s">
        <v>407</v>
      </c>
      <c r="BZ618">
        <v>4</v>
      </c>
      <c r="CA618">
        <v>1998</v>
      </c>
      <c r="CB618">
        <v>1</v>
      </c>
      <c r="CC618">
        <v>1</v>
      </c>
      <c r="CD618">
        <v>2017</v>
      </c>
      <c r="CE618">
        <v>22800</v>
      </c>
      <c r="CF618">
        <v>47828</v>
      </c>
      <c r="CG618">
        <v>70628</v>
      </c>
      <c r="CH618">
        <v>2017</v>
      </c>
      <c r="CI618">
        <v>22800</v>
      </c>
      <c r="CJ618">
        <v>47828</v>
      </c>
      <c r="CK618">
        <v>70628</v>
      </c>
      <c r="CL618">
        <v>2017</v>
      </c>
      <c r="CM618">
        <v>993.69</v>
      </c>
      <c r="CN618" s="1">
        <v>38702</v>
      </c>
      <c r="CZ618" s="1">
        <v>38702</v>
      </c>
      <c r="DD618" t="s">
        <v>2785</v>
      </c>
      <c r="DF618">
        <v>17</v>
      </c>
      <c r="DG618">
        <v>4</v>
      </c>
      <c r="DJ618" t="s">
        <v>6629</v>
      </c>
      <c r="DL618">
        <v>50502</v>
      </c>
      <c r="DM618" t="s">
        <v>6474</v>
      </c>
      <c r="DO618" t="s">
        <v>6630</v>
      </c>
      <c r="DP618">
        <v>0</v>
      </c>
      <c r="DQ618">
        <v>0</v>
      </c>
      <c r="DR618" t="s">
        <v>411</v>
      </c>
      <c r="DS618" t="b">
        <v>1</v>
      </c>
      <c r="DT618" t="s">
        <v>470</v>
      </c>
      <c r="DU618" t="s">
        <v>471</v>
      </c>
      <c r="DV618" t="s">
        <v>472</v>
      </c>
      <c r="DX618">
        <v>-9999</v>
      </c>
      <c r="DZ618" t="s">
        <v>447</v>
      </c>
      <c r="EA618" t="s">
        <v>448</v>
      </c>
      <c r="EB618" t="s">
        <v>742</v>
      </c>
      <c r="EC618">
        <v>20101217</v>
      </c>
      <c r="ED618" t="s">
        <v>474</v>
      </c>
      <c r="EF618">
        <v>123.6</v>
      </c>
      <c r="EG618">
        <v>123.6</v>
      </c>
      <c r="EH618" t="s">
        <v>451</v>
      </c>
      <c r="EI618">
        <v>20140731</v>
      </c>
      <c r="EJ618">
        <v>0</v>
      </c>
      <c r="EK618">
        <v>0</v>
      </c>
      <c r="EP618" t="s">
        <v>421</v>
      </c>
      <c r="EQ618" t="s">
        <v>422</v>
      </c>
      <c r="ER618">
        <v>0</v>
      </c>
      <c r="ES618">
        <v>9</v>
      </c>
      <c r="ET618">
        <v>0</v>
      </c>
      <c r="EU618">
        <v>0</v>
      </c>
      <c r="EV618">
        <v>0</v>
      </c>
      <c r="EW618" s="2">
        <v>43222</v>
      </c>
      <c r="EX618" s="1">
        <v>42879</v>
      </c>
      <c r="EY618">
        <v>2016</v>
      </c>
      <c r="EZ618">
        <v>959.52</v>
      </c>
      <c r="FA618" t="s">
        <v>6631</v>
      </c>
      <c r="FB618">
        <v>0.25</v>
      </c>
      <c r="FC618" t="s">
        <v>424</v>
      </c>
      <c r="FD618" t="s">
        <v>425</v>
      </c>
      <c r="FE618" s="1">
        <v>43046</v>
      </c>
      <c r="FF618">
        <v>6</v>
      </c>
      <c r="FG618">
        <v>7400234</v>
      </c>
      <c r="FH618" t="s">
        <v>426</v>
      </c>
      <c r="FJ618" s="1">
        <v>42879</v>
      </c>
      <c r="FK618">
        <v>2016</v>
      </c>
      <c r="FL618">
        <v>959.52</v>
      </c>
      <c r="FM618" t="s">
        <v>6631</v>
      </c>
      <c r="FN618">
        <v>0.25</v>
      </c>
      <c r="FO618" t="s">
        <v>424</v>
      </c>
      <c r="FP618" t="s">
        <v>425</v>
      </c>
      <c r="FR618">
        <v>22</v>
      </c>
      <c r="FS618">
        <v>7568059</v>
      </c>
      <c r="FT618" t="s">
        <v>6632</v>
      </c>
      <c r="FV618" s="1">
        <v>42151</v>
      </c>
      <c r="FW618">
        <v>2014</v>
      </c>
      <c r="FX618">
        <v>504.55</v>
      </c>
      <c r="FY618" t="s">
        <v>6633</v>
      </c>
      <c r="FZ618">
        <v>0.25</v>
      </c>
      <c r="GA618" t="s">
        <v>424</v>
      </c>
      <c r="GB618" t="s">
        <v>425</v>
      </c>
      <c r="GC618" s="1">
        <v>42459</v>
      </c>
      <c r="GD618">
        <v>10</v>
      </c>
      <c r="GE618">
        <v>4975594</v>
      </c>
      <c r="GF618" t="s">
        <v>457</v>
      </c>
      <c r="GH618" s="1">
        <v>42151</v>
      </c>
      <c r="GI618">
        <v>2014</v>
      </c>
      <c r="GJ618">
        <v>504.55</v>
      </c>
      <c r="GK618" t="s">
        <v>6633</v>
      </c>
      <c r="GL618">
        <v>0.25</v>
      </c>
      <c r="GM618" t="s">
        <v>424</v>
      </c>
      <c r="GN618" t="s">
        <v>425</v>
      </c>
      <c r="GP618">
        <v>22</v>
      </c>
      <c r="GQ618">
        <v>6440708</v>
      </c>
      <c r="GR618" t="s">
        <v>6634</v>
      </c>
      <c r="GT618" s="1">
        <v>41787</v>
      </c>
      <c r="GU618">
        <v>2013</v>
      </c>
      <c r="GV618">
        <v>525.02</v>
      </c>
      <c r="GW618" t="s">
        <v>6635</v>
      </c>
      <c r="GX618">
        <v>0.25</v>
      </c>
      <c r="GY618" t="s">
        <v>424</v>
      </c>
      <c r="GZ618" t="s">
        <v>425</v>
      </c>
      <c r="HA618" s="1">
        <v>42104</v>
      </c>
      <c r="HB618">
        <v>11</v>
      </c>
      <c r="HC618">
        <v>2407503</v>
      </c>
      <c r="HD618" t="s">
        <v>461</v>
      </c>
      <c r="HF618" s="1">
        <v>41423</v>
      </c>
      <c r="HG618">
        <v>2012</v>
      </c>
      <c r="HH618">
        <v>569.4</v>
      </c>
      <c r="HI618" t="s">
        <v>6636</v>
      </c>
      <c r="HJ618">
        <v>3</v>
      </c>
      <c r="HK618" t="s">
        <v>424</v>
      </c>
      <c r="HL618" t="s">
        <v>425</v>
      </c>
      <c r="HM618" s="1">
        <v>41943</v>
      </c>
      <c r="HN618">
        <v>17</v>
      </c>
      <c r="HO618">
        <v>15399</v>
      </c>
      <c r="HP618" t="s">
        <v>485</v>
      </c>
      <c r="HR618" s="1">
        <v>41052</v>
      </c>
      <c r="HS618">
        <v>2011</v>
      </c>
      <c r="HT618">
        <v>589.66999999999996</v>
      </c>
      <c r="HU618" t="s">
        <v>6637</v>
      </c>
      <c r="HV618">
        <v>6</v>
      </c>
      <c r="HW618" t="s">
        <v>424</v>
      </c>
      <c r="HX618" t="s">
        <v>425</v>
      </c>
      <c r="HY618" s="1">
        <v>41604</v>
      </c>
      <c r="HZ618">
        <v>18</v>
      </c>
      <c r="IA618">
        <v>62</v>
      </c>
      <c r="IB618" t="s">
        <v>463</v>
      </c>
      <c r="ID618" s="1">
        <v>40688</v>
      </c>
      <c r="IE618">
        <v>2010</v>
      </c>
      <c r="IF618">
        <v>596.58000000000004</v>
      </c>
      <c r="IG618" t="s">
        <v>6638</v>
      </c>
      <c r="IH618">
        <v>8</v>
      </c>
      <c r="II618" t="s">
        <v>424</v>
      </c>
      <c r="IJ618" t="s">
        <v>425</v>
      </c>
      <c r="IK618" s="1">
        <v>41214</v>
      </c>
      <c r="IL618">
        <v>18</v>
      </c>
      <c r="IM618">
        <v>15175</v>
      </c>
      <c r="IN618" t="s">
        <v>588</v>
      </c>
      <c r="IP618" s="1">
        <v>40688</v>
      </c>
      <c r="IQ618">
        <v>2010</v>
      </c>
      <c r="IR618">
        <v>596.58000000000004</v>
      </c>
      <c r="IS618" t="s">
        <v>6638</v>
      </c>
      <c r="IT618">
        <v>8</v>
      </c>
      <c r="IU618" t="s">
        <v>424</v>
      </c>
      <c r="IV618" t="s">
        <v>425</v>
      </c>
      <c r="IX618">
        <v>22</v>
      </c>
      <c r="IY618">
        <v>10548</v>
      </c>
      <c r="IZ618" t="s">
        <v>589</v>
      </c>
    </row>
    <row r="619" spans="1:296" x14ac:dyDescent="0.25">
      <c r="A619">
        <v>16485626</v>
      </c>
      <c r="B619">
        <v>618</v>
      </c>
      <c r="C619" t="s">
        <v>393</v>
      </c>
      <c r="D619" t="s">
        <v>394</v>
      </c>
      <c r="F619" t="str">
        <f>"04-1N-25-2786-0024-0000"</f>
        <v>04-1N-25-2786-0024-0000</v>
      </c>
      <c r="H619" t="str">
        <f>"OLDAKER KATHY W"</f>
        <v>OLDAKER KATHY W</v>
      </c>
      <c r="I619" t="str">
        <f>"44187 PINEBREEZE CIRCLE"</f>
        <v>44187 PINEBREEZE CIRCLE</v>
      </c>
      <c r="J619" t="str">
        <f t="shared" si="188"/>
        <v>CALLAHAN FL 32011</v>
      </c>
      <c r="K619" t="str">
        <f>"44187 PINEBREEZE CIR"</f>
        <v>44187 PINEBREEZE CIR</v>
      </c>
      <c r="L619" t="str">
        <f t="shared" si="181"/>
        <v>CALLAHAN FL 32011</v>
      </c>
      <c r="M619" t="str">
        <f>"LOT 24 IN OR 1269/348 1996 NOBI DW/MH MEARES MEADOWS PB 6/17-18"</f>
        <v>LOT 24 IN OR 1269/348 1996 NOBI DW/MH MEARES MEADOWS PB 6/17-18</v>
      </c>
      <c r="N619" t="str">
        <f>""</f>
        <v/>
      </c>
      <c r="O619" t="str">
        <f>"19826"</f>
        <v>19826</v>
      </c>
      <c r="P619" t="str">
        <f t="shared" si="176"/>
        <v>2017</v>
      </c>
      <c r="Q619" t="str">
        <f>""</f>
        <v/>
      </c>
      <c r="R619" t="str">
        <f>"Y"</f>
        <v>Y</v>
      </c>
      <c r="S619" t="str">
        <f>"1.34"</f>
        <v>1.34</v>
      </c>
      <c r="T619" t="str">
        <f>"466.07"</f>
        <v>466.07</v>
      </c>
      <c r="U619" t="str">
        <f>"63275.00"</f>
        <v>63275.00</v>
      </c>
      <c r="V619" t="str">
        <f>"63275.00"</f>
        <v>63275.00</v>
      </c>
      <c r="W619" t="str">
        <f t="shared" si="177"/>
        <v>2017</v>
      </c>
      <c r="X619" t="str">
        <f>"9.75"</f>
        <v>9.75</v>
      </c>
      <c r="Y619" t="str">
        <f>"512.05"</f>
        <v>512.05</v>
      </c>
      <c r="Z619" t="str">
        <f>"25000.00"</f>
        <v>25000.00</v>
      </c>
      <c r="AA619" t="str">
        <f>"38275.00"</f>
        <v>38275.00</v>
      </c>
      <c r="AB619" t="str">
        <f t="shared" si="187"/>
        <v>Residential</v>
      </c>
      <c r="AC619" t="str">
        <f t="shared" si="185"/>
        <v>0</v>
      </c>
      <c r="AD619" t="str">
        <f t="shared" si="189"/>
        <v>4</v>
      </c>
      <c r="AE619" t="str">
        <f t="shared" si="190"/>
        <v>WOOD (INCLUDE STEEL STUDS)</v>
      </c>
      <c r="AF619" t="str">
        <f>"002"</f>
        <v>002</v>
      </c>
      <c r="AG619" t="str">
        <f t="shared" si="186"/>
        <v>FL</v>
      </c>
      <c r="AH619" t="str">
        <f>"58370.00"</f>
        <v>58370.00</v>
      </c>
      <c r="AI619" t="str">
        <f>"20100.00"</f>
        <v>20100.00</v>
      </c>
      <c r="AJ619" t="str">
        <f>"C55-000-586-4979-9"</f>
        <v>C55-000-586-4979-9</v>
      </c>
      <c r="AK619" t="str">
        <f>"9960"</f>
        <v>9960</v>
      </c>
      <c r="AL619">
        <v>3</v>
      </c>
      <c r="AM619">
        <v>713</v>
      </c>
      <c r="AN619">
        <v>536.04999999999995</v>
      </c>
      <c r="AQ619" t="s">
        <v>6639</v>
      </c>
      <c r="AR619" t="s">
        <v>6639</v>
      </c>
      <c r="AS619" t="s">
        <v>6639</v>
      </c>
      <c r="AU619" t="s">
        <v>396</v>
      </c>
      <c r="AV619">
        <v>2017</v>
      </c>
      <c r="AW619" t="str">
        <f>"04-1N-25-2786-0024-0000 "</f>
        <v xml:space="preserve">04-1N-25-2786-0024-0000 </v>
      </c>
      <c r="AX619">
        <v>44187</v>
      </c>
      <c r="AZ619" t="s">
        <v>6551</v>
      </c>
      <c r="BA619" t="s">
        <v>1799</v>
      </c>
      <c r="BD619" t="s">
        <v>2785</v>
      </c>
      <c r="BE619" t="s">
        <v>393</v>
      </c>
      <c r="BF619">
        <v>32011</v>
      </c>
      <c r="BG619" t="s">
        <v>6640</v>
      </c>
      <c r="BH619" t="s">
        <v>2787</v>
      </c>
      <c r="BI619">
        <v>-81.813123492470794</v>
      </c>
      <c r="BJ619">
        <v>30.533401825219801</v>
      </c>
      <c r="BK619" t="s">
        <v>6641</v>
      </c>
      <c r="BM619" t="s">
        <v>6640</v>
      </c>
      <c r="BN619" t="s">
        <v>928</v>
      </c>
      <c r="BO619">
        <v>32011</v>
      </c>
      <c r="BP619" t="s">
        <v>416</v>
      </c>
      <c r="BQ619">
        <v>200</v>
      </c>
      <c r="BR619" t="s">
        <v>405</v>
      </c>
      <c r="BS619">
        <v>1006</v>
      </c>
      <c r="BT619" t="s">
        <v>406</v>
      </c>
      <c r="BW619">
        <v>58370</v>
      </c>
      <c r="BX619" t="s">
        <v>407</v>
      </c>
      <c r="BZ619">
        <v>4</v>
      </c>
      <c r="CA619">
        <v>1996</v>
      </c>
      <c r="CB619">
        <v>1</v>
      </c>
      <c r="CC619">
        <v>1</v>
      </c>
      <c r="CD619">
        <v>2017</v>
      </c>
      <c r="CG619">
        <v>63275</v>
      </c>
      <c r="CH619">
        <v>2017</v>
      </c>
      <c r="CI619">
        <v>20100</v>
      </c>
      <c r="CJ619">
        <v>59292</v>
      </c>
      <c r="CK619">
        <v>79392</v>
      </c>
      <c r="CL619">
        <v>2017</v>
      </c>
      <c r="CM619">
        <v>466.07</v>
      </c>
      <c r="CN619" s="1">
        <v>38287</v>
      </c>
      <c r="CZ619" s="1">
        <v>38287</v>
      </c>
      <c r="DD619" t="s">
        <v>2785</v>
      </c>
      <c r="DF619">
        <v>24</v>
      </c>
      <c r="DG619">
        <v>4</v>
      </c>
      <c r="DL619">
        <v>50502</v>
      </c>
      <c r="DM619" t="s">
        <v>6474</v>
      </c>
      <c r="DO619" t="s">
        <v>6642</v>
      </c>
      <c r="DP619">
        <v>0</v>
      </c>
      <c r="DQ619">
        <v>0</v>
      </c>
      <c r="DR619" t="s">
        <v>411</v>
      </c>
      <c r="DS619" t="b">
        <v>1</v>
      </c>
      <c r="DT619" t="s">
        <v>396</v>
      </c>
      <c r="DV619" t="s">
        <v>446</v>
      </c>
      <c r="DX619">
        <v>-9999</v>
      </c>
      <c r="DZ619" t="s">
        <v>447</v>
      </c>
      <c r="EA619" t="s">
        <v>448</v>
      </c>
      <c r="EB619" t="s">
        <v>6573</v>
      </c>
      <c r="EC619">
        <v>20101217</v>
      </c>
      <c r="ED619" t="s">
        <v>450</v>
      </c>
      <c r="EE619">
        <v>16.2</v>
      </c>
      <c r="EF619">
        <v>0</v>
      </c>
      <c r="EG619">
        <v>0</v>
      </c>
      <c r="EI619">
        <v>20160407</v>
      </c>
      <c r="EJ619">
        <v>0</v>
      </c>
      <c r="EK619">
        <v>0</v>
      </c>
      <c r="EP619" t="s">
        <v>421</v>
      </c>
      <c r="EQ619" t="s">
        <v>422</v>
      </c>
      <c r="ER619">
        <v>0</v>
      </c>
      <c r="ES619">
        <v>6</v>
      </c>
      <c r="ET619">
        <v>0</v>
      </c>
      <c r="EU619">
        <v>0</v>
      </c>
      <c r="EV619">
        <v>0</v>
      </c>
      <c r="EW619" s="2">
        <v>43222</v>
      </c>
      <c r="EX619" s="1">
        <v>42515</v>
      </c>
      <c r="EY619">
        <v>2015</v>
      </c>
      <c r="EZ619">
        <v>558.32000000000005</v>
      </c>
      <c r="FA619" t="s">
        <v>6643</v>
      </c>
      <c r="FB619">
        <v>0.25</v>
      </c>
      <c r="FC619" t="s">
        <v>424</v>
      </c>
      <c r="FD619" t="s">
        <v>425</v>
      </c>
      <c r="FE619" s="1">
        <v>42671</v>
      </c>
      <c r="FF619">
        <v>5</v>
      </c>
      <c r="FG619">
        <v>2851116</v>
      </c>
      <c r="FH619" t="s">
        <v>480</v>
      </c>
      <c r="FJ619" s="1">
        <v>42515</v>
      </c>
      <c r="FK619">
        <v>2015</v>
      </c>
      <c r="FL619">
        <v>558.32000000000005</v>
      </c>
      <c r="FM619" t="s">
        <v>6643</v>
      </c>
      <c r="FN619">
        <v>0.25</v>
      </c>
      <c r="FO619" t="s">
        <v>424</v>
      </c>
      <c r="FP619" t="s">
        <v>425</v>
      </c>
      <c r="FR619">
        <v>22</v>
      </c>
      <c r="FS619">
        <v>5232345</v>
      </c>
      <c r="FT619" t="s">
        <v>6644</v>
      </c>
      <c r="FV619" s="1">
        <v>42151</v>
      </c>
      <c r="FW619">
        <v>2014</v>
      </c>
      <c r="FX619">
        <v>557.45000000000005</v>
      </c>
      <c r="FY619" t="s">
        <v>6645</v>
      </c>
      <c r="FZ619">
        <v>0.25</v>
      </c>
      <c r="GA619" t="s">
        <v>424</v>
      </c>
      <c r="GB619" t="s">
        <v>425</v>
      </c>
      <c r="GC619" s="1">
        <v>42671</v>
      </c>
      <c r="GD619">
        <v>17</v>
      </c>
      <c r="GE619">
        <v>2851116</v>
      </c>
      <c r="GF619" t="s">
        <v>480</v>
      </c>
      <c r="GH619" s="1">
        <v>42151</v>
      </c>
      <c r="GI619">
        <v>2014</v>
      </c>
      <c r="GJ619">
        <v>557.45000000000005</v>
      </c>
      <c r="GK619" t="s">
        <v>6645</v>
      </c>
      <c r="GL619">
        <v>0.25</v>
      </c>
      <c r="GM619" t="s">
        <v>424</v>
      </c>
      <c r="GN619" t="s">
        <v>425</v>
      </c>
      <c r="GP619">
        <v>22</v>
      </c>
      <c r="GQ619">
        <v>5365349</v>
      </c>
      <c r="GR619" t="s">
        <v>6646</v>
      </c>
      <c r="GT619" s="1">
        <v>41787</v>
      </c>
      <c r="GU619">
        <v>2013</v>
      </c>
      <c r="GV619">
        <v>610.25</v>
      </c>
      <c r="GW619" t="s">
        <v>6647</v>
      </c>
      <c r="GX619">
        <v>0.25</v>
      </c>
      <c r="GY619" t="s">
        <v>424</v>
      </c>
      <c r="GZ619" t="s">
        <v>425</v>
      </c>
      <c r="HA619" s="1">
        <v>42044</v>
      </c>
      <c r="HB619">
        <v>9</v>
      </c>
      <c r="HC619">
        <v>2407503</v>
      </c>
      <c r="HD619" t="s">
        <v>461</v>
      </c>
      <c r="HF619" s="1">
        <v>40688</v>
      </c>
      <c r="HG619">
        <v>2010</v>
      </c>
      <c r="HH619">
        <v>1179.17</v>
      </c>
      <c r="HI619" t="s">
        <v>6648</v>
      </c>
      <c r="HJ619">
        <v>7</v>
      </c>
      <c r="HK619" t="s">
        <v>424</v>
      </c>
      <c r="HL619" t="s">
        <v>425</v>
      </c>
      <c r="HM619" s="1">
        <v>40960</v>
      </c>
      <c r="HN619">
        <v>9</v>
      </c>
      <c r="HO619">
        <v>10579</v>
      </c>
      <c r="HP619" t="s">
        <v>488</v>
      </c>
    </row>
    <row r="620" spans="1:296" x14ac:dyDescent="0.25">
      <c r="A620">
        <v>16485627</v>
      </c>
      <c r="B620">
        <v>619</v>
      </c>
      <c r="C620" t="s">
        <v>393</v>
      </c>
      <c r="D620" t="s">
        <v>394</v>
      </c>
      <c r="F620" t="str">
        <f>"04-1N-25-2786-0026-0000"</f>
        <v>04-1N-25-2786-0026-0000</v>
      </c>
      <c r="H620" t="str">
        <f>"MONCRIEF JULIE S"</f>
        <v>MONCRIEF JULIE S</v>
      </c>
      <c r="I620" t="str">
        <f>"44145 PINEBREEZE CIRCLE"</f>
        <v>44145 PINEBREEZE CIRCLE</v>
      </c>
      <c r="J620" t="str">
        <f t="shared" si="188"/>
        <v>CALLAHAN FL 32011</v>
      </c>
      <c r="K620" t="str">
        <f>"44145 PINEBREEZE CIR"</f>
        <v>44145 PINEBREEZE CIR</v>
      </c>
      <c r="L620" t="str">
        <f t="shared" si="181"/>
        <v>CALLAHAN FL 32011</v>
      </c>
      <c r="M620" t="str">
        <f>"LOT 26 R673186 &amp; R673187 IN OR 792 PG 1559 MEARES MEADOWS PB 6/17-18"</f>
        <v>LOT 26 R673186 &amp; R673187 IN OR 792 PG 1559 MEARES MEADOWS PB 6/17-18</v>
      </c>
      <c r="N620" t="str">
        <f>""</f>
        <v/>
      </c>
      <c r="O620" t="str">
        <f>"19828"</f>
        <v>19828</v>
      </c>
      <c r="P620" t="str">
        <f t="shared" si="176"/>
        <v>2017</v>
      </c>
      <c r="Q620" t="str">
        <f>""</f>
        <v/>
      </c>
      <c r="R620" t="str">
        <f>"Y"</f>
        <v>Y</v>
      </c>
      <c r="S620" t="str">
        <f>"1.26"</f>
        <v>1.26</v>
      </c>
      <c r="T620" t="str">
        <f>"381.71"</f>
        <v>381.71</v>
      </c>
      <c r="U620" t="str">
        <f>"50489.00"</f>
        <v>50489.00</v>
      </c>
      <c r="V620" t="str">
        <f>"50489.00"</f>
        <v>50489.00</v>
      </c>
      <c r="W620" t="str">
        <f t="shared" si="177"/>
        <v>2017</v>
      </c>
      <c r="X620" t="str">
        <f>"14.38"</f>
        <v>14.38</v>
      </c>
      <c r="Y620" t="str">
        <f>"425.16"</f>
        <v>425.16</v>
      </c>
      <c r="Z620" t="str">
        <f>"25000.00"</f>
        <v>25000.00</v>
      </c>
      <c r="AA620" t="str">
        <f>"25489.00"</f>
        <v>25489.00</v>
      </c>
      <c r="AB620" t="str">
        <f t="shared" si="187"/>
        <v>Residential</v>
      </c>
      <c r="AC620" t="str">
        <f t="shared" si="185"/>
        <v>0</v>
      </c>
      <c r="AD620" t="str">
        <f t="shared" si="189"/>
        <v>4</v>
      </c>
      <c r="AE620" t="str">
        <f t="shared" si="190"/>
        <v>WOOD (INCLUDE STEEL STUDS)</v>
      </c>
      <c r="AF620" t="str">
        <f>"002"</f>
        <v>002</v>
      </c>
      <c r="AG620" t="str">
        <f t="shared" si="186"/>
        <v>FL</v>
      </c>
      <c r="AH620" t="str">
        <f>"54885.00"</f>
        <v>54885.00</v>
      </c>
      <c r="AI620" t="str">
        <f>"18900.00"</f>
        <v>18900.00</v>
      </c>
      <c r="AJ620" t="str">
        <f>"C55-000-586-4981-5"</f>
        <v>C55-000-586-4981-5</v>
      </c>
      <c r="AK620" t="str">
        <f>"9962"</f>
        <v>9962</v>
      </c>
      <c r="AL620">
        <v>3</v>
      </c>
      <c r="AM620">
        <v>714</v>
      </c>
      <c r="AN620">
        <v>444.82</v>
      </c>
      <c r="AQ620" t="s">
        <v>6649</v>
      </c>
      <c r="AR620" t="s">
        <v>6649</v>
      </c>
      <c r="AS620" t="s">
        <v>6649</v>
      </c>
      <c r="AU620" t="s">
        <v>396</v>
      </c>
      <c r="AV620">
        <v>2017</v>
      </c>
      <c r="AW620" t="str">
        <f>"04-1N-25-2786-0026-0000 "</f>
        <v xml:space="preserve">04-1N-25-2786-0026-0000 </v>
      </c>
      <c r="AX620">
        <v>44145</v>
      </c>
      <c r="AZ620" t="s">
        <v>6551</v>
      </c>
      <c r="BA620" t="s">
        <v>1799</v>
      </c>
      <c r="BD620" t="s">
        <v>2785</v>
      </c>
      <c r="BE620" t="s">
        <v>393</v>
      </c>
      <c r="BF620">
        <v>32011</v>
      </c>
      <c r="BG620" t="s">
        <v>6650</v>
      </c>
      <c r="BH620" t="s">
        <v>2787</v>
      </c>
      <c r="BI620">
        <v>-81.812245771272103</v>
      </c>
      <c r="BJ620">
        <v>30.533724396963599</v>
      </c>
      <c r="BK620" t="s">
        <v>6651</v>
      </c>
      <c r="BM620" t="s">
        <v>6650</v>
      </c>
      <c r="BN620" t="s">
        <v>928</v>
      </c>
      <c r="BO620">
        <v>32011</v>
      </c>
      <c r="BP620" t="s">
        <v>416</v>
      </c>
      <c r="BQ620">
        <v>200</v>
      </c>
      <c r="BR620" t="s">
        <v>405</v>
      </c>
      <c r="BS620">
        <v>1006</v>
      </c>
      <c r="BT620" t="s">
        <v>406</v>
      </c>
      <c r="BW620">
        <v>54885</v>
      </c>
      <c r="BX620" t="s">
        <v>407</v>
      </c>
      <c r="BZ620">
        <v>4</v>
      </c>
      <c r="CA620">
        <v>1997</v>
      </c>
      <c r="CB620">
        <v>1</v>
      </c>
      <c r="CC620">
        <v>1</v>
      </c>
      <c r="CD620">
        <v>2017</v>
      </c>
      <c r="CG620">
        <v>50489</v>
      </c>
      <c r="CH620">
        <v>2017</v>
      </c>
      <c r="CI620">
        <v>18900</v>
      </c>
      <c r="CJ620">
        <v>44570</v>
      </c>
      <c r="CK620">
        <v>63470</v>
      </c>
      <c r="CL620">
        <v>2017</v>
      </c>
      <c r="CM620">
        <v>381.71</v>
      </c>
      <c r="CN620" s="1">
        <v>35558</v>
      </c>
      <c r="CO620">
        <v>20900</v>
      </c>
      <c r="CZ620" s="1">
        <v>35558</v>
      </c>
      <c r="DD620" t="s">
        <v>2785</v>
      </c>
      <c r="DF620">
        <v>26</v>
      </c>
      <c r="DG620">
        <v>4</v>
      </c>
      <c r="DJ620" t="s">
        <v>6629</v>
      </c>
      <c r="DL620">
        <v>50502</v>
      </c>
      <c r="DM620" t="s">
        <v>6474</v>
      </c>
      <c r="DO620" t="s">
        <v>6652</v>
      </c>
      <c r="DP620">
        <v>0</v>
      </c>
      <c r="DQ620">
        <v>0</v>
      </c>
      <c r="DR620" t="s">
        <v>411</v>
      </c>
      <c r="DS620" t="b">
        <v>1</v>
      </c>
      <c r="DT620" t="s">
        <v>470</v>
      </c>
      <c r="DU620" t="s">
        <v>471</v>
      </c>
      <c r="DV620" t="s">
        <v>472</v>
      </c>
      <c r="DX620">
        <v>-9999</v>
      </c>
      <c r="DZ620" t="s">
        <v>447</v>
      </c>
      <c r="EA620" t="s">
        <v>448</v>
      </c>
      <c r="EB620" t="s">
        <v>742</v>
      </c>
      <c r="EC620">
        <v>20101217</v>
      </c>
      <c r="ED620" t="s">
        <v>474</v>
      </c>
      <c r="EF620">
        <v>63.9</v>
      </c>
      <c r="EG620">
        <v>63.9</v>
      </c>
      <c r="EI620">
        <v>20160407</v>
      </c>
      <c r="EJ620">
        <v>0</v>
      </c>
      <c r="EK620">
        <v>0</v>
      </c>
      <c r="EP620" t="s">
        <v>421</v>
      </c>
      <c r="EQ620" t="s">
        <v>452</v>
      </c>
      <c r="ER620">
        <v>2</v>
      </c>
      <c r="ES620">
        <v>9</v>
      </c>
      <c r="ET620">
        <v>865.86</v>
      </c>
      <c r="EU620">
        <v>55.79</v>
      </c>
      <c r="EV620">
        <v>921.65</v>
      </c>
      <c r="EW620" s="2">
        <v>43222</v>
      </c>
      <c r="EX620" s="1">
        <v>42879</v>
      </c>
      <c r="EY620">
        <v>2016</v>
      </c>
      <c r="EZ620">
        <v>432.93</v>
      </c>
      <c r="FA620" t="s">
        <v>6653</v>
      </c>
      <c r="FB620">
        <v>0.25</v>
      </c>
      <c r="FC620" t="s">
        <v>424</v>
      </c>
      <c r="FD620" t="s">
        <v>454</v>
      </c>
      <c r="FF620">
        <v>12</v>
      </c>
      <c r="FG620">
        <v>7400234</v>
      </c>
      <c r="FH620" t="s">
        <v>426</v>
      </c>
      <c r="FJ620" s="1">
        <v>42879</v>
      </c>
      <c r="FK620">
        <v>2016</v>
      </c>
      <c r="FL620">
        <v>432.93</v>
      </c>
      <c r="FM620" t="s">
        <v>6653</v>
      </c>
      <c r="FN620">
        <v>0.25</v>
      </c>
      <c r="FO620" t="s">
        <v>424</v>
      </c>
      <c r="FP620" t="s">
        <v>454</v>
      </c>
      <c r="FR620">
        <v>12</v>
      </c>
      <c r="FS620">
        <v>7562707</v>
      </c>
      <c r="FT620" t="s">
        <v>6654</v>
      </c>
      <c r="FV620" s="1">
        <v>42515</v>
      </c>
      <c r="FW620">
        <v>2015</v>
      </c>
      <c r="FX620">
        <v>452.54</v>
      </c>
      <c r="FY620" t="s">
        <v>6655</v>
      </c>
      <c r="FZ620">
        <v>4.75</v>
      </c>
      <c r="GA620" t="s">
        <v>424</v>
      </c>
      <c r="GB620" t="s">
        <v>425</v>
      </c>
      <c r="GC620" s="1">
        <v>42640</v>
      </c>
      <c r="GD620">
        <v>4</v>
      </c>
      <c r="GE620">
        <v>2035919</v>
      </c>
      <c r="GF620" t="s">
        <v>507</v>
      </c>
      <c r="GG620" t="s">
        <v>458</v>
      </c>
      <c r="GH620" s="1">
        <v>42151</v>
      </c>
      <c r="GI620">
        <v>2014</v>
      </c>
      <c r="GJ620">
        <v>451.61</v>
      </c>
      <c r="GK620" t="s">
        <v>6656</v>
      </c>
      <c r="GL620">
        <v>0.25</v>
      </c>
      <c r="GM620" t="s">
        <v>424</v>
      </c>
      <c r="GN620" t="s">
        <v>425</v>
      </c>
      <c r="GO620" s="1">
        <v>42640</v>
      </c>
      <c r="GP620">
        <v>16</v>
      </c>
      <c r="GQ620">
        <v>2851116</v>
      </c>
      <c r="GR620" t="s">
        <v>480</v>
      </c>
      <c r="GS620" t="s">
        <v>458</v>
      </c>
      <c r="GT620" s="1">
        <v>42151</v>
      </c>
      <c r="GU620">
        <v>2014</v>
      </c>
      <c r="GV620">
        <v>451.61</v>
      </c>
      <c r="GW620" t="s">
        <v>6656</v>
      </c>
      <c r="GX620">
        <v>0.25</v>
      </c>
      <c r="GY620" t="s">
        <v>424</v>
      </c>
      <c r="GZ620" t="s">
        <v>425</v>
      </c>
      <c r="HB620">
        <v>22</v>
      </c>
      <c r="HC620">
        <v>5423900</v>
      </c>
      <c r="HD620" t="s">
        <v>6657</v>
      </c>
      <c r="HE620" t="s">
        <v>458</v>
      </c>
      <c r="HF620" s="1">
        <v>41787</v>
      </c>
      <c r="HG620">
        <v>2013</v>
      </c>
      <c r="HH620">
        <v>487.8</v>
      </c>
      <c r="HI620" t="s">
        <v>6658</v>
      </c>
      <c r="HJ620">
        <v>2.25</v>
      </c>
      <c r="HK620" t="s">
        <v>424</v>
      </c>
      <c r="HL620" t="s">
        <v>425</v>
      </c>
      <c r="HN620">
        <v>22</v>
      </c>
      <c r="HO620">
        <v>15399</v>
      </c>
      <c r="HP620" t="s">
        <v>485</v>
      </c>
      <c r="HQ620" t="s">
        <v>458</v>
      </c>
      <c r="HR620" s="1">
        <v>41787</v>
      </c>
      <c r="HS620">
        <v>2013</v>
      </c>
      <c r="HT620">
        <v>487.8</v>
      </c>
      <c r="HU620" t="s">
        <v>6658</v>
      </c>
      <c r="HV620">
        <v>2.25</v>
      </c>
      <c r="HW620" t="s">
        <v>424</v>
      </c>
      <c r="HX620" t="s">
        <v>425</v>
      </c>
      <c r="HZ620">
        <v>22</v>
      </c>
      <c r="IA620">
        <v>7336692</v>
      </c>
      <c r="IB620" t="s">
        <v>822</v>
      </c>
      <c r="IC620" t="s">
        <v>458</v>
      </c>
      <c r="ID620" s="1">
        <v>41787</v>
      </c>
      <c r="IE620">
        <v>2013</v>
      </c>
      <c r="IF620">
        <v>487.8</v>
      </c>
      <c r="IG620" t="s">
        <v>6658</v>
      </c>
      <c r="IH620">
        <v>2.25</v>
      </c>
      <c r="II620" t="s">
        <v>424</v>
      </c>
      <c r="IJ620" t="s">
        <v>425</v>
      </c>
      <c r="IL620">
        <v>22</v>
      </c>
      <c r="IM620">
        <v>7336698</v>
      </c>
      <c r="IN620" t="s">
        <v>823</v>
      </c>
      <c r="IO620" t="s">
        <v>458</v>
      </c>
      <c r="IP620" s="1">
        <v>41423</v>
      </c>
      <c r="IQ620">
        <v>2012</v>
      </c>
      <c r="IR620">
        <v>526.55999999999995</v>
      </c>
      <c r="IS620" t="s">
        <v>6659</v>
      </c>
      <c r="IT620">
        <v>3</v>
      </c>
      <c r="IU620" t="s">
        <v>424</v>
      </c>
      <c r="IV620" t="s">
        <v>425</v>
      </c>
      <c r="IX620">
        <v>22</v>
      </c>
      <c r="IY620">
        <v>15399</v>
      </c>
      <c r="IZ620" t="s">
        <v>485</v>
      </c>
      <c r="JB620" s="1">
        <v>41423</v>
      </c>
      <c r="JC620">
        <v>2012</v>
      </c>
      <c r="JD620">
        <v>526.55999999999995</v>
      </c>
      <c r="JE620" t="s">
        <v>6659</v>
      </c>
      <c r="JF620">
        <v>3</v>
      </c>
      <c r="JG620" t="s">
        <v>424</v>
      </c>
      <c r="JH620" t="s">
        <v>425</v>
      </c>
      <c r="JI620" s="1">
        <v>42093</v>
      </c>
      <c r="JJ620">
        <v>22</v>
      </c>
      <c r="JK620">
        <v>13027</v>
      </c>
      <c r="JL620" t="s">
        <v>826</v>
      </c>
      <c r="JN620" s="1">
        <v>40688</v>
      </c>
      <c r="JO620">
        <v>2010</v>
      </c>
      <c r="JP620">
        <v>534.04999999999995</v>
      </c>
      <c r="JQ620" t="s">
        <v>6660</v>
      </c>
      <c r="JR620">
        <v>8</v>
      </c>
      <c r="JS620" t="s">
        <v>424</v>
      </c>
      <c r="JT620" t="s">
        <v>425</v>
      </c>
      <c r="JU620" s="1">
        <v>40949</v>
      </c>
      <c r="JV620">
        <v>9</v>
      </c>
      <c r="JW620">
        <v>10548</v>
      </c>
      <c r="JX620" t="s">
        <v>589</v>
      </c>
    </row>
    <row r="621" spans="1:296" x14ac:dyDescent="0.25">
      <c r="A621">
        <v>16485628</v>
      </c>
      <c r="B621">
        <v>620</v>
      </c>
      <c r="C621" t="s">
        <v>393</v>
      </c>
      <c r="D621" t="s">
        <v>394</v>
      </c>
      <c r="F621" t="str">
        <f>"04-1N-25-2800-0046-0000"</f>
        <v>04-1N-25-2800-0046-0000</v>
      </c>
      <c r="H621" t="str">
        <f>"HART JOHN D"</f>
        <v>HART JOHN D</v>
      </c>
      <c r="I621" t="str">
        <f>"55407 SHUG RD"</f>
        <v>55407 SHUG RD</v>
      </c>
      <c r="J621" t="str">
        <f t="shared" si="188"/>
        <v>CALLAHAN FL 32011</v>
      </c>
      <c r="K621" t="str">
        <f>"44329 LEE DR"</f>
        <v>44329 LEE DR</v>
      </c>
      <c r="L621" t="str">
        <f t="shared" si="181"/>
        <v>CALLAHAN FL 32011</v>
      </c>
      <c r="M621" t="str">
        <f>"LOTS 46 &amp; 47 R 673131 IN OR 784 PG 944 PINE KNOLL SUB PB 4/5"</f>
        <v>LOTS 46 &amp; 47 R 673131 IN OR 784 PG 944 PINE KNOLL SUB PB 4/5</v>
      </c>
      <c r="N621" t="str">
        <f>""</f>
        <v/>
      </c>
      <c r="O621" t="str">
        <f>"19900"</f>
        <v>19900</v>
      </c>
      <c r="P621" t="str">
        <f t="shared" si="176"/>
        <v>2017</v>
      </c>
      <c r="Q621" t="str">
        <f>""</f>
        <v/>
      </c>
      <c r="R621" t="str">
        <f>"N"</f>
        <v>N</v>
      </c>
      <c r="S621" t="str">
        <f>""</f>
        <v/>
      </c>
      <c r="T621" t="str">
        <f>"403.58"</f>
        <v>403.58</v>
      </c>
      <c r="U621" t="str">
        <f>"26659.00"</f>
        <v>26659.00</v>
      </c>
      <c r="V621" t="str">
        <f>"26659.00"</f>
        <v>26659.00</v>
      </c>
      <c r="W621" t="str">
        <f t="shared" si="177"/>
        <v>2017</v>
      </c>
      <c r="X621" t="str">
        <f>"18.00"</f>
        <v>18.00</v>
      </c>
      <c r="Y621" t="str">
        <f>"447.69"</f>
        <v>447.69</v>
      </c>
      <c r="Z621" t="str">
        <f>""</f>
        <v/>
      </c>
      <c r="AA621" t="str">
        <f>"26659.00"</f>
        <v>26659.00</v>
      </c>
      <c r="AB621" t="str">
        <f t="shared" si="187"/>
        <v>Residential</v>
      </c>
      <c r="AC621" t="str">
        <f t="shared" si="185"/>
        <v>0</v>
      </c>
      <c r="AD621" t="str">
        <f t="shared" si="189"/>
        <v>4</v>
      </c>
      <c r="AE621" t="str">
        <f t="shared" si="190"/>
        <v>WOOD (INCLUDE STEEL STUDS)</v>
      </c>
      <c r="AF621" t="str">
        <f>"002"</f>
        <v>002</v>
      </c>
      <c r="AG621" t="str">
        <f t="shared" si="186"/>
        <v>FL</v>
      </c>
      <c r="AH621" t="str">
        <f>"42688.00"</f>
        <v>42688.00</v>
      </c>
      <c r="AI621" t="str">
        <f>"13500.00"</f>
        <v>13500.00</v>
      </c>
      <c r="AJ621" t="str">
        <f>"C55-000-586-5048-2"</f>
        <v>C55-000-586-5048-2</v>
      </c>
      <c r="AK621" t="str">
        <f>"10028"</f>
        <v>10028</v>
      </c>
      <c r="AL621">
        <v>3</v>
      </c>
      <c r="AM621">
        <v>715</v>
      </c>
      <c r="AN621">
        <v>468.47</v>
      </c>
      <c r="AQ621" t="s">
        <v>6661</v>
      </c>
      <c r="AR621" t="s">
        <v>6661</v>
      </c>
      <c r="AS621" t="s">
        <v>6661</v>
      </c>
      <c r="AU621" t="s">
        <v>396</v>
      </c>
      <c r="AV621">
        <v>2017</v>
      </c>
      <c r="AW621" t="str">
        <f>"04-1N-25-2800-0046-0000 "</f>
        <v xml:space="preserve">04-1N-25-2800-0046-0000 </v>
      </c>
      <c r="AX621">
        <v>44329</v>
      </c>
      <c r="AZ621" t="s">
        <v>6662</v>
      </c>
      <c r="BA621" t="s">
        <v>669</v>
      </c>
      <c r="BD621" t="s">
        <v>2785</v>
      </c>
      <c r="BE621" t="s">
        <v>393</v>
      </c>
      <c r="BF621">
        <v>32011</v>
      </c>
      <c r="BG621" t="s">
        <v>6663</v>
      </c>
      <c r="BH621" t="s">
        <v>2787</v>
      </c>
      <c r="BI621">
        <v>-81.801798809593095</v>
      </c>
      <c r="BJ621">
        <v>30.533218425355599</v>
      </c>
      <c r="BK621" t="s">
        <v>6664</v>
      </c>
      <c r="BL621" t="s">
        <v>6665</v>
      </c>
      <c r="BM621" t="s">
        <v>6666</v>
      </c>
      <c r="BN621" t="s">
        <v>928</v>
      </c>
      <c r="BO621">
        <v>32011</v>
      </c>
      <c r="BP621" t="s">
        <v>404</v>
      </c>
      <c r="BQ621">
        <v>200</v>
      </c>
      <c r="BR621" t="s">
        <v>405</v>
      </c>
      <c r="BS621">
        <v>1006</v>
      </c>
      <c r="BT621" t="s">
        <v>406</v>
      </c>
      <c r="BW621">
        <v>42688</v>
      </c>
      <c r="BX621" t="s">
        <v>407</v>
      </c>
      <c r="BY621" t="s">
        <v>4360</v>
      </c>
      <c r="BZ621">
        <v>4</v>
      </c>
      <c r="CA621">
        <v>1974</v>
      </c>
      <c r="CB621">
        <v>1</v>
      </c>
      <c r="CC621">
        <v>1</v>
      </c>
      <c r="CD621">
        <v>2017</v>
      </c>
      <c r="CE621">
        <v>13500</v>
      </c>
      <c r="CF621">
        <v>13159</v>
      </c>
      <c r="CG621">
        <v>26659</v>
      </c>
      <c r="CH621">
        <v>2017</v>
      </c>
      <c r="CI621">
        <v>13500</v>
      </c>
      <c r="CJ621">
        <v>13159</v>
      </c>
      <c r="CK621">
        <v>26659</v>
      </c>
      <c r="CL621">
        <v>2017</v>
      </c>
      <c r="CM621">
        <v>403.58</v>
      </c>
      <c r="CN621" s="1">
        <v>35471</v>
      </c>
      <c r="CO621">
        <v>52000</v>
      </c>
      <c r="CZ621" s="1">
        <v>35471</v>
      </c>
      <c r="DD621" t="s">
        <v>2785</v>
      </c>
      <c r="DG621">
        <v>4</v>
      </c>
      <c r="DJ621" t="s">
        <v>6667</v>
      </c>
      <c r="DL621">
        <v>50502</v>
      </c>
      <c r="DM621" t="s">
        <v>6474</v>
      </c>
      <c r="DO621" t="s">
        <v>6668</v>
      </c>
      <c r="DP621">
        <v>0</v>
      </c>
      <c r="DQ621">
        <v>0</v>
      </c>
      <c r="DR621" t="s">
        <v>411</v>
      </c>
      <c r="DS621" t="b">
        <v>1</v>
      </c>
      <c r="DT621" t="s">
        <v>396</v>
      </c>
      <c r="DV621" t="s">
        <v>446</v>
      </c>
      <c r="DX621">
        <v>-9999</v>
      </c>
      <c r="DZ621" t="s">
        <v>447</v>
      </c>
      <c r="EA621" t="s">
        <v>448</v>
      </c>
      <c r="EB621" t="s">
        <v>6669</v>
      </c>
      <c r="EC621">
        <v>20101217</v>
      </c>
      <c r="ED621" t="s">
        <v>450</v>
      </c>
      <c r="EE621">
        <v>15.1</v>
      </c>
      <c r="EF621">
        <v>0</v>
      </c>
      <c r="EG621">
        <v>0</v>
      </c>
      <c r="EI621">
        <v>20160407</v>
      </c>
      <c r="EJ621">
        <v>0</v>
      </c>
      <c r="EK621">
        <v>0</v>
      </c>
      <c r="EP621" t="s">
        <v>421</v>
      </c>
      <c r="EQ621" t="s">
        <v>422</v>
      </c>
      <c r="ER621">
        <v>1</v>
      </c>
      <c r="ES621">
        <v>2</v>
      </c>
      <c r="ET621">
        <v>469.59</v>
      </c>
      <c r="EU621">
        <v>29.73</v>
      </c>
      <c r="EV621">
        <v>499.32</v>
      </c>
      <c r="EW621" s="2">
        <v>43222</v>
      </c>
      <c r="EX621" s="1">
        <v>42879</v>
      </c>
      <c r="EY621">
        <v>2016</v>
      </c>
      <c r="EZ621">
        <v>469.59</v>
      </c>
      <c r="FA621" t="s">
        <v>6670</v>
      </c>
      <c r="FB621">
        <v>4.5</v>
      </c>
      <c r="FC621" t="s">
        <v>424</v>
      </c>
      <c r="FD621" t="s">
        <v>454</v>
      </c>
      <c r="FF621">
        <v>12</v>
      </c>
      <c r="FG621">
        <v>2035919</v>
      </c>
      <c r="FH621" t="s">
        <v>507</v>
      </c>
      <c r="FJ621" s="1">
        <v>42515</v>
      </c>
      <c r="FK621">
        <v>2015</v>
      </c>
      <c r="FL621">
        <v>513.46</v>
      </c>
      <c r="FM621" t="s">
        <v>6671</v>
      </c>
      <c r="FN621">
        <v>18</v>
      </c>
      <c r="FO621" t="s">
        <v>424</v>
      </c>
      <c r="FP621" t="s">
        <v>425</v>
      </c>
      <c r="FQ621" s="1">
        <v>43031</v>
      </c>
      <c r="FR621">
        <v>17</v>
      </c>
      <c r="FS621">
        <v>10628</v>
      </c>
      <c r="FT621" t="s">
        <v>943</v>
      </c>
      <c r="FV621" s="1">
        <v>42151</v>
      </c>
      <c r="FW621">
        <v>2014</v>
      </c>
      <c r="FX621">
        <v>458.87</v>
      </c>
      <c r="FY621" t="s">
        <v>6672</v>
      </c>
      <c r="FZ621">
        <v>3.75</v>
      </c>
      <c r="GA621" t="s">
        <v>424</v>
      </c>
      <c r="GB621" t="s">
        <v>425</v>
      </c>
      <c r="GC621" s="1">
        <v>42726</v>
      </c>
      <c r="GD621">
        <v>19</v>
      </c>
      <c r="GE621">
        <v>4975593</v>
      </c>
      <c r="GF621" t="s">
        <v>505</v>
      </c>
    </row>
    <row r="622" spans="1:296" x14ac:dyDescent="0.25">
      <c r="A622">
        <v>16485629</v>
      </c>
      <c r="B622">
        <v>621</v>
      </c>
      <c r="C622" t="s">
        <v>393</v>
      </c>
      <c r="D622" t="s">
        <v>394</v>
      </c>
      <c r="F622" t="str">
        <f>"04-1N-25-2800-0051-0000"</f>
        <v>04-1N-25-2800-0051-0000</v>
      </c>
      <c r="H622" t="str">
        <f>"RODGERS ANN M"</f>
        <v>RODGERS ANN M</v>
      </c>
      <c r="I622" t="str">
        <f>"44257 LEE DRIVE"</f>
        <v>44257 LEE DRIVE</v>
      </c>
      <c r="J622" t="str">
        <f t="shared" si="188"/>
        <v>CALLAHAN FL 32011</v>
      </c>
      <c r="K622" t="str">
        <f>"44257 LEE DR"</f>
        <v>44257 LEE DR</v>
      </c>
      <c r="L622" t="str">
        <f t="shared" si="181"/>
        <v>CALLAHAN FL 32011</v>
      </c>
      <c r="M622" t="str">
        <f>"LOTS 51 52 &amp; 53 IN OR 706 PG 1384 PINE KNOLL SUB PB 4/5"</f>
        <v>LOTS 51 52 &amp; 53 IN OR 706 PG 1384 PINE KNOLL SUB PB 4/5</v>
      </c>
      <c r="N622" t="str">
        <f>""</f>
        <v/>
      </c>
      <c r="O622" t="str">
        <f>"19903"</f>
        <v>19903</v>
      </c>
      <c r="P622" t="str">
        <f t="shared" si="176"/>
        <v>2017</v>
      </c>
      <c r="Q622" t="str">
        <f>""</f>
        <v/>
      </c>
      <c r="R622" t="str">
        <f>"Y"</f>
        <v>Y</v>
      </c>
      <c r="S622" t="str">
        <f>""</f>
        <v/>
      </c>
      <c r="T622" t="str">
        <f>"1636.61"</f>
        <v>1636.61</v>
      </c>
      <c r="U622" t="str">
        <f>"174914.00"</f>
        <v>174914.00</v>
      </c>
      <c r="V622" t="str">
        <f>"174914.00"</f>
        <v>174914.00</v>
      </c>
      <c r="W622" t="str">
        <f t="shared" si="177"/>
        <v>2017</v>
      </c>
      <c r="X622" t="str">
        <f>"3.00"</f>
        <v>3.00</v>
      </c>
      <c r="Y622" t="str">
        <f>"1717.71"</f>
        <v>1717.71</v>
      </c>
      <c r="Z622" t="str">
        <f>"25500.00"</f>
        <v>25500.00</v>
      </c>
      <c r="AA622" t="str">
        <f>"149414.00"</f>
        <v>149414.00</v>
      </c>
      <c r="AB622" t="str">
        <f t="shared" si="187"/>
        <v>Residential</v>
      </c>
      <c r="AC622" t="str">
        <f t="shared" si="185"/>
        <v>0</v>
      </c>
      <c r="AD622" t="str">
        <f t="shared" si="189"/>
        <v>4</v>
      </c>
      <c r="AE622" t="str">
        <f t="shared" si="190"/>
        <v>WOOD (INCLUDE STEEL STUDS)</v>
      </c>
      <c r="AF622" t="str">
        <f>"001"</f>
        <v>001</v>
      </c>
      <c r="AG622" t="str">
        <f t="shared" si="186"/>
        <v>FL</v>
      </c>
      <c r="AH622" t="str">
        <f>"60548.00"</f>
        <v>60548.00</v>
      </c>
      <c r="AI622" t="str">
        <f>"14850.00"</f>
        <v>14850.00</v>
      </c>
      <c r="AJ622" t="str">
        <f>"C55-000-586-5050-8"</f>
        <v>C55-000-586-5050-8</v>
      </c>
      <c r="AK622" t="str">
        <f>"10031"</f>
        <v>10031</v>
      </c>
      <c r="AL622">
        <v>3</v>
      </c>
      <c r="AM622">
        <v>716</v>
      </c>
      <c r="AN622">
        <v>1802</v>
      </c>
      <c r="AQ622" t="s">
        <v>6673</v>
      </c>
      <c r="AR622" t="s">
        <v>6673</v>
      </c>
      <c r="AS622" t="s">
        <v>6673</v>
      </c>
      <c r="AU622" t="s">
        <v>396</v>
      </c>
      <c r="AV622">
        <v>2017</v>
      </c>
      <c r="AW622" t="str">
        <f>"04-1N-25-2800-0051-0000 "</f>
        <v xml:space="preserve">04-1N-25-2800-0051-0000 </v>
      </c>
      <c r="AX622">
        <v>44257</v>
      </c>
      <c r="AZ622" t="s">
        <v>6662</v>
      </c>
      <c r="BA622" t="s">
        <v>669</v>
      </c>
      <c r="BD622" t="s">
        <v>2785</v>
      </c>
      <c r="BE622" t="s">
        <v>393</v>
      </c>
      <c r="BF622">
        <v>32011</v>
      </c>
      <c r="BG622" t="s">
        <v>6674</v>
      </c>
      <c r="BH622" t="s">
        <v>2787</v>
      </c>
      <c r="BI622">
        <v>-81.802426115019301</v>
      </c>
      <c r="BJ622">
        <v>30.532223530143</v>
      </c>
      <c r="BK622" t="s">
        <v>6675</v>
      </c>
      <c r="BM622" t="s">
        <v>6674</v>
      </c>
      <c r="BN622" t="s">
        <v>928</v>
      </c>
      <c r="BO622">
        <v>32011</v>
      </c>
      <c r="BP622" t="s">
        <v>416</v>
      </c>
      <c r="BQ622">
        <v>100</v>
      </c>
      <c r="BR622" t="s">
        <v>514</v>
      </c>
      <c r="BS622">
        <v>1001</v>
      </c>
      <c r="BT622" t="s">
        <v>515</v>
      </c>
      <c r="BW622">
        <v>60548</v>
      </c>
      <c r="BX622" t="s">
        <v>407</v>
      </c>
      <c r="BY622" t="s">
        <v>4360</v>
      </c>
      <c r="BZ622">
        <v>4</v>
      </c>
      <c r="CA622">
        <v>1996</v>
      </c>
      <c r="CB622">
        <v>1</v>
      </c>
      <c r="CC622">
        <v>1</v>
      </c>
      <c r="CD622">
        <v>2017</v>
      </c>
      <c r="CG622">
        <v>174914</v>
      </c>
      <c r="CH622">
        <v>2017</v>
      </c>
      <c r="CI622">
        <v>14850</v>
      </c>
      <c r="CJ622">
        <v>183862</v>
      </c>
      <c r="CK622">
        <v>198712</v>
      </c>
      <c r="CL622">
        <v>2017</v>
      </c>
      <c r="CM622">
        <v>1636.61</v>
      </c>
      <c r="CN622" s="1">
        <v>34495</v>
      </c>
      <c r="CO622">
        <v>15000</v>
      </c>
      <c r="CZ622" s="1">
        <v>34495</v>
      </c>
      <c r="DD622" t="s">
        <v>2785</v>
      </c>
      <c r="DG622">
        <v>4</v>
      </c>
      <c r="DJ622" t="s">
        <v>6667</v>
      </c>
      <c r="DL622">
        <v>50502</v>
      </c>
      <c r="DM622" t="s">
        <v>6474</v>
      </c>
      <c r="DO622" t="s">
        <v>6676</v>
      </c>
      <c r="DP622">
        <v>0</v>
      </c>
      <c r="DQ622">
        <v>0</v>
      </c>
      <c r="DR622" t="s">
        <v>411</v>
      </c>
      <c r="DS622" t="b">
        <v>1</v>
      </c>
      <c r="DT622" t="s">
        <v>470</v>
      </c>
      <c r="DU622" t="s">
        <v>471</v>
      </c>
      <c r="DV622" t="s">
        <v>472</v>
      </c>
      <c r="DX622">
        <v>-9999</v>
      </c>
      <c r="DZ622" t="s">
        <v>447</v>
      </c>
      <c r="EA622" t="s">
        <v>448</v>
      </c>
      <c r="EB622" t="s">
        <v>742</v>
      </c>
      <c r="EC622">
        <v>20101217</v>
      </c>
      <c r="ED622" t="s">
        <v>474</v>
      </c>
      <c r="EF622">
        <v>23.3</v>
      </c>
      <c r="EG622">
        <v>23.3</v>
      </c>
      <c r="EH622" t="s">
        <v>451</v>
      </c>
      <c r="EI622">
        <v>20140731</v>
      </c>
      <c r="EJ622">
        <v>0</v>
      </c>
      <c r="EK622">
        <v>0</v>
      </c>
      <c r="EP622" t="s">
        <v>421</v>
      </c>
      <c r="EQ622" t="s">
        <v>422</v>
      </c>
      <c r="ER622">
        <v>0</v>
      </c>
      <c r="ES622">
        <v>5</v>
      </c>
      <c r="ET622">
        <v>0</v>
      </c>
      <c r="EU622">
        <v>0</v>
      </c>
      <c r="EV622">
        <v>0</v>
      </c>
      <c r="EW622" s="2">
        <v>43222</v>
      </c>
      <c r="EX622" s="1">
        <v>42879</v>
      </c>
      <c r="EY622">
        <v>2016</v>
      </c>
      <c r="EZ622">
        <v>1771.1</v>
      </c>
      <c r="FA622" t="s">
        <v>6677</v>
      </c>
      <c r="FB622">
        <v>0.25</v>
      </c>
      <c r="FC622" t="s">
        <v>424</v>
      </c>
      <c r="FD622" t="s">
        <v>425</v>
      </c>
      <c r="FE622" s="1">
        <v>42937</v>
      </c>
      <c r="FF622">
        <v>2</v>
      </c>
      <c r="FG622">
        <v>2851116</v>
      </c>
      <c r="FH622" t="s">
        <v>480</v>
      </c>
      <c r="FJ622" s="1">
        <v>42879</v>
      </c>
      <c r="FK622">
        <v>2016</v>
      </c>
      <c r="FL622">
        <v>1771.1</v>
      </c>
      <c r="FM622" t="s">
        <v>6677</v>
      </c>
      <c r="FN622">
        <v>0.25</v>
      </c>
      <c r="FO622" t="s">
        <v>424</v>
      </c>
      <c r="FP622" t="s">
        <v>425</v>
      </c>
      <c r="FR622">
        <v>22</v>
      </c>
      <c r="FS622">
        <v>5022247</v>
      </c>
      <c r="FT622" t="s">
        <v>6678</v>
      </c>
      <c r="FV622" s="1">
        <v>41052</v>
      </c>
      <c r="FW622">
        <v>2011</v>
      </c>
      <c r="FX622">
        <v>1767.88</v>
      </c>
      <c r="FY622" t="s">
        <v>6679</v>
      </c>
      <c r="FZ622">
        <v>0.25</v>
      </c>
      <c r="GA622" t="s">
        <v>424</v>
      </c>
      <c r="GB622" t="s">
        <v>425</v>
      </c>
      <c r="GC622" s="1">
        <v>41271</v>
      </c>
      <c r="GD622">
        <v>7</v>
      </c>
      <c r="GE622">
        <v>13297</v>
      </c>
      <c r="GF622" t="s">
        <v>1471</v>
      </c>
      <c r="GH622" s="1">
        <v>41052</v>
      </c>
      <c r="GI622">
        <v>2011</v>
      </c>
      <c r="GJ622">
        <v>1767.88</v>
      </c>
      <c r="GK622" t="s">
        <v>6679</v>
      </c>
      <c r="GL622">
        <v>0.25</v>
      </c>
      <c r="GM622" t="s">
        <v>424</v>
      </c>
      <c r="GN622" t="s">
        <v>425</v>
      </c>
      <c r="GP622">
        <v>22</v>
      </c>
      <c r="GQ622">
        <v>13588</v>
      </c>
      <c r="GR622" t="s">
        <v>6680</v>
      </c>
      <c r="GT622" s="1">
        <v>40688</v>
      </c>
      <c r="GU622">
        <v>2010</v>
      </c>
      <c r="GV622">
        <v>2189.8200000000002</v>
      </c>
      <c r="GW622" t="s">
        <v>6681</v>
      </c>
      <c r="GX622">
        <v>0.25</v>
      </c>
      <c r="GY622" t="s">
        <v>424</v>
      </c>
      <c r="GZ622" t="s">
        <v>425</v>
      </c>
      <c r="HA622" s="1">
        <v>40729</v>
      </c>
      <c r="HB622">
        <v>2</v>
      </c>
      <c r="HC622">
        <v>11289</v>
      </c>
      <c r="HD622" t="s">
        <v>787</v>
      </c>
    </row>
    <row r="623" spans="1:296" x14ac:dyDescent="0.25">
      <c r="A623">
        <v>16485630</v>
      </c>
      <c r="B623">
        <v>622</v>
      </c>
      <c r="C623" t="s">
        <v>393</v>
      </c>
      <c r="D623" t="s">
        <v>394</v>
      </c>
      <c r="F623" t="str">
        <f>"04-1N-25-2800-0063-0000"</f>
        <v>04-1N-25-2800-0063-0000</v>
      </c>
      <c r="H623" t="str">
        <f>"SELF ROBERT SEAN"</f>
        <v>SELF ROBERT SEAN</v>
      </c>
      <c r="I623" t="str">
        <f>"44041 LEE DR"</f>
        <v>44041 LEE DR</v>
      </c>
      <c r="J623" t="str">
        <f t="shared" si="188"/>
        <v>CALLAHAN FL 32011</v>
      </c>
      <c r="K623" t="str">
        <f>"44041 LEE DR"</f>
        <v>44041 LEE DR</v>
      </c>
      <c r="L623" t="str">
        <f t="shared" si="181"/>
        <v>CALLAHAN FL 32011</v>
      </c>
      <c r="M623" t="str">
        <f>"LOT 63 (EX S-1 &amp; S-2) IN OR 2129/1620 1985 CONC DW/MH PINE KNOLL SUB PB 4/5"</f>
        <v>LOT 63 (EX S-1 &amp; S-2) IN OR 2129/1620 1985 CONC DW/MH PINE KNOLL SUB PB 4/5</v>
      </c>
      <c r="N623" t="str">
        <f>""</f>
        <v/>
      </c>
      <c r="O623" t="str">
        <f>"19910"</f>
        <v>19910</v>
      </c>
      <c r="P623" t="str">
        <f t="shared" si="176"/>
        <v>2017</v>
      </c>
      <c r="Q623" t="str">
        <f>""</f>
        <v/>
      </c>
      <c r="R623" t="str">
        <f>"N"</f>
        <v>N</v>
      </c>
      <c r="S623" t="str">
        <f>""</f>
        <v/>
      </c>
      <c r="T623" t="str">
        <f>"580.05"</f>
        <v>580.05</v>
      </c>
      <c r="U623" t="str">
        <f>"38316.00"</f>
        <v>38316.00</v>
      </c>
      <c r="V623" t="str">
        <f>"38316.00"</f>
        <v>38316.00</v>
      </c>
      <c r="W623" t="str">
        <f t="shared" si="177"/>
        <v>2017</v>
      </c>
      <c r="X623" t="str">
        <f>""</f>
        <v/>
      </c>
      <c r="Y623" t="str">
        <f>"629.45"</f>
        <v>629.45</v>
      </c>
      <c r="Z623" t="str">
        <f>""</f>
        <v/>
      </c>
      <c r="AA623" t="str">
        <f>"38316.00"</f>
        <v>38316.00</v>
      </c>
      <c r="AB623" t="str">
        <f t="shared" si="187"/>
        <v>Residential</v>
      </c>
      <c r="AC623" t="str">
        <f t="shared" si="185"/>
        <v>0</v>
      </c>
      <c r="AD623" t="str">
        <f t="shared" si="189"/>
        <v>4</v>
      </c>
      <c r="AE623" t="str">
        <f t="shared" si="190"/>
        <v>WOOD (INCLUDE STEEL STUDS)</v>
      </c>
      <c r="AF623" t="str">
        <f>"002"</f>
        <v>002</v>
      </c>
      <c r="AG623" t="str">
        <f t="shared" si="186"/>
        <v>FL</v>
      </c>
      <c r="AH623" t="str">
        <f>"43560.00"</f>
        <v>43560.00</v>
      </c>
      <c r="AI623" t="str">
        <f>"13500.00"</f>
        <v>13500.00</v>
      </c>
      <c r="AJ623" t="str">
        <f>"C55-000-586-5057-3"</f>
        <v>C55-000-586-5057-3</v>
      </c>
      <c r="AK623" t="str">
        <f>"10038"</f>
        <v>10038</v>
      </c>
      <c r="AL623">
        <v>3</v>
      </c>
      <c r="AM623">
        <v>717</v>
      </c>
      <c r="AN623">
        <v>659.32</v>
      </c>
      <c r="AQ623" t="s">
        <v>6682</v>
      </c>
      <c r="AR623" t="s">
        <v>6682</v>
      </c>
      <c r="AS623" t="s">
        <v>6682</v>
      </c>
      <c r="AU623" t="s">
        <v>396</v>
      </c>
      <c r="AV623">
        <v>2017</v>
      </c>
      <c r="AW623" t="str">
        <f>"04-1N-25-2800-0063-0000 "</f>
        <v xml:space="preserve">04-1N-25-2800-0063-0000 </v>
      </c>
      <c r="AX623">
        <v>44041</v>
      </c>
      <c r="AZ623" t="s">
        <v>6662</v>
      </c>
      <c r="BA623" t="s">
        <v>669</v>
      </c>
      <c r="BD623" t="s">
        <v>2785</v>
      </c>
      <c r="BE623" t="s">
        <v>393</v>
      </c>
      <c r="BF623">
        <v>32011</v>
      </c>
      <c r="BG623" t="s">
        <v>6683</v>
      </c>
      <c r="BH623" t="s">
        <v>2787</v>
      </c>
      <c r="BI623">
        <v>-81.804042029476406</v>
      </c>
      <c r="BJ623">
        <v>30.5296606272871</v>
      </c>
      <c r="BK623" t="s">
        <v>6684</v>
      </c>
      <c r="BM623" t="s">
        <v>6683</v>
      </c>
      <c r="BN623" t="s">
        <v>928</v>
      </c>
      <c r="BO623">
        <v>32011</v>
      </c>
      <c r="BP623" t="s">
        <v>416</v>
      </c>
      <c r="BQ623">
        <v>200</v>
      </c>
      <c r="BR623" t="s">
        <v>405</v>
      </c>
      <c r="BS623">
        <v>1006</v>
      </c>
      <c r="BT623" t="s">
        <v>406</v>
      </c>
      <c r="BW623">
        <v>43560</v>
      </c>
      <c r="BX623" t="s">
        <v>407</v>
      </c>
      <c r="BY623" t="s">
        <v>4360</v>
      </c>
      <c r="BZ623">
        <v>4</v>
      </c>
      <c r="CA623">
        <v>1985</v>
      </c>
      <c r="CB623">
        <v>1</v>
      </c>
      <c r="CC623">
        <v>1</v>
      </c>
      <c r="CD623">
        <v>2017</v>
      </c>
      <c r="CE623">
        <v>13500</v>
      </c>
      <c r="CF623">
        <v>24816</v>
      </c>
      <c r="CG623">
        <v>38316</v>
      </c>
      <c r="CH623">
        <v>2017</v>
      </c>
      <c r="CI623">
        <v>13500</v>
      </c>
      <c r="CJ623">
        <v>24816</v>
      </c>
      <c r="CK623">
        <v>38316</v>
      </c>
      <c r="CL623">
        <v>2017</v>
      </c>
      <c r="CM623">
        <v>580.04999999999995</v>
      </c>
      <c r="CN623" s="1">
        <v>42915</v>
      </c>
      <c r="CO623">
        <v>45000</v>
      </c>
      <c r="CV623">
        <v>45000</v>
      </c>
      <c r="CX623" t="s">
        <v>707</v>
      </c>
      <c r="CZ623" s="1">
        <v>42915</v>
      </c>
      <c r="DA623">
        <v>0</v>
      </c>
      <c r="DD623" t="s">
        <v>2785</v>
      </c>
      <c r="DF623">
        <v>63</v>
      </c>
      <c r="DG623">
        <v>4</v>
      </c>
      <c r="DL623">
        <v>50502</v>
      </c>
      <c r="DM623" t="s">
        <v>6474</v>
      </c>
      <c r="DO623" t="s">
        <v>6685</v>
      </c>
      <c r="DP623">
        <v>0</v>
      </c>
      <c r="DQ623">
        <v>1</v>
      </c>
      <c r="DR623" t="s">
        <v>411</v>
      </c>
    </row>
    <row r="624" spans="1:296" x14ac:dyDescent="0.25">
      <c r="A624">
        <v>16485631</v>
      </c>
      <c r="B624">
        <v>623</v>
      </c>
      <c r="C624" t="s">
        <v>393</v>
      </c>
      <c r="D624" t="s">
        <v>394</v>
      </c>
      <c r="F624" t="str">
        <f>"04-1N-25-2820-0013-0000"</f>
        <v>04-1N-25-2820-0013-0000</v>
      </c>
      <c r="H624" t="str">
        <f>"FRAME CHARLES"</f>
        <v>FRAME CHARLES</v>
      </c>
      <c r="I624" t="str">
        <f>"44086 BECKER AVE"</f>
        <v>44086 BECKER AVE</v>
      </c>
      <c r="J624" t="str">
        <f t="shared" si="188"/>
        <v>CALLAHAN FL 32011</v>
      </c>
      <c r="K624" t="str">
        <f>"44086 BECKER AVE"</f>
        <v>44086 BECKER AVE</v>
      </c>
      <c r="L624" t="str">
        <f t="shared" si="181"/>
        <v>CALLAHAN FL 32011</v>
      </c>
      <c r="M624" t="str">
        <f>"LOTS 13 14 &amp; 15 IN OR 936/712 PINE KNOLL UNIT 2 PB 5/17"</f>
        <v>LOTS 13 14 &amp; 15 IN OR 936/712 PINE KNOLL UNIT 2 PB 5/17</v>
      </c>
      <c r="N624" t="str">
        <f>""</f>
        <v/>
      </c>
      <c r="O624" t="str">
        <f>"19922"</f>
        <v>19922</v>
      </c>
      <c r="P624" t="str">
        <f t="shared" si="176"/>
        <v>2017</v>
      </c>
      <c r="Q624" t="str">
        <f>""</f>
        <v/>
      </c>
      <c r="R624" t="str">
        <f>"Y"</f>
        <v>Y</v>
      </c>
      <c r="S624" t="str">
        <f>""</f>
        <v/>
      </c>
      <c r="T624" t="str">
        <f>"732.05"</f>
        <v>732.05</v>
      </c>
      <c r="U624" t="str">
        <f>"87460.00"</f>
        <v>87460.00</v>
      </c>
      <c r="V624" t="str">
        <f>"87460.00"</f>
        <v>87460.00</v>
      </c>
      <c r="W624" t="str">
        <f t="shared" si="177"/>
        <v>2017</v>
      </c>
      <c r="X624" t="str">
        <f>""</f>
        <v/>
      </c>
      <c r="Y624" t="str">
        <f>"786.01"</f>
        <v>786.01</v>
      </c>
      <c r="Z624" t="str">
        <f>"25000.00"</f>
        <v>25000.00</v>
      </c>
      <c r="AA624" t="str">
        <f>"62460.00"</f>
        <v>62460.00</v>
      </c>
      <c r="AB624" t="str">
        <f t="shared" si="187"/>
        <v>Residential</v>
      </c>
      <c r="AC624" t="str">
        <f t="shared" si="185"/>
        <v>0</v>
      </c>
      <c r="AD624" t="str">
        <f t="shared" si="189"/>
        <v>4</v>
      </c>
      <c r="AE624" t="str">
        <f t="shared" si="190"/>
        <v>WOOD (INCLUDE STEEL STUDS)</v>
      </c>
      <c r="AF624" t="str">
        <f>"001"</f>
        <v>001</v>
      </c>
      <c r="AG624" t="str">
        <f t="shared" si="186"/>
        <v>FL</v>
      </c>
      <c r="AH624" t="str">
        <f>"44866.00"</f>
        <v>44866.00</v>
      </c>
      <c r="AI624" t="str">
        <f>"13500.00"</f>
        <v>13500.00</v>
      </c>
      <c r="AJ624" t="str">
        <f>"C55-000-586-5067-2"</f>
        <v>C55-000-586-5067-2</v>
      </c>
      <c r="AK624" t="str">
        <f>"10048"</f>
        <v>10048</v>
      </c>
      <c r="AL624">
        <v>3</v>
      </c>
      <c r="AM624">
        <v>718</v>
      </c>
      <c r="AN624">
        <v>823.71</v>
      </c>
      <c r="AQ624" t="s">
        <v>6686</v>
      </c>
      <c r="AR624" t="s">
        <v>6686</v>
      </c>
      <c r="AS624" t="s">
        <v>6686</v>
      </c>
      <c r="AU624" t="s">
        <v>396</v>
      </c>
      <c r="AV624">
        <v>2017</v>
      </c>
      <c r="AW624" t="str">
        <f>"04-1N-25-2820-0013-0000 "</f>
        <v xml:space="preserve">04-1N-25-2820-0013-0000 </v>
      </c>
      <c r="AX624">
        <v>44086</v>
      </c>
      <c r="AZ624" t="s">
        <v>6687</v>
      </c>
      <c r="BA624" t="s">
        <v>1112</v>
      </c>
      <c r="BD624" t="s">
        <v>2785</v>
      </c>
      <c r="BE624" t="s">
        <v>393</v>
      </c>
      <c r="BF624">
        <v>32011</v>
      </c>
      <c r="BG624" t="s">
        <v>6688</v>
      </c>
      <c r="BH624" t="s">
        <v>2787</v>
      </c>
      <c r="BI624">
        <v>-81.801833218358496</v>
      </c>
      <c r="BJ624">
        <v>30.529864507639299</v>
      </c>
      <c r="BK624" t="s">
        <v>6689</v>
      </c>
      <c r="BM624" t="s">
        <v>6688</v>
      </c>
      <c r="BN624" t="s">
        <v>928</v>
      </c>
      <c r="BO624">
        <v>32011</v>
      </c>
      <c r="BP624" t="s">
        <v>404</v>
      </c>
      <c r="BQ624">
        <v>100</v>
      </c>
      <c r="BR624" t="s">
        <v>514</v>
      </c>
      <c r="BS624">
        <v>1001</v>
      </c>
      <c r="BT624" t="s">
        <v>515</v>
      </c>
      <c r="BW624">
        <v>44866</v>
      </c>
      <c r="BX624" t="s">
        <v>407</v>
      </c>
      <c r="BY624" t="s">
        <v>4360</v>
      </c>
      <c r="BZ624">
        <v>4</v>
      </c>
      <c r="CA624">
        <v>1965</v>
      </c>
      <c r="CB624">
        <v>1</v>
      </c>
      <c r="CC624">
        <v>1</v>
      </c>
      <c r="CD624">
        <v>2017</v>
      </c>
      <c r="CG624">
        <v>87460</v>
      </c>
      <c r="CH624">
        <v>2017</v>
      </c>
      <c r="CI624">
        <v>13500</v>
      </c>
      <c r="CJ624">
        <v>75485</v>
      </c>
      <c r="CK624">
        <v>88985</v>
      </c>
      <c r="CL624">
        <v>2017</v>
      </c>
      <c r="CM624">
        <v>732.05</v>
      </c>
      <c r="CN624" s="1">
        <v>36690</v>
      </c>
      <c r="CO624">
        <v>55000</v>
      </c>
      <c r="CV624">
        <v>48600</v>
      </c>
      <c r="CZ624" s="1">
        <v>36690</v>
      </c>
      <c r="DA624">
        <v>0</v>
      </c>
      <c r="DD624" t="s">
        <v>2785</v>
      </c>
      <c r="DG624">
        <v>4</v>
      </c>
      <c r="DI624">
        <v>2</v>
      </c>
      <c r="DJ624" t="s">
        <v>6667</v>
      </c>
      <c r="DL624">
        <v>50502</v>
      </c>
      <c r="DM624" t="s">
        <v>6474</v>
      </c>
      <c r="DO624" t="s">
        <v>6690</v>
      </c>
      <c r="DP624">
        <v>0</v>
      </c>
      <c r="DQ624">
        <v>0</v>
      </c>
      <c r="DR624" t="s">
        <v>411</v>
      </c>
    </row>
    <row r="625" spans="1:260" x14ac:dyDescent="0.25">
      <c r="A625">
        <v>16485632</v>
      </c>
      <c r="B625">
        <v>624</v>
      </c>
      <c r="C625" t="s">
        <v>393</v>
      </c>
      <c r="D625" t="s">
        <v>394</v>
      </c>
      <c r="F625" t="str">
        <f>"06-1N-25-0973-0002-0000"</f>
        <v>06-1N-25-0973-0002-0000</v>
      </c>
      <c r="H625" t="str">
        <f>"TALLMAN RANDY &amp; TARRA"</f>
        <v>TALLMAN RANDY &amp; TARRA</v>
      </c>
      <c r="I625" t="str">
        <f>"44170 DALES PLACE"</f>
        <v>44170 DALES PLACE</v>
      </c>
      <c r="J625" t="str">
        <f t="shared" si="188"/>
        <v>CALLAHAN FL 32011</v>
      </c>
      <c r="K625" t="str">
        <f>"44170 DALES PL"</f>
        <v>44170 DALES PL</v>
      </c>
      <c r="L625" t="str">
        <f t="shared" si="181"/>
        <v>CALLAHAN FL 32011</v>
      </c>
      <c r="M625" t="str">
        <f>"LOT 2 IN OR 1229/1522 R673870 &amp; R673871 JONESVILLE PB 6/57"</f>
        <v>LOT 2 IN OR 1229/1522 R673870 &amp; R673871 JONESVILLE PB 6/57</v>
      </c>
      <c r="N625" t="str">
        <f>""</f>
        <v/>
      </c>
      <c r="O625" t="str">
        <f>"21802"</f>
        <v>21802</v>
      </c>
      <c r="P625" t="str">
        <f t="shared" si="176"/>
        <v>2017</v>
      </c>
      <c r="Q625" t="str">
        <f>""</f>
        <v/>
      </c>
      <c r="R625" t="str">
        <f>"Y"</f>
        <v>Y</v>
      </c>
      <c r="S625" t="str">
        <f>"5.10"</f>
        <v>5.10</v>
      </c>
      <c r="T625" t="str">
        <f>"963.23"</f>
        <v>963.23</v>
      </c>
      <c r="U625" t="str">
        <f>"102730.00"</f>
        <v>102730.00</v>
      </c>
      <c r="V625" t="str">
        <f>"102730.00"</f>
        <v>102730.00</v>
      </c>
      <c r="W625" t="str">
        <f t="shared" si="177"/>
        <v>2017</v>
      </c>
      <c r="X625" t="str">
        <f>"9.00"</f>
        <v>9.00</v>
      </c>
      <c r="Y625" t="str">
        <f>"1024.13"</f>
        <v>1024.13</v>
      </c>
      <c r="Z625" t="str">
        <f>"25000.00"</f>
        <v>25000.00</v>
      </c>
      <c r="AA625" t="str">
        <f>"77730.00"</f>
        <v>77730.00</v>
      </c>
      <c r="AB625" t="str">
        <f t="shared" si="187"/>
        <v>Residential</v>
      </c>
      <c r="AC625" t="str">
        <f t="shared" si="185"/>
        <v>0</v>
      </c>
      <c r="AD625" t="str">
        <f t="shared" si="189"/>
        <v>4</v>
      </c>
      <c r="AE625" t="str">
        <f t="shared" si="190"/>
        <v>WOOD (INCLUDE STEEL STUDS)</v>
      </c>
      <c r="AF625" t="str">
        <f>"002"</f>
        <v>002</v>
      </c>
      <c r="AG625" t="str">
        <f t="shared" si="186"/>
        <v>FL</v>
      </c>
      <c r="AH625" t="str">
        <f>"222156.00"</f>
        <v>222156.00</v>
      </c>
      <c r="AI625" t="str">
        <f>"40800.00"</f>
        <v>40800.00</v>
      </c>
      <c r="AJ625" t="str">
        <f>"C55-000-586-6411-1"</f>
        <v>C55-000-586-6411-1</v>
      </c>
      <c r="AK625" t="str">
        <f>"10066"</f>
        <v>10066</v>
      </c>
      <c r="AL625">
        <v>3</v>
      </c>
      <c r="AM625">
        <v>719</v>
      </c>
      <c r="AN625">
        <v>1073.74</v>
      </c>
      <c r="AQ625" t="s">
        <v>6691</v>
      </c>
      <c r="AR625" t="s">
        <v>6691</v>
      </c>
      <c r="AS625" t="s">
        <v>6691</v>
      </c>
      <c r="AU625" t="s">
        <v>396</v>
      </c>
      <c r="AV625">
        <v>2017</v>
      </c>
      <c r="AW625" t="str">
        <f>"06-1N-25-0973-0002-0000 "</f>
        <v xml:space="preserve">06-1N-25-0973-0002-0000 </v>
      </c>
      <c r="AX625">
        <v>44170</v>
      </c>
      <c r="AZ625" t="s">
        <v>6692</v>
      </c>
      <c r="BA625" t="s">
        <v>641</v>
      </c>
      <c r="BD625" t="s">
        <v>2785</v>
      </c>
      <c r="BE625" t="s">
        <v>393</v>
      </c>
      <c r="BF625">
        <v>32011</v>
      </c>
      <c r="BG625" t="s">
        <v>6693</v>
      </c>
      <c r="BH625" t="s">
        <v>2787</v>
      </c>
      <c r="BI625">
        <v>-81.836584066374897</v>
      </c>
      <c r="BJ625">
        <v>30.538070287153001</v>
      </c>
      <c r="BK625" t="s">
        <v>6694</v>
      </c>
      <c r="BL625" t="s">
        <v>6695</v>
      </c>
      <c r="BM625" t="s">
        <v>6693</v>
      </c>
      <c r="BN625" t="s">
        <v>928</v>
      </c>
      <c r="BO625">
        <v>32011</v>
      </c>
      <c r="BP625" t="s">
        <v>416</v>
      </c>
      <c r="BQ625">
        <v>200</v>
      </c>
      <c r="BR625" t="s">
        <v>405</v>
      </c>
      <c r="BS625">
        <v>1006</v>
      </c>
      <c r="BT625" t="s">
        <v>406</v>
      </c>
      <c r="BW625">
        <v>222156</v>
      </c>
      <c r="BX625" t="s">
        <v>407</v>
      </c>
      <c r="BZ625">
        <v>4</v>
      </c>
      <c r="CA625">
        <v>1998</v>
      </c>
      <c r="CB625">
        <v>1</v>
      </c>
      <c r="CC625">
        <v>1</v>
      </c>
      <c r="CD625">
        <v>2017</v>
      </c>
      <c r="CG625">
        <v>102730</v>
      </c>
      <c r="CH625">
        <v>2017</v>
      </c>
      <c r="CI625">
        <v>40800</v>
      </c>
      <c r="CJ625">
        <v>70931</v>
      </c>
      <c r="CK625">
        <v>111731</v>
      </c>
      <c r="CL625">
        <v>2017</v>
      </c>
      <c r="CM625">
        <v>963.23</v>
      </c>
      <c r="CN625" s="1">
        <v>38118</v>
      </c>
      <c r="CV625">
        <v>0</v>
      </c>
      <c r="CZ625" s="1">
        <v>38118</v>
      </c>
      <c r="DA625">
        <v>0</v>
      </c>
      <c r="DD625" t="s">
        <v>2785</v>
      </c>
      <c r="DF625">
        <v>2</v>
      </c>
      <c r="DG625">
        <v>6</v>
      </c>
      <c r="DL625">
        <v>50503</v>
      </c>
      <c r="DM625" t="s">
        <v>6696</v>
      </c>
      <c r="DO625" t="s">
        <v>6697</v>
      </c>
      <c r="DP625">
        <v>0</v>
      </c>
      <c r="DQ625">
        <v>0</v>
      </c>
      <c r="DR625" t="s">
        <v>411</v>
      </c>
      <c r="DS625" t="b">
        <v>1</v>
      </c>
      <c r="DT625" t="s">
        <v>470</v>
      </c>
      <c r="DU625" t="s">
        <v>471</v>
      </c>
      <c r="DV625" t="s">
        <v>472</v>
      </c>
      <c r="DX625">
        <v>-9999</v>
      </c>
      <c r="DZ625" t="s">
        <v>447</v>
      </c>
      <c r="EA625" t="s">
        <v>448</v>
      </c>
      <c r="EB625" t="s">
        <v>742</v>
      </c>
      <c r="EC625">
        <v>20101217</v>
      </c>
      <c r="ED625" t="s">
        <v>474</v>
      </c>
      <c r="EF625">
        <v>678.8</v>
      </c>
      <c r="EG625">
        <v>678.8</v>
      </c>
      <c r="EI625">
        <v>20160407</v>
      </c>
      <c r="EJ625">
        <v>0</v>
      </c>
      <c r="EK625">
        <v>0</v>
      </c>
      <c r="EP625" t="s">
        <v>421</v>
      </c>
      <c r="EQ625" t="s">
        <v>422</v>
      </c>
      <c r="ER625">
        <v>0</v>
      </c>
      <c r="ES625">
        <v>8</v>
      </c>
      <c r="ET625">
        <v>0</v>
      </c>
      <c r="EU625">
        <v>0</v>
      </c>
      <c r="EV625">
        <v>0</v>
      </c>
      <c r="EW625" s="2">
        <v>43222</v>
      </c>
      <c r="EX625" s="1">
        <v>42879</v>
      </c>
      <c r="EY625">
        <v>2016</v>
      </c>
      <c r="EZ625">
        <v>1051.04</v>
      </c>
      <c r="FA625" t="s">
        <v>6698</v>
      </c>
      <c r="FB625">
        <v>0.25</v>
      </c>
      <c r="FC625" t="s">
        <v>424</v>
      </c>
      <c r="FD625" t="s">
        <v>425</v>
      </c>
      <c r="FE625" s="1">
        <v>42947</v>
      </c>
      <c r="FF625">
        <v>2</v>
      </c>
      <c r="FG625">
        <v>7336671</v>
      </c>
      <c r="FH625" t="s">
        <v>437</v>
      </c>
      <c r="FJ625" s="1">
        <v>42879</v>
      </c>
      <c r="FK625">
        <v>2016</v>
      </c>
      <c r="FL625">
        <v>1051.04</v>
      </c>
      <c r="FM625" t="s">
        <v>6698</v>
      </c>
      <c r="FN625">
        <v>0.25</v>
      </c>
      <c r="FO625" t="s">
        <v>424</v>
      </c>
      <c r="FP625" t="s">
        <v>425</v>
      </c>
      <c r="FR625">
        <v>22</v>
      </c>
      <c r="FS625">
        <v>6952226</v>
      </c>
      <c r="FT625" t="s">
        <v>6699</v>
      </c>
      <c r="FV625" s="1">
        <v>42151</v>
      </c>
      <c r="FW625">
        <v>2014</v>
      </c>
      <c r="FX625">
        <v>1222.26</v>
      </c>
      <c r="FY625" t="s">
        <v>6700</v>
      </c>
      <c r="FZ625">
        <v>0.25</v>
      </c>
      <c r="GA625" t="s">
        <v>424</v>
      </c>
      <c r="GB625" t="s">
        <v>425</v>
      </c>
      <c r="GC625" s="1">
        <v>42507</v>
      </c>
      <c r="GD625">
        <v>12</v>
      </c>
      <c r="GE625">
        <v>4975594</v>
      </c>
      <c r="GF625" t="s">
        <v>457</v>
      </c>
      <c r="GH625" s="1">
        <v>42151</v>
      </c>
      <c r="GI625">
        <v>2014</v>
      </c>
      <c r="GJ625">
        <v>1222.26</v>
      </c>
      <c r="GK625" t="s">
        <v>6700</v>
      </c>
      <c r="GL625">
        <v>0.25</v>
      </c>
      <c r="GM625" t="s">
        <v>424</v>
      </c>
      <c r="GN625" t="s">
        <v>425</v>
      </c>
      <c r="GP625">
        <v>22</v>
      </c>
      <c r="GQ625">
        <v>6497105</v>
      </c>
      <c r="GR625" t="s">
        <v>6701</v>
      </c>
      <c r="GT625" s="1">
        <v>41787</v>
      </c>
      <c r="GU625">
        <v>2013</v>
      </c>
      <c r="GV625">
        <v>931.74</v>
      </c>
      <c r="GW625" t="s">
        <v>6702</v>
      </c>
      <c r="GX625">
        <v>0.25</v>
      </c>
      <c r="GY625" t="s">
        <v>424</v>
      </c>
      <c r="GZ625" t="s">
        <v>425</v>
      </c>
      <c r="HA625" s="1">
        <v>41842</v>
      </c>
      <c r="HB625">
        <v>2</v>
      </c>
      <c r="HC625">
        <v>2903114</v>
      </c>
      <c r="HD625" t="s">
        <v>1923</v>
      </c>
      <c r="HF625" s="1">
        <v>41423</v>
      </c>
      <c r="HG625">
        <v>2012</v>
      </c>
      <c r="HH625">
        <v>994.75</v>
      </c>
      <c r="HI625" t="s">
        <v>6703</v>
      </c>
      <c r="HJ625">
        <v>0.25</v>
      </c>
      <c r="HK625" t="s">
        <v>424</v>
      </c>
      <c r="HL625" t="s">
        <v>425</v>
      </c>
      <c r="HM625" s="1">
        <v>41842</v>
      </c>
      <c r="HN625">
        <v>14</v>
      </c>
      <c r="HO625">
        <v>15259</v>
      </c>
      <c r="HP625" t="s">
        <v>891</v>
      </c>
      <c r="HR625" s="1">
        <v>41052</v>
      </c>
      <c r="HS625">
        <v>2011</v>
      </c>
      <c r="HT625">
        <v>1038.2</v>
      </c>
      <c r="HU625" t="s">
        <v>6704</v>
      </c>
      <c r="HV625">
        <v>4.25</v>
      </c>
      <c r="HW625" t="s">
        <v>424</v>
      </c>
      <c r="HX625" t="s">
        <v>425</v>
      </c>
      <c r="HY625" s="1">
        <v>41127</v>
      </c>
      <c r="HZ625">
        <v>3</v>
      </c>
      <c r="IA625">
        <v>13057</v>
      </c>
      <c r="IB625" t="s">
        <v>1926</v>
      </c>
      <c r="ID625" s="1">
        <v>40688</v>
      </c>
      <c r="IE625">
        <v>2010</v>
      </c>
      <c r="IF625">
        <v>1063.56</v>
      </c>
      <c r="IG625" t="s">
        <v>6705</v>
      </c>
      <c r="IH625">
        <v>0.25</v>
      </c>
      <c r="II625" t="s">
        <v>424</v>
      </c>
      <c r="IJ625" t="s">
        <v>425</v>
      </c>
      <c r="IK625" s="1">
        <v>41127</v>
      </c>
      <c r="IL625">
        <v>15</v>
      </c>
      <c r="IM625">
        <v>11289</v>
      </c>
      <c r="IN625" t="s">
        <v>787</v>
      </c>
    </row>
    <row r="626" spans="1:260" x14ac:dyDescent="0.25">
      <c r="A626">
        <v>16485633</v>
      </c>
      <c r="B626">
        <v>625</v>
      </c>
      <c r="C626" t="s">
        <v>393</v>
      </c>
      <c r="D626" t="s">
        <v>394</v>
      </c>
      <c r="F626" t="str">
        <f>"06-1N-25-199S-0001-0230"</f>
        <v>06-1N-25-199S-0001-0230</v>
      </c>
      <c r="H626" t="str">
        <f>"JAN INVESTMENT GROUP INC"</f>
        <v>JAN INVESTMENT GROUP INC</v>
      </c>
      <c r="I626" t="str">
        <f>"PO BOX 455"</f>
        <v>PO BOX 455</v>
      </c>
      <c r="J626" t="str">
        <f t="shared" si="188"/>
        <v>CALLAHAN FL 32011</v>
      </c>
      <c r="K626" t="str">
        <f>"44140 QUAIL RIDGE DR"</f>
        <v>44140 QUAIL RIDGE DR</v>
      </c>
      <c r="L626" t="str">
        <f t="shared" si="181"/>
        <v>CALLAHAN FL 32011</v>
      </c>
      <c r="M626" t="str">
        <f>"BLOCK 1 LOT 23 IN OR 1603/845 SWALLOWFORK ESTATES PB 5/305"</f>
        <v>BLOCK 1 LOT 23 IN OR 1603/845 SWALLOWFORK ESTATES PB 5/305</v>
      </c>
      <c r="N626" t="str">
        <f>""</f>
        <v/>
      </c>
      <c r="O626" t="str">
        <f>"21829"</f>
        <v>21829</v>
      </c>
      <c r="P626" t="str">
        <f t="shared" si="176"/>
        <v>2017</v>
      </c>
      <c r="Q626" t="str">
        <f>""</f>
        <v/>
      </c>
      <c r="R626" t="str">
        <f t="shared" ref="R626:R642" si="191">"N"</f>
        <v>N</v>
      </c>
      <c r="S626" t="str">
        <f>""</f>
        <v/>
      </c>
      <c r="T626" t="str">
        <f>"1370.68"</f>
        <v>1370.68</v>
      </c>
      <c r="U626" t="str">
        <f>"90541.00"</f>
        <v>90541.00</v>
      </c>
      <c r="V626" t="str">
        <f>"90541.00"</f>
        <v>90541.00</v>
      </c>
      <c r="W626" t="str">
        <f t="shared" si="177"/>
        <v>2017</v>
      </c>
      <c r="X626" t="str">
        <f>"20.33"</f>
        <v>20.33</v>
      </c>
      <c r="Y626" t="str">
        <f>"1443.80"</f>
        <v>1443.80</v>
      </c>
      <c r="Z626" t="str">
        <f>""</f>
        <v/>
      </c>
      <c r="AA626" t="str">
        <f>"90541.00"</f>
        <v>90541.00</v>
      </c>
      <c r="AB626" t="str">
        <f t="shared" si="187"/>
        <v>Residential</v>
      </c>
      <c r="AC626" t="str">
        <f t="shared" si="185"/>
        <v>0</v>
      </c>
      <c r="AD626" t="str">
        <f t="shared" si="189"/>
        <v>4</v>
      </c>
      <c r="AE626" t="str">
        <f t="shared" si="190"/>
        <v>WOOD (INCLUDE STEEL STUDS)</v>
      </c>
      <c r="AF626" t="str">
        <f>"001"</f>
        <v>001</v>
      </c>
      <c r="AG626" t="str">
        <f t="shared" si="186"/>
        <v>FL</v>
      </c>
      <c r="AH626" t="str">
        <f>"-"</f>
        <v>-</v>
      </c>
      <c r="AI626" t="str">
        <f>"15750.00"</f>
        <v>15750.00</v>
      </c>
      <c r="AJ626" t="str">
        <f>"C55-000-586-6435-0"</f>
        <v>C55-000-586-6435-0</v>
      </c>
      <c r="AK626" t="str">
        <f>"10088"</f>
        <v>10088</v>
      </c>
      <c r="AL626">
        <v>3</v>
      </c>
      <c r="AM626">
        <v>720</v>
      </c>
      <c r="AN626">
        <v>1514.39</v>
      </c>
      <c r="AQ626" t="s">
        <v>6706</v>
      </c>
      <c r="AR626" t="s">
        <v>6706</v>
      </c>
      <c r="AS626" t="s">
        <v>6706</v>
      </c>
      <c r="AU626" t="s">
        <v>396</v>
      </c>
      <c r="AV626">
        <v>2017</v>
      </c>
      <c r="AW626" t="str">
        <f>"06-1N-25-199S-0001-0230 "</f>
        <v xml:space="preserve">06-1N-25-199S-0001-0230 </v>
      </c>
      <c r="AX626">
        <v>44140</v>
      </c>
      <c r="AZ626" t="s">
        <v>6707</v>
      </c>
      <c r="BA626" t="s">
        <v>669</v>
      </c>
      <c r="BD626" t="s">
        <v>2785</v>
      </c>
      <c r="BE626" t="s">
        <v>393</v>
      </c>
      <c r="BF626">
        <v>32011</v>
      </c>
      <c r="BG626" t="s">
        <v>6708</v>
      </c>
      <c r="BH626" t="s">
        <v>2787</v>
      </c>
      <c r="BI626">
        <v>-81.847770997196903</v>
      </c>
      <c r="BJ626">
        <v>30.5360393116298</v>
      </c>
      <c r="BK626" t="s">
        <v>6709</v>
      </c>
      <c r="BM626" t="s">
        <v>1372</v>
      </c>
      <c r="BN626" t="s">
        <v>928</v>
      </c>
      <c r="BO626">
        <v>32011</v>
      </c>
      <c r="BP626" t="s">
        <v>404</v>
      </c>
      <c r="BQ626">
        <v>100</v>
      </c>
      <c r="BR626" t="s">
        <v>514</v>
      </c>
      <c r="BS626">
        <v>1001</v>
      </c>
      <c r="BT626" t="s">
        <v>515</v>
      </c>
      <c r="BW626">
        <v>25236</v>
      </c>
      <c r="BX626" t="s">
        <v>407</v>
      </c>
      <c r="BY626" t="s">
        <v>408</v>
      </c>
      <c r="BZ626">
        <v>4</v>
      </c>
      <c r="CA626">
        <v>1993</v>
      </c>
      <c r="CB626">
        <v>1</v>
      </c>
      <c r="CC626">
        <v>1</v>
      </c>
      <c r="CD626">
        <v>2017</v>
      </c>
      <c r="CE626">
        <v>15750</v>
      </c>
      <c r="CF626">
        <v>74791</v>
      </c>
      <c r="CG626">
        <v>90541</v>
      </c>
      <c r="CH626">
        <v>2017</v>
      </c>
      <c r="CI626">
        <v>15750</v>
      </c>
      <c r="CJ626">
        <v>74791</v>
      </c>
      <c r="CK626">
        <v>90541</v>
      </c>
      <c r="CL626">
        <v>2017</v>
      </c>
      <c r="CM626">
        <v>1370.68</v>
      </c>
      <c r="CN626" s="1">
        <v>39843</v>
      </c>
      <c r="CO626">
        <v>73500</v>
      </c>
      <c r="CV626">
        <v>0</v>
      </c>
      <c r="CZ626" s="1">
        <v>39843</v>
      </c>
      <c r="DA626">
        <v>0</v>
      </c>
      <c r="DD626" t="s">
        <v>2785</v>
      </c>
      <c r="DF626">
        <v>23</v>
      </c>
      <c r="DG626">
        <v>6</v>
      </c>
      <c r="DJ626" t="s">
        <v>6710</v>
      </c>
      <c r="DL626">
        <v>50503</v>
      </c>
      <c r="DM626" t="s">
        <v>6696</v>
      </c>
      <c r="DO626" t="s">
        <v>6711</v>
      </c>
      <c r="DP626">
        <v>0</v>
      </c>
      <c r="DQ626">
        <v>0</v>
      </c>
      <c r="DR626" t="s">
        <v>411</v>
      </c>
      <c r="EP626" t="s">
        <v>421</v>
      </c>
      <c r="EQ626" t="s">
        <v>422</v>
      </c>
      <c r="ER626">
        <v>2</v>
      </c>
      <c r="ES626">
        <v>5</v>
      </c>
      <c r="ET626">
        <v>2847.46</v>
      </c>
      <c r="EU626">
        <v>154.87</v>
      </c>
      <c r="EV626">
        <v>3002.33</v>
      </c>
      <c r="EW626" s="2">
        <v>43222</v>
      </c>
      <c r="EX626" s="1">
        <v>42879</v>
      </c>
      <c r="EY626">
        <v>2016</v>
      </c>
      <c r="EZ626">
        <v>1423.73</v>
      </c>
      <c r="FA626" t="s">
        <v>6712</v>
      </c>
      <c r="FB626">
        <v>0.25</v>
      </c>
      <c r="FC626" t="s">
        <v>424</v>
      </c>
      <c r="FD626" t="s">
        <v>454</v>
      </c>
      <c r="FF626">
        <v>12</v>
      </c>
      <c r="FG626">
        <v>5856195</v>
      </c>
      <c r="FH626" t="s">
        <v>1060</v>
      </c>
      <c r="FJ626" s="1">
        <v>42879</v>
      </c>
      <c r="FK626">
        <v>2016</v>
      </c>
      <c r="FL626">
        <v>1423.73</v>
      </c>
      <c r="FM626" t="s">
        <v>6712</v>
      </c>
      <c r="FN626">
        <v>0.25</v>
      </c>
      <c r="FO626" t="s">
        <v>424</v>
      </c>
      <c r="FP626" t="s">
        <v>454</v>
      </c>
      <c r="FR626">
        <v>12</v>
      </c>
      <c r="FS626">
        <v>6018874</v>
      </c>
      <c r="FT626" t="s">
        <v>6713</v>
      </c>
      <c r="FV626" s="1">
        <v>41787</v>
      </c>
      <c r="FW626">
        <v>2013</v>
      </c>
      <c r="FX626">
        <v>1184.6199999999999</v>
      </c>
      <c r="FY626" t="s">
        <v>6714</v>
      </c>
      <c r="FZ626">
        <v>0.25</v>
      </c>
      <c r="GA626" t="s">
        <v>424</v>
      </c>
      <c r="GB626" t="s">
        <v>425</v>
      </c>
      <c r="GC626" s="1">
        <v>42202</v>
      </c>
      <c r="GD626">
        <v>14</v>
      </c>
      <c r="GE626">
        <v>2851116</v>
      </c>
      <c r="GF626" t="s">
        <v>480</v>
      </c>
      <c r="GH626" s="1">
        <v>41423</v>
      </c>
      <c r="GI626">
        <v>2012</v>
      </c>
      <c r="GJ626">
        <v>1204.5999999999999</v>
      </c>
      <c r="GK626" t="s">
        <v>6715</v>
      </c>
      <c r="GL626">
        <v>0.25</v>
      </c>
      <c r="GM626" t="s">
        <v>424</v>
      </c>
      <c r="GN626" t="s">
        <v>425</v>
      </c>
      <c r="GP626">
        <v>22</v>
      </c>
      <c r="GQ626">
        <v>606981</v>
      </c>
      <c r="GR626" t="s">
        <v>792</v>
      </c>
      <c r="GT626" s="1">
        <v>41423</v>
      </c>
      <c r="GU626">
        <v>2012</v>
      </c>
      <c r="GV626">
        <v>1204.5999999999999</v>
      </c>
      <c r="GW626" t="s">
        <v>6715</v>
      </c>
      <c r="GX626">
        <v>0.25</v>
      </c>
      <c r="GY626" t="s">
        <v>424</v>
      </c>
      <c r="GZ626" t="s">
        <v>425</v>
      </c>
      <c r="HA626" s="1">
        <v>42202</v>
      </c>
      <c r="HB626">
        <v>26</v>
      </c>
      <c r="HC626">
        <v>10594</v>
      </c>
      <c r="HD626" t="s">
        <v>4543</v>
      </c>
      <c r="HF626" s="1">
        <v>41052</v>
      </c>
      <c r="HG626">
        <v>2011</v>
      </c>
      <c r="HH626">
        <v>1222.8699999999999</v>
      </c>
      <c r="HI626" t="s">
        <v>6716</v>
      </c>
      <c r="HJ626">
        <v>3.25</v>
      </c>
      <c r="HK626" t="s">
        <v>424</v>
      </c>
      <c r="HL626" t="s">
        <v>425</v>
      </c>
      <c r="HN626">
        <v>22</v>
      </c>
      <c r="HO626">
        <v>11141</v>
      </c>
      <c r="HP626" t="s">
        <v>1723</v>
      </c>
      <c r="HR626" s="1">
        <v>41052</v>
      </c>
      <c r="HS626">
        <v>2011</v>
      </c>
      <c r="HT626">
        <v>1222.8699999999999</v>
      </c>
      <c r="HU626" t="s">
        <v>6716</v>
      </c>
      <c r="HV626">
        <v>3.25</v>
      </c>
      <c r="HW626" t="s">
        <v>424</v>
      </c>
      <c r="HX626" t="s">
        <v>425</v>
      </c>
      <c r="HY626" s="1">
        <v>42202</v>
      </c>
      <c r="HZ626">
        <v>38</v>
      </c>
      <c r="IA626">
        <v>1130</v>
      </c>
      <c r="IB626" t="s">
        <v>6717</v>
      </c>
    </row>
    <row r="627" spans="1:260" x14ac:dyDescent="0.25">
      <c r="A627">
        <v>16485634</v>
      </c>
      <c r="B627">
        <v>626</v>
      </c>
      <c r="C627" t="s">
        <v>393</v>
      </c>
      <c r="D627" t="s">
        <v>394</v>
      </c>
      <c r="F627" t="str">
        <f>"06-1N-25-199S-0049-0000"</f>
        <v>06-1N-25-199S-0049-0000</v>
      </c>
      <c r="H627" t="str">
        <f>"MARTIN BERNARD KYLE"</f>
        <v>MARTIN BERNARD KYLE</v>
      </c>
      <c r="I627" t="str">
        <f>"44387 SWALLOWFORK AVE"</f>
        <v>44387 SWALLOWFORK AVE</v>
      </c>
      <c r="J627" t="str">
        <f t="shared" si="188"/>
        <v>CALLAHAN FL 32011</v>
      </c>
      <c r="K627" t="str">
        <f>"SWALLOWFORK AV"</f>
        <v>SWALLOWFORK AV</v>
      </c>
      <c r="L627" t="str">
        <f t="shared" si="181"/>
        <v>CALLAHAN FL 32011</v>
      </c>
      <c r="M627" t="str">
        <f>"LOT 49 PT OR 1645/1177 (EX OR 1932/513) SWALLOWFORK ESTATES PHASE 2 PB 5/345"</f>
        <v>LOT 49 PT OR 1645/1177 (EX OR 1932/513) SWALLOWFORK ESTATES PHASE 2 PB 5/345</v>
      </c>
      <c r="N627" t="str">
        <f>""</f>
        <v/>
      </c>
      <c r="O627" t="str">
        <f>"21854"</f>
        <v>21854</v>
      </c>
      <c r="P627" t="str">
        <f t="shared" si="176"/>
        <v>2017</v>
      </c>
      <c r="Q627" t="str">
        <f>""</f>
        <v/>
      </c>
      <c r="R627" t="str">
        <f t="shared" si="191"/>
        <v>N</v>
      </c>
      <c r="S627" t="str">
        <f>""</f>
        <v/>
      </c>
      <c r="T627" t="str">
        <f>"194.35"</f>
        <v>194.35</v>
      </c>
      <c r="U627" t="str">
        <f>"10588.00"</f>
        <v>10588.00</v>
      </c>
      <c r="V627" t="str">
        <f>"10588.00"</f>
        <v>10588.00</v>
      </c>
      <c r="W627" t="str">
        <f t="shared" si="177"/>
        <v>2017</v>
      </c>
      <c r="X627" t="str">
        <f>""</f>
        <v/>
      </c>
      <c r="Y627" t="str">
        <f>"232.18"</f>
        <v>232.18</v>
      </c>
      <c r="Z627" t="str">
        <f>""</f>
        <v/>
      </c>
      <c r="AA627" t="str">
        <f>"15750.00"</f>
        <v>15750.00</v>
      </c>
      <c r="AB627" t="str">
        <f t="shared" si="187"/>
        <v>Residential</v>
      </c>
      <c r="AC627" t="str">
        <f t="shared" si="185"/>
        <v>0</v>
      </c>
      <c r="AD627" t="str">
        <f>""</f>
        <v/>
      </c>
      <c r="AE627" t="str">
        <f>""</f>
        <v/>
      </c>
      <c r="AF627" t="str">
        <f>"000"</f>
        <v>000</v>
      </c>
      <c r="AG627" t="str">
        <f t="shared" si="186"/>
        <v>FL</v>
      </c>
      <c r="AH627" t="str">
        <f>"23014.00"</f>
        <v>23014.00</v>
      </c>
      <c r="AI627" t="str">
        <f>"15750.00"</f>
        <v>15750.00</v>
      </c>
      <c r="AJ627" t="str">
        <f>"C55-001-060-7648-2"</f>
        <v>C55-001-060-7648-2</v>
      </c>
      <c r="AK627" t="str">
        <f>"10104"</f>
        <v>10104</v>
      </c>
      <c r="AL627">
        <v>3</v>
      </c>
      <c r="AM627">
        <v>721</v>
      </c>
      <c r="AN627">
        <v>242.19</v>
      </c>
      <c r="AQ627" t="s">
        <v>6718</v>
      </c>
      <c r="AR627" t="s">
        <v>6718</v>
      </c>
      <c r="AS627" t="s">
        <v>6718</v>
      </c>
      <c r="AU627" t="s">
        <v>396</v>
      </c>
      <c r="AV627">
        <v>2017</v>
      </c>
      <c r="AW627" t="str">
        <f>"06-1N-25-199S-0049-0000 "</f>
        <v xml:space="preserve">06-1N-25-199S-0049-0000 </v>
      </c>
      <c r="AZ627" t="s">
        <v>6719</v>
      </c>
      <c r="BA627" t="s">
        <v>1122</v>
      </c>
      <c r="BD627" t="s">
        <v>2785</v>
      </c>
      <c r="BE627" t="s">
        <v>393</v>
      </c>
      <c r="BF627">
        <v>32011</v>
      </c>
      <c r="BG627" t="s">
        <v>6720</v>
      </c>
      <c r="BH627" t="s">
        <v>2787</v>
      </c>
      <c r="BI627">
        <v>-81.843655461513407</v>
      </c>
      <c r="BJ627">
        <v>30.539000896376098</v>
      </c>
      <c r="BK627" t="s">
        <v>6721</v>
      </c>
      <c r="BL627" t="s">
        <v>6722</v>
      </c>
      <c r="BM627" t="s">
        <v>6723</v>
      </c>
      <c r="BN627" t="s">
        <v>928</v>
      </c>
      <c r="BO627">
        <v>32011</v>
      </c>
      <c r="BP627" t="s">
        <v>404</v>
      </c>
      <c r="BQ627">
        <v>0</v>
      </c>
      <c r="BR627" t="s">
        <v>491</v>
      </c>
      <c r="BS627">
        <v>8001</v>
      </c>
      <c r="BT627" t="s">
        <v>492</v>
      </c>
      <c r="BW627">
        <v>23014</v>
      </c>
      <c r="BX627" t="s">
        <v>407</v>
      </c>
      <c r="BY627" t="s">
        <v>408</v>
      </c>
      <c r="CD627">
        <v>2017</v>
      </c>
      <c r="CE627">
        <v>15750</v>
      </c>
      <c r="CG627">
        <v>15750</v>
      </c>
      <c r="CH627">
        <v>2017</v>
      </c>
      <c r="CI627">
        <v>15750</v>
      </c>
      <c r="CK627">
        <v>15750</v>
      </c>
      <c r="CL627">
        <v>2017</v>
      </c>
      <c r="CM627">
        <v>194.35</v>
      </c>
      <c r="CN627" s="1">
        <v>36903</v>
      </c>
      <c r="CO627">
        <v>6800</v>
      </c>
      <c r="CV627">
        <v>6750</v>
      </c>
      <c r="CX627" t="s">
        <v>707</v>
      </c>
      <c r="CZ627" s="1">
        <v>36903</v>
      </c>
      <c r="DA627">
        <v>0</v>
      </c>
      <c r="DD627" t="s">
        <v>2785</v>
      </c>
      <c r="DF627">
        <v>49</v>
      </c>
      <c r="DG627">
        <v>6</v>
      </c>
      <c r="DJ627" t="s">
        <v>6710</v>
      </c>
      <c r="DL627">
        <v>50503</v>
      </c>
      <c r="DM627" t="s">
        <v>6696</v>
      </c>
      <c r="DO627" t="s">
        <v>6724</v>
      </c>
      <c r="DP627">
        <v>0</v>
      </c>
      <c r="DQ627">
        <v>0</v>
      </c>
      <c r="DR627" t="s">
        <v>411</v>
      </c>
      <c r="DS627" t="b">
        <v>1</v>
      </c>
      <c r="DT627" t="s">
        <v>470</v>
      </c>
      <c r="DU627" t="s">
        <v>471</v>
      </c>
      <c r="DV627" t="s">
        <v>472</v>
      </c>
      <c r="DX627">
        <v>-9999</v>
      </c>
      <c r="DZ627" t="s">
        <v>447</v>
      </c>
      <c r="EA627" t="s">
        <v>448</v>
      </c>
      <c r="EB627" t="s">
        <v>742</v>
      </c>
      <c r="EC627">
        <v>20101217</v>
      </c>
      <c r="ED627" t="s">
        <v>474</v>
      </c>
      <c r="EF627">
        <v>215</v>
      </c>
      <c r="EG627">
        <v>215</v>
      </c>
      <c r="EI627">
        <v>20160407</v>
      </c>
      <c r="EJ627">
        <v>0</v>
      </c>
      <c r="EK627">
        <v>0</v>
      </c>
      <c r="EP627" t="s">
        <v>421</v>
      </c>
      <c r="EQ627" t="s">
        <v>422</v>
      </c>
      <c r="ER627">
        <v>3</v>
      </c>
      <c r="ES627">
        <v>0</v>
      </c>
      <c r="ET627">
        <v>542.82000000000005</v>
      </c>
      <c r="EU627">
        <v>194.34</v>
      </c>
      <c r="EV627">
        <v>737.16</v>
      </c>
      <c r="EW627" s="2">
        <v>43222</v>
      </c>
      <c r="EX627" s="1">
        <v>42879</v>
      </c>
      <c r="EY627">
        <v>2016</v>
      </c>
      <c r="EZ627">
        <v>207.94</v>
      </c>
      <c r="FA627" t="s">
        <v>6725</v>
      </c>
      <c r="FB627">
        <v>18</v>
      </c>
      <c r="FC627" t="s">
        <v>424</v>
      </c>
      <c r="FD627" t="s">
        <v>454</v>
      </c>
      <c r="FF627">
        <v>12</v>
      </c>
      <c r="FG627">
        <v>7685283</v>
      </c>
      <c r="FH627" t="s">
        <v>6726</v>
      </c>
      <c r="FJ627" s="1">
        <v>42515</v>
      </c>
      <c r="FK627">
        <v>2015</v>
      </c>
      <c r="FL627">
        <v>170.81</v>
      </c>
      <c r="FM627" t="s">
        <v>6727</v>
      </c>
      <c r="FN627">
        <v>17.75</v>
      </c>
      <c r="FO627" t="s">
        <v>424</v>
      </c>
      <c r="FP627" t="s">
        <v>454</v>
      </c>
      <c r="FR627">
        <v>24</v>
      </c>
      <c r="FS627">
        <v>3039821</v>
      </c>
      <c r="FT627" t="s">
        <v>721</v>
      </c>
      <c r="FV627" s="1">
        <v>42151</v>
      </c>
      <c r="FW627">
        <v>2014</v>
      </c>
      <c r="FX627">
        <v>164.07</v>
      </c>
      <c r="FY627" t="s">
        <v>6728</v>
      </c>
      <c r="FZ627">
        <v>15.75</v>
      </c>
      <c r="GA627" t="s">
        <v>424</v>
      </c>
      <c r="GB627" t="s">
        <v>454</v>
      </c>
      <c r="GD627">
        <v>36</v>
      </c>
      <c r="GE627">
        <v>10125</v>
      </c>
      <c r="GF627" t="s">
        <v>440</v>
      </c>
    </row>
    <row r="628" spans="1:260" x14ac:dyDescent="0.25">
      <c r="A628">
        <v>16485635</v>
      </c>
      <c r="B628">
        <v>627</v>
      </c>
      <c r="C628" t="s">
        <v>393</v>
      </c>
      <c r="D628" t="s">
        <v>394</v>
      </c>
      <c r="F628" t="str">
        <f>"06-1N-25-199S-0107-0000"</f>
        <v>06-1N-25-199S-0107-0000</v>
      </c>
      <c r="H628" t="str">
        <f>"WEAKLEY ANGELA"</f>
        <v>WEAKLEY ANGELA</v>
      </c>
      <c r="I628" t="str">
        <f>"95135 RAINTREE LANE"</f>
        <v>95135 RAINTREE LANE</v>
      </c>
      <c r="J628" t="str">
        <f>"FERNANDINA BEACH FL 32034"</f>
        <v>FERNANDINA BEACH FL 32034</v>
      </c>
      <c r="K628" t="str">
        <f>"44965 SWALLOWFORK AVE"</f>
        <v>44965 SWALLOWFORK AVE</v>
      </c>
      <c r="L628" t="str">
        <f t="shared" si="181"/>
        <v>CALLAHAN FL 32011</v>
      </c>
      <c r="M628" t="str">
        <f>"LOTS 107 &amp; 108 IN OR 1237/402 2005 FTWD DW/MH SWALLOWFORK ESTATES PHASE 5 PB 5/348"</f>
        <v>LOTS 107 &amp; 108 IN OR 1237/402 2005 FTWD DW/MH SWALLOWFORK ESTATES PHASE 5 PB 5/348</v>
      </c>
      <c r="N628" t="str">
        <f>""</f>
        <v/>
      </c>
      <c r="O628" t="str">
        <f>"21915"</f>
        <v>21915</v>
      </c>
      <c r="P628" t="str">
        <f t="shared" si="176"/>
        <v>2017</v>
      </c>
      <c r="Q628" t="str">
        <f>""</f>
        <v/>
      </c>
      <c r="R628" t="str">
        <f t="shared" si="191"/>
        <v>N</v>
      </c>
      <c r="S628" t="str">
        <f>""</f>
        <v/>
      </c>
      <c r="T628" t="str">
        <f>"928.56"</f>
        <v>928.56</v>
      </c>
      <c r="U628" t="str">
        <f>"59543.00"</f>
        <v>59543.00</v>
      </c>
      <c r="V628" t="str">
        <f>"59543.00"</f>
        <v>59543.00</v>
      </c>
      <c r="W628" t="str">
        <f t="shared" si="177"/>
        <v>2017</v>
      </c>
      <c r="X628" t="str">
        <f>"6.00"</f>
        <v>6.00</v>
      </c>
      <c r="Y628" t="str">
        <f>"988.42"</f>
        <v>988.42</v>
      </c>
      <c r="Z628" t="str">
        <f>""</f>
        <v/>
      </c>
      <c r="AA628" t="str">
        <f>"63658.00"</f>
        <v>63658.00</v>
      </c>
      <c r="AB628" t="str">
        <f t="shared" si="187"/>
        <v>Residential</v>
      </c>
      <c r="AC628" t="str">
        <f t="shared" si="185"/>
        <v>0</v>
      </c>
      <c r="AD628" t="str">
        <f>"4"</f>
        <v>4</v>
      </c>
      <c r="AE628" t="str">
        <f>"WOOD (INCLUDE STEEL STUDS)"</f>
        <v>WOOD (INCLUDE STEEL STUDS)</v>
      </c>
      <c r="AF628" t="str">
        <f>"002"</f>
        <v>002</v>
      </c>
      <c r="AG628" t="str">
        <f t="shared" si="186"/>
        <v>FL</v>
      </c>
      <c r="AH628" t="str">
        <f>"-"</f>
        <v>-</v>
      </c>
      <c r="AI628" t="str">
        <f>"25200.00"</f>
        <v>25200.00</v>
      </c>
      <c r="AJ628" t="str">
        <f>"C55-000-586-6507-6"</f>
        <v>C55-000-586-6507-6</v>
      </c>
      <c r="AK628" t="str">
        <f>"10143"</f>
        <v>10143</v>
      </c>
      <c r="AL628">
        <v>3</v>
      </c>
      <c r="AM628">
        <v>722</v>
      </c>
      <c r="AN628">
        <v>1036.24</v>
      </c>
      <c r="AQ628" t="s">
        <v>6729</v>
      </c>
      <c r="AR628" t="s">
        <v>6729</v>
      </c>
      <c r="AS628" t="s">
        <v>6729</v>
      </c>
      <c r="AU628" t="s">
        <v>396</v>
      </c>
      <c r="AV628">
        <v>2017</v>
      </c>
      <c r="AW628" t="str">
        <f>"06-1N-25-199S-0107-0000 "</f>
        <v xml:space="preserve">06-1N-25-199S-0107-0000 </v>
      </c>
      <c r="AX628">
        <v>44965</v>
      </c>
      <c r="AZ628" t="s">
        <v>6719</v>
      </c>
      <c r="BA628" t="s">
        <v>1112</v>
      </c>
      <c r="BD628" t="s">
        <v>2785</v>
      </c>
      <c r="BE628" t="s">
        <v>393</v>
      </c>
      <c r="BF628">
        <v>32011</v>
      </c>
      <c r="BG628" t="s">
        <v>6730</v>
      </c>
      <c r="BH628" t="s">
        <v>2787</v>
      </c>
      <c r="BI628">
        <v>-81.834882475536901</v>
      </c>
      <c r="BJ628">
        <v>30.540502626413002</v>
      </c>
      <c r="BK628" t="s">
        <v>6731</v>
      </c>
      <c r="BM628" t="s">
        <v>6732</v>
      </c>
      <c r="BN628" t="s">
        <v>3983</v>
      </c>
      <c r="BO628">
        <v>32034</v>
      </c>
      <c r="BP628" t="s">
        <v>404</v>
      </c>
      <c r="BQ628">
        <v>200</v>
      </c>
      <c r="BR628" t="s">
        <v>405</v>
      </c>
      <c r="BS628">
        <v>1006</v>
      </c>
      <c r="BT628" t="s">
        <v>406</v>
      </c>
      <c r="BW628">
        <v>44000</v>
      </c>
      <c r="BX628" t="s">
        <v>407</v>
      </c>
      <c r="BY628" t="s">
        <v>408</v>
      </c>
      <c r="BZ628">
        <v>4</v>
      </c>
      <c r="CA628">
        <v>2005</v>
      </c>
      <c r="CB628">
        <v>1</v>
      </c>
      <c r="CC628">
        <v>1</v>
      </c>
      <c r="CD628">
        <v>2017</v>
      </c>
      <c r="CE628">
        <v>25200</v>
      </c>
      <c r="CF628">
        <v>38458</v>
      </c>
      <c r="CG628">
        <v>63658</v>
      </c>
      <c r="CH628">
        <v>2017</v>
      </c>
      <c r="CI628">
        <v>25200</v>
      </c>
      <c r="CJ628">
        <v>38458</v>
      </c>
      <c r="CK628">
        <v>63658</v>
      </c>
      <c r="CL628">
        <v>2017</v>
      </c>
      <c r="CM628">
        <v>928.56</v>
      </c>
      <c r="CN628" s="1">
        <v>38149</v>
      </c>
      <c r="CV628">
        <v>0</v>
      </c>
      <c r="CZ628" s="1">
        <v>38149</v>
      </c>
      <c r="DA628">
        <v>0</v>
      </c>
      <c r="DD628" t="s">
        <v>2785</v>
      </c>
      <c r="DG628">
        <v>6</v>
      </c>
      <c r="DL628">
        <v>50503</v>
      </c>
      <c r="DM628" t="s">
        <v>6696</v>
      </c>
      <c r="DO628" t="s">
        <v>6733</v>
      </c>
      <c r="DP628">
        <v>0</v>
      </c>
      <c r="DQ628">
        <v>0</v>
      </c>
      <c r="DR628" t="s">
        <v>411</v>
      </c>
      <c r="DS628" t="b">
        <v>1</v>
      </c>
      <c r="DT628" t="s">
        <v>470</v>
      </c>
      <c r="DU628" t="s">
        <v>471</v>
      </c>
      <c r="DV628" t="s">
        <v>472</v>
      </c>
      <c r="DX628">
        <v>-9999</v>
      </c>
      <c r="DZ628" t="s">
        <v>447</v>
      </c>
      <c r="EA628" t="s">
        <v>448</v>
      </c>
      <c r="EB628" t="s">
        <v>742</v>
      </c>
      <c r="EC628">
        <v>20101217</v>
      </c>
      <c r="ED628" t="s">
        <v>474</v>
      </c>
      <c r="EF628">
        <v>49.2</v>
      </c>
      <c r="EG628">
        <v>49.2</v>
      </c>
      <c r="EI628">
        <v>20160407</v>
      </c>
      <c r="EJ628">
        <v>0</v>
      </c>
      <c r="EK628">
        <v>0</v>
      </c>
      <c r="EP628" t="s">
        <v>421</v>
      </c>
      <c r="EQ628" t="s">
        <v>422</v>
      </c>
      <c r="ER628">
        <v>0</v>
      </c>
      <c r="ES628">
        <v>4</v>
      </c>
      <c r="ET628">
        <v>0</v>
      </c>
      <c r="EU628">
        <v>0</v>
      </c>
      <c r="EV628">
        <v>0</v>
      </c>
      <c r="EW628" s="2">
        <v>43222</v>
      </c>
      <c r="EX628" s="1">
        <v>42515</v>
      </c>
      <c r="EY628">
        <v>2015</v>
      </c>
      <c r="EZ628">
        <v>987.14</v>
      </c>
      <c r="FA628" t="s">
        <v>6734</v>
      </c>
      <c r="FB628">
        <v>0.25</v>
      </c>
      <c r="FC628" t="s">
        <v>424</v>
      </c>
      <c r="FD628" t="s">
        <v>425</v>
      </c>
      <c r="FE628" s="1">
        <v>42704</v>
      </c>
      <c r="FF628">
        <v>6</v>
      </c>
      <c r="FG628">
        <v>7045074</v>
      </c>
      <c r="FH628" t="s">
        <v>580</v>
      </c>
      <c r="FJ628" s="1">
        <v>42515</v>
      </c>
      <c r="FK628">
        <v>2015</v>
      </c>
      <c r="FL628">
        <v>987.14</v>
      </c>
      <c r="FM628" t="s">
        <v>6734</v>
      </c>
      <c r="FN628">
        <v>0.25</v>
      </c>
      <c r="FO628" t="s">
        <v>424</v>
      </c>
      <c r="FP628" t="s">
        <v>425</v>
      </c>
      <c r="FR628">
        <v>22</v>
      </c>
      <c r="FS628">
        <v>6215005</v>
      </c>
      <c r="FT628" t="s">
        <v>6735</v>
      </c>
      <c r="FV628" s="1">
        <v>42151</v>
      </c>
      <c r="FW628">
        <v>2014</v>
      </c>
      <c r="FX628">
        <v>947.83</v>
      </c>
      <c r="FY628" t="s">
        <v>6736</v>
      </c>
      <c r="FZ628">
        <v>0.25</v>
      </c>
      <c r="GA628" t="s">
        <v>424</v>
      </c>
      <c r="GB628" t="s">
        <v>425</v>
      </c>
      <c r="GC628" s="1">
        <v>42403</v>
      </c>
      <c r="GD628">
        <v>9</v>
      </c>
      <c r="GE628">
        <v>2851116</v>
      </c>
      <c r="GF628" t="s">
        <v>480</v>
      </c>
      <c r="GH628" s="1">
        <v>42151</v>
      </c>
      <c r="GI628">
        <v>2014</v>
      </c>
      <c r="GJ628">
        <v>947.83</v>
      </c>
      <c r="GK628" t="s">
        <v>6736</v>
      </c>
      <c r="GL628">
        <v>0.25</v>
      </c>
      <c r="GM628" t="s">
        <v>424</v>
      </c>
      <c r="GN628" t="s">
        <v>425</v>
      </c>
      <c r="GP628">
        <v>22</v>
      </c>
      <c r="GQ628">
        <v>5243682</v>
      </c>
      <c r="GR628" t="s">
        <v>6737</v>
      </c>
    </row>
    <row r="629" spans="1:260" x14ac:dyDescent="0.25">
      <c r="A629">
        <v>16485636</v>
      </c>
      <c r="B629">
        <v>628</v>
      </c>
      <c r="C629" t="s">
        <v>393</v>
      </c>
      <c r="D629" t="s">
        <v>394</v>
      </c>
      <c r="F629" t="str">
        <f>"06-1N-25-199S-0117-0000"</f>
        <v>06-1N-25-199S-0117-0000</v>
      </c>
      <c r="H629" t="str">
        <f>"SLUDER RALPH L JR &amp; LISA M"</f>
        <v>SLUDER RALPH L JR &amp; LISA M</v>
      </c>
      <c r="I629" t="str">
        <f>"44079 MAYHAW LANE"</f>
        <v>44079 MAYHAW LANE</v>
      </c>
      <c r="J629" t="str">
        <f>"CALLAHAN FL 32011"</f>
        <v>CALLAHAN FL 32011</v>
      </c>
      <c r="K629" t="str">
        <f>"44061 MAYHAW LN"</f>
        <v>44061 MAYHAW LN</v>
      </c>
      <c r="L629" t="str">
        <f t="shared" si="181"/>
        <v>CALLAHAN FL 32011</v>
      </c>
      <c r="M629" t="str">
        <f>"LOT 117 PT OR 1144/1691 SWALLOWFORK ESTATES PHASE 5 PB 5/348"</f>
        <v>LOT 117 PT OR 1144/1691 SWALLOWFORK ESTATES PHASE 5 PB 5/348</v>
      </c>
      <c r="N629" t="str">
        <f>""</f>
        <v/>
      </c>
      <c r="O629" t="str">
        <f>"21925"</f>
        <v>21925</v>
      </c>
      <c r="P629" t="str">
        <f t="shared" si="176"/>
        <v>2017</v>
      </c>
      <c r="Q629" t="str">
        <f>""</f>
        <v/>
      </c>
      <c r="R629" t="str">
        <f t="shared" si="191"/>
        <v>N</v>
      </c>
      <c r="S629" t="str">
        <f>""</f>
        <v/>
      </c>
      <c r="T629" t="str">
        <f>"207.27"</f>
        <v>207.27</v>
      </c>
      <c r="U629" t="str">
        <f>"12100.00"</f>
        <v>12100.00</v>
      </c>
      <c r="V629" t="str">
        <f>"12100.00"</f>
        <v>12100.00</v>
      </c>
      <c r="W629" t="str">
        <f t="shared" si="177"/>
        <v>2017</v>
      </c>
      <c r="X629" t="str">
        <f>"34.89"</f>
        <v>34.89</v>
      </c>
      <c r="Y629" t="str">
        <f>"245.49"</f>
        <v>245.49</v>
      </c>
      <c r="Z629" t="str">
        <f>""</f>
        <v/>
      </c>
      <c r="AA629" t="str">
        <f>"15750.00"</f>
        <v>15750.00</v>
      </c>
      <c r="AB629" t="str">
        <f t="shared" si="187"/>
        <v>Residential</v>
      </c>
      <c r="AC629" t="str">
        <f t="shared" si="185"/>
        <v>0</v>
      </c>
      <c r="AD629" t="str">
        <f>""</f>
        <v/>
      </c>
      <c r="AE629" t="str">
        <f>""</f>
        <v/>
      </c>
      <c r="AF629" t="str">
        <f>"000"</f>
        <v>000</v>
      </c>
      <c r="AG629" t="str">
        <f t="shared" si="186"/>
        <v>FL</v>
      </c>
      <c r="AH629" t="str">
        <f>"-"</f>
        <v>-</v>
      </c>
      <c r="AI629" t="str">
        <f>"15750.00"</f>
        <v>15750.00</v>
      </c>
      <c r="AJ629" t="str">
        <f>"C55-000-586-6517-5"</f>
        <v>C55-000-586-6517-5</v>
      </c>
      <c r="AK629" t="str">
        <f>"10149"</f>
        <v>10149</v>
      </c>
      <c r="AL629">
        <v>3</v>
      </c>
      <c r="AM629">
        <v>723</v>
      </c>
      <c r="AN629">
        <v>256.16000000000003</v>
      </c>
      <c r="AQ629" t="s">
        <v>6738</v>
      </c>
      <c r="AR629" t="s">
        <v>6738</v>
      </c>
      <c r="AS629" t="s">
        <v>6738</v>
      </c>
      <c r="AU629" t="s">
        <v>396</v>
      </c>
      <c r="AV629">
        <v>2017</v>
      </c>
      <c r="AW629" t="str">
        <f>"06-1N-25-199S-0117-0000 "</f>
        <v xml:space="preserve">06-1N-25-199S-0117-0000 </v>
      </c>
      <c r="AX629">
        <v>44061</v>
      </c>
      <c r="AZ629" t="s">
        <v>6739</v>
      </c>
      <c r="BA629" t="s">
        <v>653</v>
      </c>
      <c r="BD629" t="s">
        <v>2785</v>
      </c>
      <c r="BE629" t="s">
        <v>393</v>
      </c>
      <c r="BF629">
        <v>32011</v>
      </c>
      <c r="BG629" t="s">
        <v>6740</v>
      </c>
      <c r="BH629" t="s">
        <v>2787</v>
      </c>
      <c r="BI629">
        <v>-81.834537829700807</v>
      </c>
      <c r="BJ629">
        <v>30.542104119714399</v>
      </c>
      <c r="BK629" t="s">
        <v>6741</v>
      </c>
      <c r="BL629" t="s">
        <v>6742</v>
      </c>
      <c r="BM629" t="s">
        <v>6743</v>
      </c>
      <c r="BN629" t="s">
        <v>928</v>
      </c>
      <c r="BO629">
        <v>32011</v>
      </c>
      <c r="BP629" t="s">
        <v>404</v>
      </c>
      <c r="BQ629">
        <v>0</v>
      </c>
      <c r="BR629" t="s">
        <v>491</v>
      </c>
      <c r="BS629">
        <v>8001</v>
      </c>
      <c r="BT629" t="s">
        <v>492</v>
      </c>
      <c r="BW629">
        <v>23871</v>
      </c>
      <c r="BX629" t="s">
        <v>407</v>
      </c>
      <c r="BY629" t="s">
        <v>408</v>
      </c>
      <c r="CD629">
        <v>2017</v>
      </c>
      <c r="CE629">
        <v>15750</v>
      </c>
      <c r="CG629">
        <v>15750</v>
      </c>
      <c r="CH629">
        <v>2017</v>
      </c>
      <c r="CI629">
        <v>15750</v>
      </c>
      <c r="CK629">
        <v>15750</v>
      </c>
      <c r="CL629">
        <v>2017</v>
      </c>
      <c r="CM629">
        <v>207.27</v>
      </c>
      <c r="CN629" s="1">
        <v>37784</v>
      </c>
      <c r="CO629">
        <v>65000</v>
      </c>
      <c r="CV629">
        <v>65000</v>
      </c>
      <c r="CX629" t="s">
        <v>707</v>
      </c>
      <c r="CZ629" s="1">
        <v>37784</v>
      </c>
      <c r="DA629">
        <v>0</v>
      </c>
      <c r="DD629" t="s">
        <v>2785</v>
      </c>
      <c r="DF629">
        <v>117</v>
      </c>
      <c r="DG629">
        <v>6</v>
      </c>
      <c r="DJ629" t="s">
        <v>6710</v>
      </c>
      <c r="DL629">
        <v>50503</v>
      </c>
      <c r="DM629" t="s">
        <v>6696</v>
      </c>
      <c r="DO629" t="s">
        <v>6744</v>
      </c>
      <c r="DP629">
        <v>0</v>
      </c>
      <c r="DQ629">
        <v>0</v>
      </c>
      <c r="DR629" t="s">
        <v>411</v>
      </c>
      <c r="DS629" t="b">
        <v>1</v>
      </c>
      <c r="DT629" t="s">
        <v>470</v>
      </c>
      <c r="DU629" t="s">
        <v>471</v>
      </c>
      <c r="DV629" t="s">
        <v>472</v>
      </c>
      <c r="DX629">
        <v>-9999</v>
      </c>
      <c r="DZ629" t="s">
        <v>447</v>
      </c>
      <c r="EA629" t="s">
        <v>448</v>
      </c>
      <c r="EB629" t="s">
        <v>742</v>
      </c>
      <c r="EC629">
        <v>20101217</v>
      </c>
      <c r="ED629" t="s">
        <v>474</v>
      </c>
      <c r="EF629">
        <v>53.4</v>
      </c>
      <c r="EG629">
        <v>53.4</v>
      </c>
      <c r="EI629">
        <v>20160407</v>
      </c>
      <c r="EJ629">
        <v>0</v>
      </c>
      <c r="EK629">
        <v>0</v>
      </c>
      <c r="EP629" t="s">
        <v>595</v>
      </c>
      <c r="EQ629" t="s">
        <v>422</v>
      </c>
      <c r="ER629">
        <v>1</v>
      </c>
      <c r="ES629">
        <v>7</v>
      </c>
      <c r="ET629">
        <v>220.64</v>
      </c>
      <c r="EU629">
        <v>23.35</v>
      </c>
      <c r="EV629">
        <v>243.99</v>
      </c>
      <c r="EW629" s="2">
        <v>43222</v>
      </c>
      <c r="EX629" s="1">
        <v>42879</v>
      </c>
      <c r="EY629">
        <v>2016</v>
      </c>
      <c r="EZ629">
        <v>220.64</v>
      </c>
      <c r="FA629" t="s">
        <v>6745</v>
      </c>
      <c r="FB629">
        <v>7.75</v>
      </c>
      <c r="FC629" t="s">
        <v>424</v>
      </c>
      <c r="FD629" t="s">
        <v>454</v>
      </c>
      <c r="FF629">
        <v>12</v>
      </c>
      <c r="FG629">
        <v>10021</v>
      </c>
      <c r="FH629" t="s">
        <v>597</v>
      </c>
      <c r="FJ629" s="1">
        <v>42515</v>
      </c>
      <c r="FK629">
        <v>2015</v>
      </c>
      <c r="FL629">
        <v>192.05</v>
      </c>
      <c r="FM629" t="s">
        <v>6746</v>
      </c>
      <c r="FN629">
        <v>16.25</v>
      </c>
      <c r="FO629" t="s">
        <v>424</v>
      </c>
      <c r="FP629" t="s">
        <v>425</v>
      </c>
      <c r="FQ629" s="1">
        <v>43151</v>
      </c>
      <c r="FR629">
        <v>21</v>
      </c>
      <c r="FS629">
        <v>10364</v>
      </c>
      <c r="FT629" t="s">
        <v>4653</v>
      </c>
      <c r="FV629" s="1">
        <v>42515</v>
      </c>
      <c r="FW629">
        <v>2015</v>
      </c>
      <c r="FX629">
        <v>192.05</v>
      </c>
      <c r="FY629" t="s">
        <v>6746</v>
      </c>
      <c r="FZ629">
        <v>16.25</v>
      </c>
      <c r="GA629" t="s">
        <v>424</v>
      </c>
      <c r="GB629" t="s">
        <v>425</v>
      </c>
      <c r="GD629">
        <v>22</v>
      </c>
      <c r="GE629">
        <v>5432927</v>
      </c>
      <c r="GF629" t="s">
        <v>6747</v>
      </c>
      <c r="GH629" s="1">
        <v>42151</v>
      </c>
      <c r="GI629">
        <v>2014</v>
      </c>
      <c r="GJ629">
        <v>184.38</v>
      </c>
      <c r="GK629" t="s">
        <v>6748</v>
      </c>
      <c r="GL629">
        <v>18</v>
      </c>
      <c r="GM629" t="s">
        <v>424</v>
      </c>
      <c r="GN629" t="s">
        <v>425</v>
      </c>
      <c r="GO629" s="1">
        <v>42774</v>
      </c>
      <c r="GP629">
        <v>21</v>
      </c>
      <c r="GQ629">
        <v>10125</v>
      </c>
      <c r="GR629" t="s">
        <v>440</v>
      </c>
      <c r="GT629" s="1">
        <v>41423</v>
      </c>
      <c r="GU629">
        <v>2012</v>
      </c>
      <c r="GV629">
        <v>169.41</v>
      </c>
      <c r="GW629" t="s">
        <v>6749</v>
      </c>
      <c r="GX629">
        <v>16.75</v>
      </c>
      <c r="GY629" t="s">
        <v>424</v>
      </c>
      <c r="GZ629" t="s">
        <v>425</v>
      </c>
      <c r="HA629" s="1">
        <v>41646</v>
      </c>
      <c r="HB629">
        <v>8</v>
      </c>
      <c r="HC629">
        <v>10125</v>
      </c>
      <c r="HD629" t="s">
        <v>440</v>
      </c>
      <c r="HF629" s="1">
        <v>41052</v>
      </c>
      <c r="HG629">
        <v>2011</v>
      </c>
      <c r="HH629">
        <v>163.98</v>
      </c>
      <c r="HI629" t="s">
        <v>6750</v>
      </c>
      <c r="HJ629">
        <v>11.75</v>
      </c>
      <c r="HK629" t="s">
        <v>424</v>
      </c>
      <c r="HL629" t="s">
        <v>425</v>
      </c>
      <c r="HM629" s="1">
        <v>41646</v>
      </c>
      <c r="HN629">
        <v>20</v>
      </c>
      <c r="HO629">
        <v>10125</v>
      </c>
      <c r="HP629" t="s">
        <v>440</v>
      </c>
      <c r="HR629" s="1">
        <v>40688</v>
      </c>
      <c r="HS629">
        <v>2010</v>
      </c>
      <c r="HT629">
        <v>182.73</v>
      </c>
      <c r="HU629" t="s">
        <v>6751</v>
      </c>
      <c r="HV629">
        <v>18</v>
      </c>
      <c r="HW629" t="s">
        <v>424</v>
      </c>
      <c r="HX629" t="s">
        <v>425</v>
      </c>
      <c r="HY629" s="1">
        <v>41646</v>
      </c>
      <c r="HZ629">
        <v>32</v>
      </c>
      <c r="IA629">
        <v>574</v>
      </c>
      <c r="IB629" t="s">
        <v>5533</v>
      </c>
      <c r="ID629" s="1">
        <v>40688</v>
      </c>
      <c r="IE629">
        <v>2010</v>
      </c>
      <c r="IF629">
        <v>173.87</v>
      </c>
      <c r="IG629" t="s">
        <v>6751</v>
      </c>
      <c r="IH629">
        <v>18</v>
      </c>
      <c r="II629" t="s">
        <v>603</v>
      </c>
      <c r="IJ629" t="s">
        <v>425</v>
      </c>
      <c r="IL629">
        <v>22</v>
      </c>
      <c r="IM629">
        <v>9999999</v>
      </c>
      <c r="IN629" t="s">
        <v>604</v>
      </c>
    </row>
    <row r="630" spans="1:260" x14ac:dyDescent="0.25">
      <c r="A630">
        <v>16485637</v>
      </c>
      <c r="B630">
        <v>629</v>
      </c>
      <c r="C630" t="s">
        <v>393</v>
      </c>
      <c r="D630" t="s">
        <v>394</v>
      </c>
      <c r="F630" t="str">
        <f>"06-1N-25-199S-0118-0000"</f>
        <v>06-1N-25-199S-0118-0000</v>
      </c>
      <c r="H630" t="str">
        <f>"SLUDER RALPH L JR &amp; LISA M"</f>
        <v>SLUDER RALPH L JR &amp; LISA M</v>
      </c>
      <c r="I630" t="str">
        <f>"44079 MAYHAW LANE"</f>
        <v>44079 MAYHAW LANE</v>
      </c>
      <c r="J630" t="str">
        <f>"CALLAHAN FL 32011"</f>
        <v>CALLAHAN FL 32011</v>
      </c>
      <c r="K630" t="str">
        <f>"44079 MAYHAW LN"</f>
        <v>44079 MAYHAW LN</v>
      </c>
      <c r="L630" t="str">
        <f t="shared" si="181"/>
        <v>CALLAHAN FL 32011</v>
      </c>
      <c r="M630" t="str">
        <f>"LOT 118 PT OR 1144/1691 SWALLOWFORK ESTATES PHASE 5 PB 5/348"</f>
        <v>LOT 118 PT OR 1144/1691 SWALLOWFORK ESTATES PHASE 5 PB 5/348</v>
      </c>
      <c r="N630" t="str">
        <f>""</f>
        <v/>
      </c>
      <c r="O630" t="str">
        <f>"21926"</f>
        <v>21926</v>
      </c>
      <c r="P630" t="str">
        <f t="shared" si="176"/>
        <v>2017</v>
      </c>
      <c r="Q630" t="str">
        <f>""</f>
        <v/>
      </c>
      <c r="R630" t="str">
        <f t="shared" si="191"/>
        <v>N</v>
      </c>
      <c r="S630" t="str">
        <f>""</f>
        <v/>
      </c>
      <c r="T630" t="str">
        <f>"431.41"</f>
        <v>431.41</v>
      </c>
      <c r="U630" t="str">
        <f>"26640.00"</f>
        <v>26640.00</v>
      </c>
      <c r="V630" t="str">
        <f>"26640.00"</f>
        <v>26640.00</v>
      </c>
      <c r="W630" t="str">
        <f t="shared" si="177"/>
        <v>2017</v>
      </c>
      <c r="X630" t="str">
        <f>"22.71"</f>
        <v>22.71</v>
      </c>
      <c r="Y630" t="str">
        <f>"476.35"</f>
        <v>476.35</v>
      </c>
      <c r="Z630" t="str">
        <f>""</f>
        <v/>
      </c>
      <c r="AA630" t="str">
        <f>"30901.00"</f>
        <v>30901.00</v>
      </c>
      <c r="AB630" t="str">
        <f t="shared" si="187"/>
        <v>Residential</v>
      </c>
      <c r="AC630" t="str">
        <f t="shared" si="185"/>
        <v>0</v>
      </c>
      <c r="AD630" t="str">
        <f>"4"</f>
        <v>4</v>
      </c>
      <c r="AE630" t="str">
        <f>"WOOD (INCLUDE STEEL STUDS)"</f>
        <v>WOOD (INCLUDE STEEL STUDS)</v>
      </c>
      <c r="AF630" t="str">
        <f>"002"</f>
        <v>002</v>
      </c>
      <c r="AG630" t="str">
        <f t="shared" si="186"/>
        <v>FL</v>
      </c>
      <c r="AH630" t="str">
        <f>"-"</f>
        <v>-</v>
      </c>
      <c r="AI630" t="str">
        <f>"15750.00"</f>
        <v>15750.00</v>
      </c>
      <c r="AJ630" t="str">
        <f>"C55-000-586-6518-3"</f>
        <v>C55-000-586-6518-3</v>
      </c>
      <c r="AK630" t="str">
        <f>"10150"</f>
        <v>10150</v>
      </c>
      <c r="AL630">
        <v>3</v>
      </c>
      <c r="AM630">
        <v>724</v>
      </c>
      <c r="AN630">
        <v>498.57</v>
      </c>
      <c r="AQ630" t="s">
        <v>6752</v>
      </c>
      <c r="AR630" t="s">
        <v>6752</v>
      </c>
      <c r="AS630" t="s">
        <v>6752</v>
      </c>
      <c r="AU630" t="s">
        <v>396</v>
      </c>
      <c r="AV630">
        <v>2017</v>
      </c>
      <c r="AW630" t="str">
        <f>"06-1N-25-199S-0118-0000 "</f>
        <v xml:space="preserve">06-1N-25-199S-0118-0000 </v>
      </c>
      <c r="AX630">
        <v>44079</v>
      </c>
      <c r="AZ630" t="s">
        <v>6739</v>
      </c>
      <c r="BA630" t="s">
        <v>653</v>
      </c>
      <c r="BD630" t="s">
        <v>2785</v>
      </c>
      <c r="BE630" t="s">
        <v>393</v>
      </c>
      <c r="BF630">
        <v>32011</v>
      </c>
      <c r="BG630" t="s">
        <v>6743</v>
      </c>
      <c r="BH630" t="s">
        <v>2787</v>
      </c>
      <c r="BI630">
        <v>-81.834882385127202</v>
      </c>
      <c r="BJ630">
        <v>30.542097664170001</v>
      </c>
      <c r="BK630" t="s">
        <v>6741</v>
      </c>
      <c r="BL630" t="s">
        <v>6742</v>
      </c>
      <c r="BM630" t="s">
        <v>6743</v>
      </c>
      <c r="BN630" t="s">
        <v>928</v>
      </c>
      <c r="BO630">
        <v>32011</v>
      </c>
      <c r="BP630" t="s">
        <v>416</v>
      </c>
      <c r="BQ630">
        <v>200</v>
      </c>
      <c r="BR630" t="s">
        <v>405</v>
      </c>
      <c r="BS630">
        <v>1006</v>
      </c>
      <c r="BT630" t="s">
        <v>406</v>
      </c>
      <c r="BW630">
        <v>23870</v>
      </c>
      <c r="BX630" t="s">
        <v>407</v>
      </c>
      <c r="BY630" t="s">
        <v>408</v>
      </c>
      <c r="BZ630">
        <v>4</v>
      </c>
      <c r="CA630">
        <v>1986</v>
      </c>
      <c r="CC630">
        <v>1</v>
      </c>
      <c r="CD630">
        <v>2017</v>
      </c>
      <c r="CE630">
        <v>15750</v>
      </c>
      <c r="CF630">
        <v>15151</v>
      </c>
      <c r="CG630">
        <v>30901</v>
      </c>
      <c r="CH630">
        <v>2017</v>
      </c>
      <c r="CI630">
        <v>15750</v>
      </c>
      <c r="CJ630">
        <v>15151</v>
      </c>
      <c r="CK630">
        <v>30901</v>
      </c>
      <c r="CL630">
        <v>2017</v>
      </c>
      <c r="CM630">
        <v>431.41</v>
      </c>
      <c r="CN630" s="1">
        <v>37784</v>
      </c>
      <c r="CO630">
        <v>65000</v>
      </c>
      <c r="CZ630" s="1">
        <v>37784</v>
      </c>
      <c r="DD630" t="s">
        <v>2785</v>
      </c>
      <c r="DF630">
        <v>118</v>
      </c>
      <c r="DG630">
        <v>6</v>
      </c>
      <c r="DJ630" t="s">
        <v>6710</v>
      </c>
      <c r="DL630">
        <v>50503</v>
      </c>
      <c r="DM630" t="s">
        <v>6696</v>
      </c>
      <c r="DO630" t="s">
        <v>6753</v>
      </c>
      <c r="DP630">
        <v>0</v>
      </c>
      <c r="DQ630">
        <v>0</v>
      </c>
      <c r="DR630" t="s">
        <v>411</v>
      </c>
      <c r="DS630" t="b">
        <v>1</v>
      </c>
      <c r="DT630" t="s">
        <v>470</v>
      </c>
      <c r="DU630" t="s">
        <v>471</v>
      </c>
      <c r="DV630" t="s">
        <v>472</v>
      </c>
      <c r="DX630">
        <v>-9999</v>
      </c>
      <c r="DZ630" t="s">
        <v>447</v>
      </c>
      <c r="EA630" t="s">
        <v>448</v>
      </c>
      <c r="EB630" t="s">
        <v>742</v>
      </c>
      <c r="EC630">
        <v>20101217</v>
      </c>
      <c r="ED630" t="s">
        <v>474</v>
      </c>
      <c r="EF630">
        <v>118.5</v>
      </c>
      <c r="EG630">
        <v>118.5</v>
      </c>
      <c r="EI630">
        <v>20160407</v>
      </c>
      <c r="EJ630">
        <v>0</v>
      </c>
      <c r="EK630">
        <v>0</v>
      </c>
      <c r="EP630" t="s">
        <v>595</v>
      </c>
      <c r="EQ630" t="s">
        <v>452</v>
      </c>
      <c r="ER630">
        <v>1</v>
      </c>
      <c r="ES630">
        <v>7</v>
      </c>
      <c r="ET630">
        <v>429.07</v>
      </c>
      <c r="EU630">
        <v>27.7</v>
      </c>
      <c r="EV630">
        <v>456.77</v>
      </c>
      <c r="EW630" s="2">
        <v>43222</v>
      </c>
      <c r="EX630" s="1">
        <v>42879</v>
      </c>
      <c r="EY630">
        <v>2016</v>
      </c>
      <c r="EZ630">
        <v>429.07</v>
      </c>
      <c r="FA630" t="s">
        <v>6754</v>
      </c>
      <c r="FB630">
        <v>4.75</v>
      </c>
      <c r="FC630" t="s">
        <v>424</v>
      </c>
      <c r="FD630" t="s">
        <v>454</v>
      </c>
      <c r="FF630">
        <v>12</v>
      </c>
      <c r="FG630">
        <v>2035919</v>
      </c>
      <c r="FH630" t="s">
        <v>507</v>
      </c>
      <c r="FJ630" s="1">
        <v>42515</v>
      </c>
      <c r="FK630">
        <v>2015</v>
      </c>
      <c r="FL630">
        <v>413.03</v>
      </c>
      <c r="FM630" t="s">
        <v>6755</v>
      </c>
      <c r="FN630">
        <v>18</v>
      </c>
      <c r="FO630" t="s">
        <v>603</v>
      </c>
      <c r="FP630" t="s">
        <v>425</v>
      </c>
      <c r="FR630">
        <v>22</v>
      </c>
      <c r="FS630">
        <v>9999999</v>
      </c>
      <c r="FT630" t="s">
        <v>604</v>
      </c>
      <c r="FV630" s="1">
        <v>42515</v>
      </c>
      <c r="FW630">
        <v>2015</v>
      </c>
      <c r="FX630">
        <v>425.48</v>
      </c>
      <c r="FY630" t="s">
        <v>6755</v>
      </c>
      <c r="FZ630">
        <v>18</v>
      </c>
      <c r="GA630" t="s">
        <v>424</v>
      </c>
      <c r="GB630" t="s">
        <v>425</v>
      </c>
      <c r="GC630" s="1">
        <v>43151</v>
      </c>
      <c r="GD630">
        <v>21</v>
      </c>
      <c r="GE630">
        <v>7336683</v>
      </c>
      <c r="GF630" t="s">
        <v>6756</v>
      </c>
      <c r="GH630" s="1">
        <v>42151</v>
      </c>
      <c r="GI630">
        <v>2014</v>
      </c>
      <c r="GJ630">
        <v>366.36</v>
      </c>
      <c r="GK630" t="s">
        <v>6757</v>
      </c>
      <c r="GL630">
        <v>3.75</v>
      </c>
      <c r="GM630" t="s">
        <v>424</v>
      </c>
      <c r="GN630" t="s">
        <v>425</v>
      </c>
      <c r="GO630" s="1">
        <v>42774</v>
      </c>
      <c r="GP630">
        <v>21</v>
      </c>
      <c r="GQ630">
        <v>4975593</v>
      </c>
      <c r="GR630" t="s">
        <v>505</v>
      </c>
      <c r="GT630" s="1">
        <v>41423</v>
      </c>
      <c r="GU630">
        <v>2012</v>
      </c>
      <c r="GV630">
        <v>507.55</v>
      </c>
      <c r="GW630" t="s">
        <v>6758</v>
      </c>
      <c r="GX630">
        <v>3.75</v>
      </c>
      <c r="GY630" t="s">
        <v>424</v>
      </c>
      <c r="GZ630" t="s">
        <v>425</v>
      </c>
      <c r="HA630" s="1">
        <v>41526</v>
      </c>
      <c r="HB630">
        <v>4</v>
      </c>
      <c r="HC630">
        <v>15399</v>
      </c>
      <c r="HD630" t="s">
        <v>485</v>
      </c>
      <c r="HE630" t="s">
        <v>458</v>
      </c>
      <c r="HF630" s="1">
        <v>41052</v>
      </c>
      <c r="HG630">
        <v>2011</v>
      </c>
      <c r="HH630">
        <v>560.99</v>
      </c>
      <c r="HI630" t="s">
        <v>6759</v>
      </c>
      <c r="HJ630">
        <v>11.75</v>
      </c>
      <c r="HK630" t="s">
        <v>424</v>
      </c>
      <c r="HL630" t="s">
        <v>425</v>
      </c>
      <c r="HM630" s="1">
        <v>41526</v>
      </c>
      <c r="HN630">
        <v>16</v>
      </c>
      <c r="HO630">
        <v>10125</v>
      </c>
      <c r="HP630" t="s">
        <v>440</v>
      </c>
      <c r="HQ630" t="s">
        <v>458</v>
      </c>
      <c r="HR630" s="1">
        <v>40688</v>
      </c>
      <c r="HS630">
        <v>2010</v>
      </c>
      <c r="HT630">
        <v>567.49</v>
      </c>
      <c r="HU630" t="s">
        <v>6760</v>
      </c>
      <c r="HV630">
        <v>8</v>
      </c>
      <c r="HW630" t="s">
        <v>424</v>
      </c>
      <c r="HX630" t="s">
        <v>425</v>
      </c>
      <c r="HZ630">
        <v>22</v>
      </c>
      <c r="IA630">
        <v>15175</v>
      </c>
      <c r="IB630" t="s">
        <v>588</v>
      </c>
      <c r="IC630" t="s">
        <v>458</v>
      </c>
      <c r="ID630" s="1">
        <v>40688</v>
      </c>
      <c r="IE630">
        <v>2010</v>
      </c>
      <c r="IF630">
        <v>567.49</v>
      </c>
      <c r="IG630" t="s">
        <v>6760</v>
      </c>
      <c r="IH630">
        <v>8</v>
      </c>
      <c r="II630" t="s">
        <v>424</v>
      </c>
      <c r="IJ630" t="s">
        <v>425</v>
      </c>
      <c r="IL630">
        <v>22</v>
      </c>
      <c r="IM630">
        <v>10548</v>
      </c>
      <c r="IN630" t="s">
        <v>589</v>
      </c>
      <c r="IO630" t="s">
        <v>458</v>
      </c>
    </row>
    <row r="631" spans="1:260" x14ac:dyDescent="0.25">
      <c r="A631">
        <v>16485638</v>
      </c>
      <c r="B631">
        <v>630</v>
      </c>
      <c r="C631" t="s">
        <v>393</v>
      </c>
      <c r="D631" t="s">
        <v>394</v>
      </c>
      <c r="F631" t="str">
        <f>"06-1N-25-199S-0149-0000"</f>
        <v>06-1N-25-199S-0149-0000</v>
      </c>
      <c r="H631" t="str">
        <f>"SIMPKINS CREGG A"</f>
        <v>SIMPKINS CREGG A</v>
      </c>
      <c r="I631" t="str">
        <f>"6172 MILTONDALE RD"</f>
        <v>6172 MILTONDALE RD</v>
      </c>
      <c r="J631" t="str">
        <f>"MACCLENNY FL 32063"</f>
        <v>MACCLENNY FL 32063</v>
      </c>
      <c r="K631" t="str">
        <f>"44866 SWALLOWFORK AVE"</f>
        <v>44866 SWALLOWFORK AVE</v>
      </c>
      <c r="L631" t="str">
        <f t="shared" si="181"/>
        <v>CALLAHAN FL 32011</v>
      </c>
      <c r="M631" t="str">
        <f>"LOTS 149 &amp; 150 2000 PALM HARBOR DW/MH IN OR 1964/49 SWALLOWFORK ESTATES PHASE 5 PB 5/348"</f>
        <v>LOTS 149 &amp; 150 2000 PALM HARBOR DW/MH IN OR 1964/49 SWALLOWFORK ESTATES PHASE 5 PB 5/348</v>
      </c>
      <c r="N631" t="str">
        <f>""</f>
        <v/>
      </c>
      <c r="O631" t="str">
        <f>"21958"</f>
        <v>21958</v>
      </c>
      <c r="P631" t="str">
        <f t="shared" si="176"/>
        <v>2017</v>
      </c>
      <c r="Q631" t="str">
        <f>""</f>
        <v/>
      </c>
      <c r="R631" t="str">
        <f t="shared" si="191"/>
        <v>N</v>
      </c>
      <c r="S631" t="str">
        <f>""</f>
        <v/>
      </c>
      <c r="T631" t="str">
        <f>"984.00"</f>
        <v>984.00</v>
      </c>
      <c r="U631" t="str">
        <f>"62905.00"</f>
        <v>62905.00</v>
      </c>
      <c r="V631" t="str">
        <f>"62905.00"</f>
        <v>62905.00</v>
      </c>
      <c r="W631" t="str">
        <f t="shared" si="177"/>
        <v>2017</v>
      </c>
      <c r="X631" t="str">
        <f>"8.67"</f>
        <v>8.67</v>
      </c>
      <c r="Y631" t="str">
        <f>"1045.52"</f>
        <v>1045.52</v>
      </c>
      <c r="Z631" t="str">
        <f>""</f>
        <v/>
      </c>
      <c r="AA631" t="str">
        <f>"67709.00"</f>
        <v>67709.00</v>
      </c>
      <c r="AB631" t="str">
        <f t="shared" si="187"/>
        <v>Residential</v>
      </c>
      <c r="AC631" t="str">
        <f t="shared" si="185"/>
        <v>0</v>
      </c>
      <c r="AD631" t="str">
        <f>"4"</f>
        <v>4</v>
      </c>
      <c r="AE631" t="str">
        <f>"WOOD (INCLUDE STEEL STUDS)"</f>
        <v>WOOD (INCLUDE STEEL STUDS)</v>
      </c>
      <c r="AF631" t="str">
        <f>"002"</f>
        <v>002</v>
      </c>
      <c r="AG631" t="str">
        <f t="shared" si="186"/>
        <v>FL</v>
      </c>
      <c r="AH631" t="str">
        <f>"-"</f>
        <v>-</v>
      </c>
      <c r="AI631" t="str">
        <f>"25200.00"</f>
        <v>25200.00</v>
      </c>
      <c r="AJ631" t="str">
        <f>"C55-000-586-6548-0"</f>
        <v>C55-000-586-6548-0</v>
      </c>
      <c r="AK631" t="str">
        <f>"10171"</f>
        <v>10171</v>
      </c>
      <c r="AL631">
        <v>3</v>
      </c>
      <c r="AM631">
        <v>725</v>
      </c>
      <c r="AN631">
        <v>1096.2</v>
      </c>
      <c r="AQ631" t="s">
        <v>6761</v>
      </c>
      <c r="AR631" t="s">
        <v>6761</v>
      </c>
      <c r="AS631" t="s">
        <v>6761</v>
      </c>
      <c r="AU631" t="s">
        <v>396</v>
      </c>
      <c r="AV631">
        <v>2017</v>
      </c>
      <c r="AW631" t="str">
        <f>"06-1N-25-199S-0149-0000 "</f>
        <v xml:space="preserve">06-1N-25-199S-0149-0000 </v>
      </c>
      <c r="AX631">
        <v>44866</v>
      </c>
      <c r="AZ631" t="s">
        <v>6719</v>
      </c>
      <c r="BA631" t="s">
        <v>1112</v>
      </c>
      <c r="BD631" t="s">
        <v>2785</v>
      </c>
      <c r="BE631" t="s">
        <v>393</v>
      </c>
      <c r="BF631">
        <v>32011</v>
      </c>
      <c r="BG631" t="s">
        <v>6762</v>
      </c>
      <c r="BH631" t="s">
        <v>2787</v>
      </c>
      <c r="BI631">
        <v>-81.836606816686</v>
      </c>
      <c r="BJ631">
        <v>30.5397076404352</v>
      </c>
      <c r="BK631" t="s">
        <v>6763</v>
      </c>
      <c r="BM631" t="s">
        <v>6764</v>
      </c>
      <c r="BN631" t="s">
        <v>629</v>
      </c>
      <c r="BO631">
        <v>32063</v>
      </c>
      <c r="BP631" t="s">
        <v>404</v>
      </c>
      <c r="BQ631">
        <v>200</v>
      </c>
      <c r="BR631" t="s">
        <v>405</v>
      </c>
      <c r="BS631">
        <v>1006</v>
      </c>
      <c r="BT631" t="s">
        <v>406</v>
      </c>
      <c r="BW631">
        <v>46558</v>
      </c>
      <c r="BX631" t="s">
        <v>407</v>
      </c>
      <c r="BY631" t="s">
        <v>408</v>
      </c>
      <c r="BZ631">
        <v>4</v>
      </c>
      <c r="CA631">
        <v>2000</v>
      </c>
      <c r="CB631">
        <v>1</v>
      </c>
      <c r="CC631">
        <v>1</v>
      </c>
      <c r="CD631">
        <v>2017</v>
      </c>
      <c r="CE631">
        <v>25200</v>
      </c>
      <c r="CF631">
        <v>42509</v>
      </c>
      <c r="CG631">
        <v>67709</v>
      </c>
      <c r="CH631">
        <v>2017</v>
      </c>
      <c r="CI631">
        <v>25200</v>
      </c>
      <c r="CJ631">
        <v>42509</v>
      </c>
      <c r="CK631">
        <v>67709</v>
      </c>
      <c r="CL631">
        <v>2017</v>
      </c>
      <c r="CM631">
        <v>984</v>
      </c>
      <c r="CN631" s="1">
        <v>41548</v>
      </c>
      <c r="CO631">
        <v>45900</v>
      </c>
      <c r="CV631">
        <v>0</v>
      </c>
      <c r="CZ631" s="1">
        <v>41548</v>
      </c>
      <c r="DA631">
        <v>0</v>
      </c>
      <c r="DD631" t="s">
        <v>2785</v>
      </c>
      <c r="DG631">
        <v>6</v>
      </c>
      <c r="DL631">
        <v>50503</v>
      </c>
      <c r="DM631" t="s">
        <v>6696</v>
      </c>
      <c r="DO631" t="s">
        <v>6765</v>
      </c>
      <c r="DP631">
        <v>0</v>
      </c>
      <c r="DQ631">
        <v>0</v>
      </c>
      <c r="DR631" t="s">
        <v>411</v>
      </c>
      <c r="EP631" t="s">
        <v>421</v>
      </c>
      <c r="EQ631" t="s">
        <v>422</v>
      </c>
      <c r="ER631">
        <v>2</v>
      </c>
      <c r="ES631">
        <v>3</v>
      </c>
      <c r="ET631">
        <v>1952.84</v>
      </c>
      <c r="EU631">
        <v>110.14</v>
      </c>
      <c r="EV631">
        <v>2062.98</v>
      </c>
      <c r="EW631" s="2">
        <v>43222</v>
      </c>
      <c r="EX631" s="1">
        <v>42879</v>
      </c>
      <c r="EY631">
        <v>2016</v>
      </c>
      <c r="EZ631">
        <v>976.42</v>
      </c>
      <c r="FA631" t="s">
        <v>6766</v>
      </c>
      <c r="FB631">
        <v>0.25</v>
      </c>
      <c r="FC631" t="s">
        <v>424</v>
      </c>
      <c r="FD631" t="s">
        <v>454</v>
      </c>
      <c r="FF631">
        <v>12</v>
      </c>
      <c r="FG631">
        <v>2851116</v>
      </c>
      <c r="FH631" t="s">
        <v>480</v>
      </c>
      <c r="FJ631" s="1">
        <v>42879</v>
      </c>
      <c r="FK631">
        <v>2016</v>
      </c>
      <c r="FL631">
        <v>976.42</v>
      </c>
      <c r="FM631" t="s">
        <v>6766</v>
      </c>
      <c r="FN631">
        <v>0.25</v>
      </c>
      <c r="FO631" t="s">
        <v>424</v>
      </c>
      <c r="FP631" t="s">
        <v>454</v>
      </c>
      <c r="FR631">
        <v>12</v>
      </c>
      <c r="FS631">
        <v>5083519</v>
      </c>
      <c r="FT631" t="s">
        <v>6767</v>
      </c>
      <c r="FV631" s="1">
        <v>41787</v>
      </c>
      <c r="FW631">
        <v>2013</v>
      </c>
      <c r="FX631">
        <v>493.14</v>
      </c>
      <c r="FY631" t="s">
        <v>6768</v>
      </c>
      <c r="FZ631">
        <v>0.25</v>
      </c>
      <c r="GA631" t="s">
        <v>424</v>
      </c>
      <c r="GB631" t="s">
        <v>425</v>
      </c>
      <c r="GC631" s="1">
        <v>42018</v>
      </c>
      <c r="GD631">
        <v>8</v>
      </c>
      <c r="GE631">
        <v>2101382</v>
      </c>
      <c r="GF631" t="s">
        <v>993</v>
      </c>
      <c r="GH631" s="1">
        <v>41423</v>
      </c>
      <c r="GI631">
        <v>2012</v>
      </c>
      <c r="GJ631">
        <v>493.39</v>
      </c>
      <c r="GK631" t="s">
        <v>6769</v>
      </c>
      <c r="GL631">
        <v>3.5</v>
      </c>
      <c r="GM631" t="s">
        <v>424</v>
      </c>
      <c r="GN631" t="s">
        <v>425</v>
      </c>
      <c r="GO631" s="1">
        <v>41512</v>
      </c>
      <c r="GP631">
        <v>3</v>
      </c>
      <c r="GQ631">
        <v>15399</v>
      </c>
      <c r="GR631" t="s">
        <v>485</v>
      </c>
      <c r="GT631" s="1">
        <v>41052</v>
      </c>
      <c r="GU631">
        <v>2011</v>
      </c>
      <c r="GV631">
        <v>574.32000000000005</v>
      </c>
      <c r="GW631" t="s">
        <v>6770</v>
      </c>
      <c r="GX631">
        <v>6.25</v>
      </c>
      <c r="GY631" t="s">
        <v>424</v>
      </c>
      <c r="GZ631" t="s">
        <v>425</v>
      </c>
      <c r="HA631" s="1">
        <v>41512</v>
      </c>
      <c r="HB631">
        <v>15</v>
      </c>
      <c r="HC631">
        <v>1109</v>
      </c>
      <c r="HD631" t="s">
        <v>852</v>
      </c>
    </row>
    <row r="632" spans="1:260" x14ac:dyDescent="0.25">
      <c r="A632">
        <v>16485639</v>
      </c>
      <c r="B632">
        <v>631</v>
      </c>
      <c r="C632" t="s">
        <v>393</v>
      </c>
      <c r="D632" t="s">
        <v>394</v>
      </c>
      <c r="F632" t="str">
        <f>"06-1N-25-199S-0168-0000"</f>
        <v>06-1N-25-199S-0168-0000</v>
      </c>
      <c r="H632" t="str">
        <f>"DALTON SEAN ALLAN FLOYD &amp; JARVIS CHRISTINE M(JT/RS)ET AL"</f>
        <v>DALTON SEAN ALLAN FLOYD &amp; JARVIS CHRISTINE M(JT/RS)ET AL</v>
      </c>
      <c r="I632" t="str">
        <f>"44039 BAYBERRY CT"</f>
        <v>44039 BAYBERRY CT</v>
      </c>
      <c r="J632" t="str">
        <f>"CALAHAN FL 32011"</f>
        <v>CALAHAN FL 32011</v>
      </c>
      <c r="K632" t="str">
        <f>"44039 BAYBERRY CT"</f>
        <v>44039 BAYBERRY CT</v>
      </c>
      <c r="L632" t="str">
        <f t="shared" si="181"/>
        <v>CALLAHAN FL 32011</v>
      </c>
      <c r="M632" t="str">
        <f>"LOTS 168 &amp; 169 IN OR 2108/1948 2007 JACO DW/MH SWALLOWFORK ESTATES PHASE 3 PB 5/346"</f>
        <v>LOTS 168 &amp; 169 IN OR 2108/1948 2007 JACO DW/MH SWALLOWFORK ESTATES PHASE 3 PB 5/346</v>
      </c>
      <c r="N632" t="str">
        <f>""</f>
        <v/>
      </c>
      <c r="O632" t="str">
        <f>"21976"</f>
        <v>21976</v>
      </c>
      <c r="P632" t="str">
        <f t="shared" si="176"/>
        <v>2017</v>
      </c>
      <c r="Q632" t="str">
        <f>""</f>
        <v/>
      </c>
      <c r="R632" t="str">
        <f t="shared" si="191"/>
        <v>N</v>
      </c>
      <c r="S632" t="str">
        <f>""</f>
        <v/>
      </c>
      <c r="T632" t="str">
        <f>"1430.14"</f>
        <v>1430.14</v>
      </c>
      <c r="U632" t="str">
        <f>"93936.00"</f>
        <v>93936.00</v>
      </c>
      <c r="V632" t="str">
        <f>"93936.00"</f>
        <v>93936.00</v>
      </c>
      <c r="W632" t="str">
        <f t="shared" si="177"/>
        <v>2017</v>
      </c>
      <c r="X632" t="str">
        <f>""</f>
        <v/>
      </c>
      <c r="Y632" t="str">
        <f>"1505.04"</f>
        <v>1505.04</v>
      </c>
      <c r="Z632" t="str">
        <f>""</f>
        <v/>
      </c>
      <c r="AA632" t="str">
        <f>"95156.00"</f>
        <v>95156.00</v>
      </c>
      <c r="AB632" t="str">
        <f t="shared" si="187"/>
        <v>Residential</v>
      </c>
      <c r="AC632" t="str">
        <f t="shared" si="185"/>
        <v>0</v>
      </c>
      <c r="AD632" t="str">
        <f>"4"</f>
        <v>4</v>
      </c>
      <c r="AE632" t="str">
        <f>"WOOD (INCLUDE STEEL STUDS)"</f>
        <v>WOOD (INCLUDE STEEL STUDS)</v>
      </c>
      <c r="AF632" t="str">
        <f>"002"</f>
        <v>002</v>
      </c>
      <c r="AG632" t="str">
        <f t="shared" si="186"/>
        <v>FL</v>
      </c>
      <c r="AH632" t="str">
        <f>"-"</f>
        <v>-</v>
      </c>
      <c r="AI632" t="str">
        <f>"33075.00"</f>
        <v>33075.00</v>
      </c>
      <c r="AJ632" t="str">
        <f>"C55-000-586-6563-9"</f>
        <v>C55-000-586-6563-9</v>
      </c>
      <c r="AK632" t="str">
        <f>"10184"</f>
        <v>10184</v>
      </c>
      <c r="AL632">
        <v>3</v>
      </c>
      <c r="AM632">
        <v>726</v>
      </c>
      <c r="AN632">
        <v>1578.69</v>
      </c>
      <c r="AQ632" t="s">
        <v>6771</v>
      </c>
      <c r="AR632" t="s">
        <v>6771</v>
      </c>
      <c r="AS632" t="s">
        <v>6771</v>
      </c>
      <c r="AU632" t="s">
        <v>396</v>
      </c>
      <c r="AV632">
        <v>2017</v>
      </c>
      <c r="AW632" t="str">
        <f>"06-1N-25-199S-0168-0000 "</f>
        <v xml:space="preserve">06-1N-25-199S-0168-0000 </v>
      </c>
      <c r="AX632">
        <v>44039</v>
      </c>
      <c r="AZ632" t="s">
        <v>6772</v>
      </c>
      <c r="BA632" t="s">
        <v>3181</v>
      </c>
      <c r="BD632" t="s">
        <v>2785</v>
      </c>
      <c r="BE632" t="s">
        <v>393</v>
      </c>
      <c r="BF632">
        <v>32011</v>
      </c>
      <c r="BG632" t="s">
        <v>6773</v>
      </c>
      <c r="BH632" t="s">
        <v>2787</v>
      </c>
      <c r="BI632">
        <v>-81.840854414625198</v>
      </c>
      <c r="BJ632">
        <v>30.538882110271398</v>
      </c>
      <c r="BK632" t="s">
        <v>6774</v>
      </c>
      <c r="BL632" t="s">
        <v>6775</v>
      </c>
      <c r="BM632" t="s">
        <v>6773</v>
      </c>
      <c r="BN632" t="s">
        <v>928</v>
      </c>
      <c r="BO632">
        <v>32011</v>
      </c>
      <c r="BP632" t="s">
        <v>416</v>
      </c>
      <c r="BQ632">
        <v>200</v>
      </c>
      <c r="BR632" t="s">
        <v>405</v>
      </c>
      <c r="BS632">
        <v>1006</v>
      </c>
      <c r="BT632" t="s">
        <v>406</v>
      </c>
      <c r="BW632">
        <v>53471</v>
      </c>
      <c r="BX632" t="s">
        <v>407</v>
      </c>
      <c r="BY632" t="s">
        <v>408</v>
      </c>
      <c r="BZ632">
        <v>4</v>
      </c>
      <c r="CA632">
        <v>2007</v>
      </c>
      <c r="CB632">
        <v>1</v>
      </c>
      <c r="CC632">
        <v>1</v>
      </c>
      <c r="CD632">
        <v>2017</v>
      </c>
      <c r="CE632">
        <v>33075</v>
      </c>
      <c r="CF632">
        <v>62081</v>
      </c>
      <c r="CG632">
        <v>95156</v>
      </c>
      <c r="CH632">
        <v>2017</v>
      </c>
      <c r="CI632">
        <v>33075</v>
      </c>
      <c r="CJ632">
        <v>62081</v>
      </c>
      <c r="CK632">
        <v>95156</v>
      </c>
      <c r="CL632">
        <v>2017</v>
      </c>
      <c r="CM632">
        <v>1430.14</v>
      </c>
      <c r="CN632" s="1">
        <v>42818</v>
      </c>
      <c r="CO632">
        <v>109000</v>
      </c>
      <c r="CV632">
        <v>0</v>
      </c>
      <c r="CZ632" s="1">
        <v>42818</v>
      </c>
      <c r="DA632">
        <v>0</v>
      </c>
      <c r="DD632" t="s">
        <v>2785</v>
      </c>
      <c r="DG632">
        <v>6</v>
      </c>
      <c r="DL632">
        <v>50503</v>
      </c>
      <c r="DM632" t="s">
        <v>6696</v>
      </c>
      <c r="DO632" t="s">
        <v>6776</v>
      </c>
      <c r="DP632">
        <v>0</v>
      </c>
      <c r="DQ632">
        <v>0</v>
      </c>
      <c r="DR632" t="s">
        <v>411</v>
      </c>
    </row>
    <row r="633" spans="1:260" x14ac:dyDescent="0.25">
      <c r="A633">
        <v>16485640</v>
      </c>
      <c r="B633">
        <v>632</v>
      </c>
      <c r="C633" t="s">
        <v>393</v>
      </c>
      <c r="D633" t="s">
        <v>394</v>
      </c>
      <c r="F633" t="str">
        <f>"06-1N-25-199S-0187-0000"</f>
        <v>06-1N-25-199S-0187-0000</v>
      </c>
      <c r="H633" t="str">
        <f>"SHEARER MATTHEW A"</f>
        <v>SHEARER MATTHEW A</v>
      </c>
      <c r="I633" t="str">
        <f>"4384 BATTLECREEK CT W"</f>
        <v>4384 BATTLECREEK CT W</v>
      </c>
      <c r="J633" t="str">
        <f>"JACKSONVILLE FL 32258"</f>
        <v>JACKSONVILLE FL 32258</v>
      </c>
      <c r="K633" t="str">
        <f>"44100 WILLOW LN"</f>
        <v>44100 WILLOW LN</v>
      </c>
      <c r="L633" t="str">
        <f t="shared" si="181"/>
        <v>CALLAHAN FL 32011</v>
      </c>
      <c r="M633" t="str">
        <f>"LOTS 187 &amp; 188 IN OR 1666/1311 1993 MERI DW/MH SWALLOWFORK ESTATES PHASE 3 PB 5/346"</f>
        <v>LOTS 187 &amp; 188 IN OR 1666/1311 1993 MERI DW/MH SWALLOWFORK ESTATES PHASE 3 PB 5/346</v>
      </c>
      <c r="N633" t="str">
        <f>""</f>
        <v/>
      </c>
      <c r="O633" t="str">
        <f>"21995"</f>
        <v>21995</v>
      </c>
      <c r="P633" t="str">
        <f t="shared" si="176"/>
        <v>2017</v>
      </c>
      <c r="Q633" t="str">
        <f>""</f>
        <v/>
      </c>
      <c r="R633" t="str">
        <f t="shared" si="191"/>
        <v>N</v>
      </c>
      <c r="S633" t="str">
        <f>""</f>
        <v/>
      </c>
      <c r="T633" t="str">
        <f>"685.70"</f>
        <v>685.70</v>
      </c>
      <c r="U633" t="str">
        <f>"40288.00"</f>
        <v>40288.00</v>
      </c>
      <c r="V633" t="str">
        <f>"40288.00"</f>
        <v>40288.00</v>
      </c>
      <c r="W633" t="str">
        <f t="shared" si="177"/>
        <v>2017</v>
      </c>
      <c r="X633" t="str">
        <f>"17.20"</f>
        <v>17.20</v>
      </c>
      <c r="Y633" t="str">
        <f>"738.27"</f>
        <v>738.27</v>
      </c>
      <c r="Z633" t="str">
        <f>""</f>
        <v/>
      </c>
      <c r="AA633" t="str">
        <f>"51775.00"</f>
        <v>51775.00</v>
      </c>
      <c r="AB633" t="str">
        <f t="shared" si="187"/>
        <v>Residential</v>
      </c>
      <c r="AC633" t="str">
        <f t="shared" si="185"/>
        <v>0</v>
      </c>
      <c r="AD633" t="str">
        <f>"4"</f>
        <v>4</v>
      </c>
      <c r="AE633" t="str">
        <f>"WOOD (INCLUDE STEEL STUDS)"</f>
        <v>WOOD (INCLUDE STEEL STUDS)</v>
      </c>
      <c r="AF633" t="str">
        <f>"002"</f>
        <v>002</v>
      </c>
      <c r="AG633" t="str">
        <f t="shared" si="186"/>
        <v>FL</v>
      </c>
      <c r="AH633" t="str">
        <f>"44000.00"</f>
        <v>44000.00</v>
      </c>
      <c r="AI633" t="str">
        <f>"25200.00"</f>
        <v>25200.00</v>
      </c>
      <c r="AJ633" t="str">
        <f>"C55-000-586-6581-1"</f>
        <v>C55-000-586-6581-1</v>
      </c>
      <c r="AK633" t="str">
        <f>"10196"</f>
        <v>10196</v>
      </c>
      <c r="AL633">
        <v>3</v>
      </c>
      <c r="AM633">
        <v>727</v>
      </c>
      <c r="AN633">
        <v>773.58</v>
      </c>
      <c r="AQ633" t="s">
        <v>6777</v>
      </c>
      <c r="AR633" t="s">
        <v>6777</v>
      </c>
      <c r="AS633" t="s">
        <v>6777</v>
      </c>
      <c r="AU633" t="s">
        <v>396</v>
      </c>
      <c r="AV633">
        <v>2017</v>
      </c>
      <c r="AW633" t="str">
        <f>"06-1N-25-199S-0187-0000 "</f>
        <v xml:space="preserve">06-1N-25-199S-0187-0000 </v>
      </c>
      <c r="AX633">
        <v>44100</v>
      </c>
      <c r="AZ633" t="s">
        <v>6778</v>
      </c>
      <c r="BA633" t="s">
        <v>653</v>
      </c>
      <c r="BD633" t="s">
        <v>2785</v>
      </c>
      <c r="BE633" t="s">
        <v>393</v>
      </c>
      <c r="BF633">
        <v>32011</v>
      </c>
      <c r="BG633" t="s">
        <v>6779</v>
      </c>
      <c r="BH633" t="s">
        <v>2787</v>
      </c>
      <c r="BI633">
        <v>-81.840046086312796</v>
      </c>
      <c r="BJ633">
        <v>30.537386072353801</v>
      </c>
      <c r="BK633" t="s">
        <v>6780</v>
      </c>
      <c r="BM633" t="s">
        <v>6781</v>
      </c>
      <c r="BN633" t="s">
        <v>548</v>
      </c>
      <c r="BO633">
        <v>32258</v>
      </c>
      <c r="BP633" t="s">
        <v>404</v>
      </c>
      <c r="BQ633">
        <v>200</v>
      </c>
      <c r="BR633" t="s">
        <v>405</v>
      </c>
      <c r="BS633">
        <v>1006</v>
      </c>
      <c r="BT633" t="s">
        <v>406</v>
      </c>
      <c r="BW633">
        <v>44000</v>
      </c>
      <c r="BX633" t="s">
        <v>407</v>
      </c>
      <c r="BY633" t="s">
        <v>408</v>
      </c>
      <c r="BZ633">
        <v>4</v>
      </c>
      <c r="CA633">
        <v>1993</v>
      </c>
      <c r="CB633">
        <v>1</v>
      </c>
      <c r="CC633">
        <v>1</v>
      </c>
      <c r="CD633">
        <v>2017</v>
      </c>
      <c r="CE633">
        <v>25200</v>
      </c>
      <c r="CF633">
        <v>26575</v>
      </c>
      <c r="CG633">
        <v>51775</v>
      </c>
      <c r="CH633">
        <v>2017</v>
      </c>
      <c r="CI633">
        <v>25200</v>
      </c>
      <c r="CJ633">
        <v>26575</v>
      </c>
      <c r="CK633">
        <v>51775</v>
      </c>
      <c r="CL633">
        <v>2017</v>
      </c>
      <c r="CM633">
        <v>685.7</v>
      </c>
      <c r="CN633" s="1">
        <v>36991</v>
      </c>
      <c r="CO633">
        <v>13500</v>
      </c>
      <c r="CV633">
        <v>13500</v>
      </c>
      <c r="CX633" t="s">
        <v>707</v>
      </c>
      <c r="CZ633" s="1">
        <v>36991</v>
      </c>
      <c r="DA633">
        <v>0</v>
      </c>
      <c r="DD633" t="s">
        <v>2785</v>
      </c>
      <c r="DG633">
        <v>6</v>
      </c>
      <c r="DL633">
        <v>50503</v>
      </c>
      <c r="DM633" t="s">
        <v>6696</v>
      </c>
      <c r="DO633" t="s">
        <v>6782</v>
      </c>
      <c r="DP633">
        <v>0</v>
      </c>
      <c r="DQ633">
        <v>0</v>
      </c>
      <c r="DR633" t="s">
        <v>411</v>
      </c>
      <c r="DS633" t="b">
        <v>1</v>
      </c>
      <c r="DT633" t="s">
        <v>470</v>
      </c>
      <c r="DU633" t="s">
        <v>471</v>
      </c>
      <c r="DV633" t="s">
        <v>472</v>
      </c>
      <c r="DX633">
        <v>-9999</v>
      </c>
      <c r="DZ633" t="s">
        <v>447</v>
      </c>
      <c r="EA633" t="s">
        <v>448</v>
      </c>
      <c r="EB633" t="s">
        <v>742</v>
      </c>
      <c r="EC633">
        <v>20101217</v>
      </c>
      <c r="ED633" t="s">
        <v>474</v>
      </c>
      <c r="EF633">
        <v>1014.6</v>
      </c>
      <c r="EG633">
        <v>1014.6</v>
      </c>
      <c r="EH633" t="s">
        <v>451</v>
      </c>
      <c r="EI633">
        <v>20140731</v>
      </c>
      <c r="EJ633">
        <v>0</v>
      </c>
      <c r="EK633">
        <v>0</v>
      </c>
      <c r="EP633" t="s">
        <v>421</v>
      </c>
      <c r="EQ633" t="s">
        <v>422</v>
      </c>
      <c r="ER633">
        <v>0</v>
      </c>
      <c r="ES633">
        <v>1</v>
      </c>
      <c r="ET633">
        <v>0</v>
      </c>
      <c r="EU633">
        <v>0</v>
      </c>
      <c r="EV633">
        <v>0</v>
      </c>
      <c r="EW633" s="2">
        <v>43222</v>
      </c>
      <c r="EX633" s="1">
        <v>41052</v>
      </c>
      <c r="EY633">
        <v>2011</v>
      </c>
      <c r="EZ633">
        <v>410.46</v>
      </c>
      <c r="FA633" t="s">
        <v>6783</v>
      </c>
      <c r="FB633">
        <v>6.25</v>
      </c>
      <c r="FC633" t="s">
        <v>424</v>
      </c>
      <c r="FD633" t="s">
        <v>425</v>
      </c>
      <c r="FE633" s="1">
        <v>41422</v>
      </c>
      <c r="FF633">
        <v>12</v>
      </c>
      <c r="FG633">
        <v>105</v>
      </c>
      <c r="FH633" t="s">
        <v>946</v>
      </c>
    </row>
    <row r="634" spans="1:260" x14ac:dyDescent="0.25">
      <c r="A634">
        <v>16485641</v>
      </c>
      <c r="B634">
        <v>633</v>
      </c>
      <c r="C634" t="s">
        <v>393</v>
      </c>
      <c r="D634" t="s">
        <v>394</v>
      </c>
      <c r="F634" t="str">
        <f>"06-1N-25-199S-0195-0000"</f>
        <v>06-1N-25-199S-0195-0000</v>
      </c>
      <c r="H634" t="str">
        <f>"GLOUNER GREGORY D"</f>
        <v>GLOUNER GREGORY D</v>
      </c>
      <c r="I634" t="str">
        <f>"44059 RED OAK COURT"</f>
        <v>44059 RED OAK COURT</v>
      </c>
      <c r="J634" t="str">
        <f>"CALLAHAN FL 32011"</f>
        <v>CALLAHAN FL 32011</v>
      </c>
      <c r="K634" t="str">
        <f>"44059 RED OAK CT"</f>
        <v>44059 RED OAK CT</v>
      </c>
      <c r="L634" t="str">
        <f t="shared" si="181"/>
        <v>CALLAHAN FL 32011</v>
      </c>
      <c r="M634" t="str">
        <f>"LOT 195 IN OR 1383/1511 R787665 &amp; R787666 SWALLOWFORK ESTATES PHASE 3 PB 5/346"</f>
        <v>LOT 195 IN OR 1383/1511 R787665 &amp; R787666 SWALLOWFORK ESTATES PHASE 3 PB 5/346</v>
      </c>
      <c r="N634" t="str">
        <f>""</f>
        <v/>
      </c>
      <c r="O634" t="str">
        <f>"22003"</f>
        <v>22003</v>
      </c>
      <c r="P634" t="str">
        <f t="shared" si="176"/>
        <v>2017</v>
      </c>
      <c r="Q634" t="str">
        <f>""</f>
        <v/>
      </c>
      <c r="R634" t="str">
        <f t="shared" si="191"/>
        <v>N</v>
      </c>
      <c r="S634" t="str">
        <f>""</f>
        <v/>
      </c>
      <c r="T634" t="str">
        <f>"637.10"</f>
        <v>637.10</v>
      </c>
      <c r="U634" t="str">
        <f>"37688.00"</f>
        <v>37688.00</v>
      </c>
      <c r="V634" t="str">
        <f>"37688.00"</f>
        <v>37688.00</v>
      </c>
      <c r="W634" t="str">
        <f t="shared" si="177"/>
        <v>2017</v>
      </c>
      <c r="X634" t="str">
        <f>"16.14"</f>
        <v>16.14</v>
      </c>
      <c r="Y634" t="str">
        <f>"688.21"</f>
        <v>688.21</v>
      </c>
      <c r="Z634" t="str">
        <f>""</f>
        <v/>
      </c>
      <c r="AA634" t="str">
        <f>"47772.00"</f>
        <v>47772.00</v>
      </c>
      <c r="AB634" t="str">
        <f t="shared" si="187"/>
        <v>Residential</v>
      </c>
      <c r="AC634" t="str">
        <f t="shared" si="185"/>
        <v>0</v>
      </c>
      <c r="AD634" t="str">
        <f>"4"</f>
        <v>4</v>
      </c>
      <c r="AE634" t="str">
        <f>"WOOD (INCLUDE STEEL STUDS)"</f>
        <v>WOOD (INCLUDE STEEL STUDS)</v>
      </c>
      <c r="AF634" t="str">
        <f>"002"</f>
        <v>002</v>
      </c>
      <c r="AG634" t="str">
        <f t="shared" si="186"/>
        <v>FL</v>
      </c>
      <c r="AH634" t="str">
        <f t="shared" ref="AH634:AH641" si="192">"-"</f>
        <v>-</v>
      </c>
      <c r="AI634" t="str">
        <f>"12600.00"</f>
        <v>12600.00</v>
      </c>
      <c r="AJ634" t="str">
        <f>"C55-000-586-6589-4"</f>
        <v>C55-000-586-6589-4</v>
      </c>
      <c r="AK634" t="str">
        <f>"10200"</f>
        <v>10200</v>
      </c>
      <c r="AL634">
        <v>3</v>
      </c>
      <c r="AM634">
        <v>728</v>
      </c>
      <c r="AN634">
        <v>721.02</v>
      </c>
      <c r="AQ634" t="s">
        <v>6784</v>
      </c>
      <c r="AR634" t="s">
        <v>6784</v>
      </c>
      <c r="AS634" t="s">
        <v>6784</v>
      </c>
      <c r="AU634" t="s">
        <v>396</v>
      </c>
      <c r="AV634">
        <v>2017</v>
      </c>
      <c r="AW634" t="str">
        <f>"06-1N-25-199S-0195-0000 "</f>
        <v xml:space="preserve">06-1N-25-199S-0195-0000 </v>
      </c>
      <c r="AX634">
        <v>44059</v>
      </c>
      <c r="AZ634" t="s">
        <v>6785</v>
      </c>
      <c r="BA634" t="s">
        <v>3181</v>
      </c>
      <c r="BD634" t="s">
        <v>2785</v>
      </c>
      <c r="BE634" t="s">
        <v>393</v>
      </c>
      <c r="BF634">
        <v>32011</v>
      </c>
      <c r="BG634" t="s">
        <v>6786</v>
      </c>
      <c r="BH634" t="s">
        <v>2787</v>
      </c>
      <c r="BI634">
        <v>-81.8408282959155</v>
      </c>
      <c r="BJ634">
        <v>30.536769740843098</v>
      </c>
      <c r="BK634" t="s">
        <v>6787</v>
      </c>
      <c r="BM634" t="s">
        <v>6786</v>
      </c>
      <c r="BN634" t="s">
        <v>928</v>
      </c>
      <c r="BO634">
        <v>32011</v>
      </c>
      <c r="BP634" t="s">
        <v>416</v>
      </c>
      <c r="BQ634">
        <v>200</v>
      </c>
      <c r="BR634" t="s">
        <v>405</v>
      </c>
      <c r="BS634">
        <v>1006</v>
      </c>
      <c r="BT634" t="s">
        <v>406</v>
      </c>
      <c r="BW634">
        <v>22001</v>
      </c>
      <c r="BX634" t="s">
        <v>407</v>
      </c>
      <c r="BY634" t="s">
        <v>408</v>
      </c>
      <c r="BZ634">
        <v>4</v>
      </c>
      <c r="CA634">
        <v>1996</v>
      </c>
      <c r="CB634">
        <v>1</v>
      </c>
      <c r="CC634">
        <v>1</v>
      </c>
      <c r="CD634">
        <v>2017</v>
      </c>
      <c r="CE634">
        <v>12600</v>
      </c>
      <c r="CF634">
        <v>35172</v>
      </c>
      <c r="CG634">
        <v>47772</v>
      </c>
      <c r="CH634">
        <v>2017</v>
      </c>
      <c r="CI634">
        <v>12600</v>
      </c>
      <c r="CJ634">
        <v>35172</v>
      </c>
      <c r="CK634">
        <v>47772</v>
      </c>
      <c r="CL634">
        <v>2017</v>
      </c>
      <c r="CM634">
        <v>637.1</v>
      </c>
      <c r="CN634" s="1">
        <v>38740</v>
      </c>
      <c r="CZ634" s="1">
        <v>38740</v>
      </c>
      <c r="DD634" t="s">
        <v>2785</v>
      </c>
      <c r="DF634">
        <v>195</v>
      </c>
      <c r="DG634">
        <v>6</v>
      </c>
      <c r="DL634">
        <v>50503</v>
      </c>
      <c r="DM634" t="s">
        <v>6696</v>
      </c>
      <c r="DO634" t="s">
        <v>6788</v>
      </c>
      <c r="DP634">
        <v>0</v>
      </c>
      <c r="DQ634">
        <v>0</v>
      </c>
      <c r="DR634" t="s">
        <v>411</v>
      </c>
      <c r="DS634" t="b">
        <v>1</v>
      </c>
      <c r="DT634" t="s">
        <v>470</v>
      </c>
      <c r="DU634" t="s">
        <v>471</v>
      </c>
      <c r="DV634" t="s">
        <v>472</v>
      </c>
      <c r="DX634">
        <v>-9999</v>
      </c>
      <c r="DZ634" t="s">
        <v>447</v>
      </c>
      <c r="EA634" t="s">
        <v>448</v>
      </c>
      <c r="EB634" t="s">
        <v>742</v>
      </c>
      <c r="EC634">
        <v>20101217</v>
      </c>
      <c r="ED634" t="s">
        <v>474</v>
      </c>
      <c r="EF634">
        <v>1008.4</v>
      </c>
      <c r="EG634">
        <v>1008.4</v>
      </c>
      <c r="EI634">
        <v>20160407</v>
      </c>
      <c r="EJ634">
        <v>0</v>
      </c>
      <c r="EK634">
        <v>0</v>
      </c>
      <c r="EP634" t="s">
        <v>421</v>
      </c>
      <c r="EQ634" t="s">
        <v>422</v>
      </c>
      <c r="ER634">
        <v>2</v>
      </c>
      <c r="ES634">
        <v>7</v>
      </c>
      <c r="ET634">
        <v>1191.6400000000001</v>
      </c>
      <c r="EU634">
        <v>72.08</v>
      </c>
      <c r="EV634">
        <v>1263.72</v>
      </c>
      <c r="EW634" s="2">
        <v>43222</v>
      </c>
      <c r="EX634" s="1">
        <v>42879</v>
      </c>
      <c r="EY634">
        <v>2016</v>
      </c>
      <c r="EZ634">
        <v>595.82000000000005</v>
      </c>
      <c r="FA634" t="s">
        <v>6789</v>
      </c>
      <c r="FB634">
        <v>0.25</v>
      </c>
      <c r="FC634" t="s">
        <v>424</v>
      </c>
      <c r="FD634" t="s">
        <v>454</v>
      </c>
      <c r="FF634">
        <v>12</v>
      </c>
      <c r="FG634">
        <v>2851116</v>
      </c>
      <c r="FH634" t="s">
        <v>480</v>
      </c>
      <c r="FJ634" s="1">
        <v>42879</v>
      </c>
      <c r="FK634">
        <v>2016</v>
      </c>
      <c r="FL634">
        <v>595.82000000000005</v>
      </c>
      <c r="FM634" t="s">
        <v>6789</v>
      </c>
      <c r="FN634">
        <v>0.25</v>
      </c>
      <c r="FO634" t="s">
        <v>424</v>
      </c>
      <c r="FP634" t="s">
        <v>454</v>
      </c>
      <c r="FR634">
        <v>12</v>
      </c>
      <c r="FS634">
        <v>4989137</v>
      </c>
      <c r="FT634" t="s">
        <v>6790</v>
      </c>
      <c r="FV634" s="1">
        <v>42515</v>
      </c>
      <c r="FW634">
        <v>2015</v>
      </c>
      <c r="FX634">
        <v>652.63</v>
      </c>
      <c r="FY634" t="s">
        <v>6791</v>
      </c>
      <c r="FZ634">
        <v>0.25</v>
      </c>
      <c r="GA634" t="s">
        <v>424</v>
      </c>
      <c r="GB634" t="s">
        <v>425</v>
      </c>
      <c r="GC634" s="1">
        <v>43157</v>
      </c>
      <c r="GD634">
        <v>21</v>
      </c>
      <c r="GE634">
        <v>2851116</v>
      </c>
      <c r="GF634" t="s">
        <v>480</v>
      </c>
      <c r="GH634" s="1">
        <v>42515</v>
      </c>
      <c r="GI634">
        <v>2015</v>
      </c>
      <c r="GJ634">
        <v>652.63</v>
      </c>
      <c r="GK634" t="s">
        <v>6791</v>
      </c>
      <c r="GL634">
        <v>0.25</v>
      </c>
      <c r="GM634" t="s">
        <v>424</v>
      </c>
      <c r="GN634" t="s">
        <v>425</v>
      </c>
      <c r="GP634">
        <v>22</v>
      </c>
      <c r="GQ634">
        <v>5645318</v>
      </c>
      <c r="GR634" t="s">
        <v>6792</v>
      </c>
      <c r="GT634" s="1">
        <v>42151</v>
      </c>
      <c r="GU634">
        <v>2014</v>
      </c>
      <c r="GV634">
        <v>613.89</v>
      </c>
      <c r="GW634" t="s">
        <v>6793</v>
      </c>
      <c r="GX634">
        <v>0.25</v>
      </c>
      <c r="GY634" t="s">
        <v>424</v>
      </c>
      <c r="GZ634" t="s">
        <v>425</v>
      </c>
      <c r="HA634" s="1">
        <v>42773</v>
      </c>
      <c r="HB634">
        <v>21</v>
      </c>
      <c r="HC634">
        <v>2851116</v>
      </c>
      <c r="HD634" t="s">
        <v>480</v>
      </c>
      <c r="HF634" s="1">
        <v>42151</v>
      </c>
      <c r="HG634">
        <v>2014</v>
      </c>
      <c r="HH634">
        <v>613.89</v>
      </c>
      <c r="HI634" t="s">
        <v>6793</v>
      </c>
      <c r="HJ634">
        <v>0.25</v>
      </c>
      <c r="HK634" t="s">
        <v>424</v>
      </c>
      <c r="HL634" t="s">
        <v>425</v>
      </c>
      <c r="HN634">
        <v>22</v>
      </c>
      <c r="HO634">
        <v>5377095</v>
      </c>
      <c r="HP634" t="s">
        <v>6794</v>
      </c>
      <c r="HR634" s="1">
        <v>41787</v>
      </c>
      <c r="HS634">
        <v>2013</v>
      </c>
      <c r="HT634">
        <v>679.92</v>
      </c>
      <c r="HU634" t="s">
        <v>6795</v>
      </c>
      <c r="HV634">
        <v>0.25</v>
      </c>
      <c r="HW634" t="s">
        <v>424</v>
      </c>
      <c r="HX634" t="s">
        <v>425</v>
      </c>
      <c r="HY634" s="1">
        <v>41885</v>
      </c>
      <c r="HZ634">
        <v>4</v>
      </c>
      <c r="IA634">
        <v>2407503</v>
      </c>
      <c r="IB634" t="s">
        <v>461</v>
      </c>
      <c r="ID634" s="1">
        <v>41423</v>
      </c>
      <c r="IE634">
        <v>2012</v>
      </c>
      <c r="IF634">
        <v>722.48</v>
      </c>
      <c r="IG634" t="s">
        <v>6796</v>
      </c>
      <c r="IH634">
        <v>3.25</v>
      </c>
      <c r="II634" t="s">
        <v>424</v>
      </c>
      <c r="IJ634" t="s">
        <v>425</v>
      </c>
      <c r="IK634" s="1">
        <v>41885</v>
      </c>
      <c r="IL634">
        <v>16</v>
      </c>
      <c r="IM634">
        <v>15399</v>
      </c>
      <c r="IN634" t="s">
        <v>485</v>
      </c>
      <c r="IP634" s="1">
        <v>40688</v>
      </c>
      <c r="IQ634">
        <v>2010</v>
      </c>
      <c r="IR634">
        <v>714.88</v>
      </c>
      <c r="IS634" t="s">
        <v>6797</v>
      </c>
      <c r="IT634">
        <v>7.25</v>
      </c>
      <c r="IU634" t="s">
        <v>424</v>
      </c>
      <c r="IV634" t="s">
        <v>425</v>
      </c>
      <c r="IW634" s="1">
        <v>40945</v>
      </c>
      <c r="IX634">
        <v>9</v>
      </c>
      <c r="IY634">
        <v>62</v>
      </c>
      <c r="IZ634" t="s">
        <v>463</v>
      </c>
    </row>
    <row r="635" spans="1:260" x14ac:dyDescent="0.25">
      <c r="A635">
        <v>16485642</v>
      </c>
      <c r="B635">
        <v>634</v>
      </c>
      <c r="C635" t="s">
        <v>393</v>
      </c>
      <c r="D635" t="s">
        <v>394</v>
      </c>
      <c r="F635" t="str">
        <f>"06-1N-25-199S-0211-0000"</f>
        <v>06-1N-25-199S-0211-0000</v>
      </c>
      <c r="H635" t="str">
        <f>"JONES GWEN W"</f>
        <v>JONES GWEN W</v>
      </c>
      <c r="I635" t="str">
        <f>"44001 GWEN AVE"</f>
        <v>44001 GWEN AVE</v>
      </c>
      <c r="J635" t="str">
        <f>"CALLAHAN FL 32011"</f>
        <v>CALLAHAN FL 32011</v>
      </c>
      <c r="K635" t="str">
        <f>"RED OAK CT"</f>
        <v>RED OAK CT</v>
      </c>
      <c r="L635" t="str">
        <f t="shared" si="181"/>
        <v>CALLAHAN FL 32011</v>
      </c>
      <c r="M635" t="str">
        <f>"LOT 211 IN OR 1293/228 SWALLOWFORK ESTATES PHASE 3 PB 5/346"</f>
        <v>LOT 211 IN OR 1293/228 SWALLOWFORK ESTATES PHASE 3 PB 5/346</v>
      </c>
      <c r="N635" t="str">
        <f>""</f>
        <v/>
      </c>
      <c r="O635" t="str">
        <f>"22019"</f>
        <v>22019</v>
      </c>
      <c r="P635" t="str">
        <f t="shared" si="176"/>
        <v>2017</v>
      </c>
      <c r="Q635" t="str">
        <f>""</f>
        <v/>
      </c>
      <c r="R635" t="str">
        <f t="shared" si="191"/>
        <v>N</v>
      </c>
      <c r="S635" t="str">
        <f>""</f>
        <v/>
      </c>
      <c r="T635" t="str">
        <f>"55.35"</f>
        <v>55.35</v>
      </c>
      <c r="U635" t="str">
        <f>"3438.00"</f>
        <v>3438.00</v>
      </c>
      <c r="V635" t="str">
        <f>"3438.00"</f>
        <v>3438.00</v>
      </c>
      <c r="W635" t="str">
        <f t="shared" si="177"/>
        <v>2017</v>
      </c>
      <c r="X635" t="str">
        <f>""</f>
        <v/>
      </c>
      <c r="Y635" t="str">
        <f>"89.01"</f>
        <v>89.01</v>
      </c>
      <c r="Z635" t="str">
        <f>""</f>
        <v/>
      </c>
      <c r="AA635" t="str">
        <f>"3937.00"</f>
        <v>3937.00</v>
      </c>
      <c r="AB635" t="str">
        <f t="shared" si="187"/>
        <v>Residential</v>
      </c>
      <c r="AC635" t="str">
        <f t="shared" si="185"/>
        <v>0</v>
      </c>
      <c r="AD635" t="str">
        <f>""</f>
        <v/>
      </c>
      <c r="AE635" t="str">
        <f>""</f>
        <v/>
      </c>
      <c r="AF635" t="str">
        <f>"000"</f>
        <v>000</v>
      </c>
      <c r="AG635" t="str">
        <f t="shared" si="186"/>
        <v>FL</v>
      </c>
      <c r="AH635" t="str">
        <f t="shared" si="192"/>
        <v>-</v>
      </c>
      <c r="AI635" t="str">
        <f>"3937.00"</f>
        <v>3937.00</v>
      </c>
      <c r="AJ635" t="str">
        <f>"C55-000-586-6604-1"</f>
        <v>C55-000-586-6604-1</v>
      </c>
      <c r="AK635" t="str">
        <f>"10211"</f>
        <v>10211</v>
      </c>
      <c r="AL635">
        <v>3</v>
      </c>
      <c r="AM635">
        <v>729</v>
      </c>
      <c r="AN635">
        <v>91.86</v>
      </c>
      <c r="AQ635" t="s">
        <v>6798</v>
      </c>
      <c r="AR635" t="s">
        <v>6798</v>
      </c>
      <c r="AS635" t="s">
        <v>6798</v>
      </c>
      <c r="AU635" t="s">
        <v>396</v>
      </c>
      <c r="AV635">
        <v>2017</v>
      </c>
      <c r="AW635" t="str">
        <f>"06-1N-25-199S-0211-0000 "</f>
        <v xml:space="preserve">06-1N-25-199S-0211-0000 </v>
      </c>
      <c r="AZ635" t="s">
        <v>6785</v>
      </c>
      <c r="BA635" t="s">
        <v>3181</v>
      </c>
      <c r="BD635" t="s">
        <v>2785</v>
      </c>
      <c r="BE635" t="s">
        <v>393</v>
      </c>
      <c r="BF635">
        <v>32011</v>
      </c>
      <c r="BG635" t="s">
        <v>6799</v>
      </c>
      <c r="BH635" t="s">
        <v>2787</v>
      </c>
      <c r="BI635">
        <v>-81.840495766278593</v>
      </c>
      <c r="BJ635">
        <v>30.5359994002539</v>
      </c>
      <c r="BK635" t="s">
        <v>6800</v>
      </c>
      <c r="BM635" t="s">
        <v>6801</v>
      </c>
      <c r="BN635" t="s">
        <v>928</v>
      </c>
      <c r="BO635">
        <v>32011</v>
      </c>
      <c r="BP635" t="s">
        <v>404</v>
      </c>
      <c r="BQ635">
        <v>0</v>
      </c>
      <c r="BR635" t="s">
        <v>491</v>
      </c>
      <c r="BS635">
        <v>8001</v>
      </c>
      <c r="BT635" t="s">
        <v>492</v>
      </c>
      <c r="BW635">
        <v>22382</v>
      </c>
      <c r="BX635" t="s">
        <v>407</v>
      </c>
      <c r="BY635" t="s">
        <v>408</v>
      </c>
      <c r="CD635">
        <v>2017</v>
      </c>
      <c r="CE635">
        <v>3937</v>
      </c>
      <c r="CG635">
        <v>3937</v>
      </c>
      <c r="CH635">
        <v>2017</v>
      </c>
      <c r="CI635">
        <v>3937</v>
      </c>
      <c r="CK635">
        <v>3937</v>
      </c>
      <c r="CL635">
        <v>2017</v>
      </c>
      <c r="CM635">
        <v>55.35</v>
      </c>
      <c r="CN635" s="1">
        <v>38390</v>
      </c>
      <c r="CZ635" s="1">
        <v>38390</v>
      </c>
      <c r="DD635" t="s">
        <v>2785</v>
      </c>
      <c r="DF635">
        <v>211</v>
      </c>
      <c r="DG635">
        <v>6</v>
      </c>
      <c r="DJ635" t="s">
        <v>6710</v>
      </c>
      <c r="DL635">
        <v>50503</v>
      </c>
      <c r="DM635" t="s">
        <v>6696</v>
      </c>
      <c r="DO635" t="s">
        <v>6802</v>
      </c>
      <c r="DP635">
        <v>0</v>
      </c>
      <c r="DQ635">
        <v>0</v>
      </c>
      <c r="DR635" t="s">
        <v>411</v>
      </c>
      <c r="EP635" t="s">
        <v>595</v>
      </c>
      <c r="EQ635" t="s">
        <v>422</v>
      </c>
      <c r="ER635">
        <v>7</v>
      </c>
      <c r="ES635">
        <v>0</v>
      </c>
      <c r="ET635">
        <v>528.37</v>
      </c>
      <c r="EU635">
        <v>269.06</v>
      </c>
      <c r="EV635">
        <v>797.43</v>
      </c>
      <c r="EW635" s="2">
        <v>43222</v>
      </c>
      <c r="EX635" s="1">
        <v>42879</v>
      </c>
      <c r="EY635">
        <v>2016</v>
      </c>
      <c r="EZ635">
        <v>78.88</v>
      </c>
      <c r="FA635" t="s">
        <v>6803</v>
      </c>
      <c r="FB635">
        <v>18</v>
      </c>
      <c r="FC635" t="s">
        <v>424</v>
      </c>
      <c r="FD635" t="s">
        <v>454</v>
      </c>
      <c r="FF635">
        <v>12</v>
      </c>
      <c r="FG635">
        <v>5100525</v>
      </c>
      <c r="FH635" t="s">
        <v>6804</v>
      </c>
      <c r="FJ635" s="1">
        <v>42879</v>
      </c>
      <c r="FK635">
        <v>2015</v>
      </c>
      <c r="FL635">
        <v>89.42</v>
      </c>
      <c r="FM635" t="s">
        <v>6805</v>
      </c>
      <c r="FN635">
        <v>18</v>
      </c>
      <c r="FO635" t="s">
        <v>424</v>
      </c>
      <c r="FP635" t="s">
        <v>454</v>
      </c>
      <c r="FR635">
        <v>12</v>
      </c>
      <c r="FS635">
        <v>7685287</v>
      </c>
      <c r="FT635" t="s">
        <v>6806</v>
      </c>
      <c r="FV635" s="1">
        <v>42879</v>
      </c>
      <c r="FW635">
        <v>2014</v>
      </c>
      <c r="FX635">
        <v>95.63</v>
      </c>
      <c r="FY635" t="s">
        <v>6807</v>
      </c>
      <c r="FZ635">
        <v>18</v>
      </c>
      <c r="GA635" t="s">
        <v>424</v>
      </c>
      <c r="GB635" t="s">
        <v>454</v>
      </c>
      <c r="GD635">
        <v>12</v>
      </c>
      <c r="GE635">
        <v>7685287</v>
      </c>
      <c r="GF635" t="s">
        <v>6806</v>
      </c>
      <c r="GH635" s="1">
        <v>41787</v>
      </c>
      <c r="GI635">
        <v>2013</v>
      </c>
      <c r="GJ635">
        <v>67.48</v>
      </c>
      <c r="GK635" t="s">
        <v>6808</v>
      </c>
      <c r="GL635">
        <v>18</v>
      </c>
      <c r="GM635" t="s">
        <v>603</v>
      </c>
      <c r="GN635" t="s">
        <v>454</v>
      </c>
      <c r="GP635">
        <v>48</v>
      </c>
      <c r="GQ635">
        <v>9999999</v>
      </c>
      <c r="GR635" t="s">
        <v>604</v>
      </c>
      <c r="GT635" s="1">
        <v>41423</v>
      </c>
      <c r="GU635">
        <v>2012</v>
      </c>
      <c r="GV635">
        <v>68.05</v>
      </c>
      <c r="GW635" t="s">
        <v>6809</v>
      </c>
      <c r="GX635">
        <v>10</v>
      </c>
      <c r="GY635" t="s">
        <v>424</v>
      </c>
      <c r="GZ635" t="s">
        <v>454</v>
      </c>
      <c r="HB635">
        <v>60</v>
      </c>
      <c r="HC635">
        <v>375</v>
      </c>
      <c r="HD635" t="s">
        <v>776</v>
      </c>
      <c r="HF635" s="1">
        <v>41423</v>
      </c>
      <c r="HG635">
        <v>2012</v>
      </c>
      <c r="HH635">
        <v>68.05</v>
      </c>
      <c r="HI635" t="s">
        <v>6809</v>
      </c>
      <c r="HJ635">
        <v>10</v>
      </c>
      <c r="HK635" t="s">
        <v>424</v>
      </c>
      <c r="HL635" t="s">
        <v>454</v>
      </c>
      <c r="HN635">
        <v>60</v>
      </c>
      <c r="HO635">
        <v>105</v>
      </c>
      <c r="HP635" t="s">
        <v>946</v>
      </c>
      <c r="HR635" s="1">
        <v>41052</v>
      </c>
      <c r="HS635">
        <v>2011</v>
      </c>
      <c r="HT635">
        <v>60.86</v>
      </c>
      <c r="HU635" t="s">
        <v>6810</v>
      </c>
      <c r="HV635">
        <v>16.75</v>
      </c>
      <c r="HW635" t="s">
        <v>424</v>
      </c>
      <c r="HX635" t="s">
        <v>454</v>
      </c>
      <c r="HZ635">
        <v>72</v>
      </c>
      <c r="IA635">
        <v>10125</v>
      </c>
      <c r="IB635" t="s">
        <v>440</v>
      </c>
    </row>
    <row r="636" spans="1:260" x14ac:dyDescent="0.25">
      <c r="A636">
        <v>16485643</v>
      </c>
      <c r="B636">
        <v>635</v>
      </c>
      <c r="C636" t="s">
        <v>393</v>
      </c>
      <c r="D636" t="s">
        <v>394</v>
      </c>
      <c r="F636" t="str">
        <f>"06-1N-25-199S-0216-0000"</f>
        <v>06-1N-25-199S-0216-0000</v>
      </c>
      <c r="H636" t="str">
        <f>"BRIGMOND WANELL K"</f>
        <v>BRIGMOND WANELL K</v>
      </c>
      <c r="I636" t="str">
        <f>"44013 LITTLE LIVE OAK DRIVE"</f>
        <v>44013 LITTLE LIVE OAK DRIVE</v>
      </c>
      <c r="J636" t="str">
        <f>"CALLAHAN FL 32011"</f>
        <v>CALLAHAN FL 32011</v>
      </c>
      <c r="K636" t="str">
        <f>"44013 LITTLE LIVE OAK LN"</f>
        <v>44013 LITTLE LIVE OAK LN</v>
      </c>
      <c r="L636" t="str">
        <f t="shared" si="181"/>
        <v>CALLAHAN FL 32011</v>
      </c>
      <c r="M636" t="str">
        <f>"LOTS 216 &amp; 217 IN OR 1746/1788 2006 FTWD DW/MH SWALLOWFORK ESTATES PHASE 3 PB 5/346"</f>
        <v>LOTS 216 &amp; 217 IN OR 1746/1788 2006 FTWD DW/MH SWALLOWFORK ESTATES PHASE 3 PB 5/346</v>
      </c>
      <c r="N636" t="str">
        <f>""</f>
        <v/>
      </c>
      <c r="O636" t="str">
        <f>"22024"</f>
        <v>22024</v>
      </c>
      <c r="P636" t="str">
        <f t="shared" si="176"/>
        <v>2017</v>
      </c>
      <c r="Q636" t="str">
        <f>""</f>
        <v/>
      </c>
      <c r="R636" t="str">
        <f t="shared" si="191"/>
        <v>N</v>
      </c>
      <c r="S636" t="str">
        <f>""</f>
        <v/>
      </c>
      <c r="T636" t="str">
        <f>"1180.50"</f>
        <v>1180.50</v>
      </c>
      <c r="U636" t="str">
        <f>"77108.00"</f>
        <v>77108.00</v>
      </c>
      <c r="V636" t="str">
        <f>"77108.00"</f>
        <v>77108.00</v>
      </c>
      <c r="W636" t="str">
        <f t="shared" si="177"/>
        <v>2017</v>
      </c>
      <c r="X636" t="str">
        <f>"2.00"</f>
        <v>2.00</v>
      </c>
      <c r="Y636" t="str">
        <f>"1247.92"</f>
        <v>1247.92</v>
      </c>
      <c r="Z636" t="str">
        <f>""</f>
        <v/>
      </c>
      <c r="AA636" t="str">
        <f>"79106.00"</f>
        <v>79106.00</v>
      </c>
      <c r="AB636" t="str">
        <f t="shared" si="187"/>
        <v>Residential</v>
      </c>
      <c r="AC636" t="str">
        <f t="shared" si="185"/>
        <v>0</v>
      </c>
      <c r="AD636" t="str">
        <f>"4"</f>
        <v>4</v>
      </c>
      <c r="AE636" t="str">
        <f>"WOOD (INCLUDE STEEL STUDS)"</f>
        <v>WOOD (INCLUDE STEEL STUDS)</v>
      </c>
      <c r="AF636" t="str">
        <f>"002"</f>
        <v>002</v>
      </c>
      <c r="AG636" t="str">
        <f t="shared" si="186"/>
        <v>FL</v>
      </c>
      <c r="AH636" t="str">
        <f t="shared" si="192"/>
        <v>-</v>
      </c>
      <c r="AI636" t="str">
        <f>"25200.00"</f>
        <v>25200.00</v>
      </c>
      <c r="AJ636" t="str">
        <f>"C55-000-586-6609-0"</f>
        <v>C55-000-586-6609-0</v>
      </c>
      <c r="AK636" t="str">
        <f>"10214"</f>
        <v>10214</v>
      </c>
      <c r="AL636">
        <v>3</v>
      </c>
      <c r="AM636">
        <v>730</v>
      </c>
      <c r="AN636">
        <v>1308.72</v>
      </c>
      <c r="AQ636" t="s">
        <v>6811</v>
      </c>
      <c r="AR636" t="s">
        <v>6811</v>
      </c>
      <c r="AS636" t="s">
        <v>6811</v>
      </c>
      <c r="AU636" t="s">
        <v>396</v>
      </c>
      <c r="AV636">
        <v>2017</v>
      </c>
      <c r="AW636" t="str">
        <f>"06-1N-25-199S-0216-0000 "</f>
        <v xml:space="preserve">06-1N-25-199S-0216-0000 </v>
      </c>
      <c r="AX636">
        <v>44013</v>
      </c>
      <c r="AZ636" t="s">
        <v>6812</v>
      </c>
      <c r="BA636" t="s">
        <v>653</v>
      </c>
      <c r="BD636" t="s">
        <v>2785</v>
      </c>
      <c r="BE636" t="s">
        <v>393</v>
      </c>
      <c r="BF636">
        <v>32011</v>
      </c>
      <c r="BG636" t="s">
        <v>6813</v>
      </c>
      <c r="BH636" t="s">
        <v>2787</v>
      </c>
      <c r="BI636">
        <v>-81.842255753201997</v>
      </c>
      <c r="BJ636">
        <v>30.536546622694299</v>
      </c>
      <c r="BK636" t="s">
        <v>6814</v>
      </c>
      <c r="BM636" t="s">
        <v>6813</v>
      </c>
      <c r="BN636" t="s">
        <v>928</v>
      </c>
      <c r="BO636">
        <v>32011</v>
      </c>
      <c r="BP636" t="s">
        <v>416</v>
      </c>
      <c r="BQ636">
        <v>200</v>
      </c>
      <c r="BR636" t="s">
        <v>405</v>
      </c>
      <c r="BS636">
        <v>1006</v>
      </c>
      <c r="BT636" t="s">
        <v>406</v>
      </c>
      <c r="BW636">
        <v>47179</v>
      </c>
      <c r="BX636" t="s">
        <v>407</v>
      </c>
      <c r="BY636" t="s">
        <v>408</v>
      </c>
      <c r="BZ636">
        <v>4</v>
      </c>
      <c r="CA636">
        <v>2006</v>
      </c>
      <c r="CB636">
        <v>1</v>
      </c>
      <c r="CC636">
        <v>1</v>
      </c>
      <c r="CD636">
        <v>2017</v>
      </c>
      <c r="CE636">
        <v>25200</v>
      </c>
      <c r="CF636">
        <v>53906</v>
      </c>
      <c r="CG636">
        <v>79106</v>
      </c>
      <c r="CH636">
        <v>2017</v>
      </c>
      <c r="CI636">
        <v>25200</v>
      </c>
      <c r="CJ636">
        <v>53906</v>
      </c>
      <c r="CK636">
        <v>79106</v>
      </c>
      <c r="CL636">
        <v>2017</v>
      </c>
      <c r="CM636">
        <v>1180.5</v>
      </c>
      <c r="CN636" s="1">
        <v>40738</v>
      </c>
      <c r="CO636">
        <v>48600</v>
      </c>
      <c r="CV636">
        <v>0</v>
      </c>
      <c r="CZ636" s="1">
        <v>40738</v>
      </c>
      <c r="DA636">
        <v>0</v>
      </c>
      <c r="DD636" t="s">
        <v>2785</v>
      </c>
      <c r="DG636">
        <v>6</v>
      </c>
      <c r="DL636">
        <v>50503</v>
      </c>
      <c r="DM636" t="s">
        <v>6696</v>
      </c>
      <c r="DO636" t="s">
        <v>6815</v>
      </c>
      <c r="DP636">
        <v>0</v>
      </c>
      <c r="DQ636">
        <v>0</v>
      </c>
      <c r="DR636" t="s">
        <v>411</v>
      </c>
      <c r="EP636" t="s">
        <v>421</v>
      </c>
      <c r="EQ636" t="s">
        <v>422</v>
      </c>
      <c r="ER636">
        <v>0</v>
      </c>
      <c r="ES636">
        <v>2</v>
      </c>
      <c r="ET636">
        <v>0</v>
      </c>
      <c r="EU636">
        <v>0</v>
      </c>
      <c r="EV636">
        <v>0</v>
      </c>
      <c r="EW636" s="2">
        <v>43222</v>
      </c>
      <c r="EX636" s="1">
        <v>42879</v>
      </c>
      <c r="EY636">
        <v>2016</v>
      </c>
      <c r="EZ636">
        <v>1190.76</v>
      </c>
      <c r="FA636" t="s">
        <v>6816</v>
      </c>
      <c r="FB636">
        <v>0.25</v>
      </c>
      <c r="FC636" t="s">
        <v>424</v>
      </c>
      <c r="FD636" t="s">
        <v>425</v>
      </c>
      <c r="FE636" s="1">
        <v>42944</v>
      </c>
      <c r="FF636">
        <v>2</v>
      </c>
      <c r="FG636">
        <v>7400234</v>
      </c>
      <c r="FH636" t="s">
        <v>426</v>
      </c>
      <c r="FJ636" s="1">
        <v>42879</v>
      </c>
      <c r="FK636">
        <v>2016</v>
      </c>
      <c r="FL636">
        <v>1190.76</v>
      </c>
      <c r="FM636" t="s">
        <v>6816</v>
      </c>
      <c r="FN636">
        <v>0.25</v>
      </c>
      <c r="FO636" t="s">
        <v>424</v>
      </c>
      <c r="FP636" t="s">
        <v>425</v>
      </c>
      <c r="FR636">
        <v>22</v>
      </c>
      <c r="FS636">
        <v>7461280</v>
      </c>
      <c r="FT636" t="s">
        <v>6817</v>
      </c>
    </row>
    <row r="637" spans="1:260" x14ac:dyDescent="0.25">
      <c r="A637">
        <v>16485644</v>
      </c>
      <c r="B637">
        <v>636</v>
      </c>
      <c r="C637" t="s">
        <v>393</v>
      </c>
      <c r="D637" t="s">
        <v>394</v>
      </c>
      <c r="F637" t="str">
        <f>"06-1N-25-199S-0238-0000"</f>
        <v>06-1N-25-199S-0238-0000</v>
      </c>
      <c r="H637" t="str">
        <f>"WOODARD RUSSELL &amp; NELSON CLAUDIA A"</f>
        <v>WOODARD RUSSELL &amp; NELSON CLAUDIA A</v>
      </c>
      <c r="I637" t="str">
        <f>"1 RIDGEWAY CT"</f>
        <v>1 RIDGEWAY CT</v>
      </c>
      <c r="J637" t="str">
        <f>"WEST ORANGE NJ 07052"</f>
        <v>WEST ORANGE NJ 07052</v>
      </c>
      <c r="K637" t="str">
        <f>"BREEZY LN"</f>
        <v>BREEZY LN</v>
      </c>
      <c r="L637" t="str">
        <f t="shared" si="181"/>
        <v>CALLAHAN FL 32011</v>
      </c>
      <c r="M637" t="str">
        <f>"LOT 238 PT OR 1398/747 SWALLOWFORK ESTATES PHASE 2 PB 5/345"</f>
        <v>LOT 238 PT OR 1398/747 SWALLOWFORK ESTATES PHASE 2 PB 5/345</v>
      </c>
      <c r="N637" t="str">
        <f>""</f>
        <v/>
      </c>
      <c r="O637" t="str">
        <f>"22046"</f>
        <v>22046</v>
      </c>
      <c r="P637" t="str">
        <f t="shared" si="176"/>
        <v>2017</v>
      </c>
      <c r="Q637" t="str">
        <f>""</f>
        <v/>
      </c>
      <c r="R637" t="str">
        <f t="shared" si="191"/>
        <v>N</v>
      </c>
      <c r="S637" t="str">
        <f>""</f>
        <v/>
      </c>
      <c r="T637" t="str">
        <f>"154.95"</f>
        <v>154.95</v>
      </c>
      <c r="U637" t="str">
        <f t="shared" ref="U637:V640" si="193">"9625.00"</f>
        <v>9625.00</v>
      </c>
      <c r="V637" t="str">
        <f t="shared" si="193"/>
        <v>9625.00</v>
      </c>
      <c r="W637" t="str">
        <f t="shared" si="177"/>
        <v>2017</v>
      </c>
      <c r="X637" t="str">
        <f>"19.86"</f>
        <v>19.86</v>
      </c>
      <c r="Y637" t="str">
        <f>"191.60"</f>
        <v>191.60</v>
      </c>
      <c r="Z637" t="str">
        <f>""</f>
        <v/>
      </c>
      <c r="AA637" t="str">
        <f>"11025.00"</f>
        <v>11025.00</v>
      </c>
      <c r="AB637" t="str">
        <f t="shared" si="187"/>
        <v>Residential</v>
      </c>
      <c r="AC637" t="str">
        <f t="shared" si="185"/>
        <v>0</v>
      </c>
      <c r="AD637" t="str">
        <f>""</f>
        <v/>
      </c>
      <c r="AE637" t="str">
        <f>""</f>
        <v/>
      </c>
      <c r="AF637" t="str">
        <f>"000"</f>
        <v>000</v>
      </c>
      <c r="AG637" t="str">
        <f>"NJ"</f>
        <v>NJ</v>
      </c>
      <c r="AH637" t="str">
        <f t="shared" si="192"/>
        <v>-</v>
      </c>
      <c r="AI637" t="str">
        <f>"11025.00"</f>
        <v>11025.00</v>
      </c>
      <c r="AJ637" t="str">
        <f>"C55-000-586-6631-4"</f>
        <v>C55-000-586-6631-4</v>
      </c>
      <c r="AK637" t="str">
        <f>"10232"</f>
        <v>10232</v>
      </c>
      <c r="AL637">
        <v>3</v>
      </c>
      <c r="AM637">
        <v>731</v>
      </c>
      <c r="AN637">
        <v>199.58</v>
      </c>
      <c r="AQ637" t="s">
        <v>6818</v>
      </c>
      <c r="AR637" t="s">
        <v>6818</v>
      </c>
      <c r="AS637" t="s">
        <v>6818</v>
      </c>
      <c r="AU637" t="s">
        <v>396</v>
      </c>
      <c r="AV637">
        <v>2017</v>
      </c>
      <c r="AW637" t="str">
        <f>"06-1N-25-199S-0238-0000 "</f>
        <v xml:space="preserve">06-1N-25-199S-0238-0000 </v>
      </c>
      <c r="AZ637" t="s">
        <v>6819</v>
      </c>
      <c r="BA637" t="s">
        <v>653</v>
      </c>
      <c r="BD637" t="s">
        <v>2785</v>
      </c>
      <c r="BE637" t="s">
        <v>393</v>
      </c>
      <c r="BF637">
        <v>32011</v>
      </c>
      <c r="BG637" t="s">
        <v>6820</v>
      </c>
      <c r="BH637" t="s">
        <v>2787</v>
      </c>
      <c r="BI637">
        <v>-81.843818025034693</v>
      </c>
      <c r="BJ637">
        <v>30.536963740108099</v>
      </c>
      <c r="BK637" t="s">
        <v>6821</v>
      </c>
      <c r="BL637" t="s">
        <v>6822</v>
      </c>
      <c r="BM637" t="s">
        <v>6823</v>
      </c>
      <c r="BN637" t="s">
        <v>6824</v>
      </c>
      <c r="BO637">
        <v>7052</v>
      </c>
      <c r="BP637" t="s">
        <v>404</v>
      </c>
      <c r="BQ637">
        <v>0</v>
      </c>
      <c r="BR637" t="s">
        <v>491</v>
      </c>
      <c r="BS637">
        <v>8001</v>
      </c>
      <c r="BT637" t="s">
        <v>492</v>
      </c>
      <c r="BW637">
        <v>22000</v>
      </c>
      <c r="BX637" t="s">
        <v>407</v>
      </c>
      <c r="BY637" t="s">
        <v>408</v>
      </c>
      <c r="CD637">
        <v>2017</v>
      </c>
      <c r="CE637">
        <v>11025</v>
      </c>
      <c r="CG637">
        <v>11025</v>
      </c>
      <c r="CH637">
        <v>2017</v>
      </c>
      <c r="CI637">
        <v>11025</v>
      </c>
      <c r="CK637">
        <v>11025</v>
      </c>
      <c r="CL637">
        <v>2017</v>
      </c>
      <c r="CM637">
        <v>154.94999999999999</v>
      </c>
      <c r="CN637" s="1">
        <v>38799</v>
      </c>
      <c r="CO637">
        <v>17000</v>
      </c>
      <c r="CV637">
        <v>0</v>
      </c>
      <c r="CZ637" s="1">
        <v>38799</v>
      </c>
      <c r="DA637">
        <v>0</v>
      </c>
      <c r="DD637" t="s">
        <v>2785</v>
      </c>
      <c r="DF637">
        <v>238</v>
      </c>
      <c r="DG637">
        <v>6</v>
      </c>
      <c r="DJ637" t="s">
        <v>6710</v>
      </c>
      <c r="DL637">
        <v>50503</v>
      </c>
      <c r="DM637" t="s">
        <v>6696</v>
      </c>
      <c r="DO637" t="s">
        <v>6825</v>
      </c>
      <c r="DP637">
        <v>0</v>
      </c>
      <c r="DQ637">
        <v>0</v>
      </c>
      <c r="DR637" t="s">
        <v>411</v>
      </c>
      <c r="DS637" t="b">
        <v>1</v>
      </c>
      <c r="DT637" t="s">
        <v>470</v>
      </c>
      <c r="DU637" t="s">
        <v>471</v>
      </c>
      <c r="DV637" t="s">
        <v>472</v>
      </c>
      <c r="DX637">
        <v>-9999</v>
      </c>
      <c r="DZ637" t="s">
        <v>447</v>
      </c>
      <c r="EA637" t="s">
        <v>448</v>
      </c>
      <c r="EB637" t="s">
        <v>742</v>
      </c>
      <c r="EC637">
        <v>20101217</v>
      </c>
      <c r="ED637" t="s">
        <v>474</v>
      </c>
      <c r="EF637">
        <v>695.6</v>
      </c>
      <c r="EG637">
        <v>695.6</v>
      </c>
      <c r="EI637">
        <v>20160407</v>
      </c>
      <c r="EJ637">
        <v>0</v>
      </c>
      <c r="EK637">
        <v>0</v>
      </c>
      <c r="EP637" t="s">
        <v>421</v>
      </c>
      <c r="EQ637" t="s">
        <v>452</v>
      </c>
      <c r="ER637">
        <v>0</v>
      </c>
      <c r="ES637">
        <v>7</v>
      </c>
      <c r="ET637">
        <v>0</v>
      </c>
      <c r="EU637">
        <v>0</v>
      </c>
      <c r="EV637">
        <v>0</v>
      </c>
      <c r="EW637" s="2">
        <v>43222</v>
      </c>
      <c r="EX637" s="1">
        <v>42515</v>
      </c>
      <c r="EY637">
        <v>2015</v>
      </c>
      <c r="EZ637">
        <v>192.05</v>
      </c>
      <c r="FA637" t="s">
        <v>6826</v>
      </c>
      <c r="FB637">
        <v>18</v>
      </c>
      <c r="FC637" t="s">
        <v>424</v>
      </c>
      <c r="FD637" t="s">
        <v>425</v>
      </c>
      <c r="FF637">
        <v>22</v>
      </c>
      <c r="FG637">
        <v>7336670</v>
      </c>
      <c r="FH637" t="s">
        <v>2102</v>
      </c>
      <c r="FI637" t="s">
        <v>458</v>
      </c>
      <c r="FJ637" s="1">
        <v>42151</v>
      </c>
      <c r="FK637">
        <v>2014</v>
      </c>
      <c r="FL637">
        <v>184.38</v>
      </c>
      <c r="FM637" t="s">
        <v>6827</v>
      </c>
      <c r="FN637">
        <v>18</v>
      </c>
      <c r="FO637" t="s">
        <v>424</v>
      </c>
      <c r="FP637" t="s">
        <v>425</v>
      </c>
      <c r="FQ637" s="1">
        <v>42551</v>
      </c>
      <c r="FR637">
        <v>13</v>
      </c>
      <c r="FS637">
        <v>10125</v>
      </c>
      <c r="FT637" t="s">
        <v>440</v>
      </c>
      <c r="FU637" t="s">
        <v>458</v>
      </c>
      <c r="FV637" s="1">
        <v>41787</v>
      </c>
      <c r="FW637">
        <v>2013</v>
      </c>
      <c r="FX637">
        <v>167.58</v>
      </c>
      <c r="FY637" t="s">
        <v>6828</v>
      </c>
      <c r="FZ637">
        <v>6.75</v>
      </c>
      <c r="GA637" t="s">
        <v>424</v>
      </c>
      <c r="GB637" t="s">
        <v>425</v>
      </c>
      <c r="GD637">
        <v>22</v>
      </c>
      <c r="GE637">
        <v>2035919</v>
      </c>
      <c r="GF637" t="s">
        <v>507</v>
      </c>
      <c r="GG637" t="s">
        <v>458</v>
      </c>
      <c r="GH637" s="1">
        <v>41787</v>
      </c>
      <c r="GI637">
        <v>2013</v>
      </c>
      <c r="GJ637">
        <v>167.58</v>
      </c>
      <c r="GK637" t="s">
        <v>6828</v>
      </c>
      <c r="GL637">
        <v>6.75</v>
      </c>
      <c r="GM637" t="s">
        <v>424</v>
      </c>
      <c r="GN637" t="s">
        <v>425</v>
      </c>
      <c r="GP637">
        <v>22</v>
      </c>
      <c r="GQ637">
        <v>7336670</v>
      </c>
      <c r="GR637" t="s">
        <v>2102</v>
      </c>
      <c r="GS637" t="s">
        <v>458</v>
      </c>
      <c r="GT637" s="1">
        <v>41423</v>
      </c>
      <c r="GU637">
        <v>2012</v>
      </c>
      <c r="GV637">
        <v>169.41</v>
      </c>
      <c r="GW637" t="s">
        <v>6829</v>
      </c>
      <c r="GX637">
        <v>9.75</v>
      </c>
      <c r="GY637" t="s">
        <v>424</v>
      </c>
      <c r="GZ637" t="s">
        <v>425</v>
      </c>
      <c r="HA637" s="1">
        <v>42424</v>
      </c>
      <c r="HB637">
        <v>33</v>
      </c>
      <c r="HC637">
        <v>1127</v>
      </c>
      <c r="HD637" t="s">
        <v>1379</v>
      </c>
      <c r="HF637" s="1">
        <v>41423</v>
      </c>
      <c r="HG637">
        <v>2012</v>
      </c>
      <c r="HH637">
        <v>169.41</v>
      </c>
      <c r="HI637" t="s">
        <v>6829</v>
      </c>
      <c r="HJ637">
        <v>9.75</v>
      </c>
      <c r="HK637" t="s">
        <v>424</v>
      </c>
      <c r="HL637" t="s">
        <v>425</v>
      </c>
      <c r="HN637">
        <v>22</v>
      </c>
      <c r="HO637">
        <v>2035919</v>
      </c>
      <c r="HP637" t="s">
        <v>507</v>
      </c>
      <c r="HR637" s="1">
        <v>41052</v>
      </c>
      <c r="HS637">
        <v>2011</v>
      </c>
      <c r="HT637">
        <v>163.98</v>
      </c>
      <c r="HU637" t="s">
        <v>6830</v>
      </c>
      <c r="HV637">
        <v>11</v>
      </c>
      <c r="HW637" t="s">
        <v>424</v>
      </c>
      <c r="HX637" t="s">
        <v>425</v>
      </c>
      <c r="HY637" s="1">
        <v>42424</v>
      </c>
      <c r="HZ637">
        <v>45</v>
      </c>
      <c r="IA637">
        <v>10125</v>
      </c>
      <c r="IB637" t="s">
        <v>440</v>
      </c>
    </row>
    <row r="638" spans="1:260" x14ac:dyDescent="0.25">
      <c r="A638">
        <v>16485645</v>
      </c>
      <c r="B638">
        <v>637</v>
      </c>
      <c r="C638" t="s">
        <v>393</v>
      </c>
      <c r="D638" t="s">
        <v>394</v>
      </c>
      <c r="F638" t="str">
        <f>"06-1N-25-199S-0239-0000"</f>
        <v>06-1N-25-199S-0239-0000</v>
      </c>
      <c r="H638" t="str">
        <f>"WOODARD RUSSELL &amp; NELSON CLAUDIA A"</f>
        <v>WOODARD RUSSELL &amp; NELSON CLAUDIA A</v>
      </c>
      <c r="I638" t="str">
        <f>"1 RIDGEWAY CT"</f>
        <v>1 RIDGEWAY CT</v>
      </c>
      <c r="J638" t="str">
        <f>"WEST ORANGE NJ 07052"</f>
        <v>WEST ORANGE NJ 07052</v>
      </c>
      <c r="K638" t="str">
        <f>"BREEZY LN"</f>
        <v>BREEZY LN</v>
      </c>
      <c r="L638" t="str">
        <f t="shared" si="181"/>
        <v>CALLAHAN FL 32011</v>
      </c>
      <c r="M638" t="str">
        <f>"LOT 239 PT OR 1398/747 SWALLOWFORK ESTATES PHASE 2 PB 5/345"</f>
        <v>LOT 239 PT OR 1398/747 SWALLOWFORK ESTATES PHASE 2 PB 5/345</v>
      </c>
      <c r="N638" t="str">
        <f>""</f>
        <v/>
      </c>
      <c r="O638" t="str">
        <f>"22047"</f>
        <v>22047</v>
      </c>
      <c r="P638" t="str">
        <f t="shared" si="176"/>
        <v>2017</v>
      </c>
      <c r="Q638" t="str">
        <f>""</f>
        <v/>
      </c>
      <c r="R638" t="str">
        <f t="shared" si="191"/>
        <v>N</v>
      </c>
      <c r="S638" t="str">
        <f>""</f>
        <v/>
      </c>
      <c r="T638" t="str">
        <f>"154.95"</f>
        <v>154.95</v>
      </c>
      <c r="U638" t="str">
        <f t="shared" si="193"/>
        <v>9625.00</v>
      </c>
      <c r="V638" t="str">
        <f t="shared" si="193"/>
        <v>9625.00</v>
      </c>
      <c r="W638" t="str">
        <f t="shared" si="177"/>
        <v>2017</v>
      </c>
      <c r="X638" t="str">
        <f>"19.86"</f>
        <v>19.86</v>
      </c>
      <c r="Y638" t="str">
        <f>"191.60"</f>
        <v>191.60</v>
      </c>
      <c r="Z638" t="str">
        <f>""</f>
        <v/>
      </c>
      <c r="AA638" t="str">
        <f>"11025.00"</f>
        <v>11025.00</v>
      </c>
      <c r="AB638" t="str">
        <f t="shared" si="187"/>
        <v>Residential</v>
      </c>
      <c r="AC638" t="str">
        <f t="shared" si="185"/>
        <v>0</v>
      </c>
      <c r="AD638" t="str">
        <f>""</f>
        <v/>
      </c>
      <c r="AE638" t="str">
        <f>""</f>
        <v/>
      </c>
      <c r="AF638" t="str">
        <f>"000"</f>
        <v>000</v>
      </c>
      <c r="AG638" t="str">
        <f>"NJ"</f>
        <v>NJ</v>
      </c>
      <c r="AH638" t="str">
        <f t="shared" si="192"/>
        <v>-</v>
      </c>
      <c r="AI638" t="str">
        <f>"11025.00"</f>
        <v>11025.00</v>
      </c>
      <c r="AJ638" t="str">
        <f>"C55-000-586-6632-2"</f>
        <v>C55-000-586-6632-2</v>
      </c>
      <c r="AK638" t="str">
        <f>"10233"</f>
        <v>10233</v>
      </c>
      <c r="AL638">
        <v>3</v>
      </c>
      <c r="AM638">
        <v>732</v>
      </c>
      <c r="AN638">
        <v>199.58</v>
      </c>
      <c r="AQ638" t="s">
        <v>6831</v>
      </c>
      <c r="AR638" t="s">
        <v>6831</v>
      </c>
      <c r="AS638" t="s">
        <v>6831</v>
      </c>
      <c r="AU638" t="s">
        <v>396</v>
      </c>
      <c r="AV638">
        <v>2017</v>
      </c>
      <c r="AW638" t="str">
        <f>"06-1N-25-199S-0239-0000 "</f>
        <v xml:space="preserve">06-1N-25-199S-0239-0000 </v>
      </c>
      <c r="AZ638" t="s">
        <v>6819</v>
      </c>
      <c r="BA638" t="s">
        <v>653</v>
      </c>
      <c r="BD638" t="s">
        <v>2785</v>
      </c>
      <c r="BE638" t="s">
        <v>393</v>
      </c>
      <c r="BF638">
        <v>32011</v>
      </c>
      <c r="BG638" t="s">
        <v>6820</v>
      </c>
      <c r="BH638" t="s">
        <v>2787</v>
      </c>
      <c r="BI638">
        <v>-81.843823361202794</v>
      </c>
      <c r="BJ638">
        <v>30.537238632263598</v>
      </c>
      <c r="BK638" t="s">
        <v>6821</v>
      </c>
      <c r="BL638" t="s">
        <v>6822</v>
      </c>
      <c r="BM638" t="s">
        <v>6823</v>
      </c>
      <c r="BN638" t="s">
        <v>6824</v>
      </c>
      <c r="BO638">
        <v>7052</v>
      </c>
      <c r="BP638" t="s">
        <v>404</v>
      </c>
      <c r="BQ638">
        <v>0</v>
      </c>
      <c r="BR638" t="s">
        <v>491</v>
      </c>
      <c r="BS638">
        <v>8001</v>
      </c>
      <c r="BT638" t="s">
        <v>492</v>
      </c>
      <c r="BW638">
        <v>22000</v>
      </c>
      <c r="BX638" t="s">
        <v>407</v>
      </c>
      <c r="BY638" t="s">
        <v>408</v>
      </c>
      <c r="CD638">
        <v>2017</v>
      </c>
      <c r="CE638">
        <v>11025</v>
      </c>
      <c r="CG638">
        <v>11025</v>
      </c>
      <c r="CH638">
        <v>2017</v>
      </c>
      <c r="CI638">
        <v>11025</v>
      </c>
      <c r="CK638">
        <v>11025</v>
      </c>
      <c r="CL638">
        <v>2017</v>
      </c>
      <c r="CM638">
        <v>154.94999999999999</v>
      </c>
      <c r="CN638" s="1">
        <v>38799</v>
      </c>
      <c r="CO638">
        <v>17000</v>
      </c>
      <c r="CZ638" s="1">
        <v>38799</v>
      </c>
      <c r="DD638" t="s">
        <v>2785</v>
      </c>
      <c r="DF638">
        <v>239</v>
      </c>
      <c r="DG638">
        <v>6</v>
      </c>
      <c r="DJ638" t="s">
        <v>6710</v>
      </c>
      <c r="DL638">
        <v>50503</v>
      </c>
      <c r="DM638" t="s">
        <v>6696</v>
      </c>
      <c r="DO638" t="s">
        <v>6832</v>
      </c>
      <c r="DP638">
        <v>0</v>
      </c>
      <c r="DQ638">
        <v>0</v>
      </c>
      <c r="DR638" t="s">
        <v>411</v>
      </c>
      <c r="DS638" t="b">
        <v>1</v>
      </c>
      <c r="DT638" t="s">
        <v>470</v>
      </c>
      <c r="DU638" t="s">
        <v>471</v>
      </c>
      <c r="DV638" t="s">
        <v>472</v>
      </c>
      <c r="DX638">
        <v>-9999</v>
      </c>
      <c r="DZ638" t="s">
        <v>447</v>
      </c>
      <c r="EA638" t="s">
        <v>448</v>
      </c>
      <c r="EB638" t="s">
        <v>742</v>
      </c>
      <c r="EC638">
        <v>20101217</v>
      </c>
      <c r="ED638" t="s">
        <v>474</v>
      </c>
      <c r="EF638">
        <v>779.7</v>
      </c>
      <c r="EG638">
        <v>779.7</v>
      </c>
      <c r="EI638">
        <v>20160407</v>
      </c>
      <c r="EJ638">
        <v>0</v>
      </c>
      <c r="EK638">
        <v>0</v>
      </c>
      <c r="EP638" t="s">
        <v>421</v>
      </c>
      <c r="EQ638" t="s">
        <v>452</v>
      </c>
      <c r="ER638">
        <v>0</v>
      </c>
      <c r="ES638">
        <v>7</v>
      </c>
      <c r="ET638">
        <v>0</v>
      </c>
      <c r="EU638">
        <v>0</v>
      </c>
      <c r="EV638">
        <v>0</v>
      </c>
      <c r="EW638" s="2">
        <v>43222</v>
      </c>
      <c r="EX638" s="1">
        <v>42515</v>
      </c>
      <c r="EY638">
        <v>2015</v>
      </c>
      <c r="EZ638">
        <v>192.05</v>
      </c>
      <c r="FA638" t="s">
        <v>6833</v>
      </c>
      <c r="FB638">
        <v>18</v>
      </c>
      <c r="FC638" t="s">
        <v>424</v>
      </c>
      <c r="FD638" t="s">
        <v>425</v>
      </c>
      <c r="FF638">
        <v>22</v>
      </c>
      <c r="FG638">
        <v>7336670</v>
      </c>
      <c r="FH638" t="s">
        <v>2102</v>
      </c>
      <c r="FI638" t="s">
        <v>458</v>
      </c>
      <c r="FJ638" s="1">
        <v>42151</v>
      </c>
      <c r="FK638">
        <v>2014</v>
      </c>
      <c r="FL638">
        <v>184.38</v>
      </c>
      <c r="FM638" t="s">
        <v>6834</v>
      </c>
      <c r="FN638">
        <v>18</v>
      </c>
      <c r="FO638" t="s">
        <v>424</v>
      </c>
      <c r="FP638" t="s">
        <v>425</v>
      </c>
      <c r="FQ638" s="1">
        <v>42551</v>
      </c>
      <c r="FR638">
        <v>13</v>
      </c>
      <c r="FS638">
        <v>10125</v>
      </c>
      <c r="FT638" t="s">
        <v>440</v>
      </c>
      <c r="FU638" t="s">
        <v>458</v>
      </c>
      <c r="FV638" s="1">
        <v>41787</v>
      </c>
      <c r="FW638">
        <v>2013</v>
      </c>
      <c r="FX638">
        <v>167.58</v>
      </c>
      <c r="FY638" t="s">
        <v>6835</v>
      </c>
      <c r="FZ638">
        <v>6.75</v>
      </c>
      <c r="GA638" t="s">
        <v>424</v>
      </c>
      <c r="GB638" t="s">
        <v>425</v>
      </c>
      <c r="GD638">
        <v>22</v>
      </c>
      <c r="GE638">
        <v>2035919</v>
      </c>
      <c r="GF638" t="s">
        <v>507</v>
      </c>
      <c r="GG638" t="s">
        <v>458</v>
      </c>
      <c r="GH638" s="1">
        <v>41787</v>
      </c>
      <c r="GI638">
        <v>2013</v>
      </c>
      <c r="GJ638">
        <v>167.58</v>
      </c>
      <c r="GK638" t="s">
        <v>6835</v>
      </c>
      <c r="GL638">
        <v>6.75</v>
      </c>
      <c r="GM638" t="s">
        <v>424</v>
      </c>
      <c r="GN638" t="s">
        <v>425</v>
      </c>
      <c r="GP638">
        <v>22</v>
      </c>
      <c r="GQ638">
        <v>7336670</v>
      </c>
      <c r="GR638" t="s">
        <v>2102</v>
      </c>
      <c r="GS638" t="s">
        <v>458</v>
      </c>
      <c r="GT638" s="1">
        <v>41423</v>
      </c>
      <c r="GU638">
        <v>2012</v>
      </c>
      <c r="GV638">
        <v>169.41</v>
      </c>
      <c r="GW638" t="s">
        <v>6836</v>
      </c>
      <c r="GX638">
        <v>9.75</v>
      </c>
      <c r="GY638" t="s">
        <v>424</v>
      </c>
      <c r="GZ638" t="s">
        <v>425</v>
      </c>
      <c r="HA638" s="1">
        <v>42424</v>
      </c>
      <c r="HB638">
        <v>33</v>
      </c>
      <c r="HC638">
        <v>1127</v>
      </c>
      <c r="HD638" t="s">
        <v>1379</v>
      </c>
      <c r="HF638" s="1">
        <v>41423</v>
      </c>
      <c r="HG638">
        <v>2012</v>
      </c>
      <c r="HH638">
        <v>169.41</v>
      </c>
      <c r="HI638" t="s">
        <v>6836</v>
      </c>
      <c r="HJ638">
        <v>9.75</v>
      </c>
      <c r="HK638" t="s">
        <v>424</v>
      </c>
      <c r="HL638" t="s">
        <v>425</v>
      </c>
      <c r="HN638">
        <v>22</v>
      </c>
      <c r="HO638">
        <v>2035919</v>
      </c>
      <c r="HP638" t="s">
        <v>507</v>
      </c>
      <c r="HR638" s="1">
        <v>41052</v>
      </c>
      <c r="HS638">
        <v>2011</v>
      </c>
      <c r="HT638">
        <v>163.98</v>
      </c>
      <c r="HU638" t="s">
        <v>6837</v>
      </c>
      <c r="HV638">
        <v>11</v>
      </c>
      <c r="HW638" t="s">
        <v>424</v>
      </c>
      <c r="HX638" t="s">
        <v>425</v>
      </c>
      <c r="HY638" s="1">
        <v>42424</v>
      </c>
      <c r="HZ638">
        <v>45</v>
      </c>
      <c r="IA638">
        <v>10125</v>
      </c>
      <c r="IB638" t="s">
        <v>440</v>
      </c>
    </row>
    <row r="639" spans="1:260" x14ac:dyDescent="0.25">
      <c r="A639">
        <v>16485646</v>
      </c>
      <c r="B639">
        <v>638</v>
      </c>
      <c r="C639" t="s">
        <v>393</v>
      </c>
      <c r="D639" t="s">
        <v>394</v>
      </c>
      <c r="F639" t="str">
        <f>"06-1N-25-199S-0240-0000"</f>
        <v>06-1N-25-199S-0240-0000</v>
      </c>
      <c r="H639" t="str">
        <f>"PARKER-CREIGHTON MILLICENT"</f>
        <v>PARKER-CREIGHTON MILLICENT</v>
      </c>
      <c r="I639" t="str">
        <f>"14434 LAKE UNDERHILL ROAD"</f>
        <v>14434 LAKE UNDERHILL ROAD</v>
      </c>
      <c r="J639" t="str">
        <f>"ORLANDO FL 32828"</f>
        <v>ORLANDO FL 32828</v>
      </c>
      <c r="K639" t="str">
        <f>"BREEZY LN"</f>
        <v>BREEZY LN</v>
      </c>
      <c r="L639" t="str">
        <f t="shared" si="181"/>
        <v>CALLAHAN FL 32011</v>
      </c>
      <c r="M639" t="str">
        <f>"LOT 240 PT OR 2040/1565 SWALLOWFORK ESTATES PHASE 2 PB 5/345"</f>
        <v>LOT 240 PT OR 2040/1565 SWALLOWFORK ESTATES PHASE 2 PB 5/345</v>
      </c>
      <c r="N639" t="str">
        <f>""</f>
        <v/>
      </c>
      <c r="O639" t="str">
        <f>"22048"</f>
        <v>22048</v>
      </c>
      <c r="P639" t="str">
        <f t="shared" si="176"/>
        <v>2017</v>
      </c>
      <c r="Q639" t="str">
        <f>""</f>
        <v/>
      </c>
      <c r="R639" t="str">
        <f t="shared" si="191"/>
        <v>N</v>
      </c>
      <c r="S639" t="str">
        <f>""</f>
        <v/>
      </c>
      <c r="T639" t="str">
        <f>"154.95"</f>
        <v>154.95</v>
      </c>
      <c r="U639" t="str">
        <f t="shared" si="193"/>
        <v>9625.00</v>
      </c>
      <c r="V639" t="str">
        <f t="shared" si="193"/>
        <v>9625.00</v>
      </c>
      <c r="W639" t="str">
        <f t="shared" si="177"/>
        <v>2017</v>
      </c>
      <c r="X639" t="str">
        <f>"11.00"</f>
        <v>11.00</v>
      </c>
      <c r="Y639" t="str">
        <f>"191.60"</f>
        <v>191.60</v>
      </c>
      <c r="Z639" t="str">
        <f>""</f>
        <v/>
      </c>
      <c r="AA639" t="str">
        <f>"11025.00"</f>
        <v>11025.00</v>
      </c>
      <c r="AB639" t="str">
        <f t="shared" si="187"/>
        <v>Residential</v>
      </c>
      <c r="AC639" t="str">
        <f t="shared" si="185"/>
        <v>0</v>
      </c>
      <c r="AD639" t="str">
        <f>""</f>
        <v/>
      </c>
      <c r="AE639" t="str">
        <f>""</f>
        <v/>
      </c>
      <c r="AF639" t="str">
        <f>"000"</f>
        <v>000</v>
      </c>
      <c r="AG639" t="str">
        <f>"FL"</f>
        <v>FL</v>
      </c>
      <c r="AH639" t="str">
        <f t="shared" si="192"/>
        <v>-</v>
      </c>
      <c r="AI639" t="str">
        <f>"11025.00"</f>
        <v>11025.00</v>
      </c>
      <c r="AJ639" t="str">
        <f>"C55-000-586-6633-0"</f>
        <v>C55-000-586-6633-0</v>
      </c>
      <c r="AK639" t="str">
        <f>"10234"</f>
        <v>10234</v>
      </c>
      <c r="AL639">
        <v>3</v>
      </c>
      <c r="AM639">
        <v>733</v>
      </c>
      <c r="AN639">
        <v>199.58</v>
      </c>
      <c r="AQ639" t="s">
        <v>6838</v>
      </c>
      <c r="AR639" t="s">
        <v>6838</v>
      </c>
      <c r="AS639" t="s">
        <v>6838</v>
      </c>
      <c r="AU639" t="s">
        <v>396</v>
      </c>
      <c r="AV639">
        <v>2017</v>
      </c>
      <c r="AW639" t="str">
        <f>"06-1N-25-199S-0240-0000 "</f>
        <v xml:space="preserve">06-1N-25-199S-0240-0000 </v>
      </c>
      <c r="AZ639" t="s">
        <v>6819</v>
      </c>
      <c r="BA639" t="s">
        <v>653</v>
      </c>
      <c r="BD639" t="s">
        <v>2785</v>
      </c>
      <c r="BE639" t="s">
        <v>393</v>
      </c>
      <c r="BF639">
        <v>32011</v>
      </c>
      <c r="BG639" t="s">
        <v>6820</v>
      </c>
      <c r="BH639" t="s">
        <v>2787</v>
      </c>
      <c r="BI639">
        <v>-81.843828712676299</v>
      </c>
      <c r="BJ639">
        <v>30.537513530143201</v>
      </c>
      <c r="BK639" t="s">
        <v>6839</v>
      </c>
      <c r="BM639" t="s">
        <v>6840</v>
      </c>
      <c r="BN639" t="s">
        <v>2536</v>
      </c>
      <c r="BO639">
        <v>32828</v>
      </c>
      <c r="BP639" t="s">
        <v>404</v>
      </c>
      <c r="BQ639">
        <v>0</v>
      </c>
      <c r="BR639" t="s">
        <v>491</v>
      </c>
      <c r="BS639">
        <v>8001</v>
      </c>
      <c r="BT639" t="s">
        <v>492</v>
      </c>
      <c r="BW639">
        <v>22001</v>
      </c>
      <c r="BX639" t="s">
        <v>407</v>
      </c>
      <c r="BY639" t="s">
        <v>408</v>
      </c>
      <c r="CD639">
        <v>2017</v>
      </c>
      <c r="CE639">
        <v>11025</v>
      </c>
      <c r="CG639">
        <v>11025</v>
      </c>
      <c r="CH639">
        <v>2017</v>
      </c>
      <c r="CI639">
        <v>11025</v>
      </c>
      <c r="CK639">
        <v>11025</v>
      </c>
      <c r="CL639">
        <v>2017</v>
      </c>
      <c r="CM639">
        <v>154.94999999999999</v>
      </c>
      <c r="CN639" s="1">
        <v>38799</v>
      </c>
      <c r="CO639">
        <v>17000</v>
      </c>
      <c r="CV639">
        <v>0</v>
      </c>
      <c r="CZ639" s="1">
        <v>38799</v>
      </c>
      <c r="DA639">
        <v>0</v>
      </c>
      <c r="DD639" t="s">
        <v>2785</v>
      </c>
      <c r="DF639">
        <v>240</v>
      </c>
      <c r="DG639">
        <v>6</v>
      </c>
      <c r="DJ639" t="s">
        <v>6710</v>
      </c>
      <c r="DL639">
        <v>50503</v>
      </c>
      <c r="DM639" t="s">
        <v>6696</v>
      </c>
      <c r="DO639" t="s">
        <v>6841</v>
      </c>
      <c r="DP639">
        <v>0</v>
      </c>
      <c r="DQ639">
        <v>0</v>
      </c>
      <c r="DR639" t="s">
        <v>411</v>
      </c>
      <c r="EP639" t="s">
        <v>421</v>
      </c>
      <c r="EQ639" t="s">
        <v>422</v>
      </c>
      <c r="ER639">
        <v>0</v>
      </c>
      <c r="ES639">
        <v>1</v>
      </c>
      <c r="ET639">
        <v>0</v>
      </c>
      <c r="EU639">
        <v>0</v>
      </c>
      <c r="EV639">
        <v>0</v>
      </c>
      <c r="EW639" s="2">
        <v>43222</v>
      </c>
      <c r="EX639" s="1">
        <v>41052</v>
      </c>
      <c r="EY639">
        <v>2011</v>
      </c>
      <c r="EZ639">
        <v>163.98</v>
      </c>
      <c r="FA639" t="s">
        <v>6842</v>
      </c>
      <c r="FB639">
        <v>11.75</v>
      </c>
      <c r="FC639" t="s">
        <v>424</v>
      </c>
      <c r="FD639" t="s">
        <v>425</v>
      </c>
      <c r="FE639" s="1">
        <v>41380</v>
      </c>
      <c r="FF639">
        <v>11</v>
      </c>
      <c r="FG639">
        <v>10125</v>
      </c>
      <c r="FH639" t="s">
        <v>440</v>
      </c>
    </row>
    <row r="640" spans="1:260" x14ac:dyDescent="0.25">
      <c r="A640">
        <v>16485647</v>
      </c>
      <c r="B640">
        <v>639</v>
      </c>
      <c r="C640" t="s">
        <v>393</v>
      </c>
      <c r="D640" t="s">
        <v>394</v>
      </c>
      <c r="F640" t="str">
        <f>"06-1N-25-199S-0241-0000"</f>
        <v>06-1N-25-199S-0241-0000</v>
      </c>
      <c r="H640" t="str">
        <f>"PARKER-CREIGHTON MILLICENT"</f>
        <v>PARKER-CREIGHTON MILLICENT</v>
      </c>
      <c r="I640" t="str">
        <f>"14434 LAKE UNDERHILL ROAD"</f>
        <v>14434 LAKE UNDERHILL ROAD</v>
      </c>
      <c r="J640" t="str">
        <f>"ORLANDO FL 32828"</f>
        <v>ORLANDO FL 32828</v>
      </c>
      <c r="K640" t="str">
        <f>"BREEZY LN"</f>
        <v>BREEZY LN</v>
      </c>
      <c r="L640" t="str">
        <f t="shared" si="181"/>
        <v>CALLAHAN FL 32011</v>
      </c>
      <c r="M640" t="str">
        <f>"LOT 241 PT OR 2040/1565 SWALLOWFORK ESTATES PHASE 2 PB 5/345"</f>
        <v>LOT 241 PT OR 2040/1565 SWALLOWFORK ESTATES PHASE 2 PB 5/345</v>
      </c>
      <c r="N640" t="str">
        <f>""</f>
        <v/>
      </c>
      <c r="O640" t="str">
        <f>"22049"</f>
        <v>22049</v>
      </c>
      <c r="P640" t="str">
        <f t="shared" si="176"/>
        <v>2017</v>
      </c>
      <c r="Q640" t="str">
        <f>""</f>
        <v/>
      </c>
      <c r="R640" t="str">
        <f t="shared" si="191"/>
        <v>N</v>
      </c>
      <c r="S640" t="str">
        <f>""</f>
        <v/>
      </c>
      <c r="T640" t="str">
        <f>"154.95"</f>
        <v>154.95</v>
      </c>
      <c r="U640" t="str">
        <f t="shared" si="193"/>
        <v>9625.00</v>
      </c>
      <c r="V640" t="str">
        <f t="shared" si="193"/>
        <v>9625.00</v>
      </c>
      <c r="W640" t="str">
        <f t="shared" si="177"/>
        <v>2017</v>
      </c>
      <c r="X640" t="str">
        <f>"11.00"</f>
        <v>11.00</v>
      </c>
      <c r="Y640" t="str">
        <f>"191.60"</f>
        <v>191.60</v>
      </c>
      <c r="Z640" t="str">
        <f>""</f>
        <v/>
      </c>
      <c r="AA640" t="str">
        <f>"11025.00"</f>
        <v>11025.00</v>
      </c>
      <c r="AB640" t="str">
        <f t="shared" si="187"/>
        <v>Residential</v>
      </c>
      <c r="AC640" t="str">
        <f t="shared" si="185"/>
        <v>0</v>
      </c>
      <c r="AD640" t="str">
        <f>""</f>
        <v/>
      </c>
      <c r="AE640" t="str">
        <f>""</f>
        <v/>
      </c>
      <c r="AF640" t="str">
        <f>"000"</f>
        <v>000</v>
      </c>
      <c r="AG640" t="str">
        <f>"FL"</f>
        <v>FL</v>
      </c>
      <c r="AH640" t="str">
        <f t="shared" si="192"/>
        <v>-</v>
      </c>
      <c r="AI640" t="str">
        <f>"11025.00"</f>
        <v>11025.00</v>
      </c>
      <c r="AJ640" t="str">
        <f>"C55-000-586-6634-8"</f>
        <v>C55-000-586-6634-8</v>
      </c>
      <c r="AK640" t="str">
        <f>"10235"</f>
        <v>10235</v>
      </c>
      <c r="AL640">
        <v>3</v>
      </c>
      <c r="AM640">
        <v>734</v>
      </c>
      <c r="AN640">
        <v>199.58</v>
      </c>
      <c r="AQ640" t="s">
        <v>6843</v>
      </c>
      <c r="AR640" t="s">
        <v>6843</v>
      </c>
      <c r="AS640" t="s">
        <v>6843</v>
      </c>
      <c r="AU640" t="s">
        <v>396</v>
      </c>
      <c r="AV640">
        <v>2017</v>
      </c>
      <c r="AW640" t="str">
        <f>"06-1N-25-199S-0241-0000 "</f>
        <v xml:space="preserve">06-1N-25-199S-0241-0000 </v>
      </c>
      <c r="AZ640" t="s">
        <v>6819</v>
      </c>
      <c r="BA640" t="s">
        <v>653</v>
      </c>
      <c r="BD640" t="s">
        <v>2785</v>
      </c>
      <c r="BE640" t="s">
        <v>393</v>
      </c>
      <c r="BF640">
        <v>32011</v>
      </c>
      <c r="BG640" t="s">
        <v>6820</v>
      </c>
      <c r="BH640" t="s">
        <v>2787</v>
      </c>
      <c r="BI640">
        <v>-81.843834058993295</v>
      </c>
      <c r="BJ640">
        <v>30.537788422457002</v>
      </c>
      <c r="BK640" t="s">
        <v>6839</v>
      </c>
      <c r="BM640" t="s">
        <v>6840</v>
      </c>
      <c r="BN640" t="s">
        <v>2536</v>
      </c>
      <c r="BO640">
        <v>32828</v>
      </c>
      <c r="BP640" t="s">
        <v>404</v>
      </c>
      <c r="BQ640">
        <v>0</v>
      </c>
      <c r="BR640" t="s">
        <v>491</v>
      </c>
      <c r="BS640">
        <v>8001</v>
      </c>
      <c r="BT640" t="s">
        <v>492</v>
      </c>
      <c r="BW640">
        <v>21999</v>
      </c>
      <c r="BX640" t="s">
        <v>407</v>
      </c>
      <c r="BY640" t="s">
        <v>408</v>
      </c>
      <c r="CD640">
        <v>2017</v>
      </c>
      <c r="CE640">
        <v>11025</v>
      </c>
      <c r="CG640">
        <v>11025</v>
      </c>
      <c r="CH640">
        <v>2017</v>
      </c>
      <c r="CI640">
        <v>11025</v>
      </c>
      <c r="CK640">
        <v>11025</v>
      </c>
      <c r="CL640">
        <v>2017</v>
      </c>
      <c r="CM640">
        <v>154.94999999999999</v>
      </c>
      <c r="CN640" s="1">
        <v>42459</v>
      </c>
      <c r="CZ640" s="1">
        <v>42459</v>
      </c>
      <c r="DD640" t="s">
        <v>2785</v>
      </c>
      <c r="DF640">
        <v>241</v>
      </c>
      <c r="DG640">
        <v>6</v>
      </c>
      <c r="DJ640" t="s">
        <v>6710</v>
      </c>
      <c r="DL640">
        <v>50503</v>
      </c>
      <c r="DM640" t="s">
        <v>6696</v>
      </c>
      <c r="DO640" t="s">
        <v>6844</v>
      </c>
      <c r="DP640">
        <v>0</v>
      </c>
      <c r="DQ640">
        <v>0</v>
      </c>
      <c r="DR640" t="s">
        <v>411</v>
      </c>
      <c r="EP640" t="s">
        <v>421</v>
      </c>
      <c r="EQ640" t="s">
        <v>422</v>
      </c>
      <c r="ER640">
        <v>0</v>
      </c>
      <c r="ES640">
        <v>1</v>
      </c>
      <c r="ET640">
        <v>0</v>
      </c>
      <c r="EU640">
        <v>0</v>
      </c>
      <c r="EV640">
        <v>0</v>
      </c>
      <c r="EW640" s="2">
        <v>43222</v>
      </c>
      <c r="EX640" s="1">
        <v>41052</v>
      </c>
      <c r="EY640">
        <v>2011</v>
      </c>
      <c r="EZ640">
        <v>163.98</v>
      </c>
      <c r="FA640" t="s">
        <v>6845</v>
      </c>
      <c r="FB640">
        <v>11.75</v>
      </c>
      <c r="FC640" t="s">
        <v>424</v>
      </c>
      <c r="FD640" t="s">
        <v>425</v>
      </c>
      <c r="FE640" s="1">
        <v>41380</v>
      </c>
      <c r="FF640">
        <v>11</v>
      </c>
      <c r="FG640">
        <v>10125</v>
      </c>
      <c r="FH640" t="s">
        <v>440</v>
      </c>
    </row>
    <row r="641" spans="1:260" x14ac:dyDescent="0.25">
      <c r="A641">
        <v>16485648</v>
      </c>
      <c r="B641">
        <v>640</v>
      </c>
      <c r="C641" t="s">
        <v>393</v>
      </c>
      <c r="D641" t="s">
        <v>394</v>
      </c>
      <c r="F641" t="str">
        <f>"06-1N-25-199S-0277-0000"</f>
        <v>06-1N-25-199S-0277-0000</v>
      </c>
      <c r="H641" t="str">
        <f>"BAILEY LAUREL"</f>
        <v>BAILEY LAUREL</v>
      </c>
      <c r="I641" t="str">
        <f>"143-43 110 AVENUE"</f>
        <v>143-43 110 AVENUE</v>
      </c>
      <c r="J641" t="str">
        <f>"JAMAICA NY 11435"</f>
        <v>JAMAICA NY 11435</v>
      </c>
      <c r="K641" t="str">
        <f>"MAGNOLIA LN"</f>
        <v>MAGNOLIA LN</v>
      </c>
      <c r="L641" t="str">
        <f t="shared" si="181"/>
        <v>CALLAHAN FL 32011</v>
      </c>
      <c r="M641" t="str">
        <f>"LOT 277 PT OR 1366/904 SWALLOWFORK ESTATES PHASE 2 PB 5/345"</f>
        <v>LOT 277 PT OR 1366/904 SWALLOWFORK ESTATES PHASE 2 PB 5/345</v>
      </c>
      <c r="N641" t="str">
        <f>""</f>
        <v/>
      </c>
      <c r="O641" t="str">
        <f>"22084"</f>
        <v>22084</v>
      </c>
      <c r="P641" t="str">
        <f t="shared" si="176"/>
        <v>2017</v>
      </c>
      <c r="Q641" t="str">
        <f>""</f>
        <v/>
      </c>
      <c r="R641" t="str">
        <f t="shared" si="191"/>
        <v>N</v>
      </c>
      <c r="S641" t="str">
        <f>""</f>
        <v/>
      </c>
      <c r="T641" t="str">
        <f>"130.87"</f>
        <v>130.87</v>
      </c>
      <c r="U641" t="str">
        <f>"6807.00"</f>
        <v>6807.00</v>
      </c>
      <c r="V641" t="str">
        <f>"6807.00"</f>
        <v>6807.00</v>
      </c>
      <c r="W641" t="str">
        <f t="shared" si="177"/>
        <v>2017</v>
      </c>
      <c r="X641" t="str">
        <f>""</f>
        <v/>
      </c>
      <c r="Y641" t="str">
        <f>"166.80"</f>
        <v>166.80</v>
      </c>
      <c r="Z641" t="str">
        <f>""</f>
        <v/>
      </c>
      <c r="AA641" t="str">
        <f>"11025.00"</f>
        <v>11025.00</v>
      </c>
      <c r="AB641" t="str">
        <f t="shared" si="187"/>
        <v>Residential</v>
      </c>
      <c r="AC641" t="str">
        <f t="shared" si="185"/>
        <v>0</v>
      </c>
      <c r="AD641" t="str">
        <f>""</f>
        <v/>
      </c>
      <c r="AE641" t="str">
        <f>""</f>
        <v/>
      </c>
      <c r="AF641" t="str">
        <f>"000"</f>
        <v>000</v>
      </c>
      <c r="AG641" t="str">
        <f>"NY"</f>
        <v>NY</v>
      </c>
      <c r="AH641" t="str">
        <f t="shared" si="192"/>
        <v>-</v>
      </c>
      <c r="AI641" t="str">
        <f>"11025.00"</f>
        <v>11025.00</v>
      </c>
      <c r="AJ641" t="str">
        <f>"C55-000-586-6670-2"</f>
        <v>C55-000-586-6670-2</v>
      </c>
      <c r="AK641" t="str">
        <f>"10264"</f>
        <v>10264</v>
      </c>
      <c r="AL641">
        <v>3</v>
      </c>
      <c r="AM641">
        <v>735</v>
      </c>
      <c r="AN641">
        <v>173.54</v>
      </c>
      <c r="AQ641" t="s">
        <v>6846</v>
      </c>
      <c r="AR641" t="s">
        <v>6846</v>
      </c>
      <c r="AS641" t="s">
        <v>6846</v>
      </c>
      <c r="AU641" t="s">
        <v>396</v>
      </c>
      <c r="AV641">
        <v>2017</v>
      </c>
      <c r="AW641" t="str">
        <f>"06-1N-25-199S-0277-0000 "</f>
        <v xml:space="preserve">06-1N-25-199S-0277-0000 </v>
      </c>
      <c r="AZ641" t="s">
        <v>6847</v>
      </c>
      <c r="BA641" t="s">
        <v>653</v>
      </c>
      <c r="BD641" t="s">
        <v>2785</v>
      </c>
      <c r="BE641" t="s">
        <v>393</v>
      </c>
      <c r="BF641">
        <v>32011</v>
      </c>
      <c r="BG641" t="s">
        <v>6848</v>
      </c>
      <c r="BH641" t="s">
        <v>2787</v>
      </c>
      <c r="BI641">
        <v>-81.846987032608794</v>
      </c>
      <c r="BJ641">
        <v>30.536593959416699</v>
      </c>
      <c r="BK641" t="s">
        <v>6849</v>
      </c>
      <c r="BM641" t="s">
        <v>6850</v>
      </c>
      <c r="BN641" t="s">
        <v>6851</v>
      </c>
      <c r="BO641">
        <v>11435</v>
      </c>
      <c r="BP641" t="s">
        <v>404</v>
      </c>
      <c r="BQ641">
        <v>0</v>
      </c>
      <c r="BR641" t="s">
        <v>491</v>
      </c>
      <c r="BS641">
        <v>8001</v>
      </c>
      <c r="BT641" t="s">
        <v>492</v>
      </c>
      <c r="BW641">
        <v>21972</v>
      </c>
      <c r="BX641" t="s">
        <v>407</v>
      </c>
      <c r="BY641" t="s">
        <v>408</v>
      </c>
      <c r="CD641">
        <v>2017</v>
      </c>
      <c r="CE641">
        <v>11025</v>
      </c>
      <c r="CG641">
        <v>11025</v>
      </c>
      <c r="CH641">
        <v>2017</v>
      </c>
      <c r="CI641">
        <v>11025</v>
      </c>
      <c r="CK641">
        <v>11025</v>
      </c>
      <c r="CL641">
        <v>2017</v>
      </c>
      <c r="CM641">
        <v>130.87</v>
      </c>
      <c r="CN641" s="1">
        <v>38666</v>
      </c>
      <c r="CO641">
        <v>15300</v>
      </c>
      <c r="CV641">
        <v>15300</v>
      </c>
      <c r="CX641" t="s">
        <v>675</v>
      </c>
      <c r="CZ641" s="1">
        <v>38666</v>
      </c>
      <c r="DA641">
        <v>0</v>
      </c>
      <c r="DD641" t="s">
        <v>2785</v>
      </c>
      <c r="DF641">
        <v>277</v>
      </c>
      <c r="DG641">
        <v>6</v>
      </c>
      <c r="DJ641" t="s">
        <v>6710</v>
      </c>
      <c r="DL641">
        <v>50503</v>
      </c>
      <c r="DM641" t="s">
        <v>6696</v>
      </c>
      <c r="DO641" t="s">
        <v>6852</v>
      </c>
      <c r="DP641">
        <v>0</v>
      </c>
      <c r="DQ641">
        <v>0</v>
      </c>
      <c r="DR641" t="s">
        <v>411</v>
      </c>
      <c r="DS641" t="s">
        <v>695</v>
      </c>
      <c r="EJ641">
        <v>0</v>
      </c>
      <c r="EK641">
        <v>0</v>
      </c>
      <c r="EP641" t="s">
        <v>421</v>
      </c>
      <c r="EQ641" t="s">
        <v>422</v>
      </c>
      <c r="ER641">
        <v>1</v>
      </c>
      <c r="ES641">
        <v>0</v>
      </c>
      <c r="ET641">
        <v>113.42</v>
      </c>
      <c r="EU641">
        <v>59.84</v>
      </c>
      <c r="EV641">
        <v>173.26</v>
      </c>
      <c r="EW641" s="2">
        <v>43222</v>
      </c>
      <c r="EX641" s="1">
        <v>42151</v>
      </c>
      <c r="EY641">
        <v>2014</v>
      </c>
      <c r="EZ641">
        <v>113.42</v>
      </c>
      <c r="FA641" t="s">
        <v>6853</v>
      </c>
      <c r="FB641">
        <v>15.75</v>
      </c>
      <c r="FC641" t="s">
        <v>424</v>
      </c>
      <c r="FD641" t="s">
        <v>454</v>
      </c>
      <c r="FF641">
        <v>36</v>
      </c>
      <c r="FG641">
        <v>10125</v>
      </c>
      <c r="FH641" t="s">
        <v>440</v>
      </c>
    </row>
    <row r="642" spans="1:260" x14ac:dyDescent="0.25">
      <c r="A642">
        <v>16485649</v>
      </c>
      <c r="B642">
        <v>641</v>
      </c>
      <c r="C642" t="s">
        <v>393</v>
      </c>
      <c r="D642" t="s">
        <v>394</v>
      </c>
      <c r="F642" t="str">
        <f>"06-1N-25-2920-0001-0033"</f>
        <v>06-1N-25-2920-0001-0033</v>
      </c>
      <c r="H642" t="str">
        <f>"HARTMAN KATHRYN ANNE &amp; MEEKS SUSIE (JT/RS)"</f>
        <v>HARTMAN KATHRYN ANNE &amp; MEEKS SUSIE (JT/RS)</v>
      </c>
      <c r="I642" t="str">
        <f>"44092 DALES PL"</f>
        <v>44092 DALES PL</v>
      </c>
      <c r="J642" t="str">
        <f>"CALLAHAN FL 32011"</f>
        <v>CALLAHAN FL 32011</v>
      </c>
      <c r="K642" t="str">
        <f>"44092 DALES PL"</f>
        <v>44092 DALES PL</v>
      </c>
      <c r="L642" t="str">
        <f t="shared" si="181"/>
        <v>CALLAHAN FL 32011</v>
      </c>
      <c r="M642" t="str">
        <f>"BLOCK 1 PT LOT 4 PAR S-3 IN OR 1798/525 (EX S-2 IN OR 1730/1751) NEWCOMB SUB SOUTH CALLAHAN PB 1/16 R672285 &amp; R672286"</f>
        <v>BLOCK 1 PT LOT 4 PAR S-3 IN OR 1798/525 (EX S-2 IN OR 1730/1751) NEWCOMB SUB SOUTH CALLAHAN PB 1/16 R672285 &amp; R672286</v>
      </c>
      <c r="N642" t="str">
        <f>""</f>
        <v/>
      </c>
      <c r="O642" t="str">
        <f>"22096"</f>
        <v>22096</v>
      </c>
      <c r="P642" t="str">
        <f t="shared" ref="P642:P705" si="194">"2017"</f>
        <v>2017</v>
      </c>
      <c r="Q642" t="str">
        <f>""</f>
        <v/>
      </c>
      <c r="R642" t="str">
        <f t="shared" si="191"/>
        <v>N</v>
      </c>
      <c r="S642" t="str">
        <f>"1.51"</f>
        <v>1.51</v>
      </c>
      <c r="T642" t="str">
        <f>"918.60"</f>
        <v>918.60</v>
      </c>
      <c r="U642" t="str">
        <f>"55600.00"</f>
        <v>55600.00</v>
      </c>
      <c r="V642" t="str">
        <f>"55600.00"</f>
        <v>55600.00</v>
      </c>
      <c r="W642" t="str">
        <f t="shared" ref="W642:W705" si="195">"2017"</f>
        <v>2017</v>
      </c>
      <c r="X642" t="str">
        <f>"8.00"</f>
        <v>8.00</v>
      </c>
      <c r="Y642" t="str">
        <f>"978.16"</f>
        <v>978.16</v>
      </c>
      <c r="Z642" t="str">
        <f>""</f>
        <v/>
      </c>
      <c r="AA642" t="str">
        <f>"67250.00"</f>
        <v>67250.00</v>
      </c>
      <c r="AB642" t="str">
        <f t="shared" ref="AB642:AB673" si="196">"Residential"</f>
        <v>Residential</v>
      </c>
      <c r="AC642" t="str">
        <f t="shared" si="185"/>
        <v>0</v>
      </c>
      <c r="AD642" t="str">
        <f>"4"</f>
        <v>4</v>
      </c>
      <c r="AE642" t="str">
        <f>"WOOD (INCLUDE STEEL STUDS)"</f>
        <v>WOOD (INCLUDE STEEL STUDS)</v>
      </c>
      <c r="AF642" t="str">
        <f>"002"</f>
        <v>002</v>
      </c>
      <c r="AG642" t="str">
        <f>"FL"</f>
        <v>FL</v>
      </c>
      <c r="AH642" t="str">
        <f>"65775.00"</f>
        <v>65775.00</v>
      </c>
      <c r="AI642" t="str">
        <f>"22650.00"</f>
        <v>22650.00</v>
      </c>
      <c r="AJ642" t="str">
        <f>"C55-000-586-6678-5"</f>
        <v>C55-000-586-6678-5</v>
      </c>
      <c r="AK642" t="str">
        <f>"10271"</f>
        <v>10271</v>
      </c>
      <c r="AL642">
        <v>3</v>
      </c>
      <c r="AM642">
        <v>736</v>
      </c>
      <c r="AN642">
        <v>1025.47</v>
      </c>
      <c r="AQ642" t="s">
        <v>6854</v>
      </c>
      <c r="AR642" t="s">
        <v>6854</v>
      </c>
      <c r="AS642" t="s">
        <v>6854</v>
      </c>
      <c r="AU642" t="s">
        <v>396</v>
      </c>
      <c r="AV642">
        <v>2017</v>
      </c>
      <c r="AW642" t="str">
        <f>"06-1N-25-2920-0001-0033 "</f>
        <v xml:space="preserve">06-1N-25-2920-0001-0033 </v>
      </c>
      <c r="AX642">
        <v>44092</v>
      </c>
      <c r="AZ642" t="s">
        <v>6692</v>
      </c>
      <c r="BA642" t="s">
        <v>641</v>
      </c>
      <c r="BD642" t="s">
        <v>2785</v>
      </c>
      <c r="BE642" t="s">
        <v>393</v>
      </c>
      <c r="BF642">
        <v>32011</v>
      </c>
      <c r="BG642" t="s">
        <v>6855</v>
      </c>
      <c r="BH642" t="s">
        <v>2787</v>
      </c>
      <c r="BI642">
        <v>-81.837359835712704</v>
      </c>
      <c r="BJ642">
        <v>30.5370354990538</v>
      </c>
      <c r="BK642" t="s">
        <v>6856</v>
      </c>
      <c r="BL642" t="s">
        <v>6857</v>
      </c>
      <c r="BM642" t="s">
        <v>6855</v>
      </c>
      <c r="BN642" t="s">
        <v>928</v>
      </c>
      <c r="BO642">
        <v>32011</v>
      </c>
      <c r="BP642" t="s">
        <v>416</v>
      </c>
      <c r="BQ642">
        <v>200</v>
      </c>
      <c r="BR642" t="s">
        <v>405</v>
      </c>
      <c r="BS642">
        <v>1006</v>
      </c>
      <c r="BT642" t="s">
        <v>406</v>
      </c>
      <c r="BW642">
        <v>65775</v>
      </c>
      <c r="BX642" t="s">
        <v>407</v>
      </c>
      <c r="BY642" t="s">
        <v>408</v>
      </c>
      <c r="BZ642">
        <v>4</v>
      </c>
      <c r="CA642">
        <v>1996</v>
      </c>
      <c r="CB642">
        <v>1</v>
      </c>
      <c r="CC642">
        <v>1</v>
      </c>
      <c r="CD642">
        <v>2017</v>
      </c>
      <c r="CE642">
        <v>22650</v>
      </c>
      <c r="CF642">
        <v>44600</v>
      </c>
      <c r="CG642">
        <v>67250</v>
      </c>
      <c r="CH642">
        <v>2017</v>
      </c>
      <c r="CI642">
        <v>22650</v>
      </c>
      <c r="CJ642">
        <v>44600</v>
      </c>
      <c r="CK642">
        <v>67250</v>
      </c>
      <c r="CL642">
        <v>2017</v>
      </c>
      <c r="CM642">
        <v>918.6</v>
      </c>
      <c r="CN642" s="1">
        <v>41078</v>
      </c>
      <c r="CO642">
        <v>22000</v>
      </c>
      <c r="CZ642" s="1">
        <v>41078</v>
      </c>
      <c r="DD642" t="s">
        <v>2785</v>
      </c>
      <c r="DF642">
        <v>4</v>
      </c>
      <c r="DG642">
        <v>6</v>
      </c>
      <c r="DL642">
        <v>50503</v>
      </c>
      <c r="DM642" t="s">
        <v>6696</v>
      </c>
      <c r="DO642" t="s">
        <v>6858</v>
      </c>
      <c r="DP642">
        <v>0</v>
      </c>
      <c r="DQ642">
        <v>0</v>
      </c>
      <c r="DR642" t="s">
        <v>411</v>
      </c>
      <c r="DS642" t="b">
        <v>1</v>
      </c>
      <c r="DT642" t="s">
        <v>470</v>
      </c>
      <c r="DU642" t="s">
        <v>471</v>
      </c>
      <c r="DV642" t="s">
        <v>472</v>
      </c>
      <c r="DX642">
        <v>-9999</v>
      </c>
      <c r="DZ642" t="s">
        <v>447</v>
      </c>
      <c r="EA642" t="s">
        <v>448</v>
      </c>
      <c r="EB642" t="s">
        <v>742</v>
      </c>
      <c r="EC642">
        <v>20101217</v>
      </c>
      <c r="ED642" t="s">
        <v>474</v>
      </c>
      <c r="EF642">
        <v>605</v>
      </c>
      <c r="EG642">
        <v>605</v>
      </c>
      <c r="EH642" t="s">
        <v>451</v>
      </c>
      <c r="EI642">
        <v>20140731</v>
      </c>
      <c r="EJ642">
        <v>0</v>
      </c>
      <c r="EK642">
        <v>0</v>
      </c>
      <c r="EP642" t="s">
        <v>421</v>
      </c>
      <c r="EQ642" t="s">
        <v>422</v>
      </c>
      <c r="ER642">
        <v>0</v>
      </c>
      <c r="ES642">
        <v>5</v>
      </c>
      <c r="ET642">
        <v>0</v>
      </c>
      <c r="EU642">
        <v>0</v>
      </c>
      <c r="EV642">
        <v>0</v>
      </c>
      <c r="EW642" s="2">
        <v>43222</v>
      </c>
      <c r="EX642" s="1">
        <v>42879</v>
      </c>
      <c r="EY642">
        <v>2016</v>
      </c>
      <c r="EZ642">
        <v>866.15</v>
      </c>
      <c r="FA642" t="s">
        <v>6859</v>
      </c>
      <c r="FB642">
        <v>0.25</v>
      </c>
      <c r="FC642" t="s">
        <v>424</v>
      </c>
      <c r="FD642" t="s">
        <v>425</v>
      </c>
      <c r="FE642" s="1">
        <v>43199</v>
      </c>
      <c r="FF642">
        <v>11</v>
      </c>
      <c r="FG642">
        <v>2851116</v>
      </c>
      <c r="FH642" t="s">
        <v>480</v>
      </c>
      <c r="FJ642" s="1">
        <v>42879</v>
      </c>
      <c r="FK642">
        <v>2016</v>
      </c>
      <c r="FL642">
        <v>866.15</v>
      </c>
      <c r="FM642" t="s">
        <v>6859</v>
      </c>
      <c r="FN642">
        <v>0.25</v>
      </c>
      <c r="FO642" t="s">
        <v>424</v>
      </c>
      <c r="FP642" t="s">
        <v>425</v>
      </c>
      <c r="FR642">
        <v>22</v>
      </c>
      <c r="FS642">
        <v>5229189</v>
      </c>
      <c r="FT642" t="s">
        <v>6860</v>
      </c>
      <c r="FV642" s="1">
        <v>42151</v>
      </c>
      <c r="FW642">
        <v>2014</v>
      </c>
      <c r="FX642">
        <v>905.21</v>
      </c>
      <c r="FY642" t="s">
        <v>6861</v>
      </c>
      <c r="FZ642">
        <v>0.25</v>
      </c>
      <c r="GA642" t="s">
        <v>424</v>
      </c>
      <c r="GB642" t="s">
        <v>425</v>
      </c>
      <c r="GC642" s="1">
        <v>42429</v>
      </c>
      <c r="GD642">
        <v>9</v>
      </c>
      <c r="GE642">
        <v>2101382</v>
      </c>
      <c r="GF642" t="s">
        <v>993</v>
      </c>
      <c r="GH642" s="1">
        <v>42151</v>
      </c>
      <c r="GI642">
        <v>2014</v>
      </c>
      <c r="GJ642">
        <v>905.21</v>
      </c>
      <c r="GK642" t="s">
        <v>6861</v>
      </c>
      <c r="GL642">
        <v>0.25</v>
      </c>
      <c r="GM642" t="s">
        <v>424</v>
      </c>
      <c r="GN642" t="s">
        <v>425</v>
      </c>
      <c r="GP642">
        <v>22</v>
      </c>
      <c r="GQ642">
        <v>5516236</v>
      </c>
      <c r="GR642" t="s">
        <v>6862</v>
      </c>
      <c r="GT642" s="1">
        <v>41052</v>
      </c>
      <c r="GU642">
        <v>2011</v>
      </c>
      <c r="GV642">
        <v>1034.06</v>
      </c>
      <c r="GW642" t="s">
        <v>6863</v>
      </c>
      <c r="GX642">
        <v>6</v>
      </c>
      <c r="GY642" t="s">
        <v>424</v>
      </c>
      <c r="GZ642" t="s">
        <v>425</v>
      </c>
      <c r="HA642" s="1">
        <v>41170</v>
      </c>
      <c r="HB642">
        <v>4</v>
      </c>
      <c r="HC642">
        <v>10579</v>
      </c>
      <c r="HD642" t="s">
        <v>488</v>
      </c>
    </row>
    <row r="643" spans="1:260" x14ac:dyDescent="0.25">
      <c r="A643">
        <v>16485650</v>
      </c>
      <c r="B643">
        <v>642</v>
      </c>
      <c r="C643" t="s">
        <v>393</v>
      </c>
      <c r="D643" t="s">
        <v>394</v>
      </c>
      <c r="F643" t="str">
        <f>"06-1N-25-2920-0001-0092"</f>
        <v>06-1N-25-2920-0001-0092</v>
      </c>
      <c r="H643" t="str">
        <f>"JONES DAVID HENRY"</f>
        <v>JONES DAVID HENRY</v>
      </c>
      <c r="I643" t="str">
        <f>"44001 GWEN AVE"</f>
        <v>44001 GWEN AVE</v>
      </c>
      <c r="J643" t="str">
        <f>"CALLAHAN FL 32011"</f>
        <v>CALLAHAN FL 32011</v>
      </c>
      <c r="K643" t="str">
        <f>"44001 GWEN AVE"</f>
        <v>44001 GWEN AVE</v>
      </c>
      <c r="L643" t="str">
        <f t="shared" si="181"/>
        <v>CALLAHAN FL 32011</v>
      </c>
      <c r="M643" t="str">
        <f>"BLOCK 1 PT OF LOT 9 IN OR 2119/1248 1997 FLEE DW/MH ESMTS OR 723/1446 &amp; 1449 (EX OR 2122/555) NEWCOMB SUB OF SOUTH CALLAHAN PB 1/16"</f>
        <v>BLOCK 1 PT OF LOT 9 IN OR 2119/1248 1997 FLEE DW/MH ESMTS OR 723/1446 &amp; 1449 (EX OR 2122/555) NEWCOMB SUB OF SOUTH CALLAHAN PB 1/16</v>
      </c>
      <c r="N643" t="str">
        <f>""</f>
        <v/>
      </c>
      <c r="O643" t="str">
        <f>"22099"</f>
        <v>22099</v>
      </c>
      <c r="P643" t="str">
        <f t="shared" si="194"/>
        <v>2017</v>
      </c>
      <c r="Q643" t="str">
        <f>""</f>
        <v/>
      </c>
      <c r="R643" t="str">
        <f>"Y"</f>
        <v>Y</v>
      </c>
      <c r="S643" t="str">
        <f>"2.97"</f>
        <v>2.97</v>
      </c>
      <c r="T643" t="str">
        <f>"630.90"</f>
        <v>630.90</v>
      </c>
      <c r="U643" t="str">
        <f>"80779.00"</f>
        <v>80779.00</v>
      </c>
      <c r="V643" t="str">
        <f>"80779.00"</f>
        <v>80779.00</v>
      </c>
      <c r="W643" t="str">
        <f t="shared" si="195"/>
        <v>2017</v>
      </c>
      <c r="X643" t="str">
        <f>"38.00"</f>
        <v>38.00</v>
      </c>
      <c r="Y643" t="str">
        <f>"681.83"</f>
        <v>681.83</v>
      </c>
      <c r="Z643" t="str">
        <f>"25000.00"</f>
        <v>25000.00</v>
      </c>
      <c r="AA643" t="str">
        <f>"55779.00"</f>
        <v>55779.00</v>
      </c>
      <c r="AB643" t="str">
        <f t="shared" si="196"/>
        <v>Residential</v>
      </c>
      <c r="AC643" t="str">
        <f t="shared" si="185"/>
        <v>0</v>
      </c>
      <c r="AD643" t="str">
        <f>"4"</f>
        <v>4</v>
      </c>
      <c r="AE643" t="str">
        <f>"WOOD (INCLUDE STEEL STUDS)"</f>
        <v>WOOD (INCLUDE STEEL STUDS)</v>
      </c>
      <c r="AF643" t="str">
        <f>"002"</f>
        <v>002</v>
      </c>
      <c r="AG643" t="str">
        <f>"FL"</f>
        <v>FL</v>
      </c>
      <c r="AH643" t="str">
        <f>"129373.00"</f>
        <v>129373.00</v>
      </c>
      <c r="AI643" t="str">
        <f>"35640.00"</f>
        <v>35640.00</v>
      </c>
      <c r="AJ643" t="str">
        <f>"C55-000-586-6679-3"</f>
        <v>C55-000-586-6679-3</v>
      </c>
      <c r="AK643" t="str">
        <f>"10272"</f>
        <v>10272</v>
      </c>
      <c r="AL643">
        <v>3</v>
      </c>
      <c r="AM643">
        <v>737</v>
      </c>
      <c r="AN643">
        <v>714.32</v>
      </c>
      <c r="AQ643" t="s">
        <v>6864</v>
      </c>
      <c r="AR643" t="s">
        <v>6864</v>
      </c>
      <c r="AS643" t="s">
        <v>6864</v>
      </c>
      <c r="AU643" t="s">
        <v>396</v>
      </c>
      <c r="AV643">
        <v>2017</v>
      </c>
      <c r="AW643" t="str">
        <f>"06-1N-25-2920-0001-0092 "</f>
        <v xml:space="preserve">06-1N-25-2920-0001-0092 </v>
      </c>
      <c r="AX643">
        <v>44001</v>
      </c>
      <c r="AZ643" t="s">
        <v>6865</v>
      </c>
      <c r="BA643" t="s">
        <v>1112</v>
      </c>
      <c r="BD643" t="s">
        <v>2785</v>
      </c>
      <c r="BE643" t="s">
        <v>393</v>
      </c>
      <c r="BF643">
        <v>32011</v>
      </c>
      <c r="BG643" t="s">
        <v>6801</v>
      </c>
      <c r="BH643" t="s">
        <v>2787</v>
      </c>
      <c r="BI643">
        <v>-81.8415073070028</v>
      </c>
      <c r="BJ643">
        <v>30.534858321375001</v>
      </c>
      <c r="BK643" t="s">
        <v>3811</v>
      </c>
      <c r="BM643" t="s">
        <v>1631</v>
      </c>
      <c r="BN643" t="s">
        <v>928</v>
      </c>
      <c r="BO643">
        <v>32011</v>
      </c>
      <c r="BP643" t="s">
        <v>404</v>
      </c>
      <c r="BQ643">
        <v>200</v>
      </c>
      <c r="BR643" t="s">
        <v>405</v>
      </c>
      <c r="BS643">
        <v>1006</v>
      </c>
      <c r="BT643" t="s">
        <v>406</v>
      </c>
      <c r="BW643">
        <v>195584</v>
      </c>
      <c r="BX643" t="s">
        <v>407</v>
      </c>
      <c r="BZ643">
        <v>4</v>
      </c>
      <c r="CA643">
        <v>1997</v>
      </c>
      <c r="CB643">
        <v>1</v>
      </c>
      <c r="CC643">
        <v>1</v>
      </c>
      <c r="CD643">
        <v>2017</v>
      </c>
      <c r="CG643">
        <v>80779</v>
      </c>
      <c r="CH643">
        <v>2017</v>
      </c>
      <c r="CI643">
        <v>35640</v>
      </c>
      <c r="CJ643">
        <v>54743</v>
      </c>
      <c r="CK643">
        <v>90383</v>
      </c>
      <c r="CL643">
        <v>2017</v>
      </c>
      <c r="CM643">
        <v>630.9</v>
      </c>
      <c r="CN643" s="1">
        <v>42880</v>
      </c>
      <c r="CO643">
        <v>13600</v>
      </c>
      <c r="CV643">
        <v>0</v>
      </c>
      <c r="CZ643" s="1">
        <v>42880</v>
      </c>
      <c r="DA643">
        <v>0</v>
      </c>
      <c r="DD643" t="s">
        <v>2785</v>
      </c>
      <c r="DF643">
        <v>9</v>
      </c>
      <c r="DG643">
        <v>6</v>
      </c>
      <c r="DL643">
        <v>50503</v>
      </c>
      <c r="DM643" t="s">
        <v>6696</v>
      </c>
      <c r="DO643" t="s">
        <v>6866</v>
      </c>
      <c r="DP643">
        <v>0</v>
      </c>
      <c r="DQ643">
        <v>0</v>
      </c>
      <c r="DR643" t="s">
        <v>411</v>
      </c>
      <c r="EP643" t="s">
        <v>421</v>
      </c>
      <c r="EQ643" t="s">
        <v>452</v>
      </c>
      <c r="ER643">
        <v>0</v>
      </c>
      <c r="ES643">
        <v>6</v>
      </c>
      <c r="ET643">
        <v>0</v>
      </c>
      <c r="EU643">
        <v>0</v>
      </c>
      <c r="EV643">
        <v>0</v>
      </c>
      <c r="EW643" s="2">
        <v>43222</v>
      </c>
      <c r="EX643" s="1">
        <v>41787</v>
      </c>
      <c r="EY643">
        <v>2013</v>
      </c>
      <c r="EZ643">
        <v>903.59</v>
      </c>
      <c r="FA643" t="s">
        <v>6867</v>
      </c>
      <c r="FB643">
        <v>0.25</v>
      </c>
      <c r="FC643" t="s">
        <v>424</v>
      </c>
      <c r="FD643" t="s">
        <v>425</v>
      </c>
      <c r="FF643">
        <v>22</v>
      </c>
      <c r="FG643">
        <v>11289</v>
      </c>
      <c r="FH643" t="s">
        <v>787</v>
      </c>
      <c r="FI643" t="s">
        <v>458</v>
      </c>
      <c r="FJ643" s="1">
        <v>41787</v>
      </c>
      <c r="FK643">
        <v>2013</v>
      </c>
      <c r="FL643">
        <v>903.59</v>
      </c>
      <c r="FM643" t="s">
        <v>6867</v>
      </c>
      <c r="FN643">
        <v>0.25</v>
      </c>
      <c r="FO643" t="s">
        <v>424</v>
      </c>
      <c r="FP643" t="s">
        <v>425</v>
      </c>
      <c r="FQ643" s="1">
        <v>42849</v>
      </c>
      <c r="FR643">
        <v>35</v>
      </c>
      <c r="FS643">
        <v>4844954</v>
      </c>
      <c r="FT643" t="s">
        <v>1719</v>
      </c>
      <c r="FU643" t="s">
        <v>458</v>
      </c>
      <c r="FV643" s="1">
        <v>41423</v>
      </c>
      <c r="FW643">
        <v>2012</v>
      </c>
      <c r="FX643">
        <v>1016.88</v>
      </c>
      <c r="FY643" t="s">
        <v>6868</v>
      </c>
      <c r="FZ643">
        <v>0.25</v>
      </c>
      <c r="GA643" t="s">
        <v>424</v>
      </c>
      <c r="GB643" t="s">
        <v>425</v>
      </c>
      <c r="GD643">
        <v>22</v>
      </c>
      <c r="GE643">
        <v>15399</v>
      </c>
      <c r="GF643" t="s">
        <v>485</v>
      </c>
      <c r="GG643" t="s">
        <v>458</v>
      </c>
      <c r="GH643" s="1">
        <v>41423</v>
      </c>
      <c r="GI643">
        <v>2012</v>
      </c>
      <c r="GJ643">
        <v>1016.88</v>
      </c>
      <c r="GK643" t="s">
        <v>6868</v>
      </c>
      <c r="GL643">
        <v>0.25</v>
      </c>
      <c r="GM643" t="s">
        <v>424</v>
      </c>
      <c r="GN643" t="s">
        <v>425</v>
      </c>
      <c r="GP643">
        <v>22</v>
      </c>
      <c r="GQ643">
        <v>13027</v>
      </c>
      <c r="GR643" t="s">
        <v>826</v>
      </c>
      <c r="GS643" t="s">
        <v>458</v>
      </c>
      <c r="GT643" s="1">
        <v>41423</v>
      </c>
      <c r="GU643">
        <v>2012</v>
      </c>
      <c r="GV643">
        <v>1016.88</v>
      </c>
      <c r="GW643" t="s">
        <v>6868</v>
      </c>
      <c r="GX643">
        <v>0.25</v>
      </c>
      <c r="GY643" t="s">
        <v>424</v>
      </c>
      <c r="GZ643" t="s">
        <v>425</v>
      </c>
      <c r="HB643">
        <v>22</v>
      </c>
      <c r="HC643">
        <v>7336698</v>
      </c>
      <c r="HD643" t="s">
        <v>823</v>
      </c>
      <c r="HE643" t="s">
        <v>458</v>
      </c>
      <c r="HF643" s="1">
        <v>41052</v>
      </c>
      <c r="HG643">
        <v>2011</v>
      </c>
      <c r="HH643">
        <v>1074.82</v>
      </c>
      <c r="HI643" t="s">
        <v>6869</v>
      </c>
      <c r="HJ643">
        <v>6</v>
      </c>
      <c r="HK643" t="s">
        <v>424</v>
      </c>
      <c r="HL643" t="s">
        <v>425</v>
      </c>
      <c r="HM643" s="1">
        <v>42010</v>
      </c>
      <c r="HN643">
        <v>32</v>
      </c>
      <c r="HO643">
        <v>12407</v>
      </c>
      <c r="HP643" t="s">
        <v>838</v>
      </c>
    </row>
    <row r="644" spans="1:260" x14ac:dyDescent="0.25">
      <c r="A644">
        <v>16485651</v>
      </c>
      <c r="B644">
        <v>643</v>
      </c>
      <c r="C644" t="s">
        <v>393</v>
      </c>
      <c r="D644" t="s">
        <v>394</v>
      </c>
      <c r="F644" t="str">
        <f>"06-1N-25-2920-0002-0072"</f>
        <v>06-1N-25-2920-0002-0072</v>
      </c>
      <c r="H644" t="str">
        <f>"WIGGINS JESSICA K"</f>
        <v>WIGGINS JESSICA K</v>
      </c>
      <c r="I644" t="str">
        <f>"44055 SWALLOWFORK AVE"</f>
        <v>44055 SWALLOWFORK AVE</v>
      </c>
      <c r="J644" t="str">
        <f>"CALLAHAN FL 32011"</f>
        <v>CALLAHAN FL 32011</v>
      </c>
      <c r="K644" t="str">
        <f>"44055 SWALLOWFORK AVE"</f>
        <v>44055 SWALLOWFORK AVE</v>
      </c>
      <c r="L644" t="str">
        <f t="shared" si="181"/>
        <v>CALLAHAN FL 32011</v>
      </c>
      <c r="M644" t="str">
        <f>"BLOCK 2 PT OF LOT 7 IN OR 917/561 R673374 &amp; R673375 NEWCOMB SUB SOUTH CALLAHAN PB 1/16"</f>
        <v>BLOCK 2 PT OF LOT 7 IN OR 917/561 R673374 &amp; R673375 NEWCOMB SUB SOUTH CALLAHAN PB 1/16</v>
      </c>
      <c r="N644" t="str">
        <f>""</f>
        <v/>
      </c>
      <c r="O644" t="str">
        <f>"22105"</f>
        <v>22105</v>
      </c>
      <c r="P644" t="str">
        <f t="shared" si="194"/>
        <v>2017</v>
      </c>
      <c r="Q644" t="str">
        <f>""</f>
        <v/>
      </c>
      <c r="R644" t="str">
        <f>"Y"</f>
        <v>Y</v>
      </c>
      <c r="S644" t="str">
        <f>""</f>
        <v/>
      </c>
      <c r="T644" t="str">
        <f>"446.69"</f>
        <v>446.69</v>
      </c>
      <c r="U644" t="str">
        <f>"60339.00"</f>
        <v>60339.00</v>
      </c>
      <c r="V644" t="str">
        <f>"60339.00"</f>
        <v>60339.00</v>
      </c>
      <c r="W644" t="str">
        <f t="shared" si="195"/>
        <v>2017</v>
      </c>
      <c r="X644" t="str">
        <f>"10.11"</f>
        <v>10.11</v>
      </c>
      <c r="Y644" t="str">
        <f>"492.09"</f>
        <v>492.09</v>
      </c>
      <c r="Z644" t="str">
        <f>"25000.00"</f>
        <v>25000.00</v>
      </c>
      <c r="AA644" t="str">
        <f>"35339.00"</f>
        <v>35339.00</v>
      </c>
      <c r="AB644" t="str">
        <f t="shared" si="196"/>
        <v>Residential</v>
      </c>
      <c r="AC644" t="str">
        <f t="shared" si="185"/>
        <v>0</v>
      </c>
      <c r="AD644" t="str">
        <f>"4"</f>
        <v>4</v>
      </c>
      <c r="AE644" t="str">
        <f>"WOOD (INCLUDE STEEL STUDS)"</f>
        <v>WOOD (INCLUDE STEEL STUDS)</v>
      </c>
      <c r="AF644" t="str">
        <f>"002"</f>
        <v>002</v>
      </c>
      <c r="AG644" t="str">
        <f>"FL"</f>
        <v>FL</v>
      </c>
      <c r="AH644" t="str">
        <f>"-"</f>
        <v>-</v>
      </c>
      <c r="AI644" t="str">
        <f>"12500.00"</f>
        <v>12500.00</v>
      </c>
      <c r="AJ644" t="str">
        <f>"C55-000-586-6684-3"</f>
        <v>C55-000-586-6684-3</v>
      </c>
      <c r="AK644" t="str">
        <f>"10278"</f>
        <v>10278</v>
      </c>
      <c r="AL644">
        <v>3</v>
      </c>
      <c r="AM644">
        <v>738</v>
      </c>
      <c r="AN644">
        <v>515.09</v>
      </c>
      <c r="AQ644" t="s">
        <v>6870</v>
      </c>
      <c r="AR644" t="s">
        <v>6870</v>
      </c>
      <c r="AS644" t="s">
        <v>6870</v>
      </c>
      <c r="AU644" t="s">
        <v>396</v>
      </c>
      <c r="AV644">
        <v>2017</v>
      </c>
      <c r="AW644" t="str">
        <f>"06-1N-25-2920-0002-0072 "</f>
        <v xml:space="preserve">06-1N-25-2920-0002-0072 </v>
      </c>
      <c r="AX644">
        <v>44055</v>
      </c>
      <c r="AZ644" t="s">
        <v>6719</v>
      </c>
      <c r="BA644" t="s">
        <v>1112</v>
      </c>
      <c r="BD644" t="s">
        <v>2785</v>
      </c>
      <c r="BE644" t="s">
        <v>393</v>
      </c>
      <c r="BF644">
        <v>32011</v>
      </c>
      <c r="BG644" t="s">
        <v>6871</v>
      </c>
      <c r="BH644" t="s">
        <v>2787</v>
      </c>
      <c r="BI644">
        <v>-81.849523453330093</v>
      </c>
      <c r="BJ644">
        <v>30.538222648781101</v>
      </c>
      <c r="BK644" t="s">
        <v>6872</v>
      </c>
      <c r="BM644" t="s">
        <v>6871</v>
      </c>
      <c r="BN644" t="s">
        <v>928</v>
      </c>
      <c r="BO644">
        <v>32011</v>
      </c>
      <c r="BP644" t="s">
        <v>416</v>
      </c>
      <c r="BQ644">
        <v>200</v>
      </c>
      <c r="BR644" t="s">
        <v>405</v>
      </c>
      <c r="BS644">
        <v>1006</v>
      </c>
      <c r="BT644" t="s">
        <v>406</v>
      </c>
      <c r="BW644">
        <v>43560</v>
      </c>
      <c r="BX644" t="s">
        <v>407</v>
      </c>
      <c r="BY644" t="s">
        <v>408</v>
      </c>
      <c r="BZ644">
        <v>4</v>
      </c>
      <c r="CA644">
        <v>1998</v>
      </c>
      <c r="CB644">
        <v>1</v>
      </c>
      <c r="CC644">
        <v>1</v>
      </c>
      <c r="CD644">
        <v>2017</v>
      </c>
      <c r="CG644">
        <v>60339</v>
      </c>
      <c r="CH644">
        <v>2017</v>
      </c>
      <c r="CI644">
        <v>12500</v>
      </c>
      <c r="CJ644">
        <v>54097</v>
      </c>
      <c r="CK644">
        <v>66597</v>
      </c>
      <c r="CL644">
        <v>2017</v>
      </c>
      <c r="CM644">
        <v>446.69</v>
      </c>
      <c r="CN644" s="1">
        <v>36553</v>
      </c>
      <c r="CZ644" s="1">
        <v>36553</v>
      </c>
      <c r="DD644" t="s">
        <v>2785</v>
      </c>
      <c r="DF644">
        <v>7</v>
      </c>
      <c r="DG644">
        <v>6</v>
      </c>
      <c r="DL644">
        <v>50503</v>
      </c>
      <c r="DM644" t="s">
        <v>6696</v>
      </c>
      <c r="DO644" t="s">
        <v>6873</v>
      </c>
      <c r="DP644">
        <v>0</v>
      </c>
      <c r="DQ644">
        <v>0</v>
      </c>
      <c r="DR644" t="s">
        <v>411</v>
      </c>
      <c r="DS644" t="b">
        <v>1</v>
      </c>
      <c r="DT644" t="s">
        <v>470</v>
      </c>
      <c r="DU644" t="s">
        <v>471</v>
      </c>
      <c r="DV644" t="s">
        <v>472</v>
      </c>
      <c r="DX644">
        <v>-9999</v>
      </c>
      <c r="DZ644" t="s">
        <v>447</v>
      </c>
      <c r="EA644" t="s">
        <v>448</v>
      </c>
      <c r="EB644" t="s">
        <v>742</v>
      </c>
      <c r="EC644">
        <v>20101217</v>
      </c>
      <c r="ED644" t="s">
        <v>474</v>
      </c>
      <c r="EF644">
        <v>312</v>
      </c>
      <c r="EG644">
        <v>312</v>
      </c>
      <c r="EI644">
        <v>20160407</v>
      </c>
      <c r="EJ644">
        <v>0</v>
      </c>
      <c r="EK644">
        <v>0</v>
      </c>
      <c r="EP644" t="s">
        <v>421</v>
      </c>
      <c r="EQ644" t="s">
        <v>452</v>
      </c>
      <c r="ER644">
        <v>0</v>
      </c>
      <c r="ES644">
        <v>9</v>
      </c>
      <c r="ET644">
        <v>0</v>
      </c>
      <c r="EU644">
        <v>0</v>
      </c>
      <c r="EV644">
        <v>0</v>
      </c>
      <c r="EW644" s="2">
        <v>43222</v>
      </c>
      <c r="EX644" s="1">
        <v>42879</v>
      </c>
      <c r="EY644">
        <v>2016</v>
      </c>
      <c r="EZ644">
        <v>508.91</v>
      </c>
      <c r="FA644" t="s">
        <v>6874</v>
      </c>
      <c r="FB644">
        <v>0.25</v>
      </c>
      <c r="FC644" t="s">
        <v>424</v>
      </c>
      <c r="FD644" t="s">
        <v>425</v>
      </c>
      <c r="FE644" s="1">
        <v>42914</v>
      </c>
      <c r="FF644">
        <v>1</v>
      </c>
      <c r="FG644">
        <v>2851116</v>
      </c>
      <c r="FH644" t="s">
        <v>480</v>
      </c>
      <c r="FI644" t="s">
        <v>458</v>
      </c>
      <c r="FJ644" s="1">
        <v>42879</v>
      </c>
      <c r="FK644">
        <v>2016</v>
      </c>
      <c r="FL644">
        <v>508.91</v>
      </c>
      <c r="FM644" t="s">
        <v>6874</v>
      </c>
      <c r="FN644">
        <v>0.25</v>
      </c>
      <c r="FO644" t="s">
        <v>424</v>
      </c>
      <c r="FP644" t="s">
        <v>425</v>
      </c>
      <c r="FR644">
        <v>22</v>
      </c>
      <c r="FS644">
        <v>5025432</v>
      </c>
      <c r="FT644" t="s">
        <v>6875</v>
      </c>
      <c r="FU644" t="s">
        <v>458</v>
      </c>
      <c r="FV644" s="1">
        <v>42515</v>
      </c>
      <c r="FW644">
        <v>2015</v>
      </c>
      <c r="FX644">
        <v>514.35</v>
      </c>
      <c r="FY644" t="s">
        <v>6876</v>
      </c>
      <c r="FZ644">
        <v>0.25</v>
      </c>
      <c r="GA644" t="s">
        <v>424</v>
      </c>
      <c r="GB644" t="s">
        <v>425</v>
      </c>
      <c r="GC644" s="1">
        <v>42536</v>
      </c>
      <c r="GD644">
        <v>1</v>
      </c>
      <c r="GE644">
        <v>2851116</v>
      </c>
      <c r="GF644" t="s">
        <v>480</v>
      </c>
      <c r="GH644" s="1">
        <v>42515</v>
      </c>
      <c r="GI644">
        <v>2015</v>
      </c>
      <c r="GJ644">
        <v>514.35</v>
      </c>
      <c r="GK644" t="s">
        <v>6876</v>
      </c>
      <c r="GL644">
        <v>0.25</v>
      </c>
      <c r="GM644" t="s">
        <v>424</v>
      </c>
      <c r="GN644" t="s">
        <v>425</v>
      </c>
      <c r="GP644">
        <v>22</v>
      </c>
      <c r="GQ644">
        <v>4964215</v>
      </c>
      <c r="GR644" t="s">
        <v>6877</v>
      </c>
      <c r="GT644" s="1">
        <v>42151</v>
      </c>
      <c r="GU644">
        <v>2014</v>
      </c>
      <c r="GV644">
        <v>513.44000000000005</v>
      </c>
      <c r="GW644" t="s">
        <v>6878</v>
      </c>
      <c r="GX644">
        <v>0.25</v>
      </c>
      <c r="GY644" t="s">
        <v>424</v>
      </c>
      <c r="GZ644" t="s">
        <v>425</v>
      </c>
      <c r="HB644">
        <v>22</v>
      </c>
      <c r="HC644">
        <v>4975594</v>
      </c>
      <c r="HD644" t="s">
        <v>457</v>
      </c>
      <c r="HE644" t="s">
        <v>458</v>
      </c>
      <c r="HF644" s="1">
        <v>42151</v>
      </c>
      <c r="HG644">
        <v>2014</v>
      </c>
      <c r="HH644">
        <v>513.44000000000005</v>
      </c>
      <c r="HI644" t="s">
        <v>6878</v>
      </c>
      <c r="HJ644">
        <v>0.25</v>
      </c>
      <c r="HK644" t="s">
        <v>424</v>
      </c>
      <c r="HL644" t="s">
        <v>425</v>
      </c>
      <c r="HN644">
        <v>22</v>
      </c>
      <c r="HO644">
        <v>6499626</v>
      </c>
      <c r="HP644" t="s">
        <v>6879</v>
      </c>
      <c r="HQ644" t="s">
        <v>458</v>
      </c>
      <c r="HR644" s="1">
        <v>41423</v>
      </c>
      <c r="HS644">
        <v>2012</v>
      </c>
      <c r="HT644">
        <v>566.38</v>
      </c>
      <c r="HU644" t="s">
        <v>6880</v>
      </c>
      <c r="HV644">
        <v>3</v>
      </c>
      <c r="HW644" t="s">
        <v>424</v>
      </c>
      <c r="HX644" t="s">
        <v>425</v>
      </c>
      <c r="HY644" s="1">
        <v>41505</v>
      </c>
      <c r="HZ644">
        <v>3</v>
      </c>
      <c r="IA644">
        <v>15399</v>
      </c>
      <c r="IB644" t="s">
        <v>485</v>
      </c>
      <c r="ID644" s="1">
        <v>41052</v>
      </c>
      <c r="IE644">
        <v>2011</v>
      </c>
      <c r="IF644">
        <v>578.55999999999995</v>
      </c>
      <c r="IG644" t="s">
        <v>6881</v>
      </c>
      <c r="IH644">
        <v>6.25</v>
      </c>
      <c r="II644" t="s">
        <v>424</v>
      </c>
      <c r="IJ644" t="s">
        <v>425</v>
      </c>
      <c r="IK644" s="1">
        <v>41185</v>
      </c>
      <c r="IL644">
        <v>5</v>
      </c>
      <c r="IM644">
        <v>1109</v>
      </c>
      <c r="IN644" t="s">
        <v>852</v>
      </c>
      <c r="IP644" s="1">
        <v>40688</v>
      </c>
      <c r="IQ644">
        <v>2010</v>
      </c>
      <c r="IR644">
        <v>572.58000000000004</v>
      </c>
      <c r="IS644" t="s">
        <v>6882</v>
      </c>
      <c r="IT644">
        <v>7.75</v>
      </c>
      <c r="IU644" t="s">
        <v>424</v>
      </c>
      <c r="IV644" t="s">
        <v>425</v>
      </c>
      <c r="IW644" s="1">
        <v>41185</v>
      </c>
      <c r="IX644">
        <v>17</v>
      </c>
      <c r="IY644">
        <v>62</v>
      </c>
      <c r="IZ644" t="s">
        <v>463</v>
      </c>
    </row>
    <row r="645" spans="1:260" x14ac:dyDescent="0.25">
      <c r="A645">
        <v>16485652</v>
      </c>
      <c r="B645">
        <v>644</v>
      </c>
      <c r="C645" t="s">
        <v>393</v>
      </c>
      <c r="D645" t="s">
        <v>394</v>
      </c>
      <c r="F645" t="str">
        <f>"06-1N-25-2920-0002-0092"</f>
        <v>06-1N-25-2920-0002-0092</v>
      </c>
      <c r="H645" t="str">
        <f>"JACKMAN CHRIS"</f>
        <v>JACKMAN CHRIS</v>
      </c>
      <c r="I645" t="str">
        <f>"258 EDMANDS ROAD"</f>
        <v>258 EDMANDS ROAD</v>
      </c>
      <c r="J645" t="str">
        <f>"FRAMINGHAM MA 01701"</f>
        <v>FRAMINGHAM MA 01701</v>
      </c>
      <c r="K645" t="str">
        <f>"CALLAHAN AV"</f>
        <v>CALLAHAN AV</v>
      </c>
      <c r="L645" t="str">
        <f t="shared" si="181"/>
        <v>CALLAHAN FL 32011</v>
      </c>
      <c r="M645" t="str">
        <f>"BLOCK 2 PT OF S1/2 OF LOT 9 IN OR 1489/709 NEWCOMB SUB PB 1/16"</f>
        <v>BLOCK 2 PT OF S1/2 OF LOT 9 IN OR 1489/709 NEWCOMB SUB PB 1/16</v>
      </c>
      <c r="N645" t="str">
        <f>""</f>
        <v/>
      </c>
      <c r="O645" t="str">
        <f>"22108"</f>
        <v>22108</v>
      </c>
      <c r="P645" t="str">
        <f t="shared" si="194"/>
        <v>2017</v>
      </c>
      <c r="Q645" t="str">
        <f>""</f>
        <v/>
      </c>
      <c r="R645" t="str">
        <f>"N"</f>
        <v>N</v>
      </c>
      <c r="S645" t="str">
        <f>"1.00"</f>
        <v>1.00</v>
      </c>
      <c r="T645" t="str">
        <f>"234.67"</f>
        <v>234.67</v>
      </c>
      <c r="U645" t="str">
        <f>"13200.00"</f>
        <v>13200.00</v>
      </c>
      <c r="V645" t="str">
        <f>"13200.00"</f>
        <v>13200.00</v>
      </c>
      <c r="W645" t="str">
        <f t="shared" si="195"/>
        <v>2017</v>
      </c>
      <c r="X645" t="str">
        <f>"26.25"</f>
        <v>26.25</v>
      </c>
      <c r="Y645" t="str">
        <f>"273.71"</f>
        <v>273.71</v>
      </c>
      <c r="Z645" t="str">
        <f>""</f>
        <v/>
      </c>
      <c r="AA645" t="str">
        <f>"15750.00"</f>
        <v>15750.00</v>
      </c>
      <c r="AB645" t="str">
        <f t="shared" si="196"/>
        <v>Residential</v>
      </c>
      <c r="AC645" t="str">
        <f t="shared" si="185"/>
        <v>0</v>
      </c>
      <c r="AD645" t="str">
        <f>""</f>
        <v/>
      </c>
      <c r="AE645" t="str">
        <f>""</f>
        <v/>
      </c>
      <c r="AF645" t="str">
        <f>"000"</f>
        <v>000</v>
      </c>
      <c r="AG645" t="str">
        <f>"MA"</f>
        <v>MA</v>
      </c>
      <c r="AH645" t="str">
        <f>"43560.00"</f>
        <v>43560.00</v>
      </c>
      <c r="AI645" t="str">
        <f>"15750.00"</f>
        <v>15750.00</v>
      </c>
      <c r="AJ645" t="str">
        <f>"C55-000-586-6686-8"</f>
        <v>C55-000-586-6686-8</v>
      </c>
      <c r="AK645" t="str">
        <f>"10280"</f>
        <v>10280</v>
      </c>
      <c r="AL645">
        <v>3</v>
      </c>
      <c r="AM645">
        <v>739</v>
      </c>
      <c r="AN645">
        <v>285.8</v>
      </c>
      <c r="AQ645" t="s">
        <v>6883</v>
      </c>
      <c r="AR645" t="s">
        <v>6883</v>
      </c>
      <c r="AS645" t="s">
        <v>6883</v>
      </c>
      <c r="AU645" t="s">
        <v>396</v>
      </c>
      <c r="AV645">
        <v>2017</v>
      </c>
      <c r="AW645" t="str">
        <f>"06-1N-25-2920-0002-0092 "</f>
        <v xml:space="preserve">06-1N-25-2920-0002-0092 </v>
      </c>
      <c r="AZ645" t="s">
        <v>2785</v>
      </c>
      <c r="BA645" t="s">
        <v>1122</v>
      </c>
      <c r="BD645" t="s">
        <v>2785</v>
      </c>
      <c r="BE645" t="s">
        <v>393</v>
      </c>
      <c r="BF645">
        <v>32011</v>
      </c>
      <c r="BG645" t="s">
        <v>6884</v>
      </c>
      <c r="BH645" t="s">
        <v>2787</v>
      </c>
      <c r="BI645">
        <v>-81.848532587037795</v>
      </c>
      <c r="BJ645">
        <v>30.534216107794698</v>
      </c>
      <c r="BK645" t="s">
        <v>6885</v>
      </c>
      <c r="BM645" t="s">
        <v>6886</v>
      </c>
      <c r="BN645" t="s">
        <v>6887</v>
      </c>
      <c r="BO645">
        <v>1701</v>
      </c>
      <c r="BP645" t="s">
        <v>404</v>
      </c>
      <c r="BQ645">
        <v>0</v>
      </c>
      <c r="BR645" t="s">
        <v>491</v>
      </c>
      <c r="BS645">
        <v>8001</v>
      </c>
      <c r="BT645" t="s">
        <v>492</v>
      </c>
      <c r="BW645">
        <v>43560</v>
      </c>
      <c r="BX645" t="s">
        <v>407</v>
      </c>
      <c r="BY645" t="s">
        <v>408</v>
      </c>
      <c r="CD645">
        <v>2017</v>
      </c>
      <c r="CE645">
        <v>15750</v>
      </c>
      <c r="CG645">
        <v>15750</v>
      </c>
      <c r="CH645">
        <v>2017</v>
      </c>
      <c r="CI645">
        <v>15750</v>
      </c>
      <c r="CK645">
        <v>15750</v>
      </c>
      <c r="CL645">
        <v>2017</v>
      </c>
      <c r="CM645">
        <v>234.67</v>
      </c>
      <c r="CN645" s="1">
        <v>39174</v>
      </c>
      <c r="CO645">
        <v>22000</v>
      </c>
      <c r="CV645">
        <v>0</v>
      </c>
      <c r="CZ645" s="1">
        <v>39174</v>
      </c>
      <c r="DA645">
        <v>0</v>
      </c>
      <c r="DD645" t="s">
        <v>2785</v>
      </c>
      <c r="DF645">
        <v>9</v>
      </c>
      <c r="DG645">
        <v>6</v>
      </c>
      <c r="DJ645" t="s">
        <v>6888</v>
      </c>
      <c r="DM645" t="s">
        <v>6696</v>
      </c>
      <c r="DO645" t="s">
        <v>6889</v>
      </c>
      <c r="DP645">
        <v>0</v>
      </c>
      <c r="DQ645">
        <v>0</v>
      </c>
      <c r="DR645" t="s">
        <v>411</v>
      </c>
      <c r="DS645" t="b">
        <v>1</v>
      </c>
      <c r="DT645" t="s">
        <v>396</v>
      </c>
      <c r="DV645" t="s">
        <v>446</v>
      </c>
      <c r="DX645">
        <v>-9999</v>
      </c>
      <c r="DZ645" t="s">
        <v>447</v>
      </c>
      <c r="EA645" t="s">
        <v>448</v>
      </c>
      <c r="EB645" t="s">
        <v>2792</v>
      </c>
      <c r="EC645">
        <v>20101217</v>
      </c>
      <c r="ED645" t="s">
        <v>450</v>
      </c>
      <c r="EE645">
        <v>19.5</v>
      </c>
      <c r="EF645">
        <v>0</v>
      </c>
      <c r="EG645">
        <v>0</v>
      </c>
      <c r="EI645">
        <v>20160407</v>
      </c>
      <c r="EJ645">
        <v>0</v>
      </c>
      <c r="EK645">
        <v>0</v>
      </c>
      <c r="EP645" t="s">
        <v>421</v>
      </c>
      <c r="EQ645" t="s">
        <v>422</v>
      </c>
      <c r="ER645">
        <v>1</v>
      </c>
      <c r="ES645">
        <v>4</v>
      </c>
      <c r="ET645">
        <v>245.51</v>
      </c>
      <c r="EU645">
        <v>39.39</v>
      </c>
      <c r="EV645">
        <v>284.89999999999998</v>
      </c>
      <c r="EW645" s="2">
        <v>43222</v>
      </c>
      <c r="EX645" s="1">
        <v>42879</v>
      </c>
      <c r="EY645">
        <v>2016</v>
      </c>
      <c r="EZ645">
        <v>245.51</v>
      </c>
      <c r="FA645" t="s">
        <v>6890</v>
      </c>
      <c r="FB645">
        <v>13.5</v>
      </c>
      <c r="FC645" t="s">
        <v>424</v>
      </c>
      <c r="FD645" t="s">
        <v>454</v>
      </c>
      <c r="FF645">
        <v>12</v>
      </c>
      <c r="FG645">
        <v>10125</v>
      </c>
      <c r="FH645" t="s">
        <v>440</v>
      </c>
      <c r="FJ645" s="1">
        <v>42515</v>
      </c>
      <c r="FK645">
        <v>2015</v>
      </c>
      <c r="FL645">
        <v>246.12</v>
      </c>
      <c r="FM645" t="s">
        <v>6891</v>
      </c>
      <c r="FN645">
        <v>15.25</v>
      </c>
      <c r="FO645" t="s">
        <v>424</v>
      </c>
      <c r="FP645" t="s">
        <v>425</v>
      </c>
      <c r="FQ645" s="1">
        <v>43151</v>
      </c>
      <c r="FR645">
        <v>21</v>
      </c>
      <c r="FS645">
        <v>10125</v>
      </c>
      <c r="FT645" t="s">
        <v>440</v>
      </c>
      <c r="FV645" s="1">
        <v>42151</v>
      </c>
      <c r="FW645">
        <v>2014</v>
      </c>
      <c r="FX645">
        <v>249.24</v>
      </c>
      <c r="FY645" t="s">
        <v>6892</v>
      </c>
      <c r="FZ645">
        <v>11.75</v>
      </c>
      <c r="GA645" t="s">
        <v>424</v>
      </c>
      <c r="GB645" t="s">
        <v>425</v>
      </c>
      <c r="GC645" s="1">
        <v>43151</v>
      </c>
      <c r="GD645">
        <v>33</v>
      </c>
      <c r="GE645">
        <v>10125</v>
      </c>
      <c r="GF645" t="s">
        <v>440</v>
      </c>
      <c r="GH645" s="1">
        <v>41787</v>
      </c>
      <c r="GI645">
        <v>2013</v>
      </c>
      <c r="GJ645">
        <v>229.94</v>
      </c>
      <c r="GK645" t="s">
        <v>6893</v>
      </c>
      <c r="GL645">
        <v>15.25</v>
      </c>
      <c r="GM645" t="s">
        <v>424</v>
      </c>
      <c r="GN645" t="s">
        <v>425</v>
      </c>
      <c r="GO645" s="1">
        <v>43151</v>
      </c>
      <c r="GP645">
        <v>45</v>
      </c>
      <c r="GQ645">
        <v>10125</v>
      </c>
      <c r="GR645" t="s">
        <v>440</v>
      </c>
      <c r="GT645" s="1">
        <v>41423</v>
      </c>
      <c r="GU645">
        <v>2012</v>
      </c>
      <c r="GV645">
        <v>231.82</v>
      </c>
      <c r="GW645" t="s">
        <v>6894</v>
      </c>
      <c r="GX645">
        <v>6</v>
      </c>
      <c r="GY645" t="s">
        <v>424</v>
      </c>
      <c r="GZ645" t="s">
        <v>425</v>
      </c>
      <c r="HA645" s="1">
        <v>41579</v>
      </c>
      <c r="HB645">
        <v>6</v>
      </c>
      <c r="HC645">
        <v>375</v>
      </c>
      <c r="HD645" t="s">
        <v>776</v>
      </c>
    </row>
    <row r="646" spans="1:260" x14ac:dyDescent="0.25">
      <c r="A646">
        <v>16485653</v>
      </c>
      <c r="B646">
        <v>645</v>
      </c>
      <c r="C646" t="s">
        <v>393</v>
      </c>
      <c r="D646" t="s">
        <v>394</v>
      </c>
      <c r="F646" t="str">
        <f>"09-1N-25-0670-0001-0010"</f>
        <v>09-1N-25-0670-0001-0010</v>
      </c>
      <c r="H646" t="str">
        <f>"LOUDERMILK ROBERT W"</f>
        <v>LOUDERMILK ROBERT W</v>
      </c>
      <c r="I646" t="str">
        <f>"44134 CATIES WAY"</f>
        <v>44134 CATIES WAY</v>
      </c>
      <c r="J646" t="str">
        <f>"CALLAHAN FL 32011"</f>
        <v>CALLAHAN FL 32011</v>
      </c>
      <c r="K646" t="str">
        <f>"44134 CATIES WAY"</f>
        <v>44134 CATIES WAY</v>
      </c>
      <c r="L646" t="str">
        <f t="shared" si="181"/>
        <v>CALLAHAN FL 32011</v>
      </c>
      <c r="M646" t="str">
        <f>"BLOCK 1 LOT 1 IN OR 860/1521 R673867 &amp; R673868 &amp; R673869 GREEN MEADOWS 1 PB 6/101"</f>
        <v>BLOCK 1 LOT 1 IN OR 860/1521 R673867 &amp; R673868 &amp; R673869 GREEN MEADOWS 1 PB 6/101</v>
      </c>
      <c r="N646" t="str">
        <f>""</f>
        <v/>
      </c>
      <c r="O646" t="str">
        <f>"24657"</f>
        <v>24657</v>
      </c>
      <c r="P646" t="str">
        <f t="shared" si="194"/>
        <v>2017</v>
      </c>
      <c r="Q646" t="str">
        <f>""</f>
        <v/>
      </c>
      <c r="R646" t="str">
        <f>"Y"</f>
        <v>Y</v>
      </c>
      <c r="S646" t="str">
        <f>""</f>
        <v/>
      </c>
      <c r="T646" t="str">
        <f>"492.10"</f>
        <v>492.10</v>
      </c>
      <c r="U646" t="str">
        <f>"67221.00"</f>
        <v>67221.00</v>
      </c>
      <c r="V646" t="str">
        <f>"67221.00"</f>
        <v>67221.00</v>
      </c>
      <c r="W646" t="str">
        <f t="shared" si="195"/>
        <v>2017</v>
      </c>
      <c r="X646" t="str">
        <f>"11.29"</f>
        <v>11.29</v>
      </c>
      <c r="Y646" t="str">
        <f>"538.86"</f>
        <v>538.86</v>
      </c>
      <c r="Z646" t="str">
        <f>"25000.00"</f>
        <v>25000.00</v>
      </c>
      <c r="AA646" t="str">
        <f>"42221.00"</f>
        <v>42221.00</v>
      </c>
      <c r="AB646" t="str">
        <f t="shared" si="196"/>
        <v>Residential</v>
      </c>
      <c r="AC646" t="str">
        <f t="shared" si="185"/>
        <v>0</v>
      </c>
      <c r="AD646" t="str">
        <f>"4"</f>
        <v>4</v>
      </c>
      <c r="AE646" t="str">
        <f>"WOOD (INCLUDE STEEL STUDS)"</f>
        <v>WOOD (INCLUDE STEEL STUDS)</v>
      </c>
      <c r="AF646" t="str">
        <f>"002"</f>
        <v>002</v>
      </c>
      <c r="AG646" t="str">
        <f t="shared" ref="AG646:AG690" si="197">"FL"</f>
        <v>FL</v>
      </c>
      <c r="AH646" t="str">
        <f>"-"</f>
        <v>-</v>
      </c>
      <c r="AI646" t="str">
        <f>"30000.00"</f>
        <v>30000.00</v>
      </c>
      <c r="AJ646" t="str">
        <f>"C55-000-586-8293-1"</f>
        <v>C55-000-586-8293-1</v>
      </c>
      <c r="AK646" t="str">
        <f>"10313"</f>
        <v>10313</v>
      </c>
      <c r="AL646">
        <v>3</v>
      </c>
      <c r="AM646">
        <v>740</v>
      </c>
      <c r="AN646">
        <v>564.20000000000005</v>
      </c>
      <c r="AQ646" t="s">
        <v>6895</v>
      </c>
      <c r="AR646" t="s">
        <v>6895</v>
      </c>
      <c r="AS646" t="s">
        <v>6895</v>
      </c>
      <c r="AU646" t="s">
        <v>396</v>
      </c>
      <c r="AV646">
        <v>2017</v>
      </c>
      <c r="AW646" t="str">
        <f>"09-1N-25-0670-0001-0010 "</f>
        <v xml:space="preserve">09-1N-25-0670-0001-0010 </v>
      </c>
      <c r="AX646">
        <v>44134</v>
      </c>
      <c r="AZ646" t="s">
        <v>6896</v>
      </c>
      <c r="BA646" t="s">
        <v>866</v>
      </c>
      <c r="BD646" t="s">
        <v>2785</v>
      </c>
      <c r="BE646" t="s">
        <v>393</v>
      </c>
      <c r="BF646">
        <v>32011</v>
      </c>
      <c r="BG646" t="s">
        <v>6897</v>
      </c>
      <c r="BH646" t="s">
        <v>2787</v>
      </c>
      <c r="BI646">
        <v>-81.803957689971696</v>
      </c>
      <c r="BJ646">
        <v>30.510627658764399</v>
      </c>
      <c r="BK646" t="s">
        <v>6898</v>
      </c>
      <c r="BM646" t="s">
        <v>6897</v>
      </c>
      <c r="BN646" t="s">
        <v>928</v>
      </c>
      <c r="BO646">
        <v>32011</v>
      </c>
      <c r="BP646" t="s">
        <v>416</v>
      </c>
      <c r="BQ646">
        <v>200</v>
      </c>
      <c r="BR646" t="s">
        <v>405</v>
      </c>
      <c r="BS646">
        <v>1006</v>
      </c>
      <c r="BT646" t="s">
        <v>406</v>
      </c>
      <c r="BW646">
        <v>43560</v>
      </c>
      <c r="BX646" t="s">
        <v>407</v>
      </c>
      <c r="BZ646">
        <v>4</v>
      </c>
      <c r="CA646">
        <v>1998</v>
      </c>
      <c r="CB646">
        <v>1</v>
      </c>
      <c r="CC646">
        <v>1</v>
      </c>
      <c r="CD646">
        <v>2017</v>
      </c>
      <c r="CG646">
        <v>67221</v>
      </c>
      <c r="CH646">
        <v>2017</v>
      </c>
      <c r="CI646">
        <v>30000</v>
      </c>
      <c r="CJ646">
        <v>50838</v>
      </c>
      <c r="CK646">
        <v>80838</v>
      </c>
      <c r="CL646">
        <v>2017</v>
      </c>
      <c r="CM646">
        <v>492.1</v>
      </c>
      <c r="CN646" s="1">
        <v>36159</v>
      </c>
      <c r="CO646">
        <v>22500</v>
      </c>
      <c r="CZ646" s="1">
        <v>36159</v>
      </c>
      <c r="DD646" t="s">
        <v>2785</v>
      </c>
      <c r="DF646">
        <v>1</v>
      </c>
      <c r="DG646">
        <v>9</v>
      </c>
      <c r="DL646">
        <v>50502</v>
      </c>
      <c r="DM646" t="s">
        <v>6899</v>
      </c>
      <c r="DO646" t="s">
        <v>6900</v>
      </c>
      <c r="DP646">
        <v>0</v>
      </c>
      <c r="DQ646">
        <v>0</v>
      </c>
      <c r="DR646" t="s">
        <v>411</v>
      </c>
      <c r="DS646" t="b">
        <v>1</v>
      </c>
      <c r="DT646" t="s">
        <v>470</v>
      </c>
      <c r="DU646" t="s">
        <v>471</v>
      </c>
      <c r="DV646" t="s">
        <v>472</v>
      </c>
      <c r="DX646">
        <v>-9999</v>
      </c>
      <c r="DZ646" t="s">
        <v>447</v>
      </c>
      <c r="EA646" t="s">
        <v>448</v>
      </c>
      <c r="EB646" t="s">
        <v>742</v>
      </c>
      <c r="EC646">
        <v>20101217</v>
      </c>
      <c r="ED646" t="s">
        <v>474</v>
      </c>
      <c r="EF646">
        <v>747.6</v>
      </c>
      <c r="EG646">
        <v>747.6</v>
      </c>
      <c r="EI646">
        <v>20160407</v>
      </c>
      <c r="EJ646">
        <v>0</v>
      </c>
      <c r="EK646">
        <v>0</v>
      </c>
      <c r="EP646" t="s">
        <v>421</v>
      </c>
      <c r="EQ646" t="s">
        <v>422</v>
      </c>
      <c r="ER646">
        <v>2</v>
      </c>
      <c r="ES646">
        <v>7</v>
      </c>
      <c r="ET646">
        <v>1116.8599999999999</v>
      </c>
      <c r="EU646">
        <v>68.34</v>
      </c>
      <c r="EV646">
        <v>1185.2</v>
      </c>
      <c r="EW646" s="2">
        <v>43222</v>
      </c>
      <c r="EX646" s="1">
        <v>42879</v>
      </c>
      <c r="EY646">
        <v>2016</v>
      </c>
      <c r="EZ646">
        <v>558.42999999999995</v>
      </c>
      <c r="FA646" t="s">
        <v>6901</v>
      </c>
      <c r="FB646">
        <v>0.25</v>
      </c>
      <c r="FC646" t="s">
        <v>424</v>
      </c>
      <c r="FD646" t="s">
        <v>454</v>
      </c>
      <c r="FF646">
        <v>12</v>
      </c>
      <c r="FG646">
        <v>2851116</v>
      </c>
      <c r="FH646" t="s">
        <v>480</v>
      </c>
      <c r="FJ646" s="1">
        <v>42879</v>
      </c>
      <c r="FK646">
        <v>2016</v>
      </c>
      <c r="FL646">
        <v>558.42999999999995</v>
      </c>
      <c r="FM646" t="s">
        <v>6901</v>
      </c>
      <c r="FN646">
        <v>0.25</v>
      </c>
      <c r="FO646" t="s">
        <v>424</v>
      </c>
      <c r="FP646" t="s">
        <v>454</v>
      </c>
      <c r="FR646">
        <v>12</v>
      </c>
      <c r="FS646">
        <v>4927583</v>
      </c>
      <c r="FT646" t="s">
        <v>6902</v>
      </c>
      <c r="FV646" s="1">
        <v>42515</v>
      </c>
      <c r="FW646">
        <v>2015</v>
      </c>
      <c r="FX646">
        <v>566.12</v>
      </c>
      <c r="FY646" t="s">
        <v>6903</v>
      </c>
      <c r="FZ646">
        <v>0.25</v>
      </c>
      <c r="GA646" t="s">
        <v>424</v>
      </c>
      <c r="GB646" t="s">
        <v>425</v>
      </c>
      <c r="GC646" s="1">
        <v>43146</v>
      </c>
      <c r="GD646">
        <v>21</v>
      </c>
      <c r="GE646">
        <v>2851116</v>
      </c>
      <c r="GF646" t="s">
        <v>480</v>
      </c>
      <c r="GH646" s="1">
        <v>42515</v>
      </c>
      <c r="GI646">
        <v>2015</v>
      </c>
      <c r="GJ646">
        <v>566.12</v>
      </c>
      <c r="GK646" t="s">
        <v>6903</v>
      </c>
      <c r="GL646">
        <v>0.25</v>
      </c>
      <c r="GM646" t="s">
        <v>424</v>
      </c>
      <c r="GN646" t="s">
        <v>425</v>
      </c>
      <c r="GP646">
        <v>22</v>
      </c>
      <c r="GQ646">
        <v>5333938</v>
      </c>
      <c r="GR646" t="s">
        <v>6904</v>
      </c>
      <c r="GT646" s="1">
        <v>42151</v>
      </c>
      <c r="GU646">
        <v>2014</v>
      </c>
      <c r="GV646">
        <v>565.27</v>
      </c>
      <c r="GW646" t="s">
        <v>6905</v>
      </c>
      <c r="GX646">
        <v>0.25</v>
      </c>
      <c r="GY646" t="s">
        <v>424</v>
      </c>
      <c r="GZ646" t="s">
        <v>425</v>
      </c>
      <c r="HA646" s="1">
        <v>42774</v>
      </c>
      <c r="HB646">
        <v>21</v>
      </c>
      <c r="HC646">
        <v>2851116</v>
      </c>
      <c r="HD646" t="s">
        <v>480</v>
      </c>
      <c r="HF646" s="1">
        <v>42151</v>
      </c>
      <c r="HG646">
        <v>2014</v>
      </c>
      <c r="HH646">
        <v>565.27</v>
      </c>
      <c r="HI646" t="s">
        <v>6905</v>
      </c>
      <c r="HJ646">
        <v>0.25</v>
      </c>
      <c r="HK646" t="s">
        <v>424</v>
      </c>
      <c r="HL646" t="s">
        <v>425</v>
      </c>
      <c r="HN646">
        <v>22</v>
      </c>
      <c r="HO646">
        <v>4929429</v>
      </c>
      <c r="HP646" t="s">
        <v>6906</v>
      </c>
      <c r="HR646" s="1">
        <v>41787</v>
      </c>
      <c r="HS646">
        <v>2013</v>
      </c>
      <c r="HT646">
        <v>532.89</v>
      </c>
      <c r="HU646" t="s">
        <v>6907</v>
      </c>
      <c r="HV646">
        <v>0.25</v>
      </c>
      <c r="HW646" t="s">
        <v>424</v>
      </c>
      <c r="HX646" t="s">
        <v>425</v>
      </c>
      <c r="HY646" s="1">
        <v>41827</v>
      </c>
      <c r="HZ646">
        <v>2</v>
      </c>
      <c r="IA646">
        <v>2407503</v>
      </c>
      <c r="IB646" t="s">
        <v>461</v>
      </c>
      <c r="ID646" s="1">
        <v>41423</v>
      </c>
      <c r="IE646">
        <v>2012</v>
      </c>
      <c r="IF646">
        <v>531.96</v>
      </c>
      <c r="IG646" t="s">
        <v>6908</v>
      </c>
      <c r="IH646">
        <v>3</v>
      </c>
      <c r="II646" t="s">
        <v>424</v>
      </c>
      <c r="IJ646" t="s">
        <v>425</v>
      </c>
      <c r="IK646" s="1">
        <v>41827</v>
      </c>
      <c r="IL646">
        <v>14</v>
      </c>
      <c r="IM646">
        <v>15399</v>
      </c>
      <c r="IN646" t="s">
        <v>485</v>
      </c>
      <c r="IP646" s="1">
        <v>41052</v>
      </c>
      <c r="IQ646">
        <v>2011</v>
      </c>
      <c r="IR646">
        <v>553.42999999999995</v>
      </c>
      <c r="IS646" t="s">
        <v>6909</v>
      </c>
      <c r="IT646">
        <v>6.25</v>
      </c>
      <c r="IU646" t="s">
        <v>424</v>
      </c>
      <c r="IV646" t="s">
        <v>425</v>
      </c>
      <c r="IW646" s="1">
        <v>41256</v>
      </c>
      <c r="IX646">
        <v>7</v>
      </c>
      <c r="IY646">
        <v>1109</v>
      </c>
      <c r="IZ646" t="s">
        <v>852</v>
      </c>
    </row>
    <row r="647" spans="1:260" x14ac:dyDescent="0.25">
      <c r="A647">
        <v>16485654</v>
      </c>
      <c r="B647">
        <v>646</v>
      </c>
      <c r="C647" t="s">
        <v>393</v>
      </c>
      <c r="D647" t="s">
        <v>394</v>
      </c>
      <c r="F647" t="str">
        <f>"09-1N-25-0670-0002-0060"</f>
        <v>09-1N-25-0670-0002-0060</v>
      </c>
      <c r="H647" t="str">
        <f>"GROGAN CHAD E &amp; SHELLY D &amp; GROGAN FAYE E (R/O/S)"</f>
        <v>GROGAN CHAD E &amp; SHELLY D &amp; GROGAN FAYE E (R/O/S)</v>
      </c>
      <c r="I647" t="str">
        <f>"307 E OHIO AVE  APT 702"</f>
        <v>307 E OHIO AVE  APT 702</v>
      </c>
      <c r="J647" t="str">
        <f>"MACCLENNY FL 32063"</f>
        <v>MACCLENNY FL 32063</v>
      </c>
      <c r="K647" t="str">
        <f>"44320 CATIES WAY"</f>
        <v>44320 CATIES WAY</v>
      </c>
      <c r="L647" t="str">
        <f t="shared" si="181"/>
        <v>CALLAHAN FL 32011</v>
      </c>
      <c r="M647" t="str">
        <f>"BLOCK 2 LOT 6 IN OR 1483/442 GREEN MEADOWS 1 PB 6/101"</f>
        <v>BLOCK 2 LOT 6 IN OR 1483/442 GREEN MEADOWS 1 PB 6/101</v>
      </c>
      <c r="N647" t="str">
        <f>""</f>
        <v/>
      </c>
      <c r="O647" t="str">
        <f>"24665"</f>
        <v>24665</v>
      </c>
      <c r="P647" t="str">
        <f t="shared" si="194"/>
        <v>2017</v>
      </c>
      <c r="Q647" t="str">
        <f>""</f>
        <v/>
      </c>
      <c r="R647" t="str">
        <f>"N"</f>
        <v>N</v>
      </c>
      <c r="S647" t="str">
        <f>""</f>
        <v/>
      </c>
      <c r="T647" t="str">
        <f>"2200.23"</f>
        <v>2200.23</v>
      </c>
      <c r="U647" t="str">
        <f>"143821.00"</f>
        <v>143821.00</v>
      </c>
      <c r="V647" t="str">
        <f>"143821.00"</f>
        <v>143821.00</v>
      </c>
      <c r="W647" t="str">
        <f t="shared" si="195"/>
        <v>2017</v>
      </c>
      <c r="X647" t="str">
        <f>"3.33"</f>
        <v>3.33</v>
      </c>
      <c r="Y647" t="str">
        <f>"2298.24"</f>
        <v>2298.24</v>
      </c>
      <c r="Z647" t="str">
        <f>""</f>
        <v/>
      </c>
      <c r="AA647" t="str">
        <f>"147301.00"</f>
        <v>147301.00</v>
      </c>
      <c r="AB647" t="str">
        <f t="shared" si="196"/>
        <v>Residential</v>
      </c>
      <c r="AC647" t="str">
        <f t="shared" si="185"/>
        <v>0</v>
      </c>
      <c r="AD647" t="str">
        <f>"4"</f>
        <v>4</v>
      </c>
      <c r="AE647" t="str">
        <f>"WOOD (INCLUDE STEEL STUDS)"</f>
        <v>WOOD (INCLUDE STEEL STUDS)</v>
      </c>
      <c r="AF647" t="str">
        <f>"001"</f>
        <v>001</v>
      </c>
      <c r="AG647" t="str">
        <f t="shared" si="197"/>
        <v>FL</v>
      </c>
      <c r="AH647" t="str">
        <f>"-"</f>
        <v>-</v>
      </c>
      <c r="AI647" t="str">
        <f>"28000.00"</f>
        <v>28000.00</v>
      </c>
      <c r="AJ647" t="str">
        <f>"C55-000-586-8301-2"</f>
        <v>C55-000-586-8301-2</v>
      </c>
      <c r="AK647" t="str">
        <f>"10321"</f>
        <v>10321</v>
      </c>
      <c r="AL647">
        <v>3</v>
      </c>
      <c r="AM647">
        <v>741</v>
      </c>
      <c r="AN647">
        <v>2411.5500000000002</v>
      </c>
      <c r="AQ647" t="s">
        <v>6910</v>
      </c>
      <c r="AR647" t="s">
        <v>6910</v>
      </c>
      <c r="AS647" t="s">
        <v>6910</v>
      </c>
      <c r="AU647" t="s">
        <v>396</v>
      </c>
      <c r="AV647">
        <v>2017</v>
      </c>
      <c r="AW647" t="str">
        <f>"09-1N-25-0670-0002-0060 "</f>
        <v xml:space="preserve">09-1N-25-0670-0002-0060 </v>
      </c>
      <c r="AX647">
        <v>44320</v>
      </c>
      <c r="AZ647" t="s">
        <v>6896</v>
      </c>
      <c r="BA647" t="s">
        <v>866</v>
      </c>
      <c r="BD647" t="s">
        <v>2785</v>
      </c>
      <c r="BE647" t="s">
        <v>393</v>
      </c>
      <c r="BF647">
        <v>32011</v>
      </c>
      <c r="BG647" t="s">
        <v>6911</v>
      </c>
      <c r="BH647" t="s">
        <v>2787</v>
      </c>
      <c r="BI647">
        <v>-81.804089077291195</v>
      </c>
      <c r="BJ647">
        <v>30.513543842498599</v>
      </c>
      <c r="BK647" t="s">
        <v>6912</v>
      </c>
      <c r="BL647" t="s">
        <v>6913</v>
      </c>
      <c r="BM647" t="s">
        <v>6914</v>
      </c>
      <c r="BN647" t="s">
        <v>629</v>
      </c>
      <c r="BO647">
        <v>32063</v>
      </c>
      <c r="BP647" t="s">
        <v>404</v>
      </c>
      <c r="BQ647">
        <v>100</v>
      </c>
      <c r="BR647" t="s">
        <v>514</v>
      </c>
      <c r="BS647">
        <v>1001</v>
      </c>
      <c r="BT647" t="s">
        <v>515</v>
      </c>
      <c r="BW647">
        <v>43560</v>
      </c>
      <c r="BX647" t="s">
        <v>407</v>
      </c>
      <c r="BZ647">
        <v>4</v>
      </c>
      <c r="CA647">
        <v>1998</v>
      </c>
      <c r="CB647">
        <v>1</v>
      </c>
      <c r="CC647">
        <v>1</v>
      </c>
      <c r="CD647">
        <v>2017</v>
      </c>
      <c r="CE647">
        <v>28000</v>
      </c>
      <c r="CF647">
        <v>119301</v>
      </c>
      <c r="CG647">
        <v>147301</v>
      </c>
      <c r="CH647">
        <v>2017</v>
      </c>
      <c r="CI647">
        <v>28000</v>
      </c>
      <c r="CJ647">
        <v>119301</v>
      </c>
      <c r="CK647">
        <v>147301</v>
      </c>
      <c r="CL647">
        <v>2017</v>
      </c>
      <c r="CM647">
        <v>2200.23</v>
      </c>
      <c r="CN647" s="1">
        <v>39147</v>
      </c>
      <c r="CZ647" s="1">
        <v>39147</v>
      </c>
      <c r="DD647" t="s">
        <v>2785</v>
      </c>
      <c r="DF647">
        <v>6</v>
      </c>
      <c r="DG647">
        <v>9</v>
      </c>
      <c r="DJ647" t="s">
        <v>6915</v>
      </c>
      <c r="DL647">
        <v>50502</v>
      </c>
      <c r="DM647" t="s">
        <v>6899</v>
      </c>
      <c r="DO647" t="s">
        <v>6916</v>
      </c>
      <c r="DP647">
        <v>0</v>
      </c>
      <c r="DQ647">
        <v>0</v>
      </c>
      <c r="DR647" t="s">
        <v>411</v>
      </c>
      <c r="EP647" t="s">
        <v>421</v>
      </c>
      <c r="EQ647" t="s">
        <v>422</v>
      </c>
      <c r="ER647">
        <v>2</v>
      </c>
      <c r="ES647">
        <v>0</v>
      </c>
      <c r="ET647">
        <v>4395.28</v>
      </c>
      <c r="EU647">
        <v>232.26</v>
      </c>
      <c r="EV647">
        <v>4627.54</v>
      </c>
      <c r="EW647" s="2">
        <v>43222</v>
      </c>
      <c r="EX647" s="1">
        <v>42879</v>
      </c>
      <c r="EY647">
        <v>2016</v>
      </c>
      <c r="EZ647">
        <v>2197.64</v>
      </c>
      <c r="FA647" t="s">
        <v>6917</v>
      </c>
      <c r="FB647">
        <v>0.25</v>
      </c>
      <c r="FC647" t="s">
        <v>424</v>
      </c>
      <c r="FD647" t="s">
        <v>454</v>
      </c>
      <c r="FF647">
        <v>12</v>
      </c>
      <c r="FG647">
        <v>11289</v>
      </c>
      <c r="FH647" t="s">
        <v>787</v>
      </c>
      <c r="FJ647" s="1">
        <v>42879</v>
      </c>
      <c r="FK647">
        <v>2016</v>
      </c>
      <c r="FL647">
        <v>2197.64</v>
      </c>
      <c r="FM647" t="s">
        <v>6917</v>
      </c>
      <c r="FN647">
        <v>0.25</v>
      </c>
      <c r="FO647" t="s">
        <v>424</v>
      </c>
      <c r="FP647" t="s">
        <v>454</v>
      </c>
      <c r="FR647">
        <v>12</v>
      </c>
      <c r="FS647">
        <v>7047638</v>
      </c>
      <c r="FT647" t="s">
        <v>6918</v>
      </c>
    </row>
    <row r="648" spans="1:260" x14ac:dyDescent="0.25">
      <c r="A648">
        <v>16485655</v>
      </c>
      <c r="B648">
        <v>647</v>
      </c>
      <c r="C648" t="s">
        <v>393</v>
      </c>
      <c r="D648" t="s">
        <v>394</v>
      </c>
      <c r="F648" t="str">
        <f>"09-1N-25-0670-0002-0130"</f>
        <v>09-1N-25-0670-0002-0130</v>
      </c>
      <c r="H648" t="str">
        <f>"HENDRICKS DANIEL"</f>
        <v>HENDRICKS DANIEL</v>
      </c>
      <c r="I648" t="str">
        <f>"44500 CATIES WAY"</f>
        <v>44500 CATIES WAY</v>
      </c>
      <c r="J648" t="str">
        <f>"CALLAHAN FL 32011"</f>
        <v>CALLAHAN FL 32011</v>
      </c>
      <c r="K648" t="str">
        <f>"44500 CATIES WAY"</f>
        <v>44500 CATIES WAY</v>
      </c>
      <c r="L648" t="str">
        <f t="shared" si="181"/>
        <v>CALLAHAN FL 32011</v>
      </c>
      <c r="M648" t="str">
        <f>"BLOCK 2 LOT 13 IN OR 972/892 GREEN MEADOWS 1 PB 6/101"</f>
        <v>BLOCK 2 LOT 13 IN OR 972/892 GREEN MEADOWS 1 PB 6/101</v>
      </c>
      <c r="N648" t="str">
        <f>""</f>
        <v/>
      </c>
      <c r="O648" t="str">
        <f>"24672"</f>
        <v>24672</v>
      </c>
      <c r="P648" t="str">
        <f t="shared" si="194"/>
        <v>2017</v>
      </c>
      <c r="Q648" t="str">
        <f>""</f>
        <v/>
      </c>
      <c r="R648" t="str">
        <f>"Y"</f>
        <v>Y</v>
      </c>
      <c r="S648" t="str">
        <f>""</f>
        <v/>
      </c>
      <c r="T648" t="str">
        <f>"1760.23"</f>
        <v>1760.23</v>
      </c>
      <c r="U648" t="str">
        <f>"155377.00"</f>
        <v>155377.00</v>
      </c>
      <c r="V648" t="str">
        <f>"155377.00"</f>
        <v>155377.00</v>
      </c>
      <c r="W648" t="str">
        <f t="shared" si="195"/>
        <v>2017</v>
      </c>
      <c r="X648" t="str">
        <f>"2.00"</f>
        <v>2.00</v>
      </c>
      <c r="Y648" t="str">
        <f>"1845.04"</f>
        <v>1845.04</v>
      </c>
      <c r="Z648" t="str">
        <f>"25000.00"</f>
        <v>25000.00</v>
      </c>
      <c r="AA648" t="str">
        <f>"130377.00"</f>
        <v>130377.00</v>
      </c>
      <c r="AB648" t="str">
        <f t="shared" si="196"/>
        <v>Residential</v>
      </c>
      <c r="AC648" t="str">
        <f t="shared" si="185"/>
        <v>0</v>
      </c>
      <c r="AD648" t="str">
        <f>"4"</f>
        <v>4</v>
      </c>
      <c r="AE648" t="str">
        <f>"WOOD (INCLUDE STEEL STUDS)"</f>
        <v>WOOD (INCLUDE STEEL STUDS)</v>
      </c>
      <c r="AF648" t="str">
        <f>"001"</f>
        <v>001</v>
      </c>
      <c r="AG648" t="str">
        <f t="shared" si="197"/>
        <v>FL</v>
      </c>
      <c r="AH648" t="str">
        <f>"-"</f>
        <v>-</v>
      </c>
      <c r="AI648" t="str">
        <f>"28000.00"</f>
        <v>28000.00</v>
      </c>
      <c r="AJ648" t="str">
        <f>"C55-000-586-8308-7"</f>
        <v>C55-000-586-8308-7</v>
      </c>
      <c r="AK648" t="str">
        <f>"10328"</f>
        <v>10328</v>
      </c>
      <c r="AL648">
        <v>3</v>
      </c>
      <c r="AM648">
        <v>742</v>
      </c>
      <c r="AN648">
        <v>1935.69</v>
      </c>
      <c r="AQ648" t="s">
        <v>6919</v>
      </c>
      <c r="AR648" t="s">
        <v>6919</v>
      </c>
      <c r="AS648" t="s">
        <v>6919</v>
      </c>
      <c r="AU648" t="s">
        <v>396</v>
      </c>
      <c r="AV648">
        <v>2017</v>
      </c>
      <c r="AW648" t="str">
        <f>"09-1N-25-0670-0002-0130 "</f>
        <v xml:space="preserve">09-1N-25-0670-0002-0130 </v>
      </c>
      <c r="AX648">
        <v>44500</v>
      </c>
      <c r="AZ648" t="s">
        <v>6896</v>
      </c>
      <c r="BA648" t="s">
        <v>866</v>
      </c>
      <c r="BD648" t="s">
        <v>2785</v>
      </c>
      <c r="BE648" t="s">
        <v>393</v>
      </c>
      <c r="BF648">
        <v>32011</v>
      </c>
      <c r="BG648" t="s">
        <v>3149</v>
      </c>
      <c r="BH648" t="s">
        <v>2787</v>
      </c>
      <c r="BI648">
        <v>-81.806132412820602</v>
      </c>
      <c r="BJ648">
        <v>30.515654896314</v>
      </c>
      <c r="BK648" t="s">
        <v>6920</v>
      </c>
      <c r="BM648" t="s">
        <v>3149</v>
      </c>
      <c r="BN648" t="s">
        <v>928</v>
      </c>
      <c r="BO648">
        <v>32011</v>
      </c>
      <c r="BP648" t="s">
        <v>416</v>
      </c>
      <c r="BQ648">
        <v>100</v>
      </c>
      <c r="BR648" t="s">
        <v>514</v>
      </c>
      <c r="BS648">
        <v>1001</v>
      </c>
      <c r="BT648" t="s">
        <v>515</v>
      </c>
      <c r="BW648">
        <v>43560</v>
      </c>
      <c r="BX648" t="s">
        <v>407</v>
      </c>
      <c r="BZ648">
        <v>4</v>
      </c>
      <c r="CA648">
        <v>2000</v>
      </c>
      <c r="CB648">
        <v>1</v>
      </c>
      <c r="CC648">
        <v>1</v>
      </c>
      <c r="CD648">
        <v>2017</v>
      </c>
      <c r="CG648">
        <v>155377</v>
      </c>
      <c r="CH648">
        <v>2017</v>
      </c>
      <c r="CI648">
        <v>28000</v>
      </c>
      <c r="CJ648">
        <v>157210</v>
      </c>
      <c r="CK648">
        <v>185210</v>
      </c>
      <c r="CL648">
        <v>2017</v>
      </c>
      <c r="CM648">
        <v>1760.23</v>
      </c>
      <c r="CN648" s="1">
        <v>36949</v>
      </c>
      <c r="CO648">
        <v>145000</v>
      </c>
      <c r="CV648">
        <v>45000</v>
      </c>
      <c r="CZ648" s="1">
        <v>36949</v>
      </c>
      <c r="DA648">
        <v>0</v>
      </c>
      <c r="DD648" t="s">
        <v>2785</v>
      </c>
      <c r="DF648">
        <v>13</v>
      </c>
      <c r="DG648">
        <v>9</v>
      </c>
      <c r="DJ648" t="s">
        <v>6915</v>
      </c>
      <c r="DL648">
        <v>50502</v>
      </c>
      <c r="DM648" t="s">
        <v>6899</v>
      </c>
      <c r="DO648" t="s">
        <v>6921</v>
      </c>
      <c r="DP648">
        <v>0</v>
      </c>
      <c r="DQ648">
        <v>0</v>
      </c>
      <c r="DR648" t="s">
        <v>411</v>
      </c>
      <c r="EP648" t="s">
        <v>421</v>
      </c>
      <c r="EQ648" t="s">
        <v>422</v>
      </c>
      <c r="ER648">
        <v>0</v>
      </c>
      <c r="ES648">
        <v>1</v>
      </c>
      <c r="ET648">
        <v>0</v>
      </c>
      <c r="EU648">
        <v>0</v>
      </c>
      <c r="EV648">
        <v>0</v>
      </c>
      <c r="EW648" s="2">
        <v>43222</v>
      </c>
      <c r="EX648" s="1">
        <v>41787</v>
      </c>
      <c r="EY648">
        <v>2013</v>
      </c>
      <c r="EZ648">
        <v>1801.62</v>
      </c>
      <c r="FA648" t="s">
        <v>6922</v>
      </c>
      <c r="FB648">
        <v>0.25</v>
      </c>
      <c r="FC648" t="s">
        <v>424</v>
      </c>
      <c r="FD648" t="s">
        <v>425</v>
      </c>
      <c r="FE648" s="1">
        <v>41828</v>
      </c>
      <c r="FF648">
        <v>2</v>
      </c>
      <c r="FG648">
        <v>2101382</v>
      </c>
      <c r="FH648" t="s">
        <v>993</v>
      </c>
    </row>
    <row r="649" spans="1:260" x14ac:dyDescent="0.25">
      <c r="A649">
        <v>16485656</v>
      </c>
      <c r="B649">
        <v>648</v>
      </c>
      <c r="C649" t="s">
        <v>393</v>
      </c>
      <c r="D649" t="s">
        <v>394</v>
      </c>
      <c r="F649" t="str">
        <f>"09-1N-25-0672-0016-0000"</f>
        <v>09-1N-25-0672-0016-0000</v>
      </c>
      <c r="H649" t="str">
        <f>"MCCOY MARC &amp; KIMBERLY"</f>
        <v>MCCOY MARC &amp; KIMBERLY</v>
      </c>
      <c r="I649" t="str">
        <f>"44904 GREEN MEADOWS LANE"</f>
        <v>44904 GREEN MEADOWS LANE</v>
      </c>
      <c r="J649" t="str">
        <f>"CALLAHAN FL 32011"</f>
        <v>CALLAHAN FL 32011</v>
      </c>
      <c r="K649" t="str">
        <f>"44904 GREEN MEADOWS LN"</f>
        <v>44904 GREEN MEADOWS LN</v>
      </c>
      <c r="L649" t="str">
        <f t="shared" si="181"/>
        <v>CALLAHAN FL 32011</v>
      </c>
      <c r="M649" t="str">
        <f>"LOT 16 IN OR 1125/607 GREEN MEADOWS PHASE 3 PB 6/334"</f>
        <v>LOT 16 IN OR 1125/607 GREEN MEADOWS PHASE 3 PB 6/334</v>
      </c>
      <c r="N649" t="str">
        <f>""</f>
        <v/>
      </c>
      <c r="O649" t="str">
        <f>"24726"</f>
        <v>24726</v>
      </c>
      <c r="P649" t="str">
        <f t="shared" si="194"/>
        <v>2017</v>
      </c>
      <c r="Q649" t="str">
        <f>""</f>
        <v/>
      </c>
      <c r="R649" t="str">
        <f>"Y"</f>
        <v>Y</v>
      </c>
      <c r="S649" t="str">
        <f>""</f>
        <v/>
      </c>
      <c r="T649" t="str">
        <f>"1557.03"</f>
        <v>1557.03</v>
      </c>
      <c r="U649" t="str">
        <f>"141955.00"</f>
        <v>141955.00</v>
      </c>
      <c r="V649" t="str">
        <f>"141955.00"</f>
        <v>141955.00</v>
      </c>
      <c r="W649" t="str">
        <f t="shared" si="195"/>
        <v>2017</v>
      </c>
      <c r="X649" t="str">
        <f>""</f>
        <v/>
      </c>
      <c r="Y649" t="str">
        <f>"1635.74"</f>
        <v>1635.74</v>
      </c>
      <c r="Z649" t="str">
        <f>"25000.00"</f>
        <v>25000.00</v>
      </c>
      <c r="AA649" t="str">
        <f>"116955.00"</f>
        <v>116955.00</v>
      </c>
      <c r="AB649" t="str">
        <f t="shared" si="196"/>
        <v>Residential</v>
      </c>
      <c r="AC649" t="str">
        <f t="shared" si="185"/>
        <v>0</v>
      </c>
      <c r="AD649" t="str">
        <f>"4"</f>
        <v>4</v>
      </c>
      <c r="AE649" t="str">
        <f>"WOOD (INCLUDE STEEL STUDS)"</f>
        <v>WOOD (INCLUDE STEEL STUDS)</v>
      </c>
      <c r="AF649" t="str">
        <f>"001"</f>
        <v>001</v>
      </c>
      <c r="AG649" t="str">
        <f t="shared" si="197"/>
        <v>FL</v>
      </c>
      <c r="AH649" t="str">
        <f>"-"</f>
        <v>-</v>
      </c>
      <c r="AI649" t="str">
        <f>"28000.00"</f>
        <v>28000.00</v>
      </c>
      <c r="AJ649" t="str">
        <f>"C55-000-588-8430-5"</f>
        <v>C55-000-588-8430-5</v>
      </c>
      <c r="AK649" t="str">
        <f>"10379"</f>
        <v>10379</v>
      </c>
      <c r="AL649">
        <v>3</v>
      </c>
      <c r="AM649">
        <v>743</v>
      </c>
      <c r="AN649">
        <v>1715.93</v>
      </c>
      <c r="AQ649" t="s">
        <v>6923</v>
      </c>
      <c r="AR649" t="s">
        <v>6923</v>
      </c>
      <c r="AS649" t="s">
        <v>6923</v>
      </c>
      <c r="AU649" t="s">
        <v>396</v>
      </c>
      <c r="AV649">
        <v>2017</v>
      </c>
      <c r="AW649" t="str">
        <f>"09-1N-25-0672-0016-0000 "</f>
        <v xml:space="preserve">09-1N-25-0672-0016-0000 </v>
      </c>
      <c r="AX649">
        <v>44904</v>
      </c>
      <c r="AZ649" t="s">
        <v>6915</v>
      </c>
      <c r="BA649" t="s">
        <v>653</v>
      </c>
      <c r="BD649" t="s">
        <v>2785</v>
      </c>
      <c r="BE649" t="s">
        <v>393</v>
      </c>
      <c r="BF649">
        <v>32011</v>
      </c>
      <c r="BG649" t="s">
        <v>6924</v>
      </c>
      <c r="BH649" t="s">
        <v>2787</v>
      </c>
      <c r="BI649">
        <v>-81.802971586086201</v>
      </c>
      <c r="BJ649">
        <v>30.5172362651351</v>
      </c>
      <c r="BK649" t="s">
        <v>6925</v>
      </c>
      <c r="BL649" t="s">
        <v>6926</v>
      </c>
      <c r="BM649" t="s">
        <v>6924</v>
      </c>
      <c r="BN649" t="s">
        <v>928</v>
      </c>
      <c r="BO649">
        <v>32011</v>
      </c>
      <c r="BP649" t="s">
        <v>416</v>
      </c>
      <c r="BQ649">
        <v>100</v>
      </c>
      <c r="BR649" t="s">
        <v>514</v>
      </c>
      <c r="BS649">
        <v>1001</v>
      </c>
      <c r="BT649" t="s">
        <v>515</v>
      </c>
      <c r="BW649">
        <v>76665</v>
      </c>
      <c r="BX649" t="s">
        <v>407</v>
      </c>
      <c r="BY649" t="s">
        <v>3019</v>
      </c>
      <c r="BZ649">
        <v>4</v>
      </c>
      <c r="CA649">
        <v>2003</v>
      </c>
      <c r="CB649">
        <v>1</v>
      </c>
      <c r="CC649">
        <v>1</v>
      </c>
      <c r="CD649">
        <v>2017</v>
      </c>
      <c r="CG649">
        <v>141955</v>
      </c>
      <c r="CH649">
        <v>2017</v>
      </c>
      <c r="CI649">
        <v>28000</v>
      </c>
      <c r="CJ649">
        <v>137266</v>
      </c>
      <c r="CK649">
        <v>165266</v>
      </c>
      <c r="CL649">
        <v>2017</v>
      </c>
      <c r="CM649">
        <v>1557.03</v>
      </c>
      <c r="CN649" s="1">
        <v>37708</v>
      </c>
      <c r="CO649">
        <v>152100</v>
      </c>
      <c r="CV649">
        <v>136845</v>
      </c>
      <c r="CZ649" s="1">
        <v>37708</v>
      </c>
      <c r="DA649">
        <v>0</v>
      </c>
      <c r="DD649" t="s">
        <v>2785</v>
      </c>
      <c r="DF649">
        <v>16</v>
      </c>
      <c r="DG649">
        <v>9</v>
      </c>
      <c r="DJ649" t="s">
        <v>6915</v>
      </c>
      <c r="DL649">
        <v>50502</v>
      </c>
      <c r="DM649" t="s">
        <v>6899</v>
      </c>
      <c r="DO649" t="s">
        <v>6927</v>
      </c>
      <c r="DP649">
        <v>0</v>
      </c>
      <c r="DQ649">
        <v>0</v>
      </c>
      <c r="DR649" t="s">
        <v>411</v>
      </c>
    </row>
    <row r="650" spans="1:260" x14ac:dyDescent="0.25">
      <c r="A650">
        <v>16485657</v>
      </c>
      <c r="B650">
        <v>649</v>
      </c>
      <c r="C650" t="s">
        <v>393</v>
      </c>
      <c r="D650" t="s">
        <v>394</v>
      </c>
      <c r="F650" t="str">
        <f>"09-1N-25-0672-0030-0000"</f>
        <v>09-1N-25-0672-0030-0000</v>
      </c>
      <c r="H650" t="str">
        <f>"GREENE KENNETH L JR"</f>
        <v>GREENE KENNETH L JR</v>
      </c>
      <c r="I650" t="str">
        <f>"44959 GREEN MEADOWS LANE"</f>
        <v>44959 GREEN MEADOWS LANE</v>
      </c>
      <c r="J650" t="str">
        <f>"CALLAHAN FL 32011"</f>
        <v>CALLAHAN FL 32011</v>
      </c>
      <c r="K650" t="str">
        <f>"44959 GREEN MEADOWS LN"</f>
        <v>44959 GREEN MEADOWS LN</v>
      </c>
      <c r="L650" t="str">
        <f t="shared" si="181"/>
        <v>CALLAHAN FL 32011</v>
      </c>
      <c r="M650" t="str">
        <f>"LOT 30 IN OR 1665/1319 GREEN MEADOWS PHASE 3 PB 6/334"</f>
        <v>LOT 30 IN OR 1665/1319 GREEN MEADOWS PHASE 3 PB 6/334</v>
      </c>
      <c r="N650" t="str">
        <f>""</f>
        <v/>
      </c>
      <c r="O650" t="str">
        <f>"24740"</f>
        <v>24740</v>
      </c>
      <c r="P650" t="str">
        <f t="shared" si="194"/>
        <v>2017</v>
      </c>
      <c r="Q650" t="str">
        <f>""</f>
        <v/>
      </c>
      <c r="R650" t="str">
        <f>"Y"</f>
        <v>Y</v>
      </c>
      <c r="S650" t="str">
        <f>""</f>
        <v/>
      </c>
      <c r="T650" t="str">
        <f>"2589.46"</f>
        <v>2589.46</v>
      </c>
      <c r="U650" t="str">
        <f>"210152.00"</f>
        <v>210152.00</v>
      </c>
      <c r="V650" t="str">
        <f>"210152.00"</f>
        <v>210152.00</v>
      </c>
      <c r="W650" t="str">
        <f t="shared" si="195"/>
        <v>2017</v>
      </c>
      <c r="X650" t="str">
        <f>"7.50"</f>
        <v>7.50</v>
      </c>
      <c r="Y650" t="str">
        <f>"2699.14"</f>
        <v>2699.14</v>
      </c>
      <c r="Z650" t="str">
        <f>"25000.00"</f>
        <v>25000.00</v>
      </c>
      <c r="AA650" t="str">
        <f>"185152.00"</f>
        <v>185152.00</v>
      </c>
      <c r="AB650" t="str">
        <f t="shared" si="196"/>
        <v>Residential</v>
      </c>
      <c r="AC650" t="str">
        <f t="shared" si="185"/>
        <v>0</v>
      </c>
      <c r="AD650" t="str">
        <f>"4"</f>
        <v>4</v>
      </c>
      <c r="AE650" t="str">
        <f>"WOOD (INCLUDE STEEL STUDS)"</f>
        <v>WOOD (INCLUDE STEEL STUDS)</v>
      </c>
      <c r="AF650" t="str">
        <f>"001"</f>
        <v>001</v>
      </c>
      <c r="AG650" t="str">
        <f t="shared" si="197"/>
        <v>FL</v>
      </c>
      <c r="AH650" t="str">
        <f>"-"</f>
        <v>-</v>
      </c>
      <c r="AI650" t="str">
        <f>"28000.00"</f>
        <v>28000.00</v>
      </c>
      <c r="AJ650" t="str">
        <f>"C55-000-588-8444-6"</f>
        <v>C55-000-588-8444-6</v>
      </c>
      <c r="AK650" t="str">
        <f>"10393"</f>
        <v>10393</v>
      </c>
      <c r="AL650">
        <v>3</v>
      </c>
      <c r="AM650">
        <v>744</v>
      </c>
      <c r="AN650">
        <v>2832.5</v>
      </c>
      <c r="AQ650" t="s">
        <v>6928</v>
      </c>
      <c r="AR650" t="s">
        <v>6928</v>
      </c>
      <c r="AS650" t="s">
        <v>6928</v>
      </c>
      <c r="AU650" t="s">
        <v>396</v>
      </c>
      <c r="AV650">
        <v>2017</v>
      </c>
      <c r="AW650" t="str">
        <f>"09-1N-25-0672-0030-0000 "</f>
        <v xml:space="preserve">09-1N-25-0672-0030-0000 </v>
      </c>
      <c r="AX650">
        <v>44959</v>
      </c>
      <c r="AZ650" t="s">
        <v>6915</v>
      </c>
      <c r="BA650" t="s">
        <v>653</v>
      </c>
      <c r="BD650" t="s">
        <v>2785</v>
      </c>
      <c r="BE650" t="s">
        <v>393</v>
      </c>
      <c r="BF650">
        <v>32011</v>
      </c>
      <c r="BG650" t="s">
        <v>6929</v>
      </c>
      <c r="BH650" t="s">
        <v>2787</v>
      </c>
      <c r="BI650">
        <v>-81.804308602490707</v>
      </c>
      <c r="BJ650">
        <v>30.5160085024471</v>
      </c>
      <c r="BK650" t="s">
        <v>6930</v>
      </c>
      <c r="BL650" t="s">
        <v>6931</v>
      </c>
      <c r="BM650" t="s">
        <v>6929</v>
      </c>
      <c r="BN650" t="s">
        <v>928</v>
      </c>
      <c r="BO650">
        <v>32011</v>
      </c>
      <c r="BP650" t="s">
        <v>416</v>
      </c>
      <c r="BQ650">
        <v>100</v>
      </c>
      <c r="BR650" t="s">
        <v>514</v>
      </c>
      <c r="BS650">
        <v>1001</v>
      </c>
      <c r="BT650" t="s">
        <v>515</v>
      </c>
      <c r="BW650">
        <v>91911</v>
      </c>
      <c r="BX650" t="s">
        <v>407</v>
      </c>
      <c r="BY650" t="s">
        <v>3019</v>
      </c>
      <c r="BZ650">
        <v>4</v>
      </c>
      <c r="CA650">
        <v>2003</v>
      </c>
      <c r="CB650">
        <v>1</v>
      </c>
      <c r="CC650">
        <v>1</v>
      </c>
      <c r="CD650">
        <v>2017</v>
      </c>
      <c r="CG650">
        <v>210152</v>
      </c>
      <c r="CH650">
        <v>2017</v>
      </c>
      <c r="CI650">
        <v>28000</v>
      </c>
      <c r="CJ650">
        <v>214029</v>
      </c>
      <c r="CK650">
        <v>242029</v>
      </c>
      <c r="CL650">
        <v>2017</v>
      </c>
      <c r="CM650">
        <v>2589.46</v>
      </c>
      <c r="CN650" s="1">
        <v>40233</v>
      </c>
      <c r="CZ650" s="1">
        <v>40233</v>
      </c>
      <c r="DD650" t="s">
        <v>2785</v>
      </c>
      <c r="DF650">
        <v>30</v>
      </c>
      <c r="DG650">
        <v>9</v>
      </c>
      <c r="DJ650" t="s">
        <v>6915</v>
      </c>
      <c r="DL650">
        <v>50502</v>
      </c>
      <c r="DM650" t="s">
        <v>6899</v>
      </c>
      <c r="DO650" t="s">
        <v>6932</v>
      </c>
      <c r="DP650">
        <v>0</v>
      </c>
      <c r="DQ650">
        <v>0</v>
      </c>
      <c r="DR650" t="s">
        <v>411</v>
      </c>
      <c r="EP650" t="s">
        <v>421</v>
      </c>
      <c r="EQ650" t="s">
        <v>422</v>
      </c>
      <c r="ER650">
        <v>0</v>
      </c>
      <c r="ES650">
        <v>2</v>
      </c>
      <c r="ET650">
        <v>0</v>
      </c>
      <c r="EU650">
        <v>0</v>
      </c>
      <c r="EV650">
        <v>0</v>
      </c>
      <c r="EW650" s="2">
        <v>43222</v>
      </c>
      <c r="EX650" s="1">
        <v>41423</v>
      </c>
      <c r="EY650">
        <v>2012</v>
      </c>
      <c r="EZ650">
        <v>2694.72</v>
      </c>
      <c r="FA650" t="s">
        <v>6933</v>
      </c>
      <c r="FB650">
        <v>0.25</v>
      </c>
      <c r="FC650" t="s">
        <v>424</v>
      </c>
      <c r="FD650" t="s">
        <v>425</v>
      </c>
      <c r="FE650" s="1">
        <v>41689</v>
      </c>
      <c r="FF650">
        <v>9</v>
      </c>
      <c r="FG650">
        <v>15972</v>
      </c>
      <c r="FH650" t="s">
        <v>2572</v>
      </c>
      <c r="FJ650" s="1">
        <v>40688</v>
      </c>
      <c r="FK650">
        <v>2010</v>
      </c>
      <c r="FL650">
        <v>3494.84</v>
      </c>
      <c r="FM650" t="s">
        <v>6934</v>
      </c>
      <c r="FN650">
        <v>0.25</v>
      </c>
      <c r="FO650" t="s">
        <v>424</v>
      </c>
      <c r="FP650" t="s">
        <v>425</v>
      </c>
      <c r="FQ650" s="1">
        <v>40869</v>
      </c>
      <c r="FR650">
        <v>6</v>
      </c>
      <c r="FS650">
        <v>10506</v>
      </c>
      <c r="FT650" t="s">
        <v>892</v>
      </c>
    </row>
    <row r="651" spans="1:260" x14ac:dyDescent="0.25">
      <c r="A651">
        <v>16485658</v>
      </c>
      <c r="B651">
        <v>650</v>
      </c>
      <c r="C651" t="s">
        <v>393</v>
      </c>
      <c r="D651" t="s">
        <v>394</v>
      </c>
      <c r="F651" t="str">
        <f>"10-1N-25-0000-0012-0000"</f>
        <v>10-1N-25-0000-0012-0000</v>
      </c>
      <c r="H651" t="str">
        <f>"AL ABD AHMAD I"</f>
        <v>AL ABD AHMAD I</v>
      </c>
      <c r="I651" t="str">
        <f>"1544 NORTH MAIN ST"</f>
        <v>1544 NORTH MAIN ST</v>
      </c>
      <c r="J651" t="str">
        <f>"JACKSONVILLE FL 32206"</f>
        <v>JACKSONVILLE FL 32206</v>
      </c>
      <c r="K651" t="str">
        <f>"US HWY 1"</f>
        <v>US HWY 1</v>
      </c>
      <c r="L651" t="str">
        <f t="shared" si="181"/>
        <v>CALLAHAN FL 32011</v>
      </c>
      <c r="M651" t="str">
        <f>"PT OR 2025/622"</f>
        <v>PT OR 2025/622</v>
      </c>
      <c r="N651" t="str">
        <f>""</f>
        <v/>
      </c>
      <c r="O651" t="str">
        <f>"25563"</f>
        <v>25563</v>
      </c>
      <c r="P651" t="str">
        <f t="shared" si="194"/>
        <v>2017</v>
      </c>
      <c r="Q651" t="str">
        <f>""</f>
        <v/>
      </c>
      <c r="R651" t="str">
        <f t="shared" ref="R651:R656" si="198">"N"</f>
        <v>N</v>
      </c>
      <c r="S651" t="str">
        <f>"7.15"</f>
        <v>7.15</v>
      </c>
      <c r="T651" t="str">
        <f>"649.46"</f>
        <v>649.46</v>
      </c>
      <c r="U651" t="str">
        <f>"42900.00"</f>
        <v>42900.00</v>
      </c>
      <c r="V651" t="str">
        <f>"42900.00"</f>
        <v>42900.00</v>
      </c>
      <c r="W651" t="str">
        <f t="shared" si="195"/>
        <v>2017</v>
      </c>
      <c r="X651" t="str">
        <f>"13.57"</f>
        <v>13.57</v>
      </c>
      <c r="Y651" t="str">
        <f>"700.94"</f>
        <v>700.94</v>
      </c>
      <c r="Z651" t="str">
        <f>""</f>
        <v/>
      </c>
      <c r="AA651" t="str">
        <f>"42900.00"</f>
        <v>42900.00</v>
      </c>
      <c r="AB651" t="str">
        <f t="shared" si="196"/>
        <v>Residential</v>
      </c>
      <c r="AC651" t="str">
        <f t="shared" si="185"/>
        <v>0</v>
      </c>
      <c r="AD651" t="str">
        <f>""</f>
        <v/>
      </c>
      <c r="AE651" t="str">
        <f>""</f>
        <v/>
      </c>
      <c r="AF651" t="str">
        <f>"000"</f>
        <v>000</v>
      </c>
      <c r="AG651" t="str">
        <f t="shared" si="197"/>
        <v>FL</v>
      </c>
      <c r="AH651" t="str">
        <f>"311454.00"</f>
        <v>311454.00</v>
      </c>
      <c r="AI651" t="str">
        <f>"42900.00"</f>
        <v>42900.00</v>
      </c>
      <c r="AJ651" t="str">
        <f>"C55-000-586-8602-3"</f>
        <v>C55-000-586-8602-3</v>
      </c>
      <c r="AK651" t="str">
        <f>"10436"</f>
        <v>10436</v>
      </c>
      <c r="AL651">
        <v>3</v>
      </c>
      <c r="AM651">
        <v>745</v>
      </c>
      <c r="AN651">
        <v>734.39</v>
      </c>
      <c r="AQ651" t="s">
        <v>6935</v>
      </c>
      <c r="AR651" t="s">
        <v>6935</v>
      </c>
      <c r="AS651" t="s">
        <v>6935</v>
      </c>
      <c r="AU651" t="s">
        <v>396</v>
      </c>
      <c r="AV651">
        <v>2017</v>
      </c>
      <c r="AW651" t="str">
        <f>"10-1N-25-0000-0012-0000 "</f>
        <v xml:space="preserve">10-1N-25-0000-0012-0000 </v>
      </c>
      <c r="AZ651" t="s">
        <v>2386</v>
      </c>
      <c r="BD651" t="s">
        <v>2785</v>
      </c>
      <c r="BE651" t="s">
        <v>393</v>
      </c>
      <c r="BF651">
        <v>32011</v>
      </c>
      <c r="BG651" t="s">
        <v>2386</v>
      </c>
      <c r="BH651" t="s">
        <v>2787</v>
      </c>
      <c r="BI651">
        <v>-81.796784472909707</v>
      </c>
      <c r="BJ651">
        <v>30.519853817233798</v>
      </c>
      <c r="BK651" t="s">
        <v>6936</v>
      </c>
      <c r="BM651" t="s">
        <v>6937</v>
      </c>
      <c r="BN651" t="s">
        <v>548</v>
      </c>
      <c r="BO651">
        <v>32206</v>
      </c>
      <c r="BP651" t="s">
        <v>404</v>
      </c>
      <c r="BQ651">
        <v>0</v>
      </c>
      <c r="BR651" t="s">
        <v>491</v>
      </c>
      <c r="BS651">
        <v>8001</v>
      </c>
      <c r="BT651" t="s">
        <v>492</v>
      </c>
      <c r="BW651">
        <v>311454</v>
      </c>
      <c r="BX651" t="s">
        <v>407</v>
      </c>
      <c r="BY651" t="s">
        <v>2221</v>
      </c>
      <c r="CD651">
        <v>2017</v>
      </c>
      <c r="CE651">
        <v>42900</v>
      </c>
      <c r="CG651">
        <v>42900</v>
      </c>
      <c r="CH651">
        <v>2017</v>
      </c>
      <c r="CI651">
        <v>42900</v>
      </c>
      <c r="CK651">
        <v>42900</v>
      </c>
      <c r="CL651">
        <v>2017</v>
      </c>
      <c r="CM651">
        <v>649.46</v>
      </c>
      <c r="CN651" s="1">
        <v>42395</v>
      </c>
      <c r="CO651">
        <v>40000</v>
      </c>
      <c r="CV651">
        <v>0</v>
      </c>
      <c r="CZ651" s="1">
        <v>42395</v>
      </c>
      <c r="DA651">
        <v>0</v>
      </c>
      <c r="DD651" t="s">
        <v>2785</v>
      </c>
      <c r="DG651">
        <v>10</v>
      </c>
      <c r="DM651" t="s">
        <v>6938</v>
      </c>
      <c r="DO651" t="s">
        <v>6939</v>
      </c>
      <c r="DP651">
        <v>0</v>
      </c>
      <c r="DQ651">
        <v>0</v>
      </c>
      <c r="DR651" t="s">
        <v>411</v>
      </c>
      <c r="DS651" t="b">
        <v>1</v>
      </c>
      <c r="DT651" t="s">
        <v>470</v>
      </c>
      <c r="DU651" t="s">
        <v>471</v>
      </c>
      <c r="DV651" t="s">
        <v>472</v>
      </c>
      <c r="DX651">
        <v>-9999</v>
      </c>
      <c r="DZ651" t="s">
        <v>447</v>
      </c>
      <c r="EA651" t="s">
        <v>448</v>
      </c>
      <c r="EB651" t="s">
        <v>742</v>
      </c>
      <c r="EC651">
        <v>20101217</v>
      </c>
      <c r="ED651" t="s">
        <v>474</v>
      </c>
      <c r="EF651">
        <v>864.2</v>
      </c>
      <c r="EG651">
        <v>864.2</v>
      </c>
      <c r="EI651">
        <v>20160407</v>
      </c>
      <c r="EJ651">
        <v>0</v>
      </c>
      <c r="EK651">
        <v>0</v>
      </c>
      <c r="EP651" t="s">
        <v>421</v>
      </c>
      <c r="EQ651" t="s">
        <v>422</v>
      </c>
      <c r="ER651">
        <v>0</v>
      </c>
      <c r="ES651">
        <v>6</v>
      </c>
      <c r="ET651">
        <v>0</v>
      </c>
      <c r="EU651">
        <v>0</v>
      </c>
      <c r="EV651">
        <v>0</v>
      </c>
      <c r="EW651" s="2">
        <v>43222</v>
      </c>
      <c r="EX651" s="1">
        <v>42515</v>
      </c>
      <c r="EY651">
        <v>2015</v>
      </c>
      <c r="EZ651">
        <v>751.52</v>
      </c>
      <c r="FA651" t="s">
        <v>6940</v>
      </c>
      <c r="FB651">
        <v>4.75</v>
      </c>
      <c r="FC651" t="s">
        <v>424</v>
      </c>
      <c r="FD651" t="s">
        <v>425</v>
      </c>
      <c r="FE651" s="1">
        <v>42719</v>
      </c>
      <c r="FF651">
        <v>7</v>
      </c>
      <c r="FG651">
        <v>2035919</v>
      </c>
      <c r="FH651" t="s">
        <v>507</v>
      </c>
      <c r="FJ651" s="1">
        <v>42151</v>
      </c>
      <c r="FK651">
        <v>2014</v>
      </c>
      <c r="FL651">
        <v>755.22</v>
      </c>
      <c r="FM651" t="s">
        <v>6941</v>
      </c>
      <c r="FN651">
        <v>4.75</v>
      </c>
      <c r="FO651" t="s">
        <v>424</v>
      </c>
      <c r="FP651" t="s">
        <v>425</v>
      </c>
      <c r="FQ651" s="1">
        <v>42719</v>
      </c>
      <c r="FR651">
        <v>19</v>
      </c>
      <c r="FS651">
        <v>4975593</v>
      </c>
      <c r="FT651" t="s">
        <v>505</v>
      </c>
      <c r="FV651" s="1">
        <v>41787</v>
      </c>
      <c r="FW651">
        <v>2013</v>
      </c>
      <c r="FX651">
        <v>773.85</v>
      </c>
      <c r="FY651" t="s">
        <v>6942</v>
      </c>
      <c r="FZ651">
        <v>7.25</v>
      </c>
      <c r="GA651" t="s">
        <v>424</v>
      </c>
      <c r="GB651" t="s">
        <v>425</v>
      </c>
      <c r="GC651" s="1">
        <v>42366</v>
      </c>
      <c r="GD651">
        <v>19</v>
      </c>
      <c r="GE651">
        <v>2035919</v>
      </c>
      <c r="GF651" t="s">
        <v>507</v>
      </c>
      <c r="GH651" s="1">
        <v>41423</v>
      </c>
      <c r="GI651">
        <v>2012</v>
      </c>
      <c r="GJ651">
        <v>1427.36</v>
      </c>
      <c r="GK651" t="s">
        <v>6943</v>
      </c>
      <c r="GL651">
        <v>0.25</v>
      </c>
      <c r="GM651" t="s">
        <v>424</v>
      </c>
      <c r="GN651" t="s">
        <v>425</v>
      </c>
      <c r="GO651" s="1">
        <v>42041</v>
      </c>
      <c r="GP651">
        <v>21</v>
      </c>
      <c r="GQ651">
        <v>1625515</v>
      </c>
      <c r="GR651" t="s">
        <v>487</v>
      </c>
      <c r="GT651" s="1">
        <v>41052</v>
      </c>
      <c r="GU651">
        <v>2011</v>
      </c>
      <c r="GV651">
        <v>1801.43</v>
      </c>
      <c r="GW651" t="s">
        <v>6944</v>
      </c>
      <c r="GX651">
        <v>5</v>
      </c>
      <c r="GY651" t="s">
        <v>424</v>
      </c>
      <c r="GZ651" t="s">
        <v>425</v>
      </c>
      <c r="HA651" s="1">
        <v>41184</v>
      </c>
      <c r="HB651">
        <v>5</v>
      </c>
      <c r="HC651">
        <v>10125</v>
      </c>
      <c r="HD651" t="s">
        <v>440</v>
      </c>
      <c r="HF651" s="1">
        <v>40688</v>
      </c>
      <c r="HG651">
        <v>2010</v>
      </c>
      <c r="HH651">
        <v>1810.23</v>
      </c>
      <c r="HI651" t="s">
        <v>6945</v>
      </c>
      <c r="HJ651">
        <v>7.75</v>
      </c>
      <c r="HK651" t="s">
        <v>424</v>
      </c>
      <c r="HL651" t="s">
        <v>425</v>
      </c>
      <c r="HM651" s="1">
        <v>41184</v>
      </c>
      <c r="HN651">
        <v>17</v>
      </c>
      <c r="HO651">
        <v>11064</v>
      </c>
      <c r="HP651" t="s">
        <v>6946</v>
      </c>
    </row>
    <row r="652" spans="1:260" x14ac:dyDescent="0.25">
      <c r="A652">
        <v>16485659</v>
      </c>
      <c r="B652">
        <v>651</v>
      </c>
      <c r="C652" t="s">
        <v>393</v>
      </c>
      <c r="D652" t="s">
        <v>394</v>
      </c>
      <c r="F652" t="str">
        <f>"10-1N-25-022H-0003-0000"</f>
        <v>10-1N-25-022H-0003-0000</v>
      </c>
      <c r="H652" t="str">
        <f>"SMITH ALLISON &amp; RICKY HARTSFIELD"</f>
        <v>SMITH ALLISON &amp; RICKY HARTSFIELD</v>
      </c>
      <c r="I652" t="str">
        <f>"54100 CHURCH RD"</f>
        <v>54100 CHURCH RD</v>
      </c>
      <c r="J652" t="str">
        <f t="shared" ref="J652:J658" si="199">"CALLAHAN FL 32011"</f>
        <v>CALLAHAN FL 32011</v>
      </c>
      <c r="K652" t="str">
        <f>"CHURCH RD"</f>
        <v>CHURCH RD</v>
      </c>
      <c r="L652" t="str">
        <f t="shared" si="181"/>
        <v>CALLAHAN FL 32011</v>
      </c>
      <c r="M652" t="str">
        <f>"LOT 3 IN OR 2095/1430 CHURCH ROAD EST PB 7/301"</f>
        <v>LOT 3 IN OR 2095/1430 CHURCH ROAD EST PB 7/301</v>
      </c>
      <c r="N652" t="str">
        <f>""</f>
        <v/>
      </c>
      <c r="O652" t="str">
        <f>"25573"</f>
        <v>25573</v>
      </c>
      <c r="P652" t="str">
        <f t="shared" si="194"/>
        <v>2017</v>
      </c>
      <c r="Q652" t="str">
        <f>""</f>
        <v/>
      </c>
      <c r="R652" t="str">
        <f t="shared" si="198"/>
        <v>N</v>
      </c>
      <c r="S652" t="str">
        <f>"2.35"</f>
        <v>2.35</v>
      </c>
      <c r="T652" t="str">
        <f>"426.91"</f>
        <v>426.91</v>
      </c>
      <c r="U652" t="str">
        <f>"28200.00"</f>
        <v>28200.00</v>
      </c>
      <c r="V652" t="str">
        <f>"28200.00"</f>
        <v>28200.00</v>
      </c>
      <c r="W652" t="str">
        <f t="shared" si="195"/>
        <v>2017</v>
      </c>
      <c r="X652" t="str">
        <f>"1.00"</f>
        <v>1.00</v>
      </c>
      <c r="Y652" t="str">
        <f>"471.72"</f>
        <v>471.72</v>
      </c>
      <c r="Z652" t="str">
        <f>""</f>
        <v/>
      </c>
      <c r="AA652" t="str">
        <f>"28200.00"</f>
        <v>28200.00</v>
      </c>
      <c r="AB652" t="str">
        <f t="shared" si="196"/>
        <v>Residential</v>
      </c>
      <c r="AC652" t="str">
        <f t="shared" si="185"/>
        <v>0</v>
      </c>
      <c r="AD652" t="str">
        <f>""</f>
        <v/>
      </c>
      <c r="AE652" t="str">
        <f>""</f>
        <v/>
      </c>
      <c r="AF652" t="str">
        <f>"000"</f>
        <v>000</v>
      </c>
      <c r="AG652" t="str">
        <f t="shared" si="197"/>
        <v>FL</v>
      </c>
      <c r="AH652" t="str">
        <f>"102366.00"</f>
        <v>102366.00</v>
      </c>
      <c r="AI652" t="str">
        <f>"28200.00"</f>
        <v>28200.00</v>
      </c>
      <c r="AJ652" t="str">
        <f>"C55-001-011-2993-0"</f>
        <v>C55-001-011-2993-0</v>
      </c>
      <c r="AK652" t="str">
        <f>"10444"</f>
        <v>10444</v>
      </c>
      <c r="AL652">
        <v>3</v>
      </c>
      <c r="AM652">
        <v>746</v>
      </c>
      <c r="AN652">
        <v>493.71</v>
      </c>
      <c r="AQ652" t="s">
        <v>6947</v>
      </c>
      <c r="AR652" t="s">
        <v>6947</v>
      </c>
      <c r="AS652" t="s">
        <v>6947</v>
      </c>
      <c r="AU652" t="s">
        <v>396</v>
      </c>
      <c r="AV652">
        <v>2017</v>
      </c>
      <c r="AW652" t="str">
        <f>"10-1N-25-022H-0003-0000 "</f>
        <v xml:space="preserve">10-1N-25-022H-0003-0000 </v>
      </c>
      <c r="AZ652" t="s">
        <v>2234</v>
      </c>
      <c r="BA652" t="s">
        <v>496</v>
      </c>
      <c r="BD652" t="s">
        <v>2785</v>
      </c>
      <c r="BE652" t="s">
        <v>393</v>
      </c>
      <c r="BF652">
        <v>32011</v>
      </c>
      <c r="BG652" t="s">
        <v>6381</v>
      </c>
      <c r="BH652" t="s">
        <v>2787</v>
      </c>
      <c r="BI652">
        <v>-81.798568799288205</v>
      </c>
      <c r="BJ652">
        <v>30.524746500932</v>
      </c>
      <c r="BK652" t="s">
        <v>6948</v>
      </c>
      <c r="BL652" t="s">
        <v>6949</v>
      </c>
      <c r="BM652" t="s">
        <v>6950</v>
      </c>
      <c r="BN652" t="s">
        <v>928</v>
      </c>
      <c r="BO652">
        <v>32011</v>
      </c>
      <c r="BP652" t="s">
        <v>404</v>
      </c>
      <c r="BQ652">
        <v>0</v>
      </c>
      <c r="BR652" t="s">
        <v>491</v>
      </c>
      <c r="BS652">
        <v>8001</v>
      </c>
      <c r="BT652" t="s">
        <v>492</v>
      </c>
      <c r="BW652">
        <v>102366</v>
      </c>
      <c r="BX652" t="s">
        <v>407</v>
      </c>
      <c r="CD652">
        <v>2017</v>
      </c>
      <c r="CE652">
        <v>28200</v>
      </c>
      <c r="CG652">
        <v>28200</v>
      </c>
      <c r="CH652">
        <v>2017</v>
      </c>
      <c r="CI652">
        <v>28200</v>
      </c>
      <c r="CK652">
        <v>28200</v>
      </c>
      <c r="CL652">
        <v>2017</v>
      </c>
      <c r="CM652">
        <v>426.91</v>
      </c>
      <c r="CN652" s="1">
        <v>39265</v>
      </c>
      <c r="CO652">
        <v>208600</v>
      </c>
      <c r="CZ652" s="1">
        <v>39265</v>
      </c>
      <c r="DD652" t="s">
        <v>2785</v>
      </c>
      <c r="DG652">
        <v>10</v>
      </c>
      <c r="DJ652" t="s">
        <v>6951</v>
      </c>
      <c r="DL652">
        <v>50502</v>
      </c>
      <c r="DM652" t="s">
        <v>6938</v>
      </c>
      <c r="DO652" t="s">
        <v>6952</v>
      </c>
      <c r="DP652">
        <v>0</v>
      </c>
      <c r="DQ652">
        <v>0</v>
      </c>
      <c r="DR652" t="s">
        <v>411</v>
      </c>
      <c r="EP652" t="s">
        <v>421</v>
      </c>
      <c r="EQ652" t="s">
        <v>422</v>
      </c>
      <c r="ER652">
        <v>0</v>
      </c>
      <c r="ES652">
        <v>1</v>
      </c>
      <c r="ET652">
        <v>0</v>
      </c>
      <c r="EU652">
        <v>0</v>
      </c>
      <c r="EV652">
        <v>0</v>
      </c>
      <c r="EW652" s="2">
        <v>43222</v>
      </c>
      <c r="EX652" s="1">
        <v>42879</v>
      </c>
      <c r="EY652">
        <v>2016</v>
      </c>
      <c r="EZ652">
        <v>495.18</v>
      </c>
      <c r="FA652" t="s">
        <v>6953</v>
      </c>
      <c r="FB652">
        <v>4.75</v>
      </c>
      <c r="FC652" t="s">
        <v>424</v>
      </c>
      <c r="FD652" t="s">
        <v>425</v>
      </c>
      <c r="FE652" s="1">
        <v>42893</v>
      </c>
      <c r="FF652">
        <v>1</v>
      </c>
      <c r="FG652">
        <v>7336143</v>
      </c>
      <c r="FH652" t="s">
        <v>539</v>
      </c>
    </row>
    <row r="653" spans="1:260" x14ac:dyDescent="0.25">
      <c r="A653">
        <v>16485660</v>
      </c>
      <c r="B653">
        <v>652</v>
      </c>
      <c r="C653" t="s">
        <v>393</v>
      </c>
      <c r="D653" t="s">
        <v>394</v>
      </c>
      <c r="F653" t="str">
        <f>"10-1N-25-022H-0005-0000"</f>
        <v>10-1N-25-022H-0005-0000</v>
      </c>
      <c r="H653" t="str">
        <f>"SAWYER THOMAS L &amp; SMITH ALLISON (JT/RS)"</f>
        <v>SAWYER THOMAS L &amp; SMITH ALLISON (JT/RS)</v>
      </c>
      <c r="I653" t="str">
        <f>"54100 CHURCH RD"</f>
        <v>54100 CHURCH RD</v>
      </c>
      <c r="J653" t="str">
        <f t="shared" si="199"/>
        <v>CALLAHAN FL 32011</v>
      </c>
      <c r="K653" t="str">
        <f>"54100 CHURCH RD"</f>
        <v>54100 CHURCH RD</v>
      </c>
      <c r="L653" t="str">
        <f t="shared" si="181"/>
        <v>CALLAHAN FL 32011</v>
      </c>
      <c r="M653" t="str">
        <f>"LOT 5 IN OR 2031/738 CHURCH ROAD EST PB 7/301"</f>
        <v>LOT 5 IN OR 2031/738 CHURCH ROAD EST PB 7/301</v>
      </c>
      <c r="N653" t="str">
        <f>""</f>
        <v/>
      </c>
      <c r="O653" t="str">
        <f>"25575"</f>
        <v>25575</v>
      </c>
      <c r="P653" t="str">
        <f t="shared" si="194"/>
        <v>2017</v>
      </c>
      <c r="Q653" t="str">
        <f>""</f>
        <v/>
      </c>
      <c r="R653" t="str">
        <f t="shared" si="198"/>
        <v>N</v>
      </c>
      <c r="S653" t="str">
        <f>"1.00"</f>
        <v>1.00</v>
      </c>
      <c r="T653" t="str">
        <f>"2327.82"</f>
        <v>2327.82</v>
      </c>
      <c r="U653" t="str">
        <f>"153765.00"</f>
        <v>153765.00</v>
      </c>
      <c r="V653" t="str">
        <f>"153765.00"</f>
        <v>153765.00</v>
      </c>
      <c r="W653" t="str">
        <f t="shared" si="195"/>
        <v>2017</v>
      </c>
      <c r="X653" t="str">
        <f>""</f>
        <v/>
      </c>
      <c r="Y653" t="str">
        <f>"2429.65"</f>
        <v>2429.65</v>
      </c>
      <c r="Z653" t="str">
        <f>""</f>
        <v/>
      </c>
      <c r="AA653" t="str">
        <f>"153765.00"</f>
        <v>153765.00</v>
      </c>
      <c r="AB653" t="str">
        <f t="shared" si="196"/>
        <v>Residential</v>
      </c>
      <c r="AC653" t="str">
        <f t="shared" si="185"/>
        <v>0</v>
      </c>
      <c r="AD653" t="str">
        <f>"4"</f>
        <v>4</v>
      </c>
      <c r="AE653" t="str">
        <f>"WOOD (INCLUDE STEEL STUDS)"</f>
        <v>WOOD (INCLUDE STEEL STUDS)</v>
      </c>
      <c r="AF653" t="str">
        <f>"001"</f>
        <v>001</v>
      </c>
      <c r="AG653" t="str">
        <f t="shared" si="197"/>
        <v>FL</v>
      </c>
      <c r="AH653" t="str">
        <f>"43560.00"</f>
        <v>43560.00</v>
      </c>
      <c r="AI653" t="str">
        <f>"15000.00"</f>
        <v>15000.00</v>
      </c>
      <c r="AJ653" t="str">
        <f>"C55-001-011-2995-5"</f>
        <v>C55-001-011-2995-5</v>
      </c>
      <c r="AK653" t="str">
        <f>"10446"</f>
        <v>10446</v>
      </c>
      <c r="AL653">
        <v>3</v>
      </c>
      <c r="AM653">
        <v>747</v>
      </c>
      <c r="AN653">
        <v>2549.5300000000002</v>
      </c>
      <c r="AQ653" t="s">
        <v>6954</v>
      </c>
      <c r="AR653" t="s">
        <v>6954</v>
      </c>
      <c r="AS653" t="s">
        <v>6954</v>
      </c>
      <c r="AU653" t="s">
        <v>396</v>
      </c>
      <c r="AV653">
        <v>2017</v>
      </c>
      <c r="AW653" t="str">
        <f>"10-1N-25-022H-0005-0000 "</f>
        <v xml:space="preserve">10-1N-25-022H-0005-0000 </v>
      </c>
      <c r="AX653">
        <v>54100</v>
      </c>
      <c r="AZ653" t="s">
        <v>2234</v>
      </c>
      <c r="BA653" t="s">
        <v>496</v>
      </c>
      <c r="BD653" t="s">
        <v>2785</v>
      </c>
      <c r="BE653" t="s">
        <v>393</v>
      </c>
      <c r="BF653">
        <v>32011</v>
      </c>
      <c r="BG653" t="s">
        <v>6955</v>
      </c>
      <c r="BH653" t="s">
        <v>2787</v>
      </c>
      <c r="BI653">
        <v>-81.797426442912595</v>
      </c>
      <c r="BJ653">
        <v>30.5247632244673</v>
      </c>
      <c r="BK653" t="s">
        <v>6956</v>
      </c>
      <c r="BL653" t="s">
        <v>6957</v>
      </c>
      <c r="BM653" t="s">
        <v>6955</v>
      </c>
      <c r="BN653" t="s">
        <v>928</v>
      </c>
      <c r="BO653">
        <v>32011</v>
      </c>
      <c r="BP653" t="s">
        <v>416</v>
      </c>
      <c r="BQ653">
        <v>100</v>
      </c>
      <c r="BR653" t="s">
        <v>514</v>
      </c>
      <c r="BS653">
        <v>1001</v>
      </c>
      <c r="BT653" t="s">
        <v>515</v>
      </c>
      <c r="BW653">
        <v>43560</v>
      </c>
      <c r="BX653" t="s">
        <v>407</v>
      </c>
      <c r="BZ653">
        <v>4</v>
      </c>
      <c r="CA653">
        <v>2009</v>
      </c>
      <c r="CC653">
        <v>1</v>
      </c>
      <c r="CD653">
        <v>2017</v>
      </c>
      <c r="CE653">
        <v>15000</v>
      </c>
      <c r="CF653">
        <v>138765</v>
      </c>
      <c r="CG653">
        <v>153765</v>
      </c>
      <c r="CH653">
        <v>2017</v>
      </c>
      <c r="CI653">
        <v>15000</v>
      </c>
      <c r="CJ653">
        <v>138765</v>
      </c>
      <c r="CK653">
        <v>153765</v>
      </c>
      <c r="CL653">
        <v>2017</v>
      </c>
      <c r="CM653">
        <v>2327.8200000000002</v>
      </c>
      <c r="CN653" s="1">
        <v>42755</v>
      </c>
      <c r="CV653">
        <v>0</v>
      </c>
      <c r="CZ653" s="1">
        <v>42755</v>
      </c>
      <c r="DA653">
        <v>0</v>
      </c>
      <c r="DD653" t="s">
        <v>2785</v>
      </c>
      <c r="DF653">
        <v>5</v>
      </c>
      <c r="DG653">
        <v>10</v>
      </c>
      <c r="DJ653" t="s">
        <v>6951</v>
      </c>
      <c r="DL653">
        <v>50502</v>
      </c>
      <c r="DM653" t="s">
        <v>6938</v>
      </c>
      <c r="DO653" t="s">
        <v>6958</v>
      </c>
      <c r="DP653">
        <v>0</v>
      </c>
      <c r="DQ653">
        <v>0</v>
      </c>
      <c r="DR653" t="s">
        <v>411</v>
      </c>
    </row>
    <row r="654" spans="1:260" x14ac:dyDescent="0.25">
      <c r="A654">
        <v>16485661</v>
      </c>
      <c r="B654">
        <v>653</v>
      </c>
      <c r="C654" t="s">
        <v>393</v>
      </c>
      <c r="D654" t="s">
        <v>394</v>
      </c>
      <c r="F654" t="str">
        <f>"10-1N-25-022H-0006-0000"</f>
        <v>10-1N-25-022H-0006-0000</v>
      </c>
      <c r="H654" t="str">
        <f>"SMITH ALLISON &amp; RICKY HARTSFIELD"</f>
        <v>SMITH ALLISON &amp; RICKY HARTSFIELD</v>
      </c>
      <c r="I654" t="str">
        <f>"54100 CHURCH RD"</f>
        <v>54100 CHURCH RD</v>
      </c>
      <c r="J654" t="str">
        <f t="shared" si="199"/>
        <v>CALLAHAN FL 32011</v>
      </c>
      <c r="K654" t="str">
        <f>"CHURCH RD"</f>
        <v>CHURCH RD</v>
      </c>
      <c r="L654" t="str">
        <f t="shared" si="181"/>
        <v>CALLAHAN FL 32011</v>
      </c>
      <c r="M654" t="str">
        <f>"LOT 6 IN OR 2086/734 CHURCH ROAD EST PB 7/301"</f>
        <v>LOT 6 IN OR 2086/734 CHURCH ROAD EST PB 7/301</v>
      </c>
      <c r="N654" t="str">
        <f>""</f>
        <v/>
      </c>
      <c r="O654" t="str">
        <f>"25576"</f>
        <v>25576</v>
      </c>
      <c r="P654" t="str">
        <f t="shared" si="194"/>
        <v>2017</v>
      </c>
      <c r="Q654" t="str">
        <f>""</f>
        <v/>
      </c>
      <c r="R654" t="str">
        <f t="shared" si="198"/>
        <v>N</v>
      </c>
      <c r="S654" t="str">
        <f>"1.00"</f>
        <v>1.00</v>
      </c>
      <c r="T654" t="str">
        <f>"227.09"</f>
        <v>227.09</v>
      </c>
      <c r="U654" t="str">
        <f>"15000.00"</f>
        <v>15000.00</v>
      </c>
      <c r="V654" t="str">
        <f>"15000.00"</f>
        <v>15000.00</v>
      </c>
      <c r="W654" t="str">
        <f t="shared" si="195"/>
        <v>2017</v>
      </c>
      <c r="X654" t="str">
        <f>"1.00"</f>
        <v>1.00</v>
      </c>
      <c r="Y654" t="str">
        <f>"265.90"</f>
        <v>265.90</v>
      </c>
      <c r="Z654" t="str">
        <f>""</f>
        <v/>
      </c>
      <c r="AA654" t="str">
        <f>"15000.00"</f>
        <v>15000.00</v>
      </c>
      <c r="AB654" t="str">
        <f t="shared" si="196"/>
        <v>Residential</v>
      </c>
      <c r="AC654" t="str">
        <f t="shared" si="185"/>
        <v>0</v>
      </c>
      <c r="AD654" t="str">
        <f>""</f>
        <v/>
      </c>
      <c r="AE654" t="str">
        <f>""</f>
        <v/>
      </c>
      <c r="AF654" t="str">
        <f>"000"</f>
        <v>000</v>
      </c>
      <c r="AG654" t="str">
        <f t="shared" si="197"/>
        <v>FL</v>
      </c>
      <c r="AH654" t="str">
        <f>"43560.00"</f>
        <v>43560.00</v>
      </c>
      <c r="AI654" t="str">
        <f>"15000.00"</f>
        <v>15000.00</v>
      </c>
      <c r="AJ654" t="str">
        <f>"C55-001-011-2996-3"</f>
        <v>C55-001-011-2996-3</v>
      </c>
      <c r="AK654" t="str">
        <f>"10447"</f>
        <v>10447</v>
      </c>
      <c r="AL654">
        <v>3</v>
      </c>
      <c r="AM654">
        <v>748</v>
      </c>
      <c r="AN654">
        <v>277.60000000000002</v>
      </c>
      <c r="AQ654" t="s">
        <v>6959</v>
      </c>
      <c r="AR654" t="s">
        <v>6959</v>
      </c>
      <c r="AS654" t="s">
        <v>6959</v>
      </c>
      <c r="AU654" t="s">
        <v>396</v>
      </c>
      <c r="AV654">
        <v>2017</v>
      </c>
      <c r="AW654" t="str">
        <f>"10-1N-25-022H-0006-0000 "</f>
        <v xml:space="preserve">10-1N-25-022H-0006-0000 </v>
      </c>
      <c r="AZ654" t="s">
        <v>2234</v>
      </c>
      <c r="BA654" t="s">
        <v>496</v>
      </c>
      <c r="BD654" t="s">
        <v>2785</v>
      </c>
      <c r="BE654" t="s">
        <v>393</v>
      </c>
      <c r="BF654">
        <v>32011</v>
      </c>
      <c r="BG654" t="s">
        <v>6381</v>
      </c>
      <c r="BH654" t="s">
        <v>2787</v>
      </c>
      <c r="BI654">
        <v>-81.796996260267306</v>
      </c>
      <c r="BJ654">
        <v>30.524769514720301</v>
      </c>
      <c r="BK654" t="s">
        <v>6956</v>
      </c>
      <c r="BL654" t="s">
        <v>6957</v>
      </c>
      <c r="BM654" t="s">
        <v>6960</v>
      </c>
      <c r="BN654" t="s">
        <v>928</v>
      </c>
      <c r="BO654">
        <v>32011</v>
      </c>
      <c r="BP654" t="s">
        <v>404</v>
      </c>
      <c r="BQ654">
        <v>0</v>
      </c>
      <c r="BR654" t="s">
        <v>491</v>
      </c>
      <c r="BS654">
        <v>8001</v>
      </c>
      <c r="BT654" t="s">
        <v>492</v>
      </c>
      <c r="BW654">
        <v>43560</v>
      </c>
      <c r="BX654" t="s">
        <v>407</v>
      </c>
      <c r="CD654">
        <v>2017</v>
      </c>
      <c r="CE654">
        <v>15000</v>
      </c>
      <c r="CG654">
        <v>15000</v>
      </c>
      <c r="CH654">
        <v>2017</v>
      </c>
      <c r="CI654">
        <v>15000</v>
      </c>
      <c r="CK654">
        <v>15000</v>
      </c>
      <c r="CL654">
        <v>2017</v>
      </c>
      <c r="CM654">
        <v>227.09</v>
      </c>
      <c r="CN654" s="1">
        <v>42706</v>
      </c>
      <c r="CO654">
        <v>35000</v>
      </c>
      <c r="CV654">
        <v>0</v>
      </c>
      <c r="CZ654" s="1">
        <v>42706</v>
      </c>
      <c r="DA654">
        <v>0</v>
      </c>
      <c r="DD654" t="s">
        <v>2785</v>
      </c>
      <c r="DF654">
        <v>6</v>
      </c>
      <c r="DG654">
        <v>10</v>
      </c>
      <c r="DJ654" t="s">
        <v>6951</v>
      </c>
      <c r="DL654">
        <v>50502</v>
      </c>
      <c r="DM654" t="s">
        <v>6938</v>
      </c>
      <c r="DO654" t="s">
        <v>6961</v>
      </c>
      <c r="DP654">
        <v>0</v>
      </c>
      <c r="DQ654">
        <v>1</v>
      </c>
      <c r="DR654" t="s">
        <v>411</v>
      </c>
      <c r="EP654" t="s">
        <v>421</v>
      </c>
      <c r="EQ654" t="s">
        <v>422</v>
      </c>
      <c r="ER654">
        <v>0</v>
      </c>
      <c r="ES654">
        <v>2</v>
      </c>
      <c r="ET654">
        <v>0</v>
      </c>
      <c r="EU654">
        <v>0</v>
      </c>
      <c r="EV654">
        <v>0</v>
      </c>
      <c r="EW654" s="2">
        <v>43222</v>
      </c>
      <c r="EX654" s="1">
        <v>42879</v>
      </c>
      <c r="EY654">
        <v>2016</v>
      </c>
      <c r="EZ654">
        <v>226.22</v>
      </c>
      <c r="FA654" t="s">
        <v>6962</v>
      </c>
      <c r="FB654">
        <v>0.25</v>
      </c>
      <c r="FC654" t="s">
        <v>424</v>
      </c>
      <c r="FD654" t="s">
        <v>425</v>
      </c>
      <c r="FE654" s="1">
        <v>42893</v>
      </c>
      <c r="FF654">
        <v>1</v>
      </c>
      <c r="FG654">
        <v>7336671</v>
      </c>
      <c r="FH654" t="s">
        <v>437</v>
      </c>
      <c r="FJ654" s="1">
        <v>42879</v>
      </c>
      <c r="FK654">
        <v>2016</v>
      </c>
      <c r="FL654">
        <v>226.22</v>
      </c>
      <c r="FM654" t="s">
        <v>6962</v>
      </c>
      <c r="FN654">
        <v>0.25</v>
      </c>
      <c r="FO654" t="s">
        <v>424</v>
      </c>
      <c r="FP654" t="s">
        <v>425</v>
      </c>
      <c r="FR654">
        <v>22</v>
      </c>
      <c r="FS654">
        <v>6889204</v>
      </c>
      <c r="FT654" t="s">
        <v>6963</v>
      </c>
    </row>
    <row r="655" spans="1:260" x14ac:dyDescent="0.25">
      <c r="A655">
        <v>16485662</v>
      </c>
      <c r="B655">
        <v>654</v>
      </c>
      <c r="C655" t="s">
        <v>393</v>
      </c>
      <c r="D655" t="s">
        <v>394</v>
      </c>
      <c r="F655" t="str">
        <f>"10-1N-25-2880-0002-0060"</f>
        <v>10-1N-25-2880-0002-0060</v>
      </c>
      <c r="H655" t="str">
        <f>"FINCH NINA"</f>
        <v>FINCH NINA</v>
      </c>
      <c r="I655" t="str">
        <f>"54162 HERON ROAD"</f>
        <v>54162 HERON ROAD</v>
      </c>
      <c r="J655" t="str">
        <f t="shared" si="199"/>
        <v>CALLAHAN FL 32011</v>
      </c>
      <c r="K655" t="str">
        <f>"54162 HERON RD"</f>
        <v>54162 HERON RD</v>
      </c>
      <c r="L655" t="str">
        <f t="shared" si="181"/>
        <v>CALLAHAN FL 32011</v>
      </c>
      <c r="M655" t="str">
        <f>"BLOCK 2 LOT 6 IN OR 1616/1101 NASSAU PLANTATIONS UNR"</f>
        <v>BLOCK 2 LOT 6 IN OR 1616/1101 NASSAU PLANTATIONS UNR</v>
      </c>
      <c r="N655" t="str">
        <f>""</f>
        <v/>
      </c>
      <c r="O655" t="str">
        <f>"25598"</f>
        <v>25598</v>
      </c>
      <c r="P655" t="str">
        <f t="shared" si="194"/>
        <v>2017</v>
      </c>
      <c r="Q655" t="str">
        <f>""</f>
        <v/>
      </c>
      <c r="R655" t="str">
        <f t="shared" si="198"/>
        <v>N</v>
      </c>
      <c r="S655" t="str">
        <f>""</f>
        <v/>
      </c>
      <c r="T655" t="str">
        <f>"784.34"</f>
        <v>784.34</v>
      </c>
      <c r="U655" t="str">
        <f>"51810.00"</f>
        <v>51810.00</v>
      </c>
      <c r="V655" t="str">
        <f>"51810.00"</f>
        <v>51810.00</v>
      </c>
      <c r="W655" t="str">
        <f t="shared" si="195"/>
        <v>2017</v>
      </c>
      <c r="X655" t="str">
        <f>""</f>
        <v/>
      </c>
      <c r="Y655" t="str">
        <f>"839.87"</f>
        <v>839.87</v>
      </c>
      <c r="Z655" t="str">
        <f>""</f>
        <v/>
      </c>
      <c r="AA655" t="str">
        <f>"51810.00"</f>
        <v>51810.00</v>
      </c>
      <c r="AB655" t="str">
        <f t="shared" si="196"/>
        <v>Residential</v>
      </c>
      <c r="AC655" t="str">
        <f t="shared" si="185"/>
        <v>0</v>
      </c>
      <c r="AD655" t="str">
        <f>""</f>
        <v/>
      </c>
      <c r="AE655" t="str">
        <f>""</f>
        <v/>
      </c>
      <c r="AF655" t="str">
        <f>"002"</f>
        <v>002</v>
      </c>
      <c r="AG655" t="str">
        <f t="shared" si="197"/>
        <v>FL</v>
      </c>
      <c r="AH655" t="str">
        <f>"-"</f>
        <v>-</v>
      </c>
      <c r="AI655" t="str">
        <f>"13500.00"</f>
        <v>13500.00</v>
      </c>
      <c r="AJ655" t="str">
        <f>"C55-000-586-8626-2"</f>
        <v>C55-000-586-8626-2</v>
      </c>
      <c r="AK655" t="str">
        <f>"10483"</f>
        <v>10483</v>
      </c>
      <c r="AL655">
        <v>3</v>
      </c>
      <c r="AM655">
        <v>750</v>
      </c>
      <c r="AN655">
        <v>880.26</v>
      </c>
      <c r="AQ655" t="s">
        <v>6964</v>
      </c>
      <c r="AR655" t="s">
        <v>6964</v>
      </c>
      <c r="AS655" t="s">
        <v>6964</v>
      </c>
      <c r="AU655" t="s">
        <v>396</v>
      </c>
      <c r="AV655">
        <v>2017</v>
      </c>
      <c r="AW655" t="str">
        <f>"10-1N-25-2880-0002-0060 "</f>
        <v xml:space="preserve">10-1N-25-2880-0002-0060 </v>
      </c>
      <c r="AX655">
        <v>54162</v>
      </c>
      <c r="AZ655" t="s">
        <v>6965</v>
      </c>
      <c r="BA655" t="s">
        <v>496</v>
      </c>
      <c r="BD655" t="s">
        <v>2785</v>
      </c>
      <c r="BE655" t="s">
        <v>393</v>
      </c>
      <c r="BF655">
        <v>32011</v>
      </c>
      <c r="BG655" t="s">
        <v>6966</v>
      </c>
      <c r="BH655" t="s">
        <v>2787</v>
      </c>
      <c r="BI655">
        <v>-81.789532585196895</v>
      </c>
      <c r="BJ655">
        <v>30.523979802407901</v>
      </c>
      <c r="BK655" t="s">
        <v>6967</v>
      </c>
      <c r="BM655" t="s">
        <v>6966</v>
      </c>
      <c r="BN655" t="s">
        <v>928</v>
      </c>
      <c r="BO655">
        <v>32011</v>
      </c>
      <c r="BP655" t="s">
        <v>404</v>
      </c>
      <c r="BQ655">
        <v>200</v>
      </c>
      <c r="BR655" t="s">
        <v>405</v>
      </c>
      <c r="BS655">
        <v>1006</v>
      </c>
      <c r="BT655" t="s">
        <v>406</v>
      </c>
      <c r="BW655">
        <v>43651</v>
      </c>
      <c r="BX655" t="s">
        <v>407</v>
      </c>
      <c r="BY655" t="s">
        <v>408</v>
      </c>
      <c r="CA655">
        <v>2007</v>
      </c>
      <c r="CC655">
        <v>1</v>
      </c>
      <c r="CD655">
        <v>2017</v>
      </c>
      <c r="CE655">
        <v>13500</v>
      </c>
      <c r="CF655">
        <v>38310</v>
      </c>
      <c r="CG655">
        <v>51810</v>
      </c>
      <c r="CH655">
        <v>2017</v>
      </c>
      <c r="CI655">
        <v>13500</v>
      </c>
      <c r="CJ655">
        <v>38310</v>
      </c>
      <c r="CK655">
        <v>51810</v>
      </c>
      <c r="CL655">
        <v>2017</v>
      </c>
      <c r="CM655">
        <v>784.34</v>
      </c>
      <c r="CN655" s="1">
        <v>39876</v>
      </c>
      <c r="CZ655" s="1">
        <v>39876</v>
      </c>
      <c r="DD655" t="s">
        <v>2785</v>
      </c>
      <c r="DF655">
        <v>6</v>
      </c>
      <c r="DG655">
        <v>10</v>
      </c>
      <c r="DJ655" t="s">
        <v>6968</v>
      </c>
      <c r="DL655">
        <v>50502</v>
      </c>
      <c r="DM655" t="s">
        <v>6938</v>
      </c>
      <c r="DO655" t="s">
        <v>6969</v>
      </c>
      <c r="DP655">
        <v>0</v>
      </c>
      <c r="DQ655">
        <v>0</v>
      </c>
      <c r="DR655" t="s">
        <v>411</v>
      </c>
      <c r="DS655" t="b">
        <v>1</v>
      </c>
      <c r="DT655" t="s">
        <v>470</v>
      </c>
      <c r="DU655" t="s">
        <v>471</v>
      </c>
      <c r="DV655" t="s">
        <v>472</v>
      </c>
      <c r="DX655">
        <v>-9999</v>
      </c>
      <c r="DZ655" t="s">
        <v>447</v>
      </c>
      <c r="EA655" t="s">
        <v>448</v>
      </c>
      <c r="EB655" t="s">
        <v>742</v>
      </c>
      <c r="EC655">
        <v>20101217</v>
      </c>
      <c r="ED655" t="s">
        <v>474</v>
      </c>
      <c r="EF655">
        <v>3596.6</v>
      </c>
      <c r="EG655">
        <v>3596.6</v>
      </c>
      <c r="EI655">
        <v>20160407</v>
      </c>
      <c r="EJ655">
        <v>0</v>
      </c>
      <c r="EK655">
        <v>0</v>
      </c>
      <c r="EP655" t="s">
        <v>421</v>
      </c>
      <c r="EQ655" t="s">
        <v>422</v>
      </c>
      <c r="ER655">
        <v>3</v>
      </c>
      <c r="ES655">
        <v>0</v>
      </c>
      <c r="ET655">
        <v>1031.97</v>
      </c>
      <c r="EU655">
        <v>86.58</v>
      </c>
      <c r="EV655">
        <v>1118.55</v>
      </c>
      <c r="EW655" s="2">
        <v>43222</v>
      </c>
      <c r="EX655" s="1">
        <v>42879</v>
      </c>
      <c r="EY655">
        <v>2016</v>
      </c>
      <c r="EZ655">
        <v>341.79</v>
      </c>
      <c r="FA655" t="s">
        <v>6970</v>
      </c>
      <c r="FB655">
        <v>9.75</v>
      </c>
      <c r="FC655" t="s">
        <v>424</v>
      </c>
      <c r="FD655" t="s">
        <v>454</v>
      </c>
      <c r="FF655">
        <v>12</v>
      </c>
      <c r="FG655">
        <v>10021</v>
      </c>
      <c r="FH655" t="s">
        <v>597</v>
      </c>
      <c r="FJ655" s="1">
        <v>42515</v>
      </c>
      <c r="FK655">
        <v>2015</v>
      </c>
      <c r="FL655">
        <v>345.09</v>
      </c>
      <c r="FM655" t="s">
        <v>6971</v>
      </c>
      <c r="FN655">
        <v>0.25</v>
      </c>
      <c r="FO655" t="s">
        <v>424</v>
      </c>
      <c r="FP655" t="s">
        <v>454</v>
      </c>
      <c r="FR655">
        <v>24</v>
      </c>
      <c r="FS655">
        <v>7336671</v>
      </c>
      <c r="FT655" t="s">
        <v>437</v>
      </c>
      <c r="FV655" s="1">
        <v>42515</v>
      </c>
      <c r="FW655">
        <v>2015</v>
      </c>
      <c r="FX655">
        <v>345.09</v>
      </c>
      <c r="FY655" t="s">
        <v>6971</v>
      </c>
      <c r="FZ655">
        <v>0.25</v>
      </c>
      <c r="GA655" t="s">
        <v>424</v>
      </c>
      <c r="GB655" t="s">
        <v>454</v>
      </c>
      <c r="GD655">
        <v>24</v>
      </c>
      <c r="GE655">
        <v>6949017</v>
      </c>
      <c r="GF655" t="s">
        <v>6972</v>
      </c>
    </row>
    <row r="656" spans="1:260" x14ac:dyDescent="0.25">
      <c r="A656">
        <v>16485663</v>
      </c>
      <c r="B656">
        <v>655</v>
      </c>
      <c r="C656" t="s">
        <v>393</v>
      </c>
      <c r="D656" t="s">
        <v>394</v>
      </c>
      <c r="F656" t="str">
        <f>"10-1N-25-2880-0003-0030"</f>
        <v>10-1N-25-2880-0003-0030</v>
      </c>
      <c r="H656" t="str">
        <f>"KEEFER RONALD L &amp; SARAH B"</f>
        <v>KEEFER RONALD L &amp; SARAH B</v>
      </c>
      <c r="I656" t="str">
        <f>"54080 PELICAN ROAD"</f>
        <v>54080 PELICAN ROAD</v>
      </c>
      <c r="J656" t="str">
        <f t="shared" si="199"/>
        <v>CALLAHAN FL 32011</v>
      </c>
      <c r="K656" t="str">
        <f>"54080 PELICAN RD"</f>
        <v>54080 PELICAN RD</v>
      </c>
      <c r="L656" t="str">
        <f t="shared" si="181"/>
        <v>CALLAHAN FL 32011</v>
      </c>
      <c r="M656" t="str">
        <f>"BLOCK 3 LOT 3 IN OR 1907/1562 2001 MILL-TW NASSAU PLANTATIONS UNR"</f>
        <v>BLOCK 3 LOT 3 IN OR 1907/1562 2001 MILL-TW NASSAU PLANTATIONS UNR</v>
      </c>
      <c r="N656" t="str">
        <f>""</f>
        <v/>
      </c>
      <c r="O656" t="str">
        <f>"25619"</f>
        <v>25619</v>
      </c>
      <c r="P656" t="str">
        <f t="shared" si="194"/>
        <v>2017</v>
      </c>
      <c r="Q656" t="str">
        <f>""</f>
        <v/>
      </c>
      <c r="R656" t="str">
        <f t="shared" si="198"/>
        <v>N</v>
      </c>
      <c r="S656" t="str">
        <f>""</f>
        <v/>
      </c>
      <c r="T656" t="str">
        <f>"957.26"</f>
        <v>957.26</v>
      </c>
      <c r="U656" t="str">
        <f>"57939.00"</f>
        <v>57939.00</v>
      </c>
      <c r="V656" t="str">
        <f>"57939.00"</f>
        <v>57939.00</v>
      </c>
      <c r="W656" t="str">
        <f t="shared" si="195"/>
        <v>2017</v>
      </c>
      <c r="X656" t="str">
        <f>"8.00"</f>
        <v>8.00</v>
      </c>
      <c r="Y656" t="str">
        <f>"1017.98"</f>
        <v>1017.98</v>
      </c>
      <c r="Z656" t="str">
        <f>""</f>
        <v/>
      </c>
      <c r="AA656" t="str">
        <f>"70085.00"</f>
        <v>70085.00</v>
      </c>
      <c r="AB656" t="str">
        <f t="shared" si="196"/>
        <v>Residential</v>
      </c>
      <c r="AC656" t="str">
        <f t="shared" si="185"/>
        <v>0</v>
      </c>
      <c r="AD656" t="str">
        <f t="shared" ref="AD656:AD665" si="200">"4"</f>
        <v>4</v>
      </c>
      <c r="AE656" t="str">
        <f t="shared" ref="AE656:AE665" si="201">"WOOD (INCLUDE STEEL STUDS)"</f>
        <v>WOOD (INCLUDE STEEL STUDS)</v>
      </c>
      <c r="AF656" t="str">
        <f>"002"</f>
        <v>002</v>
      </c>
      <c r="AG656" t="str">
        <f t="shared" si="197"/>
        <v>FL</v>
      </c>
      <c r="AH656" t="str">
        <f>"-"</f>
        <v>-</v>
      </c>
      <c r="AI656" t="str">
        <f>"13500.00"</f>
        <v>13500.00</v>
      </c>
      <c r="AJ656" t="str">
        <f>"C55-000-586-8646-0"</f>
        <v>C55-000-586-8646-0</v>
      </c>
      <c r="AK656" t="str">
        <f>"10505"</f>
        <v>10505</v>
      </c>
      <c r="AL656">
        <v>3</v>
      </c>
      <c r="AM656">
        <v>751</v>
      </c>
      <c r="AN656">
        <v>1067.28</v>
      </c>
      <c r="AQ656" t="s">
        <v>6973</v>
      </c>
      <c r="AR656" t="s">
        <v>6973</v>
      </c>
      <c r="AS656" t="s">
        <v>6973</v>
      </c>
      <c r="AU656" t="s">
        <v>396</v>
      </c>
      <c r="AV656">
        <v>2017</v>
      </c>
      <c r="AW656" t="str">
        <f>"10-1N-25-2880-0003-0030 "</f>
        <v xml:space="preserve">10-1N-25-2880-0003-0030 </v>
      </c>
      <c r="AX656">
        <v>54080</v>
      </c>
      <c r="AZ656" t="s">
        <v>6974</v>
      </c>
      <c r="BA656" t="s">
        <v>496</v>
      </c>
      <c r="BD656" t="s">
        <v>2785</v>
      </c>
      <c r="BE656" t="s">
        <v>393</v>
      </c>
      <c r="BF656">
        <v>32011</v>
      </c>
      <c r="BG656" t="s">
        <v>6975</v>
      </c>
      <c r="BH656" t="s">
        <v>2787</v>
      </c>
      <c r="BI656">
        <v>-81.790930359578695</v>
      </c>
      <c r="BJ656">
        <v>30.522207343500298</v>
      </c>
      <c r="BK656" t="s">
        <v>6976</v>
      </c>
      <c r="BL656" t="s">
        <v>6977</v>
      </c>
      <c r="BM656" t="s">
        <v>6975</v>
      </c>
      <c r="BN656" t="s">
        <v>928</v>
      </c>
      <c r="BO656">
        <v>32011</v>
      </c>
      <c r="BP656" t="s">
        <v>416</v>
      </c>
      <c r="BQ656">
        <v>200</v>
      </c>
      <c r="BR656" t="s">
        <v>405</v>
      </c>
      <c r="BS656">
        <v>1006</v>
      </c>
      <c r="BT656" t="s">
        <v>406</v>
      </c>
      <c r="BW656">
        <v>43650</v>
      </c>
      <c r="BX656" t="s">
        <v>407</v>
      </c>
      <c r="BY656" t="s">
        <v>408</v>
      </c>
      <c r="BZ656">
        <v>4</v>
      </c>
      <c r="CA656">
        <v>2001</v>
      </c>
      <c r="CB656">
        <v>1</v>
      </c>
      <c r="CC656">
        <v>1</v>
      </c>
      <c r="CD656">
        <v>2017</v>
      </c>
      <c r="CE656">
        <v>13500</v>
      </c>
      <c r="CF656">
        <v>56585</v>
      </c>
      <c r="CG656">
        <v>70085</v>
      </c>
      <c r="CH656">
        <v>2017</v>
      </c>
      <c r="CI656">
        <v>13500</v>
      </c>
      <c r="CJ656">
        <v>56585</v>
      </c>
      <c r="CK656">
        <v>70085</v>
      </c>
      <c r="CL656">
        <v>2017</v>
      </c>
      <c r="CM656">
        <v>957.26</v>
      </c>
      <c r="CN656" s="1">
        <v>41717</v>
      </c>
      <c r="CO656">
        <v>65000</v>
      </c>
      <c r="CV656">
        <v>55000</v>
      </c>
      <c r="CX656" t="s">
        <v>707</v>
      </c>
      <c r="CZ656" s="1">
        <v>41717</v>
      </c>
      <c r="DA656">
        <v>0</v>
      </c>
      <c r="DD656" t="s">
        <v>2785</v>
      </c>
      <c r="DF656">
        <v>3</v>
      </c>
      <c r="DG656">
        <v>10</v>
      </c>
      <c r="DL656">
        <v>50502</v>
      </c>
      <c r="DM656" t="s">
        <v>6938</v>
      </c>
      <c r="DO656" t="s">
        <v>6978</v>
      </c>
      <c r="DP656">
        <v>0</v>
      </c>
      <c r="DQ656">
        <v>0</v>
      </c>
      <c r="DR656" t="s">
        <v>411</v>
      </c>
      <c r="DS656" t="b">
        <v>1</v>
      </c>
      <c r="DT656" t="s">
        <v>470</v>
      </c>
      <c r="DU656" t="s">
        <v>471</v>
      </c>
      <c r="DV656" t="s">
        <v>472</v>
      </c>
      <c r="DX656">
        <v>-9999</v>
      </c>
      <c r="DZ656" t="s">
        <v>447</v>
      </c>
      <c r="EA656" t="s">
        <v>448</v>
      </c>
      <c r="EB656" t="s">
        <v>742</v>
      </c>
      <c r="EC656">
        <v>20101217</v>
      </c>
      <c r="ED656" t="s">
        <v>474</v>
      </c>
      <c r="EF656">
        <v>2862.7</v>
      </c>
      <c r="EG656">
        <v>2862.7</v>
      </c>
      <c r="EI656">
        <v>20160407</v>
      </c>
      <c r="EJ656">
        <v>0</v>
      </c>
      <c r="EK656">
        <v>0</v>
      </c>
      <c r="EP656" t="s">
        <v>421</v>
      </c>
      <c r="EQ656" t="s">
        <v>422</v>
      </c>
      <c r="ER656">
        <v>0</v>
      </c>
      <c r="ES656">
        <v>4</v>
      </c>
      <c r="ET656">
        <v>0</v>
      </c>
      <c r="EU656">
        <v>0</v>
      </c>
      <c r="EV656">
        <v>0</v>
      </c>
      <c r="EW656" s="2">
        <v>43222</v>
      </c>
      <c r="EX656" s="1">
        <v>42515</v>
      </c>
      <c r="EY656">
        <v>2015</v>
      </c>
      <c r="EZ656">
        <v>989.33</v>
      </c>
      <c r="FA656" t="s">
        <v>6979</v>
      </c>
      <c r="FB656">
        <v>0.25</v>
      </c>
      <c r="FC656" t="s">
        <v>424</v>
      </c>
      <c r="FD656" t="s">
        <v>425</v>
      </c>
      <c r="FE656" s="1">
        <v>42558</v>
      </c>
      <c r="FF656">
        <v>2</v>
      </c>
      <c r="FG656">
        <v>7336671</v>
      </c>
      <c r="FH656" t="s">
        <v>437</v>
      </c>
      <c r="FJ656" s="1">
        <v>42515</v>
      </c>
      <c r="FK656">
        <v>2015</v>
      </c>
      <c r="FL656">
        <v>989.33</v>
      </c>
      <c r="FM656" t="s">
        <v>6979</v>
      </c>
      <c r="FN656">
        <v>0.25</v>
      </c>
      <c r="FO656" t="s">
        <v>424</v>
      </c>
      <c r="FP656" t="s">
        <v>425</v>
      </c>
      <c r="FR656">
        <v>22</v>
      </c>
      <c r="FS656">
        <v>6824875</v>
      </c>
      <c r="FT656" t="s">
        <v>6980</v>
      </c>
      <c r="FV656" s="1">
        <v>42151</v>
      </c>
      <c r="FW656">
        <v>2014</v>
      </c>
      <c r="FX656">
        <v>536.89</v>
      </c>
      <c r="FY656" t="s">
        <v>6981</v>
      </c>
      <c r="FZ656">
        <v>0.25</v>
      </c>
      <c r="GA656" t="s">
        <v>424</v>
      </c>
      <c r="GB656" t="s">
        <v>425</v>
      </c>
      <c r="GC656" s="1">
        <v>42558</v>
      </c>
      <c r="GD656">
        <v>14</v>
      </c>
      <c r="GE656">
        <v>4975594</v>
      </c>
      <c r="GF656" t="s">
        <v>457</v>
      </c>
      <c r="GH656" s="1">
        <v>42151</v>
      </c>
      <c r="GI656">
        <v>2014</v>
      </c>
      <c r="GJ656">
        <v>536.89</v>
      </c>
      <c r="GK656" t="s">
        <v>6981</v>
      </c>
      <c r="GL656">
        <v>0.25</v>
      </c>
      <c r="GM656" t="s">
        <v>424</v>
      </c>
      <c r="GN656" t="s">
        <v>425</v>
      </c>
      <c r="GP656">
        <v>22</v>
      </c>
      <c r="GQ656">
        <v>6508780</v>
      </c>
      <c r="GR656" t="s">
        <v>6982</v>
      </c>
    </row>
    <row r="657" spans="1:272" x14ac:dyDescent="0.25">
      <c r="A657">
        <v>16485664</v>
      </c>
      <c r="B657">
        <v>656</v>
      </c>
      <c r="C657" t="s">
        <v>393</v>
      </c>
      <c r="D657" t="s">
        <v>394</v>
      </c>
      <c r="F657" t="str">
        <f>"10-1N-25-2880-0003-0130"</f>
        <v>10-1N-25-2880-0003-0130</v>
      </c>
      <c r="H657" t="str">
        <f>"MESSER LINDA C EST C/O RICHARD ALAN MESSER"</f>
        <v>MESSER LINDA C EST C/O RICHARD ALAN MESSER</v>
      </c>
      <c r="I657" t="str">
        <f>"54360 PELICAN RD"</f>
        <v>54360 PELICAN RD</v>
      </c>
      <c r="J657" t="str">
        <f t="shared" si="199"/>
        <v>CALLAHAN FL 32011</v>
      </c>
      <c r="K657" t="str">
        <f>"54360 PELICAN RD"</f>
        <v>54360 PELICAN RD</v>
      </c>
      <c r="L657" t="str">
        <f t="shared" si="181"/>
        <v>CALLAHAN FL 32011</v>
      </c>
      <c r="M657" t="str">
        <f>"BLOCK 3 LOT 13 IN OR 800 PG 1585 NASSAU PLANTATIONS UNR"</f>
        <v>BLOCK 3 LOT 13 IN OR 800 PG 1585 NASSAU PLANTATIONS UNR</v>
      </c>
      <c r="N657" t="str">
        <f>""</f>
        <v/>
      </c>
      <c r="O657" t="str">
        <f>"25629"</f>
        <v>25629</v>
      </c>
      <c r="P657" t="str">
        <f t="shared" si="194"/>
        <v>2017</v>
      </c>
      <c r="Q657" t="str">
        <f>""</f>
        <v/>
      </c>
      <c r="R657" t="str">
        <f>"Y"</f>
        <v>Y</v>
      </c>
      <c r="S657" t="str">
        <f>""</f>
        <v/>
      </c>
      <c r="T657" t="str">
        <f>"2128.27"</f>
        <v>2128.27</v>
      </c>
      <c r="U657" t="str">
        <f>"168400.00"</f>
        <v>168400.00</v>
      </c>
      <c r="V657" t="str">
        <f>"168400.00"</f>
        <v>168400.00</v>
      </c>
      <c r="W657" t="str">
        <f t="shared" si="195"/>
        <v>2017</v>
      </c>
      <c r="X657" t="str">
        <f>""</f>
        <v/>
      </c>
      <c r="Y657" t="str">
        <f>"2224.12"</f>
        <v>2224.12</v>
      </c>
      <c r="Z657" t="str">
        <f>"25000.00"</f>
        <v>25000.00</v>
      </c>
      <c r="AA657" t="str">
        <f>"143400.00"</f>
        <v>143400.00</v>
      </c>
      <c r="AB657" t="str">
        <f t="shared" si="196"/>
        <v>Residential</v>
      </c>
      <c r="AC657" t="str">
        <f t="shared" si="185"/>
        <v>0</v>
      </c>
      <c r="AD657" t="str">
        <f t="shared" si="200"/>
        <v>4</v>
      </c>
      <c r="AE657" t="str">
        <f t="shared" si="201"/>
        <v>WOOD (INCLUDE STEEL STUDS)</v>
      </c>
      <c r="AF657" t="str">
        <f>"001"</f>
        <v>001</v>
      </c>
      <c r="AG657" t="str">
        <f t="shared" si="197"/>
        <v>FL</v>
      </c>
      <c r="AH657" t="str">
        <f>"-"</f>
        <v>-</v>
      </c>
      <c r="AI657" t="str">
        <f>"13500.00"</f>
        <v>13500.00</v>
      </c>
      <c r="AJ657" t="str">
        <f>"C55-000-586-8655-1"</f>
        <v>C55-000-586-8655-1</v>
      </c>
      <c r="AK657" t="str">
        <f>"10515"</f>
        <v>10515</v>
      </c>
      <c r="AL657">
        <v>3</v>
      </c>
      <c r="AM657">
        <v>752</v>
      </c>
      <c r="AN657">
        <v>2333.73</v>
      </c>
      <c r="AQ657" t="s">
        <v>6983</v>
      </c>
      <c r="AR657" t="s">
        <v>6983</v>
      </c>
      <c r="AS657" t="s">
        <v>6983</v>
      </c>
      <c r="AU657" t="s">
        <v>396</v>
      </c>
      <c r="AV657">
        <v>2017</v>
      </c>
      <c r="AW657" t="str">
        <f>"10-1N-25-2880-0003-0130 "</f>
        <v xml:space="preserve">10-1N-25-2880-0003-0130 </v>
      </c>
      <c r="AX657">
        <v>54360</v>
      </c>
      <c r="AZ657" t="s">
        <v>6974</v>
      </c>
      <c r="BA657" t="s">
        <v>496</v>
      </c>
      <c r="BD657" t="s">
        <v>2785</v>
      </c>
      <c r="BE657" t="s">
        <v>393</v>
      </c>
      <c r="BF657">
        <v>32011</v>
      </c>
      <c r="BG657" t="s">
        <v>6984</v>
      </c>
      <c r="BH657" t="s">
        <v>2787</v>
      </c>
      <c r="BI657">
        <v>-81.786166649382295</v>
      </c>
      <c r="BJ657">
        <v>30.522232304323001</v>
      </c>
      <c r="BK657" t="s">
        <v>6985</v>
      </c>
      <c r="BM657" t="s">
        <v>6984</v>
      </c>
      <c r="BN657" t="s">
        <v>928</v>
      </c>
      <c r="BO657">
        <v>32011</v>
      </c>
      <c r="BP657" t="s">
        <v>416</v>
      </c>
      <c r="BQ657">
        <v>100</v>
      </c>
      <c r="BR657" t="s">
        <v>514</v>
      </c>
      <c r="BS657">
        <v>1001</v>
      </c>
      <c r="BT657" t="s">
        <v>515</v>
      </c>
      <c r="BW657">
        <v>43651</v>
      </c>
      <c r="BX657" t="s">
        <v>407</v>
      </c>
      <c r="BY657" t="s">
        <v>408</v>
      </c>
      <c r="BZ657">
        <v>4</v>
      </c>
      <c r="CA657">
        <v>2000</v>
      </c>
      <c r="CB657">
        <v>1</v>
      </c>
      <c r="CC657">
        <v>1</v>
      </c>
      <c r="CD657">
        <v>2017</v>
      </c>
      <c r="CG657">
        <v>168400</v>
      </c>
      <c r="CH657">
        <v>2017</v>
      </c>
      <c r="CI657">
        <v>13500</v>
      </c>
      <c r="CJ657">
        <v>158329</v>
      </c>
      <c r="CK657">
        <v>171829</v>
      </c>
      <c r="CL657">
        <v>2017</v>
      </c>
      <c r="CM657">
        <v>2128.27</v>
      </c>
      <c r="CN657" s="1">
        <v>35634</v>
      </c>
      <c r="CO657">
        <v>9000</v>
      </c>
      <c r="CZ657" s="1">
        <v>35634</v>
      </c>
      <c r="DD657" t="s">
        <v>2785</v>
      </c>
      <c r="DF657">
        <v>13</v>
      </c>
      <c r="DG657">
        <v>10</v>
      </c>
      <c r="DJ657" t="s">
        <v>6968</v>
      </c>
      <c r="DL657">
        <v>50502</v>
      </c>
      <c r="DM657" t="s">
        <v>6938</v>
      </c>
      <c r="DO657" t="s">
        <v>6986</v>
      </c>
      <c r="DP657">
        <v>0</v>
      </c>
      <c r="DQ657">
        <v>0</v>
      </c>
      <c r="DR657" t="s">
        <v>411</v>
      </c>
      <c r="DS657" t="b">
        <v>1</v>
      </c>
      <c r="DT657" t="s">
        <v>470</v>
      </c>
      <c r="DU657" t="s">
        <v>471</v>
      </c>
      <c r="DV657" t="s">
        <v>472</v>
      </c>
      <c r="DX657">
        <v>-9999</v>
      </c>
      <c r="DZ657" t="s">
        <v>447</v>
      </c>
      <c r="EA657" t="s">
        <v>448</v>
      </c>
      <c r="EB657" t="s">
        <v>742</v>
      </c>
      <c r="EC657">
        <v>20101217</v>
      </c>
      <c r="ED657" t="s">
        <v>474</v>
      </c>
      <c r="EF657">
        <v>2618.1999999999998</v>
      </c>
      <c r="EG657">
        <v>2618.1999999999998</v>
      </c>
      <c r="EH657" t="s">
        <v>451</v>
      </c>
      <c r="EI657">
        <v>20140731</v>
      </c>
      <c r="EJ657">
        <v>0</v>
      </c>
      <c r="EK657">
        <v>0</v>
      </c>
    </row>
    <row r="658" spans="1:272" x14ac:dyDescent="0.25">
      <c r="A658">
        <v>16485665</v>
      </c>
      <c r="B658">
        <v>657</v>
      </c>
      <c r="C658" t="s">
        <v>393</v>
      </c>
      <c r="D658" t="s">
        <v>394</v>
      </c>
      <c r="F658" t="str">
        <f>"10-1N-25-2880-0003-0140"</f>
        <v>10-1N-25-2880-0003-0140</v>
      </c>
      <c r="H658" t="str">
        <f>"HARGROVE DAVID G &amp; TERRY"</f>
        <v>HARGROVE DAVID G &amp; TERRY</v>
      </c>
      <c r="I658" t="str">
        <f>"54388 PELICAN ROAD"</f>
        <v>54388 PELICAN ROAD</v>
      </c>
      <c r="J658" t="str">
        <f t="shared" si="199"/>
        <v>CALLAHAN FL 32011</v>
      </c>
      <c r="K658" t="str">
        <f>"54388 PELICAN RD"</f>
        <v>54388 PELICAN RD</v>
      </c>
      <c r="L658" t="str">
        <f t="shared" ref="L658:L721" si="202">"CALLAHAN FL 32011"</f>
        <v>CALLAHAN FL 32011</v>
      </c>
      <c r="M658" t="str">
        <f>"BLOCK 3 LOT 14 IN OR 588/115 NASSAU PLANTATIONS UNR"</f>
        <v>BLOCK 3 LOT 14 IN OR 588/115 NASSAU PLANTATIONS UNR</v>
      </c>
      <c r="N658" t="str">
        <f>""</f>
        <v/>
      </c>
      <c r="O658" t="str">
        <f>"25630"</f>
        <v>25630</v>
      </c>
      <c r="P658" t="str">
        <f t="shared" si="194"/>
        <v>2017</v>
      </c>
      <c r="Q658" t="str">
        <f>""</f>
        <v/>
      </c>
      <c r="R658" t="str">
        <f>"Y"</f>
        <v>Y</v>
      </c>
      <c r="S658" t="str">
        <f>""</f>
        <v/>
      </c>
      <c r="T658" t="str">
        <f>"444.43"</f>
        <v>444.43</v>
      </c>
      <c r="U658" t="str">
        <f>"59996.00"</f>
        <v>59996.00</v>
      </c>
      <c r="V658" t="str">
        <f>"59996.00"</f>
        <v>59996.00</v>
      </c>
      <c r="W658" t="str">
        <f t="shared" si="195"/>
        <v>2017</v>
      </c>
      <c r="X658" t="str">
        <f>"7.00"</f>
        <v>7.00</v>
      </c>
      <c r="Y658" t="str">
        <f>"489.76"</f>
        <v>489.76</v>
      </c>
      <c r="Z658" t="str">
        <f>"25000.00"</f>
        <v>25000.00</v>
      </c>
      <c r="AA658" t="str">
        <f>"34996.00"</f>
        <v>34996.00</v>
      </c>
      <c r="AB658" t="str">
        <f t="shared" si="196"/>
        <v>Residential</v>
      </c>
      <c r="AC658" t="str">
        <f t="shared" si="185"/>
        <v>0</v>
      </c>
      <c r="AD658" t="str">
        <f t="shared" si="200"/>
        <v>4</v>
      </c>
      <c r="AE658" t="str">
        <f t="shared" si="201"/>
        <v>WOOD (INCLUDE STEEL STUDS)</v>
      </c>
      <c r="AF658" t="str">
        <f>"001"</f>
        <v>001</v>
      </c>
      <c r="AG658" t="str">
        <f t="shared" si="197"/>
        <v>FL</v>
      </c>
      <c r="AH658" t="str">
        <f>"-"</f>
        <v>-</v>
      </c>
      <c r="AI658" t="str">
        <f>"13500.00"</f>
        <v>13500.00</v>
      </c>
      <c r="AJ658" t="str">
        <f>"C55-000-586-8656-9"</f>
        <v>C55-000-586-8656-9</v>
      </c>
      <c r="AK658" t="str">
        <f>"10516"</f>
        <v>10516</v>
      </c>
      <c r="AL658">
        <v>3</v>
      </c>
      <c r="AM658">
        <v>753</v>
      </c>
      <c r="AN658">
        <v>512.65</v>
      </c>
      <c r="AQ658" t="s">
        <v>6987</v>
      </c>
      <c r="AR658" t="s">
        <v>6987</v>
      </c>
      <c r="AS658" t="s">
        <v>6987</v>
      </c>
      <c r="AU658" t="s">
        <v>396</v>
      </c>
      <c r="AV658">
        <v>2017</v>
      </c>
      <c r="AW658" t="str">
        <f>"10-1N-25-2880-0003-0140 "</f>
        <v xml:space="preserve">10-1N-25-2880-0003-0140 </v>
      </c>
      <c r="AX658">
        <v>54388</v>
      </c>
      <c r="AZ658" t="s">
        <v>6974</v>
      </c>
      <c r="BA658" t="s">
        <v>496</v>
      </c>
      <c r="BD658" t="s">
        <v>2785</v>
      </c>
      <c r="BE658" t="s">
        <v>393</v>
      </c>
      <c r="BF658">
        <v>32011</v>
      </c>
      <c r="BG658" t="s">
        <v>6988</v>
      </c>
      <c r="BH658" t="s">
        <v>2787</v>
      </c>
      <c r="BI658">
        <v>-81.785690281267307</v>
      </c>
      <c r="BJ658">
        <v>30.522234782413999</v>
      </c>
      <c r="BK658" t="s">
        <v>6989</v>
      </c>
      <c r="BL658" t="s">
        <v>6990</v>
      </c>
      <c r="BM658" t="s">
        <v>6988</v>
      </c>
      <c r="BN658" t="s">
        <v>928</v>
      </c>
      <c r="BO658">
        <v>32011</v>
      </c>
      <c r="BP658" t="s">
        <v>416</v>
      </c>
      <c r="BQ658">
        <v>100</v>
      </c>
      <c r="BR658" t="s">
        <v>514</v>
      </c>
      <c r="BS658">
        <v>1001</v>
      </c>
      <c r="BT658" t="s">
        <v>515</v>
      </c>
      <c r="BW658">
        <v>43652</v>
      </c>
      <c r="BX658" t="s">
        <v>407</v>
      </c>
      <c r="BY658" t="s">
        <v>408</v>
      </c>
      <c r="BZ658">
        <v>4</v>
      </c>
      <c r="CA658">
        <v>1982</v>
      </c>
      <c r="CB658">
        <v>1</v>
      </c>
      <c r="CC658">
        <v>1</v>
      </c>
      <c r="CD658">
        <v>2017</v>
      </c>
      <c r="CG658">
        <v>59996</v>
      </c>
      <c r="CH658">
        <v>2017</v>
      </c>
      <c r="CI658">
        <v>13500</v>
      </c>
      <c r="CJ658">
        <v>56462</v>
      </c>
      <c r="CK658">
        <v>69962</v>
      </c>
      <c r="CL658">
        <v>2017</v>
      </c>
      <c r="CM658">
        <v>444.43</v>
      </c>
      <c r="CN658" s="1">
        <v>32884</v>
      </c>
      <c r="CO658">
        <v>39100</v>
      </c>
      <c r="CZ658" s="1">
        <v>32884</v>
      </c>
      <c r="DD658" t="s">
        <v>2785</v>
      </c>
      <c r="DF658">
        <v>14</v>
      </c>
      <c r="DG658">
        <v>10</v>
      </c>
      <c r="DJ658" t="s">
        <v>6968</v>
      </c>
      <c r="DL658">
        <v>50502</v>
      </c>
      <c r="DM658" t="s">
        <v>6938</v>
      </c>
      <c r="DO658" t="s">
        <v>6991</v>
      </c>
      <c r="DP658">
        <v>0</v>
      </c>
      <c r="DQ658">
        <v>0</v>
      </c>
      <c r="DR658" t="s">
        <v>411</v>
      </c>
      <c r="EP658" t="s">
        <v>421</v>
      </c>
      <c r="EQ658" t="s">
        <v>422</v>
      </c>
      <c r="ER658">
        <v>0</v>
      </c>
      <c r="ES658">
        <v>5</v>
      </c>
      <c r="ET658">
        <v>0</v>
      </c>
      <c r="EU658">
        <v>0</v>
      </c>
      <c r="EV658">
        <v>0</v>
      </c>
      <c r="EW658" s="2">
        <v>43222</v>
      </c>
      <c r="EX658" s="1">
        <v>42879</v>
      </c>
      <c r="EY658">
        <v>2016</v>
      </c>
      <c r="EZ658">
        <v>506.44</v>
      </c>
      <c r="FA658" t="s">
        <v>6992</v>
      </c>
      <c r="FB658">
        <v>0.25</v>
      </c>
      <c r="FC658" t="s">
        <v>424</v>
      </c>
      <c r="FD658" t="s">
        <v>425</v>
      </c>
      <c r="FE658" s="1">
        <v>42894</v>
      </c>
      <c r="FF658">
        <v>1</v>
      </c>
      <c r="FG658">
        <v>7336671</v>
      </c>
      <c r="FH658" t="s">
        <v>437</v>
      </c>
      <c r="FJ658" s="1">
        <v>42879</v>
      </c>
      <c r="FK658">
        <v>2016</v>
      </c>
      <c r="FL658">
        <v>506.44</v>
      </c>
      <c r="FM658" t="s">
        <v>6992</v>
      </c>
      <c r="FN658">
        <v>0.25</v>
      </c>
      <c r="FO658" t="s">
        <v>424</v>
      </c>
      <c r="FP658" t="s">
        <v>425</v>
      </c>
      <c r="FR658">
        <v>22</v>
      </c>
      <c r="FS658">
        <v>7014639</v>
      </c>
      <c r="FT658" t="s">
        <v>6993</v>
      </c>
      <c r="FV658" s="1">
        <v>41423</v>
      </c>
      <c r="FW658">
        <v>2012</v>
      </c>
      <c r="FX658">
        <v>481.11</v>
      </c>
      <c r="FY658" t="s">
        <v>6994</v>
      </c>
      <c r="FZ658">
        <v>0.25</v>
      </c>
      <c r="GA658" t="s">
        <v>424</v>
      </c>
      <c r="GB658" t="s">
        <v>425</v>
      </c>
      <c r="GC658" s="1">
        <v>41618</v>
      </c>
      <c r="GD658">
        <v>7</v>
      </c>
      <c r="GE658">
        <v>10587</v>
      </c>
      <c r="GF658" t="s">
        <v>6995</v>
      </c>
      <c r="GH658" s="1">
        <v>41052</v>
      </c>
      <c r="GI658">
        <v>2011</v>
      </c>
      <c r="GJ658">
        <v>468.22</v>
      </c>
      <c r="GK658" t="s">
        <v>6996</v>
      </c>
      <c r="GL658">
        <v>0.25</v>
      </c>
      <c r="GM658" t="s">
        <v>424</v>
      </c>
      <c r="GN658" t="s">
        <v>425</v>
      </c>
      <c r="GO658" s="1">
        <v>41151</v>
      </c>
      <c r="GP658">
        <v>3</v>
      </c>
      <c r="GQ658">
        <v>13368</v>
      </c>
      <c r="GR658" t="s">
        <v>1740</v>
      </c>
      <c r="GT658" s="1">
        <v>41052</v>
      </c>
      <c r="GU658">
        <v>2011</v>
      </c>
      <c r="GV658">
        <v>468.22</v>
      </c>
      <c r="GW658" t="s">
        <v>6996</v>
      </c>
      <c r="GX658">
        <v>0.25</v>
      </c>
      <c r="GY658" t="s">
        <v>424</v>
      </c>
      <c r="GZ658" t="s">
        <v>425</v>
      </c>
      <c r="HB658">
        <v>22</v>
      </c>
      <c r="HC658">
        <v>14344</v>
      </c>
      <c r="HD658" t="s">
        <v>6997</v>
      </c>
    </row>
    <row r="659" spans="1:272" x14ac:dyDescent="0.25">
      <c r="A659">
        <v>16485666</v>
      </c>
      <c r="B659">
        <v>658</v>
      </c>
      <c r="C659" t="s">
        <v>393</v>
      </c>
      <c r="D659" t="s">
        <v>394</v>
      </c>
      <c r="F659" t="str">
        <f>"10-1N-25-2880-0004-0030"</f>
        <v>10-1N-25-2880-0004-0030</v>
      </c>
      <c r="H659" t="str">
        <f>"GULBRANDSEN RICHARD"</f>
        <v>GULBRANDSEN RICHARD</v>
      </c>
      <c r="I659" t="str">
        <f>"7651 OWL RD"</f>
        <v>7651 OWL RD</v>
      </c>
      <c r="J659" t="str">
        <f>"JACKSONVILLE FL 32219"</f>
        <v>JACKSONVILLE FL 32219</v>
      </c>
      <c r="K659" t="str">
        <f>"54076 SEAGULL DR"</f>
        <v>54076 SEAGULL DR</v>
      </c>
      <c r="L659" t="str">
        <f t="shared" si="202"/>
        <v>CALLAHAN FL 32011</v>
      </c>
      <c r="M659" t="str">
        <f>"BLOCK 4 LOT 3 &amp; PT OF TRACT C IN OR 994/636 R108160 &amp; R108161 NASSAU PLANTATIONS UNR"</f>
        <v>BLOCK 4 LOT 3 &amp; PT OF TRACT C IN OR 994/636 R108160 &amp; R108161 NASSAU PLANTATIONS UNR</v>
      </c>
      <c r="N659" t="str">
        <f>""</f>
        <v/>
      </c>
      <c r="O659" t="str">
        <f>"25647"</f>
        <v>25647</v>
      </c>
      <c r="P659" t="str">
        <f t="shared" si="194"/>
        <v>2017</v>
      </c>
      <c r="Q659" t="str">
        <f>""</f>
        <v/>
      </c>
      <c r="R659" t="str">
        <f>"N"</f>
        <v>N</v>
      </c>
      <c r="S659" t="str">
        <f>"1.90"</f>
        <v>1.90</v>
      </c>
      <c r="T659" t="str">
        <f>"603.25"</f>
        <v>603.25</v>
      </c>
      <c r="U659" t="str">
        <f>"39848.00"</f>
        <v>39848.00</v>
      </c>
      <c r="V659" t="str">
        <f>"39848.00"</f>
        <v>39848.00</v>
      </c>
      <c r="W659" t="str">
        <f t="shared" si="195"/>
        <v>2017</v>
      </c>
      <c r="X659" t="str">
        <f>"11.00"</f>
        <v>11.00</v>
      </c>
      <c r="Y659" t="str">
        <f>"653.35"</f>
        <v>653.35</v>
      </c>
      <c r="Z659" t="str">
        <f>""</f>
        <v/>
      </c>
      <c r="AA659" t="str">
        <f>"39848.00"</f>
        <v>39848.00</v>
      </c>
      <c r="AB659" t="str">
        <f t="shared" si="196"/>
        <v>Residential</v>
      </c>
      <c r="AC659" t="str">
        <f t="shared" si="185"/>
        <v>0</v>
      </c>
      <c r="AD659" t="str">
        <f t="shared" si="200"/>
        <v>4</v>
      </c>
      <c r="AE659" t="str">
        <f t="shared" si="201"/>
        <v>WOOD (INCLUDE STEEL STUDS)</v>
      </c>
      <c r="AF659" t="str">
        <f>"002"</f>
        <v>002</v>
      </c>
      <c r="AG659" t="str">
        <f t="shared" si="197"/>
        <v>FL</v>
      </c>
      <c r="AH659" t="str">
        <f>"82764.00"</f>
        <v>82764.00</v>
      </c>
      <c r="AI659" t="str">
        <f>"28500.00"</f>
        <v>28500.00</v>
      </c>
      <c r="AJ659" t="str">
        <f>"C55-000-586-8673-4"</f>
        <v>C55-000-586-8673-4</v>
      </c>
      <c r="AK659" t="str">
        <f>"10533"</f>
        <v>10533</v>
      </c>
      <c r="AL659">
        <v>3</v>
      </c>
      <c r="AM659">
        <v>754</v>
      </c>
      <c r="AN659">
        <v>684.42</v>
      </c>
      <c r="AQ659" t="s">
        <v>6998</v>
      </c>
      <c r="AR659" t="s">
        <v>6998</v>
      </c>
      <c r="AS659" t="s">
        <v>6998</v>
      </c>
      <c r="AU659" t="s">
        <v>396</v>
      </c>
      <c r="AV659">
        <v>2017</v>
      </c>
      <c r="AW659" t="str">
        <f>"10-1N-25-2880-0004-0030 "</f>
        <v xml:space="preserve">10-1N-25-2880-0004-0030 </v>
      </c>
      <c r="AX659">
        <v>54076</v>
      </c>
      <c r="AZ659" t="s">
        <v>6999</v>
      </c>
      <c r="BA659" t="s">
        <v>669</v>
      </c>
      <c r="BD659" t="s">
        <v>2785</v>
      </c>
      <c r="BE659" t="s">
        <v>393</v>
      </c>
      <c r="BF659">
        <v>32011</v>
      </c>
      <c r="BG659" t="s">
        <v>7000</v>
      </c>
      <c r="BH659" t="s">
        <v>2787</v>
      </c>
      <c r="BI659">
        <v>-81.790907440181101</v>
      </c>
      <c r="BJ659">
        <v>30.520087537398702</v>
      </c>
      <c r="BK659" t="s">
        <v>7001</v>
      </c>
      <c r="BM659" t="s">
        <v>7002</v>
      </c>
      <c r="BN659" t="s">
        <v>548</v>
      </c>
      <c r="BO659">
        <v>32219</v>
      </c>
      <c r="BP659" t="s">
        <v>404</v>
      </c>
      <c r="BQ659">
        <v>200</v>
      </c>
      <c r="BR659" t="s">
        <v>405</v>
      </c>
      <c r="BS659">
        <v>1006</v>
      </c>
      <c r="BT659" t="s">
        <v>406</v>
      </c>
      <c r="BW659">
        <v>82764</v>
      </c>
      <c r="BX659" t="s">
        <v>407</v>
      </c>
      <c r="BY659" t="s">
        <v>408</v>
      </c>
      <c r="BZ659">
        <v>4</v>
      </c>
      <c r="CA659">
        <v>1984</v>
      </c>
      <c r="CB659">
        <v>1</v>
      </c>
      <c r="CC659">
        <v>1</v>
      </c>
      <c r="CD659">
        <v>2017</v>
      </c>
      <c r="CE659">
        <v>28500</v>
      </c>
      <c r="CF659">
        <v>11348</v>
      </c>
      <c r="CG659">
        <v>39848</v>
      </c>
      <c r="CH659">
        <v>2017</v>
      </c>
      <c r="CI659">
        <v>28500</v>
      </c>
      <c r="CJ659">
        <v>11348</v>
      </c>
      <c r="CK659">
        <v>39848</v>
      </c>
      <c r="CL659">
        <v>2017</v>
      </c>
      <c r="CM659">
        <v>603.25</v>
      </c>
      <c r="CN659" s="1">
        <v>36725</v>
      </c>
      <c r="CO659">
        <v>29500</v>
      </c>
      <c r="CV659">
        <v>0</v>
      </c>
      <c r="CZ659" s="1">
        <v>36725</v>
      </c>
      <c r="DA659">
        <v>0</v>
      </c>
      <c r="DD659" t="s">
        <v>2785</v>
      </c>
      <c r="DF659">
        <v>3</v>
      </c>
      <c r="DG659">
        <v>10</v>
      </c>
      <c r="DL659">
        <v>50502</v>
      </c>
      <c r="DM659" t="s">
        <v>6938</v>
      </c>
      <c r="DO659" t="s">
        <v>7003</v>
      </c>
      <c r="DP659">
        <v>0</v>
      </c>
      <c r="DQ659">
        <v>0</v>
      </c>
      <c r="DR659" t="s">
        <v>411</v>
      </c>
      <c r="EP659" t="s">
        <v>421</v>
      </c>
      <c r="EQ659" t="s">
        <v>422</v>
      </c>
      <c r="ER659">
        <v>0</v>
      </c>
      <c r="ES659">
        <v>2</v>
      </c>
      <c r="ET659">
        <v>0</v>
      </c>
      <c r="EU659">
        <v>0</v>
      </c>
      <c r="EV659">
        <v>0</v>
      </c>
      <c r="EW659" s="2">
        <v>43222</v>
      </c>
      <c r="EX659" s="1">
        <v>41787</v>
      </c>
      <c r="EY659">
        <v>2013</v>
      </c>
      <c r="EZ659">
        <v>695.61</v>
      </c>
      <c r="FA659" t="s">
        <v>7004</v>
      </c>
      <c r="FB659">
        <v>2.5</v>
      </c>
      <c r="FC659" t="s">
        <v>424</v>
      </c>
      <c r="FD659" t="s">
        <v>425</v>
      </c>
      <c r="FE659" s="1">
        <v>41935</v>
      </c>
      <c r="FF659">
        <v>5</v>
      </c>
      <c r="FG659">
        <v>15399</v>
      </c>
      <c r="FH659" t="s">
        <v>485</v>
      </c>
      <c r="FJ659" s="1">
        <v>41423</v>
      </c>
      <c r="FK659">
        <v>2012</v>
      </c>
      <c r="FL659">
        <v>305.7</v>
      </c>
      <c r="FM659" t="s">
        <v>7005</v>
      </c>
      <c r="FN659">
        <v>3.75</v>
      </c>
      <c r="FO659" t="s">
        <v>424</v>
      </c>
      <c r="FP659" t="s">
        <v>425</v>
      </c>
      <c r="FQ659" s="1">
        <v>41935</v>
      </c>
      <c r="FR659">
        <v>17</v>
      </c>
      <c r="FS659">
        <v>15399</v>
      </c>
      <c r="FT659" t="s">
        <v>485</v>
      </c>
    </row>
    <row r="660" spans="1:272" x14ac:dyDescent="0.25">
      <c r="A660">
        <v>16485667</v>
      </c>
      <c r="B660">
        <v>659</v>
      </c>
      <c r="C660" t="s">
        <v>393</v>
      </c>
      <c r="D660" t="s">
        <v>394</v>
      </c>
      <c r="F660" t="str">
        <f>"10-1N-25-2880-0006-0040"</f>
        <v>10-1N-25-2880-0006-0040</v>
      </c>
      <c r="H660" t="str">
        <f>"GANGER TAMMY LYNN"</f>
        <v>GANGER TAMMY LYNN</v>
      </c>
      <c r="I660" t="str">
        <f>"54203 PLANTATION RD"</f>
        <v>54203 PLANTATION RD</v>
      </c>
      <c r="J660" t="str">
        <f t="shared" ref="J660:J672" si="203">"CALLAHAN FL 32011"</f>
        <v>CALLAHAN FL 32011</v>
      </c>
      <c r="K660" t="str">
        <f>"54203 PLANTATION RD"</f>
        <v>54203 PLANTATION RD</v>
      </c>
      <c r="L660" t="str">
        <f t="shared" si="202"/>
        <v>CALLAHAN FL 32011</v>
      </c>
      <c r="M660" t="str">
        <f>"BLOCK 6 LOT 4 IN OR 1051/1131 NASSAU PLANTATIONS UNR"</f>
        <v>BLOCK 6 LOT 4 IN OR 1051/1131 NASSAU PLANTATIONS UNR</v>
      </c>
      <c r="N660" t="str">
        <f>""</f>
        <v/>
      </c>
      <c r="O660" t="str">
        <f>"25664"</f>
        <v>25664</v>
      </c>
      <c r="P660" t="str">
        <f t="shared" si="194"/>
        <v>2017</v>
      </c>
      <c r="Q660" t="str">
        <f>""</f>
        <v/>
      </c>
      <c r="R660" t="str">
        <f>"Y"</f>
        <v>Y</v>
      </c>
      <c r="S660" t="str">
        <f>""</f>
        <v/>
      </c>
      <c r="T660" t="str">
        <f>"372.93"</f>
        <v>372.93</v>
      </c>
      <c r="U660" t="str">
        <f>"50309.00"</f>
        <v>50309.00</v>
      </c>
      <c r="V660" t="str">
        <f>"50309.00"</f>
        <v>50309.00</v>
      </c>
      <c r="W660" t="str">
        <f t="shared" si="195"/>
        <v>2017</v>
      </c>
      <c r="X660" t="str">
        <f>"18.50"</f>
        <v>18.50</v>
      </c>
      <c r="Y660" t="str">
        <f>"416.12"</f>
        <v>416.12</v>
      </c>
      <c r="Z660" t="str">
        <f>"25500.00"</f>
        <v>25500.00</v>
      </c>
      <c r="AA660" t="str">
        <f>"24809.00"</f>
        <v>24809.00</v>
      </c>
      <c r="AB660" t="str">
        <f t="shared" si="196"/>
        <v>Residential</v>
      </c>
      <c r="AC660" t="str">
        <f t="shared" si="185"/>
        <v>0</v>
      </c>
      <c r="AD660" t="str">
        <f t="shared" si="200"/>
        <v>4</v>
      </c>
      <c r="AE660" t="str">
        <f t="shared" si="201"/>
        <v>WOOD (INCLUDE STEEL STUDS)</v>
      </c>
      <c r="AF660" t="str">
        <f>"001"</f>
        <v>001</v>
      </c>
      <c r="AG660" t="str">
        <f t="shared" si="197"/>
        <v>FL</v>
      </c>
      <c r="AH660" t="str">
        <f>"-"</f>
        <v>-</v>
      </c>
      <c r="AI660" t="str">
        <f>"13500.00"</f>
        <v>13500.00</v>
      </c>
      <c r="AJ660" t="str">
        <f>"C55-000-586-8690-8"</f>
        <v>C55-000-586-8690-8</v>
      </c>
      <c r="AK660" t="str">
        <f>"10548"</f>
        <v>10548</v>
      </c>
      <c r="AL660">
        <v>3</v>
      </c>
      <c r="AM660">
        <v>755</v>
      </c>
      <c r="AN660">
        <v>435.33</v>
      </c>
      <c r="AQ660" t="s">
        <v>7006</v>
      </c>
      <c r="AR660" t="s">
        <v>7006</v>
      </c>
      <c r="AS660" t="s">
        <v>7006</v>
      </c>
      <c r="AU660" t="s">
        <v>396</v>
      </c>
      <c r="AV660">
        <v>2017</v>
      </c>
      <c r="AW660" t="str">
        <f>"10-1N-25-2880-0006-0040 "</f>
        <v xml:space="preserve">10-1N-25-2880-0006-0040 </v>
      </c>
      <c r="AX660">
        <v>54203</v>
      </c>
      <c r="AZ660" t="s">
        <v>7007</v>
      </c>
      <c r="BA660" t="s">
        <v>496</v>
      </c>
      <c r="BD660" t="s">
        <v>2785</v>
      </c>
      <c r="BE660" t="s">
        <v>393</v>
      </c>
      <c r="BF660">
        <v>32011</v>
      </c>
      <c r="BG660" t="s">
        <v>7008</v>
      </c>
      <c r="BH660" t="s">
        <v>2787</v>
      </c>
      <c r="BI660">
        <v>-81.792808423401098</v>
      </c>
      <c r="BJ660">
        <v>30.522919209934301</v>
      </c>
      <c r="BK660" t="s">
        <v>7009</v>
      </c>
      <c r="BL660" t="s">
        <v>7010</v>
      </c>
      <c r="BM660" t="s">
        <v>7008</v>
      </c>
      <c r="BN660" t="s">
        <v>928</v>
      </c>
      <c r="BO660">
        <v>32011</v>
      </c>
      <c r="BP660" t="s">
        <v>416</v>
      </c>
      <c r="BQ660">
        <v>100</v>
      </c>
      <c r="BR660" t="s">
        <v>514</v>
      </c>
      <c r="BS660">
        <v>1001</v>
      </c>
      <c r="BT660" t="s">
        <v>515</v>
      </c>
      <c r="BW660">
        <v>45700</v>
      </c>
      <c r="BX660" t="s">
        <v>407</v>
      </c>
      <c r="BY660" t="s">
        <v>408</v>
      </c>
      <c r="BZ660">
        <v>4</v>
      </c>
      <c r="CA660">
        <v>1987</v>
      </c>
      <c r="CB660">
        <v>1</v>
      </c>
      <c r="CC660">
        <v>1</v>
      </c>
      <c r="CD660">
        <v>2017</v>
      </c>
      <c r="CG660">
        <v>50309</v>
      </c>
      <c r="CH660">
        <v>2017</v>
      </c>
      <c r="CI660">
        <v>13500</v>
      </c>
      <c r="CJ660">
        <v>40756</v>
      </c>
      <c r="CK660">
        <v>54256</v>
      </c>
      <c r="CL660">
        <v>2017</v>
      </c>
      <c r="CM660">
        <v>372.93</v>
      </c>
      <c r="CN660" s="1">
        <v>37370</v>
      </c>
      <c r="CZ660" s="1">
        <v>37370</v>
      </c>
      <c r="DD660" t="s">
        <v>2785</v>
      </c>
      <c r="DF660">
        <v>4</v>
      </c>
      <c r="DG660">
        <v>10</v>
      </c>
      <c r="DL660">
        <v>50502</v>
      </c>
      <c r="DM660" t="s">
        <v>6938</v>
      </c>
      <c r="DO660" t="s">
        <v>7011</v>
      </c>
      <c r="DP660">
        <v>0</v>
      </c>
      <c r="DQ660">
        <v>0</v>
      </c>
      <c r="DR660" t="s">
        <v>411</v>
      </c>
      <c r="DS660" t="b">
        <v>1</v>
      </c>
      <c r="DT660" t="s">
        <v>470</v>
      </c>
      <c r="DU660" t="s">
        <v>471</v>
      </c>
      <c r="DV660" t="s">
        <v>472</v>
      </c>
      <c r="DX660">
        <v>-9999</v>
      </c>
      <c r="DZ660" t="s">
        <v>447</v>
      </c>
      <c r="EA660" t="s">
        <v>448</v>
      </c>
      <c r="EB660" t="s">
        <v>742</v>
      </c>
      <c r="EC660">
        <v>20101217</v>
      </c>
      <c r="ED660" t="s">
        <v>474</v>
      </c>
      <c r="EF660">
        <v>2533.3000000000002</v>
      </c>
      <c r="EG660">
        <v>2533.3000000000002</v>
      </c>
      <c r="EI660">
        <v>20160407</v>
      </c>
      <c r="EJ660">
        <v>0</v>
      </c>
      <c r="EK660">
        <v>0</v>
      </c>
      <c r="EP660" t="s">
        <v>421</v>
      </c>
      <c r="EQ660" t="s">
        <v>422</v>
      </c>
      <c r="ER660">
        <v>2</v>
      </c>
      <c r="ES660">
        <v>4</v>
      </c>
      <c r="ET660">
        <v>843.4</v>
      </c>
      <c r="EU660">
        <v>54.67</v>
      </c>
      <c r="EV660">
        <v>898.07</v>
      </c>
      <c r="EW660" s="2">
        <v>43222</v>
      </c>
      <c r="EX660" s="1">
        <v>42879</v>
      </c>
      <c r="EY660">
        <v>2016</v>
      </c>
      <c r="EZ660">
        <v>421.7</v>
      </c>
      <c r="FA660" t="s">
        <v>7012</v>
      </c>
      <c r="FB660">
        <v>0.25</v>
      </c>
      <c r="FC660" t="s">
        <v>424</v>
      </c>
      <c r="FD660" t="s">
        <v>454</v>
      </c>
      <c r="FF660">
        <v>12</v>
      </c>
      <c r="FG660">
        <v>2851116</v>
      </c>
      <c r="FH660" t="s">
        <v>480</v>
      </c>
      <c r="FJ660" s="1">
        <v>42879</v>
      </c>
      <c r="FK660">
        <v>2016</v>
      </c>
      <c r="FL660">
        <v>421.7</v>
      </c>
      <c r="FM660" t="s">
        <v>7012</v>
      </c>
      <c r="FN660">
        <v>0.25</v>
      </c>
      <c r="FO660" t="s">
        <v>424</v>
      </c>
      <c r="FP660" t="s">
        <v>454</v>
      </c>
      <c r="FR660">
        <v>12</v>
      </c>
      <c r="FS660">
        <v>4993175</v>
      </c>
      <c r="FT660" t="s">
        <v>7013</v>
      </c>
      <c r="FV660" s="1">
        <v>42515</v>
      </c>
      <c r="FW660">
        <v>2015</v>
      </c>
      <c r="FX660">
        <v>420.44</v>
      </c>
      <c r="FY660" t="s">
        <v>7014</v>
      </c>
      <c r="FZ660">
        <v>0.25</v>
      </c>
      <c r="GA660" t="s">
        <v>424</v>
      </c>
      <c r="GB660" t="s">
        <v>425</v>
      </c>
      <c r="GC660" s="1">
        <v>43160</v>
      </c>
      <c r="GD660">
        <v>22</v>
      </c>
      <c r="GE660">
        <v>2851116</v>
      </c>
      <c r="GF660" t="s">
        <v>480</v>
      </c>
      <c r="GH660" s="1">
        <v>42515</v>
      </c>
      <c r="GI660">
        <v>2015</v>
      </c>
      <c r="GJ660">
        <v>420.44</v>
      </c>
      <c r="GK660" t="s">
        <v>7014</v>
      </c>
      <c r="GL660">
        <v>0.25</v>
      </c>
      <c r="GM660" t="s">
        <v>424</v>
      </c>
      <c r="GN660" t="s">
        <v>425</v>
      </c>
      <c r="GP660">
        <v>22</v>
      </c>
      <c r="GQ660">
        <v>5703810</v>
      </c>
      <c r="GR660" t="s">
        <v>7015</v>
      </c>
      <c r="GT660" s="1">
        <v>42151</v>
      </c>
      <c r="GU660">
        <v>2014</v>
      </c>
      <c r="GV660">
        <v>415.82</v>
      </c>
      <c r="GW660" t="s">
        <v>7016</v>
      </c>
      <c r="GX660">
        <v>0.25</v>
      </c>
      <c r="GY660" t="s">
        <v>424</v>
      </c>
      <c r="GZ660" t="s">
        <v>425</v>
      </c>
      <c r="HA660" s="1">
        <v>42811</v>
      </c>
      <c r="HB660">
        <v>22</v>
      </c>
      <c r="HC660">
        <v>2851116</v>
      </c>
      <c r="HD660" t="s">
        <v>480</v>
      </c>
      <c r="HF660" s="1">
        <v>42151</v>
      </c>
      <c r="HG660">
        <v>2014</v>
      </c>
      <c r="HH660">
        <v>415.82</v>
      </c>
      <c r="HI660" t="s">
        <v>7016</v>
      </c>
      <c r="HJ660">
        <v>0.25</v>
      </c>
      <c r="HK660" t="s">
        <v>424</v>
      </c>
      <c r="HL660" t="s">
        <v>425</v>
      </c>
      <c r="HN660">
        <v>22</v>
      </c>
      <c r="HO660">
        <v>5427705</v>
      </c>
      <c r="HP660" t="s">
        <v>7017</v>
      </c>
    </row>
    <row r="661" spans="1:272" x14ac:dyDescent="0.25">
      <c r="A661">
        <v>16485668</v>
      </c>
      <c r="B661">
        <v>660</v>
      </c>
      <c r="C661" t="s">
        <v>393</v>
      </c>
      <c r="D661" t="s">
        <v>394</v>
      </c>
      <c r="F661" t="str">
        <f>"10-1N-25-2880-0006-0080"</f>
        <v>10-1N-25-2880-0006-0080</v>
      </c>
      <c r="H661" t="str">
        <f>"MILLER JOE W &amp; EVA LEE"</f>
        <v>MILLER JOE W &amp; EVA LEE</v>
      </c>
      <c r="I661" t="str">
        <f>"54083 PLANTATION ROAD"</f>
        <v>54083 PLANTATION ROAD</v>
      </c>
      <c r="J661" t="str">
        <f t="shared" si="203"/>
        <v>CALLAHAN FL 32011</v>
      </c>
      <c r="K661" t="str">
        <f>"54083 PLANTATION RD"</f>
        <v>54083 PLANTATION RD</v>
      </c>
      <c r="L661" t="str">
        <f t="shared" si="202"/>
        <v>CALLAHAN FL 32011</v>
      </c>
      <c r="M661" t="str">
        <f>"BLOCK 6 LOT 8 IN OR 192 PG 288 1996 FLEET SW/MH NASSAU PLANTATIONS UNR"</f>
        <v>BLOCK 6 LOT 8 IN OR 192 PG 288 1996 FLEET SW/MH NASSAU PLANTATIONS UNR</v>
      </c>
      <c r="N661" t="str">
        <f>""</f>
        <v/>
      </c>
      <c r="O661" t="str">
        <f>"25668"</f>
        <v>25668</v>
      </c>
      <c r="P661" t="str">
        <f t="shared" si="194"/>
        <v>2017</v>
      </c>
      <c r="Q661" t="str">
        <f>""</f>
        <v/>
      </c>
      <c r="R661" t="str">
        <f>"N"</f>
        <v>N</v>
      </c>
      <c r="S661" t="str">
        <f>""</f>
        <v/>
      </c>
      <c r="T661" t="str">
        <f>"633.38"</f>
        <v>633.38</v>
      </c>
      <c r="U661" t="str">
        <f>"39851.00"</f>
        <v>39851.00</v>
      </c>
      <c r="V661" t="str">
        <f>"39851.00"</f>
        <v>39851.00</v>
      </c>
      <c r="W661" t="str">
        <f t="shared" si="195"/>
        <v>2017</v>
      </c>
      <c r="X661" t="str">
        <f>"9.75"</f>
        <v>9.75</v>
      </c>
      <c r="Y661" t="str">
        <f>"684.38"</f>
        <v>684.38</v>
      </c>
      <c r="Z661" t="str">
        <f>""</f>
        <v/>
      </c>
      <c r="AA661" t="str">
        <f>"44410.00"</f>
        <v>44410.00</v>
      </c>
      <c r="AB661" t="str">
        <f t="shared" si="196"/>
        <v>Residential</v>
      </c>
      <c r="AC661" t="str">
        <f t="shared" si="185"/>
        <v>0</v>
      </c>
      <c r="AD661" t="str">
        <f t="shared" si="200"/>
        <v>4</v>
      </c>
      <c r="AE661" t="str">
        <f t="shared" si="201"/>
        <v>WOOD (INCLUDE STEEL STUDS)</v>
      </c>
      <c r="AF661" t="str">
        <f>"002"</f>
        <v>002</v>
      </c>
      <c r="AG661" t="str">
        <f t="shared" si="197"/>
        <v>FL</v>
      </c>
      <c r="AH661" t="str">
        <f>"-"</f>
        <v>-</v>
      </c>
      <c r="AI661" t="str">
        <f>"13500.00"</f>
        <v>13500.00</v>
      </c>
      <c r="AJ661" t="str">
        <f>"C55-000-586-8694-0"</f>
        <v>C55-000-586-8694-0</v>
      </c>
      <c r="AK661" t="str">
        <f>"10552"</f>
        <v>10552</v>
      </c>
      <c r="AL661">
        <v>3</v>
      </c>
      <c r="AM661">
        <v>756</v>
      </c>
      <c r="AN661">
        <v>717</v>
      </c>
      <c r="AQ661" t="s">
        <v>7018</v>
      </c>
      <c r="AR661" t="s">
        <v>7018</v>
      </c>
      <c r="AS661" t="s">
        <v>7018</v>
      </c>
      <c r="AU661" t="s">
        <v>396</v>
      </c>
      <c r="AV661">
        <v>2017</v>
      </c>
      <c r="AW661" t="str">
        <f>"10-1N-25-2880-0006-0080 "</f>
        <v xml:space="preserve">10-1N-25-2880-0006-0080 </v>
      </c>
      <c r="AX661">
        <v>54083</v>
      </c>
      <c r="AZ661" t="s">
        <v>7007</v>
      </c>
      <c r="BA661" t="s">
        <v>496</v>
      </c>
      <c r="BD661" t="s">
        <v>2785</v>
      </c>
      <c r="BE661" t="s">
        <v>393</v>
      </c>
      <c r="BF661">
        <v>32011</v>
      </c>
      <c r="BG661" t="s">
        <v>7019</v>
      </c>
      <c r="BH661" t="s">
        <v>2787</v>
      </c>
      <c r="BI661">
        <v>-81.792778075774507</v>
      </c>
      <c r="BJ661">
        <v>30.521271019176901</v>
      </c>
      <c r="BK661" t="s">
        <v>7020</v>
      </c>
      <c r="BL661" t="s">
        <v>7021</v>
      </c>
      <c r="BM661" t="s">
        <v>7019</v>
      </c>
      <c r="BN661" t="s">
        <v>928</v>
      </c>
      <c r="BO661">
        <v>32011</v>
      </c>
      <c r="BP661" t="s">
        <v>416</v>
      </c>
      <c r="BQ661">
        <v>200</v>
      </c>
      <c r="BR661" t="s">
        <v>405</v>
      </c>
      <c r="BS661">
        <v>1006</v>
      </c>
      <c r="BT661" t="s">
        <v>406</v>
      </c>
      <c r="BW661">
        <v>45793</v>
      </c>
      <c r="BX661" t="s">
        <v>407</v>
      </c>
      <c r="BY661" t="s">
        <v>408</v>
      </c>
      <c r="BZ661">
        <v>4</v>
      </c>
      <c r="CA661">
        <v>1996</v>
      </c>
      <c r="CB661">
        <v>1</v>
      </c>
      <c r="CC661">
        <v>1</v>
      </c>
      <c r="CD661">
        <v>2017</v>
      </c>
      <c r="CE661">
        <v>13500</v>
      </c>
      <c r="CF661">
        <v>30910</v>
      </c>
      <c r="CG661">
        <v>44410</v>
      </c>
      <c r="CH661">
        <v>2017</v>
      </c>
      <c r="CI661">
        <v>13500</v>
      </c>
      <c r="CJ661">
        <v>30910</v>
      </c>
      <c r="CK661">
        <v>44410</v>
      </c>
      <c r="CL661">
        <v>2017</v>
      </c>
      <c r="CM661">
        <v>633.38</v>
      </c>
      <c r="CN661" s="1">
        <v>27395</v>
      </c>
      <c r="CO661">
        <v>4700</v>
      </c>
      <c r="CZ661" s="1">
        <v>27395</v>
      </c>
      <c r="DD661" t="s">
        <v>2785</v>
      </c>
      <c r="DF661">
        <v>8</v>
      </c>
      <c r="DG661">
        <v>10</v>
      </c>
      <c r="DL661">
        <v>50502</v>
      </c>
      <c r="DM661" t="s">
        <v>6938</v>
      </c>
      <c r="DO661" t="s">
        <v>7022</v>
      </c>
      <c r="DP661">
        <v>0</v>
      </c>
      <c r="DQ661">
        <v>0</v>
      </c>
      <c r="DR661" t="s">
        <v>411</v>
      </c>
      <c r="DS661" t="b">
        <v>1</v>
      </c>
      <c r="DT661" t="s">
        <v>470</v>
      </c>
      <c r="DU661" t="s">
        <v>471</v>
      </c>
      <c r="DV661" t="s">
        <v>472</v>
      </c>
      <c r="DX661">
        <v>-9999</v>
      </c>
      <c r="DZ661" t="s">
        <v>447</v>
      </c>
      <c r="EA661" t="s">
        <v>448</v>
      </c>
      <c r="EB661" t="s">
        <v>742</v>
      </c>
      <c r="EC661">
        <v>20101217</v>
      </c>
      <c r="ED661" t="s">
        <v>474</v>
      </c>
      <c r="EF661">
        <v>2197.3000000000002</v>
      </c>
      <c r="EG661">
        <v>2197.3000000000002</v>
      </c>
      <c r="EI661">
        <v>20160407</v>
      </c>
      <c r="EJ661">
        <v>0</v>
      </c>
      <c r="EK661">
        <v>0</v>
      </c>
      <c r="EP661" t="s">
        <v>421</v>
      </c>
      <c r="EQ661" t="s">
        <v>422</v>
      </c>
      <c r="ER661">
        <v>0</v>
      </c>
      <c r="ES661">
        <v>3</v>
      </c>
      <c r="ET661">
        <v>0</v>
      </c>
      <c r="EU661">
        <v>0</v>
      </c>
      <c r="EV661">
        <v>0</v>
      </c>
      <c r="EW661" s="2">
        <v>43222</v>
      </c>
      <c r="EX661" s="1">
        <v>42515</v>
      </c>
      <c r="EY661">
        <v>2015</v>
      </c>
      <c r="EZ661">
        <v>687.94</v>
      </c>
      <c r="FA661" t="s">
        <v>7023</v>
      </c>
      <c r="FB661">
        <v>0.25</v>
      </c>
      <c r="FC661" t="s">
        <v>424</v>
      </c>
      <c r="FD661" t="s">
        <v>425</v>
      </c>
      <c r="FE661" s="1">
        <v>42803</v>
      </c>
      <c r="FF661">
        <v>10</v>
      </c>
      <c r="FG661">
        <v>2851116</v>
      </c>
      <c r="FH661" t="s">
        <v>480</v>
      </c>
      <c r="FJ661" s="1">
        <v>42515</v>
      </c>
      <c r="FK661">
        <v>2015</v>
      </c>
      <c r="FL661">
        <v>687.94</v>
      </c>
      <c r="FM661" t="s">
        <v>7023</v>
      </c>
      <c r="FN661">
        <v>0.25</v>
      </c>
      <c r="FO661" t="s">
        <v>424</v>
      </c>
      <c r="FP661" t="s">
        <v>425</v>
      </c>
      <c r="FR661">
        <v>22</v>
      </c>
      <c r="FS661">
        <v>5356991</v>
      </c>
      <c r="FT661" t="s">
        <v>7024</v>
      </c>
      <c r="FV661" s="1">
        <v>40688</v>
      </c>
      <c r="FW661">
        <v>2010</v>
      </c>
      <c r="FX661">
        <v>947.76</v>
      </c>
      <c r="FY661" t="s">
        <v>7025</v>
      </c>
      <c r="FZ661">
        <v>5.25</v>
      </c>
      <c r="GA661" t="s">
        <v>424</v>
      </c>
      <c r="GB661" t="s">
        <v>425</v>
      </c>
      <c r="GC661" s="1">
        <v>40890</v>
      </c>
      <c r="GD661">
        <v>7</v>
      </c>
      <c r="GE661">
        <v>210</v>
      </c>
      <c r="GF661" t="s">
        <v>7026</v>
      </c>
    </row>
    <row r="662" spans="1:272" x14ac:dyDescent="0.25">
      <c r="A662">
        <v>16485669</v>
      </c>
      <c r="B662">
        <v>661</v>
      </c>
      <c r="C662" t="s">
        <v>393</v>
      </c>
      <c r="D662" t="s">
        <v>394</v>
      </c>
      <c r="F662" t="str">
        <f>"10-1N-25-2880-000C-0012"</f>
        <v>10-1N-25-2880-000C-0012</v>
      </c>
      <c r="H662" t="str">
        <f>"HUMPHRIES CHRISTINE"</f>
        <v>HUMPHRIES CHRISTINE</v>
      </c>
      <c r="I662" t="str">
        <f>"450671 STATE RD 200"</f>
        <v>450671 STATE RD 200</v>
      </c>
      <c r="J662" t="str">
        <f t="shared" si="203"/>
        <v>CALLAHAN FL 32011</v>
      </c>
      <c r="K662" t="str">
        <f>"54138 CHURCH RD"</f>
        <v>54138 CHURCH RD</v>
      </c>
      <c r="L662" t="str">
        <f t="shared" si="202"/>
        <v>CALLAHAN FL 32011</v>
      </c>
      <c r="M662" t="str">
        <f>"PT GOVT LOT 3 OF SEC 10-1N-25E IN OR 1677/636 BEING PARAGRAPH 1 OF EXHIBIT A {A/K/A PT OF TRACT C OF NASSAU PLANTATIONS UNR}"</f>
        <v>PT GOVT LOT 3 OF SEC 10-1N-25E IN OR 1677/636 BEING PARAGRAPH 1 OF EXHIBIT A {A/K/A PT OF TRACT C OF NASSAU PLANTATIONS UNR}</v>
      </c>
      <c r="N662" t="str">
        <f>""</f>
        <v/>
      </c>
      <c r="O662" t="str">
        <f>"25673"</f>
        <v>25673</v>
      </c>
      <c r="P662" t="str">
        <f t="shared" si="194"/>
        <v>2017</v>
      </c>
      <c r="Q662" t="str">
        <f>""</f>
        <v/>
      </c>
      <c r="R662" t="str">
        <f>"N"</f>
        <v>N</v>
      </c>
      <c r="S662" t="str">
        <f>"2.00"</f>
        <v>2.00</v>
      </c>
      <c r="T662" t="str">
        <f>"527.32"</f>
        <v>527.32</v>
      </c>
      <c r="U662" t="str">
        <f>"34833.00"</f>
        <v>34833.00</v>
      </c>
      <c r="V662" t="str">
        <f>"34833.00"</f>
        <v>34833.00</v>
      </c>
      <c r="W662" t="str">
        <f t="shared" si="195"/>
        <v>2017</v>
      </c>
      <c r="X662" t="str">
        <f>"18.00"</f>
        <v>18.00</v>
      </c>
      <c r="Y662" t="str">
        <f>"575.14"</f>
        <v>575.14</v>
      </c>
      <c r="Z662" t="str">
        <f>""</f>
        <v/>
      </c>
      <c r="AA662" t="str">
        <f>"34833.00"</f>
        <v>34833.00</v>
      </c>
      <c r="AB662" t="str">
        <f t="shared" si="196"/>
        <v>Residential</v>
      </c>
      <c r="AC662" t="str">
        <f t="shared" si="185"/>
        <v>0</v>
      </c>
      <c r="AD662" t="str">
        <f t="shared" si="200"/>
        <v>4</v>
      </c>
      <c r="AE662" t="str">
        <f t="shared" si="201"/>
        <v>WOOD (INCLUDE STEEL STUDS)</v>
      </c>
      <c r="AF662" t="str">
        <f>"002"</f>
        <v>002</v>
      </c>
      <c r="AG662" t="str">
        <f t="shared" si="197"/>
        <v>FL</v>
      </c>
      <c r="AH662" t="str">
        <f>"87120.00"</f>
        <v>87120.00</v>
      </c>
      <c r="AI662" t="str">
        <f>"24000.00"</f>
        <v>24000.00</v>
      </c>
      <c r="AJ662" t="str">
        <f>"C55-000-586-8700-5"</f>
        <v>C55-000-586-8700-5</v>
      </c>
      <c r="AK662" t="str">
        <f>"10451"</f>
        <v>10451</v>
      </c>
      <c r="AL662">
        <v>3</v>
      </c>
      <c r="AM662">
        <v>757</v>
      </c>
      <c r="AN662">
        <v>602.29999999999995</v>
      </c>
      <c r="AQ662" t="s">
        <v>7027</v>
      </c>
      <c r="AR662" t="s">
        <v>7027</v>
      </c>
      <c r="AS662" t="s">
        <v>7027</v>
      </c>
      <c r="AU662" t="s">
        <v>396</v>
      </c>
      <c r="AV662">
        <v>2017</v>
      </c>
      <c r="AW662" t="str">
        <f>"10-1N-25-2880-000C-0012 "</f>
        <v xml:space="preserve">10-1N-25-2880-000C-0012 </v>
      </c>
      <c r="AX662">
        <v>54138</v>
      </c>
      <c r="AZ662" t="s">
        <v>2234</v>
      </c>
      <c r="BA662" t="s">
        <v>496</v>
      </c>
      <c r="BD662" t="s">
        <v>2785</v>
      </c>
      <c r="BE662" t="s">
        <v>393</v>
      </c>
      <c r="BF662">
        <v>32011</v>
      </c>
      <c r="BG662" t="s">
        <v>7028</v>
      </c>
      <c r="BH662" t="s">
        <v>2787</v>
      </c>
      <c r="BI662">
        <v>-81.795527750030701</v>
      </c>
      <c r="BJ662">
        <v>30.52469581255</v>
      </c>
      <c r="BK662" t="s">
        <v>7029</v>
      </c>
      <c r="BM662" t="s">
        <v>7030</v>
      </c>
      <c r="BN662" t="s">
        <v>928</v>
      </c>
      <c r="BO662">
        <v>32011</v>
      </c>
      <c r="BP662" t="s">
        <v>404</v>
      </c>
      <c r="BQ662">
        <v>200</v>
      </c>
      <c r="BR662" t="s">
        <v>405</v>
      </c>
      <c r="BS662">
        <v>1006</v>
      </c>
      <c r="BT662" t="s">
        <v>406</v>
      </c>
      <c r="BW662">
        <v>87120</v>
      </c>
      <c r="BX662" t="s">
        <v>407</v>
      </c>
      <c r="BY662" t="s">
        <v>408</v>
      </c>
      <c r="BZ662">
        <v>4</v>
      </c>
      <c r="CA662">
        <v>1980</v>
      </c>
      <c r="CC662">
        <v>1</v>
      </c>
      <c r="CD662">
        <v>2017</v>
      </c>
      <c r="CE662">
        <v>24000</v>
      </c>
      <c r="CF662">
        <v>10833</v>
      </c>
      <c r="CG662">
        <v>34833</v>
      </c>
      <c r="CH662">
        <v>2017</v>
      </c>
      <c r="CI662">
        <v>24000</v>
      </c>
      <c r="CJ662">
        <v>10833</v>
      </c>
      <c r="CK662">
        <v>34833</v>
      </c>
      <c r="CL662">
        <v>2017</v>
      </c>
      <c r="CM662">
        <v>527.32000000000005</v>
      </c>
      <c r="CN662" s="1">
        <v>40315</v>
      </c>
      <c r="CO662">
        <v>94100</v>
      </c>
      <c r="CV662">
        <v>0</v>
      </c>
      <c r="CZ662" s="1">
        <v>40315</v>
      </c>
      <c r="DA662">
        <v>0</v>
      </c>
      <c r="DD662" t="s">
        <v>2785</v>
      </c>
      <c r="DF662">
        <v>3</v>
      </c>
      <c r="DG662">
        <v>10</v>
      </c>
      <c r="DL662">
        <v>50502</v>
      </c>
      <c r="DM662" t="s">
        <v>6938</v>
      </c>
      <c r="DO662" t="s">
        <v>7031</v>
      </c>
      <c r="DP662">
        <v>0</v>
      </c>
      <c r="DQ662">
        <v>1</v>
      </c>
      <c r="DR662" t="s">
        <v>1479</v>
      </c>
      <c r="DS662" t="b">
        <v>1</v>
      </c>
      <c r="DT662" t="s">
        <v>470</v>
      </c>
      <c r="DU662" t="s">
        <v>471</v>
      </c>
      <c r="DV662" t="s">
        <v>472</v>
      </c>
      <c r="DX662">
        <v>-9999</v>
      </c>
      <c r="DZ662" t="s">
        <v>447</v>
      </c>
      <c r="EA662" t="s">
        <v>448</v>
      </c>
      <c r="EB662" t="s">
        <v>742</v>
      </c>
      <c r="EC662">
        <v>20101217</v>
      </c>
      <c r="ED662" t="s">
        <v>474</v>
      </c>
      <c r="EF662">
        <v>2456.6</v>
      </c>
      <c r="EG662">
        <v>2456.6</v>
      </c>
      <c r="EI662">
        <v>20160407</v>
      </c>
      <c r="EJ662">
        <v>0</v>
      </c>
      <c r="EK662">
        <v>0</v>
      </c>
      <c r="EP662" t="s">
        <v>421</v>
      </c>
      <c r="EQ662" t="s">
        <v>422</v>
      </c>
      <c r="ER662">
        <v>0</v>
      </c>
      <c r="ES662">
        <v>9</v>
      </c>
      <c r="ET662">
        <v>0</v>
      </c>
      <c r="EU662">
        <v>0</v>
      </c>
      <c r="EV662">
        <v>0</v>
      </c>
      <c r="EW662" s="2">
        <v>43222</v>
      </c>
      <c r="EX662" s="1">
        <v>42879</v>
      </c>
      <c r="EY662">
        <v>2016</v>
      </c>
      <c r="EZ662">
        <v>651.51</v>
      </c>
      <c r="FA662" t="s">
        <v>7032</v>
      </c>
      <c r="FB662">
        <v>0.25</v>
      </c>
      <c r="FC662" t="s">
        <v>424</v>
      </c>
      <c r="FD662" t="s">
        <v>425</v>
      </c>
      <c r="FE662" s="1">
        <v>43146</v>
      </c>
      <c r="FF662">
        <v>9</v>
      </c>
      <c r="FG662">
        <v>2851116</v>
      </c>
      <c r="FH662" t="s">
        <v>480</v>
      </c>
      <c r="FJ662" s="1">
        <v>42879</v>
      </c>
      <c r="FK662">
        <v>2016</v>
      </c>
      <c r="FL662">
        <v>651.51</v>
      </c>
      <c r="FM662" t="s">
        <v>7032</v>
      </c>
      <c r="FN662">
        <v>0.25</v>
      </c>
      <c r="FO662" t="s">
        <v>424</v>
      </c>
      <c r="FP662" t="s">
        <v>425</v>
      </c>
      <c r="FR662">
        <v>22</v>
      </c>
      <c r="FS662">
        <v>4901990</v>
      </c>
      <c r="FT662" t="s">
        <v>7033</v>
      </c>
      <c r="FV662" s="1">
        <v>42515</v>
      </c>
      <c r="FW662">
        <v>2015</v>
      </c>
      <c r="FX662">
        <v>665.46</v>
      </c>
      <c r="FY662" t="s">
        <v>7034</v>
      </c>
      <c r="FZ662">
        <v>0.25</v>
      </c>
      <c r="GA662" t="s">
        <v>424</v>
      </c>
      <c r="GB662" t="s">
        <v>425</v>
      </c>
      <c r="GC662" s="1">
        <v>43041</v>
      </c>
      <c r="GD662">
        <v>18</v>
      </c>
      <c r="GE662">
        <v>2851116</v>
      </c>
      <c r="GF662" t="s">
        <v>480</v>
      </c>
      <c r="GH662" s="1">
        <v>42515</v>
      </c>
      <c r="GI662">
        <v>2015</v>
      </c>
      <c r="GJ662">
        <v>665.46</v>
      </c>
      <c r="GK662" t="s">
        <v>7034</v>
      </c>
      <c r="GL662">
        <v>0.25</v>
      </c>
      <c r="GM662" t="s">
        <v>424</v>
      </c>
      <c r="GN662" t="s">
        <v>425</v>
      </c>
      <c r="GP662">
        <v>22</v>
      </c>
      <c r="GQ662">
        <v>5527446</v>
      </c>
      <c r="GR662" t="s">
        <v>7035</v>
      </c>
      <c r="GT662" s="1">
        <v>42151</v>
      </c>
      <c r="GU662">
        <v>2014</v>
      </c>
      <c r="GV662">
        <v>614.20000000000005</v>
      </c>
      <c r="GW662" t="s">
        <v>7036</v>
      </c>
      <c r="GX662">
        <v>0.25</v>
      </c>
      <c r="GY662" t="s">
        <v>424</v>
      </c>
      <c r="GZ662" t="s">
        <v>425</v>
      </c>
      <c r="HA662" s="1">
        <v>42755</v>
      </c>
      <c r="HB662">
        <v>20</v>
      </c>
      <c r="HC662">
        <v>2851116</v>
      </c>
      <c r="HD662" t="s">
        <v>480</v>
      </c>
      <c r="HF662" s="1">
        <v>42151</v>
      </c>
      <c r="HG662">
        <v>2014</v>
      </c>
      <c r="HH662">
        <v>614.20000000000005</v>
      </c>
      <c r="HI662" t="s">
        <v>7036</v>
      </c>
      <c r="HJ662">
        <v>0.25</v>
      </c>
      <c r="HK662" t="s">
        <v>424</v>
      </c>
      <c r="HL662" t="s">
        <v>425</v>
      </c>
      <c r="HN662">
        <v>22</v>
      </c>
      <c r="HO662">
        <v>5311234</v>
      </c>
      <c r="HP662" t="s">
        <v>7037</v>
      </c>
      <c r="HR662" s="1">
        <v>41787</v>
      </c>
      <c r="HS662">
        <v>2013</v>
      </c>
      <c r="HT662">
        <v>625.71</v>
      </c>
      <c r="HU662" t="s">
        <v>7038</v>
      </c>
      <c r="HV662">
        <v>2.25</v>
      </c>
      <c r="HW662" t="s">
        <v>424</v>
      </c>
      <c r="HX662" t="s">
        <v>425</v>
      </c>
      <c r="HY662" s="1">
        <v>42465</v>
      </c>
      <c r="HZ662">
        <v>23</v>
      </c>
      <c r="IA662">
        <v>15399</v>
      </c>
      <c r="IB662" t="s">
        <v>485</v>
      </c>
      <c r="ID662" s="1">
        <v>41423</v>
      </c>
      <c r="IE662">
        <v>2012</v>
      </c>
      <c r="IF662">
        <v>636.07000000000005</v>
      </c>
      <c r="IG662" t="s">
        <v>7039</v>
      </c>
      <c r="IH662">
        <v>3.75</v>
      </c>
      <c r="II662" t="s">
        <v>424</v>
      </c>
      <c r="IJ662" t="s">
        <v>425</v>
      </c>
      <c r="IK662" s="1">
        <v>42003</v>
      </c>
      <c r="IL662">
        <v>19</v>
      </c>
      <c r="IM662">
        <v>1625515</v>
      </c>
      <c r="IN662" t="s">
        <v>487</v>
      </c>
      <c r="IP662" s="1">
        <v>41052</v>
      </c>
      <c r="IQ662">
        <v>2011</v>
      </c>
      <c r="IR662">
        <v>746.42</v>
      </c>
      <c r="IS662" t="s">
        <v>7040</v>
      </c>
      <c r="IT662">
        <v>5.75</v>
      </c>
      <c r="IU662" t="s">
        <v>424</v>
      </c>
      <c r="IV662" t="s">
        <v>425</v>
      </c>
      <c r="IW662" s="1">
        <v>41638</v>
      </c>
      <c r="IX662">
        <v>19</v>
      </c>
      <c r="IY662">
        <v>10125</v>
      </c>
      <c r="IZ662" t="s">
        <v>440</v>
      </c>
    </row>
    <row r="663" spans="1:272" x14ac:dyDescent="0.25">
      <c r="A663">
        <v>16485670</v>
      </c>
      <c r="B663">
        <v>662</v>
      </c>
      <c r="C663" t="s">
        <v>393</v>
      </c>
      <c r="D663" t="s">
        <v>394</v>
      </c>
      <c r="F663" t="str">
        <f>"10-1N-25-2882-0006-0000"</f>
        <v>10-1N-25-2882-0006-0000</v>
      </c>
      <c r="H663" t="str">
        <f>"SWAIN CYNTHIA"</f>
        <v>SWAIN CYNTHIA</v>
      </c>
      <c r="I663" t="str">
        <f>"54115 SUNSHINE DRIVE"</f>
        <v>54115 SUNSHINE DRIVE</v>
      </c>
      <c r="J663" t="str">
        <f t="shared" si="203"/>
        <v>CALLAHAN FL 32011</v>
      </c>
      <c r="K663" t="str">
        <f>"54115 SUNSHINE DR"</f>
        <v>54115 SUNSHINE DR</v>
      </c>
      <c r="L663" t="str">
        <f t="shared" si="202"/>
        <v>CALLAHAN FL 32011</v>
      </c>
      <c r="M663" t="str">
        <f>"LOT 6 IN OR 1513/81 NASSAU PLANTATIONS 2 PB 5/109"</f>
        <v>LOT 6 IN OR 1513/81 NASSAU PLANTATIONS 2 PB 5/109</v>
      </c>
      <c r="N663" t="str">
        <f>""</f>
        <v/>
      </c>
      <c r="O663" t="str">
        <f>"25692"</f>
        <v>25692</v>
      </c>
      <c r="P663" t="str">
        <f t="shared" si="194"/>
        <v>2017</v>
      </c>
      <c r="Q663" t="str">
        <f>""</f>
        <v/>
      </c>
      <c r="R663" t="str">
        <f>"N"</f>
        <v>N</v>
      </c>
      <c r="S663" t="str">
        <f>""</f>
        <v/>
      </c>
      <c r="T663" t="str">
        <f>"375.67"</f>
        <v>375.67</v>
      </c>
      <c r="U663" t="str">
        <f>"24815.00"</f>
        <v>24815.00</v>
      </c>
      <c r="V663" t="str">
        <f>"24815.00"</f>
        <v>24815.00</v>
      </c>
      <c r="W663" t="str">
        <f t="shared" si="195"/>
        <v>2017</v>
      </c>
      <c r="X663" t="str">
        <f>"16.86"</f>
        <v>16.86</v>
      </c>
      <c r="Y663" t="str">
        <f>"418.94"</f>
        <v>418.94</v>
      </c>
      <c r="Z663" t="str">
        <f>""</f>
        <v/>
      </c>
      <c r="AA663" t="str">
        <f>"24815.00"</f>
        <v>24815.00</v>
      </c>
      <c r="AB663" t="str">
        <f t="shared" si="196"/>
        <v>Residential</v>
      </c>
      <c r="AC663" t="str">
        <f t="shared" si="185"/>
        <v>0</v>
      </c>
      <c r="AD663" t="str">
        <f t="shared" si="200"/>
        <v>4</v>
      </c>
      <c r="AE663" t="str">
        <f t="shared" si="201"/>
        <v>WOOD (INCLUDE STEEL STUDS)</v>
      </c>
      <c r="AF663" t="str">
        <f>"002"</f>
        <v>002</v>
      </c>
      <c r="AG663" t="str">
        <f t="shared" si="197"/>
        <v>FL</v>
      </c>
      <c r="AH663" t="str">
        <f>"43300.00"</f>
        <v>43300.00</v>
      </c>
      <c r="AI663" t="str">
        <f>"13500.00"</f>
        <v>13500.00</v>
      </c>
      <c r="AJ663" t="str">
        <f>"C55-000-586-8715-3"</f>
        <v>C55-000-586-8715-3</v>
      </c>
      <c r="AK663" t="str">
        <f>"10561"</f>
        <v>10561</v>
      </c>
      <c r="AL663">
        <v>3</v>
      </c>
      <c r="AM663">
        <v>758</v>
      </c>
      <c r="AN663">
        <v>438.29</v>
      </c>
      <c r="AQ663" t="s">
        <v>7041</v>
      </c>
      <c r="AR663" t="s">
        <v>7041</v>
      </c>
      <c r="AS663" t="s">
        <v>7041</v>
      </c>
      <c r="AU663" t="s">
        <v>396</v>
      </c>
      <c r="AV663">
        <v>2017</v>
      </c>
      <c r="AW663" t="str">
        <f>"10-1N-25-2882-0006-0000 "</f>
        <v xml:space="preserve">10-1N-25-2882-0006-0000 </v>
      </c>
      <c r="AX663">
        <v>54115</v>
      </c>
      <c r="AZ663" t="s">
        <v>7042</v>
      </c>
      <c r="BA663" t="s">
        <v>669</v>
      </c>
      <c r="BD663" t="s">
        <v>2785</v>
      </c>
      <c r="BE663" t="s">
        <v>393</v>
      </c>
      <c r="BF663">
        <v>32011</v>
      </c>
      <c r="BG663" t="s">
        <v>7043</v>
      </c>
      <c r="BH663" t="s">
        <v>2787</v>
      </c>
      <c r="BI663">
        <v>-81.795137417308595</v>
      </c>
      <c r="BJ663">
        <v>30.522627738190401</v>
      </c>
      <c r="BK663" t="s">
        <v>7044</v>
      </c>
      <c r="BM663" t="s">
        <v>7043</v>
      </c>
      <c r="BN663" t="s">
        <v>928</v>
      </c>
      <c r="BO663">
        <v>32011</v>
      </c>
      <c r="BP663" t="s">
        <v>416</v>
      </c>
      <c r="BQ663">
        <v>200</v>
      </c>
      <c r="BR663" t="s">
        <v>405</v>
      </c>
      <c r="BS663">
        <v>1006</v>
      </c>
      <c r="BT663" t="s">
        <v>406</v>
      </c>
      <c r="BW663">
        <v>43563</v>
      </c>
      <c r="BX663" t="s">
        <v>407</v>
      </c>
      <c r="BY663" t="s">
        <v>408</v>
      </c>
      <c r="BZ663">
        <v>4</v>
      </c>
      <c r="CA663">
        <v>1984</v>
      </c>
      <c r="CB663">
        <v>1</v>
      </c>
      <c r="CC663">
        <v>1</v>
      </c>
      <c r="CD663">
        <v>2017</v>
      </c>
      <c r="CE663">
        <v>13500</v>
      </c>
      <c r="CF663">
        <v>11315</v>
      </c>
      <c r="CG663">
        <v>24815</v>
      </c>
      <c r="CH663">
        <v>2017</v>
      </c>
      <c r="CI663">
        <v>13500</v>
      </c>
      <c r="CJ663">
        <v>11315</v>
      </c>
      <c r="CK663">
        <v>24815</v>
      </c>
      <c r="CL663">
        <v>2017</v>
      </c>
      <c r="CM663">
        <v>375.67</v>
      </c>
      <c r="CN663" s="1">
        <v>39336</v>
      </c>
      <c r="CO663">
        <v>79500</v>
      </c>
      <c r="CV663">
        <v>0</v>
      </c>
      <c r="CZ663" s="1">
        <v>39336</v>
      </c>
      <c r="DA663">
        <v>0</v>
      </c>
      <c r="DD663" t="s">
        <v>2785</v>
      </c>
      <c r="DG663">
        <v>10</v>
      </c>
      <c r="DJ663" t="s">
        <v>6968</v>
      </c>
      <c r="DL663">
        <v>50502</v>
      </c>
      <c r="DM663" t="s">
        <v>6938</v>
      </c>
      <c r="DO663" t="s">
        <v>7045</v>
      </c>
      <c r="DP663">
        <v>0</v>
      </c>
      <c r="DQ663">
        <v>0</v>
      </c>
      <c r="DR663" t="s">
        <v>411</v>
      </c>
      <c r="DS663" t="b">
        <v>1</v>
      </c>
      <c r="DT663" t="s">
        <v>470</v>
      </c>
      <c r="DU663" t="s">
        <v>471</v>
      </c>
      <c r="DV663" t="s">
        <v>472</v>
      </c>
      <c r="DX663">
        <v>-9999</v>
      </c>
      <c r="DZ663" t="s">
        <v>447</v>
      </c>
      <c r="EA663" t="s">
        <v>448</v>
      </c>
      <c r="EB663" t="s">
        <v>742</v>
      </c>
      <c r="EC663">
        <v>20101217</v>
      </c>
      <c r="ED663" t="s">
        <v>474</v>
      </c>
      <c r="EF663">
        <v>1922.2</v>
      </c>
      <c r="EG663">
        <v>1922.2</v>
      </c>
      <c r="EI663">
        <v>20160407</v>
      </c>
      <c r="EJ663">
        <v>0</v>
      </c>
      <c r="EK663">
        <v>0</v>
      </c>
      <c r="EP663" t="s">
        <v>421</v>
      </c>
      <c r="EQ663" t="s">
        <v>422</v>
      </c>
      <c r="ER663">
        <v>2</v>
      </c>
      <c r="ES663">
        <v>5</v>
      </c>
      <c r="ET663">
        <v>877.96</v>
      </c>
      <c r="EU663">
        <v>56.4</v>
      </c>
      <c r="EV663">
        <v>934.36</v>
      </c>
      <c r="EW663" s="2">
        <v>43222</v>
      </c>
      <c r="EX663" s="1">
        <v>42879</v>
      </c>
      <c r="EY663">
        <v>2016</v>
      </c>
      <c r="EZ663">
        <v>438.98</v>
      </c>
      <c r="FA663" t="s">
        <v>7046</v>
      </c>
      <c r="FB663">
        <v>0.25</v>
      </c>
      <c r="FC663" t="s">
        <v>424</v>
      </c>
      <c r="FD663" t="s">
        <v>454</v>
      </c>
      <c r="FF663">
        <v>12</v>
      </c>
      <c r="FG663">
        <v>7400234</v>
      </c>
      <c r="FH663" t="s">
        <v>426</v>
      </c>
      <c r="FJ663" s="1">
        <v>42879</v>
      </c>
      <c r="FK663">
        <v>2016</v>
      </c>
      <c r="FL663">
        <v>438.98</v>
      </c>
      <c r="FM663" t="s">
        <v>7046</v>
      </c>
      <c r="FN663">
        <v>0.25</v>
      </c>
      <c r="FO663" t="s">
        <v>424</v>
      </c>
      <c r="FP663" t="s">
        <v>454</v>
      </c>
      <c r="FR663">
        <v>12</v>
      </c>
      <c r="FS663">
        <v>7439456</v>
      </c>
      <c r="FT663" t="s">
        <v>7047</v>
      </c>
      <c r="FV663" s="1">
        <v>42515</v>
      </c>
      <c r="FW663">
        <v>2015</v>
      </c>
      <c r="FX663">
        <v>437.63</v>
      </c>
      <c r="FY663" t="s">
        <v>7048</v>
      </c>
      <c r="FZ663">
        <v>6</v>
      </c>
      <c r="GA663" t="s">
        <v>424</v>
      </c>
      <c r="GB663" t="s">
        <v>425</v>
      </c>
      <c r="GC663" s="1">
        <v>43159</v>
      </c>
      <c r="GD663">
        <v>21</v>
      </c>
      <c r="GE663">
        <v>2035919</v>
      </c>
      <c r="GF663" t="s">
        <v>507</v>
      </c>
      <c r="GH663" s="1">
        <v>42151</v>
      </c>
      <c r="GI663">
        <v>2014</v>
      </c>
      <c r="GJ663">
        <v>382.23</v>
      </c>
      <c r="GK663" t="s">
        <v>7049</v>
      </c>
      <c r="GL663">
        <v>3.75</v>
      </c>
      <c r="GM663" t="s">
        <v>424</v>
      </c>
      <c r="GN663" t="s">
        <v>425</v>
      </c>
      <c r="GO663" s="1">
        <v>42793</v>
      </c>
      <c r="GP663">
        <v>21</v>
      </c>
      <c r="GQ663">
        <v>4975593</v>
      </c>
      <c r="GR663" t="s">
        <v>505</v>
      </c>
      <c r="GT663" s="1">
        <v>41787</v>
      </c>
      <c r="GU663">
        <v>2013</v>
      </c>
      <c r="GV663">
        <v>321.27</v>
      </c>
      <c r="GW663" t="s">
        <v>7050</v>
      </c>
      <c r="GX663">
        <v>7.25</v>
      </c>
      <c r="GY663" t="s">
        <v>424</v>
      </c>
      <c r="GZ663" t="s">
        <v>425</v>
      </c>
      <c r="HA663" s="1">
        <v>42426</v>
      </c>
      <c r="HB663">
        <v>21</v>
      </c>
      <c r="HC663">
        <v>2035919</v>
      </c>
      <c r="HD663" t="s">
        <v>507</v>
      </c>
      <c r="HF663" s="1">
        <v>41423</v>
      </c>
      <c r="HG663">
        <v>2012</v>
      </c>
      <c r="HH663">
        <v>325.02</v>
      </c>
      <c r="HI663" t="s">
        <v>7051</v>
      </c>
      <c r="HJ663">
        <v>5.75</v>
      </c>
      <c r="HK663" t="s">
        <v>424</v>
      </c>
      <c r="HL663" t="s">
        <v>425</v>
      </c>
      <c r="HM663" s="1">
        <v>42045</v>
      </c>
      <c r="HN663">
        <v>21</v>
      </c>
      <c r="HO663">
        <v>2101381</v>
      </c>
      <c r="HP663" t="s">
        <v>605</v>
      </c>
      <c r="HR663" s="1">
        <v>41052</v>
      </c>
      <c r="HS663">
        <v>2011</v>
      </c>
      <c r="HT663">
        <v>472.31</v>
      </c>
      <c r="HU663" t="s">
        <v>7052</v>
      </c>
      <c r="HV663">
        <v>6</v>
      </c>
      <c r="HW663" t="s">
        <v>424</v>
      </c>
      <c r="HX663" t="s">
        <v>425</v>
      </c>
      <c r="HY663" s="1">
        <v>41400</v>
      </c>
      <c r="HZ663">
        <v>12</v>
      </c>
      <c r="IA663">
        <v>10125</v>
      </c>
      <c r="IB663" t="s">
        <v>440</v>
      </c>
    </row>
    <row r="664" spans="1:272" x14ac:dyDescent="0.25">
      <c r="A664">
        <v>16485671</v>
      </c>
      <c r="B664">
        <v>663</v>
      </c>
      <c r="C664" t="s">
        <v>393</v>
      </c>
      <c r="D664" t="s">
        <v>394</v>
      </c>
      <c r="F664" t="str">
        <f>"10-1N-25-2882-0011-0000"</f>
        <v>10-1N-25-2882-0011-0000</v>
      </c>
      <c r="H664" t="str">
        <f>"MATHIS GLORIA L &amp; MATHIS JAMES H EST"</f>
        <v>MATHIS GLORIA L &amp; MATHIS JAMES H EST</v>
      </c>
      <c r="I664" t="str">
        <f>"54072 SUNSHINE DRIVE"</f>
        <v>54072 SUNSHINE DRIVE</v>
      </c>
      <c r="J664" t="str">
        <f t="shared" si="203"/>
        <v>CALLAHAN FL 32011</v>
      </c>
      <c r="K664" t="str">
        <f>"54072 SUNSHINE DR"</f>
        <v>54072 SUNSHINE DR</v>
      </c>
      <c r="L664" t="str">
        <f t="shared" si="202"/>
        <v>CALLAHAN FL 32011</v>
      </c>
      <c r="M664" t="str">
        <f>"LOT 11 IN OR 539 PG 378 R567984 &amp; R567985 NASSAU PLANTATIONS 2 PB 5/109"</f>
        <v>LOT 11 IN OR 539 PG 378 R567984 &amp; R567985 NASSAU PLANTATIONS 2 PB 5/109</v>
      </c>
      <c r="N664" t="str">
        <f>""</f>
        <v/>
      </c>
      <c r="O664" t="str">
        <f>"25697"</f>
        <v>25697</v>
      </c>
      <c r="P664" t="str">
        <f t="shared" si="194"/>
        <v>2017</v>
      </c>
      <c r="Q664" t="str">
        <f>""</f>
        <v/>
      </c>
      <c r="R664" t="str">
        <f>"Y"</f>
        <v>Y</v>
      </c>
      <c r="S664" t="str">
        <f>""</f>
        <v/>
      </c>
      <c r="T664" t="str">
        <f>"268.52"</f>
        <v>268.52</v>
      </c>
      <c r="U664" t="str">
        <f>"32196.00"</f>
        <v>32196.00</v>
      </c>
      <c r="V664" t="str">
        <f>"32196.00"</f>
        <v>32196.00</v>
      </c>
      <c r="W664" t="str">
        <f t="shared" si="195"/>
        <v>2017</v>
      </c>
      <c r="X664" t="str">
        <f>"20.00"</f>
        <v>20.00</v>
      </c>
      <c r="Y664" t="str">
        <f>"308.58"</f>
        <v>308.58</v>
      </c>
      <c r="Z664" t="str">
        <f>"15999.00"</f>
        <v>15999.00</v>
      </c>
      <c r="AA664" t="str">
        <f>"19730.00"</f>
        <v>19730.00</v>
      </c>
      <c r="AB664" t="str">
        <f t="shared" si="196"/>
        <v>Residential</v>
      </c>
      <c r="AC664" t="str">
        <f t="shared" ref="AC664:AC727" si="204">"0"</f>
        <v>0</v>
      </c>
      <c r="AD664" t="str">
        <f t="shared" si="200"/>
        <v>4</v>
      </c>
      <c r="AE664" t="str">
        <f t="shared" si="201"/>
        <v>WOOD (INCLUDE STEEL STUDS)</v>
      </c>
      <c r="AF664" t="str">
        <f>"002"</f>
        <v>002</v>
      </c>
      <c r="AG664" t="str">
        <f t="shared" si="197"/>
        <v>FL</v>
      </c>
      <c r="AH664" t="str">
        <f>"43452.00"</f>
        <v>43452.00</v>
      </c>
      <c r="AI664" t="str">
        <f>"13500.00"</f>
        <v>13500.00</v>
      </c>
      <c r="AJ664" t="str">
        <f>"C55-000-586-8720-3"</f>
        <v>C55-000-586-8720-3</v>
      </c>
      <c r="AK664" t="str">
        <f>"10566"</f>
        <v>10566</v>
      </c>
      <c r="AL664">
        <v>3</v>
      </c>
      <c r="AM664">
        <v>759</v>
      </c>
      <c r="AN664">
        <v>322.41000000000003</v>
      </c>
      <c r="AQ664" t="s">
        <v>7053</v>
      </c>
      <c r="AR664" t="s">
        <v>7053</v>
      </c>
      <c r="AS664" t="s">
        <v>7053</v>
      </c>
      <c r="AU664" t="s">
        <v>396</v>
      </c>
      <c r="AV664">
        <v>2017</v>
      </c>
      <c r="AW664" t="str">
        <f>"10-1N-25-2882-0011-0000 "</f>
        <v xml:space="preserve">10-1N-25-2882-0011-0000 </v>
      </c>
      <c r="AX664">
        <v>54072</v>
      </c>
      <c r="AZ664" t="s">
        <v>7042</v>
      </c>
      <c r="BA664" t="s">
        <v>669</v>
      </c>
      <c r="BD664" t="s">
        <v>2785</v>
      </c>
      <c r="BE664" t="s">
        <v>393</v>
      </c>
      <c r="BF664">
        <v>32011</v>
      </c>
      <c r="BG664" t="s">
        <v>7054</v>
      </c>
      <c r="BH664" t="s">
        <v>2787</v>
      </c>
      <c r="BI664">
        <v>-81.793760737281502</v>
      </c>
      <c r="BJ664">
        <v>30.522056898651101</v>
      </c>
      <c r="BK664" t="s">
        <v>7055</v>
      </c>
      <c r="BL664" t="s">
        <v>7056</v>
      </c>
      <c r="BM664" t="s">
        <v>7054</v>
      </c>
      <c r="BN664" t="s">
        <v>928</v>
      </c>
      <c r="BO664">
        <v>32011</v>
      </c>
      <c r="BP664" t="s">
        <v>416</v>
      </c>
      <c r="BQ664">
        <v>200</v>
      </c>
      <c r="BR664" t="s">
        <v>405</v>
      </c>
      <c r="BS664">
        <v>1006</v>
      </c>
      <c r="BT664" t="s">
        <v>406</v>
      </c>
      <c r="BW664">
        <v>43558</v>
      </c>
      <c r="BX664" t="s">
        <v>407</v>
      </c>
      <c r="BY664" t="s">
        <v>408</v>
      </c>
      <c r="BZ664">
        <v>4</v>
      </c>
      <c r="CA664">
        <v>1993</v>
      </c>
      <c r="CB664">
        <v>1</v>
      </c>
      <c r="CC664">
        <v>1</v>
      </c>
      <c r="CD664">
        <v>2017</v>
      </c>
      <c r="CG664">
        <v>35729</v>
      </c>
      <c r="CH664">
        <v>2017</v>
      </c>
      <c r="CI664">
        <v>13500</v>
      </c>
      <c r="CJ664">
        <v>26961</v>
      </c>
      <c r="CK664">
        <v>40461</v>
      </c>
      <c r="CL664">
        <v>2017</v>
      </c>
      <c r="CM664">
        <v>268.52</v>
      </c>
      <c r="CN664" s="1">
        <v>32225</v>
      </c>
      <c r="CO664">
        <v>12000</v>
      </c>
      <c r="CZ664" s="1">
        <v>32225</v>
      </c>
      <c r="DD664" t="s">
        <v>2785</v>
      </c>
      <c r="DF664">
        <v>11</v>
      </c>
      <c r="DG664">
        <v>10</v>
      </c>
      <c r="DL664">
        <v>50502</v>
      </c>
      <c r="DM664" t="s">
        <v>6938</v>
      </c>
      <c r="DO664" t="s">
        <v>7057</v>
      </c>
      <c r="DP664">
        <v>0</v>
      </c>
      <c r="DQ664">
        <v>0</v>
      </c>
      <c r="DR664" t="s">
        <v>411</v>
      </c>
      <c r="DS664" t="b">
        <v>1</v>
      </c>
      <c r="DT664" t="s">
        <v>470</v>
      </c>
      <c r="DU664" t="s">
        <v>471</v>
      </c>
      <c r="DV664" t="s">
        <v>472</v>
      </c>
      <c r="DX664">
        <v>-9999</v>
      </c>
      <c r="DZ664" t="s">
        <v>447</v>
      </c>
      <c r="EA664" t="s">
        <v>448</v>
      </c>
      <c r="EB664" t="s">
        <v>742</v>
      </c>
      <c r="EC664">
        <v>20101217</v>
      </c>
      <c r="ED664" t="s">
        <v>474</v>
      </c>
      <c r="EF664">
        <v>2104.1</v>
      </c>
      <c r="EG664">
        <v>2104.1</v>
      </c>
      <c r="EI664">
        <v>20160407</v>
      </c>
      <c r="EJ664">
        <v>0</v>
      </c>
      <c r="EK664">
        <v>0</v>
      </c>
      <c r="EP664" t="s">
        <v>421</v>
      </c>
      <c r="EQ664" t="s">
        <v>422</v>
      </c>
      <c r="ER664">
        <v>4</v>
      </c>
      <c r="ES664">
        <v>1</v>
      </c>
      <c r="ET664">
        <v>1167.2</v>
      </c>
      <c r="EU664">
        <v>83.36</v>
      </c>
      <c r="EV664">
        <v>1250.56</v>
      </c>
      <c r="EW664" s="2">
        <v>43222</v>
      </c>
      <c r="EX664" s="1">
        <v>42879</v>
      </c>
      <c r="EY664">
        <v>2016</v>
      </c>
      <c r="EZ664">
        <v>270.70999999999998</v>
      </c>
      <c r="FA664" t="s">
        <v>7058</v>
      </c>
      <c r="FB664">
        <v>0.25</v>
      </c>
      <c r="FC664" t="s">
        <v>424</v>
      </c>
      <c r="FD664" t="s">
        <v>454</v>
      </c>
      <c r="FF664">
        <v>12</v>
      </c>
      <c r="FG664">
        <v>2851116</v>
      </c>
      <c r="FH664" t="s">
        <v>480</v>
      </c>
      <c r="FJ664" s="1">
        <v>42879</v>
      </c>
      <c r="FK664">
        <v>2016</v>
      </c>
      <c r="FL664">
        <v>270.70999999999998</v>
      </c>
      <c r="FM664" t="s">
        <v>7058</v>
      </c>
      <c r="FN664">
        <v>0.25</v>
      </c>
      <c r="FO664" t="s">
        <v>424</v>
      </c>
      <c r="FP664" t="s">
        <v>454</v>
      </c>
      <c r="FR664">
        <v>12</v>
      </c>
      <c r="FS664">
        <v>5358944</v>
      </c>
      <c r="FT664" t="s">
        <v>7059</v>
      </c>
      <c r="FV664" s="1">
        <v>42515</v>
      </c>
      <c r="FW664">
        <v>2015</v>
      </c>
      <c r="FX664">
        <v>312.89</v>
      </c>
      <c r="FY664" t="s">
        <v>7060</v>
      </c>
      <c r="FZ664">
        <v>0.25</v>
      </c>
      <c r="GA664" t="s">
        <v>424</v>
      </c>
      <c r="GB664" t="s">
        <v>454</v>
      </c>
      <c r="GD664">
        <v>24</v>
      </c>
      <c r="GE664">
        <v>2851116</v>
      </c>
      <c r="GF664" t="s">
        <v>480</v>
      </c>
      <c r="GH664" s="1">
        <v>42515</v>
      </c>
      <c r="GI664">
        <v>2015</v>
      </c>
      <c r="GJ664">
        <v>312.89</v>
      </c>
      <c r="GK664" t="s">
        <v>7060</v>
      </c>
      <c r="GL664">
        <v>0.25</v>
      </c>
      <c r="GM664" t="s">
        <v>424</v>
      </c>
      <c r="GN664" t="s">
        <v>454</v>
      </c>
      <c r="GP664">
        <v>24</v>
      </c>
      <c r="GQ664">
        <v>5407345</v>
      </c>
      <c r="GR664" t="s">
        <v>7061</v>
      </c>
      <c r="GT664" s="1">
        <v>40688</v>
      </c>
      <c r="GU664">
        <v>2010</v>
      </c>
      <c r="GV664">
        <v>531.16</v>
      </c>
      <c r="GW664" t="s">
        <v>7062</v>
      </c>
      <c r="GX664">
        <v>7</v>
      </c>
      <c r="GY664" t="s">
        <v>424</v>
      </c>
      <c r="GZ664" t="s">
        <v>425</v>
      </c>
      <c r="HA664" s="1">
        <v>40898</v>
      </c>
      <c r="HB664">
        <v>7</v>
      </c>
      <c r="HC664">
        <v>62</v>
      </c>
      <c r="HD664" t="s">
        <v>463</v>
      </c>
    </row>
    <row r="665" spans="1:272" x14ac:dyDescent="0.25">
      <c r="A665">
        <v>16485672</v>
      </c>
      <c r="B665">
        <v>664</v>
      </c>
      <c r="C665" t="s">
        <v>393</v>
      </c>
      <c r="D665" t="s">
        <v>394</v>
      </c>
      <c r="F665" t="str">
        <f>"10-1N-25-2882-0015-0000"</f>
        <v>10-1N-25-2882-0015-0000</v>
      </c>
      <c r="H665" t="str">
        <f>"FARMER DANIEL C SR"</f>
        <v>FARMER DANIEL C SR</v>
      </c>
      <c r="I665" t="str">
        <f>"54180 SUNSHINE DR"</f>
        <v>54180 SUNSHINE DR</v>
      </c>
      <c r="J665" t="str">
        <f t="shared" si="203"/>
        <v>CALLAHAN FL 32011</v>
      </c>
      <c r="K665" t="str">
        <f>"54180 SUNSHINE DR"</f>
        <v>54180 SUNSHINE DR</v>
      </c>
      <c r="L665" t="str">
        <f t="shared" si="202"/>
        <v>CALLAHAN FL 32011</v>
      </c>
      <c r="M665" t="str">
        <f>"LOT 15 IN OR 2144/972 R378163 &amp; R378164 NASSAU PLANTATIONS 2 PB 5/109"</f>
        <v>LOT 15 IN OR 2144/972 R378163 &amp; R378164 NASSAU PLANTATIONS 2 PB 5/109</v>
      </c>
      <c r="N665" t="str">
        <f>""</f>
        <v/>
      </c>
      <c r="O665" t="str">
        <f>"25701"</f>
        <v>25701</v>
      </c>
      <c r="P665" t="str">
        <f t="shared" si="194"/>
        <v>2017</v>
      </c>
      <c r="Q665" t="str">
        <f>""</f>
        <v/>
      </c>
      <c r="R665" t="str">
        <f>"N"</f>
        <v>N</v>
      </c>
      <c r="S665" t="str">
        <f>""</f>
        <v/>
      </c>
      <c r="T665" t="str">
        <f>"526.34"</f>
        <v>526.34</v>
      </c>
      <c r="U665" t="str">
        <f>"34768.00"</f>
        <v>34768.00</v>
      </c>
      <c r="V665" t="str">
        <f>"34768.00"</f>
        <v>34768.00</v>
      </c>
      <c r="W665" t="str">
        <f t="shared" si="195"/>
        <v>2017</v>
      </c>
      <c r="X665" t="str">
        <f>"4.00"</f>
        <v>4.00</v>
      </c>
      <c r="Y665" t="str">
        <f>"574.13"</f>
        <v>574.13</v>
      </c>
      <c r="Z665" t="str">
        <f>""</f>
        <v/>
      </c>
      <c r="AA665" t="str">
        <f>"34768.00"</f>
        <v>34768.00</v>
      </c>
      <c r="AB665" t="str">
        <f t="shared" si="196"/>
        <v>Residential</v>
      </c>
      <c r="AC665" t="str">
        <f t="shared" si="204"/>
        <v>0</v>
      </c>
      <c r="AD665" t="str">
        <f t="shared" si="200"/>
        <v>4</v>
      </c>
      <c r="AE665" t="str">
        <f t="shared" si="201"/>
        <v>WOOD (INCLUDE STEEL STUDS)</v>
      </c>
      <c r="AF665" t="str">
        <f>"002"</f>
        <v>002</v>
      </c>
      <c r="AG665" t="str">
        <f t="shared" si="197"/>
        <v>FL</v>
      </c>
      <c r="AH665" t="str">
        <f>"43452.00"</f>
        <v>43452.00</v>
      </c>
      <c r="AI665" t="str">
        <f>"13500.00"</f>
        <v>13500.00</v>
      </c>
      <c r="AJ665" t="str">
        <f>"C55-000-586-8723-7"</f>
        <v>C55-000-586-8723-7</v>
      </c>
      <c r="AK665" t="str">
        <f>"10569"</f>
        <v>10569</v>
      </c>
      <c r="AL665">
        <v>3</v>
      </c>
      <c r="AM665">
        <v>760</v>
      </c>
      <c r="AN665">
        <v>601.24</v>
      </c>
      <c r="AQ665" t="s">
        <v>7063</v>
      </c>
      <c r="AR665" t="s">
        <v>7063</v>
      </c>
      <c r="AS665" t="s">
        <v>7063</v>
      </c>
      <c r="AU665" t="s">
        <v>396</v>
      </c>
      <c r="AV665">
        <v>2017</v>
      </c>
      <c r="AW665" t="str">
        <f>"10-1N-25-2882-0015-0000 "</f>
        <v xml:space="preserve">10-1N-25-2882-0015-0000 </v>
      </c>
      <c r="AX665">
        <v>54180</v>
      </c>
      <c r="AZ665" t="s">
        <v>7042</v>
      </c>
      <c r="BA665" t="s">
        <v>669</v>
      </c>
      <c r="BD665" t="s">
        <v>2785</v>
      </c>
      <c r="BE665" t="s">
        <v>393</v>
      </c>
      <c r="BF665">
        <v>32011</v>
      </c>
      <c r="BG665" t="s">
        <v>7064</v>
      </c>
      <c r="BH665" t="s">
        <v>2787</v>
      </c>
      <c r="BI665">
        <v>-81.793792410974007</v>
      </c>
      <c r="BJ665">
        <v>30.523622141384699</v>
      </c>
      <c r="BK665" t="s">
        <v>7065</v>
      </c>
      <c r="BM665" t="s">
        <v>7066</v>
      </c>
      <c r="BN665" t="s">
        <v>548</v>
      </c>
      <c r="BO665">
        <v>32211</v>
      </c>
      <c r="BP665" t="s">
        <v>404</v>
      </c>
      <c r="BQ665">
        <v>200</v>
      </c>
      <c r="BR665" t="s">
        <v>405</v>
      </c>
      <c r="BS665">
        <v>1006</v>
      </c>
      <c r="BT665" t="s">
        <v>406</v>
      </c>
      <c r="BW665">
        <v>43558</v>
      </c>
      <c r="BX665" t="s">
        <v>407</v>
      </c>
      <c r="BY665" t="s">
        <v>408</v>
      </c>
      <c r="BZ665">
        <v>4</v>
      </c>
      <c r="CA665">
        <v>1984</v>
      </c>
      <c r="CB665">
        <v>1</v>
      </c>
      <c r="CC665">
        <v>1</v>
      </c>
      <c r="CD665">
        <v>2017</v>
      </c>
      <c r="CE665">
        <v>13500</v>
      </c>
      <c r="CF665">
        <v>21268</v>
      </c>
      <c r="CG665">
        <v>34768</v>
      </c>
      <c r="CH665">
        <v>2017</v>
      </c>
      <c r="CI665">
        <v>13500</v>
      </c>
      <c r="CJ665">
        <v>21268</v>
      </c>
      <c r="CK665">
        <v>34768</v>
      </c>
      <c r="CL665">
        <v>2017</v>
      </c>
      <c r="CM665">
        <v>526.34</v>
      </c>
      <c r="CN665" s="1">
        <v>39939</v>
      </c>
      <c r="CZ665" s="1">
        <v>39939</v>
      </c>
      <c r="DD665" t="s">
        <v>2785</v>
      </c>
      <c r="DG665">
        <v>10</v>
      </c>
      <c r="DL665">
        <v>50502</v>
      </c>
      <c r="DM665" t="s">
        <v>6938</v>
      </c>
      <c r="DO665" t="s">
        <v>7067</v>
      </c>
      <c r="DP665">
        <v>0</v>
      </c>
      <c r="DQ665">
        <v>0</v>
      </c>
      <c r="DR665" t="s">
        <v>411</v>
      </c>
      <c r="EP665" t="s">
        <v>6</v>
      </c>
      <c r="EQ665" t="s">
        <v>422</v>
      </c>
      <c r="ER665">
        <v>0</v>
      </c>
      <c r="ES665">
        <v>1</v>
      </c>
      <c r="ET665">
        <v>0</v>
      </c>
      <c r="EU665">
        <v>0</v>
      </c>
      <c r="EV665">
        <v>0</v>
      </c>
      <c r="EW665" s="2">
        <v>43222</v>
      </c>
      <c r="EX665" s="1">
        <v>41423</v>
      </c>
      <c r="EY665">
        <v>2012</v>
      </c>
      <c r="EZ665">
        <v>231.19</v>
      </c>
      <c r="FA665" t="s">
        <v>7068</v>
      </c>
      <c r="FB665">
        <v>18</v>
      </c>
      <c r="FC665" t="s">
        <v>603</v>
      </c>
      <c r="FD665" t="s">
        <v>425</v>
      </c>
      <c r="FE665" s="1">
        <v>41521</v>
      </c>
      <c r="FF665">
        <v>4</v>
      </c>
      <c r="FG665">
        <v>9999999</v>
      </c>
      <c r="FH665" t="s">
        <v>604</v>
      </c>
    </row>
    <row r="666" spans="1:272" x14ac:dyDescent="0.25">
      <c r="A666">
        <v>16485673</v>
      </c>
      <c r="B666">
        <v>665</v>
      </c>
      <c r="C666" t="s">
        <v>393</v>
      </c>
      <c r="D666" t="s">
        <v>394</v>
      </c>
      <c r="F666" t="str">
        <f>"16-1N-25-0000-0001-0220"</f>
        <v>16-1N-25-0000-0001-0220</v>
      </c>
      <c r="H666" t="str">
        <f>"CARROLL JODY LEE &amp; SHELLEY B"</f>
        <v>CARROLL JODY LEE &amp; SHELLEY B</v>
      </c>
      <c r="I666" t="str">
        <f>"45068 IRIS BLVD"</f>
        <v>45068 IRIS BLVD</v>
      </c>
      <c r="J666" t="str">
        <f t="shared" si="203"/>
        <v>CALLAHAN FL 32011</v>
      </c>
      <c r="K666" t="str">
        <f>"HURST RD"</f>
        <v>HURST RD</v>
      </c>
      <c r="L666" t="str">
        <f t="shared" si="202"/>
        <v>CALLAHAN FL 32011</v>
      </c>
      <c r="M666" t="str">
        <f>"IN OR 972/490 EX ESMT OR 623/1161"</f>
        <v>IN OR 972/490 EX ESMT OR 623/1161</v>
      </c>
      <c r="N666" t="str">
        <f>""</f>
        <v/>
      </c>
      <c r="O666" t="str">
        <f>"30898"</f>
        <v>30898</v>
      </c>
      <c r="P666" t="str">
        <f t="shared" si="194"/>
        <v>2017</v>
      </c>
      <c r="Q666" t="str">
        <f>""</f>
        <v/>
      </c>
      <c r="R666" t="str">
        <f>"N"</f>
        <v>N</v>
      </c>
      <c r="S666" t="str">
        <f>"1.00"</f>
        <v>1.00</v>
      </c>
      <c r="T666" t="str">
        <f>"303.47"</f>
        <v>303.47</v>
      </c>
      <c r="U666" t="str">
        <f>"18150.00"</f>
        <v>18150.00</v>
      </c>
      <c r="V666" t="str">
        <f>"18150.00"</f>
        <v>18150.00</v>
      </c>
      <c r="W666" t="str">
        <f t="shared" si="195"/>
        <v>2017</v>
      </c>
      <c r="X666" t="str">
        <f>"11.00"</f>
        <v>11.00</v>
      </c>
      <c r="Y666" t="str">
        <f>"344.57"</f>
        <v>344.57</v>
      </c>
      <c r="Z666" t="str">
        <f>""</f>
        <v/>
      </c>
      <c r="AA666" t="str">
        <f>"22500.00"</f>
        <v>22500.00</v>
      </c>
      <c r="AB666" t="str">
        <f t="shared" si="196"/>
        <v>Residential</v>
      </c>
      <c r="AC666" t="str">
        <f t="shared" si="204"/>
        <v>0</v>
      </c>
      <c r="AD666" t="str">
        <f>""</f>
        <v/>
      </c>
      <c r="AE666" t="str">
        <f>""</f>
        <v/>
      </c>
      <c r="AF666" t="str">
        <f>"000"</f>
        <v>000</v>
      </c>
      <c r="AG666" t="str">
        <f t="shared" si="197"/>
        <v>FL</v>
      </c>
      <c r="AH666" t="str">
        <f>"43560.00"</f>
        <v>43560.00</v>
      </c>
      <c r="AI666" t="str">
        <f>"15000.00"</f>
        <v>15000.00</v>
      </c>
      <c r="AJ666" t="str">
        <f>"C55-000-587-0689-6"</f>
        <v>C55-000-587-0689-6</v>
      </c>
      <c r="AK666" t="str">
        <f>"10602"</f>
        <v>10602</v>
      </c>
      <c r="AL666">
        <v>3</v>
      </c>
      <c r="AM666">
        <v>761</v>
      </c>
      <c r="AN666">
        <v>360.2</v>
      </c>
      <c r="AQ666" t="s">
        <v>7069</v>
      </c>
      <c r="AR666" t="s">
        <v>7069</v>
      </c>
      <c r="AS666" t="s">
        <v>7069</v>
      </c>
      <c r="AU666" t="s">
        <v>396</v>
      </c>
      <c r="AV666">
        <v>2017</v>
      </c>
      <c r="AW666" t="str">
        <f>"16-1N-25-0000-0001-0220 "</f>
        <v xml:space="preserve">16-1N-25-0000-0001-0220 </v>
      </c>
      <c r="AZ666" t="s">
        <v>7070</v>
      </c>
      <c r="BA666" t="s">
        <v>496</v>
      </c>
      <c r="BD666" t="s">
        <v>2785</v>
      </c>
      <c r="BE666" t="s">
        <v>393</v>
      </c>
      <c r="BF666">
        <v>32011</v>
      </c>
      <c r="BG666" t="s">
        <v>7071</v>
      </c>
      <c r="BH666" t="s">
        <v>2787</v>
      </c>
      <c r="BI666">
        <v>-81.806123058741804</v>
      </c>
      <c r="BJ666">
        <v>30.5091360876295</v>
      </c>
      <c r="BK666" t="s">
        <v>7072</v>
      </c>
      <c r="BL666" t="s">
        <v>7073</v>
      </c>
      <c r="BM666" t="s">
        <v>7074</v>
      </c>
      <c r="BN666" t="s">
        <v>928</v>
      </c>
      <c r="BO666">
        <v>32011</v>
      </c>
      <c r="BP666" t="s">
        <v>404</v>
      </c>
      <c r="BQ666">
        <v>1</v>
      </c>
      <c r="BR666" t="s">
        <v>491</v>
      </c>
      <c r="BS666">
        <v>8001</v>
      </c>
      <c r="BT666" t="s">
        <v>492</v>
      </c>
      <c r="BW666">
        <v>43560</v>
      </c>
      <c r="BX666" t="s">
        <v>407</v>
      </c>
      <c r="BY666" t="s">
        <v>408</v>
      </c>
      <c r="CD666">
        <v>2017</v>
      </c>
      <c r="CE666">
        <v>15000</v>
      </c>
      <c r="CF666">
        <v>7500</v>
      </c>
      <c r="CG666">
        <v>22500</v>
      </c>
      <c r="CH666">
        <v>2017</v>
      </c>
      <c r="CI666">
        <v>15000</v>
      </c>
      <c r="CJ666">
        <v>7500</v>
      </c>
      <c r="CK666">
        <v>22500</v>
      </c>
      <c r="CL666">
        <v>2017</v>
      </c>
      <c r="CM666">
        <v>303.47000000000003</v>
      </c>
      <c r="CN666" s="1">
        <v>36948</v>
      </c>
      <c r="CZ666" s="1">
        <v>36948</v>
      </c>
      <c r="DD666" t="s">
        <v>2785</v>
      </c>
      <c r="DG666">
        <v>16</v>
      </c>
      <c r="DL666">
        <v>50502</v>
      </c>
      <c r="DM666" t="s">
        <v>7075</v>
      </c>
      <c r="DO666" t="s">
        <v>7076</v>
      </c>
      <c r="DP666">
        <v>0</v>
      </c>
      <c r="DQ666">
        <v>0</v>
      </c>
      <c r="DR666" t="s">
        <v>411</v>
      </c>
      <c r="DS666" t="b">
        <v>1</v>
      </c>
      <c r="DT666" t="s">
        <v>470</v>
      </c>
      <c r="DU666" t="s">
        <v>471</v>
      </c>
      <c r="DV666" t="s">
        <v>472</v>
      </c>
      <c r="DX666">
        <v>-9999</v>
      </c>
      <c r="DZ666" t="s">
        <v>447</v>
      </c>
      <c r="EA666" t="s">
        <v>448</v>
      </c>
      <c r="EB666" t="s">
        <v>742</v>
      </c>
      <c r="EC666">
        <v>20101217</v>
      </c>
      <c r="ED666" t="s">
        <v>474</v>
      </c>
      <c r="EF666">
        <v>794.7</v>
      </c>
      <c r="EG666">
        <v>794.7</v>
      </c>
      <c r="EI666">
        <v>20160407</v>
      </c>
      <c r="EJ666">
        <v>0</v>
      </c>
      <c r="EK666">
        <v>0</v>
      </c>
      <c r="EP666" t="s">
        <v>421</v>
      </c>
      <c r="EQ666" t="s">
        <v>422</v>
      </c>
      <c r="ER666">
        <v>0</v>
      </c>
      <c r="ES666">
        <v>4</v>
      </c>
      <c r="ET666">
        <v>0</v>
      </c>
      <c r="EU666">
        <v>0</v>
      </c>
      <c r="EV666">
        <v>0</v>
      </c>
      <c r="EW666" s="2">
        <v>43222</v>
      </c>
      <c r="EX666" s="1">
        <v>42879</v>
      </c>
      <c r="EY666">
        <v>2016</v>
      </c>
      <c r="EZ666">
        <v>300.95</v>
      </c>
      <c r="FA666" t="s">
        <v>7077</v>
      </c>
      <c r="FB666">
        <v>6.5</v>
      </c>
      <c r="FC666" t="s">
        <v>424</v>
      </c>
      <c r="FD666" t="s">
        <v>425</v>
      </c>
      <c r="FE666" s="1">
        <v>43166</v>
      </c>
      <c r="FF666">
        <v>10</v>
      </c>
      <c r="FG666">
        <v>10125</v>
      </c>
      <c r="FH666" t="s">
        <v>440</v>
      </c>
      <c r="FJ666" s="1">
        <v>42515</v>
      </c>
      <c r="FK666">
        <v>2015</v>
      </c>
      <c r="FL666">
        <v>302.58999999999997</v>
      </c>
      <c r="FM666" t="s">
        <v>7078</v>
      </c>
      <c r="FN666">
        <v>0.25</v>
      </c>
      <c r="FO666" t="s">
        <v>424</v>
      </c>
      <c r="FP666" t="s">
        <v>425</v>
      </c>
      <c r="FQ666" s="1">
        <v>43166</v>
      </c>
      <c r="FR666">
        <v>22</v>
      </c>
      <c r="FS666">
        <v>7336671</v>
      </c>
      <c r="FT666" t="s">
        <v>437</v>
      </c>
      <c r="FV666" s="1">
        <v>42515</v>
      </c>
      <c r="FW666">
        <v>2015</v>
      </c>
      <c r="FX666">
        <v>302.58999999999997</v>
      </c>
      <c r="FY666" t="s">
        <v>7078</v>
      </c>
      <c r="FZ666">
        <v>0.25</v>
      </c>
      <c r="GA666" t="s">
        <v>424</v>
      </c>
      <c r="GB666" t="s">
        <v>425</v>
      </c>
      <c r="GD666">
        <v>22</v>
      </c>
      <c r="GE666">
        <v>7042506</v>
      </c>
      <c r="GF666" t="s">
        <v>7079</v>
      </c>
      <c r="GH666" s="1">
        <v>42151</v>
      </c>
      <c r="GI666">
        <v>2014</v>
      </c>
      <c r="GJ666">
        <v>304.01</v>
      </c>
      <c r="GK666" t="s">
        <v>7080</v>
      </c>
      <c r="GL666">
        <v>5.5</v>
      </c>
      <c r="GM666" t="s">
        <v>424</v>
      </c>
      <c r="GN666" t="s">
        <v>425</v>
      </c>
      <c r="GO666" s="1">
        <v>42164</v>
      </c>
      <c r="GP666">
        <v>1</v>
      </c>
      <c r="GQ666">
        <v>10125</v>
      </c>
      <c r="GR666" t="s">
        <v>440</v>
      </c>
    </row>
    <row r="667" spans="1:272" x14ac:dyDescent="0.25">
      <c r="A667">
        <v>16485674</v>
      </c>
      <c r="B667">
        <v>666</v>
      </c>
      <c r="C667" t="s">
        <v>393</v>
      </c>
      <c r="D667" t="s">
        <v>394</v>
      </c>
      <c r="F667" t="str">
        <f>"16-1N-25-0000-0001-0350"</f>
        <v>16-1N-25-0000-0001-0350</v>
      </c>
      <c r="H667" t="str">
        <f>"WARREN WILLIAM"</f>
        <v>WARREN WILLIAM</v>
      </c>
      <c r="I667" t="str">
        <f>"54366 HURST RD"</f>
        <v>54366 HURST RD</v>
      </c>
      <c r="J667" t="str">
        <f t="shared" si="203"/>
        <v>CALLAHAN FL 32011</v>
      </c>
      <c r="K667" t="str">
        <f>"54366 HURST RD"</f>
        <v>54366 HURST RD</v>
      </c>
      <c r="L667" t="str">
        <f t="shared" si="202"/>
        <v>CALLAHAN FL 32011</v>
      </c>
      <c r="M667" t="str">
        <f>"IN OR 2109/1492"</f>
        <v>IN OR 2109/1492</v>
      </c>
      <c r="N667" t="str">
        <f>""</f>
        <v/>
      </c>
      <c r="O667" t="str">
        <f>"30910"</f>
        <v>30910</v>
      </c>
      <c r="P667" t="str">
        <f t="shared" si="194"/>
        <v>2017</v>
      </c>
      <c r="Q667" t="str">
        <f>""</f>
        <v/>
      </c>
      <c r="R667" t="str">
        <f>"Y"</f>
        <v>Y</v>
      </c>
      <c r="S667" t="str">
        <f>"1.00"</f>
        <v>1.00</v>
      </c>
      <c r="T667" t="str">
        <f>"874.90"</f>
        <v>874.90</v>
      </c>
      <c r="U667" t="str">
        <f>"96897.00"</f>
        <v>96897.00</v>
      </c>
      <c r="V667" t="str">
        <f>"96897.00"</f>
        <v>96897.00</v>
      </c>
      <c r="W667" t="str">
        <f t="shared" si="195"/>
        <v>2017</v>
      </c>
      <c r="X667" t="str">
        <f>"5.00"</f>
        <v>5.00</v>
      </c>
      <c r="Y667" t="str">
        <f>"933.15"</f>
        <v>933.15</v>
      </c>
      <c r="Z667" t="str">
        <f>"25000.00"</f>
        <v>25000.00</v>
      </c>
      <c r="AA667" t="str">
        <f>"71897.00"</f>
        <v>71897.00</v>
      </c>
      <c r="AB667" t="str">
        <f t="shared" si="196"/>
        <v>Residential</v>
      </c>
      <c r="AC667" t="str">
        <f t="shared" si="204"/>
        <v>0</v>
      </c>
      <c r="AD667" t="str">
        <f t="shared" ref="AD667:AD678" si="205">"4"</f>
        <v>4</v>
      </c>
      <c r="AE667" t="str">
        <f t="shared" ref="AE667:AE678" si="206">"WOOD (INCLUDE STEEL STUDS)"</f>
        <v>WOOD (INCLUDE STEEL STUDS)</v>
      </c>
      <c r="AF667" t="str">
        <f>"001"</f>
        <v>001</v>
      </c>
      <c r="AG667" t="str">
        <f t="shared" si="197"/>
        <v>FL</v>
      </c>
      <c r="AH667" t="str">
        <f>"43560.00"</f>
        <v>43560.00</v>
      </c>
      <c r="AI667" t="str">
        <f>"15000.00"</f>
        <v>15000.00</v>
      </c>
      <c r="AJ667" t="str">
        <f>"C55-000-969-7485-2"</f>
        <v>C55-000-969-7485-2</v>
      </c>
      <c r="AK667" t="str">
        <f>"10614"</f>
        <v>10614</v>
      </c>
      <c r="AL667">
        <v>3</v>
      </c>
      <c r="AM667">
        <v>762</v>
      </c>
      <c r="AN667">
        <v>978.26</v>
      </c>
      <c r="AQ667" t="s">
        <v>7081</v>
      </c>
      <c r="AR667" t="s">
        <v>7081</v>
      </c>
      <c r="AS667" t="s">
        <v>7081</v>
      </c>
      <c r="AU667" t="s">
        <v>396</v>
      </c>
      <c r="AV667">
        <v>2017</v>
      </c>
      <c r="AW667" t="str">
        <f>"16-1N-25-0000-0001-0350 "</f>
        <v xml:space="preserve">16-1N-25-0000-0001-0350 </v>
      </c>
      <c r="AX667">
        <v>54366</v>
      </c>
      <c r="AZ667" t="s">
        <v>7070</v>
      </c>
      <c r="BA667" t="s">
        <v>496</v>
      </c>
      <c r="BD667" t="s">
        <v>2785</v>
      </c>
      <c r="BE667" t="s">
        <v>393</v>
      </c>
      <c r="BF667">
        <v>32011</v>
      </c>
      <c r="BG667" t="s">
        <v>7082</v>
      </c>
      <c r="BH667" t="s">
        <v>2787</v>
      </c>
      <c r="BI667">
        <v>-81.805529670415595</v>
      </c>
      <c r="BJ667">
        <v>30.5093823211763</v>
      </c>
      <c r="BK667" t="s">
        <v>7083</v>
      </c>
      <c r="BM667" t="s">
        <v>7082</v>
      </c>
      <c r="BN667" t="s">
        <v>928</v>
      </c>
      <c r="BO667">
        <v>32011</v>
      </c>
      <c r="BP667" t="s">
        <v>416</v>
      </c>
      <c r="BQ667">
        <v>100</v>
      </c>
      <c r="BR667" t="s">
        <v>514</v>
      </c>
      <c r="BS667">
        <v>1001</v>
      </c>
      <c r="BT667" t="s">
        <v>515</v>
      </c>
      <c r="BW667">
        <v>43560</v>
      </c>
      <c r="BX667" t="s">
        <v>407</v>
      </c>
      <c r="BY667" t="s">
        <v>408</v>
      </c>
      <c r="BZ667">
        <v>4</v>
      </c>
      <c r="CA667">
        <v>2006</v>
      </c>
      <c r="CB667">
        <v>1</v>
      </c>
      <c r="CC667">
        <v>1</v>
      </c>
      <c r="CD667">
        <v>2017</v>
      </c>
      <c r="CG667">
        <v>96897</v>
      </c>
      <c r="CH667">
        <v>2017</v>
      </c>
      <c r="CI667">
        <v>15000</v>
      </c>
      <c r="CJ667">
        <v>91275</v>
      </c>
      <c r="CK667">
        <v>106275</v>
      </c>
      <c r="CL667">
        <v>2017</v>
      </c>
      <c r="CM667">
        <v>874.9</v>
      </c>
      <c r="CN667" s="1">
        <v>42823</v>
      </c>
      <c r="CO667">
        <v>78000</v>
      </c>
      <c r="CV667">
        <v>0</v>
      </c>
      <c r="CZ667" s="1">
        <v>42823</v>
      </c>
      <c r="DA667">
        <v>0</v>
      </c>
      <c r="DD667" t="s">
        <v>2785</v>
      </c>
      <c r="DG667">
        <v>16</v>
      </c>
      <c r="DL667">
        <v>50502</v>
      </c>
      <c r="DM667" t="s">
        <v>7075</v>
      </c>
      <c r="DO667" t="s">
        <v>7084</v>
      </c>
      <c r="DP667">
        <v>0</v>
      </c>
      <c r="DQ667">
        <v>0</v>
      </c>
      <c r="DR667" t="s">
        <v>411</v>
      </c>
    </row>
    <row r="668" spans="1:272" x14ac:dyDescent="0.25">
      <c r="A668">
        <v>16485675</v>
      </c>
      <c r="B668">
        <v>667</v>
      </c>
      <c r="C668" t="s">
        <v>393</v>
      </c>
      <c r="D668" t="s">
        <v>394</v>
      </c>
      <c r="F668" t="str">
        <f>"16-1N-25-0000-0001-0380"</f>
        <v>16-1N-25-0000-0001-0380</v>
      </c>
      <c r="H668" t="str">
        <f>"SHEPARD STEPHEN M &amp; HEATHER L"</f>
        <v>SHEPARD STEPHEN M &amp; HEATHER L</v>
      </c>
      <c r="I668" t="str">
        <f>"44011 MCSWAIN CIRCLE"</f>
        <v>44011 MCSWAIN CIRCLE</v>
      </c>
      <c r="J668" t="str">
        <f t="shared" si="203"/>
        <v>CALLAHAN FL 32011</v>
      </c>
      <c r="K668" t="str">
        <f>"44011 MCSWAIN CIR"</f>
        <v>44011 MCSWAIN CIR</v>
      </c>
      <c r="L668" t="str">
        <f t="shared" si="202"/>
        <v>CALLAHAN FL 32011</v>
      </c>
      <c r="M668" t="str">
        <f>"IN OR 1762/965"</f>
        <v>IN OR 1762/965</v>
      </c>
      <c r="N668" t="str">
        <f>""</f>
        <v/>
      </c>
      <c r="O668" t="str">
        <f>"30913"</f>
        <v>30913</v>
      </c>
      <c r="P668" t="str">
        <f t="shared" si="194"/>
        <v>2017</v>
      </c>
      <c r="Q668" t="str">
        <f>""</f>
        <v/>
      </c>
      <c r="R668" t="str">
        <f>"N"</f>
        <v>N</v>
      </c>
      <c r="S668" t="str">
        <f>"1.00"</f>
        <v>1.00</v>
      </c>
      <c r="T668" t="str">
        <f>"1642.83"</f>
        <v>1642.83</v>
      </c>
      <c r="U668" t="str">
        <f>"107733.00"</f>
        <v>107733.00</v>
      </c>
      <c r="V668" t="str">
        <f>"107733.00"</f>
        <v>107733.00</v>
      </c>
      <c r="W668" t="str">
        <f t="shared" si="195"/>
        <v>2017</v>
      </c>
      <c r="X668" t="str">
        <f>""</f>
        <v/>
      </c>
      <c r="Y668" t="str">
        <f>"1724.11"</f>
        <v>1724.11</v>
      </c>
      <c r="Z668" t="str">
        <f>""</f>
        <v/>
      </c>
      <c r="AA668" t="str">
        <f>"109533.00"</f>
        <v>109533.00</v>
      </c>
      <c r="AB668" t="str">
        <f t="shared" si="196"/>
        <v>Residential</v>
      </c>
      <c r="AC668" t="str">
        <f t="shared" si="204"/>
        <v>0</v>
      </c>
      <c r="AD668" t="str">
        <f t="shared" si="205"/>
        <v>4</v>
      </c>
      <c r="AE668" t="str">
        <f t="shared" si="206"/>
        <v>WOOD (INCLUDE STEEL STUDS)</v>
      </c>
      <c r="AF668" t="str">
        <f>"002"</f>
        <v>002</v>
      </c>
      <c r="AG668" t="str">
        <f t="shared" si="197"/>
        <v>FL</v>
      </c>
      <c r="AH668" t="str">
        <f>"43560.00"</f>
        <v>43560.00</v>
      </c>
      <c r="AI668" t="str">
        <f>"15000.00"</f>
        <v>15000.00</v>
      </c>
      <c r="AJ668" t="str">
        <f>"C55-001-042-9443-4"</f>
        <v>C55-001-042-9443-4</v>
      </c>
      <c r="AK668" t="str">
        <f>"10617"</f>
        <v>10617</v>
      </c>
      <c r="AL668">
        <v>3</v>
      </c>
      <c r="AM668">
        <v>763</v>
      </c>
      <c r="AN668">
        <v>1808.72</v>
      </c>
      <c r="AQ668" t="s">
        <v>7085</v>
      </c>
      <c r="AR668" t="s">
        <v>7085</v>
      </c>
      <c r="AS668" t="s">
        <v>7085</v>
      </c>
      <c r="AU668" t="s">
        <v>396</v>
      </c>
      <c r="AV668">
        <v>2017</v>
      </c>
      <c r="AW668" t="str">
        <f>"16-1N-25-0000-0001-0380 "</f>
        <v xml:space="preserve">16-1N-25-0000-0001-0380 </v>
      </c>
      <c r="AX668">
        <v>44011</v>
      </c>
      <c r="AZ668" t="s">
        <v>7086</v>
      </c>
      <c r="BA668" t="s">
        <v>1799</v>
      </c>
      <c r="BD668" t="s">
        <v>2785</v>
      </c>
      <c r="BE668" t="s">
        <v>393</v>
      </c>
      <c r="BF668">
        <v>32011</v>
      </c>
      <c r="BG668" t="s">
        <v>7087</v>
      </c>
      <c r="BH668" t="s">
        <v>2787</v>
      </c>
      <c r="BI668">
        <v>-81.807809647209396</v>
      </c>
      <c r="BJ668">
        <v>30.5091101705715</v>
      </c>
      <c r="BK668" t="s">
        <v>7088</v>
      </c>
      <c r="BL668" t="s">
        <v>7089</v>
      </c>
      <c r="BM668" t="s">
        <v>7090</v>
      </c>
      <c r="BN668" t="s">
        <v>928</v>
      </c>
      <c r="BO668">
        <v>32011</v>
      </c>
      <c r="BP668" t="s">
        <v>404</v>
      </c>
      <c r="BQ668">
        <v>200</v>
      </c>
      <c r="BR668" t="s">
        <v>405</v>
      </c>
      <c r="BS668">
        <v>1006</v>
      </c>
      <c r="BT668" t="s">
        <v>406</v>
      </c>
      <c r="BW668">
        <v>43560</v>
      </c>
      <c r="BX668" t="s">
        <v>407</v>
      </c>
      <c r="BY668" t="s">
        <v>408</v>
      </c>
      <c r="BZ668">
        <v>4</v>
      </c>
      <c r="CA668">
        <v>2009</v>
      </c>
      <c r="CC668">
        <v>1</v>
      </c>
      <c r="CD668">
        <v>2017</v>
      </c>
      <c r="CE668">
        <v>15000</v>
      </c>
      <c r="CF668">
        <v>94533</v>
      </c>
      <c r="CG668">
        <v>109533</v>
      </c>
      <c r="CH668">
        <v>2017</v>
      </c>
      <c r="CI668">
        <v>15000</v>
      </c>
      <c r="CJ668">
        <v>94533</v>
      </c>
      <c r="CK668">
        <v>109533</v>
      </c>
      <c r="CL668">
        <v>2017</v>
      </c>
      <c r="CM668">
        <v>1642.83</v>
      </c>
      <c r="CN668" s="1">
        <v>40847</v>
      </c>
      <c r="CZ668" s="1">
        <v>40847</v>
      </c>
      <c r="DD668" t="s">
        <v>2785</v>
      </c>
      <c r="DG668">
        <v>16</v>
      </c>
      <c r="DL668">
        <v>50502</v>
      </c>
      <c r="DM668" t="s">
        <v>7075</v>
      </c>
      <c r="DO668" t="s">
        <v>7091</v>
      </c>
      <c r="DP668">
        <v>0</v>
      </c>
      <c r="DQ668">
        <v>0</v>
      </c>
      <c r="DR668" t="s">
        <v>411</v>
      </c>
    </row>
    <row r="669" spans="1:272" x14ac:dyDescent="0.25">
      <c r="A669">
        <v>16485676</v>
      </c>
      <c r="B669">
        <v>668</v>
      </c>
      <c r="C669" t="s">
        <v>393</v>
      </c>
      <c r="D669" t="s">
        <v>394</v>
      </c>
      <c r="F669" t="str">
        <f>"16-1N-25-2900-0004-0020"</f>
        <v>16-1N-25-2900-0004-0020</v>
      </c>
      <c r="H669" t="str">
        <f>"BALOUTA RAFAT &amp; ANGEL"</f>
        <v>BALOUTA RAFAT &amp; ANGEL</v>
      </c>
      <c r="I669" t="str">
        <f>"43303 RATLIFF RD"</f>
        <v>43303 RATLIFF RD</v>
      </c>
      <c r="J669" t="str">
        <f t="shared" si="203"/>
        <v>CALLAHAN FL 32011</v>
      </c>
      <c r="K669" t="str">
        <f>"43303 RATLIFF RD"</f>
        <v>43303 RATLIFF RD</v>
      </c>
      <c r="L669" t="str">
        <f t="shared" si="202"/>
        <v>CALLAHAN FL 32011</v>
      </c>
      <c r="M669" t="str">
        <f>"ETLY 170 FT OF LOT 4 IN OR 1864/950 R278181 &amp; R278182 RATLIFF ACRES UNR"</f>
        <v>ETLY 170 FT OF LOT 4 IN OR 1864/950 R278181 &amp; R278182 RATLIFF ACRES UNR</v>
      </c>
      <c r="N669" t="str">
        <f>""</f>
        <v/>
      </c>
      <c r="O669" t="str">
        <f>"30990"</f>
        <v>30990</v>
      </c>
      <c r="P669" t="str">
        <f t="shared" si="194"/>
        <v>2017</v>
      </c>
      <c r="Q669" t="str">
        <f>""</f>
        <v/>
      </c>
      <c r="R669" t="str">
        <f>"N"</f>
        <v>N</v>
      </c>
      <c r="S669" t="str">
        <f>"2.57"</f>
        <v>2.57</v>
      </c>
      <c r="T669" t="str">
        <f>"802.38"</f>
        <v>802.38</v>
      </c>
      <c r="U669" t="str">
        <f>"53001.00"</f>
        <v>53001.00</v>
      </c>
      <c r="V669" t="str">
        <f>"53001.00"</f>
        <v>53001.00</v>
      </c>
      <c r="W669" t="str">
        <f t="shared" si="195"/>
        <v>2017</v>
      </c>
      <c r="X669" t="str">
        <f>"12.17"</f>
        <v>12.17</v>
      </c>
      <c r="Y669" t="str">
        <f>"858.45"</f>
        <v>858.45</v>
      </c>
      <c r="Z669" t="str">
        <f>""</f>
        <v/>
      </c>
      <c r="AA669" t="str">
        <f>"53001.00"</f>
        <v>53001.00</v>
      </c>
      <c r="AB669" t="str">
        <f t="shared" si="196"/>
        <v>Residential</v>
      </c>
      <c r="AC669" t="str">
        <f t="shared" si="204"/>
        <v>0</v>
      </c>
      <c r="AD669" t="str">
        <f t="shared" si="205"/>
        <v>4</v>
      </c>
      <c r="AE669" t="str">
        <f t="shared" si="206"/>
        <v>WOOD (INCLUDE STEEL STUDS)</v>
      </c>
      <c r="AF669" t="str">
        <f>"002"</f>
        <v>002</v>
      </c>
      <c r="AG669" t="str">
        <f t="shared" si="197"/>
        <v>FL</v>
      </c>
      <c r="AH669" t="str">
        <f>"111949.00"</f>
        <v>111949.00</v>
      </c>
      <c r="AI669" t="str">
        <f>"30840.00"</f>
        <v>30840.00</v>
      </c>
      <c r="AJ669" t="str">
        <f>"C55-000-587-0767-0"</f>
        <v>C55-000-587-0767-0</v>
      </c>
      <c r="AK669" t="str">
        <f>"10688"</f>
        <v>10688</v>
      </c>
      <c r="AL669">
        <v>3</v>
      </c>
      <c r="AM669">
        <v>767</v>
      </c>
      <c r="AN669">
        <v>899.77</v>
      </c>
      <c r="AQ669" t="s">
        <v>7092</v>
      </c>
      <c r="AR669" t="s">
        <v>7092</v>
      </c>
      <c r="AS669" t="s">
        <v>7092</v>
      </c>
      <c r="AU669" t="s">
        <v>396</v>
      </c>
      <c r="AV669">
        <v>2017</v>
      </c>
      <c r="AW669" t="str">
        <f>"16-1N-25-2900-0004-0020 "</f>
        <v xml:space="preserve">16-1N-25-2900-0004-0020 </v>
      </c>
      <c r="AX669">
        <v>43303</v>
      </c>
      <c r="AZ669" t="s">
        <v>7093</v>
      </c>
      <c r="BA669" t="s">
        <v>496</v>
      </c>
      <c r="BD669" t="s">
        <v>2785</v>
      </c>
      <c r="BE669" t="s">
        <v>393</v>
      </c>
      <c r="BF669">
        <v>32011</v>
      </c>
      <c r="BG669" t="s">
        <v>7094</v>
      </c>
      <c r="BH669" t="s">
        <v>2787</v>
      </c>
      <c r="BI669">
        <v>-81.825586485887797</v>
      </c>
      <c r="BJ669">
        <v>30.4920847813883</v>
      </c>
      <c r="BK669" t="s">
        <v>7095</v>
      </c>
      <c r="BL669" t="s">
        <v>7096</v>
      </c>
      <c r="BM669" t="s">
        <v>7094</v>
      </c>
      <c r="BN669" t="s">
        <v>928</v>
      </c>
      <c r="BO669">
        <v>32011</v>
      </c>
      <c r="BP669" t="s">
        <v>416</v>
      </c>
      <c r="BQ669">
        <v>200</v>
      </c>
      <c r="BR669" t="s">
        <v>405</v>
      </c>
      <c r="BS669">
        <v>1006</v>
      </c>
      <c r="BT669" t="s">
        <v>406</v>
      </c>
      <c r="BW669">
        <v>111949</v>
      </c>
      <c r="BX669" t="s">
        <v>407</v>
      </c>
      <c r="BY669" t="s">
        <v>408</v>
      </c>
      <c r="BZ669">
        <v>4</v>
      </c>
      <c r="CA669">
        <v>1973</v>
      </c>
      <c r="CB669">
        <v>1</v>
      </c>
      <c r="CC669">
        <v>1</v>
      </c>
      <c r="CD669">
        <v>2017</v>
      </c>
      <c r="CE669">
        <v>30840</v>
      </c>
      <c r="CF669">
        <v>22161</v>
      </c>
      <c r="CG669">
        <v>53001</v>
      </c>
      <c r="CH669">
        <v>2017</v>
      </c>
      <c r="CI669">
        <v>30840</v>
      </c>
      <c r="CJ669">
        <v>22161</v>
      </c>
      <c r="CK669">
        <v>53001</v>
      </c>
      <c r="CL669">
        <v>2017</v>
      </c>
      <c r="CM669">
        <v>802.38</v>
      </c>
      <c r="CN669" s="1">
        <v>41450</v>
      </c>
      <c r="CO669">
        <v>25000</v>
      </c>
      <c r="CV669">
        <v>0</v>
      </c>
      <c r="CZ669" s="1">
        <v>41450</v>
      </c>
      <c r="DA669">
        <v>0</v>
      </c>
      <c r="DD669" t="s">
        <v>2785</v>
      </c>
      <c r="DF669">
        <v>4</v>
      </c>
      <c r="DG669">
        <v>16</v>
      </c>
      <c r="DL669">
        <v>50502</v>
      </c>
      <c r="DM669" t="s">
        <v>7075</v>
      </c>
      <c r="DO669" t="s">
        <v>7097</v>
      </c>
      <c r="DP669">
        <v>0</v>
      </c>
      <c r="DQ669">
        <v>0</v>
      </c>
      <c r="DR669" t="s">
        <v>411</v>
      </c>
      <c r="DS669" t="b">
        <v>1</v>
      </c>
      <c r="DT669" t="s">
        <v>396</v>
      </c>
      <c r="DV669" t="s">
        <v>446</v>
      </c>
      <c r="DX669">
        <v>-9999</v>
      </c>
      <c r="DZ669" t="s">
        <v>447</v>
      </c>
      <c r="EA669" t="s">
        <v>448</v>
      </c>
      <c r="EB669" t="s">
        <v>2792</v>
      </c>
      <c r="EC669">
        <v>20101217</v>
      </c>
      <c r="ED669" t="s">
        <v>450</v>
      </c>
      <c r="EE669">
        <v>18</v>
      </c>
      <c r="EF669">
        <v>0</v>
      </c>
      <c r="EG669">
        <v>0</v>
      </c>
      <c r="EI669">
        <v>20160407</v>
      </c>
      <c r="EJ669">
        <v>0</v>
      </c>
      <c r="EK669">
        <v>0</v>
      </c>
      <c r="EP669" t="s">
        <v>421</v>
      </c>
      <c r="EQ669" t="s">
        <v>422</v>
      </c>
      <c r="ER669">
        <v>2</v>
      </c>
      <c r="ES669">
        <v>4</v>
      </c>
      <c r="ET669">
        <v>1823.84</v>
      </c>
      <c r="EU669">
        <v>103.69</v>
      </c>
      <c r="EV669">
        <v>1927.53</v>
      </c>
      <c r="EW669" s="2">
        <v>43222</v>
      </c>
      <c r="EX669" s="1">
        <v>42879</v>
      </c>
      <c r="EY669">
        <v>2016</v>
      </c>
      <c r="EZ669">
        <v>911.92</v>
      </c>
      <c r="FA669" t="s">
        <v>7098</v>
      </c>
      <c r="FB669">
        <v>0.25</v>
      </c>
      <c r="FC669" t="s">
        <v>424</v>
      </c>
      <c r="FD669" t="s">
        <v>454</v>
      </c>
      <c r="FF669">
        <v>12</v>
      </c>
      <c r="FG669">
        <v>7400234</v>
      </c>
      <c r="FH669" t="s">
        <v>426</v>
      </c>
      <c r="FJ669" s="1">
        <v>42879</v>
      </c>
      <c r="FK669">
        <v>2016</v>
      </c>
      <c r="FL669">
        <v>911.92</v>
      </c>
      <c r="FM669" t="s">
        <v>7098</v>
      </c>
      <c r="FN669">
        <v>0.25</v>
      </c>
      <c r="FO669" t="s">
        <v>424</v>
      </c>
      <c r="FP669" t="s">
        <v>454</v>
      </c>
      <c r="FR669">
        <v>12</v>
      </c>
      <c r="FS669">
        <v>7469526</v>
      </c>
      <c r="FT669" t="s">
        <v>7099</v>
      </c>
      <c r="FV669" s="1">
        <v>42515</v>
      </c>
      <c r="FW669">
        <v>2015</v>
      </c>
      <c r="FX669">
        <v>933.51</v>
      </c>
      <c r="FY669" t="s">
        <v>7100</v>
      </c>
      <c r="FZ669">
        <v>0.25</v>
      </c>
      <c r="GA669" t="s">
        <v>424</v>
      </c>
      <c r="GB669" t="s">
        <v>425</v>
      </c>
      <c r="GC669" s="1">
        <v>43159</v>
      </c>
      <c r="GD669">
        <v>21</v>
      </c>
      <c r="GE669">
        <v>2035919</v>
      </c>
      <c r="GF669" t="s">
        <v>507</v>
      </c>
      <c r="GH669" s="1">
        <v>41787</v>
      </c>
      <c r="GI669">
        <v>2013</v>
      </c>
      <c r="GJ669">
        <v>921.69</v>
      </c>
      <c r="GK669" t="s">
        <v>7101</v>
      </c>
      <c r="GL669">
        <v>0.25</v>
      </c>
      <c r="GM669" t="s">
        <v>424</v>
      </c>
      <c r="GN669" t="s">
        <v>425</v>
      </c>
      <c r="GO669" s="1">
        <v>42418</v>
      </c>
      <c r="GP669">
        <v>21</v>
      </c>
      <c r="GQ669">
        <v>2407503</v>
      </c>
      <c r="GR669" t="s">
        <v>461</v>
      </c>
      <c r="GT669" s="1">
        <v>41423</v>
      </c>
      <c r="GU669">
        <v>2012</v>
      </c>
      <c r="GV669">
        <v>846.37</v>
      </c>
      <c r="GW669" t="s">
        <v>7102</v>
      </c>
      <c r="GX669">
        <v>3.75</v>
      </c>
      <c r="GY669" t="s">
        <v>424</v>
      </c>
      <c r="GZ669" t="s">
        <v>425</v>
      </c>
      <c r="HA669" s="1">
        <v>41446</v>
      </c>
      <c r="HB669">
        <v>1</v>
      </c>
      <c r="HC669">
        <v>1625515</v>
      </c>
      <c r="HD669" t="s">
        <v>487</v>
      </c>
      <c r="HF669" s="1">
        <v>40688</v>
      </c>
      <c r="HG669">
        <v>2010</v>
      </c>
      <c r="HH669">
        <v>1206.26</v>
      </c>
      <c r="HI669" t="s">
        <v>7103</v>
      </c>
      <c r="HJ669">
        <v>7.25</v>
      </c>
      <c r="HK669" t="s">
        <v>424</v>
      </c>
      <c r="HL669" t="s">
        <v>425</v>
      </c>
      <c r="HM669" s="1">
        <v>40995</v>
      </c>
      <c r="HN669">
        <v>10</v>
      </c>
      <c r="HO669">
        <v>10579</v>
      </c>
      <c r="HP669" t="s">
        <v>488</v>
      </c>
    </row>
    <row r="670" spans="1:272" x14ac:dyDescent="0.25">
      <c r="A670">
        <v>16485677</v>
      </c>
      <c r="B670">
        <v>669</v>
      </c>
      <c r="C670" t="s">
        <v>393</v>
      </c>
      <c r="D670" t="s">
        <v>394</v>
      </c>
      <c r="F670" t="str">
        <f>"16-1N-25-2900-0010-0000"</f>
        <v>16-1N-25-2900-0010-0000</v>
      </c>
      <c r="H670" t="str">
        <f>"MOSER GRACE E &amp; MOSER MICHAEL W (JT/RS)"</f>
        <v>MOSER GRACE E &amp; MOSER MICHAEL W (JT/RS)</v>
      </c>
      <c r="I670" t="str">
        <f>"43383 RATLIFF ROAD"</f>
        <v>43383 RATLIFF ROAD</v>
      </c>
      <c r="J670" t="str">
        <f t="shared" si="203"/>
        <v>CALLAHAN FL 32011</v>
      </c>
      <c r="K670" t="str">
        <f>"43383 RATLIFF RD"</f>
        <v>43383 RATLIFF RD</v>
      </c>
      <c r="L670" t="str">
        <f t="shared" si="202"/>
        <v>CALLAHAN FL 32011</v>
      </c>
      <c r="M670" t="str">
        <f>"LOT 10 (EX S-1) IN OR 1105/945 (SEC 20-1N-25) R787773 &amp; R787774 &amp; R787775 RATLIFF ACRES UNR"</f>
        <v>LOT 10 (EX S-1) IN OR 1105/945 (SEC 20-1N-25) R787773 &amp; R787774 &amp; R787775 RATLIFF ACRES UNR</v>
      </c>
      <c r="N670" t="str">
        <f>""</f>
        <v/>
      </c>
      <c r="O670" t="str">
        <f>"31002"</f>
        <v>31002</v>
      </c>
      <c r="P670" t="str">
        <f t="shared" si="194"/>
        <v>2017</v>
      </c>
      <c r="Q670" t="str">
        <f>""</f>
        <v/>
      </c>
      <c r="R670" t="str">
        <f>"Y"</f>
        <v>Y</v>
      </c>
      <c r="S670" t="str">
        <f>"4.19"</f>
        <v>4.19</v>
      </c>
      <c r="T670" t="str">
        <f>"1542.47"</f>
        <v>1542.47</v>
      </c>
      <c r="U670" t="str">
        <f>"141493.00"</f>
        <v>141493.00</v>
      </c>
      <c r="V670" t="str">
        <f>"141493.00"</f>
        <v>141493.00</v>
      </c>
      <c r="W670" t="str">
        <f t="shared" si="195"/>
        <v>2017</v>
      </c>
      <c r="X670" t="str">
        <f>"16.50"</f>
        <v>16.50</v>
      </c>
      <c r="Y670" t="str">
        <f>"1620.74"</f>
        <v>1620.74</v>
      </c>
      <c r="Z670" t="str">
        <f>"25500.00"</f>
        <v>25500.00</v>
      </c>
      <c r="AA670" t="str">
        <f>"115993.00"</f>
        <v>115993.00</v>
      </c>
      <c r="AB670" t="str">
        <f t="shared" si="196"/>
        <v>Residential</v>
      </c>
      <c r="AC670" t="str">
        <f t="shared" si="204"/>
        <v>0</v>
      </c>
      <c r="AD670" t="str">
        <f t="shared" si="205"/>
        <v>4</v>
      </c>
      <c r="AE670" t="str">
        <f t="shared" si="206"/>
        <v>WOOD (INCLUDE STEEL STUDS)</v>
      </c>
      <c r="AF670" t="str">
        <f>"002"</f>
        <v>002</v>
      </c>
      <c r="AG670" t="str">
        <f t="shared" si="197"/>
        <v>FL</v>
      </c>
      <c r="AH670" t="str">
        <f>"182516.00"</f>
        <v>182516.00</v>
      </c>
      <c r="AI670" t="str">
        <f>"33520.00"</f>
        <v>33520.00</v>
      </c>
      <c r="AJ670" t="str">
        <f>"C55-000-587-0777-9"</f>
        <v>C55-000-587-0777-9</v>
      </c>
      <c r="AK670" t="str">
        <f>"10699"</f>
        <v>10699</v>
      </c>
      <c r="AL670">
        <v>3</v>
      </c>
      <c r="AM670">
        <v>768</v>
      </c>
      <c r="AN670">
        <v>1700.18</v>
      </c>
      <c r="AQ670" t="s">
        <v>7104</v>
      </c>
      <c r="AR670" t="s">
        <v>7104</v>
      </c>
      <c r="AS670" t="s">
        <v>7104</v>
      </c>
      <c r="AU670" t="s">
        <v>396</v>
      </c>
      <c r="AV670">
        <v>2017</v>
      </c>
      <c r="AW670" t="str">
        <f>"16-1N-25-2900-0010-0000 "</f>
        <v xml:space="preserve">16-1N-25-2900-0010-0000 </v>
      </c>
      <c r="AX670">
        <v>43383</v>
      </c>
      <c r="AZ670" t="s">
        <v>7093</v>
      </c>
      <c r="BA670" t="s">
        <v>496</v>
      </c>
      <c r="BD670" t="s">
        <v>2785</v>
      </c>
      <c r="BE670" t="s">
        <v>393</v>
      </c>
      <c r="BF670">
        <v>32011</v>
      </c>
      <c r="BG670" t="s">
        <v>7105</v>
      </c>
      <c r="BH670" t="s">
        <v>2787</v>
      </c>
      <c r="BI670">
        <v>-81.820921866514098</v>
      </c>
      <c r="BJ670">
        <v>30.495709434464199</v>
      </c>
      <c r="BK670" t="s">
        <v>7106</v>
      </c>
      <c r="BL670" t="s">
        <v>7107</v>
      </c>
      <c r="BM670" t="s">
        <v>7105</v>
      </c>
      <c r="BN670" t="s">
        <v>928</v>
      </c>
      <c r="BO670">
        <v>32011</v>
      </c>
      <c r="BP670" t="s">
        <v>416</v>
      </c>
      <c r="BQ670">
        <v>200</v>
      </c>
      <c r="BR670" t="s">
        <v>405</v>
      </c>
      <c r="BS670">
        <v>1006</v>
      </c>
      <c r="BT670" t="s">
        <v>406</v>
      </c>
      <c r="BW670">
        <v>182516</v>
      </c>
      <c r="BX670" t="s">
        <v>407</v>
      </c>
      <c r="BY670" t="s">
        <v>408</v>
      </c>
      <c r="BZ670">
        <v>4</v>
      </c>
      <c r="CA670">
        <v>1998</v>
      </c>
      <c r="CB670">
        <v>1</v>
      </c>
      <c r="CC670">
        <v>3</v>
      </c>
      <c r="CD670">
        <v>2017</v>
      </c>
      <c r="CG670">
        <v>141493</v>
      </c>
      <c r="CH670">
        <v>2017</v>
      </c>
      <c r="CI670">
        <v>33520</v>
      </c>
      <c r="CJ670">
        <v>111643</v>
      </c>
      <c r="CK670">
        <v>145163</v>
      </c>
      <c r="CL670">
        <v>2017</v>
      </c>
      <c r="CM670">
        <v>1542.47</v>
      </c>
      <c r="CN670" s="1">
        <v>37627</v>
      </c>
      <c r="CZ670" s="1">
        <v>37627</v>
      </c>
      <c r="DD670" t="s">
        <v>2785</v>
      </c>
      <c r="DF670">
        <v>10</v>
      </c>
      <c r="DG670">
        <v>16</v>
      </c>
      <c r="DL670">
        <v>50502</v>
      </c>
      <c r="DM670" t="s">
        <v>7075</v>
      </c>
      <c r="DO670" t="s">
        <v>7108</v>
      </c>
      <c r="DP670">
        <v>0</v>
      </c>
      <c r="DQ670">
        <v>0</v>
      </c>
      <c r="DR670" t="s">
        <v>411</v>
      </c>
      <c r="DS670" t="b">
        <v>1</v>
      </c>
      <c r="DT670" t="s">
        <v>470</v>
      </c>
      <c r="DU670" t="s">
        <v>471</v>
      </c>
      <c r="DV670" t="s">
        <v>472</v>
      </c>
      <c r="DX670">
        <v>-9999</v>
      </c>
      <c r="DZ670" t="s">
        <v>447</v>
      </c>
      <c r="EA670" t="s">
        <v>448</v>
      </c>
      <c r="EB670" t="s">
        <v>7109</v>
      </c>
      <c r="EC670">
        <v>20101217</v>
      </c>
      <c r="ED670" t="s">
        <v>474</v>
      </c>
      <c r="EF670">
        <v>220.1</v>
      </c>
      <c r="EG670">
        <v>220.1</v>
      </c>
      <c r="EI670">
        <v>20160407</v>
      </c>
      <c r="EJ670">
        <v>0</v>
      </c>
      <c r="EK670">
        <v>0</v>
      </c>
      <c r="EP670" t="s">
        <v>421</v>
      </c>
      <c r="EQ670" t="s">
        <v>422</v>
      </c>
      <c r="ER670">
        <v>0</v>
      </c>
      <c r="ES670">
        <v>7</v>
      </c>
      <c r="ET670">
        <v>0</v>
      </c>
      <c r="EU670">
        <v>0</v>
      </c>
      <c r="EV670">
        <v>0</v>
      </c>
      <c r="EW670" s="2">
        <v>43222</v>
      </c>
      <c r="EX670" s="1">
        <v>42879</v>
      </c>
      <c r="EY670">
        <v>2016</v>
      </c>
      <c r="EZ670">
        <v>1579.79</v>
      </c>
      <c r="FA670" t="s">
        <v>7110</v>
      </c>
      <c r="FB670">
        <v>0.25</v>
      </c>
      <c r="FC670" t="s">
        <v>424</v>
      </c>
      <c r="FD670" t="s">
        <v>425</v>
      </c>
      <c r="FE670" s="1">
        <v>43041</v>
      </c>
      <c r="FF670">
        <v>6</v>
      </c>
      <c r="FG670">
        <v>7400234</v>
      </c>
      <c r="FH670" t="s">
        <v>426</v>
      </c>
      <c r="FJ670" s="1">
        <v>42879</v>
      </c>
      <c r="FK670">
        <v>2016</v>
      </c>
      <c r="FL670">
        <v>1579.79</v>
      </c>
      <c r="FM670" t="s">
        <v>7110</v>
      </c>
      <c r="FN670">
        <v>0.25</v>
      </c>
      <c r="FO670" t="s">
        <v>424</v>
      </c>
      <c r="FP670" t="s">
        <v>425</v>
      </c>
      <c r="FR670">
        <v>22</v>
      </c>
      <c r="FS670">
        <v>7513911</v>
      </c>
      <c r="FT670" t="s">
        <v>7111</v>
      </c>
      <c r="FV670" s="1">
        <v>42515</v>
      </c>
      <c r="FW670">
        <v>2015</v>
      </c>
      <c r="FX670">
        <v>1694.61</v>
      </c>
      <c r="FY670" t="s">
        <v>7112</v>
      </c>
      <c r="FZ670">
        <v>0.25</v>
      </c>
      <c r="GA670" t="s">
        <v>424</v>
      </c>
      <c r="GB670" t="s">
        <v>425</v>
      </c>
      <c r="GC670" s="1">
        <v>43041</v>
      </c>
      <c r="GD670">
        <v>18</v>
      </c>
      <c r="GE670">
        <v>2851116</v>
      </c>
      <c r="GF670" t="s">
        <v>480</v>
      </c>
      <c r="GH670" s="1">
        <v>42515</v>
      </c>
      <c r="GI670">
        <v>2015</v>
      </c>
      <c r="GJ670">
        <v>1694.61</v>
      </c>
      <c r="GK670" t="s">
        <v>7112</v>
      </c>
      <c r="GL670">
        <v>0.25</v>
      </c>
      <c r="GM670" t="s">
        <v>424</v>
      </c>
      <c r="GN670" t="s">
        <v>425</v>
      </c>
      <c r="GP670">
        <v>22</v>
      </c>
      <c r="GQ670">
        <v>5403612</v>
      </c>
      <c r="GR670" t="s">
        <v>7113</v>
      </c>
      <c r="GT670" s="1">
        <v>42151</v>
      </c>
      <c r="GU670">
        <v>2014</v>
      </c>
      <c r="GV670">
        <v>1500.17</v>
      </c>
      <c r="GW670" t="s">
        <v>7114</v>
      </c>
      <c r="GX670">
        <v>0.25</v>
      </c>
      <c r="GY670" t="s">
        <v>424</v>
      </c>
      <c r="GZ670" t="s">
        <v>425</v>
      </c>
      <c r="HA670" s="1">
        <v>42789</v>
      </c>
      <c r="HB670">
        <v>21</v>
      </c>
      <c r="HC670">
        <v>2851116</v>
      </c>
      <c r="HD670" t="s">
        <v>480</v>
      </c>
      <c r="HF670" s="1">
        <v>42151</v>
      </c>
      <c r="HG670">
        <v>2014</v>
      </c>
      <c r="HH670">
        <v>1500.17</v>
      </c>
      <c r="HI670" t="s">
        <v>7114</v>
      </c>
      <c r="HJ670">
        <v>0.25</v>
      </c>
      <c r="HK670" t="s">
        <v>424</v>
      </c>
      <c r="HL670" t="s">
        <v>425</v>
      </c>
      <c r="HN670">
        <v>22</v>
      </c>
      <c r="HO670">
        <v>5030645</v>
      </c>
      <c r="HP670" t="s">
        <v>7115</v>
      </c>
      <c r="HR670" s="1">
        <v>41787</v>
      </c>
      <c r="HS670">
        <v>2013</v>
      </c>
      <c r="HT670">
        <v>1199.29</v>
      </c>
      <c r="HU670" t="s">
        <v>7116</v>
      </c>
      <c r="HV670">
        <v>0.25</v>
      </c>
      <c r="HW670" t="s">
        <v>424</v>
      </c>
      <c r="HX670" t="s">
        <v>425</v>
      </c>
      <c r="HY670" s="1">
        <v>42419</v>
      </c>
      <c r="HZ670">
        <v>21</v>
      </c>
      <c r="IA670">
        <v>2851116</v>
      </c>
      <c r="IB670" t="s">
        <v>480</v>
      </c>
    </row>
    <row r="671" spans="1:272" x14ac:dyDescent="0.25">
      <c r="A671">
        <v>16485678</v>
      </c>
      <c r="B671">
        <v>670</v>
      </c>
      <c r="C671" t="s">
        <v>393</v>
      </c>
      <c r="D671" t="s">
        <v>394</v>
      </c>
      <c r="F671" t="str">
        <f>"16-1N-25-2900-0010-0010"</f>
        <v>16-1N-25-2900-0010-0010</v>
      </c>
      <c r="H671" t="str">
        <f>"VICKERS JUDY K"</f>
        <v>VICKERS JUDY K</v>
      </c>
      <c r="I671" t="str">
        <f>"43056 PINEWOOD COURT"</f>
        <v>43056 PINEWOOD COURT</v>
      </c>
      <c r="J671" t="str">
        <f t="shared" si="203"/>
        <v>CALLAHAN FL 32011</v>
      </c>
      <c r="K671" t="str">
        <f>"43056 PINEWOOD CT"</f>
        <v>43056 PINEWOOD CT</v>
      </c>
      <c r="L671" t="str">
        <f t="shared" si="202"/>
        <v>CALLAHAN FL 32011</v>
      </c>
      <c r="M671" t="str">
        <f>"PT OF LOT 10 IN OR 858/775 R673519 &amp; R673520 RATLIFF ACRES UNR"</f>
        <v>PT OF LOT 10 IN OR 858/775 R673519 &amp; R673520 RATLIFF ACRES UNR</v>
      </c>
      <c r="N671" t="str">
        <f>""</f>
        <v/>
      </c>
      <c r="O671" t="str">
        <f>"31003"</f>
        <v>31003</v>
      </c>
      <c r="P671" t="str">
        <f t="shared" si="194"/>
        <v>2017</v>
      </c>
      <c r="Q671" t="str">
        <f>""</f>
        <v/>
      </c>
      <c r="R671" t="str">
        <f>"Y"</f>
        <v>Y</v>
      </c>
      <c r="S671" t="str">
        <f>"1.01"</f>
        <v>1.01</v>
      </c>
      <c r="T671" t="str">
        <f>"358.67"</f>
        <v>358.67</v>
      </c>
      <c r="U671" t="str">
        <f>"48693.00"</f>
        <v>48693.00</v>
      </c>
      <c r="V671" t="str">
        <f>"48693.00"</f>
        <v>48693.00</v>
      </c>
      <c r="W671" t="str">
        <f t="shared" si="195"/>
        <v>2017</v>
      </c>
      <c r="X671" t="str">
        <f>"16.00"</f>
        <v>16.00</v>
      </c>
      <c r="Y671" t="str">
        <f>"401.43"</f>
        <v>401.43</v>
      </c>
      <c r="Z671" t="str">
        <f>"25000.00"</f>
        <v>25000.00</v>
      </c>
      <c r="AA671" t="str">
        <f>"23693.00"</f>
        <v>23693.00</v>
      </c>
      <c r="AB671" t="str">
        <f t="shared" si="196"/>
        <v>Residential</v>
      </c>
      <c r="AC671" t="str">
        <f t="shared" si="204"/>
        <v>0</v>
      </c>
      <c r="AD671" t="str">
        <f t="shared" si="205"/>
        <v>4</v>
      </c>
      <c r="AE671" t="str">
        <f t="shared" si="206"/>
        <v>WOOD (INCLUDE STEEL STUDS)</v>
      </c>
      <c r="AF671" t="str">
        <f>"002"</f>
        <v>002</v>
      </c>
      <c r="AG671" t="str">
        <f t="shared" si="197"/>
        <v>FL</v>
      </c>
      <c r="AH671" t="str">
        <f>"43995.00"</f>
        <v>43995.00</v>
      </c>
      <c r="AI671" t="str">
        <f>"15150.00"</f>
        <v>15150.00</v>
      </c>
      <c r="AJ671" t="str">
        <f>"C55-000-587-0778-7"</f>
        <v>C55-000-587-0778-7</v>
      </c>
      <c r="AK671" t="str">
        <f>"10700"</f>
        <v>10700</v>
      </c>
      <c r="AL671">
        <v>3</v>
      </c>
      <c r="AM671">
        <v>769</v>
      </c>
      <c r="AN671">
        <v>419.9</v>
      </c>
      <c r="AQ671" t="s">
        <v>7117</v>
      </c>
      <c r="AR671" t="s">
        <v>7117</v>
      </c>
      <c r="AS671" t="s">
        <v>7117</v>
      </c>
      <c r="AU671" t="s">
        <v>396</v>
      </c>
      <c r="AV671">
        <v>2017</v>
      </c>
      <c r="AW671" t="str">
        <f>"16-1N-25-2900-0010-0010 "</f>
        <v xml:space="preserve">16-1N-25-2900-0010-0010 </v>
      </c>
      <c r="AX671">
        <v>43056</v>
      </c>
      <c r="AZ671" t="s">
        <v>7118</v>
      </c>
      <c r="BA671" t="s">
        <v>3181</v>
      </c>
      <c r="BD671" t="s">
        <v>2785</v>
      </c>
      <c r="BE671" t="s">
        <v>393</v>
      </c>
      <c r="BF671">
        <v>32011</v>
      </c>
      <c r="BG671" t="s">
        <v>7119</v>
      </c>
      <c r="BH671" t="s">
        <v>2787</v>
      </c>
      <c r="BI671">
        <v>-81.820680871888996</v>
      </c>
      <c r="BJ671">
        <v>30.494979267851999</v>
      </c>
      <c r="BK671" t="s">
        <v>7120</v>
      </c>
      <c r="BM671" t="s">
        <v>7119</v>
      </c>
      <c r="BN671" t="s">
        <v>928</v>
      </c>
      <c r="BO671">
        <v>32011</v>
      </c>
      <c r="BP671" t="s">
        <v>416</v>
      </c>
      <c r="BQ671">
        <v>200</v>
      </c>
      <c r="BR671" t="s">
        <v>405</v>
      </c>
      <c r="BS671">
        <v>1006</v>
      </c>
      <c r="BT671" t="s">
        <v>406</v>
      </c>
      <c r="BW671">
        <v>43995</v>
      </c>
      <c r="BX671" t="s">
        <v>407</v>
      </c>
      <c r="BY671" t="s">
        <v>408</v>
      </c>
      <c r="BZ671">
        <v>4</v>
      </c>
      <c r="CA671">
        <v>1997</v>
      </c>
      <c r="CB671">
        <v>1</v>
      </c>
      <c r="CC671">
        <v>1</v>
      </c>
      <c r="CD671">
        <v>2017</v>
      </c>
      <c r="CG671">
        <v>48693</v>
      </c>
      <c r="CH671">
        <v>2017</v>
      </c>
      <c r="CI671">
        <v>15150</v>
      </c>
      <c r="CJ671">
        <v>45476</v>
      </c>
      <c r="CK671">
        <v>60626</v>
      </c>
      <c r="CL671">
        <v>2017</v>
      </c>
      <c r="CM671">
        <v>358.67</v>
      </c>
      <c r="CN671" s="1">
        <v>36138</v>
      </c>
      <c r="CZ671" s="1">
        <v>36138</v>
      </c>
      <c r="DD671" t="s">
        <v>2785</v>
      </c>
      <c r="DF671">
        <v>10</v>
      </c>
      <c r="DG671">
        <v>16</v>
      </c>
      <c r="DL671">
        <v>50502</v>
      </c>
      <c r="DM671" t="s">
        <v>7075</v>
      </c>
      <c r="DO671" t="s">
        <v>7121</v>
      </c>
      <c r="DP671">
        <v>0</v>
      </c>
      <c r="DQ671">
        <v>0</v>
      </c>
      <c r="DR671" t="s">
        <v>411</v>
      </c>
      <c r="DS671" t="b">
        <v>1</v>
      </c>
      <c r="DT671" t="s">
        <v>470</v>
      </c>
      <c r="DU671" t="s">
        <v>471</v>
      </c>
      <c r="DV671" t="s">
        <v>472</v>
      </c>
      <c r="DX671">
        <v>-9999</v>
      </c>
      <c r="DZ671" t="s">
        <v>447</v>
      </c>
      <c r="EA671" t="s">
        <v>448</v>
      </c>
      <c r="EB671" t="s">
        <v>7109</v>
      </c>
      <c r="EC671">
        <v>20101217</v>
      </c>
      <c r="ED671" t="s">
        <v>474</v>
      </c>
      <c r="EF671">
        <v>239</v>
      </c>
      <c r="EG671">
        <v>239</v>
      </c>
      <c r="EH671" t="s">
        <v>451</v>
      </c>
      <c r="EI671">
        <v>20140731</v>
      </c>
      <c r="EJ671">
        <v>0</v>
      </c>
      <c r="EK671">
        <v>0</v>
      </c>
      <c r="EP671" t="s">
        <v>421</v>
      </c>
      <c r="EQ671" t="s">
        <v>422</v>
      </c>
      <c r="ER671">
        <v>2</v>
      </c>
      <c r="ES671">
        <v>3</v>
      </c>
      <c r="ET671">
        <v>807.44</v>
      </c>
      <c r="EU671">
        <v>52.87</v>
      </c>
      <c r="EV671">
        <v>860.31</v>
      </c>
      <c r="EW671" s="2">
        <v>43222</v>
      </c>
      <c r="EX671" s="1">
        <v>42879</v>
      </c>
      <c r="EY671">
        <v>2016</v>
      </c>
      <c r="EZ671">
        <v>403.72</v>
      </c>
      <c r="FA671" t="s">
        <v>7122</v>
      </c>
      <c r="FB671">
        <v>0.25</v>
      </c>
      <c r="FC671" t="s">
        <v>424</v>
      </c>
      <c r="FD671" t="s">
        <v>454</v>
      </c>
      <c r="FF671">
        <v>12</v>
      </c>
      <c r="FG671">
        <v>7400234</v>
      </c>
      <c r="FH671" t="s">
        <v>426</v>
      </c>
      <c r="FJ671" s="1">
        <v>42879</v>
      </c>
      <c r="FK671">
        <v>2016</v>
      </c>
      <c r="FL671">
        <v>403.72</v>
      </c>
      <c r="FM671" t="s">
        <v>7122</v>
      </c>
      <c r="FN671">
        <v>0.25</v>
      </c>
      <c r="FO671" t="s">
        <v>424</v>
      </c>
      <c r="FP671" t="s">
        <v>454</v>
      </c>
      <c r="FR671">
        <v>12</v>
      </c>
      <c r="FS671">
        <v>7505855</v>
      </c>
      <c r="FT671" t="s">
        <v>7123</v>
      </c>
      <c r="FV671" s="1">
        <v>42151</v>
      </c>
      <c r="FW671">
        <v>2014</v>
      </c>
      <c r="FX671">
        <v>397.72</v>
      </c>
      <c r="FY671" t="s">
        <v>7124</v>
      </c>
      <c r="FZ671">
        <v>0.25</v>
      </c>
      <c r="GA671" t="s">
        <v>424</v>
      </c>
      <c r="GB671" t="s">
        <v>425</v>
      </c>
      <c r="GC671" s="1">
        <v>42459</v>
      </c>
      <c r="GD671">
        <v>10</v>
      </c>
      <c r="GE671">
        <v>2851116</v>
      </c>
      <c r="GF671" t="s">
        <v>480</v>
      </c>
      <c r="GH671" s="1">
        <v>42151</v>
      </c>
      <c r="GI671">
        <v>2014</v>
      </c>
      <c r="GJ671">
        <v>397.72</v>
      </c>
      <c r="GK671" t="s">
        <v>7124</v>
      </c>
      <c r="GL671">
        <v>0.25</v>
      </c>
      <c r="GM671" t="s">
        <v>424</v>
      </c>
      <c r="GN671" t="s">
        <v>425</v>
      </c>
      <c r="GP671">
        <v>22</v>
      </c>
      <c r="GQ671">
        <v>4895482</v>
      </c>
      <c r="GR671" t="s">
        <v>7125</v>
      </c>
      <c r="GT671" s="1">
        <v>41787</v>
      </c>
      <c r="GU671">
        <v>2013</v>
      </c>
      <c r="GV671">
        <v>474.29</v>
      </c>
      <c r="GW671" t="s">
        <v>7126</v>
      </c>
      <c r="GX671">
        <v>0.25</v>
      </c>
      <c r="GY671" t="s">
        <v>424</v>
      </c>
      <c r="GZ671" t="s">
        <v>425</v>
      </c>
      <c r="HA671" s="1">
        <v>42459</v>
      </c>
      <c r="HB671">
        <v>22</v>
      </c>
      <c r="HC671">
        <v>15399</v>
      </c>
      <c r="HD671" t="s">
        <v>485</v>
      </c>
    </row>
    <row r="672" spans="1:272" x14ac:dyDescent="0.25">
      <c r="A672">
        <v>16485679</v>
      </c>
      <c r="B672">
        <v>671</v>
      </c>
      <c r="C672" t="s">
        <v>393</v>
      </c>
      <c r="D672" t="s">
        <v>394</v>
      </c>
      <c r="F672" t="str">
        <f>"16-1N-25-2900-0013-0020"</f>
        <v>16-1N-25-2900-0013-0020</v>
      </c>
      <c r="H672" t="str">
        <f>"AMOS CHRISTY L"</f>
        <v>AMOS CHRISTY L</v>
      </c>
      <c r="I672" t="str">
        <f>"43433 RATLIFF RD"</f>
        <v>43433 RATLIFF RD</v>
      </c>
      <c r="J672" t="str">
        <f t="shared" si="203"/>
        <v>CALLAHAN FL 32011</v>
      </c>
      <c r="K672" t="str">
        <f>"43433 RATLIFF RD"</f>
        <v>43433 RATLIFF RD</v>
      </c>
      <c r="L672" t="str">
        <f t="shared" si="202"/>
        <v>CALLAHAN FL 32011</v>
      </c>
      <c r="M672" t="str">
        <f>"PT OF LOT 13 IN OR 781/952 &amp; OR 766/1625 RATLIFF ACRES UNR"</f>
        <v>PT OF LOT 13 IN OR 781/952 &amp; OR 766/1625 RATLIFF ACRES UNR</v>
      </c>
      <c r="N672" t="str">
        <f>""</f>
        <v/>
      </c>
      <c r="O672" t="str">
        <f>"31013"</f>
        <v>31013</v>
      </c>
      <c r="P672" t="str">
        <f t="shared" si="194"/>
        <v>2017</v>
      </c>
      <c r="Q672" t="str">
        <f>""</f>
        <v/>
      </c>
      <c r="R672" t="str">
        <f>"Y"</f>
        <v>Y</v>
      </c>
      <c r="S672" t="str">
        <f>"4.62"</f>
        <v>4.62</v>
      </c>
      <c r="T672" t="str">
        <f>"2461.98"</f>
        <v>2461.98</v>
      </c>
      <c r="U672" t="str">
        <f>"202232.00"</f>
        <v>202232.00</v>
      </c>
      <c r="V672" t="str">
        <f>"202232.00"</f>
        <v>202232.00</v>
      </c>
      <c r="W672" t="str">
        <f t="shared" si="195"/>
        <v>2017</v>
      </c>
      <c r="X672" t="str">
        <f>"16.86"</f>
        <v>16.86</v>
      </c>
      <c r="Y672" t="str">
        <f>"2567.84"</f>
        <v>2567.84</v>
      </c>
      <c r="Z672" t="str">
        <f>"25500.00"</f>
        <v>25500.00</v>
      </c>
      <c r="AA672" t="str">
        <f>"176732.00"</f>
        <v>176732.00</v>
      </c>
      <c r="AB672" t="str">
        <f t="shared" si="196"/>
        <v>Residential</v>
      </c>
      <c r="AC672" t="str">
        <f t="shared" si="204"/>
        <v>0</v>
      </c>
      <c r="AD672" t="str">
        <f t="shared" si="205"/>
        <v>4</v>
      </c>
      <c r="AE672" t="str">
        <f t="shared" si="206"/>
        <v>WOOD (INCLUDE STEEL STUDS)</v>
      </c>
      <c r="AF672" t="str">
        <f>"001"</f>
        <v>001</v>
      </c>
      <c r="AG672" t="str">
        <f t="shared" si="197"/>
        <v>FL</v>
      </c>
      <c r="AH672" t="str">
        <f>"201247.00"</f>
        <v>201247.00</v>
      </c>
      <c r="AI672" t="str">
        <f>"55440.00"</f>
        <v>55440.00</v>
      </c>
      <c r="AJ672" t="str">
        <f>"C55-000-587-0788-6"</f>
        <v>C55-000-587-0788-6</v>
      </c>
      <c r="AK672" t="str">
        <f>"10709"</f>
        <v>10709</v>
      </c>
      <c r="AL672">
        <v>3</v>
      </c>
      <c r="AM672">
        <v>770</v>
      </c>
      <c r="AN672">
        <v>2694.63</v>
      </c>
      <c r="AQ672" t="s">
        <v>7127</v>
      </c>
      <c r="AR672" t="s">
        <v>7127</v>
      </c>
      <c r="AS672" t="s">
        <v>7127</v>
      </c>
      <c r="AU672" t="s">
        <v>396</v>
      </c>
      <c r="AV672">
        <v>2017</v>
      </c>
      <c r="AW672" t="str">
        <f>"16-1N-25-2900-0013-0020 "</f>
        <v xml:space="preserve">16-1N-25-2900-0013-0020 </v>
      </c>
      <c r="AX672">
        <v>43433</v>
      </c>
      <c r="AZ672" t="s">
        <v>7093</v>
      </c>
      <c r="BA672" t="s">
        <v>496</v>
      </c>
      <c r="BD672" t="s">
        <v>2785</v>
      </c>
      <c r="BE672" t="s">
        <v>393</v>
      </c>
      <c r="BF672">
        <v>32011</v>
      </c>
      <c r="BG672" t="s">
        <v>7128</v>
      </c>
      <c r="BH672" t="s">
        <v>2787</v>
      </c>
      <c r="BI672">
        <v>-81.817096389818502</v>
      </c>
      <c r="BJ672">
        <v>30.497099239828099</v>
      </c>
      <c r="BK672" t="s">
        <v>7129</v>
      </c>
      <c r="BM672" t="s">
        <v>7128</v>
      </c>
      <c r="BN672" t="s">
        <v>928</v>
      </c>
      <c r="BO672">
        <v>32011</v>
      </c>
      <c r="BP672" t="s">
        <v>416</v>
      </c>
      <c r="BQ672">
        <v>100</v>
      </c>
      <c r="BR672" t="s">
        <v>514</v>
      </c>
      <c r="BS672">
        <v>1001</v>
      </c>
      <c r="BT672" t="s">
        <v>515</v>
      </c>
      <c r="BW672">
        <v>95832</v>
      </c>
      <c r="BX672" t="s">
        <v>407</v>
      </c>
      <c r="BY672" t="s">
        <v>408</v>
      </c>
      <c r="BZ672">
        <v>4</v>
      </c>
      <c r="CA672">
        <v>1997</v>
      </c>
      <c r="CB672">
        <v>1</v>
      </c>
      <c r="CC672">
        <v>1</v>
      </c>
      <c r="CD672">
        <v>2017</v>
      </c>
      <c r="CG672">
        <v>202232</v>
      </c>
      <c r="CH672">
        <v>2017</v>
      </c>
      <c r="CI672">
        <v>55440</v>
      </c>
      <c r="CJ672">
        <v>164573</v>
      </c>
      <c r="CK672">
        <v>220013</v>
      </c>
      <c r="CL672">
        <v>2017</v>
      </c>
      <c r="CM672">
        <v>2461.98</v>
      </c>
      <c r="CN672" s="1">
        <v>35437</v>
      </c>
      <c r="CZ672" s="1">
        <v>35437</v>
      </c>
      <c r="DD672" t="s">
        <v>2785</v>
      </c>
      <c r="DF672">
        <v>13</v>
      </c>
      <c r="DG672">
        <v>16</v>
      </c>
      <c r="DJ672" t="s">
        <v>7130</v>
      </c>
      <c r="DL672">
        <v>50502</v>
      </c>
      <c r="DM672" t="s">
        <v>7075</v>
      </c>
      <c r="DO672" t="s">
        <v>7131</v>
      </c>
      <c r="DP672">
        <v>0</v>
      </c>
      <c r="DQ672">
        <v>0</v>
      </c>
      <c r="DR672" t="s">
        <v>411</v>
      </c>
      <c r="DS672" t="b">
        <v>1</v>
      </c>
      <c r="DT672" t="s">
        <v>396</v>
      </c>
      <c r="DV672" t="s">
        <v>446</v>
      </c>
      <c r="DX672">
        <v>-9999</v>
      </c>
      <c r="DZ672" t="s">
        <v>447</v>
      </c>
      <c r="EA672" t="s">
        <v>448</v>
      </c>
      <c r="EB672" t="s">
        <v>2792</v>
      </c>
      <c r="EC672">
        <v>20101217</v>
      </c>
      <c r="ED672" t="s">
        <v>450</v>
      </c>
      <c r="EE672">
        <v>17.5</v>
      </c>
      <c r="EF672">
        <v>0</v>
      </c>
      <c r="EG672">
        <v>0</v>
      </c>
      <c r="EI672">
        <v>20160407</v>
      </c>
      <c r="EJ672">
        <v>0</v>
      </c>
      <c r="EK672">
        <v>0</v>
      </c>
      <c r="EP672" t="s">
        <v>421</v>
      </c>
      <c r="EQ672" t="s">
        <v>422</v>
      </c>
      <c r="ER672">
        <v>2</v>
      </c>
      <c r="ES672">
        <v>8</v>
      </c>
      <c r="ET672">
        <v>4393.58</v>
      </c>
      <c r="EU672">
        <v>232.18</v>
      </c>
      <c r="EV672">
        <v>4625.76</v>
      </c>
      <c r="EW672" s="2">
        <v>43222</v>
      </c>
      <c r="EX672" s="1">
        <v>42879</v>
      </c>
      <c r="EY672">
        <v>2016</v>
      </c>
      <c r="EZ672">
        <v>2196.79</v>
      </c>
      <c r="FA672" t="s">
        <v>7132</v>
      </c>
      <c r="FB672">
        <v>0.25</v>
      </c>
      <c r="FC672" t="s">
        <v>424</v>
      </c>
      <c r="FD672" t="s">
        <v>454</v>
      </c>
      <c r="FF672">
        <v>12</v>
      </c>
      <c r="FG672">
        <v>7400234</v>
      </c>
      <c r="FH672" t="s">
        <v>426</v>
      </c>
      <c r="FJ672" s="1">
        <v>42879</v>
      </c>
      <c r="FK672">
        <v>2016</v>
      </c>
      <c r="FL672">
        <v>2196.79</v>
      </c>
      <c r="FM672" t="s">
        <v>7132</v>
      </c>
      <c r="FN672">
        <v>0.25</v>
      </c>
      <c r="FO672" t="s">
        <v>424</v>
      </c>
      <c r="FP672" t="s">
        <v>454</v>
      </c>
      <c r="FR672">
        <v>12</v>
      </c>
      <c r="FS672">
        <v>7568722</v>
      </c>
      <c r="FT672" t="s">
        <v>7133</v>
      </c>
      <c r="FV672" s="1">
        <v>42515</v>
      </c>
      <c r="FW672">
        <v>2015</v>
      </c>
      <c r="FX672">
        <v>2229.6799999999998</v>
      </c>
      <c r="FY672" t="s">
        <v>7134</v>
      </c>
      <c r="FZ672">
        <v>0.25</v>
      </c>
      <c r="GA672" t="s">
        <v>424</v>
      </c>
      <c r="GB672" t="s">
        <v>425</v>
      </c>
      <c r="GC672" s="1">
        <v>43137</v>
      </c>
      <c r="GD672">
        <v>21</v>
      </c>
      <c r="GE672">
        <v>5894185</v>
      </c>
      <c r="GF672" t="s">
        <v>7135</v>
      </c>
      <c r="GH672" s="1">
        <v>42515</v>
      </c>
      <c r="GI672">
        <v>2015</v>
      </c>
      <c r="GJ672">
        <v>2229.6799999999998</v>
      </c>
      <c r="GK672" t="s">
        <v>7134</v>
      </c>
      <c r="GL672">
        <v>0.25</v>
      </c>
      <c r="GM672" t="s">
        <v>424</v>
      </c>
      <c r="GN672" t="s">
        <v>425</v>
      </c>
      <c r="GP672">
        <v>22</v>
      </c>
      <c r="GQ672">
        <v>6066388</v>
      </c>
      <c r="GR672" t="s">
        <v>7136</v>
      </c>
      <c r="GT672" s="1">
        <v>42151</v>
      </c>
      <c r="GU672">
        <v>2014</v>
      </c>
      <c r="GV672">
        <v>2218.73</v>
      </c>
      <c r="GW672" t="s">
        <v>7137</v>
      </c>
      <c r="GX672">
        <v>0.25</v>
      </c>
      <c r="GY672" t="s">
        <v>424</v>
      </c>
      <c r="GZ672" t="s">
        <v>425</v>
      </c>
      <c r="HA672" s="1">
        <v>42409</v>
      </c>
      <c r="HB672">
        <v>9</v>
      </c>
      <c r="HC672">
        <v>2851116</v>
      </c>
      <c r="HD672" t="s">
        <v>480</v>
      </c>
      <c r="HF672" s="1">
        <v>42151</v>
      </c>
      <c r="HG672">
        <v>2014</v>
      </c>
      <c r="HH672">
        <v>2218.73</v>
      </c>
      <c r="HI672" t="s">
        <v>7137</v>
      </c>
      <c r="HJ672">
        <v>0.25</v>
      </c>
      <c r="HK672" t="s">
        <v>424</v>
      </c>
      <c r="HL672" t="s">
        <v>425</v>
      </c>
      <c r="HN672">
        <v>22</v>
      </c>
      <c r="HO672">
        <v>5413661</v>
      </c>
      <c r="HP672" t="s">
        <v>7138</v>
      </c>
      <c r="HR672" s="1">
        <v>41787</v>
      </c>
      <c r="HS672">
        <v>2013</v>
      </c>
      <c r="HT672">
        <v>2075.61</v>
      </c>
      <c r="HU672" t="s">
        <v>7139</v>
      </c>
      <c r="HV672">
        <v>0.25</v>
      </c>
      <c r="HW672" t="s">
        <v>424</v>
      </c>
      <c r="HX672" t="s">
        <v>425</v>
      </c>
      <c r="HY672" s="1">
        <v>42409</v>
      </c>
      <c r="HZ672">
        <v>21</v>
      </c>
      <c r="IA672">
        <v>2851116</v>
      </c>
      <c r="IB672" t="s">
        <v>480</v>
      </c>
      <c r="ID672" s="1">
        <v>41423</v>
      </c>
      <c r="IE672">
        <v>2012</v>
      </c>
      <c r="IF672">
        <v>2419.87</v>
      </c>
      <c r="IG672" t="s">
        <v>7140</v>
      </c>
      <c r="IH672">
        <v>0.25</v>
      </c>
      <c r="II672" t="s">
        <v>424</v>
      </c>
      <c r="IJ672" t="s">
        <v>425</v>
      </c>
      <c r="IL672">
        <v>22</v>
      </c>
      <c r="IM672">
        <v>11303</v>
      </c>
      <c r="IN672" t="s">
        <v>918</v>
      </c>
      <c r="IP672" s="1">
        <v>41423</v>
      </c>
      <c r="IQ672">
        <v>2012</v>
      </c>
      <c r="IR672">
        <v>2419.87</v>
      </c>
      <c r="IS672" t="s">
        <v>7140</v>
      </c>
      <c r="IT672">
        <v>0.25</v>
      </c>
      <c r="IU672" t="s">
        <v>424</v>
      </c>
      <c r="IV672" t="s">
        <v>425</v>
      </c>
      <c r="IW672" s="1">
        <v>42090</v>
      </c>
      <c r="IX672">
        <v>22</v>
      </c>
      <c r="IY672">
        <v>4844956</v>
      </c>
      <c r="IZ672" t="s">
        <v>919</v>
      </c>
      <c r="JB672" s="1">
        <v>41052</v>
      </c>
      <c r="JC672">
        <v>2011</v>
      </c>
      <c r="JD672">
        <v>2686.09</v>
      </c>
      <c r="JE672" t="s">
        <v>7141</v>
      </c>
      <c r="JF672">
        <v>0.25</v>
      </c>
      <c r="JG672" t="s">
        <v>424</v>
      </c>
      <c r="JH672" t="s">
        <v>425</v>
      </c>
      <c r="JI672" s="1">
        <v>41718</v>
      </c>
      <c r="JJ672">
        <v>22</v>
      </c>
      <c r="JK672">
        <v>14055</v>
      </c>
      <c r="JL672" t="s">
        <v>7142</v>
      </c>
    </row>
    <row r="673" spans="1:308" x14ac:dyDescent="0.25">
      <c r="A673">
        <v>16485680</v>
      </c>
      <c r="B673">
        <v>672</v>
      </c>
      <c r="C673" t="s">
        <v>393</v>
      </c>
      <c r="D673" t="s">
        <v>394</v>
      </c>
      <c r="F673" t="str">
        <f>"16-1N-25-2900-0017-0000"</f>
        <v>16-1N-25-2900-0017-0000</v>
      </c>
      <c r="H673" t="str">
        <f>"HUNT DEBORAH M"</f>
        <v>HUNT DEBORAH M</v>
      </c>
      <c r="I673" t="str">
        <f>"PO BOX 1433"</f>
        <v>PO BOX 1433</v>
      </c>
      <c r="J673" t="str">
        <f>"CALLHAN FL 32011"</f>
        <v>CALLHAN FL 32011</v>
      </c>
      <c r="K673" t="str">
        <f>"43501 RATLIFF RD"</f>
        <v>43501 RATLIFF RD</v>
      </c>
      <c r="L673" t="str">
        <f t="shared" si="202"/>
        <v>CALLAHAN FL 32011</v>
      </c>
      <c r="M673" t="str">
        <f>"LOT 17 R106937 IN OR 1820/300 R672144 &amp; R672145 &amp; R672156 RATLIFF ACRES UNR"</f>
        <v>LOT 17 R106937 IN OR 1820/300 R672144 &amp; R672145 &amp; R672156 RATLIFF ACRES UNR</v>
      </c>
      <c r="N673" t="str">
        <f>""</f>
        <v/>
      </c>
      <c r="O673" t="str">
        <f>"31023"</f>
        <v>31023</v>
      </c>
      <c r="P673" t="str">
        <f t="shared" si="194"/>
        <v>2017</v>
      </c>
      <c r="Q673" t="str">
        <f>""</f>
        <v/>
      </c>
      <c r="R673" t="str">
        <f>"N"</f>
        <v>N</v>
      </c>
      <c r="S673" t="str">
        <f>"5.00"</f>
        <v>5.00</v>
      </c>
      <c r="T673" t="str">
        <f>"1622.57"</f>
        <v>1622.57</v>
      </c>
      <c r="U673" t="str">
        <f>"104741.00"</f>
        <v>104741.00</v>
      </c>
      <c r="V673" t="str">
        <f>"104741.00"</f>
        <v>104741.00</v>
      </c>
      <c r="W673" t="str">
        <f t="shared" si="195"/>
        <v>2017</v>
      </c>
      <c r="X673" t="str">
        <f>"12.33"</f>
        <v>12.33</v>
      </c>
      <c r="Y673" t="str">
        <f>"1703.25"</f>
        <v>1703.25</v>
      </c>
      <c r="Z673" t="str">
        <f>""</f>
        <v/>
      </c>
      <c r="AA673" t="str">
        <f>"110338.00"</f>
        <v>110338.00</v>
      </c>
      <c r="AB673" t="str">
        <f t="shared" si="196"/>
        <v>Residential</v>
      </c>
      <c r="AC673" t="str">
        <f t="shared" si="204"/>
        <v>0</v>
      </c>
      <c r="AD673" t="str">
        <f t="shared" si="205"/>
        <v>4</v>
      </c>
      <c r="AE673" t="str">
        <f t="shared" si="206"/>
        <v>WOOD (INCLUDE STEEL STUDS)</v>
      </c>
      <c r="AF673" t="str">
        <f>"002"</f>
        <v>002</v>
      </c>
      <c r="AG673" t="str">
        <f t="shared" si="197"/>
        <v>FL</v>
      </c>
      <c r="AH673" t="str">
        <f>"217800.00"</f>
        <v>217800.00</v>
      </c>
      <c r="AI673" t="str">
        <f>"40000.00"</f>
        <v>40000.00</v>
      </c>
      <c r="AJ673" t="str">
        <f>"C55-000-587-0796-9"</f>
        <v>C55-000-587-0796-9</v>
      </c>
      <c r="AK673" t="str">
        <f>"10717"</f>
        <v>10717</v>
      </c>
      <c r="AL673">
        <v>3</v>
      </c>
      <c r="AM673">
        <v>771</v>
      </c>
      <c r="AN673">
        <v>1786.81</v>
      </c>
      <c r="AQ673" t="s">
        <v>7143</v>
      </c>
      <c r="AR673" t="s">
        <v>7143</v>
      </c>
      <c r="AS673" t="s">
        <v>7143</v>
      </c>
      <c r="AU673" t="s">
        <v>396</v>
      </c>
      <c r="AV673">
        <v>2017</v>
      </c>
      <c r="AW673" t="str">
        <f>"16-1N-25-2900-0017-0000 "</f>
        <v xml:space="preserve">16-1N-25-2900-0017-0000 </v>
      </c>
      <c r="AX673">
        <v>43501</v>
      </c>
      <c r="AZ673" t="s">
        <v>7093</v>
      </c>
      <c r="BA673" t="s">
        <v>496</v>
      </c>
      <c r="BD673" t="s">
        <v>2785</v>
      </c>
      <c r="BE673" t="s">
        <v>393</v>
      </c>
      <c r="BF673">
        <v>32011</v>
      </c>
      <c r="BG673" t="s">
        <v>7144</v>
      </c>
      <c r="BH673" t="s">
        <v>2787</v>
      </c>
      <c r="BI673">
        <v>-81.812700649732093</v>
      </c>
      <c r="BJ673">
        <v>30.499719536637699</v>
      </c>
      <c r="BK673" t="s">
        <v>7145</v>
      </c>
      <c r="BM673" t="s">
        <v>7146</v>
      </c>
      <c r="BN673" t="s">
        <v>928</v>
      </c>
      <c r="BO673">
        <v>32011</v>
      </c>
      <c r="BP673" t="s">
        <v>404</v>
      </c>
      <c r="BQ673">
        <v>200</v>
      </c>
      <c r="BR673" t="s">
        <v>405</v>
      </c>
      <c r="BS673">
        <v>1006</v>
      </c>
      <c r="BT673" t="s">
        <v>406</v>
      </c>
      <c r="BW673">
        <v>217800</v>
      </c>
      <c r="BX673" t="s">
        <v>407</v>
      </c>
      <c r="BY673" t="s">
        <v>408</v>
      </c>
      <c r="BZ673">
        <v>4</v>
      </c>
      <c r="CA673">
        <v>1996</v>
      </c>
      <c r="CB673">
        <v>1</v>
      </c>
      <c r="CC673">
        <v>2</v>
      </c>
      <c r="CD673">
        <v>2017</v>
      </c>
      <c r="CE673">
        <v>40000</v>
      </c>
      <c r="CF673">
        <v>70338</v>
      </c>
      <c r="CG673">
        <v>110338</v>
      </c>
      <c r="CH673">
        <v>2017</v>
      </c>
      <c r="CI673">
        <v>40000</v>
      </c>
      <c r="CJ673">
        <v>70338</v>
      </c>
      <c r="CK673">
        <v>110338</v>
      </c>
      <c r="CL673">
        <v>2017</v>
      </c>
      <c r="CM673">
        <v>1622.57</v>
      </c>
      <c r="CN673" s="1">
        <v>41201</v>
      </c>
      <c r="CV673">
        <v>0</v>
      </c>
      <c r="CZ673" s="1">
        <v>41201</v>
      </c>
      <c r="DA673">
        <v>0</v>
      </c>
      <c r="DD673" t="s">
        <v>2785</v>
      </c>
      <c r="DF673">
        <v>17</v>
      </c>
      <c r="DG673">
        <v>16</v>
      </c>
      <c r="DL673">
        <v>50502</v>
      </c>
      <c r="DM673" t="s">
        <v>7075</v>
      </c>
      <c r="DO673" t="s">
        <v>7147</v>
      </c>
      <c r="DP673">
        <v>0</v>
      </c>
      <c r="DQ673">
        <v>0</v>
      </c>
      <c r="DR673" t="s">
        <v>411</v>
      </c>
      <c r="DS673" t="b">
        <v>1</v>
      </c>
      <c r="DT673" t="s">
        <v>470</v>
      </c>
      <c r="DU673" t="s">
        <v>471</v>
      </c>
      <c r="DV673" t="s">
        <v>472</v>
      </c>
      <c r="DX673">
        <v>-9999</v>
      </c>
      <c r="DZ673" t="s">
        <v>447</v>
      </c>
      <c r="EA673" t="s">
        <v>448</v>
      </c>
      <c r="EB673" t="s">
        <v>7148</v>
      </c>
      <c r="EC673">
        <v>20101217</v>
      </c>
      <c r="ED673" t="s">
        <v>474</v>
      </c>
      <c r="EF673">
        <v>228.9</v>
      </c>
      <c r="EG673">
        <v>228.9</v>
      </c>
      <c r="EI673">
        <v>20160407</v>
      </c>
      <c r="EJ673">
        <v>0</v>
      </c>
      <c r="EK673">
        <v>0</v>
      </c>
      <c r="EP673" t="s">
        <v>421</v>
      </c>
      <c r="EQ673" t="s">
        <v>422</v>
      </c>
      <c r="ER673">
        <v>2</v>
      </c>
      <c r="ES673">
        <v>4</v>
      </c>
      <c r="ET673">
        <v>3215.66</v>
      </c>
      <c r="EU673">
        <v>173.28</v>
      </c>
      <c r="EV673">
        <v>3388.94</v>
      </c>
      <c r="EW673" s="2">
        <v>43222</v>
      </c>
      <c r="EX673" s="1">
        <v>42879</v>
      </c>
      <c r="EY673">
        <v>2016</v>
      </c>
      <c r="EZ673">
        <v>1607.83</v>
      </c>
      <c r="FA673" t="s">
        <v>7149</v>
      </c>
      <c r="FB673">
        <v>0.25</v>
      </c>
      <c r="FC673" t="s">
        <v>424</v>
      </c>
      <c r="FD673" t="s">
        <v>454</v>
      </c>
      <c r="FF673">
        <v>12</v>
      </c>
      <c r="FG673">
        <v>7400234</v>
      </c>
      <c r="FH673" t="s">
        <v>426</v>
      </c>
      <c r="FJ673" s="1">
        <v>42879</v>
      </c>
      <c r="FK673">
        <v>2016</v>
      </c>
      <c r="FL673">
        <v>1607.83</v>
      </c>
      <c r="FM673" t="s">
        <v>7149</v>
      </c>
      <c r="FN673">
        <v>0.25</v>
      </c>
      <c r="FO673" t="s">
        <v>424</v>
      </c>
      <c r="FP673" t="s">
        <v>454</v>
      </c>
      <c r="FR673">
        <v>12</v>
      </c>
      <c r="FS673">
        <v>7416910</v>
      </c>
      <c r="FT673" t="s">
        <v>7150</v>
      </c>
      <c r="FV673" s="1">
        <v>42515</v>
      </c>
      <c r="FW673">
        <v>2015</v>
      </c>
      <c r="FX673">
        <v>1715.29</v>
      </c>
      <c r="FY673" t="s">
        <v>7151</v>
      </c>
      <c r="FZ673">
        <v>0.25</v>
      </c>
      <c r="GA673" t="s">
        <v>424</v>
      </c>
      <c r="GB673" t="s">
        <v>425</v>
      </c>
      <c r="GC673" s="1">
        <v>43207</v>
      </c>
      <c r="GD673">
        <v>23</v>
      </c>
      <c r="GE673">
        <v>2851116</v>
      </c>
      <c r="GF673" t="s">
        <v>480</v>
      </c>
      <c r="GH673" s="1">
        <v>42515</v>
      </c>
      <c r="GI673">
        <v>2015</v>
      </c>
      <c r="GJ673">
        <v>1715.29</v>
      </c>
      <c r="GK673" t="s">
        <v>7151</v>
      </c>
      <c r="GL673">
        <v>0.25</v>
      </c>
      <c r="GM673" t="s">
        <v>424</v>
      </c>
      <c r="GN673" t="s">
        <v>425</v>
      </c>
      <c r="GP673">
        <v>22</v>
      </c>
      <c r="GQ673">
        <v>5453182</v>
      </c>
      <c r="GR673" t="s">
        <v>7152</v>
      </c>
      <c r="GT673" s="1">
        <v>41787</v>
      </c>
      <c r="GU673">
        <v>2013</v>
      </c>
      <c r="GV673">
        <v>1818.41</v>
      </c>
      <c r="GW673" t="s">
        <v>7153</v>
      </c>
      <c r="GX673">
        <v>0.25</v>
      </c>
      <c r="GY673" t="s">
        <v>424</v>
      </c>
      <c r="GZ673" t="s">
        <v>425</v>
      </c>
      <c r="HA673" s="1">
        <v>42132</v>
      </c>
      <c r="HB673">
        <v>12</v>
      </c>
      <c r="HC673">
        <v>2101382</v>
      </c>
      <c r="HD673" t="s">
        <v>993</v>
      </c>
      <c r="HF673" s="1">
        <v>41052</v>
      </c>
      <c r="HG673">
        <v>2011</v>
      </c>
      <c r="HH673">
        <v>1623.05</v>
      </c>
      <c r="HI673" t="s">
        <v>7154</v>
      </c>
      <c r="HJ673">
        <v>4.75</v>
      </c>
      <c r="HK673" t="s">
        <v>424</v>
      </c>
      <c r="HL673" t="s">
        <v>425</v>
      </c>
      <c r="HM673" s="1">
        <v>41117</v>
      </c>
      <c r="HN673">
        <v>2</v>
      </c>
      <c r="HO673">
        <v>12407</v>
      </c>
      <c r="HP673" t="s">
        <v>838</v>
      </c>
    </row>
    <row r="674" spans="1:308" x14ac:dyDescent="0.25">
      <c r="A674">
        <v>16485681</v>
      </c>
      <c r="B674">
        <v>673</v>
      </c>
      <c r="C674" t="s">
        <v>393</v>
      </c>
      <c r="D674" t="s">
        <v>394</v>
      </c>
      <c r="F674" t="str">
        <f>"16-1N-25-2900-0027-0010"</f>
        <v>16-1N-25-2900-0027-0010</v>
      </c>
      <c r="H674" t="str">
        <f>"BUSTION GERALD W &amp; CYNTHIA A"</f>
        <v>BUSTION GERALD W &amp; CYNTHIA A</v>
      </c>
      <c r="I674" t="str">
        <f>"7901 PODER PLACE"</f>
        <v>7901 PODER PLACE</v>
      </c>
      <c r="J674" t="str">
        <f>"BRYCEVILLE FL 32009"</f>
        <v>BRYCEVILLE FL 32009</v>
      </c>
      <c r="K674" t="str">
        <f>"43434 RATLIFF RD"</f>
        <v>43434 RATLIFF RD</v>
      </c>
      <c r="L674" t="str">
        <f t="shared" si="202"/>
        <v>CALLAHAN FL 32011</v>
      </c>
      <c r="M674" t="str">
        <f>"PT OF LOT 27 IN OR 1493/332 ESMT OR 1138/707 RATLIFF ACRES UNR"</f>
        <v>PT OF LOT 27 IN OR 1493/332 ESMT OR 1138/707 RATLIFF ACRES UNR</v>
      </c>
      <c r="N674" t="str">
        <f>""</f>
        <v/>
      </c>
      <c r="O674" t="str">
        <f>"31045"</f>
        <v>31045</v>
      </c>
      <c r="P674" t="str">
        <f t="shared" si="194"/>
        <v>2017</v>
      </c>
      <c r="Q674" t="str">
        <f>""</f>
        <v/>
      </c>
      <c r="R674" t="str">
        <f>"N"</f>
        <v>N</v>
      </c>
      <c r="S674" t="str">
        <f>"2.01"</f>
        <v>2.01</v>
      </c>
      <c r="T674" t="str">
        <f>"880.57"</f>
        <v>880.57</v>
      </c>
      <c r="U674" t="str">
        <f>"58016.00"</f>
        <v>58016.00</v>
      </c>
      <c r="V674" t="str">
        <f>"58016.00"</f>
        <v>58016.00</v>
      </c>
      <c r="W674" t="str">
        <f t="shared" si="195"/>
        <v>2017</v>
      </c>
      <c r="X674" t="str">
        <f>"20.75"</f>
        <v>20.75</v>
      </c>
      <c r="Y674" t="str">
        <f>"938.99"</f>
        <v>938.99</v>
      </c>
      <c r="Z674" t="str">
        <f>""</f>
        <v/>
      </c>
      <c r="AA674" t="str">
        <f>"58361.00"</f>
        <v>58361.00</v>
      </c>
      <c r="AB674" t="str">
        <f t="shared" ref="AB674:AB689" si="207">"Residential"</f>
        <v>Residential</v>
      </c>
      <c r="AC674" t="str">
        <f t="shared" si="204"/>
        <v>0</v>
      </c>
      <c r="AD674" t="str">
        <f t="shared" si="205"/>
        <v>4</v>
      </c>
      <c r="AE674" t="str">
        <f t="shared" si="206"/>
        <v>WOOD (INCLUDE STEEL STUDS)</v>
      </c>
      <c r="AF674" t="str">
        <f>"002"</f>
        <v>002</v>
      </c>
      <c r="AG674" t="str">
        <f t="shared" si="197"/>
        <v>FL</v>
      </c>
      <c r="AH674" t="str">
        <f>"87555.00"</f>
        <v>87555.00</v>
      </c>
      <c r="AI674" t="str">
        <f>"24120.00"</f>
        <v>24120.00</v>
      </c>
      <c r="AJ674" t="str">
        <f>"C55-000-587-0817-3"</f>
        <v>C55-000-587-0817-3</v>
      </c>
      <c r="AK674" t="str">
        <f>"10737"</f>
        <v>10737</v>
      </c>
      <c r="AL674">
        <v>3</v>
      </c>
      <c r="AM674">
        <v>772</v>
      </c>
      <c r="AN674">
        <v>984.34</v>
      </c>
      <c r="AQ674" t="s">
        <v>7155</v>
      </c>
      <c r="AR674" t="s">
        <v>7155</v>
      </c>
      <c r="AS674" t="s">
        <v>7155</v>
      </c>
      <c r="AU674" t="s">
        <v>396</v>
      </c>
      <c r="AV674">
        <v>2017</v>
      </c>
      <c r="AW674" t="str">
        <f>"16-1N-25-2900-0027-0010 "</f>
        <v xml:space="preserve">16-1N-25-2900-0027-0010 </v>
      </c>
      <c r="AX674">
        <v>43434</v>
      </c>
      <c r="AZ674" t="s">
        <v>7093</v>
      </c>
      <c r="BA674" t="s">
        <v>496</v>
      </c>
      <c r="BD674" t="s">
        <v>2785</v>
      </c>
      <c r="BE674" t="s">
        <v>393</v>
      </c>
      <c r="BF674">
        <v>32011</v>
      </c>
      <c r="BG674" t="s">
        <v>7156</v>
      </c>
      <c r="BH674" t="s">
        <v>2787</v>
      </c>
      <c r="BI674">
        <v>-81.8154814451768</v>
      </c>
      <c r="BJ674">
        <v>30.4950421341109</v>
      </c>
      <c r="BK674" t="s">
        <v>3366</v>
      </c>
      <c r="BL674" t="s">
        <v>3367</v>
      </c>
      <c r="BM674" t="s">
        <v>3368</v>
      </c>
      <c r="BN674" t="s">
        <v>558</v>
      </c>
      <c r="BO674">
        <v>32009</v>
      </c>
      <c r="BP674" t="s">
        <v>404</v>
      </c>
      <c r="BQ674">
        <v>200</v>
      </c>
      <c r="BR674" t="s">
        <v>405</v>
      </c>
      <c r="BS674">
        <v>1006</v>
      </c>
      <c r="BT674" t="s">
        <v>406</v>
      </c>
      <c r="BW674">
        <v>87555</v>
      </c>
      <c r="BX674" t="s">
        <v>407</v>
      </c>
      <c r="BZ674">
        <v>4</v>
      </c>
      <c r="CA674">
        <v>2003</v>
      </c>
      <c r="CC674">
        <v>1</v>
      </c>
      <c r="CD674">
        <v>2017</v>
      </c>
      <c r="CE674">
        <v>24120</v>
      </c>
      <c r="CF674">
        <v>34241</v>
      </c>
      <c r="CG674">
        <v>58361</v>
      </c>
      <c r="CH674">
        <v>2017</v>
      </c>
      <c r="CI674">
        <v>24120</v>
      </c>
      <c r="CJ674">
        <v>34241</v>
      </c>
      <c r="CK674">
        <v>58361</v>
      </c>
      <c r="CL674">
        <v>2017</v>
      </c>
      <c r="CM674">
        <v>880.57</v>
      </c>
      <c r="CN674" s="1">
        <v>39190</v>
      </c>
      <c r="CO674">
        <v>65000</v>
      </c>
      <c r="CV674">
        <v>0</v>
      </c>
      <c r="CZ674" s="1">
        <v>39190</v>
      </c>
      <c r="DA674">
        <v>0</v>
      </c>
      <c r="DD674" t="s">
        <v>2785</v>
      </c>
      <c r="DF674">
        <v>27</v>
      </c>
      <c r="DG674">
        <v>16</v>
      </c>
      <c r="DL674">
        <v>50502</v>
      </c>
      <c r="DM674" t="s">
        <v>7075</v>
      </c>
      <c r="DO674" t="s">
        <v>7157</v>
      </c>
      <c r="DP674">
        <v>0</v>
      </c>
      <c r="DQ674">
        <v>0</v>
      </c>
      <c r="DR674" t="s">
        <v>411</v>
      </c>
      <c r="DS674" t="b">
        <v>1</v>
      </c>
      <c r="DT674" t="s">
        <v>396</v>
      </c>
      <c r="DV674" t="s">
        <v>446</v>
      </c>
      <c r="DX674">
        <v>-9999</v>
      </c>
      <c r="DZ674" t="s">
        <v>447</v>
      </c>
      <c r="EA674" t="s">
        <v>448</v>
      </c>
      <c r="EB674" t="s">
        <v>2792</v>
      </c>
      <c r="EC674">
        <v>20101217</v>
      </c>
      <c r="ED674" t="s">
        <v>450</v>
      </c>
      <c r="EE674">
        <v>17.5</v>
      </c>
      <c r="EF674">
        <v>0</v>
      </c>
      <c r="EG674">
        <v>0</v>
      </c>
      <c r="EI674">
        <v>20160407</v>
      </c>
      <c r="EJ674">
        <v>0</v>
      </c>
      <c r="EK674">
        <v>0</v>
      </c>
      <c r="EP674" t="s">
        <v>421</v>
      </c>
      <c r="EQ674" t="s">
        <v>422</v>
      </c>
      <c r="ER674">
        <v>2</v>
      </c>
      <c r="ES674">
        <v>8</v>
      </c>
      <c r="ET674">
        <v>1805.28</v>
      </c>
      <c r="EU674">
        <v>102.76</v>
      </c>
      <c r="EV674">
        <v>1908.04</v>
      </c>
      <c r="EW674" s="2">
        <v>43222</v>
      </c>
      <c r="EX674" s="1">
        <v>42879</v>
      </c>
      <c r="EY674">
        <v>2016</v>
      </c>
      <c r="EZ674">
        <v>902.64</v>
      </c>
      <c r="FA674" t="s">
        <v>7158</v>
      </c>
      <c r="FB674">
        <v>0.25</v>
      </c>
      <c r="FC674" t="s">
        <v>424</v>
      </c>
      <c r="FD674" t="s">
        <v>454</v>
      </c>
      <c r="FF674">
        <v>12</v>
      </c>
      <c r="FG674">
        <v>2851116</v>
      </c>
      <c r="FH674" t="s">
        <v>480</v>
      </c>
      <c r="FJ674" s="1">
        <v>42879</v>
      </c>
      <c r="FK674">
        <v>2016</v>
      </c>
      <c r="FL674">
        <v>902.64</v>
      </c>
      <c r="FM674" t="s">
        <v>7158</v>
      </c>
      <c r="FN674">
        <v>0.25</v>
      </c>
      <c r="FO674" t="s">
        <v>424</v>
      </c>
      <c r="FP674" t="s">
        <v>454</v>
      </c>
      <c r="FR674">
        <v>12</v>
      </c>
      <c r="FS674">
        <v>4991749</v>
      </c>
      <c r="FT674" t="s">
        <v>7159</v>
      </c>
      <c r="FV674" s="1">
        <v>42515</v>
      </c>
      <c r="FW674">
        <v>2015</v>
      </c>
      <c r="FX674">
        <v>931.43</v>
      </c>
      <c r="FY674" t="s">
        <v>7160</v>
      </c>
      <c r="FZ674">
        <v>0.25</v>
      </c>
      <c r="GA674" t="s">
        <v>424</v>
      </c>
      <c r="GB674" t="s">
        <v>425</v>
      </c>
      <c r="GC674" s="1">
        <v>43184</v>
      </c>
      <c r="GD674">
        <v>22</v>
      </c>
      <c r="GE674">
        <v>2851116</v>
      </c>
      <c r="GF674" t="s">
        <v>480</v>
      </c>
      <c r="GH674" s="1">
        <v>42515</v>
      </c>
      <c r="GI674">
        <v>2015</v>
      </c>
      <c r="GJ674">
        <v>931.43</v>
      </c>
      <c r="GK674" t="s">
        <v>7160</v>
      </c>
      <c r="GL674">
        <v>0.25</v>
      </c>
      <c r="GM674" t="s">
        <v>424</v>
      </c>
      <c r="GN674" t="s">
        <v>425</v>
      </c>
      <c r="GP674">
        <v>22</v>
      </c>
      <c r="GQ674">
        <v>5456569</v>
      </c>
      <c r="GR674" t="s">
        <v>7161</v>
      </c>
      <c r="GT674" s="1">
        <v>42151</v>
      </c>
      <c r="GU674">
        <v>2014</v>
      </c>
      <c r="GV674">
        <v>827.38</v>
      </c>
      <c r="GW674" t="s">
        <v>7162</v>
      </c>
      <c r="GX674">
        <v>0.25</v>
      </c>
      <c r="GY674" t="s">
        <v>424</v>
      </c>
      <c r="GZ674" t="s">
        <v>425</v>
      </c>
      <c r="HA674" s="1">
        <v>42802</v>
      </c>
      <c r="HB674">
        <v>22</v>
      </c>
      <c r="HC674">
        <v>2851116</v>
      </c>
      <c r="HD674" t="s">
        <v>480</v>
      </c>
      <c r="HF674" s="1">
        <v>42151</v>
      </c>
      <c r="HG674">
        <v>2014</v>
      </c>
      <c r="HH674">
        <v>827.38</v>
      </c>
      <c r="HI674" t="s">
        <v>7162</v>
      </c>
      <c r="HJ674">
        <v>0.25</v>
      </c>
      <c r="HK674" t="s">
        <v>424</v>
      </c>
      <c r="HL674" t="s">
        <v>425</v>
      </c>
      <c r="HN674">
        <v>22</v>
      </c>
      <c r="HO674">
        <v>5308175</v>
      </c>
      <c r="HP674" t="s">
        <v>7163</v>
      </c>
      <c r="HR674" s="1">
        <v>41787</v>
      </c>
      <c r="HS674">
        <v>2013</v>
      </c>
      <c r="HT674">
        <v>845.74</v>
      </c>
      <c r="HU674" t="s">
        <v>7164</v>
      </c>
      <c r="HV674">
        <v>0.25</v>
      </c>
      <c r="HW674" t="s">
        <v>424</v>
      </c>
      <c r="HX674" t="s">
        <v>425</v>
      </c>
      <c r="HY674" s="1">
        <v>42453</v>
      </c>
      <c r="HZ674">
        <v>22</v>
      </c>
      <c r="IA674">
        <v>2407503</v>
      </c>
      <c r="IB674" t="s">
        <v>461</v>
      </c>
      <c r="ID674" s="1">
        <v>41423</v>
      </c>
      <c r="IE674">
        <v>2012</v>
      </c>
      <c r="IF674">
        <v>857.28</v>
      </c>
      <c r="IG674" t="s">
        <v>7165</v>
      </c>
      <c r="IH674">
        <v>3.5</v>
      </c>
      <c r="II674" t="s">
        <v>424</v>
      </c>
      <c r="IJ674" t="s">
        <v>425</v>
      </c>
      <c r="IK674" s="1">
        <v>42082</v>
      </c>
      <c r="IL674">
        <v>22</v>
      </c>
      <c r="IM674">
        <v>1625515</v>
      </c>
      <c r="IN674" t="s">
        <v>487</v>
      </c>
      <c r="IP674" s="1">
        <v>41052</v>
      </c>
      <c r="IQ674">
        <v>2011</v>
      </c>
      <c r="IR674">
        <v>1223.9000000000001</v>
      </c>
      <c r="IS674" t="s">
        <v>7166</v>
      </c>
      <c r="IT674">
        <v>5.75</v>
      </c>
      <c r="IU674" t="s">
        <v>424</v>
      </c>
      <c r="IV674" t="s">
        <v>425</v>
      </c>
      <c r="IW674" s="1">
        <v>41722</v>
      </c>
      <c r="IX674">
        <v>22</v>
      </c>
      <c r="IY674">
        <v>10125</v>
      </c>
      <c r="IZ674" t="s">
        <v>440</v>
      </c>
      <c r="JB674" s="1">
        <v>40688</v>
      </c>
      <c r="JC674">
        <v>2010</v>
      </c>
      <c r="JD674">
        <v>1260.26</v>
      </c>
      <c r="JE674" t="s">
        <v>7167</v>
      </c>
      <c r="JF674">
        <v>5.5</v>
      </c>
      <c r="JG674" t="s">
        <v>424</v>
      </c>
      <c r="JH674" t="s">
        <v>425</v>
      </c>
      <c r="JI674" s="1">
        <v>41355</v>
      </c>
      <c r="JJ674">
        <v>22</v>
      </c>
      <c r="JK674">
        <v>210</v>
      </c>
      <c r="JL674" t="s">
        <v>7026</v>
      </c>
    </row>
    <row r="675" spans="1:308" x14ac:dyDescent="0.25">
      <c r="A675">
        <v>16485682</v>
      </c>
      <c r="B675">
        <v>674</v>
      </c>
      <c r="C675" t="s">
        <v>393</v>
      </c>
      <c r="D675" t="s">
        <v>394</v>
      </c>
      <c r="F675" t="str">
        <f>"16-1N-25-2900-0027-0030"</f>
        <v>16-1N-25-2900-0027-0030</v>
      </c>
      <c r="H675" t="str">
        <f>"HUMPHRIES CHRISTINE"</f>
        <v>HUMPHRIES CHRISTINE</v>
      </c>
      <c r="I675" t="str">
        <f>"450671 STATE RD 200"</f>
        <v>450671 STATE RD 200</v>
      </c>
      <c r="J675" t="str">
        <f>"CALLAHAN FL 32011"</f>
        <v>CALLAHAN FL 32011</v>
      </c>
      <c r="K675" t="str">
        <f>"43432 RATLIFF RD"</f>
        <v>43432 RATLIFF RD</v>
      </c>
      <c r="L675" t="str">
        <f t="shared" si="202"/>
        <v>CALLAHAN FL 32011</v>
      </c>
      <c r="M675" t="str">
        <f>"S-3 OF LOT 27 IN OR 1677/639 RATLIFF ACRES UNR"</f>
        <v>S-3 OF LOT 27 IN OR 1677/639 RATLIFF ACRES UNR</v>
      </c>
      <c r="N675" t="str">
        <f>""</f>
        <v/>
      </c>
      <c r="O675" t="str">
        <f>"31047"</f>
        <v>31047</v>
      </c>
      <c r="P675" t="str">
        <f t="shared" si="194"/>
        <v>2017</v>
      </c>
      <c r="Q675" t="str">
        <f>""</f>
        <v/>
      </c>
      <c r="R675" t="str">
        <f>"N"</f>
        <v>N</v>
      </c>
      <c r="S675" t="str">
        <f>"1.68"</f>
        <v>1.68</v>
      </c>
      <c r="T675" t="str">
        <f>"568.03"</f>
        <v>568.03</v>
      </c>
      <c r="U675" t="str">
        <f>"35877.00"</f>
        <v>35877.00</v>
      </c>
      <c r="V675" t="str">
        <f>"35877.00"</f>
        <v>35877.00</v>
      </c>
      <c r="W675" t="str">
        <f t="shared" si="195"/>
        <v>2017</v>
      </c>
      <c r="X675" t="str">
        <f>"14.57"</f>
        <v>14.57</v>
      </c>
      <c r="Y675" t="str">
        <f>"617.07"</f>
        <v>617.07</v>
      </c>
      <c r="Z675" t="str">
        <f>""</f>
        <v/>
      </c>
      <c r="AA675" t="str">
        <f>"39651.00"</f>
        <v>39651.00</v>
      </c>
      <c r="AB675" t="str">
        <f t="shared" si="207"/>
        <v>Residential</v>
      </c>
      <c r="AC675" t="str">
        <f t="shared" si="204"/>
        <v>0</v>
      </c>
      <c r="AD675" t="str">
        <f t="shared" si="205"/>
        <v>4</v>
      </c>
      <c r="AE675" t="str">
        <f t="shared" si="206"/>
        <v>WOOD (INCLUDE STEEL STUDS)</v>
      </c>
      <c r="AF675" t="str">
        <f>"002"</f>
        <v>002</v>
      </c>
      <c r="AG675" t="str">
        <f t="shared" si="197"/>
        <v>FL</v>
      </c>
      <c r="AH675" t="str">
        <f>"73180.00"</f>
        <v>73180.00</v>
      </c>
      <c r="AI675" t="str">
        <f>"25200.00"</f>
        <v>25200.00</v>
      </c>
      <c r="AJ675" t="str">
        <f>"C55-000-587-0819-9"</f>
        <v>C55-000-587-0819-9</v>
      </c>
      <c r="AK675" t="str">
        <f>"10739"</f>
        <v>10739</v>
      </c>
      <c r="AL675">
        <v>3</v>
      </c>
      <c r="AM675">
        <v>773</v>
      </c>
      <c r="AN675">
        <v>646.32000000000005</v>
      </c>
      <c r="AQ675" t="s">
        <v>7168</v>
      </c>
      <c r="AR675" t="s">
        <v>7168</v>
      </c>
      <c r="AS675" t="s">
        <v>7168</v>
      </c>
      <c r="AU675" t="s">
        <v>396</v>
      </c>
      <c r="AV675">
        <v>2017</v>
      </c>
      <c r="AW675" t="str">
        <f>"16-1N-25-2900-0027-0030 "</f>
        <v xml:space="preserve">16-1N-25-2900-0027-0030 </v>
      </c>
      <c r="AX675">
        <v>43432</v>
      </c>
      <c r="AZ675" t="s">
        <v>7093</v>
      </c>
      <c r="BA675" t="s">
        <v>496</v>
      </c>
      <c r="BD675" t="s">
        <v>2785</v>
      </c>
      <c r="BE675" t="s">
        <v>393</v>
      </c>
      <c r="BF675">
        <v>32011</v>
      </c>
      <c r="BG675" t="s">
        <v>7169</v>
      </c>
      <c r="BH675" t="s">
        <v>2787</v>
      </c>
      <c r="BI675">
        <v>-81.816212175748504</v>
      </c>
      <c r="BJ675">
        <v>30.4957393910015</v>
      </c>
      <c r="BK675" t="s">
        <v>7029</v>
      </c>
      <c r="BM675" t="s">
        <v>7030</v>
      </c>
      <c r="BN675" t="s">
        <v>928</v>
      </c>
      <c r="BO675">
        <v>32011</v>
      </c>
      <c r="BP675" t="s">
        <v>404</v>
      </c>
      <c r="BQ675">
        <v>200</v>
      </c>
      <c r="BR675" t="s">
        <v>405</v>
      </c>
      <c r="BS675">
        <v>1006</v>
      </c>
      <c r="BT675" t="s">
        <v>406</v>
      </c>
      <c r="BW675">
        <v>73180</v>
      </c>
      <c r="BX675" t="s">
        <v>407</v>
      </c>
      <c r="BY675" t="s">
        <v>408</v>
      </c>
      <c r="BZ675">
        <v>4</v>
      </c>
      <c r="CA675">
        <v>1990</v>
      </c>
      <c r="CC675">
        <v>1</v>
      </c>
      <c r="CD675">
        <v>2017</v>
      </c>
      <c r="CE675">
        <v>25200</v>
      </c>
      <c r="CF675">
        <v>14451</v>
      </c>
      <c r="CG675">
        <v>39651</v>
      </c>
      <c r="CH675">
        <v>2017</v>
      </c>
      <c r="CI675">
        <v>25200</v>
      </c>
      <c r="CJ675">
        <v>14451</v>
      </c>
      <c r="CK675">
        <v>39651</v>
      </c>
      <c r="CL675">
        <v>2017</v>
      </c>
      <c r="CM675">
        <v>568.03</v>
      </c>
      <c r="CN675" s="1">
        <v>40315</v>
      </c>
      <c r="CO675">
        <v>35000</v>
      </c>
      <c r="CV675">
        <v>0</v>
      </c>
      <c r="CZ675" s="1">
        <v>40315</v>
      </c>
      <c r="DA675">
        <v>0</v>
      </c>
      <c r="DD675" t="s">
        <v>2785</v>
      </c>
      <c r="DF675">
        <v>27</v>
      </c>
      <c r="DG675">
        <v>16</v>
      </c>
      <c r="DJ675" t="s">
        <v>7130</v>
      </c>
      <c r="DL675">
        <v>50502</v>
      </c>
      <c r="DM675" t="s">
        <v>7075</v>
      </c>
      <c r="DO675" t="s">
        <v>7170</v>
      </c>
      <c r="DP675">
        <v>0</v>
      </c>
      <c r="DQ675">
        <v>0</v>
      </c>
      <c r="DR675" t="s">
        <v>411</v>
      </c>
      <c r="DS675" t="b">
        <v>1</v>
      </c>
      <c r="DT675" t="s">
        <v>396</v>
      </c>
      <c r="DV675" t="s">
        <v>446</v>
      </c>
      <c r="DX675">
        <v>-9999</v>
      </c>
      <c r="DZ675" t="s">
        <v>447</v>
      </c>
      <c r="EA675" t="s">
        <v>448</v>
      </c>
      <c r="EB675" t="s">
        <v>2792</v>
      </c>
      <c r="EC675">
        <v>20101217</v>
      </c>
      <c r="ED675" t="s">
        <v>450</v>
      </c>
      <c r="EE675">
        <v>17.5</v>
      </c>
      <c r="EF675">
        <v>0</v>
      </c>
      <c r="EG675">
        <v>0</v>
      </c>
      <c r="EI675">
        <v>20160407</v>
      </c>
      <c r="EJ675">
        <v>0</v>
      </c>
      <c r="EK675">
        <v>0</v>
      </c>
      <c r="EP675" t="s">
        <v>421</v>
      </c>
      <c r="EQ675" t="s">
        <v>422</v>
      </c>
      <c r="ER675">
        <v>0</v>
      </c>
      <c r="ES675">
        <v>8</v>
      </c>
      <c r="ET675">
        <v>0</v>
      </c>
      <c r="EU675">
        <v>0</v>
      </c>
      <c r="EV675">
        <v>0</v>
      </c>
      <c r="EW675" s="2">
        <v>43222</v>
      </c>
      <c r="EX675" s="1">
        <v>42879</v>
      </c>
      <c r="EY675">
        <v>2016</v>
      </c>
      <c r="EZ675">
        <v>568.47</v>
      </c>
      <c r="FA675" t="s">
        <v>7171</v>
      </c>
      <c r="FB675">
        <v>0.25</v>
      </c>
      <c r="FC675" t="s">
        <v>424</v>
      </c>
      <c r="FD675" t="s">
        <v>425</v>
      </c>
      <c r="FE675" s="1">
        <v>43146</v>
      </c>
      <c r="FF675">
        <v>9</v>
      </c>
      <c r="FG675">
        <v>2851116</v>
      </c>
      <c r="FH675" t="s">
        <v>480</v>
      </c>
      <c r="FJ675" s="1">
        <v>42879</v>
      </c>
      <c r="FK675">
        <v>2016</v>
      </c>
      <c r="FL675">
        <v>568.47</v>
      </c>
      <c r="FM675" t="s">
        <v>7171</v>
      </c>
      <c r="FN675">
        <v>0.25</v>
      </c>
      <c r="FO675" t="s">
        <v>424</v>
      </c>
      <c r="FP675" t="s">
        <v>425</v>
      </c>
      <c r="FR675">
        <v>22</v>
      </c>
      <c r="FS675">
        <v>5388520</v>
      </c>
      <c r="FT675" t="s">
        <v>7172</v>
      </c>
      <c r="FV675" s="1">
        <v>42515</v>
      </c>
      <c r="FW675">
        <v>2015</v>
      </c>
      <c r="FX675">
        <v>552.86</v>
      </c>
      <c r="FY675" t="s">
        <v>7173</v>
      </c>
      <c r="FZ675">
        <v>0.25</v>
      </c>
      <c r="GA675" t="s">
        <v>424</v>
      </c>
      <c r="GB675" t="s">
        <v>425</v>
      </c>
      <c r="GC675" s="1">
        <v>42803</v>
      </c>
      <c r="GD675">
        <v>10</v>
      </c>
      <c r="GE675">
        <v>2851116</v>
      </c>
      <c r="GF675" t="s">
        <v>480</v>
      </c>
      <c r="GH675" s="1">
        <v>42515</v>
      </c>
      <c r="GI675">
        <v>2015</v>
      </c>
      <c r="GJ675">
        <v>552.86</v>
      </c>
      <c r="GK675" t="s">
        <v>7173</v>
      </c>
      <c r="GL675">
        <v>0.25</v>
      </c>
      <c r="GM675" t="s">
        <v>424</v>
      </c>
      <c r="GN675" t="s">
        <v>425</v>
      </c>
      <c r="GP675">
        <v>22</v>
      </c>
      <c r="GQ675">
        <v>5672959</v>
      </c>
      <c r="GR675" t="s">
        <v>7174</v>
      </c>
      <c r="GT675" s="1">
        <v>42151</v>
      </c>
      <c r="GU675">
        <v>2014</v>
      </c>
      <c r="GV675">
        <v>488.9</v>
      </c>
      <c r="GW675" t="s">
        <v>7175</v>
      </c>
      <c r="GX675">
        <v>3.75</v>
      </c>
      <c r="GY675" t="s">
        <v>424</v>
      </c>
      <c r="GZ675" t="s">
        <v>425</v>
      </c>
      <c r="HA675" s="1">
        <v>42755</v>
      </c>
      <c r="HB675">
        <v>20</v>
      </c>
      <c r="HC675">
        <v>4975593</v>
      </c>
      <c r="HD675" t="s">
        <v>505</v>
      </c>
      <c r="HF675" s="1">
        <v>41787</v>
      </c>
      <c r="HG675">
        <v>2013</v>
      </c>
      <c r="HH675">
        <v>580.83000000000004</v>
      </c>
      <c r="HI675" t="s">
        <v>7176</v>
      </c>
      <c r="HJ675">
        <v>7.25</v>
      </c>
      <c r="HK675" t="s">
        <v>424</v>
      </c>
      <c r="HL675" t="s">
        <v>425</v>
      </c>
      <c r="HM675" s="1">
        <v>42405</v>
      </c>
      <c r="HN675">
        <v>21</v>
      </c>
      <c r="HO675">
        <v>2035919</v>
      </c>
      <c r="HP675" t="s">
        <v>507</v>
      </c>
      <c r="HR675" s="1">
        <v>41423</v>
      </c>
      <c r="HS675">
        <v>2012</v>
      </c>
      <c r="HT675">
        <v>560.4</v>
      </c>
      <c r="HU675" t="s">
        <v>7177</v>
      </c>
      <c r="HV675">
        <v>3.75</v>
      </c>
      <c r="HW675" t="s">
        <v>424</v>
      </c>
      <c r="HX675" t="s">
        <v>425</v>
      </c>
      <c r="HY675" s="1">
        <v>42003</v>
      </c>
      <c r="HZ675">
        <v>19</v>
      </c>
      <c r="IA675">
        <v>1625515</v>
      </c>
      <c r="IB675" t="s">
        <v>487</v>
      </c>
      <c r="ID675" s="1">
        <v>41052</v>
      </c>
      <c r="IE675">
        <v>2011</v>
      </c>
      <c r="IF675">
        <v>601.32000000000005</v>
      </c>
      <c r="IG675" t="s">
        <v>7178</v>
      </c>
      <c r="IH675">
        <v>5.75</v>
      </c>
      <c r="II675" t="s">
        <v>424</v>
      </c>
      <c r="IJ675" t="s">
        <v>425</v>
      </c>
      <c r="IK675" s="1">
        <v>41638</v>
      </c>
      <c r="IL675">
        <v>19</v>
      </c>
      <c r="IM675">
        <v>10125</v>
      </c>
      <c r="IN675" t="s">
        <v>440</v>
      </c>
    </row>
    <row r="676" spans="1:308" x14ac:dyDescent="0.25">
      <c r="A676">
        <v>16485683</v>
      </c>
      <c r="B676">
        <v>675</v>
      </c>
      <c r="C676" t="s">
        <v>393</v>
      </c>
      <c r="D676" t="s">
        <v>394</v>
      </c>
      <c r="F676" t="str">
        <f>"16-1N-25-2900-0028-0010"</f>
        <v>16-1N-25-2900-0028-0010</v>
      </c>
      <c r="H676" t="str">
        <f>"BUSTION GERALD W &amp; CYNTHIA A"</f>
        <v>BUSTION GERALD W &amp; CYNTHIA A</v>
      </c>
      <c r="I676" t="str">
        <f>"7901 PODER PLACE"</f>
        <v>7901 PODER PLACE</v>
      </c>
      <c r="J676" t="str">
        <f>"BRYCEVILLE FL 32009"</f>
        <v>BRYCEVILLE FL 32009</v>
      </c>
      <c r="K676" t="str">
        <f>"43416 RATLIFF RD"</f>
        <v>43416 RATLIFF RD</v>
      </c>
      <c r="L676" t="str">
        <f t="shared" si="202"/>
        <v>CALLAHAN FL 32011</v>
      </c>
      <c r="M676" t="str">
        <f>"PT OF LOT 28 (S-1) IN OR 1429/1537 1988 DERO SW/MH RATLIFF ACRES UNR"</f>
        <v>PT OF LOT 28 (S-1) IN OR 1429/1537 1988 DERO SW/MH RATLIFF ACRES UNR</v>
      </c>
      <c r="N676" t="str">
        <f>""</f>
        <v/>
      </c>
      <c r="O676" t="str">
        <f>"31049"</f>
        <v>31049</v>
      </c>
      <c r="P676" t="str">
        <f t="shared" si="194"/>
        <v>2017</v>
      </c>
      <c r="Q676" t="str">
        <f>""</f>
        <v/>
      </c>
      <c r="R676" t="str">
        <f>"N"</f>
        <v>N</v>
      </c>
      <c r="S676" t="str">
        <f>"4.16"</f>
        <v>4.16</v>
      </c>
      <c r="T676" t="str">
        <f>"772.12"</f>
        <v>772.12</v>
      </c>
      <c r="U676" t="str">
        <f>"49844.00"</f>
        <v>49844.00</v>
      </c>
      <c r="V676" t="str">
        <f>"49844.00"</f>
        <v>49844.00</v>
      </c>
      <c r="W676" t="str">
        <f t="shared" si="195"/>
        <v>2017</v>
      </c>
      <c r="X676" t="str">
        <f>"22.00"</f>
        <v>22.00</v>
      </c>
      <c r="Y676" t="str">
        <f>"827.28"</f>
        <v>827.28</v>
      </c>
      <c r="Z676" t="str">
        <f>""</f>
        <v/>
      </c>
      <c r="AA676" t="str">
        <f>"52502.00"</f>
        <v>52502.00</v>
      </c>
      <c r="AB676" t="str">
        <f t="shared" si="207"/>
        <v>Residential</v>
      </c>
      <c r="AC676" t="str">
        <f t="shared" si="204"/>
        <v>0</v>
      </c>
      <c r="AD676" t="str">
        <f t="shared" si="205"/>
        <v>4</v>
      </c>
      <c r="AE676" t="str">
        <f t="shared" si="206"/>
        <v>WOOD (INCLUDE STEEL STUDS)</v>
      </c>
      <c r="AF676" t="str">
        <f>"002"</f>
        <v>002</v>
      </c>
      <c r="AG676" t="str">
        <f t="shared" si="197"/>
        <v>FL</v>
      </c>
      <c r="AH676" t="str">
        <f>"181209.00"</f>
        <v>181209.00</v>
      </c>
      <c r="AI676" t="str">
        <f>"33280.00"</f>
        <v>33280.00</v>
      </c>
      <c r="AJ676" t="str">
        <f>"C55-000-589-2553-8"</f>
        <v>C55-000-589-2553-8</v>
      </c>
      <c r="AK676" t="str">
        <f>"10741"</f>
        <v>10741</v>
      </c>
      <c r="AL676">
        <v>3</v>
      </c>
      <c r="AM676">
        <v>774</v>
      </c>
      <c r="AN676">
        <v>867.04</v>
      </c>
      <c r="AQ676" t="s">
        <v>7179</v>
      </c>
      <c r="AR676" t="s">
        <v>7179</v>
      </c>
      <c r="AS676" t="s">
        <v>7179</v>
      </c>
      <c r="AU676" t="s">
        <v>396</v>
      </c>
      <c r="AV676">
        <v>2017</v>
      </c>
      <c r="AW676" t="str">
        <f>"16-1N-25-2900-0028-0010 "</f>
        <v xml:space="preserve">16-1N-25-2900-0028-0010 </v>
      </c>
      <c r="AX676">
        <v>43416</v>
      </c>
      <c r="AZ676" t="s">
        <v>7093</v>
      </c>
      <c r="BA676" t="s">
        <v>496</v>
      </c>
      <c r="BD676" t="s">
        <v>2785</v>
      </c>
      <c r="BE676" t="s">
        <v>393</v>
      </c>
      <c r="BF676">
        <v>32011</v>
      </c>
      <c r="BG676" t="s">
        <v>7180</v>
      </c>
      <c r="BH676" t="s">
        <v>2787</v>
      </c>
      <c r="BI676">
        <v>-81.816570164035198</v>
      </c>
      <c r="BJ676">
        <v>30.495033703109002</v>
      </c>
      <c r="BK676" t="s">
        <v>3366</v>
      </c>
      <c r="BL676" t="s">
        <v>3367</v>
      </c>
      <c r="BM676" t="s">
        <v>3368</v>
      </c>
      <c r="BN676" t="s">
        <v>558</v>
      </c>
      <c r="BO676">
        <v>32009</v>
      </c>
      <c r="BP676" t="s">
        <v>404</v>
      </c>
      <c r="BQ676">
        <v>200</v>
      </c>
      <c r="BR676" t="s">
        <v>405</v>
      </c>
      <c r="BS676">
        <v>1006</v>
      </c>
      <c r="BT676" t="s">
        <v>406</v>
      </c>
      <c r="BW676">
        <v>181209</v>
      </c>
      <c r="BX676" t="s">
        <v>407</v>
      </c>
      <c r="BY676" t="s">
        <v>408</v>
      </c>
      <c r="BZ676">
        <v>4</v>
      </c>
      <c r="CA676">
        <v>1988</v>
      </c>
      <c r="CC676">
        <v>1</v>
      </c>
      <c r="CD676">
        <v>2017</v>
      </c>
      <c r="CE676">
        <v>33280</v>
      </c>
      <c r="CF676">
        <v>19222</v>
      </c>
      <c r="CG676">
        <v>52502</v>
      </c>
      <c r="CH676">
        <v>2017</v>
      </c>
      <c r="CI676">
        <v>33280</v>
      </c>
      <c r="CJ676">
        <v>19222</v>
      </c>
      <c r="CK676">
        <v>52502</v>
      </c>
      <c r="CL676">
        <v>2017</v>
      </c>
      <c r="CM676">
        <v>772.12</v>
      </c>
      <c r="CN676" s="1">
        <v>38919</v>
      </c>
      <c r="CZ676" s="1">
        <v>38919</v>
      </c>
      <c r="DD676" t="s">
        <v>2785</v>
      </c>
      <c r="DF676">
        <v>28</v>
      </c>
      <c r="DG676">
        <v>16</v>
      </c>
      <c r="DL676">
        <v>50502</v>
      </c>
      <c r="DM676" t="s">
        <v>7075</v>
      </c>
      <c r="DO676" t="s">
        <v>7181</v>
      </c>
      <c r="DP676">
        <v>0</v>
      </c>
      <c r="DQ676">
        <v>0</v>
      </c>
      <c r="DR676" t="s">
        <v>411</v>
      </c>
      <c r="DS676" t="b">
        <v>1</v>
      </c>
      <c r="DT676" t="s">
        <v>396</v>
      </c>
      <c r="DV676" t="s">
        <v>446</v>
      </c>
      <c r="DX676">
        <v>-9999</v>
      </c>
      <c r="DZ676" t="s">
        <v>447</v>
      </c>
      <c r="EA676" t="s">
        <v>448</v>
      </c>
      <c r="EB676" t="s">
        <v>2792</v>
      </c>
      <c r="EC676">
        <v>20101217</v>
      </c>
      <c r="ED676" t="s">
        <v>450</v>
      </c>
      <c r="EE676">
        <v>17.5</v>
      </c>
      <c r="EF676">
        <v>0</v>
      </c>
      <c r="EG676">
        <v>0</v>
      </c>
      <c r="EI676">
        <v>20160407</v>
      </c>
      <c r="EJ676">
        <v>0</v>
      </c>
      <c r="EK676">
        <v>0</v>
      </c>
      <c r="EP676" t="s">
        <v>421</v>
      </c>
      <c r="EQ676" t="s">
        <v>422</v>
      </c>
      <c r="ER676">
        <v>2</v>
      </c>
      <c r="ES676">
        <v>8</v>
      </c>
      <c r="ET676">
        <v>1558.56</v>
      </c>
      <c r="EU676">
        <v>90.43</v>
      </c>
      <c r="EV676">
        <v>1648.99</v>
      </c>
      <c r="EW676" s="2">
        <v>43222</v>
      </c>
      <c r="EX676" s="1">
        <v>42879</v>
      </c>
      <c r="EY676">
        <v>2016</v>
      </c>
      <c r="EZ676">
        <v>779.28</v>
      </c>
      <c r="FA676" t="s">
        <v>7182</v>
      </c>
      <c r="FB676">
        <v>0.25</v>
      </c>
      <c r="FC676" t="s">
        <v>424</v>
      </c>
      <c r="FD676" t="s">
        <v>454</v>
      </c>
      <c r="FF676">
        <v>12</v>
      </c>
      <c r="FG676">
        <v>7400234</v>
      </c>
      <c r="FH676" t="s">
        <v>426</v>
      </c>
      <c r="FJ676" s="1">
        <v>42879</v>
      </c>
      <c r="FK676">
        <v>2016</v>
      </c>
      <c r="FL676">
        <v>779.28</v>
      </c>
      <c r="FM676" t="s">
        <v>7182</v>
      </c>
      <c r="FN676">
        <v>0.25</v>
      </c>
      <c r="FO676" t="s">
        <v>424</v>
      </c>
      <c r="FP676" t="s">
        <v>454</v>
      </c>
      <c r="FR676">
        <v>12</v>
      </c>
      <c r="FS676">
        <v>7569732</v>
      </c>
      <c r="FT676" t="s">
        <v>7183</v>
      </c>
      <c r="FV676" s="1">
        <v>42515</v>
      </c>
      <c r="FW676">
        <v>2015</v>
      </c>
      <c r="FX676">
        <v>835.86</v>
      </c>
      <c r="FY676" t="s">
        <v>7184</v>
      </c>
      <c r="FZ676">
        <v>0.25</v>
      </c>
      <c r="GA676" t="s">
        <v>424</v>
      </c>
      <c r="GB676" t="s">
        <v>425</v>
      </c>
      <c r="GC676" s="1">
        <v>43184</v>
      </c>
      <c r="GD676">
        <v>22</v>
      </c>
      <c r="GE676">
        <v>2851116</v>
      </c>
      <c r="GF676" t="s">
        <v>480</v>
      </c>
      <c r="GH676" s="1">
        <v>42515</v>
      </c>
      <c r="GI676">
        <v>2015</v>
      </c>
      <c r="GJ676">
        <v>835.86</v>
      </c>
      <c r="GK676" t="s">
        <v>7184</v>
      </c>
      <c r="GL676">
        <v>0.25</v>
      </c>
      <c r="GM676" t="s">
        <v>424</v>
      </c>
      <c r="GN676" t="s">
        <v>425</v>
      </c>
      <c r="GP676">
        <v>22</v>
      </c>
      <c r="GQ676">
        <v>5250659</v>
      </c>
      <c r="GR676" t="s">
        <v>7185</v>
      </c>
      <c r="GT676" s="1">
        <v>42151</v>
      </c>
      <c r="GU676">
        <v>2014</v>
      </c>
      <c r="GV676">
        <v>756.07</v>
      </c>
      <c r="GW676" t="s">
        <v>7186</v>
      </c>
      <c r="GX676">
        <v>0.25</v>
      </c>
      <c r="GY676" t="s">
        <v>424</v>
      </c>
      <c r="GZ676" t="s">
        <v>425</v>
      </c>
      <c r="HA676" s="1">
        <v>42802</v>
      </c>
      <c r="HB676">
        <v>22</v>
      </c>
      <c r="HC676">
        <v>2851116</v>
      </c>
      <c r="HD676" t="s">
        <v>480</v>
      </c>
      <c r="HF676" s="1">
        <v>42151</v>
      </c>
      <c r="HG676">
        <v>2014</v>
      </c>
      <c r="HH676">
        <v>756.07</v>
      </c>
      <c r="HI676" t="s">
        <v>7186</v>
      </c>
      <c r="HJ676">
        <v>0.25</v>
      </c>
      <c r="HK676" t="s">
        <v>424</v>
      </c>
      <c r="HL676" t="s">
        <v>425</v>
      </c>
      <c r="HN676">
        <v>22</v>
      </c>
      <c r="HO676">
        <v>5099940</v>
      </c>
      <c r="HP676" t="s">
        <v>7187</v>
      </c>
      <c r="HR676" s="1">
        <v>41787</v>
      </c>
      <c r="HS676">
        <v>2013</v>
      </c>
      <c r="HT676">
        <v>889.68</v>
      </c>
      <c r="HU676" t="s">
        <v>7188</v>
      </c>
      <c r="HV676">
        <v>2.5</v>
      </c>
      <c r="HW676" t="s">
        <v>424</v>
      </c>
      <c r="HX676" t="s">
        <v>425</v>
      </c>
      <c r="HY676" s="1">
        <v>42453</v>
      </c>
      <c r="HZ676">
        <v>22</v>
      </c>
      <c r="IA676">
        <v>15399</v>
      </c>
      <c r="IB676" t="s">
        <v>485</v>
      </c>
      <c r="ID676" s="1">
        <v>41423</v>
      </c>
      <c r="IE676">
        <v>2012</v>
      </c>
      <c r="IF676">
        <v>834.35</v>
      </c>
      <c r="IG676" t="s">
        <v>7189</v>
      </c>
      <c r="IH676">
        <v>3.75</v>
      </c>
      <c r="II676" t="s">
        <v>424</v>
      </c>
      <c r="IJ676" t="s">
        <v>425</v>
      </c>
      <c r="IK676" s="1">
        <v>42082</v>
      </c>
      <c r="IL676">
        <v>22</v>
      </c>
      <c r="IM676">
        <v>1625515</v>
      </c>
      <c r="IN676" t="s">
        <v>487</v>
      </c>
      <c r="IP676" s="1">
        <v>41052</v>
      </c>
      <c r="IQ676">
        <v>2011</v>
      </c>
      <c r="IR676">
        <v>1259.43</v>
      </c>
      <c r="IS676" t="s">
        <v>7190</v>
      </c>
      <c r="IT676">
        <v>5.75</v>
      </c>
      <c r="IU676" t="s">
        <v>424</v>
      </c>
      <c r="IV676" t="s">
        <v>425</v>
      </c>
      <c r="IW676" s="1">
        <v>41722</v>
      </c>
      <c r="IX676">
        <v>22</v>
      </c>
      <c r="IY676">
        <v>10125</v>
      </c>
      <c r="IZ676" t="s">
        <v>440</v>
      </c>
      <c r="JB676" s="1">
        <v>40688</v>
      </c>
      <c r="JC676">
        <v>2010</v>
      </c>
      <c r="JD676">
        <v>1260.83</v>
      </c>
      <c r="JE676" t="s">
        <v>7191</v>
      </c>
      <c r="JF676">
        <v>7.5</v>
      </c>
      <c r="JG676" t="s">
        <v>424</v>
      </c>
      <c r="JH676" t="s">
        <v>425</v>
      </c>
      <c r="JI676" s="1">
        <v>41355</v>
      </c>
      <c r="JJ676">
        <v>22</v>
      </c>
      <c r="JK676">
        <v>10579</v>
      </c>
      <c r="JL676" t="s">
        <v>488</v>
      </c>
    </row>
    <row r="677" spans="1:308" x14ac:dyDescent="0.25">
      <c r="A677">
        <v>16485684</v>
      </c>
      <c r="B677">
        <v>676</v>
      </c>
      <c r="C677" t="s">
        <v>393</v>
      </c>
      <c r="D677" t="s">
        <v>394</v>
      </c>
      <c r="F677" t="str">
        <f>"16-1N-25-2910-0008-0000"</f>
        <v>16-1N-25-2910-0008-0000</v>
      </c>
      <c r="H677" t="str">
        <f>"SHRADER RORIE J &amp; JACQUELINE A BAKER THOMAS ALAN"</f>
        <v>SHRADER RORIE J &amp; JACQUELINE A BAKER THOMAS ALAN</v>
      </c>
      <c r="I677" t="str">
        <f>"43765 FREEDOM DR"</f>
        <v>43765 FREEDOM DR</v>
      </c>
      <c r="J677" t="str">
        <f t="shared" ref="J677:J684" si="208">"CALLAHAN FL 32011"</f>
        <v>CALLAHAN FL 32011</v>
      </c>
      <c r="K677" t="str">
        <f>"43755 FREEDOM DR"</f>
        <v>43755 FREEDOM DR</v>
      </c>
      <c r="L677" t="str">
        <f t="shared" si="202"/>
        <v>CALLAHAN FL 32011</v>
      </c>
      <c r="M677" t="str">
        <f>"LOT 8 IN OR 1872/989 &amp; OR 1885/430 1980 STAT/SW/MH ESMT OR 1650/1900 WOODLAND ESTATES 1 PB 4/29-30"</f>
        <v>LOT 8 IN OR 1872/989 &amp; OR 1885/430 1980 STAT/SW/MH ESMT OR 1650/1900 WOODLAND ESTATES 1 PB 4/29-30</v>
      </c>
      <c r="N677" t="str">
        <f>""</f>
        <v/>
      </c>
      <c r="O677" t="str">
        <f>"31081"</f>
        <v>31081</v>
      </c>
      <c r="P677" t="str">
        <f t="shared" si="194"/>
        <v>2017</v>
      </c>
      <c r="Q677" t="str">
        <f>""</f>
        <v/>
      </c>
      <c r="R677" t="str">
        <f>"N"</f>
        <v>N</v>
      </c>
      <c r="S677" t="str">
        <f>"3.94"</f>
        <v>3.94</v>
      </c>
      <c r="T677" t="str">
        <f>"550.39"</f>
        <v>550.39</v>
      </c>
      <c r="U677" t="str">
        <f>"36357.00"</f>
        <v>36357.00</v>
      </c>
      <c r="V677" t="str">
        <f>"36357.00"</f>
        <v>36357.00</v>
      </c>
      <c r="W677" t="str">
        <f t="shared" si="195"/>
        <v>2017</v>
      </c>
      <c r="X677" t="str">
        <f>"3.00"</f>
        <v>3.00</v>
      </c>
      <c r="Y677" t="str">
        <f>"598.90"</f>
        <v>598.90</v>
      </c>
      <c r="Z677" t="str">
        <f>""</f>
        <v/>
      </c>
      <c r="AA677" t="str">
        <f>"36357.00"</f>
        <v>36357.00</v>
      </c>
      <c r="AB677" t="str">
        <f t="shared" si="207"/>
        <v>Residential</v>
      </c>
      <c r="AC677" t="str">
        <f t="shared" si="204"/>
        <v>0</v>
      </c>
      <c r="AD677" t="str">
        <f t="shared" si="205"/>
        <v>4</v>
      </c>
      <c r="AE677" t="str">
        <f t="shared" si="206"/>
        <v>WOOD (INCLUDE STEEL STUDS)</v>
      </c>
      <c r="AF677" t="str">
        <f>"002"</f>
        <v>002</v>
      </c>
      <c r="AG677" t="str">
        <f t="shared" si="197"/>
        <v>FL</v>
      </c>
      <c r="AH677" t="str">
        <f>"171626.00"</f>
        <v>171626.00</v>
      </c>
      <c r="AI677" t="str">
        <f>"31520.00"</f>
        <v>31520.00</v>
      </c>
      <c r="AJ677" t="str">
        <f>"C55-000-587-0846-2"</f>
        <v>C55-000-587-0846-2</v>
      </c>
      <c r="AK677" t="str">
        <f>"10772"</f>
        <v>10772</v>
      </c>
      <c r="AL677">
        <v>3</v>
      </c>
      <c r="AM677">
        <v>775</v>
      </c>
      <c r="AN677">
        <v>627.25</v>
      </c>
      <c r="AQ677" t="s">
        <v>7192</v>
      </c>
      <c r="AR677" t="s">
        <v>7192</v>
      </c>
      <c r="AS677" t="s">
        <v>7192</v>
      </c>
      <c r="AU677" t="s">
        <v>396</v>
      </c>
      <c r="AV677">
        <v>2017</v>
      </c>
      <c r="AW677" t="str">
        <f>"16-1N-25-2910-0008-0000 "</f>
        <v xml:space="preserve">16-1N-25-2910-0008-0000 </v>
      </c>
      <c r="AX677">
        <v>43755</v>
      </c>
      <c r="AZ677" t="s">
        <v>7193</v>
      </c>
      <c r="BA677" t="s">
        <v>669</v>
      </c>
      <c r="BD677" t="s">
        <v>2785</v>
      </c>
      <c r="BE677" t="s">
        <v>393</v>
      </c>
      <c r="BF677">
        <v>32011</v>
      </c>
      <c r="BG677" t="s">
        <v>7194</v>
      </c>
      <c r="BH677" t="s">
        <v>2787</v>
      </c>
      <c r="BI677">
        <v>-81.816692791607494</v>
      </c>
      <c r="BJ677">
        <v>30.492736962588602</v>
      </c>
      <c r="BK677" t="s">
        <v>7195</v>
      </c>
      <c r="BL677" t="s">
        <v>7196</v>
      </c>
      <c r="BM677" t="s">
        <v>7197</v>
      </c>
      <c r="BN677" t="s">
        <v>928</v>
      </c>
      <c r="BO677">
        <v>32011</v>
      </c>
      <c r="BP677" t="s">
        <v>404</v>
      </c>
      <c r="BQ677">
        <v>200</v>
      </c>
      <c r="BR677" t="s">
        <v>405</v>
      </c>
      <c r="BS677">
        <v>1006</v>
      </c>
      <c r="BT677" t="s">
        <v>406</v>
      </c>
      <c r="BW677">
        <v>171626</v>
      </c>
      <c r="BX677" t="s">
        <v>407</v>
      </c>
      <c r="BY677" t="s">
        <v>408</v>
      </c>
      <c r="BZ677">
        <v>4</v>
      </c>
      <c r="CA677">
        <v>1980</v>
      </c>
      <c r="CC677">
        <v>1</v>
      </c>
      <c r="CD677">
        <v>2017</v>
      </c>
      <c r="CE677">
        <v>31520</v>
      </c>
      <c r="CF677">
        <v>4837</v>
      </c>
      <c r="CG677">
        <v>36357</v>
      </c>
      <c r="CH677">
        <v>2017</v>
      </c>
      <c r="CI677">
        <v>31520</v>
      </c>
      <c r="CJ677">
        <v>4837</v>
      </c>
      <c r="CK677">
        <v>36357</v>
      </c>
      <c r="CL677">
        <v>2017</v>
      </c>
      <c r="CM677">
        <v>550.39</v>
      </c>
      <c r="CN677" s="1">
        <v>41499</v>
      </c>
      <c r="CV677">
        <v>0</v>
      </c>
      <c r="CZ677" s="1">
        <v>41499</v>
      </c>
      <c r="DA677">
        <v>0</v>
      </c>
      <c r="DD677" t="s">
        <v>2785</v>
      </c>
      <c r="DG677">
        <v>16</v>
      </c>
      <c r="DL677">
        <v>50502</v>
      </c>
      <c r="DM677" t="s">
        <v>7075</v>
      </c>
      <c r="DO677" t="s">
        <v>7198</v>
      </c>
      <c r="DP677">
        <v>0</v>
      </c>
      <c r="DQ677">
        <v>0</v>
      </c>
      <c r="DR677" t="s">
        <v>411</v>
      </c>
      <c r="EP677" t="s">
        <v>421</v>
      </c>
      <c r="EQ677" t="s">
        <v>422</v>
      </c>
      <c r="ER677">
        <v>2</v>
      </c>
      <c r="ES677">
        <v>1</v>
      </c>
      <c r="ET677">
        <v>1314.74</v>
      </c>
      <c r="EU677">
        <v>78.239999999999995</v>
      </c>
      <c r="EV677">
        <v>1392.98</v>
      </c>
      <c r="EW677" s="2">
        <v>43222</v>
      </c>
      <c r="EX677" s="1">
        <v>42879</v>
      </c>
      <c r="EY677">
        <v>2016</v>
      </c>
      <c r="EZ677">
        <v>657.37</v>
      </c>
      <c r="FA677" t="s">
        <v>7199</v>
      </c>
      <c r="FB677">
        <v>0.25</v>
      </c>
      <c r="FC677" t="s">
        <v>424</v>
      </c>
      <c r="FD677" t="s">
        <v>454</v>
      </c>
      <c r="FF677">
        <v>12</v>
      </c>
      <c r="FG677">
        <v>2851116</v>
      </c>
      <c r="FH677" t="s">
        <v>480</v>
      </c>
      <c r="FJ677" s="1">
        <v>42879</v>
      </c>
      <c r="FK677">
        <v>2016</v>
      </c>
      <c r="FL677">
        <v>657.37</v>
      </c>
      <c r="FM677" t="s">
        <v>7199</v>
      </c>
      <c r="FN677">
        <v>0.25</v>
      </c>
      <c r="FO677" t="s">
        <v>424</v>
      </c>
      <c r="FP677" t="s">
        <v>454</v>
      </c>
      <c r="FR677">
        <v>12</v>
      </c>
      <c r="FS677">
        <v>4902026</v>
      </c>
      <c r="FT677" t="s">
        <v>7200</v>
      </c>
      <c r="FV677" s="1">
        <v>41423</v>
      </c>
      <c r="FW677">
        <v>2010</v>
      </c>
      <c r="FX677">
        <v>1293.4000000000001</v>
      </c>
      <c r="FY677" t="s">
        <v>7201</v>
      </c>
      <c r="FZ677">
        <v>3.75</v>
      </c>
      <c r="GA677" t="s">
        <v>424</v>
      </c>
      <c r="GB677" t="s">
        <v>425</v>
      </c>
      <c r="GC677" s="1">
        <v>41499</v>
      </c>
      <c r="GD677">
        <v>3</v>
      </c>
      <c r="GE677">
        <v>1625515</v>
      </c>
      <c r="GF677" t="s">
        <v>487</v>
      </c>
    </row>
    <row r="678" spans="1:308" x14ac:dyDescent="0.25">
      <c r="A678">
        <v>16485685</v>
      </c>
      <c r="B678">
        <v>677</v>
      </c>
      <c r="C678" t="s">
        <v>393</v>
      </c>
      <c r="D678" t="s">
        <v>394</v>
      </c>
      <c r="F678" t="str">
        <f>"16-1N-25-2910-0019-0000"</f>
        <v>16-1N-25-2910-0019-0000</v>
      </c>
      <c r="H678" t="str">
        <f>"EVANS GLORIA"</f>
        <v>EVANS GLORIA</v>
      </c>
      <c r="I678" t="str">
        <f>"43111 FREEDOM DRIVE"</f>
        <v>43111 FREEDOM DRIVE</v>
      </c>
      <c r="J678" t="str">
        <f t="shared" si="208"/>
        <v>CALLAHAN FL 32011</v>
      </c>
      <c r="K678" t="str">
        <f>"43111 FREEDOM DR"</f>
        <v>43111 FREEDOM DR</v>
      </c>
      <c r="L678" t="str">
        <f t="shared" si="202"/>
        <v>CALLAHAN FL 32011</v>
      </c>
      <c r="M678" t="str">
        <f>"PT OF LOT 19 IN OR 558/1066 EX S-2 &amp; S-3 WOODLAND ESTATES 1 PB 4/29-30"</f>
        <v>PT OF LOT 19 IN OR 558/1066 EX S-2 &amp; S-3 WOODLAND ESTATES 1 PB 4/29-30</v>
      </c>
      <c r="N678" t="str">
        <f>""</f>
        <v/>
      </c>
      <c r="O678" t="str">
        <f>"31092"</f>
        <v>31092</v>
      </c>
      <c r="P678" t="str">
        <f t="shared" si="194"/>
        <v>2017</v>
      </c>
      <c r="Q678" t="str">
        <f>""</f>
        <v/>
      </c>
      <c r="R678" t="str">
        <f>"Y"</f>
        <v>Y</v>
      </c>
      <c r="S678" t="str">
        <f>"3.59"</f>
        <v>3.59</v>
      </c>
      <c r="T678" t="str">
        <f>"1411.02"</f>
        <v>1411.02</v>
      </c>
      <c r="U678" t="str">
        <f>"132810.00"</f>
        <v>132810.00</v>
      </c>
      <c r="V678" t="str">
        <f>"132810.00"</f>
        <v>132810.00</v>
      </c>
      <c r="W678" t="str">
        <f t="shared" si="195"/>
        <v>2017</v>
      </c>
      <c r="X678" t="str">
        <f>"10.00"</f>
        <v>10.00</v>
      </c>
      <c r="Y678" t="str">
        <f>"1485.35"</f>
        <v>1485.35</v>
      </c>
      <c r="Z678" t="str">
        <f>"25500.00"</f>
        <v>25500.00</v>
      </c>
      <c r="AA678" t="str">
        <f>"107310.00"</f>
        <v>107310.00</v>
      </c>
      <c r="AB678" t="str">
        <f t="shared" si="207"/>
        <v>Residential</v>
      </c>
      <c r="AC678" t="str">
        <f t="shared" si="204"/>
        <v>0</v>
      </c>
      <c r="AD678" t="str">
        <f t="shared" si="205"/>
        <v>4</v>
      </c>
      <c r="AE678" t="str">
        <f t="shared" si="206"/>
        <v>WOOD (INCLUDE STEEL STUDS)</v>
      </c>
      <c r="AF678" t="str">
        <f>"001"</f>
        <v>001</v>
      </c>
      <c r="AG678" t="str">
        <f t="shared" si="197"/>
        <v>FL</v>
      </c>
      <c r="AH678" t="str">
        <f>"156380.00"</f>
        <v>156380.00</v>
      </c>
      <c r="AI678" t="str">
        <f>"28720.00"</f>
        <v>28720.00</v>
      </c>
      <c r="AJ678" t="str">
        <f>"C55-000-587-0857-9"</f>
        <v>C55-000-587-0857-9</v>
      </c>
      <c r="AK678" t="str">
        <f>"10783"</f>
        <v>10783</v>
      </c>
      <c r="AL678">
        <v>3</v>
      </c>
      <c r="AM678">
        <v>776</v>
      </c>
      <c r="AN678">
        <v>1558.02</v>
      </c>
      <c r="AQ678" t="s">
        <v>7202</v>
      </c>
      <c r="AR678" t="s">
        <v>7202</v>
      </c>
      <c r="AS678" t="s">
        <v>7202</v>
      </c>
      <c r="AU678" t="s">
        <v>396</v>
      </c>
      <c r="AV678">
        <v>2017</v>
      </c>
      <c r="AW678" t="str">
        <f>"16-1N-25-2910-0019-0000 "</f>
        <v xml:space="preserve">16-1N-25-2910-0019-0000 </v>
      </c>
      <c r="AX678">
        <v>43111</v>
      </c>
      <c r="AZ678" t="s">
        <v>7193</v>
      </c>
      <c r="BA678" t="s">
        <v>669</v>
      </c>
      <c r="BD678" t="s">
        <v>2785</v>
      </c>
      <c r="BE678" t="s">
        <v>393</v>
      </c>
      <c r="BF678">
        <v>32011</v>
      </c>
      <c r="BG678" t="s">
        <v>7203</v>
      </c>
      <c r="BH678" t="s">
        <v>2787</v>
      </c>
      <c r="BI678">
        <v>-81.826319318541096</v>
      </c>
      <c r="BJ678">
        <v>30.486847397486098</v>
      </c>
      <c r="BK678" t="s">
        <v>7204</v>
      </c>
      <c r="BM678" t="s">
        <v>7203</v>
      </c>
      <c r="BN678" t="s">
        <v>928</v>
      </c>
      <c r="BO678">
        <v>32011</v>
      </c>
      <c r="BP678" t="s">
        <v>416</v>
      </c>
      <c r="BQ678">
        <v>100</v>
      </c>
      <c r="BR678" t="s">
        <v>514</v>
      </c>
      <c r="BS678">
        <v>1001</v>
      </c>
      <c r="BT678" t="s">
        <v>515</v>
      </c>
      <c r="BW678">
        <v>156380</v>
      </c>
      <c r="BX678" t="s">
        <v>407</v>
      </c>
      <c r="BY678" t="s">
        <v>408</v>
      </c>
      <c r="BZ678">
        <v>4</v>
      </c>
      <c r="CA678">
        <v>1991</v>
      </c>
      <c r="CB678">
        <v>1</v>
      </c>
      <c r="CC678">
        <v>1</v>
      </c>
      <c r="CD678">
        <v>2017</v>
      </c>
      <c r="CG678">
        <v>132810</v>
      </c>
      <c r="CH678">
        <v>2017</v>
      </c>
      <c r="CI678">
        <v>28720</v>
      </c>
      <c r="CJ678">
        <v>205972</v>
      </c>
      <c r="CK678">
        <v>234692</v>
      </c>
      <c r="CL678">
        <v>2017</v>
      </c>
      <c r="CM678">
        <v>1411.02</v>
      </c>
      <c r="CN678" s="1">
        <v>32489</v>
      </c>
      <c r="CO678">
        <v>35000</v>
      </c>
      <c r="CZ678" s="1">
        <v>32489</v>
      </c>
      <c r="DD678" t="s">
        <v>2785</v>
      </c>
      <c r="DF678">
        <v>19</v>
      </c>
      <c r="DG678">
        <v>16</v>
      </c>
      <c r="DL678">
        <v>50502</v>
      </c>
      <c r="DM678" t="s">
        <v>7075</v>
      </c>
      <c r="DO678" t="s">
        <v>7205</v>
      </c>
      <c r="DP678">
        <v>0</v>
      </c>
      <c r="DQ678">
        <v>0</v>
      </c>
      <c r="DR678" t="s">
        <v>411</v>
      </c>
      <c r="DS678" t="b">
        <v>1</v>
      </c>
      <c r="DT678" t="s">
        <v>396</v>
      </c>
      <c r="DV678" t="s">
        <v>446</v>
      </c>
      <c r="DX678">
        <v>-9999</v>
      </c>
      <c r="DZ678" t="s">
        <v>447</v>
      </c>
      <c r="EA678" t="s">
        <v>448</v>
      </c>
      <c r="EB678" t="s">
        <v>2792</v>
      </c>
      <c r="EC678">
        <v>20101217</v>
      </c>
      <c r="ED678" t="s">
        <v>450</v>
      </c>
      <c r="EE678">
        <v>18.2</v>
      </c>
      <c r="EF678">
        <v>0</v>
      </c>
      <c r="EG678">
        <v>0</v>
      </c>
      <c r="EH678" t="s">
        <v>451</v>
      </c>
      <c r="EI678">
        <v>20140731</v>
      </c>
      <c r="EJ678">
        <v>0</v>
      </c>
      <c r="EK678">
        <v>0</v>
      </c>
      <c r="EP678" t="s">
        <v>421</v>
      </c>
      <c r="EQ678" t="s">
        <v>422</v>
      </c>
      <c r="ER678">
        <v>0</v>
      </c>
      <c r="ES678">
        <v>2</v>
      </c>
      <c r="ET678">
        <v>0</v>
      </c>
      <c r="EU678">
        <v>0</v>
      </c>
      <c r="EV678">
        <v>0</v>
      </c>
      <c r="EW678" s="2">
        <v>43222</v>
      </c>
      <c r="EX678" s="1">
        <v>42151</v>
      </c>
      <c r="EY678">
        <v>2014</v>
      </c>
      <c r="EZ678">
        <v>1544.24</v>
      </c>
      <c r="FA678" t="s">
        <v>7206</v>
      </c>
      <c r="FB678">
        <v>0.25</v>
      </c>
      <c r="FC678" t="s">
        <v>424</v>
      </c>
      <c r="FD678" t="s">
        <v>425</v>
      </c>
      <c r="FE678" s="1">
        <v>42430</v>
      </c>
      <c r="FF678">
        <v>10</v>
      </c>
      <c r="FG678">
        <v>4844983</v>
      </c>
      <c r="FH678" t="s">
        <v>3901</v>
      </c>
      <c r="FJ678" s="1">
        <v>42151</v>
      </c>
      <c r="FK678">
        <v>2014</v>
      </c>
      <c r="FL678">
        <v>1544.24</v>
      </c>
      <c r="FM678" t="s">
        <v>7206</v>
      </c>
      <c r="FN678">
        <v>0.25</v>
      </c>
      <c r="FO678" t="s">
        <v>424</v>
      </c>
      <c r="FP678" t="s">
        <v>425</v>
      </c>
      <c r="FR678">
        <v>22</v>
      </c>
      <c r="FS678">
        <v>6197921</v>
      </c>
      <c r="FT678" t="s">
        <v>7207</v>
      </c>
    </row>
    <row r="679" spans="1:308" x14ac:dyDescent="0.25">
      <c r="A679">
        <v>16485686</v>
      </c>
      <c r="B679">
        <v>678</v>
      </c>
      <c r="C679" t="s">
        <v>393</v>
      </c>
      <c r="D679" t="s">
        <v>394</v>
      </c>
      <c r="F679" t="str">
        <f>"16-1N-25-2910-0019-0020"</f>
        <v>16-1N-25-2910-0019-0020</v>
      </c>
      <c r="H679" t="str">
        <f>"EVANS GLORIA JEAN"</f>
        <v>EVANS GLORIA JEAN</v>
      </c>
      <c r="I679" t="str">
        <f>"43111 FREEDOM DR"</f>
        <v>43111 FREEDOM DR</v>
      </c>
      <c r="J679" t="str">
        <f t="shared" si="208"/>
        <v>CALLAHAN FL 32011</v>
      </c>
      <c r="K679" t="str">
        <f>"FREEDOM DR"</f>
        <v>FREEDOM DR</v>
      </c>
      <c r="L679" t="str">
        <f t="shared" si="202"/>
        <v>CALLAHAN FL 32011</v>
      </c>
      <c r="M679" t="str">
        <f>"PT OF LOT 19 (S-2) IN OR 1874/1050 WOODLAND ESTATES 1 PB 4/29-30"</f>
        <v>PT OF LOT 19 (S-2) IN OR 1874/1050 WOODLAND ESTATES 1 PB 4/29-30</v>
      </c>
      <c r="N679" t="str">
        <f>""</f>
        <v/>
      </c>
      <c r="O679" t="str">
        <f>"31094"</f>
        <v>31094</v>
      </c>
      <c r="P679" t="str">
        <f t="shared" si="194"/>
        <v>2017</v>
      </c>
      <c r="Q679" t="str">
        <f>""</f>
        <v/>
      </c>
      <c r="R679" t="str">
        <f>"N"</f>
        <v>N</v>
      </c>
      <c r="S679" t="str">
        <f>"1.00"</f>
        <v>1.00</v>
      </c>
      <c r="T679" t="str">
        <f>"211.71"</f>
        <v>211.71</v>
      </c>
      <c r="U679" t="str">
        <f>"13200.00"</f>
        <v>13200.00</v>
      </c>
      <c r="V679" t="str">
        <f>"13200.00"</f>
        <v>13200.00</v>
      </c>
      <c r="W679" t="str">
        <f t="shared" si="195"/>
        <v>2017</v>
      </c>
      <c r="X679" t="str">
        <f>"8.33"</f>
        <v>8.33</v>
      </c>
      <c r="Y679" t="str">
        <f>"250.06"</f>
        <v>250.06</v>
      </c>
      <c r="Z679" t="str">
        <f>""</f>
        <v/>
      </c>
      <c r="AA679" t="str">
        <f>"15000.00"</f>
        <v>15000.00</v>
      </c>
      <c r="AB679" t="str">
        <f t="shared" si="207"/>
        <v>Residential</v>
      </c>
      <c r="AC679" t="str">
        <f t="shared" si="204"/>
        <v>0</v>
      </c>
      <c r="AD679" t="str">
        <f>""</f>
        <v/>
      </c>
      <c r="AE679" t="str">
        <f>""</f>
        <v/>
      </c>
      <c r="AF679" t="str">
        <f>"000"</f>
        <v>000</v>
      </c>
      <c r="AG679" t="str">
        <f t="shared" si="197"/>
        <v>FL</v>
      </c>
      <c r="AH679" t="str">
        <f>"43560.00"</f>
        <v>43560.00</v>
      </c>
      <c r="AI679" t="str">
        <f>"15000.00"</f>
        <v>15000.00</v>
      </c>
      <c r="AJ679" t="str">
        <f>"C55-000-589-0811-2"</f>
        <v>C55-000-589-0811-2</v>
      </c>
      <c r="AK679" t="str">
        <f>"10785"</f>
        <v>10785</v>
      </c>
      <c r="AL679">
        <v>3</v>
      </c>
      <c r="AM679">
        <v>777</v>
      </c>
      <c r="AN679">
        <v>260.95999999999998</v>
      </c>
      <c r="AQ679" t="s">
        <v>7208</v>
      </c>
      <c r="AR679" t="s">
        <v>7208</v>
      </c>
      <c r="AS679" t="s">
        <v>7208</v>
      </c>
      <c r="AU679" t="s">
        <v>396</v>
      </c>
      <c r="AV679">
        <v>2017</v>
      </c>
      <c r="AW679" t="str">
        <f>"16-1N-25-2910-0019-0020 "</f>
        <v xml:space="preserve">16-1N-25-2910-0019-0020 </v>
      </c>
      <c r="AZ679" t="s">
        <v>7193</v>
      </c>
      <c r="BA679" t="s">
        <v>669</v>
      </c>
      <c r="BD679" t="s">
        <v>2785</v>
      </c>
      <c r="BE679" t="s">
        <v>393</v>
      </c>
      <c r="BF679">
        <v>32011</v>
      </c>
      <c r="BG679" t="s">
        <v>7209</v>
      </c>
      <c r="BH679" t="s">
        <v>2787</v>
      </c>
      <c r="BI679">
        <v>-81.826482961236707</v>
      </c>
      <c r="BJ679">
        <v>30.486445237835401</v>
      </c>
      <c r="BK679" t="s">
        <v>7210</v>
      </c>
      <c r="BM679" t="s">
        <v>7203</v>
      </c>
      <c r="BN679" t="s">
        <v>928</v>
      </c>
      <c r="BO679">
        <v>32011</v>
      </c>
      <c r="BP679" t="s">
        <v>404</v>
      </c>
      <c r="BQ679">
        <v>0</v>
      </c>
      <c r="BR679" t="s">
        <v>491</v>
      </c>
      <c r="BS679">
        <v>8001</v>
      </c>
      <c r="BT679" t="s">
        <v>492</v>
      </c>
      <c r="BW679">
        <v>43560</v>
      </c>
      <c r="BX679" t="s">
        <v>407</v>
      </c>
      <c r="BY679" t="s">
        <v>408</v>
      </c>
      <c r="CD679">
        <v>2017</v>
      </c>
      <c r="CE679">
        <v>15000</v>
      </c>
      <c r="CG679">
        <v>15000</v>
      </c>
      <c r="CH679">
        <v>2017</v>
      </c>
      <c r="CI679">
        <v>15000</v>
      </c>
      <c r="CK679">
        <v>15000</v>
      </c>
      <c r="CL679">
        <v>2017</v>
      </c>
      <c r="CM679">
        <v>211.71</v>
      </c>
      <c r="CN679" s="1">
        <v>41508</v>
      </c>
      <c r="CV679">
        <v>0</v>
      </c>
      <c r="CZ679" s="1">
        <v>41508</v>
      </c>
      <c r="DA679">
        <v>0</v>
      </c>
      <c r="DD679" t="s">
        <v>2785</v>
      </c>
      <c r="DF679">
        <v>19</v>
      </c>
      <c r="DG679">
        <v>16</v>
      </c>
      <c r="DJ679" t="s">
        <v>7211</v>
      </c>
      <c r="DL679">
        <v>50502</v>
      </c>
      <c r="DM679" t="s">
        <v>7075</v>
      </c>
      <c r="DO679" t="s">
        <v>7212</v>
      </c>
      <c r="DP679">
        <v>0</v>
      </c>
      <c r="DQ679">
        <v>0</v>
      </c>
      <c r="DR679" t="s">
        <v>411</v>
      </c>
      <c r="DS679" t="b">
        <v>1</v>
      </c>
      <c r="DT679" t="s">
        <v>396</v>
      </c>
      <c r="DV679" t="s">
        <v>446</v>
      </c>
      <c r="DX679">
        <v>-9999</v>
      </c>
      <c r="DZ679" t="s">
        <v>447</v>
      </c>
      <c r="EA679" t="s">
        <v>448</v>
      </c>
      <c r="EB679" t="s">
        <v>2792</v>
      </c>
      <c r="EC679">
        <v>20101217</v>
      </c>
      <c r="ED679" t="s">
        <v>450</v>
      </c>
      <c r="EE679">
        <v>18.2</v>
      </c>
      <c r="EF679">
        <v>0</v>
      </c>
      <c r="EG679">
        <v>0</v>
      </c>
      <c r="EI679">
        <v>20160407</v>
      </c>
      <c r="EJ679">
        <v>0</v>
      </c>
      <c r="EK679">
        <v>0</v>
      </c>
      <c r="EP679" t="s">
        <v>421</v>
      </c>
      <c r="EQ679" t="s">
        <v>422</v>
      </c>
      <c r="ER679">
        <v>0</v>
      </c>
      <c r="ES679">
        <v>3</v>
      </c>
      <c r="ET679">
        <v>0</v>
      </c>
      <c r="EU679">
        <v>0</v>
      </c>
      <c r="EV679">
        <v>0</v>
      </c>
      <c r="EW679" s="2">
        <v>43222</v>
      </c>
      <c r="EX679" s="1">
        <v>42515</v>
      </c>
      <c r="EY679">
        <v>2015</v>
      </c>
      <c r="EZ679">
        <v>226.06</v>
      </c>
      <c r="FA679" t="s">
        <v>7213</v>
      </c>
      <c r="FB679">
        <v>0.25</v>
      </c>
      <c r="FC679" t="s">
        <v>424</v>
      </c>
      <c r="FD679" t="s">
        <v>425</v>
      </c>
      <c r="FE679" s="1">
        <v>42765</v>
      </c>
      <c r="FF679">
        <v>8</v>
      </c>
      <c r="FG679">
        <v>7336671</v>
      </c>
      <c r="FH679" t="s">
        <v>437</v>
      </c>
      <c r="FJ679" s="1">
        <v>42515</v>
      </c>
      <c r="FK679">
        <v>2015</v>
      </c>
      <c r="FL679">
        <v>226.06</v>
      </c>
      <c r="FM679" t="s">
        <v>7213</v>
      </c>
      <c r="FN679">
        <v>0.25</v>
      </c>
      <c r="FO679" t="s">
        <v>424</v>
      </c>
      <c r="FP679" t="s">
        <v>425</v>
      </c>
      <c r="FR679">
        <v>22</v>
      </c>
      <c r="FS679">
        <v>6907957</v>
      </c>
      <c r="FT679" t="s">
        <v>7214</v>
      </c>
      <c r="FV679" s="1">
        <v>42151</v>
      </c>
      <c r="FW679">
        <v>2014</v>
      </c>
      <c r="FX679">
        <v>227.1</v>
      </c>
      <c r="FY679" t="s">
        <v>7215</v>
      </c>
      <c r="FZ679">
        <v>5</v>
      </c>
      <c r="GA679" t="s">
        <v>424</v>
      </c>
      <c r="GB679" t="s">
        <v>425</v>
      </c>
      <c r="GC679" s="1">
        <v>42430</v>
      </c>
      <c r="GD679">
        <v>10</v>
      </c>
      <c r="GE679">
        <v>6516843</v>
      </c>
      <c r="GF679" t="s">
        <v>601</v>
      </c>
    </row>
    <row r="680" spans="1:308" x14ac:dyDescent="0.25">
      <c r="A680">
        <v>16485687</v>
      </c>
      <c r="B680">
        <v>679</v>
      </c>
      <c r="C680" t="s">
        <v>393</v>
      </c>
      <c r="D680" t="s">
        <v>394</v>
      </c>
      <c r="F680" t="str">
        <f>"16-1N-25-2912-0003-0090"</f>
        <v>16-1N-25-2912-0003-0090</v>
      </c>
      <c r="H680" t="str">
        <f>"HARRISON THOMAS &amp; CARRIE"</f>
        <v>HARRISON THOMAS &amp; CARRIE</v>
      </c>
      <c r="I680" t="str">
        <f>"44090 WOODLAND AVENUE"</f>
        <v>44090 WOODLAND AVENUE</v>
      </c>
      <c r="J680" t="str">
        <f t="shared" si="208"/>
        <v>CALLAHAN FL 32011</v>
      </c>
      <c r="K680" t="str">
        <f>"44090 WOODLAND CIR"</f>
        <v>44090 WOODLAND CIR</v>
      </c>
      <c r="L680" t="str">
        <f t="shared" si="202"/>
        <v>CALLAHAN FL 32011</v>
      </c>
      <c r="M680" t="str">
        <f>"BLOCK 3 LOT 9 &amp; S-1 OF LOT 8 IN OR 1482/833 EX ESMT OR 1271/1681 EX S-2 OF LOT 8 &amp; S-3 OF LOT 9 LANDLAND ESTATES UNIT 2 PB 4/46 46A &amp; 46B"</f>
        <v>BLOCK 3 LOT 9 &amp; S-1 OF LOT 8 IN OR 1482/833 EX ESMT OR 1271/1681 EX S-2 OF LOT 8 &amp; S-3 OF LOT 9 LANDLAND ESTATES UNIT 2 PB 4/46 46A &amp; 46B</v>
      </c>
      <c r="N680" t="str">
        <f>""</f>
        <v/>
      </c>
      <c r="O680" t="str">
        <f>"31181"</f>
        <v>31181</v>
      </c>
      <c r="P680" t="str">
        <f t="shared" si="194"/>
        <v>2017</v>
      </c>
      <c r="Q680" t="str">
        <f>""</f>
        <v/>
      </c>
      <c r="R680" t="str">
        <f>"N"</f>
        <v>N</v>
      </c>
      <c r="S680" t="str">
        <f>""</f>
        <v/>
      </c>
      <c r="T680" t="str">
        <f>"801.80"</f>
        <v>801.80</v>
      </c>
      <c r="U680" t="str">
        <f>"52964.00"</f>
        <v>52964.00</v>
      </c>
      <c r="V680" t="str">
        <f>"52964.00"</f>
        <v>52964.00</v>
      </c>
      <c r="W680" t="str">
        <f t="shared" si="195"/>
        <v>2017</v>
      </c>
      <c r="X680" t="str">
        <f>"14.25"</f>
        <v>14.25</v>
      </c>
      <c r="Y680" t="str">
        <f>"857.85"</f>
        <v>857.85</v>
      </c>
      <c r="Z680" t="str">
        <f>""</f>
        <v/>
      </c>
      <c r="AA680" t="str">
        <f>"52964.00"</f>
        <v>52964.00</v>
      </c>
      <c r="AB680" t="str">
        <f t="shared" si="207"/>
        <v>Residential</v>
      </c>
      <c r="AC680" t="str">
        <f t="shared" si="204"/>
        <v>0</v>
      </c>
      <c r="AD680" t="str">
        <f t="shared" ref="AD680:AD689" si="209">"4"</f>
        <v>4</v>
      </c>
      <c r="AE680" t="str">
        <f t="shared" ref="AE680:AE689" si="210">"WOOD (INCLUDE STEEL STUDS)"</f>
        <v>WOOD (INCLUDE STEEL STUDS)</v>
      </c>
      <c r="AF680" t="str">
        <f>"000"</f>
        <v>000</v>
      </c>
      <c r="AG680" t="str">
        <f t="shared" si="197"/>
        <v>FL</v>
      </c>
      <c r="AH680" t="str">
        <f>"-"</f>
        <v>-</v>
      </c>
      <c r="AI680" t="str">
        <f>"25000.00"</f>
        <v>25000.00</v>
      </c>
      <c r="AJ680" t="str">
        <f>"C55-000-587-0937-9"</f>
        <v>C55-000-587-0937-9</v>
      </c>
      <c r="AK680" t="str">
        <f>"10868"</f>
        <v>10868</v>
      </c>
      <c r="AL680">
        <v>3</v>
      </c>
      <c r="AM680">
        <v>779</v>
      </c>
      <c r="AN680">
        <v>899.14</v>
      </c>
      <c r="AQ680" t="s">
        <v>7216</v>
      </c>
      <c r="AR680" t="s">
        <v>7216</v>
      </c>
      <c r="AS680" t="s">
        <v>7216</v>
      </c>
      <c r="AU680" t="s">
        <v>396</v>
      </c>
      <c r="AV680">
        <v>2017</v>
      </c>
      <c r="AW680" t="str">
        <f>"16-1N-25-2912-0003-0090 "</f>
        <v xml:space="preserve">16-1N-25-2912-0003-0090 </v>
      </c>
      <c r="AX680">
        <v>44090</v>
      </c>
      <c r="AZ680" t="s">
        <v>7217</v>
      </c>
      <c r="BA680" t="s">
        <v>1799</v>
      </c>
      <c r="BD680" t="s">
        <v>2785</v>
      </c>
      <c r="BE680" t="s">
        <v>393</v>
      </c>
      <c r="BF680">
        <v>32011</v>
      </c>
      <c r="BG680" t="s">
        <v>7218</v>
      </c>
      <c r="BH680" t="s">
        <v>2787</v>
      </c>
      <c r="BI680">
        <v>-81.810929836931507</v>
      </c>
      <c r="BJ680">
        <v>30.503049102710101</v>
      </c>
      <c r="BK680" t="s">
        <v>7219</v>
      </c>
      <c r="BL680" t="s">
        <v>7220</v>
      </c>
      <c r="BM680" t="s">
        <v>7218</v>
      </c>
      <c r="BN680" t="s">
        <v>928</v>
      </c>
      <c r="BO680">
        <v>32011</v>
      </c>
      <c r="BP680" t="s">
        <v>416</v>
      </c>
      <c r="BQ680">
        <v>1</v>
      </c>
      <c r="BR680" t="s">
        <v>491</v>
      </c>
      <c r="BS680">
        <v>8001</v>
      </c>
      <c r="BT680" t="s">
        <v>492</v>
      </c>
      <c r="BW680">
        <v>54885</v>
      </c>
      <c r="BX680" t="s">
        <v>407</v>
      </c>
      <c r="BY680" t="s">
        <v>408</v>
      </c>
      <c r="BZ680">
        <v>4</v>
      </c>
      <c r="CA680">
        <v>2005</v>
      </c>
      <c r="CB680">
        <v>1.5</v>
      </c>
      <c r="CC680">
        <v>1</v>
      </c>
      <c r="CD680">
        <v>2017</v>
      </c>
      <c r="CE680">
        <v>25000</v>
      </c>
      <c r="CF680">
        <v>27964</v>
      </c>
      <c r="CG680">
        <v>52964</v>
      </c>
      <c r="CH680">
        <v>2017</v>
      </c>
      <c r="CI680">
        <v>25000</v>
      </c>
      <c r="CJ680">
        <v>27964</v>
      </c>
      <c r="CK680">
        <v>52964</v>
      </c>
      <c r="CL680">
        <v>2017</v>
      </c>
      <c r="CM680">
        <v>801.8</v>
      </c>
      <c r="CN680" s="1">
        <v>39143</v>
      </c>
      <c r="CV680">
        <v>0</v>
      </c>
      <c r="CZ680" s="1">
        <v>39143</v>
      </c>
      <c r="DA680">
        <v>0</v>
      </c>
      <c r="DD680" t="s">
        <v>2785</v>
      </c>
      <c r="DF680">
        <v>9</v>
      </c>
      <c r="DG680">
        <v>16</v>
      </c>
      <c r="DL680">
        <v>50502</v>
      </c>
      <c r="DM680" t="s">
        <v>7075</v>
      </c>
      <c r="DO680" t="s">
        <v>7221</v>
      </c>
      <c r="DP680">
        <v>0</v>
      </c>
      <c r="DQ680">
        <v>0</v>
      </c>
      <c r="DR680" t="s">
        <v>411</v>
      </c>
      <c r="DS680" t="s">
        <v>695</v>
      </c>
      <c r="EJ680">
        <v>0</v>
      </c>
      <c r="EK680">
        <v>0</v>
      </c>
      <c r="EP680" t="s">
        <v>421</v>
      </c>
      <c r="EQ680" t="s">
        <v>422</v>
      </c>
      <c r="ER680">
        <v>0</v>
      </c>
      <c r="ES680">
        <v>7</v>
      </c>
      <c r="ET680">
        <v>0</v>
      </c>
      <c r="EU680">
        <v>0</v>
      </c>
      <c r="EV680">
        <v>0</v>
      </c>
      <c r="EW680" s="2">
        <v>43222</v>
      </c>
      <c r="EX680" s="1">
        <v>42879</v>
      </c>
      <c r="EY680">
        <v>2016</v>
      </c>
      <c r="EZ680">
        <v>919.16</v>
      </c>
      <c r="FA680" t="s">
        <v>7222</v>
      </c>
      <c r="FB680">
        <v>0.25</v>
      </c>
      <c r="FC680" t="s">
        <v>424</v>
      </c>
      <c r="FD680" t="s">
        <v>425</v>
      </c>
      <c r="FE680" s="1">
        <v>43154</v>
      </c>
      <c r="FF680">
        <v>9</v>
      </c>
      <c r="FG680">
        <v>11289</v>
      </c>
      <c r="FH680" t="s">
        <v>787</v>
      </c>
      <c r="FJ680" s="1">
        <v>42879</v>
      </c>
      <c r="FK680">
        <v>2016</v>
      </c>
      <c r="FL680">
        <v>919.16</v>
      </c>
      <c r="FM680" t="s">
        <v>7222</v>
      </c>
      <c r="FN680">
        <v>0.25</v>
      </c>
      <c r="FO680" t="s">
        <v>424</v>
      </c>
      <c r="FP680" t="s">
        <v>425</v>
      </c>
      <c r="FR680">
        <v>22</v>
      </c>
      <c r="FS680">
        <v>7079768</v>
      </c>
      <c r="FT680" t="s">
        <v>7223</v>
      </c>
      <c r="FV680" s="1">
        <v>42151</v>
      </c>
      <c r="FW680">
        <v>2014</v>
      </c>
      <c r="FX680">
        <v>963.35</v>
      </c>
      <c r="FY680" t="s">
        <v>7224</v>
      </c>
      <c r="FZ680">
        <v>0.25</v>
      </c>
      <c r="GA680" t="s">
        <v>424</v>
      </c>
      <c r="GB680" t="s">
        <v>425</v>
      </c>
      <c r="GC680" s="1">
        <v>42480</v>
      </c>
      <c r="GD680">
        <v>11</v>
      </c>
      <c r="GE680">
        <v>4975594</v>
      </c>
      <c r="GF680" t="s">
        <v>457</v>
      </c>
      <c r="GH680" s="1">
        <v>42151</v>
      </c>
      <c r="GI680">
        <v>2014</v>
      </c>
      <c r="GJ680">
        <v>963.35</v>
      </c>
      <c r="GK680" t="s">
        <v>7224</v>
      </c>
      <c r="GL680">
        <v>0.25</v>
      </c>
      <c r="GM680" t="s">
        <v>424</v>
      </c>
      <c r="GN680" t="s">
        <v>425</v>
      </c>
      <c r="GP680">
        <v>22</v>
      </c>
      <c r="GQ680">
        <v>6583437</v>
      </c>
      <c r="GR680" t="s">
        <v>7225</v>
      </c>
      <c r="GT680" s="1">
        <v>41787</v>
      </c>
      <c r="GU680">
        <v>2013</v>
      </c>
      <c r="GV680">
        <v>912.75</v>
      </c>
      <c r="GW680" t="s">
        <v>7226</v>
      </c>
      <c r="GX680">
        <v>0.25</v>
      </c>
      <c r="GY680" t="s">
        <v>424</v>
      </c>
      <c r="GZ680" t="s">
        <v>425</v>
      </c>
      <c r="HA680" s="1">
        <v>42115</v>
      </c>
      <c r="HB680">
        <v>11</v>
      </c>
      <c r="HC680">
        <v>2101382</v>
      </c>
      <c r="HD680" t="s">
        <v>993</v>
      </c>
      <c r="HF680" s="1">
        <v>41052</v>
      </c>
      <c r="HG680">
        <v>2011</v>
      </c>
      <c r="HH680">
        <v>1005.83</v>
      </c>
      <c r="HI680" t="s">
        <v>7227</v>
      </c>
      <c r="HJ680">
        <v>6</v>
      </c>
      <c r="HK680" t="s">
        <v>424</v>
      </c>
      <c r="HL680" t="s">
        <v>425</v>
      </c>
      <c r="HM680" s="1">
        <v>41388</v>
      </c>
      <c r="HN680">
        <v>11</v>
      </c>
      <c r="HO680">
        <v>10125</v>
      </c>
      <c r="HP680" t="s">
        <v>440</v>
      </c>
      <c r="HR680" s="1">
        <v>40688</v>
      </c>
      <c r="HS680">
        <v>2010</v>
      </c>
      <c r="HT680">
        <v>1019.69</v>
      </c>
      <c r="HU680" t="s">
        <v>7228</v>
      </c>
      <c r="HV680">
        <v>5.25</v>
      </c>
      <c r="HW680" t="s">
        <v>424</v>
      </c>
      <c r="HX680" t="s">
        <v>425</v>
      </c>
      <c r="HY680" s="1">
        <v>41334</v>
      </c>
      <c r="HZ680">
        <v>22</v>
      </c>
      <c r="IA680">
        <v>210</v>
      </c>
      <c r="IB680" t="s">
        <v>7026</v>
      </c>
    </row>
    <row r="681" spans="1:308" x14ac:dyDescent="0.25">
      <c r="A681">
        <v>16485688</v>
      </c>
      <c r="B681">
        <v>680</v>
      </c>
      <c r="C681" t="s">
        <v>393</v>
      </c>
      <c r="D681" t="s">
        <v>394</v>
      </c>
      <c r="F681" t="str">
        <f>"16-1N-25-2912-0004-0090"</f>
        <v>16-1N-25-2912-0004-0090</v>
      </c>
      <c r="H681" t="str">
        <f>"NETTLES AL W &amp; JANICE M"</f>
        <v>NETTLES AL W &amp; JANICE M</v>
      </c>
      <c r="I681" t="str">
        <f>"44752 WOODLAND CIR"</f>
        <v>44752 WOODLAND CIR</v>
      </c>
      <c r="J681" t="str">
        <f t="shared" si="208"/>
        <v>CALLAHAN FL 32011</v>
      </c>
      <c r="K681" t="str">
        <f>"44752 WOODLAND CIR"</f>
        <v>44752 WOODLAND CIR</v>
      </c>
      <c r="L681" t="str">
        <f t="shared" si="202"/>
        <v>CALLAHAN FL 32011</v>
      </c>
      <c r="M681" t="str">
        <f>"BLOCK 4 LOT 9 IN OR 336 PG 397 R 223924 &amp; R 223925 WOODLAND ESTATES UNIT 2 PB 4/46 46A &amp; 46B"</f>
        <v>BLOCK 4 LOT 9 IN OR 336 PG 397 R 223924 &amp; R 223925 WOODLAND ESTATES UNIT 2 PB 4/46 46A &amp; 46B</v>
      </c>
      <c r="N681" t="str">
        <f>""</f>
        <v/>
      </c>
      <c r="O681" t="str">
        <f>"31215"</f>
        <v>31215</v>
      </c>
      <c r="P681" t="str">
        <f t="shared" si="194"/>
        <v>2017</v>
      </c>
      <c r="Q681" t="str">
        <f>""</f>
        <v/>
      </c>
      <c r="R681" t="str">
        <f>"Y"</f>
        <v>Y</v>
      </c>
      <c r="S681" t="str">
        <f>""</f>
        <v/>
      </c>
      <c r="T681" t="str">
        <f>"247.33"</f>
        <v>247.33</v>
      </c>
      <c r="U681" t="str">
        <f>"41338.00"</f>
        <v>41338.00</v>
      </c>
      <c r="V681" t="str">
        <f>"41338.00"</f>
        <v>41338.00</v>
      </c>
      <c r="W681" t="str">
        <f t="shared" si="195"/>
        <v>2017</v>
      </c>
      <c r="X681" t="str">
        <f>"17.67"</f>
        <v>17.67</v>
      </c>
      <c r="Y681" t="str">
        <f>"286.75"</f>
        <v>286.75</v>
      </c>
      <c r="Z681" t="str">
        <f>"25000.00"</f>
        <v>25000.00</v>
      </c>
      <c r="AA681" t="str">
        <f>"16338.00"</f>
        <v>16338.00</v>
      </c>
      <c r="AB681" t="str">
        <f t="shared" si="207"/>
        <v>Residential</v>
      </c>
      <c r="AC681" t="str">
        <f t="shared" si="204"/>
        <v>0</v>
      </c>
      <c r="AD681" t="str">
        <f t="shared" si="209"/>
        <v>4</v>
      </c>
      <c r="AE681" t="str">
        <f t="shared" si="210"/>
        <v>WOOD (INCLUDE STEEL STUDS)</v>
      </c>
      <c r="AF681" t="str">
        <f>"002"</f>
        <v>002</v>
      </c>
      <c r="AG681" t="str">
        <f t="shared" si="197"/>
        <v>FL</v>
      </c>
      <c r="AH681" t="str">
        <f>"-"</f>
        <v>-</v>
      </c>
      <c r="AI681" t="str">
        <f>"25000.00"</f>
        <v>25000.00</v>
      </c>
      <c r="AJ681" t="str">
        <f>"C55-000-587-0969-2"</f>
        <v>C55-000-587-0969-2</v>
      </c>
      <c r="AK681" t="str">
        <f>"10899"</f>
        <v>10899</v>
      </c>
      <c r="AL681">
        <v>3</v>
      </c>
      <c r="AM681">
        <v>780</v>
      </c>
      <c r="AN681">
        <v>299.49</v>
      </c>
      <c r="AQ681" t="s">
        <v>7229</v>
      </c>
      <c r="AR681" t="s">
        <v>7229</v>
      </c>
      <c r="AS681" t="s">
        <v>7229</v>
      </c>
      <c r="AU681" t="s">
        <v>396</v>
      </c>
      <c r="AV681">
        <v>2017</v>
      </c>
      <c r="AW681" t="str">
        <f>"16-1N-25-2912-0004-0090 "</f>
        <v xml:space="preserve">16-1N-25-2912-0004-0090 </v>
      </c>
      <c r="AX681">
        <v>44752</v>
      </c>
      <c r="AZ681" t="s">
        <v>7217</v>
      </c>
      <c r="BA681" t="s">
        <v>1799</v>
      </c>
      <c r="BD681" t="s">
        <v>2785</v>
      </c>
      <c r="BE681" t="s">
        <v>393</v>
      </c>
      <c r="BF681">
        <v>32011</v>
      </c>
      <c r="BG681" t="s">
        <v>7230</v>
      </c>
      <c r="BH681" t="s">
        <v>2787</v>
      </c>
      <c r="BI681">
        <v>-81.8192091554249</v>
      </c>
      <c r="BJ681">
        <v>30.498768001889701</v>
      </c>
      <c r="BK681" t="s">
        <v>7231</v>
      </c>
      <c r="BL681" t="s">
        <v>7232</v>
      </c>
      <c r="BM681" t="s">
        <v>7230</v>
      </c>
      <c r="BN681" t="s">
        <v>928</v>
      </c>
      <c r="BO681">
        <v>32011</v>
      </c>
      <c r="BP681" t="s">
        <v>416</v>
      </c>
      <c r="BQ681">
        <v>200</v>
      </c>
      <c r="BR681" t="s">
        <v>405</v>
      </c>
      <c r="BS681">
        <v>1006</v>
      </c>
      <c r="BT681" t="s">
        <v>406</v>
      </c>
      <c r="BW681">
        <v>100188</v>
      </c>
      <c r="BX681" t="s">
        <v>407</v>
      </c>
      <c r="BY681" t="s">
        <v>408</v>
      </c>
      <c r="BZ681">
        <v>4</v>
      </c>
      <c r="CA681">
        <v>1984</v>
      </c>
      <c r="CB681">
        <v>1</v>
      </c>
      <c r="CC681">
        <v>1</v>
      </c>
      <c r="CD681">
        <v>2017</v>
      </c>
      <c r="CG681">
        <v>41338</v>
      </c>
      <c r="CH681">
        <v>2017</v>
      </c>
      <c r="CI681">
        <v>25000</v>
      </c>
      <c r="CJ681">
        <v>21125</v>
      </c>
      <c r="CK681">
        <v>46125</v>
      </c>
      <c r="CL681">
        <v>2017</v>
      </c>
      <c r="CM681">
        <v>247.33</v>
      </c>
      <c r="CN681" s="1">
        <v>29707</v>
      </c>
      <c r="CO681">
        <v>9500</v>
      </c>
      <c r="CZ681" s="1">
        <v>29707</v>
      </c>
      <c r="DD681" t="s">
        <v>2785</v>
      </c>
      <c r="DF681">
        <v>9</v>
      </c>
      <c r="DG681">
        <v>16</v>
      </c>
      <c r="DL681">
        <v>50502</v>
      </c>
      <c r="DM681" t="s">
        <v>7075</v>
      </c>
      <c r="DO681" t="s">
        <v>7233</v>
      </c>
      <c r="DP681">
        <v>0</v>
      </c>
      <c r="DQ681">
        <v>0</v>
      </c>
      <c r="DR681" t="s">
        <v>411</v>
      </c>
      <c r="DS681" t="b">
        <v>1</v>
      </c>
      <c r="DT681" t="s">
        <v>396</v>
      </c>
      <c r="DV681" t="s">
        <v>446</v>
      </c>
      <c r="DX681">
        <v>-9999</v>
      </c>
      <c r="DZ681" t="s">
        <v>447</v>
      </c>
      <c r="EA681" t="s">
        <v>448</v>
      </c>
      <c r="EB681" t="s">
        <v>2792</v>
      </c>
      <c r="EC681">
        <v>20101217</v>
      </c>
      <c r="ED681" t="s">
        <v>450</v>
      </c>
      <c r="EE681">
        <v>17.600000000000001</v>
      </c>
      <c r="EF681">
        <v>0</v>
      </c>
      <c r="EG681">
        <v>0</v>
      </c>
      <c r="EI681">
        <v>20160407</v>
      </c>
      <c r="EJ681">
        <v>0</v>
      </c>
      <c r="EK681">
        <v>0</v>
      </c>
      <c r="EP681" t="s">
        <v>421</v>
      </c>
      <c r="EQ681" t="s">
        <v>422</v>
      </c>
      <c r="ER681">
        <v>0</v>
      </c>
      <c r="ES681">
        <v>5</v>
      </c>
      <c r="ET681">
        <v>0</v>
      </c>
      <c r="EU681">
        <v>0</v>
      </c>
      <c r="EV681">
        <v>0</v>
      </c>
      <c r="EW681" s="2">
        <v>43222</v>
      </c>
      <c r="EX681" s="1">
        <v>42515</v>
      </c>
      <c r="EY681">
        <v>2015</v>
      </c>
      <c r="EZ681">
        <v>280.58999999999997</v>
      </c>
      <c r="FA681" t="s">
        <v>7234</v>
      </c>
      <c r="FB681">
        <v>0.25</v>
      </c>
      <c r="FC681" t="s">
        <v>424</v>
      </c>
      <c r="FD681" t="s">
        <v>425</v>
      </c>
      <c r="FE681" s="1">
        <v>43167</v>
      </c>
      <c r="FF681">
        <v>22</v>
      </c>
      <c r="FG681">
        <v>2851116</v>
      </c>
      <c r="FH681" t="s">
        <v>480</v>
      </c>
      <c r="FJ681" s="1">
        <v>42515</v>
      </c>
      <c r="FK681">
        <v>2015</v>
      </c>
      <c r="FL681">
        <v>280.58999999999997</v>
      </c>
      <c r="FM681" t="s">
        <v>7234</v>
      </c>
      <c r="FN681">
        <v>0.25</v>
      </c>
      <c r="FO681" t="s">
        <v>424</v>
      </c>
      <c r="FP681" t="s">
        <v>425</v>
      </c>
      <c r="FR681">
        <v>22</v>
      </c>
      <c r="FS681">
        <v>5557803</v>
      </c>
      <c r="FT681" t="s">
        <v>7235</v>
      </c>
      <c r="FV681" s="1">
        <v>42151</v>
      </c>
      <c r="FW681">
        <v>2014</v>
      </c>
      <c r="FX681">
        <v>286.37</v>
      </c>
      <c r="FY681" t="s">
        <v>7236</v>
      </c>
      <c r="FZ681">
        <v>0.25</v>
      </c>
      <c r="GA681" t="s">
        <v>424</v>
      </c>
      <c r="GB681" t="s">
        <v>425</v>
      </c>
      <c r="GC681" s="1">
        <v>42832</v>
      </c>
      <c r="GD681">
        <v>23</v>
      </c>
      <c r="GE681">
        <v>2101382</v>
      </c>
      <c r="GF681" t="s">
        <v>993</v>
      </c>
      <c r="GH681" s="1">
        <v>42151</v>
      </c>
      <c r="GI681">
        <v>2014</v>
      </c>
      <c r="GJ681">
        <v>286.37</v>
      </c>
      <c r="GK681" t="s">
        <v>7236</v>
      </c>
      <c r="GL681">
        <v>0.25</v>
      </c>
      <c r="GM681" t="s">
        <v>424</v>
      </c>
      <c r="GN681" t="s">
        <v>425</v>
      </c>
      <c r="GP681">
        <v>22</v>
      </c>
      <c r="GQ681">
        <v>5567512</v>
      </c>
      <c r="GR681" t="s">
        <v>7237</v>
      </c>
      <c r="GT681" s="1">
        <v>41787</v>
      </c>
      <c r="GU681">
        <v>2013</v>
      </c>
      <c r="GV681">
        <v>438.67</v>
      </c>
      <c r="GW681" t="s">
        <v>7238</v>
      </c>
      <c r="GX681">
        <v>0.25</v>
      </c>
      <c r="GY681" t="s">
        <v>424</v>
      </c>
      <c r="GZ681" t="s">
        <v>425</v>
      </c>
      <c r="HA681" s="1">
        <v>42025</v>
      </c>
      <c r="HB681">
        <v>8</v>
      </c>
      <c r="HC681">
        <v>15399</v>
      </c>
      <c r="HD681" t="s">
        <v>485</v>
      </c>
    </row>
    <row r="682" spans="1:308" x14ac:dyDescent="0.25">
      <c r="A682">
        <v>16485689</v>
      </c>
      <c r="B682">
        <v>681</v>
      </c>
      <c r="C682" t="s">
        <v>393</v>
      </c>
      <c r="D682" t="s">
        <v>394</v>
      </c>
      <c r="F682" t="str">
        <f>"16-1N-25-2912-0005-0070"</f>
        <v>16-1N-25-2912-0005-0070</v>
      </c>
      <c r="H682" t="str">
        <f>"CONNOR KAREN H"</f>
        <v>CONNOR KAREN H</v>
      </c>
      <c r="I682" t="str">
        <f>"44467 WOODRIDGE DR"</f>
        <v>44467 WOODRIDGE DR</v>
      </c>
      <c r="J682" t="str">
        <f t="shared" si="208"/>
        <v>CALLAHAN FL 32011</v>
      </c>
      <c r="K682" t="str">
        <f>"44467 WOODRIDGE DR"</f>
        <v>44467 WOODRIDGE DR</v>
      </c>
      <c r="L682" t="str">
        <f t="shared" si="202"/>
        <v>CALLAHAN FL 32011</v>
      </c>
      <c r="M682" t="str">
        <f>"BLOCK 5 LOT 7 IN OR 1334/580 WOODLAND ESTATES UNIT 2 PB 4/46 46A &amp; 46B"</f>
        <v>BLOCK 5 LOT 7 IN OR 1334/580 WOODLAND ESTATES UNIT 2 PB 4/46 46A &amp; 46B</v>
      </c>
      <c r="N682" t="str">
        <f>""</f>
        <v/>
      </c>
      <c r="O682" t="str">
        <f>"31248"</f>
        <v>31248</v>
      </c>
      <c r="P682" t="str">
        <f t="shared" si="194"/>
        <v>2017</v>
      </c>
      <c r="Q682" t="str">
        <f>""</f>
        <v/>
      </c>
      <c r="R682" t="str">
        <f>"Y"</f>
        <v>Y</v>
      </c>
      <c r="S682" t="str">
        <f>""</f>
        <v/>
      </c>
      <c r="T682" t="str">
        <f>"721.06"</f>
        <v>721.06</v>
      </c>
      <c r="U682" t="str">
        <f>"87233.00"</f>
        <v>87233.00</v>
      </c>
      <c r="V682" t="str">
        <f>"87233.00"</f>
        <v>87233.00</v>
      </c>
      <c r="W682" t="str">
        <f t="shared" si="195"/>
        <v>2017</v>
      </c>
      <c r="X682" t="str">
        <f>"19.67"</f>
        <v>19.67</v>
      </c>
      <c r="Y682" t="str">
        <f>"774.69"</f>
        <v>774.69</v>
      </c>
      <c r="Z682" t="str">
        <f>"25500.00"</f>
        <v>25500.00</v>
      </c>
      <c r="AA682" t="str">
        <f>"61733.00"</f>
        <v>61733.00</v>
      </c>
      <c r="AB682" t="str">
        <f t="shared" si="207"/>
        <v>Residential</v>
      </c>
      <c r="AC682" t="str">
        <f t="shared" si="204"/>
        <v>0</v>
      </c>
      <c r="AD682" t="str">
        <f t="shared" si="209"/>
        <v>4</v>
      </c>
      <c r="AE682" t="str">
        <f t="shared" si="210"/>
        <v>WOOD (INCLUDE STEEL STUDS)</v>
      </c>
      <c r="AF682" t="str">
        <f>"001"</f>
        <v>001</v>
      </c>
      <c r="AG682" t="str">
        <f t="shared" si="197"/>
        <v>FL</v>
      </c>
      <c r="AH682" t="str">
        <f>"-"</f>
        <v>-</v>
      </c>
      <c r="AI682" t="str">
        <f>"25000.00"</f>
        <v>25000.00</v>
      </c>
      <c r="AJ682" t="str">
        <f>"C55-000-587-1001-3"</f>
        <v>C55-000-587-1001-3</v>
      </c>
      <c r="AK682" t="str">
        <f>"10931"</f>
        <v>10931</v>
      </c>
      <c r="AL682">
        <v>3</v>
      </c>
      <c r="AM682">
        <v>781</v>
      </c>
      <c r="AN682">
        <v>811.82</v>
      </c>
      <c r="AQ682" t="s">
        <v>7239</v>
      </c>
      <c r="AR682" t="s">
        <v>7239</v>
      </c>
      <c r="AS682" t="s">
        <v>7239</v>
      </c>
      <c r="AU682" t="s">
        <v>396</v>
      </c>
      <c r="AV682">
        <v>2017</v>
      </c>
      <c r="AW682" t="str">
        <f>"16-1N-25-2912-0005-0070 "</f>
        <v xml:space="preserve">16-1N-25-2912-0005-0070 </v>
      </c>
      <c r="AX682">
        <v>44467</v>
      </c>
      <c r="AZ682" t="s">
        <v>7240</v>
      </c>
      <c r="BA682" t="s">
        <v>669</v>
      </c>
      <c r="BD682" t="s">
        <v>2785</v>
      </c>
      <c r="BE682" t="s">
        <v>393</v>
      </c>
      <c r="BF682">
        <v>32011</v>
      </c>
      <c r="BG682" t="s">
        <v>7241</v>
      </c>
      <c r="BH682" t="s">
        <v>2787</v>
      </c>
      <c r="BI682">
        <v>-81.819007732711299</v>
      </c>
      <c r="BJ682">
        <v>30.502541388214102</v>
      </c>
      <c r="BK682" t="s">
        <v>7242</v>
      </c>
      <c r="BL682" t="s">
        <v>7243</v>
      </c>
      <c r="BM682" t="s">
        <v>7241</v>
      </c>
      <c r="BN682" t="s">
        <v>928</v>
      </c>
      <c r="BO682">
        <v>32011</v>
      </c>
      <c r="BP682" t="s">
        <v>404</v>
      </c>
      <c r="BQ682">
        <v>100</v>
      </c>
      <c r="BR682" t="s">
        <v>514</v>
      </c>
      <c r="BS682">
        <v>1001</v>
      </c>
      <c r="BT682" t="s">
        <v>515</v>
      </c>
      <c r="BW682">
        <v>76230</v>
      </c>
      <c r="BX682" t="s">
        <v>407</v>
      </c>
      <c r="BY682" t="s">
        <v>408</v>
      </c>
      <c r="BZ682">
        <v>4</v>
      </c>
      <c r="CA682">
        <v>1985</v>
      </c>
      <c r="CB682">
        <v>1</v>
      </c>
      <c r="CC682">
        <v>1</v>
      </c>
      <c r="CD682">
        <v>2017</v>
      </c>
      <c r="CG682">
        <v>87233</v>
      </c>
      <c r="CH682">
        <v>2017</v>
      </c>
      <c r="CI682">
        <v>25000</v>
      </c>
      <c r="CJ682">
        <v>98448</v>
      </c>
      <c r="CK682">
        <v>123448</v>
      </c>
      <c r="CL682">
        <v>2017</v>
      </c>
      <c r="CM682">
        <v>721.06</v>
      </c>
      <c r="CN682" s="1">
        <v>38552</v>
      </c>
      <c r="CO682">
        <v>31200</v>
      </c>
      <c r="CZ682" s="1">
        <v>38552</v>
      </c>
      <c r="DD682" t="s">
        <v>2785</v>
      </c>
      <c r="DF682">
        <v>7</v>
      </c>
      <c r="DG682">
        <v>16</v>
      </c>
      <c r="DI682">
        <v>2</v>
      </c>
      <c r="DJ682" t="s">
        <v>7211</v>
      </c>
      <c r="DL682">
        <v>50502</v>
      </c>
      <c r="DM682" t="s">
        <v>7075</v>
      </c>
      <c r="DO682" t="s">
        <v>7244</v>
      </c>
      <c r="DP682">
        <v>0</v>
      </c>
      <c r="DQ682">
        <v>0</v>
      </c>
      <c r="DR682" t="s">
        <v>411</v>
      </c>
      <c r="DS682" t="b">
        <v>1</v>
      </c>
      <c r="DT682" t="s">
        <v>470</v>
      </c>
      <c r="DU682" t="s">
        <v>471</v>
      </c>
      <c r="DV682" t="s">
        <v>472</v>
      </c>
      <c r="DX682">
        <v>-9999</v>
      </c>
      <c r="DZ682" t="s">
        <v>447</v>
      </c>
      <c r="EA682" t="s">
        <v>448</v>
      </c>
      <c r="EB682" t="s">
        <v>7148</v>
      </c>
      <c r="EC682">
        <v>20101217</v>
      </c>
      <c r="ED682" t="s">
        <v>474</v>
      </c>
      <c r="EF682">
        <v>1017.1</v>
      </c>
      <c r="EG682">
        <v>1017.1</v>
      </c>
      <c r="EI682">
        <v>20160407</v>
      </c>
      <c r="EJ682">
        <v>0</v>
      </c>
      <c r="EK682">
        <v>0</v>
      </c>
      <c r="EP682" t="s">
        <v>421</v>
      </c>
      <c r="EQ682" t="s">
        <v>422</v>
      </c>
      <c r="ER682">
        <v>2</v>
      </c>
      <c r="ES682">
        <v>10</v>
      </c>
      <c r="ET682">
        <v>1581.52</v>
      </c>
      <c r="EU682">
        <v>91.58</v>
      </c>
      <c r="EV682">
        <v>1673.1</v>
      </c>
      <c r="EW682" s="2">
        <v>43222</v>
      </c>
      <c r="EX682" s="1">
        <v>42879</v>
      </c>
      <c r="EY682">
        <v>2016</v>
      </c>
      <c r="EZ682">
        <v>790.76</v>
      </c>
      <c r="FA682" t="s">
        <v>7245</v>
      </c>
      <c r="FB682">
        <v>0.25</v>
      </c>
      <c r="FC682" t="s">
        <v>424</v>
      </c>
      <c r="FD682" t="s">
        <v>454</v>
      </c>
      <c r="FF682">
        <v>12</v>
      </c>
      <c r="FG682">
        <v>2851116</v>
      </c>
      <c r="FH682" t="s">
        <v>480</v>
      </c>
      <c r="FJ682" s="1">
        <v>42879</v>
      </c>
      <c r="FK682">
        <v>2016</v>
      </c>
      <c r="FL682">
        <v>790.76</v>
      </c>
      <c r="FM682" t="s">
        <v>7245</v>
      </c>
      <c r="FN682">
        <v>0.25</v>
      </c>
      <c r="FO682" t="s">
        <v>424</v>
      </c>
      <c r="FP682" t="s">
        <v>454</v>
      </c>
      <c r="FR682">
        <v>12</v>
      </c>
      <c r="FS682">
        <v>5752067</v>
      </c>
      <c r="FT682" t="s">
        <v>7246</v>
      </c>
      <c r="FV682" s="1">
        <v>42515</v>
      </c>
      <c r="FW682">
        <v>2015</v>
      </c>
      <c r="FX682">
        <v>807.95</v>
      </c>
      <c r="FY682" t="s">
        <v>7247</v>
      </c>
      <c r="FZ682">
        <v>0.25</v>
      </c>
      <c r="GA682" t="s">
        <v>424</v>
      </c>
      <c r="GB682" t="s">
        <v>425</v>
      </c>
      <c r="GC682" s="1">
        <v>43154</v>
      </c>
      <c r="GD682">
        <v>21</v>
      </c>
      <c r="GE682">
        <v>7045074</v>
      </c>
      <c r="GF682" t="s">
        <v>580</v>
      </c>
      <c r="GH682" s="1">
        <v>42515</v>
      </c>
      <c r="GI682">
        <v>2015</v>
      </c>
      <c r="GJ682">
        <v>807.95</v>
      </c>
      <c r="GK682" t="s">
        <v>7247</v>
      </c>
      <c r="GL682">
        <v>0.25</v>
      </c>
      <c r="GM682" t="s">
        <v>424</v>
      </c>
      <c r="GN682" t="s">
        <v>425</v>
      </c>
      <c r="GP682">
        <v>22</v>
      </c>
      <c r="GQ682">
        <v>6576599</v>
      </c>
      <c r="GR682" t="s">
        <v>7248</v>
      </c>
      <c r="GT682" s="1">
        <v>42151</v>
      </c>
      <c r="GU682">
        <v>2014</v>
      </c>
      <c r="GV682">
        <v>801.14</v>
      </c>
      <c r="GW682" t="s">
        <v>7249</v>
      </c>
      <c r="GX682">
        <v>0.25</v>
      </c>
      <c r="GY682" t="s">
        <v>424</v>
      </c>
      <c r="GZ682" t="s">
        <v>425</v>
      </c>
      <c r="HA682" s="1">
        <v>42781</v>
      </c>
      <c r="HB682">
        <v>21</v>
      </c>
      <c r="HC682">
        <v>2101382</v>
      </c>
      <c r="HD682" t="s">
        <v>993</v>
      </c>
      <c r="HF682" s="1">
        <v>42151</v>
      </c>
      <c r="HG682">
        <v>2014</v>
      </c>
      <c r="HH682">
        <v>801.14</v>
      </c>
      <c r="HI682" t="s">
        <v>7249</v>
      </c>
      <c r="HJ682">
        <v>0.25</v>
      </c>
      <c r="HK682" t="s">
        <v>424</v>
      </c>
      <c r="HL682" t="s">
        <v>425</v>
      </c>
      <c r="HN682">
        <v>22</v>
      </c>
      <c r="HO682">
        <v>5606667</v>
      </c>
      <c r="HP682" t="s">
        <v>7250</v>
      </c>
      <c r="HR682" s="1">
        <v>41787</v>
      </c>
      <c r="HS682">
        <v>2013</v>
      </c>
      <c r="HT682">
        <v>753.66</v>
      </c>
      <c r="HU682" t="s">
        <v>7251</v>
      </c>
      <c r="HV682">
        <v>0.25</v>
      </c>
      <c r="HW682" t="s">
        <v>424</v>
      </c>
      <c r="HX682" t="s">
        <v>425</v>
      </c>
      <c r="HZ682">
        <v>22</v>
      </c>
      <c r="IA682">
        <v>15259</v>
      </c>
      <c r="IB682" t="s">
        <v>891</v>
      </c>
      <c r="ID682" s="1">
        <v>41787</v>
      </c>
      <c r="IE682">
        <v>2013</v>
      </c>
      <c r="IF682">
        <v>753.66</v>
      </c>
      <c r="IG682" t="s">
        <v>7251</v>
      </c>
      <c r="IH682">
        <v>0.25</v>
      </c>
      <c r="II682" t="s">
        <v>424</v>
      </c>
      <c r="IJ682" t="s">
        <v>425</v>
      </c>
      <c r="IK682" s="1">
        <v>42444</v>
      </c>
      <c r="IL682">
        <v>22</v>
      </c>
      <c r="IM682">
        <v>7045049</v>
      </c>
      <c r="IN682" t="s">
        <v>1335</v>
      </c>
      <c r="IP682" s="1">
        <v>41423</v>
      </c>
      <c r="IQ682">
        <v>2012</v>
      </c>
      <c r="IR682">
        <v>696.71</v>
      </c>
      <c r="IS682" t="s">
        <v>7252</v>
      </c>
      <c r="IT682">
        <v>0.25</v>
      </c>
      <c r="IU682" t="s">
        <v>424</v>
      </c>
      <c r="IV682" t="s">
        <v>425</v>
      </c>
      <c r="IW682" s="1">
        <v>42075</v>
      </c>
      <c r="IX682">
        <v>22</v>
      </c>
      <c r="IY682">
        <v>15398</v>
      </c>
      <c r="IZ682" t="s">
        <v>1180</v>
      </c>
      <c r="JB682" s="1">
        <v>41052</v>
      </c>
      <c r="JC682">
        <v>2011</v>
      </c>
      <c r="JD682">
        <v>665.88</v>
      </c>
      <c r="JE682" t="s">
        <v>7253</v>
      </c>
      <c r="JF682">
        <v>0.25</v>
      </c>
      <c r="JG682" t="s">
        <v>424</v>
      </c>
      <c r="JH682" t="s">
        <v>425</v>
      </c>
      <c r="JI682" s="1">
        <v>41690</v>
      </c>
      <c r="JJ682">
        <v>21</v>
      </c>
      <c r="JK682">
        <v>13104</v>
      </c>
      <c r="JL682" t="s">
        <v>888</v>
      </c>
      <c r="JN682" s="1">
        <v>41052</v>
      </c>
      <c r="JO682">
        <v>2011</v>
      </c>
      <c r="JP682">
        <v>665.88</v>
      </c>
      <c r="JQ682" t="s">
        <v>7253</v>
      </c>
      <c r="JR682">
        <v>0.25</v>
      </c>
      <c r="JS682" t="s">
        <v>424</v>
      </c>
      <c r="JT682" t="s">
        <v>425</v>
      </c>
      <c r="JV682">
        <v>22</v>
      </c>
      <c r="JW682">
        <v>13713</v>
      </c>
      <c r="JX682" t="s">
        <v>7254</v>
      </c>
      <c r="JZ682" s="1">
        <v>40688</v>
      </c>
      <c r="KA682">
        <v>2010</v>
      </c>
      <c r="KB682">
        <v>648.39</v>
      </c>
      <c r="KC682" t="s">
        <v>7255</v>
      </c>
      <c r="KD682">
        <v>0.25</v>
      </c>
      <c r="KE682" t="s">
        <v>424</v>
      </c>
      <c r="KF682" t="s">
        <v>425</v>
      </c>
      <c r="KG682" s="1">
        <v>41374</v>
      </c>
      <c r="KH682">
        <v>23</v>
      </c>
      <c r="KI682">
        <v>11141</v>
      </c>
      <c r="KJ682" t="s">
        <v>1723</v>
      </c>
    </row>
    <row r="683" spans="1:308" x14ac:dyDescent="0.25">
      <c r="A683">
        <v>16485690</v>
      </c>
      <c r="B683">
        <v>682</v>
      </c>
      <c r="C683" t="s">
        <v>393</v>
      </c>
      <c r="D683" t="s">
        <v>394</v>
      </c>
      <c r="F683" t="str">
        <f>"16-1N-25-2912-0006-0130"</f>
        <v>16-1N-25-2912-0006-0130</v>
      </c>
      <c r="H683" t="str">
        <f>"SIKES JACQUELINE"</f>
        <v>SIKES JACQUELINE</v>
      </c>
      <c r="I683" t="str">
        <f>"43111 HILLTOP LANE"</f>
        <v>43111 HILLTOP LANE</v>
      </c>
      <c r="J683" t="str">
        <f t="shared" si="208"/>
        <v>CALLAHAN FL 32011</v>
      </c>
      <c r="K683" t="str">
        <f>"44013 WOODLAND CIR"</f>
        <v>44013 WOODLAND CIR</v>
      </c>
      <c r="L683" t="str">
        <f t="shared" si="202"/>
        <v>CALLAHAN FL 32011</v>
      </c>
      <c r="M683" t="str">
        <f>"BLOCK 6 LOT 13 IN OR 1081/314 WOODLAND ESTATES UNIT 2 PB 4/46 46A &amp; 46B"</f>
        <v>BLOCK 6 LOT 13 IN OR 1081/314 WOODLAND ESTATES UNIT 2 PB 4/46 46A &amp; 46B</v>
      </c>
      <c r="N683" t="str">
        <f>""</f>
        <v/>
      </c>
      <c r="O683" t="str">
        <f>"31284"</f>
        <v>31284</v>
      </c>
      <c r="P683" t="str">
        <f t="shared" si="194"/>
        <v>2017</v>
      </c>
      <c r="Q683" t="str">
        <f>""</f>
        <v/>
      </c>
      <c r="R683" t="str">
        <f>"N"</f>
        <v>N</v>
      </c>
      <c r="S683" t="str">
        <f>""</f>
        <v/>
      </c>
      <c r="T683" t="str">
        <f>"479.03"</f>
        <v>479.03</v>
      </c>
      <c r="U683" t="str">
        <f>"31643.00"</f>
        <v>31643.00</v>
      </c>
      <c r="V683" t="str">
        <f>"31643.00"</f>
        <v>31643.00</v>
      </c>
      <c r="W683" t="str">
        <f t="shared" si="195"/>
        <v>2017</v>
      </c>
      <c r="X683" t="str">
        <f>"20.78"</f>
        <v>20.78</v>
      </c>
      <c r="Y683" t="str">
        <f>"525.40"</f>
        <v>525.40</v>
      </c>
      <c r="Z683" t="str">
        <f>""</f>
        <v/>
      </c>
      <c r="AA683" t="str">
        <f>"31643.00"</f>
        <v>31643.00</v>
      </c>
      <c r="AB683" t="str">
        <f t="shared" si="207"/>
        <v>Residential</v>
      </c>
      <c r="AC683" t="str">
        <f t="shared" si="204"/>
        <v>0</v>
      </c>
      <c r="AD683" t="str">
        <f t="shared" si="209"/>
        <v>4</v>
      </c>
      <c r="AE683" t="str">
        <f t="shared" si="210"/>
        <v>WOOD (INCLUDE STEEL STUDS)</v>
      </c>
      <c r="AF683" t="str">
        <f>"002"</f>
        <v>002</v>
      </c>
      <c r="AG683" t="str">
        <f t="shared" si="197"/>
        <v>FL</v>
      </c>
      <c r="AH683" t="str">
        <f>"-"</f>
        <v>-</v>
      </c>
      <c r="AI683" t="str">
        <f>"25000.00"</f>
        <v>25000.00</v>
      </c>
      <c r="AJ683" t="str">
        <f>"C55-000-587-1036-9"</f>
        <v>C55-000-587-1036-9</v>
      </c>
      <c r="AK683" t="str">
        <f>"10966"</f>
        <v>10966</v>
      </c>
      <c r="AL683">
        <v>3</v>
      </c>
      <c r="AM683">
        <v>782</v>
      </c>
      <c r="AN683">
        <v>550.07000000000005</v>
      </c>
      <c r="AQ683" t="s">
        <v>7256</v>
      </c>
      <c r="AR683" t="s">
        <v>7256</v>
      </c>
      <c r="AS683" t="s">
        <v>7256</v>
      </c>
      <c r="AU683" t="s">
        <v>396</v>
      </c>
      <c r="AV683">
        <v>2017</v>
      </c>
      <c r="AW683" t="str">
        <f>"16-1N-25-2912-0006-0130 "</f>
        <v xml:space="preserve">16-1N-25-2912-0006-0130 </v>
      </c>
      <c r="AX683">
        <v>44013</v>
      </c>
      <c r="AZ683" t="s">
        <v>7217</v>
      </c>
      <c r="BA683" t="s">
        <v>1799</v>
      </c>
      <c r="BD683" t="s">
        <v>2785</v>
      </c>
      <c r="BE683" t="s">
        <v>393</v>
      </c>
      <c r="BF683">
        <v>32011</v>
      </c>
      <c r="BG683" t="s">
        <v>7257</v>
      </c>
      <c r="BH683" t="s">
        <v>2787</v>
      </c>
      <c r="BI683">
        <v>-81.815320204268303</v>
      </c>
      <c r="BJ683">
        <v>30.5013398206939</v>
      </c>
      <c r="BK683" t="s">
        <v>7258</v>
      </c>
      <c r="BM683" t="s">
        <v>7259</v>
      </c>
      <c r="BN683" t="s">
        <v>928</v>
      </c>
      <c r="BO683">
        <v>32011</v>
      </c>
      <c r="BP683" t="s">
        <v>404</v>
      </c>
      <c r="BQ683">
        <v>200</v>
      </c>
      <c r="BR683" t="s">
        <v>405</v>
      </c>
      <c r="BS683">
        <v>1006</v>
      </c>
      <c r="BT683" t="s">
        <v>406</v>
      </c>
      <c r="BW683">
        <v>69696</v>
      </c>
      <c r="BX683" t="s">
        <v>407</v>
      </c>
      <c r="BY683" t="s">
        <v>408</v>
      </c>
      <c r="BZ683">
        <v>4</v>
      </c>
      <c r="CA683">
        <v>1983</v>
      </c>
      <c r="CC683">
        <v>1</v>
      </c>
      <c r="CD683">
        <v>2017</v>
      </c>
      <c r="CE683">
        <v>25000</v>
      </c>
      <c r="CF683">
        <v>6643</v>
      </c>
      <c r="CG683">
        <v>31643</v>
      </c>
      <c r="CH683">
        <v>2017</v>
      </c>
      <c r="CI683">
        <v>25000</v>
      </c>
      <c r="CJ683">
        <v>6643</v>
      </c>
      <c r="CK683">
        <v>31643</v>
      </c>
      <c r="CL683">
        <v>2017</v>
      </c>
      <c r="CM683">
        <v>479.03</v>
      </c>
      <c r="CN683" s="1">
        <v>37516</v>
      </c>
      <c r="CZ683" s="1">
        <v>37516</v>
      </c>
      <c r="DD683" t="s">
        <v>2785</v>
      </c>
      <c r="DF683">
        <v>13</v>
      </c>
      <c r="DG683">
        <v>16</v>
      </c>
      <c r="DI683">
        <v>2</v>
      </c>
      <c r="DJ683" t="s">
        <v>7211</v>
      </c>
      <c r="DL683">
        <v>50502</v>
      </c>
      <c r="DM683" t="s">
        <v>7075</v>
      </c>
      <c r="DO683" t="s">
        <v>7260</v>
      </c>
      <c r="DP683">
        <v>0</v>
      </c>
      <c r="DQ683">
        <v>0</v>
      </c>
      <c r="DR683" t="s">
        <v>411</v>
      </c>
      <c r="DS683" t="b">
        <v>1</v>
      </c>
      <c r="DT683" t="s">
        <v>470</v>
      </c>
      <c r="DU683" t="s">
        <v>471</v>
      </c>
      <c r="DV683" t="s">
        <v>472</v>
      </c>
      <c r="DX683">
        <v>-9999</v>
      </c>
      <c r="DZ683" t="s">
        <v>447</v>
      </c>
      <c r="EA683" t="s">
        <v>448</v>
      </c>
      <c r="EB683" t="s">
        <v>7148</v>
      </c>
      <c r="EC683">
        <v>20101217</v>
      </c>
      <c r="ED683" t="s">
        <v>474</v>
      </c>
      <c r="EF683">
        <v>767.1</v>
      </c>
      <c r="EG683">
        <v>767.1</v>
      </c>
      <c r="EI683">
        <v>20160407</v>
      </c>
      <c r="EJ683">
        <v>0</v>
      </c>
      <c r="EK683">
        <v>0</v>
      </c>
      <c r="EP683" t="s">
        <v>421</v>
      </c>
      <c r="EQ683" t="s">
        <v>422</v>
      </c>
      <c r="ER683">
        <v>0</v>
      </c>
      <c r="ES683">
        <v>7</v>
      </c>
      <c r="ET683">
        <v>0</v>
      </c>
      <c r="EU683">
        <v>0</v>
      </c>
      <c r="EV683">
        <v>0</v>
      </c>
      <c r="EW683" s="2">
        <v>43222</v>
      </c>
      <c r="EX683" s="1">
        <v>42879</v>
      </c>
      <c r="EY683">
        <v>2016</v>
      </c>
      <c r="EZ683">
        <v>552.89</v>
      </c>
      <c r="FA683" t="s">
        <v>7261</v>
      </c>
      <c r="FB683">
        <v>0.25</v>
      </c>
      <c r="FC683" t="s">
        <v>424</v>
      </c>
      <c r="FD683" t="s">
        <v>425</v>
      </c>
      <c r="FE683" s="1">
        <v>43020</v>
      </c>
      <c r="FF683">
        <v>5</v>
      </c>
      <c r="FG683">
        <v>2851116</v>
      </c>
      <c r="FH683" t="s">
        <v>480</v>
      </c>
      <c r="FJ683" s="1">
        <v>42879</v>
      </c>
      <c r="FK683">
        <v>2016</v>
      </c>
      <c r="FL683">
        <v>552.89</v>
      </c>
      <c r="FM683" t="s">
        <v>7261</v>
      </c>
      <c r="FN683">
        <v>0.25</v>
      </c>
      <c r="FO683" t="s">
        <v>424</v>
      </c>
      <c r="FP683" t="s">
        <v>425</v>
      </c>
      <c r="FR683">
        <v>22</v>
      </c>
      <c r="FS683">
        <v>5344741</v>
      </c>
      <c r="FT683" t="s">
        <v>7262</v>
      </c>
      <c r="FV683" s="1">
        <v>42515</v>
      </c>
      <c r="FW683">
        <v>2015</v>
      </c>
      <c r="FX683">
        <v>561.47</v>
      </c>
      <c r="FY683" t="s">
        <v>7263</v>
      </c>
      <c r="FZ683">
        <v>18</v>
      </c>
      <c r="GA683" t="s">
        <v>424</v>
      </c>
      <c r="GB683" t="s">
        <v>425</v>
      </c>
      <c r="GC683" s="1">
        <v>43020</v>
      </c>
      <c r="GD683">
        <v>17</v>
      </c>
      <c r="GE683">
        <v>10628</v>
      </c>
      <c r="GF683" t="s">
        <v>943</v>
      </c>
      <c r="GH683" s="1">
        <v>42151</v>
      </c>
      <c r="GI683">
        <v>2014</v>
      </c>
      <c r="GJ683">
        <v>543.76</v>
      </c>
      <c r="GK683" t="s">
        <v>7264</v>
      </c>
      <c r="GL683">
        <v>0.25</v>
      </c>
      <c r="GM683" t="s">
        <v>424</v>
      </c>
      <c r="GN683" t="s">
        <v>425</v>
      </c>
      <c r="GO683" s="1">
        <v>42592</v>
      </c>
      <c r="GP683">
        <v>15</v>
      </c>
      <c r="GQ683">
        <v>4975593</v>
      </c>
      <c r="GR683" t="s">
        <v>505</v>
      </c>
      <c r="GT683" s="1">
        <v>41787</v>
      </c>
      <c r="GU683">
        <v>2013</v>
      </c>
      <c r="GV683">
        <v>498.81</v>
      </c>
      <c r="GW683" t="s">
        <v>7265</v>
      </c>
      <c r="GX683">
        <v>2.25</v>
      </c>
      <c r="GY683" t="s">
        <v>424</v>
      </c>
      <c r="GZ683" t="s">
        <v>425</v>
      </c>
      <c r="HA683" s="1">
        <v>42592</v>
      </c>
      <c r="HB683">
        <v>27</v>
      </c>
      <c r="HC683">
        <v>15399</v>
      </c>
      <c r="HD683" t="s">
        <v>485</v>
      </c>
      <c r="HF683" s="1">
        <v>41423</v>
      </c>
      <c r="HG683">
        <v>2012</v>
      </c>
      <c r="HH683">
        <v>427.77</v>
      </c>
      <c r="HI683" t="s">
        <v>7266</v>
      </c>
      <c r="HJ683">
        <v>3.75</v>
      </c>
      <c r="HK683" t="s">
        <v>424</v>
      </c>
      <c r="HL683" t="s">
        <v>425</v>
      </c>
      <c r="HM683" s="1">
        <v>42089</v>
      </c>
      <c r="HN683">
        <v>22</v>
      </c>
      <c r="HO683">
        <v>1625515</v>
      </c>
      <c r="HP683" t="s">
        <v>487</v>
      </c>
      <c r="HR683" s="1">
        <v>41052</v>
      </c>
      <c r="HS683">
        <v>2011</v>
      </c>
      <c r="HT683">
        <v>683.97</v>
      </c>
      <c r="HU683" t="s">
        <v>7267</v>
      </c>
      <c r="HV683">
        <v>6</v>
      </c>
      <c r="HW683" t="s">
        <v>424</v>
      </c>
      <c r="HX683" t="s">
        <v>425</v>
      </c>
      <c r="HY683" s="1">
        <v>41718</v>
      </c>
      <c r="HZ683">
        <v>22</v>
      </c>
      <c r="IA683">
        <v>10125</v>
      </c>
      <c r="IB683" t="s">
        <v>440</v>
      </c>
    </row>
    <row r="684" spans="1:308" x14ac:dyDescent="0.25">
      <c r="A684">
        <v>16485691</v>
      </c>
      <c r="B684">
        <v>683</v>
      </c>
      <c r="C684" t="s">
        <v>393</v>
      </c>
      <c r="D684" t="s">
        <v>394</v>
      </c>
      <c r="F684" t="str">
        <f>"16-1N-25-2912-0007-0040"</f>
        <v>16-1N-25-2912-0007-0040</v>
      </c>
      <c r="H684" t="str">
        <f>"BOWEN STEVEN &amp; TIFFANY"</f>
        <v>BOWEN STEVEN &amp; TIFFANY</v>
      </c>
      <c r="I684" t="str">
        <f>"44099 OAKWOOD LN"</f>
        <v>44099 OAKWOOD LN</v>
      </c>
      <c r="J684" t="str">
        <f t="shared" si="208"/>
        <v>CALLAHAN FL 32011</v>
      </c>
      <c r="K684" t="str">
        <f>"44099 OAKWOOD LN"</f>
        <v>44099 OAKWOOD LN</v>
      </c>
      <c r="L684" t="str">
        <f t="shared" si="202"/>
        <v>CALLAHAN FL 32011</v>
      </c>
      <c r="M684" t="str">
        <f>"BLOCK 7 LOT 4 IN OR 2013/104 R672717 &amp; R672718 WOODLAND ESTATES UNIT 2 PB 4/46 46A &amp; 46B"</f>
        <v>BLOCK 7 LOT 4 IN OR 2013/104 R672717 &amp; R672718 WOODLAND ESTATES UNIT 2 PB 4/46 46A &amp; 46B</v>
      </c>
      <c r="N684" t="str">
        <f>""</f>
        <v/>
      </c>
      <c r="O684" t="str">
        <f>"31288"</f>
        <v>31288</v>
      </c>
      <c r="P684" t="str">
        <f t="shared" si="194"/>
        <v>2017</v>
      </c>
      <c r="Q684" t="str">
        <f>""</f>
        <v/>
      </c>
      <c r="R684" t="str">
        <f>"Y"</f>
        <v>Y</v>
      </c>
      <c r="S684" t="str">
        <f>""</f>
        <v/>
      </c>
      <c r="T684" t="str">
        <f>"372.60"</f>
        <v>372.60</v>
      </c>
      <c r="U684" t="str">
        <f>"49612.00"</f>
        <v>49612.00</v>
      </c>
      <c r="V684" t="str">
        <f>"49612.00"</f>
        <v>49612.00</v>
      </c>
      <c r="W684" t="str">
        <f t="shared" si="195"/>
        <v>2017</v>
      </c>
      <c r="X684" t="str">
        <f>"9.33"</f>
        <v>9.33</v>
      </c>
      <c r="Y684" t="str">
        <f>"322.52"</f>
        <v>322.52</v>
      </c>
      <c r="Z684" t="str">
        <f>"25000.00"</f>
        <v>25000.00</v>
      </c>
      <c r="AA684" t="str">
        <f>"24612.00"</f>
        <v>24612.00</v>
      </c>
      <c r="AB684" t="str">
        <f t="shared" si="207"/>
        <v>Residential</v>
      </c>
      <c r="AC684" t="str">
        <f t="shared" si="204"/>
        <v>0</v>
      </c>
      <c r="AD684" t="str">
        <f t="shared" si="209"/>
        <v>4</v>
      </c>
      <c r="AE684" t="str">
        <f t="shared" si="210"/>
        <v>WOOD (INCLUDE STEEL STUDS)</v>
      </c>
      <c r="AF684" t="str">
        <f>"002"</f>
        <v>002</v>
      </c>
      <c r="AG684" t="str">
        <f t="shared" si="197"/>
        <v>FL</v>
      </c>
      <c r="AH684" t="str">
        <f>"-"</f>
        <v>-</v>
      </c>
      <c r="AI684" t="str">
        <f>"25000.00"</f>
        <v>25000.00</v>
      </c>
      <c r="AJ684" t="str">
        <f>"C55-000-587-1040-1"</f>
        <v>C55-000-587-1040-1</v>
      </c>
      <c r="AK684" t="str">
        <f>"10970"</f>
        <v>10970</v>
      </c>
      <c r="AL684">
        <v>3</v>
      </c>
      <c r="AM684">
        <v>783</v>
      </c>
      <c r="AN684">
        <v>337.05</v>
      </c>
      <c r="AQ684" t="s">
        <v>7268</v>
      </c>
      <c r="AR684" t="s">
        <v>7268</v>
      </c>
      <c r="AS684" t="s">
        <v>7268</v>
      </c>
      <c r="AU684" t="s">
        <v>396</v>
      </c>
      <c r="AV684">
        <v>2017</v>
      </c>
      <c r="AW684" t="str">
        <f>"16-1N-25-2912-0007-0040 "</f>
        <v xml:space="preserve">16-1N-25-2912-0007-0040 </v>
      </c>
      <c r="AX684">
        <v>44099</v>
      </c>
      <c r="AZ684" t="s">
        <v>7269</v>
      </c>
      <c r="BA684" t="s">
        <v>653</v>
      </c>
      <c r="BD684" t="s">
        <v>2785</v>
      </c>
      <c r="BE684" t="s">
        <v>393</v>
      </c>
      <c r="BF684">
        <v>32011</v>
      </c>
      <c r="BG684" t="s">
        <v>7270</v>
      </c>
      <c r="BH684" t="s">
        <v>2787</v>
      </c>
      <c r="BI684">
        <v>-81.817085078958897</v>
      </c>
      <c r="BJ684">
        <v>30.504192806318098</v>
      </c>
      <c r="BK684" t="s">
        <v>7271</v>
      </c>
      <c r="BL684" t="s">
        <v>7272</v>
      </c>
      <c r="BM684" t="s">
        <v>7270</v>
      </c>
      <c r="BN684" t="s">
        <v>928</v>
      </c>
      <c r="BO684">
        <v>32011</v>
      </c>
      <c r="BP684" t="s">
        <v>416</v>
      </c>
      <c r="BQ684">
        <v>200</v>
      </c>
      <c r="BR684" t="s">
        <v>405</v>
      </c>
      <c r="BS684">
        <v>1006</v>
      </c>
      <c r="BT684" t="s">
        <v>406</v>
      </c>
      <c r="BW684">
        <v>66646</v>
      </c>
      <c r="BX684" t="s">
        <v>407</v>
      </c>
      <c r="BY684" t="s">
        <v>408</v>
      </c>
      <c r="BZ684">
        <v>4</v>
      </c>
      <c r="CA684">
        <v>1996</v>
      </c>
      <c r="CB684">
        <v>1</v>
      </c>
      <c r="CC684">
        <v>1</v>
      </c>
      <c r="CD684">
        <v>2017</v>
      </c>
      <c r="CG684">
        <v>49612</v>
      </c>
      <c r="CH684">
        <v>2017</v>
      </c>
      <c r="CI684">
        <v>25000</v>
      </c>
      <c r="CJ684">
        <v>32920</v>
      </c>
      <c r="CK684">
        <v>57920</v>
      </c>
      <c r="CL684">
        <v>2017</v>
      </c>
      <c r="CM684">
        <v>372.6</v>
      </c>
      <c r="CN684" s="1">
        <v>42314</v>
      </c>
      <c r="CO684">
        <v>65000</v>
      </c>
      <c r="CV684">
        <v>65000</v>
      </c>
      <c r="CX684" t="s">
        <v>707</v>
      </c>
      <c r="CZ684" s="1">
        <v>42314</v>
      </c>
      <c r="DA684">
        <v>0</v>
      </c>
      <c r="DD684" t="s">
        <v>2785</v>
      </c>
      <c r="DF684">
        <v>4</v>
      </c>
      <c r="DG684">
        <v>16</v>
      </c>
      <c r="DL684">
        <v>50502</v>
      </c>
      <c r="DM684" t="s">
        <v>7075</v>
      </c>
      <c r="DO684" t="s">
        <v>7273</v>
      </c>
      <c r="DP684">
        <v>0</v>
      </c>
      <c r="DQ684">
        <v>0</v>
      </c>
      <c r="DR684" t="s">
        <v>411</v>
      </c>
      <c r="EP684" t="s">
        <v>421</v>
      </c>
      <c r="EQ684" t="s">
        <v>422</v>
      </c>
      <c r="ER684">
        <v>0</v>
      </c>
      <c r="ES684">
        <v>2</v>
      </c>
      <c r="ET684">
        <v>0</v>
      </c>
      <c r="EU684">
        <v>0</v>
      </c>
      <c r="EV684">
        <v>0</v>
      </c>
      <c r="EW684" s="2">
        <v>43222</v>
      </c>
      <c r="EX684" s="1">
        <v>42879</v>
      </c>
      <c r="EY684">
        <v>2016</v>
      </c>
      <c r="EZ684">
        <v>418.67</v>
      </c>
      <c r="FA684" t="s">
        <v>7274</v>
      </c>
      <c r="FB684">
        <v>0.25</v>
      </c>
      <c r="FC684" t="s">
        <v>424</v>
      </c>
      <c r="FD684" t="s">
        <v>425</v>
      </c>
      <c r="FE684" s="1">
        <v>42977</v>
      </c>
      <c r="FF684">
        <v>3</v>
      </c>
      <c r="FG684">
        <v>2851116</v>
      </c>
      <c r="FH684" t="s">
        <v>480</v>
      </c>
      <c r="FJ684" s="1">
        <v>42879</v>
      </c>
      <c r="FK684">
        <v>2016</v>
      </c>
      <c r="FL684">
        <v>418.67</v>
      </c>
      <c r="FM684" t="s">
        <v>7274</v>
      </c>
      <c r="FN684">
        <v>0.25</v>
      </c>
      <c r="FO684" t="s">
        <v>424</v>
      </c>
      <c r="FP684" t="s">
        <v>425</v>
      </c>
      <c r="FR684">
        <v>22</v>
      </c>
      <c r="FS684">
        <v>5282640</v>
      </c>
      <c r="FT684" t="s">
        <v>7275</v>
      </c>
    </row>
    <row r="685" spans="1:308" x14ac:dyDescent="0.25">
      <c r="A685">
        <v>16485692</v>
      </c>
      <c r="B685">
        <v>684</v>
      </c>
      <c r="C685" t="s">
        <v>393</v>
      </c>
      <c r="D685" t="s">
        <v>394</v>
      </c>
      <c r="F685" t="str">
        <f>"16-1N-25-2912-0008-0120"</f>
        <v>16-1N-25-2912-0008-0120</v>
      </c>
      <c r="H685" t="str">
        <f>"KOSTENSKI SUZANNE D"</f>
        <v>KOSTENSKI SUZANNE D</v>
      </c>
      <c r="I685" t="str">
        <f>"320 N 1ST STREET STE 702"</f>
        <v>320 N 1ST STREET STE 702</v>
      </c>
      <c r="J685" t="str">
        <f>"JACKSONVILLE BEACH FL 32250"</f>
        <v>JACKSONVILLE BEACH FL 32250</v>
      </c>
      <c r="K685" t="str">
        <f>"43247 PINEWOOD CT"</f>
        <v>43247 PINEWOOD CT</v>
      </c>
      <c r="L685" t="str">
        <f t="shared" si="202"/>
        <v>CALLAHAN FL 32011</v>
      </c>
      <c r="M685" t="str">
        <f>"BLOCK 8 LOTS 12 &amp; 13 IN OR 717/285 R/W OR 1054/1072 ESMT OR 1065/1512 WOODLAND ESTATES UNIT 2 PB 4/46 46A &amp; 46B"</f>
        <v>BLOCK 8 LOTS 12 &amp; 13 IN OR 717/285 R/W OR 1054/1072 ESMT OR 1065/1512 WOODLAND ESTATES UNIT 2 PB 4/46 46A &amp; 46B</v>
      </c>
      <c r="N685" t="str">
        <f>""</f>
        <v/>
      </c>
      <c r="O685" t="str">
        <f>"31321"</f>
        <v>31321</v>
      </c>
      <c r="P685" t="str">
        <f t="shared" si="194"/>
        <v>2017</v>
      </c>
      <c r="Q685" t="str">
        <f>""</f>
        <v/>
      </c>
      <c r="R685" t="str">
        <f>"N"</f>
        <v>N</v>
      </c>
      <c r="S685" t="str">
        <f>"38.08"</f>
        <v>38.08</v>
      </c>
      <c r="T685" t="str">
        <f>"2850.37"</f>
        <v>2850.37</v>
      </c>
      <c r="U685" t="str">
        <f>"186035.00"</f>
        <v>186035.00</v>
      </c>
      <c r="V685" t="str">
        <f>"186035.00"</f>
        <v>186035.00</v>
      </c>
      <c r="W685" t="str">
        <f t="shared" si="195"/>
        <v>2017</v>
      </c>
      <c r="X685" t="str">
        <f>"14.86"</f>
        <v>14.86</v>
      </c>
      <c r="Y685" t="str">
        <f>"2967.88"</f>
        <v>2967.88</v>
      </c>
      <c r="Z685" t="str">
        <f>""</f>
        <v/>
      </c>
      <c r="AA685" t="str">
        <f>"191191.00"</f>
        <v>191191.00</v>
      </c>
      <c r="AB685" t="str">
        <f t="shared" si="207"/>
        <v>Residential</v>
      </c>
      <c r="AC685" t="str">
        <f t="shared" si="204"/>
        <v>0</v>
      </c>
      <c r="AD685" t="str">
        <f t="shared" si="209"/>
        <v>4</v>
      </c>
      <c r="AE685" t="str">
        <f t="shared" si="210"/>
        <v>WOOD (INCLUDE STEEL STUDS)</v>
      </c>
      <c r="AF685" t="str">
        <f>"002"</f>
        <v>002</v>
      </c>
      <c r="AG685" t="str">
        <f t="shared" si="197"/>
        <v>FL</v>
      </c>
      <c r="AH685" t="str">
        <f>"1658764.00"</f>
        <v>1658764.00</v>
      </c>
      <c r="AI685" t="str">
        <f>"106624.00"</f>
        <v>106624.00</v>
      </c>
      <c r="AJ685" t="str">
        <f>"C55-000-587-1073-2"</f>
        <v>C55-000-587-1073-2</v>
      </c>
      <c r="AK685" t="str">
        <f>"11002"</f>
        <v>11002</v>
      </c>
      <c r="AL685">
        <v>3</v>
      </c>
      <c r="AM685">
        <v>784</v>
      </c>
      <c r="AN685">
        <v>3114.67</v>
      </c>
      <c r="AQ685" t="s">
        <v>7276</v>
      </c>
      <c r="AR685" t="s">
        <v>7276</v>
      </c>
      <c r="AS685" t="s">
        <v>7276</v>
      </c>
      <c r="AU685" t="s">
        <v>396</v>
      </c>
      <c r="AV685">
        <v>2017</v>
      </c>
      <c r="AW685" t="str">
        <f>"16-1N-25-2912-0008-0120 "</f>
        <v xml:space="preserve">16-1N-25-2912-0008-0120 </v>
      </c>
      <c r="AX685">
        <v>43247</v>
      </c>
      <c r="AZ685" t="s">
        <v>7118</v>
      </c>
      <c r="BA685" t="s">
        <v>3181</v>
      </c>
      <c r="BD685" t="s">
        <v>2785</v>
      </c>
      <c r="BE685" t="s">
        <v>393</v>
      </c>
      <c r="BF685">
        <v>32011</v>
      </c>
      <c r="BG685" t="s">
        <v>7277</v>
      </c>
      <c r="BH685" t="s">
        <v>2787</v>
      </c>
      <c r="BI685">
        <v>-81.826342611569103</v>
      </c>
      <c r="BJ685">
        <v>30.494076856628201</v>
      </c>
      <c r="BK685" t="s">
        <v>7278</v>
      </c>
      <c r="BM685" t="s">
        <v>7279</v>
      </c>
      <c r="BN685" t="s">
        <v>3912</v>
      </c>
      <c r="BO685">
        <v>32250</v>
      </c>
      <c r="BP685" t="s">
        <v>404</v>
      </c>
      <c r="BQ685">
        <v>200</v>
      </c>
      <c r="BR685" t="s">
        <v>405</v>
      </c>
      <c r="BS685">
        <v>1006</v>
      </c>
      <c r="BT685" t="s">
        <v>406</v>
      </c>
      <c r="BW685">
        <v>1658764</v>
      </c>
      <c r="BX685" t="s">
        <v>407</v>
      </c>
      <c r="BY685" t="s">
        <v>408</v>
      </c>
      <c r="BZ685">
        <v>4</v>
      </c>
      <c r="CA685">
        <v>2003</v>
      </c>
      <c r="CC685">
        <v>2</v>
      </c>
      <c r="CD685">
        <v>2017</v>
      </c>
      <c r="CE685">
        <v>106624</v>
      </c>
      <c r="CF685">
        <v>84567</v>
      </c>
      <c r="CG685">
        <v>191191</v>
      </c>
      <c r="CH685">
        <v>2017</v>
      </c>
      <c r="CI685">
        <v>106624</v>
      </c>
      <c r="CJ685">
        <v>84567</v>
      </c>
      <c r="CK685">
        <v>191191</v>
      </c>
      <c r="CL685">
        <v>2017</v>
      </c>
      <c r="CM685">
        <v>2850.37</v>
      </c>
      <c r="CN685" s="1">
        <v>34638</v>
      </c>
      <c r="CO685">
        <v>60000</v>
      </c>
      <c r="CZ685" s="1">
        <v>34638</v>
      </c>
      <c r="DD685" t="s">
        <v>2785</v>
      </c>
      <c r="DG685">
        <v>16</v>
      </c>
      <c r="DL685">
        <v>50502</v>
      </c>
      <c r="DM685" t="s">
        <v>7075</v>
      </c>
      <c r="DO685" t="s">
        <v>7280</v>
      </c>
      <c r="DP685">
        <v>0</v>
      </c>
      <c r="DQ685">
        <v>0</v>
      </c>
      <c r="DR685" t="s">
        <v>411</v>
      </c>
      <c r="DS685" t="b">
        <v>1</v>
      </c>
      <c r="DT685" t="s">
        <v>470</v>
      </c>
      <c r="DU685" t="s">
        <v>471</v>
      </c>
      <c r="DV685" t="s">
        <v>472</v>
      </c>
      <c r="DX685">
        <v>-9999</v>
      </c>
      <c r="DZ685" t="s">
        <v>447</v>
      </c>
      <c r="EA685" t="s">
        <v>448</v>
      </c>
      <c r="EB685" t="s">
        <v>7281</v>
      </c>
      <c r="EC685">
        <v>20101217</v>
      </c>
      <c r="ED685" t="s">
        <v>474</v>
      </c>
      <c r="EF685">
        <v>23</v>
      </c>
      <c r="EG685">
        <v>23</v>
      </c>
      <c r="EI685">
        <v>20160407</v>
      </c>
      <c r="EJ685">
        <v>0</v>
      </c>
      <c r="EK685">
        <v>0</v>
      </c>
      <c r="EP685" t="s">
        <v>421</v>
      </c>
      <c r="EQ685" t="s">
        <v>422</v>
      </c>
      <c r="ER685">
        <v>2</v>
      </c>
      <c r="ES685">
        <v>8</v>
      </c>
      <c r="ET685">
        <v>5669.56</v>
      </c>
      <c r="EU685">
        <v>295.98</v>
      </c>
      <c r="EV685">
        <v>5965.54</v>
      </c>
      <c r="EW685" s="2">
        <v>43222</v>
      </c>
      <c r="EX685" s="1">
        <v>42879</v>
      </c>
      <c r="EY685">
        <v>2016</v>
      </c>
      <c r="EZ685">
        <v>2834.78</v>
      </c>
      <c r="FA685" t="s">
        <v>7282</v>
      </c>
      <c r="FB685">
        <v>0.25</v>
      </c>
      <c r="FC685" t="s">
        <v>424</v>
      </c>
      <c r="FD685" t="s">
        <v>454</v>
      </c>
      <c r="FF685">
        <v>12</v>
      </c>
      <c r="FG685">
        <v>2851116</v>
      </c>
      <c r="FH685" t="s">
        <v>480</v>
      </c>
      <c r="FJ685" s="1">
        <v>42879</v>
      </c>
      <c r="FK685">
        <v>2016</v>
      </c>
      <c r="FL685">
        <v>2834.78</v>
      </c>
      <c r="FM685" t="s">
        <v>7282</v>
      </c>
      <c r="FN685">
        <v>0.25</v>
      </c>
      <c r="FO685" t="s">
        <v>424</v>
      </c>
      <c r="FP685" t="s">
        <v>454</v>
      </c>
      <c r="FR685">
        <v>12</v>
      </c>
      <c r="FS685">
        <v>4863298</v>
      </c>
      <c r="FT685" t="s">
        <v>7283</v>
      </c>
      <c r="FV685" s="1">
        <v>42515</v>
      </c>
      <c r="FW685">
        <v>2015</v>
      </c>
      <c r="FX685">
        <v>2991.55</v>
      </c>
      <c r="FY685" t="s">
        <v>7284</v>
      </c>
      <c r="FZ685">
        <v>0.25</v>
      </c>
      <c r="GA685" t="s">
        <v>424</v>
      </c>
      <c r="GB685" t="s">
        <v>425</v>
      </c>
      <c r="GC685" s="1">
        <v>43189</v>
      </c>
      <c r="GD685">
        <v>22</v>
      </c>
      <c r="GE685">
        <v>2851116</v>
      </c>
      <c r="GF685" t="s">
        <v>480</v>
      </c>
      <c r="GH685" s="1">
        <v>42515</v>
      </c>
      <c r="GI685">
        <v>2015</v>
      </c>
      <c r="GJ685">
        <v>2991.55</v>
      </c>
      <c r="GK685" t="s">
        <v>7284</v>
      </c>
      <c r="GL685">
        <v>0.25</v>
      </c>
      <c r="GM685" t="s">
        <v>424</v>
      </c>
      <c r="GN685" t="s">
        <v>425</v>
      </c>
      <c r="GP685">
        <v>22</v>
      </c>
      <c r="GQ685">
        <v>5556866</v>
      </c>
      <c r="GR685" t="s">
        <v>7285</v>
      </c>
      <c r="GT685" s="1">
        <v>42151</v>
      </c>
      <c r="GU685">
        <v>2014</v>
      </c>
      <c r="GV685">
        <v>2880.57</v>
      </c>
      <c r="GW685" t="s">
        <v>7286</v>
      </c>
      <c r="GX685">
        <v>0.25</v>
      </c>
      <c r="GY685" t="s">
        <v>424</v>
      </c>
      <c r="GZ685" t="s">
        <v>425</v>
      </c>
      <c r="HA685" s="1">
        <v>42815</v>
      </c>
      <c r="HB685">
        <v>22</v>
      </c>
      <c r="HC685">
        <v>2851116</v>
      </c>
      <c r="HD685" t="s">
        <v>480</v>
      </c>
      <c r="HF685" s="1">
        <v>42151</v>
      </c>
      <c r="HG685">
        <v>2014</v>
      </c>
      <c r="HH685">
        <v>2880.57</v>
      </c>
      <c r="HI685" t="s">
        <v>7286</v>
      </c>
      <c r="HJ685">
        <v>0.25</v>
      </c>
      <c r="HK685" t="s">
        <v>424</v>
      </c>
      <c r="HL685" t="s">
        <v>425</v>
      </c>
      <c r="HN685">
        <v>22</v>
      </c>
      <c r="HO685">
        <v>5076147</v>
      </c>
      <c r="HP685" t="s">
        <v>7287</v>
      </c>
      <c r="HR685" s="1">
        <v>41787</v>
      </c>
      <c r="HS685">
        <v>2013</v>
      </c>
      <c r="HT685">
        <v>2936.16</v>
      </c>
      <c r="HU685" t="s">
        <v>7288</v>
      </c>
      <c r="HV685">
        <v>0.25</v>
      </c>
      <c r="HW685" t="s">
        <v>424</v>
      </c>
      <c r="HX685" t="s">
        <v>425</v>
      </c>
      <c r="HY685" s="1">
        <v>42425</v>
      </c>
      <c r="HZ685">
        <v>21</v>
      </c>
      <c r="IA685">
        <v>2101382</v>
      </c>
      <c r="IB685" t="s">
        <v>993</v>
      </c>
      <c r="ID685" s="1">
        <v>41423</v>
      </c>
      <c r="IE685">
        <v>2012</v>
      </c>
      <c r="IF685">
        <v>2592.12</v>
      </c>
      <c r="IG685" t="s">
        <v>7289</v>
      </c>
      <c r="IH685">
        <v>0.25</v>
      </c>
      <c r="II685" t="s">
        <v>424</v>
      </c>
      <c r="IJ685" t="s">
        <v>425</v>
      </c>
      <c r="IK685" s="1">
        <v>41493</v>
      </c>
      <c r="IL685">
        <v>3</v>
      </c>
      <c r="IM685">
        <v>606981</v>
      </c>
      <c r="IN685" t="s">
        <v>792</v>
      </c>
      <c r="IP685" s="1">
        <v>41052</v>
      </c>
      <c r="IQ685">
        <v>2011</v>
      </c>
      <c r="IR685">
        <v>3717.11</v>
      </c>
      <c r="IS685" t="s">
        <v>7290</v>
      </c>
      <c r="IT685">
        <v>0.25</v>
      </c>
      <c r="IU685" t="s">
        <v>424</v>
      </c>
      <c r="IV685" t="s">
        <v>425</v>
      </c>
      <c r="IW685" s="1">
        <v>41493</v>
      </c>
      <c r="IX685">
        <v>15</v>
      </c>
      <c r="IY685">
        <v>13228</v>
      </c>
      <c r="IZ685" t="s">
        <v>7291</v>
      </c>
      <c r="JB685" s="1">
        <v>40688</v>
      </c>
      <c r="JC685">
        <v>2010</v>
      </c>
      <c r="JD685">
        <v>3812.51</v>
      </c>
      <c r="JE685" t="s">
        <v>7292</v>
      </c>
      <c r="JF685">
        <v>5.25</v>
      </c>
      <c r="JG685" t="s">
        <v>424</v>
      </c>
      <c r="JH685" t="s">
        <v>425</v>
      </c>
      <c r="JI685" s="1">
        <v>41016</v>
      </c>
      <c r="JJ685">
        <v>11</v>
      </c>
      <c r="JK685">
        <v>210</v>
      </c>
      <c r="JL685" t="s">
        <v>7026</v>
      </c>
    </row>
    <row r="686" spans="1:308" x14ac:dyDescent="0.25">
      <c r="A686">
        <v>16485693</v>
      </c>
      <c r="B686">
        <v>685</v>
      </c>
      <c r="C686" t="s">
        <v>393</v>
      </c>
      <c r="D686" t="s">
        <v>394</v>
      </c>
      <c r="F686" t="str">
        <f>"20-1N-25-0000-0006-0010"</f>
        <v>20-1N-25-0000-0006-0010</v>
      </c>
      <c r="H686" t="str">
        <f>"CROSBY JOHN B JR &amp; KELLY ANN"</f>
        <v>CROSBY JOHN B JR &amp; KELLY ANN</v>
      </c>
      <c r="I686" t="str">
        <f>"43239 RATLIFF ROAD"</f>
        <v>43239 RATLIFF ROAD</v>
      </c>
      <c r="J686" t="str">
        <f>"CALLAHAN FL 32011"</f>
        <v>CALLAHAN FL 32011</v>
      </c>
      <c r="K686" t="str">
        <f>"43239 RATLIFF RD"</f>
        <v>43239 RATLIFF RD</v>
      </c>
      <c r="L686" t="str">
        <f t="shared" si="202"/>
        <v>CALLAHAN FL 32011</v>
      </c>
      <c r="M686" t="str">
        <f>"IN OR 1503/392 EX RW IN OR 82/578"</f>
        <v>IN OR 1503/392 EX RW IN OR 82/578</v>
      </c>
      <c r="N686" t="str">
        <f>""</f>
        <v/>
      </c>
      <c r="O686" t="str">
        <f>"33086"</f>
        <v>33086</v>
      </c>
      <c r="P686" t="str">
        <f t="shared" si="194"/>
        <v>2017</v>
      </c>
      <c r="Q686" t="str">
        <f>""</f>
        <v/>
      </c>
      <c r="R686" t="str">
        <f>"Y"</f>
        <v>Y</v>
      </c>
      <c r="S686" t="str">
        <f>"2.50"</f>
        <v>2.50</v>
      </c>
      <c r="T686" t="str">
        <f>"1661.45"</f>
        <v>1661.45</v>
      </c>
      <c r="U686" t="str">
        <f>"147980.00"</f>
        <v>147980.00</v>
      </c>
      <c r="V686" t="str">
        <f>"147980.00"</f>
        <v>147980.00</v>
      </c>
      <c r="W686" t="str">
        <f t="shared" si="195"/>
        <v>2017</v>
      </c>
      <c r="X686" t="str">
        <f>"7.44"</f>
        <v>7.44</v>
      </c>
      <c r="Y686" t="str">
        <f>"1743.29"</f>
        <v>1743.29</v>
      </c>
      <c r="Z686" t="str">
        <f>"25000.00"</f>
        <v>25000.00</v>
      </c>
      <c r="AA686" t="str">
        <f>"124980.00"</f>
        <v>124980.00</v>
      </c>
      <c r="AB686" t="str">
        <f t="shared" si="207"/>
        <v>Residential</v>
      </c>
      <c r="AC686" t="str">
        <f t="shared" si="204"/>
        <v>0</v>
      </c>
      <c r="AD686" t="str">
        <f t="shared" si="209"/>
        <v>4</v>
      </c>
      <c r="AE686" t="str">
        <f t="shared" si="210"/>
        <v>WOOD (INCLUDE STEEL STUDS)</v>
      </c>
      <c r="AF686" t="str">
        <f>"001"</f>
        <v>001</v>
      </c>
      <c r="AG686" t="str">
        <f t="shared" si="197"/>
        <v>FL</v>
      </c>
      <c r="AH686" t="str">
        <f>"108900.00"</f>
        <v>108900.00</v>
      </c>
      <c r="AI686" t="str">
        <f>"30000.00"</f>
        <v>30000.00</v>
      </c>
      <c r="AJ686" t="str">
        <f>"C55-000-587-2519-3"</f>
        <v>C55-000-587-2519-3</v>
      </c>
      <c r="AK686" t="str">
        <f>"11018"</f>
        <v>11018</v>
      </c>
      <c r="AL686">
        <v>3</v>
      </c>
      <c r="AM686">
        <v>785</v>
      </c>
      <c r="AN686">
        <v>1828.85</v>
      </c>
      <c r="AQ686" t="s">
        <v>7293</v>
      </c>
      <c r="AR686" t="s">
        <v>7293</v>
      </c>
      <c r="AS686" t="s">
        <v>7293</v>
      </c>
      <c r="AU686" t="s">
        <v>396</v>
      </c>
      <c r="AV686">
        <v>2017</v>
      </c>
      <c r="AW686" t="str">
        <f>"20-1N-25-0000-0006-0010 "</f>
        <v xml:space="preserve">20-1N-25-0000-0006-0010 </v>
      </c>
      <c r="AX686">
        <v>43239</v>
      </c>
      <c r="AZ686" t="s">
        <v>7093</v>
      </c>
      <c r="BA686" t="s">
        <v>496</v>
      </c>
      <c r="BD686" t="s">
        <v>2785</v>
      </c>
      <c r="BE686" t="s">
        <v>393</v>
      </c>
      <c r="BF686">
        <v>32011</v>
      </c>
      <c r="BG686" t="s">
        <v>7294</v>
      </c>
      <c r="BH686" t="s">
        <v>2787</v>
      </c>
      <c r="BI686">
        <v>-81.829210076166902</v>
      </c>
      <c r="BJ686">
        <v>30.489421774777099</v>
      </c>
      <c r="BK686" t="s">
        <v>7295</v>
      </c>
      <c r="BM686" t="s">
        <v>7294</v>
      </c>
      <c r="BN686" t="s">
        <v>928</v>
      </c>
      <c r="BO686">
        <v>32011</v>
      </c>
      <c r="BP686" t="s">
        <v>416</v>
      </c>
      <c r="BQ686">
        <v>100</v>
      </c>
      <c r="BR686" t="s">
        <v>514</v>
      </c>
      <c r="BS686">
        <v>1001</v>
      </c>
      <c r="BT686" t="s">
        <v>515</v>
      </c>
      <c r="BW686">
        <v>108900</v>
      </c>
      <c r="BX686" t="s">
        <v>407</v>
      </c>
      <c r="BY686" t="s">
        <v>408</v>
      </c>
      <c r="BZ686">
        <v>4</v>
      </c>
      <c r="CA686">
        <v>1940</v>
      </c>
      <c r="CB686">
        <v>1</v>
      </c>
      <c r="CC686">
        <v>1</v>
      </c>
      <c r="CD686">
        <v>2017</v>
      </c>
      <c r="CG686">
        <v>149980</v>
      </c>
      <c r="CH686">
        <v>2017</v>
      </c>
      <c r="CI686">
        <v>30000</v>
      </c>
      <c r="CJ686">
        <v>134149</v>
      </c>
      <c r="CK686">
        <v>164149</v>
      </c>
      <c r="CL686">
        <v>2017</v>
      </c>
      <c r="CM686">
        <v>1661.45</v>
      </c>
      <c r="CN686" s="1">
        <v>39237</v>
      </c>
      <c r="CO686">
        <v>169400</v>
      </c>
      <c r="CV686">
        <v>0</v>
      </c>
      <c r="CZ686" s="1">
        <v>39237</v>
      </c>
      <c r="DA686">
        <v>0</v>
      </c>
      <c r="DD686" t="s">
        <v>2785</v>
      </c>
      <c r="DG686">
        <v>20</v>
      </c>
      <c r="DL686">
        <v>50502</v>
      </c>
      <c r="DM686" t="s">
        <v>7296</v>
      </c>
      <c r="DO686" t="s">
        <v>7297</v>
      </c>
      <c r="DP686">
        <v>0</v>
      </c>
      <c r="DQ686">
        <v>0</v>
      </c>
      <c r="DR686" t="s">
        <v>411</v>
      </c>
      <c r="DS686" t="b">
        <v>1</v>
      </c>
      <c r="DT686" t="s">
        <v>470</v>
      </c>
      <c r="DU686" t="s">
        <v>471</v>
      </c>
      <c r="DV686" t="s">
        <v>472</v>
      </c>
      <c r="DX686">
        <v>-9999</v>
      </c>
      <c r="DZ686" t="s">
        <v>447</v>
      </c>
      <c r="EA686" t="s">
        <v>448</v>
      </c>
      <c r="EB686" t="s">
        <v>7109</v>
      </c>
      <c r="EC686">
        <v>20101217</v>
      </c>
      <c r="ED686" t="s">
        <v>474</v>
      </c>
      <c r="EF686">
        <v>264.2</v>
      </c>
      <c r="EG686">
        <v>264.2</v>
      </c>
      <c r="EI686">
        <v>20160407</v>
      </c>
      <c r="EJ686">
        <v>0</v>
      </c>
      <c r="EK686">
        <v>0</v>
      </c>
      <c r="EP686" t="s">
        <v>421</v>
      </c>
      <c r="EQ686" t="s">
        <v>422</v>
      </c>
      <c r="ER686">
        <v>0</v>
      </c>
      <c r="ES686">
        <v>11</v>
      </c>
      <c r="ET686">
        <v>0</v>
      </c>
      <c r="EU686">
        <v>0</v>
      </c>
      <c r="EV686">
        <v>0</v>
      </c>
      <c r="EW686" s="2">
        <v>43222</v>
      </c>
      <c r="EX686" s="1">
        <v>42879</v>
      </c>
      <c r="EY686">
        <v>2016</v>
      </c>
      <c r="EZ686">
        <v>1780.4</v>
      </c>
      <c r="FA686" t="s">
        <v>7298</v>
      </c>
      <c r="FB686">
        <v>0.25</v>
      </c>
      <c r="FC686" t="s">
        <v>424</v>
      </c>
      <c r="FD686" t="s">
        <v>425</v>
      </c>
      <c r="FE686" s="1">
        <v>43147</v>
      </c>
      <c r="FF686">
        <v>9</v>
      </c>
      <c r="FG686">
        <v>7336671</v>
      </c>
      <c r="FH686" t="s">
        <v>437</v>
      </c>
      <c r="FJ686" s="1">
        <v>42879</v>
      </c>
      <c r="FK686">
        <v>2016</v>
      </c>
      <c r="FL686">
        <v>1780.4</v>
      </c>
      <c r="FM686" t="s">
        <v>7298</v>
      </c>
      <c r="FN686">
        <v>0.25</v>
      </c>
      <c r="FO686" t="s">
        <v>424</v>
      </c>
      <c r="FP686" t="s">
        <v>425</v>
      </c>
      <c r="FR686">
        <v>22</v>
      </c>
      <c r="FS686">
        <v>7039014</v>
      </c>
      <c r="FT686" t="s">
        <v>7299</v>
      </c>
      <c r="FV686" s="1">
        <v>42515</v>
      </c>
      <c r="FW686">
        <v>2015</v>
      </c>
      <c r="FX686">
        <v>1806.73</v>
      </c>
      <c r="FY686" t="s">
        <v>7300</v>
      </c>
      <c r="FZ686">
        <v>0.25</v>
      </c>
      <c r="GA686" t="s">
        <v>424</v>
      </c>
      <c r="GB686" t="s">
        <v>425</v>
      </c>
      <c r="GC686" s="1">
        <v>42787</v>
      </c>
      <c r="GD686">
        <v>9</v>
      </c>
      <c r="GE686">
        <v>11289</v>
      </c>
      <c r="GF686" t="s">
        <v>787</v>
      </c>
      <c r="GH686" s="1">
        <v>42515</v>
      </c>
      <c r="GI686">
        <v>2015</v>
      </c>
      <c r="GJ686">
        <v>1806.73</v>
      </c>
      <c r="GK686" t="s">
        <v>7300</v>
      </c>
      <c r="GL686">
        <v>0.25</v>
      </c>
      <c r="GM686" t="s">
        <v>424</v>
      </c>
      <c r="GN686" t="s">
        <v>425</v>
      </c>
      <c r="GP686">
        <v>22</v>
      </c>
      <c r="GQ686">
        <v>7317418</v>
      </c>
      <c r="GR686" t="s">
        <v>7301</v>
      </c>
      <c r="GT686" s="1">
        <v>42151</v>
      </c>
      <c r="GU686">
        <v>2014</v>
      </c>
      <c r="GV686">
        <v>1797.68</v>
      </c>
      <c r="GW686" t="s">
        <v>7302</v>
      </c>
      <c r="GX686">
        <v>0.25</v>
      </c>
      <c r="GY686" t="s">
        <v>424</v>
      </c>
      <c r="GZ686" t="s">
        <v>425</v>
      </c>
      <c r="HB686">
        <v>22</v>
      </c>
      <c r="HC686">
        <v>15259</v>
      </c>
      <c r="HD686" t="s">
        <v>891</v>
      </c>
      <c r="HF686" s="1">
        <v>42151</v>
      </c>
      <c r="HG686">
        <v>2014</v>
      </c>
      <c r="HH686">
        <v>1797.68</v>
      </c>
      <c r="HI686" t="s">
        <v>7302</v>
      </c>
      <c r="HJ686">
        <v>0.25</v>
      </c>
      <c r="HK686" t="s">
        <v>424</v>
      </c>
      <c r="HL686" t="s">
        <v>425</v>
      </c>
      <c r="HN686">
        <v>22</v>
      </c>
      <c r="HO686">
        <v>6787062</v>
      </c>
      <c r="HP686" t="s">
        <v>7303</v>
      </c>
      <c r="HR686" s="1">
        <v>42151</v>
      </c>
      <c r="HS686">
        <v>2014</v>
      </c>
      <c r="HT686">
        <v>1797.68</v>
      </c>
      <c r="HU686" t="s">
        <v>7302</v>
      </c>
      <c r="HV686">
        <v>0.25</v>
      </c>
      <c r="HW686" t="s">
        <v>424</v>
      </c>
      <c r="HX686" t="s">
        <v>425</v>
      </c>
      <c r="HY686" s="1">
        <v>42412</v>
      </c>
      <c r="HZ686">
        <v>9</v>
      </c>
      <c r="IA686">
        <v>7045049</v>
      </c>
      <c r="IB686" t="s">
        <v>1335</v>
      </c>
      <c r="ID686" s="1">
        <v>41787</v>
      </c>
      <c r="IE686">
        <v>2013</v>
      </c>
      <c r="IF686">
        <v>1684.15</v>
      </c>
      <c r="IG686" t="s">
        <v>7304</v>
      </c>
      <c r="IH686">
        <v>0.25</v>
      </c>
      <c r="II686" t="s">
        <v>424</v>
      </c>
      <c r="IJ686" t="s">
        <v>425</v>
      </c>
      <c r="IK686" s="1">
        <v>42054</v>
      </c>
      <c r="IL686">
        <v>9</v>
      </c>
      <c r="IM686">
        <v>2757457</v>
      </c>
      <c r="IN686" t="s">
        <v>648</v>
      </c>
      <c r="IP686" s="1">
        <v>41423</v>
      </c>
      <c r="IQ686">
        <v>2012</v>
      </c>
      <c r="IR686">
        <v>1670.33</v>
      </c>
      <c r="IS686" t="s">
        <v>7305</v>
      </c>
      <c r="IT686">
        <v>0.25</v>
      </c>
      <c r="IU686" t="s">
        <v>424</v>
      </c>
      <c r="IV686" t="s">
        <v>425</v>
      </c>
      <c r="IW686" s="1">
        <v>41631</v>
      </c>
      <c r="IX686">
        <v>7</v>
      </c>
      <c r="IY686">
        <v>15259</v>
      </c>
      <c r="IZ686" t="s">
        <v>891</v>
      </c>
      <c r="JB686" s="1">
        <v>41052</v>
      </c>
      <c r="JC686">
        <v>2011</v>
      </c>
      <c r="JD686">
        <v>1937.54</v>
      </c>
      <c r="JE686" t="s">
        <v>7306</v>
      </c>
      <c r="JF686">
        <v>0.25</v>
      </c>
      <c r="JG686" t="s">
        <v>424</v>
      </c>
      <c r="JH686" t="s">
        <v>425</v>
      </c>
      <c r="JI686" s="1">
        <v>41296</v>
      </c>
      <c r="JJ686">
        <v>8</v>
      </c>
      <c r="JK686">
        <v>14045</v>
      </c>
      <c r="JL686" t="s">
        <v>7307</v>
      </c>
      <c r="JN686" s="1">
        <v>40688</v>
      </c>
      <c r="JO686">
        <v>2010</v>
      </c>
      <c r="JP686">
        <v>1960.9</v>
      </c>
      <c r="JQ686" t="s">
        <v>7308</v>
      </c>
      <c r="JR686">
        <v>0.25</v>
      </c>
      <c r="JS686" t="s">
        <v>424</v>
      </c>
      <c r="JT686" t="s">
        <v>425</v>
      </c>
      <c r="JU686" s="1">
        <v>40949</v>
      </c>
      <c r="JV686">
        <v>9</v>
      </c>
      <c r="JW686">
        <v>10506</v>
      </c>
      <c r="JX686" t="s">
        <v>892</v>
      </c>
    </row>
    <row r="687" spans="1:308" x14ac:dyDescent="0.25">
      <c r="A687">
        <v>16485694</v>
      </c>
      <c r="B687">
        <v>686</v>
      </c>
      <c r="C687" t="s">
        <v>393</v>
      </c>
      <c r="D687" t="s">
        <v>394</v>
      </c>
      <c r="F687" t="str">
        <f>"20-1N-25-0000-0006-0020"</f>
        <v>20-1N-25-0000-0006-0020</v>
      </c>
      <c r="H687" t="str">
        <f>"LOVETT JOYCE F &amp; LOVETT BOBBY C"</f>
        <v>LOVETT JOYCE F &amp; LOVETT BOBBY C</v>
      </c>
      <c r="I687" t="str">
        <f>"43162 SMITTY RD"</f>
        <v>43162 SMITTY RD</v>
      </c>
      <c r="J687" t="str">
        <f>"CALLAHAN FL 32011"</f>
        <v>CALLAHAN FL 32011</v>
      </c>
      <c r="K687" t="str">
        <f>"43162 SMITTY RD"</f>
        <v>43162 SMITTY RD</v>
      </c>
      <c r="L687" t="str">
        <f t="shared" si="202"/>
        <v>CALLAHAN FL 32011</v>
      </c>
      <c r="M687" t="str">
        <f>"PT OF SW1/4 OF NW1/4 IN OR 1892/112 &amp; OR 2122/922 2007 NOBI DW/MH 1999 HOME DW/MH PARCELS 6-2 6-3 &amp; 6-4 ESMT IN OR 723/1523 ESMT PT OR 1825/754"</f>
        <v>PT OF SW1/4 OF NW1/4 IN OR 1892/112 &amp; OR 2122/922 2007 NOBI DW/MH 1999 HOME DW/MH PARCELS 6-2 6-3 &amp; 6-4 ESMT IN OR 723/1523 ESMT PT OR 1825/754</v>
      </c>
      <c r="N687" t="str">
        <f>""</f>
        <v/>
      </c>
      <c r="O687" t="str">
        <f>"33087"</f>
        <v>33087</v>
      </c>
      <c r="P687" t="str">
        <f t="shared" si="194"/>
        <v>2017</v>
      </c>
      <c r="Q687" t="str">
        <f>""</f>
        <v/>
      </c>
      <c r="R687" t="str">
        <f>"Y"</f>
        <v>Y</v>
      </c>
      <c r="S687" t="str">
        <f>"3.71"</f>
        <v>3.71</v>
      </c>
      <c r="T687" t="str">
        <f>"912.39"</f>
        <v>912.39</v>
      </c>
      <c r="U687" t="str">
        <f>"85139.00"</f>
        <v>85139.00</v>
      </c>
      <c r="V687" t="str">
        <f>"85139.00"</f>
        <v>85139.00</v>
      </c>
      <c r="W687" t="str">
        <f t="shared" si="195"/>
        <v>2017</v>
      </c>
      <c r="X687" t="str">
        <f>""</f>
        <v/>
      </c>
      <c r="Y687" t="str">
        <f>"971.76"</f>
        <v>971.76</v>
      </c>
      <c r="Z687" t="str">
        <f>"24871.00"</f>
        <v>24871.00</v>
      </c>
      <c r="AA687" t="str">
        <f>"60268.00"</f>
        <v>60268.00</v>
      </c>
      <c r="AB687" t="str">
        <f t="shared" si="207"/>
        <v>Residential</v>
      </c>
      <c r="AC687" t="str">
        <f t="shared" si="204"/>
        <v>0</v>
      </c>
      <c r="AD687" t="str">
        <f t="shared" si="209"/>
        <v>4</v>
      </c>
      <c r="AE687" t="str">
        <f t="shared" si="210"/>
        <v>WOOD (INCLUDE STEEL STUDS)</v>
      </c>
      <c r="AF687" t="str">
        <f>"002"</f>
        <v>002</v>
      </c>
      <c r="AG687" t="str">
        <f t="shared" si="197"/>
        <v>FL</v>
      </c>
      <c r="AH687" t="str">
        <f>"161607.00"</f>
        <v>161607.00</v>
      </c>
      <c r="AI687" t="str">
        <f>"29680.00"</f>
        <v>29680.00</v>
      </c>
      <c r="AJ687" t="str">
        <f>"C55-000-587-2520-1"</f>
        <v>C55-000-587-2520-1</v>
      </c>
      <c r="AK687" t="str">
        <f>"11019"</f>
        <v>11019</v>
      </c>
      <c r="AL687">
        <v>3</v>
      </c>
      <c r="AM687">
        <v>786</v>
      </c>
      <c r="AN687">
        <v>1018.75</v>
      </c>
      <c r="AQ687" t="s">
        <v>7309</v>
      </c>
      <c r="AR687" t="s">
        <v>7309</v>
      </c>
      <c r="AS687" t="s">
        <v>7309</v>
      </c>
      <c r="AU687" t="s">
        <v>396</v>
      </c>
      <c r="AV687">
        <v>2017</v>
      </c>
      <c r="AW687" t="str">
        <f>"20-1N-25-0000-0006-0020 "</f>
        <v xml:space="preserve">20-1N-25-0000-0006-0020 </v>
      </c>
      <c r="AX687">
        <v>43162</v>
      </c>
      <c r="AZ687" t="s">
        <v>7310</v>
      </c>
      <c r="BA687" t="s">
        <v>496</v>
      </c>
      <c r="BD687" t="s">
        <v>2785</v>
      </c>
      <c r="BE687" t="s">
        <v>393</v>
      </c>
      <c r="BF687">
        <v>32011</v>
      </c>
      <c r="BG687" t="s">
        <v>7311</v>
      </c>
      <c r="BH687" t="s">
        <v>2787</v>
      </c>
      <c r="BI687">
        <v>-81.829189204727498</v>
      </c>
      <c r="BJ687">
        <v>30.490819379546199</v>
      </c>
      <c r="BK687" t="s">
        <v>7312</v>
      </c>
      <c r="BM687" t="s">
        <v>7313</v>
      </c>
      <c r="BN687" t="s">
        <v>928</v>
      </c>
      <c r="BO687">
        <v>32011</v>
      </c>
      <c r="BP687" t="s">
        <v>404</v>
      </c>
      <c r="BQ687">
        <v>200</v>
      </c>
      <c r="BR687" t="s">
        <v>405</v>
      </c>
      <c r="BS687">
        <v>1006</v>
      </c>
      <c r="BT687" t="s">
        <v>406</v>
      </c>
      <c r="BW687">
        <v>161607</v>
      </c>
      <c r="BX687" t="s">
        <v>407</v>
      </c>
      <c r="BY687" t="s">
        <v>408</v>
      </c>
      <c r="BZ687">
        <v>4</v>
      </c>
      <c r="CA687">
        <v>1999</v>
      </c>
      <c r="CB687">
        <v>1</v>
      </c>
      <c r="CC687">
        <v>3</v>
      </c>
      <c r="CD687">
        <v>2017</v>
      </c>
      <c r="CG687">
        <v>85139</v>
      </c>
      <c r="CH687">
        <v>2017</v>
      </c>
      <c r="CI687">
        <v>29680</v>
      </c>
      <c r="CJ687">
        <v>55843</v>
      </c>
      <c r="CK687">
        <v>85523</v>
      </c>
      <c r="CL687">
        <v>2017</v>
      </c>
      <c r="CM687">
        <v>912.39</v>
      </c>
      <c r="CN687" s="1">
        <v>42913</v>
      </c>
      <c r="CO687">
        <v>60000</v>
      </c>
      <c r="CV687">
        <v>0</v>
      </c>
      <c r="CZ687" s="1">
        <v>42913</v>
      </c>
      <c r="DA687">
        <v>0</v>
      </c>
      <c r="DD687" t="s">
        <v>2785</v>
      </c>
      <c r="DG687">
        <v>20</v>
      </c>
      <c r="DL687">
        <v>50502</v>
      </c>
      <c r="DM687" t="s">
        <v>7296</v>
      </c>
      <c r="DO687" t="s">
        <v>7314</v>
      </c>
      <c r="DP687">
        <v>0</v>
      </c>
      <c r="DQ687">
        <v>0</v>
      </c>
      <c r="DR687" t="s">
        <v>411</v>
      </c>
    </row>
    <row r="688" spans="1:308" x14ac:dyDescent="0.25">
      <c r="A688">
        <v>16485695</v>
      </c>
      <c r="B688">
        <v>687</v>
      </c>
      <c r="C688" t="s">
        <v>393</v>
      </c>
      <c r="D688" t="s">
        <v>394</v>
      </c>
      <c r="F688" t="str">
        <f>"29-1N-25-0000-0002-0000"</f>
        <v>29-1N-25-0000-0002-0000</v>
      </c>
      <c r="H688" t="str">
        <f>"BARBER CAROLYN ELIZABETH"</f>
        <v>BARBER CAROLYN ELIZABETH</v>
      </c>
      <c r="I688" t="str">
        <f>"43624 LARSEN RD"</f>
        <v>43624 LARSEN RD</v>
      </c>
      <c r="J688" t="str">
        <f>"CALLAHAN FL 32011"</f>
        <v>CALLAHAN FL 32011</v>
      </c>
      <c r="K688" t="str">
        <f>"43624 LARSEN RD"</f>
        <v>43624 LARSEN RD</v>
      </c>
      <c r="L688" t="str">
        <f t="shared" si="202"/>
        <v>CALLAHAN FL 32011</v>
      </c>
      <c r="M688" t="str">
        <f>"NW1/4 OF NW1/4 IN OR 1275/698 1998 REGE TW/MH &amp; 1994 CLAS TW/MH ESMT IN OR 824/980"</f>
        <v>NW1/4 OF NW1/4 IN OR 1275/698 1998 REGE TW/MH &amp; 1994 CLAS TW/MH ESMT IN OR 824/980</v>
      </c>
      <c r="N688" t="str">
        <f>""</f>
        <v/>
      </c>
      <c r="O688" t="str">
        <f>"38353"</f>
        <v>38353</v>
      </c>
      <c r="P688" t="str">
        <f t="shared" si="194"/>
        <v>2017</v>
      </c>
      <c r="Q688" t="str">
        <f>""</f>
        <v/>
      </c>
      <c r="R688" t="str">
        <f>"Y"</f>
        <v>Y</v>
      </c>
      <c r="S688" t="str">
        <f>"40.00"</f>
        <v>40.00</v>
      </c>
      <c r="T688" t="str">
        <f>"2745.46"</f>
        <v>2745.46</v>
      </c>
      <c r="U688" t="str">
        <f>"220457.00"</f>
        <v>220457.00</v>
      </c>
      <c r="V688" t="str">
        <f>"220457.00"</f>
        <v>220457.00</v>
      </c>
      <c r="W688" t="str">
        <f t="shared" si="195"/>
        <v>2017</v>
      </c>
      <c r="X688" t="str">
        <f>"21.13"</f>
        <v>21.13</v>
      </c>
      <c r="Y688" t="str">
        <f>"2859.82"</f>
        <v>2859.82</v>
      </c>
      <c r="Z688" t="str">
        <f>"25000.00"</f>
        <v>25000.00</v>
      </c>
      <c r="AA688" t="str">
        <f>"195457.00"</f>
        <v>195457.00</v>
      </c>
      <c r="AB688" t="str">
        <f t="shared" si="207"/>
        <v>Residential</v>
      </c>
      <c r="AC688" t="str">
        <f t="shared" si="204"/>
        <v>0</v>
      </c>
      <c r="AD688" t="str">
        <f t="shared" si="209"/>
        <v>4</v>
      </c>
      <c r="AE688" t="str">
        <f t="shared" si="210"/>
        <v>WOOD (INCLUDE STEEL STUDS)</v>
      </c>
      <c r="AF688" t="str">
        <f>"001"</f>
        <v>001</v>
      </c>
      <c r="AG688" t="str">
        <f t="shared" si="197"/>
        <v>FL</v>
      </c>
      <c r="AH688" t="str">
        <f>"1742400.00"</f>
        <v>1742400.00</v>
      </c>
      <c r="AI688" t="str">
        <f>"52950.00"</f>
        <v>52950.00</v>
      </c>
      <c r="AJ688" t="str">
        <f>"C55-000-587-5472-2"</f>
        <v>C55-000-587-5472-2</v>
      </c>
      <c r="AK688" t="str">
        <f>"11035"</f>
        <v>11035</v>
      </c>
      <c r="AL688">
        <v>3</v>
      </c>
      <c r="AM688">
        <v>787</v>
      </c>
      <c r="AN688">
        <v>3001.21</v>
      </c>
      <c r="AQ688" t="s">
        <v>7315</v>
      </c>
      <c r="AR688" t="s">
        <v>7315</v>
      </c>
      <c r="AS688" t="s">
        <v>7315</v>
      </c>
      <c r="AU688" t="s">
        <v>396</v>
      </c>
      <c r="AV688">
        <v>2017</v>
      </c>
      <c r="AW688" t="str">
        <f>"29-1N-25-0000-0002-0000 "</f>
        <v xml:space="preserve">29-1N-25-0000-0002-0000 </v>
      </c>
      <c r="AX688">
        <v>43624</v>
      </c>
      <c r="AZ688" t="s">
        <v>3247</v>
      </c>
      <c r="BA688" t="s">
        <v>496</v>
      </c>
      <c r="BD688" t="s">
        <v>2785</v>
      </c>
      <c r="BE688" t="s">
        <v>393</v>
      </c>
      <c r="BF688">
        <v>32011</v>
      </c>
      <c r="BG688" t="s">
        <v>7316</v>
      </c>
      <c r="BH688" t="s">
        <v>2787</v>
      </c>
      <c r="BI688">
        <v>-81.830689483881301</v>
      </c>
      <c r="BJ688">
        <v>30.478975985421499</v>
      </c>
      <c r="BK688" t="s">
        <v>7317</v>
      </c>
      <c r="BM688" t="s">
        <v>7316</v>
      </c>
      <c r="BN688" t="s">
        <v>928</v>
      </c>
      <c r="BO688">
        <v>32011</v>
      </c>
      <c r="BP688" t="s">
        <v>416</v>
      </c>
      <c r="BQ688">
        <v>100</v>
      </c>
      <c r="BR688" t="s">
        <v>514</v>
      </c>
      <c r="BS688">
        <v>1001</v>
      </c>
      <c r="BT688" t="s">
        <v>515</v>
      </c>
      <c r="BW688">
        <v>1742400</v>
      </c>
      <c r="BX688" t="s">
        <v>407</v>
      </c>
      <c r="BY688" t="s">
        <v>408</v>
      </c>
      <c r="BZ688">
        <v>4</v>
      </c>
      <c r="CA688">
        <v>1962</v>
      </c>
      <c r="CB688">
        <v>1</v>
      </c>
      <c r="CC688">
        <v>3</v>
      </c>
      <c r="CD688">
        <v>2017</v>
      </c>
      <c r="CG688">
        <v>220457</v>
      </c>
      <c r="CH688">
        <v>2017</v>
      </c>
      <c r="CI688">
        <v>52950</v>
      </c>
      <c r="CJ688">
        <v>184153</v>
      </c>
      <c r="CK688">
        <v>237103</v>
      </c>
      <c r="CL688">
        <v>2017</v>
      </c>
      <c r="CM688">
        <v>2745.46</v>
      </c>
      <c r="CN688" s="1">
        <v>38310</v>
      </c>
      <c r="CZ688" s="1">
        <v>38310</v>
      </c>
      <c r="DD688" t="s">
        <v>2785</v>
      </c>
      <c r="DG688">
        <v>29</v>
      </c>
      <c r="DL688">
        <v>50502</v>
      </c>
      <c r="DM688" t="s">
        <v>7318</v>
      </c>
      <c r="DO688" t="s">
        <v>7319</v>
      </c>
      <c r="DP688">
        <v>0</v>
      </c>
      <c r="DQ688">
        <v>0</v>
      </c>
      <c r="DR688" t="s">
        <v>411</v>
      </c>
      <c r="DS688" t="b">
        <v>1</v>
      </c>
      <c r="DT688" t="s">
        <v>396</v>
      </c>
      <c r="DV688" t="s">
        <v>446</v>
      </c>
      <c r="DX688">
        <v>-9999</v>
      </c>
      <c r="DZ688" t="s">
        <v>447</v>
      </c>
      <c r="EA688" t="s">
        <v>448</v>
      </c>
      <c r="EB688" t="s">
        <v>2792</v>
      </c>
      <c r="EC688">
        <v>20101217</v>
      </c>
      <c r="ED688" t="s">
        <v>450</v>
      </c>
      <c r="EE688">
        <v>18.5</v>
      </c>
      <c r="EF688">
        <v>0</v>
      </c>
      <c r="EG688">
        <v>0</v>
      </c>
      <c r="EI688">
        <v>20160407</v>
      </c>
      <c r="EJ688">
        <v>0</v>
      </c>
      <c r="EK688">
        <v>0</v>
      </c>
      <c r="EP688" t="s">
        <v>421</v>
      </c>
      <c r="EQ688" t="s">
        <v>422</v>
      </c>
      <c r="ER688">
        <v>2</v>
      </c>
      <c r="ES688">
        <v>11</v>
      </c>
      <c r="ET688">
        <v>5675.42</v>
      </c>
      <c r="EU688">
        <v>296.27</v>
      </c>
      <c r="EV688">
        <v>5971.69</v>
      </c>
      <c r="EW688" s="2">
        <v>43222</v>
      </c>
      <c r="EX688" s="1">
        <v>42879</v>
      </c>
      <c r="EY688">
        <v>2016</v>
      </c>
      <c r="EZ688">
        <v>2837.71</v>
      </c>
      <c r="FA688" t="s">
        <v>7320</v>
      </c>
      <c r="FB688">
        <v>0.25</v>
      </c>
      <c r="FC688" t="s">
        <v>424</v>
      </c>
      <c r="FD688" t="s">
        <v>454</v>
      </c>
      <c r="FF688">
        <v>12</v>
      </c>
      <c r="FG688">
        <v>7336671</v>
      </c>
      <c r="FH688" t="s">
        <v>437</v>
      </c>
      <c r="FJ688" s="1">
        <v>42879</v>
      </c>
      <c r="FK688">
        <v>2016</v>
      </c>
      <c r="FL688">
        <v>2837.71</v>
      </c>
      <c r="FM688" t="s">
        <v>7320</v>
      </c>
      <c r="FN688">
        <v>0.25</v>
      </c>
      <c r="FO688" t="s">
        <v>424</v>
      </c>
      <c r="FP688" t="s">
        <v>454</v>
      </c>
      <c r="FR688">
        <v>12</v>
      </c>
      <c r="FS688">
        <v>5171024</v>
      </c>
      <c r="FT688" t="s">
        <v>7321</v>
      </c>
      <c r="FV688" s="1">
        <v>42515</v>
      </c>
      <c r="FW688">
        <v>2015</v>
      </c>
      <c r="FX688">
        <v>2938.28</v>
      </c>
      <c r="FY688" t="s">
        <v>7322</v>
      </c>
      <c r="FZ688">
        <v>0.25</v>
      </c>
      <c r="GA688" t="s">
        <v>424</v>
      </c>
      <c r="GB688" t="s">
        <v>425</v>
      </c>
      <c r="GC688" s="1">
        <v>43157</v>
      </c>
      <c r="GD688">
        <v>21</v>
      </c>
      <c r="GE688">
        <v>2851116</v>
      </c>
      <c r="GF688" t="s">
        <v>480</v>
      </c>
      <c r="GH688" s="1">
        <v>42515</v>
      </c>
      <c r="GI688">
        <v>2015</v>
      </c>
      <c r="GJ688">
        <v>2938.28</v>
      </c>
      <c r="GK688" t="s">
        <v>7322</v>
      </c>
      <c r="GL688">
        <v>0.25</v>
      </c>
      <c r="GM688" t="s">
        <v>424</v>
      </c>
      <c r="GN688" t="s">
        <v>425</v>
      </c>
      <c r="GP688">
        <v>22</v>
      </c>
      <c r="GQ688">
        <v>5443376</v>
      </c>
      <c r="GR688" t="s">
        <v>7323</v>
      </c>
      <c r="GT688" s="1">
        <v>42151</v>
      </c>
      <c r="GU688">
        <v>2014</v>
      </c>
      <c r="GV688">
        <v>2931.4</v>
      </c>
      <c r="GW688" t="s">
        <v>7324</v>
      </c>
      <c r="GX688">
        <v>0.25</v>
      </c>
      <c r="GY688" t="s">
        <v>424</v>
      </c>
      <c r="GZ688" t="s">
        <v>425</v>
      </c>
      <c r="HB688">
        <v>22</v>
      </c>
      <c r="HC688">
        <v>15259</v>
      </c>
      <c r="HD688" t="s">
        <v>891</v>
      </c>
      <c r="HF688" s="1">
        <v>42151</v>
      </c>
      <c r="HG688">
        <v>2014</v>
      </c>
      <c r="HH688">
        <v>2931.4</v>
      </c>
      <c r="HI688" t="s">
        <v>7324</v>
      </c>
      <c r="HJ688">
        <v>0.25</v>
      </c>
      <c r="HK688" t="s">
        <v>424</v>
      </c>
      <c r="HL688" t="s">
        <v>425</v>
      </c>
      <c r="HN688">
        <v>22</v>
      </c>
      <c r="HO688">
        <v>6854028</v>
      </c>
      <c r="HP688" t="s">
        <v>7325</v>
      </c>
      <c r="HR688" s="1">
        <v>42151</v>
      </c>
      <c r="HS688">
        <v>2014</v>
      </c>
      <c r="HT688">
        <v>2931.4</v>
      </c>
      <c r="HU688" t="s">
        <v>7324</v>
      </c>
      <c r="HV688">
        <v>0.25</v>
      </c>
      <c r="HW688" t="s">
        <v>424</v>
      </c>
      <c r="HX688" t="s">
        <v>425</v>
      </c>
      <c r="HY688" s="1">
        <v>42790</v>
      </c>
      <c r="HZ688">
        <v>21</v>
      </c>
      <c r="IA688">
        <v>7045049</v>
      </c>
      <c r="IB688" t="s">
        <v>1335</v>
      </c>
      <c r="ID688" s="1">
        <v>41787</v>
      </c>
      <c r="IE688">
        <v>2013</v>
      </c>
      <c r="IF688">
        <v>2902.96</v>
      </c>
      <c r="IG688" t="s">
        <v>7326</v>
      </c>
      <c r="IH688">
        <v>0.25</v>
      </c>
      <c r="II688" t="s">
        <v>424</v>
      </c>
      <c r="IJ688" t="s">
        <v>425</v>
      </c>
      <c r="IL688">
        <v>22</v>
      </c>
      <c r="IM688">
        <v>11289</v>
      </c>
      <c r="IN688" t="s">
        <v>787</v>
      </c>
      <c r="IP688" s="1">
        <v>41787</v>
      </c>
      <c r="IQ688">
        <v>2013</v>
      </c>
      <c r="IR688">
        <v>2902.96</v>
      </c>
      <c r="IS688" t="s">
        <v>7326</v>
      </c>
      <c r="IT688">
        <v>0.25</v>
      </c>
      <c r="IU688" t="s">
        <v>424</v>
      </c>
      <c r="IV688" t="s">
        <v>425</v>
      </c>
      <c r="IW688" s="1">
        <v>42429</v>
      </c>
      <c r="IX688">
        <v>21</v>
      </c>
      <c r="IY688">
        <v>4844954</v>
      </c>
      <c r="IZ688" t="s">
        <v>1719</v>
      </c>
      <c r="JB688" s="1">
        <v>41423</v>
      </c>
      <c r="JC688">
        <v>2012</v>
      </c>
      <c r="JD688">
        <v>2822.81</v>
      </c>
      <c r="JE688" t="s">
        <v>7327</v>
      </c>
      <c r="JF688">
        <v>0.25</v>
      </c>
      <c r="JG688" t="s">
        <v>424</v>
      </c>
      <c r="JH688" t="s">
        <v>425</v>
      </c>
      <c r="JI688" s="1">
        <v>42060</v>
      </c>
      <c r="JJ688">
        <v>21</v>
      </c>
      <c r="JK688">
        <v>15259</v>
      </c>
      <c r="JL688" t="s">
        <v>891</v>
      </c>
      <c r="JN688" s="1">
        <v>41052</v>
      </c>
      <c r="JO688">
        <v>2011</v>
      </c>
      <c r="JP688">
        <v>3230.05</v>
      </c>
      <c r="JQ688" t="s">
        <v>7328</v>
      </c>
      <c r="JR688">
        <v>0.25</v>
      </c>
      <c r="JS688" t="s">
        <v>424</v>
      </c>
      <c r="JT688" t="s">
        <v>425</v>
      </c>
      <c r="JU688" s="1">
        <v>41705</v>
      </c>
      <c r="JV688">
        <v>22</v>
      </c>
      <c r="JW688">
        <v>13104</v>
      </c>
      <c r="JX688" t="s">
        <v>888</v>
      </c>
      <c r="JZ688" s="1">
        <v>41052</v>
      </c>
      <c r="KA688">
        <v>2011</v>
      </c>
      <c r="KB688">
        <v>3230.05</v>
      </c>
      <c r="KC688" t="s">
        <v>7328</v>
      </c>
      <c r="KD688">
        <v>0.25</v>
      </c>
      <c r="KE688" t="s">
        <v>424</v>
      </c>
      <c r="KF688" t="s">
        <v>425</v>
      </c>
      <c r="KH688">
        <v>22</v>
      </c>
      <c r="KI688">
        <v>13689</v>
      </c>
      <c r="KJ688" t="s">
        <v>7329</v>
      </c>
      <c r="KL688" s="1">
        <v>40688</v>
      </c>
      <c r="KM688">
        <v>2010</v>
      </c>
      <c r="KN688">
        <v>3284.23</v>
      </c>
      <c r="KO688" t="s">
        <v>7330</v>
      </c>
      <c r="KP688">
        <v>0.25</v>
      </c>
      <c r="KQ688" t="s">
        <v>424</v>
      </c>
      <c r="KR688" t="s">
        <v>425</v>
      </c>
      <c r="KS688" s="1">
        <v>41330</v>
      </c>
      <c r="KT688">
        <v>21</v>
      </c>
      <c r="KU688">
        <v>11141</v>
      </c>
      <c r="KV688" t="s">
        <v>1723</v>
      </c>
    </row>
    <row r="689" spans="1:272" x14ac:dyDescent="0.25">
      <c r="A689">
        <v>16485696</v>
      </c>
      <c r="B689">
        <v>688</v>
      </c>
      <c r="C689" t="s">
        <v>393</v>
      </c>
      <c r="D689" t="s">
        <v>394</v>
      </c>
      <c r="F689" t="str">
        <f>"31-1N-25-0000-0001-0000"</f>
        <v>31-1N-25-0000-0001-0000</v>
      </c>
      <c r="H689" t="str">
        <f>"HUMPHRIES CHRISTINE"</f>
        <v>HUMPHRIES CHRISTINE</v>
      </c>
      <c r="I689" t="str">
        <f>"450671 STATE RD 200"</f>
        <v>450671 STATE RD 200</v>
      </c>
      <c r="J689" t="str">
        <f>"CALLAHAN FL 32011"</f>
        <v>CALLAHAN FL 32011</v>
      </c>
      <c r="K689" t="str">
        <f>"43008 THOMAS CREEK DR"</f>
        <v>43008 THOMAS CREEK DR</v>
      </c>
      <c r="L689" t="str">
        <f t="shared" si="202"/>
        <v>CALLAHAN FL 32011</v>
      </c>
      <c r="M689" t="str">
        <f>"PT NE1/4 OF NE1/4 OF SEC 31-1N-25E IN OR 1677/636 BEING PARAGRAPH 2 OF EXHIBIT A"</f>
        <v>PT NE1/4 OF NE1/4 OF SEC 31-1N-25E IN OR 1677/636 BEING PARAGRAPH 2 OF EXHIBIT A</v>
      </c>
      <c r="N689" t="str">
        <f>""</f>
        <v/>
      </c>
      <c r="O689" t="str">
        <f>"39642"</f>
        <v>39642</v>
      </c>
      <c r="P689" t="str">
        <f t="shared" si="194"/>
        <v>2017</v>
      </c>
      <c r="Q689" t="str">
        <f>""</f>
        <v/>
      </c>
      <c r="R689" t="str">
        <f>"N"</f>
        <v>N</v>
      </c>
      <c r="S689" t="str">
        <f>"4.67"</f>
        <v>4.67</v>
      </c>
      <c r="T689" t="str">
        <f>"825.85"</f>
        <v>825.85</v>
      </c>
      <c r="U689" t="str">
        <f>"54552.00"</f>
        <v>54552.00</v>
      </c>
      <c r="V689" t="str">
        <f>"54552.00"</f>
        <v>54552.00</v>
      </c>
      <c r="W689" t="str">
        <f t="shared" si="195"/>
        <v>2017</v>
      </c>
      <c r="X689" t="str">
        <f>"16.67"</f>
        <v>16.67</v>
      </c>
      <c r="Y689" t="str">
        <f>"882.63"</f>
        <v>882.63</v>
      </c>
      <c r="Z689" t="str">
        <f>""</f>
        <v/>
      </c>
      <c r="AA689" t="str">
        <f>"54552.00"</f>
        <v>54552.00</v>
      </c>
      <c r="AB689" t="str">
        <f t="shared" si="207"/>
        <v>Residential</v>
      </c>
      <c r="AC689" t="str">
        <f t="shared" si="204"/>
        <v>0</v>
      </c>
      <c r="AD689" t="str">
        <f t="shared" si="209"/>
        <v>4</v>
      </c>
      <c r="AE689" t="str">
        <f t="shared" si="210"/>
        <v>WOOD (INCLUDE STEEL STUDS)</v>
      </c>
      <c r="AF689" t="str">
        <f>"002"</f>
        <v>002</v>
      </c>
      <c r="AG689" t="str">
        <f t="shared" si="197"/>
        <v>FL</v>
      </c>
      <c r="AH689" t="str">
        <f>"203425.00"</f>
        <v>203425.00</v>
      </c>
      <c r="AI689" t="str">
        <f>"39695.00"</f>
        <v>39695.00</v>
      </c>
      <c r="AJ689" t="str">
        <f>"C55-000-587-6343-4"</f>
        <v>C55-000-587-6343-4</v>
      </c>
      <c r="AK689" t="str">
        <f>"11081"</f>
        <v>11081</v>
      </c>
      <c r="AL689">
        <v>3</v>
      </c>
      <c r="AM689">
        <v>788</v>
      </c>
      <c r="AN689">
        <v>925.16</v>
      </c>
      <c r="AQ689" t="s">
        <v>7331</v>
      </c>
      <c r="AR689" t="s">
        <v>7331</v>
      </c>
      <c r="AS689" t="s">
        <v>7331</v>
      </c>
      <c r="AU689" t="s">
        <v>396</v>
      </c>
      <c r="AV689">
        <v>2017</v>
      </c>
      <c r="AW689" t="str">
        <f>"31-1N-25-0000-0001-0000 "</f>
        <v xml:space="preserve">31-1N-25-0000-0001-0000 </v>
      </c>
      <c r="AX689">
        <v>43008</v>
      </c>
      <c r="AZ689" t="s">
        <v>3195</v>
      </c>
      <c r="BA689" t="s">
        <v>669</v>
      </c>
      <c r="BD689" t="s">
        <v>2785</v>
      </c>
      <c r="BE689" t="s">
        <v>393</v>
      </c>
      <c r="BF689">
        <v>32011</v>
      </c>
      <c r="BG689" t="s">
        <v>7332</v>
      </c>
      <c r="BH689" t="s">
        <v>2787</v>
      </c>
      <c r="BI689">
        <v>-81.8342428015428</v>
      </c>
      <c r="BJ689">
        <v>30.4654098863573</v>
      </c>
      <c r="BK689" t="s">
        <v>7029</v>
      </c>
      <c r="BM689" t="s">
        <v>7030</v>
      </c>
      <c r="BN689" t="s">
        <v>928</v>
      </c>
      <c r="BO689">
        <v>32011</v>
      </c>
      <c r="BP689" t="s">
        <v>404</v>
      </c>
      <c r="BQ689">
        <v>200</v>
      </c>
      <c r="BR689" t="s">
        <v>405</v>
      </c>
      <c r="BS689">
        <v>1006</v>
      </c>
      <c r="BT689" t="s">
        <v>406</v>
      </c>
      <c r="BW689">
        <v>203425</v>
      </c>
      <c r="BX689" t="s">
        <v>407</v>
      </c>
      <c r="BY689" t="s">
        <v>408</v>
      </c>
      <c r="BZ689">
        <v>4</v>
      </c>
      <c r="CA689">
        <v>1980</v>
      </c>
      <c r="CC689">
        <v>2</v>
      </c>
      <c r="CD689">
        <v>2017</v>
      </c>
      <c r="CE689">
        <v>39695</v>
      </c>
      <c r="CF689">
        <v>14857</v>
      </c>
      <c r="CG689">
        <v>54552</v>
      </c>
      <c r="CH689">
        <v>2017</v>
      </c>
      <c r="CI689">
        <v>39695</v>
      </c>
      <c r="CJ689">
        <v>14857</v>
      </c>
      <c r="CK689">
        <v>54552</v>
      </c>
      <c r="CL689">
        <v>2017</v>
      </c>
      <c r="CM689">
        <v>825.85</v>
      </c>
      <c r="CN689" s="1">
        <v>40315</v>
      </c>
      <c r="CO689">
        <v>94100</v>
      </c>
      <c r="CV689">
        <v>0</v>
      </c>
      <c r="CZ689" s="1">
        <v>40315</v>
      </c>
      <c r="DA689">
        <v>0</v>
      </c>
      <c r="DD689" t="s">
        <v>2785</v>
      </c>
      <c r="DG689">
        <v>31</v>
      </c>
      <c r="DL689">
        <v>50502</v>
      </c>
      <c r="DM689" t="s">
        <v>7333</v>
      </c>
      <c r="DO689" t="s">
        <v>7334</v>
      </c>
      <c r="DP689">
        <v>0</v>
      </c>
      <c r="DQ689">
        <v>0</v>
      </c>
      <c r="DR689" t="s">
        <v>411</v>
      </c>
      <c r="DS689" t="b">
        <v>1</v>
      </c>
      <c r="DT689" t="s">
        <v>470</v>
      </c>
      <c r="DU689" t="s">
        <v>471</v>
      </c>
      <c r="DV689" t="s">
        <v>472</v>
      </c>
      <c r="DX689">
        <v>-9999</v>
      </c>
      <c r="DZ689" t="s">
        <v>447</v>
      </c>
      <c r="EA689" t="s">
        <v>448</v>
      </c>
      <c r="EB689" t="s">
        <v>742</v>
      </c>
      <c r="EC689">
        <v>20101217</v>
      </c>
      <c r="ED689" t="s">
        <v>474</v>
      </c>
      <c r="EF689">
        <v>97.1</v>
      </c>
      <c r="EG689">
        <v>97.1</v>
      </c>
      <c r="EI689">
        <v>20160407</v>
      </c>
      <c r="EJ689">
        <v>0</v>
      </c>
      <c r="EK689">
        <v>0</v>
      </c>
      <c r="EP689" t="s">
        <v>421</v>
      </c>
      <c r="EQ689" t="s">
        <v>422</v>
      </c>
      <c r="ER689">
        <v>0</v>
      </c>
      <c r="ES689">
        <v>9</v>
      </c>
      <c r="ET689">
        <v>0</v>
      </c>
      <c r="EU689">
        <v>0</v>
      </c>
      <c r="EV689">
        <v>0</v>
      </c>
      <c r="EW689" s="2">
        <v>43222</v>
      </c>
      <c r="EX689" s="1">
        <v>42879</v>
      </c>
      <c r="EY689">
        <v>2016</v>
      </c>
      <c r="EZ689">
        <v>1012.23</v>
      </c>
      <c r="FA689" t="s">
        <v>7335</v>
      </c>
      <c r="FB689">
        <v>0.25</v>
      </c>
      <c r="FC689" t="s">
        <v>424</v>
      </c>
      <c r="FD689" t="s">
        <v>425</v>
      </c>
      <c r="FE689" s="1">
        <v>43146</v>
      </c>
      <c r="FF689">
        <v>9</v>
      </c>
      <c r="FG689">
        <v>2851116</v>
      </c>
      <c r="FH689" t="s">
        <v>480</v>
      </c>
      <c r="FJ689" s="1">
        <v>42879</v>
      </c>
      <c r="FK689">
        <v>2016</v>
      </c>
      <c r="FL689">
        <v>1012.23</v>
      </c>
      <c r="FM689" t="s">
        <v>7335</v>
      </c>
      <c r="FN689">
        <v>0.25</v>
      </c>
      <c r="FO689" t="s">
        <v>424</v>
      </c>
      <c r="FP689" t="s">
        <v>425</v>
      </c>
      <c r="FR689">
        <v>22</v>
      </c>
      <c r="FS689">
        <v>5417005</v>
      </c>
      <c r="FT689" t="s">
        <v>7336</v>
      </c>
      <c r="FV689" s="1">
        <v>42515</v>
      </c>
      <c r="FW689">
        <v>2015</v>
      </c>
      <c r="FX689">
        <v>1025.2</v>
      </c>
      <c r="FY689" t="s">
        <v>7337</v>
      </c>
      <c r="FZ689">
        <v>0.25</v>
      </c>
      <c r="GA689" t="s">
        <v>424</v>
      </c>
      <c r="GB689" t="s">
        <v>425</v>
      </c>
      <c r="GC689" s="1">
        <v>42830</v>
      </c>
      <c r="GD689">
        <v>11</v>
      </c>
      <c r="GE689">
        <v>2851116</v>
      </c>
      <c r="GF689" t="s">
        <v>480</v>
      </c>
      <c r="GH689" s="1">
        <v>42515</v>
      </c>
      <c r="GI689">
        <v>2015</v>
      </c>
      <c r="GJ689">
        <v>1025.2</v>
      </c>
      <c r="GK689" t="s">
        <v>7337</v>
      </c>
      <c r="GL689">
        <v>0.25</v>
      </c>
      <c r="GM689" t="s">
        <v>424</v>
      </c>
      <c r="GN689" t="s">
        <v>425</v>
      </c>
      <c r="GP689">
        <v>22</v>
      </c>
      <c r="GQ689">
        <v>5264713</v>
      </c>
      <c r="GR689" t="s">
        <v>7338</v>
      </c>
      <c r="GT689" s="1">
        <v>42151</v>
      </c>
      <c r="GU689">
        <v>2014</v>
      </c>
      <c r="GV689">
        <v>933.31</v>
      </c>
      <c r="GW689" t="s">
        <v>7339</v>
      </c>
      <c r="GX689">
        <v>0.25</v>
      </c>
      <c r="GY689" t="s">
        <v>424</v>
      </c>
      <c r="GZ689" t="s">
        <v>425</v>
      </c>
      <c r="HA689" s="1">
        <v>42769</v>
      </c>
      <c r="HB689">
        <v>21</v>
      </c>
      <c r="HC689">
        <v>2851116</v>
      </c>
      <c r="HD689" t="s">
        <v>480</v>
      </c>
      <c r="HF689" s="1">
        <v>42151</v>
      </c>
      <c r="HG689">
        <v>2014</v>
      </c>
      <c r="HH689">
        <v>933.31</v>
      </c>
      <c r="HI689" t="s">
        <v>7339</v>
      </c>
      <c r="HJ689">
        <v>0.25</v>
      </c>
      <c r="HK689" t="s">
        <v>424</v>
      </c>
      <c r="HL689" t="s">
        <v>425</v>
      </c>
      <c r="HN689">
        <v>22</v>
      </c>
      <c r="HO689">
        <v>4861838</v>
      </c>
      <c r="HP689" t="s">
        <v>7340</v>
      </c>
      <c r="HR689" s="1">
        <v>41787</v>
      </c>
      <c r="HS689">
        <v>2013</v>
      </c>
      <c r="HT689">
        <v>989</v>
      </c>
      <c r="HU689" t="s">
        <v>7341</v>
      </c>
      <c r="HV689">
        <v>0.25</v>
      </c>
      <c r="HW689" t="s">
        <v>424</v>
      </c>
      <c r="HX689" t="s">
        <v>425</v>
      </c>
      <c r="HY689" s="1">
        <v>42405</v>
      </c>
      <c r="HZ689">
        <v>21</v>
      </c>
      <c r="IA689">
        <v>2407503</v>
      </c>
      <c r="IB689" t="s">
        <v>461</v>
      </c>
      <c r="ID689" s="1">
        <v>41423</v>
      </c>
      <c r="IE689">
        <v>2012</v>
      </c>
      <c r="IF689">
        <v>923.8</v>
      </c>
      <c r="IG689" t="s">
        <v>7342</v>
      </c>
      <c r="IH689">
        <v>3.5</v>
      </c>
      <c r="II689" t="s">
        <v>424</v>
      </c>
      <c r="IJ689" t="s">
        <v>425</v>
      </c>
      <c r="IK689" s="1">
        <v>42003</v>
      </c>
      <c r="IL689">
        <v>19</v>
      </c>
      <c r="IM689">
        <v>1625515</v>
      </c>
      <c r="IN689" t="s">
        <v>487</v>
      </c>
      <c r="IP689" s="1">
        <v>41052</v>
      </c>
      <c r="IQ689">
        <v>2011</v>
      </c>
      <c r="IR689">
        <v>1199.81</v>
      </c>
      <c r="IS689" t="s">
        <v>7343</v>
      </c>
      <c r="IT689">
        <v>6</v>
      </c>
      <c r="IU689" t="s">
        <v>424</v>
      </c>
      <c r="IV689" t="s">
        <v>425</v>
      </c>
      <c r="IW689" s="1">
        <v>41638</v>
      </c>
      <c r="IX689">
        <v>19</v>
      </c>
      <c r="IY689">
        <v>1109</v>
      </c>
      <c r="IZ689" t="s">
        <v>852</v>
      </c>
    </row>
    <row r="690" spans="1:272" x14ac:dyDescent="0.25">
      <c r="A690">
        <v>16485697</v>
      </c>
      <c r="B690">
        <v>689</v>
      </c>
      <c r="C690" t="s">
        <v>393</v>
      </c>
      <c r="D690" t="s">
        <v>394</v>
      </c>
      <c r="F690" t="str">
        <f>"37-1N-25-0000-0004-0010"</f>
        <v>37-1N-25-0000-0004-0010</v>
      </c>
      <c r="H690" t="str">
        <f>"MIN JAMES BYUNG K &amp; HELEN HYO"</f>
        <v>MIN JAMES BYUNG K &amp; HELEN HYO</v>
      </c>
      <c r="I690" t="str">
        <f>"54002 DEERFIELD CTRY CLUB ROAD"</f>
        <v>54002 DEERFIELD CTRY CLUB ROAD</v>
      </c>
      <c r="J690" t="str">
        <f>"CALLAHAN FL 32011"</f>
        <v>CALLAHAN FL 32011</v>
      </c>
      <c r="K690" t="str">
        <f>"54002 DEERFIELD COUNTRY CLUB RD"</f>
        <v>54002 DEERFIELD COUNTRY CLUB RD</v>
      </c>
      <c r="L690" t="str">
        <f t="shared" si="202"/>
        <v>CALLAHAN FL 32011</v>
      </c>
      <c r="M690" t="str">
        <f>"PT OF SEC 37 IN OR 1044/1073 PAR 4-1 &amp; 4-5 GREEN ACRES GOLF COURSE"</f>
        <v>PT OF SEC 37 IN OR 1044/1073 PAR 4-1 &amp; 4-5 GREEN ACRES GOLF COURSE</v>
      </c>
      <c r="N690" t="str">
        <f>""</f>
        <v/>
      </c>
      <c r="O690" t="str">
        <f>"42281"</f>
        <v>42281</v>
      </c>
      <c r="P690" t="str">
        <f t="shared" si="194"/>
        <v>2017</v>
      </c>
      <c r="Q690" t="str">
        <f>""</f>
        <v/>
      </c>
      <c r="R690" t="str">
        <f>"N"</f>
        <v>N</v>
      </c>
      <c r="S690" t="str">
        <f>"123.45"</f>
        <v>123.45</v>
      </c>
      <c r="T690" t="str">
        <f>"17522.18"</f>
        <v>17522.18</v>
      </c>
      <c r="U690" t="str">
        <f>"1157435.00"</f>
        <v>1157435.00</v>
      </c>
      <c r="V690" t="str">
        <f>"1157435.00"</f>
        <v>1157435.00</v>
      </c>
      <c r="W690" t="str">
        <f t="shared" si="195"/>
        <v>2017</v>
      </c>
      <c r="X690" t="str">
        <f>"2.00"</f>
        <v>2.00</v>
      </c>
      <c r="Y690" t="str">
        <f>"18079.85"</f>
        <v>18079.85</v>
      </c>
      <c r="Z690" t="str">
        <f>""</f>
        <v/>
      </c>
      <c r="AA690" t="str">
        <f>"1157435.00"</f>
        <v>1157435.00</v>
      </c>
      <c r="AB690" t="str">
        <f>"Commercial"</f>
        <v>Commercial</v>
      </c>
      <c r="AC690" t="str">
        <f t="shared" si="204"/>
        <v>0</v>
      </c>
      <c r="AD690" t="str">
        <f>"3"</f>
        <v>3</v>
      </c>
      <c r="AE690" t="str">
        <f>"MASONRY"</f>
        <v>MASONRY</v>
      </c>
      <c r="AF690" t="str">
        <f>"038"</f>
        <v>038</v>
      </c>
      <c r="AG690" t="str">
        <f t="shared" si="197"/>
        <v>FL</v>
      </c>
      <c r="AH690" t="str">
        <f>"5377482.00"</f>
        <v>5377482.00</v>
      </c>
      <c r="AI690" t="str">
        <f>"308880.00"</f>
        <v>308880.00</v>
      </c>
      <c r="AJ690" t="str">
        <f>"C55-000-587-8267-3"</f>
        <v>C55-000-587-8267-3</v>
      </c>
      <c r="AK690" t="str">
        <f>"11100"</f>
        <v>11100</v>
      </c>
      <c r="AL690">
        <v>3</v>
      </c>
      <c r="AM690">
        <v>790</v>
      </c>
      <c r="AN690">
        <v>18982.240000000002</v>
      </c>
      <c r="AQ690" t="s">
        <v>7344</v>
      </c>
      <c r="AR690" t="s">
        <v>7344</v>
      </c>
      <c r="AS690" t="s">
        <v>7344</v>
      </c>
      <c r="AU690" t="s">
        <v>396</v>
      </c>
      <c r="AV690">
        <v>2017</v>
      </c>
      <c r="AW690" t="str">
        <f>"37-1N-25-0000-0004-0010 "</f>
        <v xml:space="preserve">37-1N-25-0000-0004-0010 </v>
      </c>
      <c r="AX690">
        <v>54002</v>
      </c>
      <c r="AZ690" t="s">
        <v>7345</v>
      </c>
      <c r="BA690" t="s">
        <v>496</v>
      </c>
      <c r="BD690" t="s">
        <v>2785</v>
      </c>
      <c r="BE690" t="s">
        <v>393</v>
      </c>
      <c r="BF690">
        <v>32011</v>
      </c>
      <c r="BG690" t="s">
        <v>7346</v>
      </c>
      <c r="BH690" t="s">
        <v>2787</v>
      </c>
      <c r="BI690">
        <v>-81.778352404109796</v>
      </c>
      <c r="BJ690">
        <v>30.530866256058498</v>
      </c>
      <c r="BK690" t="s">
        <v>7347</v>
      </c>
      <c r="BL690" t="s">
        <v>7348</v>
      </c>
      <c r="BM690" t="s">
        <v>7346</v>
      </c>
      <c r="BN690" t="s">
        <v>928</v>
      </c>
      <c r="BO690">
        <v>32011</v>
      </c>
      <c r="BP690" t="s">
        <v>404</v>
      </c>
      <c r="BQ690">
        <v>3800</v>
      </c>
      <c r="BR690" t="s">
        <v>7349</v>
      </c>
      <c r="BS690">
        <v>4028</v>
      </c>
      <c r="BT690" t="s">
        <v>7350</v>
      </c>
      <c r="BW690">
        <v>5377482</v>
      </c>
      <c r="BX690" t="s">
        <v>407</v>
      </c>
      <c r="BY690" t="s">
        <v>7351</v>
      </c>
      <c r="BZ690">
        <v>3</v>
      </c>
      <c r="CA690">
        <v>1971</v>
      </c>
      <c r="CB690">
        <v>1</v>
      </c>
      <c r="CD690">
        <v>2017</v>
      </c>
      <c r="CE690">
        <v>308880</v>
      </c>
      <c r="CF690">
        <v>848555</v>
      </c>
      <c r="CG690">
        <v>1157435</v>
      </c>
      <c r="CH690">
        <v>2017</v>
      </c>
      <c r="CI690">
        <v>308880</v>
      </c>
      <c r="CJ690">
        <v>848555</v>
      </c>
      <c r="CK690">
        <v>1157435</v>
      </c>
      <c r="CL690">
        <v>2017</v>
      </c>
      <c r="CM690">
        <v>17522.18</v>
      </c>
      <c r="CN690" s="1">
        <v>37334</v>
      </c>
      <c r="CO690">
        <v>2300000</v>
      </c>
      <c r="CV690">
        <v>0</v>
      </c>
      <c r="CZ690" s="1">
        <v>37334</v>
      </c>
      <c r="DA690">
        <v>0</v>
      </c>
      <c r="DD690" t="s">
        <v>2785</v>
      </c>
      <c r="DG690">
        <v>37</v>
      </c>
      <c r="DJ690" t="s">
        <v>7352</v>
      </c>
      <c r="DL690">
        <v>50502</v>
      </c>
      <c r="DM690" t="s">
        <v>7353</v>
      </c>
      <c r="DO690" t="s">
        <v>7354</v>
      </c>
      <c r="DP690">
        <v>0</v>
      </c>
      <c r="DQ690">
        <v>5</v>
      </c>
      <c r="DR690" t="s">
        <v>411</v>
      </c>
      <c r="DS690" t="b">
        <v>1</v>
      </c>
      <c r="DT690" t="s">
        <v>470</v>
      </c>
      <c r="DU690" t="s">
        <v>471</v>
      </c>
      <c r="DV690" t="s">
        <v>472</v>
      </c>
      <c r="DX690">
        <v>-9999</v>
      </c>
      <c r="DZ690" t="s">
        <v>447</v>
      </c>
      <c r="EA690" t="s">
        <v>448</v>
      </c>
      <c r="EB690" t="s">
        <v>742</v>
      </c>
      <c r="EC690">
        <v>20101217</v>
      </c>
      <c r="ED690" t="s">
        <v>474</v>
      </c>
      <c r="EF690">
        <v>3900</v>
      </c>
      <c r="EG690">
        <v>3900</v>
      </c>
      <c r="EI690">
        <v>20160407</v>
      </c>
      <c r="EJ690">
        <v>0</v>
      </c>
      <c r="EK690">
        <v>0</v>
      </c>
      <c r="EP690" t="s">
        <v>421</v>
      </c>
      <c r="EQ690" t="s">
        <v>422</v>
      </c>
      <c r="ER690">
        <v>0</v>
      </c>
      <c r="ES690">
        <v>3</v>
      </c>
      <c r="ET690">
        <v>0</v>
      </c>
      <c r="EU690">
        <v>0</v>
      </c>
      <c r="EV690">
        <v>0</v>
      </c>
      <c r="EW690" s="2">
        <v>43222</v>
      </c>
      <c r="EX690" s="1">
        <v>42151</v>
      </c>
      <c r="EY690">
        <v>2014</v>
      </c>
      <c r="EZ690">
        <v>18224.45</v>
      </c>
      <c r="FA690" t="s">
        <v>7355</v>
      </c>
      <c r="FB690">
        <v>0.25</v>
      </c>
      <c r="FC690" t="s">
        <v>424</v>
      </c>
      <c r="FD690" t="s">
        <v>425</v>
      </c>
      <c r="FE690" s="1">
        <v>42244</v>
      </c>
      <c r="FF690">
        <v>3</v>
      </c>
      <c r="FG690">
        <v>15259</v>
      </c>
      <c r="FH690" t="s">
        <v>891</v>
      </c>
      <c r="FJ690" s="1">
        <v>42151</v>
      </c>
      <c r="FK690">
        <v>2014</v>
      </c>
      <c r="FL690">
        <v>18224.45</v>
      </c>
      <c r="FM690" t="s">
        <v>7355</v>
      </c>
      <c r="FN690">
        <v>0.25</v>
      </c>
      <c r="FO690" t="s">
        <v>424</v>
      </c>
      <c r="FP690" t="s">
        <v>425</v>
      </c>
      <c r="FR690">
        <v>22</v>
      </c>
      <c r="FS690">
        <v>6770233</v>
      </c>
      <c r="FT690" t="s">
        <v>7356</v>
      </c>
      <c r="FV690" s="1">
        <v>41423</v>
      </c>
      <c r="FW690">
        <v>2012</v>
      </c>
      <c r="FX690">
        <v>14386</v>
      </c>
      <c r="FY690" t="s">
        <v>7357</v>
      </c>
      <c r="FZ690">
        <v>0.25</v>
      </c>
      <c r="GA690" t="s">
        <v>424</v>
      </c>
      <c r="GB690" t="s">
        <v>425</v>
      </c>
      <c r="GC690" s="1">
        <v>41437</v>
      </c>
      <c r="GD690">
        <v>1</v>
      </c>
      <c r="GE690">
        <v>15259</v>
      </c>
      <c r="GF690" t="s">
        <v>891</v>
      </c>
    </row>
    <row r="691" spans="1:272" x14ac:dyDescent="0.25">
      <c r="A691">
        <v>16485698</v>
      </c>
      <c r="B691">
        <v>690</v>
      </c>
      <c r="C691" t="s">
        <v>393</v>
      </c>
      <c r="D691" t="s">
        <v>394</v>
      </c>
      <c r="F691" t="str">
        <f>"37-1N-25-0000-0004-0070"</f>
        <v>37-1N-25-0000-0004-0070</v>
      </c>
      <c r="H691" t="str">
        <f>"MULRAIN KATHRYN WOOD"</f>
        <v>MULRAIN KATHRYN WOOD</v>
      </c>
      <c r="I691" t="str">
        <f>"1216 30TH ST NW"</f>
        <v>1216 30TH ST NW</v>
      </c>
      <c r="J691" t="str">
        <f>"WASHINGTON DC 20007"</f>
        <v>WASHINGTON DC 20007</v>
      </c>
      <c r="K691" t="str">
        <f>"DEERFIELD COUNTRY CLUB RD"</f>
        <v>DEERFIELD COUNTRY CLUB RD</v>
      </c>
      <c r="L691" t="str">
        <f t="shared" si="202"/>
        <v>CALLAHAN FL 32011</v>
      </c>
      <c r="M691" t="str">
        <f>"IN OR 919/1854 EX 4-8"</f>
        <v>IN OR 919/1854 EX 4-8</v>
      </c>
      <c r="N691" t="str">
        <f>""</f>
        <v/>
      </c>
      <c r="O691" t="str">
        <f>"42286"</f>
        <v>42286</v>
      </c>
      <c r="P691" t="str">
        <f t="shared" si="194"/>
        <v>2017</v>
      </c>
      <c r="Q691" t="str">
        <f>""</f>
        <v/>
      </c>
      <c r="R691" t="str">
        <f>"N"</f>
        <v>N</v>
      </c>
      <c r="S691" t="str">
        <f>""</f>
        <v/>
      </c>
      <c r="T691" t="str">
        <f>"15.14"</f>
        <v>15.14</v>
      </c>
      <c r="U691" t="str">
        <f>"1000.00"</f>
        <v>1000.00</v>
      </c>
      <c r="V691" t="str">
        <f>"1000.00"</f>
        <v>1000.00</v>
      </c>
      <c r="W691" t="str">
        <f t="shared" si="195"/>
        <v>2017</v>
      </c>
      <c r="X691" t="str">
        <f>""</f>
        <v/>
      </c>
      <c r="Y691" t="str">
        <f>"47.59"</f>
        <v>47.59</v>
      </c>
      <c r="Z691" t="str">
        <f>""</f>
        <v/>
      </c>
      <c r="AA691" t="str">
        <f>"1000.00"</f>
        <v>1000.00</v>
      </c>
      <c r="AB691" t="str">
        <f>"Residential"</f>
        <v>Residential</v>
      </c>
      <c r="AC691" t="str">
        <f t="shared" si="204"/>
        <v>0</v>
      </c>
      <c r="AD691" t="str">
        <f>""</f>
        <v/>
      </c>
      <c r="AE691" t="str">
        <f>""</f>
        <v/>
      </c>
      <c r="AF691" t="str">
        <f>"000"</f>
        <v>000</v>
      </c>
      <c r="AG691" t="str">
        <f>"DC"</f>
        <v>DC</v>
      </c>
      <c r="AH691" t="str">
        <f>"7840.00"</f>
        <v>7840.00</v>
      </c>
      <c r="AI691" t="str">
        <f>"1000.00"</f>
        <v>1000.00</v>
      </c>
      <c r="AJ691" t="str">
        <f>"C55-000-587-8272-3"</f>
        <v>C55-000-587-8272-3</v>
      </c>
      <c r="AK691" t="str">
        <f>"11105"</f>
        <v>11105</v>
      </c>
      <c r="AL691">
        <v>3</v>
      </c>
      <c r="AM691">
        <v>791</v>
      </c>
      <c r="AN691">
        <v>48.37</v>
      </c>
      <c r="AQ691" t="s">
        <v>7358</v>
      </c>
      <c r="AR691" t="s">
        <v>7358</v>
      </c>
      <c r="AS691" t="s">
        <v>7358</v>
      </c>
      <c r="AU691" t="s">
        <v>396</v>
      </c>
      <c r="AV691">
        <v>2017</v>
      </c>
      <c r="AW691" t="str">
        <f>"37-1N-25-0000-0004-0070 "</f>
        <v xml:space="preserve">37-1N-25-0000-0004-0070 </v>
      </c>
      <c r="AZ691" t="s">
        <v>7345</v>
      </c>
      <c r="BA691" t="s">
        <v>496</v>
      </c>
      <c r="BD691" t="s">
        <v>2785</v>
      </c>
      <c r="BE691" t="s">
        <v>393</v>
      </c>
      <c r="BF691">
        <v>32011</v>
      </c>
      <c r="BG691" t="s">
        <v>7359</v>
      </c>
      <c r="BH691" t="s">
        <v>2787</v>
      </c>
      <c r="BI691">
        <v>-81.776696216729604</v>
      </c>
      <c r="BJ691">
        <v>30.531218305922401</v>
      </c>
      <c r="BK691" t="s">
        <v>7360</v>
      </c>
      <c r="BM691" t="s">
        <v>7361</v>
      </c>
      <c r="BN691" t="s">
        <v>7362</v>
      </c>
      <c r="BO691">
        <v>20007</v>
      </c>
      <c r="BP691" t="s">
        <v>404</v>
      </c>
      <c r="BQ691">
        <v>0</v>
      </c>
      <c r="BR691" t="s">
        <v>491</v>
      </c>
      <c r="BS691">
        <v>8001</v>
      </c>
      <c r="BT691" t="s">
        <v>492</v>
      </c>
      <c r="BW691">
        <v>7840</v>
      </c>
      <c r="BX691" t="s">
        <v>407</v>
      </c>
      <c r="BY691" t="s">
        <v>7351</v>
      </c>
      <c r="CD691">
        <v>2017</v>
      </c>
      <c r="CE691">
        <v>1000</v>
      </c>
      <c r="CG691">
        <v>1000</v>
      </c>
      <c r="CH691">
        <v>2017</v>
      </c>
      <c r="CI691">
        <v>1000</v>
      </c>
      <c r="CK691">
        <v>1000</v>
      </c>
      <c r="CL691">
        <v>2017</v>
      </c>
      <c r="CM691">
        <v>15.14</v>
      </c>
      <c r="CN691" s="1">
        <v>37546</v>
      </c>
      <c r="CO691">
        <v>275000</v>
      </c>
      <c r="CV691">
        <v>0</v>
      </c>
      <c r="CZ691" s="1">
        <v>37546</v>
      </c>
      <c r="DA691">
        <v>0</v>
      </c>
      <c r="DD691" t="s">
        <v>2785</v>
      </c>
      <c r="DG691">
        <v>37</v>
      </c>
      <c r="DL691">
        <v>50502</v>
      </c>
      <c r="DM691" t="s">
        <v>7353</v>
      </c>
      <c r="DO691" t="s">
        <v>7363</v>
      </c>
      <c r="DP691">
        <v>0</v>
      </c>
      <c r="DQ691">
        <v>0</v>
      </c>
      <c r="DR691" t="s">
        <v>411</v>
      </c>
      <c r="DS691" t="b">
        <v>1</v>
      </c>
      <c r="DT691" t="s">
        <v>470</v>
      </c>
      <c r="DU691" t="s">
        <v>471</v>
      </c>
      <c r="DV691" t="s">
        <v>472</v>
      </c>
      <c r="DX691">
        <v>-9999</v>
      </c>
      <c r="DZ691" t="s">
        <v>447</v>
      </c>
      <c r="EA691" t="s">
        <v>448</v>
      </c>
      <c r="EB691" t="s">
        <v>742</v>
      </c>
      <c r="EC691">
        <v>20101217</v>
      </c>
      <c r="ED691" t="s">
        <v>474</v>
      </c>
      <c r="EF691">
        <v>2377.5</v>
      </c>
      <c r="EG691">
        <v>2377.5</v>
      </c>
      <c r="EI691">
        <v>20160407</v>
      </c>
      <c r="EJ691">
        <v>0</v>
      </c>
      <c r="EK691">
        <v>0</v>
      </c>
      <c r="EP691" t="s">
        <v>595</v>
      </c>
      <c r="EQ691" t="s">
        <v>422</v>
      </c>
      <c r="ER691">
        <v>10</v>
      </c>
      <c r="ES691">
        <v>0</v>
      </c>
      <c r="ET691">
        <v>615.37</v>
      </c>
      <c r="EU691">
        <v>491.15</v>
      </c>
      <c r="EV691">
        <v>1106.52</v>
      </c>
      <c r="EW691" s="2">
        <v>43222</v>
      </c>
      <c r="EX691" s="1">
        <v>42879</v>
      </c>
      <c r="EY691">
        <v>2016</v>
      </c>
      <c r="EZ691">
        <v>43.61</v>
      </c>
      <c r="FA691" t="s">
        <v>7364</v>
      </c>
      <c r="FB691">
        <v>18</v>
      </c>
      <c r="FC691" t="s">
        <v>603</v>
      </c>
      <c r="FD691" t="s">
        <v>454</v>
      </c>
      <c r="FF691">
        <v>12</v>
      </c>
      <c r="FG691">
        <v>9999999</v>
      </c>
      <c r="FH691" t="s">
        <v>604</v>
      </c>
      <c r="FJ691" s="1">
        <v>42515</v>
      </c>
      <c r="FK691">
        <v>2015</v>
      </c>
      <c r="FL691">
        <v>39.01</v>
      </c>
      <c r="FM691" t="s">
        <v>7365</v>
      </c>
      <c r="FN691">
        <v>18</v>
      </c>
      <c r="FO691" t="s">
        <v>603</v>
      </c>
      <c r="FP691" t="s">
        <v>454</v>
      </c>
      <c r="FR691">
        <v>24</v>
      </c>
      <c r="FS691">
        <v>9999999</v>
      </c>
      <c r="FT691" t="s">
        <v>604</v>
      </c>
      <c r="FV691" s="1">
        <v>42515</v>
      </c>
      <c r="FW691">
        <v>2015</v>
      </c>
      <c r="FX691">
        <v>45.85</v>
      </c>
      <c r="FY691" t="s">
        <v>7365</v>
      </c>
      <c r="FZ691">
        <v>18</v>
      </c>
      <c r="GA691" t="s">
        <v>424</v>
      </c>
      <c r="GB691" t="s">
        <v>454</v>
      </c>
      <c r="GD691">
        <v>24</v>
      </c>
      <c r="GE691">
        <v>10647</v>
      </c>
      <c r="GF691" t="s">
        <v>4602</v>
      </c>
      <c r="GH691" s="1">
        <v>42151</v>
      </c>
      <c r="GI691">
        <v>2014</v>
      </c>
      <c r="GJ691">
        <v>39.090000000000003</v>
      </c>
      <c r="GK691" t="s">
        <v>7366</v>
      </c>
      <c r="GL691">
        <v>18</v>
      </c>
      <c r="GM691" t="s">
        <v>424</v>
      </c>
      <c r="GN691" t="s">
        <v>454</v>
      </c>
      <c r="GP691">
        <v>36</v>
      </c>
      <c r="GQ691">
        <v>6516843</v>
      </c>
      <c r="GR691" t="s">
        <v>601</v>
      </c>
      <c r="GT691" s="1">
        <v>41787</v>
      </c>
      <c r="GU691">
        <v>2013</v>
      </c>
      <c r="GV691">
        <v>38.18</v>
      </c>
      <c r="GW691" t="s">
        <v>7367</v>
      </c>
      <c r="GX691">
        <v>18</v>
      </c>
      <c r="GY691" t="s">
        <v>603</v>
      </c>
      <c r="GZ691" t="s">
        <v>454</v>
      </c>
      <c r="HB691">
        <v>48</v>
      </c>
      <c r="HC691">
        <v>9999999</v>
      </c>
      <c r="HD691" t="s">
        <v>604</v>
      </c>
      <c r="HF691" s="1">
        <v>41787</v>
      </c>
      <c r="HG691">
        <v>2013</v>
      </c>
      <c r="HH691">
        <v>52.45</v>
      </c>
      <c r="HI691" t="s">
        <v>7367</v>
      </c>
      <c r="HJ691">
        <v>18</v>
      </c>
      <c r="HK691" t="s">
        <v>424</v>
      </c>
      <c r="HL691" t="s">
        <v>454</v>
      </c>
      <c r="HN691">
        <v>48</v>
      </c>
      <c r="HO691">
        <v>10647</v>
      </c>
      <c r="HP691" t="s">
        <v>4602</v>
      </c>
      <c r="HR691" s="1">
        <v>41423</v>
      </c>
      <c r="HS691">
        <v>2012</v>
      </c>
      <c r="HT691">
        <v>38.369999999999997</v>
      </c>
      <c r="HU691" t="s">
        <v>7368</v>
      </c>
      <c r="HV691">
        <v>16.75</v>
      </c>
      <c r="HW691" t="s">
        <v>424</v>
      </c>
      <c r="HX691" t="s">
        <v>454</v>
      </c>
      <c r="HZ691">
        <v>60</v>
      </c>
      <c r="IA691">
        <v>10125</v>
      </c>
      <c r="IB691" t="s">
        <v>440</v>
      </c>
      <c r="ID691" s="1">
        <v>41052</v>
      </c>
      <c r="IE691">
        <v>2011</v>
      </c>
      <c r="IF691">
        <v>47.32</v>
      </c>
      <c r="IG691" t="s">
        <v>7369</v>
      </c>
      <c r="IH691">
        <v>18</v>
      </c>
      <c r="II691" t="s">
        <v>603</v>
      </c>
      <c r="IJ691" t="s">
        <v>454</v>
      </c>
      <c r="IL691">
        <v>72</v>
      </c>
      <c r="IM691">
        <v>9999999</v>
      </c>
      <c r="IN691" t="s">
        <v>604</v>
      </c>
      <c r="IP691" s="1">
        <v>41052</v>
      </c>
      <c r="IQ691">
        <v>2011</v>
      </c>
      <c r="IR691">
        <v>80.540000000000006</v>
      </c>
      <c r="IS691" t="s">
        <v>7369</v>
      </c>
      <c r="IT691">
        <v>18</v>
      </c>
      <c r="IU691" t="s">
        <v>424</v>
      </c>
      <c r="IV691" t="s">
        <v>454</v>
      </c>
      <c r="IX691">
        <v>72</v>
      </c>
      <c r="IY691">
        <v>10647</v>
      </c>
      <c r="IZ691" t="s">
        <v>4602</v>
      </c>
      <c r="JB691" s="1">
        <v>40688</v>
      </c>
      <c r="JC691">
        <v>2010</v>
      </c>
      <c r="JD691">
        <v>190.95</v>
      </c>
      <c r="JE691" t="s">
        <v>7370</v>
      </c>
      <c r="JF691">
        <v>10</v>
      </c>
      <c r="JG691" t="s">
        <v>424</v>
      </c>
      <c r="JH691" t="s">
        <v>454</v>
      </c>
      <c r="JJ691">
        <v>84</v>
      </c>
      <c r="JK691">
        <v>10125</v>
      </c>
      <c r="JL691" t="s">
        <v>440</v>
      </c>
    </row>
    <row r="692" spans="1:272" x14ac:dyDescent="0.25">
      <c r="A692">
        <v>16485699</v>
      </c>
      <c r="B692">
        <v>691</v>
      </c>
      <c r="C692" t="s">
        <v>393</v>
      </c>
      <c r="D692" t="s">
        <v>394</v>
      </c>
      <c r="F692" t="str">
        <f>"37-1N-25-0000-0005-0150"</f>
        <v>37-1N-25-0000-0005-0150</v>
      </c>
      <c r="H692" t="str">
        <f>"WINDHAM JOHN T EST"</f>
        <v>WINDHAM JOHN T EST</v>
      </c>
      <c r="I692" t="str">
        <f>"54152 FOUR ACRE CIRCLE"</f>
        <v>54152 FOUR ACRE CIRCLE</v>
      </c>
      <c r="J692" t="str">
        <f>"CALLAHAN FL 32011"</f>
        <v>CALLAHAN FL 32011</v>
      </c>
      <c r="K692" t="str">
        <f>"54152 FOURACRE CIR"</f>
        <v>54152 FOURACRE CIR</v>
      </c>
      <c r="L692" t="str">
        <f t="shared" si="202"/>
        <v>CALLAHAN FL 32011</v>
      </c>
      <c r="M692" t="str">
        <f>"IN OR 1153 PG 1477 1989 SPEC SW/MH"</f>
        <v>IN OR 1153 PG 1477 1989 SPEC SW/MH</v>
      </c>
      <c r="N692" t="str">
        <f>""</f>
        <v/>
      </c>
      <c r="O692" t="str">
        <f>"42299"</f>
        <v>42299</v>
      </c>
      <c r="P692" t="str">
        <f t="shared" si="194"/>
        <v>2017</v>
      </c>
      <c r="Q692" t="str">
        <f>""</f>
        <v/>
      </c>
      <c r="R692" t="str">
        <f>"N"</f>
        <v>N</v>
      </c>
      <c r="S692" t="str">
        <f>"6.18"</f>
        <v>6.18</v>
      </c>
      <c r="T692" t="str">
        <f>"502.11"</f>
        <v>502.11</v>
      </c>
      <c r="U692" t="str">
        <f>"33168.00"</f>
        <v>33168.00</v>
      </c>
      <c r="V692" t="str">
        <f>"33168.00"</f>
        <v>33168.00</v>
      </c>
      <c r="W692" t="str">
        <f t="shared" si="195"/>
        <v>2017</v>
      </c>
      <c r="X692" t="str">
        <f>""</f>
        <v/>
      </c>
      <c r="Y692" t="str">
        <f>"549.17"</f>
        <v>549.17</v>
      </c>
      <c r="Z692" t="str">
        <f>""</f>
        <v/>
      </c>
      <c r="AA692" t="str">
        <f>"33168.00"</f>
        <v>33168.00</v>
      </c>
      <c r="AB692" t="str">
        <f>"Residential"</f>
        <v>Residential</v>
      </c>
      <c r="AC692" t="str">
        <f t="shared" si="204"/>
        <v>0</v>
      </c>
      <c r="AD692" t="str">
        <f>"4"</f>
        <v>4</v>
      </c>
      <c r="AE692" t="str">
        <f>"WOOD (INCLUDE STEEL STUDS)"</f>
        <v>WOOD (INCLUDE STEEL STUDS)</v>
      </c>
      <c r="AF692" t="str">
        <f>"002"</f>
        <v>002</v>
      </c>
      <c r="AG692" t="str">
        <f t="shared" ref="AG692:AG718" si="211">"FL"</f>
        <v>FL</v>
      </c>
      <c r="AH692" t="str">
        <f>"269200.00"</f>
        <v>269200.00</v>
      </c>
      <c r="AI692" t="str">
        <f>"18540.00"</f>
        <v>18540.00</v>
      </c>
      <c r="AJ692" t="str">
        <f>"C55-000-587-8283-0"</f>
        <v>C55-000-587-8283-0</v>
      </c>
      <c r="AK692" t="str">
        <f>"11118"</f>
        <v>11118</v>
      </c>
      <c r="AL692">
        <v>3</v>
      </c>
      <c r="AM692">
        <v>792</v>
      </c>
      <c r="AN692">
        <v>575.03</v>
      </c>
      <c r="AQ692" t="s">
        <v>7371</v>
      </c>
      <c r="AR692" t="s">
        <v>7371</v>
      </c>
      <c r="AS692" t="s">
        <v>7371</v>
      </c>
      <c r="AU692" t="s">
        <v>396</v>
      </c>
      <c r="AV692">
        <v>2017</v>
      </c>
      <c r="AW692" t="str">
        <f>"37-1N-25-0000-0005-0150 "</f>
        <v xml:space="preserve">37-1N-25-0000-0005-0150 </v>
      </c>
      <c r="AX692">
        <v>54152</v>
      </c>
      <c r="AZ692" t="s">
        <v>7372</v>
      </c>
      <c r="BA692" t="s">
        <v>1799</v>
      </c>
      <c r="BD692" t="s">
        <v>2785</v>
      </c>
      <c r="BE692" t="s">
        <v>393</v>
      </c>
      <c r="BF692">
        <v>32011</v>
      </c>
      <c r="BG692" t="s">
        <v>7373</v>
      </c>
      <c r="BH692" t="s">
        <v>2787</v>
      </c>
      <c r="BI692">
        <v>-81.765070855530894</v>
      </c>
      <c r="BJ692">
        <v>30.522300049238201</v>
      </c>
      <c r="BK692" t="s">
        <v>7374</v>
      </c>
      <c r="BM692" t="s">
        <v>7373</v>
      </c>
      <c r="BN692" t="s">
        <v>928</v>
      </c>
      <c r="BO692">
        <v>32011</v>
      </c>
      <c r="BP692" t="s">
        <v>416</v>
      </c>
      <c r="BQ692">
        <v>200</v>
      </c>
      <c r="BR692" t="s">
        <v>405</v>
      </c>
      <c r="BS692">
        <v>1006</v>
      </c>
      <c r="BT692" t="s">
        <v>406</v>
      </c>
      <c r="BW692">
        <v>269200</v>
      </c>
      <c r="BX692" t="s">
        <v>407</v>
      </c>
      <c r="BZ692">
        <v>4</v>
      </c>
      <c r="CA692">
        <v>1989</v>
      </c>
      <c r="CB692">
        <v>1</v>
      </c>
      <c r="CC692">
        <v>1</v>
      </c>
      <c r="CD692">
        <v>2017</v>
      </c>
      <c r="CE692">
        <v>18540</v>
      </c>
      <c r="CF692">
        <v>14628</v>
      </c>
      <c r="CG692">
        <v>33168</v>
      </c>
      <c r="CH692">
        <v>2017</v>
      </c>
      <c r="CI692">
        <v>18540</v>
      </c>
      <c r="CJ692">
        <v>14628</v>
      </c>
      <c r="CK692">
        <v>33168</v>
      </c>
      <c r="CL692">
        <v>2017</v>
      </c>
      <c r="CM692">
        <v>502.11</v>
      </c>
      <c r="CN692" s="1">
        <v>37817</v>
      </c>
      <c r="CO692">
        <v>67000</v>
      </c>
      <c r="CV692">
        <v>53600</v>
      </c>
      <c r="CX692" t="s">
        <v>693</v>
      </c>
      <c r="CZ692" s="1">
        <v>37817</v>
      </c>
      <c r="DA692">
        <v>0</v>
      </c>
      <c r="DD692" t="s">
        <v>2785</v>
      </c>
      <c r="DG692">
        <v>37</v>
      </c>
      <c r="DL692">
        <v>50502</v>
      </c>
      <c r="DM692" t="s">
        <v>7353</v>
      </c>
      <c r="DO692" t="s">
        <v>7375</v>
      </c>
      <c r="DP692">
        <v>0</v>
      </c>
      <c r="DQ692">
        <v>0</v>
      </c>
      <c r="DR692" t="s">
        <v>411</v>
      </c>
    </row>
    <row r="693" spans="1:272" x14ac:dyDescent="0.25">
      <c r="A693">
        <v>16485700</v>
      </c>
      <c r="B693">
        <v>692</v>
      </c>
      <c r="C693" t="s">
        <v>393</v>
      </c>
      <c r="D693" t="s">
        <v>394</v>
      </c>
      <c r="F693" t="str">
        <f>"37-1N-25-0000-0010-0060"</f>
        <v>37-1N-25-0000-0010-0060</v>
      </c>
      <c r="H693" t="str">
        <f>"HIGGINBOTHAM RAYMOND R &amp; MARY"</f>
        <v>HIGGINBOTHAM RAYMOND R &amp; MARY</v>
      </c>
      <c r="I693" t="str">
        <f>"54212 ROY BOOTH ROAD"</f>
        <v>54212 ROY BOOTH ROAD</v>
      </c>
      <c r="J693" t="str">
        <f>"CALLAHAN FL 32011"</f>
        <v>CALLAHAN FL 32011</v>
      </c>
      <c r="K693" t="str">
        <f>"54212 ROY BOOTH RD"</f>
        <v>54212 ROY BOOTH RD</v>
      </c>
      <c r="L693" t="str">
        <f t="shared" si="202"/>
        <v>CALLAHAN FL 32011</v>
      </c>
      <c r="M693" t="str">
        <f>"IN OR 519 PG 915 EX R/W OR 605/1193"</f>
        <v>IN OR 519 PG 915 EX R/W OR 605/1193</v>
      </c>
      <c r="N693" t="str">
        <f>""</f>
        <v/>
      </c>
      <c r="O693" t="str">
        <f>"42319"</f>
        <v>42319</v>
      </c>
      <c r="P693" t="str">
        <f t="shared" si="194"/>
        <v>2017</v>
      </c>
      <c r="Q693" t="str">
        <f>""</f>
        <v/>
      </c>
      <c r="R693" t="str">
        <f>"Y"</f>
        <v>Y</v>
      </c>
      <c r="S693" t="str">
        <f>"7.49"</f>
        <v>7.49</v>
      </c>
      <c r="T693" t="str">
        <f>"703.92"</f>
        <v>703.92</v>
      </c>
      <c r="U693" t="str">
        <f>"85602.00"</f>
        <v>85602.00</v>
      </c>
      <c r="V693" t="str">
        <f>"85602.00"</f>
        <v>85602.00</v>
      </c>
      <c r="W693" t="str">
        <f t="shared" si="195"/>
        <v>2017</v>
      </c>
      <c r="X693" t="str">
        <f>"15.25"</f>
        <v>15.25</v>
      </c>
      <c r="Y693" t="str">
        <f>"757.04"</f>
        <v>757.04</v>
      </c>
      <c r="Z693" t="str">
        <f>"25000.00"</f>
        <v>25000.00</v>
      </c>
      <c r="AA693" t="str">
        <f>"60602.00"</f>
        <v>60602.00</v>
      </c>
      <c r="AB693" t="str">
        <f>"Agricultural"</f>
        <v>Agricultural</v>
      </c>
      <c r="AC693" t="str">
        <f t="shared" si="204"/>
        <v>0</v>
      </c>
      <c r="AD693" t="str">
        <f>"4"</f>
        <v>4</v>
      </c>
      <c r="AE693" t="str">
        <f>"WOOD (INCLUDE STEEL STUDS)"</f>
        <v>WOOD (INCLUDE STEEL STUDS)</v>
      </c>
      <c r="AF693" t="str">
        <f>"050"</f>
        <v>050</v>
      </c>
      <c r="AG693" t="str">
        <f t="shared" si="211"/>
        <v>FL</v>
      </c>
      <c r="AH693" t="str">
        <f>"326264.00"</f>
        <v>326264.00</v>
      </c>
      <c r="AI693" t="str">
        <f>"26032.00"</f>
        <v>26032.00</v>
      </c>
      <c r="AJ693" t="str">
        <f>"C55-000-587-8302-8"</f>
        <v>C55-000-587-8302-8</v>
      </c>
      <c r="AK693" t="str">
        <f>"11138"</f>
        <v>11138</v>
      </c>
      <c r="AL693">
        <v>3</v>
      </c>
      <c r="AM693">
        <v>793</v>
      </c>
      <c r="AN693">
        <v>793.29</v>
      </c>
      <c r="AQ693" t="s">
        <v>7376</v>
      </c>
      <c r="AR693" t="s">
        <v>7376</v>
      </c>
      <c r="AS693" t="s">
        <v>7376</v>
      </c>
      <c r="AU693" t="s">
        <v>396</v>
      </c>
      <c r="AV693">
        <v>2017</v>
      </c>
      <c r="AW693" t="str">
        <f>"37-1N-25-0000-0010-0060 "</f>
        <v xml:space="preserve">37-1N-25-0000-0010-0060 </v>
      </c>
      <c r="AX693">
        <v>54212</v>
      </c>
      <c r="AZ693" t="s">
        <v>7377</v>
      </c>
      <c r="BA693" t="s">
        <v>496</v>
      </c>
      <c r="BD693" t="s">
        <v>2785</v>
      </c>
      <c r="BE693" t="s">
        <v>393</v>
      </c>
      <c r="BF693">
        <v>32011</v>
      </c>
      <c r="BG693" t="s">
        <v>7378</v>
      </c>
      <c r="BH693" t="s">
        <v>2787</v>
      </c>
      <c r="BI693">
        <v>-81.7802459338088</v>
      </c>
      <c r="BJ693">
        <v>30.512311688912</v>
      </c>
      <c r="BK693" t="s">
        <v>7379</v>
      </c>
      <c r="BL693" t="s">
        <v>7380</v>
      </c>
      <c r="BM693" t="s">
        <v>7378</v>
      </c>
      <c r="BN693" t="s">
        <v>928</v>
      </c>
      <c r="BO693">
        <v>32011</v>
      </c>
      <c r="BP693" t="s">
        <v>416</v>
      </c>
      <c r="BQ693">
        <v>5000</v>
      </c>
      <c r="BR693" t="s">
        <v>664</v>
      </c>
      <c r="BS693">
        <v>7000</v>
      </c>
      <c r="BT693" t="s">
        <v>665</v>
      </c>
      <c r="BW693">
        <v>326264</v>
      </c>
      <c r="BX693" t="s">
        <v>407</v>
      </c>
      <c r="BY693" t="s">
        <v>408</v>
      </c>
      <c r="BZ693">
        <v>4</v>
      </c>
      <c r="CA693">
        <v>1964</v>
      </c>
      <c r="CB693">
        <v>2</v>
      </c>
      <c r="CC693">
        <v>1</v>
      </c>
      <c r="CD693">
        <v>2017</v>
      </c>
      <c r="CG693">
        <v>85602</v>
      </c>
      <c r="CH693">
        <v>2017</v>
      </c>
      <c r="CI693">
        <v>26032</v>
      </c>
      <c r="CJ693">
        <v>119993</v>
      </c>
      <c r="CK693">
        <v>146025</v>
      </c>
      <c r="CL693">
        <v>2017</v>
      </c>
      <c r="CM693">
        <v>703.92</v>
      </c>
      <c r="CN693" s="1">
        <v>31937</v>
      </c>
      <c r="CO693">
        <v>97000</v>
      </c>
      <c r="CZ693" s="1">
        <v>31937</v>
      </c>
      <c r="DD693" t="s">
        <v>2785</v>
      </c>
      <c r="DG693">
        <v>37</v>
      </c>
      <c r="DL693">
        <v>50502</v>
      </c>
      <c r="DM693" t="s">
        <v>7353</v>
      </c>
      <c r="DO693" t="s">
        <v>7381</v>
      </c>
      <c r="DP693">
        <v>0</v>
      </c>
      <c r="DQ693">
        <v>0</v>
      </c>
      <c r="DR693" t="s">
        <v>411</v>
      </c>
      <c r="DS693" t="b">
        <v>1</v>
      </c>
      <c r="DT693" t="s">
        <v>470</v>
      </c>
      <c r="DU693" t="s">
        <v>471</v>
      </c>
      <c r="DV693" t="s">
        <v>472</v>
      </c>
      <c r="DX693">
        <v>-9999</v>
      </c>
      <c r="DZ693" t="s">
        <v>447</v>
      </c>
      <c r="EA693" t="s">
        <v>448</v>
      </c>
      <c r="EB693" t="s">
        <v>742</v>
      </c>
      <c r="EC693">
        <v>20101217</v>
      </c>
      <c r="ED693" t="s">
        <v>474</v>
      </c>
      <c r="EF693">
        <v>139.69999999999999</v>
      </c>
      <c r="EG693">
        <v>139.69999999999999</v>
      </c>
      <c r="EI693">
        <v>20160407</v>
      </c>
      <c r="EJ693">
        <v>0</v>
      </c>
      <c r="EK693">
        <v>0</v>
      </c>
      <c r="EP693" t="s">
        <v>421</v>
      </c>
      <c r="EQ693" t="s">
        <v>422</v>
      </c>
      <c r="ER693">
        <v>0</v>
      </c>
      <c r="ES693">
        <v>7</v>
      </c>
      <c r="ET693">
        <v>0</v>
      </c>
      <c r="EU693">
        <v>0</v>
      </c>
      <c r="EV693">
        <v>0</v>
      </c>
      <c r="EW693" s="2">
        <v>43222</v>
      </c>
      <c r="EX693" s="1">
        <v>42879</v>
      </c>
      <c r="EY693">
        <v>2016</v>
      </c>
      <c r="EZ693">
        <v>772.24</v>
      </c>
      <c r="FA693" t="s">
        <v>7382</v>
      </c>
      <c r="FB693">
        <v>0.25</v>
      </c>
      <c r="FC693" t="s">
        <v>424</v>
      </c>
      <c r="FD693" t="s">
        <v>425</v>
      </c>
      <c r="FE693" s="1">
        <v>43004</v>
      </c>
      <c r="FF693">
        <v>4</v>
      </c>
      <c r="FG693">
        <v>11289</v>
      </c>
      <c r="FH693" t="s">
        <v>787</v>
      </c>
      <c r="FJ693" s="1">
        <v>42879</v>
      </c>
      <c r="FK693">
        <v>2016</v>
      </c>
      <c r="FL693">
        <v>772.24</v>
      </c>
      <c r="FM693" t="s">
        <v>7382</v>
      </c>
      <c r="FN693">
        <v>0.25</v>
      </c>
      <c r="FO693" t="s">
        <v>424</v>
      </c>
      <c r="FP693" t="s">
        <v>425</v>
      </c>
      <c r="FR693">
        <v>22</v>
      </c>
      <c r="FS693">
        <v>7301141</v>
      </c>
      <c r="FT693" t="s">
        <v>7383</v>
      </c>
      <c r="FV693" s="1">
        <v>42515</v>
      </c>
      <c r="FW693">
        <v>2015</v>
      </c>
      <c r="FX693">
        <v>782.4</v>
      </c>
      <c r="FY693" t="s">
        <v>7384</v>
      </c>
      <c r="FZ693">
        <v>0.25</v>
      </c>
      <c r="GA693" t="s">
        <v>424</v>
      </c>
      <c r="GB693" t="s">
        <v>425</v>
      </c>
      <c r="GC693" s="1">
        <v>43004</v>
      </c>
      <c r="GD693">
        <v>16</v>
      </c>
      <c r="GE693">
        <v>11289</v>
      </c>
      <c r="GF693" t="s">
        <v>787</v>
      </c>
      <c r="GH693" s="1">
        <v>42515</v>
      </c>
      <c r="GI693">
        <v>2015</v>
      </c>
      <c r="GJ693">
        <v>782.4</v>
      </c>
      <c r="GK693" t="s">
        <v>7384</v>
      </c>
      <c r="GL693">
        <v>0.25</v>
      </c>
      <c r="GM693" t="s">
        <v>424</v>
      </c>
      <c r="GN693" t="s">
        <v>425</v>
      </c>
      <c r="GP693">
        <v>22</v>
      </c>
      <c r="GQ693">
        <v>7053608</v>
      </c>
      <c r="GR693" t="s">
        <v>7385</v>
      </c>
      <c r="GT693" s="1">
        <v>42151</v>
      </c>
      <c r="GU693">
        <v>2014</v>
      </c>
      <c r="GV693">
        <v>775.96</v>
      </c>
      <c r="GW693" t="s">
        <v>7386</v>
      </c>
      <c r="GX693">
        <v>0.25</v>
      </c>
      <c r="GY693" t="s">
        <v>424</v>
      </c>
      <c r="GZ693" t="s">
        <v>425</v>
      </c>
      <c r="HA693" s="1">
        <v>42794</v>
      </c>
      <c r="HB693">
        <v>21</v>
      </c>
      <c r="HC693">
        <v>4975594</v>
      </c>
      <c r="HD693" t="s">
        <v>457</v>
      </c>
      <c r="HF693" s="1">
        <v>42151</v>
      </c>
      <c r="HG693">
        <v>2014</v>
      </c>
      <c r="HH693">
        <v>775.96</v>
      </c>
      <c r="HI693" t="s">
        <v>7386</v>
      </c>
      <c r="HJ693">
        <v>0.25</v>
      </c>
      <c r="HK693" t="s">
        <v>424</v>
      </c>
      <c r="HL693" t="s">
        <v>425</v>
      </c>
      <c r="HN693">
        <v>22</v>
      </c>
      <c r="HO693">
        <v>6251774</v>
      </c>
      <c r="HP693" t="s">
        <v>7387</v>
      </c>
      <c r="HR693" s="1">
        <v>41787</v>
      </c>
      <c r="HS693">
        <v>2013</v>
      </c>
      <c r="HT693">
        <v>728.73</v>
      </c>
      <c r="HU693" t="s">
        <v>7388</v>
      </c>
      <c r="HV693">
        <v>0.25</v>
      </c>
      <c r="HW693" t="s">
        <v>424</v>
      </c>
      <c r="HX693" t="s">
        <v>425</v>
      </c>
      <c r="HY693" s="1">
        <v>42375</v>
      </c>
      <c r="HZ693">
        <v>20</v>
      </c>
      <c r="IA693">
        <v>2903114</v>
      </c>
      <c r="IB693" t="s">
        <v>1923</v>
      </c>
    </row>
    <row r="694" spans="1:272" x14ac:dyDescent="0.25">
      <c r="A694">
        <v>16485701</v>
      </c>
      <c r="B694">
        <v>693</v>
      </c>
      <c r="C694" t="s">
        <v>393</v>
      </c>
      <c r="D694" t="s">
        <v>394</v>
      </c>
      <c r="F694" t="str">
        <f>"37-1N-25-0000-0018-0000"</f>
        <v>37-1N-25-0000-0018-0000</v>
      </c>
      <c r="H694" t="str">
        <f>"CABELL JOHN &amp; LORI"</f>
        <v>CABELL JOHN &amp; LORI</v>
      </c>
      <c r="I694" t="str">
        <f>"2801 RACHAEL AVE"</f>
        <v>2801 RACHAEL AVE</v>
      </c>
      <c r="J694" t="str">
        <f>"FERNANDINA BEACH FL 32034"</f>
        <v>FERNANDINA BEACH FL 32034</v>
      </c>
      <c r="K694" t="str">
        <f>"US HWY 1"</f>
        <v>US HWY 1</v>
      </c>
      <c r="L694" t="str">
        <f t="shared" si="202"/>
        <v>CALLAHAN FL 32011</v>
      </c>
      <c r="M694" t="str">
        <f>"IN OR 1545/681 EX 18-1"</f>
        <v>IN OR 1545/681 EX 18-1</v>
      </c>
      <c r="N694" t="str">
        <f>""</f>
        <v/>
      </c>
      <c r="O694" t="str">
        <f>"42359"</f>
        <v>42359</v>
      </c>
      <c r="P694" t="str">
        <f t="shared" si="194"/>
        <v>2017</v>
      </c>
      <c r="Q694" t="str">
        <f>""</f>
        <v/>
      </c>
      <c r="R694" t="str">
        <f>"N"</f>
        <v>N</v>
      </c>
      <c r="S694" t="str">
        <f>"2.00"</f>
        <v>2.00</v>
      </c>
      <c r="T694" t="str">
        <f>"234.65"</f>
        <v>234.65</v>
      </c>
      <c r="U694" t="str">
        <f>"14495.00"</f>
        <v>14495.00</v>
      </c>
      <c r="V694" t="str">
        <f>"14495.00"</f>
        <v>14495.00</v>
      </c>
      <c r="W694" t="str">
        <f t="shared" si="195"/>
        <v>2017</v>
      </c>
      <c r="X694" t="str">
        <f>"35.00"</f>
        <v>35.00</v>
      </c>
      <c r="Y694" t="str">
        <f>"273.69"</f>
        <v>273.69</v>
      </c>
      <c r="Z694" t="str">
        <f>""</f>
        <v/>
      </c>
      <c r="AA694" t="str">
        <f>"16800.00"</f>
        <v>16800.00</v>
      </c>
      <c r="AB694" t="str">
        <f t="shared" ref="AB694:AB725" si="212">"Residential"</f>
        <v>Residential</v>
      </c>
      <c r="AC694" t="str">
        <f t="shared" si="204"/>
        <v>0</v>
      </c>
      <c r="AD694" t="str">
        <f>""</f>
        <v/>
      </c>
      <c r="AE694" t="str">
        <f>""</f>
        <v/>
      </c>
      <c r="AF694" t="str">
        <f>"000"</f>
        <v>000</v>
      </c>
      <c r="AG694" t="str">
        <f t="shared" si="211"/>
        <v>FL</v>
      </c>
      <c r="AH694" t="str">
        <f>"87120.00"</f>
        <v>87120.00</v>
      </c>
      <c r="AI694" t="str">
        <f>"16800.00"</f>
        <v>16800.00</v>
      </c>
      <c r="AJ694" t="str">
        <f>"C55-000-587-8326-7"</f>
        <v>C55-000-587-8326-7</v>
      </c>
      <c r="AK694" t="str">
        <f>"11173"</f>
        <v>11173</v>
      </c>
      <c r="AL694">
        <v>3</v>
      </c>
      <c r="AM694">
        <v>794</v>
      </c>
      <c r="AN694">
        <v>285.77</v>
      </c>
      <c r="AQ694" t="s">
        <v>7389</v>
      </c>
      <c r="AR694" t="s">
        <v>7389</v>
      </c>
      <c r="AS694" t="s">
        <v>7389</v>
      </c>
      <c r="AU694" t="s">
        <v>396</v>
      </c>
      <c r="AV694">
        <v>2017</v>
      </c>
      <c r="AW694" t="str">
        <f>"37-1N-25-0000-0018-0000 "</f>
        <v xml:space="preserve">37-1N-25-0000-0018-0000 </v>
      </c>
      <c r="AZ694" t="s">
        <v>2386</v>
      </c>
      <c r="BD694" t="s">
        <v>2785</v>
      </c>
      <c r="BE694" t="s">
        <v>393</v>
      </c>
      <c r="BF694">
        <v>32011</v>
      </c>
      <c r="BG694" t="s">
        <v>2386</v>
      </c>
      <c r="BH694" t="s">
        <v>2787</v>
      </c>
      <c r="BI694">
        <v>-81.792386002780205</v>
      </c>
      <c r="BJ694">
        <v>30.506238180519802</v>
      </c>
      <c r="BK694" t="s">
        <v>7390</v>
      </c>
      <c r="BL694" t="s">
        <v>7391</v>
      </c>
      <c r="BM694" t="s">
        <v>7392</v>
      </c>
      <c r="BN694" t="s">
        <v>3983</v>
      </c>
      <c r="BO694">
        <v>32034</v>
      </c>
      <c r="BP694" t="s">
        <v>404</v>
      </c>
      <c r="BQ694">
        <v>0</v>
      </c>
      <c r="BR694" t="s">
        <v>491</v>
      </c>
      <c r="BS694">
        <v>8001</v>
      </c>
      <c r="BT694" t="s">
        <v>492</v>
      </c>
      <c r="BW694">
        <v>87120</v>
      </c>
      <c r="BX694" t="s">
        <v>407</v>
      </c>
      <c r="BY694" t="s">
        <v>408</v>
      </c>
      <c r="CD694">
        <v>2017</v>
      </c>
      <c r="CE694">
        <v>16800</v>
      </c>
      <c r="CG694">
        <v>16800</v>
      </c>
      <c r="CH694">
        <v>2017</v>
      </c>
      <c r="CI694">
        <v>16800</v>
      </c>
      <c r="CK694">
        <v>16800</v>
      </c>
      <c r="CL694">
        <v>2017</v>
      </c>
      <c r="CM694">
        <v>234.65</v>
      </c>
      <c r="CN694" s="1">
        <v>39456</v>
      </c>
      <c r="CO694">
        <v>2700</v>
      </c>
      <c r="CZ694" s="1">
        <v>39456</v>
      </c>
      <c r="DD694" t="s">
        <v>2785</v>
      </c>
      <c r="DG694">
        <v>37</v>
      </c>
      <c r="DL694">
        <v>50502</v>
      </c>
      <c r="DM694" t="s">
        <v>7353</v>
      </c>
      <c r="DO694" t="s">
        <v>7393</v>
      </c>
      <c r="DP694">
        <v>0</v>
      </c>
      <c r="DQ694">
        <v>1</v>
      </c>
      <c r="DR694" t="s">
        <v>1479</v>
      </c>
      <c r="DS694" t="b">
        <v>1</v>
      </c>
      <c r="DT694" t="s">
        <v>396</v>
      </c>
      <c r="DV694" t="s">
        <v>446</v>
      </c>
      <c r="DX694">
        <v>-9999</v>
      </c>
      <c r="DZ694" t="s">
        <v>447</v>
      </c>
      <c r="EA694" t="s">
        <v>448</v>
      </c>
      <c r="EB694" t="s">
        <v>2792</v>
      </c>
      <c r="EC694">
        <v>20101217</v>
      </c>
      <c r="ED694" t="s">
        <v>450</v>
      </c>
      <c r="EE694">
        <v>15</v>
      </c>
      <c r="EF694">
        <v>0</v>
      </c>
      <c r="EG694">
        <v>0</v>
      </c>
      <c r="EI694">
        <v>20160407</v>
      </c>
      <c r="EJ694">
        <v>0</v>
      </c>
      <c r="EK694">
        <v>0</v>
      </c>
      <c r="EP694" t="s">
        <v>421</v>
      </c>
      <c r="EQ694" t="s">
        <v>422</v>
      </c>
      <c r="ER694">
        <v>7</v>
      </c>
      <c r="ES694">
        <v>0</v>
      </c>
      <c r="ET694">
        <v>1507.53</v>
      </c>
      <c r="EU694">
        <v>566.29</v>
      </c>
      <c r="EV694">
        <v>2073.8200000000002</v>
      </c>
      <c r="EW694" s="2">
        <v>43222</v>
      </c>
      <c r="EX694" s="1">
        <v>42879</v>
      </c>
      <c r="EY694">
        <v>2016</v>
      </c>
      <c r="EZ694">
        <v>272.39</v>
      </c>
      <c r="FA694" t="s">
        <v>7394</v>
      </c>
      <c r="FB694">
        <v>7.75</v>
      </c>
      <c r="FC694" t="s">
        <v>424</v>
      </c>
      <c r="FD694" t="s">
        <v>454</v>
      </c>
      <c r="FF694">
        <v>12</v>
      </c>
      <c r="FG694">
        <v>10125</v>
      </c>
      <c r="FH694" t="s">
        <v>440</v>
      </c>
      <c r="FJ694" s="1">
        <v>42515</v>
      </c>
      <c r="FK694">
        <v>2015</v>
      </c>
      <c r="FL694">
        <v>263.01</v>
      </c>
      <c r="FM694" t="s">
        <v>7395</v>
      </c>
      <c r="FN694">
        <v>14.75</v>
      </c>
      <c r="FO694" t="s">
        <v>424</v>
      </c>
      <c r="FP694" t="s">
        <v>454</v>
      </c>
      <c r="FR694">
        <v>24</v>
      </c>
      <c r="FS694">
        <v>6516843</v>
      </c>
      <c r="FT694" t="s">
        <v>601</v>
      </c>
      <c r="FV694" s="1">
        <v>42151</v>
      </c>
      <c r="FW694">
        <v>2014</v>
      </c>
      <c r="FX694">
        <v>232.4</v>
      </c>
      <c r="FY694" t="s">
        <v>7396</v>
      </c>
      <c r="FZ694">
        <v>5</v>
      </c>
      <c r="GA694" t="s">
        <v>424</v>
      </c>
      <c r="GB694" t="s">
        <v>454</v>
      </c>
      <c r="GD694">
        <v>36</v>
      </c>
      <c r="GE694">
        <v>6516843</v>
      </c>
      <c r="GF694" t="s">
        <v>601</v>
      </c>
      <c r="GH694" s="1">
        <v>41787</v>
      </c>
      <c r="GI694">
        <v>2013</v>
      </c>
      <c r="GJ694">
        <v>231.5</v>
      </c>
      <c r="GK694" t="s">
        <v>7397</v>
      </c>
      <c r="GL694">
        <v>15.25</v>
      </c>
      <c r="GM694" t="s">
        <v>424</v>
      </c>
      <c r="GN694" t="s">
        <v>454</v>
      </c>
      <c r="GP694">
        <v>48</v>
      </c>
      <c r="GQ694">
        <v>10125</v>
      </c>
      <c r="GR694" t="s">
        <v>440</v>
      </c>
      <c r="GT694" s="1">
        <v>41423</v>
      </c>
      <c r="GU694">
        <v>2012</v>
      </c>
      <c r="GV694">
        <v>169.41</v>
      </c>
      <c r="GW694" t="s">
        <v>7398</v>
      </c>
      <c r="GX694">
        <v>9.75</v>
      </c>
      <c r="GY694" t="s">
        <v>424</v>
      </c>
      <c r="GZ694" t="s">
        <v>454</v>
      </c>
      <c r="HB694">
        <v>60</v>
      </c>
      <c r="HC694">
        <v>1127</v>
      </c>
      <c r="HD694" t="s">
        <v>1379</v>
      </c>
      <c r="HF694" s="1">
        <v>41423</v>
      </c>
      <c r="HG694">
        <v>2012</v>
      </c>
      <c r="HH694">
        <v>169.41</v>
      </c>
      <c r="HI694" t="s">
        <v>7398</v>
      </c>
      <c r="HJ694">
        <v>9.75</v>
      </c>
      <c r="HK694" t="s">
        <v>424</v>
      </c>
      <c r="HL694" t="s">
        <v>454</v>
      </c>
      <c r="HN694">
        <v>60</v>
      </c>
      <c r="HO694">
        <v>2035919</v>
      </c>
      <c r="HP694" t="s">
        <v>507</v>
      </c>
      <c r="HR694" s="1">
        <v>41423</v>
      </c>
      <c r="HS694">
        <v>2012</v>
      </c>
      <c r="HT694">
        <v>169.41</v>
      </c>
      <c r="HU694" t="s">
        <v>7398</v>
      </c>
      <c r="HV694">
        <v>9.75</v>
      </c>
      <c r="HW694" t="s">
        <v>424</v>
      </c>
      <c r="HX694" t="s">
        <v>454</v>
      </c>
      <c r="HZ694">
        <v>60</v>
      </c>
      <c r="IA694">
        <v>7336670</v>
      </c>
      <c r="IB694" t="s">
        <v>2102</v>
      </c>
    </row>
    <row r="695" spans="1:272" x14ac:dyDescent="0.25">
      <c r="A695">
        <v>16485702</v>
      </c>
      <c r="B695">
        <v>694</v>
      </c>
      <c r="C695" t="s">
        <v>393</v>
      </c>
      <c r="D695" t="s">
        <v>394</v>
      </c>
      <c r="F695" t="str">
        <f>"37-1N-25-0000-0019-0040"</f>
        <v>37-1N-25-0000-0019-0040</v>
      </c>
      <c r="H695" t="str">
        <f>"SHUMAN STACY SHANE"</f>
        <v>SHUMAN STACY SHANE</v>
      </c>
      <c r="I695" t="str">
        <f>"43757 RATLIFF ROAD"</f>
        <v>43757 RATLIFF ROAD</v>
      </c>
      <c r="J695" t="str">
        <f>"CALLAHAN FL 32011"</f>
        <v>CALLAHAN FL 32011</v>
      </c>
      <c r="K695" t="str">
        <f>"RATLIFF RD"</f>
        <v>RATLIFF RD</v>
      </c>
      <c r="L695" t="str">
        <f t="shared" si="202"/>
        <v>CALLAHAN FL 32011</v>
      </c>
      <c r="M695" t="str">
        <f>"IN OR 1643/630"</f>
        <v>IN OR 1643/630</v>
      </c>
      <c r="N695" t="str">
        <f>""</f>
        <v/>
      </c>
      <c r="O695" t="str">
        <f>"42365"</f>
        <v>42365</v>
      </c>
      <c r="P695" t="str">
        <f t="shared" si="194"/>
        <v>2017</v>
      </c>
      <c r="Q695" t="str">
        <f>""</f>
        <v/>
      </c>
      <c r="R695" t="str">
        <f>"N"</f>
        <v>N</v>
      </c>
      <c r="S695" t="str">
        <f>"1.50"</f>
        <v>1.50</v>
      </c>
      <c r="T695" t="str">
        <f>"317.56"</f>
        <v>317.56</v>
      </c>
      <c r="U695" t="str">
        <f>"19800.00"</f>
        <v>19800.00</v>
      </c>
      <c r="V695" t="str">
        <f>"19800.00"</f>
        <v>19800.00</v>
      </c>
      <c r="W695" t="str">
        <f t="shared" si="195"/>
        <v>2017</v>
      </c>
      <c r="X695" t="str">
        <f>"16.33"</f>
        <v>16.33</v>
      </c>
      <c r="Y695" t="str">
        <f>"359.09"</f>
        <v>359.09</v>
      </c>
      <c r="Z695" t="str">
        <f>""</f>
        <v/>
      </c>
      <c r="AA695" t="str">
        <f>"22500.00"</f>
        <v>22500.00</v>
      </c>
      <c r="AB695" t="str">
        <f t="shared" si="212"/>
        <v>Residential</v>
      </c>
      <c r="AC695" t="str">
        <f t="shared" si="204"/>
        <v>0</v>
      </c>
      <c r="AD695" t="str">
        <f>""</f>
        <v/>
      </c>
      <c r="AE695" t="str">
        <f>""</f>
        <v/>
      </c>
      <c r="AF695" t="str">
        <f>"000"</f>
        <v>000</v>
      </c>
      <c r="AG695" t="str">
        <f t="shared" si="211"/>
        <v>FL</v>
      </c>
      <c r="AH695" t="str">
        <f>"65340.00"</f>
        <v>65340.00</v>
      </c>
      <c r="AI695" t="str">
        <f>"22500.00"</f>
        <v>22500.00</v>
      </c>
      <c r="AJ695" t="str">
        <f>"C55-000-587-8332-5"</f>
        <v>C55-000-587-8332-5</v>
      </c>
      <c r="AK695" t="str">
        <f>"11179"</f>
        <v>11179</v>
      </c>
      <c r="AL695">
        <v>3</v>
      </c>
      <c r="AM695">
        <v>795</v>
      </c>
      <c r="AN695">
        <v>375.49</v>
      </c>
      <c r="AQ695" t="s">
        <v>7399</v>
      </c>
      <c r="AR695" t="s">
        <v>7399</v>
      </c>
      <c r="AS695" t="s">
        <v>7399</v>
      </c>
      <c r="AU695" t="s">
        <v>396</v>
      </c>
      <c r="AV695">
        <v>2017</v>
      </c>
      <c r="AW695" t="str">
        <f>"37-1N-25-0000-0019-0040 "</f>
        <v xml:space="preserve">37-1N-25-0000-0019-0040 </v>
      </c>
      <c r="AZ695" t="s">
        <v>7093</v>
      </c>
      <c r="BA695" t="s">
        <v>496</v>
      </c>
      <c r="BD695" t="s">
        <v>2785</v>
      </c>
      <c r="BE695" t="s">
        <v>393</v>
      </c>
      <c r="BF695">
        <v>32011</v>
      </c>
      <c r="BG695" t="s">
        <v>7400</v>
      </c>
      <c r="BH695" t="s">
        <v>2787</v>
      </c>
      <c r="BI695">
        <v>-81.7968598108137</v>
      </c>
      <c r="BJ695">
        <v>30.5117086291534</v>
      </c>
      <c r="BK695" t="s">
        <v>7401</v>
      </c>
      <c r="BM695" t="s">
        <v>7402</v>
      </c>
      <c r="BN695" t="s">
        <v>928</v>
      </c>
      <c r="BO695">
        <v>32011</v>
      </c>
      <c r="BP695" t="s">
        <v>404</v>
      </c>
      <c r="BQ695">
        <v>0</v>
      </c>
      <c r="BR695" t="s">
        <v>491</v>
      </c>
      <c r="BS695">
        <v>8001</v>
      </c>
      <c r="BT695" t="s">
        <v>492</v>
      </c>
      <c r="BW695">
        <v>65340</v>
      </c>
      <c r="BX695" t="s">
        <v>407</v>
      </c>
      <c r="BY695" t="s">
        <v>408</v>
      </c>
      <c r="CD695">
        <v>2017</v>
      </c>
      <c r="CE695">
        <v>22500</v>
      </c>
      <c r="CG695">
        <v>22500</v>
      </c>
      <c r="CH695">
        <v>2017</v>
      </c>
      <c r="CI695">
        <v>22500</v>
      </c>
      <c r="CK695">
        <v>22500</v>
      </c>
      <c r="CL695">
        <v>2017</v>
      </c>
      <c r="CM695">
        <v>317.56</v>
      </c>
      <c r="CN695" s="1">
        <v>40094</v>
      </c>
      <c r="CO695">
        <v>4200</v>
      </c>
      <c r="CZ695" s="1">
        <v>40094</v>
      </c>
      <c r="DD695" t="s">
        <v>2785</v>
      </c>
      <c r="DG695">
        <v>37</v>
      </c>
      <c r="DL695">
        <v>50502</v>
      </c>
      <c r="DM695" t="s">
        <v>7353</v>
      </c>
      <c r="DO695" t="s">
        <v>7403</v>
      </c>
      <c r="DP695">
        <v>0</v>
      </c>
      <c r="DQ695">
        <v>0</v>
      </c>
      <c r="DR695" t="s">
        <v>411</v>
      </c>
      <c r="DS695" t="b">
        <v>1</v>
      </c>
      <c r="DT695" t="s">
        <v>470</v>
      </c>
      <c r="DU695" t="s">
        <v>471</v>
      </c>
      <c r="DV695" t="s">
        <v>472</v>
      </c>
      <c r="DX695">
        <v>-9999</v>
      </c>
      <c r="DZ695" t="s">
        <v>447</v>
      </c>
      <c r="EA695" t="s">
        <v>448</v>
      </c>
      <c r="EB695" t="s">
        <v>742</v>
      </c>
      <c r="EC695">
        <v>20101217</v>
      </c>
      <c r="ED695" t="s">
        <v>474</v>
      </c>
      <c r="EF695">
        <v>551.5</v>
      </c>
      <c r="EG695">
        <v>551.5</v>
      </c>
      <c r="EI695">
        <v>20160407</v>
      </c>
      <c r="EJ695">
        <v>0</v>
      </c>
      <c r="EK695">
        <v>0</v>
      </c>
      <c r="EP695" t="s">
        <v>421</v>
      </c>
      <c r="EQ695" t="s">
        <v>422</v>
      </c>
      <c r="ER695">
        <v>1</v>
      </c>
      <c r="ES695">
        <v>1</v>
      </c>
      <c r="ET695">
        <v>325.83999999999997</v>
      </c>
      <c r="EU695">
        <v>27.43</v>
      </c>
      <c r="EV695">
        <v>353.27</v>
      </c>
      <c r="EW695" s="2">
        <v>43222</v>
      </c>
      <c r="EX695" s="1">
        <v>42879</v>
      </c>
      <c r="EY695">
        <v>2016</v>
      </c>
      <c r="EZ695">
        <v>325.83999999999997</v>
      </c>
      <c r="FA695" t="s">
        <v>7404</v>
      </c>
      <c r="FB695">
        <v>6.5</v>
      </c>
      <c r="FC695" t="s">
        <v>424</v>
      </c>
      <c r="FD695" t="s">
        <v>454</v>
      </c>
      <c r="FF695">
        <v>12</v>
      </c>
      <c r="FG695">
        <v>10125</v>
      </c>
      <c r="FH695" t="s">
        <v>440</v>
      </c>
      <c r="FJ695" s="1">
        <v>42515</v>
      </c>
      <c r="FK695">
        <v>2015</v>
      </c>
      <c r="FL695">
        <v>328.1</v>
      </c>
      <c r="FM695" t="s">
        <v>7405</v>
      </c>
      <c r="FN695">
        <v>14.75</v>
      </c>
      <c r="FO695" t="s">
        <v>424</v>
      </c>
      <c r="FP695" t="s">
        <v>425</v>
      </c>
      <c r="FQ695" s="1">
        <v>43154</v>
      </c>
      <c r="FR695">
        <v>21</v>
      </c>
      <c r="FS695">
        <v>7336143</v>
      </c>
      <c r="FT695" t="s">
        <v>539</v>
      </c>
    </row>
    <row r="696" spans="1:272" x14ac:dyDescent="0.25">
      <c r="A696">
        <v>16485703</v>
      </c>
      <c r="B696">
        <v>695</v>
      </c>
      <c r="C696" t="s">
        <v>393</v>
      </c>
      <c r="D696" t="s">
        <v>394</v>
      </c>
      <c r="F696" t="str">
        <f>"37-1N-25-2940-0005-0080"</f>
        <v>37-1N-25-2940-0005-0080</v>
      </c>
      <c r="H696" t="str">
        <f>"FAIN HAROLD DEAN"</f>
        <v>FAIN HAROLD DEAN</v>
      </c>
      <c r="I696" t="str">
        <f>"5395 DETTA COURT"</f>
        <v>5395 DETTA COURT</v>
      </c>
      <c r="J696" t="str">
        <f>"KEYSTONE HEIGHTS FL 32656"</f>
        <v>KEYSTONE HEIGHTS FL 32656</v>
      </c>
      <c r="K696" t="str">
        <f>"540363 US HWY 1"</f>
        <v>540363 US HWY 1</v>
      </c>
      <c r="L696" t="str">
        <f t="shared" si="202"/>
        <v>CALLAHAN FL 32011</v>
      </c>
      <c r="M696" t="str">
        <f>"PT OF LOTS 5 &amp; 15 IN OR 1760/1303 FLA LAND SYNDICATE PBK O/42 {R334468 &amp; R334469}"</f>
        <v>PT OF LOTS 5 &amp; 15 IN OR 1760/1303 FLA LAND SYNDICATE PBK O/42 {R334468 &amp; R334469}</v>
      </c>
      <c r="N696" t="str">
        <f>""</f>
        <v/>
      </c>
      <c r="O696" t="str">
        <f>"42481"</f>
        <v>42481</v>
      </c>
      <c r="P696" t="str">
        <f t="shared" si="194"/>
        <v>2017</v>
      </c>
      <c r="Q696" t="str">
        <f>""</f>
        <v/>
      </c>
      <c r="R696" t="str">
        <f>"N"</f>
        <v>N</v>
      </c>
      <c r="S696" t="str">
        <f>"1.00"</f>
        <v>1.00</v>
      </c>
      <c r="T696" t="str">
        <f>"349.95"</f>
        <v>349.95</v>
      </c>
      <c r="U696" t="str">
        <f>"22707.00"</f>
        <v>22707.00</v>
      </c>
      <c r="V696" t="str">
        <f>"22707.00"</f>
        <v>22707.00</v>
      </c>
      <c r="W696" t="str">
        <f t="shared" si="195"/>
        <v>2017</v>
      </c>
      <c r="X696" t="str">
        <f>"2.00"</f>
        <v>2.00</v>
      </c>
      <c r="Y696" t="str">
        <f>"392.45"</f>
        <v>392.45</v>
      </c>
      <c r="Z696" t="str">
        <f>""</f>
        <v/>
      </c>
      <c r="AA696" t="str">
        <f>"23643.00"</f>
        <v>23643.00</v>
      </c>
      <c r="AB696" t="str">
        <f t="shared" si="212"/>
        <v>Residential</v>
      </c>
      <c r="AC696" t="str">
        <f t="shared" si="204"/>
        <v>0</v>
      </c>
      <c r="AD696" t="str">
        <f t="shared" ref="AD696:AD702" si="213">"4"</f>
        <v>4</v>
      </c>
      <c r="AE696" t="str">
        <f t="shared" ref="AE696:AE702" si="214">"WOOD (INCLUDE STEEL STUDS)"</f>
        <v>WOOD (INCLUDE STEEL STUDS)</v>
      </c>
      <c r="AF696" t="str">
        <f>"002"</f>
        <v>002</v>
      </c>
      <c r="AG696" t="str">
        <f t="shared" si="211"/>
        <v>FL</v>
      </c>
      <c r="AH696" t="str">
        <f>"14061.00"</f>
        <v>14061.00</v>
      </c>
      <c r="AI696" t="str">
        <f>"15000.00"</f>
        <v>15000.00</v>
      </c>
      <c r="AJ696" t="str">
        <f>"C55-000-587-8426-5"</f>
        <v>C55-000-587-8426-5</v>
      </c>
      <c r="AK696" t="str">
        <f>"11288"</f>
        <v>11288</v>
      </c>
      <c r="AL696">
        <v>3</v>
      </c>
      <c r="AM696">
        <v>796</v>
      </c>
      <c r="AN696">
        <v>410.47</v>
      </c>
      <c r="AQ696" t="s">
        <v>7406</v>
      </c>
      <c r="AR696" t="s">
        <v>7406</v>
      </c>
      <c r="AS696" t="s">
        <v>7406</v>
      </c>
      <c r="AU696" t="s">
        <v>396</v>
      </c>
      <c r="AV696">
        <v>2017</v>
      </c>
      <c r="AW696" t="str">
        <f>"37-1N-25-2940-0005-0080 "</f>
        <v xml:space="preserve">37-1N-25-2940-0005-0080 </v>
      </c>
      <c r="AX696">
        <v>540363</v>
      </c>
      <c r="AZ696" t="s">
        <v>2386</v>
      </c>
      <c r="BD696" t="s">
        <v>2785</v>
      </c>
      <c r="BE696" t="s">
        <v>393</v>
      </c>
      <c r="BF696">
        <v>32011</v>
      </c>
      <c r="BG696" t="s">
        <v>7407</v>
      </c>
      <c r="BH696" t="s">
        <v>2787</v>
      </c>
      <c r="BI696">
        <v>-81.795372367509998</v>
      </c>
      <c r="BJ696">
        <v>30.514975577601501</v>
      </c>
      <c r="BK696" t="s">
        <v>7408</v>
      </c>
      <c r="BM696" t="s">
        <v>7409</v>
      </c>
      <c r="BN696" t="s">
        <v>7410</v>
      </c>
      <c r="BO696">
        <v>32656</v>
      </c>
      <c r="BP696" t="s">
        <v>404</v>
      </c>
      <c r="BQ696">
        <v>200</v>
      </c>
      <c r="BR696" t="s">
        <v>405</v>
      </c>
      <c r="BS696">
        <v>1006</v>
      </c>
      <c r="BT696" t="s">
        <v>406</v>
      </c>
      <c r="BW696">
        <v>14061</v>
      </c>
      <c r="BX696" t="s">
        <v>407</v>
      </c>
      <c r="BY696" t="s">
        <v>408</v>
      </c>
      <c r="BZ696">
        <v>4</v>
      </c>
      <c r="CA696">
        <v>1973</v>
      </c>
      <c r="CB696">
        <v>1</v>
      </c>
      <c r="CC696">
        <v>1</v>
      </c>
      <c r="CD696">
        <v>2017</v>
      </c>
      <c r="CE696">
        <v>15000</v>
      </c>
      <c r="CF696">
        <v>8643</v>
      </c>
      <c r="CG696">
        <v>23643</v>
      </c>
      <c r="CH696">
        <v>2017</v>
      </c>
      <c r="CI696">
        <v>15000</v>
      </c>
      <c r="CJ696">
        <v>8643</v>
      </c>
      <c r="CK696">
        <v>23643</v>
      </c>
      <c r="CL696">
        <v>2017</v>
      </c>
      <c r="CM696">
        <v>349.95</v>
      </c>
      <c r="CN696" s="1">
        <v>27395</v>
      </c>
      <c r="CO696">
        <v>13400</v>
      </c>
      <c r="CZ696" s="1">
        <v>27395</v>
      </c>
      <c r="DD696" t="s">
        <v>2785</v>
      </c>
      <c r="DG696">
        <v>37</v>
      </c>
      <c r="DL696">
        <v>50502</v>
      </c>
      <c r="DM696" t="s">
        <v>7353</v>
      </c>
      <c r="DO696" t="s">
        <v>7411</v>
      </c>
      <c r="DP696">
        <v>0</v>
      </c>
      <c r="DQ696">
        <v>0</v>
      </c>
      <c r="DR696" t="s">
        <v>411</v>
      </c>
      <c r="EP696" t="s">
        <v>421</v>
      </c>
      <c r="EQ696" t="s">
        <v>422</v>
      </c>
      <c r="ER696">
        <v>0</v>
      </c>
      <c r="ES696">
        <v>1</v>
      </c>
      <c r="ET696">
        <v>0</v>
      </c>
      <c r="EU696">
        <v>0</v>
      </c>
      <c r="EV696">
        <v>0</v>
      </c>
      <c r="EW696" s="2">
        <v>43222</v>
      </c>
      <c r="EX696" s="1">
        <v>41787</v>
      </c>
      <c r="EY696">
        <v>2013</v>
      </c>
      <c r="EZ696">
        <v>431.1</v>
      </c>
      <c r="FA696" t="s">
        <v>7412</v>
      </c>
      <c r="FB696">
        <v>5.5</v>
      </c>
      <c r="FC696" t="s">
        <v>424</v>
      </c>
      <c r="FD696" t="s">
        <v>425</v>
      </c>
      <c r="FE696" s="1">
        <v>41827</v>
      </c>
      <c r="FF696">
        <v>2</v>
      </c>
      <c r="FG696">
        <v>2035919</v>
      </c>
      <c r="FH696" t="s">
        <v>507</v>
      </c>
    </row>
    <row r="697" spans="1:272" x14ac:dyDescent="0.25">
      <c r="A697">
        <v>16485704</v>
      </c>
      <c r="B697">
        <v>696</v>
      </c>
      <c r="C697" t="s">
        <v>393</v>
      </c>
      <c r="D697" t="s">
        <v>394</v>
      </c>
      <c r="F697" t="str">
        <f>"37-1N-25-2950-0001-0150"</f>
        <v>37-1N-25-2950-0001-0150</v>
      </c>
      <c r="H697" t="str">
        <f>"MIN JAMES BYUNG K &amp; HELEN HYO"</f>
        <v>MIN JAMES BYUNG K &amp; HELEN HYO</v>
      </c>
      <c r="I697" t="str">
        <f>"54049 DEERFIELD CTRY CLUB ROAD"</f>
        <v>54049 DEERFIELD CTRY CLUB ROAD</v>
      </c>
      <c r="J697" t="str">
        <f>"CALLAHAN FL 32011"</f>
        <v>CALLAHAN FL 32011</v>
      </c>
      <c r="K697" t="str">
        <f>"54049 DEERFIELD COUNTRY CLUB RD"</f>
        <v>54049 DEERFIELD COUNTRY CLUB RD</v>
      </c>
      <c r="L697" t="str">
        <f t="shared" si="202"/>
        <v>CALLAHAN FL 32011</v>
      </c>
      <c r="M697" t="str">
        <f>"BLOCK 1 LOT 15 IN OR 1044/1070 GREEN ACRES UNR"</f>
        <v>BLOCK 1 LOT 15 IN OR 1044/1070 GREEN ACRES UNR</v>
      </c>
      <c r="N697" t="str">
        <f>""</f>
        <v/>
      </c>
      <c r="O697" t="str">
        <f>"42510"</f>
        <v>42510</v>
      </c>
      <c r="P697" t="str">
        <f t="shared" si="194"/>
        <v>2017</v>
      </c>
      <c r="Q697" t="str">
        <f>""</f>
        <v/>
      </c>
      <c r="R697" t="str">
        <f>"N"</f>
        <v>N</v>
      </c>
      <c r="S697" t="str">
        <f>""</f>
        <v/>
      </c>
      <c r="T697" t="str">
        <f>"1696.25"</f>
        <v>1696.25</v>
      </c>
      <c r="U697" t="str">
        <f>"112047.00"</f>
        <v>112047.00</v>
      </c>
      <c r="V697" t="str">
        <f>"112047.00"</f>
        <v>112047.00</v>
      </c>
      <c r="W697" t="str">
        <f t="shared" si="195"/>
        <v>2017</v>
      </c>
      <c r="X697" t="str">
        <f>""</f>
        <v/>
      </c>
      <c r="Y697" t="str">
        <f>"1779.14"</f>
        <v>1779.14</v>
      </c>
      <c r="Z697" t="str">
        <f>""</f>
        <v/>
      </c>
      <c r="AA697" t="str">
        <f>"112047.00"</f>
        <v>112047.00</v>
      </c>
      <c r="AB697" t="str">
        <f t="shared" si="212"/>
        <v>Residential</v>
      </c>
      <c r="AC697" t="str">
        <f t="shared" si="204"/>
        <v>0</v>
      </c>
      <c r="AD697" t="str">
        <f t="shared" si="213"/>
        <v>4</v>
      </c>
      <c r="AE697" t="str">
        <f t="shared" si="214"/>
        <v>WOOD (INCLUDE STEEL STUDS)</v>
      </c>
      <c r="AF697" t="str">
        <f>"001"</f>
        <v>001</v>
      </c>
      <c r="AG697" t="str">
        <f t="shared" si="211"/>
        <v>FL</v>
      </c>
      <c r="AH697" t="str">
        <f>"-"</f>
        <v>-</v>
      </c>
      <c r="AI697" t="str">
        <f>"13500.00"</f>
        <v>13500.00</v>
      </c>
      <c r="AJ697" t="str">
        <f>"C55-000-587-8449-7"</f>
        <v>C55-000-587-8449-7</v>
      </c>
      <c r="AK697" t="str">
        <f>"11315"</f>
        <v>11315</v>
      </c>
      <c r="AL697">
        <v>3</v>
      </c>
      <c r="AM697">
        <v>797</v>
      </c>
      <c r="AN697">
        <v>1866.5</v>
      </c>
      <c r="AQ697" t="s">
        <v>7413</v>
      </c>
      <c r="AR697" t="s">
        <v>7413</v>
      </c>
      <c r="AS697" t="s">
        <v>7413</v>
      </c>
      <c r="AU697" t="s">
        <v>396</v>
      </c>
      <c r="AV697">
        <v>2017</v>
      </c>
      <c r="AW697" t="str">
        <f>"37-1N-25-2950-0001-0150 "</f>
        <v xml:space="preserve">37-1N-25-2950-0001-0150 </v>
      </c>
      <c r="AX697">
        <v>54049</v>
      </c>
      <c r="AZ697" t="s">
        <v>7345</v>
      </c>
      <c r="BA697" t="s">
        <v>496</v>
      </c>
      <c r="BD697" t="s">
        <v>2785</v>
      </c>
      <c r="BE697" t="s">
        <v>393</v>
      </c>
      <c r="BF697">
        <v>32011</v>
      </c>
      <c r="BG697" t="s">
        <v>7414</v>
      </c>
      <c r="BH697" t="s">
        <v>2787</v>
      </c>
      <c r="BI697">
        <v>-81.7776696155031</v>
      </c>
      <c r="BJ697">
        <v>30.5307291644624</v>
      </c>
      <c r="BK697" t="s">
        <v>7347</v>
      </c>
      <c r="BL697" t="s">
        <v>7348</v>
      </c>
      <c r="BM697" t="s">
        <v>7414</v>
      </c>
      <c r="BN697" t="s">
        <v>928</v>
      </c>
      <c r="BO697">
        <v>32011</v>
      </c>
      <c r="BP697" t="s">
        <v>416</v>
      </c>
      <c r="BQ697">
        <v>100</v>
      </c>
      <c r="BR697" t="s">
        <v>514</v>
      </c>
      <c r="BS697">
        <v>1001</v>
      </c>
      <c r="BT697" t="s">
        <v>515</v>
      </c>
      <c r="BW697">
        <v>24984</v>
      </c>
      <c r="BX697" t="s">
        <v>407</v>
      </c>
      <c r="BY697" t="s">
        <v>7351</v>
      </c>
      <c r="BZ697">
        <v>4</v>
      </c>
      <c r="CA697">
        <v>1983</v>
      </c>
      <c r="CB697">
        <v>1</v>
      </c>
      <c r="CC697">
        <v>1</v>
      </c>
      <c r="CD697">
        <v>2017</v>
      </c>
      <c r="CE697">
        <v>13500</v>
      </c>
      <c r="CF697">
        <v>98547</v>
      </c>
      <c r="CG697">
        <v>112047</v>
      </c>
      <c r="CH697">
        <v>2017</v>
      </c>
      <c r="CI697">
        <v>13500</v>
      </c>
      <c r="CJ697">
        <v>98547</v>
      </c>
      <c r="CK697">
        <v>112047</v>
      </c>
      <c r="CL697">
        <v>2017</v>
      </c>
      <c r="CM697">
        <v>1696.25</v>
      </c>
      <c r="CN697" s="1">
        <v>37334</v>
      </c>
      <c r="CO697">
        <v>100000</v>
      </c>
      <c r="CV697">
        <v>0</v>
      </c>
      <c r="CZ697" s="1">
        <v>37334</v>
      </c>
      <c r="DA697">
        <v>0</v>
      </c>
      <c r="DD697" t="s">
        <v>2785</v>
      </c>
      <c r="DF697">
        <v>15</v>
      </c>
      <c r="DG697">
        <v>37</v>
      </c>
      <c r="DJ697" t="s">
        <v>7352</v>
      </c>
      <c r="DL697">
        <v>50502</v>
      </c>
      <c r="DM697" t="s">
        <v>7353</v>
      </c>
      <c r="DO697" t="s">
        <v>7415</v>
      </c>
      <c r="DP697">
        <v>0</v>
      </c>
      <c r="DQ697">
        <v>1</v>
      </c>
      <c r="DR697" t="s">
        <v>1479</v>
      </c>
      <c r="DS697" t="b">
        <v>1</v>
      </c>
      <c r="DT697" t="s">
        <v>470</v>
      </c>
      <c r="DU697" t="s">
        <v>471</v>
      </c>
      <c r="DV697" t="s">
        <v>472</v>
      </c>
      <c r="DX697">
        <v>-9999</v>
      </c>
      <c r="DZ697" t="s">
        <v>447</v>
      </c>
      <c r="EA697" t="s">
        <v>448</v>
      </c>
      <c r="EB697" t="s">
        <v>742</v>
      </c>
      <c r="EC697">
        <v>20101217</v>
      </c>
      <c r="ED697" t="s">
        <v>474</v>
      </c>
      <c r="EF697">
        <v>2722.3</v>
      </c>
      <c r="EG697">
        <v>2722.3</v>
      </c>
      <c r="EH697" t="s">
        <v>451</v>
      </c>
      <c r="EI697">
        <v>20140731</v>
      </c>
      <c r="EJ697">
        <v>0</v>
      </c>
      <c r="EK697">
        <v>0</v>
      </c>
    </row>
    <row r="698" spans="1:272" x14ac:dyDescent="0.25">
      <c r="A698">
        <v>16485705</v>
      </c>
      <c r="B698">
        <v>697</v>
      </c>
      <c r="C698" t="s">
        <v>393</v>
      </c>
      <c r="D698" t="s">
        <v>394</v>
      </c>
      <c r="F698" t="str">
        <f>"37-1N-25-296A-0008-0000"</f>
        <v>37-1N-25-296A-0008-0000</v>
      </c>
      <c r="H698" t="str">
        <f>"MCVEY CHRISTOPHER &amp; MCVEY MICHAEL"</f>
        <v>MCVEY CHRISTOPHER &amp; MCVEY MICHAEL</v>
      </c>
      <c r="I698" t="str">
        <f>"540388 LEM TURNER ROAD"</f>
        <v>540388 LEM TURNER ROAD</v>
      </c>
      <c r="J698" t="str">
        <f>"CALLAHAN FL 32011"</f>
        <v>CALLAHAN FL 32011</v>
      </c>
      <c r="K698" t="str">
        <f>"540388 LEM TURNER RD"</f>
        <v>540388 LEM TURNER RD</v>
      </c>
      <c r="L698" t="str">
        <f t="shared" si="202"/>
        <v>CALLAHAN FL 32011</v>
      </c>
      <c r="M698" t="str">
        <f>"TRACT 8 IN OR 2147/1146 LEE STONER SHORES 1 UNR"</f>
        <v>TRACT 8 IN OR 2147/1146 LEE STONER SHORES 1 UNR</v>
      </c>
      <c r="N698" t="str">
        <f>""</f>
        <v/>
      </c>
      <c r="O698" t="str">
        <f>"42517"</f>
        <v>42517</v>
      </c>
      <c r="P698" t="str">
        <f t="shared" si="194"/>
        <v>2017</v>
      </c>
      <c r="Q698" t="str">
        <f>""</f>
        <v/>
      </c>
      <c r="R698" t="str">
        <f>"Y"</f>
        <v>Y</v>
      </c>
      <c r="S698" t="str">
        <f>""</f>
        <v/>
      </c>
      <c r="T698" t="str">
        <f>"1178.72"</f>
        <v>1178.72</v>
      </c>
      <c r="U698" t="str">
        <f>"102861.00"</f>
        <v>102861.00</v>
      </c>
      <c r="V698" t="str">
        <f>"102861.00"</f>
        <v>102861.00</v>
      </c>
      <c r="W698" t="str">
        <f t="shared" si="195"/>
        <v>2017</v>
      </c>
      <c r="X698" t="str">
        <f>"14.75"</f>
        <v>14.75</v>
      </c>
      <c r="Y698" t="str">
        <f>"1246.08"</f>
        <v>1246.08</v>
      </c>
      <c r="Z698" t="str">
        <f>"25000.00"</f>
        <v>25000.00</v>
      </c>
      <c r="AA698" t="str">
        <f>"77861.00"</f>
        <v>77861.00</v>
      </c>
      <c r="AB698" t="str">
        <f t="shared" si="212"/>
        <v>Residential</v>
      </c>
      <c r="AC698" t="str">
        <f t="shared" si="204"/>
        <v>0</v>
      </c>
      <c r="AD698" t="str">
        <f t="shared" si="213"/>
        <v>4</v>
      </c>
      <c r="AE698" t="str">
        <f t="shared" si="214"/>
        <v>WOOD (INCLUDE STEEL STUDS)</v>
      </c>
      <c r="AF698" t="str">
        <f>"001"</f>
        <v>001</v>
      </c>
      <c r="AG698" t="str">
        <f t="shared" si="211"/>
        <v>FL</v>
      </c>
      <c r="AH698" t="str">
        <f>"30750.00"</f>
        <v>30750.00</v>
      </c>
      <c r="AI698" t="str">
        <f t="shared" ref="AI698:AI724" si="215">"20000.00"</f>
        <v>20000.00</v>
      </c>
      <c r="AJ698" t="str">
        <f>"C55-000-587-8455-4"</f>
        <v>C55-000-587-8455-4</v>
      </c>
      <c r="AK698" t="str">
        <f>"11321"</f>
        <v>11321</v>
      </c>
      <c r="AL698">
        <v>3</v>
      </c>
      <c r="AM698">
        <v>798</v>
      </c>
      <c r="AN698">
        <v>1306.78</v>
      </c>
      <c r="AQ698" t="s">
        <v>7416</v>
      </c>
      <c r="AR698" t="s">
        <v>7416</v>
      </c>
      <c r="AS698" t="s">
        <v>7416</v>
      </c>
      <c r="AU698" t="s">
        <v>396</v>
      </c>
      <c r="AV698">
        <v>2017</v>
      </c>
      <c r="AW698" t="str">
        <f>"37-1N-25-296A-0008-0000 "</f>
        <v xml:space="preserve">37-1N-25-296A-0008-0000 </v>
      </c>
      <c r="AX698">
        <v>540388</v>
      </c>
      <c r="AZ698" t="s">
        <v>7417</v>
      </c>
      <c r="BA698" t="s">
        <v>496</v>
      </c>
      <c r="BD698" t="s">
        <v>2785</v>
      </c>
      <c r="BE698" t="s">
        <v>393</v>
      </c>
      <c r="BF698">
        <v>32011</v>
      </c>
      <c r="BG698" t="s">
        <v>7418</v>
      </c>
      <c r="BH698" t="s">
        <v>2787</v>
      </c>
      <c r="BI698">
        <v>-81.770202309533602</v>
      </c>
      <c r="BJ698">
        <v>30.5289219362129</v>
      </c>
      <c r="BK698" t="s">
        <v>7419</v>
      </c>
      <c r="BM698" t="s">
        <v>7418</v>
      </c>
      <c r="BN698" t="s">
        <v>928</v>
      </c>
      <c r="BO698">
        <v>32011</v>
      </c>
      <c r="BP698" t="s">
        <v>416</v>
      </c>
      <c r="BQ698">
        <v>100</v>
      </c>
      <c r="BR698" t="s">
        <v>514</v>
      </c>
      <c r="BS698">
        <v>1001</v>
      </c>
      <c r="BT698" t="s">
        <v>515</v>
      </c>
      <c r="BW698">
        <v>30611</v>
      </c>
      <c r="BX698" t="s">
        <v>407</v>
      </c>
      <c r="BY698" t="s">
        <v>4360</v>
      </c>
      <c r="BZ698">
        <v>4</v>
      </c>
      <c r="CA698">
        <v>1992</v>
      </c>
      <c r="CB698">
        <v>1</v>
      </c>
      <c r="CC698">
        <v>1</v>
      </c>
      <c r="CD698">
        <v>2017</v>
      </c>
      <c r="CG698">
        <v>102861</v>
      </c>
      <c r="CH698">
        <v>2017</v>
      </c>
      <c r="CI698">
        <v>20000</v>
      </c>
      <c r="CJ698">
        <v>94424</v>
      </c>
      <c r="CK698">
        <v>114424</v>
      </c>
      <c r="CL698">
        <v>2017</v>
      </c>
      <c r="CM698">
        <v>1178.72</v>
      </c>
      <c r="CN698" s="1">
        <v>39359</v>
      </c>
      <c r="CZ698" s="1">
        <v>39359</v>
      </c>
      <c r="DD698" t="s">
        <v>2785</v>
      </c>
      <c r="DG698">
        <v>37</v>
      </c>
      <c r="DJ698" t="s">
        <v>7420</v>
      </c>
      <c r="DL698">
        <v>50502</v>
      </c>
      <c r="DM698" t="s">
        <v>7353</v>
      </c>
      <c r="DO698" t="s">
        <v>7421</v>
      </c>
      <c r="DP698">
        <v>0</v>
      </c>
      <c r="DQ698">
        <v>0</v>
      </c>
      <c r="DR698" t="s">
        <v>411</v>
      </c>
      <c r="DS698" t="b">
        <v>1</v>
      </c>
      <c r="DT698" t="s">
        <v>470</v>
      </c>
      <c r="DU698" t="s">
        <v>471</v>
      </c>
      <c r="DV698" t="s">
        <v>472</v>
      </c>
      <c r="DX698">
        <v>-9999</v>
      </c>
      <c r="DZ698" t="s">
        <v>447</v>
      </c>
      <c r="EA698" t="s">
        <v>448</v>
      </c>
      <c r="EB698" t="s">
        <v>742</v>
      </c>
      <c r="EC698">
        <v>20101217</v>
      </c>
      <c r="ED698" t="s">
        <v>474</v>
      </c>
      <c r="EF698">
        <v>770.4</v>
      </c>
      <c r="EG698">
        <v>770.4</v>
      </c>
      <c r="EI698">
        <v>20160407</v>
      </c>
      <c r="EJ698">
        <v>0</v>
      </c>
      <c r="EK698">
        <v>0</v>
      </c>
      <c r="EP698" t="s">
        <v>421</v>
      </c>
      <c r="EQ698" t="s">
        <v>422</v>
      </c>
      <c r="ER698">
        <v>2</v>
      </c>
      <c r="ES698">
        <v>7</v>
      </c>
      <c r="ET698">
        <v>2634.3</v>
      </c>
      <c r="EU698">
        <v>144.22</v>
      </c>
      <c r="EV698">
        <v>2778.52</v>
      </c>
      <c r="EW698" s="2">
        <v>43222</v>
      </c>
      <c r="EX698" s="1">
        <v>42879</v>
      </c>
      <c r="EY698">
        <v>2016</v>
      </c>
      <c r="EZ698">
        <v>1317.15</v>
      </c>
      <c r="FA698" t="s">
        <v>7422</v>
      </c>
      <c r="FB698">
        <v>0.25</v>
      </c>
      <c r="FC698" t="s">
        <v>424</v>
      </c>
      <c r="FD698" t="s">
        <v>454</v>
      </c>
      <c r="FF698">
        <v>12</v>
      </c>
      <c r="FG698">
        <v>7400231</v>
      </c>
      <c r="FH698" t="s">
        <v>7423</v>
      </c>
      <c r="FJ698" s="1">
        <v>42879</v>
      </c>
      <c r="FK698">
        <v>2016</v>
      </c>
      <c r="FL698">
        <v>1317.15</v>
      </c>
      <c r="FM698" t="s">
        <v>7422</v>
      </c>
      <c r="FN698">
        <v>0.25</v>
      </c>
      <c r="FO698" t="s">
        <v>424</v>
      </c>
      <c r="FP698" t="s">
        <v>454</v>
      </c>
      <c r="FR698">
        <v>12</v>
      </c>
      <c r="FS698">
        <v>5675412</v>
      </c>
      <c r="FT698" t="s">
        <v>7424</v>
      </c>
      <c r="FV698" s="1">
        <v>42515</v>
      </c>
      <c r="FW698">
        <v>2015</v>
      </c>
      <c r="FX698">
        <v>1346.97</v>
      </c>
      <c r="FY698" t="s">
        <v>7425</v>
      </c>
      <c r="FZ698">
        <v>0.25</v>
      </c>
      <c r="GA698" t="s">
        <v>424</v>
      </c>
      <c r="GB698" t="s">
        <v>425</v>
      </c>
      <c r="GC698" s="1">
        <v>42993</v>
      </c>
      <c r="GD698">
        <v>16</v>
      </c>
      <c r="GE698">
        <v>5894185</v>
      </c>
      <c r="GF698" t="s">
        <v>7135</v>
      </c>
      <c r="GH698" s="1">
        <v>42515</v>
      </c>
      <c r="GI698">
        <v>2015</v>
      </c>
      <c r="GJ698">
        <v>1346.97</v>
      </c>
      <c r="GK698" t="s">
        <v>7425</v>
      </c>
      <c r="GL698">
        <v>0.25</v>
      </c>
      <c r="GM698" t="s">
        <v>424</v>
      </c>
      <c r="GN698" t="s">
        <v>425</v>
      </c>
      <c r="GP698">
        <v>22</v>
      </c>
      <c r="GQ698">
        <v>5961192</v>
      </c>
      <c r="GR698" t="s">
        <v>7426</v>
      </c>
      <c r="GT698" s="1">
        <v>42151</v>
      </c>
      <c r="GU698">
        <v>2014</v>
      </c>
      <c r="GV698">
        <v>671.57</v>
      </c>
      <c r="GW698" t="s">
        <v>7427</v>
      </c>
      <c r="GX698">
        <v>0.25</v>
      </c>
      <c r="GY698" t="s">
        <v>424</v>
      </c>
      <c r="GZ698" t="s">
        <v>425</v>
      </c>
      <c r="HA698" s="1">
        <v>42433</v>
      </c>
      <c r="HB698">
        <v>10</v>
      </c>
      <c r="HC698">
        <v>4844984</v>
      </c>
      <c r="HD698" t="s">
        <v>1323</v>
      </c>
      <c r="HF698" s="1">
        <v>42151</v>
      </c>
      <c r="HG698">
        <v>2014</v>
      </c>
      <c r="HH698">
        <v>671.57</v>
      </c>
      <c r="HI698" t="s">
        <v>7427</v>
      </c>
      <c r="HJ698">
        <v>0.25</v>
      </c>
      <c r="HK698" t="s">
        <v>424</v>
      </c>
      <c r="HL698" t="s">
        <v>425</v>
      </c>
      <c r="HN698">
        <v>22</v>
      </c>
      <c r="HO698">
        <v>5811684</v>
      </c>
      <c r="HP698" t="s">
        <v>7428</v>
      </c>
      <c r="HR698" s="1">
        <v>41052</v>
      </c>
      <c r="HS698">
        <v>2011</v>
      </c>
      <c r="HT698">
        <v>970.67</v>
      </c>
      <c r="HU698" t="s">
        <v>7429</v>
      </c>
      <c r="HV698">
        <v>0.25</v>
      </c>
      <c r="HW698" t="s">
        <v>424</v>
      </c>
      <c r="HX698" t="s">
        <v>425</v>
      </c>
      <c r="HY698" s="1">
        <v>41676</v>
      </c>
      <c r="HZ698">
        <v>21</v>
      </c>
      <c r="IA698">
        <v>13104</v>
      </c>
      <c r="IB698" t="s">
        <v>888</v>
      </c>
      <c r="ID698" s="1">
        <v>41052</v>
      </c>
      <c r="IE698">
        <v>2011</v>
      </c>
      <c r="IF698">
        <v>970.67</v>
      </c>
      <c r="IG698" t="s">
        <v>7429</v>
      </c>
      <c r="IH698">
        <v>0.25</v>
      </c>
      <c r="II698" t="s">
        <v>424</v>
      </c>
      <c r="IJ698" t="s">
        <v>425</v>
      </c>
      <c r="IL698">
        <v>22</v>
      </c>
      <c r="IM698">
        <v>13746</v>
      </c>
      <c r="IN698" t="s">
        <v>2084</v>
      </c>
      <c r="IP698" s="1">
        <v>40688</v>
      </c>
      <c r="IQ698">
        <v>2010</v>
      </c>
      <c r="IR698">
        <v>950.3</v>
      </c>
      <c r="IS698" t="s">
        <v>7430</v>
      </c>
      <c r="IT698">
        <v>0.25</v>
      </c>
      <c r="IU698" t="s">
        <v>424</v>
      </c>
      <c r="IV698" t="s">
        <v>425</v>
      </c>
      <c r="IW698" s="1">
        <v>41053</v>
      </c>
      <c r="IX698">
        <v>12</v>
      </c>
      <c r="IY698">
        <v>11177</v>
      </c>
      <c r="IZ698" t="s">
        <v>650</v>
      </c>
    </row>
    <row r="699" spans="1:272" x14ac:dyDescent="0.25">
      <c r="A699">
        <v>16485706</v>
      </c>
      <c r="B699">
        <v>698</v>
      </c>
      <c r="C699" t="s">
        <v>393</v>
      </c>
      <c r="D699" t="s">
        <v>394</v>
      </c>
      <c r="F699" t="str">
        <f>"37-1N-25-296A-0054-0000"</f>
        <v>37-1N-25-296A-0054-0000</v>
      </c>
      <c r="H699" t="str">
        <f>"LEWIS JOHN E EST C/O LYNN GORDON"</f>
        <v>LEWIS JOHN E EST C/O LYNN GORDON</v>
      </c>
      <c r="I699" t="str">
        <f>"2842 BROWARD RD"</f>
        <v>2842 BROWARD RD</v>
      </c>
      <c r="J699" t="str">
        <f>"JACKSONVILLE FL 32218"</f>
        <v>JACKSONVILLE FL 32218</v>
      </c>
      <c r="K699" t="str">
        <f>"54142 LEE STONER RD"</f>
        <v>54142 LEE STONER RD</v>
      </c>
      <c r="L699" t="str">
        <f t="shared" si="202"/>
        <v>CALLAHAN FL 32011</v>
      </c>
      <c r="M699" t="str">
        <f>"TRACT 54 L/E OR 1190/1633 LEE STONER SHORES 1 UNR"</f>
        <v>TRACT 54 L/E OR 1190/1633 LEE STONER SHORES 1 UNR</v>
      </c>
      <c r="N699" t="str">
        <f>""</f>
        <v/>
      </c>
      <c r="O699" t="str">
        <f>"42558"</f>
        <v>42558</v>
      </c>
      <c r="P699" t="str">
        <f t="shared" si="194"/>
        <v>2017</v>
      </c>
      <c r="Q699" t="str">
        <f>""</f>
        <v/>
      </c>
      <c r="R699" t="str">
        <f>"N"</f>
        <v>N</v>
      </c>
      <c r="S699" t="str">
        <f>""</f>
        <v/>
      </c>
      <c r="T699" t="str">
        <f>"543.91"</f>
        <v>543.91</v>
      </c>
      <c r="U699" t="str">
        <f>"35595.00"</f>
        <v>35595.00</v>
      </c>
      <c r="V699" t="str">
        <f>"35595.00"</f>
        <v>35595.00</v>
      </c>
      <c r="W699" t="str">
        <f t="shared" si="195"/>
        <v>2017</v>
      </c>
      <c r="X699" t="str">
        <f>"18.83"</f>
        <v>18.83</v>
      </c>
      <c r="Y699" t="str">
        <f>"592.23"</f>
        <v>592.23</v>
      </c>
      <c r="Z699" t="str">
        <f>""</f>
        <v/>
      </c>
      <c r="AA699" t="str">
        <f>"36359.00"</f>
        <v>36359.00</v>
      </c>
      <c r="AB699" t="str">
        <f t="shared" si="212"/>
        <v>Residential</v>
      </c>
      <c r="AC699" t="str">
        <f t="shared" si="204"/>
        <v>0</v>
      </c>
      <c r="AD699" t="str">
        <f t="shared" si="213"/>
        <v>4</v>
      </c>
      <c r="AE699" t="str">
        <f t="shared" si="214"/>
        <v>WOOD (INCLUDE STEEL STUDS)</v>
      </c>
      <c r="AF699" t="str">
        <f>"001"</f>
        <v>001</v>
      </c>
      <c r="AG699" t="str">
        <f t="shared" si="211"/>
        <v>FL</v>
      </c>
      <c r="AH699" t="str">
        <f>"22200.00"</f>
        <v>22200.00</v>
      </c>
      <c r="AI699" t="str">
        <f t="shared" si="215"/>
        <v>20000.00</v>
      </c>
      <c r="AJ699" t="str">
        <f>"C55-000-587-8496-8"</f>
        <v>C55-000-587-8496-8</v>
      </c>
      <c r="AK699" t="str">
        <f>"11361"</f>
        <v>11361</v>
      </c>
      <c r="AL699">
        <v>3</v>
      </c>
      <c r="AM699">
        <v>799</v>
      </c>
      <c r="AN699">
        <v>620.24</v>
      </c>
      <c r="AQ699" t="s">
        <v>7431</v>
      </c>
      <c r="AR699" t="s">
        <v>7431</v>
      </c>
      <c r="AS699" t="s">
        <v>7431</v>
      </c>
      <c r="AU699" t="s">
        <v>396</v>
      </c>
      <c r="AV699">
        <v>2017</v>
      </c>
      <c r="AW699" t="str">
        <f>"37-1N-25-296A-0054-0000 "</f>
        <v xml:space="preserve">37-1N-25-296A-0054-0000 </v>
      </c>
      <c r="AX699">
        <v>54142</v>
      </c>
      <c r="AZ699" t="s">
        <v>7432</v>
      </c>
      <c r="BA699" t="s">
        <v>496</v>
      </c>
      <c r="BD699" t="s">
        <v>2785</v>
      </c>
      <c r="BE699" t="s">
        <v>393</v>
      </c>
      <c r="BF699">
        <v>32011</v>
      </c>
      <c r="BG699" t="s">
        <v>7433</v>
      </c>
      <c r="BH699" t="s">
        <v>2787</v>
      </c>
      <c r="BI699">
        <v>-81.767927307903804</v>
      </c>
      <c r="BJ699">
        <v>30.527762905650199</v>
      </c>
      <c r="BK699" t="s">
        <v>7434</v>
      </c>
      <c r="BM699" t="s">
        <v>7435</v>
      </c>
      <c r="BN699" t="s">
        <v>548</v>
      </c>
      <c r="BO699">
        <v>32218</v>
      </c>
      <c r="BP699" t="s">
        <v>404</v>
      </c>
      <c r="BQ699">
        <v>100</v>
      </c>
      <c r="BR699" t="s">
        <v>514</v>
      </c>
      <c r="BS699">
        <v>1001</v>
      </c>
      <c r="BT699" t="s">
        <v>515</v>
      </c>
      <c r="BW699">
        <v>19986</v>
      </c>
      <c r="BX699" t="s">
        <v>407</v>
      </c>
      <c r="BY699" t="s">
        <v>4360</v>
      </c>
      <c r="BZ699">
        <v>4</v>
      </c>
      <c r="CA699">
        <v>1935</v>
      </c>
      <c r="CB699">
        <v>1</v>
      </c>
      <c r="CC699">
        <v>1</v>
      </c>
      <c r="CD699">
        <v>2017</v>
      </c>
      <c r="CE699">
        <v>20000</v>
      </c>
      <c r="CF699">
        <v>16359</v>
      </c>
      <c r="CG699">
        <v>36359</v>
      </c>
      <c r="CH699">
        <v>2017</v>
      </c>
      <c r="CI699">
        <v>20000</v>
      </c>
      <c r="CJ699">
        <v>16359</v>
      </c>
      <c r="CK699">
        <v>36359</v>
      </c>
      <c r="CL699">
        <v>2017</v>
      </c>
      <c r="CM699">
        <v>543.91</v>
      </c>
      <c r="CN699" s="1">
        <v>37950</v>
      </c>
      <c r="CZ699" s="1">
        <v>37950</v>
      </c>
      <c r="DD699" t="s">
        <v>2785</v>
      </c>
      <c r="DG699">
        <v>37</v>
      </c>
      <c r="DJ699" t="s">
        <v>7420</v>
      </c>
      <c r="DL699">
        <v>50502</v>
      </c>
      <c r="DM699" t="s">
        <v>7353</v>
      </c>
      <c r="DO699" t="s">
        <v>7436</v>
      </c>
      <c r="DP699">
        <v>0</v>
      </c>
      <c r="DQ699">
        <v>0</v>
      </c>
      <c r="DR699" t="s">
        <v>411</v>
      </c>
      <c r="DS699" t="b">
        <v>1</v>
      </c>
      <c r="DT699" t="s">
        <v>396</v>
      </c>
      <c r="DV699" t="s">
        <v>446</v>
      </c>
      <c r="DX699">
        <v>-9999</v>
      </c>
      <c r="DZ699" t="s">
        <v>447</v>
      </c>
      <c r="EA699" t="s">
        <v>448</v>
      </c>
      <c r="EB699" t="s">
        <v>2792</v>
      </c>
      <c r="EC699">
        <v>20101217</v>
      </c>
      <c r="ED699" t="s">
        <v>450</v>
      </c>
      <c r="EE699">
        <v>13.4</v>
      </c>
      <c r="EF699">
        <v>0</v>
      </c>
      <c r="EG699">
        <v>0</v>
      </c>
      <c r="EI699">
        <v>20160407</v>
      </c>
      <c r="EJ699">
        <v>0</v>
      </c>
      <c r="EK699">
        <v>0</v>
      </c>
      <c r="EP699" t="s">
        <v>421</v>
      </c>
      <c r="EQ699" t="s">
        <v>422</v>
      </c>
      <c r="ER699">
        <v>2</v>
      </c>
      <c r="ES699">
        <v>8</v>
      </c>
      <c r="ET699">
        <v>1128.46</v>
      </c>
      <c r="EU699">
        <v>68.92</v>
      </c>
      <c r="EV699">
        <v>1197.3800000000001</v>
      </c>
      <c r="EW699" s="2">
        <v>43222</v>
      </c>
      <c r="EX699" s="1">
        <v>42879</v>
      </c>
      <c r="EY699">
        <v>2016</v>
      </c>
      <c r="EZ699">
        <v>564.23</v>
      </c>
      <c r="FA699" t="s">
        <v>7437</v>
      </c>
      <c r="FB699">
        <v>0.25</v>
      </c>
      <c r="FC699" t="s">
        <v>424</v>
      </c>
      <c r="FD699" t="s">
        <v>454</v>
      </c>
      <c r="FF699">
        <v>12</v>
      </c>
      <c r="FG699">
        <v>2851116</v>
      </c>
      <c r="FH699" t="s">
        <v>480</v>
      </c>
      <c r="FJ699" s="1">
        <v>42879</v>
      </c>
      <c r="FK699">
        <v>2016</v>
      </c>
      <c r="FL699">
        <v>564.23</v>
      </c>
      <c r="FM699" t="s">
        <v>7437</v>
      </c>
      <c r="FN699">
        <v>0.25</v>
      </c>
      <c r="FO699" t="s">
        <v>424</v>
      </c>
      <c r="FP699" t="s">
        <v>454</v>
      </c>
      <c r="FR699">
        <v>12</v>
      </c>
      <c r="FS699">
        <v>5767519</v>
      </c>
      <c r="FT699" t="s">
        <v>7438</v>
      </c>
      <c r="FV699" s="1">
        <v>42515</v>
      </c>
      <c r="FW699">
        <v>2015</v>
      </c>
      <c r="FX699">
        <v>572.27</v>
      </c>
      <c r="FY699" t="s">
        <v>7439</v>
      </c>
      <c r="FZ699">
        <v>0.25</v>
      </c>
      <c r="GA699" t="s">
        <v>424</v>
      </c>
      <c r="GB699" t="s">
        <v>425</v>
      </c>
      <c r="GC699" s="1">
        <v>43157</v>
      </c>
      <c r="GD699">
        <v>21</v>
      </c>
      <c r="GE699">
        <v>2851116</v>
      </c>
      <c r="GF699" t="s">
        <v>480</v>
      </c>
      <c r="GH699" s="1">
        <v>42515</v>
      </c>
      <c r="GI699">
        <v>2015</v>
      </c>
      <c r="GJ699">
        <v>572.27</v>
      </c>
      <c r="GK699" t="s">
        <v>7439</v>
      </c>
      <c r="GL699">
        <v>0.25</v>
      </c>
      <c r="GM699" t="s">
        <v>424</v>
      </c>
      <c r="GN699" t="s">
        <v>425</v>
      </c>
      <c r="GP699">
        <v>22</v>
      </c>
      <c r="GQ699">
        <v>5027566</v>
      </c>
      <c r="GR699" t="s">
        <v>7440</v>
      </c>
      <c r="GT699" s="1">
        <v>42151</v>
      </c>
      <c r="GU699">
        <v>2014</v>
      </c>
      <c r="GV699">
        <v>614.15</v>
      </c>
      <c r="GW699" t="s">
        <v>7441</v>
      </c>
      <c r="GX699">
        <v>0.25</v>
      </c>
      <c r="GY699" t="s">
        <v>424</v>
      </c>
      <c r="GZ699" t="s">
        <v>425</v>
      </c>
      <c r="HA699" s="1">
        <v>42851</v>
      </c>
      <c r="HB699">
        <v>23</v>
      </c>
      <c r="HC699">
        <v>2851116</v>
      </c>
      <c r="HD699" t="s">
        <v>480</v>
      </c>
      <c r="HF699" s="1">
        <v>42151</v>
      </c>
      <c r="HG699">
        <v>2014</v>
      </c>
      <c r="HH699">
        <v>614.15</v>
      </c>
      <c r="HI699" t="s">
        <v>7441</v>
      </c>
      <c r="HJ699">
        <v>0.25</v>
      </c>
      <c r="HK699" t="s">
        <v>424</v>
      </c>
      <c r="HL699" t="s">
        <v>425</v>
      </c>
      <c r="HN699">
        <v>22</v>
      </c>
      <c r="HO699">
        <v>5302879</v>
      </c>
      <c r="HP699" t="s">
        <v>7442</v>
      </c>
      <c r="HR699" s="1">
        <v>41787</v>
      </c>
      <c r="HS699">
        <v>2013</v>
      </c>
      <c r="HT699">
        <v>547.59</v>
      </c>
      <c r="HU699" t="s">
        <v>7443</v>
      </c>
      <c r="HV699">
        <v>2.25</v>
      </c>
      <c r="HW699" t="s">
        <v>424</v>
      </c>
      <c r="HX699" t="s">
        <v>425</v>
      </c>
      <c r="HY699" s="1">
        <v>42445</v>
      </c>
      <c r="HZ699">
        <v>22</v>
      </c>
      <c r="IA699">
        <v>15399</v>
      </c>
      <c r="IB699" t="s">
        <v>485</v>
      </c>
      <c r="ID699" s="1">
        <v>41423</v>
      </c>
      <c r="IE699">
        <v>2012</v>
      </c>
      <c r="IF699">
        <v>490.1</v>
      </c>
      <c r="IG699" t="s">
        <v>7444</v>
      </c>
      <c r="IH699">
        <v>3.5</v>
      </c>
      <c r="II699" t="s">
        <v>424</v>
      </c>
      <c r="IJ699" t="s">
        <v>425</v>
      </c>
      <c r="IK699" s="1">
        <v>42093</v>
      </c>
      <c r="IL699">
        <v>22</v>
      </c>
      <c r="IM699">
        <v>1625515</v>
      </c>
      <c r="IN699" t="s">
        <v>487</v>
      </c>
      <c r="IP699" s="1">
        <v>41052</v>
      </c>
      <c r="IQ699">
        <v>2011</v>
      </c>
      <c r="IR699">
        <v>540.28</v>
      </c>
      <c r="IS699" t="s">
        <v>7445</v>
      </c>
      <c r="IT699">
        <v>4.75</v>
      </c>
      <c r="IU699" t="s">
        <v>424</v>
      </c>
      <c r="IV699" t="s">
        <v>425</v>
      </c>
      <c r="IW699" s="1">
        <v>41703</v>
      </c>
      <c r="IX699">
        <v>22</v>
      </c>
      <c r="IY699">
        <v>1625515</v>
      </c>
      <c r="IZ699" t="s">
        <v>487</v>
      </c>
      <c r="JB699" s="1">
        <v>41052</v>
      </c>
      <c r="JC699">
        <v>2011</v>
      </c>
      <c r="JD699">
        <v>540.28</v>
      </c>
      <c r="JE699" t="s">
        <v>7445</v>
      </c>
      <c r="JF699">
        <v>4.75</v>
      </c>
      <c r="JG699" t="s">
        <v>424</v>
      </c>
      <c r="JH699" t="s">
        <v>425</v>
      </c>
      <c r="JJ699">
        <v>22</v>
      </c>
      <c r="JK699">
        <v>10579</v>
      </c>
      <c r="JL699" t="s">
        <v>488</v>
      </c>
    </row>
    <row r="700" spans="1:272" x14ac:dyDescent="0.25">
      <c r="A700">
        <v>16485707</v>
      </c>
      <c r="B700">
        <v>699</v>
      </c>
      <c r="C700" t="s">
        <v>393</v>
      </c>
      <c r="D700" t="s">
        <v>394</v>
      </c>
      <c r="F700" t="str">
        <f>"37-1N-25-296C-0019-0000"</f>
        <v>37-1N-25-296C-0019-0000</v>
      </c>
      <c r="H700" t="str">
        <f>"CLARK JULIAN W EST"</f>
        <v>CLARK JULIAN W EST</v>
      </c>
      <c r="I700" t="str">
        <f>"54069 LISA DRIVE"</f>
        <v>54069 LISA DRIVE</v>
      </c>
      <c r="J700" t="str">
        <f>"CALLAHAN FL 32011"</f>
        <v>CALLAHAN FL 32011</v>
      </c>
      <c r="K700" t="str">
        <f>"54069 LISA DR"</f>
        <v>54069 LISA DR</v>
      </c>
      <c r="L700" t="str">
        <f t="shared" si="202"/>
        <v>CALLAHAN FL 32011</v>
      </c>
      <c r="M700" t="str">
        <f>"TRACT 19 IN OR 150/369 LEE STONER SHORES 3 UNR"</f>
        <v>TRACT 19 IN OR 150/369 LEE STONER SHORES 3 UNR</v>
      </c>
      <c r="N700" t="str">
        <f>""</f>
        <v/>
      </c>
      <c r="O700" t="str">
        <f>"42608"</f>
        <v>42608</v>
      </c>
      <c r="P700" t="str">
        <f t="shared" si="194"/>
        <v>2017</v>
      </c>
      <c r="Q700" t="str">
        <f>""</f>
        <v/>
      </c>
      <c r="R700" t="str">
        <f>"N"</f>
        <v>N</v>
      </c>
      <c r="S700" t="str">
        <f>""</f>
        <v/>
      </c>
      <c r="T700" t="str">
        <f>"1751.14"</f>
        <v>1751.14</v>
      </c>
      <c r="U700" t="str">
        <f>"115673.00"</f>
        <v>115673.00</v>
      </c>
      <c r="V700" t="str">
        <f>"115673.00"</f>
        <v>115673.00</v>
      </c>
      <c r="W700" t="str">
        <f t="shared" si="195"/>
        <v>2017</v>
      </c>
      <c r="X700" t="str">
        <f>"17.00"</f>
        <v>17.00</v>
      </c>
      <c r="Y700" t="str">
        <f>"1835.67"</f>
        <v>1835.67</v>
      </c>
      <c r="Z700" t="str">
        <f>""</f>
        <v/>
      </c>
      <c r="AA700" t="str">
        <f>"115673.00"</f>
        <v>115673.00</v>
      </c>
      <c r="AB700" t="str">
        <f t="shared" si="212"/>
        <v>Residential</v>
      </c>
      <c r="AC700" t="str">
        <f t="shared" si="204"/>
        <v>0</v>
      </c>
      <c r="AD700" t="str">
        <f t="shared" si="213"/>
        <v>4</v>
      </c>
      <c r="AE700" t="str">
        <f t="shared" si="214"/>
        <v>WOOD (INCLUDE STEEL STUDS)</v>
      </c>
      <c r="AF700" t="str">
        <f>"001"</f>
        <v>001</v>
      </c>
      <c r="AG700" t="str">
        <f t="shared" si="211"/>
        <v>FL</v>
      </c>
      <c r="AH700" t="str">
        <f>"49950.00"</f>
        <v>49950.00</v>
      </c>
      <c r="AI700" t="str">
        <f t="shared" si="215"/>
        <v>20000.00</v>
      </c>
      <c r="AJ700" t="str">
        <f>"C55-000-587-8543-7"</f>
        <v>C55-000-587-8543-7</v>
      </c>
      <c r="AK700" t="str">
        <f>"11408"</f>
        <v>11408</v>
      </c>
      <c r="AL700">
        <v>3</v>
      </c>
      <c r="AM700">
        <v>801</v>
      </c>
      <c r="AN700">
        <v>1925.85</v>
      </c>
      <c r="AQ700" t="s">
        <v>7446</v>
      </c>
      <c r="AR700" t="s">
        <v>7446</v>
      </c>
      <c r="AS700" t="s">
        <v>7446</v>
      </c>
      <c r="AU700" t="s">
        <v>396</v>
      </c>
      <c r="AV700">
        <v>2017</v>
      </c>
      <c r="AW700" t="str">
        <f>"37-1N-25-296C-0019-0000 "</f>
        <v xml:space="preserve">37-1N-25-296C-0019-0000 </v>
      </c>
      <c r="AX700">
        <v>54069</v>
      </c>
      <c r="AZ700" t="s">
        <v>7447</v>
      </c>
      <c r="BA700" t="s">
        <v>669</v>
      </c>
      <c r="BD700" t="s">
        <v>2785</v>
      </c>
      <c r="BE700" t="s">
        <v>393</v>
      </c>
      <c r="BF700">
        <v>32011</v>
      </c>
      <c r="BG700" t="s">
        <v>7448</v>
      </c>
      <c r="BH700" t="s">
        <v>2787</v>
      </c>
      <c r="BI700">
        <v>-81.774035893520804</v>
      </c>
      <c r="BJ700">
        <v>30.518072941745899</v>
      </c>
      <c r="BK700" t="s">
        <v>7449</v>
      </c>
      <c r="BM700" t="s">
        <v>7448</v>
      </c>
      <c r="BN700" t="s">
        <v>928</v>
      </c>
      <c r="BO700">
        <v>32011</v>
      </c>
      <c r="BP700" t="s">
        <v>416</v>
      </c>
      <c r="BQ700">
        <v>100</v>
      </c>
      <c r="BR700" t="s">
        <v>514</v>
      </c>
      <c r="BS700">
        <v>1001</v>
      </c>
      <c r="BT700" t="s">
        <v>515</v>
      </c>
      <c r="BW700">
        <v>55927</v>
      </c>
      <c r="BX700" t="s">
        <v>407</v>
      </c>
      <c r="BY700" t="s">
        <v>4360</v>
      </c>
      <c r="BZ700">
        <v>4</v>
      </c>
      <c r="CA700">
        <v>1973</v>
      </c>
      <c r="CB700">
        <v>1.5</v>
      </c>
      <c r="CC700">
        <v>1</v>
      </c>
      <c r="CD700">
        <v>2017</v>
      </c>
      <c r="CE700">
        <v>20000</v>
      </c>
      <c r="CF700">
        <v>95673</v>
      </c>
      <c r="CG700">
        <v>115673</v>
      </c>
      <c r="CH700">
        <v>2017</v>
      </c>
      <c r="CI700">
        <v>20000</v>
      </c>
      <c r="CJ700">
        <v>95673</v>
      </c>
      <c r="CK700">
        <v>115673</v>
      </c>
      <c r="CL700">
        <v>2017</v>
      </c>
      <c r="CM700">
        <v>1751.14</v>
      </c>
      <c r="CN700" s="1">
        <v>26665</v>
      </c>
      <c r="CO700">
        <v>1000</v>
      </c>
      <c r="CZ700" s="1">
        <v>26665</v>
      </c>
      <c r="DD700" t="s">
        <v>2785</v>
      </c>
      <c r="DG700">
        <v>37</v>
      </c>
      <c r="DJ700" t="s">
        <v>7420</v>
      </c>
      <c r="DL700">
        <v>50502</v>
      </c>
      <c r="DM700" t="s">
        <v>7353</v>
      </c>
      <c r="DO700" t="s">
        <v>7450</v>
      </c>
      <c r="DP700">
        <v>0</v>
      </c>
      <c r="DQ700">
        <v>0</v>
      </c>
      <c r="DR700" t="s">
        <v>411</v>
      </c>
      <c r="DS700" t="b">
        <v>1</v>
      </c>
      <c r="DT700" t="s">
        <v>470</v>
      </c>
      <c r="DU700" t="s">
        <v>471</v>
      </c>
      <c r="DV700" t="s">
        <v>472</v>
      </c>
      <c r="DX700">
        <v>-9999</v>
      </c>
      <c r="DZ700" t="s">
        <v>447</v>
      </c>
      <c r="EA700" t="s">
        <v>448</v>
      </c>
      <c r="EB700" t="s">
        <v>742</v>
      </c>
      <c r="EC700">
        <v>20101217</v>
      </c>
      <c r="ED700" t="s">
        <v>474</v>
      </c>
      <c r="EF700">
        <v>216.4</v>
      </c>
      <c r="EG700">
        <v>216.4</v>
      </c>
      <c r="EI700">
        <v>20160407</v>
      </c>
      <c r="EJ700">
        <v>0</v>
      </c>
      <c r="EK700">
        <v>0</v>
      </c>
      <c r="EP700" t="s">
        <v>421</v>
      </c>
      <c r="EQ700" t="s">
        <v>452</v>
      </c>
      <c r="ER700">
        <v>0</v>
      </c>
      <c r="ES700">
        <v>4</v>
      </c>
      <c r="ET700">
        <v>0</v>
      </c>
      <c r="EU700">
        <v>0</v>
      </c>
      <c r="EV700">
        <v>0</v>
      </c>
      <c r="EW700" s="2">
        <v>43222</v>
      </c>
      <c r="EX700" s="1">
        <v>42515</v>
      </c>
      <c r="EY700">
        <v>2015</v>
      </c>
      <c r="EZ700">
        <v>2007.98</v>
      </c>
      <c r="FA700" t="s">
        <v>7451</v>
      </c>
      <c r="FB700">
        <v>0.25</v>
      </c>
      <c r="FC700" t="s">
        <v>424</v>
      </c>
      <c r="FD700" t="s">
        <v>425</v>
      </c>
      <c r="FE700" s="1">
        <v>42836</v>
      </c>
      <c r="FF700">
        <v>11</v>
      </c>
      <c r="FG700">
        <v>2851116</v>
      </c>
      <c r="FH700" t="s">
        <v>480</v>
      </c>
      <c r="FI700" t="s">
        <v>458</v>
      </c>
      <c r="FJ700" s="1">
        <v>42515</v>
      </c>
      <c r="FK700">
        <v>2015</v>
      </c>
      <c r="FL700">
        <v>2007.98</v>
      </c>
      <c r="FM700" t="s">
        <v>7451</v>
      </c>
      <c r="FN700">
        <v>0.25</v>
      </c>
      <c r="FO700" t="s">
        <v>424</v>
      </c>
      <c r="FP700" t="s">
        <v>425</v>
      </c>
      <c r="FR700">
        <v>22</v>
      </c>
      <c r="FS700">
        <v>5542264</v>
      </c>
      <c r="FT700" t="s">
        <v>7452</v>
      </c>
      <c r="FU700" t="s">
        <v>458</v>
      </c>
      <c r="FV700" s="1">
        <v>42151</v>
      </c>
      <c r="FW700">
        <v>2014</v>
      </c>
      <c r="FX700">
        <v>508.91</v>
      </c>
      <c r="FY700" t="s">
        <v>7453</v>
      </c>
      <c r="FZ700">
        <v>0.25</v>
      </c>
      <c r="GA700" t="s">
        <v>424</v>
      </c>
      <c r="GB700" t="s">
        <v>425</v>
      </c>
      <c r="GD700">
        <v>22</v>
      </c>
      <c r="GE700">
        <v>2101382</v>
      </c>
      <c r="GF700" t="s">
        <v>993</v>
      </c>
      <c r="GG700" t="s">
        <v>458</v>
      </c>
      <c r="GH700" s="1">
        <v>42151</v>
      </c>
      <c r="GI700">
        <v>2014</v>
      </c>
      <c r="GJ700">
        <v>508.91</v>
      </c>
      <c r="GK700" t="s">
        <v>7453</v>
      </c>
      <c r="GL700">
        <v>0.25</v>
      </c>
      <c r="GM700" t="s">
        <v>424</v>
      </c>
      <c r="GN700" t="s">
        <v>425</v>
      </c>
      <c r="GP700">
        <v>22</v>
      </c>
      <c r="GQ700">
        <v>5593721</v>
      </c>
      <c r="GR700" t="s">
        <v>7454</v>
      </c>
      <c r="GS700" t="s">
        <v>458</v>
      </c>
    </row>
    <row r="701" spans="1:272" x14ac:dyDescent="0.25">
      <c r="A701">
        <v>16485708</v>
      </c>
      <c r="B701">
        <v>700</v>
      </c>
      <c r="C701" t="s">
        <v>393</v>
      </c>
      <c r="D701" t="s">
        <v>394</v>
      </c>
      <c r="F701" t="str">
        <f>"37-1N-25-299A-0026-0000"</f>
        <v>37-1N-25-299A-0026-0000</v>
      </c>
      <c r="H701" t="str">
        <f>"JENNINGS DAVID E JR &amp; MELYNDA"</f>
        <v>JENNINGS DAVID E JR &amp; MELYNDA</v>
      </c>
      <c r="I701" t="str">
        <f>"54661 VONTZ CIRCLE"</f>
        <v>54661 VONTZ CIRCLE</v>
      </c>
      <c r="J701" t="str">
        <f>"CALLAHAN FL 32011"</f>
        <v>CALLAHAN FL 32011</v>
      </c>
      <c r="K701" t="str">
        <f>"54661 VONTZ CIR"</f>
        <v>54661 VONTZ CIR</v>
      </c>
      <c r="L701" t="str">
        <f t="shared" si="202"/>
        <v>CALLAHAN FL 32011</v>
      </c>
      <c r="M701" t="str">
        <f>"LOT 26 IN OR 832 PG 1578 NASSAU VILLAGE 1 UNR"</f>
        <v>LOT 26 IN OR 832 PG 1578 NASSAU VILLAGE 1 UNR</v>
      </c>
      <c r="N701" t="str">
        <f>""</f>
        <v/>
      </c>
      <c r="O701" t="str">
        <f>"42704"</f>
        <v>42704</v>
      </c>
      <c r="P701" t="str">
        <f t="shared" si="194"/>
        <v>2017</v>
      </c>
      <c r="Q701" t="str">
        <f>""</f>
        <v/>
      </c>
      <c r="R701" t="str">
        <f>"Y"</f>
        <v>Y</v>
      </c>
      <c r="S701" t="str">
        <f>""</f>
        <v/>
      </c>
      <c r="T701" t="str">
        <f>"849.99"</f>
        <v>849.99</v>
      </c>
      <c r="U701" t="str">
        <f>"95251.00"</f>
        <v>95251.00</v>
      </c>
      <c r="V701" t="str">
        <f>"95251.00"</f>
        <v>95251.00</v>
      </c>
      <c r="W701" t="str">
        <f t="shared" si="195"/>
        <v>2017</v>
      </c>
      <c r="X701" t="str">
        <f>""</f>
        <v/>
      </c>
      <c r="Y701" t="str">
        <f>"907.49"</f>
        <v>907.49</v>
      </c>
      <c r="Z701" t="str">
        <f>"25000.00"</f>
        <v>25000.00</v>
      </c>
      <c r="AA701" t="str">
        <f>"70251.00"</f>
        <v>70251.00</v>
      </c>
      <c r="AB701" t="str">
        <f t="shared" si="212"/>
        <v>Residential</v>
      </c>
      <c r="AC701" t="str">
        <f t="shared" si="204"/>
        <v>0</v>
      </c>
      <c r="AD701" t="str">
        <f t="shared" si="213"/>
        <v>4</v>
      </c>
      <c r="AE701" t="str">
        <f t="shared" si="214"/>
        <v>WOOD (INCLUDE STEEL STUDS)</v>
      </c>
      <c r="AF701" t="str">
        <f>"001"</f>
        <v>001</v>
      </c>
      <c r="AG701" t="str">
        <f t="shared" si="211"/>
        <v>FL</v>
      </c>
      <c r="AH701" t="str">
        <f>"41875.00"</f>
        <v>41875.00</v>
      </c>
      <c r="AI701" t="str">
        <f t="shared" si="215"/>
        <v>20000.00</v>
      </c>
      <c r="AJ701" t="str">
        <f>"C55-000-587-8636-9"</f>
        <v>C55-000-587-8636-9</v>
      </c>
      <c r="AK701" t="str">
        <f>"11500"</f>
        <v>11500</v>
      </c>
      <c r="AL701">
        <v>3</v>
      </c>
      <c r="AM701">
        <v>802</v>
      </c>
      <c r="AN701">
        <v>951.26</v>
      </c>
      <c r="AQ701" t="s">
        <v>7455</v>
      </c>
      <c r="AR701" t="s">
        <v>7455</v>
      </c>
      <c r="AS701" t="s">
        <v>7455</v>
      </c>
      <c r="AU701" t="s">
        <v>396</v>
      </c>
      <c r="AV701">
        <v>2017</v>
      </c>
      <c r="AW701" t="str">
        <f>"37-1N-25-299A-0026-0000 "</f>
        <v xml:space="preserve">37-1N-25-299A-0026-0000 </v>
      </c>
      <c r="AX701">
        <v>54661</v>
      </c>
      <c r="AZ701" t="s">
        <v>7456</v>
      </c>
      <c r="BA701" t="s">
        <v>1799</v>
      </c>
      <c r="BD701" t="s">
        <v>2785</v>
      </c>
      <c r="BE701" t="s">
        <v>393</v>
      </c>
      <c r="BF701">
        <v>32011</v>
      </c>
      <c r="BG701" t="s">
        <v>7457</v>
      </c>
      <c r="BH701" t="s">
        <v>2787</v>
      </c>
      <c r="BI701">
        <v>-81.771190337070706</v>
      </c>
      <c r="BJ701">
        <v>30.535994788188699</v>
      </c>
      <c r="BK701" t="s">
        <v>7458</v>
      </c>
      <c r="BL701" t="s">
        <v>7459</v>
      </c>
      <c r="BM701" t="s">
        <v>7457</v>
      </c>
      <c r="BN701" t="s">
        <v>928</v>
      </c>
      <c r="BO701">
        <v>32011</v>
      </c>
      <c r="BP701" t="s">
        <v>416</v>
      </c>
      <c r="BQ701">
        <v>100</v>
      </c>
      <c r="BR701" t="s">
        <v>514</v>
      </c>
      <c r="BS701">
        <v>1001</v>
      </c>
      <c r="BT701" t="s">
        <v>515</v>
      </c>
      <c r="BW701">
        <v>40706</v>
      </c>
      <c r="BX701" t="s">
        <v>407</v>
      </c>
      <c r="BY701" t="s">
        <v>4360</v>
      </c>
      <c r="BZ701">
        <v>4</v>
      </c>
      <c r="CA701">
        <v>1972</v>
      </c>
      <c r="CB701">
        <v>1</v>
      </c>
      <c r="CC701">
        <v>1</v>
      </c>
      <c r="CD701">
        <v>2017</v>
      </c>
      <c r="CG701">
        <v>95251</v>
      </c>
      <c r="CH701">
        <v>2017</v>
      </c>
      <c r="CI701">
        <v>20000</v>
      </c>
      <c r="CJ701">
        <v>95136</v>
      </c>
      <c r="CK701">
        <v>115136</v>
      </c>
      <c r="CL701">
        <v>2017</v>
      </c>
      <c r="CM701">
        <v>849.99</v>
      </c>
      <c r="CN701" s="1">
        <v>35921</v>
      </c>
      <c r="CO701">
        <v>86000</v>
      </c>
      <c r="CZ701" s="1">
        <v>35921</v>
      </c>
      <c r="DD701" t="s">
        <v>2785</v>
      </c>
      <c r="DF701">
        <v>26</v>
      </c>
      <c r="DG701">
        <v>37</v>
      </c>
      <c r="DJ701" t="s">
        <v>7460</v>
      </c>
      <c r="DL701">
        <v>50502</v>
      </c>
      <c r="DM701" t="s">
        <v>7353</v>
      </c>
      <c r="DO701" t="s">
        <v>7461</v>
      </c>
      <c r="DP701">
        <v>0</v>
      </c>
      <c r="DQ701">
        <v>0</v>
      </c>
      <c r="DR701" t="s">
        <v>411</v>
      </c>
    </row>
    <row r="702" spans="1:272" x14ac:dyDescent="0.25">
      <c r="A702">
        <v>16485709</v>
      </c>
      <c r="B702">
        <v>701</v>
      </c>
      <c r="C702" t="s">
        <v>393</v>
      </c>
      <c r="D702" t="s">
        <v>394</v>
      </c>
      <c r="F702" t="str">
        <f>"37-1N-25-299A-0032-0000"</f>
        <v>37-1N-25-299A-0032-0000</v>
      </c>
      <c r="H702" t="str">
        <f>"SKIPPER DEBORAH S"</f>
        <v>SKIPPER DEBORAH S</v>
      </c>
      <c r="I702" t="str">
        <f>"54517 VONTZ CIRCLE"</f>
        <v>54517 VONTZ CIRCLE</v>
      </c>
      <c r="J702" t="str">
        <f>"CALLAHAN FL 32011"</f>
        <v>CALLAHAN FL 32011</v>
      </c>
      <c r="K702" t="str">
        <f>"54517 VONTZ CIR"</f>
        <v>54517 VONTZ CIR</v>
      </c>
      <c r="L702" t="str">
        <f t="shared" si="202"/>
        <v>CALLAHAN FL 32011</v>
      </c>
      <c r="M702" t="str">
        <f>"LOT 32 R672496 IN OR 762 PG 542 NASSAU VILLAGE 1 UNR"</f>
        <v>LOT 32 R672496 IN OR 762 PG 542 NASSAU VILLAGE 1 UNR</v>
      </c>
      <c r="N702" t="str">
        <f>""</f>
        <v/>
      </c>
      <c r="O702" t="str">
        <f>"42710"</f>
        <v>42710</v>
      </c>
      <c r="P702" t="str">
        <f t="shared" si="194"/>
        <v>2017</v>
      </c>
      <c r="Q702" t="str">
        <f>""</f>
        <v/>
      </c>
      <c r="R702" t="str">
        <f>"Y"</f>
        <v>Y</v>
      </c>
      <c r="S702" t="str">
        <f>""</f>
        <v/>
      </c>
      <c r="T702" t="str">
        <f>"296.70"</f>
        <v>296.70</v>
      </c>
      <c r="U702" t="str">
        <f>"44598.00"</f>
        <v>44598.00</v>
      </c>
      <c r="V702" t="str">
        <f>"44598.00"</f>
        <v>44598.00</v>
      </c>
      <c r="W702" t="str">
        <f t="shared" si="195"/>
        <v>2017</v>
      </c>
      <c r="X702" t="str">
        <f>"8.86"</f>
        <v>8.86</v>
      </c>
      <c r="Y702" t="str">
        <f>"337.60"</f>
        <v>337.60</v>
      </c>
      <c r="Z702" t="str">
        <f>"25000.00"</f>
        <v>25000.00</v>
      </c>
      <c r="AA702" t="str">
        <f>"19598.00"</f>
        <v>19598.00</v>
      </c>
      <c r="AB702" t="str">
        <f t="shared" si="212"/>
        <v>Residential</v>
      </c>
      <c r="AC702" t="str">
        <f t="shared" si="204"/>
        <v>0</v>
      </c>
      <c r="AD702" t="str">
        <f t="shared" si="213"/>
        <v>4</v>
      </c>
      <c r="AE702" t="str">
        <f t="shared" si="214"/>
        <v>WOOD (INCLUDE STEEL STUDS)</v>
      </c>
      <c r="AF702" t="str">
        <f>"002"</f>
        <v>002</v>
      </c>
      <c r="AG702" t="str">
        <f t="shared" si="211"/>
        <v>FL</v>
      </c>
      <c r="AH702" t="str">
        <f>"43750.00"</f>
        <v>43750.00</v>
      </c>
      <c r="AI702" t="str">
        <f t="shared" si="215"/>
        <v>20000.00</v>
      </c>
      <c r="AJ702" t="str">
        <f>"C55-000-587-8642-7"</f>
        <v>C55-000-587-8642-7</v>
      </c>
      <c r="AK702" t="str">
        <f>"11506"</f>
        <v>11506</v>
      </c>
      <c r="AL702">
        <v>3</v>
      </c>
      <c r="AM702">
        <v>803</v>
      </c>
      <c r="AN702">
        <v>352.88</v>
      </c>
      <c r="AQ702" t="s">
        <v>7462</v>
      </c>
      <c r="AR702" t="s">
        <v>7462</v>
      </c>
      <c r="AS702" t="s">
        <v>7462</v>
      </c>
      <c r="AU702" t="s">
        <v>396</v>
      </c>
      <c r="AV702">
        <v>2017</v>
      </c>
      <c r="AW702" t="str">
        <f>"37-1N-25-299A-0032-0000 "</f>
        <v xml:space="preserve">37-1N-25-299A-0032-0000 </v>
      </c>
      <c r="AX702">
        <v>54517</v>
      </c>
      <c r="AZ702" t="s">
        <v>7456</v>
      </c>
      <c r="BA702" t="s">
        <v>1799</v>
      </c>
      <c r="BD702" t="s">
        <v>2785</v>
      </c>
      <c r="BE702" t="s">
        <v>393</v>
      </c>
      <c r="BF702">
        <v>32011</v>
      </c>
      <c r="BG702" t="s">
        <v>7463</v>
      </c>
      <c r="BH702" t="s">
        <v>2787</v>
      </c>
      <c r="BI702">
        <v>-81.768972303291207</v>
      </c>
      <c r="BJ702">
        <v>30.5366961411147</v>
      </c>
      <c r="BK702" t="s">
        <v>7464</v>
      </c>
      <c r="BM702" t="s">
        <v>7463</v>
      </c>
      <c r="BN702" t="s">
        <v>928</v>
      </c>
      <c r="BO702">
        <v>32011</v>
      </c>
      <c r="BP702" t="s">
        <v>416</v>
      </c>
      <c r="BQ702">
        <v>200</v>
      </c>
      <c r="BR702" t="s">
        <v>405</v>
      </c>
      <c r="BS702">
        <v>1006</v>
      </c>
      <c r="BT702" t="s">
        <v>406</v>
      </c>
      <c r="BW702">
        <v>44006</v>
      </c>
      <c r="BX702" t="s">
        <v>407</v>
      </c>
      <c r="BY702" t="s">
        <v>4360</v>
      </c>
      <c r="BZ702">
        <v>4</v>
      </c>
      <c r="CA702">
        <v>1997</v>
      </c>
      <c r="CB702">
        <v>1</v>
      </c>
      <c r="CC702">
        <v>1</v>
      </c>
      <c r="CD702">
        <v>2017</v>
      </c>
      <c r="CG702">
        <v>44598</v>
      </c>
      <c r="CH702">
        <v>2017</v>
      </c>
      <c r="CI702">
        <v>20000</v>
      </c>
      <c r="CJ702">
        <v>30888</v>
      </c>
      <c r="CK702">
        <v>50888</v>
      </c>
      <c r="CL702">
        <v>2017</v>
      </c>
      <c r="CM702">
        <v>296.7</v>
      </c>
      <c r="CN702" s="1">
        <v>35222</v>
      </c>
      <c r="CZ702" s="1">
        <v>35222</v>
      </c>
      <c r="DD702" t="s">
        <v>2785</v>
      </c>
      <c r="DF702">
        <v>32</v>
      </c>
      <c r="DG702">
        <v>37</v>
      </c>
      <c r="DJ702" t="s">
        <v>7460</v>
      </c>
      <c r="DL702">
        <v>50502</v>
      </c>
      <c r="DM702" t="s">
        <v>7353</v>
      </c>
      <c r="DO702" t="s">
        <v>7465</v>
      </c>
      <c r="DP702">
        <v>0</v>
      </c>
      <c r="DQ702">
        <v>0</v>
      </c>
      <c r="DR702" t="s">
        <v>411</v>
      </c>
      <c r="DS702" t="b">
        <v>1</v>
      </c>
      <c r="DT702" t="s">
        <v>470</v>
      </c>
      <c r="DU702" t="s">
        <v>471</v>
      </c>
      <c r="DV702" t="s">
        <v>472</v>
      </c>
      <c r="DX702">
        <v>-9999</v>
      </c>
      <c r="DZ702" t="s">
        <v>447</v>
      </c>
      <c r="EA702" t="s">
        <v>448</v>
      </c>
      <c r="EB702" t="s">
        <v>742</v>
      </c>
      <c r="EC702">
        <v>20101217</v>
      </c>
      <c r="ED702" t="s">
        <v>474</v>
      </c>
      <c r="EF702">
        <v>345.6</v>
      </c>
      <c r="EG702">
        <v>345.6</v>
      </c>
      <c r="EI702">
        <v>20160407</v>
      </c>
      <c r="EJ702">
        <v>0</v>
      </c>
      <c r="EK702">
        <v>0</v>
      </c>
      <c r="EP702" t="s">
        <v>421</v>
      </c>
      <c r="EQ702" t="s">
        <v>422</v>
      </c>
      <c r="ER702">
        <v>2</v>
      </c>
      <c r="ES702">
        <v>7</v>
      </c>
      <c r="ET702">
        <v>674.3</v>
      </c>
      <c r="EU702">
        <v>46.22</v>
      </c>
      <c r="EV702">
        <v>720.52</v>
      </c>
      <c r="EW702" s="2">
        <v>43222</v>
      </c>
      <c r="EX702" s="1">
        <v>42879</v>
      </c>
      <c r="EY702">
        <v>2016</v>
      </c>
      <c r="EZ702">
        <v>337.15</v>
      </c>
      <c r="FA702" t="s">
        <v>7466</v>
      </c>
      <c r="FB702">
        <v>0.25</v>
      </c>
      <c r="FC702" t="s">
        <v>424</v>
      </c>
      <c r="FD702" t="s">
        <v>454</v>
      </c>
      <c r="FF702">
        <v>12</v>
      </c>
      <c r="FG702">
        <v>2851116</v>
      </c>
      <c r="FH702" t="s">
        <v>480</v>
      </c>
      <c r="FJ702" s="1">
        <v>42879</v>
      </c>
      <c r="FK702">
        <v>2016</v>
      </c>
      <c r="FL702">
        <v>337.15</v>
      </c>
      <c r="FM702" t="s">
        <v>7466</v>
      </c>
      <c r="FN702">
        <v>0.25</v>
      </c>
      <c r="FO702" t="s">
        <v>424</v>
      </c>
      <c r="FP702" t="s">
        <v>454</v>
      </c>
      <c r="FR702">
        <v>12</v>
      </c>
      <c r="FS702">
        <v>5227788</v>
      </c>
      <c r="FT702" t="s">
        <v>7467</v>
      </c>
      <c r="FV702" s="1">
        <v>42515</v>
      </c>
      <c r="FW702">
        <v>2015</v>
      </c>
      <c r="FX702">
        <v>353.95</v>
      </c>
      <c r="FY702" t="s">
        <v>7468</v>
      </c>
      <c r="FZ702">
        <v>0.25</v>
      </c>
      <c r="GA702" t="s">
        <v>424</v>
      </c>
      <c r="GB702" t="s">
        <v>425</v>
      </c>
      <c r="GC702" s="1">
        <v>42954</v>
      </c>
      <c r="GD702">
        <v>15</v>
      </c>
      <c r="GE702">
        <v>2851116</v>
      </c>
      <c r="GF702" t="s">
        <v>480</v>
      </c>
      <c r="GH702" s="1">
        <v>42515</v>
      </c>
      <c r="GI702">
        <v>2015</v>
      </c>
      <c r="GJ702">
        <v>353.95</v>
      </c>
      <c r="GK702" t="s">
        <v>7468</v>
      </c>
      <c r="GL702">
        <v>0.25</v>
      </c>
      <c r="GM702" t="s">
        <v>424</v>
      </c>
      <c r="GN702" t="s">
        <v>425</v>
      </c>
      <c r="GP702">
        <v>22</v>
      </c>
      <c r="GQ702">
        <v>5492618</v>
      </c>
      <c r="GR702" t="s">
        <v>7469</v>
      </c>
      <c r="GT702" s="1">
        <v>42151</v>
      </c>
      <c r="GU702">
        <v>2014</v>
      </c>
      <c r="GV702">
        <v>349.59</v>
      </c>
      <c r="GW702" t="s">
        <v>7470</v>
      </c>
      <c r="GX702">
        <v>0.25</v>
      </c>
      <c r="GY702" t="s">
        <v>424</v>
      </c>
      <c r="GZ702" t="s">
        <v>425</v>
      </c>
      <c r="HA702" s="1">
        <v>42426</v>
      </c>
      <c r="HB702">
        <v>9</v>
      </c>
      <c r="HC702">
        <v>2851116</v>
      </c>
      <c r="HD702" t="s">
        <v>480</v>
      </c>
      <c r="HF702" s="1">
        <v>42151</v>
      </c>
      <c r="HG702">
        <v>2014</v>
      </c>
      <c r="HH702">
        <v>349.59</v>
      </c>
      <c r="HI702" t="s">
        <v>7470</v>
      </c>
      <c r="HJ702">
        <v>0.25</v>
      </c>
      <c r="HK702" t="s">
        <v>424</v>
      </c>
      <c r="HL702" t="s">
        <v>425</v>
      </c>
      <c r="HN702">
        <v>22</v>
      </c>
      <c r="HO702">
        <v>4965115</v>
      </c>
      <c r="HP702" t="s">
        <v>7471</v>
      </c>
      <c r="HR702" s="1">
        <v>41787</v>
      </c>
      <c r="HS702">
        <v>2013</v>
      </c>
      <c r="HT702">
        <v>369</v>
      </c>
      <c r="HU702" t="s">
        <v>7472</v>
      </c>
      <c r="HV702">
        <v>0.25</v>
      </c>
      <c r="HW702" t="s">
        <v>424</v>
      </c>
      <c r="HX702" t="s">
        <v>425</v>
      </c>
      <c r="HY702" s="1">
        <v>42046</v>
      </c>
      <c r="HZ702">
        <v>9</v>
      </c>
      <c r="IA702">
        <v>2101382</v>
      </c>
      <c r="IB702" t="s">
        <v>993</v>
      </c>
      <c r="ID702" s="1">
        <v>41423</v>
      </c>
      <c r="IE702">
        <v>2012</v>
      </c>
      <c r="IF702">
        <v>360.63</v>
      </c>
      <c r="IG702" t="s">
        <v>7473</v>
      </c>
      <c r="IH702">
        <v>4.25</v>
      </c>
      <c r="II702" t="s">
        <v>424</v>
      </c>
      <c r="IJ702" t="s">
        <v>425</v>
      </c>
      <c r="IK702" s="1">
        <v>41682</v>
      </c>
      <c r="IL702">
        <v>9</v>
      </c>
      <c r="IM702">
        <v>15407</v>
      </c>
      <c r="IN702" t="s">
        <v>1134</v>
      </c>
      <c r="IP702" s="1">
        <v>40688</v>
      </c>
      <c r="IQ702">
        <v>2010</v>
      </c>
      <c r="IR702">
        <v>440.76</v>
      </c>
      <c r="IS702" t="s">
        <v>7474</v>
      </c>
      <c r="IT702">
        <v>7.75</v>
      </c>
      <c r="IU702" t="s">
        <v>424</v>
      </c>
      <c r="IV702" t="s">
        <v>425</v>
      </c>
      <c r="IW702" s="1">
        <v>40934</v>
      </c>
      <c r="IX702">
        <v>8</v>
      </c>
      <c r="IY702">
        <v>62</v>
      </c>
      <c r="IZ702" t="s">
        <v>463</v>
      </c>
    </row>
    <row r="703" spans="1:272" x14ac:dyDescent="0.25">
      <c r="A703">
        <v>16485710</v>
      </c>
      <c r="B703">
        <v>702</v>
      </c>
      <c r="C703" t="s">
        <v>393</v>
      </c>
      <c r="D703" t="s">
        <v>394</v>
      </c>
      <c r="F703" t="str">
        <f>"37-1N-25-299A-0037-0000"</f>
        <v>37-1N-25-299A-0037-0000</v>
      </c>
      <c r="H703" t="str">
        <f>"SCOTT JEANNE HENDERSON"</f>
        <v>SCOTT JEANNE HENDERSON</v>
      </c>
      <c r="I703" t="str">
        <f>"P O BOX 1199"</f>
        <v>P O BOX 1199</v>
      </c>
      <c r="J703" t="str">
        <f>"HILLIARD FL 32046"</f>
        <v>HILLIARD FL 32046</v>
      </c>
      <c r="K703" t="str">
        <f>"VONTZ CIR"</f>
        <v>VONTZ CIR</v>
      </c>
      <c r="L703" t="str">
        <f t="shared" si="202"/>
        <v>CALLAHAN FL 32011</v>
      </c>
      <c r="M703" t="str">
        <f>"LOT 37 IN OR 819 PG 1980 NASSAU VILLAGE 1 UNR"</f>
        <v>LOT 37 IN OR 819 PG 1980 NASSAU VILLAGE 1 UNR</v>
      </c>
      <c r="N703" t="str">
        <f>""</f>
        <v/>
      </c>
      <c r="O703" t="str">
        <f>"42716"</f>
        <v>42716</v>
      </c>
      <c r="P703" t="str">
        <f t="shared" si="194"/>
        <v>2017</v>
      </c>
      <c r="Q703" t="str">
        <f>""</f>
        <v/>
      </c>
      <c r="R703" t="str">
        <f>"N"</f>
        <v>N</v>
      </c>
      <c r="S703" t="str">
        <f>""</f>
        <v/>
      </c>
      <c r="T703" t="str">
        <f>"302.78"</f>
        <v>302.78</v>
      </c>
      <c r="U703" t="str">
        <f>"20000.00"</f>
        <v>20000.00</v>
      </c>
      <c r="V703" t="str">
        <f>"20000.00"</f>
        <v>20000.00</v>
      </c>
      <c r="W703" t="str">
        <f t="shared" si="195"/>
        <v>2017</v>
      </c>
      <c r="X703" t="str">
        <f>"16.50"</f>
        <v>16.50</v>
      </c>
      <c r="Y703" t="str">
        <f>"343.86"</f>
        <v>343.86</v>
      </c>
      <c r="Z703" t="str">
        <f>""</f>
        <v/>
      </c>
      <c r="AA703" t="str">
        <f>"20000.00"</f>
        <v>20000.00</v>
      </c>
      <c r="AB703" t="str">
        <f t="shared" si="212"/>
        <v>Residential</v>
      </c>
      <c r="AC703" t="str">
        <f t="shared" si="204"/>
        <v>0</v>
      </c>
      <c r="AD703" t="str">
        <f>""</f>
        <v/>
      </c>
      <c r="AE703" t="str">
        <f>""</f>
        <v/>
      </c>
      <c r="AF703" t="str">
        <f>"000"</f>
        <v>000</v>
      </c>
      <c r="AG703" t="str">
        <f t="shared" si="211"/>
        <v>FL</v>
      </c>
      <c r="AH703" t="str">
        <f>"-"</f>
        <v>-</v>
      </c>
      <c r="AI703" t="str">
        <f t="shared" si="215"/>
        <v>20000.00</v>
      </c>
      <c r="AJ703" t="str">
        <f>"C55-000-587-8648-4"</f>
        <v>C55-000-587-8648-4</v>
      </c>
      <c r="AK703" t="str">
        <f>"11511"</f>
        <v>11511</v>
      </c>
      <c r="AL703">
        <v>3</v>
      </c>
      <c r="AM703">
        <v>804</v>
      </c>
      <c r="AN703">
        <v>359.45</v>
      </c>
      <c r="AQ703" t="s">
        <v>7475</v>
      </c>
      <c r="AR703" t="s">
        <v>7475</v>
      </c>
      <c r="AS703" t="s">
        <v>7475</v>
      </c>
      <c r="AU703" t="s">
        <v>396</v>
      </c>
      <c r="AV703">
        <v>2017</v>
      </c>
      <c r="AW703" t="str">
        <f>"37-1N-25-299A-0037-0000 "</f>
        <v xml:space="preserve">37-1N-25-299A-0037-0000 </v>
      </c>
      <c r="AZ703" t="s">
        <v>7456</v>
      </c>
      <c r="BA703" t="s">
        <v>1799</v>
      </c>
      <c r="BD703" t="s">
        <v>2785</v>
      </c>
      <c r="BE703" t="s">
        <v>393</v>
      </c>
      <c r="BF703">
        <v>32011</v>
      </c>
      <c r="BG703" t="s">
        <v>7476</v>
      </c>
      <c r="BH703" t="s">
        <v>2787</v>
      </c>
      <c r="BI703">
        <v>-81.7686697603542</v>
      </c>
      <c r="BJ703">
        <v>30.532261186362899</v>
      </c>
      <c r="BK703" t="s">
        <v>7477</v>
      </c>
      <c r="BM703" t="s">
        <v>5615</v>
      </c>
      <c r="BN703" t="s">
        <v>403</v>
      </c>
      <c r="BO703">
        <v>32046</v>
      </c>
      <c r="BP703" t="s">
        <v>404</v>
      </c>
      <c r="BQ703">
        <v>0</v>
      </c>
      <c r="BR703" t="s">
        <v>491</v>
      </c>
      <c r="BS703">
        <v>8001</v>
      </c>
      <c r="BT703" t="s">
        <v>492</v>
      </c>
      <c r="BW703">
        <v>49736</v>
      </c>
      <c r="BX703" t="s">
        <v>407</v>
      </c>
      <c r="BY703" t="s">
        <v>4360</v>
      </c>
      <c r="CD703">
        <v>2017</v>
      </c>
      <c r="CE703">
        <v>20000</v>
      </c>
      <c r="CG703">
        <v>20000</v>
      </c>
      <c r="CH703">
        <v>2017</v>
      </c>
      <c r="CI703">
        <v>20000</v>
      </c>
      <c r="CK703">
        <v>20000</v>
      </c>
      <c r="CL703">
        <v>2017</v>
      </c>
      <c r="CM703">
        <v>302.77999999999997</v>
      </c>
      <c r="CN703" s="1">
        <v>35815</v>
      </c>
      <c r="CZ703" s="1">
        <v>35815</v>
      </c>
      <c r="DD703" t="s">
        <v>2785</v>
      </c>
      <c r="DF703">
        <v>37</v>
      </c>
      <c r="DG703">
        <v>37</v>
      </c>
      <c r="DJ703" t="s">
        <v>7460</v>
      </c>
      <c r="DL703">
        <v>50502</v>
      </c>
      <c r="DM703" t="s">
        <v>7353</v>
      </c>
      <c r="DO703" t="s">
        <v>7478</v>
      </c>
      <c r="DP703">
        <v>0</v>
      </c>
      <c r="DQ703">
        <v>0</v>
      </c>
      <c r="DR703" t="s">
        <v>411</v>
      </c>
      <c r="DS703" t="b">
        <v>1</v>
      </c>
      <c r="DT703" t="s">
        <v>470</v>
      </c>
      <c r="DU703" t="s">
        <v>471</v>
      </c>
      <c r="DV703" t="s">
        <v>472</v>
      </c>
      <c r="DX703">
        <v>-9999</v>
      </c>
      <c r="DZ703" t="s">
        <v>447</v>
      </c>
      <c r="EA703" t="s">
        <v>448</v>
      </c>
      <c r="EB703" t="s">
        <v>742</v>
      </c>
      <c r="EC703">
        <v>20101217</v>
      </c>
      <c r="ED703" t="s">
        <v>474</v>
      </c>
      <c r="EF703">
        <v>9.3000000000000007</v>
      </c>
      <c r="EG703">
        <v>9.3000000000000007</v>
      </c>
      <c r="EI703">
        <v>20160407</v>
      </c>
      <c r="EJ703">
        <v>0</v>
      </c>
      <c r="EK703">
        <v>0</v>
      </c>
      <c r="EP703" t="s">
        <v>421</v>
      </c>
      <c r="EQ703" t="s">
        <v>422</v>
      </c>
      <c r="ER703">
        <v>0</v>
      </c>
      <c r="ES703">
        <v>2</v>
      </c>
      <c r="ET703">
        <v>0</v>
      </c>
      <c r="EU703">
        <v>0</v>
      </c>
      <c r="EV703">
        <v>0</v>
      </c>
      <c r="EW703" s="2">
        <v>43222</v>
      </c>
      <c r="EX703" s="1">
        <v>42515</v>
      </c>
      <c r="EY703">
        <v>2015</v>
      </c>
      <c r="EZ703">
        <v>361.79</v>
      </c>
      <c r="FA703" t="s">
        <v>7479</v>
      </c>
      <c r="FB703">
        <v>15.25</v>
      </c>
      <c r="FC703" t="s">
        <v>424</v>
      </c>
      <c r="FD703" t="s">
        <v>425</v>
      </c>
      <c r="FE703" s="1">
        <v>43188</v>
      </c>
      <c r="FF703">
        <v>22</v>
      </c>
      <c r="FG703">
        <v>7336143</v>
      </c>
      <c r="FH703" t="s">
        <v>539</v>
      </c>
      <c r="FJ703" s="1">
        <v>41787</v>
      </c>
      <c r="FK703">
        <v>2013</v>
      </c>
      <c r="FL703">
        <v>316.8</v>
      </c>
      <c r="FM703" t="s">
        <v>7480</v>
      </c>
      <c r="FN703">
        <v>6.75</v>
      </c>
      <c r="FO703" t="s">
        <v>424</v>
      </c>
      <c r="FP703" t="s">
        <v>425</v>
      </c>
      <c r="FQ703" s="1">
        <v>42115</v>
      </c>
      <c r="FR703">
        <v>11</v>
      </c>
      <c r="FS703">
        <v>2035919</v>
      </c>
      <c r="FT703" t="s">
        <v>507</v>
      </c>
    </row>
    <row r="704" spans="1:272" x14ac:dyDescent="0.25">
      <c r="A704">
        <v>16485711</v>
      </c>
      <c r="B704">
        <v>703</v>
      </c>
      <c r="C704" t="s">
        <v>393</v>
      </c>
      <c r="D704" t="s">
        <v>394</v>
      </c>
      <c r="F704" t="str">
        <f>"37-1N-25-299A-0041-0000"</f>
        <v>37-1N-25-299A-0041-0000</v>
      </c>
      <c r="H704" t="str">
        <f>"FISHER ROBERT E EST"</f>
        <v>FISHER ROBERT E EST</v>
      </c>
      <c r="I704" t="str">
        <f>"54171 MARLEE RD"</f>
        <v>54171 MARLEE RD</v>
      </c>
      <c r="J704" t="str">
        <f>"CALLAHAN FL 32011"</f>
        <v>CALLAHAN FL 32011</v>
      </c>
      <c r="K704" t="str">
        <f>"54171 MARLEE RD"</f>
        <v>54171 MARLEE RD</v>
      </c>
      <c r="L704" t="str">
        <f t="shared" si="202"/>
        <v>CALLAHAN FL 32011</v>
      </c>
      <c r="M704" t="str">
        <f>"LOT 41 IN OR 323/552 &amp; OR 1629/1917 R 107521 &amp; R 107522 NASSAU VILLAGE 1 UNR"</f>
        <v>LOT 41 IN OR 323/552 &amp; OR 1629/1917 R 107521 &amp; R 107522 NASSAU VILLAGE 1 UNR</v>
      </c>
      <c r="N704" t="str">
        <f>""</f>
        <v/>
      </c>
      <c r="O704" t="str">
        <f>"42720"</f>
        <v>42720</v>
      </c>
      <c r="P704" t="str">
        <f t="shared" si="194"/>
        <v>2017</v>
      </c>
      <c r="Q704" t="str">
        <f>""</f>
        <v/>
      </c>
      <c r="R704" t="str">
        <f>"N"</f>
        <v>N</v>
      </c>
      <c r="S704" t="str">
        <f>""</f>
        <v/>
      </c>
      <c r="T704" t="str">
        <f>"426.28"</f>
        <v>426.28</v>
      </c>
      <c r="U704" t="str">
        <f>"28158.00"</f>
        <v>28158.00</v>
      </c>
      <c r="V704" t="str">
        <f>"28158.00"</f>
        <v>28158.00</v>
      </c>
      <c r="W704" t="str">
        <f t="shared" si="195"/>
        <v>2017</v>
      </c>
      <c r="X704" t="str">
        <f>"3.50"</f>
        <v>3.50</v>
      </c>
      <c r="Y704" t="str">
        <f>"471.07"</f>
        <v>471.07</v>
      </c>
      <c r="Z704" t="str">
        <f>""</f>
        <v/>
      </c>
      <c r="AA704" t="str">
        <f>"28158.00"</f>
        <v>28158.00</v>
      </c>
      <c r="AB704" t="str">
        <f t="shared" si="212"/>
        <v>Residential</v>
      </c>
      <c r="AC704" t="str">
        <f t="shared" si="204"/>
        <v>0</v>
      </c>
      <c r="AD704" t="str">
        <f t="shared" ref="AD704:AD716" si="216">"4"</f>
        <v>4</v>
      </c>
      <c r="AE704" t="str">
        <f t="shared" ref="AE704:AE716" si="217">"WOOD (INCLUDE STEEL STUDS)"</f>
        <v>WOOD (INCLUDE STEEL STUDS)</v>
      </c>
      <c r="AF704" t="str">
        <f>"002"</f>
        <v>002</v>
      </c>
      <c r="AG704" t="str">
        <f t="shared" si="211"/>
        <v>FL</v>
      </c>
      <c r="AH704" t="str">
        <f>"66240.00"</f>
        <v>66240.00</v>
      </c>
      <c r="AI704" t="str">
        <f t="shared" si="215"/>
        <v>20000.00</v>
      </c>
      <c r="AJ704" t="str">
        <f>"C55-000-587-8652-6"</f>
        <v>C55-000-587-8652-6</v>
      </c>
      <c r="AK704" t="str">
        <f>"11515"</f>
        <v>11515</v>
      </c>
      <c r="AL704">
        <v>3</v>
      </c>
      <c r="AM704">
        <v>805</v>
      </c>
      <c r="AN704">
        <v>493.02</v>
      </c>
      <c r="AQ704" t="s">
        <v>7481</v>
      </c>
      <c r="AR704" t="s">
        <v>7481</v>
      </c>
      <c r="AS704" t="s">
        <v>7481</v>
      </c>
      <c r="AU704" t="s">
        <v>396</v>
      </c>
      <c r="AV704">
        <v>2017</v>
      </c>
      <c r="AW704" t="str">
        <f>"37-1N-25-299A-0041-0000 "</f>
        <v xml:space="preserve">37-1N-25-299A-0041-0000 </v>
      </c>
      <c r="AX704">
        <v>54171</v>
      </c>
      <c r="AZ704" t="s">
        <v>7482</v>
      </c>
      <c r="BA704" t="s">
        <v>496</v>
      </c>
      <c r="BD704" t="s">
        <v>2785</v>
      </c>
      <c r="BE704" t="s">
        <v>393</v>
      </c>
      <c r="BF704">
        <v>32011</v>
      </c>
      <c r="BG704" t="s">
        <v>7483</v>
      </c>
      <c r="BH704" t="s">
        <v>2787</v>
      </c>
      <c r="BI704">
        <v>-81.770364863835994</v>
      </c>
      <c r="BJ704">
        <v>30.532421001063099</v>
      </c>
      <c r="BK704" t="s">
        <v>7484</v>
      </c>
      <c r="BM704" t="s">
        <v>7483</v>
      </c>
      <c r="BN704" t="s">
        <v>928</v>
      </c>
      <c r="BO704">
        <v>32011</v>
      </c>
      <c r="BP704" t="s">
        <v>416</v>
      </c>
      <c r="BQ704">
        <v>200</v>
      </c>
      <c r="BR704" t="s">
        <v>405</v>
      </c>
      <c r="BS704">
        <v>1006</v>
      </c>
      <c r="BT704" t="s">
        <v>406</v>
      </c>
      <c r="BW704">
        <v>57952</v>
      </c>
      <c r="BX704" t="s">
        <v>407</v>
      </c>
      <c r="BY704" t="s">
        <v>4360</v>
      </c>
      <c r="BZ704">
        <v>4</v>
      </c>
      <c r="CA704">
        <v>1977</v>
      </c>
      <c r="CB704">
        <v>1</v>
      </c>
      <c r="CC704">
        <v>1</v>
      </c>
      <c r="CD704">
        <v>2017</v>
      </c>
      <c r="CE704">
        <v>20000</v>
      </c>
      <c r="CF704">
        <v>8158</v>
      </c>
      <c r="CG704">
        <v>28158</v>
      </c>
      <c r="CH704">
        <v>2017</v>
      </c>
      <c r="CI704">
        <v>20000</v>
      </c>
      <c r="CJ704">
        <v>8158</v>
      </c>
      <c r="CK704">
        <v>28158</v>
      </c>
      <c r="CL704">
        <v>2017</v>
      </c>
      <c r="CM704">
        <v>426.28</v>
      </c>
      <c r="CN704" s="1">
        <v>39982</v>
      </c>
      <c r="CO704">
        <v>16400</v>
      </c>
      <c r="CZ704" s="1">
        <v>39982</v>
      </c>
      <c r="DD704" t="s">
        <v>2785</v>
      </c>
      <c r="DG704">
        <v>37</v>
      </c>
      <c r="DL704">
        <v>50502</v>
      </c>
      <c r="DM704" t="s">
        <v>7353</v>
      </c>
      <c r="DO704" t="s">
        <v>7485</v>
      </c>
      <c r="DP704">
        <v>0</v>
      </c>
      <c r="DQ704">
        <v>0</v>
      </c>
      <c r="DR704" t="s">
        <v>411</v>
      </c>
      <c r="EP704" t="s">
        <v>6</v>
      </c>
      <c r="EQ704" t="s">
        <v>422</v>
      </c>
      <c r="ER704">
        <v>0</v>
      </c>
      <c r="ES704">
        <v>1</v>
      </c>
      <c r="ET704">
        <v>0</v>
      </c>
      <c r="EU704">
        <v>0</v>
      </c>
      <c r="EV704">
        <v>0</v>
      </c>
      <c r="EW704" s="2">
        <v>43222</v>
      </c>
      <c r="EX704" s="1">
        <v>42151</v>
      </c>
      <c r="EY704">
        <v>2014</v>
      </c>
      <c r="EZ704">
        <v>73.650000000000006</v>
      </c>
      <c r="FA704" t="s">
        <v>7486</v>
      </c>
      <c r="FB704">
        <v>18</v>
      </c>
      <c r="FC704" t="s">
        <v>603</v>
      </c>
      <c r="FD704" t="s">
        <v>425</v>
      </c>
      <c r="FE704" s="1">
        <v>42271</v>
      </c>
      <c r="FF704">
        <v>4</v>
      </c>
      <c r="FG704">
        <v>9999999</v>
      </c>
      <c r="FH704" t="s">
        <v>604</v>
      </c>
    </row>
    <row r="705" spans="1:284" x14ac:dyDescent="0.25">
      <c r="A705">
        <v>16485712</v>
      </c>
      <c r="B705">
        <v>704</v>
      </c>
      <c r="C705" t="s">
        <v>393</v>
      </c>
      <c r="D705" t="s">
        <v>394</v>
      </c>
      <c r="F705" t="str">
        <f>"37-1N-25-299C-0014-0000"</f>
        <v>37-1N-25-299C-0014-0000</v>
      </c>
      <c r="H705" t="str">
        <f>"MABRY NATHANIEL O"</f>
        <v>MABRY NATHANIEL O</v>
      </c>
      <c r="I705" t="str">
        <f>"54291 MARLEE ROAD"</f>
        <v>54291 MARLEE ROAD</v>
      </c>
      <c r="J705" t="str">
        <f>"CALLAHAN FL 32011"</f>
        <v>CALLAHAN FL 32011</v>
      </c>
      <c r="K705" t="str">
        <f>"54291 MARLEE RD"</f>
        <v>54291 MARLEE RD</v>
      </c>
      <c r="L705" t="str">
        <f t="shared" si="202"/>
        <v>CALLAHAN FL 32011</v>
      </c>
      <c r="M705" t="str">
        <f>"LOT 14 IN OR 1328/1345 R673741 &amp; R673742 NASSAU VILLAGE 3 UNR"</f>
        <v>LOT 14 IN OR 1328/1345 R673741 &amp; R673742 NASSAU VILLAGE 3 UNR</v>
      </c>
      <c r="N705" t="str">
        <f>""</f>
        <v/>
      </c>
      <c r="O705" t="str">
        <f>"42753"</f>
        <v>42753</v>
      </c>
      <c r="P705" t="str">
        <f t="shared" si="194"/>
        <v>2017</v>
      </c>
      <c r="Q705" t="str">
        <f>""</f>
        <v/>
      </c>
      <c r="R705" t="str">
        <f>"Y"</f>
        <v>Y</v>
      </c>
      <c r="S705" t="str">
        <f>""</f>
        <v/>
      </c>
      <c r="T705" t="str">
        <f>"515.72"</f>
        <v>515.72</v>
      </c>
      <c r="U705" t="str">
        <f>"70801.00"</f>
        <v>70801.00</v>
      </c>
      <c r="V705" t="str">
        <f>"70801.00"</f>
        <v>70801.00</v>
      </c>
      <c r="W705" t="str">
        <f t="shared" si="195"/>
        <v>2017</v>
      </c>
      <c r="X705" t="str">
        <f>"22.11"</f>
        <v>22.11</v>
      </c>
      <c r="Y705" t="str">
        <f>"563.19"</f>
        <v>563.19</v>
      </c>
      <c r="Z705" t="str">
        <f>"25000.00"</f>
        <v>25000.00</v>
      </c>
      <c r="AA705" t="str">
        <f>"45801.00"</f>
        <v>45801.00</v>
      </c>
      <c r="AB705" t="str">
        <f t="shared" si="212"/>
        <v>Residential</v>
      </c>
      <c r="AC705" t="str">
        <f t="shared" si="204"/>
        <v>0</v>
      </c>
      <c r="AD705" t="str">
        <f t="shared" si="216"/>
        <v>4</v>
      </c>
      <c r="AE705" t="str">
        <f t="shared" si="217"/>
        <v>WOOD (INCLUDE STEEL STUDS)</v>
      </c>
      <c r="AF705" t="str">
        <f>"002"</f>
        <v>002</v>
      </c>
      <c r="AG705" t="str">
        <f t="shared" si="211"/>
        <v>FL</v>
      </c>
      <c r="AH705" t="str">
        <f>"47952.00"</f>
        <v>47952.00</v>
      </c>
      <c r="AI705" t="str">
        <f t="shared" si="215"/>
        <v>20000.00</v>
      </c>
      <c r="AJ705" t="str">
        <f>"C55-000-587-8682-3"</f>
        <v>C55-000-587-8682-3</v>
      </c>
      <c r="AK705" t="str">
        <f>"11545"</f>
        <v>11545</v>
      </c>
      <c r="AL705">
        <v>3</v>
      </c>
      <c r="AM705">
        <v>806</v>
      </c>
      <c r="AN705">
        <v>589.75</v>
      </c>
      <c r="AQ705" t="s">
        <v>7487</v>
      </c>
      <c r="AR705" t="s">
        <v>7487</v>
      </c>
      <c r="AS705" t="s">
        <v>7487</v>
      </c>
      <c r="AU705" t="s">
        <v>396</v>
      </c>
      <c r="AV705">
        <v>2017</v>
      </c>
      <c r="AW705" t="str">
        <f>"37-1N-25-299C-0014-0000 "</f>
        <v xml:space="preserve">37-1N-25-299C-0014-0000 </v>
      </c>
      <c r="AX705">
        <v>54291</v>
      </c>
      <c r="AZ705" t="s">
        <v>7482</v>
      </c>
      <c r="BA705" t="s">
        <v>496</v>
      </c>
      <c r="BD705" t="s">
        <v>2785</v>
      </c>
      <c r="BE705" t="s">
        <v>393</v>
      </c>
      <c r="BF705">
        <v>32011</v>
      </c>
      <c r="BG705" t="s">
        <v>7488</v>
      </c>
      <c r="BH705" t="s">
        <v>2787</v>
      </c>
      <c r="BI705">
        <v>-81.772524011161295</v>
      </c>
      <c r="BJ705">
        <v>30.535577505752499</v>
      </c>
      <c r="BK705" t="s">
        <v>7489</v>
      </c>
      <c r="BM705" t="s">
        <v>7488</v>
      </c>
      <c r="BN705" t="s">
        <v>928</v>
      </c>
      <c r="BO705">
        <v>32011</v>
      </c>
      <c r="BP705" t="s">
        <v>416</v>
      </c>
      <c r="BQ705">
        <v>200</v>
      </c>
      <c r="BR705" t="s">
        <v>405</v>
      </c>
      <c r="BS705">
        <v>1006</v>
      </c>
      <c r="BT705" t="s">
        <v>406</v>
      </c>
      <c r="BW705">
        <v>52681</v>
      </c>
      <c r="BX705" t="s">
        <v>407</v>
      </c>
      <c r="BY705" t="s">
        <v>4360</v>
      </c>
      <c r="BZ705">
        <v>4</v>
      </c>
      <c r="CA705">
        <v>1998</v>
      </c>
      <c r="CB705">
        <v>1</v>
      </c>
      <c r="CC705">
        <v>1</v>
      </c>
      <c r="CD705">
        <v>2017</v>
      </c>
      <c r="CG705">
        <v>70801</v>
      </c>
      <c r="CH705">
        <v>2017</v>
      </c>
      <c r="CI705">
        <v>20000</v>
      </c>
      <c r="CJ705">
        <v>59991</v>
      </c>
      <c r="CK705">
        <v>79991</v>
      </c>
      <c r="CL705">
        <v>2017</v>
      </c>
      <c r="CM705">
        <v>515.72</v>
      </c>
      <c r="CN705" s="1">
        <v>38530</v>
      </c>
      <c r="CO705">
        <v>86100</v>
      </c>
      <c r="CV705">
        <v>0</v>
      </c>
      <c r="CZ705" s="1">
        <v>38530</v>
      </c>
      <c r="DA705">
        <v>0</v>
      </c>
      <c r="DD705" t="s">
        <v>2785</v>
      </c>
      <c r="DF705">
        <v>14</v>
      </c>
      <c r="DG705">
        <v>37</v>
      </c>
      <c r="DL705">
        <v>50502</v>
      </c>
      <c r="DM705" t="s">
        <v>7353</v>
      </c>
      <c r="DO705" t="s">
        <v>7490</v>
      </c>
      <c r="DP705">
        <v>0</v>
      </c>
      <c r="DQ705">
        <v>0</v>
      </c>
      <c r="DR705" t="s">
        <v>411</v>
      </c>
      <c r="DS705" t="b">
        <v>1</v>
      </c>
      <c r="DT705" t="s">
        <v>470</v>
      </c>
      <c r="DU705" t="s">
        <v>471</v>
      </c>
      <c r="DV705" t="s">
        <v>472</v>
      </c>
      <c r="DX705">
        <v>-9999</v>
      </c>
      <c r="DZ705" t="s">
        <v>447</v>
      </c>
      <c r="EA705" t="s">
        <v>448</v>
      </c>
      <c r="EB705" t="s">
        <v>742</v>
      </c>
      <c r="EC705">
        <v>20101217</v>
      </c>
      <c r="ED705" t="s">
        <v>474</v>
      </c>
      <c r="EF705">
        <v>1439.3</v>
      </c>
      <c r="EG705">
        <v>1439.3</v>
      </c>
      <c r="EH705" t="s">
        <v>451</v>
      </c>
      <c r="EI705">
        <v>20140731</v>
      </c>
      <c r="EJ705">
        <v>0</v>
      </c>
      <c r="EK705">
        <v>0</v>
      </c>
      <c r="EP705" t="s">
        <v>421</v>
      </c>
      <c r="EQ705" t="s">
        <v>452</v>
      </c>
      <c r="ER705">
        <v>2</v>
      </c>
      <c r="ES705">
        <v>6</v>
      </c>
      <c r="ET705">
        <v>1168.4000000000001</v>
      </c>
      <c r="EU705">
        <v>70.92</v>
      </c>
      <c r="EV705">
        <v>1239.32</v>
      </c>
      <c r="EW705" s="2">
        <v>43222</v>
      </c>
      <c r="EX705" s="1">
        <v>42879</v>
      </c>
      <c r="EY705">
        <v>2016</v>
      </c>
      <c r="EZ705">
        <v>584.20000000000005</v>
      </c>
      <c r="FA705" t="s">
        <v>7491</v>
      </c>
      <c r="FB705">
        <v>0.25</v>
      </c>
      <c r="FC705" t="s">
        <v>424</v>
      </c>
      <c r="FD705" t="s">
        <v>454</v>
      </c>
      <c r="FF705">
        <v>12</v>
      </c>
      <c r="FG705">
        <v>11289</v>
      </c>
      <c r="FH705" t="s">
        <v>787</v>
      </c>
      <c r="FJ705" s="1">
        <v>42879</v>
      </c>
      <c r="FK705">
        <v>2016</v>
      </c>
      <c r="FL705">
        <v>584.20000000000005</v>
      </c>
      <c r="FM705" t="s">
        <v>7491</v>
      </c>
      <c r="FN705">
        <v>0.25</v>
      </c>
      <c r="FO705" t="s">
        <v>424</v>
      </c>
      <c r="FP705" t="s">
        <v>454</v>
      </c>
      <c r="FR705">
        <v>12</v>
      </c>
      <c r="FS705">
        <v>7284133</v>
      </c>
      <c r="FT705" t="s">
        <v>7492</v>
      </c>
      <c r="FV705" s="1">
        <v>42151</v>
      </c>
      <c r="FW705">
        <v>2014</v>
      </c>
      <c r="FX705">
        <v>610.92999999999995</v>
      </c>
      <c r="FY705" t="s">
        <v>7493</v>
      </c>
      <c r="FZ705">
        <v>0.25</v>
      </c>
      <c r="GA705" t="s">
        <v>424</v>
      </c>
      <c r="GB705" t="s">
        <v>425</v>
      </c>
      <c r="GC705" s="1">
        <v>42475</v>
      </c>
      <c r="GD705">
        <v>11</v>
      </c>
      <c r="GE705">
        <v>15399</v>
      </c>
      <c r="GF705" t="s">
        <v>485</v>
      </c>
      <c r="GG705" t="s">
        <v>458</v>
      </c>
      <c r="GH705" s="1">
        <v>42151</v>
      </c>
      <c r="GI705">
        <v>2014</v>
      </c>
      <c r="GJ705">
        <v>610.92999999999995</v>
      </c>
      <c r="GK705" t="s">
        <v>7493</v>
      </c>
      <c r="GL705">
        <v>0.25</v>
      </c>
      <c r="GM705" t="s">
        <v>424</v>
      </c>
      <c r="GN705" t="s">
        <v>425</v>
      </c>
      <c r="GP705">
        <v>22</v>
      </c>
      <c r="GQ705">
        <v>7045017</v>
      </c>
      <c r="GR705" t="s">
        <v>7494</v>
      </c>
      <c r="GS705" t="s">
        <v>458</v>
      </c>
      <c r="GT705" s="1">
        <v>41787</v>
      </c>
      <c r="GU705">
        <v>2013</v>
      </c>
      <c r="GV705">
        <v>673.59</v>
      </c>
      <c r="GW705" t="s">
        <v>7495</v>
      </c>
      <c r="GX705">
        <v>0.25</v>
      </c>
      <c r="GY705" t="s">
        <v>424</v>
      </c>
      <c r="GZ705" t="s">
        <v>425</v>
      </c>
      <c r="HB705">
        <v>22</v>
      </c>
      <c r="HC705">
        <v>2407503</v>
      </c>
      <c r="HD705" t="s">
        <v>461</v>
      </c>
      <c r="HE705" t="s">
        <v>458</v>
      </c>
      <c r="HF705" s="1">
        <v>41423</v>
      </c>
      <c r="HG705">
        <v>2012</v>
      </c>
      <c r="HH705">
        <v>662.88</v>
      </c>
      <c r="HI705" t="s">
        <v>7496</v>
      </c>
      <c r="HJ705">
        <v>3.5</v>
      </c>
      <c r="HK705" t="s">
        <v>424</v>
      </c>
      <c r="HL705" t="s">
        <v>425</v>
      </c>
      <c r="HM705" s="1">
        <v>42430</v>
      </c>
      <c r="HN705">
        <v>34</v>
      </c>
      <c r="HO705">
        <v>305</v>
      </c>
      <c r="HP705" t="s">
        <v>1078</v>
      </c>
      <c r="HR705" s="1">
        <v>41052</v>
      </c>
      <c r="HS705">
        <v>2011</v>
      </c>
      <c r="HT705">
        <v>774.01</v>
      </c>
      <c r="HU705" t="s">
        <v>7497</v>
      </c>
      <c r="HV705">
        <v>6</v>
      </c>
      <c r="HW705" t="s">
        <v>424</v>
      </c>
      <c r="HX705" t="s">
        <v>425</v>
      </c>
      <c r="HY705" s="1">
        <v>41697</v>
      </c>
      <c r="HZ705">
        <v>21</v>
      </c>
      <c r="IA705">
        <v>1109</v>
      </c>
      <c r="IB705" t="s">
        <v>852</v>
      </c>
      <c r="ID705" s="1">
        <v>40688</v>
      </c>
      <c r="IE705">
        <v>2010</v>
      </c>
      <c r="IF705">
        <v>890.99</v>
      </c>
      <c r="IG705" t="s">
        <v>7498</v>
      </c>
      <c r="IH705">
        <v>5.75</v>
      </c>
      <c r="II705" t="s">
        <v>424</v>
      </c>
      <c r="IJ705" t="s">
        <v>425</v>
      </c>
      <c r="IK705" s="1">
        <v>41365</v>
      </c>
      <c r="IL705">
        <v>23</v>
      </c>
      <c r="IM705">
        <v>210</v>
      </c>
      <c r="IN705" t="s">
        <v>7026</v>
      </c>
    </row>
    <row r="706" spans="1:284" x14ac:dyDescent="0.25">
      <c r="A706">
        <v>16485713</v>
      </c>
      <c r="B706">
        <v>705</v>
      </c>
      <c r="C706" t="s">
        <v>393</v>
      </c>
      <c r="D706" t="s">
        <v>394</v>
      </c>
      <c r="F706" t="str">
        <f>"37-1N-25-299C-0037-0000"</f>
        <v>37-1N-25-299C-0037-0000</v>
      </c>
      <c r="H706" t="str">
        <f>"EBY TERRY &amp; MARILYN"</f>
        <v>EBY TERRY &amp; MARILYN</v>
      </c>
      <c r="I706" t="str">
        <f>"45113 SNICKERS TRAIL"</f>
        <v>45113 SNICKERS TRAIL</v>
      </c>
      <c r="J706" t="str">
        <f>"CALLAHAN FL 32011"</f>
        <v>CALLAHAN FL 32011</v>
      </c>
      <c r="K706" t="str">
        <f>"54520 JONAS DR"</f>
        <v>54520 JONAS DR</v>
      </c>
      <c r="L706" t="str">
        <f t="shared" si="202"/>
        <v>CALLAHAN FL 32011</v>
      </c>
      <c r="M706" t="str">
        <f>"LOT 37 IN OR 902/381 R787696 &amp; R787697 NASSAU VILLAGE 3 UNR"</f>
        <v>LOT 37 IN OR 902/381 R787696 &amp; R787697 NASSAU VILLAGE 3 UNR</v>
      </c>
      <c r="N706" t="str">
        <f>""</f>
        <v/>
      </c>
      <c r="O706" t="str">
        <f>"42774"</f>
        <v>42774</v>
      </c>
      <c r="P706" t="str">
        <f t="shared" ref="P706:P769" si="218">"2017"</f>
        <v>2017</v>
      </c>
      <c r="Q706" t="str">
        <f>""</f>
        <v/>
      </c>
      <c r="R706" t="str">
        <f>"N"</f>
        <v>N</v>
      </c>
      <c r="S706" t="str">
        <f>""</f>
        <v/>
      </c>
      <c r="T706" t="str">
        <f>"456.80"</f>
        <v>456.80</v>
      </c>
      <c r="U706" t="str">
        <f>"30174.00"</f>
        <v>30174.00</v>
      </c>
      <c r="V706" t="str">
        <f>"30174.00"</f>
        <v>30174.00</v>
      </c>
      <c r="W706" t="str">
        <f t="shared" ref="W706:W769" si="219">"2017"</f>
        <v>2017</v>
      </c>
      <c r="X706" t="str">
        <f>"15.86"</f>
        <v>15.86</v>
      </c>
      <c r="Y706" t="str">
        <f>"502.50"</f>
        <v>502.50</v>
      </c>
      <c r="Z706" t="str">
        <f>""</f>
        <v/>
      </c>
      <c r="AA706" t="str">
        <f>"30174.00"</f>
        <v>30174.00</v>
      </c>
      <c r="AB706" t="str">
        <f t="shared" si="212"/>
        <v>Residential</v>
      </c>
      <c r="AC706" t="str">
        <f t="shared" si="204"/>
        <v>0</v>
      </c>
      <c r="AD706" t="str">
        <f t="shared" si="216"/>
        <v>4</v>
      </c>
      <c r="AE706" t="str">
        <f t="shared" si="217"/>
        <v>WOOD (INCLUDE STEEL STUDS)</v>
      </c>
      <c r="AF706" t="str">
        <f>"001"</f>
        <v>001</v>
      </c>
      <c r="AG706" t="str">
        <f t="shared" si="211"/>
        <v>FL</v>
      </c>
      <c r="AH706" t="str">
        <f>"62750.00"</f>
        <v>62750.00</v>
      </c>
      <c r="AI706" t="str">
        <f t="shared" si="215"/>
        <v>20000.00</v>
      </c>
      <c r="AJ706" t="str">
        <f>"C55-000-587-8703-7"</f>
        <v>C55-000-587-8703-7</v>
      </c>
      <c r="AK706" t="str">
        <f>"11566"</f>
        <v>11566</v>
      </c>
      <c r="AL706">
        <v>3</v>
      </c>
      <c r="AM706">
        <v>807</v>
      </c>
      <c r="AN706">
        <v>526.03</v>
      </c>
      <c r="AQ706" t="s">
        <v>7499</v>
      </c>
      <c r="AR706" t="s">
        <v>7499</v>
      </c>
      <c r="AS706" t="s">
        <v>7499</v>
      </c>
      <c r="AU706" t="s">
        <v>396</v>
      </c>
      <c r="AV706">
        <v>2017</v>
      </c>
      <c r="AW706" t="str">
        <f>"37-1N-25-299C-0037-0000 "</f>
        <v xml:space="preserve">37-1N-25-299C-0037-0000 </v>
      </c>
      <c r="AX706">
        <v>54520</v>
      </c>
      <c r="AZ706" t="s">
        <v>7500</v>
      </c>
      <c r="BA706" t="s">
        <v>669</v>
      </c>
      <c r="BD706" t="s">
        <v>2785</v>
      </c>
      <c r="BE706" t="s">
        <v>393</v>
      </c>
      <c r="BF706">
        <v>32011</v>
      </c>
      <c r="BG706" t="s">
        <v>7501</v>
      </c>
      <c r="BH706" t="s">
        <v>2787</v>
      </c>
      <c r="BI706">
        <v>-81.771408732413605</v>
      </c>
      <c r="BJ706">
        <v>30.540962118676301</v>
      </c>
      <c r="BK706" t="s">
        <v>7502</v>
      </c>
      <c r="BL706" t="s">
        <v>7503</v>
      </c>
      <c r="BM706" t="s">
        <v>7504</v>
      </c>
      <c r="BN706" t="s">
        <v>928</v>
      </c>
      <c r="BO706">
        <v>32011</v>
      </c>
      <c r="BP706" t="s">
        <v>404</v>
      </c>
      <c r="BQ706">
        <v>100</v>
      </c>
      <c r="BR706" t="s">
        <v>514</v>
      </c>
      <c r="BS706">
        <v>1001</v>
      </c>
      <c r="BT706" t="s">
        <v>515</v>
      </c>
      <c r="BW706">
        <v>65900</v>
      </c>
      <c r="BX706" t="s">
        <v>407</v>
      </c>
      <c r="BY706" t="s">
        <v>4360</v>
      </c>
      <c r="BZ706">
        <v>4</v>
      </c>
      <c r="CA706">
        <v>1973</v>
      </c>
      <c r="CB706">
        <v>1</v>
      </c>
      <c r="CC706">
        <v>1</v>
      </c>
      <c r="CD706">
        <v>2017</v>
      </c>
      <c r="CE706">
        <v>20000</v>
      </c>
      <c r="CF706">
        <v>10174</v>
      </c>
      <c r="CG706">
        <v>30174</v>
      </c>
      <c r="CH706">
        <v>2017</v>
      </c>
      <c r="CI706">
        <v>20000</v>
      </c>
      <c r="CJ706">
        <v>10174</v>
      </c>
      <c r="CK706">
        <v>30174</v>
      </c>
      <c r="CL706">
        <v>2017</v>
      </c>
      <c r="CM706">
        <v>456.8</v>
      </c>
      <c r="CN706" s="1">
        <v>36438</v>
      </c>
      <c r="CO706">
        <v>52000</v>
      </c>
      <c r="CZ706" s="1">
        <v>36438</v>
      </c>
      <c r="DD706" t="s">
        <v>2785</v>
      </c>
      <c r="DF706">
        <v>37</v>
      </c>
      <c r="DG706">
        <v>37</v>
      </c>
      <c r="DL706">
        <v>50502</v>
      </c>
      <c r="DM706" t="s">
        <v>7353</v>
      </c>
      <c r="DO706" t="s">
        <v>7505</v>
      </c>
      <c r="DP706">
        <v>0</v>
      </c>
      <c r="DQ706">
        <v>1</v>
      </c>
      <c r="DR706" t="s">
        <v>1479</v>
      </c>
      <c r="DS706" t="b">
        <v>1</v>
      </c>
      <c r="DT706" t="s">
        <v>396</v>
      </c>
      <c r="DV706" t="s">
        <v>446</v>
      </c>
      <c r="DX706">
        <v>-9999</v>
      </c>
      <c r="DZ706" t="s">
        <v>447</v>
      </c>
      <c r="EA706" t="s">
        <v>448</v>
      </c>
      <c r="EB706" t="s">
        <v>2792</v>
      </c>
      <c r="EC706">
        <v>20101217</v>
      </c>
      <c r="ED706" t="s">
        <v>450</v>
      </c>
      <c r="EE706">
        <v>12.6</v>
      </c>
      <c r="EF706">
        <v>0</v>
      </c>
      <c r="EG706">
        <v>0</v>
      </c>
      <c r="EH706" t="s">
        <v>451</v>
      </c>
      <c r="EI706">
        <v>20140731</v>
      </c>
      <c r="EJ706">
        <v>0</v>
      </c>
      <c r="EK706">
        <v>0</v>
      </c>
      <c r="EP706" t="s">
        <v>421</v>
      </c>
      <c r="EQ706" t="s">
        <v>422</v>
      </c>
      <c r="ER706">
        <v>0</v>
      </c>
      <c r="ES706">
        <v>7</v>
      </c>
      <c r="ET706">
        <v>0</v>
      </c>
      <c r="EU706">
        <v>0</v>
      </c>
      <c r="EV706">
        <v>0</v>
      </c>
      <c r="EW706" s="2">
        <v>43222</v>
      </c>
      <c r="EX706" s="1">
        <v>42879</v>
      </c>
      <c r="EY706">
        <v>2016</v>
      </c>
      <c r="EZ706">
        <v>529.69000000000005</v>
      </c>
      <c r="FA706" t="s">
        <v>7506</v>
      </c>
      <c r="FB706">
        <v>0.25</v>
      </c>
      <c r="FC706" t="s">
        <v>424</v>
      </c>
      <c r="FD706" t="s">
        <v>425</v>
      </c>
      <c r="FE706" s="1">
        <v>43108</v>
      </c>
      <c r="FF706">
        <v>8</v>
      </c>
      <c r="FG706">
        <v>2851116</v>
      </c>
      <c r="FH706" t="s">
        <v>480</v>
      </c>
      <c r="FJ706" s="1">
        <v>42879</v>
      </c>
      <c r="FK706">
        <v>2016</v>
      </c>
      <c r="FL706">
        <v>529.69000000000005</v>
      </c>
      <c r="FM706" t="s">
        <v>7506</v>
      </c>
      <c r="FN706">
        <v>0.25</v>
      </c>
      <c r="FO706" t="s">
        <v>424</v>
      </c>
      <c r="FP706" t="s">
        <v>425</v>
      </c>
      <c r="FR706">
        <v>22</v>
      </c>
      <c r="FS706">
        <v>5341033</v>
      </c>
      <c r="FT706" t="s">
        <v>7507</v>
      </c>
      <c r="FV706" s="1">
        <v>42151</v>
      </c>
      <c r="FW706">
        <v>2014</v>
      </c>
      <c r="FX706">
        <v>543.02</v>
      </c>
      <c r="FY706" t="s">
        <v>7508</v>
      </c>
      <c r="FZ706">
        <v>4.75</v>
      </c>
      <c r="GA706" t="s">
        <v>424</v>
      </c>
      <c r="GB706" t="s">
        <v>425</v>
      </c>
      <c r="GC706" s="1">
        <v>42368</v>
      </c>
      <c r="GD706">
        <v>7</v>
      </c>
      <c r="GE706">
        <v>4975593</v>
      </c>
      <c r="GF706" t="s">
        <v>505</v>
      </c>
      <c r="GH706" s="1">
        <v>41423</v>
      </c>
      <c r="GI706">
        <v>2012</v>
      </c>
      <c r="GJ706">
        <v>466.49</v>
      </c>
      <c r="GK706" t="s">
        <v>7509</v>
      </c>
      <c r="GL706">
        <v>3.75</v>
      </c>
      <c r="GM706" t="s">
        <v>424</v>
      </c>
      <c r="GN706" t="s">
        <v>425</v>
      </c>
      <c r="GO706" s="1">
        <v>41698</v>
      </c>
      <c r="GP706">
        <v>9</v>
      </c>
      <c r="GQ706">
        <v>1625515</v>
      </c>
      <c r="GR706" t="s">
        <v>487</v>
      </c>
      <c r="GT706" s="1">
        <v>41052</v>
      </c>
      <c r="GU706">
        <v>2011</v>
      </c>
      <c r="GV706">
        <v>832.24</v>
      </c>
      <c r="GW706" t="s">
        <v>7510</v>
      </c>
      <c r="GX706">
        <v>5.75</v>
      </c>
      <c r="GY706" t="s">
        <v>424</v>
      </c>
      <c r="GZ706" t="s">
        <v>425</v>
      </c>
      <c r="HA706" s="1">
        <v>41698</v>
      </c>
      <c r="HB706">
        <v>21</v>
      </c>
      <c r="HC706">
        <v>1625515</v>
      </c>
      <c r="HD706" t="s">
        <v>487</v>
      </c>
      <c r="HF706" s="1">
        <v>41052</v>
      </c>
      <c r="HG706">
        <v>2011</v>
      </c>
      <c r="HH706">
        <v>832.24</v>
      </c>
      <c r="HI706" t="s">
        <v>7510</v>
      </c>
      <c r="HJ706">
        <v>5.75</v>
      </c>
      <c r="HK706" t="s">
        <v>424</v>
      </c>
      <c r="HL706" t="s">
        <v>425</v>
      </c>
      <c r="HN706">
        <v>22</v>
      </c>
      <c r="HO706">
        <v>10579</v>
      </c>
      <c r="HP706" t="s">
        <v>488</v>
      </c>
      <c r="HR706" s="1">
        <v>40688</v>
      </c>
      <c r="HS706">
        <v>2010</v>
      </c>
      <c r="HT706">
        <v>923.63</v>
      </c>
      <c r="HU706" t="s">
        <v>7511</v>
      </c>
      <c r="HV706">
        <v>7</v>
      </c>
      <c r="HW706" t="s">
        <v>424</v>
      </c>
      <c r="HX706" t="s">
        <v>425</v>
      </c>
      <c r="HY706" s="1">
        <v>41334</v>
      </c>
      <c r="HZ706">
        <v>22</v>
      </c>
      <c r="IA706">
        <v>210</v>
      </c>
      <c r="IB706" t="s">
        <v>7026</v>
      </c>
    </row>
    <row r="707" spans="1:284" x14ac:dyDescent="0.25">
      <c r="A707">
        <v>16485714</v>
      </c>
      <c r="B707">
        <v>706</v>
      </c>
      <c r="C707" t="s">
        <v>393</v>
      </c>
      <c r="D707" t="s">
        <v>394</v>
      </c>
      <c r="F707" t="str">
        <f>"37-1N-25-299C-0048-0000"</f>
        <v>37-1N-25-299C-0048-0000</v>
      </c>
      <c r="H707" t="str">
        <f>"NEW KINGS ROAD ENTERPRISES LLC"</f>
        <v>NEW KINGS ROAD ENTERPRISES LLC</v>
      </c>
      <c r="I707" t="str">
        <f>"613048 RIVER ROAD"</f>
        <v>613048 RIVER ROAD</v>
      </c>
      <c r="J707" t="str">
        <f>"CALLAHAN FL 32011"</f>
        <v>CALLAHAN FL 32011</v>
      </c>
      <c r="K707" t="str">
        <f>"54079 JONAS DR"</f>
        <v>54079 JONAS DR</v>
      </c>
      <c r="L707" t="str">
        <f t="shared" si="202"/>
        <v>CALLAHAN FL 32011</v>
      </c>
      <c r="M707" t="str">
        <f>"LOT 48 R622058 IN OR 1996/1261 NASSAU VILLAGE 3 UNR"</f>
        <v>LOT 48 R622058 IN OR 1996/1261 NASSAU VILLAGE 3 UNR</v>
      </c>
      <c r="N707" t="str">
        <f>""</f>
        <v/>
      </c>
      <c r="O707" t="str">
        <f>"42784"</f>
        <v>42784</v>
      </c>
      <c r="P707" t="str">
        <f t="shared" si="218"/>
        <v>2017</v>
      </c>
      <c r="Q707" t="str">
        <f>""</f>
        <v/>
      </c>
      <c r="R707" t="str">
        <f>"N"</f>
        <v>N</v>
      </c>
      <c r="S707" t="str">
        <f>""</f>
        <v/>
      </c>
      <c r="T707" t="str">
        <f>"473.94"</f>
        <v>473.94</v>
      </c>
      <c r="U707" t="str">
        <f>"30483.00"</f>
        <v>30483.00</v>
      </c>
      <c r="V707" t="str">
        <f>"30483.00"</f>
        <v>30483.00</v>
      </c>
      <c r="W707" t="str">
        <f t="shared" si="219"/>
        <v>2017</v>
      </c>
      <c r="X707" t="str">
        <f>""</f>
        <v/>
      </c>
      <c r="Y707" t="str">
        <f>"520.16"</f>
        <v>520.16</v>
      </c>
      <c r="Z707" t="str">
        <f>""</f>
        <v/>
      </c>
      <c r="AA707" t="str">
        <f>"32373.00"</f>
        <v>32373.00</v>
      </c>
      <c r="AB707" t="str">
        <f t="shared" si="212"/>
        <v>Residential</v>
      </c>
      <c r="AC707" t="str">
        <f t="shared" si="204"/>
        <v>0</v>
      </c>
      <c r="AD707" t="str">
        <f t="shared" si="216"/>
        <v>4</v>
      </c>
      <c r="AE707" t="str">
        <f t="shared" si="217"/>
        <v>WOOD (INCLUDE STEEL STUDS)</v>
      </c>
      <c r="AF707" t="str">
        <f>"002"</f>
        <v>002</v>
      </c>
      <c r="AG707" t="str">
        <f t="shared" si="211"/>
        <v>FL</v>
      </c>
      <c r="AH707" t="str">
        <f>"43676.00"</f>
        <v>43676.00</v>
      </c>
      <c r="AI707" t="str">
        <f t="shared" si="215"/>
        <v>20000.00</v>
      </c>
      <c r="AJ707" t="str">
        <f>"C55-000-587-8712-8"</f>
        <v>C55-000-587-8712-8</v>
      </c>
      <c r="AK707" t="str">
        <f>"11576"</f>
        <v>11576</v>
      </c>
      <c r="AL707">
        <v>3</v>
      </c>
      <c r="AM707">
        <v>809</v>
      </c>
      <c r="AN707">
        <v>544.57000000000005</v>
      </c>
      <c r="AQ707" t="s">
        <v>7512</v>
      </c>
      <c r="AR707" t="s">
        <v>7512</v>
      </c>
      <c r="AS707" t="s">
        <v>7512</v>
      </c>
      <c r="AU707" t="s">
        <v>396</v>
      </c>
      <c r="AV707">
        <v>2017</v>
      </c>
      <c r="AW707" t="str">
        <f>"37-1N-25-299C-0048-0000 "</f>
        <v xml:space="preserve">37-1N-25-299C-0048-0000 </v>
      </c>
      <c r="AX707">
        <v>54079</v>
      </c>
      <c r="AZ707" t="s">
        <v>7500</v>
      </c>
      <c r="BA707" t="s">
        <v>669</v>
      </c>
      <c r="BD707" t="s">
        <v>2785</v>
      </c>
      <c r="BE707" t="s">
        <v>393</v>
      </c>
      <c r="BF707">
        <v>32011</v>
      </c>
      <c r="BG707" t="s">
        <v>7513</v>
      </c>
      <c r="BH707" t="s">
        <v>2787</v>
      </c>
      <c r="BI707">
        <v>-81.773974226730701</v>
      </c>
      <c r="BJ707">
        <v>30.537848997691</v>
      </c>
      <c r="BK707" t="s">
        <v>7514</v>
      </c>
      <c r="BM707" t="s">
        <v>4078</v>
      </c>
      <c r="BN707" t="s">
        <v>928</v>
      </c>
      <c r="BO707">
        <v>32011</v>
      </c>
      <c r="BP707" t="s">
        <v>404</v>
      </c>
      <c r="BQ707">
        <v>200</v>
      </c>
      <c r="BR707" t="s">
        <v>405</v>
      </c>
      <c r="BS707">
        <v>1006</v>
      </c>
      <c r="BT707" t="s">
        <v>406</v>
      </c>
      <c r="BW707">
        <v>43894</v>
      </c>
      <c r="BX707" t="s">
        <v>407</v>
      </c>
      <c r="BY707" t="s">
        <v>4360</v>
      </c>
      <c r="BZ707">
        <v>4</v>
      </c>
      <c r="CA707">
        <v>1988</v>
      </c>
      <c r="CB707">
        <v>1</v>
      </c>
      <c r="CC707">
        <v>1</v>
      </c>
      <c r="CD707">
        <v>2017</v>
      </c>
      <c r="CE707">
        <v>20000</v>
      </c>
      <c r="CF707">
        <v>12373</v>
      </c>
      <c r="CG707">
        <v>32373</v>
      </c>
      <c r="CH707">
        <v>2017</v>
      </c>
      <c r="CI707">
        <v>20000</v>
      </c>
      <c r="CJ707">
        <v>12373</v>
      </c>
      <c r="CK707">
        <v>32373</v>
      </c>
      <c r="CL707">
        <v>2017</v>
      </c>
      <c r="CM707">
        <v>473.94</v>
      </c>
      <c r="CN707" s="1">
        <v>42206</v>
      </c>
      <c r="CO707">
        <v>28500</v>
      </c>
      <c r="CZ707" s="1">
        <v>42206</v>
      </c>
      <c r="DD707" t="s">
        <v>2785</v>
      </c>
      <c r="DF707">
        <v>48</v>
      </c>
      <c r="DG707">
        <v>37</v>
      </c>
      <c r="DJ707" t="s">
        <v>7460</v>
      </c>
      <c r="DL707">
        <v>50502</v>
      </c>
      <c r="DM707" t="s">
        <v>7353</v>
      </c>
      <c r="DO707" t="s">
        <v>7515</v>
      </c>
      <c r="DP707">
        <v>0</v>
      </c>
      <c r="DQ707">
        <v>4</v>
      </c>
      <c r="DR707" t="s">
        <v>1479</v>
      </c>
      <c r="EP707" t="s">
        <v>421</v>
      </c>
      <c r="EQ707" t="s">
        <v>422</v>
      </c>
      <c r="ER707">
        <v>1</v>
      </c>
      <c r="ES707">
        <v>0</v>
      </c>
      <c r="ET707">
        <v>487.07</v>
      </c>
      <c r="EU707">
        <v>30.6</v>
      </c>
      <c r="EV707">
        <v>517.66999999999996</v>
      </c>
      <c r="EW707" s="2">
        <v>43222</v>
      </c>
      <c r="EX707" s="1">
        <v>42879</v>
      </c>
      <c r="EY707">
        <v>2016</v>
      </c>
      <c r="EZ707">
        <v>487.07</v>
      </c>
      <c r="FA707" t="s">
        <v>7516</v>
      </c>
      <c r="FB707">
        <v>4.75</v>
      </c>
      <c r="FC707" t="s">
        <v>424</v>
      </c>
      <c r="FD707" t="s">
        <v>454</v>
      </c>
      <c r="FF707">
        <v>12</v>
      </c>
      <c r="FG707">
        <v>7336143</v>
      </c>
      <c r="FH707" t="s">
        <v>539</v>
      </c>
    </row>
    <row r="708" spans="1:284" x14ac:dyDescent="0.25">
      <c r="A708">
        <v>16485715</v>
      </c>
      <c r="B708">
        <v>707</v>
      </c>
      <c r="C708" t="s">
        <v>393</v>
      </c>
      <c r="D708" t="s">
        <v>394</v>
      </c>
      <c r="F708" t="str">
        <f>"37-1N-25-299D-0008-0000"</f>
        <v>37-1N-25-299D-0008-0000</v>
      </c>
      <c r="H708" t="str">
        <f>"BARRY RUBY B"</f>
        <v>BARRY RUBY B</v>
      </c>
      <c r="I708" t="str">
        <f>"54463 MARLEE ROAD"</f>
        <v>54463 MARLEE ROAD</v>
      </c>
      <c r="J708" t="str">
        <f>"CALLAHAN FL 32011"</f>
        <v>CALLAHAN FL 32011</v>
      </c>
      <c r="K708" t="str">
        <f>"54434 MARLEE RD"</f>
        <v>54434 MARLEE RD</v>
      </c>
      <c r="L708" t="str">
        <f t="shared" si="202"/>
        <v>CALLAHAN FL 32011</v>
      </c>
      <c r="M708" t="str">
        <f>"LOT 8 IN OR 1522/943 MH/ID 60121682HA &amp; 60121682HB NASSAU VILLAGE 4 UNR"</f>
        <v>LOT 8 IN OR 1522/943 MH/ID 60121682HA &amp; 60121682HB NASSAU VILLAGE 4 UNR</v>
      </c>
      <c r="N708" t="str">
        <f>""</f>
        <v/>
      </c>
      <c r="O708" t="str">
        <f>"42794"</f>
        <v>42794</v>
      </c>
      <c r="P708" t="str">
        <f t="shared" si="218"/>
        <v>2017</v>
      </c>
      <c r="Q708" t="str">
        <f>""</f>
        <v/>
      </c>
      <c r="R708" t="str">
        <f>"N"</f>
        <v>N</v>
      </c>
      <c r="S708" t="str">
        <f>""</f>
        <v/>
      </c>
      <c r="T708" t="str">
        <f>"516.61"</f>
        <v>516.61</v>
      </c>
      <c r="U708" t="str">
        <f>"34125.00"</f>
        <v>34125.00</v>
      </c>
      <c r="V708" t="str">
        <f>"34125.00"</f>
        <v>34125.00</v>
      </c>
      <c r="W708" t="str">
        <f t="shared" si="219"/>
        <v>2017</v>
      </c>
      <c r="X708" t="str">
        <f>"15.55"</f>
        <v>15.55</v>
      </c>
      <c r="Y708" t="str">
        <f>"564.11"</f>
        <v>564.11</v>
      </c>
      <c r="Z708" t="str">
        <f>""</f>
        <v/>
      </c>
      <c r="AA708" t="str">
        <f>"34125.00"</f>
        <v>34125.00</v>
      </c>
      <c r="AB708" t="str">
        <f t="shared" si="212"/>
        <v>Residential</v>
      </c>
      <c r="AC708" t="str">
        <f t="shared" si="204"/>
        <v>0</v>
      </c>
      <c r="AD708" t="str">
        <f t="shared" si="216"/>
        <v>4</v>
      </c>
      <c r="AE708" t="str">
        <f t="shared" si="217"/>
        <v>WOOD (INCLUDE STEEL STUDS)</v>
      </c>
      <c r="AF708" t="str">
        <f>"002"</f>
        <v>002</v>
      </c>
      <c r="AG708" t="str">
        <f t="shared" si="211"/>
        <v>FL</v>
      </c>
      <c r="AH708" t="str">
        <f>"43569.00"</f>
        <v>43569.00</v>
      </c>
      <c r="AI708" t="str">
        <f t="shared" si="215"/>
        <v>20000.00</v>
      </c>
      <c r="AJ708" t="str">
        <f>"C55-000-587-8721-9"</f>
        <v>C55-000-587-8721-9</v>
      </c>
      <c r="AK708" t="str">
        <f>"11587"</f>
        <v>11587</v>
      </c>
      <c r="AL708">
        <v>3</v>
      </c>
      <c r="AM708">
        <v>810</v>
      </c>
      <c r="AN708">
        <v>590.72</v>
      </c>
      <c r="AQ708" t="s">
        <v>7517</v>
      </c>
      <c r="AR708" t="s">
        <v>7517</v>
      </c>
      <c r="AS708" t="s">
        <v>7517</v>
      </c>
      <c r="AU708" t="s">
        <v>396</v>
      </c>
      <c r="AV708">
        <v>2017</v>
      </c>
      <c r="AW708" t="str">
        <f>"37-1N-25-299D-0008-0000 "</f>
        <v xml:space="preserve">37-1N-25-299D-0008-0000 </v>
      </c>
      <c r="AX708">
        <v>54434</v>
      </c>
      <c r="AZ708" t="s">
        <v>7482</v>
      </c>
      <c r="BA708" t="s">
        <v>496</v>
      </c>
      <c r="BD708" t="s">
        <v>2785</v>
      </c>
      <c r="BE708" t="s">
        <v>393</v>
      </c>
      <c r="BF708">
        <v>32011</v>
      </c>
      <c r="BG708" t="s">
        <v>7518</v>
      </c>
      <c r="BH708" t="s">
        <v>2787</v>
      </c>
      <c r="BI708">
        <v>-81.773088715787694</v>
      </c>
      <c r="BJ708">
        <v>30.539858474322799</v>
      </c>
      <c r="BK708" t="s">
        <v>7519</v>
      </c>
      <c r="BM708" t="s">
        <v>7520</v>
      </c>
      <c r="BN708" t="s">
        <v>928</v>
      </c>
      <c r="BO708">
        <v>32011</v>
      </c>
      <c r="BP708" t="s">
        <v>404</v>
      </c>
      <c r="BQ708">
        <v>200</v>
      </c>
      <c r="BR708" t="s">
        <v>405</v>
      </c>
      <c r="BS708">
        <v>1006</v>
      </c>
      <c r="BT708" t="s">
        <v>406</v>
      </c>
      <c r="BW708">
        <v>43466</v>
      </c>
      <c r="BX708" t="s">
        <v>407</v>
      </c>
      <c r="BY708" t="s">
        <v>4360</v>
      </c>
      <c r="BZ708">
        <v>4</v>
      </c>
      <c r="CA708">
        <v>1972</v>
      </c>
      <c r="CB708">
        <v>1</v>
      </c>
      <c r="CC708">
        <v>1</v>
      </c>
      <c r="CD708">
        <v>2017</v>
      </c>
      <c r="CE708">
        <v>20000</v>
      </c>
      <c r="CF708">
        <v>14125</v>
      </c>
      <c r="CG708">
        <v>34125</v>
      </c>
      <c r="CH708">
        <v>2017</v>
      </c>
      <c r="CI708">
        <v>20000</v>
      </c>
      <c r="CJ708">
        <v>14125</v>
      </c>
      <c r="CK708">
        <v>34125</v>
      </c>
      <c r="CL708">
        <v>2017</v>
      </c>
      <c r="CM708">
        <v>516.61</v>
      </c>
      <c r="CN708" s="1">
        <v>39324</v>
      </c>
      <c r="CZ708" s="1">
        <v>39324</v>
      </c>
      <c r="DD708" t="s">
        <v>2785</v>
      </c>
      <c r="DG708">
        <v>37</v>
      </c>
      <c r="DL708">
        <v>50502</v>
      </c>
      <c r="DM708" t="s">
        <v>7353</v>
      </c>
      <c r="DO708" t="s">
        <v>7521</v>
      </c>
      <c r="DP708">
        <v>0</v>
      </c>
      <c r="DQ708">
        <v>0</v>
      </c>
      <c r="DR708" t="s">
        <v>411</v>
      </c>
      <c r="DS708" t="b">
        <v>1</v>
      </c>
      <c r="DT708" t="s">
        <v>470</v>
      </c>
      <c r="DU708" t="s">
        <v>471</v>
      </c>
      <c r="DV708" t="s">
        <v>472</v>
      </c>
      <c r="DX708">
        <v>-9999</v>
      </c>
      <c r="DZ708" t="s">
        <v>447</v>
      </c>
      <c r="EA708" t="s">
        <v>448</v>
      </c>
      <c r="EB708" t="s">
        <v>742</v>
      </c>
      <c r="EC708">
        <v>20101217</v>
      </c>
      <c r="ED708" t="s">
        <v>474</v>
      </c>
      <c r="EF708">
        <v>450.3</v>
      </c>
      <c r="EG708">
        <v>450.3</v>
      </c>
      <c r="EI708">
        <v>20160407</v>
      </c>
      <c r="EJ708">
        <v>0</v>
      </c>
      <c r="EK708">
        <v>0</v>
      </c>
      <c r="EP708" t="s">
        <v>421</v>
      </c>
      <c r="EQ708" t="s">
        <v>452</v>
      </c>
      <c r="ER708">
        <v>4</v>
      </c>
      <c r="ES708">
        <v>7</v>
      </c>
      <c r="ET708">
        <v>2607.36</v>
      </c>
      <c r="EU708">
        <v>155.37</v>
      </c>
      <c r="EV708">
        <v>2762.73</v>
      </c>
      <c r="EW708" s="2">
        <v>43222</v>
      </c>
      <c r="EX708" s="1">
        <v>42879</v>
      </c>
      <c r="EY708">
        <v>2016</v>
      </c>
      <c r="EZ708">
        <v>656.07</v>
      </c>
      <c r="FA708" t="s">
        <v>7522</v>
      </c>
      <c r="FB708">
        <v>0.25</v>
      </c>
      <c r="FC708" t="s">
        <v>424</v>
      </c>
      <c r="FD708" t="s">
        <v>454</v>
      </c>
      <c r="FF708">
        <v>12</v>
      </c>
      <c r="FG708">
        <v>2851116</v>
      </c>
      <c r="FH708" t="s">
        <v>480</v>
      </c>
      <c r="FJ708" s="1">
        <v>42879</v>
      </c>
      <c r="FK708">
        <v>2016</v>
      </c>
      <c r="FL708">
        <v>656.07</v>
      </c>
      <c r="FM708" t="s">
        <v>7522</v>
      </c>
      <c r="FN708">
        <v>0.25</v>
      </c>
      <c r="FO708" t="s">
        <v>424</v>
      </c>
      <c r="FP708" t="s">
        <v>454</v>
      </c>
      <c r="FR708">
        <v>12</v>
      </c>
      <c r="FS708">
        <v>5367064</v>
      </c>
      <c r="FT708" t="s">
        <v>7523</v>
      </c>
      <c r="FV708" s="1">
        <v>42515</v>
      </c>
      <c r="FW708">
        <v>2015</v>
      </c>
      <c r="FX708">
        <v>647.61</v>
      </c>
      <c r="FY708" t="s">
        <v>7524</v>
      </c>
      <c r="FZ708">
        <v>0.25</v>
      </c>
      <c r="GA708" t="s">
        <v>424</v>
      </c>
      <c r="GB708" t="s">
        <v>454</v>
      </c>
      <c r="GD708">
        <v>24</v>
      </c>
      <c r="GE708">
        <v>2851116</v>
      </c>
      <c r="GF708" t="s">
        <v>480</v>
      </c>
      <c r="GH708" s="1">
        <v>42515</v>
      </c>
      <c r="GI708">
        <v>2015</v>
      </c>
      <c r="GJ708">
        <v>647.61</v>
      </c>
      <c r="GK708" t="s">
        <v>7524</v>
      </c>
      <c r="GL708">
        <v>0.25</v>
      </c>
      <c r="GM708" t="s">
        <v>424</v>
      </c>
      <c r="GN708" t="s">
        <v>454</v>
      </c>
      <c r="GP708">
        <v>24</v>
      </c>
      <c r="GQ708">
        <v>5724728</v>
      </c>
      <c r="GR708" t="s">
        <v>7525</v>
      </c>
      <c r="GT708" s="1">
        <v>42151</v>
      </c>
      <c r="GU708">
        <v>2014</v>
      </c>
      <c r="GV708">
        <v>579.37</v>
      </c>
      <c r="GW708" t="s">
        <v>7526</v>
      </c>
      <c r="GX708">
        <v>0.25</v>
      </c>
      <c r="GY708" t="s">
        <v>424</v>
      </c>
      <c r="GZ708" t="s">
        <v>425</v>
      </c>
      <c r="HA708" s="1">
        <v>42167</v>
      </c>
      <c r="HB708">
        <v>1</v>
      </c>
      <c r="HC708">
        <v>15399</v>
      </c>
      <c r="HD708" t="s">
        <v>485</v>
      </c>
      <c r="HE708" t="s">
        <v>458</v>
      </c>
      <c r="HF708" s="1">
        <v>42151</v>
      </c>
      <c r="HG708">
        <v>2014</v>
      </c>
      <c r="HH708">
        <v>579.37</v>
      </c>
      <c r="HI708" t="s">
        <v>7526</v>
      </c>
      <c r="HJ708">
        <v>0.25</v>
      </c>
      <c r="HK708" t="s">
        <v>424</v>
      </c>
      <c r="HL708" t="s">
        <v>425</v>
      </c>
      <c r="HN708">
        <v>22</v>
      </c>
      <c r="HO708">
        <v>7045016</v>
      </c>
      <c r="HP708" t="s">
        <v>4403</v>
      </c>
      <c r="HQ708" t="s">
        <v>458</v>
      </c>
      <c r="HR708" s="1">
        <v>41787</v>
      </c>
      <c r="HS708">
        <v>2013</v>
      </c>
      <c r="HT708">
        <v>602.63</v>
      </c>
      <c r="HU708" t="s">
        <v>7527</v>
      </c>
      <c r="HV708">
        <v>2.25</v>
      </c>
      <c r="HW708" t="s">
        <v>424</v>
      </c>
      <c r="HX708" t="s">
        <v>425</v>
      </c>
      <c r="HY708" s="1">
        <v>42167</v>
      </c>
      <c r="HZ708">
        <v>13</v>
      </c>
      <c r="IA708">
        <v>15399</v>
      </c>
      <c r="IB708" t="s">
        <v>485</v>
      </c>
      <c r="IC708" t="s">
        <v>458</v>
      </c>
      <c r="ID708" s="1">
        <v>41423</v>
      </c>
      <c r="IE708">
        <v>2012</v>
      </c>
      <c r="IF708">
        <v>543.12</v>
      </c>
      <c r="IG708" t="s">
        <v>7528</v>
      </c>
      <c r="IH708">
        <v>3.75</v>
      </c>
      <c r="II708" t="s">
        <v>424</v>
      </c>
      <c r="IJ708" t="s">
        <v>425</v>
      </c>
      <c r="IL708">
        <v>22</v>
      </c>
      <c r="IM708">
        <v>1625515</v>
      </c>
      <c r="IN708" t="s">
        <v>487</v>
      </c>
      <c r="IO708" t="s">
        <v>458</v>
      </c>
      <c r="IP708" s="1">
        <v>41052</v>
      </c>
      <c r="IQ708">
        <v>2011</v>
      </c>
      <c r="IR708">
        <v>742.1</v>
      </c>
      <c r="IS708" t="s">
        <v>7529</v>
      </c>
      <c r="IT708">
        <v>5.75</v>
      </c>
      <c r="IU708" t="s">
        <v>424</v>
      </c>
      <c r="IV708" t="s">
        <v>425</v>
      </c>
      <c r="IW708" s="1">
        <v>41698</v>
      </c>
      <c r="IX708">
        <v>21</v>
      </c>
      <c r="IY708">
        <v>1625515</v>
      </c>
      <c r="IZ708" t="s">
        <v>487</v>
      </c>
      <c r="JB708" s="1">
        <v>41052</v>
      </c>
      <c r="JC708">
        <v>2011</v>
      </c>
      <c r="JD708">
        <v>742.1</v>
      </c>
      <c r="JE708" t="s">
        <v>7529</v>
      </c>
      <c r="JF708">
        <v>5.75</v>
      </c>
      <c r="JG708" t="s">
        <v>424</v>
      </c>
      <c r="JH708" t="s">
        <v>425</v>
      </c>
      <c r="JJ708">
        <v>22</v>
      </c>
      <c r="JK708">
        <v>10579</v>
      </c>
      <c r="JL708" t="s">
        <v>488</v>
      </c>
      <c r="JN708" s="1">
        <v>40688</v>
      </c>
      <c r="JO708">
        <v>2010</v>
      </c>
      <c r="JP708">
        <v>815.95</v>
      </c>
      <c r="JQ708" t="s">
        <v>7530</v>
      </c>
      <c r="JR708">
        <v>5.25</v>
      </c>
      <c r="JS708" t="s">
        <v>424</v>
      </c>
      <c r="JT708" t="s">
        <v>425</v>
      </c>
      <c r="JU708" s="1">
        <v>41333</v>
      </c>
      <c r="JV708">
        <v>21</v>
      </c>
      <c r="JW708">
        <v>210</v>
      </c>
      <c r="JX708" t="s">
        <v>7026</v>
      </c>
    </row>
    <row r="709" spans="1:284" x14ac:dyDescent="0.25">
      <c r="A709">
        <v>16485716</v>
      </c>
      <c r="B709">
        <v>708</v>
      </c>
      <c r="C709" t="s">
        <v>393</v>
      </c>
      <c r="D709" t="s">
        <v>394</v>
      </c>
      <c r="F709" t="str">
        <f>"37-1N-25-299D-0009-0000"</f>
        <v>37-1N-25-299D-0009-0000</v>
      </c>
      <c r="H709" t="str">
        <f>"MCGINLEY GARY R SR"</f>
        <v>MCGINLEY GARY R SR</v>
      </c>
      <c r="I709" t="str">
        <f>"1739 CEDAR BAY ROAD"</f>
        <v>1739 CEDAR BAY ROAD</v>
      </c>
      <c r="J709" t="str">
        <f>"JACKSONVILLE FL 32218"</f>
        <v>JACKSONVILLE FL 32218</v>
      </c>
      <c r="K709" t="str">
        <f>"54446 MARLEE RD"</f>
        <v>54446 MARLEE RD</v>
      </c>
      <c r="L709" t="str">
        <f t="shared" si="202"/>
        <v>CALLAHAN FL 32011</v>
      </c>
      <c r="M709" t="str">
        <f>"LOT 9 1984 CONC DW IN OR 1599/1069 NASSAU VILLAGE 4 UNR"</f>
        <v>LOT 9 1984 CONC DW IN OR 1599/1069 NASSAU VILLAGE 4 UNR</v>
      </c>
      <c r="N709" t="str">
        <f>""</f>
        <v/>
      </c>
      <c r="O709" t="str">
        <f>"42795"</f>
        <v>42795</v>
      </c>
      <c r="P709" t="str">
        <f t="shared" si="218"/>
        <v>2017</v>
      </c>
      <c r="Q709" t="str">
        <f>""</f>
        <v/>
      </c>
      <c r="R709" t="str">
        <f>"N"</f>
        <v>N</v>
      </c>
      <c r="S709" t="str">
        <f>""</f>
        <v/>
      </c>
      <c r="T709" t="str">
        <f>"629.94"</f>
        <v>629.94</v>
      </c>
      <c r="U709" t="str">
        <f>"41611.00"</f>
        <v>41611.00</v>
      </c>
      <c r="V709" t="str">
        <f>"41611.00"</f>
        <v>41611.00</v>
      </c>
      <c r="W709" t="str">
        <f t="shared" si="219"/>
        <v>2017</v>
      </c>
      <c r="X709" t="str">
        <f>"7.75"</f>
        <v>7.75</v>
      </c>
      <c r="Y709" t="str">
        <f>"680.84"</f>
        <v>680.84</v>
      </c>
      <c r="Z709" t="str">
        <f>""</f>
        <v/>
      </c>
      <c r="AA709" t="str">
        <f>"41611.00"</f>
        <v>41611.00</v>
      </c>
      <c r="AB709" t="str">
        <f t="shared" si="212"/>
        <v>Residential</v>
      </c>
      <c r="AC709" t="str">
        <f t="shared" si="204"/>
        <v>0</v>
      </c>
      <c r="AD709" t="str">
        <f t="shared" si="216"/>
        <v>4</v>
      </c>
      <c r="AE709" t="str">
        <f t="shared" si="217"/>
        <v>WOOD (INCLUDE STEEL STUDS)</v>
      </c>
      <c r="AF709" t="str">
        <f>"002"</f>
        <v>002</v>
      </c>
      <c r="AG709" t="str">
        <f t="shared" si="211"/>
        <v>FL</v>
      </c>
      <c r="AH709" t="str">
        <f>"41595.00"</f>
        <v>41595.00</v>
      </c>
      <c r="AI709" t="str">
        <f t="shared" si="215"/>
        <v>20000.00</v>
      </c>
      <c r="AJ709" t="str">
        <f>"C55-000-587-8722-7"</f>
        <v>C55-000-587-8722-7</v>
      </c>
      <c r="AK709" t="str">
        <f>"11588"</f>
        <v>11588</v>
      </c>
      <c r="AL709">
        <v>3</v>
      </c>
      <c r="AM709">
        <v>811</v>
      </c>
      <c r="AN709">
        <v>713.28</v>
      </c>
      <c r="AQ709" t="s">
        <v>7531</v>
      </c>
      <c r="AR709" t="s">
        <v>7531</v>
      </c>
      <c r="AS709" t="s">
        <v>7531</v>
      </c>
      <c r="AU709" t="s">
        <v>396</v>
      </c>
      <c r="AV709">
        <v>2017</v>
      </c>
      <c r="AW709" t="str">
        <f>"37-1N-25-299D-0009-0000 "</f>
        <v xml:space="preserve">37-1N-25-299D-0009-0000 </v>
      </c>
      <c r="AX709">
        <v>54446</v>
      </c>
      <c r="AZ709" t="s">
        <v>7482</v>
      </c>
      <c r="BA709" t="s">
        <v>496</v>
      </c>
      <c r="BD709" t="s">
        <v>2785</v>
      </c>
      <c r="BE709" t="s">
        <v>393</v>
      </c>
      <c r="BF709">
        <v>32011</v>
      </c>
      <c r="BG709" t="s">
        <v>7532</v>
      </c>
      <c r="BH709" t="s">
        <v>2787</v>
      </c>
      <c r="BI709">
        <v>-81.773249264630905</v>
      </c>
      <c r="BJ709">
        <v>30.540223341070199</v>
      </c>
      <c r="BK709" t="s">
        <v>7533</v>
      </c>
      <c r="BM709" t="s">
        <v>7534</v>
      </c>
      <c r="BN709" t="s">
        <v>548</v>
      </c>
      <c r="BO709">
        <v>32218</v>
      </c>
      <c r="BP709" t="s">
        <v>404</v>
      </c>
      <c r="BQ709">
        <v>200</v>
      </c>
      <c r="BR709" t="s">
        <v>405</v>
      </c>
      <c r="BS709">
        <v>1006</v>
      </c>
      <c r="BT709" t="s">
        <v>406</v>
      </c>
      <c r="BW709">
        <v>43202</v>
      </c>
      <c r="BX709" t="s">
        <v>407</v>
      </c>
      <c r="BY709" t="s">
        <v>4360</v>
      </c>
      <c r="BZ709">
        <v>4</v>
      </c>
      <c r="CA709">
        <v>1983</v>
      </c>
      <c r="CB709">
        <v>1</v>
      </c>
      <c r="CC709">
        <v>1</v>
      </c>
      <c r="CD709">
        <v>2017</v>
      </c>
      <c r="CE709">
        <v>20000</v>
      </c>
      <c r="CF709">
        <v>21611</v>
      </c>
      <c r="CG709">
        <v>41611</v>
      </c>
      <c r="CH709">
        <v>2017</v>
      </c>
      <c r="CI709">
        <v>20000</v>
      </c>
      <c r="CJ709">
        <v>21611</v>
      </c>
      <c r="CK709">
        <v>41611</v>
      </c>
      <c r="CL709">
        <v>2017</v>
      </c>
      <c r="CM709">
        <v>629.94000000000005</v>
      </c>
      <c r="CN709" s="1">
        <v>37508</v>
      </c>
      <c r="CO709">
        <v>22000</v>
      </c>
      <c r="CV709">
        <v>20000</v>
      </c>
      <c r="CZ709" s="1">
        <v>37508</v>
      </c>
      <c r="DA709">
        <v>0</v>
      </c>
      <c r="DD709" t="s">
        <v>2785</v>
      </c>
      <c r="DF709">
        <v>9</v>
      </c>
      <c r="DG709">
        <v>37</v>
      </c>
      <c r="DJ709" t="s">
        <v>7460</v>
      </c>
      <c r="DL709">
        <v>50502</v>
      </c>
      <c r="DM709" t="s">
        <v>7353</v>
      </c>
      <c r="DO709" t="s">
        <v>7535</v>
      </c>
      <c r="DP709">
        <v>0</v>
      </c>
      <c r="DQ709">
        <v>0</v>
      </c>
      <c r="DR709" t="s">
        <v>411</v>
      </c>
      <c r="DS709" t="b">
        <v>1</v>
      </c>
      <c r="DT709" t="s">
        <v>470</v>
      </c>
      <c r="DU709" t="s">
        <v>471</v>
      </c>
      <c r="DV709" t="s">
        <v>472</v>
      </c>
      <c r="DX709">
        <v>-9999</v>
      </c>
      <c r="DZ709" t="s">
        <v>447</v>
      </c>
      <c r="EA709" t="s">
        <v>448</v>
      </c>
      <c r="EB709" t="s">
        <v>742</v>
      </c>
      <c r="EC709">
        <v>20101217</v>
      </c>
      <c r="ED709" t="s">
        <v>474</v>
      </c>
      <c r="EF709">
        <v>329.5</v>
      </c>
      <c r="EG709">
        <v>329.5</v>
      </c>
      <c r="EI709">
        <v>20160407</v>
      </c>
      <c r="EJ709">
        <v>0</v>
      </c>
      <c r="EK709">
        <v>0</v>
      </c>
      <c r="EP709" t="s">
        <v>421</v>
      </c>
      <c r="EQ709" t="s">
        <v>422</v>
      </c>
      <c r="ER709">
        <v>0</v>
      </c>
      <c r="ES709">
        <v>2</v>
      </c>
      <c r="ET709">
        <v>0</v>
      </c>
      <c r="EU709">
        <v>0</v>
      </c>
      <c r="EV709">
        <v>0</v>
      </c>
      <c r="EW709" s="2">
        <v>43222</v>
      </c>
      <c r="EX709" s="1">
        <v>42515</v>
      </c>
      <c r="EY709">
        <v>2015</v>
      </c>
      <c r="EZ709">
        <v>703.47</v>
      </c>
      <c r="FA709" t="s">
        <v>7536</v>
      </c>
      <c r="FB709">
        <v>0.25</v>
      </c>
      <c r="FC709" t="s">
        <v>424</v>
      </c>
      <c r="FD709" t="s">
        <v>425</v>
      </c>
      <c r="FE709" s="1">
        <v>42732</v>
      </c>
      <c r="FF709">
        <v>7</v>
      </c>
      <c r="FG709">
        <v>2851116</v>
      </c>
      <c r="FH709" t="s">
        <v>480</v>
      </c>
      <c r="FJ709" s="1">
        <v>42515</v>
      </c>
      <c r="FK709">
        <v>2015</v>
      </c>
      <c r="FL709">
        <v>703.47</v>
      </c>
      <c r="FM709" t="s">
        <v>7536</v>
      </c>
      <c r="FN709">
        <v>0.25</v>
      </c>
      <c r="FO709" t="s">
        <v>424</v>
      </c>
      <c r="FP709" t="s">
        <v>425</v>
      </c>
      <c r="FR709">
        <v>22</v>
      </c>
      <c r="FS709">
        <v>5424108</v>
      </c>
      <c r="FT709" t="s">
        <v>7537</v>
      </c>
    </row>
    <row r="710" spans="1:284" x14ac:dyDescent="0.25">
      <c r="A710">
        <v>16485717</v>
      </c>
      <c r="B710">
        <v>709</v>
      </c>
      <c r="C710" t="s">
        <v>393</v>
      </c>
      <c r="D710" t="s">
        <v>394</v>
      </c>
      <c r="F710" t="str">
        <f>"37-1N-25-299E-0025-0000"</f>
        <v>37-1N-25-299E-0025-0000</v>
      </c>
      <c r="H710" t="str">
        <f>"GRIFFIN GERALD R JR"</f>
        <v>GRIFFIN GERALD R JR</v>
      </c>
      <c r="I710" t="str">
        <f>"54613 MARLEE ROAD"</f>
        <v>54613 MARLEE ROAD</v>
      </c>
      <c r="J710" t="str">
        <f>"CALLAHAN FL 32011"</f>
        <v>CALLAHAN FL 32011</v>
      </c>
      <c r="K710" t="str">
        <f>"54613 MARLEE RD"</f>
        <v>54613 MARLEE RD</v>
      </c>
      <c r="L710" t="str">
        <f t="shared" si="202"/>
        <v>CALLAHAN FL 32011</v>
      </c>
      <c r="M710" t="str">
        <f>"LOT 25 IN OR 501 PG 1185 NASSAU VILLAGE 5 UNR"</f>
        <v>LOT 25 IN OR 501 PG 1185 NASSAU VILLAGE 5 UNR</v>
      </c>
      <c r="N710" t="str">
        <f>""</f>
        <v/>
      </c>
      <c r="O710" t="str">
        <f>"42826"</f>
        <v>42826</v>
      </c>
      <c r="P710" t="str">
        <f t="shared" si="218"/>
        <v>2017</v>
      </c>
      <c r="Q710" t="str">
        <f>""</f>
        <v/>
      </c>
      <c r="R710" t="str">
        <f>"Y"</f>
        <v>Y</v>
      </c>
      <c r="S710" t="str">
        <f>""</f>
        <v/>
      </c>
      <c r="T710" t="str">
        <f>"659.75"</f>
        <v>659.75</v>
      </c>
      <c r="U710" t="str">
        <f>"82684.00"</f>
        <v>82684.00</v>
      </c>
      <c r="V710" t="str">
        <f>"82684.00"</f>
        <v>82684.00</v>
      </c>
      <c r="W710" t="str">
        <f t="shared" si="219"/>
        <v>2017</v>
      </c>
      <c r="X710" t="str">
        <f>"7.00"</f>
        <v>7.00</v>
      </c>
      <c r="Y710" t="str">
        <f>"711.54"</f>
        <v>711.54</v>
      </c>
      <c r="Z710" t="str">
        <f>"25000.00"</f>
        <v>25000.00</v>
      </c>
      <c r="AA710" t="str">
        <f>"57684.00"</f>
        <v>57684.00</v>
      </c>
      <c r="AB710" t="str">
        <f t="shared" si="212"/>
        <v>Residential</v>
      </c>
      <c r="AC710" t="str">
        <f t="shared" si="204"/>
        <v>0</v>
      </c>
      <c r="AD710" t="str">
        <f t="shared" si="216"/>
        <v>4</v>
      </c>
      <c r="AE710" t="str">
        <f t="shared" si="217"/>
        <v>WOOD (INCLUDE STEEL STUDS)</v>
      </c>
      <c r="AF710" t="str">
        <f>"001"</f>
        <v>001</v>
      </c>
      <c r="AG710" t="str">
        <f t="shared" si="211"/>
        <v>FL</v>
      </c>
      <c r="AH710" t="str">
        <f>"48636.00"</f>
        <v>48636.00</v>
      </c>
      <c r="AI710" t="str">
        <f t="shared" si="215"/>
        <v>20000.00</v>
      </c>
      <c r="AJ710" t="str">
        <f>"C55-000-587-8750-8"</f>
        <v>C55-000-587-8750-8</v>
      </c>
      <c r="AK710" t="str">
        <f>"11614"</f>
        <v>11614</v>
      </c>
      <c r="AL710">
        <v>3</v>
      </c>
      <c r="AM710">
        <v>812</v>
      </c>
      <c r="AN710">
        <v>745.52</v>
      </c>
      <c r="AQ710" t="s">
        <v>7538</v>
      </c>
      <c r="AR710" t="s">
        <v>7538</v>
      </c>
      <c r="AS710" t="s">
        <v>7538</v>
      </c>
      <c r="AU710" t="s">
        <v>396</v>
      </c>
      <c r="AV710">
        <v>2017</v>
      </c>
      <c r="AW710" t="str">
        <f>"37-1N-25-299E-0025-0000 "</f>
        <v xml:space="preserve">37-1N-25-299E-0025-0000 </v>
      </c>
      <c r="AX710">
        <v>54613</v>
      </c>
      <c r="AZ710" t="s">
        <v>7482</v>
      </c>
      <c r="BA710" t="s">
        <v>496</v>
      </c>
      <c r="BD710" t="s">
        <v>2785</v>
      </c>
      <c r="BE710" t="s">
        <v>393</v>
      </c>
      <c r="BF710">
        <v>32011</v>
      </c>
      <c r="BG710" t="s">
        <v>7539</v>
      </c>
      <c r="BH710" t="s">
        <v>2787</v>
      </c>
      <c r="BI710">
        <v>-81.777616083999703</v>
      </c>
      <c r="BJ710">
        <v>30.543160530082599</v>
      </c>
      <c r="BK710" t="s">
        <v>7540</v>
      </c>
      <c r="BM710" t="s">
        <v>7539</v>
      </c>
      <c r="BN710" t="s">
        <v>928</v>
      </c>
      <c r="BO710">
        <v>32011</v>
      </c>
      <c r="BP710" t="s">
        <v>416</v>
      </c>
      <c r="BQ710">
        <v>100</v>
      </c>
      <c r="BR710" t="s">
        <v>514</v>
      </c>
      <c r="BS710">
        <v>1001</v>
      </c>
      <c r="BT710" t="s">
        <v>515</v>
      </c>
      <c r="BW710">
        <v>48269</v>
      </c>
      <c r="BX710" t="s">
        <v>407</v>
      </c>
      <c r="BY710" t="s">
        <v>4360</v>
      </c>
      <c r="BZ710">
        <v>4</v>
      </c>
      <c r="CA710">
        <v>1981</v>
      </c>
      <c r="CB710">
        <v>1</v>
      </c>
      <c r="CC710">
        <v>1</v>
      </c>
      <c r="CD710">
        <v>2017</v>
      </c>
      <c r="CG710">
        <v>82684</v>
      </c>
      <c r="CH710">
        <v>2017</v>
      </c>
      <c r="CI710">
        <v>20000</v>
      </c>
      <c r="CJ710">
        <v>78155</v>
      </c>
      <c r="CK710">
        <v>98155</v>
      </c>
      <c r="CL710">
        <v>2017</v>
      </c>
      <c r="CM710">
        <v>659.75</v>
      </c>
      <c r="CN710" s="1">
        <v>31686</v>
      </c>
      <c r="CO710">
        <v>56000</v>
      </c>
      <c r="CZ710" s="1">
        <v>31686</v>
      </c>
      <c r="DD710" t="s">
        <v>2785</v>
      </c>
      <c r="DF710">
        <v>25</v>
      </c>
      <c r="DG710">
        <v>37</v>
      </c>
      <c r="DJ710" t="s">
        <v>7460</v>
      </c>
      <c r="DL710">
        <v>50502</v>
      </c>
      <c r="DM710" t="s">
        <v>7353</v>
      </c>
      <c r="DO710" t="s">
        <v>7541</v>
      </c>
      <c r="DP710">
        <v>0</v>
      </c>
      <c r="DQ710">
        <v>0</v>
      </c>
      <c r="DR710" t="s">
        <v>411</v>
      </c>
      <c r="EP710" t="s">
        <v>421</v>
      </c>
      <c r="EQ710" t="s">
        <v>422</v>
      </c>
      <c r="ER710">
        <v>0</v>
      </c>
      <c r="ES710">
        <v>2</v>
      </c>
      <c r="ET710">
        <v>0</v>
      </c>
      <c r="EU710">
        <v>0</v>
      </c>
      <c r="EV710">
        <v>0</v>
      </c>
      <c r="EW710" s="2">
        <v>43222</v>
      </c>
      <c r="EX710" s="1">
        <v>42879</v>
      </c>
      <c r="EY710">
        <v>2016</v>
      </c>
      <c r="EZ710">
        <v>725.07</v>
      </c>
      <c r="FA710" t="s">
        <v>7542</v>
      </c>
      <c r="FB710">
        <v>0.25</v>
      </c>
      <c r="FC710" t="s">
        <v>424</v>
      </c>
      <c r="FD710" t="s">
        <v>425</v>
      </c>
      <c r="FE710" s="1">
        <v>43076</v>
      </c>
      <c r="FF710">
        <v>7</v>
      </c>
      <c r="FG710">
        <v>2851116</v>
      </c>
      <c r="FH710" t="s">
        <v>480</v>
      </c>
      <c r="FJ710" s="1">
        <v>42879</v>
      </c>
      <c r="FK710">
        <v>2016</v>
      </c>
      <c r="FL710">
        <v>725.07</v>
      </c>
      <c r="FM710" t="s">
        <v>7542</v>
      </c>
      <c r="FN710">
        <v>0.25</v>
      </c>
      <c r="FO710" t="s">
        <v>424</v>
      </c>
      <c r="FP710" t="s">
        <v>425</v>
      </c>
      <c r="FR710">
        <v>22</v>
      </c>
      <c r="FS710">
        <v>5238754</v>
      </c>
      <c r="FT710" t="s">
        <v>7543</v>
      </c>
    </row>
    <row r="711" spans="1:284" x14ac:dyDescent="0.25">
      <c r="A711">
        <v>16485718</v>
      </c>
      <c r="B711">
        <v>710</v>
      </c>
      <c r="C711" t="s">
        <v>393</v>
      </c>
      <c r="D711" t="s">
        <v>394</v>
      </c>
      <c r="F711" t="str">
        <f>"37-1N-25-299E-0035-0000"</f>
        <v>37-1N-25-299E-0035-0000</v>
      </c>
      <c r="H711" t="str">
        <f>"BARRY RUBY BETSY"</f>
        <v>BARRY RUBY BETSY</v>
      </c>
      <c r="I711" t="str">
        <f>"54463 MARLEE ROAD"</f>
        <v>54463 MARLEE ROAD</v>
      </c>
      <c r="J711" t="str">
        <f>"CALLAHAN FL 32011"</f>
        <v>CALLAHAN FL 32011</v>
      </c>
      <c r="K711" t="str">
        <f>"54463 MARLEE RD"</f>
        <v>54463 MARLEE RD</v>
      </c>
      <c r="L711" t="str">
        <f t="shared" si="202"/>
        <v>CALLAHAN FL 32011</v>
      </c>
      <c r="M711" t="str">
        <f>"LOT 35 R236010 &amp; R236011 IN OR 1842/254 NASSAU VILLAGE 5 UNR"</f>
        <v>LOT 35 R236010 &amp; R236011 IN OR 1842/254 NASSAU VILLAGE 5 UNR</v>
      </c>
      <c r="N711" t="str">
        <f>""</f>
        <v/>
      </c>
      <c r="O711" t="str">
        <f>"42836"</f>
        <v>42836</v>
      </c>
      <c r="P711" t="str">
        <f t="shared" si="218"/>
        <v>2017</v>
      </c>
      <c r="Q711" t="str">
        <f>""</f>
        <v/>
      </c>
      <c r="R711" t="str">
        <f>"Y"</f>
        <v>Y</v>
      </c>
      <c r="S711" t="str">
        <f>""</f>
        <v/>
      </c>
      <c r="T711" t="str">
        <f>"231.71"</f>
        <v>231.71</v>
      </c>
      <c r="U711" t="str">
        <f>"40306.00"</f>
        <v>40306.00</v>
      </c>
      <c r="V711" t="str">
        <f>"40306.00"</f>
        <v>40306.00</v>
      </c>
      <c r="W711" t="str">
        <f t="shared" si="219"/>
        <v>2017</v>
      </c>
      <c r="X711" t="str">
        <f>"24.00"</f>
        <v>24.00</v>
      </c>
      <c r="Y711" t="str">
        <f>"270.66"</f>
        <v>270.66</v>
      </c>
      <c r="Z711" t="str">
        <f>"25000.00"</f>
        <v>25000.00</v>
      </c>
      <c r="AA711" t="str">
        <f>"15306.00"</f>
        <v>15306.00</v>
      </c>
      <c r="AB711" t="str">
        <f t="shared" si="212"/>
        <v>Residential</v>
      </c>
      <c r="AC711" t="str">
        <f t="shared" si="204"/>
        <v>0</v>
      </c>
      <c r="AD711" t="str">
        <f t="shared" si="216"/>
        <v>4</v>
      </c>
      <c r="AE711" t="str">
        <f t="shared" si="217"/>
        <v>WOOD (INCLUDE STEEL STUDS)</v>
      </c>
      <c r="AF711" t="str">
        <f>"002"</f>
        <v>002</v>
      </c>
      <c r="AG711" t="str">
        <f t="shared" si="211"/>
        <v>FL</v>
      </c>
      <c r="AH711" t="str">
        <f>"47498.00"</f>
        <v>47498.00</v>
      </c>
      <c r="AI711" t="str">
        <f t="shared" si="215"/>
        <v>20000.00</v>
      </c>
      <c r="AJ711" t="str">
        <f>"C55-000-587-8760-7"</f>
        <v>C55-000-587-8760-7</v>
      </c>
      <c r="AK711" t="str">
        <f>"11624"</f>
        <v>11624</v>
      </c>
      <c r="AL711">
        <v>3</v>
      </c>
      <c r="AM711">
        <v>814</v>
      </c>
      <c r="AN711">
        <v>282.58999999999997</v>
      </c>
      <c r="AQ711" t="s">
        <v>7544</v>
      </c>
      <c r="AR711" t="s">
        <v>7544</v>
      </c>
      <c r="AS711" t="s">
        <v>7544</v>
      </c>
      <c r="AU711" t="s">
        <v>396</v>
      </c>
      <c r="AV711">
        <v>2017</v>
      </c>
      <c r="AW711" t="str">
        <f>"37-1N-25-299E-0035-0000 "</f>
        <v xml:space="preserve">37-1N-25-299E-0035-0000 </v>
      </c>
      <c r="AX711">
        <v>54463</v>
      </c>
      <c r="AZ711" t="s">
        <v>7482</v>
      </c>
      <c r="BA711" t="s">
        <v>496</v>
      </c>
      <c r="BD711" t="s">
        <v>2785</v>
      </c>
      <c r="BE711" t="s">
        <v>393</v>
      </c>
      <c r="BF711">
        <v>32011</v>
      </c>
      <c r="BG711" t="s">
        <v>7520</v>
      </c>
      <c r="BH711" t="s">
        <v>2787</v>
      </c>
      <c r="BI711">
        <v>-81.774631290465805</v>
      </c>
      <c r="BJ711">
        <v>30.5402658985264</v>
      </c>
      <c r="BK711" t="s">
        <v>7545</v>
      </c>
      <c r="BM711" t="s">
        <v>7520</v>
      </c>
      <c r="BN711" t="s">
        <v>928</v>
      </c>
      <c r="BO711">
        <v>32011</v>
      </c>
      <c r="BP711" t="s">
        <v>416</v>
      </c>
      <c r="BQ711">
        <v>200</v>
      </c>
      <c r="BR711" t="s">
        <v>405</v>
      </c>
      <c r="BS711">
        <v>1006</v>
      </c>
      <c r="BT711" t="s">
        <v>406</v>
      </c>
      <c r="BW711">
        <v>46542</v>
      </c>
      <c r="BX711" t="s">
        <v>407</v>
      </c>
      <c r="BY711" t="s">
        <v>4360</v>
      </c>
      <c r="BZ711">
        <v>4</v>
      </c>
      <c r="CA711">
        <v>1986</v>
      </c>
      <c r="CB711">
        <v>1</v>
      </c>
      <c r="CC711">
        <v>1</v>
      </c>
      <c r="CD711">
        <v>2017</v>
      </c>
      <c r="CG711">
        <v>40306</v>
      </c>
      <c r="CH711">
        <v>2017</v>
      </c>
      <c r="CI711">
        <v>20000</v>
      </c>
      <c r="CJ711">
        <v>29391</v>
      </c>
      <c r="CK711">
        <v>49391</v>
      </c>
      <c r="CL711">
        <v>2017</v>
      </c>
      <c r="CM711">
        <v>231.71</v>
      </c>
      <c r="CN711" s="1">
        <v>41324</v>
      </c>
      <c r="CZ711" s="1">
        <v>41324</v>
      </c>
      <c r="DD711" t="s">
        <v>2785</v>
      </c>
      <c r="DF711">
        <v>35</v>
      </c>
      <c r="DG711">
        <v>37</v>
      </c>
      <c r="DL711">
        <v>50502</v>
      </c>
      <c r="DM711" t="s">
        <v>7353</v>
      </c>
      <c r="DO711" t="s">
        <v>7546</v>
      </c>
      <c r="DP711">
        <v>0</v>
      </c>
      <c r="DQ711">
        <v>0</v>
      </c>
      <c r="DR711" t="s">
        <v>411</v>
      </c>
      <c r="DS711" t="b">
        <v>1</v>
      </c>
      <c r="DT711" t="s">
        <v>470</v>
      </c>
      <c r="DU711" t="s">
        <v>471</v>
      </c>
      <c r="DV711" t="s">
        <v>472</v>
      </c>
      <c r="DX711">
        <v>-9999</v>
      </c>
      <c r="DZ711" t="s">
        <v>447</v>
      </c>
      <c r="EA711" t="s">
        <v>448</v>
      </c>
      <c r="EB711" t="s">
        <v>742</v>
      </c>
      <c r="EC711">
        <v>20101217</v>
      </c>
      <c r="ED711" t="s">
        <v>474</v>
      </c>
      <c r="EF711">
        <v>485.8</v>
      </c>
      <c r="EG711">
        <v>485.8</v>
      </c>
      <c r="EI711">
        <v>20160407</v>
      </c>
      <c r="EJ711">
        <v>0</v>
      </c>
      <c r="EK711">
        <v>0</v>
      </c>
      <c r="EP711" t="s">
        <v>421</v>
      </c>
      <c r="EQ711" t="s">
        <v>452</v>
      </c>
      <c r="ER711">
        <v>2</v>
      </c>
      <c r="ES711">
        <v>9</v>
      </c>
      <c r="ET711">
        <v>534.72</v>
      </c>
      <c r="EU711">
        <v>39.24</v>
      </c>
      <c r="EV711">
        <v>573.96</v>
      </c>
      <c r="EW711" s="2">
        <v>43222</v>
      </c>
      <c r="EX711" s="1">
        <v>42879</v>
      </c>
      <c r="EY711">
        <v>2016</v>
      </c>
      <c r="EZ711">
        <v>267.36</v>
      </c>
      <c r="FA711" t="s">
        <v>7547</v>
      </c>
      <c r="FB711">
        <v>0.25</v>
      </c>
      <c r="FC711" t="s">
        <v>424</v>
      </c>
      <c r="FD711" t="s">
        <v>454</v>
      </c>
      <c r="FF711">
        <v>12</v>
      </c>
      <c r="FG711">
        <v>2851116</v>
      </c>
      <c r="FH711" t="s">
        <v>480</v>
      </c>
      <c r="FJ711" s="1">
        <v>42879</v>
      </c>
      <c r="FK711">
        <v>2016</v>
      </c>
      <c r="FL711">
        <v>267.36</v>
      </c>
      <c r="FM711" t="s">
        <v>7547</v>
      </c>
      <c r="FN711">
        <v>0.25</v>
      </c>
      <c r="FO711" t="s">
        <v>424</v>
      </c>
      <c r="FP711" t="s">
        <v>454</v>
      </c>
      <c r="FR711">
        <v>12</v>
      </c>
      <c r="FS711">
        <v>5733814</v>
      </c>
      <c r="FT711" t="s">
        <v>7548</v>
      </c>
      <c r="FV711" s="1">
        <v>42515</v>
      </c>
      <c r="FW711">
        <v>2015</v>
      </c>
      <c r="FX711">
        <v>263.52</v>
      </c>
      <c r="FY711" t="s">
        <v>7549</v>
      </c>
      <c r="FZ711">
        <v>18</v>
      </c>
      <c r="GA711" t="s">
        <v>424</v>
      </c>
      <c r="GB711" t="s">
        <v>425</v>
      </c>
      <c r="GC711" s="1">
        <v>42640</v>
      </c>
      <c r="GD711">
        <v>4</v>
      </c>
      <c r="GE711">
        <v>10125</v>
      </c>
      <c r="GF711" t="s">
        <v>440</v>
      </c>
      <c r="GG711" t="s">
        <v>458</v>
      </c>
      <c r="GH711" s="1">
        <v>42151</v>
      </c>
      <c r="GI711">
        <v>2014</v>
      </c>
      <c r="GJ711">
        <v>259.44</v>
      </c>
      <c r="GK711" t="s">
        <v>7550</v>
      </c>
      <c r="GL711">
        <v>2.25</v>
      </c>
      <c r="GM711" t="s">
        <v>424</v>
      </c>
      <c r="GN711" t="s">
        <v>425</v>
      </c>
      <c r="GO711" s="1">
        <v>42640</v>
      </c>
      <c r="GP711">
        <v>16</v>
      </c>
      <c r="GQ711">
        <v>6716680</v>
      </c>
      <c r="GR711" t="s">
        <v>7551</v>
      </c>
      <c r="GS711" t="s">
        <v>458</v>
      </c>
      <c r="GT711" s="1">
        <v>41787</v>
      </c>
      <c r="GU711">
        <v>2013</v>
      </c>
      <c r="GV711">
        <v>434.64</v>
      </c>
      <c r="GW711" t="s">
        <v>7552</v>
      </c>
      <c r="GX711">
        <v>2.75</v>
      </c>
      <c r="GY711" t="s">
        <v>424</v>
      </c>
      <c r="GZ711" t="s">
        <v>425</v>
      </c>
      <c r="HB711">
        <v>22</v>
      </c>
      <c r="HC711">
        <v>15399</v>
      </c>
      <c r="HD711" t="s">
        <v>485</v>
      </c>
      <c r="HE711" t="s">
        <v>458</v>
      </c>
      <c r="HF711" s="1">
        <v>41787</v>
      </c>
      <c r="HG711">
        <v>2013</v>
      </c>
      <c r="HH711">
        <v>434.64</v>
      </c>
      <c r="HI711" t="s">
        <v>7552</v>
      </c>
      <c r="HJ711">
        <v>2.75</v>
      </c>
      <c r="HK711" t="s">
        <v>424</v>
      </c>
      <c r="HL711" t="s">
        <v>425</v>
      </c>
      <c r="HN711">
        <v>22</v>
      </c>
      <c r="HO711">
        <v>7336692</v>
      </c>
      <c r="HP711" t="s">
        <v>822</v>
      </c>
      <c r="HQ711" t="s">
        <v>458</v>
      </c>
      <c r="HR711" s="1">
        <v>41787</v>
      </c>
      <c r="HS711">
        <v>2013</v>
      </c>
      <c r="HT711">
        <v>434.64</v>
      </c>
      <c r="HU711" t="s">
        <v>7552</v>
      </c>
      <c r="HV711">
        <v>2.75</v>
      </c>
      <c r="HW711" t="s">
        <v>424</v>
      </c>
      <c r="HX711" t="s">
        <v>425</v>
      </c>
      <c r="HZ711">
        <v>22</v>
      </c>
      <c r="IA711">
        <v>7336698</v>
      </c>
      <c r="IB711" t="s">
        <v>823</v>
      </c>
      <c r="IC711" t="s">
        <v>458</v>
      </c>
      <c r="ID711" s="1">
        <v>41423</v>
      </c>
      <c r="IE711">
        <v>2012</v>
      </c>
      <c r="IF711">
        <v>432.93</v>
      </c>
      <c r="IG711" t="s">
        <v>7553</v>
      </c>
      <c r="IH711">
        <v>4.25</v>
      </c>
      <c r="II711" t="s">
        <v>424</v>
      </c>
      <c r="IJ711" t="s">
        <v>425</v>
      </c>
      <c r="IK711" s="1">
        <v>42640</v>
      </c>
      <c r="IL711">
        <v>40</v>
      </c>
      <c r="IM711">
        <v>15407</v>
      </c>
      <c r="IN711" t="s">
        <v>1134</v>
      </c>
      <c r="IO711" t="s">
        <v>458</v>
      </c>
      <c r="IP711" s="1">
        <v>41052</v>
      </c>
      <c r="IQ711">
        <v>2011</v>
      </c>
      <c r="IR711">
        <v>442.93</v>
      </c>
      <c r="IS711" t="s">
        <v>7554</v>
      </c>
      <c r="IT711">
        <v>6</v>
      </c>
      <c r="IU711" t="s">
        <v>424</v>
      </c>
      <c r="IV711" t="s">
        <v>425</v>
      </c>
      <c r="IW711" s="1">
        <v>42640</v>
      </c>
      <c r="IX711">
        <v>52</v>
      </c>
      <c r="IY711">
        <v>375</v>
      </c>
      <c r="IZ711" t="s">
        <v>776</v>
      </c>
      <c r="JA711" t="s">
        <v>458</v>
      </c>
      <c r="JB711" s="1">
        <v>41052</v>
      </c>
      <c r="JC711">
        <v>2011</v>
      </c>
      <c r="JD711">
        <v>442.93</v>
      </c>
      <c r="JE711" t="s">
        <v>7554</v>
      </c>
      <c r="JF711">
        <v>6</v>
      </c>
      <c r="JG711" t="s">
        <v>424</v>
      </c>
      <c r="JH711" t="s">
        <v>425</v>
      </c>
      <c r="JJ711">
        <v>22</v>
      </c>
      <c r="JK711">
        <v>105</v>
      </c>
      <c r="JL711" t="s">
        <v>946</v>
      </c>
      <c r="JM711" t="s">
        <v>458</v>
      </c>
      <c r="JN711" s="1">
        <v>40688</v>
      </c>
      <c r="JO711">
        <v>2010</v>
      </c>
      <c r="JP711">
        <v>437.8</v>
      </c>
      <c r="JQ711" t="s">
        <v>7555</v>
      </c>
      <c r="JR711">
        <v>7.75</v>
      </c>
      <c r="JS711" t="s">
        <v>424</v>
      </c>
      <c r="JT711" t="s">
        <v>425</v>
      </c>
      <c r="JU711" s="1">
        <v>41326</v>
      </c>
      <c r="JV711">
        <v>21</v>
      </c>
      <c r="JW711">
        <v>62</v>
      </c>
      <c r="JX711" t="s">
        <v>463</v>
      </c>
    </row>
    <row r="712" spans="1:284" x14ac:dyDescent="0.25">
      <c r="A712">
        <v>16485719</v>
      </c>
      <c r="B712">
        <v>711</v>
      </c>
      <c r="C712" t="s">
        <v>393</v>
      </c>
      <c r="D712" t="s">
        <v>394</v>
      </c>
      <c r="F712" t="str">
        <f>"37-1N-25-299E-0039-0000"</f>
        <v>37-1N-25-299E-0039-0000</v>
      </c>
      <c r="H712" t="str">
        <f>"LOVE JOSEPH R &amp; KRISTEN"</f>
        <v>LOVE JOSEPH R &amp; KRISTEN</v>
      </c>
      <c r="I712" t="str">
        <f>"54417 MARLEE ROAD"</f>
        <v>54417 MARLEE ROAD</v>
      </c>
      <c r="J712" t="str">
        <f>"CALLAHAN FL 32011"</f>
        <v>CALLAHAN FL 32011</v>
      </c>
      <c r="K712" t="str">
        <f>"54417 MARLEE RD"</f>
        <v>54417 MARLEE RD</v>
      </c>
      <c r="L712" t="str">
        <f t="shared" si="202"/>
        <v>CALLAHAN FL 32011</v>
      </c>
      <c r="M712" t="str">
        <f>"LOT 39 IN OR 1860/305 R497982 &amp; R497983 NASSAU VILLAGE 5 UNR"</f>
        <v>LOT 39 IN OR 1860/305 R497982 &amp; R497983 NASSAU VILLAGE 5 UNR</v>
      </c>
      <c r="N712" t="str">
        <f>""</f>
        <v/>
      </c>
      <c r="O712" t="str">
        <f>"42840"</f>
        <v>42840</v>
      </c>
      <c r="P712" t="str">
        <f t="shared" si="218"/>
        <v>2017</v>
      </c>
      <c r="Q712" t="str">
        <f>""</f>
        <v/>
      </c>
      <c r="R712" t="str">
        <f>"N"</f>
        <v>N</v>
      </c>
      <c r="S712" t="str">
        <f>""</f>
        <v/>
      </c>
      <c r="T712" t="str">
        <f>"528.11"</f>
        <v>528.11</v>
      </c>
      <c r="U712" t="str">
        <f>"34884.00"</f>
        <v>34884.00</v>
      </c>
      <c r="V712" t="str">
        <f>"34884.00"</f>
        <v>34884.00</v>
      </c>
      <c r="W712" t="str">
        <f t="shared" si="219"/>
        <v>2017</v>
      </c>
      <c r="X712" t="str">
        <f>"21.50"</f>
        <v>21.50</v>
      </c>
      <c r="Y712" t="str">
        <f>"575.95"</f>
        <v>575.95</v>
      </c>
      <c r="Z712" t="str">
        <f>""</f>
        <v/>
      </c>
      <c r="AA712" t="str">
        <f>"34884.00"</f>
        <v>34884.00</v>
      </c>
      <c r="AB712" t="str">
        <f t="shared" si="212"/>
        <v>Residential</v>
      </c>
      <c r="AC712" t="str">
        <f t="shared" si="204"/>
        <v>0</v>
      </c>
      <c r="AD712" t="str">
        <f t="shared" si="216"/>
        <v>4</v>
      </c>
      <c r="AE712" t="str">
        <f t="shared" si="217"/>
        <v>WOOD (INCLUDE STEEL STUDS)</v>
      </c>
      <c r="AF712" t="str">
        <f>"002"</f>
        <v>002</v>
      </c>
      <c r="AG712" t="str">
        <f t="shared" si="211"/>
        <v>FL</v>
      </c>
      <c r="AH712" t="str">
        <f>"45875.00"</f>
        <v>45875.00</v>
      </c>
      <c r="AI712" t="str">
        <f t="shared" si="215"/>
        <v>20000.00</v>
      </c>
      <c r="AJ712" t="str">
        <f>"C55-000-587-8764-9"</f>
        <v>C55-000-587-8764-9</v>
      </c>
      <c r="AK712" t="str">
        <f>"11628"</f>
        <v>11628</v>
      </c>
      <c r="AL712">
        <v>3</v>
      </c>
      <c r="AM712">
        <v>815</v>
      </c>
      <c r="AN712">
        <v>603.15</v>
      </c>
      <c r="AQ712" t="s">
        <v>7556</v>
      </c>
      <c r="AR712" t="s">
        <v>7556</v>
      </c>
      <c r="AS712" t="s">
        <v>7556</v>
      </c>
      <c r="AU712" t="s">
        <v>396</v>
      </c>
      <c r="AV712">
        <v>2017</v>
      </c>
      <c r="AW712" t="str">
        <f>"37-1N-25-299E-0039-0000 "</f>
        <v xml:space="preserve">37-1N-25-299E-0039-0000 </v>
      </c>
      <c r="AX712">
        <v>54417</v>
      </c>
      <c r="AZ712" t="s">
        <v>7482</v>
      </c>
      <c r="BA712" t="s">
        <v>496</v>
      </c>
      <c r="BD712" t="s">
        <v>2785</v>
      </c>
      <c r="BE712" t="s">
        <v>393</v>
      </c>
      <c r="BF712">
        <v>32011</v>
      </c>
      <c r="BG712" t="s">
        <v>7557</v>
      </c>
      <c r="BH712" t="s">
        <v>2787</v>
      </c>
      <c r="BI712">
        <v>-81.774061941219003</v>
      </c>
      <c r="BJ712">
        <v>30.538993794863799</v>
      </c>
      <c r="BK712" t="s">
        <v>7558</v>
      </c>
      <c r="BL712" t="s">
        <v>7559</v>
      </c>
      <c r="BM712" t="s">
        <v>7557</v>
      </c>
      <c r="BN712" t="s">
        <v>928</v>
      </c>
      <c r="BO712">
        <v>32011</v>
      </c>
      <c r="BP712" t="s">
        <v>416</v>
      </c>
      <c r="BQ712">
        <v>200</v>
      </c>
      <c r="BR712" t="s">
        <v>405</v>
      </c>
      <c r="BS712">
        <v>1006</v>
      </c>
      <c r="BT712" t="s">
        <v>406</v>
      </c>
      <c r="BW712">
        <v>46167</v>
      </c>
      <c r="BX712" t="s">
        <v>407</v>
      </c>
      <c r="BY712" t="s">
        <v>4360</v>
      </c>
      <c r="BZ712">
        <v>4</v>
      </c>
      <c r="CA712">
        <v>1972</v>
      </c>
      <c r="CB712">
        <v>1</v>
      </c>
      <c r="CC712">
        <v>1</v>
      </c>
      <c r="CD712">
        <v>2017</v>
      </c>
      <c r="CE712">
        <v>20000</v>
      </c>
      <c r="CF712">
        <v>14884</v>
      </c>
      <c r="CG712">
        <v>34884</v>
      </c>
      <c r="CH712">
        <v>2017</v>
      </c>
      <c r="CI712">
        <v>20000</v>
      </c>
      <c r="CJ712">
        <v>14884</v>
      </c>
      <c r="CK712">
        <v>34884</v>
      </c>
      <c r="CL712">
        <v>2017</v>
      </c>
      <c r="CM712">
        <v>528.11</v>
      </c>
      <c r="CN712" s="1">
        <v>41430</v>
      </c>
      <c r="CZ712" s="1">
        <v>41430</v>
      </c>
      <c r="DD712" t="s">
        <v>2785</v>
      </c>
      <c r="DG712">
        <v>37</v>
      </c>
      <c r="DL712">
        <v>50502</v>
      </c>
      <c r="DM712" t="s">
        <v>7353</v>
      </c>
      <c r="DO712" t="s">
        <v>7560</v>
      </c>
      <c r="DP712">
        <v>0</v>
      </c>
      <c r="DQ712">
        <v>0</v>
      </c>
      <c r="DR712" t="s">
        <v>411</v>
      </c>
      <c r="DS712" t="b">
        <v>1</v>
      </c>
      <c r="DT712" t="s">
        <v>470</v>
      </c>
      <c r="DU712" t="s">
        <v>471</v>
      </c>
      <c r="DV712" t="s">
        <v>472</v>
      </c>
      <c r="DX712">
        <v>-9999</v>
      </c>
      <c r="DZ712" t="s">
        <v>447</v>
      </c>
      <c r="EA712" t="s">
        <v>448</v>
      </c>
      <c r="EB712" t="s">
        <v>742</v>
      </c>
      <c r="EC712">
        <v>20101217</v>
      </c>
      <c r="ED712" t="s">
        <v>474</v>
      </c>
      <c r="EF712">
        <v>828.7</v>
      </c>
      <c r="EG712">
        <v>828.7</v>
      </c>
      <c r="EI712">
        <v>20160407</v>
      </c>
      <c r="EJ712">
        <v>0</v>
      </c>
      <c r="EK712">
        <v>0</v>
      </c>
      <c r="EP712" t="s">
        <v>421</v>
      </c>
      <c r="EQ712" t="s">
        <v>422</v>
      </c>
      <c r="ER712">
        <v>2</v>
      </c>
      <c r="ES712">
        <v>4</v>
      </c>
      <c r="ET712">
        <v>1212.3</v>
      </c>
      <c r="EU712">
        <v>73.12</v>
      </c>
      <c r="EV712">
        <v>1285.42</v>
      </c>
      <c r="EW712" s="2">
        <v>43222</v>
      </c>
      <c r="EX712" s="1">
        <v>42879</v>
      </c>
      <c r="EY712">
        <v>2016</v>
      </c>
      <c r="EZ712">
        <v>606.15</v>
      </c>
      <c r="FA712" t="s">
        <v>7561</v>
      </c>
      <c r="FB712">
        <v>0.25</v>
      </c>
      <c r="FC712" t="s">
        <v>424</v>
      </c>
      <c r="FD712" t="s">
        <v>454</v>
      </c>
      <c r="FF712">
        <v>12</v>
      </c>
      <c r="FG712">
        <v>7400234</v>
      </c>
      <c r="FH712" t="s">
        <v>426</v>
      </c>
      <c r="FJ712" s="1">
        <v>42879</v>
      </c>
      <c r="FK712">
        <v>2016</v>
      </c>
      <c r="FL712">
        <v>606.15</v>
      </c>
      <c r="FM712" t="s">
        <v>7561</v>
      </c>
      <c r="FN712">
        <v>0.25</v>
      </c>
      <c r="FO712" t="s">
        <v>424</v>
      </c>
      <c r="FP712" t="s">
        <v>454</v>
      </c>
      <c r="FR712">
        <v>12</v>
      </c>
      <c r="FS712">
        <v>7538672</v>
      </c>
      <c r="FT712" t="s">
        <v>7562</v>
      </c>
      <c r="FV712" s="1">
        <v>42515</v>
      </c>
      <c r="FW712">
        <v>2015</v>
      </c>
      <c r="FX712">
        <v>615.22</v>
      </c>
      <c r="FY712" t="s">
        <v>7563</v>
      </c>
      <c r="FZ712">
        <v>0.25</v>
      </c>
      <c r="GA712" t="s">
        <v>424</v>
      </c>
      <c r="GB712" t="s">
        <v>425</v>
      </c>
      <c r="GC712" s="1">
        <v>43189</v>
      </c>
      <c r="GD712">
        <v>22</v>
      </c>
      <c r="GE712">
        <v>2851116</v>
      </c>
      <c r="GF712" t="s">
        <v>480</v>
      </c>
      <c r="GH712" s="1">
        <v>42515</v>
      </c>
      <c r="GI712">
        <v>2015</v>
      </c>
      <c r="GJ712">
        <v>615.22</v>
      </c>
      <c r="GK712" t="s">
        <v>7563</v>
      </c>
      <c r="GL712">
        <v>0.25</v>
      </c>
      <c r="GM712" t="s">
        <v>424</v>
      </c>
      <c r="GN712" t="s">
        <v>425</v>
      </c>
      <c r="GP712">
        <v>22</v>
      </c>
      <c r="GQ712">
        <v>5649422</v>
      </c>
      <c r="GR712" t="s">
        <v>7564</v>
      </c>
      <c r="GT712" s="1">
        <v>42151</v>
      </c>
      <c r="GU712">
        <v>2014</v>
      </c>
      <c r="GV712">
        <v>590.96</v>
      </c>
      <c r="GW712" t="s">
        <v>7565</v>
      </c>
      <c r="GX712">
        <v>0.25</v>
      </c>
      <c r="GY712" t="s">
        <v>424</v>
      </c>
      <c r="GZ712" t="s">
        <v>425</v>
      </c>
      <c r="HA712" s="1">
        <v>42793</v>
      </c>
      <c r="HB712">
        <v>21</v>
      </c>
      <c r="HC712">
        <v>2851116</v>
      </c>
      <c r="HD712" t="s">
        <v>480</v>
      </c>
      <c r="HF712" s="1">
        <v>42151</v>
      </c>
      <c r="HG712">
        <v>2014</v>
      </c>
      <c r="HH712">
        <v>590.96</v>
      </c>
      <c r="HI712" t="s">
        <v>7565</v>
      </c>
      <c r="HJ712">
        <v>0.25</v>
      </c>
      <c r="HK712" t="s">
        <v>424</v>
      </c>
      <c r="HL712" t="s">
        <v>425</v>
      </c>
      <c r="HN712">
        <v>22</v>
      </c>
      <c r="HO712">
        <v>4862930</v>
      </c>
      <c r="HP712" t="s">
        <v>7566</v>
      </c>
    </row>
    <row r="713" spans="1:284" x14ac:dyDescent="0.25">
      <c r="A713">
        <v>16485720</v>
      </c>
      <c r="B713">
        <v>712</v>
      </c>
      <c r="C713" t="s">
        <v>393</v>
      </c>
      <c r="D713" t="s">
        <v>394</v>
      </c>
      <c r="F713" t="str">
        <f>"37-1N-25-299F-0003-0000"</f>
        <v>37-1N-25-299F-0003-0000</v>
      </c>
      <c r="H713" t="str">
        <f>"CASWELL DAVID &amp; CRYSTAL SIRLES"</f>
        <v>CASWELL DAVID &amp; CRYSTAL SIRLES</v>
      </c>
      <c r="I713" t="str">
        <f>"7038 RIVER CREST DR"</f>
        <v>7038 RIVER CREST DR</v>
      </c>
      <c r="J713" t="str">
        <f>"JACKSONVILLE FL 32226"</f>
        <v>JACKSONVILLE FL 32226</v>
      </c>
      <c r="K713" t="str">
        <f>"54029 LAWHON RD"</f>
        <v>54029 LAWHON RD</v>
      </c>
      <c r="L713" t="str">
        <f t="shared" si="202"/>
        <v>CALLAHAN FL 32011</v>
      </c>
      <c r="M713" t="str">
        <f>"TRACT 3 IN OR 1952/68 NASSAU VILLAGE WEST PB 5/23"</f>
        <v>TRACT 3 IN OR 1952/68 NASSAU VILLAGE WEST PB 5/23</v>
      </c>
      <c r="N713" t="str">
        <f>""</f>
        <v/>
      </c>
      <c r="O713" t="str">
        <f>"42855"</f>
        <v>42855</v>
      </c>
      <c r="P713" t="str">
        <f t="shared" si="218"/>
        <v>2017</v>
      </c>
      <c r="Q713" t="str">
        <f>""</f>
        <v/>
      </c>
      <c r="R713" t="str">
        <f>"N"</f>
        <v>N</v>
      </c>
      <c r="S713" t="str">
        <f>""</f>
        <v/>
      </c>
      <c r="T713" t="str">
        <f>"2673.53"</f>
        <v>2673.53</v>
      </c>
      <c r="U713" t="str">
        <f>"176601.00"</f>
        <v>176601.00</v>
      </c>
      <c r="V713" t="str">
        <f>"176601.00"</f>
        <v>176601.00</v>
      </c>
      <c r="W713" t="str">
        <f t="shared" si="219"/>
        <v>2017</v>
      </c>
      <c r="X713" t="str">
        <f>"9.83"</f>
        <v>9.83</v>
      </c>
      <c r="Y713" t="str">
        <f>"2785.74"</f>
        <v>2785.74</v>
      </c>
      <c r="Z713" t="str">
        <f>""</f>
        <v/>
      </c>
      <c r="AA713" t="str">
        <f>"176601.00"</f>
        <v>176601.00</v>
      </c>
      <c r="AB713" t="str">
        <f t="shared" si="212"/>
        <v>Residential</v>
      </c>
      <c r="AC713" t="str">
        <f t="shared" si="204"/>
        <v>0</v>
      </c>
      <c r="AD713" t="str">
        <f t="shared" si="216"/>
        <v>4</v>
      </c>
      <c r="AE713" t="str">
        <f t="shared" si="217"/>
        <v>WOOD (INCLUDE STEEL STUDS)</v>
      </c>
      <c r="AF713" t="str">
        <f>"001"</f>
        <v>001</v>
      </c>
      <c r="AG713" t="str">
        <f t="shared" si="211"/>
        <v>FL</v>
      </c>
      <c r="AH713" t="str">
        <f>"52096.00"</f>
        <v>52096.00</v>
      </c>
      <c r="AI713" t="str">
        <f t="shared" si="215"/>
        <v>20000.00</v>
      </c>
      <c r="AJ713" t="str">
        <f>"C55-000-587-8777-1"</f>
        <v>C55-000-587-8777-1</v>
      </c>
      <c r="AK713" t="str">
        <f>"11642"</f>
        <v>11642</v>
      </c>
      <c r="AL713">
        <v>3</v>
      </c>
      <c r="AM713">
        <v>818</v>
      </c>
      <c r="AN713">
        <v>2923.43</v>
      </c>
      <c r="AQ713" t="s">
        <v>7567</v>
      </c>
      <c r="AR713" t="s">
        <v>7567</v>
      </c>
      <c r="AS713" t="s">
        <v>7567</v>
      </c>
      <c r="AU713" t="s">
        <v>396</v>
      </c>
      <c r="AV713">
        <v>2017</v>
      </c>
      <c r="AW713" t="str">
        <f>"37-1N-25-299F-0003-0000 "</f>
        <v xml:space="preserve">37-1N-25-299F-0003-0000 </v>
      </c>
      <c r="AX713">
        <v>54029</v>
      </c>
      <c r="AZ713" t="s">
        <v>7568</v>
      </c>
      <c r="BA713" t="s">
        <v>496</v>
      </c>
      <c r="BD713" t="s">
        <v>2785</v>
      </c>
      <c r="BE713" t="s">
        <v>393</v>
      </c>
      <c r="BF713">
        <v>32011</v>
      </c>
      <c r="BG713" t="s">
        <v>7569</v>
      </c>
      <c r="BH713" t="s">
        <v>2787</v>
      </c>
      <c r="BI713">
        <v>-81.773436428335003</v>
      </c>
      <c r="BJ713">
        <v>30.532691391284299</v>
      </c>
      <c r="BK713" t="s">
        <v>7570</v>
      </c>
      <c r="BL713" t="s">
        <v>7571</v>
      </c>
      <c r="BM713" t="s">
        <v>7572</v>
      </c>
      <c r="BN713" t="s">
        <v>548</v>
      </c>
      <c r="BO713">
        <v>32226</v>
      </c>
      <c r="BP713" t="s">
        <v>404</v>
      </c>
      <c r="BQ713">
        <v>100</v>
      </c>
      <c r="BR713" t="s">
        <v>514</v>
      </c>
      <c r="BS713">
        <v>1001</v>
      </c>
      <c r="BT713" t="s">
        <v>515</v>
      </c>
      <c r="BW713">
        <v>51396</v>
      </c>
      <c r="BX713" t="s">
        <v>407</v>
      </c>
      <c r="BY713" t="s">
        <v>4360</v>
      </c>
      <c r="BZ713">
        <v>4</v>
      </c>
      <c r="CA713">
        <v>1988</v>
      </c>
      <c r="CB713">
        <v>2</v>
      </c>
      <c r="CC713">
        <v>1</v>
      </c>
      <c r="CD713">
        <v>2017</v>
      </c>
      <c r="CE713">
        <v>20000</v>
      </c>
      <c r="CF713">
        <v>156601</v>
      </c>
      <c r="CG713">
        <v>176601</v>
      </c>
      <c r="CH713">
        <v>2017</v>
      </c>
      <c r="CI713">
        <v>20000</v>
      </c>
      <c r="CJ713">
        <v>156601</v>
      </c>
      <c r="CK713">
        <v>176601</v>
      </c>
      <c r="CL713">
        <v>2017</v>
      </c>
      <c r="CM713">
        <v>2673.53</v>
      </c>
      <c r="CN713" s="1">
        <v>41985</v>
      </c>
      <c r="CO713">
        <v>51305</v>
      </c>
      <c r="CV713">
        <v>0</v>
      </c>
      <c r="CZ713" s="1">
        <v>41985</v>
      </c>
      <c r="DA713">
        <v>0</v>
      </c>
      <c r="DD713" t="s">
        <v>2785</v>
      </c>
      <c r="DG713">
        <v>37</v>
      </c>
      <c r="DJ713" t="s">
        <v>7460</v>
      </c>
      <c r="DL713">
        <v>50502</v>
      </c>
      <c r="DM713" t="s">
        <v>7353</v>
      </c>
      <c r="DO713" t="s">
        <v>7573</v>
      </c>
      <c r="DP713">
        <v>0</v>
      </c>
      <c r="DQ713">
        <v>0</v>
      </c>
      <c r="DR713" t="s">
        <v>411</v>
      </c>
      <c r="DS713" t="b">
        <v>1</v>
      </c>
      <c r="DT713" t="s">
        <v>470</v>
      </c>
      <c r="DU713" t="s">
        <v>471</v>
      </c>
      <c r="DV713" t="s">
        <v>472</v>
      </c>
      <c r="DX713">
        <v>-9999</v>
      </c>
      <c r="DZ713" t="s">
        <v>447</v>
      </c>
      <c r="EA713" t="s">
        <v>448</v>
      </c>
      <c r="EB713" t="s">
        <v>742</v>
      </c>
      <c r="EC713">
        <v>20101217</v>
      </c>
      <c r="ED713" t="s">
        <v>474</v>
      </c>
      <c r="EF713">
        <v>1371.5</v>
      </c>
      <c r="EG713">
        <v>1371.5</v>
      </c>
      <c r="EI713">
        <v>20160407</v>
      </c>
      <c r="EJ713">
        <v>0</v>
      </c>
      <c r="EK713">
        <v>0</v>
      </c>
      <c r="EP713" t="s">
        <v>421</v>
      </c>
      <c r="EQ713" t="s">
        <v>422</v>
      </c>
      <c r="ER713">
        <v>0</v>
      </c>
      <c r="ES713">
        <v>6</v>
      </c>
      <c r="ET713">
        <v>0</v>
      </c>
      <c r="EU713">
        <v>0</v>
      </c>
      <c r="EV713">
        <v>0</v>
      </c>
      <c r="EW713" s="2">
        <v>43222</v>
      </c>
      <c r="EX713" s="1">
        <v>42879</v>
      </c>
      <c r="EY713">
        <v>2016</v>
      </c>
      <c r="EZ713">
        <v>2974.04</v>
      </c>
      <c r="FA713" t="s">
        <v>7574</v>
      </c>
      <c r="FB713">
        <v>0.25</v>
      </c>
      <c r="FC713" t="s">
        <v>424</v>
      </c>
      <c r="FD713" t="s">
        <v>425</v>
      </c>
      <c r="FE713" s="1">
        <v>43004</v>
      </c>
      <c r="FF713">
        <v>4</v>
      </c>
      <c r="FG713">
        <v>7400234</v>
      </c>
      <c r="FH713" t="s">
        <v>426</v>
      </c>
      <c r="FJ713" s="1">
        <v>42879</v>
      </c>
      <c r="FK713">
        <v>2016</v>
      </c>
      <c r="FL713">
        <v>2974.04</v>
      </c>
      <c r="FM713" t="s">
        <v>7574</v>
      </c>
      <c r="FN713">
        <v>0.25</v>
      </c>
      <c r="FO713" t="s">
        <v>424</v>
      </c>
      <c r="FP713" t="s">
        <v>425</v>
      </c>
      <c r="FR713">
        <v>22</v>
      </c>
      <c r="FS713">
        <v>7480394</v>
      </c>
      <c r="FT713" t="s">
        <v>7575</v>
      </c>
      <c r="FV713" s="1">
        <v>41787</v>
      </c>
      <c r="FW713">
        <v>2013</v>
      </c>
      <c r="FX713">
        <v>2504.4899999999998</v>
      </c>
      <c r="FY713" t="s">
        <v>7576</v>
      </c>
      <c r="FZ713">
        <v>0.25</v>
      </c>
      <c r="GA713" t="s">
        <v>424</v>
      </c>
      <c r="GB713" t="s">
        <v>425</v>
      </c>
      <c r="GC713" s="1">
        <v>41985</v>
      </c>
      <c r="GD713">
        <v>7</v>
      </c>
      <c r="GE713">
        <v>2851116</v>
      </c>
      <c r="GF713" t="s">
        <v>480</v>
      </c>
      <c r="GH713" s="1">
        <v>41423</v>
      </c>
      <c r="GI713">
        <v>2012</v>
      </c>
      <c r="GJ713">
        <v>2466.04</v>
      </c>
      <c r="GK713" t="s">
        <v>7577</v>
      </c>
      <c r="GL713">
        <v>0.25</v>
      </c>
      <c r="GM713" t="s">
        <v>424</v>
      </c>
      <c r="GN713" t="s">
        <v>425</v>
      </c>
      <c r="GO713" s="1">
        <v>41985</v>
      </c>
      <c r="GP713">
        <v>19</v>
      </c>
      <c r="GQ713">
        <v>606981</v>
      </c>
      <c r="GR713" t="s">
        <v>792</v>
      </c>
      <c r="GT713" s="1">
        <v>41052</v>
      </c>
      <c r="GU713">
        <v>2011</v>
      </c>
      <c r="GV713">
        <v>2659.09</v>
      </c>
      <c r="GW713" t="s">
        <v>7578</v>
      </c>
      <c r="GX713">
        <v>0.25</v>
      </c>
      <c r="GY713" t="s">
        <v>424</v>
      </c>
      <c r="GZ713" t="s">
        <v>425</v>
      </c>
      <c r="HA713" s="1">
        <v>41571</v>
      </c>
      <c r="HB713">
        <v>17</v>
      </c>
      <c r="HC713">
        <v>13104</v>
      </c>
      <c r="HD713" t="s">
        <v>888</v>
      </c>
      <c r="HF713" s="1">
        <v>41052</v>
      </c>
      <c r="HG713">
        <v>2011</v>
      </c>
      <c r="HH713">
        <v>2659.09</v>
      </c>
      <c r="HI713" t="s">
        <v>7578</v>
      </c>
      <c r="HJ713">
        <v>0.25</v>
      </c>
      <c r="HK713" t="s">
        <v>424</v>
      </c>
      <c r="HL713" t="s">
        <v>425</v>
      </c>
      <c r="HN713">
        <v>22</v>
      </c>
      <c r="HO713">
        <v>13653</v>
      </c>
      <c r="HP713" t="s">
        <v>7579</v>
      </c>
    </row>
    <row r="714" spans="1:284" x14ac:dyDescent="0.25">
      <c r="A714">
        <v>16485721</v>
      </c>
      <c r="B714">
        <v>713</v>
      </c>
      <c r="C714" t="s">
        <v>393</v>
      </c>
      <c r="D714" t="s">
        <v>394</v>
      </c>
      <c r="F714" t="str">
        <f>"37-1N-25-299F-0013-0000"</f>
        <v>37-1N-25-299F-0013-0000</v>
      </c>
      <c r="H714" t="str">
        <f>"SHAW CHRISTOPHER W &amp; PATRICIA"</f>
        <v>SHAW CHRISTOPHER W &amp; PATRICIA</v>
      </c>
      <c r="I714" t="str">
        <f>"36365 DYAL RD"</f>
        <v>36365 DYAL RD</v>
      </c>
      <c r="J714" t="str">
        <f>"CALLAHAN FL 32011"</f>
        <v>CALLAHAN FL 32011</v>
      </c>
      <c r="K714" t="str">
        <f>"54283 LAWHON RD"</f>
        <v>54283 LAWHON RD</v>
      </c>
      <c r="L714" t="str">
        <f t="shared" si="202"/>
        <v>CALLAHAN FL 32011</v>
      </c>
      <c r="M714" t="str">
        <f>"TRACT 13 IN OR 2009/1159 R567623 &amp; R567624 NASSAU VILLAGE WEST PB 5/23"</f>
        <v>TRACT 13 IN OR 2009/1159 R567623 &amp; R567624 NASSAU VILLAGE WEST PB 5/23</v>
      </c>
      <c r="N714" t="str">
        <f>""</f>
        <v/>
      </c>
      <c r="O714" t="str">
        <f>"42866"</f>
        <v>42866</v>
      </c>
      <c r="P714" t="str">
        <f t="shared" si="218"/>
        <v>2017</v>
      </c>
      <c r="Q714" t="str">
        <f>""</f>
        <v/>
      </c>
      <c r="R714" t="str">
        <f>"N"</f>
        <v>N</v>
      </c>
      <c r="S714" t="str">
        <f>""</f>
        <v/>
      </c>
      <c r="T714" t="str">
        <f>"464.11"</f>
        <v>464.11</v>
      </c>
      <c r="U714" t="str">
        <f>"30657.00"</f>
        <v>30657.00</v>
      </c>
      <c r="V714" t="str">
        <f>"30657.00"</f>
        <v>30657.00</v>
      </c>
      <c r="W714" t="str">
        <f t="shared" si="219"/>
        <v>2017</v>
      </c>
      <c r="X714" t="str">
        <f>""</f>
        <v/>
      </c>
      <c r="Y714" t="str">
        <f>"510.03"</f>
        <v>510.03</v>
      </c>
      <c r="Z714" t="str">
        <f>""</f>
        <v/>
      </c>
      <c r="AA714" t="str">
        <f>"30657.00"</f>
        <v>30657.00</v>
      </c>
      <c r="AB714" t="str">
        <f t="shared" si="212"/>
        <v>Residential</v>
      </c>
      <c r="AC714" t="str">
        <f t="shared" si="204"/>
        <v>0</v>
      </c>
      <c r="AD714" t="str">
        <f t="shared" si="216"/>
        <v>4</v>
      </c>
      <c r="AE714" t="str">
        <f t="shared" si="217"/>
        <v>WOOD (INCLUDE STEEL STUDS)</v>
      </c>
      <c r="AF714" t="str">
        <f>"002"</f>
        <v>002</v>
      </c>
      <c r="AG714" t="str">
        <f t="shared" si="211"/>
        <v>FL</v>
      </c>
      <c r="AH714" t="str">
        <f>"46500.00"</f>
        <v>46500.00</v>
      </c>
      <c r="AI714" t="str">
        <f t="shared" si="215"/>
        <v>20000.00</v>
      </c>
      <c r="AJ714" t="str">
        <f>"C55-000-587-8786-2"</f>
        <v>C55-000-587-8786-2</v>
      </c>
      <c r="AK714" t="str">
        <f>"11651"</f>
        <v>11651</v>
      </c>
      <c r="AL714">
        <v>3</v>
      </c>
      <c r="AM714">
        <v>819</v>
      </c>
      <c r="AN714">
        <v>533.92999999999995</v>
      </c>
      <c r="AQ714" t="s">
        <v>7580</v>
      </c>
      <c r="AR714" t="s">
        <v>7580</v>
      </c>
      <c r="AS714" t="s">
        <v>7580</v>
      </c>
      <c r="AU714" t="s">
        <v>396</v>
      </c>
      <c r="AV714">
        <v>2017</v>
      </c>
      <c r="AW714" t="str">
        <f>"37-1N-25-299F-0013-0000 "</f>
        <v xml:space="preserve">37-1N-25-299F-0013-0000 </v>
      </c>
      <c r="AX714">
        <v>54283</v>
      </c>
      <c r="AZ714" t="s">
        <v>7568</v>
      </c>
      <c r="BA714" t="s">
        <v>496</v>
      </c>
      <c r="BD714" t="s">
        <v>2785</v>
      </c>
      <c r="BE714" t="s">
        <v>393</v>
      </c>
      <c r="BF714">
        <v>32011</v>
      </c>
      <c r="BG714" t="s">
        <v>7581</v>
      </c>
      <c r="BH714" t="s">
        <v>2787</v>
      </c>
      <c r="BI714">
        <v>-81.778204520658306</v>
      </c>
      <c r="BJ714">
        <v>30.531323489988399</v>
      </c>
      <c r="BK714" t="s">
        <v>7582</v>
      </c>
      <c r="BL714" t="s">
        <v>7583</v>
      </c>
      <c r="BM714" t="s">
        <v>7584</v>
      </c>
      <c r="BN714" t="s">
        <v>928</v>
      </c>
      <c r="BO714">
        <v>32011</v>
      </c>
      <c r="BP714" t="s">
        <v>404</v>
      </c>
      <c r="BQ714">
        <v>200</v>
      </c>
      <c r="BR714" t="s">
        <v>405</v>
      </c>
      <c r="BS714">
        <v>1006</v>
      </c>
      <c r="BT714" t="s">
        <v>406</v>
      </c>
      <c r="BW714">
        <v>43919</v>
      </c>
      <c r="BX714" t="s">
        <v>407</v>
      </c>
      <c r="BY714" t="s">
        <v>4360</v>
      </c>
      <c r="BZ714">
        <v>4</v>
      </c>
      <c r="CA714">
        <v>1973</v>
      </c>
      <c r="CB714">
        <v>1</v>
      </c>
      <c r="CC714">
        <v>1</v>
      </c>
      <c r="CD714">
        <v>2017</v>
      </c>
      <c r="CE714">
        <v>20000</v>
      </c>
      <c r="CF714">
        <v>10657</v>
      </c>
      <c r="CG714">
        <v>30657</v>
      </c>
      <c r="CH714">
        <v>2017</v>
      </c>
      <c r="CI714">
        <v>20000</v>
      </c>
      <c r="CJ714">
        <v>10657</v>
      </c>
      <c r="CK714">
        <v>30657</v>
      </c>
      <c r="CL714">
        <v>2017</v>
      </c>
      <c r="CM714">
        <v>464.11</v>
      </c>
      <c r="CN714" s="1">
        <v>42297</v>
      </c>
      <c r="CO714">
        <v>37000</v>
      </c>
      <c r="CV714">
        <v>0</v>
      </c>
      <c r="CZ714" s="1">
        <v>42297</v>
      </c>
      <c r="DA714">
        <v>0</v>
      </c>
      <c r="DD714" t="s">
        <v>2785</v>
      </c>
      <c r="DG714">
        <v>37</v>
      </c>
      <c r="DL714">
        <v>50502</v>
      </c>
      <c r="DM714" t="s">
        <v>7353</v>
      </c>
      <c r="DO714" t="s">
        <v>7585</v>
      </c>
      <c r="DP714">
        <v>0</v>
      </c>
      <c r="DQ714">
        <v>0</v>
      </c>
      <c r="DR714" t="s">
        <v>411</v>
      </c>
      <c r="EP714" t="s">
        <v>421</v>
      </c>
      <c r="EQ714" t="s">
        <v>422</v>
      </c>
      <c r="ER714">
        <v>2</v>
      </c>
      <c r="ES714">
        <v>0</v>
      </c>
      <c r="ET714">
        <v>1071.92</v>
      </c>
      <c r="EU714">
        <v>66.099999999999994</v>
      </c>
      <c r="EV714">
        <v>1138.02</v>
      </c>
      <c r="EW714" s="2">
        <v>43222</v>
      </c>
      <c r="EX714" s="1">
        <v>42879</v>
      </c>
      <c r="EY714">
        <v>2016</v>
      </c>
      <c r="EZ714">
        <v>535.96</v>
      </c>
      <c r="FA714" t="s">
        <v>7586</v>
      </c>
      <c r="FB714">
        <v>0.25</v>
      </c>
      <c r="FC714" t="s">
        <v>424</v>
      </c>
      <c r="FD714" t="s">
        <v>454</v>
      </c>
      <c r="FF714">
        <v>12</v>
      </c>
      <c r="FG714">
        <v>5353660</v>
      </c>
      <c r="FH714" t="s">
        <v>7587</v>
      </c>
      <c r="FJ714" s="1">
        <v>42879</v>
      </c>
      <c r="FK714">
        <v>2016</v>
      </c>
      <c r="FL714">
        <v>535.96</v>
      </c>
      <c r="FM714" t="s">
        <v>7586</v>
      </c>
      <c r="FN714">
        <v>0.25</v>
      </c>
      <c r="FO714" t="s">
        <v>424</v>
      </c>
      <c r="FP714" t="s">
        <v>454</v>
      </c>
      <c r="FR714">
        <v>12</v>
      </c>
      <c r="FS714">
        <v>2851116</v>
      </c>
      <c r="FT714" t="s">
        <v>480</v>
      </c>
    </row>
    <row r="715" spans="1:284" x14ac:dyDescent="0.25">
      <c r="A715">
        <v>16485722</v>
      </c>
      <c r="B715">
        <v>714</v>
      </c>
      <c r="C715" t="s">
        <v>393</v>
      </c>
      <c r="D715" t="s">
        <v>394</v>
      </c>
      <c r="F715" t="str">
        <f>"37-1N-25-299F-0060-0000"</f>
        <v>37-1N-25-299F-0060-0000</v>
      </c>
      <c r="H715" t="str">
        <f>"POWELL MATTHEW W"</f>
        <v>POWELL MATTHEW W</v>
      </c>
      <c r="I715" t="str">
        <f>"54046 SHEFFIELD ROAD"</f>
        <v>54046 SHEFFIELD ROAD</v>
      </c>
      <c r="J715" t="str">
        <f>"CALLAHAN FL 32011"</f>
        <v>CALLAHAN FL 32011</v>
      </c>
      <c r="K715" t="str">
        <f>"54046 SHEFFIELD RD"</f>
        <v>54046 SHEFFIELD RD</v>
      </c>
      <c r="L715" t="str">
        <f t="shared" si="202"/>
        <v>CALLAHAN FL 32011</v>
      </c>
      <c r="M715" t="str">
        <f>"TRACT 60 IN OR 1809/1551 NASSAU VILLAGE WEST PB 5/23"</f>
        <v>TRACT 60 IN OR 1809/1551 NASSAU VILLAGE WEST PB 5/23</v>
      </c>
      <c r="N715" t="str">
        <f>""</f>
        <v/>
      </c>
      <c r="O715" t="str">
        <f>"42909"</f>
        <v>42909</v>
      </c>
      <c r="P715" t="str">
        <f t="shared" si="218"/>
        <v>2017</v>
      </c>
      <c r="Q715" t="str">
        <f>""</f>
        <v/>
      </c>
      <c r="R715" t="str">
        <f>"Y"</f>
        <v>Y</v>
      </c>
      <c r="S715" t="str">
        <f>""</f>
        <v/>
      </c>
      <c r="T715" t="str">
        <f>"476.19"</f>
        <v>476.19</v>
      </c>
      <c r="U715" t="str">
        <f>"64810.00"</f>
        <v>64810.00</v>
      </c>
      <c r="V715" t="str">
        <f>"64810.00"</f>
        <v>64810.00</v>
      </c>
      <c r="W715" t="str">
        <f t="shared" si="219"/>
        <v>2017</v>
      </c>
      <c r="X715" t="str">
        <f>"9.50"</f>
        <v>9.50</v>
      </c>
      <c r="Y715" t="str">
        <f>"522.48"</f>
        <v>522.48</v>
      </c>
      <c r="Z715" t="str">
        <f>"25000.00"</f>
        <v>25000.00</v>
      </c>
      <c r="AA715" t="str">
        <f>"39810.00"</f>
        <v>39810.00</v>
      </c>
      <c r="AB715" t="str">
        <f t="shared" si="212"/>
        <v>Residential</v>
      </c>
      <c r="AC715" t="str">
        <f t="shared" si="204"/>
        <v>0</v>
      </c>
      <c r="AD715" t="str">
        <f t="shared" si="216"/>
        <v>4</v>
      </c>
      <c r="AE715" t="str">
        <f t="shared" si="217"/>
        <v>WOOD (INCLUDE STEEL STUDS)</v>
      </c>
      <c r="AF715" t="str">
        <f>"002"</f>
        <v>002</v>
      </c>
      <c r="AG715" t="str">
        <f t="shared" si="211"/>
        <v>FL</v>
      </c>
      <c r="AH715" t="str">
        <f>"45450.00"</f>
        <v>45450.00</v>
      </c>
      <c r="AI715" t="str">
        <f t="shared" si="215"/>
        <v>20000.00</v>
      </c>
      <c r="AJ715" t="str">
        <f>"C55-000-587-8829-0"</f>
        <v>C55-000-587-8829-0</v>
      </c>
      <c r="AK715" t="str">
        <f>"11694"</f>
        <v>11694</v>
      </c>
      <c r="AL715">
        <v>3</v>
      </c>
      <c r="AM715">
        <v>823</v>
      </c>
      <c r="AN715">
        <v>547</v>
      </c>
      <c r="AQ715" t="s">
        <v>7588</v>
      </c>
      <c r="AR715" t="s">
        <v>7588</v>
      </c>
      <c r="AS715" t="s">
        <v>7588</v>
      </c>
      <c r="AU715" t="s">
        <v>396</v>
      </c>
      <c r="AV715">
        <v>2017</v>
      </c>
      <c r="AW715" t="str">
        <f>"37-1N-25-299F-0060-0000 "</f>
        <v xml:space="preserve">37-1N-25-299F-0060-0000 </v>
      </c>
      <c r="AX715">
        <v>54046</v>
      </c>
      <c r="AZ715" t="s">
        <v>7589</v>
      </c>
      <c r="BA715" t="s">
        <v>496</v>
      </c>
      <c r="BD715" t="s">
        <v>2785</v>
      </c>
      <c r="BE715" t="s">
        <v>393</v>
      </c>
      <c r="BF715">
        <v>32011</v>
      </c>
      <c r="BG715" t="s">
        <v>7590</v>
      </c>
      <c r="BH715" t="s">
        <v>2787</v>
      </c>
      <c r="BI715">
        <v>-81.774934067802306</v>
      </c>
      <c r="BJ715">
        <v>30.5332823984883</v>
      </c>
      <c r="BK715" t="s">
        <v>7591</v>
      </c>
      <c r="BM715" t="s">
        <v>7590</v>
      </c>
      <c r="BN715" t="s">
        <v>928</v>
      </c>
      <c r="BO715">
        <v>32011</v>
      </c>
      <c r="BP715" t="s">
        <v>416</v>
      </c>
      <c r="BQ715">
        <v>200</v>
      </c>
      <c r="BR715" t="s">
        <v>405</v>
      </c>
      <c r="BS715">
        <v>1006</v>
      </c>
      <c r="BT715" t="s">
        <v>406</v>
      </c>
      <c r="BW715">
        <v>45345</v>
      </c>
      <c r="BX715" t="s">
        <v>407</v>
      </c>
      <c r="BY715" t="s">
        <v>4360</v>
      </c>
      <c r="BZ715">
        <v>4</v>
      </c>
      <c r="CA715">
        <v>1995</v>
      </c>
      <c r="CC715">
        <v>1</v>
      </c>
      <c r="CD715">
        <v>2017</v>
      </c>
      <c r="CE715">
        <v>20000</v>
      </c>
      <c r="CF715">
        <v>44810</v>
      </c>
      <c r="CG715">
        <v>64810</v>
      </c>
      <c r="CH715">
        <v>2017</v>
      </c>
      <c r="CI715">
        <v>20000</v>
      </c>
      <c r="CJ715">
        <v>44810</v>
      </c>
      <c r="CK715">
        <v>64810</v>
      </c>
      <c r="CL715">
        <v>2017</v>
      </c>
      <c r="CM715">
        <v>476.19</v>
      </c>
      <c r="CN715" s="1">
        <v>41148</v>
      </c>
      <c r="CZ715" s="1">
        <v>41148</v>
      </c>
      <c r="DD715" t="s">
        <v>2785</v>
      </c>
      <c r="DG715">
        <v>37</v>
      </c>
      <c r="DJ715" t="s">
        <v>7460</v>
      </c>
      <c r="DL715">
        <v>50502</v>
      </c>
      <c r="DM715" t="s">
        <v>7353</v>
      </c>
      <c r="DO715" t="s">
        <v>7592</v>
      </c>
      <c r="DP715">
        <v>0</v>
      </c>
      <c r="DQ715">
        <v>0</v>
      </c>
      <c r="DR715" t="s">
        <v>411</v>
      </c>
      <c r="DS715" t="b">
        <v>1</v>
      </c>
      <c r="DT715" t="s">
        <v>470</v>
      </c>
      <c r="DU715" t="s">
        <v>471</v>
      </c>
      <c r="DV715" t="s">
        <v>472</v>
      </c>
      <c r="DX715">
        <v>-9999</v>
      </c>
      <c r="DZ715" t="s">
        <v>447</v>
      </c>
      <c r="EA715" t="s">
        <v>448</v>
      </c>
      <c r="EB715" t="s">
        <v>742</v>
      </c>
      <c r="EC715">
        <v>20101217</v>
      </c>
      <c r="ED715" t="s">
        <v>474</v>
      </c>
      <c r="EF715">
        <v>1877.8</v>
      </c>
      <c r="EG715">
        <v>1877.8</v>
      </c>
      <c r="EI715">
        <v>20160407</v>
      </c>
      <c r="EJ715">
        <v>0</v>
      </c>
      <c r="EK715">
        <v>0</v>
      </c>
      <c r="EP715" t="s">
        <v>421</v>
      </c>
      <c r="EQ715" t="s">
        <v>422</v>
      </c>
      <c r="ER715">
        <v>0</v>
      </c>
      <c r="ES715">
        <v>4</v>
      </c>
      <c r="ET715">
        <v>0</v>
      </c>
      <c r="EU715">
        <v>0</v>
      </c>
      <c r="EV715">
        <v>0</v>
      </c>
      <c r="EW715" s="2">
        <v>43222</v>
      </c>
      <c r="EX715" s="1">
        <v>42879</v>
      </c>
      <c r="EY715">
        <v>2016</v>
      </c>
      <c r="EZ715">
        <v>1019.26</v>
      </c>
      <c r="FA715" t="s">
        <v>7593</v>
      </c>
      <c r="FB715">
        <v>0.25</v>
      </c>
      <c r="FC715" t="s">
        <v>424</v>
      </c>
      <c r="FD715" t="s">
        <v>425</v>
      </c>
      <c r="FE715" s="1">
        <v>43164</v>
      </c>
      <c r="FF715">
        <v>10</v>
      </c>
      <c r="FG715">
        <v>11289</v>
      </c>
      <c r="FH715" t="s">
        <v>787</v>
      </c>
      <c r="FJ715" s="1">
        <v>42879</v>
      </c>
      <c r="FK715">
        <v>2016</v>
      </c>
      <c r="FL715">
        <v>1019.26</v>
      </c>
      <c r="FM715" t="s">
        <v>7593</v>
      </c>
      <c r="FN715">
        <v>0.25</v>
      </c>
      <c r="FO715" t="s">
        <v>424</v>
      </c>
      <c r="FP715" t="s">
        <v>425</v>
      </c>
      <c r="FR715">
        <v>22</v>
      </c>
      <c r="FS715">
        <v>7268654</v>
      </c>
      <c r="FT715" t="s">
        <v>7594</v>
      </c>
      <c r="FV715" s="1">
        <v>42515</v>
      </c>
      <c r="FW715">
        <v>2015</v>
      </c>
      <c r="FX715">
        <v>1135.17</v>
      </c>
      <c r="FY715" t="s">
        <v>7595</v>
      </c>
      <c r="FZ715">
        <v>0.25</v>
      </c>
      <c r="GA715" t="s">
        <v>424</v>
      </c>
      <c r="GB715" t="s">
        <v>425</v>
      </c>
      <c r="GC715" s="1">
        <v>42793</v>
      </c>
      <c r="GD715">
        <v>9</v>
      </c>
      <c r="GE715">
        <v>11289</v>
      </c>
      <c r="GF715" t="s">
        <v>787</v>
      </c>
      <c r="GH715" s="1">
        <v>42515</v>
      </c>
      <c r="GI715">
        <v>2015</v>
      </c>
      <c r="GJ715">
        <v>1135.17</v>
      </c>
      <c r="GK715" t="s">
        <v>7595</v>
      </c>
      <c r="GL715">
        <v>0.25</v>
      </c>
      <c r="GM715" t="s">
        <v>424</v>
      </c>
      <c r="GN715" t="s">
        <v>425</v>
      </c>
      <c r="GP715">
        <v>22</v>
      </c>
      <c r="GQ715">
        <v>5110559</v>
      </c>
      <c r="GR715" t="s">
        <v>7596</v>
      </c>
    </row>
    <row r="716" spans="1:284" x14ac:dyDescent="0.25">
      <c r="A716">
        <v>16485723</v>
      </c>
      <c r="B716">
        <v>715</v>
      </c>
      <c r="C716" t="s">
        <v>393</v>
      </c>
      <c r="D716" t="s">
        <v>394</v>
      </c>
      <c r="F716" t="str">
        <f>"37-1N-25-299F-0062-0000"</f>
        <v>37-1N-25-299F-0062-0000</v>
      </c>
      <c r="H716" t="str">
        <f>"GREEN DARLA J"</f>
        <v>GREEN DARLA J</v>
      </c>
      <c r="I716" t="str">
        <f>"112 BAY ST"</f>
        <v>112 BAY ST</v>
      </c>
      <c r="J716" t="str">
        <f>"NEPTUNE BEACH FL 32266"</f>
        <v>NEPTUNE BEACH FL 32266</v>
      </c>
      <c r="K716" t="str">
        <f>"54058 LAWHON RD"</f>
        <v>54058 LAWHON RD</v>
      </c>
      <c r="L716" t="str">
        <f t="shared" si="202"/>
        <v>CALLAHAN FL 32011</v>
      </c>
      <c r="M716" t="str">
        <f>"TRACT 62 1988 WEST SW/MH IN OR 1171/695 NASSAU VILLAGE WEST PB 5/23"</f>
        <v>TRACT 62 1988 WEST SW/MH IN OR 1171/695 NASSAU VILLAGE WEST PB 5/23</v>
      </c>
      <c r="N716" t="str">
        <f>""</f>
        <v/>
      </c>
      <c r="O716" t="str">
        <f>"42911"</f>
        <v>42911</v>
      </c>
      <c r="P716" t="str">
        <f t="shared" si="218"/>
        <v>2017</v>
      </c>
      <c r="Q716" t="str">
        <f>""</f>
        <v/>
      </c>
      <c r="R716" t="str">
        <f t="shared" ref="R716:R723" si="220">"N"</f>
        <v>N</v>
      </c>
      <c r="S716" t="str">
        <f>""</f>
        <v/>
      </c>
      <c r="T716" t="str">
        <f>"499.85"</f>
        <v>499.85</v>
      </c>
      <c r="U716" t="str">
        <f>"33018.00"</f>
        <v>33018.00</v>
      </c>
      <c r="V716" t="str">
        <f>"33018.00"</f>
        <v>33018.00</v>
      </c>
      <c r="W716" t="str">
        <f t="shared" si="219"/>
        <v>2017</v>
      </c>
      <c r="X716" t="str">
        <f>"16.33"</f>
        <v>16.33</v>
      </c>
      <c r="Y716" t="str">
        <f>"546.85"</f>
        <v>546.85</v>
      </c>
      <c r="Z716" t="str">
        <f>""</f>
        <v/>
      </c>
      <c r="AA716" t="str">
        <f>"33018.00"</f>
        <v>33018.00</v>
      </c>
      <c r="AB716" t="str">
        <f t="shared" si="212"/>
        <v>Residential</v>
      </c>
      <c r="AC716" t="str">
        <f t="shared" si="204"/>
        <v>0</v>
      </c>
      <c r="AD716" t="str">
        <f t="shared" si="216"/>
        <v>4</v>
      </c>
      <c r="AE716" t="str">
        <f t="shared" si="217"/>
        <v>WOOD (INCLUDE STEEL STUDS)</v>
      </c>
      <c r="AF716" t="str">
        <f>"002"</f>
        <v>002</v>
      </c>
      <c r="AG716" t="str">
        <f t="shared" si="211"/>
        <v>FL</v>
      </c>
      <c r="AH716" t="str">
        <f>"44835.00"</f>
        <v>44835.00</v>
      </c>
      <c r="AI716" t="str">
        <f t="shared" si="215"/>
        <v>20000.00</v>
      </c>
      <c r="AJ716" t="str">
        <f>"C55-000-587-8831-6"</f>
        <v>C55-000-587-8831-6</v>
      </c>
      <c r="AK716" t="str">
        <f>"11696"</f>
        <v>11696</v>
      </c>
      <c r="AL716">
        <v>3</v>
      </c>
      <c r="AM716">
        <v>825</v>
      </c>
      <c r="AN716">
        <v>572.59</v>
      </c>
      <c r="AQ716" t="s">
        <v>7597</v>
      </c>
      <c r="AR716" t="s">
        <v>7597</v>
      </c>
      <c r="AS716" t="s">
        <v>7597</v>
      </c>
      <c r="AU716" t="s">
        <v>396</v>
      </c>
      <c r="AV716">
        <v>2017</v>
      </c>
      <c r="AW716" t="str">
        <f>"37-1N-25-299F-0062-0000 "</f>
        <v xml:space="preserve">37-1N-25-299F-0062-0000 </v>
      </c>
      <c r="AX716">
        <v>54058</v>
      </c>
      <c r="AZ716" t="s">
        <v>7568</v>
      </c>
      <c r="BA716" t="s">
        <v>496</v>
      </c>
      <c r="BD716" t="s">
        <v>2785</v>
      </c>
      <c r="BE716" t="s">
        <v>393</v>
      </c>
      <c r="BF716">
        <v>32011</v>
      </c>
      <c r="BG716" t="s">
        <v>7598</v>
      </c>
      <c r="BH716" t="s">
        <v>2787</v>
      </c>
      <c r="BI716">
        <v>-81.773817535583007</v>
      </c>
      <c r="BJ716">
        <v>30.533204760513801</v>
      </c>
      <c r="BK716" t="s">
        <v>7599</v>
      </c>
      <c r="BM716" t="s">
        <v>7600</v>
      </c>
      <c r="BN716" t="s">
        <v>2291</v>
      </c>
      <c r="BO716">
        <v>32266</v>
      </c>
      <c r="BP716" t="s">
        <v>404</v>
      </c>
      <c r="BQ716">
        <v>200</v>
      </c>
      <c r="BR716" t="s">
        <v>405</v>
      </c>
      <c r="BS716">
        <v>1006</v>
      </c>
      <c r="BT716" t="s">
        <v>406</v>
      </c>
      <c r="BW716">
        <v>38393</v>
      </c>
      <c r="BX716" t="s">
        <v>407</v>
      </c>
      <c r="BY716" t="s">
        <v>4360</v>
      </c>
      <c r="BZ716">
        <v>4</v>
      </c>
      <c r="CA716">
        <v>1988</v>
      </c>
      <c r="CB716">
        <v>1</v>
      </c>
      <c r="CC716">
        <v>1</v>
      </c>
      <c r="CD716">
        <v>2017</v>
      </c>
      <c r="CE716">
        <v>20000</v>
      </c>
      <c r="CF716">
        <v>13018</v>
      </c>
      <c r="CG716">
        <v>33018</v>
      </c>
      <c r="CH716">
        <v>2017</v>
      </c>
      <c r="CI716">
        <v>20000</v>
      </c>
      <c r="CJ716">
        <v>13018</v>
      </c>
      <c r="CK716">
        <v>33018</v>
      </c>
      <c r="CL716">
        <v>2017</v>
      </c>
      <c r="CM716">
        <v>499.85</v>
      </c>
      <c r="CN716" s="1">
        <v>37879</v>
      </c>
      <c r="CO716">
        <v>30000</v>
      </c>
      <c r="CV716">
        <v>0</v>
      </c>
      <c r="CZ716" s="1">
        <v>37879</v>
      </c>
      <c r="DA716">
        <v>0</v>
      </c>
      <c r="DD716" t="s">
        <v>2785</v>
      </c>
      <c r="DG716">
        <v>37</v>
      </c>
      <c r="DJ716" t="s">
        <v>7460</v>
      </c>
      <c r="DL716">
        <v>50502</v>
      </c>
      <c r="DM716" t="s">
        <v>7353</v>
      </c>
      <c r="DO716" t="s">
        <v>7601</v>
      </c>
      <c r="DP716">
        <v>0</v>
      </c>
      <c r="DQ716">
        <v>0</v>
      </c>
      <c r="DR716" t="s">
        <v>411</v>
      </c>
      <c r="DS716" t="b">
        <v>1</v>
      </c>
      <c r="DT716" t="s">
        <v>470</v>
      </c>
      <c r="DU716" t="s">
        <v>471</v>
      </c>
      <c r="DV716" t="s">
        <v>472</v>
      </c>
      <c r="DX716">
        <v>-9999</v>
      </c>
      <c r="DZ716" t="s">
        <v>447</v>
      </c>
      <c r="EA716" t="s">
        <v>448</v>
      </c>
      <c r="EB716" t="s">
        <v>742</v>
      </c>
      <c r="EC716">
        <v>20101217</v>
      </c>
      <c r="ED716" t="s">
        <v>474</v>
      </c>
      <c r="EF716">
        <v>1531</v>
      </c>
      <c r="EG716">
        <v>1531</v>
      </c>
      <c r="EI716">
        <v>20160407</v>
      </c>
      <c r="EJ716">
        <v>0</v>
      </c>
      <c r="EK716">
        <v>0</v>
      </c>
      <c r="EP716" t="s">
        <v>421</v>
      </c>
      <c r="EQ716" t="s">
        <v>452</v>
      </c>
      <c r="ER716">
        <v>2</v>
      </c>
      <c r="ES716">
        <v>5</v>
      </c>
      <c r="ET716">
        <v>1107.06</v>
      </c>
      <c r="EU716">
        <v>237.95</v>
      </c>
      <c r="EV716">
        <v>1345.01</v>
      </c>
      <c r="EW716" s="2">
        <v>43222</v>
      </c>
      <c r="EX716" s="1">
        <v>42879</v>
      </c>
      <c r="EY716">
        <v>2016</v>
      </c>
      <c r="EZ716">
        <v>558.35</v>
      </c>
      <c r="FA716" t="s">
        <v>7602</v>
      </c>
      <c r="FB716">
        <v>0.25</v>
      </c>
      <c r="FC716" t="s">
        <v>424</v>
      </c>
      <c r="FD716" t="s">
        <v>454</v>
      </c>
      <c r="FF716">
        <v>12</v>
      </c>
      <c r="FG716">
        <v>7336745</v>
      </c>
      <c r="FH716" t="s">
        <v>502</v>
      </c>
      <c r="FJ716" s="1">
        <v>42515</v>
      </c>
      <c r="FK716">
        <v>2015</v>
      </c>
      <c r="FL716">
        <v>548.71</v>
      </c>
      <c r="FM716" t="s">
        <v>7603</v>
      </c>
      <c r="FN716">
        <v>18</v>
      </c>
      <c r="FO716" t="s">
        <v>424</v>
      </c>
      <c r="FP716" t="s">
        <v>454</v>
      </c>
      <c r="FR716">
        <v>24</v>
      </c>
      <c r="FS716">
        <v>10628</v>
      </c>
      <c r="FT716" t="s">
        <v>943</v>
      </c>
      <c r="FV716" s="1">
        <v>42151</v>
      </c>
      <c r="FW716">
        <v>2014</v>
      </c>
      <c r="FX716">
        <v>489.55</v>
      </c>
      <c r="FY716" t="s">
        <v>7604</v>
      </c>
      <c r="FZ716">
        <v>3.75</v>
      </c>
      <c r="GA716" t="s">
        <v>424</v>
      </c>
      <c r="GB716" t="s">
        <v>425</v>
      </c>
      <c r="GC716" s="1">
        <v>42821</v>
      </c>
      <c r="GD716">
        <v>22</v>
      </c>
      <c r="GE716">
        <v>4975593</v>
      </c>
      <c r="GF716" t="s">
        <v>505</v>
      </c>
      <c r="GH716" s="1">
        <v>41787</v>
      </c>
      <c r="GI716">
        <v>2013</v>
      </c>
      <c r="GJ716">
        <v>553.96</v>
      </c>
      <c r="GK716" t="s">
        <v>7605</v>
      </c>
      <c r="GL716">
        <v>0.25</v>
      </c>
      <c r="GM716" t="s">
        <v>424</v>
      </c>
      <c r="GN716" t="s">
        <v>425</v>
      </c>
      <c r="GO716" s="1">
        <v>42321</v>
      </c>
      <c r="GP716">
        <v>18</v>
      </c>
      <c r="GQ716">
        <v>13026</v>
      </c>
      <c r="GR716" t="s">
        <v>2129</v>
      </c>
      <c r="GT716" s="1">
        <v>41423</v>
      </c>
      <c r="GU716">
        <v>2012</v>
      </c>
      <c r="GV716">
        <v>498.28</v>
      </c>
      <c r="GW716" t="s">
        <v>7606</v>
      </c>
      <c r="GX716">
        <v>0.25</v>
      </c>
      <c r="GY716" t="s">
        <v>424</v>
      </c>
      <c r="GZ716" t="s">
        <v>425</v>
      </c>
      <c r="HA716" s="1">
        <v>41551</v>
      </c>
      <c r="HB716">
        <v>5</v>
      </c>
      <c r="HC716">
        <v>1625549</v>
      </c>
      <c r="HD716" t="s">
        <v>7607</v>
      </c>
      <c r="HE716" t="s">
        <v>458</v>
      </c>
      <c r="HF716" s="1">
        <v>40688</v>
      </c>
      <c r="HG716">
        <v>2010</v>
      </c>
      <c r="HH716">
        <v>764.15</v>
      </c>
      <c r="HI716" t="s">
        <v>7608</v>
      </c>
      <c r="HJ716">
        <v>7.5</v>
      </c>
      <c r="HK716" t="s">
        <v>424</v>
      </c>
      <c r="HL716" t="s">
        <v>425</v>
      </c>
      <c r="HN716">
        <v>22</v>
      </c>
      <c r="HO716">
        <v>1122</v>
      </c>
      <c r="HP716" t="s">
        <v>7609</v>
      </c>
      <c r="HQ716" t="s">
        <v>458</v>
      </c>
      <c r="HR716" s="1">
        <v>40688</v>
      </c>
      <c r="HS716">
        <v>2010</v>
      </c>
      <c r="HT716">
        <v>764.15</v>
      </c>
      <c r="HU716" t="s">
        <v>7608</v>
      </c>
      <c r="HV716">
        <v>7.5</v>
      </c>
      <c r="HW716" t="s">
        <v>424</v>
      </c>
      <c r="HX716" t="s">
        <v>425</v>
      </c>
      <c r="HZ716">
        <v>22</v>
      </c>
      <c r="IA716">
        <v>10579</v>
      </c>
      <c r="IB716" t="s">
        <v>488</v>
      </c>
      <c r="IC716" t="s">
        <v>458</v>
      </c>
    </row>
    <row r="717" spans="1:284" x14ac:dyDescent="0.25">
      <c r="A717">
        <v>16485724</v>
      </c>
      <c r="B717">
        <v>716</v>
      </c>
      <c r="C717" t="s">
        <v>393</v>
      </c>
      <c r="D717" t="s">
        <v>394</v>
      </c>
      <c r="F717" t="str">
        <f>"37-1N-25-299F-0071-0000"</f>
        <v>37-1N-25-299F-0071-0000</v>
      </c>
      <c r="H717" t="str">
        <f>"RAULERSON BETTY JO &amp; DANSEREAU KEITH H JR (W&amp;H)"</f>
        <v>RAULERSON BETTY JO &amp; DANSEREAU KEITH H JR (W&amp;H)</v>
      </c>
      <c r="I717" t="str">
        <f>"54251 OGILVIE RD"</f>
        <v>54251 OGILVIE RD</v>
      </c>
      <c r="J717" t="str">
        <f>"CALLAHAN FL 32011"</f>
        <v>CALLAHAN FL 32011</v>
      </c>
      <c r="K717" t="str">
        <f>"540701 LEM TURNER RD"</f>
        <v>540701 LEM TURNER RD</v>
      </c>
      <c r="L717" t="str">
        <f t="shared" si="202"/>
        <v>CALLAHAN FL 32011</v>
      </c>
      <c r="M717" t="str">
        <f>"TRACT 71 R497845 IN OR 2013/1526 NASSAU VILLAGE WEST PB 5/23"</f>
        <v>TRACT 71 R497845 IN OR 2013/1526 NASSAU VILLAGE WEST PB 5/23</v>
      </c>
      <c r="N717" t="str">
        <f>""</f>
        <v/>
      </c>
      <c r="O717" t="str">
        <f>"42920"</f>
        <v>42920</v>
      </c>
      <c r="P717" t="str">
        <f t="shared" si="218"/>
        <v>2017</v>
      </c>
      <c r="Q717" t="str">
        <f>""</f>
        <v/>
      </c>
      <c r="R717" t="str">
        <f t="shared" si="220"/>
        <v>N</v>
      </c>
      <c r="S717" t="str">
        <f>""</f>
        <v/>
      </c>
      <c r="T717" t="str">
        <f>"421.79"</f>
        <v>421.79</v>
      </c>
      <c r="U717" t="str">
        <f>"27862.00"</f>
        <v>27862.00</v>
      </c>
      <c r="V717" t="str">
        <f>"27862.00"</f>
        <v>27862.00</v>
      </c>
      <c r="W717" t="str">
        <f t="shared" si="219"/>
        <v>2017</v>
      </c>
      <c r="X717" t="str">
        <f>"16.40"</f>
        <v>16.40</v>
      </c>
      <c r="Y717" t="str">
        <f>"466.44"</f>
        <v>466.44</v>
      </c>
      <c r="Z717" t="str">
        <f>""</f>
        <v/>
      </c>
      <c r="AA717" t="str">
        <f>"27862.00"</f>
        <v>27862.00</v>
      </c>
      <c r="AB717" t="str">
        <f t="shared" si="212"/>
        <v>Residential</v>
      </c>
      <c r="AC717" t="str">
        <f t="shared" si="204"/>
        <v>0</v>
      </c>
      <c r="AD717" t="str">
        <f>""</f>
        <v/>
      </c>
      <c r="AE717" t="str">
        <f>""</f>
        <v/>
      </c>
      <c r="AF717" t="str">
        <f>"000"</f>
        <v>000</v>
      </c>
      <c r="AG717" t="str">
        <f t="shared" si="211"/>
        <v>FL</v>
      </c>
      <c r="AH717" t="str">
        <f>"43650.00"</f>
        <v>43650.00</v>
      </c>
      <c r="AI717" t="str">
        <f t="shared" si="215"/>
        <v>20000.00</v>
      </c>
      <c r="AJ717" t="str">
        <f>"C55-000-587-8840-7"</f>
        <v>C55-000-587-8840-7</v>
      </c>
      <c r="AK717" t="str">
        <f>"11705"</f>
        <v>11705</v>
      </c>
      <c r="AL717">
        <v>3</v>
      </c>
      <c r="AM717">
        <v>826</v>
      </c>
      <c r="AN717">
        <v>488.16</v>
      </c>
      <c r="AQ717" t="s">
        <v>7610</v>
      </c>
      <c r="AR717" t="s">
        <v>7610</v>
      </c>
      <c r="AS717" t="s">
        <v>7610</v>
      </c>
      <c r="AU717" t="s">
        <v>396</v>
      </c>
      <c r="AV717">
        <v>2017</v>
      </c>
      <c r="AW717" t="str">
        <f>"37-1N-25-299F-0071-0000 "</f>
        <v xml:space="preserve">37-1N-25-299F-0071-0000 </v>
      </c>
      <c r="AX717">
        <v>540701</v>
      </c>
      <c r="AZ717" t="s">
        <v>7417</v>
      </c>
      <c r="BA717" t="s">
        <v>496</v>
      </c>
      <c r="BD717" t="s">
        <v>2785</v>
      </c>
      <c r="BE717" t="s">
        <v>393</v>
      </c>
      <c r="BF717">
        <v>32011</v>
      </c>
      <c r="BG717" t="s">
        <v>7611</v>
      </c>
      <c r="BH717" t="s">
        <v>2787</v>
      </c>
      <c r="BI717">
        <v>-81.775546014511207</v>
      </c>
      <c r="BJ717">
        <v>30.536581716548</v>
      </c>
      <c r="BK717" t="s">
        <v>7612</v>
      </c>
      <c r="BL717" t="s">
        <v>7613</v>
      </c>
      <c r="BM717" t="s">
        <v>7614</v>
      </c>
      <c r="BN717" t="s">
        <v>928</v>
      </c>
      <c r="BO717">
        <v>32011</v>
      </c>
      <c r="BP717" t="s">
        <v>404</v>
      </c>
      <c r="BQ717">
        <v>1</v>
      </c>
      <c r="BR717" t="s">
        <v>491</v>
      </c>
      <c r="BS717">
        <v>8001</v>
      </c>
      <c r="BT717" t="s">
        <v>492</v>
      </c>
      <c r="BW717">
        <v>43217</v>
      </c>
      <c r="BX717" t="s">
        <v>407</v>
      </c>
      <c r="BY717" t="s">
        <v>4360</v>
      </c>
      <c r="CD717">
        <v>2017</v>
      </c>
      <c r="CE717">
        <v>20000</v>
      </c>
      <c r="CF717">
        <v>7862</v>
      </c>
      <c r="CG717">
        <v>27862</v>
      </c>
      <c r="CH717">
        <v>2017</v>
      </c>
      <c r="CI717">
        <v>20000</v>
      </c>
      <c r="CJ717">
        <v>7862</v>
      </c>
      <c r="CK717">
        <v>27862</v>
      </c>
      <c r="CL717">
        <v>2017</v>
      </c>
      <c r="CM717">
        <v>421.79</v>
      </c>
      <c r="CN717" s="1">
        <v>40786</v>
      </c>
      <c r="CO717">
        <v>42000</v>
      </c>
      <c r="CV717">
        <v>0</v>
      </c>
      <c r="CZ717" s="1">
        <v>40786</v>
      </c>
      <c r="DA717">
        <v>0</v>
      </c>
      <c r="DD717" t="s">
        <v>2785</v>
      </c>
      <c r="DG717">
        <v>37</v>
      </c>
      <c r="DJ717" t="s">
        <v>7460</v>
      </c>
      <c r="DL717">
        <v>50502</v>
      </c>
      <c r="DM717" t="s">
        <v>7353</v>
      </c>
      <c r="DO717" t="s">
        <v>7615</v>
      </c>
      <c r="DP717">
        <v>0</v>
      </c>
      <c r="DQ717">
        <v>4</v>
      </c>
      <c r="DR717" t="s">
        <v>1174</v>
      </c>
      <c r="EP717" t="s">
        <v>421</v>
      </c>
      <c r="EQ717" t="s">
        <v>422</v>
      </c>
      <c r="ER717">
        <v>0</v>
      </c>
      <c r="ES717">
        <v>1</v>
      </c>
      <c r="ET717">
        <v>0</v>
      </c>
      <c r="EU717">
        <v>0</v>
      </c>
      <c r="EV717">
        <v>0</v>
      </c>
      <c r="EW717" s="2">
        <v>43222</v>
      </c>
      <c r="EX717" s="1">
        <v>40688</v>
      </c>
      <c r="EY717">
        <v>2010</v>
      </c>
      <c r="EZ717">
        <v>593.5</v>
      </c>
      <c r="FA717" t="s">
        <v>7616</v>
      </c>
      <c r="FB717">
        <v>7.5</v>
      </c>
      <c r="FC717" t="s">
        <v>424</v>
      </c>
      <c r="FD717" t="s">
        <v>425</v>
      </c>
      <c r="FE717" s="1">
        <v>40785</v>
      </c>
      <c r="FF717">
        <v>3</v>
      </c>
      <c r="FG717">
        <v>10579</v>
      </c>
      <c r="FH717" t="s">
        <v>488</v>
      </c>
    </row>
    <row r="718" spans="1:284" x14ac:dyDescent="0.25">
      <c r="A718">
        <v>16485725</v>
      </c>
      <c r="B718">
        <v>717</v>
      </c>
      <c r="C718" t="s">
        <v>393</v>
      </c>
      <c r="D718" t="s">
        <v>394</v>
      </c>
      <c r="F718" t="str">
        <f>"37-1N-25-299F-0083-0000"</f>
        <v>37-1N-25-299F-0083-0000</v>
      </c>
      <c r="H718" t="str">
        <f>"PEYTON ROBERT D EST"</f>
        <v>PEYTON ROBERT D EST</v>
      </c>
      <c r="I718" t="str">
        <f>"54034 CORNELIA COURT"</f>
        <v>54034 CORNELIA COURT</v>
      </c>
      <c r="J718" t="str">
        <f>"CALLAHAN FL 32011"</f>
        <v>CALLAHAN FL 32011</v>
      </c>
      <c r="K718" t="str">
        <f>"54034 CORNELIA CT"</f>
        <v>54034 CORNELIA CT</v>
      </c>
      <c r="L718" t="str">
        <f t="shared" si="202"/>
        <v>CALLAHAN FL 32011</v>
      </c>
      <c r="M718" t="str">
        <f>"TRACT 83 R567625 &amp; R567626 IN OR 972/1854 NASSAU VILLAGE WEST PB 5/23"</f>
        <v>TRACT 83 R567625 &amp; R567626 IN OR 972/1854 NASSAU VILLAGE WEST PB 5/23</v>
      </c>
      <c r="N718" t="str">
        <f>""</f>
        <v/>
      </c>
      <c r="O718" t="str">
        <f>"42932"</f>
        <v>42932</v>
      </c>
      <c r="P718" t="str">
        <f t="shared" si="218"/>
        <v>2017</v>
      </c>
      <c r="Q718" t="str">
        <f>""</f>
        <v/>
      </c>
      <c r="R718" t="str">
        <f t="shared" si="220"/>
        <v>N</v>
      </c>
      <c r="S718" t="str">
        <f>""</f>
        <v/>
      </c>
      <c r="T718" t="str">
        <f>"505.08"</f>
        <v>505.08</v>
      </c>
      <c r="U718" t="str">
        <f>"33363.00"</f>
        <v>33363.00</v>
      </c>
      <c r="V718" t="str">
        <f>"33363.00"</f>
        <v>33363.00</v>
      </c>
      <c r="W718" t="str">
        <f t="shared" si="219"/>
        <v>2017</v>
      </c>
      <c r="X718" t="str">
        <f>"16.20"</f>
        <v>16.20</v>
      </c>
      <c r="Y718" t="str">
        <f>"552.23"</f>
        <v>552.23</v>
      </c>
      <c r="Z718" t="str">
        <f>""</f>
        <v/>
      </c>
      <c r="AA718" t="str">
        <f>"33363.00"</f>
        <v>33363.00</v>
      </c>
      <c r="AB718" t="str">
        <f t="shared" si="212"/>
        <v>Residential</v>
      </c>
      <c r="AC718" t="str">
        <f t="shared" si="204"/>
        <v>0</v>
      </c>
      <c r="AD718" t="str">
        <f>"4"</f>
        <v>4</v>
      </c>
      <c r="AE718" t="str">
        <f>"WOOD (INCLUDE STEEL STUDS)"</f>
        <v>WOOD (INCLUDE STEEL STUDS)</v>
      </c>
      <c r="AF718" t="str">
        <f>"002"</f>
        <v>002</v>
      </c>
      <c r="AG718" t="str">
        <f t="shared" si="211"/>
        <v>FL</v>
      </c>
      <c r="AH718" t="str">
        <f>"44288.00"</f>
        <v>44288.00</v>
      </c>
      <c r="AI718" t="str">
        <f t="shared" si="215"/>
        <v>20000.00</v>
      </c>
      <c r="AJ718" t="str">
        <f>"C55-000-587-8852-2"</f>
        <v>C55-000-587-8852-2</v>
      </c>
      <c r="AK718" t="str">
        <f>"11717"</f>
        <v>11717</v>
      </c>
      <c r="AL718">
        <v>3</v>
      </c>
      <c r="AM718">
        <v>828</v>
      </c>
      <c r="AN718">
        <v>578.24</v>
      </c>
      <c r="AQ718" t="s">
        <v>7617</v>
      </c>
      <c r="AR718" t="s">
        <v>7617</v>
      </c>
      <c r="AS718" t="s">
        <v>7617</v>
      </c>
      <c r="AU718" t="s">
        <v>396</v>
      </c>
      <c r="AV718">
        <v>2017</v>
      </c>
      <c r="AW718" t="str">
        <f>"37-1N-25-299F-0083-0000 "</f>
        <v xml:space="preserve">37-1N-25-299F-0083-0000 </v>
      </c>
      <c r="AX718">
        <v>54034</v>
      </c>
      <c r="AZ718" t="s">
        <v>7618</v>
      </c>
      <c r="BA718" t="s">
        <v>3181</v>
      </c>
      <c r="BD718" t="s">
        <v>2785</v>
      </c>
      <c r="BE718" t="s">
        <v>393</v>
      </c>
      <c r="BF718">
        <v>32011</v>
      </c>
      <c r="BG718" t="s">
        <v>7619</v>
      </c>
      <c r="BH718" t="s">
        <v>2787</v>
      </c>
      <c r="BI718">
        <v>-81.779564024381401</v>
      </c>
      <c r="BJ718">
        <v>30.538325707766599</v>
      </c>
      <c r="BK718" t="s">
        <v>7620</v>
      </c>
      <c r="BL718" t="s">
        <v>7621</v>
      </c>
      <c r="BM718" t="s">
        <v>7619</v>
      </c>
      <c r="BN718" t="s">
        <v>928</v>
      </c>
      <c r="BO718">
        <v>32011</v>
      </c>
      <c r="BP718" t="s">
        <v>416</v>
      </c>
      <c r="BQ718">
        <v>200</v>
      </c>
      <c r="BR718" t="s">
        <v>405</v>
      </c>
      <c r="BS718">
        <v>1006</v>
      </c>
      <c r="BT718" t="s">
        <v>406</v>
      </c>
      <c r="BW718">
        <v>45141</v>
      </c>
      <c r="BX718" t="s">
        <v>407</v>
      </c>
      <c r="BY718" t="s">
        <v>4360</v>
      </c>
      <c r="BZ718">
        <v>4</v>
      </c>
      <c r="CA718">
        <v>1980</v>
      </c>
      <c r="CB718">
        <v>1</v>
      </c>
      <c r="CC718">
        <v>1</v>
      </c>
      <c r="CD718">
        <v>2017</v>
      </c>
      <c r="CE718">
        <v>20000</v>
      </c>
      <c r="CF718">
        <v>13363</v>
      </c>
      <c r="CG718">
        <v>33363</v>
      </c>
      <c r="CH718">
        <v>2017</v>
      </c>
      <c r="CI718">
        <v>20000</v>
      </c>
      <c r="CJ718">
        <v>13363</v>
      </c>
      <c r="CK718">
        <v>33363</v>
      </c>
      <c r="CL718">
        <v>2017</v>
      </c>
      <c r="CM718">
        <v>505.08</v>
      </c>
      <c r="CN718" s="1">
        <v>36951</v>
      </c>
      <c r="CO718">
        <v>32000</v>
      </c>
      <c r="CV718">
        <v>0</v>
      </c>
      <c r="CZ718" s="1">
        <v>36951</v>
      </c>
      <c r="DA718">
        <v>0</v>
      </c>
      <c r="DD718" t="s">
        <v>2785</v>
      </c>
      <c r="DG718">
        <v>37</v>
      </c>
      <c r="DJ718" t="s">
        <v>7460</v>
      </c>
      <c r="DL718">
        <v>50502</v>
      </c>
      <c r="DM718" t="s">
        <v>7353</v>
      </c>
      <c r="DO718" t="s">
        <v>7622</v>
      </c>
      <c r="DP718">
        <v>0</v>
      </c>
      <c r="DQ718">
        <v>0</v>
      </c>
      <c r="DR718" t="s">
        <v>411</v>
      </c>
      <c r="DS718" t="b">
        <v>1</v>
      </c>
      <c r="DT718" t="s">
        <v>470</v>
      </c>
      <c r="DU718" t="s">
        <v>471</v>
      </c>
      <c r="DV718" t="s">
        <v>472</v>
      </c>
      <c r="DX718">
        <v>-9999</v>
      </c>
      <c r="DZ718" t="s">
        <v>447</v>
      </c>
      <c r="EA718" t="s">
        <v>448</v>
      </c>
      <c r="EB718" t="s">
        <v>742</v>
      </c>
      <c r="EC718">
        <v>20101217</v>
      </c>
      <c r="ED718" t="s">
        <v>474</v>
      </c>
      <c r="EF718">
        <v>1750.4</v>
      </c>
      <c r="EG718">
        <v>1750.4</v>
      </c>
      <c r="EI718">
        <v>20160407</v>
      </c>
      <c r="EJ718">
        <v>0</v>
      </c>
      <c r="EK718">
        <v>0</v>
      </c>
      <c r="EP718" t="s">
        <v>595</v>
      </c>
      <c r="EQ718" t="s">
        <v>452</v>
      </c>
      <c r="ER718">
        <v>0</v>
      </c>
      <c r="ES718">
        <v>8</v>
      </c>
      <c r="ET718">
        <v>0</v>
      </c>
      <c r="EU718">
        <v>0</v>
      </c>
      <c r="EV718">
        <v>0</v>
      </c>
      <c r="EW718" s="2">
        <v>43222</v>
      </c>
      <c r="EX718" s="1">
        <v>42879</v>
      </c>
      <c r="EY718">
        <v>2016</v>
      </c>
      <c r="EZ718">
        <v>642.5</v>
      </c>
      <c r="FA718" t="s">
        <v>7623</v>
      </c>
      <c r="FB718">
        <v>4.75</v>
      </c>
      <c r="FC718" t="s">
        <v>424</v>
      </c>
      <c r="FD718" t="s">
        <v>425</v>
      </c>
      <c r="FE718" s="1">
        <v>42909</v>
      </c>
      <c r="FF718">
        <v>1</v>
      </c>
      <c r="FG718">
        <v>7336745</v>
      </c>
      <c r="FH718" t="s">
        <v>502</v>
      </c>
      <c r="FI718" t="s">
        <v>458</v>
      </c>
      <c r="FJ718" s="1">
        <v>42515</v>
      </c>
      <c r="FK718">
        <v>2015</v>
      </c>
      <c r="FL718">
        <v>622.42999999999995</v>
      </c>
      <c r="FM718" t="s">
        <v>7624</v>
      </c>
      <c r="FN718">
        <v>18</v>
      </c>
      <c r="FO718" t="s">
        <v>424</v>
      </c>
      <c r="FP718" t="s">
        <v>425</v>
      </c>
      <c r="FQ718" s="1">
        <v>42909</v>
      </c>
      <c r="FR718">
        <v>13</v>
      </c>
      <c r="FS718">
        <v>10628</v>
      </c>
      <c r="FT718" t="s">
        <v>943</v>
      </c>
      <c r="FU718" t="s">
        <v>458</v>
      </c>
      <c r="FV718" s="1">
        <v>42151</v>
      </c>
      <c r="FW718">
        <v>2014</v>
      </c>
      <c r="FX718">
        <v>540.96</v>
      </c>
      <c r="FY718" t="s">
        <v>7625</v>
      </c>
      <c r="FZ718">
        <v>0.25</v>
      </c>
      <c r="GA718" t="s">
        <v>424</v>
      </c>
      <c r="GB718" t="s">
        <v>425</v>
      </c>
      <c r="GC718" s="1">
        <v>42909</v>
      </c>
      <c r="GD718">
        <v>25</v>
      </c>
      <c r="GE718">
        <v>2851116</v>
      </c>
      <c r="GF718" t="s">
        <v>480</v>
      </c>
      <c r="GG718" t="s">
        <v>458</v>
      </c>
      <c r="GH718" s="1">
        <v>42151</v>
      </c>
      <c r="GI718">
        <v>2014</v>
      </c>
      <c r="GJ718">
        <v>540.96</v>
      </c>
      <c r="GK718" t="s">
        <v>7625</v>
      </c>
      <c r="GL718">
        <v>0.25</v>
      </c>
      <c r="GM718" t="s">
        <v>424</v>
      </c>
      <c r="GN718" t="s">
        <v>425</v>
      </c>
      <c r="GP718">
        <v>22</v>
      </c>
      <c r="GQ718">
        <v>5250210</v>
      </c>
      <c r="GR718" t="s">
        <v>7626</v>
      </c>
      <c r="GS718" t="s">
        <v>458</v>
      </c>
      <c r="GT718" s="1">
        <v>41787</v>
      </c>
      <c r="GU718">
        <v>2013</v>
      </c>
      <c r="GV718">
        <v>570</v>
      </c>
      <c r="GW718" t="s">
        <v>7627</v>
      </c>
      <c r="GX718">
        <v>0.25</v>
      </c>
      <c r="GY718" t="s">
        <v>424</v>
      </c>
      <c r="GZ718" t="s">
        <v>425</v>
      </c>
      <c r="HB718">
        <v>22</v>
      </c>
      <c r="HC718">
        <v>13026</v>
      </c>
      <c r="HD718" t="s">
        <v>2129</v>
      </c>
      <c r="HE718" t="s">
        <v>458</v>
      </c>
      <c r="HF718" s="1">
        <v>41787</v>
      </c>
      <c r="HG718">
        <v>2013</v>
      </c>
      <c r="HH718">
        <v>570</v>
      </c>
      <c r="HI718" t="s">
        <v>7627</v>
      </c>
      <c r="HJ718">
        <v>0.25</v>
      </c>
      <c r="HK718" t="s">
        <v>424</v>
      </c>
      <c r="HL718" t="s">
        <v>425</v>
      </c>
      <c r="HN718">
        <v>22</v>
      </c>
      <c r="HO718">
        <v>1126</v>
      </c>
      <c r="HP718" t="s">
        <v>4405</v>
      </c>
      <c r="HQ718" t="s">
        <v>458</v>
      </c>
      <c r="HR718" s="1">
        <v>41787</v>
      </c>
      <c r="HS718">
        <v>2013</v>
      </c>
      <c r="HT718">
        <v>570</v>
      </c>
      <c r="HU718" t="s">
        <v>7627</v>
      </c>
      <c r="HV718">
        <v>0.25</v>
      </c>
      <c r="HW718" t="s">
        <v>424</v>
      </c>
      <c r="HX718" t="s">
        <v>425</v>
      </c>
      <c r="HZ718">
        <v>22</v>
      </c>
      <c r="IA718">
        <v>7685290</v>
      </c>
      <c r="IB718" t="s">
        <v>7628</v>
      </c>
      <c r="IC718" t="s">
        <v>458</v>
      </c>
      <c r="ID718" s="1">
        <v>41423</v>
      </c>
      <c r="IE718">
        <v>2012</v>
      </c>
      <c r="IF718">
        <v>91.35</v>
      </c>
      <c r="IG718" t="s">
        <v>7629</v>
      </c>
      <c r="IH718">
        <v>18</v>
      </c>
      <c r="II718" t="s">
        <v>603</v>
      </c>
      <c r="IJ718" t="s">
        <v>425</v>
      </c>
      <c r="IK718" s="1">
        <v>41548</v>
      </c>
      <c r="IL718">
        <v>5</v>
      </c>
      <c r="IM718">
        <v>9999999</v>
      </c>
      <c r="IN718" t="s">
        <v>604</v>
      </c>
    </row>
    <row r="719" spans="1:284" x14ac:dyDescent="0.25">
      <c r="A719">
        <v>16485726</v>
      </c>
      <c r="B719">
        <v>718</v>
      </c>
      <c r="C719" t="s">
        <v>393</v>
      </c>
      <c r="D719" t="s">
        <v>394</v>
      </c>
      <c r="F719" t="str">
        <f>"37-1N-25-299F-0084-0000"</f>
        <v>37-1N-25-299F-0084-0000</v>
      </c>
      <c r="H719" t="str">
        <f>"TURNER GEORGE &amp; DEBRA"</f>
        <v>TURNER GEORGE &amp; DEBRA</v>
      </c>
      <c r="I719" t="str">
        <f>"1038 JANELLS RIVER DR"</f>
        <v>1038 JANELLS RIVER DR</v>
      </c>
      <c r="J719" t="str">
        <f>"FOLKSTON GA 31537"</f>
        <v>FOLKSTON GA 31537</v>
      </c>
      <c r="K719" t="str">
        <f>"54068 CORNELIA CT"</f>
        <v>54068 CORNELIA CT</v>
      </c>
      <c r="L719" t="str">
        <f t="shared" si="202"/>
        <v>CALLAHAN FL 32011</v>
      </c>
      <c r="M719" t="str">
        <f>"TRACT 84 R497697 &amp; R497698 IN OR 1951/565 NASSAU VILLAGE WEST PB 5/23"</f>
        <v>TRACT 84 R497697 &amp; R497698 IN OR 1951/565 NASSAU VILLAGE WEST PB 5/23</v>
      </c>
      <c r="N719" t="str">
        <f>""</f>
        <v/>
      </c>
      <c r="O719" t="str">
        <f>"42933"</f>
        <v>42933</v>
      </c>
      <c r="P719" t="str">
        <f t="shared" si="218"/>
        <v>2017</v>
      </c>
      <c r="Q719" t="str">
        <f>""</f>
        <v/>
      </c>
      <c r="R719" t="str">
        <f t="shared" si="220"/>
        <v>N</v>
      </c>
      <c r="S719" t="str">
        <f>""</f>
        <v/>
      </c>
      <c r="T719" t="str">
        <f>"789.93"</f>
        <v>789.93</v>
      </c>
      <c r="U719" t="str">
        <f>"50425.00"</f>
        <v>50425.00</v>
      </c>
      <c r="V719" t="str">
        <f>"50425.00"</f>
        <v>50425.00</v>
      </c>
      <c r="W719" t="str">
        <f t="shared" si="219"/>
        <v>2017</v>
      </c>
      <c r="X719" t="str">
        <f>"4.00"</f>
        <v>4.00</v>
      </c>
      <c r="Y719" t="str">
        <f>"845.63"</f>
        <v>845.63</v>
      </c>
      <c r="Z719" t="str">
        <f>""</f>
        <v/>
      </c>
      <c r="AA719" t="str">
        <f>"54450.00"</f>
        <v>54450.00</v>
      </c>
      <c r="AB719" t="str">
        <f t="shared" si="212"/>
        <v>Residential</v>
      </c>
      <c r="AC719" t="str">
        <f t="shared" si="204"/>
        <v>0</v>
      </c>
      <c r="AD719" t="str">
        <f>"4"</f>
        <v>4</v>
      </c>
      <c r="AE719" t="str">
        <f>"WOOD (INCLUDE STEEL STUDS)"</f>
        <v>WOOD (INCLUDE STEEL STUDS)</v>
      </c>
      <c r="AF719" t="str">
        <f>"002"</f>
        <v>002</v>
      </c>
      <c r="AG719" t="str">
        <f>"GA"</f>
        <v>GA</v>
      </c>
      <c r="AH719" t="str">
        <f>"44288.00"</f>
        <v>44288.00</v>
      </c>
      <c r="AI719" t="str">
        <f t="shared" si="215"/>
        <v>20000.00</v>
      </c>
      <c r="AJ719" t="str">
        <f>"C55-000-587-8853-0"</f>
        <v>C55-000-587-8853-0</v>
      </c>
      <c r="AK719" t="str">
        <f>"11718"</f>
        <v>11718</v>
      </c>
      <c r="AL719">
        <v>3</v>
      </c>
      <c r="AM719">
        <v>829</v>
      </c>
      <c r="AN719">
        <v>886.31</v>
      </c>
      <c r="AQ719" t="s">
        <v>7630</v>
      </c>
      <c r="AR719" t="s">
        <v>7630</v>
      </c>
      <c r="AS719" t="s">
        <v>7630</v>
      </c>
      <c r="AU719" t="s">
        <v>396</v>
      </c>
      <c r="AV719">
        <v>2017</v>
      </c>
      <c r="AW719" t="str">
        <f>"37-1N-25-299F-0084-0000 "</f>
        <v xml:space="preserve">37-1N-25-299F-0084-0000 </v>
      </c>
      <c r="AX719">
        <v>54068</v>
      </c>
      <c r="AZ719" t="s">
        <v>7618</v>
      </c>
      <c r="BA719" t="s">
        <v>3181</v>
      </c>
      <c r="BD719" t="s">
        <v>2785</v>
      </c>
      <c r="BE719" t="s">
        <v>393</v>
      </c>
      <c r="BF719">
        <v>32011</v>
      </c>
      <c r="BG719" t="s">
        <v>7631</v>
      </c>
      <c r="BH719" t="s">
        <v>2787</v>
      </c>
      <c r="BI719">
        <v>-81.779007624919203</v>
      </c>
      <c r="BJ719">
        <v>30.538458213403501</v>
      </c>
      <c r="BK719" t="s">
        <v>7632</v>
      </c>
      <c r="BL719" t="s">
        <v>7633</v>
      </c>
      <c r="BM719" t="s">
        <v>7634</v>
      </c>
      <c r="BN719" t="s">
        <v>4596</v>
      </c>
      <c r="BO719">
        <v>31537</v>
      </c>
      <c r="BP719" t="s">
        <v>404</v>
      </c>
      <c r="BQ719">
        <v>200</v>
      </c>
      <c r="BR719" t="s">
        <v>405</v>
      </c>
      <c r="BS719">
        <v>1006</v>
      </c>
      <c r="BT719" t="s">
        <v>406</v>
      </c>
      <c r="BW719">
        <v>48020</v>
      </c>
      <c r="BX719" t="s">
        <v>407</v>
      </c>
      <c r="BY719" t="s">
        <v>4360</v>
      </c>
      <c r="BZ719">
        <v>4</v>
      </c>
      <c r="CA719">
        <v>1987</v>
      </c>
      <c r="CB719">
        <v>1</v>
      </c>
      <c r="CC719">
        <v>2</v>
      </c>
      <c r="CD719">
        <v>2017</v>
      </c>
      <c r="CE719">
        <v>20000</v>
      </c>
      <c r="CF719">
        <v>34450</v>
      </c>
      <c r="CG719">
        <v>54450</v>
      </c>
      <c r="CH719">
        <v>2017</v>
      </c>
      <c r="CI719">
        <v>20000</v>
      </c>
      <c r="CJ719">
        <v>34450</v>
      </c>
      <c r="CK719">
        <v>54450</v>
      </c>
      <c r="CL719">
        <v>2017</v>
      </c>
      <c r="CM719">
        <v>789.93</v>
      </c>
      <c r="CN719" s="1">
        <v>37047</v>
      </c>
      <c r="CO719">
        <v>63100</v>
      </c>
      <c r="CV719">
        <v>63100</v>
      </c>
      <c r="CX719" t="s">
        <v>707</v>
      </c>
      <c r="CZ719" s="1">
        <v>37047</v>
      </c>
      <c r="DA719">
        <v>0</v>
      </c>
      <c r="DD719" t="s">
        <v>2785</v>
      </c>
      <c r="DG719">
        <v>37</v>
      </c>
      <c r="DJ719" t="s">
        <v>7460</v>
      </c>
      <c r="DL719">
        <v>50502</v>
      </c>
      <c r="DM719" t="s">
        <v>7353</v>
      </c>
      <c r="DO719" t="s">
        <v>7635</v>
      </c>
      <c r="DP719">
        <v>0</v>
      </c>
      <c r="DQ719">
        <v>0</v>
      </c>
      <c r="DR719" t="s">
        <v>411</v>
      </c>
      <c r="DS719" t="b">
        <v>1</v>
      </c>
      <c r="DT719" t="s">
        <v>470</v>
      </c>
      <c r="DU719" t="s">
        <v>471</v>
      </c>
      <c r="DV719" t="s">
        <v>472</v>
      </c>
      <c r="DX719">
        <v>-9999</v>
      </c>
      <c r="DZ719" t="s">
        <v>447</v>
      </c>
      <c r="EA719" t="s">
        <v>448</v>
      </c>
      <c r="EB719" t="s">
        <v>742</v>
      </c>
      <c r="EC719">
        <v>20101217</v>
      </c>
      <c r="ED719" t="s">
        <v>474</v>
      </c>
      <c r="EF719">
        <v>1671.7</v>
      </c>
      <c r="EG719">
        <v>1671.7</v>
      </c>
      <c r="EI719">
        <v>20160407</v>
      </c>
      <c r="EJ719">
        <v>0</v>
      </c>
      <c r="EK719">
        <v>0</v>
      </c>
      <c r="EP719" t="s">
        <v>421</v>
      </c>
      <c r="EQ719" t="s">
        <v>422</v>
      </c>
      <c r="ER719">
        <v>0</v>
      </c>
      <c r="ES719">
        <v>4</v>
      </c>
      <c r="ET719">
        <v>0</v>
      </c>
      <c r="EU719">
        <v>0</v>
      </c>
      <c r="EV719">
        <v>0</v>
      </c>
      <c r="EW719" s="2">
        <v>43222</v>
      </c>
      <c r="EX719" s="1">
        <v>42879</v>
      </c>
      <c r="EY719">
        <v>2016</v>
      </c>
      <c r="EZ719">
        <v>177.94</v>
      </c>
      <c r="FA719" t="s">
        <v>7636</v>
      </c>
      <c r="FB719">
        <v>0.25</v>
      </c>
      <c r="FC719" t="s">
        <v>424</v>
      </c>
      <c r="FD719" t="s">
        <v>425</v>
      </c>
      <c r="FE719" s="1">
        <v>42983</v>
      </c>
      <c r="FF719">
        <v>4</v>
      </c>
      <c r="FG719">
        <v>2851116</v>
      </c>
      <c r="FH719" t="s">
        <v>480</v>
      </c>
      <c r="FJ719" s="1">
        <v>42879</v>
      </c>
      <c r="FK719">
        <v>2016</v>
      </c>
      <c r="FL719">
        <v>177.94</v>
      </c>
      <c r="FM719" t="s">
        <v>7636</v>
      </c>
      <c r="FN719">
        <v>0.25</v>
      </c>
      <c r="FO719" t="s">
        <v>424</v>
      </c>
      <c r="FP719" t="s">
        <v>425</v>
      </c>
      <c r="FR719">
        <v>22</v>
      </c>
      <c r="FS719">
        <v>4918085</v>
      </c>
      <c r="FT719" t="s">
        <v>7637</v>
      </c>
      <c r="FV719" s="1">
        <v>42515</v>
      </c>
      <c r="FW719">
        <v>2015</v>
      </c>
      <c r="FX719">
        <v>940.42</v>
      </c>
      <c r="FY719" t="s">
        <v>7638</v>
      </c>
      <c r="FZ719">
        <v>0.25</v>
      </c>
      <c r="GA719" t="s">
        <v>424</v>
      </c>
      <c r="GB719" t="s">
        <v>425</v>
      </c>
      <c r="GC719" s="1">
        <v>42619</v>
      </c>
      <c r="GD719">
        <v>4</v>
      </c>
      <c r="GE719">
        <v>11289</v>
      </c>
      <c r="GF719" t="s">
        <v>787</v>
      </c>
      <c r="GH719" s="1">
        <v>42515</v>
      </c>
      <c r="GI719">
        <v>2015</v>
      </c>
      <c r="GJ719">
        <v>940.42</v>
      </c>
      <c r="GK719" t="s">
        <v>7638</v>
      </c>
      <c r="GL719">
        <v>0.25</v>
      </c>
      <c r="GM719" t="s">
        <v>424</v>
      </c>
      <c r="GN719" t="s">
        <v>425</v>
      </c>
      <c r="GP719">
        <v>22</v>
      </c>
      <c r="GQ719">
        <v>7227397</v>
      </c>
      <c r="GR719" t="s">
        <v>7639</v>
      </c>
    </row>
    <row r="720" spans="1:284" x14ac:dyDescent="0.25">
      <c r="A720">
        <v>16485727</v>
      </c>
      <c r="B720">
        <v>719</v>
      </c>
      <c r="C720" t="s">
        <v>393</v>
      </c>
      <c r="D720" t="s">
        <v>394</v>
      </c>
      <c r="F720" t="str">
        <f>"37-1N-25-299F-0095-0000"</f>
        <v>37-1N-25-299F-0095-0000</v>
      </c>
      <c r="H720" t="str">
        <f>"NETTLES JOE"</f>
        <v>NETTLES JOE</v>
      </c>
      <c r="I720" t="str">
        <f>"54073 CORNELIA CT"</f>
        <v>54073 CORNELIA CT</v>
      </c>
      <c r="J720" t="str">
        <f>"CALLAHAN FL 32011"</f>
        <v>CALLAHAN FL 32011</v>
      </c>
      <c r="K720" t="str">
        <f>"54020 JENELLE CT"</f>
        <v>54020 JENELLE CT</v>
      </c>
      <c r="L720" t="str">
        <f t="shared" si="202"/>
        <v>CALLAHAN FL 32011</v>
      </c>
      <c r="M720" t="str">
        <f>"TRACT 95 IN OR 2062/1894 R108220 &amp; 108221 NASSAU VILLAGE WEST PB 5/23"</f>
        <v>TRACT 95 IN OR 2062/1894 R108220 &amp; 108221 NASSAU VILLAGE WEST PB 5/23</v>
      </c>
      <c r="N720" t="str">
        <f>""</f>
        <v/>
      </c>
      <c r="O720" t="str">
        <f>"42943"</f>
        <v>42943</v>
      </c>
      <c r="P720" t="str">
        <f t="shared" si="218"/>
        <v>2017</v>
      </c>
      <c r="Q720" t="str">
        <f>""</f>
        <v/>
      </c>
      <c r="R720" t="str">
        <f t="shared" si="220"/>
        <v>N</v>
      </c>
      <c r="S720" t="str">
        <f>""</f>
        <v/>
      </c>
      <c r="T720" t="str">
        <f>"967.43"</f>
        <v>967.43</v>
      </c>
      <c r="U720" t="str">
        <f>"63904.00"</f>
        <v>63904.00</v>
      </c>
      <c r="V720" t="str">
        <f>"63904.00"</f>
        <v>63904.00</v>
      </c>
      <c r="W720" t="str">
        <f t="shared" si="219"/>
        <v>2017</v>
      </c>
      <c r="X720" t="str">
        <f>"10.00"</f>
        <v>10.00</v>
      </c>
      <c r="Y720" t="str">
        <f>"1028.45"</f>
        <v>1028.45</v>
      </c>
      <c r="Z720" t="str">
        <f>""</f>
        <v/>
      </c>
      <c r="AA720" t="str">
        <f>"63904.00"</f>
        <v>63904.00</v>
      </c>
      <c r="AB720" t="str">
        <f t="shared" si="212"/>
        <v>Residential</v>
      </c>
      <c r="AC720" t="str">
        <f t="shared" si="204"/>
        <v>0</v>
      </c>
      <c r="AD720" t="str">
        <f>"4"</f>
        <v>4</v>
      </c>
      <c r="AE720" t="str">
        <f>"WOOD (INCLUDE STEEL STUDS)"</f>
        <v>WOOD (INCLUDE STEEL STUDS)</v>
      </c>
      <c r="AF720" t="str">
        <f>"002"</f>
        <v>002</v>
      </c>
      <c r="AG720" t="str">
        <f t="shared" ref="AG720:AG727" si="221">"FL"</f>
        <v>FL</v>
      </c>
      <c r="AH720" t="str">
        <f>"48050.00"</f>
        <v>48050.00</v>
      </c>
      <c r="AI720" t="str">
        <f t="shared" si="215"/>
        <v>20000.00</v>
      </c>
      <c r="AJ720" t="str">
        <f>"C55-000-587-8863-9"</f>
        <v>C55-000-587-8863-9</v>
      </c>
      <c r="AK720" t="str">
        <f>"11728"</f>
        <v>11728</v>
      </c>
      <c r="AL720">
        <v>3</v>
      </c>
      <c r="AM720">
        <v>830</v>
      </c>
      <c r="AN720">
        <v>1078.27</v>
      </c>
      <c r="AQ720" t="s">
        <v>7640</v>
      </c>
      <c r="AR720" t="s">
        <v>7640</v>
      </c>
      <c r="AS720" t="s">
        <v>7640</v>
      </c>
      <c r="AU720" t="s">
        <v>396</v>
      </c>
      <c r="AV720">
        <v>2017</v>
      </c>
      <c r="AW720" t="str">
        <f>"37-1N-25-299F-0095-0000 "</f>
        <v xml:space="preserve">37-1N-25-299F-0095-0000 </v>
      </c>
      <c r="AX720">
        <v>54020</v>
      </c>
      <c r="AZ720" t="s">
        <v>7641</v>
      </c>
      <c r="BA720" t="s">
        <v>3181</v>
      </c>
      <c r="BD720" t="s">
        <v>2785</v>
      </c>
      <c r="BE720" t="s">
        <v>393</v>
      </c>
      <c r="BF720">
        <v>32011</v>
      </c>
      <c r="BG720" t="s">
        <v>7642</v>
      </c>
      <c r="BH720" t="s">
        <v>2787</v>
      </c>
      <c r="BI720">
        <v>-81.780086588876699</v>
      </c>
      <c r="BJ720">
        <v>30.5399369144959</v>
      </c>
      <c r="BK720" t="s">
        <v>7643</v>
      </c>
      <c r="BM720" t="s">
        <v>7644</v>
      </c>
      <c r="BN720" t="s">
        <v>928</v>
      </c>
      <c r="BO720">
        <v>32011</v>
      </c>
      <c r="BP720" t="s">
        <v>404</v>
      </c>
      <c r="BQ720">
        <v>200</v>
      </c>
      <c r="BR720" t="s">
        <v>405</v>
      </c>
      <c r="BS720">
        <v>1006</v>
      </c>
      <c r="BT720" t="s">
        <v>406</v>
      </c>
      <c r="BW720">
        <v>48911</v>
      </c>
      <c r="BX720" t="s">
        <v>407</v>
      </c>
      <c r="BY720" t="s">
        <v>4360</v>
      </c>
      <c r="BZ720">
        <v>4</v>
      </c>
      <c r="CA720">
        <v>1983</v>
      </c>
      <c r="CB720">
        <v>1</v>
      </c>
      <c r="CC720">
        <v>1</v>
      </c>
      <c r="CD720">
        <v>2017</v>
      </c>
      <c r="CE720">
        <v>20000</v>
      </c>
      <c r="CF720">
        <v>43904</v>
      </c>
      <c r="CG720">
        <v>63904</v>
      </c>
      <c r="CH720">
        <v>2017</v>
      </c>
      <c r="CI720">
        <v>20000</v>
      </c>
      <c r="CJ720">
        <v>43904</v>
      </c>
      <c r="CK720">
        <v>63904</v>
      </c>
      <c r="CL720">
        <v>2017</v>
      </c>
      <c r="CM720">
        <v>967.43</v>
      </c>
      <c r="CN720" s="1">
        <v>42586</v>
      </c>
      <c r="CO720">
        <v>37900</v>
      </c>
      <c r="CV720">
        <v>0</v>
      </c>
      <c r="CZ720" s="1">
        <v>42586</v>
      </c>
      <c r="DA720">
        <v>0</v>
      </c>
      <c r="DD720" t="s">
        <v>2785</v>
      </c>
      <c r="DG720">
        <v>37</v>
      </c>
      <c r="DL720">
        <v>50502</v>
      </c>
      <c r="DM720" t="s">
        <v>7353</v>
      </c>
      <c r="DO720" t="s">
        <v>7645</v>
      </c>
      <c r="DP720">
        <v>0</v>
      </c>
      <c r="DQ720">
        <v>0</v>
      </c>
      <c r="DR720" t="s">
        <v>411</v>
      </c>
      <c r="EP720" t="s">
        <v>421</v>
      </c>
      <c r="EQ720" t="s">
        <v>422</v>
      </c>
      <c r="ER720">
        <v>0</v>
      </c>
      <c r="ES720">
        <v>2</v>
      </c>
      <c r="ET720">
        <v>0</v>
      </c>
      <c r="EU720">
        <v>0</v>
      </c>
      <c r="EV720">
        <v>0</v>
      </c>
      <c r="EW720" s="2">
        <v>43222</v>
      </c>
      <c r="EX720" s="1">
        <v>42879</v>
      </c>
      <c r="EY720">
        <v>2016</v>
      </c>
      <c r="EZ720">
        <v>894.51</v>
      </c>
      <c r="FA720" t="s">
        <v>7646</v>
      </c>
      <c r="FB720">
        <v>0.25</v>
      </c>
      <c r="FC720" t="s">
        <v>424</v>
      </c>
      <c r="FD720" t="s">
        <v>425</v>
      </c>
      <c r="FE720" s="1">
        <v>43188</v>
      </c>
      <c r="FF720">
        <v>10</v>
      </c>
      <c r="FG720">
        <v>2851116</v>
      </c>
      <c r="FH720" t="s">
        <v>480</v>
      </c>
      <c r="FJ720" s="1">
        <v>42879</v>
      </c>
      <c r="FK720">
        <v>2016</v>
      </c>
      <c r="FL720">
        <v>894.51</v>
      </c>
      <c r="FM720" t="s">
        <v>7646</v>
      </c>
      <c r="FN720">
        <v>0.25</v>
      </c>
      <c r="FO720" t="s">
        <v>424</v>
      </c>
      <c r="FP720" t="s">
        <v>425</v>
      </c>
      <c r="FR720">
        <v>22</v>
      </c>
      <c r="FS720">
        <v>5252679</v>
      </c>
      <c r="FT720" t="s">
        <v>7647</v>
      </c>
    </row>
    <row r="721" spans="1:308" x14ac:dyDescent="0.25">
      <c r="A721">
        <v>16485728</v>
      </c>
      <c r="B721">
        <v>720</v>
      </c>
      <c r="C721" t="s">
        <v>393</v>
      </c>
      <c r="D721" t="s">
        <v>394</v>
      </c>
      <c r="F721" t="str">
        <f>"37-1N-25-299F-0110-0000"</f>
        <v>37-1N-25-299F-0110-0000</v>
      </c>
      <c r="H721" t="str">
        <f>"BROWN ROBYN &amp; HAMILTON GEORGE D (JT/RS)"</f>
        <v>BROWN ROBYN &amp; HAMILTON GEORGE D (JT/RS)</v>
      </c>
      <c r="I721" t="str">
        <f>"85362 JOANN ROAD"</f>
        <v>85362 JOANN ROAD</v>
      </c>
      <c r="J721" t="str">
        <f>"YULEE FL 32097"</f>
        <v>YULEE FL 32097</v>
      </c>
      <c r="K721" t="str">
        <f>"54626 SHEFFIELD RD"</f>
        <v>54626 SHEFFIELD RD</v>
      </c>
      <c r="L721" t="str">
        <f t="shared" si="202"/>
        <v>CALLAHAN FL 32011</v>
      </c>
      <c r="M721" t="str">
        <f>"TRACT 110 IN OR 1245/1198 R106735 &amp; R106736 NASSAU VILLAGE WEST PB 5/23"</f>
        <v>TRACT 110 IN OR 1245/1198 R106735 &amp; R106736 NASSAU VILLAGE WEST PB 5/23</v>
      </c>
      <c r="N721" t="str">
        <f>""</f>
        <v/>
      </c>
      <c r="O721" t="str">
        <f>"42958"</f>
        <v>42958</v>
      </c>
      <c r="P721" t="str">
        <f t="shared" si="218"/>
        <v>2017</v>
      </c>
      <c r="Q721" t="str">
        <f>""</f>
        <v/>
      </c>
      <c r="R721" t="str">
        <f t="shared" si="220"/>
        <v>N</v>
      </c>
      <c r="S721" t="str">
        <f>""</f>
        <v/>
      </c>
      <c r="T721" t="str">
        <f>"433.36"</f>
        <v>433.36</v>
      </c>
      <c r="U721" t="str">
        <f>"28625.00"</f>
        <v>28625.00</v>
      </c>
      <c r="V721" t="str">
        <f>"28625.00"</f>
        <v>28625.00</v>
      </c>
      <c r="W721" t="str">
        <f t="shared" si="219"/>
        <v>2017</v>
      </c>
      <c r="X721" t="str">
        <f>"8.33"</f>
        <v>8.33</v>
      </c>
      <c r="Y721" t="str">
        <f>"478.36"</f>
        <v>478.36</v>
      </c>
      <c r="Z721" t="str">
        <f>""</f>
        <v/>
      </c>
      <c r="AA721" t="str">
        <f>"28625.00"</f>
        <v>28625.00</v>
      </c>
      <c r="AB721" t="str">
        <f t="shared" si="212"/>
        <v>Residential</v>
      </c>
      <c r="AC721" t="str">
        <f t="shared" si="204"/>
        <v>0</v>
      </c>
      <c r="AD721" t="str">
        <f>"4"</f>
        <v>4</v>
      </c>
      <c r="AE721" t="str">
        <f>"WOOD (INCLUDE STEEL STUDS)"</f>
        <v>WOOD (INCLUDE STEEL STUDS)</v>
      </c>
      <c r="AF721" t="str">
        <f>"002"</f>
        <v>002</v>
      </c>
      <c r="AG721" t="str">
        <f t="shared" si="221"/>
        <v>FL</v>
      </c>
      <c r="AH721" t="str">
        <f>"52150.00"</f>
        <v>52150.00</v>
      </c>
      <c r="AI721" t="str">
        <f t="shared" si="215"/>
        <v>20000.00</v>
      </c>
      <c r="AJ721" t="str">
        <f>"C55-000-587-8877-9"</f>
        <v>C55-000-587-8877-9</v>
      </c>
      <c r="AK721" t="str">
        <f>"11742"</f>
        <v>11742</v>
      </c>
      <c r="AL721">
        <v>3</v>
      </c>
      <c r="AM721">
        <v>831</v>
      </c>
      <c r="AN721">
        <v>500.68</v>
      </c>
      <c r="AQ721" t="s">
        <v>7648</v>
      </c>
      <c r="AR721" t="s">
        <v>7648</v>
      </c>
      <c r="AS721" t="s">
        <v>7648</v>
      </c>
      <c r="AU721" t="s">
        <v>396</v>
      </c>
      <c r="AV721">
        <v>2017</v>
      </c>
      <c r="AW721" t="str">
        <f>"37-1N-25-299F-0110-0000 "</f>
        <v xml:space="preserve">37-1N-25-299F-0110-0000 </v>
      </c>
      <c r="AX721">
        <v>54626</v>
      </c>
      <c r="AZ721" t="s">
        <v>7589</v>
      </c>
      <c r="BA721" t="s">
        <v>496</v>
      </c>
      <c r="BD721" t="s">
        <v>2785</v>
      </c>
      <c r="BE721" t="s">
        <v>393</v>
      </c>
      <c r="BF721">
        <v>32011</v>
      </c>
      <c r="BG721" t="s">
        <v>7649</v>
      </c>
      <c r="BH721" t="s">
        <v>2787</v>
      </c>
      <c r="BI721">
        <v>-81.778792319379306</v>
      </c>
      <c r="BJ721">
        <v>30.5411617275571</v>
      </c>
      <c r="BK721" t="s">
        <v>7650</v>
      </c>
      <c r="BL721" t="s">
        <v>7651</v>
      </c>
      <c r="BM721" t="s">
        <v>6436</v>
      </c>
      <c r="BN721" t="s">
        <v>1778</v>
      </c>
      <c r="BO721">
        <v>32097</v>
      </c>
      <c r="BP721" t="s">
        <v>404</v>
      </c>
      <c r="BQ721">
        <v>200</v>
      </c>
      <c r="BR721" t="s">
        <v>405</v>
      </c>
      <c r="BS721">
        <v>1006</v>
      </c>
      <c r="BT721" t="s">
        <v>406</v>
      </c>
      <c r="BW721">
        <v>45878</v>
      </c>
      <c r="BX721" t="s">
        <v>407</v>
      </c>
      <c r="BY721" t="s">
        <v>4360</v>
      </c>
      <c r="BZ721">
        <v>4</v>
      </c>
      <c r="CA721">
        <v>1973</v>
      </c>
      <c r="CB721">
        <v>1</v>
      </c>
      <c r="CC721">
        <v>1</v>
      </c>
      <c r="CD721">
        <v>2017</v>
      </c>
      <c r="CE721">
        <v>20000</v>
      </c>
      <c r="CF721">
        <v>8625</v>
      </c>
      <c r="CG721">
        <v>28625</v>
      </c>
      <c r="CH721">
        <v>2017</v>
      </c>
      <c r="CI721">
        <v>20000</v>
      </c>
      <c r="CJ721">
        <v>8625</v>
      </c>
      <c r="CK721">
        <v>28625</v>
      </c>
      <c r="CL721">
        <v>2017</v>
      </c>
      <c r="CM721">
        <v>433.36</v>
      </c>
      <c r="CN721" s="1">
        <v>38182</v>
      </c>
      <c r="CO721">
        <v>45000</v>
      </c>
      <c r="CV721">
        <v>0</v>
      </c>
      <c r="CZ721" s="1">
        <v>38182</v>
      </c>
      <c r="DA721">
        <v>0</v>
      </c>
      <c r="DD721" t="s">
        <v>2785</v>
      </c>
      <c r="DG721">
        <v>37</v>
      </c>
      <c r="DL721">
        <v>50502</v>
      </c>
      <c r="DM721" t="s">
        <v>7353</v>
      </c>
      <c r="DO721" t="s">
        <v>7652</v>
      </c>
      <c r="DP721">
        <v>0</v>
      </c>
      <c r="DQ721">
        <v>0</v>
      </c>
      <c r="DR721" t="s">
        <v>411</v>
      </c>
      <c r="DS721" t="b">
        <v>1</v>
      </c>
      <c r="DT721" t="s">
        <v>470</v>
      </c>
      <c r="DU721" t="s">
        <v>471</v>
      </c>
      <c r="DV721" t="s">
        <v>472</v>
      </c>
      <c r="DX721">
        <v>-9999</v>
      </c>
      <c r="DZ721" t="s">
        <v>447</v>
      </c>
      <c r="EA721" t="s">
        <v>448</v>
      </c>
      <c r="EB721" t="s">
        <v>742</v>
      </c>
      <c r="EC721">
        <v>20101217</v>
      </c>
      <c r="ED721" t="s">
        <v>474</v>
      </c>
      <c r="EF721">
        <v>690.8</v>
      </c>
      <c r="EG721">
        <v>690.8</v>
      </c>
      <c r="EI721">
        <v>20160407</v>
      </c>
      <c r="EJ721">
        <v>0</v>
      </c>
      <c r="EK721">
        <v>0</v>
      </c>
      <c r="EP721" t="s">
        <v>421</v>
      </c>
      <c r="EQ721" t="s">
        <v>422</v>
      </c>
      <c r="ER721">
        <v>1</v>
      </c>
      <c r="ES721">
        <v>3</v>
      </c>
      <c r="ET721">
        <v>502.55</v>
      </c>
      <c r="EU721">
        <v>31.38</v>
      </c>
      <c r="EV721">
        <v>533.92999999999995</v>
      </c>
      <c r="EW721" s="2">
        <v>43222</v>
      </c>
      <c r="EX721" s="1">
        <v>42879</v>
      </c>
      <c r="EY721">
        <v>2016</v>
      </c>
      <c r="EZ721">
        <v>502.55</v>
      </c>
      <c r="FA721" t="s">
        <v>7653</v>
      </c>
      <c r="FB721">
        <v>4.75</v>
      </c>
      <c r="FC721" t="s">
        <v>424</v>
      </c>
      <c r="FD721" t="s">
        <v>454</v>
      </c>
      <c r="FF721">
        <v>12</v>
      </c>
      <c r="FG721">
        <v>7336745</v>
      </c>
      <c r="FH721" t="s">
        <v>502</v>
      </c>
      <c r="FJ721" s="1">
        <v>42515</v>
      </c>
      <c r="FK721">
        <v>2015</v>
      </c>
      <c r="FL721">
        <v>509.4</v>
      </c>
      <c r="FM721" t="s">
        <v>7654</v>
      </c>
      <c r="FN721">
        <v>14.75</v>
      </c>
      <c r="FO721" t="s">
        <v>424</v>
      </c>
      <c r="FP721" t="s">
        <v>425</v>
      </c>
      <c r="FQ721" s="1">
        <v>42838</v>
      </c>
      <c r="FR721">
        <v>11</v>
      </c>
      <c r="FS721">
        <v>2035919</v>
      </c>
      <c r="FT721" t="s">
        <v>507</v>
      </c>
      <c r="FV721" s="1">
        <v>42151</v>
      </c>
      <c r="FW721">
        <v>2014</v>
      </c>
      <c r="FX721">
        <v>497.64</v>
      </c>
      <c r="FY721" t="s">
        <v>7655</v>
      </c>
      <c r="FZ721">
        <v>3.75</v>
      </c>
      <c r="GA721" t="s">
        <v>424</v>
      </c>
      <c r="GB721" t="s">
        <v>425</v>
      </c>
      <c r="GC721" s="1">
        <v>42477</v>
      </c>
      <c r="GD721">
        <v>11</v>
      </c>
      <c r="GE721">
        <v>4975593</v>
      </c>
      <c r="GF721" t="s">
        <v>505</v>
      </c>
      <c r="GH721" s="1">
        <v>41787</v>
      </c>
      <c r="GI721">
        <v>2013</v>
      </c>
      <c r="GJ721">
        <v>624.77</v>
      </c>
      <c r="GK721" t="s">
        <v>7656</v>
      </c>
      <c r="GL721">
        <v>5.5</v>
      </c>
      <c r="GM721" t="s">
        <v>424</v>
      </c>
      <c r="GN721" t="s">
        <v>425</v>
      </c>
      <c r="GO721" s="1">
        <v>41858</v>
      </c>
      <c r="GP721">
        <v>3</v>
      </c>
      <c r="GQ721">
        <v>2035919</v>
      </c>
      <c r="GR721" t="s">
        <v>507</v>
      </c>
    </row>
    <row r="722" spans="1:308" x14ac:dyDescent="0.25">
      <c r="A722">
        <v>16485729</v>
      </c>
      <c r="B722">
        <v>721</v>
      </c>
      <c r="C722" t="s">
        <v>393</v>
      </c>
      <c r="D722" t="s">
        <v>394</v>
      </c>
      <c r="F722" t="str">
        <f>"37-1N-25-299F-0117-0000"</f>
        <v>37-1N-25-299F-0117-0000</v>
      </c>
      <c r="H722" t="str">
        <f>"PITTMAN CHRISTOPHER JON"</f>
        <v>PITTMAN CHRISTOPHER JON</v>
      </c>
      <c r="I722" t="str">
        <f>"44127 CATIES WAY"</f>
        <v>44127 CATIES WAY</v>
      </c>
      <c r="J722" t="str">
        <f>"CALLAHAN FL 32011"</f>
        <v>CALLAHAN FL 32011</v>
      </c>
      <c r="K722" t="str">
        <f>"540939 LEM TURNER RD"</f>
        <v>540939 LEM TURNER RD</v>
      </c>
      <c r="L722" t="str">
        <f t="shared" ref="L722:L785" si="222">"CALLAHAN FL 32011"</f>
        <v>CALLAHAN FL 32011</v>
      </c>
      <c r="M722" t="str">
        <f>"TRACT 117 R360178 IN OR 1391/671 NASSAU VILLAGE WEST PB 5/23"</f>
        <v>TRACT 117 R360178 IN OR 1391/671 NASSAU VILLAGE WEST PB 5/23</v>
      </c>
      <c r="N722" t="str">
        <f>""</f>
        <v/>
      </c>
      <c r="O722" t="str">
        <f>"42965"</f>
        <v>42965</v>
      </c>
      <c r="P722" t="str">
        <f t="shared" si="218"/>
        <v>2017</v>
      </c>
      <c r="Q722" t="str">
        <f>""</f>
        <v/>
      </c>
      <c r="R722" t="str">
        <f t="shared" si="220"/>
        <v>N</v>
      </c>
      <c r="S722" t="str">
        <f>""</f>
        <v/>
      </c>
      <c r="T722" t="str">
        <f>"431.17"</f>
        <v>431.17</v>
      </c>
      <c r="U722" t="str">
        <f>"28481.00"</f>
        <v>28481.00</v>
      </c>
      <c r="V722" t="str">
        <f>"28481.00"</f>
        <v>28481.00</v>
      </c>
      <c r="W722" t="str">
        <f t="shared" si="219"/>
        <v>2017</v>
      </c>
      <c r="X722" t="str">
        <f>""</f>
        <v/>
      </c>
      <c r="Y722" t="str">
        <f>"476.11"</f>
        <v>476.11</v>
      </c>
      <c r="Z722" t="str">
        <f>""</f>
        <v/>
      </c>
      <c r="AA722" t="str">
        <f>"28481.00"</f>
        <v>28481.00</v>
      </c>
      <c r="AB722" t="str">
        <f t="shared" si="212"/>
        <v>Residential</v>
      </c>
      <c r="AC722" t="str">
        <f t="shared" si="204"/>
        <v>0</v>
      </c>
      <c r="AD722" t="str">
        <f>"4"</f>
        <v>4</v>
      </c>
      <c r="AE722" t="str">
        <f>"WOOD (INCLUDE STEEL STUDS)"</f>
        <v>WOOD (INCLUDE STEEL STUDS)</v>
      </c>
      <c r="AF722" t="str">
        <f>"002"</f>
        <v>002</v>
      </c>
      <c r="AG722" t="str">
        <f t="shared" si="221"/>
        <v>FL</v>
      </c>
      <c r="AH722" t="str">
        <f>"43680.00"</f>
        <v>43680.00</v>
      </c>
      <c r="AI722" t="str">
        <f t="shared" si="215"/>
        <v>20000.00</v>
      </c>
      <c r="AJ722" t="str">
        <f>"C55-000-587-8884-5"</f>
        <v>C55-000-587-8884-5</v>
      </c>
      <c r="AK722" t="str">
        <f>"11749"</f>
        <v>11749</v>
      </c>
      <c r="AL722">
        <v>3</v>
      </c>
      <c r="AM722">
        <v>832</v>
      </c>
      <c r="AN722">
        <v>498.32</v>
      </c>
      <c r="AQ722" t="s">
        <v>7657</v>
      </c>
      <c r="AR722" t="s">
        <v>7657</v>
      </c>
      <c r="AS722" t="s">
        <v>7657</v>
      </c>
      <c r="AU722" t="s">
        <v>396</v>
      </c>
      <c r="AV722">
        <v>2017</v>
      </c>
      <c r="AW722" t="str">
        <f>"37-1N-25-299F-0117-0000 "</f>
        <v xml:space="preserve">37-1N-25-299F-0117-0000 </v>
      </c>
      <c r="AX722">
        <v>540939</v>
      </c>
      <c r="AZ722" t="s">
        <v>7417</v>
      </c>
      <c r="BA722" t="s">
        <v>496</v>
      </c>
      <c r="BD722" t="s">
        <v>2785</v>
      </c>
      <c r="BE722" t="s">
        <v>393</v>
      </c>
      <c r="BF722">
        <v>32011</v>
      </c>
      <c r="BG722" t="s">
        <v>7658</v>
      </c>
      <c r="BH722" t="s">
        <v>2787</v>
      </c>
      <c r="BI722">
        <v>-81.778942904937693</v>
      </c>
      <c r="BJ722">
        <v>30.542664623008299</v>
      </c>
      <c r="BK722" t="s">
        <v>7659</v>
      </c>
      <c r="BM722" t="s">
        <v>7660</v>
      </c>
      <c r="BN722" t="s">
        <v>928</v>
      </c>
      <c r="BO722">
        <v>32011</v>
      </c>
      <c r="BP722" t="s">
        <v>404</v>
      </c>
      <c r="BQ722">
        <v>200</v>
      </c>
      <c r="BR722" t="s">
        <v>405</v>
      </c>
      <c r="BS722">
        <v>1006</v>
      </c>
      <c r="BT722" t="s">
        <v>406</v>
      </c>
      <c r="BW722">
        <v>42278</v>
      </c>
      <c r="BX722" t="s">
        <v>407</v>
      </c>
      <c r="BY722" t="s">
        <v>4360</v>
      </c>
      <c r="BZ722">
        <v>4</v>
      </c>
      <c r="CA722">
        <v>1973</v>
      </c>
      <c r="CB722">
        <v>1</v>
      </c>
      <c r="CC722">
        <v>1</v>
      </c>
      <c r="CD722">
        <v>2017</v>
      </c>
      <c r="CE722">
        <v>20000</v>
      </c>
      <c r="CF722">
        <v>8481</v>
      </c>
      <c r="CG722">
        <v>28481</v>
      </c>
      <c r="CH722">
        <v>2017</v>
      </c>
      <c r="CI722">
        <v>20000</v>
      </c>
      <c r="CJ722">
        <v>8481</v>
      </c>
      <c r="CK722">
        <v>28481</v>
      </c>
      <c r="CL722">
        <v>2017</v>
      </c>
      <c r="CM722">
        <v>431.17</v>
      </c>
      <c r="CN722" s="1">
        <v>38663</v>
      </c>
      <c r="CO722">
        <v>50000</v>
      </c>
      <c r="CV722">
        <v>0</v>
      </c>
      <c r="CZ722" s="1">
        <v>38663</v>
      </c>
      <c r="DA722">
        <v>0</v>
      </c>
      <c r="DD722" t="s">
        <v>2785</v>
      </c>
      <c r="DG722">
        <v>37</v>
      </c>
      <c r="DJ722" t="s">
        <v>7460</v>
      </c>
      <c r="DL722">
        <v>50502</v>
      </c>
      <c r="DM722" t="s">
        <v>7353</v>
      </c>
      <c r="DO722" t="s">
        <v>7661</v>
      </c>
      <c r="DP722">
        <v>0</v>
      </c>
      <c r="DQ722">
        <v>0</v>
      </c>
      <c r="DR722" t="s">
        <v>411</v>
      </c>
      <c r="DS722" t="b">
        <v>1</v>
      </c>
      <c r="DT722" t="s">
        <v>470</v>
      </c>
      <c r="DU722" t="s">
        <v>471</v>
      </c>
      <c r="DV722" t="s">
        <v>472</v>
      </c>
      <c r="DX722">
        <v>-9999</v>
      </c>
      <c r="DZ722" t="s">
        <v>447</v>
      </c>
      <c r="EA722" t="s">
        <v>448</v>
      </c>
      <c r="EB722" t="s">
        <v>742</v>
      </c>
      <c r="EC722">
        <v>20101217</v>
      </c>
      <c r="ED722" t="s">
        <v>474</v>
      </c>
      <c r="EF722">
        <v>227.8</v>
      </c>
      <c r="EG722">
        <v>227.8</v>
      </c>
      <c r="EI722">
        <v>20160407</v>
      </c>
      <c r="EJ722">
        <v>0</v>
      </c>
      <c r="EK722">
        <v>0</v>
      </c>
    </row>
    <row r="723" spans="1:308" x14ac:dyDescent="0.25">
      <c r="A723">
        <v>16485730</v>
      </c>
      <c r="B723">
        <v>722</v>
      </c>
      <c r="C723" t="s">
        <v>393</v>
      </c>
      <c r="D723" t="s">
        <v>394</v>
      </c>
      <c r="F723" t="str">
        <f>"37-1N-25-299F-0118-0000"</f>
        <v>37-1N-25-299F-0118-0000</v>
      </c>
      <c r="H723" t="str">
        <f>"MARTINEZ LEANNE M &amp; NYE SHERRY A (JT/RS)"</f>
        <v>MARTINEZ LEANNE M &amp; NYE SHERRY A (JT/RS)</v>
      </c>
      <c r="I723" t="str">
        <f>"54908 CHURCH ROAD"</f>
        <v>54908 CHURCH ROAD</v>
      </c>
      <c r="J723" t="str">
        <f>"CALLAHAN FL 32011"</f>
        <v>CALLAHAN FL 32011</v>
      </c>
      <c r="K723" t="str">
        <f>"540955 LEM TURNER RD"</f>
        <v>540955 LEM TURNER RD</v>
      </c>
      <c r="L723" t="str">
        <f t="shared" si="222"/>
        <v>CALLAHAN FL 32011</v>
      </c>
      <c r="M723" t="str">
        <f>"TRACT 118 IN OR 2148/1448 NASSAU VILLAGE WEST PB 5/23"</f>
        <v>TRACT 118 IN OR 2148/1448 NASSAU VILLAGE WEST PB 5/23</v>
      </c>
      <c r="N723" t="str">
        <f>""</f>
        <v/>
      </c>
      <c r="O723" t="str">
        <f>"42966"</f>
        <v>42966</v>
      </c>
      <c r="P723" t="str">
        <f t="shared" si="218"/>
        <v>2017</v>
      </c>
      <c r="Q723" t="str">
        <f>""</f>
        <v/>
      </c>
      <c r="R723" t="str">
        <f t="shared" si="220"/>
        <v>N</v>
      </c>
      <c r="S723" t="str">
        <f>""</f>
        <v/>
      </c>
      <c r="T723" t="str">
        <f>"451.51"</f>
        <v>451.51</v>
      </c>
      <c r="U723" t="str">
        <f>"29825.00"</f>
        <v>29825.00</v>
      </c>
      <c r="V723" t="str">
        <f>"29825.00"</f>
        <v>29825.00</v>
      </c>
      <c r="W723" t="str">
        <f t="shared" si="219"/>
        <v>2017</v>
      </c>
      <c r="X723" t="str">
        <f>"5.00"</f>
        <v>5.00</v>
      </c>
      <c r="Y723" t="str">
        <f>"497.06"</f>
        <v>497.06</v>
      </c>
      <c r="Z723" t="str">
        <f>""</f>
        <v/>
      </c>
      <c r="AA723" t="str">
        <f>"29825.00"</f>
        <v>29825.00</v>
      </c>
      <c r="AB723" t="str">
        <f t="shared" si="212"/>
        <v>Residential</v>
      </c>
      <c r="AC723" t="str">
        <f t="shared" si="204"/>
        <v>0</v>
      </c>
      <c r="AD723" t="str">
        <f>""</f>
        <v/>
      </c>
      <c r="AE723" t="str">
        <f>""</f>
        <v/>
      </c>
      <c r="AF723" t="str">
        <f>"000"</f>
        <v>000</v>
      </c>
      <c r="AG723" t="str">
        <f t="shared" si="221"/>
        <v>FL</v>
      </c>
      <c r="AH723" t="str">
        <f>"43680.00"</f>
        <v>43680.00</v>
      </c>
      <c r="AI723" t="str">
        <f t="shared" si="215"/>
        <v>20000.00</v>
      </c>
      <c r="AJ723" t="str">
        <f>"C55-000-587-8885-2"</f>
        <v>C55-000-587-8885-2</v>
      </c>
      <c r="AK723" t="str">
        <f>"11750"</f>
        <v>11750</v>
      </c>
      <c r="AL723">
        <v>3</v>
      </c>
      <c r="AM723">
        <v>833</v>
      </c>
      <c r="AN723">
        <v>520.30999999999995</v>
      </c>
      <c r="AQ723" t="s">
        <v>7662</v>
      </c>
      <c r="AR723" t="s">
        <v>7662</v>
      </c>
      <c r="AS723" t="s">
        <v>7662</v>
      </c>
      <c r="AU723" t="s">
        <v>396</v>
      </c>
      <c r="AV723">
        <v>2017</v>
      </c>
      <c r="AW723" t="str">
        <f>"37-1N-25-299F-0118-0000 "</f>
        <v xml:space="preserve">37-1N-25-299F-0118-0000 </v>
      </c>
      <c r="AX723">
        <v>540955</v>
      </c>
      <c r="AZ723" t="s">
        <v>7417</v>
      </c>
      <c r="BA723" t="s">
        <v>496</v>
      </c>
      <c r="BD723" t="s">
        <v>2785</v>
      </c>
      <c r="BE723" t="s">
        <v>393</v>
      </c>
      <c r="BF723">
        <v>32011</v>
      </c>
      <c r="BG723" t="s">
        <v>7663</v>
      </c>
      <c r="BH723" t="s">
        <v>2787</v>
      </c>
      <c r="BI723">
        <v>-81.779222949602897</v>
      </c>
      <c r="BJ723">
        <v>30.5431024719514</v>
      </c>
      <c r="BK723" t="s">
        <v>7664</v>
      </c>
      <c r="BL723" t="s">
        <v>7665</v>
      </c>
      <c r="BM723" t="s">
        <v>7666</v>
      </c>
      <c r="BN723" t="s">
        <v>928</v>
      </c>
      <c r="BO723">
        <v>32011</v>
      </c>
      <c r="BP723" t="s">
        <v>404</v>
      </c>
      <c r="BQ723">
        <v>1</v>
      </c>
      <c r="BR723" t="s">
        <v>491</v>
      </c>
      <c r="BS723">
        <v>8001</v>
      </c>
      <c r="BT723" t="s">
        <v>492</v>
      </c>
      <c r="BW723">
        <v>42382</v>
      </c>
      <c r="BX723" t="s">
        <v>407</v>
      </c>
      <c r="BY723" t="s">
        <v>4360</v>
      </c>
      <c r="CD723">
        <v>2017</v>
      </c>
      <c r="CE723">
        <v>20000</v>
      </c>
      <c r="CF723">
        <v>9825</v>
      </c>
      <c r="CG723">
        <v>29825</v>
      </c>
      <c r="CH723">
        <v>2017</v>
      </c>
      <c r="CI723">
        <v>20000</v>
      </c>
      <c r="CJ723">
        <v>9825</v>
      </c>
      <c r="CK723">
        <v>29825</v>
      </c>
      <c r="CL723">
        <v>2017</v>
      </c>
      <c r="CM723">
        <v>451.51</v>
      </c>
      <c r="CN723" s="1">
        <v>37358</v>
      </c>
      <c r="CO723">
        <v>52000</v>
      </c>
      <c r="CV723">
        <v>0</v>
      </c>
      <c r="CZ723" s="1">
        <v>37358</v>
      </c>
      <c r="DA723">
        <v>0</v>
      </c>
      <c r="DD723" t="s">
        <v>2785</v>
      </c>
      <c r="DG723">
        <v>37</v>
      </c>
      <c r="DJ723" t="s">
        <v>7460</v>
      </c>
      <c r="DL723">
        <v>50502</v>
      </c>
      <c r="DM723" t="s">
        <v>7353</v>
      </c>
      <c r="DO723" t="s">
        <v>7667</v>
      </c>
      <c r="DP723">
        <v>0</v>
      </c>
      <c r="DQ723">
        <v>0</v>
      </c>
      <c r="DR723" t="s">
        <v>411</v>
      </c>
      <c r="EP723" t="s">
        <v>421</v>
      </c>
      <c r="EQ723" t="s">
        <v>422</v>
      </c>
      <c r="ER723">
        <v>0</v>
      </c>
      <c r="ES723">
        <v>3</v>
      </c>
      <c r="ET723">
        <v>0</v>
      </c>
      <c r="EU723">
        <v>0</v>
      </c>
      <c r="EV723">
        <v>0</v>
      </c>
      <c r="EW723" s="2">
        <v>43222</v>
      </c>
      <c r="EX723" s="1">
        <v>42879</v>
      </c>
      <c r="EY723">
        <v>2016</v>
      </c>
      <c r="EZ723">
        <v>482.66</v>
      </c>
      <c r="FA723" t="s">
        <v>7668</v>
      </c>
      <c r="FB723">
        <v>5.5</v>
      </c>
      <c r="FC723" t="s">
        <v>424</v>
      </c>
      <c r="FD723" t="s">
        <v>425</v>
      </c>
      <c r="FE723" s="1">
        <v>42950</v>
      </c>
      <c r="FF723">
        <v>3</v>
      </c>
      <c r="FG723">
        <v>10125</v>
      </c>
      <c r="FH723" t="s">
        <v>440</v>
      </c>
      <c r="FJ723" s="1">
        <v>41052</v>
      </c>
      <c r="FK723">
        <v>2011</v>
      </c>
      <c r="FL723">
        <v>524.58000000000004</v>
      </c>
      <c r="FM723" t="s">
        <v>7669</v>
      </c>
      <c r="FN723">
        <v>6</v>
      </c>
      <c r="FO723" t="s">
        <v>424</v>
      </c>
      <c r="FP723" t="s">
        <v>425</v>
      </c>
      <c r="FQ723" s="1">
        <v>41221</v>
      </c>
      <c r="FR723">
        <v>6</v>
      </c>
      <c r="FS723">
        <v>375</v>
      </c>
      <c r="FT723" t="s">
        <v>776</v>
      </c>
      <c r="FV723" s="1">
        <v>40688</v>
      </c>
      <c r="FW723">
        <v>2010</v>
      </c>
      <c r="FX723">
        <v>630.42999999999995</v>
      </c>
      <c r="FY723" t="s">
        <v>7670</v>
      </c>
      <c r="FZ723">
        <v>7.75</v>
      </c>
      <c r="GA723" t="s">
        <v>424</v>
      </c>
      <c r="GB723" t="s">
        <v>425</v>
      </c>
      <c r="GC723" s="1">
        <v>40982</v>
      </c>
      <c r="GD723">
        <v>10</v>
      </c>
      <c r="GE723">
        <v>62</v>
      </c>
      <c r="GF723" t="s">
        <v>463</v>
      </c>
    </row>
    <row r="724" spans="1:308" x14ac:dyDescent="0.25">
      <c r="A724">
        <v>16485731</v>
      </c>
      <c r="B724">
        <v>723</v>
      </c>
      <c r="C724" t="s">
        <v>393</v>
      </c>
      <c r="D724" t="s">
        <v>394</v>
      </c>
      <c r="F724" t="str">
        <f>"37-1N-25-299F-0124-0000"</f>
        <v>37-1N-25-299F-0124-0000</v>
      </c>
      <c r="H724" t="str">
        <f>"NYE SHERRY A L/E"</f>
        <v>NYE SHERRY A L/E</v>
      </c>
      <c r="I724" t="str">
        <f>"54908 CHURCH ROAD"</f>
        <v>54908 CHURCH ROAD</v>
      </c>
      <c r="J724" t="str">
        <f>"CALLAHAN FL 32011"</f>
        <v>CALLAHAN FL 32011</v>
      </c>
      <c r="K724" t="str">
        <f>"54908 CHURCH RD"</f>
        <v>54908 CHURCH RD</v>
      </c>
      <c r="L724" t="str">
        <f t="shared" si="222"/>
        <v>CALLAHAN FL 32011</v>
      </c>
      <c r="M724" t="str">
        <f>"TRACT 124 2000 MERIT TW IN OR 2101/1935 NASSAU VILLAGE WEST PB 5/23"</f>
        <v>TRACT 124 2000 MERIT TW IN OR 2101/1935 NASSAU VILLAGE WEST PB 5/23</v>
      </c>
      <c r="N724" t="str">
        <f>""</f>
        <v/>
      </c>
      <c r="O724" t="str">
        <f>"42972"</f>
        <v>42972</v>
      </c>
      <c r="P724" t="str">
        <f t="shared" si="218"/>
        <v>2017</v>
      </c>
      <c r="Q724" t="str">
        <f>""</f>
        <v/>
      </c>
      <c r="R724" t="str">
        <f>"Y"</f>
        <v>Y</v>
      </c>
      <c r="S724" t="str">
        <f>""</f>
        <v/>
      </c>
      <c r="T724" t="str">
        <f>"523.82"</f>
        <v>523.82</v>
      </c>
      <c r="U724" t="str">
        <f>"72908.00"</f>
        <v>72908.00</v>
      </c>
      <c r="V724" t="str">
        <f>"72908.00"</f>
        <v>72908.00</v>
      </c>
      <c r="W724" t="str">
        <f t="shared" si="219"/>
        <v>2017</v>
      </c>
      <c r="X724" t="str">
        <f>"4.40"</f>
        <v>4.40</v>
      </c>
      <c r="Y724" t="str">
        <f>"571.53"</f>
        <v>571.53</v>
      </c>
      <c r="Z724" t="str">
        <f>"25500.00"</f>
        <v>25500.00</v>
      </c>
      <c r="AA724" t="str">
        <f>"47408.00"</f>
        <v>47408.00</v>
      </c>
      <c r="AB724" t="str">
        <f t="shared" si="212"/>
        <v>Residential</v>
      </c>
      <c r="AC724" t="str">
        <f t="shared" si="204"/>
        <v>0</v>
      </c>
      <c r="AD724" t="str">
        <f>"4"</f>
        <v>4</v>
      </c>
      <c r="AE724" t="str">
        <f>"WOOD (INCLUDE STEEL STUDS)"</f>
        <v>WOOD (INCLUDE STEEL STUDS)</v>
      </c>
      <c r="AF724" t="str">
        <f>"002"</f>
        <v>002</v>
      </c>
      <c r="AG724" t="str">
        <f t="shared" si="221"/>
        <v>FL</v>
      </c>
      <c r="AH724" t="str">
        <f>"43680.00"</f>
        <v>43680.00</v>
      </c>
      <c r="AI724" t="str">
        <f t="shared" si="215"/>
        <v>20000.00</v>
      </c>
      <c r="AJ724" t="str">
        <f>"C55-000-587-8891-0"</f>
        <v>C55-000-587-8891-0</v>
      </c>
      <c r="AK724" t="str">
        <f>"11756"</f>
        <v>11756</v>
      </c>
      <c r="AL724">
        <v>3</v>
      </c>
      <c r="AM724">
        <v>834</v>
      </c>
      <c r="AN724">
        <v>598.51</v>
      </c>
      <c r="AQ724" t="s">
        <v>7671</v>
      </c>
      <c r="AR724" t="s">
        <v>7671</v>
      </c>
      <c r="AS724" t="s">
        <v>7671</v>
      </c>
      <c r="AU724" t="s">
        <v>396</v>
      </c>
      <c r="AV724">
        <v>2017</v>
      </c>
      <c r="AW724" t="str">
        <f>"37-1N-25-299F-0124-0000 "</f>
        <v xml:space="preserve">37-1N-25-299F-0124-0000 </v>
      </c>
      <c r="AX724">
        <v>54908</v>
      </c>
      <c r="AZ724" t="s">
        <v>2234</v>
      </c>
      <c r="BA724" t="s">
        <v>496</v>
      </c>
      <c r="BD724" t="s">
        <v>2785</v>
      </c>
      <c r="BE724" t="s">
        <v>393</v>
      </c>
      <c r="BF724">
        <v>32011</v>
      </c>
      <c r="BG724" t="s">
        <v>7666</v>
      </c>
      <c r="BH724" t="s">
        <v>2787</v>
      </c>
      <c r="BI724">
        <v>-81.779506057679598</v>
      </c>
      <c r="BJ724">
        <v>30.543544794781202</v>
      </c>
      <c r="BK724" t="s">
        <v>7672</v>
      </c>
      <c r="BL724" t="s">
        <v>7673</v>
      </c>
      <c r="BM724" t="s">
        <v>7666</v>
      </c>
      <c r="BN724" t="s">
        <v>928</v>
      </c>
      <c r="BO724">
        <v>32011</v>
      </c>
      <c r="BP724" t="s">
        <v>416</v>
      </c>
      <c r="BQ724">
        <v>200</v>
      </c>
      <c r="BR724" t="s">
        <v>405</v>
      </c>
      <c r="BS724">
        <v>1006</v>
      </c>
      <c r="BT724" t="s">
        <v>406</v>
      </c>
      <c r="BW724">
        <v>43370</v>
      </c>
      <c r="BX724" t="s">
        <v>407</v>
      </c>
      <c r="BY724" t="s">
        <v>4360</v>
      </c>
      <c r="BZ724">
        <v>4</v>
      </c>
      <c r="CA724">
        <v>2000</v>
      </c>
      <c r="CB724">
        <v>1</v>
      </c>
      <c r="CC724">
        <v>1</v>
      </c>
      <c r="CD724">
        <v>2017</v>
      </c>
      <c r="CG724">
        <v>72908</v>
      </c>
      <c r="CH724">
        <v>2017</v>
      </c>
      <c r="CI724">
        <v>20000</v>
      </c>
      <c r="CJ724">
        <v>64892</v>
      </c>
      <c r="CK724">
        <v>84892</v>
      </c>
      <c r="CL724">
        <v>2017</v>
      </c>
      <c r="CM724">
        <v>523.82000000000005</v>
      </c>
      <c r="CN724" s="1">
        <v>31821</v>
      </c>
      <c r="CO724">
        <v>8500</v>
      </c>
      <c r="CZ724" s="1">
        <v>31821</v>
      </c>
      <c r="DD724" t="s">
        <v>2785</v>
      </c>
      <c r="DG724">
        <v>37</v>
      </c>
      <c r="DJ724" t="s">
        <v>7460</v>
      </c>
      <c r="DL724">
        <v>50502</v>
      </c>
      <c r="DM724" t="s">
        <v>7353</v>
      </c>
      <c r="DO724" t="s">
        <v>7674</v>
      </c>
      <c r="DP724">
        <v>0</v>
      </c>
      <c r="DQ724">
        <v>0</v>
      </c>
      <c r="DR724" t="s">
        <v>411</v>
      </c>
      <c r="EP724" t="s">
        <v>421</v>
      </c>
      <c r="EQ724" t="s">
        <v>422</v>
      </c>
      <c r="ER724">
        <v>0</v>
      </c>
      <c r="ES724">
        <v>5</v>
      </c>
      <c r="ET724">
        <v>0</v>
      </c>
      <c r="EU724">
        <v>0</v>
      </c>
      <c r="EV724">
        <v>0</v>
      </c>
      <c r="EW724" s="2">
        <v>43222</v>
      </c>
      <c r="EX724" s="1">
        <v>42879</v>
      </c>
      <c r="EY724">
        <v>2016</v>
      </c>
      <c r="EZ724">
        <v>593.15</v>
      </c>
      <c r="FA724" t="s">
        <v>7675</v>
      </c>
      <c r="FB724">
        <v>0.25</v>
      </c>
      <c r="FC724" t="s">
        <v>424</v>
      </c>
      <c r="FD724" t="s">
        <v>425</v>
      </c>
      <c r="FE724" s="1">
        <v>42950</v>
      </c>
      <c r="FF724">
        <v>3</v>
      </c>
      <c r="FG724">
        <v>11289</v>
      </c>
      <c r="FH724" t="s">
        <v>787</v>
      </c>
      <c r="FJ724" s="1">
        <v>42879</v>
      </c>
      <c r="FK724">
        <v>2016</v>
      </c>
      <c r="FL724">
        <v>593.15</v>
      </c>
      <c r="FM724" t="s">
        <v>7675</v>
      </c>
      <c r="FN724">
        <v>0.25</v>
      </c>
      <c r="FO724" t="s">
        <v>424</v>
      </c>
      <c r="FP724" t="s">
        <v>425</v>
      </c>
      <c r="FR724">
        <v>22</v>
      </c>
      <c r="FS724">
        <v>7068720</v>
      </c>
      <c r="FT724" t="s">
        <v>7676</v>
      </c>
      <c r="FV724" s="1">
        <v>41052</v>
      </c>
      <c r="FW724">
        <v>2011</v>
      </c>
      <c r="FX724">
        <v>1052.8599999999999</v>
      </c>
      <c r="FY724" t="s">
        <v>7677</v>
      </c>
      <c r="FZ724">
        <v>0.25</v>
      </c>
      <c r="GA724" t="s">
        <v>424</v>
      </c>
      <c r="GB724" t="s">
        <v>425</v>
      </c>
      <c r="GC724" s="1">
        <v>41221</v>
      </c>
      <c r="GD724">
        <v>6</v>
      </c>
      <c r="GE724">
        <v>13261</v>
      </c>
      <c r="GF724" t="s">
        <v>7678</v>
      </c>
      <c r="GH724" s="1">
        <v>41052</v>
      </c>
      <c r="GI724">
        <v>2011</v>
      </c>
      <c r="GJ724">
        <v>1052.8599999999999</v>
      </c>
      <c r="GK724" t="s">
        <v>7677</v>
      </c>
      <c r="GL724">
        <v>0.25</v>
      </c>
      <c r="GM724" t="s">
        <v>424</v>
      </c>
      <c r="GN724" t="s">
        <v>425</v>
      </c>
      <c r="GP724">
        <v>22</v>
      </c>
      <c r="GQ724">
        <v>13265</v>
      </c>
      <c r="GR724" t="s">
        <v>7679</v>
      </c>
      <c r="GT724" s="1">
        <v>40688</v>
      </c>
      <c r="GU724">
        <v>2010</v>
      </c>
      <c r="GV724">
        <v>1031.93</v>
      </c>
      <c r="GW724" t="s">
        <v>7680</v>
      </c>
      <c r="GX724">
        <v>7.75</v>
      </c>
      <c r="GY724" t="s">
        <v>424</v>
      </c>
      <c r="GZ724" t="s">
        <v>425</v>
      </c>
      <c r="HA724" s="1">
        <v>40982</v>
      </c>
      <c r="HB724">
        <v>10</v>
      </c>
      <c r="HC724">
        <v>11302</v>
      </c>
      <c r="HD724" t="s">
        <v>3940</v>
      </c>
    </row>
    <row r="725" spans="1:308" x14ac:dyDescent="0.25">
      <c r="A725">
        <v>16485732</v>
      </c>
      <c r="B725">
        <v>724</v>
      </c>
      <c r="C725" t="s">
        <v>393</v>
      </c>
      <c r="D725" t="s">
        <v>394</v>
      </c>
      <c r="F725" t="str">
        <f>"37-1N-25-299G-0008-0000"</f>
        <v>37-1N-25-299G-0008-0000</v>
      </c>
      <c r="H725" t="str">
        <f>"RAY RICHARD &amp; DARA"</f>
        <v>RAY RICHARD &amp; DARA</v>
      </c>
      <c r="I725" t="str">
        <f>"44152 SWALLOWFORK AVE"</f>
        <v>44152 SWALLOWFORK AVE</v>
      </c>
      <c r="J725" t="str">
        <f>"CALLAHAN FL 32011"</f>
        <v>CALLAHAN FL 32011</v>
      </c>
      <c r="K725" t="str">
        <f>"54242 VONTZ CIR"</f>
        <v>54242 VONTZ CIR</v>
      </c>
      <c r="L725" t="str">
        <f t="shared" si="222"/>
        <v>CALLAHAN FL 32011</v>
      </c>
      <c r="M725" t="str">
        <f>"TRACTS 8 &amp; 9 IN OR 1102 PG 137 NASSAU VILLAGE 6 UNR"</f>
        <v>TRACTS 8 &amp; 9 IN OR 1102 PG 137 NASSAU VILLAGE 6 UNR</v>
      </c>
      <c r="N725" t="str">
        <f>""</f>
        <v/>
      </c>
      <c r="O725" t="str">
        <f>"42987"</f>
        <v>42987</v>
      </c>
      <c r="P725" t="str">
        <f t="shared" si="218"/>
        <v>2017</v>
      </c>
      <c r="Q725" t="str">
        <f>""</f>
        <v/>
      </c>
      <c r="R725" t="str">
        <f t="shared" ref="R725:R735" si="223">"N"</f>
        <v>N</v>
      </c>
      <c r="S725" t="str">
        <f>""</f>
        <v/>
      </c>
      <c r="T725" t="str">
        <f>"454.16"</f>
        <v>454.16</v>
      </c>
      <c r="U725" t="str">
        <f>"30000.00"</f>
        <v>30000.00</v>
      </c>
      <c r="V725" t="str">
        <f>"30000.00"</f>
        <v>30000.00</v>
      </c>
      <c r="W725" t="str">
        <f t="shared" si="219"/>
        <v>2017</v>
      </c>
      <c r="X725" t="str">
        <f>""</f>
        <v/>
      </c>
      <c r="Y725" t="str">
        <f>"499.78"</f>
        <v>499.78</v>
      </c>
      <c r="Z725" t="str">
        <f>""</f>
        <v/>
      </c>
      <c r="AA725" t="str">
        <f>"30000.00"</f>
        <v>30000.00</v>
      </c>
      <c r="AB725" t="str">
        <f t="shared" si="212"/>
        <v>Residential</v>
      </c>
      <c r="AC725" t="str">
        <f t="shared" si="204"/>
        <v>0</v>
      </c>
      <c r="AD725" t="str">
        <f>""</f>
        <v/>
      </c>
      <c r="AE725" t="str">
        <f>""</f>
        <v/>
      </c>
      <c r="AF725" t="str">
        <f>"000"</f>
        <v>000</v>
      </c>
      <c r="AG725" t="str">
        <f t="shared" si="221"/>
        <v>FL</v>
      </c>
      <c r="AH725" t="str">
        <f t="shared" ref="AH725:AH733" si="224">"-"</f>
        <v>-</v>
      </c>
      <c r="AI725" t="str">
        <f>"30000.00"</f>
        <v>30000.00</v>
      </c>
      <c r="AJ725" t="str">
        <f>"C55-000-587-8905-8"</f>
        <v>C55-000-587-8905-8</v>
      </c>
      <c r="AK725" t="str">
        <f>"11770"</f>
        <v>11770</v>
      </c>
      <c r="AL725">
        <v>3</v>
      </c>
      <c r="AM725">
        <v>836</v>
      </c>
      <c r="AN725">
        <v>523.16999999999996</v>
      </c>
      <c r="AQ725" t="s">
        <v>7681</v>
      </c>
      <c r="AR725" t="s">
        <v>7681</v>
      </c>
      <c r="AS725" t="s">
        <v>7681</v>
      </c>
      <c r="AU725" t="s">
        <v>396</v>
      </c>
      <c r="AV725">
        <v>2017</v>
      </c>
      <c r="AW725" t="str">
        <f>"37-1N-25-299G-0008-0000 "</f>
        <v xml:space="preserve">37-1N-25-299G-0008-0000 </v>
      </c>
      <c r="AX725">
        <v>54242</v>
      </c>
      <c r="AZ725" t="s">
        <v>7456</v>
      </c>
      <c r="BA725" t="s">
        <v>1799</v>
      </c>
      <c r="BD725" t="s">
        <v>2785</v>
      </c>
      <c r="BE725" t="s">
        <v>393</v>
      </c>
      <c r="BF725">
        <v>32011</v>
      </c>
      <c r="BG725" t="s">
        <v>7682</v>
      </c>
      <c r="BH725" t="s">
        <v>2787</v>
      </c>
      <c r="BI725">
        <v>-81.765513654367695</v>
      </c>
      <c r="BJ725">
        <v>30.534690857296301</v>
      </c>
      <c r="BK725" t="s">
        <v>7683</v>
      </c>
      <c r="BL725" t="s">
        <v>7684</v>
      </c>
      <c r="BM725" t="s">
        <v>7685</v>
      </c>
      <c r="BN725" t="s">
        <v>928</v>
      </c>
      <c r="BO725">
        <v>32011</v>
      </c>
      <c r="BP725" t="s">
        <v>404</v>
      </c>
      <c r="BQ725">
        <v>0</v>
      </c>
      <c r="BR725" t="s">
        <v>491</v>
      </c>
      <c r="BS725">
        <v>8001</v>
      </c>
      <c r="BT725" t="s">
        <v>492</v>
      </c>
      <c r="BW725">
        <v>173880</v>
      </c>
      <c r="BX725" t="s">
        <v>407</v>
      </c>
      <c r="BY725" t="s">
        <v>4360</v>
      </c>
      <c r="CD725">
        <v>2017</v>
      </c>
      <c r="CE725">
        <v>30000</v>
      </c>
      <c r="CG725">
        <v>30000</v>
      </c>
      <c r="CH725">
        <v>2017</v>
      </c>
      <c r="CI725">
        <v>30000</v>
      </c>
      <c r="CK725">
        <v>30000</v>
      </c>
      <c r="CL725">
        <v>2017</v>
      </c>
      <c r="CM725">
        <v>454.16</v>
      </c>
      <c r="CN725" s="1">
        <v>37609</v>
      </c>
      <c r="CO725">
        <v>42000</v>
      </c>
      <c r="CV725">
        <v>37800</v>
      </c>
      <c r="CZ725" s="1">
        <v>37609</v>
      </c>
      <c r="DA725">
        <v>0</v>
      </c>
      <c r="DD725" t="s">
        <v>2785</v>
      </c>
      <c r="DG725">
        <v>37</v>
      </c>
      <c r="DJ725" t="s">
        <v>7460</v>
      </c>
      <c r="DL725">
        <v>50502</v>
      </c>
      <c r="DM725" t="s">
        <v>7353</v>
      </c>
      <c r="DO725" t="s">
        <v>7686</v>
      </c>
      <c r="DP725">
        <v>0</v>
      </c>
      <c r="DQ725">
        <v>0</v>
      </c>
      <c r="DR725" t="s">
        <v>411</v>
      </c>
    </row>
    <row r="726" spans="1:308" x14ac:dyDescent="0.25">
      <c r="A726">
        <v>16485733</v>
      </c>
      <c r="B726">
        <v>725</v>
      </c>
      <c r="C726" t="s">
        <v>393</v>
      </c>
      <c r="D726" t="s">
        <v>394</v>
      </c>
      <c r="F726" t="str">
        <f>"37-1N-25-299L-0002-0020"</f>
        <v>37-1N-25-299L-0002-0020</v>
      </c>
      <c r="H726" t="str">
        <f>"ALLEN NORMAN ROBERT EST"</f>
        <v>ALLEN NORMAN ROBERT EST</v>
      </c>
      <c r="I726" t="str">
        <f>"54095 ROY BOOTH ROAD"</f>
        <v>54095 ROY BOOTH ROAD</v>
      </c>
      <c r="J726" t="str">
        <f>"CALLAHAN FL 32011"</f>
        <v>CALLAHAN FL 32011</v>
      </c>
      <c r="K726" t="str">
        <f>"54095 ROY BOOTH RD"</f>
        <v>54095 ROY BOOTH RD</v>
      </c>
      <c r="L726" t="str">
        <f t="shared" si="222"/>
        <v>CALLAHAN FL 32011</v>
      </c>
      <c r="M726" t="str">
        <f>"BLOCK 2 LOT 2 IN OR 988/1539 R236004 &amp; R236005 POINT SOUTH UNIT 1 PB 4/73"</f>
        <v>BLOCK 2 LOT 2 IN OR 988/1539 R236004 &amp; R236005 POINT SOUTH UNIT 1 PB 4/73</v>
      </c>
      <c r="N726" t="str">
        <f>""</f>
        <v/>
      </c>
      <c r="O726" t="str">
        <f>"42995"</f>
        <v>42995</v>
      </c>
      <c r="P726" t="str">
        <f t="shared" si="218"/>
        <v>2017</v>
      </c>
      <c r="Q726" t="str">
        <f>""</f>
        <v/>
      </c>
      <c r="R726" t="str">
        <f t="shared" si="223"/>
        <v>N</v>
      </c>
      <c r="S726" t="str">
        <f>""</f>
        <v/>
      </c>
      <c r="T726" t="str">
        <f>"458.57"</f>
        <v>458.57</v>
      </c>
      <c r="U726" t="str">
        <f>"30291.00"</f>
        <v>30291.00</v>
      </c>
      <c r="V726" t="str">
        <f>"30291.00"</f>
        <v>30291.00</v>
      </c>
      <c r="W726" t="str">
        <f t="shared" si="219"/>
        <v>2017</v>
      </c>
      <c r="X726" t="str">
        <f>"21.00"</f>
        <v>21.00</v>
      </c>
      <c r="Y726" t="str">
        <f>"504.33"</f>
        <v>504.33</v>
      </c>
      <c r="Z726" t="str">
        <f>""</f>
        <v/>
      </c>
      <c r="AA726" t="str">
        <f>"30291.00"</f>
        <v>30291.00</v>
      </c>
      <c r="AB726" t="str">
        <f t="shared" ref="AB726:AB759" si="225">"Residential"</f>
        <v>Residential</v>
      </c>
      <c r="AC726" t="str">
        <f t="shared" si="204"/>
        <v>0</v>
      </c>
      <c r="AD726" t="str">
        <f t="shared" ref="AD726:AD740" si="226">"4"</f>
        <v>4</v>
      </c>
      <c r="AE726" t="str">
        <f t="shared" ref="AE726:AE740" si="227">"WOOD (INCLUDE STEEL STUDS)"</f>
        <v>WOOD (INCLUDE STEEL STUDS)</v>
      </c>
      <c r="AF726" t="str">
        <f t="shared" ref="AF726:AF740" si="228">"002"</f>
        <v>002</v>
      </c>
      <c r="AG726" t="str">
        <f t="shared" si="221"/>
        <v>FL</v>
      </c>
      <c r="AH726" t="str">
        <f t="shared" si="224"/>
        <v>-</v>
      </c>
      <c r="AI726" t="str">
        <f t="shared" ref="AI726:AI733" si="229">"15000.00"</f>
        <v>15000.00</v>
      </c>
      <c r="AJ726" t="str">
        <f>"C55-000-587-8912-4"</f>
        <v>C55-000-587-8912-4</v>
      </c>
      <c r="AK726" t="str">
        <f>"11776"</f>
        <v>11776</v>
      </c>
      <c r="AL726">
        <v>3</v>
      </c>
      <c r="AM726">
        <v>837</v>
      </c>
      <c r="AN726">
        <v>527.95000000000005</v>
      </c>
      <c r="AQ726" t="s">
        <v>7687</v>
      </c>
      <c r="AR726" t="s">
        <v>7687</v>
      </c>
      <c r="AS726" t="s">
        <v>7687</v>
      </c>
      <c r="AU726" t="s">
        <v>396</v>
      </c>
      <c r="AV726">
        <v>2017</v>
      </c>
      <c r="AW726" t="str">
        <f>"37-1N-25-299L-0002-0020 "</f>
        <v xml:space="preserve">37-1N-25-299L-0002-0020 </v>
      </c>
      <c r="AX726">
        <v>54095</v>
      </c>
      <c r="AZ726" t="s">
        <v>7377</v>
      </c>
      <c r="BA726" t="s">
        <v>496</v>
      </c>
      <c r="BD726" t="s">
        <v>2785</v>
      </c>
      <c r="BE726" t="s">
        <v>393</v>
      </c>
      <c r="BF726">
        <v>32011</v>
      </c>
      <c r="BG726" t="s">
        <v>7688</v>
      </c>
      <c r="BH726" t="s">
        <v>2787</v>
      </c>
      <c r="BI726">
        <v>-81.787251072065402</v>
      </c>
      <c r="BJ726">
        <v>30.510942227722001</v>
      </c>
      <c r="BK726" t="s">
        <v>7689</v>
      </c>
      <c r="BL726" t="s">
        <v>7690</v>
      </c>
      <c r="BM726" t="s">
        <v>7688</v>
      </c>
      <c r="BN726" t="s">
        <v>928</v>
      </c>
      <c r="BO726">
        <v>32011</v>
      </c>
      <c r="BP726" t="s">
        <v>416</v>
      </c>
      <c r="BQ726">
        <v>200</v>
      </c>
      <c r="BR726" t="s">
        <v>405</v>
      </c>
      <c r="BS726">
        <v>1006</v>
      </c>
      <c r="BT726" t="s">
        <v>406</v>
      </c>
      <c r="BW726">
        <v>43954</v>
      </c>
      <c r="BX726" t="s">
        <v>407</v>
      </c>
      <c r="BY726" t="s">
        <v>408</v>
      </c>
      <c r="BZ726">
        <v>4</v>
      </c>
      <c r="CA726">
        <v>1983</v>
      </c>
      <c r="CB726">
        <v>1</v>
      </c>
      <c r="CC726">
        <v>1</v>
      </c>
      <c r="CD726">
        <v>2017</v>
      </c>
      <c r="CE726">
        <v>15000</v>
      </c>
      <c r="CF726">
        <v>15291</v>
      </c>
      <c r="CG726">
        <v>30291</v>
      </c>
      <c r="CH726">
        <v>2017</v>
      </c>
      <c r="CI726">
        <v>15000</v>
      </c>
      <c r="CJ726">
        <v>15291</v>
      </c>
      <c r="CK726">
        <v>30291</v>
      </c>
      <c r="CL726">
        <v>2017</v>
      </c>
      <c r="CM726">
        <v>458.57</v>
      </c>
      <c r="CN726" s="1">
        <v>36959</v>
      </c>
      <c r="CO726">
        <v>40000</v>
      </c>
      <c r="CV726">
        <v>0</v>
      </c>
      <c r="CZ726" s="1">
        <v>36959</v>
      </c>
      <c r="DA726">
        <v>0</v>
      </c>
      <c r="DD726" t="s">
        <v>2785</v>
      </c>
      <c r="DF726">
        <v>2</v>
      </c>
      <c r="DG726">
        <v>37</v>
      </c>
      <c r="DL726">
        <v>50502</v>
      </c>
      <c r="DM726" t="s">
        <v>7353</v>
      </c>
      <c r="DO726" t="s">
        <v>7691</v>
      </c>
      <c r="DP726">
        <v>0</v>
      </c>
      <c r="DQ726">
        <v>1</v>
      </c>
      <c r="DR726" t="s">
        <v>1479</v>
      </c>
      <c r="DS726" t="b">
        <v>1</v>
      </c>
      <c r="DT726" t="s">
        <v>470</v>
      </c>
      <c r="DU726" t="s">
        <v>471</v>
      </c>
      <c r="DV726" t="s">
        <v>472</v>
      </c>
      <c r="DX726">
        <v>-9999</v>
      </c>
      <c r="DZ726" t="s">
        <v>447</v>
      </c>
      <c r="EA726" t="s">
        <v>448</v>
      </c>
      <c r="EB726" t="s">
        <v>742</v>
      </c>
      <c r="EC726">
        <v>20101217</v>
      </c>
      <c r="ED726" t="s">
        <v>474</v>
      </c>
      <c r="EF726">
        <v>1022.5</v>
      </c>
      <c r="EG726">
        <v>1022.5</v>
      </c>
      <c r="EI726">
        <v>20160407</v>
      </c>
      <c r="EJ726">
        <v>0</v>
      </c>
      <c r="EK726">
        <v>0</v>
      </c>
      <c r="EP726" t="s">
        <v>421</v>
      </c>
      <c r="EQ726" t="s">
        <v>452</v>
      </c>
      <c r="ER726">
        <v>0</v>
      </c>
      <c r="ES726">
        <v>11</v>
      </c>
      <c r="ET726">
        <v>0</v>
      </c>
      <c r="EU726">
        <v>0</v>
      </c>
      <c r="EV726">
        <v>0</v>
      </c>
      <c r="EW726" s="2">
        <v>43222</v>
      </c>
      <c r="EX726" s="1">
        <v>42515</v>
      </c>
      <c r="EY726">
        <v>2015</v>
      </c>
      <c r="EZ726">
        <v>487.38</v>
      </c>
      <c r="FA726" t="s">
        <v>7692</v>
      </c>
      <c r="FB726">
        <v>18</v>
      </c>
      <c r="FC726" t="s">
        <v>424</v>
      </c>
      <c r="FD726" t="s">
        <v>425</v>
      </c>
      <c r="FE726" s="1">
        <v>42849</v>
      </c>
      <c r="FF726">
        <v>11</v>
      </c>
      <c r="FG726">
        <v>10628</v>
      </c>
      <c r="FH726" t="s">
        <v>943</v>
      </c>
      <c r="FI726" t="s">
        <v>458</v>
      </c>
      <c r="FJ726" s="1">
        <v>42151</v>
      </c>
      <c r="FK726">
        <v>2014</v>
      </c>
      <c r="FL726">
        <v>424.91</v>
      </c>
      <c r="FM726" t="s">
        <v>7693</v>
      </c>
      <c r="FN726">
        <v>4</v>
      </c>
      <c r="FO726" t="s">
        <v>424</v>
      </c>
      <c r="FP726" t="s">
        <v>425</v>
      </c>
      <c r="FR726">
        <v>22</v>
      </c>
      <c r="FS726">
        <v>15399</v>
      </c>
      <c r="FT726" t="s">
        <v>485</v>
      </c>
      <c r="FU726" t="s">
        <v>458</v>
      </c>
      <c r="FV726" s="1">
        <v>42151</v>
      </c>
      <c r="FW726">
        <v>2014</v>
      </c>
      <c r="FX726">
        <v>424.91</v>
      </c>
      <c r="FY726" t="s">
        <v>7693</v>
      </c>
      <c r="FZ726">
        <v>4</v>
      </c>
      <c r="GA726" t="s">
        <v>424</v>
      </c>
      <c r="GB726" t="s">
        <v>425</v>
      </c>
      <c r="GD726">
        <v>22</v>
      </c>
      <c r="GE726">
        <v>7045022</v>
      </c>
      <c r="GF726" t="s">
        <v>2104</v>
      </c>
      <c r="GG726" t="s">
        <v>458</v>
      </c>
      <c r="GH726" s="1">
        <v>42151</v>
      </c>
      <c r="GI726">
        <v>2014</v>
      </c>
      <c r="GJ726">
        <v>424.91</v>
      </c>
      <c r="GK726" t="s">
        <v>7693</v>
      </c>
      <c r="GL726">
        <v>4</v>
      </c>
      <c r="GM726" t="s">
        <v>424</v>
      </c>
      <c r="GN726" t="s">
        <v>425</v>
      </c>
      <c r="GP726">
        <v>22</v>
      </c>
      <c r="GQ726">
        <v>7336692</v>
      </c>
      <c r="GR726" t="s">
        <v>822</v>
      </c>
      <c r="GS726" t="s">
        <v>458</v>
      </c>
      <c r="GT726" s="1">
        <v>42151</v>
      </c>
      <c r="GU726">
        <v>2014</v>
      </c>
      <c r="GV726">
        <v>424.91</v>
      </c>
      <c r="GW726" t="s">
        <v>7693</v>
      </c>
      <c r="GX726">
        <v>4</v>
      </c>
      <c r="GY726" t="s">
        <v>424</v>
      </c>
      <c r="GZ726" t="s">
        <v>425</v>
      </c>
      <c r="HB726">
        <v>22</v>
      </c>
      <c r="HC726">
        <v>7336698</v>
      </c>
      <c r="HD726" t="s">
        <v>823</v>
      </c>
      <c r="HE726" t="s">
        <v>458</v>
      </c>
      <c r="HF726" s="1">
        <v>41787</v>
      </c>
      <c r="HG726">
        <v>2013</v>
      </c>
      <c r="HH726">
        <v>525.07000000000005</v>
      </c>
      <c r="HI726" t="s">
        <v>7694</v>
      </c>
      <c r="HJ726">
        <v>2.25</v>
      </c>
      <c r="HK726" t="s">
        <v>424</v>
      </c>
      <c r="HL726" t="s">
        <v>425</v>
      </c>
      <c r="HM726" s="1">
        <v>42452</v>
      </c>
      <c r="HN726">
        <v>22</v>
      </c>
      <c r="HO726">
        <v>15399</v>
      </c>
      <c r="HP726" t="s">
        <v>485</v>
      </c>
      <c r="HR726" s="1">
        <v>41423</v>
      </c>
      <c r="HS726">
        <v>2012</v>
      </c>
      <c r="HT726">
        <v>537.20000000000005</v>
      </c>
      <c r="HU726" t="s">
        <v>7695</v>
      </c>
      <c r="HV726">
        <v>3</v>
      </c>
      <c r="HW726" t="s">
        <v>424</v>
      </c>
      <c r="HX726" t="s">
        <v>425</v>
      </c>
      <c r="HZ726">
        <v>22</v>
      </c>
      <c r="IA726">
        <v>15399</v>
      </c>
      <c r="IB726" t="s">
        <v>485</v>
      </c>
      <c r="ID726" s="1">
        <v>41423</v>
      </c>
      <c r="IE726">
        <v>2012</v>
      </c>
      <c r="IF726">
        <v>537.20000000000005</v>
      </c>
      <c r="IG726" t="s">
        <v>7695</v>
      </c>
      <c r="IH726">
        <v>3</v>
      </c>
      <c r="II726" t="s">
        <v>424</v>
      </c>
      <c r="IJ726" t="s">
        <v>425</v>
      </c>
      <c r="IK726" s="1">
        <v>42159</v>
      </c>
      <c r="IL726">
        <v>25</v>
      </c>
      <c r="IM726">
        <v>13027</v>
      </c>
      <c r="IN726" t="s">
        <v>826</v>
      </c>
      <c r="IP726" s="1">
        <v>41052</v>
      </c>
      <c r="IQ726">
        <v>2011</v>
      </c>
      <c r="IR726">
        <v>668.18</v>
      </c>
      <c r="IS726" t="s">
        <v>7696</v>
      </c>
      <c r="IT726">
        <v>5.75</v>
      </c>
      <c r="IU726" t="s">
        <v>424</v>
      </c>
      <c r="IV726" t="s">
        <v>425</v>
      </c>
      <c r="IW726" s="1">
        <v>41726</v>
      </c>
      <c r="IX726">
        <v>22</v>
      </c>
      <c r="IY726">
        <v>1625515</v>
      </c>
      <c r="IZ726" t="s">
        <v>487</v>
      </c>
      <c r="JB726" s="1">
        <v>41052</v>
      </c>
      <c r="JC726">
        <v>2011</v>
      </c>
      <c r="JD726">
        <v>668.18</v>
      </c>
      <c r="JE726" t="s">
        <v>7696</v>
      </c>
      <c r="JF726">
        <v>5.75</v>
      </c>
      <c r="JG726" t="s">
        <v>424</v>
      </c>
      <c r="JH726" t="s">
        <v>425</v>
      </c>
      <c r="JJ726">
        <v>22</v>
      </c>
      <c r="JK726">
        <v>10579</v>
      </c>
      <c r="JL726" t="s">
        <v>488</v>
      </c>
      <c r="JN726" s="1">
        <v>40688</v>
      </c>
      <c r="JO726">
        <v>2010</v>
      </c>
      <c r="JP726">
        <v>279.48</v>
      </c>
      <c r="JQ726" t="s">
        <v>7697</v>
      </c>
      <c r="JR726">
        <v>7.75</v>
      </c>
      <c r="JS726" t="s">
        <v>424</v>
      </c>
      <c r="JT726" t="s">
        <v>425</v>
      </c>
      <c r="JU726" s="1">
        <v>41365</v>
      </c>
      <c r="JV726">
        <v>23</v>
      </c>
      <c r="JW726">
        <v>62</v>
      </c>
      <c r="JX726" t="s">
        <v>463</v>
      </c>
    </row>
    <row r="727" spans="1:308" x14ac:dyDescent="0.25">
      <c r="A727">
        <v>16485734</v>
      </c>
      <c r="B727">
        <v>726</v>
      </c>
      <c r="C727" t="s">
        <v>393</v>
      </c>
      <c r="D727" t="s">
        <v>394</v>
      </c>
      <c r="F727" t="str">
        <f>"37-1N-25-299M-0001-0000"</f>
        <v>37-1N-25-299M-0001-0000</v>
      </c>
      <c r="H727" t="str">
        <f>"CONNER JACK C EST &amp; CONNER CLARA G"</f>
        <v>CONNER JACK C EST &amp; CONNER CLARA G</v>
      </c>
      <c r="I727" t="str">
        <f>"5389 107TH ST"</f>
        <v>5389 107TH ST</v>
      </c>
      <c r="J727" t="str">
        <f>"JACKSONVILLE FL 32244"</f>
        <v>JACKSONVILLE FL 32244</v>
      </c>
      <c r="K727" t="str">
        <f>"54067 CHARLOTTE DR"</f>
        <v>54067 CHARLOTTE DR</v>
      </c>
      <c r="L727" t="str">
        <f t="shared" si="222"/>
        <v>CALLAHAN FL 32011</v>
      </c>
      <c r="M727" t="str">
        <f>"LOT 1 R583725 &amp; R583726 IN OR 618 PG 116 POINT SOUTH 2 PB 4/82 &amp; 83"</f>
        <v>LOT 1 R583725 &amp; R583726 IN OR 618 PG 116 POINT SOUTH 2 PB 4/82 &amp; 83</v>
      </c>
      <c r="N727" t="str">
        <f>""</f>
        <v/>
      </c>
      <c r="O727" t="str">
        <f>"43011"</f>
        <v>43011</v>
      </c>
      <c r="P727" t="str">
        <f t="shared" si="218"/>
        <v>2017</v>
      </c>
      <c r="Q727" t="str">
        <f>""</f>
        <v/>
      </c>
      <c r="R727" t="str">
        <f t="shared" si="223"/>
        <v>N</v>
      </c>
      <c r="S727" t="str">
        <f>""</f>
        <v/>
      </c>
      <c r="T727" t="str">
        <f>"380.85"</f>
        <v>380.85</v>
      </c>
      <c r="U727" t="str">
        <f>"25157.00"</f>
        <v>25157.00</v>
      </c>
      <c r="V727" t="str">
        <f>"25157.00"</f>
        <v>25157.00</v>
      </c>
      <c r="W727" t="str">
        <f t="shared" si="219"/>
        <v>2017</v>
      </c>
      <c r="X727" t="str">
        <f>"10.60"</f>
        <v>10.60</v>
      </c>
      <c r="Y727" t="str">
        <f>"424.28"</f>
        <v>424.28</v>
      </c>
      <c r="Z727" t="str">
        <f>""</f>
        <v/>
      </c>
      <c r="AA727" t="str">
        <f>"25157.00"</f>
        <v>25157.00</v>
      </c>
      <c r="AB727" t="str">
        <f t="shared" si="225"/>
        <v>Residential</v>
      </c>
      <c r="AC727" t="str">
        <f t="shared" si="204"/>
        <v>0</v>
      </c>
      <c r="AD727" t="str">
        <f t="shared" si="226"/>
        <v>4</v>
      </c>
      <c r="AE727" t="str">
        <f t="shared" si="227"/>
        <v>WOOD (INCLUDE STEEL STUDS)</v>
      </c>
      <c r="AF727" t="str">
        <f t="shared" si="228"/>
        <v>002</v>
      </c>
      <c r="AG727" t="str">
        <f t="shared" si="221"/>
        <v>FL</v>
      </c>
      <c r="AH727" t="str">
        <f t="shared" si="224"/>
        <v>-</v>
      </c>
      <c r="AI727" t="str">
        <f t="shared" si="229"/>
        <v>15000.00</v>
      </c>
      <c r="AJ727" t="str">
        <f>"C55-000-587-8927-2"</f>
        <v>C55-000-587-8927-2</v>
      </c>
      <c r="AK727" t="str">
        <f>"11791"</f>
        <v>11791</v>
      </c>
      <c r="AL727">
        <v>3</v>
      </c>
      <c r="AM727">
        <v>838</v>
      </c>
      <c r="AN727">
        <v>443.89</v>
      </c>
      <c r="AQ727" t="s">
        <v>7698</v>
      </c>
      <c r="AR727" t="s">
        <v>7698</v>
      </c>
      <c r="AS727" t="s">
        <v>7698</v>
      </c>
      <c r="AU727" t="s">
        <v>396</v>
      </c>
      <c r="AV727">
        <v>2017</v>
      </c>
      <c r="AW727" t="str">
        <f>"37-1N-25-299M-0001-0000 "</f>
        <v xml:space="preserve">37-1N-25-299M-0001-0000 </v>
      </c>
      <c r="AX727">
        <v>54067</v>
      </c>
      <c r="AZ727" t="s">
        <v>7699</v>
      </c>
      <c r="BA727" t="s">
        <v>669</v>
      </c>
      <c r="BD727" t="s">
        <v>2785</v>
      </c>
      <c r="BE727" t="s">
        <v>393</v>
      </c>
      <c r="BF727">
        <v>32011</v>
      </c>
      <c r="BG727" t="s">
        <v>7700</v>
      </c>
      <c r="BH727" t="s">
        <v>2787</v>
      </c>
      <c r="BI727">
        <v>-81.782361466727295</v>
      </c>
      <c r="BJ727">
        <v>30.514290388443801</v>
      </c>
      <c r="BK727" t="s">
        <v>7701</v>
      </c>
      <c r="BM727" t="s">
        <v>7702</v>
      </c>
      <c r="BN727" t="s">
        <v>548</v>
      </c>
      <c r="BO727">
        <v>32244</v>
      </c>
      <c r="BP727" t="s">
        <v>404</v>
      </c>
      <c r="BQ727">
        <v>200</v>
      </c>
      <c r="BR727" t="s">
        <v>405</v>
      </c>
      <c r="BS727">
        <v>1006</v>
      </c>
      <c r="BT727" t="s">
        <v>406</v>
      </c>
      <c r="BW727">
        <v>43339</v>
      </c>
      <c r="BX727" t="s">
        <v>407</v>
      </c>
      <c r="BY727" t="s">
        <v>408</v>
      </c>
      <c r="BZ727">
        <v>4</v>
      </c>
      <c r="CA727">
        <v>1986</v>
      </c>
      <c r="CB727">
        <v>1</v>
      </c>
      <c r="CC727">
        <v>1</v>
      </c>
      <c r="CD727">
        <v>2017</v>
      </c>
      <c r="CE727">
        <v>15000</v>
      </c>
      <c r="CF727">
        <v>10157</v>
      </c>
      <c r="CG727">
        <v>25157</v>
      </c>
      <c r="CH727">
        <v>2017</v>
      </c>
      <c r="CI727">
        <v>15000</v>
      </c>
      <c r="CJ727">
        <v>10157</v>
      </c>
      <c r="CK727">
        <v>25157</v>
      </c>
      <c r="CL727">
        <v>2017</v>
      </c>
      <c r="CM727">
        <v>380.85</v>
      </c>
      <c r="CN727" s="1">
        <v>33267</v>
      </c>
      <c r="CO727">
        <v>5900</v>
      </c>
      <c r="CZ727" s="1">
        <v>33267</v>
      </c>
      <c r="DD727" t="s">
        <v>2785</v>
      </c>
      <c r="DG727">
        <v>37</v>
      </c>
      <c r="DL727">
        <v>50502</v>
      </c>
      <c r="DM727" t="s">
        <v>7353</v>
      </c>
      <c r="DO727" t="s">
        <v>7703</v>
      </c>
      <c r="DP727">
        <v>0</v>
      </c>
      <c r="DQ727">
        <v>0</v>
      </c>
      <c r="DR727" t="s">
        <v>411</v>
      </c>
      <c r="DS727" t="b">
        <v>1</v>
      </c>
      <c r="DT727" t="s">
        <v>470</v>
      </c>
      <c r="DU727" t="s">
        <v>471</v>
      </c>
      <c r="DV727" t="s">
        <v>472</v>
      </c>
      <c r="DX727">
        <v>-9999</v>
      </c>
      <c r="DZ727" t="s">
        <v>447</v>
      </c>
      <c r="EA727" t="s">
        <v>448</v>
      </c>
      <c r="EB727" t="s">
        <v>742</v>
      </c>
      <c r="EC727">
        <v>20101217</v>
      </c>
      <c r="ED727" t="s">
        <v>474</v>
      </c>
      <c r="EF727">
        <v>737.4</v>
      </c>
      <c r="EG727">
        <v>737.4</v>
      </c>
      <c r="EI727">
        <v>20160407</v>
      </c>
      <c r="EJ727">
        <v>0</v>
      </c>
      <c r="EK727">
        <v>0</v>
      </c>
      <c r="EP727" t="s">
        <v>421</v>
      </c>
      <c r="EQ727" t="s">
        <v>422</v>
      </c>
      <c r="ER727">
        <v>1</v>
      </c>
      <c r="ES727">
        <v>4</v>
      </c>
      <c r="ET727">
        <v>500.5</v>
      </c>
      <c r="EU727">
        <v>31.28</v>
      </c>
      <c r="EV727">
        <v>531.78</v>
      </c>
      <c r="EW727" s="2">
        <v>43222</v>
      </c>
      <c r="EX727" s="1">
        <v>42879</v>
      </c>
      <c r="EY727">
        <v>2016</v>
      </c>
      <c r="EZ727">
        <v>500.5</v>
      </c>
      <c r="FA727" t="s">
        <v>7704</v>
      </c>
      <c r="FB727">
        <v>0.25</v>
      </c>
      <c r="FC727" t="s">
        <v>424</v>
      </c>
      <c r="FD727" t="s">
        <v>454</v>
      </c>
      <c r="FF727">
        <v>12</v>
      </c>
      <c r="FG727">
        <v>7336745</v>
      </c>
      <c r="FH727" t="s">
        <v>502</v>
      </c>
      <c r="FJ727" s="1">
        <v>42515</v>
      </c>
      <c r="FK727">
        <v>2015</v>
      </c>
      <c r="FL727">
        <v>294.5</v>
      </c>
      <c r="FM727" t="s">
        <v>7705</v>
      </c>
      <c r="FN727">
        <v>14.75</v>
      </c>
      <c r="FO727" t="s">
        <v>424</v>
      </c>
      <c r="FP727" t="s">
        <v>425</v>
      </c>
      <c r="FQ727" s="1">
        <v>43159</v>
      </c>
      <c r="FR727">
        <v>21</v>
      </c>
      <c r="FS727">
        <v>7336143</v>
      </c>
      <c r="FT727" t="s">
        <v>539</v>
      </c>
      <c r="FV727" s="1">
        <v>41787</v>
      </c>
      <c r="FW727">
        <v>2013</v>
      </c>
      <c r="FX727">
        <v>321.37</v>
      </c>
      <c r="FY727" t="s">
        <v>7706</v>
      </c>
      <c r="FZ727">
        <v>0.25</v>
      </c>
      <c r="GA727" t="s">
        <v>424</v>
      </c>
      <c r="GB727" t="s">
        <v>425</v>
      </c>
      <c r="GC727" s="1">
        <v>41908</v>
      </c>
      <c r="GD727">
        <v>4</v>
      </c>
      <c r="GE727">
        <v>15399</v>
      </c>
      <c r="GF727" t="s">
        <v>485</v>
      </c>
      <c r="GH727" s="1">
        <v>41423</v>
      </c>
      <c r="GI727">
        <v>2012</v>
      </c>
      <c r="GJ727">
        <v>341.36</v>
      </c>
      <c r="GK727" t="s">
        <v>7707</v>
      </c>
      <c r="GL727">
        <v>3</v>
      </c>
      <c r="GM727" t="s">
        <v>424</v>
      </c>
      <c r="GN727" t="s">
        <v>425</v>
      </c>
      <c r="GO727" s="1">
        <v>41908</v>
      </c>
      <c r="GP727">
        <v>16</v>
      </c>
      <c r="GQ727">
        <v>15399</v>
      </c>
      <c r="GR727" t="s">
        <v>485</v>
      </c>
      <c r="GT727" s="1">
        <v>40688</v>
      </c>
      <c r="GU727">
        <v>2010</v>
      </c>
      <c r="GV727">
        <v>479.58</v>
      </c>
      <c r="GW727" t="s">
        <v>7708</v>
      </c>
      <c r="GX727">
        <v>7.5</v>
      </c>
      <c r="GY727" t="s">
        <v>424</v>
      </c>
      <c r="GZ727" t="s">
        <v>425</v>
      </c>
      <c r="HA727" s="1">
        <v>40983</v>
      </c>
      <c r="HB727">
        <v>10</v>
      </c>
      <c r="HC727">
        <v>62</v>
      </c>
      <c r="HD727" t="s">
        <v>463</v>
      </c>
    </row>
    <row r="728" spans="1:308" x14ac:dyDescent="0.25">
      <c r="A728">
        <v>16485735</v>
      </c>
      <c r="B728">
        <v>727</v>
      </c>
      <c r="C728" t="s">
        <v>393</v>
      </c>
      <c r="D728" t="s">
        <v>394</v>
      </c>
      <c r="F728" t="str">
        <f>"37-1N-25-299M-0011-0000"</f>
        <v>37-1N-25-299M-0011-0000</v>
      </c>
      <c r="H728" t="str">
        <f>"CORDELL ZACHARY &amp; ETHRIDGE PAUL"</f>
        <v>CORDELL ZACHARY &amp; ETHRIDGE PAUL</v>
      </c>
      <c r="I728" t="str">
        <f>"8100 DIVEN ARCH"</f>
        <v>8100 DIVEN ARCH</v>
      </c>
      <c r="J728" t="str">
        <f>"NORFOLK VA 23511"</f>
        <v>NORFOLK VA 23511</v>
      </c>
      <c r="K728" t="str">
        <f>"54134 DEBRA LN"</f>
        <v>54134 DEBRA LN</v>
      </c>
      <c r="L728" t="str">
        <f t="shared" si="222"/>
        <v>CALLAHAN FL 32011</v>
      </c>
      <c r="M728" t="str">
        <f>"LOT 11 IN OR 2112/1729 POINT SOUTH 2 PB 4/82 &amp; 83 1994 HARB DW"</f>
        <v>LOT 11 IN OR 2112/1729 POINT SOUTH 2 PB 4/82 &amp; 83 1994 HARB DW</v>
      </c>
      <c r="N728" t="str">
        <f>""</f>
        <v/>
      </c>
      <c r="O728" t="str">
        <f>"43021"</f>
        <v>43021</v>
      </c>
      <c r="P728" t="str">
        <f t="shared" si="218"/>
        <v>2017</v>
      </c>
      <c r="Q728" t="str">
        <f>""</f>
        <v/>
      </c>
      <c r="R728" t="str">
        <f t="shared" si="223"/>
        <v>N</v>
      </c>
      <c r="S728" t="str">
        <f>""</f>
        <v/>
      </c>
      <c r="T728" t="str">
        <f>"801.70"</f>
        <v>801.70</v>
      </c>
      <c r="U728" t="str">
        <f>"49193.00"</f>
        <v>49193.00</v>
      </c>
      <c r="V728" t="str">
        <f>"49193.00"</f>
        <v>49193.00</v>
      </c>
      <c r="W728" t="str">
        <f t="shared" si="219"/>
        <v>2017</v>
      </c>
      <c r="X728" t="str">
        <f>"15.67"</f>
        <v>15.67</v>
      </c>
      <c r="Y728" t="str">
        <f>"857.75"</f>
        <v>857.75</v>
      </c>
      <c r="Z728" t="str">
        <f>""</f>
        <v/>
      </c>
      <c r="AA728" t="str">
        <f>"57829.00"</f>
        <v>57829.00</v>
      </c>
      <c r="AB728" t="str">
        <f t="shared" si="225"/>
        <v>Residential</v>
      </c>
      <c r="AC728" t="str">
        <f t="shared" ref="AC728:AC791" si="230">"0"</f>
        <v>0</v>
      </c>
      <c r="AD728" t="str">
        <f t="shared" si="226"/>
        <v>4</v>
      </c>
      <c r="AE728" t="str">
        <f t="shared" si="227"/>
        <v>WOOD (INCLUDE STEEL STUDS)</v>
      </c>
      <c r="AF728" t="str">
        <f t="shared" si="228"/>
        <v>002</v>
      </c>
      <c r="AG728" t="str">
        <f>"VA"</f>
        <v>VA</v>
      </c>
      <c r="AH728" t="str">
        <f t="shared" si="224"/>
        <v>-</v>
      </c>
      <c r="AI728" t="str">
        <f t="shared" si="229"/>
        <v>15000.00</v>
      </c>
      <c r="AJ728" t="str">
        <f>"C55-000-587-8937-1"</f>
        <v>C55-000-587-8937-1</v>
      </c>
      <c r="AK728" t="str">
        <f>"11800"</f>
        <v>11800</v>
      </c>
      <c r="AL728">
        <v>3</v>
      </c>
      <c r="AM728">
        <v>841</v>
      </c>
      <c r="AN728">
        <v>899.04</v>
      </c>
      <c r="AQ728" t="s">
        <v>7709</v>
      </c>
      <c r="AR728" t="s">
        <v>7709</v>
      </c>
      <c r="AS728" t="s">
        <v>7709</v>
      </c>
      <c r="AU728" t="s">
        <v>396</v>
      </c>
      <c r="AV728">
        <v>2017</v>
      </c>
      <c r="AW728" t="str">
        <f>"37-1N-25-299M-0011-0000 "</f>
        <v xml:space="preserve">37-1N-25-299M-0011-0000 </v>
      </c>
      <c r="AX728">
        <v>54134</v>
      </c>
      <c r="AZ728" t="s">
        <v>7710</v>
      </c>
      <c r="BA728" t="s">
        <v>653</v>
      </c>
      <c r="BD728" t="s">
        <v>2785</v>
      </c>
      <c r="BE728" t="s">
        <v>393</v>
      </c>
      <c r="BF728">
        <v>32011</v>
      </c>
      <c r="BG728" t="s">
        <v>7711</v>
      </c>
      <c r="BH728" t="s">
        <v>2787</v>
      </c>
      <c r="BI728">
        <v>-81.7830925364009</v>
      </c>
      <c r="BJ728">
        <v>30.512277216659299</v>
      </c>
      <c r="BK728" t="s">
        <v>7712</v>
      </c>
      <c r="BM728" t="s">
        <v>7711</v>
      </c>
      <c r="BN728" t="s">
        <v>928</v>
      </c>
      <c r="BO728">
        <v>32011</v>
      </c>
      <c r="BP728" t="s">
        <v>416</v>
      </c>
      <c r="BQ728">
        <v>200</v>
      </c>
      <c r="BR728" t="s">
        <v>405</v>
      </c>
      <c r="BS728">
        <v>1006</v>
      </c>
      <c r="BT728" t="s">
        <v>406</v>
      </c>
      <c r="BW728">
        <v>44444</v>
      </c>
      <c r="BX728" t="s">
        <v>407</v>
      </c>
      <c r="BY728" t="s">
        <v>408</v>
      </c>
      <c r="BZ728">
        <v>4</v>
      </c>
      <c r="CA728">
        <v>1994</v>
      </c>
      <c r="CB728">
        <v>1</v>
      </c>
      <c r="CC728">
        <v>1</v>
      </c>
      <c r="CD728">
        <v>2017</v>
      </c>
      <c r="CE728">
        <v>15000</v>
      </c>
      <c r="CF728">
        <v>42829</v>
      </c>
      <c r="CG728">
        <v>57829</v>
      </c>
      <c r="CH728">
        <v>2017</v>
      </c>
      <c r="CI728">
        <v>15000</v>
      </c>
      <c r="CJ728">
        <v>42829</v>
      </c>
      <c r="CK728">
        <v>57829</v>
      </c>
      <c r="CL728">
        <v>2017</v>
      </c>
      <c r="CM728">
        <v>801.7</v>
      </c>
      <c r="CN728" s="1">
        <v>35982</v>
      </c>
      <c r="CZ728" s="1">
        <v>35982</v>
      </c>
      <c r="DD728" t="s">
        <v>2785</v>
      </c>
      <c r="DF728">
        <v>11</v>
      </c>
      <c r="DG728">
        <v>37</v>
      </c>
      <c r="DJ728" t="s">
        <v>7713</v>
      </c>
      <c r="DL728">
        <v>50502</v>
      </c>
      <c r="DM728" t="s">
        <v>7353</v>
      </c>
      <c r="DO728" t="s">
        <v>7714</v>
      </c>
      <c r="DP728">
        <v>0</v>
      </c>
      <c r="DQ728">
        <v>0</v>
      </c>
      <c r="DR728" t="s">
        <v>411</v>
      </c>
      <c r="DS728" t="b">
        <v>1</v>
      </c>
      <c r="DT728" t="s">
        <v>470</v>
      </c>
      <c r="DU728" t="s">
        <v>471</v>
      </c>
      <c r="DV728" t="s">
        <v>472</v>
      </c>
      <c r="DX728">
        <v>-9999</v>
      </c>
      <c r="DZ728" t="s">
        <v>447</v>
      </c>
      <c r="EA728" t="s">
        <v>448</v>
      </c>
      <c r="EB728" t="s">
        <v>742</v>
      </c>
      <c r="EC728">
        <v>20101217</v>
      </c>
      <c r="ED728" t="s">
        <v>474</v>
      </c>
      <c r="EF728">
        <v>969.9</v>
      </c>
      <c r="EG728">
        <v>969.9</v>
      </c>
      <c r="EI728">
        <v>20160407</v>
      </c>
      <c r="EJ728">
        <v>0</v>
      </c>
      <c r="EK728">
        <v>0</v>
      </c>
      <c r="EP728" t="s">
        <v>421</v>
      </c>
      <c r="EQ728" t="s">
        <v>422</v>
      </c>
      <c r="ER728">
        <v>2</v>
      </c>
      <c r="ES728">
        <v>7</v>
      </c>
      <c r="ET728">
        <v>1538.92</v>
      </c>
      <c r="EU728">
        <v>89.45</v>
      </c>
      <c r="EV728">
        <v>1628.37</v>
      </c>
      <c r="EW728" s="2">
        <v>43222</v>
      </c>
      <c r="EX728" s="1">
        <v>42879</v>
      </c>
      <c r="EY728">
        <v>2016</v>
      </c>
      <c r="EZ728">
        <v>769.46</v>
      </c>
      <c r="FA728" t="s">
        <v>7715</v>
      </c>
      <c r="FB728">
        <v>0.25</v>
      </c>
      <c r="FC728" t="s">
        <v>424</v>
      </c>
      <c r="FD728" t="s">
        <v>454</v>
      </c>
      <c r="FF728">
        <v>12</v>
      </c>
      <c r="FG728">
        <v>2851116</v>
      </c>
      <c r="FH728" t="s">
        <v>480</v>
      </c>
      <c r="FJ728" s="1">
        <v>42879</v>
      </c>
      <c r="FK728">
        <v>2016</v>
      </c>
      <c r="FL728">
        <v>769.46</v>
      </c>
      <c r="FM728" t="s">
        <v>7715</v>
      </c>
      <c r="FN728">
        <v>0.25</v>
      </c>
      <c r="FO728" t="s">
        <v>424</v>
      </c>
      <c r="FP728" t="s">
        <v>454</v>
      </c>
      <c r="FR728">
        <v>12</v>
      </c>
      <c r="FS728">
        <v>4937055</v>
      </c>
      <c r="FT728" t="s">
        <v>7716</v>
      </c>
      <c r="FV728" s="1">
        <v>42515</v>
      </c>
      <c r="FW728">
        <v>2015</v>
      </c>
      <c r="FX728">
        <v>306.63</v>
      </c>
      <c r="FY728" t="s">
        <v>7717</v>
      </c>
      <c r="FZ728">
        <v>14.75</v>
      </c>
      <c r="GA728" t="s">
        <v>424</v>
      </c>
      <c r="GB728" t="s">
        <v>425</v>
      </c>
      <c r="GC728" s="1">
        <v>42780</v>
      </c>
      <c r="GD728">
        <v>9</v>
      </c>
      <c r="GE728">
        <v>2035919</v>
      </c>
      <c r="GF728" t="s">
        <v>507</v>
      </c>
      <c r="GH728" s="1">
        <v>42151</v>
      </c>
      <c r="GI728">
        <v>2014</v>
      </c>
      <c r="GJ728">
        <v>301.73</v>
      </c>
      <c r="GK728" t="s">
        <v>7718</v>
      </c>
      <c r="GL728">
        <v>0.25</v>
      </c>
      <c r="GM728" t="s">
        <v>424</v>
      </c>
      <c r="GN728" t="s">
        <v>425</v>
      </c>
      <c r="GO728" s="1">
        <v>42780</v>
      </c>
      <c r="GP728">
        <v>21</v>
      </c>
      <c r="GQ728">
        <v>2851116</v>
      </c>
      <c r="GR728" t="s">
        <v>480</v>
      </c>
      <c r="GT728" s="1">
        <v>42151</v>
      </c>
      <c r="GU728">
        <v>2014</v>
      </c>
      <c r="GV728">
        <v>301.73</v>
      </c>
      <c r="GW728" t="s">
        <v>7718</v>
      </c>
      <c r="GX728">
        <v>0.25</v>
      </c>
      <c r="GY728" t="s">
        <v>424</v>
      </c>
      <c r="GZ728" t="s">
        <v>425</v>
      </c>
      <c r="HB728">
        <v>22</v>
      </c>
      <c r="HC728">
        <v>5327243</v>
      </c>
      <c r="HD728" t="s">
        <v>7719</v>
      </c>
      <c r="HF728" s="1">
        <v>41787</v>
      </c>
      <c r="HG728">
        <v>2013</v>
      </c>
      <c r="HH728">
        <v>418.28</v>
      </c>
      <c r="HI728" t="s">
        <v>7720</v>
      </c>
      <c r="HJ728">
        <v>0.25</v>
      </c>
      <c r="HK728" t="s">
        <v>424</v>
      </c>
      <c r="HL728" t="s">
        <v>425</v>
      </c>
      <c r="HN728">
        <v>22</v>
      </c>
      <c r="HO728">
        <v>13026</v>
      </c>
      <c r="HP728" t="s">
        <v>2129</v>
      </c>
      <c r="HR728" s="1">
        <v>41787</v>
      </c>
      <c r="HS728">
        <v>2013</v>
      </c>
      <c r="HT728">
        <v>418.28</v>
      </c>
      <c r="HU728" t="s">
        <v>7720</v>
      </c>
      <c r="HV728">
        <v>0.25</v>
      </c>
      <c r="HW728" t="s">
        <v>424</v>
      </c>
      <c r="HX728" t="s">
        <v>425</v>
      </c>
      <c r="HY728" s="1">
        <v>42780</v>
      </c>
      <c r="HZ728">
        <v>33</v>
      </c>
      <c r="IA728">
        <v>1126</v>
      </c>
      <c r="IB728" t="s">
        <v>4405</v>
      </c>
      <c r="ID728" s="1">
        <v>41052</v>
      </c>
      <c r="IE728">
        <v>2011</v>
      </c>
      <c r="IF728">
        <v>485.24</v>
      </c>
      <c r="IG728" t="s">
        <v>7721</v>
      </c>
      <c r="IH728">
        <v>6</v>
      </c>
      <c r="II728" t="s">
        <v>424</v>
      </c>
      <c r="IJ728" t="s">
        <v>425</v>
      </c>
      <c r="IK728" s="1">
        <v>41365</v>
      </c>
      <c r="IL728">
        <v>11</v>
      </c>
      <c r="IM728">
        <v>105</v>
      </c>
      <c r="IN728" t="s">
        <v>946</v>
      </c>
      <c r="IP728" s="1">
        <v>40688</v>
      </c>
      <c r="IQ728">
        <v>2010</v>
      </c>
      <c r="IR728">
        <v>543.24</v>
      </c>
      <c r="IS728" t="s">
        <v>7722</v>
      </c>
      <c r="IT728">
        <v>7.75</v>
      </c>
      <c r="IU728" t="s">
        <v>424</v>
      </c>
      <c r="IV728" t="s">
        <v>425</v>
      </c>
      <c r="IW728" s="1">
        <v>41344</v>
      </c>
      <c r="IX728">
        <v>22</v>
      </c>
      <c r="IY728">
        <v>62</v>
      </c>
      <c r="IZ728" t="s">
        <v>463</v>
      </c>
    </row>
    <row r="729" spans="1:308" x14ac:dyDescent="0.25">
      <c r="A729">
        <v>16485736</v>
      </c>
      <c r="B729">
        <v>728</v>
      </c>
      <c r="C729" t="s">
        <v>393</v>
      </c>
      <c r="D729" t="s">
        <v>394</v>
      </c>
      <c r="F729" t="str">
        <f>"37-1N-25-299N-0002-0050"</f>
        <v>37-1N-25-299N-0002-0050</v>
      </c>
      <c r="H729" t="str">
        <f>"HAYES KENNETH &amp; STEPHANIE"</f>
        <v>HAYES KENNETH &amp; STEPHANIE</v>
      </c>
      <c r="I729" t="str">
        <f>"54125 EVA COURT"</f>
        <v>54125 EVA COURT</v>
      </c>
      <c r="J729" t="str">
        <f>"CALLAHAN FL 32011"</f>
        <v>CALLAHAN FL 32011</v>
      </c>
      <c r="K729" t="str">
        <f>"54125 EVA CT"</f>
        <v>54125 EVA CT</v>
      </c>
      <c r="L729" t="str">
        <f t="shared" si="222"/>
        <v>CALLAHAN FL 32011</v>
      </c>
      <c r="M729" t="str">
        <f>"BLOCK 2 LOT 5 IN OR 2118/735 1985 SHOW DW/MH POINT SOUTH 3 PB 4/98 &amp; 99"</f>
        <v>BLOCK 2 LOT 5 IN OR 2118/735 1985 SHOW DW/MH POINT SOUTH 3 PB 4/98 &amp; 99</v>
      </c>
      <c r="N729" t="str">
        <f>""</f>
        <v/>
      </c>
      <c r="O729" t="str">
        <f>"43034"</f>
        <v>43034</v>
      </c>
      <c r="P729" t="str">
        <f t="shared" si="218"/>
        <v>2017</v>
      </c>
      <c r="Q729" t="str">
        <f>""</f>
        <v/>
      </c>
      <c r="R729" t="str">
        <f t="shared" si="223"/>
        <v>N</v>
      </c>
      <c r="S729" t="str">
        <f>""</f>
        <v/>
      </c>
      <c r="T729" t="str">
        <f>"542.00"</f>
        <v>542.00</v>
      </c>
      <c r="U729" t="str">
        <f>"35802.00"</f>
        <v>35802.00</v>
      </c>
      <c r="V729" t="str">
        <f>"35802.00"</f>
        <v>35802.00</v>
      </c>
      <c r="W729" t="str">
        <f t="shared" si="219"/>
        <v>2017</v>
      </c>
      <c r="X729" t="str">
        <f>"10.00"</f>
        <v>10.00</v>
      </c>
      <c r="Y729" t="str">
        <f>"590.26"</f>
        <v>590.26</v>
      </c>
      <c r="Z729" t="str">
        <f>""</f>
        <v/>
      </c>
      <c r="AA729" t="str">
        <f>"35802.00"</f>
        <v>35802.00</v>
      </c>
      <c r="AB729" t="str">
        <f t="shared" si="225"/>
        <v>Residential</v>
      </c>
      <c r="AC729" t="str">
        <f t="shared" si="230"/>
        <v>0</v>
      </c>
      <c r="AD729" t="str">
        <f t="shared" si="226"/>
        <v>4</v>
      </c>
      <c r="AE729" t="str">
        <f t="shared" si="227"/>
        <v>WOOD (INCLUDE STEEL STUDS)</v>
      </c>
      <c r="AF729" t="str">
        <f t="shared" si="228"/>
        <v>002</v>
      </c>
      <c r="AG729" t="str">
        <f t="shared" ref="AG729:AG748" si="231">"FL"</f>
        <v>FL</v>
      </c>
      <c r="AH729" t="str">
        <f t="shared" si="224"/>
        <v>-</v>
      </c>
      <c r="AI729" t="str">
        <f t="shared" si="229"/>
        <v>15000.00</v>
      </c>
      <c r="AJ729" t="str">
        <f>"C55-000-587-8949-6"</f>
        <v>C55-000-587-8949-6</v>
      </c>
      <c r="AK729" t="str">
        <f>"11812"</f>
        <v>11812</v>
      </c>
      <c r="AL729">
        <v>3</v>
      </c>
      <c r="AM729">
        <v>842</v>
      </c>
      <c r="AN729">
        <v>618.16999999999996</v>
      </c>
      <c r="AQ729" t="s">
        <v>7723</v>
      </c>
      <c r="AR729" t="s">
        <v>7723</v>
      </c>
      <c r="AS729" t="s">
        <v>7723</v>
      </c>
      <c r="AU729" t="s">
        <v>396</v>
      </c>
      <c r="AV729">
        <v>2017</v>
      </c>
      <c r="AW729" t="str">
        <f>"37-1N-25-299N-0002-0050 "</f>
        <v xml:space="preserve">37-1N-25-299N-0002-0050 </v>
      </c>
      <c r="AX729">
        <v>54125</v>
      </c>
      <c r="AZ729" t="s">
        <v>7724</v>
      </c>
      <c r="BA729" t="s">
        <v>3181</v>
      </c>
      <c r="BD729" t="s">
        <v>2785</v>
      </c>
      <c r="BE729" t="s">
        <v>393</v>
      </c>
      <c r="BF729">
        <v>32011</v>
      </c>
      <c r="BG729" t="s">
        <v>7725</v>
      </c>
      <c r="BH729" t="s">
        <v>2787</v>
      </c>
      <c r="BI729">
        <v>-81.785644492258697</v>
      </c>
      <c r="BJ729">
        <v>30.511590724404201</v>
      </c>
      <c r="BK729" t="s">
        <v>7726</v>
      </c>
      <c r="BL729" t="s">
        <v>7727</v>
      </c>
      <c r="BM729" t="s">
        <v>7725</v>
      </c>
      <c r="BN729" t="s">
        <v>928</v>
      </c>
      <c r="BO729">
        <v>32011</v>
      </c>
      <c r="BP729" t="s">
        <v>416</v>
      </c>
      <c r="BQ729">
        <v>200</v>
      </c>
      <c r="BR729" t="s">
        <v>405</v>
      </c>
      <c r="BS729">
        <v>1006</v>
      </c>
      <c r="BT729" t="s">
        <v>406</v>
      </c>
      <c r="BW729">
        <v>43761</v>
      </c>
      <c r="BX729" t="s">
        <v>407</v>
      </c>
      <c r="BY729" t="s">
        <v>408</v>
      </c>
      <c r="BZ729">
        <v>4</v>
      </c>
      <c r="CA729">
        <v>1985</v>
      </c>
      <c r="CB729">
        <v>1</v>
      </c>
      <c r="CC729">
        <v>1</v>
      </c>
      <c r="CD729">
        <v>2017</v>
      </c>
      <c r="CE729">
        <v>15000</v>
      </c>
      <c r="CF729">
        <v>20802</v>
      </c>
      <c r="CG729">
        <v>35802</v>
      </c>
      <c r="CH729">
        <v>2017</v>
      </c>
      <c r="CI729">
        <v>15000</v>
      </c>
      <c r="CJ729">
        <v>20802</v>
      </c>
      <c r="CK729">
        <v>35802</v>
      </c>
      <c r="CL729">
        <v>2017</v>
      </c>
      <c r="CM729">
        <v>542</v>
      </c>
      <c r="CN729" s="1">
        <v>42863</v>
      </c>
      <c r="CO729">
        <v>48500</v>
      </c>
      <c r="CV729">
        <v>46600</v>
      </c>
      <c r="CX729" t="s">
        <v>707</v>
      </c>
      <c r="CZ729" s="1">
        <v>42863</v>
      </c>
      <c r="DA729">
        <v>0</v>
      </c>
      <c r="DD729" t="s">
        <v>2785</v>
      </c>
      <c r="DF729">
        <v>5</v>
      </c>
      <c r="DG729">
        <v>37</v>
      </c>
      <c r="DL729">
        <v>50502</v>
      </c>
      <c r="DM729" t="s">
        <v>7353</v>
      </c>
      <c r="DO729" t="s">
        <v>7728</v>
      </c>
      <c r="DP729">
        <v>0</v>
      </c>
      <c r="DQ729">
        <v>0</v>
      </c>
      <c r="DR729" t="s">
        <v>411</v>
      </c>
    </row>
    <row r="730" spans="1:308" x14ac:dyDescent="0.25">
      <c r="A730">
        <v>16485737</v>
      </c>
      <c r="B730">
        <v>729</v>
      </c>
      <c r="C730" t="s">
        <v>393</v>
      </c>
      <c r="D730" t="s">
        <v>394</v>
      </c>
      <c r="F730" t="str">
        <f>"37-1N-25-299N-0002-0080"</f>
        <v>37-1N-25-299N-0002-0080</v>
      </c>
      <c r="H730" t="str">
        <f>"FORBES TROY A &amp; JESSICA A"</f>
        <v>FORBES TROY A &amp; JESSICA A</v>
      </c>
      <c r="I730" t="str">
        <f>"54055 EVA CT"</f>
        <v>54055 EVA CT</v>
      </c>
      <c r="J730" t="str">
        <f>"CALLAHAN FL 32011"</f>
        <v>CALLAHAN FL 32011</v>
      </c>
      <c r="K730" t="str">
        <f>"54055 EVA CT"</f>
        <v>54055 EVA CT</v>
      </c>
      <c r="L730" t="str">
        <f t="shared" si="222"/>
        <v>CALLAHAN FL 32011</v>
      </c>
      <c r="M730" t="str">
        <f>"BLOCK 2 LOT 8 IN OR 2085/314 POINT SOUTH 3 PB 4/98 &amp;99"</f>
        <v>BLOCK 2 LOT 8 IN OR 2085/314 POINT SOUTH 3 PB 4/98 &amp;99</v>
      </c>
      <c r="N730" t="str">
        <f>""</f>
        <v/>
      </c>
      <c r="O730" t="str">
        <f>"43037"</f>
        <v>43037</v>
      </c>
      <c r="P730" t="str">
        <f t="shared" si="218"/>
        <v>2017</v>
      </c>
      <c r="Q730" t="str">
        <f>""</f>
        <v/>
      </c>
      <c r="R730" t="str">
        <f t="shared" si="223"/>
        <v>N</v>
      </c>
      <c r="S730" t="str">
        <f>""</f>
        <v/>
      </c>
      <c r="T730" t="str">
        <f>"820.91"</f>
        <v>820.91</v>
      </c>
      <c r="U730" t="str">
        <f>"54226.00"</f>
        <v>54226.00</v>
      </c>
      <c r="V730" t="str">
        <f>"54226.00"</f>
        <v>54226.00</v>
      </c>
      <c r="W730" t="str">
        <f t="shared" si="219"/>
        <v>2017</v>
      </c>
      <c r="X730" t="str">
        <f>"19.38"</f>
        <v>19.38</v>
      </c>
      <c r="Y730" t="str">
        <f>"877.54"</f>
        <v>877.54</v>
      </c>
      <c r="Z730" t="str">
        <f>""</f>
        <v/>
      </c>
      <c r="AA730" t="str">
        <f>"54226.00"</f>
        <v>54226.00</v>
      </c>
      <c r="AB730" t="str">
        <f t="shared" si="225"/>
        <v>Residential</v>
      </c>
      <c r="AC730" t="str">
        <f t="shared" si="230"/>
        <v>0</v>
      </c>
      <c r="AD730" t="str">
        <f t="shared" si="226"/>
        <v>4</v>
      </c>
      <c r="AE730" t="str">
        <f t="shared" si="227"/>
        <v>WOOD (INCLUDE STEEL STUDS)</v>
      </c>
      <c r="AF730" t="str">
        <f t="shared" si="228"/>
        <v>002</v>
      </c>
      <c r="AG730" t="str">
        <f t="shared" si="231"/>
        <v>FL</v>
      </c>
      <c r="AH730" t="str">
        <f t="shared" si="224"/>
        <v>-</v>
      </c>
      <c r="AI730" t="str">
        <f t="shared" si="229"/>
        <v>15000.00</v>
      </c>
      <c r="AJ730" t="str">
        <f>"C55-000-587-8952-0"</f>
        <v>C55-000-587-8952-0</v>
      </c>
      <c r="AK730" t="str">
        <f>"11815"</f>
        <v>11815</v>
      </c>
      <c r="AL730">
        <v>3</v>
      </c>
      <c r="AM730">
        <v>843</v>
      </c>
      <c r="AN730">
        <v>919.82</v>
      </c>
      <c r="AQ730" t="s">
        <v>7729</v>
      </c>
      <c r="AR730" t="s">
        <v>7729</v>
      </c>
      <c r="AS730" t="s">
        <v>7729</v>
      </c>
      <c r="AU730" t="s">
        <v>396</v>
      </c>
      <c r="AV730">
        <v>2017</v>
      </c>
      <c r="AW730" t="str">
        <f>"37-1N-25-299N-0002-0080 "</f>
        <v xml:space="preserve">37-1N-25-299N-0002-0080 </v>
      </c>
      <c r="AX730">
        <v>54055</v>
      </c>
      <c r="AZ730" t="s">
        <v>7724</v>
      </c>
      <c r="BA730" t="s">
        <v>3181</v>
      </c>
      <c r="BD730" t="s">
        <v>2785</v>
      </c>
      <c r="BE730" t="s">
        <v>393</v>
      </c>
      <c r="BF730">
        <v>32011</v>
      </c>
      <c r="BG730" t="s">
        <v>7730</v>
      </c>
      <c r="BH730" t="s">
        <v>2787</v>
      </c>
      <c r="BI730">
        <v>-81.787075401551604</v>
      </c>
      <c r="BJ730">
        <v>30.5126950332414</v>
      </c>
      <c r="BK730" t="s">
        <v>7731</v>
      </c>
      <c r="BL730" t="s">
        <v>7732</v>
      </c>
      <c r="BM730" t="s">
        <v>7730</v>
      </c>
      <c r="BN730" t="s">
        <v>928</v>
      </c>
      <c r="BO730">
        <v>32011</v>
      </c>
      <c r="BP730" t="s">
        <v>416</v>
      </c>
      <c r="BQ730">
        <v>200</v>
      </c>
      <c r="BR730" t="s">
        <v>405</v>
      </c>
      <c r="BS730">
        <v>1006</v>
      </c>
      <c r="BT730" t="s">
        <v>406</v>
      </c>
      <c r="BW730">
        <v>44783</v>
      </c>
      <c r="BX730" t="s">
        <v>407</v>
      </c>
      <c r="BY730" t="s">
        <v>408</v>
      </c>
      <c r="BZ730">
        <v>4</v>
      </c>
      <c r="CA730">
        <v>1998</v>
      </c>
      <c r="CC730">
        <v>1</v>
      </c>
      <c r="CD730">
        <v>2017</v>
      </c>
      <c r="CE730">
        <v>15000</v>
      </c>
      <c r="CF730">
        <v>39226</v>
      </c>
      <c r="CG730">
        <v>54226</v>
      </c>
      <c r="CH730">
        <v>2017</v>
      </c>
      <c r="CI730">
        <v>15000</v>
      </c>
      <c r="CJ730">
        <v>39226</v>
      </c>
      <c r="CK730">
        <v>54226</v>
      </c>
      <c r="CL730">
        <v>2017</v>
      </c>
      <c r="CM730">
        <v>820.91</v>
      </c>
      <c r="CN730" s="1">
        <v>39610</v>
      </c>
      <c r="CO730">
        <v>46000</v>
      </c>
      <c r="CV730">
        <v>0</v>
      </c>
      <c r="CZ730" s="1">
        <v>39610</v>
      </c>
      <c r="DA730">
        <v>0</v>
      </c>
      <c r="DD730" t="s">
        <v>2785</v>
      </c>
      <c r="DF730">
        <v>8</v>
      </c>
      <c r="DG730">
        <v>37</v>
      </c>
      <c r="DJ730" t="s">
        <v>7713</v>
      </c>
      <c r="DL730">
        <v>50502</v>
      </c>
      <c r="DM730" t="s">
        <v>7353</v>
      </c>
      <c r="DO730" t="s">
        <v>7733</v>
      </c>
      <c r="DP730">
        <v>0</v>
      </c>
      <c r="DQ730">
        <v>0</v>
      </c>
      <c r="DR730" t="s">
        <v>411</v>
      </c>
      <c r="DS730" t="b">
        <v>1</v>
      </c>
      <c r="DT730" t="s">
        <v>470</v>
      </c>
      <c r="DU730" t="s">
        <v>471</v>
      </c>
      <c r="DV730" t="s">
        <v>472</v>
      </c>
      <c r="DX730">
        <v>-9999</v>
      </c>
      <c r="DZ730" t="s">
        <v>447</v>
      </c>
      <c r="EA730" t="s">
        <v>448</v>
      </c>
      <c r="EB730" t="s">
        <v>742</v>
      </c>
      <c r="EC730">
        <v>20101217</v>
      </c>
      <c r="ED730" t="s">
        <v>474</v>
      </c>
      <c r="EF730">
        <v>1662.3</v>
      </c>
      <c r="EG730">
        <v>1662.3</v>
      </c>
      <c r="EI730">
        <v>20160407</v>
      </c>
      <c r="EJ730">
        <v>0</v>
      </c>
      <c r="EK730">
        <v>0</v>
      </c>
      <c r="EP730" t="s">
        <v>421</v>
      </c>
      <c r="EQ730" t="s">
        <v>452</v>
      </c>
      <c r="ER730">
        <v>0</v>
      </c>
      <c r="ES730">
        <v>13</v>
      </c>
      <c r="ET730">
        <v>0</v>
      </c>
      <c r="EU730">
        <v>0</v>
      </c>
      <c r="EV730">
        <v>0</v>
      </c>
      <c r="EW730" s="2">
        <v>43222</v>
      </c>
      <c r="EX730" s="1">
        <v>42879</v>
      </c>
      <c r="EY730">
        <v>2016</v>
      </c>
      <c r="EZ730">
        <v>807.86</v>
      </c>
      <c r="FA730" t="s">
        <v>7734</v>
      </c>
      <c r="FB730">
        <v>0.25</v>
      </c>
      <c r="FC730" t="s">
        <v>424</v>
      </c>
      <c r="FD730" t="s">
        <v>425</v>
      </c>
      <c r="FE730" s="1">
        <v>43168</v>
      </c>
      <c r="FF730">
        <v>10</v>
      </c>
      <c r="FG730">
        <v>2851116</v>
      </c>
      <c r="FH730" t="s">
        <v>480</v>
      </c>
      <c r="FJ730" s="1">
        <v>42879</v>
      </c>
      <c r="FK730">
        <v>2016</v>
      </c>
      <c r="FL730">
        <v>807.86</v>
      </c>
      <c r="FM730" t="s">
        <v>7734</v>
      </c>
      <c r="FN730">
        <v>0.25</v>
      </c>
      <c r="FO730" t="s">
        <v>424</v>
      </c>
      <c r="FP730" t="s">
        <v>425</v>
      </c>
      <c r="FR730">
        <v>22</v>
      </c>
      <c r="FS730">
        <v>5378272</v>
      </c>
      <c r="FT730" t="s">
        <v>7735</v>
      </c>
      <c r="FV730" s="1">
        <v>42515</v>
      </c>
      <c r="FW730">
        <v>2015</v>
      </c>
      <c r="FX730">
        <v>803.6</v>
      </c>
      <c r="FY730" t="s">
        <v>7736</v>
      </c>
      <c r="FZ730">
        <v>14.75</v>
      </c>
      <c r="GA730" t="s">
        <v>424</v>
      </c>
      <c r="GB730" t="s">
        <v>425</v>
      </c>
      <c r="GC730" s="1">
        <v>42640</v>
      </c>
      <c r="GD730">
        <v>4</v>
      </c>
      <c r="GE730">
        <v>2035919</v>
      </c>
      <c r="GF730" t="s">
        <v>507</v>
      </c>
      <c r="GG730" t="s">
        <v>458</v>
      </c>
      <c r="GH730" s="1">
        <v>42151</v>
      </c>
      <c r="GI730">
        <v>2014</v>
      </c>
      <c r="GJ730">
        <v>730.74</v>
      </c>
      <c r="GK730" t="s">
        <v>7737</v>
      </c>
      <c r="GL730">
        <v>0.25</v>
      </c>
      <c r="GM730" t="s">
        <v>424</v>
      </c>
      <c r="GN730" t="s">
        <v>425</v>
      </c>
      <c r="GO730" s="1">
        <v>42640</v>
      </c>
      <c r="GP730">
        <v>16</v>
      </c>
      <c r="GQ730">
        <v>2851116</v>
      </c>
      <c r="GR730" t="s">
        <v>480</v>
      </c>
      <c r="GS730" t="s">
        <v>458</v>
      </c>
      <c r="GT730" s="1">
        <v>42151</v>
      </c>
      <c r="GU730">
        <v>2014</v>
      </c>
      <c r="GV730">
        <v>730.74</v>
      </c>
      <c r="GW730" t="s">
        <v>7737</v>
      </c>
      <c r="GX730">
        <v>0.25</v>
      </c>
      <c r="GY730" t="s">
        <v>424</v>
      </c>
      <c r="GZ730" t="s">
        <v>425</v>
      </c>
      <c r="HB730">
        <v>22</v>
      </c>
      <c r="HC730">
        <v>4967925</v>
      </c>
      <c r="HD730" t="s">
        <v>7738</v>
      </c>
      <c r="HE730" t="s">
        <v>458</v>
      </c>
      <c r="HF730" s="1">
        <v>41787</v>
      </c>
      <c r="HG730">
        <v>2013</v>
      </c>
      <c r="HH730">
        <v>762.92</v>
      </c>
      <c r="HI730" t="s">
        <v>7739</v>
      </c>
      <c r="HJ730">
        <v>2.75</v>
      </c>
      <c r="HK730" t="s">
        <v>424</v>
      </c>
      <c r="HL730" t="s">
        <v>425</v>
      </c>
      <c r="HN730">
        <v>22</v>
      </c>
      <c r="HO730">
        <v>15399</v>
      </c>
      <c r="HP730" t="s">
        <v>485</v>
      </c>
      <c r="HQ730" t="s">
        <v>458</v>
      </c>
      <c r="HR730" s="1">
        <v>41787</v>
      </c>
      <c r="HS730">
        <v>2013</v>
      </c>
      <c r="HT730">
        <v>762.92</v>
      </c>
      <c r="HU730" t="s">
        <v>7739</v>
      </c>
      <c r="HV730">
        <v>2.75</v>
      </c>
      <c r="HW730" t="s">
        <v>424</v>
      </c>
      <c r="HX730" t="s">
        <v>425</v>
      </c>
      <c r="HZ730">
        <v>22</v>
      </c>
      <c r="IA730">
        <v>7336692</v>
      </c>
      <c r="IB730" t="s">
        <v>822</v>
      </c>
      <c r="IC730" t="s">
        <v>458</v>
      </c>
      <c r="ID730" s="1">
        <v>41787</v>
      </c>
      <c r="IE730">
        <v>2013</v>
      </c>
      <c r="IF730">
        <v>762.92</v>
      </c>
      <c r="IG730" t="s">
        <v>7739</v>
      </c>
      <c r="IH730">
        <v>2.75</v>
      </c>
      <c r="II730" t="s">
        <v>424</v>
      </c>
      <c r="IJ730" t="s">
        <v>425</v>
      </c>
      <c r="IL730">
        <v>22</v>
      </c>
      <c r="IM730">
        <v>7336698</v>
      </c>
      <c r="IN730" t="s">
        <v>823</v>
      </c>
      <c r="IO730" t="s">
        <v>458</v>
      </c>
      <c r="IP730" s="1">
        <v>41423</v>
      </c>
      <c r="IQ730">
        <v>2012</v>
      </c>
      <c r="IR730">
        <v>787.92</v>
      </c>
      <c r="IS730" t="s">
        <v>7740</v>
      </c>
      <c r="IT730">
        <v>0.25</v>
      </c>
      <c r="IU730" t="s">
        <v>424</v>
      </c>
      <c r="IV730" t="s">
        <v>425</v>
      </c>
      <c r="IX730">
        <v>22</v>
      </c>
      <c r="IY730">
        <v>15399</v>
      </c>
      <c r="IZ730" t="s">
        <v>485</v>
      </c>
      <c r="JB730" s="1">
        <v>41423</v>
      </c>
      <c r="JC730">
        <v>2012</v>
      </c>
      <c r="JD730">
        <v>787.92</v>
      </c>
      <c r="JE730" t="s">
        <v>7740</v>
      </c>
      <c r="JF730">
        <v>0.25</v>
      </c>
      <c r="JG730" t="s">
        <v>424</v>
      </c>
      <c r="JH730" t="s">
        <v>425</v>
      </c>
      <c r="JI730" s="1">
        <v>42436</v>
      </c>
      <c r="JJ730">
        <v>34</v>
      </c>
      <c r="JK730">
        <v>13027</v>
      </c>
      <c r="JL730" t="s">
        <v>826</v>
      </c>
      <c r="JN730" s="1">
        <v>41052</v>
      </c>
      <c r="JO730">
        <v>2011</v>
      </c>
      <c r="JP730">
        <v>1029.67</v>
      </c>
      <c r="JQ730" t="s">
        <v>7741</v>
      </c>
      <c r="JR730">
        <v>5.75</v>
      </c>
      <c r="JS730" t="s">
        <v>424</v>
      </c>
      <c r="JT730" t="s">
        <v>425</v>
      </c>
      <c r="JU730" s="1">
        <v>42062</v>
      </c>
      <c r="JV730">
        <v>33</v>
      </c>
      <c r="JW730">
        <v>1625515</v>
      </c>
      <c r="JX730" t="s">
        <v>487</v>
      </c>
      <c r="JZ730" s="1">
        <v>41052</v>
      </c>
      <c r="KA730">
        <v>2011</v>
      </c>
      <c r="KB730">
        <v>1029.67</v>
      </c>
      <c r="KC730" t="s">
        <v>7741</v>
      </c>
      <c r="KD730">
        <v>5.75</v>
      </c>
      <c r="KE730" t="s">
        <v>424</v>
      </c>
      <c r="KF730" t="s">
        <v>425</v>
      </c>
      <c r="KH730">
        <v>22</v>
      </c>
      <c r="KI730">
        <v>10579</v>
      </c>
      <c r="KJ730" t="s">
        <v>488</v>
      </c>
      <c r="KL730" s="1">
        <v>40688</v>
      </c>
      <c r="KM730">
        <v>2010</v>
      </c>
      <c r="KN730">
        <v>1141.69</v>
      </c>
      <c r="KO730" t="s">
        <v>7742</v>
      </c>
      <c r="KP730">
        <v>7.5</v>
      </c>
      <c r="KQ730" t="s">
        <v>424</v>
      </c>
      <c r="KR730" t="s">
        <v>425</v>
      </c>
      <c r="KS730" s="1">
        <v>41330</v>
      </c>
      <c r="KT730">
        <v>21</v>
      </c>
      <c r="KU730">
        <v>10579</v>
      </c>
      <c r="KV730" t="s">
        <v>488</v>
      </c>
    </row>
    <row r="731" spans="1:308" x14ac:dyDescent="0.25">
      <c r="A731">
        <v>16485738</v>
      </c>
      <c r="B731">
        <v>730</v>
      </c>
      <c r="C731" t="s">
        <v>393</v>
      </c>
      <c r="D731" t="s">
        <v>394</v>
      </c>
      <c r="F731" t="str">
        <f>"37-1N-25-299O-0013-0000"</f>
        <v>37-1N-25-299O-0013-0000</v>
      </c>
      <c r="H731" t="str">
        <f>"SOLANA JUDY"</f>
        <v>SOLANA JUDY</v>
      </c>
      <c r="I731" t="str">
        <f>"16043 RESSIE DRIVE WEST"</f>
        <v>16043 RESSIE DRIVE WEST</v>
      </c>
      <c r="J731" t="str">
        <f>"JACKSONVILLE FL 32218"</f>
        <v>JACKSONVILLE FL 32218</v>
      </c>
      <c r="K731" t="str">
        <f>"54494 POINT SOUTH DR"</f>
        <v>54494 POINT SOUTH DR</v>
      </c>
      <c r="L731" t="str">
        <f t="shared" si="222"/>
        <v>CALLAHAN FL 32011</v>
      </c>
      <c r="M731" t="str">
        <f>"LOT 13 IN OR 1673/1823 R583390 &amp; R583391 POINT SOUTH 4 PB 4/111-112"</f>
        <v>LOT 13 IN OR 1673/1823 R583390 &amp; R583391 POINT SOUTH 4 PB 4/111-112</v>
      </c>
      <c r="N731" t="str">
        <f>""</f>
        <v/>
      </c>
      <c r="O731" t="str">
        <f>"43051"</f>
        <v>43051</v>
      </c>
      <c r="P731" t="str">
        <f t="shared" si="218"/>
        <v>2017</v>
      </c>
      <c r="Q731" t="str">
        <f>""</f>
        <v/>
      </c>
      <c r="R731" t="str">
        <f t="shared" si="223"/>
        <v>N</v>
      </c>
      <c r="S731" t="str">
        <f>""</f>
        <v/>
      </c>
      <c r="T731" t="str">
        <f>"756.66"</f>
        <v>756.66</v>
      </c>
      <c r="U731" t="str">
        <f>"46102.00"</f>
        <v>46102.00</v>
      </c>
      <c r="V731" t="str">
        <f>"46102.00"</f>
        <v>46102.00</v>
      </c>
      <c r="W731" t="str">
        <f t="shared" si="219"/>
        <v>2017</v>
      </c>
      <c r="X731" t="str">
        <f>"21.60"</f>
        <v>21.60</v>
      </c>
      <c r="Y731" t="str">
        <f>"811.36"</f>
        <v>811.36</v>
      </c>
      <c r="Z731" t="str">
        <f>""</f>
        <v/>
      </c>
      <c r="AA731" t="str">
        <f>"55003.00"</f>
        <v>55003.00</v>
      </c>
      <c r="AB731" t="str">
        <f t="shared" si="225"/>
        <v>Residential</v>
      </c>
      <c r="AC731" t="str">
        <f t="shared" si="230"/>
        <v>0</v>
      </c>
      <c r="AD731" t="str">
        <f t="shared" si="226"/>
        <v>4</v>
      </c>
      <c r="AE731" t="str">
        <f t="shared" si="227"/>
        <v>WOOD (INCLUDE STEEL STUDS)</v>
      </c>
      <c r="AF731" t="str">
        <f t="shared" si="228"/>
        <v>002</v>
      </c>
      <c r="AG731" t="str">
        <f t="shared" si="231"/>
        <v>FL</v>
      </c>
      <c r="AH731" t="str">
        <f t="shared" si="224"/>
        <v>-</v>
      </c>
      <c r="AI731" t="str">
        <f t="shared" si="229"/>
        <v>15000.00</v>
      </c>
      <c r="AJ731" t="str">
        <f>"C55-000-587-8965-2"</f>
        <v>C55-000-587-8965-2</v>
      </c>
      <c r="AK731" t="str">
        <f>"11828"</f>
        <v>11828</v>
      </c>
      <c r="AL731">
        <v>3</v>
      </c>
      <c r="AM731">
        <v>844</v>
      </c>
      <c r="AN731">
        <v>850.33</v>
      </c>
      <c r="AQ731" t="s">
        <v>7743</v>
      </c>
      <c r="AR731" t="s">
        <v>7743</v>
      </c>
      <c r="AS731" t="s">
        <v>7743</v>
      </c>
      <c r="AU731" t="s">
        <v>396</v>
      </c>
      <c r="AV731">
        <v>2017</v>
      </c>
      <c r="AW731" t="str">
        <f>"37-1N-25-299O-0013-0000 "</f>
        <v xml:space="preserve">37-1N-25-299O-0013-0000 </v>
      </c>
      <c r="AX731">
        <v>54494</v>
      </c>
      <c r="AZ731" t="s">
        <v>7713</v>
      </c>
      <c r="BA731" t="s">
        <v>669</v>
      </c>
      <c r="BD731" t="s">
        <v>2785</v>
      </c>
      <c r="BE731" t="s">
        <v>393</v>
      </c>
      <c r="BF731">
        <v>32011</v>
      </c>
      <c r="BG731" t="s">
        <v>7744</v>
      </c>
      <c r="BH731" t="s">
        <v>2787</v>
      </c>
      <c r="BI731">
        <v>-81.783182865572499</v>
      </c>
      <c r="BJ731">
        <v>30.514836513456601</v>
      </c>
      <c r="BK731" t="s">
        <v>7745</v>
      </c>
      <c r="BM731" t="s">
        <v>7746</v>
      </c>
      <c r="BN731" t="s">
        <v>548</v>
      </c>
      <c r="BO731">
        <v>32218</v>
      </c>
      <c r="BP731" t="s">
        <v>404</v>
      </c>
      <c r="BQ731">
        <v>200</v>
      </c>
      <c r="BR731" t="s">
        <v>405</v>
      </c>
      <c r="BS731">
        <v>1006</v>
      </c>
      <c r="BT731" t="s">
        <v>406</v>
      </c>
      <c r="BW731">
        <v>59716</v>
      </c>
      <c r="BX731" t="s">
        <v>407</v>
      </c>
      <c r="BY731" t="s">
        <v>408</v>
      </c>
      <c r="BZ731">
        <v>4</v>
      </c>
      <c r="CA731">
        <v>1994</v>
      </c>
      <c r="CB731">
        <v>1</v>
      </c>
      <c r="CC731">
        <v>1</v>
      </c>
      <c r="CD731">
        <v>2017</v>
      </c>
      <c r="CE731">
        <v>15000</v>
      </c>
      <c r="CF731">
        <v>40003</v>
      </c>
      <c r="CG731">
        <v>55003</v>
      </c>
      <c r="CH731">
        <v>2017</v>
      </c>
      <c r="CI731">
        <v>15000</v>
      </c>
      <c r="CJ731">
        <v>40003</v>
      </c>
      <c r="CK731">
        <v>55003</v>
      </c>
      <c r="CL731">
        <v>2017</v>
      </c>
      <c r="CM731">
        <v>756.66</v>
      </c>
      <c r="CN731" s="1">
        <v>40296</v>
      </c>
      <c r="CO731">
        <v>45000</v>
      </c>
      <c r="CV731">
        <v>0</v>
      </c>
      <c r="CZ731" s="1">
        <v>40296</v>
      </c>
      <c r="DA731">
        <v>0</v>
      </c>
      <c r="DD731" t="s">
        <v>2785</v>
      </c>
      <c r="DF731">
        <v>13</v>
      </c>
      <c r="DG731">
        <v>37</v>
      </c>
      <c r="DL731">
        <v>50502</v>
      </c>
      <c r="DM731" t="s">
        <v>7353</v>
      </c>
      <c r="DO731" t="s">
        <v>7747</v>
      </c>
      <c r="DP731">
        <v>0</v>
      </c>
      <c r="DQ731">
        <v>0</v>
      </c>
      <c r="DR731" t="s">
        <v>411</v>
      </c>
      <c r="DS731" t="b">
        <v>1</v>
      </c>
      <c r="DT731" t="s">
        <v>470</v>
      </c>
      <c r="DU731" t="s">
        <v>471</v>
      </c>
      <c r="DV731" t="s">
        <v>472</v>
      </c>
      <c r="DX731">
        <v>-9999</v>
      </c>
      <c r="DZ731" t="s">
        <v>447</v>
      </c>
      <c r="EA731" t="s">
        <v>448</v>
      </c>
      <c r="EB731" t="s">
        <v>742</v>
      </c>
      <c r="EC731">
        <v>20101217</v>
      </c>
      <c r="ED731" t="s">
        <v>474</v>
      </c>
      <c r="EF731">
        <v>1057.5999999999999</v>
      </c>
      <c r="EG731">
        <v>1057.5999999999999</v>
      </c>
      <c r="EI731">
        <v>20160407</v>
      </c>
      <c r="EJ731">
        <v>0</v>
      </c>
      <c r="EK731">
        <v>0</v>
      </c>
      <c r="EP731" t="s">
        <v>595</v>
      </c>
      <c r="EQ731" t="s">
        <v>422</v>
      </c>
      <c r="ER731">
        <v>2</v>
      </c>
      <c r="ES731">
        <v>9</v>
      </c>
      <c r="ET731">
        <v>1445.6</v>
      </c>
      <c r="EU731">
        <v>84.78</v>
      </c>
      <c r="EV731">
        <v>1530.38</v>
      </c>
      <c r="EW731" s="2">
        <v>43222</v>
      </c>
      <c r="EX731" s="1">
        <v>42879</v>
      </c>
      <c r="EY731">
        <v>2016</v>
      </c>
      <c r="EZ731">
        <v>722.8</v>
      </c>
      <c r="FA731" t="s">
        <v>7748</v>
      </c>
      <c r="FB731">
        <v>0.25</v>
      </c>
      <c r="FC731" t="s">
        <v>424</v>
      </c>
      <c r="FD731" t="s">
        <v>454</v>
      </c>
      <c r="FF731">
        <v>12</v>
      </c>
      <c r="FG731">
        <v>2851116</v>
      </c>
      <c r="FH731" t="s">
        <v>480</v>
      </c>
      <c r="FJ731" s="1">
        <v>42879</v>
      </c>
      <c r="FK731">
        <v>2016</v>
      </c>
      <c r="FL731">
        <v>722.8</v>
      </c>
      <c r="FM731" t="s">
        <v>7748</v>
      </c>
      <c r="FN731">
        <v>0.25</v>
      </c>
      <c r="FO731" t="s">
        <v>424</v>
      </c>
      <c r="FP731" t="s">
        <v>454</v>
      </c>
      <c r="FR731">
        <v>12</v>
      </c>
      <c r="FS731">
        <v>5767434</v>
      </c>
      <c r="FT731" t="s">
        <v>7749</v>
      </c>
      <c r="FV731" s="1">
        <v>42515</v>
      </c>
      <c r="FW731">
        <v>2015</v>
      </c>
      <c r="FX731">
        <v>848.93</v>
      </c>
      <c r="FY731" t="s">
        <v>7750</v>
      </c>
      <c r="FZ731">
        <v>0.25</v>
      </c>
      <c r="GA731" t="s">
        <v>424</v>
      </c>
      <c r="GB731" t="s">
        <v>425</v>
      </c>
      <c r="GC731" s="1">
        <v>43188</v>
      </c>
      <c r="GD731">
        <v>22</v>
      </c>
      <c r="GE731">
        <v>2851116</v>
      </c>
      <c r="GF731" t="s">
        <v>480</v>
      </c>
      <c r="GH731" s="1">
        <v>42515</v>
      </c>
      <c r="GI731">
        <v>2015</v>
      </c>
      <c r="GJ731">
        <v>848.93</v>
      </c>
      <c r="GK731" t="s">
        <v>7750</v>
      </c>
      <c r="GL731">
        <v>0.25</v>
      </c>
      <c r="GM731" t="s">
        <v>424</v>
      </c>
      <c r="GN731" t="s">
        <v>425</v>
      </c>
      <c r="GP731">
        <v>22</v>
      </c>
      <c r="GQ731">
        <v>5271924</v>
      </c>
      <c r="GR731" t="s">
        <v>7751</v>
      </c>
      <c r="GT731" s="1">
        <v>42151</v>
      </c>
      <c r="GU731">
        <v>2014</v>
      </c>
      <c r="GV731">
        <v>760.93</v>
      </c>
      <c r="GW731" t="s">
        <v>7752</v>
      </c>
      <c r="GX731">
        <v>0.25</v>
      </c>
      <c r="GY731" t="s">
        <v>424</v>
      </c>
      <c r="GZ731" t="s">
        <v>425</v>
      </c>
      <c r="HA731" s="1">
        <v>42794</v>
      </c>
      <c r="HB731">
        <v>21</v>
      </c>
      <c r="HC731">
        <v>4975594</v>
      </c>
      <c r="HD731" t="s">
        <v>457</v>
      </c>
      <c r="HF731" s="1">
        <v>42151</v>
      </c>
      <c r="HG731">
        <v>2014</v>
      </c>
      <c r="HH731">
        <v>760.93</v>
      </c>
      <c r="HI731" t="s">
        <v>7752</v>
      </c>
      <c r="HJ731">
        <v>0.25</v>
      </c>
      <c r="HK731" t="s">
        <v>424</v>
      </c>
      <c r="HL731" t="s">
        <v>425</v>
      </c>
      <c r="HN731">
        <v>22</v>
      </c>
      <c r="HO731">
        <v>6502519</v>
      </c>
      <c r="HP731" t="s">
        <v>7753</v>
      </c>
      <c r="HR731" s="1">
        <v>41787</v>
      </c>
      <c r="HS731">
        <v>2013</v>
      </c>
      <c r="HT731">
        <v>802.82</v>
      </c>
      <c r="HU731" t="s">
        <v>7754</v>
      </c>
      <c r="HV731">
        <v>0.25</v>
      </c>
      <c r="HW731" t="s">
        <v>424</v>
      </c>
      <c r="HX731" t="s">
        <v>425</v>
      </c>
      <c r="HY731" s="1">
        <v>42464</v>
      </c>
      <c r="HZ731">
        <v>23</v>
      </c>
      <c r="IA731">
        <v>2407503</v>
      </c>
      <c r="IB731" t="s">
        <v>461</v>
      </c>
      <c r="ID731" s="1">
        <v>41423</v>
      </c>
      <c r="IE731">
        <v>2012</v>
      </c>
      <c r="IF731">
        <v>633.37</v>
      </c>
      <c r="IG731" t="s">
        <v>7755</v>
      </c>
      <c r="IH731">
        <v>3</v>
      </c>
      <c r="II731" t="s">
        <v>424</v>
      </c>
      <c r="IJ731" t="s">
        <v>425</v>
      </c>
      <c r="IK731" s="1">
        <v>42061</v>
      </c>
      <c r="IL731">
        <v>21</v>
      </c>
      <c r="IM731">
        <v>15399</v>
      </c>
      <c r="IN731" t="s">
        <v>485</v>
      </c>
      <c r="IP731" s="1">
        <v>41052</v>
      </c>
      <c r="IQ731">
        <v>2011</v>
      </c>
      <c r="IR731">
        <v>687.86</v>
      </c>
      <c r="IS731" t="s">
        <v>7756</v>
      </c>
      <c r="IT731">
        <v>5.75</v>
      </c>
      <c r="IU731" t="s">
        <v>424</v>
      </c>
      <c r="IV731" t="s">
        <v>425</v>
      </c>
      <c r="IW731" s="1">
        <v>41698</v>
      </c>
      <c r="IX731">
        <v>21</v>
      </c>
      <c r="IY731">
        <v>1625515</v>
      </c>
      <c r="IZ731" t="s">
        <v>487</v>
      </c>
      <c r="JB731" s="1">
        <v>41052</v>
      </c>
      <c r="JC731">
        <v>2011</v>
      </c>
      <c r="JD731">
        <v>687.86</v>
      </c>
      <c r="JE731" t="s">
        <v>7756</v>
      </c>
      <c r="JF731">
        <v>5.75</v>
      </c>
      <c r="JG731" t="s">
        <v>424</v>
      </c>
      <c r="JH731" t="s">
        <v>425</v>
      </c>
      <c r="JJ731">
        <v>22</v>
      </c>
      <c r="JK731">
        <v>10579</v>
      </c>
      <c r="JL731" t="s">
        <v>488</v>
      </c>
      <c r="JN731" s="1">
        <v>40688</v>
      </c>
      <c r="JO731">
        <v>2010</v>
      </c>
      <c r="JP731">
        <v>1033.82</v>
      </c>
      <c r="JQ731" t="s">
        <v>7757</v>
      </c>
      <c r="JR731">
        <v>0</v>
      </c>
      <c r="JS731" t="s">
        <v>603</v>
      </c>
      <c r="JT731" t="s">
        <v>425</v>
      </c>
      <c r="JV731">
        <v>22</v>
      </c>
      <c r="JW731">
        <v>9999999</v>
      </c>
      <c r="JX731" t="s">
        <v>604</v>
      </c>
    </row>
    <row r="732" spans="1:308" x14ac:dyDescent="0.25">
      <c r="A732">
        <v>16485739</v>
      </c>
      <c r="B732">
        <v>731</v>
      </c>
      <c r="C732" t="s">
        <v>393</v>
      </c>
      <c r="D732" t="s">
        <v>394</v>
      </c>
      <c r="F732" t="str">
        <f>"37-1N-25-299O-0021-0000"</f>
        <v>37-1N-25-299O-0021-0000</v>
      </c>
      <c r="H732" t="str">
        <f>"HIXON NORMA M"</f>
        <v>HIXON NORMA M</v>
      </c>
      <c r="I732" t="str">
        <f>"54111 ROY BOOTH ROAD"</f>
        <v>54111 ROY BOOTH ROAD</v>
      </c>
      <c r="J732" t="str">
        <f>"CALLAHAN FL 32011"</f>
        <v>CALLAHAN FL 32011</v>
      </c>
      <c r="K732" t="str">
        <f>"54001 WANDA WAY"</f>
        <v>54001 WANDA WAY</v>
      </c>
      <c r="L732" t="str">
        <f t="shared" si="222"/>
        <v>CALLAHAN FL 32011</v>
      </c>
      <c r="M732" t="str">
        <f>"LOT 21 R235764 IN OR 1725/1722 POINT SOUTH 4 PB 4/111 &amp; 112"</f>
        <v>LOT 21 R235764 IN OR 1725/1722 POINT SOUTH 4 PB 4/111 &amp; 112</v>
      </c>
      <c r="N732" t="str">
        <f>""</f>
        <v/>
      </c>
      <c r="O732" t="str">
        <f>"43059"</f>
        <v>43059</v>
      </c>
      <c r="P732" t="str">
        <f t="shared" si="218"/>
        <v>2017</v>
      </c>
      <c r="Q732" t="str">
        <f>""</f>
        <v/>
      </c>
      <c r="R732" t="str">
        <f t="shared" si="223"/>
        <v>N</v>
      </c>
      <c r="S732" t="str">
        <f>""</f>
        <v/>
      </c>
      <c r="T732" t="str">
        <f>"496.86"</f>
        <v>496.86</v>
      </c>
      <c r="U732" t="str">
        <f>"32820.00"</f>
        <v>32820.00</v>
      </c>
      <c r="V732" t="str">
        <f>"32820.00"</f>
        <v>32820.00</v>
      </c>
      <c r="W732" t="str">
        <f t="shared" si="219"/>
        <v>2017</v>
      </c>
      <c r="X732" t="str">
        <f>"9.50"</f>
        <v>9.50</v>
      </c>
      <c r="Y732" t="str">
        <f>"543.77"</f>
        <v>543.77</v>
      </c>
      <c r="Z732" t="str">
        <f>""</f>
        <v/>
      </c>
      <c r="AA732" t="str">
        <f>"32820.00"</f>
        <v>32820.00</v>
      </c>
      <c r="AB732" t="str">
        <f t="shared" si="225"/>
        <v>Residential</v>
      </c>
      <c r="AC732" t="str">
        <f t="shared" si="230"/>
        <v>0</v>
      </c>
      <c r="AD732" t="str">
        <f t="shared" si="226"/>
        <v>4</v>
      </c>
      <c r="AE732" t="str">
        <f t="shared" si="227"/>
        <v>WOOD (INCLUDE STEEL STUDS)</v>
      </c>
      <c r="AF732" t="str">
        <f t="shared" si="228"/>
        <v>002</v>
      </c>
      <c r="AG732" t="str">
        <f t="shared" si="231"/>
        <v>FL</v>
      </c>
      <c r="AH732" t="str">
        <f t="shared" si="224"/>
        <v>-</v>
      </c>
      <c r="AI732" t="str">
        <f t="shared" si="229"/>
        <v>15000.00</v>
      </c>
      <c r="AJ732" t="str">
        <f>"C55-000-587-8972-8"</f>
        <v>C55-000-587-8972-8</v>
      </c>
      <c r="AK732" t="str">
        <f>"11835"</f>
        <v>11835</v>
      </c>
      <c r="AL732">
        <v>3</v>
      </c>
      <c r="AM732">
        <v>845</v>
      </c>
      <c r="AN732">
        <v>569.36</v>
      </c>
      <c r="AQ732" t="s">
        <v>7758</v>
      </c>
      <c r="AR732" t="s">
        <v>7758</v>
      </c>
      <c r="AS732" t="s">
        <v>7758</v>
      </c>
      <c r="AU732" t="s">
        <v>396</v>
      </c>
      <c r="AV732">
        <v>2017</v>
      </c>
      <c r="AW732" t="str">
        <f>"37-1N-25-299O-0021-0000 "</f>
        <v xml:space="preserve">37-1N-25-299O-0021-0000 </v>
      </c>
      <c r="AX732">
        <v>54001</v>
      </c>
      <c r="AZ732" t="s">
        <v>7759</v>
      </c>
      <c r="BA732" t="s">
        <v>866</v>
      </c>
      <c r="BD732" t="s">
        <v>2785</v>
      </c>
      <c r="BE732" t="s">
        <v>393</v>
      </c>
      <c r="BF732">
        <v>32011</v>
      </c>
      <c r="BG732" t="s">
        <v>7760</v>
      </c>
      <c r="BH732" t="s">
        <v>2787</v>
      </c>
      <c r="BI732">
        <v>-81.785663536227503</v>
      </c>
      <c r="BJ732">
        <v>30.512443655678101</v>
      </c>
      <c r="BK732" t="s">
        <v>7761</v>
      </c>
      <c r="BM732" t="s">
        <v>7762</v>
      </c>
      <c r="BN732" t="s">
        <v>928</v>
      </c>
      <c r="BO732">
        <v>32011</v>
      </c>
      <c r="BP732" t="s">
        <v>404</v>
      </c>
      <c r="BQ732">
        <v>200</v>
      </c>
      <c r="BR732" t="s">
        <v>405</v>
      </c>
      <c r="BS732">
        <v>1006</v>
      </c>
      <c r="BT732" t="s">
        <v>406</v>
      </c>
      <c r="BW732">
        <v>41689</v>
      </c>
      <c r="BX732" t="s">
        <v>407</v>
      </c>
      <c r="BY732" t="s">
        <v>408</v>
      </c>
      <c r="BZ732">
        <v>4</v>
      </c>
      <c r="CA732">
        <v>1983</v>
      </c>
      <c r="CB732">
        <v>1</v>
      </c>
      <c r="CC732">
        <v>1</v>
      </c>
      <c r="CD732">
        <v>2017</v>
      </c>
      <c r="CE732">
        <v>15000</v>
      </c>
      <c r="CF732">
        <v>17820</v>
      </c>
      <c r="CG732">
        <v>32820</v>
      </c>
      <c r="CH732">
        <v>2017</v>
      </c>
      <c r="CI732">
        <v>15000</v>
      </c>
      <c r="CJ732">
        <v>17820</v>
      </c>
      <c r="CK732">
        <v>32820</v>
      </c>
      <c r="CL732">
        <v>2017</v>
      </c>
      <c r="CM732">
        <v>496.86</v>
      </c>
      <c r="CN732" s="1">
        <v>40597</v>
      </c>
      <c r="CZ732" s="1">
        <v>40597</v>
      </c>
      <c r="DD732" t="s">
        <v>2785</v>
      </c>
      <c r="DF732">
        <v>21</v>
      </c>
      <c r="DG732">
        <v>37</v>
      </c>
      <c r="DJ732" t="s">
        <v>7713</v>
      </c>
      <c r="DL732">
        <v>50502</v>
      </c>
      <c r="DM732" t="s">
        <v>7353</v>
      </c>
      <c r="DO732" t="s">
        <v>7763</v>
      </c>
      <c r="DP732">
        <v>0</v>
      </c>
      <c r="DQ732">
        <v>0</v>
      </c>
      <c r="DR732" t="s">
        <v>411</v>
      </c>
      <c r="DS732" t="b">
        <v>1</v>
      </c>
      <c r="DT732" t="s">
        <v>470</v>
      </c>
      <c r="DU732" t="s">
        <v>471</v>
      </c>
      <c r="DV732" t="s">
        <v>472</v>
      </c>
      <c r="DX732">
        <v>-9999</v>
      </c>
      <c r="DZ732" t="s">
        <v>447</v>
      </c>
      <c r="EA732" t="s">
        <v>448</v>
      </c>
      <c r="EB732" t="s">
        <v>742</v>
      </c>
      <c r="EC732">
        <v>20101217</v>
      </c>
      <c r="ED732" t="s">
        <v>474</v>
      </c>
      <c r="EF732">
        <v>1569.8</v>
      </c>
      <c r="EG732">
        <v>1569.8</v>
      </c>
      <c r="EI732">
        <v>20160407</v>
      </c>
      <c r="EJ732">
        <v>0</v>
      </c>
      <c r="EK732">
        <v>0</v>
      </c>
      <c r="EP732" t="s">
        <v>421</v>
      </c>
      <c r="EQ732" t="s">
        <v>422</v>
      </c>
      <c r="ER732">
        <v>0</v>
      </c>
      <c r="ES732">
        <v>5</v>
      </c>
      <c r="ET732">
        <v>0</v>
      </c>
      <c r="EU732">
        <v>0</v>
      </c>
      <c r="EV732">
        <v>0</v>
      </c>
      <c r="EW732" s="2">
        <v>43222</v>
      </c>
      <c r="EX732" s="1">
        <v>42515</v>
      </c>
      <c r="EY732">
        <v>2015</v>
      </c>
      <c r="EZ732">
        <v>576.32000000000005</v>
      </c>
      <c r="FA732" t="s">
        <v>7764</v>
      </c>
      <c r="FB732">
        <v>0.25</v>
      </c>
      <c r="FC732" t="s">
        <v>424</v>
      </c>
      <c r="FD732" t="s">
        <v>425</v>
      </c>
      <c r="FE732" s="1">
        <v>42794</v>
      </c>
      <c r="FF732">
        <v>9</v>
      </c>
      <c r="FG732">
        <v>2851116</v>
      </c>
      <c r="FH732" t="s">
        <v>480</v>
      </c>
      <c r="FJ732" s="1">
        <v>42515</v>
      </c>
      <c r="FK732">
        <v>2015</v>
      </c>
      <c r="FL732">
        <v>576.32000000000005</v>
      </c>
      <c r="FM732" t="s">
        <v>7764</v>
      </c>
      <c r="FN732">
        <v>0.25</v>
      </c>
      <c r="FO732" t="s">
        <v>424</v>
      </c>
      <c r="FP732" t="s">
        <v>425</v>
      </c>
      <c r="FR732">
        <v>22</v>
      </c>
      <c r="FS732">
        <v>5330235</v>
      </c>
      <c r="FT732" t="s">
        <v>7765</v>
      </c>
      <c r="FV732" s="1">
        <v>42151</v>
      </c>
      <c r="FW732">
        <v>2014</v>
      </c>
      <c r="FX732">
        <v>524.08000000000004</v>
      </c>
      <c r="FY732" t="s">
        <v>7766</v>
      </c>
      <c r="FZ732">
        <v>3.75</v>
      </c>
      <c r="GA732" t="s">
        <v>424</v>
      </c>
      <c r="GB732" t="s">
        <v>425</v>
      </c>
      <c r="GC732" s="1">
        <v>42412</v>
      </c>
      <c r="GD732">
        <v>9</v>
      </c>
      <c r="GE732">
        <v>4975593</v>
      </c>
      <c r="GF732" t="s">
        <v>505</v>
      </c>
      <c r="GH732" s="1">
        <v>41787</v>
      </c>
      <c r="GI732">
        <v>2013</v>
      </c>
      <c r="GJ732">
        <v>584.77</v>
      </c>
      <c r="GK732" t="s">
        <v>7767</v>
      </c>
      <c r="GL732">
        <v>0.25</v>
      </c>
      <c r="GM732" t="s">
        <v>424</v>
      </c>
      <c r="GN732" t="s">
        <v>425</v>
      </c>
      <c r="GO732" s="1">
        <v>41934</v>
      </c>
      <c r="GP732">
        <v>5</v>
      </c>
      <c r="GQ732">
        <v>13026</v>
      </c>
      <c r="GR732" t="s">
        <v>2129</v>
      </c>
      <c r="GT732" s="1">
        <v>40688</v>
      </c>
      <c r="GU732">
        <v>2010</v>
      </c>
      <c r="GV732">
        <v>188.36</v>
      </c>
      <c r="GW732" t="s">
        <v>7768</v>
      </c>
      <c r="GX732">
        <v>7.75</v>
      </c>
      <c r="GY732" t="s">
        <v>424</v>
      </c>
      <c r="GZ732" t="s">
        <v>425</v>
      </c>
      <c r="HA732" s="1">
        <v>41143</v>
      </c>
      <c r="HB732">
        <v>15</v>
      </c>
      <c r="HC732">
        <v>62</v>
      </c>
      <c r="HD732" t="s">
        <v>463</v>
      </c>
    </row>
    <row r="733" spans="1:308" x14ac:dyDescent="0.25">
      <c r="A733">
        <v>16485740</v>
      </c>
      <c r="B733">
        <v>732</v>
      </c>
      <c r="C733" t="s">
        <v>393</v>
      </c>
      <c r="D733" t="s">
        <v>394</v>
      </c>
      <c r="F733" t="str">
        <f>"37-1N-25-299O-0022-0000"</f>
        <v>37-1N-25-299O-0022-0000</v>
      </c>
      <c r="H733" t="str">
        <f>"ROTHSTEIN SIMON D TRUSTEE OF RICHARD WYSE TESTAMENTARY TRUST &amp; BETTY WYSE"</f>
        <v>ROTHSTEIN SIMON D TRUSTEE OF RICHARD WYSE TESTAMENTARY TRUST &amp; BETTY WYSE</v>
      </c>
      <c r="I733" t="str">
        <f>""</f>
        <v/>
      </c>
      <c r="J733" t="str">
        <f>"JACKSONVILLE FL 32227"</f>
        <v>JACKSONVILLE FL 32227</v>
      </c>
      <c r="K733" t="str">
        <f>"54011 WANDA WAY"</f>
        <v>54011 WANDA WAY</v>
      </c>
      <c r="L733" t="str">
        <f t="shared" si="222"/>
        <v>CALLAHAN FL 32011</v>
      </c>
      <c r="M733" t="str">
        <f>"LOT 22 IN OR 1237/790 POINT SOUTH 4 PB 4/111 &amp; 112"</f>
        <v>LOT 22 IN OR 1237/790 POINT SOUTH 4 PB 4/111 &amp; 112</v>
      </c>
      <c r="N733" t="str">
        <f>""</f>
        <v/>
      </c>
      <c r="O733" t="str">
        <f>"43060"</f>
        <v>43060</v>
      </c>
      <c r="P733" t="str">
        <f t="shared" si="218"/>
        <v>2017</v>
      </c>
      <c r="Q733" t="str">
        <f>""</f>
        <v/>
      </c>
      <c r="R733" t="str">
        <f t="shared" si="223"/>
        <v>N</v>
      </c>
      <c r="S733" t="str">
        <f>""</f>
        <v/>
      </c>
      <c r="T733" t="str">
        <f>"387.89"</f>
        <v>387.89</v>
      </c>
      <c r="U733" t="str">
        <f>"25622.00"</f>
        <v>25622.00</v>
      </c>
      <c r="V733" t="str">
        <f>"25622.00"</f>
        <v>25622.00</v>
      </c>
      <c r="W733" t="str">
        <f t="shared" si="219"/>
        <v>2017</v>
      </c>
      <c r="X733" t="str">
        <f>""</f>
        <v/>
      </c>
      <c r="Y733" t="str">
        <f>"431.53"</f>
        <v>431.53</v>
      </c>
      <c r="Z733" t="str">
        <f>""</f>
        <v/>
      </c>
      <c r="AA733" t="str">
        <f>"25622.00"</f>
        <v>25622.00</v>
      </c>
      <c r="AB733" t="str">
        <f t="shared" si="225"/>
        <v>Residential</v>
      </c>
      <c r="AC733" t="str">
        <f t="shared" si="230"/>
        <v>0</v>
      </c>
      <c r="AD733" t="str">
        <f t="shared" si="226"/>
        <v>4</v>
      </c>
      <c r="AE733" t="str">
        <f t="shared" si="227"/>
        <v>WOOD (INCLUDE STEEL STUDS)</v>
      </c>
      <c r="AF733" t="str">
        <f t="shared" si="228"/>
        <v>002</v>
      </c>
      <c r="AG733" t="str">
        <f t="shared" si="231"/>
        <v>FL</v>
      </c>
      <c r="AH733" t="str">
        <f t="shared" si="224"/>
        <v>-</v>
      </c>
      <c r="AI733" t="str">
        <f t="shared" si="229"/>
        <v>15000.00</v>
      </c>
      <c r="AJ733" t="str">
        <f>"C55-000-587-8973-6"</f>
        <v>C55-000-587-8973-6</v>
      </c>
      <c r="AK733" t="str">
        <f>"11836"</f>
        <v>11836</v>
      </c>
      <c r="AL733">
        <v>3</v>
      </c>
      <c r="AM733">
        <v>846</v>
      </c>
      <c r="AN733">
        <v>451.51</v>
      </c>
      <c r="AQ733" t="s">
        <v>7769</v>
      </c>
      <c r="AR733" t="s">
        <v>7769</v>
      </c>
      <c r="AS733" t="s">
        <v>7769</v>
      </c>
      <c r="AU733" t="s">
        <v>396</v>
      </c>
      <c r="AV733">
        <v>2017</v>
      </c>
      <c r="AW733" t="str">
        <f>"37-1N-25-299O-0022-0000 "</f>
        <v xml:space="preserve">37-1N-25-299O-0022-0000 </v>
      </c>
      <c r="AX733">
        <v>54011</v>
      </c>
      <c r="AZ733" t="s">
        <v>7759</v>
      </c>
      <c r="BA733" t="s">
        <v>866</v>
      </c>
      <c r="BD733" t="s">
        <v>2785</v>
      </c>
      <c r="BE733" t="s">
        <v>393</v>
      </c>
      <c r="BF733">
        <v>32011</v>
      </c>
      <c r="BG733" t="s">
        <v>7770</v>
      </c>
      <c r="BH733" t="s">
        <v>2787</v>
      </c>
      <c r="BI733">
        <v>-81.786015398054005</v>
      </c>
      <c r="BJ733">
        <v>30.512839239980899</v>
      </c>
      <c r="BK733" t="s">
        <v>7771</v>
      </c>
      <c r="BL733" t="s">
        <v>7772</v>
      </c>
      <c r="BM733" t="s">
        <v>7773</v>
      </c>
      <c r="BN733" t="s">
        <v>548</v>
      </c>
      <c r="BO733">
        <v>32277</v>
      </c>
      <c r="BP733" t="s">
        <v>404</v>
      </c>
      <c r="BQ733">
        <v>200</v>
      </c>
      <c r="BR733" t="s">
        <v>405</v>
      </c>
      <c r="BS733">
        <v>1006</v>
      </c>
      <c r="BT733" t="s">
        <v>406</v>
      </c>
      <c r="BW733">
        <v>43071</v>
      </c>
      <c r="BX733" t="s">
        <v>407</v>
      </c>
      <c r="BY733" t="s">
        <v>408</v>
      </c>
      <c r="BZ733">
        <v>4</v>
      </c>
      <c r="CA733">
        <v>1985</v>
      </c>
      <c r="CC733">
        <v>1</v>
      </c>
      <c r="CD733">
        <v>2017</v>
      </c>
      <c r="CE733">
        <v>15000</v>
      </c>
      <c r="CF733">
        <v>10622</v>
      </c>
      <c r="CG733">
        <v>25622</v>
      </c>
      <c r="CH733">
        <v>2017</v>
      </c>
      <c r="CI733">
        <v>15000</v>
      </c>
      <c r="CJ733">
        <v>10622</v>
      </c>
      <c r="CK733">
        <v>25622</v>
      </c>
      <c r="CL733">
        <v>2017</v>
      </c>
      <c r="CM733">
        <v>387.89</v>
      </c>
      <c r="CN733" s="1">
        <v>38149</v>
      </c>
      <c r="CZ733" s="1">
        <v>38149</v>
      </c>
      <c r="DD733" t="s">
        <v>2785</v>
      </c>
      <c r="DF733">
        <v>22</v>
      </c>
      <c r="DG733">
        <v>37</v>
      </c>
      <c r="DJ733" t="s">
        <v>7713</v>
      </c>
      <c r="DL733">
        <v>50502</v>
      </c>
      <c r="DM733" t="s">
        <v>7353</v>
      </c>
      <c r="DO733" t="s">
        <v>7774</v>
      </c>
      <c r="DP733">
        <v>0</v>
      </c>
      <c r="DQ733">
        <v>0</v>
      </c>
      <c r="DR733" t="s">
        <v>411</v>
      </c>
    </row>
    <row r="734" spans="1:308" x14ac:dyDescent="0.25">
      <c r="A734">
        <v>16485741</v>
      </c>
      <c r="B734">
        <v>733</v>
      </c>
      <c r="C734" t="s">
        <v>393</v>
      </c>
      <c r="D734" t="s">
        <v>394</v>
      </c>
      <c r="F734" t="str">
        <f>"37-1N-25-299R-0013-0000"</f>
        <v>37-1N-25-299R-0013-0000</v>
      </c>
      <c r="H734" t="str">
        <f>"BRADDOCK GRADY E JR &amp; TAMMY J"</f>
        <v>BRADDOCK GRADY E JR &amp; TAMMY J</v>
      </c>
      <c r="I734" t="str">
        <f>"54633 CHURCH ROAD"</f>
        <v>54633 CHURCH ROAD</v>
      </c>
      <c r="J734" t="str">
        <f t="shared" ref="J734:J742" si="232">"CALLAHAN FL 32011"</f>
        <v>CALLAHAN FL 32011</v>
      </c>
      <c r="K734" t="str">
        <f>"54693 CHURCH RD"</f>
        <v>54693 CHURCH RD</v>
      </c>
      <c r="L734" t="str">
        <f t="shared" si="222"/>
        <v>CALLAHAN FL 32011</v>
      </c>
      <c r="M734" t="str">
        <f>"TRACT 13 IN OR 916/1133 R 108158 &amp; 108159 REPLAT OF GOVT LOT 9 UNR"</f>
        <v>TRACT 13 IN OR 916/1133 R 108158 &amp; 108159 REPLAT OF GOVT LOT 9 UNR</v>
      </c>
      <c r="N734" t="str">
        <f>""</f>
        <v/>
      </c>
      <c r="O734" t="str">
        <f>"43081"</f>
        <v>43081</v>
      </c>
      <c r="P734" t="str">
        <f t="shared" si="218"/>
        <v>2017</v>
      </c>
      <c r="Q734" t="str">
        <f>""</f>
        <v/>
      </c>
      <c r="R734" t="str">
        <f t="shared" si="223"/>
        <v>N</v>
      </c>
      <c r="S734" t="str">
        <f>"3.78"</f>
        <v>3.78</v>
      </c>
      <c r="T734" t="str">
        <f>"640.63"</f>
        <v>640.63</v>
      </c>
      <c r="U734" t="str">
        <f>"42317.00"</f>
        <v>42317.00</v>
      </c>
      <c r="V734" t="str">
        <f>"42317.00"</f>
        <v>42317.00</v>
      </c>
      <c r="W734" t="str">
        <f t="shared" si="219"/>
        <v>2017</v>
      </c>
      <c r="X734" t="str">
        <f>"2.50"</f>
        <v>2.50</v>
      </c>
      <c r="Y734" t="str">
        <f>"691.85"</f>
        <v>691.85</v>
      </c>
      <c r="Z734" t="str">
        <f>""</f>
        <v/>
      </c>
      <c r="AA734" t="str">
        <f>"42317.00"</f>
        <v>42317.00</v>
      </c>
      <c r="AB734" t="str">
        <f t="shared" si="225"/>
        <v>Residential</v>
      </c>
      <c r="AC734" t="str">
        <f t="shared" si="230"/>
        <v>0</v>
      </c>
      <c r="AD734" t="str">
        <f t="shared" si="226"/>
        <v>4</v>
      </c>
      <c r="AE734" t="str">
        <f t="shared" si="227"/>
        <v>WOOD (INCLUDE STEEL STUDS)</v>
      </c>
      <c r="AF734" t="str">
        <f t="shared" si="228"/>
        <v>002</v>
      </c>
      <c r="AG734" t="str">
        <f t="shared" si="231"/>
        <v>FL</v>
      </c>
      <c r="AH734" t="str">
        <f>"164656.00"</f>
        <v>164656.00</v>
      </c>
      <c r="AI734" t="str">
        <f>"30240.00"</f>
        <v>30240.00</v>
      </c>
      <c r="AJ734" t="str">
        <f>"C55-000-587-8994-2"</f>
        <v>C55-000-587-8994-2</v>
      </c>
      <c r="AK734" t="str">
        <f>"11856"</f>
        <v>11856</v>
      </c>
      <c r="AL734">
        <v>3</v>
      </c>
      <c r="AM734">
        <v>847</v>
      </c>
      <c r="AN734">
        <v>724.84</v>
      </c>
      <c r="AQ734" t="s">
        <v>7775</v>
      </c>
      <c r="AR734" t="s">
        <v>7775</v>
      </c>
      <c r="AS734" t="s">
        <v>7775</v>
      </c>
      <c r="AU734" t="s">
        <v>396</v>
      </c>
      <c r="AV734">
        <v>2017</v>
      </c>
      <c r="AW734" t="str">
        <f>"37-1N-25-299R-0013-0000 "</f>
        <v xml:space="preserve">37-1N-25-299R-0013-0000 </v>
      </c>
      <c r="AX734">
        <v>54693</v>
      </c>
      <c r="AZ734" t="s">
        <v>2234</v>
      </c>
      <c r="BA734" t="s">
        <v>496</v>
      </c>
      <c r="BD734" t="s">
        <v>2785</v>
      </c>
      <c r="BE734" t="s">
        <v>393</v>
      </c>
      <c r="BF734">
        <v>32011</v>
      </c>
      <c r="BG734" t="s">
        <v>7776</v>
      </c>
      <c r="BH734" t="s">
        <v>2787</v>
      </c>
      <c r="BI734">
        <v>-81.787245668295498</v>
      </c>
      <c r="BJ734">
        <v>30.5388858945743</v>
      </c>
      <c r="BK734" t="s">
        <v>7777</v>
      </c>
      <c r="BL734" t="s">
        <v>7778</v>
      </c>
      <c r="BM734" t="s">
        <v>7779</v>
      </c>
      <c r="BN734" t="s">
        <v>928</v>
      </c>
      <c r="BO734">
        <v>32011</v>
      </c>
      <c r="BP734" t="s">
        <v>404</v>
      </c>
      <c r="BQ734">
        <v>200</v>
      </c>
      <c r="BR734" t="s">
        <v>405</v>
      </c>
      <c r="BS734">
        <v>1006</v>
      </c>
      <c r="BT734" t="s">
        <v>406</v>
      </c>
      <c r="BW734">
        <v>164656</v>
      </c>
      <c r="BX734" t="s">
        <v>407</v>
      </c>
      <c r="BY734" t="s">
        <v>408</v>
      </c>
      <c r="BZ734">
        <v>4</v>
      </c>
      <c r="CA734">
        <v>1983</v>
      </c>
      <c r="CB734">
        <v>1</v>
      </c>
      <c r="CC734">
        <v>1</v>
      </c>
      <c r="CD734">
        <v>2017</v>
      </c>
      <c r="CE734">
        <v>30240</v>
      </c>
      <c r="CF734">
        <v>12077</v>
      </c>
      <c r="CG734">
        <v>42317</v>
      </c>
      <c r="CH734">
        <v>2017</v>
      </c>
      <c r="CI734">
        <v>30240</v>
      </c>
      <c r="CJ734">
        <v>12077</v>
      </c>
      <c r="CK734">
        <v>42317</v>
      </c>
      <c r="CL734">
        <v>2017</v>
      </c>
      <c r="CM734">
        <v>640.63</v>
      </c>
      <c r="CN734" s="1">
        <v>36549</v>
      </c>
      <c r="CO734">
        <v>65000</v>
      </c>
      <c r="CV734">
        <v>49500</v>
      </c>
      <c r="CZ734" s="1">
        <v>36549</v>
      </c>
      <c r="DA734">
        <v>0</v>
      </c>
      <c r="DD734" t="s">
        <v>2785</v>
      </c>
      <c r="DG734">
        <v>37</v>
      </c>
      <c r="DL734">
        <v>50502</v>
      </c>
      <c r="DM734" t="s">
        <v>7353</v>
      </c>
      <c r="DO734" t="s">
        <v>7780</v>
      </c>
      <c r="DP734">
        <v>0</v>
      </c>
      <c r="DQ734">
        <v>0</v>
      </c>
      <c r="DR734" t="s">
        <v>411</v>
      </c>
      <c r="DS734" t="b">
        <v>1</v>
      </c>
      <c r="DT734" t="s">
        <v>470</v>
      </c>
      <c r="DU734" t="s">
        <v>471</v>
      </c>
      <c r="DV734" t="s">
        <v>472</v>
      </c>
      <c r="DX734">
        <v>-9999</v>
      </c>
      <c r="DZ734" t="s">
        <v>447</v>
      </c>
      <c r="EA734" t="s">
        <v>448</v>
      </c>
      <c r="EB734" t="s">
        <v>742</v>
      </c>
      <c r="EC734">
        <v>20101217</v>
      </c>
      <c r="ED734" t="s">
        <v>474</v>
      </c>
      <c r="EF734">
        <v>1386.3</v>
      </c>
      <c r="EG734">
        <v>1386.3</v>
      </c>
      <c r="EH734" t="s">
        <v>451</v>
      </c>
      <c r="EI734">
        <v>20140731</v>
      </c>
      <c r="EJ734">
        <v>0</v>
      </c>
      <c r="EK734">
        <v>0</v>
      </c>
      <c r="EP734" t="s">
        <v>421</v>
      </c>
      <c r="EQ734" t="s">
        <v>422</v>
      </c>
      <c r="ER734">
        <v>0</v>
      </c>
      <c r="ES734">
        <v>4</v>
      </c>
      <c r="ET734">
        <v>0</v>
      </c>
      <c r="EU734">
        <v>0</v>
      </c>
      <c r="EV734">
        <v>0</v>
      </c>
      <c r="EW734" s="2">
        <v>43222</v>
      </c>
      <c r="EX734" s="1">
        <v>42879</v>
      </c>
      <c r="EY734">
        <v>2016</v>
      </c>
      <c r="EZ734">
        <v>729.61</v>
      </c>
      <c r="FA734" t="s">
        <v>7781</v>
      </c>
      <c r="FB734">
        <v>0.25</v>
      </c>
      <c r="FC734" t="s">
        <v>424</v>
      </c>
      <c r="FD734" t="s">
        <v>425</v>
      </c>
      <c r="FE734" s="1">
        <v>42947</v>
      </c>
      <c r="FF734">
        <v>2</v>
      </c>
      <c r="FG734">
        <v>2851116</v>
      </c>
      <c r="FH734" t="s">
        <v>480</v>
      </c>
      <c r="FJ734" s="1">
        <v>42879</v>
      </c>
      <c r="FK734">
        <v>2016</v>
      </c>
      <c r="FL734">
        <v>729.61</v>
      </c>
      <c r="FM734" t="s">
        <v>7781</v>
      </c>
      <c r="FN734">
        <v>0.25</v>
      </c>
      <c r="FO734" t="s">
        <v>424</v>
      </c>
      <c r="FP734" t="s">
        <v>425</v>
      </c>
      <c r="FR734">
        <v>22</v>
      </c>
      <c r="FS734">
        <v>4877165</v>
      </c>
      <c r="FT734" t="s">
        <v>7782</v>
      </c>
      <c r="FV734" s="1">
        <v>42151</v>
      </c>
      <c r="FW734">
        <v>2014</v>
      </c>
      <c r="FX734">
        <v>646.12</v>
      </c>
      <c r="FY734" t="s">
        <v>7783</v>
      </c>
      <c r="FZ734">
        <v>0.25</v>
      </c>
      <c r="GA734" t="s">
        <v>424</v>
      </c>
      <c r="GB734" t="s">
        <v>425</v>
      </c>
      <c r="GC734" s="1">
        <v>42240</v>
      </c>
      <c r="GD734">
        <v>3</v>
      </c>
      <c r="GE734">
        <v>2851116</v>
      </c>
      <c r="GF734" t="s">
        <v>480</v>
      </c>
      <c r="GH734" s="1">
        <v>42151</v>
      </c>
      <c r="GI734">
        <v>2014</v>
      </c>
      <c r="GJ734">
        <v>646.12</v>
      </c>
      <c r="GK734" t="s">
        <v>7783</v>
      </c>
      <c r="GL734">
        <v>0.25</v>
      </c>
      <c r="GM734" t="s">
        <v>424</v>
      </c>
      <c r="GN734" t="s">
        <v>425</v>
      </c>
      <c r="GP734">
        <v>22</v>
      </c>
      <c r="GQ734">
        <v>5426666</v>
      </c>
      <c r="GR734" t="s">
        <v>7784</v>
      </c>
    </row>
    <row r="735" spans="1:308" x14ac:dyDescent="0.25">
      <c r="A735">
        <v>16485742</v>
      </c>
      <c r="B735">
        <v>734</v>
      </c>
      <c r="C735" t="s">
        <v>393</v>
      </c>
      <c r="D735" t="s">
        <v>394</v>
      </c>
      <c r="F735" t="str">
        <f>"37-1N-25-299R-0029-0000"</f>
        <v>37-1N-25-299R-0029-0000</v>
      </c>
      <c r="H735" t="str">
        <f>"BRADDOCK GRADY JR"</f>
        <v>BRADDOCK GRADY JR</v>
      </c>
      <c r="I735" t="str">
        <f>"54633 CHURCH ROAD"</f>
        <v>54633 CHURCH ROAD</v>
      </c>
      <c r="J735" t="str">
        <f t="shared" si="232"/>
        <v>CALLAHAN FL 32011</v>
      </c>
      <c r="K735" t="str">
        <f>"54661 CHURCH RD"</f>
        <v>54661 CHURCH RD</v>
      </c>
      <c r="L735" t="str">
        <f t="shared" si="222"/>
        <v>CALLAHAN FL 32011</v>
      </c>
      <c r="M735" t="str">
        <f>"TRACTS 29 &amp; 30 IN OR 937/633 REPLAT OF OGILVIE LOT 9 SUB UNR {R224041 &amp; R224042}"</f>
        <v>TRACTS 29 &amp; 30 IN OR 937/633 REPLAT OF OGILVIE LOT 9 SUB UNR {R224041 &amp; R224042}</v>
      </c>
      <c r="N735" t="str">
        <f>""</f>
        <v/>
      </c>
      <c r="O735" t="str">
        <f>"43097"</f>
        <v>43097</v>
      </c>
      <c r="P735" t="str">
        <f t="shared" si="218"/>
        <v>2017</v>
      </c>
      <c r="Q735" t="str">
        <f>""</f>
        <v/>
      </c>
      <c r="R735" t="str">
        <f t="shared" si="223"/>
        <v>N</v>
      </c>
      <c r="S735" t="str">
        <f>"2.54"</f>
        <v>2.54</v>
      </c>
      <c r="T735" t="str">
        <f>"712.64"</f>
        <v>712.64</v>
      </c>
      <c r="U735" t="str">
        <f>"47074.00"</f>
        <v>47074.00</v>
      </c>
      <c r="V735" t="str">
        <f>"47074.00"</f>
        <v>47074.00</v>
      </c>
      <c r="W735" t="str">
        <f t="shared" si="219"/>
        <v>2017</v>
      </c>
      <c r="X735" t="str">
        <f>"3.67"</f>
        <v>3.67</v>
      </c>
      <c r="Y735" t="str">
        <f>"766.02"</f>
        <v>766.02</v>
      </c>
      <c r="Z735" t="str">
        <f>""</f>
        <v/>
      </c>
      <c r="AA735" t="str">
        <f>"47074.00"</f>
        <v>47074.00</v>
      </c>
      <c r="AB735" t="str">
        <f t="shared" si="225"/>
        <v>Residential</v>
      </c>
      <c r="AC735" t="str">
        <f t="shared" si="230"/>
        <v>0</v>
      </c>
      <c r="AD735" t="str">
        <f t="shared" si="226"/>
        <v>4</v>
      </c>
      <c r="AE735" t="str">
        <f t="shared" si="227"/>
        <v>WOOD (INCLUDE STEEL STUDS)</v>
      </c>
      <c r="AF735" t="str">
        <f t="shared" si="228"/>
        <v>002</v>
      </c>
      <c r="AG735" t="str">
        <f t="shared" si="231"/>
        <v>FL</v>
      </c>
      <c r="AH735" t="str">
        <f>"110642.00"</f>
        <v>110642.00</v>
      </c>
      <c r="AI735" t="str">
        <f>"30480.00"</f>
        <v>30480.00</v>
      </c>
      <c r="AJ735" t="str">
        <f>"C55-000-587-9010-6"</f>
        <v>C55-000-587-9010-6</v>
      </c>
      <c r="AK735" t="str">
        <f>"11872"</f>
        <v>11872</v>
      </c>
      <c r="AL735">
        <v>3</v>
      </c>
      <c r="AM735">
        <v>848</v>
      </c>
      <c r="AN735">
        <v>802.72</v>
      </c>
      <c r="AQ735" t="s">
        <v>7785</v>
      </c>
      <c r="AR735" t="s">
        <v>7785</v>
      </c>
      <c r="AS735" t="s">
        <v>7785</v>
      </c>
      <c r="AU735" t="s">
        <v>396</v>
      </c>
      <c r="AV735">
        <v>2017</v>
      </c>
      <c r="AW735" t="str">
        <f>"37-1N-25-299R-0029-0000 "</f>
        <v xml:space="preserve">37-1N-25-299R-0029-0000 </v>
      </c>
      <c r="AX735">
        <v>54661</v>
      </c>
      <c r="AZ735" t="s">
        <v>2234</v>
      </c>
      <c r="BA735" t="s">
        <v>496</v>
      </c>
      <c r="BD735" t="s">
        <v>2785</v>
      </c>
      <c r="BE735" t="s">
        <v>393</v>
      </c>
      <c r="BF735">
        <v>32011</v>
      </c>
      <c r="BG735" t="s">
        <v>7786</v>
      </c>
      <c r="BH735" t="s">
        <v>2787</v>
      </c>
      <c r="BI735">
        <v>-81.786271123735602</v>
      </c>
      <c r="BJ735">
        <v>30.538263745650699</v>
      </c>
      <c r="BK735" t="s">
        <v>7787</v>
      </c>
      <c r="BM735" t="s">
        <v>7779</v>
      </c>
      <c r="BN735" t="s">
        <v>928</v>
      </c>
      <c r="BO735">
        <v>32011</v>
      </c>
      <c r="BP735" t="s">
        <v>404</v>
      </c>
      <c r="BQ735">
        <v>200</v>
      </c>
      <c r="BR735" t="s">
        <v>405</v>
      </c>
      <c r="BS735">
        <v>1006</v>
      </c>
      <c r="BT735" t="s">
        <v>406</v>
      </c>
      <c r="BW735">
        <v>110642</v>
      </c>
      <c r="BX735" t="s">
        <v>407</v>
      </c>
      <c r="BY735" t="s">
        <v>408</v>
      </c>
      <c r="BZ735">
        <v>4</v>
      </c>
      <c r="CA735">
        <v>1982</v>
      </c>
      <c r="CB735">
        <v>1</v>
      </c>
      <c r="CC735">
        <v>1</v>
      </c>
      <c r="CD735">
        <v>2017</v>
      </c>
      <c r="CE735">
        <v>30480</v>
      </c>
      <c r="CF735">
        <v>16594</v>
      </c>
      <c r="CG735">
        <v>47074</v>
      </c>
      <c r="CH735">
        <v>2017</v>
      </c>
      <c r="CI735">
        <v>30480</v>
      </c>
      <c r="CJ735">
        <v>16594</v>
      </c>
      <c r="CK735">
        <v>47074</v>
      </c>
      <c r="CL735">
        <v>2017</v>
      </c>
      <c r="CM735">
        <v>712.64</v>
      </c>
      <c r="CN735" s="1">
        <v>36698</v>
      </c>
      <c r="CO735">
        <v>62000</v>
      </c>
      <c r="CV735">
        <v>45750</v>
      </c>
      <c r="CZ735" s="1">
        <v>36698</v>
      </c>
      <c r="DA735">
        <v>0</v>
      </c>
      <c r="DD735" t="s">
        <v>2785</v>
      </c>
      <c r="DF735">
        <v>9</v>
      </c>
      <c r="DG735">
        <v>37</v>
      </c>
      <c r="DJ735" t="s">
        <v>7788</v>
      </c>
      <c r="DL735">
        <v>50502</v>
      </c>
      <c r="DM735" t="s">
        <v>7353</v>
      </c>
      <c r="DO735" t="s">
        <v>7789</v>
      </c>
      <c r="DP735">
        <v>0</v>
      </c>
      <c r="DQ735">
        <v>0</v>
      </c>
      <c r="DR735" t="s">
        <v>411</v>
      </c>
      <c r="DS735" t="b">
        <v>1</v>
      </c>
      <c r="DT735" t="s">
        <v>470</v>
      </c>
      <c r="DU735" t="s">
        <v>471</v>
      </c>
      <c r="DV735" t="s">
        <v>472</v>
      </c>
      <c r="DX735">
        <v>-9999</v>
      </c>
      <c r="DZ735" t="s">
        <v>447</v>
      </c>
      <c r="EA735" t="s">
        <v>448</v>
      </c>
      <c r="EB735" t="s">
        <v>742</v>
      </c>
      <c r="EC735">
        <v>20101217</v>
      </c>
      <c r="ED735" t="s">
        <v>474</v>
      </c>
      <c r="EF735">
        <v>1272.0999999999999</v>
      </c>
      <c r="EG735">
        <v>1272.0999999999999</v>
      </c>
      <c r="EH735" t="s">
        <v>451</v>
      </c>
      <c r="EI735">
        <v>20140731</v>
      </c>
      <c r="EJ735">
        <v>0</v>
      </c>
      <c r="EK735">
        <v>0</v>
      </c>
      <c r="EP735" t="s">
        <v>421</v>
      </c>
      <c r="EQ735" t="s">
        <v>422</v>
      </c>
      <c r="ER735">
        <v>0</v>
      </c>
      <c r="ES735">
        <v>5</v>
      </c>
      <c r="ET735">
        <v>0</v>
      </c>
      <c r="EU735">
        <v>0</v>
      </c>
      <c r="EV735">
        <v>0</v>
      </c>
      <c r="EW735" s="2">
        <v>43222</v>
      </c>
      <c r="EX735" s="1">
        <v>42879</v>
      </c>
      <c r="EY735">
        <v>2016</v>
      </c>
      <c r="EZ735">
        <v>784.66</v>
      </c>
      <c r="FA735" t="s">
        <v>7790</v>
      </c>
      <c r="FB735">
        <v>0.25</v>
      </c>
      <c r="FC735" t="s">
        <v>424</v>
      </c>
      <c r="FD735" t="s">
        <v>425</v>
      </c>
      <c r="FE735" s="1">
        <v>42947</v>
      </c>
      <c r="FF735">
        <v>2</v>
      </c>
      <c r="FG735">
        <v>2851116</v>
      </c>
      <c r="FH735" t="s">
        <v>480</v>
      </c>
      <c r="FJ735" s="1">
        <v>42879</v>
      </c>
      <c r="FK735">
        <v>2016</v>
      </c>
      <c r="FL735">
        <v>784.66</v>
      </c>
      <c r="FM735" t="s">
        <v>7790</v>
      </c>
      <c r="FN735">
        <v>0.25</v>
      </c>
      <c r="FO735" t="s">
        <v>424</v>
      </c>
      <c r="FP735" t="s">
        <v>425</v>
      </c>
      <c r="FR735">
        <v>22</v>
      </c>
      <c r="FS735">
        <v>4945736</v>
      </c>
      <c r="FT735" t="s">
        <v>7791</v>
      </c>
      <c r="FV735" s="1">
        <v>42151</v>
      </c>
      <c r="FW735">
        <v>2014</v>
      </c>
      <c r="FX735">
        <v>650.32000000000005</v>
      </c>
      <c r="FY735" t="s">
        <v>7792</v>
      </c>
      <c r="FZ735">
        <v>0.25</v>
      </c>
      <c r="GA735" t="s">
        <v>424</v>
      </c>
      <c r="GB735" t="s">
        <v>425</v>
      </c>
      <c r="GC735" s="1">
        <v>42240</v>
      </c>
      <c r="GD735">
        <v>3</v>
      </c>
      <c r="GE735">
        <v>2851116</v>
      </c>
      <c r="GF735" t="s">
        <v>480</v>
      </c>
      <c r="GH735" s="1">
        <v>42151</v>
      </c>
      <c r="GI735">
        <v>2014</v>
      </c>
      <c r="GJ735">
        <v>650.32000000000005</v>
      </c>
      <c r="GK735" t="s">
        <v>7792</v>
      </c>
      <c r="GL735">
        <v>0.25</v>
      </c>
      <c r="GM735" t="s">
        <v>424</v>
      </c>
      <c r="GN735" t="s">
        <v>425</v>
      </c>
      <c r="GP735">
        <v>22</v>
      </c>
      <c r="GQ735">
        <v>5366925</v>
      </c>
      <c r="GR735" t="s">
        <v>7793</v>
      </c>
      <c r="GT735" s="1">
        <v>40688</v>
      </c>
      <c r="GU735">
        <v>2010</v>
      </c>
      <c r="GV735">
        <v>1081.93</v>
      </c>
      <c r="GW735" t="s">
        <v>7794</v>
      </c>
      <c r="GX735">
        <v>7.5</v>
      </c>
      <c r="GY735" t="s">
        <v>424</v>
      </c>
      <c r="GZ735" t="s">
        <v>425</v>
      </c>
      <c r="HA735" s="1">
        <v>40877</v>
      </c>
      <c r="HB735">
        <v>6</v>
      </c>
      <c r="HC735">
        <v>10579</v>
      </c>
      <c r="HD735" t="s">
        <v>488</v>
      </c>
    </row>
    <row r="736" spans="1:308" x14ac:dyDescent="0.25">
      <c r="A736">
        <v>16485743</v>
      </c>
      <c r="B736">
        <v>735</v>
      </c>
      <c r="C736" t="s">
        <v>393</v>
      </c>
      <c r="D736" t="s">
        <v>394</v>
      </c>
      <c r="F736" t="str">
        <f>"37-1N-25-299S-0001-0220"</f>
        <v>37-1N-25-299S-0001-0220</v>
      </c>
      <c r="H736" t="str">
        <f>"WADE LINDA Y WILLARD"</f>
        <v>WADE LINDA Y WILLARD</v>
      </c>
      <c r="I736" t="str">
        <f>"54345 HAZEL JONES RD"</f>
        <v>54345 HAZEL JONES RD</v>
      </c>
      <c r="J736" t="str">
        <f t="shared" si="232"/>
        <v>CALLAHAN FL 32011</v>
      </c>
      <c r="K736" t="str">
        <f>"54345 HAZEL JONES RD"</f>
        <v>54345 HAZEL JONES RD</v>
      </c>
      <c r="L736" t="str">
        <f t="shared" si="222"/>
        <v>CALLAHAN FL 32011</v>
      </c>
      <c r="M736" t="str">
        <f>"BLOCK 1 LOT 22 IN OR 1193/389 2003/MERT/DW/MH SHEFFIELD VILLAGE PB 5/28 &amp; 29"</f>
        <v>BLOCK 1 LOT 22 IN OR 1193/389 2003/MERT/DW/MH SHEFFIELD VILLAGE PB 5/28 &amp; 29</v>
      </c>
      <c r="N736" t="str">
        <f>""</f>
        <v/>
      </c>
      <c r="O736" t="str">
        <f>"43126"</f>
        <v>43126</v>
      </c>
      <c r="P736" t="str">
        <f t="shared" si="218"/>
        <v>2017</v>
      </c>
      <c r="Q736" t="str">
        <f>""</f>
        <v/>
      </c>
      <c r="R736" t="str">
        <f>"Y"</f>
        <v>Y</v>
      </c>
      <c r="S736" t="str">
        <f>""</f>
        <v/>
      </c>
      <c r="T736" t="str">
        <f>"545.26"</f>
        <v>545.26</v>
      </c>
      <c r="U736" t="str">
        <f>"75122.00"</f>
        <v>75122.00</v>
      </c>
      <c r="V736" t="str">
        <f>"75122.00"</f>
        <v>75122.00</v>
      </c>
      <c r="W736" t="str">
        <f t="shared" si="219"/>
        <v>2017</v>
      </c>
      <c r="X736" t="str">
        <f>"14.70"</f>
        <v>14.70</v>
      </c>
      <c r="Y736" t="str">
        <f>"593.62"</f>
        <v>593.62</v>
      </c>
      <c r="Z736" t="str">
        <f>"25000.00"</f>
        <v>25000.00</v>
      </c>
      <c r="AA736" t="str">
        <f>"50122.00"</f>
        <v>50122.00</v>
      </c>
      <c r="AB736" t="str">
        <f t="shared" si="225"/>
        <v>Residential</v>
      </c>
      <c r="AC736" t="str">
        <f t="shared" si="230"/>
        <v>0</v>
      </c>
      <c r="AD736" t="str">
        <f t="shared" si="226"/>
        <v>4</v>
      </c>
      <c r="AE736" t="str">
        <f t="shared" si="227"/>
        <v>WOOD (INCLUDE STEEL STUDS)</v>
      </c>
      <c r="AF736" t="str">
        <f t="shared" si="228"/>
        <v>002</v>
      </c>
      <c r="AG736" t="str">
        <f t="shared" si="231"/>
        <v>FL</v>
      </c>
      <c r="AH736" t="str">
        <f t="shared" ref="AH736:AH753" si="233">"-"</f>
        <v>-</v>
      </c>
      <c r="AI736" t="str">
        <f t="shared" ref="AI736:AI753" si="234">"20000.00"</f>
        <v>20000.00</v>
      </c>
      <c r="AJ736" t="str">
        <f>"C55-000-587-9036-1"</f>
        <v>C55-000-587-9036-1</v>
      </c>
      <c r="AK736" t="str">
        <f>"11901"</f>
        <v>11901</v>
      </c>
      <c r="AL736">
        <v>3</v>
      </c>
      <c r="AM736">
        <v>851</v>
      </c>
      <c r="AN736">
        <v>621.70000000000005</v>
      </c>
      <c r="AQ736" t="s">
        <v>7795</v>
      </c>
      <c r="AR736" t="s">
        <v>7795</v>
      </c>
      <c r="AS736" t="s">
        <v>7795</v>
      </c>
      <c r="AU736" t="s">
        <v>396</v>
      </c>
      <c r="AV736">
        <v>2017</v>
      </c>
      <c r="AW736" t="str">
        <f>"37-1N-25-299S-0001-0220 "</f>
        <v xml:space="preserve">37-1N-25-299S-0001-0220 </v>
      </c>
      <c r="AX736">
        <v>54345</v>
      </c>
      <c r="AZ736" t="s">
        <v>7796</v>
      </c>
      <c r="BA736" t="s">
        <v>496</v>
      </c>
      <c r="BD736" t="s">
        <v>2785</v>
      </c>
      <c r="BE736" t="s">
        <v>393</v>
      </c>
      <c r="BF736">
        <v>32011</v>
      </c>
      <c r="BG736" t="s">
        <v>7797</v>
      </c>
      <c r="BH736" t="s">
        <v>2787</v>
      </c>
      <c r="BI736">
        <v>-81.778723528620006</v>
      </c>
      <c r="BJ736">
        <v>30.525421970473602</v>
      </c>
      <c r="BK736" t="s">
        <v>7798</v>
      </c>
      <c r="BM736" t="s">
        <v>7797</v>
      </c>
      <c r="BN736" t="s">
        <v>928</v>
      </c>
      <c r="BO736">
        <v>32011</v>
      </c>
      <c r="BP736" t="s">
        <v>416</v>
      </c>
      <c r="BQ736">
        <v>200</v>
      </c>
      <c r="BR736" t="s">
        <v>405</v>
      </c>
      <c r="BS736">
        <v>1006</v>
      </c>
      <c r="BT736" t="s">
        <v>406</v>
      </c>
      <c r="BW736">
        <v>43654</v>
      </c>
      <c r="BX736" t="s">
        <v>407</v>
      </c>
      <c r="BY736" t="s">
        <v>408</v>
      </c>
      <c r="BZ736">
        <v>4</v>
      </c>
      <c r="CA736">
        <v>2003</v>
      </c>
      <c r="CB736">
        <v>1</v>
      </c>
      <c r="CC736">
        <v>1</v>
      </c>
      <c r="CD736">
        <v>2017</v>
      </c>
      <c r="CG736">
        <v>75122</v>
      </c>
      <c r="CH736">
        <v>2017</v>
      </c>
      <c r="CI736">
        <v>20000</v>
      </c>
      <c r="CJ736">
        <v>64100</v>
      </c>
      <c r="CK736">
        <v>84100</v>
      </c>
      <c r="CL736">
        <v>2017</v>
      </c>
      <c r="CM736">
        <v>545.26</v>
      </c>
      <c r="CN736" s="1">
        <v>40743</v>
      </c>
      <c r="CV736">
        <v>0</v>
      </c>
      <c r="CZ736" s="1">
        <v>40743</v>
      </c>
      <c r="DA736">
        <v>0</v>
      </c>
      <c r="DD736" t="s">
        <v>2785</v>
      </c>
      <c r="DF736">
        <v>22</v>
      </c>
      <c r="DG736">
        <v>37</v>
      </c>
      <c r="DJ736" t="s">
        <v>7589</v>
      </c>
      <c r="DL736">
        <v>50502</v>
      </c>
      <c r="DM736" t="s">
        <v>7353</v>
      </c>
      <c r="DO736" t="s">
        <v>7799</v>
      </c>
      <c r="DP736">
        <v>0</v>
      </c>
      <c r="DQ736">
        <v>0</v>
      </c>
      <c r="DR736" t="s">
        <v>411</v>
      </c>
      <c r="DS736" t="b">
        <v>1</v>
      </c>
      <c r="DT736" t="s">
        <v>470</v>
      </c>
      <c r="DU736" t="s">
        <v>471</v>
      </c>
      <c r="DV736" t="s">
        <v>472</v>
      </c>
      <c r="DX736">
        <v>-9999</v>
      </c>
      <c r="DZ736" t="s">
        <v>447</v>
      </c>
      <c r="EA736" t="s">
        <v>448</v>
      </c>
      <c r="EB736" t="s">
        <v>742</v>
      </c>
      <c r="EC736">
        <v>20101217</v>
      </c>
      <c r="ED736" t="s">
        <v>474</v>
      </c>
      <c r="EF736">
        <v>2718.5</v>
      </c>
      <c r="EG736">
        <v>2718.5</v>
      </c>
      <c r="EI736">
        <v>20160407</v>
      </c>
      <c r="EJ736">
        <v>0</v>
      </c>
      <c r="EK736">
        <v>0</v>
      </c>
      <c r="EP736" t="s">
        <v>421</v>
      </c>
      <c r="EQ736" t="s">
        <v>422</v>
      </c>
      <c r="ER736">
        <v>2</v>
      </c>
      <c r="ES736">
        <v>8</v>
      </c>
      <c r="ET736">
        <v>1230.58</v>
      </c>
      <c r="EU736">
        <v>74.03</v>
      </c>
      <c r="EV736">
        <v>1304.6099999999999</v>
      </c>
      <c r="EW736" s="2">
        <v>43222</v>
      </c>
      <c r="EX736" s="1">
        <v>42879</v>
      </c>
      <c r="EY736">
        <v>2016</v>
      </c>
      <c r="EZ736">
        <v>615.29</v>
      </c>
      <c r="FA736" t="s">
        <v>7800</v>
      </c>
      <c r="FB736">
        <v>0.25</v>
      </c>
      <c r="FC736" t="s">
        <v>424</v>
      </c>
      <c r="FD736" t="s">
        <v>454</v>
      </c>
      <c r="FF736">
        <v>12</v>
      </c>
      <c r="FG736">
        <v>11289</v>
      </c>
      <c r="FH736" t="s">
        <v>787</v>
      </c>
      <c r="FJ736" s="1">
        <v>42879</v>
      </c>
      <c r="FK736">
        <v>2016</v>
      </c>
      <c r="FL736">
        <v>615.29</v>
      </c>
      <c r="FM736" t="s">
        <v>7800</v>
      </c>
      <c r="FN736">
        <v>0.25</v>
      </c>
      <c r="FO736" t="s">
        <v>424</v>
      </c>
      <c r="FP736" t="s">
        <v>454</v>
      </c>
      <c r="FR736">
        <v>12</v>
      </c>
      <c r="FS736">
        <v>7129967</v>
      </c>
      <c r="FT736" t="s">
        <v>7801</v>
      </c>
      <c r="FV736" s="1">
        <v>42515</v>
      </c>
      <c r="FW736">
        <v>2015</v>
      </c>
      <c r="FX736">
        <v>698.78</v>
      </c>
      <c r="FY736" t="s">
        <v>7802</v>
      </c>
      <c r="FZ736">
        <v>0.25</v>
      </c>
      <c r="GA736" t="s">
        <v>424</v>
      </c>
      <c r="GB736" t="s">
        <v>425</v>
      </c>
      <c r="GC736" s="1">
        <v>43152</v>
      </c>
      <c r="GD736">
        <v>21</v>
      </c>
      <c r="GE736">
        <v>2851116</v>
      </c>
      <c r="GF736" t="s">
        <v>480</v>
      </c>
      <c r="GH736" s="1">
        <v>42515</v>
      </c>
      <c r="GI736">
        <v>2015</v>
      </c>
      <c r="GJ736">
        <v>698.78</v>
      </c>
      <c r="GK736" t="s">
        <v>7802</v>
      </c>
      <c r="GL736">
        <v>0.25</v>
      </c>
      <c r="GM736" t="s">
        <v>424</v>
      </c>
      <c r="GN736" t="s">
        <v>425</v>
      </c>
      <c r="GP736">
        <v>22</v>
      </c>
      <c r="GQ736">
        <v>5716811</v>
      </c>
      <c r="GR736" t="s">
        <v>7803</v>
      </c>
      <c r="GT736" s="1">
        <v>42151</v>
      </c>
      <c r="GU736">
        <v>2014</v>
      </c>
      <c r="GV736">
        <v>756.25</v>
      </c>
      <c r="GW736" t="s">
        <v>7804</v>
      </c>
      <c r="GX736">
        <v>0.25</v>
      </c>
      <c r="GY736" t="s">
        <v>424</v>
      </c>
      <c r="GZ736" t="s">
        <v>425</v>
      </c>
      <c r="HA736" s="1">
        <v>42790</v>
      </c>
      <c r="HB736">
        <v>21</v>
      </c>
      <c r="HC736">
        <v>4975594</v>
      </c>
      <c r="HD736" t="s">
        <v>457</v>
      </c>
      <c r="HF736" s="1">
        <v>42151</v>
      </c>
      <c r="HG736">
        <v>2014</v>
      </c>
      <c r="HH736">
        <v>756.25</v>
      </c>
      <c r="HI736" t="s">
        <v>7804</v>
      </c>
      <c r="HJ736">
        <v>0.25</v>
      </c>
      <c r="HK736" t="s">
        <v>424</v>
      </c>
      <c r="HL736" t="s">
        <v>425</v>
      </c>
      <c r="HN736">
        <v>22</v>
      </c>
      <c r="HO736">
        <v>6488878</v>
      </c>
      <c r="HP736" t="s">
        <v>7805</v>
      </c>
      <c r="HR736" s="1">
        <v>41787</v>
      </c>
      <c r="HS736">
        <v>2013</v>
      </c>
      <c r="HT736">
        <v>727.9</v>
      </c>
      <c r="HU736" t="s">
        <v>7806</v>
      </c>
      <c r="HV736">
        <v>0.25</v>
      </c>
      <c r="HW736" t="s">
        <v>424</v>
      </c>
      <c r="HX736" t="s">
        <v>425</v>
      </c>
      <c r="HY736" s="1">
        <v>42107</v>
      </c>
      <c r="HZ736">
        <v>11</v>
      </c>
      <c r="IA736">
        <v>2407503</v>
      </c>
      <c r="IB736" t="s">
        <v>461</v>
      </c>
      <c r="ID736" s="1">
        <v>41423</v>
      </c>
      <c r="IE736">
        <v>2012</v>
      </c>
      <c r="IF736">
        <v>716.94</v>
      </c>
      <c r="IG736" t="s">
        <v>7807</v>
      </c>
      <c r="IH736">
        <v>2.75</v>
      </c>
      <c r="II736" t="s">
        <v>424</v>
      </c>
      <c r="IJ736" t="s">
        <v>425</v>
      </c>
      <c r="IK736" s="1">
        <v>42045</v>
      </c>
      <c r="IL736">
        <v>21</v>
      </c>
      <c r="IM736">
        <v>15399</v>
      </c>
      <c r="IN736" t="s">
        <v>485</v>
      </c>
      <c r="IP736" s="1">
        <v>41052</v>
      </c>
      <c r="IQ736">
        <v>2011</v>
      </c>
      <c r="IR736">
        <v>1151.6400000000001</v>
      </c>
      <c r="IS736" t="s">
        <v>7808</v>
      </c>
      <c r="IT736">
        <v>6</v>
      </c>
      <c r="IU736" t="s">
        <v>424</v>
      </c>
      <c r="IV736" t="s">
        <v>425</v>
      </c>
      <c r="IW736" s="1">
        <v>41723</v>
      </c>
      <c r="IX736">
        <v>22</v>
      </c>
      <c r="IY736">
        <v>105</v>
      </c>
      <c r="IZ736" t="s">
        <v>946</v>
      </c>
      <c r="JB736" s="1">
        <v>40688</v>
      </c>
      <c r="JC736">
        <v>2010</v>
      </c>
      <c r="JD736">
        <v>1313.92</v>
      </c>
      <c r="JE736" t="s">
        <v>7809</v>
      </c>
      <c r="JF736">
        <v>7.75</v>
      </c>
      <c r="JG736" t="s">
        <v>424</v>
      </c>
      <c r="JH736" t="s">
        <v>425</v>
      </c>
      <c r="JI736" s="1">
        <v>41318</v>
      </c>
      <c r="JJ736">
        <v>21</v>
      </c>
      <c r="JK736">
        <v>11302</v>
      </c>
      <c r="JL736" t="s">
        <v>3940</v>
      </c>
    </row>
    <row r="737" spans="1:284" x14ac:dyDescent="0.25">
      <c r="A737">
        <v>16485744</v>
      </c>
      <c r="B737">
        <v>736</v>
      </c>
      <c r="C737" t="s">
        <v>393</v>
      </c>
      <c r="D737" t="s">
        <v>394</v>
      </c>
      <c r="F737" t="str">
        <f>"37-1N-25-299S-0001-0280"</f>
        <v>37-1N-25-299S-0001-0280</v>
      </c>
      <c r="H737" t="str">
        <f>"STONE PATRICK S"</f>
        <v>STONE PATRICK S</v>
      </c>
      <c r="I737" t="str">
        <f>"54171 HAZEL JONES RD"</f>
        <v>54171 HAZEL JONES RD</v>
      </c>
      <c r="J737" t="str">
        <f t="shared" si="232"/>
        <v>CALLAHAN FL 32011</v>
      </c>
      <c r="K737" t="str">
        <f>"54171 HAZEL JONES RD"</f>
        <v>54171 HAZEL JONES RD</v>
      </c>
      <c r="L737" t="str">
        <f t="shared" si="222"/>
        <v>CALLAHAN FL 32011</v>
      </c>
      <c r="M737" t="str">
        <f>"BLOCK 1 LOT 28 IN OR 1724/15 R622086 &amp; R622087 SHEFFIELD VILLAGE PB 5/28 &amp; 29"</f>
        <v>BLOCK 1 LOT 28 IN OR 1724/15 R622086 &amp; R622087 SHEFFIELD VILLAGE PB 5/28 &amp; 29</v>
      </c>
      <c r="N737" t="str">
        <f>""</f>
        <v/>
      </c>
      <c r="O737" t="str">
        <f>"43132"</f>
        <v>43132</v>
      </c>
      <c r="P737" t="str">
        <f t="shared" si="218"/>
        <v>2017</v>
      </c>
      <c r="Q737" t="str">
        <f>""</f>
        <v/>
      </c>
      <c r="R737" t="str">
        <f>"Y"</f>
        <v>Y</v>
      </c>
      <c r="S737" t="str">
        <f>""</f>
        <v/>
      </c>
      <c r="T737" t="str">
        <f>"320.35"</f>
        <v>320.35</v>
      </c>
      <c r="U737" t="str">
        <f>"46161.00"</f>
        <v>46161.00</v>
      </c>
      <c r="V737" t="str">
        <f>"46161.00"</f>
        <v>46161.00</v>
      </c>
      <c r="W737" t="str">
        <f t="shared" si="219"/>
        <v>2017</v>
      </c>
      <c r="X737" t="str">
        <f>"2.00"</f>
        <v>2.00</v>
      </c>
      <c r="Y737" t="str">
        <f>"361.96"</f>
        <v>361.96</v>
      </c>
      <c r="Z737" t="str">
        <f>"25000.00"</f>
        <v>25000.00</v>
      </c>
      <c r="AA737" t="str">
        <f>"21161.00"</f>
        <v>21161.00</v>
      </c>
      <c r="AB737" t="str">
        <f t="shared" si="225"/>
        <v>Residential</v>
      </c>
      <c r="AC737" t="str">
        <f t="shared" si="230"/>
        <v>0</v>
      </c>
      <c r="AD737" t="str">
        <f t="shared" si="226"/>
        <v>4</v>
      </c>
      <c r="AE737" t="str">
        <f t="shared" si="227"/>
        <v>WOOD (INCLUDE STEEL STUDS)</v>
      </c>
      <c r="AF737" t="str">
        <f t="shared" si="228"/>
        <v>002</v>
      </c>
      <c r="AG737" t="str">
        <f t="shared" si="231"/>
        <v>FL</v>
      </c>
      <c r="AH737" t="str">
        <f t="shared" si="233"/>
        <v>-</v>
      </c>
      <c r="AI737" t="str">
        <f t="shared" si="234"/>
        <v>20000.00</v>
      </c>
      <c r="AJ737" t="str">
        <f>"C55-000-587-9042-9"</f>
        <v>C55-000-587-9042-9</v>
      </c>
      <c r="AK737" t="str">
        <f>"11906"</f>
        <v>11906</v>
      </c>
      <c r="AL737">
        <v>3</v>
      </c>
      <c r="AM737">
        <v>852</v>
      </c>
      <c r="AN737">
        <v>378.46</v>
      </c>
      <c r="AQ737" t="s">
        <v>7810</v>
      </c>
      <c r="AR737" t="s">
        <v>7810</v>
      </c>
      <c r="AS737" t="s">
        <v>7810</v>
      </c>
      <c r="AU737" t="s">
        <v>396</v>
      </c>
      <c r="AV737">
        <v>2017</v>
      </c>
      <c r="AW737" t="str">
        <f>"37-1N-25-299S-0001-0280 "</f>
        <v xml:space="preserve">37-1N-25-299S-0001-0280 </v>
      </c>
      <c r="AX737">
        <v>54171</v>
      </c>
      <c r="AZ737" t="s">
        <v>7796</v>
      </c>
      <c r="BA737" t="s">
        <v>496</v>
      </c>
      <c r="BD737" t="s">
        <v>2785</v>
      </c>
      <c r="BE737" t="s">
        <v>393</v>
      </c>
      <c r="BF737">
        <v>32011</v>
      </c>
      <c r="BG737" t="s">
        <v>7811</v>
      </c>
      <c r="BH737" t="s">
        <v>2787</v>
      </c>
      <c r="BI737">
        <v>-81.781599900389494</v>
      </c>
      <c r="BJ737">
        <v>30.525666691222401</v>
      </c>
      <c r="BK737" t="s">
        <v>7812</v>
      </c>
      <c r="BM737" t="s">
        <v>7811</v>
      </c>
      <c r="BN737" t="s">
        <v>928</v>
      </c>
      <c r="BO737">
        <v>32011</v>
      </c>
      <c r="BP737" t="s">
        <v>416</v>
      </c>
      <c r="BQ737">
        <v>200</v>
      </c>
      <c r="BR737" t="s">
        <v>405</v>
      </c>
      <c r="BS737">
        <v>1006</v>
      </c>
      <c r="BT737" t="s">
        <v>406</v>
      </c>
      <c r="BW737">
        <v>43652</v>
      </c>
      <c r="BX737" t="s">
        <v>407</v>
      </c>
      <c r="BY737" t="s">
        <v>408</v>
      </c>
      <c r="BZ737">
        <v>4</v>
      </c>
      <c r="CA737">
        <v>1995</v>
      </c>
      <c r="CB737">
        <v>1</v>
      </c>
      <c r="CC737">
        <v>1</v>
      </c>
      <c r="CD737">
        <v>2017</v>
      </c>
      <c r="CG737">
        <v>46161</v>
      </c>
      <c r="CH737">
        <v>2017</v>
      </c>
      <c r="CI737">
        <v>20000</v>
      </c>
      <c r="CJ737">
        <v>32278</v>
      </c>
      <c r="CK737">
        <v>52278</v>
      </c>
      <c r="CL737">
        <v>2017</v>
      </c>
      <c r="CM737">
        <v>320.35000000000002</v>
      </c>
      <c r="CN737" s="1">
        <v>40030</v>
      </c>
      <c r="CO737">
        <v>60000</v>
      </c>
      <c r="CV737">
        <v>0</v>
      </c>
      <c r="CZ737" s="1">
        <v>40030</v>
      </c>
      <c r="DA737">
        <v>0</v>
      </c>
      <c r="DD737" t="s">
        <v>2785</v>
      </c>
      <c r="DF737">
        <v>28</v>
      </c>
      <c r="DG737">
        <v>37</v>
      </c>
      <c r="DL737">
        <v>50502</v>
      </c>
      <c r="DM737" t="s">
        <v>7353</v>
      </c>
      <c r="DO737" t="s">
        <v>7813</v>
      </c>
      <c r="DP737">
        <v>0</v>
      </c>
      <c r="DQ737">
        <v>0</v>
      </c>
      <c r="DR737" t="s">
        <v>411</v>
      </c>
      <c r="DS737" t="b">
        <v>1</v>
      </c>
      <c r="DT737" t="s">
        <v>470</v>
      </c>
      <c r="DU737" t="s">
        <v>471</v>
      </c>
      <c r="DV737" t="s">
        <v>472</v>
      </c>
      <c r="DX737">
        <v>-9999</v>
      </c>
      <c r="DZ737" t="s">
        <v>447</v>
      </c>
      <c r="EA737" t="s">
        <v>448</v>
      </c>
      <c r="EB737" t="s">
        <v>742</v>
      </c>
      <c r="EC737">
        <v>20101217</v>
      </c>
      <c r="ED737" t="s">
        <v>474</v>
      </c>
      <c r="EF737">
        <v>3576.5</v>
      </c>
      <c r="EG737">
        <v>3576.5</v>
      </c>
      <c r="EI737">
        <v>20160407</v>
      </c>
      <c r="EJ737">
        <v>0</v>
      </c>
      <c r="EK737">
        <v>0</v>
      </c>
      <c r="EP737" t="s">
        <v>421</v>
      </c>
      <c r="EQ737" t="s">
        <v>422</v>
      </c>
      <c r="ER737">
        <v>4</v>
      </c>
      <c r="ES737">
        <v>1</v>
      </c>
      <c r="ET737">
        <v>1461.92</v>
      </c>
      <c r="EU737">
        <v>98.1</v>
      </c>
      <c r="EV737">
        <v>1560.02</v>
      </c>
      <c r="EW737" s="2">
        <v>43222</v>
      </c>
      <c r="EX737" s="1">
        <v>42879</v>
      </c>
      <c r="EY737">
        <v>2016</v>
      </c>
      <c r="EZ737">
        <v>362.56</v>
      </c>
      <c r="FA737" t="s">
        <v>7814</v>
      </c>
      <c r="FB737">
        <v>0.25</v>
      </c>
      <c r="FC737" t="s">
        <v>424</v>
      </c>
      <c r="FD737" t="s">
        <v>454</v>
      </c>
      <c r="FF737">
        <v>12</v>
      </c>
      <c r="FG737">
        <v>2851116</v>
      </c>
      <c r="FH737" t="s">
        <v>480</v>
      </c>
      <c r="FJ737" s="1">
        <v>42879</v>
      </c>
      <c r="FK737">
        <v>2016</v>
      </c>
      <c r="FL737">
        <v>362.56</v>
      </c>
      <c r="FM737" t="s">
        <v>7814</v>
      </c>
      <c r="FN737">
        <v>0.25</v>
      </c>
      <c r="FO737" t="s">
        <v>424</v>
      </c>
      <c r="FP737" t="s">
        <v>454</v>
      </c>
      <c r="FR737">
        <v>12</v>
      </c>
      <c r="FS737">
        <v>5294766</v>
      </c>
      <c r="FT737" t="s">
        <v>7815</v>
      </c>
      <c r="FV737" s="1">
        <v>42515</v>
      </c>
      <c r="FW737">
        <v>2015</v>
      </c>
      <c r="FX737">
        <v>368.4</v>
      </c>
      <c r="FY737" t="s">
        <v>7816</v>
      </c>
      <c r="FZ737">
        <v>0.25</v>
      </c>
      <c r="GA737" t="s">
        <v>424</v>
      </c>
      <c r="GB737" t="s">
        <v>454</v>
      </c>
      <c r="GD737">
        <v>24</v>
      </c>
      <c r="GE737">
        <v>2851116</v>
      </c>
      <c r="GF737" t="s">
        <v>480</v>
      </c>
      <c r="GH737" s="1">
        <v>42515</v>
      </c>
      <c r="GI737">
        <v>2015</v>
      </c>
      <c r="GJ737">
        <v>368.4</v>
      </c>
      <c r="GK737" t="s">
        <v>7816</v>
      </c>
      <c r="GL737">
        <v>0.25</v>
      </c>
      <c r="GM737" t="s">
        <v>424</v>
      </c>
      <c r="GN737" t="s">
        <v>454</v>
      </c>
      <c r="GP737">
        <v>24</v>
      </c>
      <c r="GQ737">
        <v>4975981</v>
      </c>
      <c r="GR737" t="s">
        <v>7817</v>
      </c>
      <c r="GT737" s="1">
        <v>41787</v>
      </c>
      <c r="GU737">
        <v>2013</v>
      </c>
      <c r="GV737">
        <v>454.87</v>
      </c>
      <c r="GW737" t="s">
        <v>7818</v>
      </c>
      <c r="GX737">
        <v>0.25</v>
      </c>
      <c r="GY737" t="s">
        <v>424</v>
      </c>
      <c r="GZ737" t="s">
        <v>425</v>
      </c>
      <c r="HA737" s="1">
        <v>41822</v>
      </c>
      <c r="HB737">
        <v>2</v>
      </c>
      <c r="HC737">
        <v>4695390</v>
      </c>
      <c r="HD737" t="s">
        <v>3193</v>
      </c>
    </row>
    <row r="738" spans="1:284" x14ac:dyDescent="0.25">
      <c r="A738">
        <v>16485745</v>
      </c>
      <c r="B738">
        <v>737</v>
      </c>
      <c r="C738" t="s">
        <v>393</v>
      </c>
      <c r="D738" t="s">
        <v>394</v>
      </c>
      <c r="F738" t="str">
        <f>"37-1N-25-299S-0001-0500"</f>
        <v>37-1N-25-299S-0001-0500</v>
      </c>
      <c r="H738" t="str">
        <f>"MULLIS KATISHA ANN"</f>
        <v>MULLIS KATISHA ANN</v>
      </c>
      <c r="I738" t="str">
        <f>"44332 WOODRIDGE DR"</f>
        <v>44332 WOODRIDGE DR</v>
      </c>
      <c r="J738" t="str">
        <f t="shared" si="232"/>
        <v>CALLAHAN FL 32011</v>
      </c>
      <c r="K738" t="str">
        <f>"54081 VIKKI RD"</f>
        <v>54081 VIKKI RD</v>
      </c>
      <c r="L738" t="str">
        <f t="shared" si="222"/>
        <v>CALLAHAN FL 32011</v>
      </c>
      <c r="M738" t="str">
        <f>"BLOCK 1 LOT 50 IN OR 1815/1601 1996 HIGH DW/MH SHEFFIELD VILLAGE PB 5/28 &amp; 29"</f>
        <v>BLOCK 1 LOT 50 IN OR 1815/1601 1996 HIGH DW/MH SHEFFIELD VILLAGE PB 5/28 &amp; 29</v>
      </c>
      <c r="N738" t="str">
        <f>""</f>
        <v/>
      </c>
      <c r="O738" t="str">
        <f>"43154"</f>
        <v>43154</v>
      </c>
      <c r="P738" t="str">
        <f t="shared" si="218"/>
        <v>2017</v>
      </c>
      <c r="Q738" t="str">
        <f>""</f>
        <v/>
      </c>
      <c r="R738" t="str">
        <f>"N"</f>
        <v>N</v>
      </c>
      <c r="S738" t="str">
        <f>""</f>
        <v/>
      </c>
      <c r="T738" t="str">
        <f>"991.67"</f>
        <v>991.67</v>
      </c>
      <c r="U738" t="str">
        <f>"64363.00"</f>
        <v>64363.00</v>
      </c>
      <c r="V738" t="str">
        <f>"64363.00"</f>
        <v>64363.00</v>
      </c>
      <c r="W738" t="str">
        <f t="shared" si="219"/>
        <v>2017</v>
      </c>
      <c r="X738" t="str">
        <f>"18.00"</f>
        <v>18.00</v>
      </c>
      <c r="Y738" t="str">
        <f>"1053.42"</f>
        <v>1053.42</v>
      </c>
      <c r="Z738" t="str">
        <f>""</f>
        <v/>
      </c>
      <c r="AA738" t="str">
        <f>"66983.00"</f>
        <v>66983.00</v>
      </c>
      <c r="AB738" t="str">
        <f t="shared" si="225"/>
        <v>Residential</v>
      </c>
      <c r="AC738" t="str">
        <f t="shared" si="230"/>
        <v>0</v>
      </c>
      <c r="AD738" t="str">
        <f t="shared" si="226"/>
        <v>4</v>
      </c>
      <c r="AE738" t="str">
        <f t="shared" si="227"/>
        <v>WOOD (INCLUDE STEEL STUDS)</v>
      </c>
      <c r="AF738" t="str">
        <f t="shared" si="228"/>
        <v>002</v>
      </c>
      <c r="AG738" t="str">
        <f t="shared" si="231"/>
        <v>FL</v>
      </c>
      <c r="AH738" t="str">
        <f t="shared" si="233"/>
        <v>-</v>
      </c>
      <c r="AI738" t="str">
        <f t="shared" si="234"/>
        <v>20000.00</v>
      </c>
      <c r="AJ738" t="str">
        <f>"C55-000-587-9064-3"</f>
        <v>C55-000-587-9064-3</v>
      </c>
      <c r="AK738" t="str">
        <f>"11927"</f>
        <v>11927</v>
      </c>
      <c r="AL738">
        <v>3</v>
      </c>
      <c r="AM738">
        <v>854</v>
      </c>
      <c r="AN738">
        <v>1104.49</v>
      </c>
      <c r="AQ738" t="s">
        <v>7819</v>
      </c>
      <c r="AR738" t="s">
        <v>7819</v>
      </c>
      <c r="AS738" t="s">
        <v>7819</v>
      </c>
      <c r="AU738" t="s">
        <v>396</v>
      </c>
      <c r="AV738">
        <v>2017</v>
      </c>
      <c r="AW738" t="str">
        <f>"37-1N-25-299S-0001-0500 "</f>
        <v xml:space="preserve">37-1N-25-299S-0001-0500 </v>
      </c>
      <c r="AX738">
        <v>54081</v>
      </c>
      <c r="AZ738" t="s">
        <v>7820</v>
      </c>
      <c r="BA738" t="s">
        <v>496</v>
      </c>
      <c r="BD738" t="s">
        <v>2785</v>
      </c>
      <c r="BE738" t="s">
        <v>393</v>
      </c>
      <c r="BF738">
        <v>32011</v>
      </c>
      <c r="BG738" t="s">
        <v>7821</v>
      </c>
      <c r="BH738" t="s">
        <v>2787</v>
      </c>
      <c r="BI738">
        <v>-81.784148274851802</v>
      </c>
      <c r="BJ738">
        <v>30.5175078555224</v>
      </c>
      <c r="BK738" t="s">
        <v>7822</v>
      </c>
      <c r="BM738" t="s">
        <v>7823</v>
      </c>
      <c r="BN738" t="s">
        <v>928</v>
      </c>
      <c r="BO738">
        <v>32011</v>
      </c>
      <c r="BP738" t="s">
        <v>404</v>
      </c>
      <c r="BQ738">
        <v>200</v>
      </c>
      <c r="BR738" t="s">
        <v>405</v>
      </c>
      <c r="BS738">
        <v>1006</v>
      </c>
      <c r="BT738" t="s">
        <v>406</v>
      </c>
      <c r="BW738">
        <v>44610</v>
      </c>
      <c r="BX738" t="s">
        <v>407</v>
      </c>
      <c r="BY738" t="s">
        <v>408</v>
      </c>
      <c r="BZ738">
        <v>4</v>
      </c>
      <c r="CA738">
        <v>1998</v>
      </c>
      <c r="CC738">
        <v>1</v>
      </c>
      <c r="CD738">
        <v>2017</v>
      </c>
      <c r="CE738">
        <v>20000</v>
      </c>
      <c r="CF738">
        <v>46983</v>
      </c>
      <c r="CG738">
        <v>66983</v>
      </c>
      <c r="CH738">
        <v>2017</v>
      </c>
      <c r="CI738">
        <v>20000</v>
      </c>
      <c r="CJ738">
        <v>46983</v>
      </c>
      <c r="CK738">
        <v>66983</v>
      </c>
      <c r="CL738">
        <v>2017</v>
      </c>
      <c r="CM738">
        <v>991.67</v>
      </c>
      <c r="CN738" s="1">
        <v>41178</v>
      </c>
      <c r="CO738">
        <v>13300</v>
      </c>
      <c r="CV738">
        <v>0</v>
      </c>
      <c r="CZ738" s="1">
        <v>41178</v>
      </c>
      <c r="DA738">
        <v>0</v>
      </c>
      <c r="DD738" t="s">
        <v>2785</v>
      </c>
      <c r="DF738">
        <v>50</v>
      </c>
      <c r="DG738">
        <v>37</v>
      </c>
      <c r="DL738">
        <v>50502</v>
      </c>
      <c r="DM738" t="s">
        <v>7353</v>
      </c>
      <c r="DO738" t="s">
        <v>7824</v>
      </c>
      <c r="DP738">
        <v>0</v>
      </c>
      <c r="DQ738">
        <v>0</v>
      </c>
      <c r="DR738" t="s">
        <v>411</v>
      </c>
      <c r="DS738" t="b">
        <v>1</v>
      </c>
      <c r="DT738" t="s">
        <v>470</v>
      </c>
      <c r="DU738" t="s">
        <v>471</v>
      </c>
      <c r="DV738" t="s">
        <v>472</v>
      </c>
      <c r="DX738">
        <v>-9999</v>
      </c>
      <c r="DZ738" t="s">
        <v>447</v>
      </c>
      <c r="EA738" t="s">
        <v>448</v>
      </c>
      <c r="EB738" t="s">
        <v>742</v>
      </c>
      <c r="EC738">
        <v>20101217</v>
      </c>
      <c r="ED738" t="s">
        <v>474</v>
      </c>
      <c r="EF738">
        <v>1900.1</v>
      </c>
      <c r="EG738">
        <v>1900.1</v>
      </c>
      <c r="EI738">
        <v>20160407</v>
      </c>
      <c r="EJ738">
        <v>0</v>
      </c>
      <c r="EK738">
        <v>0</v>
      </c>
      <c r="EP738" t="s">
        <v>421</v>
      </c>
      <c r="EQ738" t="s">
        <v>452</v>
      </c>
      <c r="ER738">
        <v>2</v>
      </c>
      <c r="ES738">
        <v>6</v>
      </c>
      <c r="ET738">
        <v>2081.8200000000002</v>
      </c>
      <c r="EU738">
        <v>116.59</v>
      </c>
      <c r="EV738">
        <v>2198.41</v>
      </c>
      <c r="EW738" s="2">
        <v>43222</v>
      </c>
      <c r="EX738" s="1">
        <v>42879</v>
      </c>
      <c r="EY738">
        <v>2016</v>
      </c>
      <c r="EZ738">
        <v>1040.9100000000001</v>
      </c>
      <c r="FA738" t="s">
        <v>7825</v>
      </c>
      <c r="FB738">
        <v>0.25</v>
      </c>
      <c r="FC738" t="s">
        <v>424</v>
      </c>
      <c r="FD738" t="s">
        <v>454</v>
      </c>
      <c r="FF738">
        <v>12</v>
      </c>
      <c r="FG738">
        <v>7400234</v>
      </c>
      <c r="FH738" t="s">
        <v>426</v>
      </c>
      <c r="FJ738" s="1">
        <v>42879</v>
      </c>
      <c r="FK738">
        <v>2016</v>
      </c>
      <c r="FL738">
        <v>1040.9100000000001</v>
      </c>
      <c r="FM738" t="s">
        <v>7825</v>
      </c>
      <c r="FN738">
        <v>0.25</v>
      </c>
      <c r="FO738" t="s">
        <v>424</v>
      </c>
      <c r="FP738" t="s">
        <v>454</v>
      </c>
      <c r="FR738">
        <v>12</v>
      </c>
      <c r="FS738">
        <v>7496082</v>
      </c>
      <c r="FT738" t="s">
        <v>7826</v>
      </c>
      <c r="FV738" s="1">
        <v>42515</v>
      </c>
      <c r="FW738">
        <v>2015</v>
      </c>
      <c r="FX738">
        <v>1051.96</v>
      </c>
      <c r="FY738" t="s">
        <v>7827</v>
      </c>
      <c r="FZ738">
        <v>4.75</v>
      </c>
      <c r="GA738" t="s">
        <v>424</v>
      </c>
      <c r="GB738" t="s">
        <v>425</v>
      </c>
      <c r="GC738" s="1">
        <v>43179</v>
      </c>
      <c r="GD738">
        <v>22</v>
      </c>
      <c r="GE738">
        <v>2035919</v>
      </c>
      <c r="GF738" t="s">
        <v>507</v>
      </c>
      <c r="GH738" s="1">
        <v>42151</v>
      </c>
      <c r="GI738">
        <v>2014</v>
      </c>
      <c r="GJ738">
        <v>1083.05</v>
      </c>
      <c r="GK738" t="s">
        <v>7828</v>
      </c>
      <c r="GL738">
        <v>4.75</v>
      </c>
      <c r="GM738" t="s">
        <v>424</v>
      </c>
      <c r="GN738" t="s">
        <v>425</v>
      </c>
      <c r="GO738" s="1">
        <v>42825</v>
      </c>
      <c r="GP738">
        <v>22</v>
      </c>
      <c r="GQ738">
        <v>4975593</v>
      </c>
      <c r="GR738" t="s">
        <v>505</v>
      </c>
      <c r="GT738" s="1">
        <v>41787</v>
      </c>
      <c r="GU738">
        <v>2013</v>
      </c>
      <c r="GV738">
        <v>1131.8399999999999</v>
      </c>
      <c r="GW738" t="s">
        <v>7829</v>
      </c>
      <c r="GX738">
        <v>0.25</v>
      </c>
      <c r="GY738" t="s">
        <v>424</v>
      </c>
      <c r="GZ738" t="s">
        <v>425</v>
      </c>
      <c r="HA738" s="1">
        <v>42459</v>
      </c>
      <c r="HB738">
        <v>22</v>
      </c>
      <c r="HC738">
        <v>2407503</v>
      </c>
      <c r="HD738" t="s">
        <v>461</v>
      </c>
      <c r="HF738" s="1">
        <v>41423</v>
      </c>
      <c r="HG738">
        <v>2012</v>
      </c>
      <c r="HH738">
        <v>961.79</v>
      </c>
      <c r="HI738" t="s">
        <v>7830</v>
      </c>
      <c r="HJ738">
        <v>0.25</v>
      </c>
      <c r="HK738" t="s">
        <v>424</v>
      </c>
      <c r="HL738" t="s">
        <v>425</v>
      </c>
      <c r="HM738" s="1">
        <v>42079</v>
      </c>
      <c r="HN738">
        <v>22</v>
      </c>
      <c r="HO738">
        <v>15399</v>
      </c>
      <c r="HP738" t="s">
        <v>485</v>
      </c>
      <c r="HR738" s="1">
        <v>41052</v>
      </c>
      <c r="HS738">
        <v>2011</v>
      </c>
      <c r="HT738">
        <v>1230.1600000000001</v>
      </c>
      <c r="HU738" t="s">
        <v>7831</v>
      </c>
      <c r="HV738">
        <v>6</v>
      </c>
      <c r="HW738" t="s">
        <v>424</v>
      </c>
      <c r="HX738" t="s">
        <v>425</v>
      </c>
      <c r="HY738" s="1">
        <v>41093</v>
      </c>
      <c r="HZ738">
        <v>2</v>
      </c>
      <c r="IA738">
        <v>375</v>
      </c>
      <c r="IB738" t="s">
        <v>776</v>
      </c>
      <c r="IC738" t="s">
        <v>458</v>
      </c>
      <c r="ID738" s="1">
        <v>40688</v>
      </c>
      <c r="IE738">
        <v>2010</v>
      </c>
      <c r="IF738">
        <v>1350.76</v>
      </c>
      <c r="IG738" t="s">
        <v>7832</v>
      </c>
      <c r="IH738">
        <v>7.5</v>
      </c>
      <c r="II738" t="s">
        <v>424</v>
      </c>
      <c r="IJ738" t="s">
        <v>425</v>
      </c>
      <c r="IL738">
        <v>22</v>
      </c>
      <c r="IM738">
        <v>10579</v>
      </c>
      <c r="IN738" t="s">
        <v>488</v>
      </c>
      <c r="IO738" t="s">
        <v>458</v>
      </c>
    </row>
    <row r="739" spans="1:284" x14ac:dyDescent="0.25">
      <c r="A739">
        <v>16485746</v>
      </c>
      <c r="B739">
        <v>738</v>
      </c>
      <c r="C739" t="s">
        <v>393</v>
      </c>
      <c r="D739" t="s">
        <v>394</v>
      </c>
      <c r="F739" t="str">
        <f>"37-1N-25-299S-0001-0580"</f>
        <v>37-1N-25-299S-0001-0580</v>
      </c>
      <c r="H739" t="str">
        <f>"EDENFIELD BOBBIE E"</f>
        <v>EDENFIELD BOBBIE E</v>
      </c>
      <c r="I739" t="str">
        <f>"54047 TROOPER COURT"</f>
        <v>54047 TROOPER COURT</v>
      </c>
      <c r="J739" t="str">
        <f t="shared" si="232"/>
        <v>CALLAHAN FL 32011</v>
      </c>
      <c r="K739" t="str">
        <f>"54047 TROOPER CT"</f>
        <v>54047 TROOPER CT</v>
      </c>
      <c r="L739" t="str">
        <f t="shared" si="222"/>
        <v>CALLAHAN FL 32011</v>
      </c>
      <c r="M739" t="str">
        <f>"BLOCK 1 LOTS 58 &amp; PT OF 59 IN OR 1116/574 R278103 &amp; R278104 SHEFFIELD VILLAGE PB 5/28 &amp; 29"</f>
        <v>BLOCK 1 LOTS 58 &amp; PT OF 59 IN OR 1116/574 R278103 &amp; R278104 SHEFFIELD VILLAGE PB 5/28 &amp; 29</v>
      </c>
      <c r="N739" t="str">
        <f>""</f>
        <v/>
      </c>
      <c r="O739" t="str">
        <f>"43161"</f>
        <v>43161</v>
      </c>
      <c r="P739" t="str">
        <f t="shared" si="218"/>
        <v>2017</v>
      </c>
      <c r="Q739" t="str">
        <f>""</f>
        <v/>
      </c>
      <c r="R739" t="str">
        <f>"N"</f>
        <v>N</v>
      </c>
      <c r="S739" t="str">
        <f>""</f>
        <v/>
      </c>
      <c r="T739" t="str">
        <f>"589.78"</f>
        <v>589.78</v>
      </c>
      <c r="U739" t="str">
        <f>"37795.00"</f>
        <v>37795.00</v>
      </c>
      <c r="V739" t="str">
        <f>"37795.00"</f>
        <v>37795.00</v>
      </c>
      <c r="W739" t="str">
        <f t="shared" si="219"/>
        <v>2017</v>
      </c>
      <c r="X739" t="str">
        <f>""</f>
        <v/>
      </c>
      <c r="Y739" t="str">
        <f>"639.47"</f>
        <v>639.47</v>
      </c>
      <c r="Z739" t="str">
        <f>""</f>
        <v/>
      </c>
      <c r="AA739" t="str">
        <f>"40464.00"</f>
        <v>40464.00</v>
      </c>
      <c r="AB739" t="str">
        <f t="shared" si="225"/>
        <v>Residential</v>
      </c>
      <c r="AC739" t="str">
        <f t="shared" si="230"/>
        <v>0</v>
      </c>
      <c r="AD739" t="str">
        <f t="shared" si="226"/>
        <v>4</v>
      </c>
      <c r="AE739" t="str">
        <f t="shared" si="227"/>
        <v>WOOD (INCLUDE STEEL STUDS)</v>
      </c>
      <c r="AF739" t="str">
        <f t="shared" si="228"/>
        <v>002</v>
      </c>
      <c r="AG739" t="str">
        <f t="shared" si="231"/>
        <v>FL</v>
      </c>
      <c r="AH739" t="str">
        <f t="shared" si="233"/>
        <v>-</v>
      </c>
      <c r="AI739" t="str">
        <f t="shared" si="234"/>
        <v>20000.00</v>
      </c>
      <c r="AJ739" t="str">
        <f>"C55-000-587-9071-8"</f>
        <v>C55-000-587-9071-8</v>
      </c>
      <c r="AK739" t="str">
        <f>"11934"</f>
        <v>11934</v>
      </c>
      <c r="AL739">
        <v>3</v>
      </c>
      <c r="AM739">
        <v>855</v>
      </c>
      <c r="AN739">
        <v>669.84</v>
      </c>
      <c r="AQ739" t="s">
        <v>7833</v>
      </c>
      <c r="AR739" t="s">
        <v>7833</v>
      </c>
      <c r="AS739" t="s">
        <v>7833</v>
      </c>
      <c r="AU739" t="s">
        <v>396</v>
      </c>
      <c r="AV739">
        <v>2017</v>
      </c>
      <c r="AW739" t="str">
        <f>"37-1N-25-299S-0001-0580 "</f>
        <v xml:space="preserve">37-1N-25-299S-0001-0580 </v>
      </c>
      <c r="AX739">
        <v>54047</v>
      </c>
      <c r="AZ739" t="s">
        <v>7834</v>
      </c>
      <c r="BA739" t="s">
        <v>3181</v>
      </c>
      <c r="BD739" t="s">
        <v>2785</v>
      </c>
      <c r="BE739" t="s">
        <v>393</v>
      </c>
      <c r="BF739">
        <v>32011</v>
      </c>
      <c r="BG739" t="s">
        <v>7835</v>
      </c>
      <c r="BH739" t="s">
        <v>2787</v>
      </c>
      <c r="BI739">
        <v>-81.782507294209793</v>
      </c>
      <c r="BJ739">
        <v>30.517262189830198</v>
      </c>
      <c r="BK739" t="s">
        <v>7836</v>
      </c>
      <c r="BM739" t="s">
        <v>7835</v>
      </c>
      <c r="BN739" t="s">
        <v>928</v>
      </c>
      <c r="BO739">
        <v>32011</v>
      </c>
      <c r="BP739" t="s">
        <v>416</v>
      </c>
      <c r="BQ739">
        <v>200</v>
      </c>
      <c r="BR739" t="s">
        <v>405</v>
      </c>
      <c r="BS739">
        <v>1006</v>
      </c>
      <c r="BT739" t="s">
        <v>406</v>
      </c>
      <c r="BW739">
        <v>45396</v>
      </c>
      <c r="BX739" t="s">
        <v>407</v>
      </c>
      <c r="BY739" t="s">
        <v>408</v>
      </c>
      <c r="BZ739">
        <v>4</v>
      </c>
      <c r="CA739">
        <v>1986</v>
      </c>
      <c r="CB739">
        <v>1</v>
      </c>
      <c r="CC739">
        <v>1</v>
      </c>
      <c r="CD739">
        <v>2017</v>
      </c>
      <c r="CE739">
        <v>20000</v>
      </c>
      <c r="CF739">
        <v>20464</v>
      </c>
      <c r="CG739">
        <v>40464</v>
      </c>
      <c r="CH739">
        <v>2017</v>
      </c>
      <c r="CI739">
        <v>20000</v>
      </c>
      <c r="CJ739">
        <v>20464</v>
      </c>
      <c r="CK739">
        <v>40464</v>
      </c>
      <c r="CL739">
        <v>2017</v>
      </c>
      <c r="CM739">
        <v>589.78</v>
      </c>
      <c r="CN739" s="1">
        <v>37678</v>
      </c>
      <c r="CZ739" s="1">
        <v>37678</v>
      </c>
      <c r="DD739" t="s">
        <v>2785</v>
      </c>
      <c r="DG739">
        <v>37</v>
      </c>
      <c r="DL739">
        <v>50502</v>
      </c>
      <c r="DM739" t="s">
        <v>7353</v>
      </c>
      <c r="DO739" t="s">
        <v>7837</v>
      </c>
      <c r="DP739">
        <v>0</v>
      </c>
      <c r="DQ739">
        <v>0</v>
      </c>
      <c r="DR739" t="s">
        <v>411</v>
      </c>
      <c r="EP739" t="s">
        <v>421</v>
      </c>
      <c r="EQ739" t="s">
        <v>422</v>
      </c>
      <c r="ER739">
        <v>2</v>
      </c>
      <c r="ES739">
        <v>0</v>
      </c>
      <c r="ET739">
        <v>1194.8399999999999</v>
      </c>
      <c r="EU739">
        <v>72.239999999999995</v>
      </c>
      <c r="EV739">
        <v>1267.08</v>
      </c>
      <c r="EW739" s="2">
        <v>43222</v>
      </c>
      <c r="EX739" s="1">
        <v>42879</v>
      </c>
      <c r="EY739">
        <v>2016</v>
      </c>
      <c r="EZ739">
        <v>597.41999999999996</v>
      </c>
      <c r="FA739" t="s">
        <v>7838</v>
      </c>
      <c r="FB739">
        <v>0.25</v>
      </c>
      <c r="FC739" t="s">
        <v>424</v>
      </c>
      <c r="FD739" t="s">
        <v>454</v>
      </c>
      <c r="FF739">
        <v>12</v>
      </c>
      <c r="FG739">
        <v>2851116</v>
      </c>
      <c r="FH739" t="s">
        <v>480</v>
      </c>
      <c r="FJ739" s="1">
        <v>42879</v>
      </c>
      <c r="FK739">
        <v>2016</v>
      </c>
      <c r="FL739">
        <v>597.41999999999996</v>
      </c>
      <c r="FM739" t="s">
        <v>7838</v>
      </c>
      <c r="FN739">
        <v>0.25</v>
      </c>
      <c r="FO739" t="s">
        <v>424</v>
      </c>
      <c r="FP739" t="s">
        <v>454</v>
      </c>
      <c r="FR739">
        <v>12</v>
      </c>
      <c r="FS739">
        <v>4891000</v>
      </c>
      <c r="FT739" t="s">
        <v>7839</v>
      </c>
    </row>
    <row r="740" spans="1:284" x14ac:dyDescent="0.25">
      <c r="A740">
        <v>16485747</v>
      </c>
      <c r="B740">
        <v>739</v>
      </c>
      <c r="C740" t="s">
        <v>393</v>
      </c>
      <c r="D740" t="s">
        <v>394</v>
      </c>
      <c r="F740" t="str">
        <f>"37-1N-25-299S-0001-0740"</f>
        <v>37-1N-25-299S-0001-0740</v>
      </c>
      <c r="H740" t="str">
        <f>"GRIFFIN CAROLYN ANN &amp; GEIGER LINDA S &amp; TOMLINSON GREGORY L (JT/RS)"</f>
        <v>GRIFFIN CAROLYN ANN &amp; GEIGER LINDA S &amp; TOMLINSON GREGORY L (JT/RS)</v>
      </c>
      <c r="I740" t="str">
        <f>""</f>
        <v/>
      </c>
      <c r="J740" t="str">
        <f t="shared" si="232"/>
        <v>CALLAHAN FL 32011</v>
      </c>
      <c r="K740" t="str">
        <f>"54273 ROY BOOTH RD"</f>
        <v>54273 ROY BOOTH RD</v>
      </c>
      <c r="L740" t="str">
        <f t="shared" si="222"/>
        <v>CALLAHAN FL 32011</v>
      </c>
      <c r="M740" t="str">
        <f>"BLOCK 1 LOT 74 IN OR 1599/864 R359909 &amp; R359908 SHEFFIELD VILLAGE PB 5/28 &amp; 29"</f>
        <v>BLOCK 1 LOT 74 IN OR 1599/864 R359909 &amp; R359908 SHEFFIELD VILLAGE PB 5/28 &amp; 29</v>
      </c>
      <c r="N740" t="str">
        <f>""</f>
        <v/>
      </c>
      <c r="O740" t="str">
        <f>"43176"</f>
        <v>43176</v>
      </c>
      <c r="P740" t="str">
        <f t="shared" si="218"/>
        <v>2017</v>
      </c>
      <c r="Q740" t="str">
        <f>""</f>
        <v/>
      </c>
      <c r="R740" t="str">
        <f>"N"</f>
        <v>N</v>
      </c>
      <c r="S740" t="str">
        <f>""</f>
        <v/>
      </c>
      <c r="T740" t="str">
        <f>"556.02"</f>
        <v>556.02</v>
      </c>
      <c r="U740" t="str">
        <f>"34799.00"</f>
        <v>34799.00</v>
      </c>
      <c r="V740" t="str">
        <f>"34799.00"</f>
        <v>34799.00</v>
      </c>
      <c r="W740" t="str">
        <f t="shared" si="219"/>
        <v>2017</v>
      </c>
      <c r="X740" t="str">
        <f>"14.00"</f>
        <v>14.00</v>
      </c>
      <c r="Y740" t="str">
        <f>"604.70"</f>
        <v>604.70</v>
      </c>
      <c r="Z740" t="str">
        <f>""</f>
        <v/>
      </c>
      <c r="AA740" t="str">
        <f>"39225.00"</f>
        <v>39225.00</v>
      </c>
      <c r="AB740" t="str">
        <f t="shared" si="225"/>
        <v>Residential</v>
      </c>
      <c r="AC740" t="str">
        <f t="shared" si="230"/>
        <v>0</v>
      </c>
      <c r="AD740" t="str">
        <f t="shared" si="226"/>
        <v>4</v>
      </c>
      <c r="AE740" t="str">
        <f t="shared" si="227"/>
        <v>WOOD (INCLUDE STEEL STUDS)</v>
      </c>
      <c r="AF740" t="str">
        <f t="shared" si="228"/>
        <v>002</v>
      </c>
      <c r="AG740" t="str">
        <f t="shared" si="231"/>
        <v>FL</v>
      </c>
      <c r="AH740" t="str">
        <f t="shared" si="233"/>
        <v>-</v>
      </c>
      <c r="AI740" t="str">
        <f t="shared" si="234"/>
        <v>20000.00</v>
      </c>
      <c r="AJ740" t="str">
        <f>"C55-000-587-9086-6"</f>
        <v>C55-000-587-9086-6</v>
      </c>
      <c r="AK740" t="str">
        <f>"11949"</f>
        <v>11949</v>
      </c>
      <c r="AL740">
        <v>3</v>
      </c>
      <c r="AM740">
        <v>856</v>
      </c>
      <c r="AN740">
        <v>633.34</v>
      </c>
      <c r="AQ740" t="s">
        <v>7840</v>
      </c>
      <c r="AR740" t="s">
        <v>7840</v>
      </c>
      <c r="AS740" t="s">
        <v>7840</v>
      </c>
      <c r="AU740" t="s">
        <v>396</v>
      </c>
      <c r="AV740">
        <v>2017</v>
      </c>
      <c r="AW740" t="str">
        <f>"37-1N-25-299S-0001-0740 "</f>
        <v xml:space="preserve">37-1N-25-299S-0001-0740 </v>
      </c>
      <c r="AX740">
        <v>54273</v>
      </c>
      <c r="AZ740" t="s">
        <v>7377</v>
      </c>
      <c r="BA740" t="s">
        <v>496</v>
      </c>
      <c r="BD740" t="s">
        <v>2785</v>
      </c>
      <c r="BE740" t="s">
        <v>393</v>
      </c>
      <c r="BF740">
        <v>32011</v>
      </c>
      <c r="BG740" t="s">
        <v>7841</v>
      </c>
      <c r="BH740" t="s">
        <v>2787</v>
      </c>
      <c r="BI740">
        <v>-81.780923486269501</v>
      </c>
      <c r="BJ740">
        <v>30.516024914489702</v>
      </c>
      <c r="BK740" t="s">
        <v>7842</v>
      </c>
      <c r="BL740" t="s">
        <v>7843</v>
      </c>
      <c r="BM740" t="s">
        <v>7844</v>
      </c>
      <c r="BN740" t="s">
        <v>928</v>
      </c>
      <c r="BO740">
        <v>32011</v>
      </c>
      <c r="BP740" t="s">
        <v>404</v>
      </c>
      <c r="BQ740">
        <v>200</v>
      </c>
      <c r="BR740" t="s">
        <v>405</v>
      </c>
      <c r="BS740">
        <v>1006</v>
      </c>
      <c r="BT740" t="s">
        <v>406</v>
      </c>
      <c r="BW740">
        <v>63245</v>
      </c>
      <c r="BX740" t="s">
        <v>407</v>
      </c>
      <c r="BY740" t="s">
        <v>408</v>
      </c>
      <c r="BZ740">
        <v>4</v>
      </c>
      <c r="CA740">
        <v>1988</v>
      </c>
      <c r="CB740">
        <v>1</v>
      </c>
      <c r="CC740">
        <v>1</v>
      </c>
      <c r="CD740">
        <v>2017</v>
      </c>
      <c r="CE740">
        <v>20000</v>
      </c>
      <c r="CF740">
        <v>19225</v>
      </c>
      <c r="CG740">
        <v>39225</v>
      </c>
      <c r="CH740">
        <v>2017</v>
      </c>
      <c r="CI740">
        <v>20000</v>
      </c>
      <c r="CJ740">
        <v>19225</v>
      </c>
      <c r="CK740">
        <v>39225</v>
      </c>
      <c r="CL740">
        <v>2017</v>
      </c>
      <c r="CM740">
        <v>556.02</v>
      </c>
      <c r="CN740" s="1">
        <v>39798</v>
      </c>
      <c r="CZ740" s="1">
        <v>39798</v>
      </c>
      <c r="DD740" t="s">
        <v>2785</v>
      </c>
      <c r="DF740">
        <v>74</v>
      </c>
      <c r="DG740">
        <v>37</v>
      </c>
      <c r="DL740">
        <v>50502</v>
      </c>
      <c r="DM740" t="s">
        <v>7353</v>
      </c>
      <c r="DO740" t="s">
        <v>7845</v>
      </c>
      <c r="DP740">
        <v>0</v>
      </c>
      <c r="DQ740">
        <v>0</v>
      </c>
      <c r="DR740" t="s">
        <v>411</v>
      </c>
      <c r="DS740" t="b">
        <v>1</v>
      </c>
      <c r="DT740" t="s">
        <v>470</v>
      </c>
      <c r="DU740" t="s">
        <v>471</v>
      </c>
      <c r="DV740" t="s">
        <v>472</v>
      </c>
      <c r="DX740">
        <v>-9999</v>
      </c>
      <c r="DZ740" t="s">
        <v>447</v>
      </c>
      <c r="EA740" t="s">
        <v>448</v>
      </c>
      <c r="EB740" t="s">
        <v>742</v>
      </c>
      <c r="EC740">
        <v>20101217</v>
      </c>
      <c r="ED740" t="s">
        <v>474</v>
      </c>
      <c r="EF740">
        <v>813.1</v>
      </c>
      <c r="EG740">
        <v>813.1</v>
      </c>
      <c r="EI740">
        <v>20160407</v>
      </c>
      <c r="EJ740">
        <v>0</v>
      </c>
      <c r="EK740">
        <v>0</v>
      </c>
      <c r="EP740" t="s">
        <v>421</v>
      </c>
      <c r="EQ740" t="s">
        <v>452</v>
      </c>
      <c r="ER740">
        <v>0</v>
      </c>
      <c r="ES740">
        <v>5</v>
      </c>
      <c r="ET740">
        <v>0</v>
      </c>
      <c r="EU740">
        <v>0</v>
      </c>
      <c r="EV740">
        <v>0</v>
      </c>
      <c r="EW740" s="2">
        <v>43222</v>
      </c>
      <c r="EX740" s="1">
        <v>42879</v>
      </c>
      <c r="EY740">
        <v>2016</v>
      </c>
      <c r="EZ740">
        <v>552.21</v>
      </c>
      <c r="FA740" t="s">
        <v>7846</v>
      </c>
      <c r="FB740">
        <v>0.25</v>
      </c>
      <c r="FC740" t="s">
        <v>424</v>
      </c>
      <c r="FD740" t="s">
        <v>425</v>
      </c>
      <c r="FE740" s="1">
        <v>42946</v>
      </c>
      <c r="FF740">
        <v>2</v>
      </c>
      <c r="FG740">
        <v>2035919</v>
      </c>
      <c r="FH740" t="s">
        <v>507</v>
      </c>
      <c r="FI740" t="s">
        <v>458</v>
      </c>
      <c r="FJ740" s="1">
        <v>42515</v>
      </c>
      <c r="FK740">
        <v>2015</v>
      </c>
      <c r="FL740">
        <v>618.58000000000004</v>
      </c>
      <c r="FM740" t="s">
        <v>7847</v>
      </c>
      <c r="FN740">
        <v>0.25</v>
      </c>
      <c r="FO740" t="s">
        <v>424</v>
      </c>
      <c r="FP740" t="s">
        <v>425</v>
      </c>
      <c r="FR740">
        <v>22</v>
      </c>
      <c r="FS740">
        <v>2851116</v>
      </c>
      <c r="FT740" t="s">
        <v>480</v>
      </c>
      <c r="FU740" t="s">
        <v>458</v>
      </c>
      <c r="FV740" s="1">
        <v>42515</v>
      </c>
      <c r="FW740">
        <v>2015</v>
      </c>
      <c r="FX740">
        <v>618.58000000000004</v>
      </c>
      <c r="FY740" t="s">
        <v>7847</v>
      </c>
      <c r="FZ740">
        <v>0.25</v>
      </c>
      <c r="GA740" t="s">
        <v>424</v>
      </c>
      <c r="GB740" t="s">
        <v>425</v>
      </c>
      <c r="GD740">
        <v>22</v>
      </c>
      <c r="GE740">
        <v>5413767</v>
      </c>
      <c r="GF740" t="s">
        <v>7848</v>
      </c>
      <c r="GG740" t="s">
        <v>458</v>
      </c>
      <c r="GH740" s="1">
        <v>42151</v>
      </c>
      <c r="GI740">
        <v>2014</v>
      </c>
      <c r="GJ740">
        <v>542.54999999999995</v>
      </c>
      <c r="GK740" t="s">
        <v>7849</v>
      </c>
      <c r="GL740">
        <v>0.25</v>
      </c>
      <c r="GM740" t="s">
        <v>424</v>
      </c>
      <c r="GN740" t="s">
        <v>425</v>
      </c>
      <c r="GP740">
        <v>22</v>
      </c>
      <c r="GQ740">
        <v>2851116</v>
      </c>
      <c r="GR740" t="s">
        <v>480</v>
      </c>
      <c r="GS740" t="s">
        <v>458</v>
      </c>
      <c r="GT740" s="1">
        <v>42151</v>
      </c>
      <c r="GU740">
        <v>2014</v>
      </c>
      <c r="GV740">
        <v>542.54999999999995</v>
      </c>
      <c r="GW740" t="s">
        <v>7849</v>
      </c>
      <c r="GX740">
        <v>0.25</v>
      </c>
      <c r="GY740" t="s">
        <v>424</v>
      </c>
      <c r="GZ740" t="s">
        <v>425</v>
      </c>
      <c r="HB740">
        <v>22</v>
      </c>
      <c r="HC740">
        <v>5091706</v>
      </c>
      <c r="HD740" t="s">
        <v>7850</v>
      </c>
      <c r="HE740" t="s">
        <v>458</v>
      </c>
    </row>
    <row r="741" spans="1:284" x14ac:dyDescent="0.25">
      <c r="A741">
        <v>16485748</v>
      </c>
      <c r="B741">
        <v>740</v>
      </c>
      <c r="C741" t="s">
        <v>393</v>
      </c>
      <c r="D741" t="s">
        <v>394</v>
      </c>
      <c r="F741" t="str">
        <f>"37-1N-25-299S-0002-0010"</f>
        <v>37-1N-25-299S-0002-0010</v>
      </c>
      <c r="H741" t="str">
        <f>"HICKEN DAVID WAYNE"</f>
        <v>HICKEN DAVID WAYNE</v>
      </c>
      <c r="I741" t="str">
        <f>"540271 LEM TURNER ROAD"</f>
        <v>540271 LEM TURNER ROAD</v>
      </c>
      <c r="J741" t="str">
        <f t="shared" si="232"/>
        <v>CALLAHAN FL 32011</v>
      </c>
      <c r="K741" t="str">
        <f>"DORNBUSH RD"</f>
        <v>DORNBUSH RD</v>
      </c>
      <c r="L741" t="str">
        <f t="shared" si="222"/>
        <v>CALLAHAN FL 32011</v>
      </c>
      <c r="M741" t="str">
        <f>"BLOCK 2 LOT 1 IN OR 1767/1301 SHEFFIELD VILLAGE PB 5/28 &amp; 29"</f>
        <v>BLOCK 2 LOT 1 IN OR 1767/1301 SHEFFIELD VILLAGE PB 5/28 &amp; 29</v>
      </c>
      <c r="N741" t="str">
        <f>""</f>
        <v/>
      </c>
      <c r="O741" t="str">
        <f>"43177"</f>
        <v>43177</v>
      </c>
      <c r="P741" t="str">
        <f t="shared" si="218"/>
        <v>2017</v>
      </c>
      <c r="Q741" t="str">
        <f>""</f>
        <v/>
      </c>
      <c r="R741" t="str">
        <f>"N"</f>
        <v>N</v>
      </c>
      <c r="S741" t="str">
        <f>""</f>
        <v/>
      </c>
      <c r="T741" t="str">
        <f>"302.78"</f>
        <v>302.78</v>
      </c>
      <c r="U741" t="str">
        <f>"20000.00"</f>
        <v>20000.00</v>
      </c>
      <c r="V741" t="str">
        <f>"20000.00"</f>
        <v>20000.00</v>
      </c>
      <c r="W741" t="str">
        <f t="shared" si="219"/>
        <v>2017</v>
      </c>
      <c r="X741" t="str">
        <f>"1.00"</f>
        <v>1.00</v>
      </c>
      <c r="Y741" t="str">
        <f>"343.86"</f>
        <v>343.86</v>
      </c>
      <c r="Z741" t="str">
        <f>""</f>
        <v/>
      </c>
      <c r="AA741" t="str">
        <f>"20000.00"</f>
        <v>20000.00</v>
      </c>
      <c r="AB741" t="str">
        <f t="shared" si="225"/>
        <v>Residential</v>
      </c>
      <c r="AC741" t="str">
        <f t="shared" si="230"/>
        <v>0</v>
      </c>
      <c r="AD741" t="str">
        <f>""</f>
        <v/>
      </c>
      <c r="AE741" t="str">
        <f>""</f>
        <v/>
      </c>
      <c r="AF741" t="str">
        <f>"000"</f>
        <v>000</v>
      </c>
      <c r="AG741" t="str">
        <f t="shared" si="231"/>
        <v>FL</v>
      </c>
      <c r="AH741" t="str">
        <f t="shared" si="233"/>
        <v>-</v>
      </c>
      <c r="AI741" t="str">
        <f t="shared" si="234"/>
        <v>20000.00</v>
      </c>
      <c r="AJ741" t="str">
        <f>"C55-000-587-9087-4"</f>
        <v>C55-000-587-9087-4</v>
      </c>
      <c r="AK741" t="str">
        <f>"11950"</f>
        <v>11950</v>
      </c>
      <c r="AL741">
        <v>3</v>
      </c>
      <c r="AM741">
        <v>857</v>
      </c>
      <c r="AN741">
        <v>359.45</v>
      </c>
      <c r="AQ741" t="s">
        <v>7851</v>
      </c>
      <c r="AR741" t="s">
        <v>7851</v>
      </c>
      <c r="AS741" t="s">
        <v>7851</v>
      </c>
      <c r="AU741" t="s">
        <v>396</v>
      </c>
      <c r="AV741">
        <v>2017</v>
      </c>
      <c r="AW741" t="str">
        <f>"37-1N-25-299S-0002-0010 "</f>
        <v xml:space="preserve">37-1N-25-299S-0002-0010 </v>
      </c>
      <c r="AZ741" t="s">
        <v>7852</v>
      </c>
      <c r="BA741" t="s">
        <v>496</v>
      </c>
      <c r="BD741" t="s">
        <v>2785</v>
      </c>
      <c r="BE741" t="s">
        <v>393</v>
      </c>
      <c r="BF741">
        <v>32011</v>
      </c>
      <c r="BG741" t="s">
        <v>7853</v>
      </c>
      <c r="BH741" t="s">
        <v>2787</v>
      </c>
      <c r="BI741">
        <v>-81.7704954562045</v>
      </c>
      <c r="BJ741">
        <v>30.525482342100201</v>
      </c>
      <c r="BK741" t="s">
        <v>7854</v>
      </c>
      <c r="BM741" t="s">
        <v>7855</v>
      </c>
      <c r="BN741" t="s">
        <v>928</v>
      </c>
      <c r="BO741">
        <v>32011</v>
      </c>
      <c r="BP741" t="s">
        <v>404</v>
      </c>
      <c r="BQ741">
        <v>0</v>
      </c>
      <c r="BR741" t="s">
        <v>491</v>
      </c>
      <c r="BS741">
        <v>8001</v>
      </c>
      <c r="BT741" t="s">
        <v>492</v>
      </c>
      <c r="BW741">
        <v>43074</v>
      </c>
      <c r="BX741" t="s">
        <v>407</v>
      </c>
      <c r="BY741" t="s">
        <v>408</v>
      </c>
      <c r="CD741">
        <v>2017</v>
      </c>
      <c r="CE741">
        <v>20000</v>
      </c>
      <c r="CG741">
        <v>20000</v>
      </c>
      <c r="CH741">
        <v>2017</v>
      </c>
      <c r="CI741">
        <v>20000</v>
      </c>
      <c r="CK741">
        <v>20000</v>
      </c>
      <c r="CL741">
        <v>2017</v>
      </c>
      <c r="CM741">
        <v>302.77999999999997</v>
      </c>
      <c r="CN741" s="1">
        <v>40883</v>
      </c>
      <c r="CZ741" s="1">
        <v>40883</v>
      </c>
      <c r="DD741" t="s">
        <v>2785</v>
      </c>
      <c r="DF741">
        <v>1</v>
      </c>
      <c r="DG741">
        <v>37</v>
      </c>
      <c r="DJ741" t="s">
        <v>7589</v>
      </c>
      <c r="DM741" t="s">
        <v>7353</v>
      </c>
      <c r="DO741" t="s">
        <v>7856</v>
      </c>
      <c r="DP741">
        <v>0</v>
      </c>
      <c r="DQ741">
        <v>0</v>
      </c>
      <c r="DR741" t="s">
        <v>411</v>
      </c>
      <c r="DS741" t="b">
        <v>1</v>
      </c>
      <c r="DT741" t="s">
        <v>470</v>
      </c>
      <c r="DU741" t="s">
        <v>471</v>
      </c>
      <c r="DV741" t="s">
        <v>472</v>
      </c>
      <c r="DX741">
        <v>-9999</v>
      </c>
      <c r="DZ741" t="s">
        <v>447</v>
      </c>
      <c r="EA741" t="s">
        <v>448</v>
      </c>
      <c r="EB741" t="s">
        <v>742</v>
      </c>
      <c r="EC741">
        <v>20101217</v>
      </c>
      <c r="ED741" t="s">
        <v>474</v>
      </c>
      <c r="EF741">
        <v>320.60000000000002</v>
      </c>
      <c r="EG741">
        <v>320.60000000000002</v>
      </c>
      <c r="EI741">
        <v>20160407</v>
      </c>
      <c r="EJ741">
        <v>0</v>
      </c>
      <c r="EK741">
        <v>0</v>
      </c>
      <c r="EP741" t="s">
        <v>421</v>
      </c>
      <c r="EQ741" t="s">
        <v>422</v>
      </c>
      <c r="ER741">
        <v>0</v>
      </c>
      <c r="ES741">
        <v>4</v>
      </c>
      <c r="ET741">
        <v>0</v>
      </c>
      <c r="EU741">
        <v>0</v>
      </c>
      <c r="EV741">
        <v>0</v>
      </c>
      <c r="EW741" s="2">
        <v>43222</v>
      </c>
      <c r="EX741" s="1">
        <v>42515</v>
      </c>
      <c r="EY741">
        <v>2015</v>
      </c>
      <c r="EZ741">
        <v>361.79</v>
      </c>
      <c r="FA741" t="s">
        <v>7857</v>
      </c>
      <c r="FB741">
        <v>0.25</v>
      </c>
      <c r="FC741" t="s">
        <v>424</v>
      </c>
      <c r="FD741" t="s">
        <v>425</v>
      </c>
      <c r="FE741" s="1">
        <v>42534</v>
      </c>
      <c r="FF741">
        <v>1</v>
      </c>
      <c r="FG741">
        <v>7336671</v>
      </c>
      <c r="FH741" t="s">
        <v>437</v>
      </c>
      <c r="FJ741" s="1">
        <v>42515</v>
      </c>
      <c r="FK741">
        <v>2015</v>
      </c>
      <c r="FL741">
        <v>361.79</v>
      </c>
      <c r="FM741" t="s">
        <v>7857</v>
      </c>
      <c r="FN741">
        <v>0.25</v>
      </c>
      <c r="FO741" t="s">
        <v>424</v>
      </c>
      <c r="FP741" t="s">
        <v>425</v>
      </c>
      <c r="FR741">
        <v>22</v>
      </c>
      <c r="FS741">
        <v>6821870</v>
      </c>
      <c r="FT741" t="s">
        <v>7858</v>
      </c>
      <c r="FV741" s="1">
        <v>42151</v>
      </c>
      <c r="FW741">
        <v>2014</v>
      </c>
      <c r="FX741">
        <v>346.65</v>
      </c>
      <c r="FY741" t="s">
        <v>7859</v>
      </c>
      <c r="FZ741">
        <v>4.5</v>
      </c>
      <c r="GA741" t="s">
        <v>424</v>
      </c>
      <c r="GB741" t="s">
        <v>425</v>
      </c>
      <c r="GC741" s="1">
        <v>42172</v>
      </c>
      <c r="GD741">
        <v>1</v>
      </c>
      <c r="GE741">
        <v>4975593</v>
      </c>
      <c r="GF741" t="s">
        <v>505</v>
      </c>
      <c r="GH741" s="1">
        <v>41423</v>
      </c>
      <c r="GI741">
        <v>2012</v>
      </c>
      <c r="GJ741">
        <v>267.70999999999998</v>
      </c>
      <c r="GK741" t="s">
        <v>7860</v>
      </c>
      <c r="GL741">
        <v>5.75</v>
      </c>
      <c r="GM741" t="s">
        <v>424</v>
      </c>
      <c r="GN741" t="s">
        <v>425</v>
      </c>
      <c r="GO741" s="1">
        <v>41437</v>
      </c>
      <c r="GP741">
        <v>1</v>
      </c>
      <c r="GQ741">
        <v>2101381</v>
      </c>
      <c r="GR741" t="s">
        <v>605</v>
      </c>
    </row>
    <row r="742" spans="1:284" x14ac:dyDescent="0.25">
      <c r="A742">
        <v>16485749</v>
      </c>
      <c r="B742">
        <v>741</v>
      </c>
      <c r="C742" t="s">
        <v>393</v>
      </c>
      <c r="D742" t="s">
        <v>394</v>
      </c>
      <c r="F742" t="str">
        <f>"37-1N-25-299S-0002-0090"</f>
        <v>37-1N-25-299S-0002-0090</v>
      </c>
      <c r="H742" t="str">
        <f>"JONES PAUL L JR"</f>
        <v>JONES PAUL L JR</v>
      </c>
      <c r="I742" t="str">
        <f>"54436 ARMSTRONG ROAD"</f>
        <v>54436 ARMSTRONG ROAD</v>
      </c>
      <c r="J742" t="str">
        <f t="shared" si="232"/>
        <v>CALLAHAN FL 32011</v>
      </c>
      <c r="K742" t="str">
        <f>"54436 ARMSTRONG RD"</f>
        <v>54436 ARMSTRONG RD</v>
      </c>
      <c r="L742" t="str">
        <f t="shared" si="222"/>
        <v>CALLAHAN FL 32011</v>
      </c>
      <c r="M742" t="str">
        <f>"BLOCK 2 LOT 9 R673792 IN OR 492 PG 462 SHEFFIELD VILLAGE PB 5/28 &amp; 29"</f>
        <v>BLOCK 2 LOT 9 R673792 IN OR 492 PG 462 SHEFFIELD VILLAGE PB 5/28 &amp; 29</v>
      </c>
      <c r="N742" t="str">
        <f>""</f>
        <v/>
      </c>
      <c r="O742" t="str">
        <f>"43184"</f>
        <v>43184</v>
      </c>
      <c r="P742" t="str">
        <f t="shared" si="218"/>
        <v>2017</v>
      </c>
      <c r="Q742" t="str">
        <f>""</f>
        <v/>
      </c>
      <c r="R742" t="str">
        <f>"Y"</f>
        <v>Y</v>
      </c>
      <c r="S742" t="str">
        <f>""</f>
        <v/>
      </c>
      <c r="T742" t="str">
        <f>"293.57"</f>
        <v>293.57</v>
      </c>
      <c r="U742" t="str">
        <f>"44392.00"</f>
        <v>44392.00</v>
      </c>
      <c r="V742" t="str">
        <f>"44392.00"</f>
        <v>44392.00</v>
      </c>
      <c r="W742" t="str">
        <f t="shared" si="219"/>
        <v>2017</v>
      </c>
      <c r="X742" t="str">
        <f>"3.00"</f>
        <v>3.00</v>
      </c>
      <c r="Y742" t="str">
        <f>"334.38"</f>
        <v>334.38</v>
      </c>
      <c r="Z742" t="str">
        <f>"25000.00"</f>
        <v>25000.00</v>
      </c>
      <c r="AA742" t="str">
        <f>"19392.00"</f>
        <v>19392.00</v>
      </c>
      <c r="AB742" t="str">
        <f t="shared" si="225"/>
        <v>Residential</v>
      </c>
      <c r="AC742" t="str">
        <f t="shared" si="230"/>
        <v>0</v>
      </c>
      <c r="AD742" t="str">
        <f>"4"</f>
        <v>4</v>
      </c>
      <c r="AE742" t="str">
        <f>"WOOD (INCLUDE STEEL STUDS)"</f>
        <v>WOOD (INCLUDE STEEL STUDS)</v>
      </c>
      <c r="AF742" t="str">
        <f>"002"</f>
        <v>002</v>
      </c>
      <c r="AG742" t="str">
        <f t="shared" si="231"/>
        <v>FL</v>
      </c>
      <c r="AH742" t="str">
        <f t="shared" si="233"/>
        <v>-</v>
      </c>
      <c r="AI742" t="str">
        <f t="shared" si="234"/>
        <v>20000.00</v>
      </c>
      <c r="AJ742" t="str">
        <f>"C55-000-587-9094-0"</f>
        <v>C55-000-587-9094-0</v>
      </c>
      <c r="AK742" t="str">
        <f>"11957"</f>
        <v>11957</v>
      </c>
      <c r="AL742">
        <v>3</v>
      </c>
      <c r="AM742">
        <v>858</v>
      </c>
      <c r="AN742">
        <v>349.5</v>
      </c>
      <c r="AQ742" t="s">
        <v>7861</v>
      </c>
      <c r="AR742" t="s">
        <v>7861</v>
      </c>
      <c r="AS742" t="s">
        <v>7861</v>
      </c>
      <c r="AU742" t="s">
        <v>396</v>
      </c>
      <c r="AV742">
        <v>2017</v>
      </c>
      <c r="AW742" t="str">
        <f>"37-1N-25-299S-0002-0090 "</f>
        <v xml:space="preserve">37-1N-25-299S-0002-0090 </v>
      </c>
      <c r="AX742">
        <v>54436</v>
      </c>
      <c r="AZ742" t="s">
        <v>7862</v>
      </c>
      <c r="BA742" t="s">
        <v>496</v>
      </c>
      <c r="BD742" t="s">
        <v>2785</v>
      </c>
      <c r="BE742" t="s">
        <v>393</v>
      </c>
      <c r="BF742">
        <v>32011</v>
      </c>
      <c r="BG742" t="s">
        <v>7863</v>
      </c>
      <c r="BH742" t="s">
        <v>2787</v>
      </c>
      <c r="BI742">
        <v>-81.773080593458005</v>
      </c>
      <c r="BJ742">
        <v>30.522592741425399</v>
      </c>
      <c r="BK742" t="s">
        <v>7864</v>
      </c>
      <c r="BM742" t="s">
        <v>7863</v>
      </c>
      <c r="BN742" t="s">
        <v>928</v>
      </c>
      <c r="BO742">
        <v>32011</v>
      </c>
      <c r="BP742" t="s">
        <v>416</v>
      </c>
      <c r="BQ742">
        <v>200</v>
      </c>
      <c r="BR742" t="s">
        <v>405</v>
      </c>
      <c r="BS742">
        <v>1006</v>
      </c>
      <c r="BT742" t="s">
        <v>406</v>
      </c>
      <c r="BW742">
        <v>43649</v>
      </c>
      <c r="BX742" t="s">
        <v>407</v>
      </c>
      <c r="BY742" t="s">
        <v>408</v>
      </c>
      <c r="BZ742">
        <v>4</v>
      </c>
      <c r="CA742">
        <v>1997</v>
      </c>
      <c r="CB742">
        <v>1</v>
      </c>
      <c r="CC742">
        <v>1</v>
      </c>
      <c r="CD742">
        <v>2017</v>
      </c>
      <c r="CG742">
        <v>44392</v>
      </c>
      <c r="CH742">
        <v>2017</v>
      </c>
      <c r="CI742">
        <v>20000</v>
      </c>
      <c r="CJ742">
        <v>30625</v>
      </c>
      <c r="CK742">
        <v>50625</v>
      </c>
      <c r="CL742">
        <v>2017</v>
      </c>
      <c r="CM742">
        <v>293.57</v>
      </c>
      <c r="CN742" s="1">
        <v>31594</v>
      </c>
      <c r="CO742">
        <v>9500</v>
      </c>
      <c r="CZ742" s="1">
        <v>31594</v>
      </c>
      <c r="DD742" t="s">
        <v>2785</v>
      </c>
      <c r="DF742">
        <v>9</v>
      </c>
      <c r="DG742">
        <v>37</v>
      </c>
      <c r="DJ742" t="s">
        <v>7589</v>
      </c>
      <c r="DL742">
        <v>50502</v>
      </c>
      <c r="DM742" t="s">
        <v>7353</v>
      </c>
      <c r="DO742" t="s">
        <v>7865</v>
      </c>
      <c r="DP742">
        <v>0</v>
      </c>
      <c r="DQ742">
        <v>0</v>
      </c>
      <c r="DR742" t="s">
        <v>411</v>
      </c>
      <c r="DS742" t="b">
        <v>1</v>
      </c>
      <c r="DT742" t="s">
        <v>470</v>
      </c>
      <c r="DU742" t="s">
        <v>471</v>
      </c>
      <c r="DV742" t="s">
        <v>472</v>
      </c>
      <c r="DX742">
        <v>-9999</v>
      </c>
      <c r="DZ742" t="s">
        <v>447</v>
      </c>
      <c r="EA742" t="s">
        <v>448</v>
      </c>
      <c r="EB742" t="s">
        <v>742</v>
      </c>
      <c r="EC742">
        <v>20101217</v>
      </c>
      <c r="ED742" t="s">
        <v>474</v>
      </c>
      <c r="EF742">
        <v>1061.5999999999999</v>
      </c>
      <c r="EG742">
        <v>1061.5999999999999</v>
      </c>
      <c r="EH742" t="s">
        <v>451</v>
      </c>
      <c r="EI742">
        <v>20140731</v>
      </c>
      <c r="EJ742">
        <v>0</v>
      </c>
      <c r="EK742">
        <v>0</v>
      </c>
      <c r="EP742" t="s">
        <v>421</v>
      </c>
      <c r="EQ742" t="s">
        <v>422</v>
      </c>
      <c r="ER742">
        <v>0</v>
      </c>
      <c r="ES742">
        <v>3</v>
      </c>
      <c r="ET742">
        <v>0</v>
      </c>
      <c r="EU742">
        <v>0</v>
      </c>
      <c r="EV742">
        <v>0</v>
      </c>
      <c r="EW742" s="2">
        <v>43222</v>
      </c>
      <c r="EX742" s="1">
        <v>42151</v>
      </c>
      <c r="EY742">
        <v>2014</v>
      </c>
      <c r="EZ742">
        <v>346.06</v>
      </c>
      <c r="FA742" t="s">
        <v>7866</v>
      </c>
      <c r="FB742">
        <v>0.25</v>
      </c>
      <c r="FC742" t="s">
        <v>424</v>
      </c>
      <c r="FD742" t="s">
        <v>425</v>
      </c>
      <c r="FE742" s="1">
        <v>42184</v>
      </c>
      <c r="FF742">
        <v>1</v>
      </c>
      <c r="FG742">
        <v>2851116</v>
      </c>
      <c r="FH742" t="s">
        <v>480</v>
      </c>
      <c r="FJ742" s="1">
        <v>42151</v>
      </c>
      <c r="FK742">
        <v>2014</v>
      </c>
      <c r="FL742">
        <v>346.06</v>
      </c>
      <c r="FM742" t="s">
        <v>7866</v>
      </c>
      <c r="FN742">
        <v>0.25</v>
      </c>
      <c r="FO742" t="s">
        <v>424</v>
      </c>
      <c r="FP742" t="s">
        <v>425</v>
      </c>
      <c r="FR742">
        <v>22</v>
      </c>
      <c r="FS742">
        <v>5013505</v>
      </c>
      <c r="FT742" t="s">
        <v>7867</v>
      </c>
      <c r="FV742" s="1">
        <v>40688</v>
      </c>
      <c r="FW742">
        <v>2010</v>
      </c>
      <c r="FX742">
        <v>437.78</v>
      </c>
      <c r="FY742" t="s">
        <v>7868</v>
      </c>
      <c r="FZ742">
        <v>7.75</v>
      </c>
      <c r="GA742" t="s">
        <v>424</v>
      </c>
      <c r="GB742" t="s">
        <v>425</v>
      </c>
      <c r="GC742" s="1">
        <v>40847</v>
      </c>
      <c r="GD742">
        <v>5</v>
      </c>
      <c r="GE742">
        <v>62</v>
      </c>
      <c r="GF742" t="s">
        <v>463</v>
      </c>
    </row>
    <row r="743" spans="1:284" x14ac:dyDescent="0.25">
      <c r="A743">
        <v>16485750</v>
      </c>
      <c r="B743">
        <v>742</v>
      </c>
      <c r="C743" t="s">
        <v>393</v>
      </c>
      <c r="D743" t="s">
        <v>394</v>
      </c>
      <c r="F743" t="str">
        <f>"37-1N-25-299S-0002-0130"</f>
        <v>37-1N-25-299S-0002-0130</v>
      </c>
      <c r="H743" t="str">
        <f>"WILLIAMS LAWTON &amp; JEAN"</f>
        <v>WILLIAMS LAWTON &amp; JEAN</v>
      </c>
      <c r="I743" t="str">
        <f>"375 W 65TH ST"</f>
        <v>375 W 65TH ST</v>
      </c>
      <c r="J743" t="str">
        <f>"JACKSONVILLE FL 32208"</f>
        <v>JACKSONVILLE FL 32208</v>
      </c>
      <c r="K743" t="str">
        <f>"54320 ARMSTRONG RD"</f>
        <v>54320 ARMSTRONG RD</v>
      </c>
      <c r="L743" t="str">
        <f t="shared" si="222"/>
        <v>CALLAHAN FL 32011</v>
      </c>
      <c r="M743" t="str">
        <f>"BLOCK 2 LOT 13 IN OR 1461/1472 R434231 &amp; R434232 SHEFFIELD VILLAGE PB 5/28 &amp; 29"</f>
        <v>BLOCK 2 LOT 13 IN OR 1461/1472 R434231 &amp; R434232 SHEFFIELD VILLAGE PB 5/28 &amp; 29</v>
      </c>
      <c r="N743" t="str">
        <f>""</f>
        <v/>
      </c>
      <c r="O743" t="str">
        <f>"43188"</f>
        <v>43188</v>
      </c>
      <c r="P743" t="str">
        <f t="shared" si="218"/>
        <v>2017</v>
      </c>
      <c r="Q743" t="str">
        <f>""</f>
        <v/>
      </c>
      <c r="R743" t="str">
        <f>"N"</f>
        <v>N</v>
      </c>
      <c r="S743" t="str">
        <f>""</f>
        <v/>
      </c>
      <c r="T743" t="str">
        <f>"790.96"</f>
        <v>790.96</v>
      </c>
      <c r="U743" t="str">
        <f>"52248.00"</f>
        <v>52248.00</v>
      </c>
      <c r="V743" t="str">
        <f>"52248.00"</f>
        <v>52248.00</v>
      </c>
      <c r="W743" t="str">
        <f t="shared" si="219"/>
        <v>2017</v>
      </c>
      <c r="X743" t="str">
        <f>"11.00"</f>
        <v>11.00</v>
      </c>
      <c r="Y743" t="str">
        <f>"846.69"</f>
        <v>846.69</v>
      </c>
      <c r="Z743" t="str">
        <f>""</f>
        <v/>
      </c>
      <c r="AA743" t="str">
        <f>"52248.00"</f>
        <v>52248.00</v>
      </c>
      <c r="AB743" t="str">
        <f t="shared" si="225"/>
        <v>Residential</v>
      </c>
      <c r="AC743" t="str">
        <f t="shared" si="230"/>
        <v>0</v>
      </c>
      <c r="AD743" t="str">
        <f>"4"</f>
        <v>4</v>
      </c>
      <c r="AE743" t="str">
        <f>"WOOD (INCLUDE STEEL STUDS)"</f>
        <v>WOOD (INCLUDE STEEL STUDS)</v>
      </c>
      <c r="AF743" t="str">
        <f>"002"</f>
        <v>002</v>
      </c>
      <c r="AG743" t="str">
        <f t="shared" si="231"/>
        <v>FL</v>
      </c>
      <c r="AH743" t="str">
        <f t="shared" si="233"/>
        <v>-</v>
      </c>
      <c r="AI743" t="str">
        <f t="shared" si="234"/>
        <v>20000.00</v>
      </c>
      <c r="AJ743" t="str">
        <f>"C55-000-587-9098-1"</f>
        <v>C55-000-587-9098-1</v>
      </c>
      <c r="AK743" t="str">
        <f>"11961"</f>
        <v>11961</v>
      </c>
      <c r="AL743">
        <v>3</v>
      </c>
      <c r="AM743">
        <v>859</v>
      </c>
      <c r="AN743">
        <v>887.42</v>
      </c>
      <c r="AQ743" t="s">
        <v>7869</v>
      </c>
      <c r="AR743" t="s">
        <v>7869</v>
      </c>
      <c r="AS743" t="s">
        <v>7869</v>
      </c>
      <c r="AU743" t="s">
        <v>396</v>
      </c>
      <c r="AV743">
        <v>2017</v>
      </c>
      <c r="AW743" t="str">
        <f>"37-1N-25-299S-0002-0130 "</f>
        <v xml:space="preserve">37-1N-25-299S-0002-0130 </v>
      </c>
      <c r="AX743">
        <v>54320</v>
      </c>
      <c r="AZ743" t="s">
        <v>7862</v>
      </c>
      <c r="BA743" t="s">
        <v>496</v>
      </c>
      <c r="BD743" t="s">
        <v>2785</v>
      </c>
      <c r="BE743" t="s">
        <v>393</v>
      </c>
      <c r="BF743">
        <v>32011</v>
      </c>
      <c r="BG743" t="s">
        <v>7870</v>
      </c>
      <c r="BH743" t="s">
        <v>2787</v>
      </c>
      <c r="BI743">
        <v>-81.773922769426605</v>
      </c>
      <c r="BJ743">
        <v>30.521103811122199</v>
      </c>
      <c r="BK743" t="s">
        <v>7871</v>
      </c>
      <c r="BL743" t="s">
        <v>7872</v>
      </c>
      <c r="BM743" t="s">
        <v>7870</v>
      </c>
      <c r="BN743" t="s">
        <v>928</v>
      </c>
      <c r="BO743">
        <v>32011</v>
      </c>
      <c r="BP743" t="s">
        <v>416</v>
      </c>
      <c r="BQ743">
        <v>200</v>
      </c>
      <c r="BR743" t="s">
        <v>405</v>
      </c>
      <c r="BS743">
        <v>1006</v>
      </c>
      <c r="BT743" t="s">
        <v>406</v>
      </c>
      <c r="BW743">
        <v>41902</v>
      </c>
      <c r="BX743" t="s">
        <v>407</v>
      </c>
      <c r="BY743" t="s">
        <v>408</v>
      </c>
      <c r="BZ743">
        <v>4</v>
      </c>
      <c r="CA743">
        <v>1984</v>
      </c>
      <c r="CB743">
        <v>1</v>
      </c>
      <c r="CC743">
        <v>1</v>
      </c>
      <c r="CD743">
        <v>2017</v>
      </c>
      <c r="CE743">
        <v>20000</v>
      </c>
      <c r="CF743">
        <v>32248</v>
      </c>
      <c r="CG743">
        <v>52248</v>
      </c>
      <c r="CH743">
        <v>2017</v>
      </c>
      <c r="CI743">
        <v>20000</v>
      </c>
      <c r="CJ743">
        <v>32248</v>
      </c>
      <c r="CK743">
        <v>52248</v>
      </c>
      <c r="CL743">
        <v>2017</v>
      </c>
      <c r="CM743">
        <v>790.96</v>
      </c>
      <c r="CN743" s="1">
        <v>39049</v>
      </c>
      <c r="CO743">
        <v>99900</v>
      </c>
      <c r="CV743">
        <v>83064</v>
      </c>
      <c r="CX743" t="s">
        <v>675</v>
      </c>
      <c r="CZ743" s="1">
        <v>39049</v>
      </c>
      <c r="DA743">
        <v>0</v>
      </c>
      <c r="DD743" t="s">
        <v>2785</v>
      </c>
      <c r="DF743">
        <v>13</v>
      </c>
      <c r="DG743">
        <v>37</v>
      </c>
      <c r="DL743">
        <v>50502</v>
      </c>
      <c r="DM743" t="s">
        <v>7353</v>
      </c>
      <c r="DO743" t="s">
        <v>7873</v>
      </c>
      <c r="DP743">
        <v>0</v>
      </c>
      <c r="DQ743">
        <v>0</v>
      </c>
      <c r="DR743" t="s">
        <v>411</v>
      </c>
      <c r="DS743" t="b">
        <v>1</v>
      </c>
      <c r="DT743" t="s">
        <v>470</v>
      </c>
      <c r="DU743" t="s">
        <v>471</v>
      </c>
      <c r="DV743" t="s">
        <v>472</v>
      </c>
      <c r="DX743">
        <v>-9999</v>
      </c>
      <c r="DZ743" t="s">
        <v>447</v>
      </c>
      <c r="EA743" t="s">
        <v>448</v>
      </c>
      <c r="EB743" t="s">
        <v>742</v>
      </c>
      <c r="EC743">
        <v>20101217</v>
      </c>
      <c r="ED743" t="s">
        <v>474</v>
      </c>
      <c r="EF743">
        <v>1099.3</v>
      </c>
      <c r="EG743">
        <v>1099.3</v>
      </c>
      <c r="EI743">
        <v>20160407</v>
      </c>
      <c r="EJ743">
        <v>0</v>
      </c>
      <c r="EK743">
        <v>0</v>
      </c>
      <c r="EP743" t="s">
        <v>421</v>
      </c>
      <c r="EQ743" t="s">
        <v>422</v>
      </c>
      <c r="ER743">
        <v>0</v>
      </c>
      <c r="ES743">
        <v>6</v>
      </c>
      <c r="ET743">
        <v>0</v>
      </c>
      <c r="EU743">
        <v>0</v>
      </c>
      <c r="EV743">
        <v>0</v>
      </c>
      <c r="EW743" s="2">
        <v>43222</v>
      </c>
      <c r="EX743" s="1">
        <v>42515</v>
      </c>
      <c r="EY743">
        <v>2015</v>
      </c>
      <c r="EZ743">
        <v>389.51</v>
      </c>
      <c r="FA743" t="s">
        <v>7874</v>
      </c>
      <c r="FB743">
        <v>0.25</v>
      </c>
      <c r="FC743" t="s">
        <v>424</v>
      </c>
      <c r="FD743" t="s">
        <v>425</v>
      </c>
      <c r="FE743" s="1">
        <v>42807</v>
      </c>
      <c r="FF743">
        <v>10</v>
      </c>
      <c r="FG743">
        <v>2851116</v>
      </c>
      <c r="FH743" t="s">
        <v>480</v>
      </c>
      <c r="FJ743" s="1">
        <v>42515</v>
      </c>
      <c r="FK743">
        <v>2015</v>
      </c>
      <c r="FL743">
        <v>389.51</v>
      </c>
      <c r="FM743" t="s">
        <v>7874</v>
      </c>
      <c r="FN743">
        <v>0.25</v>
      </c>
      <c r="FO743" t="s">
        <v>424</v>
      </c>
      <c r="FP743" t="s">
        <v>425</v>
      </c>
      <c r="FR743">
        <v>22</v>
      </c>
      <c r="FS743">
        <v>5388516</v>
      </c>
      <c r="FT743" t="s">
        <v>7875</v>
      </c>
      <c r="FV743" s="1">
        <v>42151</v>
      </c>
      <c r="FW743">
        <v>2014</v>
      </c>
      <c r="FX743">
        <v>385.06</v>
      </c>
      <c r="FY743" t="s">
        <v>7876</v>
      </c>
      <c r="FZ743">
        <v>0.25</v>
      </c>
      <c r="GA743" t="s">
        <v>424</v>
      </c>
      <c r="GB743" t="s">
        <v>425</v>
      </c>
      <c r="GC743" s="1">
        <v>42164</v>
      </c>
      <c r="GD743">
        <v>1</v>
      </c>
      <c r="GE743">
        <v>2851116</v>
      </c>
      <c r="GF743" t="s">
        <v>480</v>
      </c>
      <c r="GH743" s="1">
        <v>42151</v>
      </c>
      <c r="GI743">
        <v>2014</v>
      </c>
      <c r="GJ743">
        <v>385.06</v>
      </c>
      <c r="GK743" t="s">
        <v>7876</v>
      </c>
      <c r="GL743">
        <v>0.25</v>
      </c>
      <c r="GM743" t="s">
        <v>424</v>
      </c>
      <c r="GN743" t="s">
        <v>425</v>
      </c>
      <c r="GP743">
        <v>22</v>
      </c>
      <c r="GQ743">
        <v>4989215</v>
      </c>
      <c r="GR743" t="s">
        <v>7877</v>
      </c>
      <c r="GT743" s="1">
        <v>41787</v>
      </c>
      <c r="GU743">
        <v>2013</v>
      </c>
      <c r="GV743">
        <v>469.58</v>
      </c>
      <c r="GW743" t="s">
        <v>7878</v>
      </c>
      <c r="GX743">
        <v>0.25</v>
      </c>
      <c r="GY743" t="s">
        <v>424</v>
      </c>
      <c r="GZ743" t="s">
        <v>425</v>
      </c>
      <c r="HA743" s="1">
        <v>42138</v>
      </c>
      <c r="HB743">
        <v>12</v>
      </c>
      <c r="HC743">
        <v>13026</v>
      </c>
      <c r="HD743" t="s">
        <v>2129</v>
      </c>
      <c r="HF743" s="1">
        <v>40688</v>
      </c>
      <c r="HG743">
        <v>2010</v>
      </c>
      <c r="HH743">
        <v>632.95000000000005</v>
      </c>
      <c r="HI743" t="s">
        <v>7879</v>
      </c>
      <c r="HJ743">
        <v>7.75</v>
      </c>
      <c r="HK743" t="s">
        <v>424</v>
      </c>
      <c r="HL743" t="s">
        <v>425</v>
      </c>
      <c r="HM743" s="1">
        <v>41324</v>
      </c>
      <c r="HN743">
        <v>21</v>
      </c>
      <c r="HO743">
        <v>62</v>
      </c>
      <c r="HP743" t="s">
        <v>463</v>
      </c>
    </row>
    <row r="744" spans="1:284" x14ac:dyDescent="0.25">
      <c r="A744">
        <v>16485751</v>
      </c>
      <c r="B744">
        <v>743</v>
      </c>
      <c r="C744" t="s">
        <v>393</v>
      </c>
      <c r="D744" t="s">
        <v>394</v>
      </c>
      <c r="F744" t="str">
        <f>"37-1N-25-299S-0002-0180"</f>
        <v>37-1N-25-299S-0002-0180</v>
      </c>
      <c r="H744" t="str">
        <f>"KENNISON RICHARD G &amp; ZINA C &amp; KENNISON ROBERT E (JT/RS)"</f>
        <v>KENNISON RICHARD G &amp; ZINA C &amp; KENNISON ROBERT E (JT/RS)</v>
      </c>
      <c r="I744" t="str">
        <f>"54176 ARMSTRONG ROAD"</f>
        <v>54176 ARMSTRONG ROAD</v>
      </c>
      <c r="J744" t="str">
        <f>"CALLAHAN FL 32011"</f>
        <v>CALLAHAN FL 32011</v>
      </c>
      <c r="K744" t="str">
        <f>"54176 ARMSTRONG RD"</f>
        <v>54176 ARMSTRONG RD</v>
      </c>
      <c r="L744" t="str">
        <f t="shared" si="222"/>
        <v>CALLAHAN FL 32011</v>
      </c>
      <c r="M744" t="str">
        <f>"BLOCK 2 LOT 18 IN OR 1284/295 MH/ID GAFLY35B17816HH21 &amp; GAFLY35A17816HH21 &amp; GAFLY35C17816HH21 SHEFFIELD VILLAGE PB 5/28 &amp; 29"</f>
        <v>BLOCK 2 LOT 18 IN OR 1284/295 MH/ID GAFLY35B17816HH21 &amp; GAFLY35A17816HH21 &amp; GAFLY35C17816HH21 SHEFFIELD VILLAGE PB 5/28 &amp; 29</v>
      </c>
      <c r="N744" t="str">
        <f>""</f>
        <v/>
      </c>
      <c r="O744" t="str">
        <f>"43193"</f>
        <v>43193</v>
      </c>
      <c r="P744" t="str">
        <f t="shared" si="218"/>
        <v>2017</v>
      </c>
      <c r="Q744" t="str">
        <f>""</f>
        <v/>
      </c>
      <c r="R744" t="str">
        <f>"Y"</f>
        <v>Y</v>
      </c>
      <c r="S744" t="str">
        <f>""</f>
        <v/>
      </c>
      <c r="T744" t="str">
        <f>"496.10"</f>
        <v>496.10</v>
      </c>
      <c r="U744" t="str">
        <f>"67576.00"</f>
        <v>67576.00</v>
      </c>
      <c r="V744" t="str">
        <f>"67576.00"</f>
        <v>67576.00</v>
      </c>
      <c r="W744" t="str">
        <f t="shared" si="219"/>
        <v>2017</v>
      </c>
      <c r="X744" t="str">
        <f>"19.50"</f>
        <v>19.50</v>
      </c>
      <c r="Y744" t="str">
        <f>"542.98"</f>
        <v>542.98</v>
      </c>
      <c r="Z744" t="str">
        <f>"25000.00"</f>
        <v>25000.00</v>
      </c>
      <c r="AA744" t="str">
        <f>"42576.00"</f>
        <v>42576.00</v>
      </c>
      <c r="AB744" t="str">
        <f t="shared" si="225"/>
        <v>Residential</v>
      </c>
      <c r="AC744" t="str">
        <f t="shared" si="230"/>
        <v>0</v>
      </c>
      <c r="AD744" t="str">
        <f>"4"</f>
        <v>4</v>
      </c>
      <c r="AE744" t="str">
        <f>"WOOD (INCLUDE STEEL STUDS)"</f>
        <v>WOOD (INCLUDE STEEL STUDS)</v>
      </c>
      <c r="AF744" t="str">
        <f>"002"</f>
        <v>002</v>
      </c>
      <c r="AG744" t="str">
        <f t="shared" si="231"/>
        <v>FL</v>
      </c>
      <c r="AH744" t="str">
        <f t="shared" si="233"/>
        <v>-</v>
      </c>
      <c r="AI744" t="str">
        <f t="shared" si="234"/>
        <v>20000.00</v>
      </c>
      <c r="AJ744" t="str">
        <f>"C55-000-587-9103-9"</f>
        <v>C55-000-587-9103-9</v>
      </c>
      <c r="AK744" t="str">
        <f>"11966"</f>
        <v>11966</v>
      </c>
      <c r="AL744">
        <v>3</v>
      </c>
      <c r="AM744">
        <v>860</v>
      </c>
      <c r="AN744">
        <v>568.53</v>
      </c>
      <c r="AQ744" t="s">
        <v>7880</v>
      </c>
      <c r="AR744" t="s">
        <v>7880</v>
      </c>
      <c r="AS744" t="s">
        <v>7880</v>
      </c>
      <c r="AU744" t="s">
        <v>396</v>
      </c>
      <c r="AV744">
        <v>2017</v>
      </c>
      <c r="AW744" t="str">
        <f>"37-1N-25-299S-0002-0180 "</f>
        <v xml:space="preserve">37-1N-25-299S-0002-0180 </v>
      </c>
      <c r="AX744">
        <v>54176</v>
      </c>
      <c r="AZ744" t="s">
        <v>7862</v>
      </c>
      <c r="BA744" t="s">
        <v>496</v>
      </c>
      <c r="BD744" t="s">
        <v>2785</v>
      </c>
      <c r="BE744" t="s">
        <v>393</v>
      </c>
      <c r="BF744">
        <v>32011</v>
      </c>
      <c r="BG744" t="s">
        <v>7881</v>
      </c>
      <c r="BH744" t="s">
        <v>2787</v>
      </c>
      <c r="BI744">
        <v>-81.774979456030493</v>
      </c>
      <c r="BJ744">
        <v>30.519259741296999</v>
      </c>
      <c r="BK744" t="s">
        <v>7882</v>
      </c>
      <c r="BL744" t="s">
        <v>7883</v>
      </c>
      <c r="BM744" t="s">
        <v>7881</v>
      </c>
      <c r="BN744" t="s">
        <v>928</v>
      </c>
      <c r="BO744">
        <v>32011</v>
      </c>
      <c r="BP744" t="s">
        <v>416</v>
      </c>
      <c r="BQ744">
        <v>200</v>
      </c>
      <c r="BR744" t="s">
        <v>405</v>
      </c>
      <c r="BS744">
        <v>1006</v>
      </c>
      <c r="BT744" t="s">
        <v>406</v>
      </c>
      <c r="BW744">
        <v>43336</v>
      </c>
      <c r="BX744" t="s">
        <v>407</v>
      </c>
      <c r="BY744" t="s">
        <v>408</v>
      </c>
      <c r="BZ744">
        <v>4</v>
      </c>
      <c r="CA744">
        <v>2000</v>
      </c>
      <c r="CB744">
        <v>1</v>
      </c>
      <c r="CC744">
        <v>1</v>
      </c>
      <c r="CD744">
        <v>2017</v>
      </c>
      <c r="CG744">
        <v>67576</v>
      </c>
      <c r="CH744">
        <v>2017</v>
      </c>
      <c r="CI744">
        <v>20000</v>
      </c>
      <c r="CJ744">
        <v>60584</v>
      </c>
      <c r="CK744">
        <v>80584</v>
      </c>
      <c r="CL744">
        <v>2017</v>
      </c>
      <c r="CM744">
        <v>496.1</v>
      </c>
      <c r="CN744" s="1">
        <v>36752</v>
      </c>
      <c r="CO744">
        <v>10800</v>
      </c>
      <c r="CV744">
        <v>0</v>
      </c>
      <c r="CZ744" s="1">
        <v>36752</v>
      </c>
      <c r="DA744">
        <v>0</v>
      </c>
      <c r="DD744" t="s">
        <v>2785</v>
      </c>
      <c r="DF744">
        <v>18</v>
      </c>
      <c r="DG744">
        <v>37</v>
      </c>
      <c r="DL744">
        <v>50502</v>
      </c>
      <c r="DM744" t="s">
        <v>7353</v>
      </c>
      <c r="DO744" t="s">
        <v>7884</v>
      </c>
      <c r="DP744">
        <v>0</v>
      </c>
      <c r="DQ744">
        <v>0</v>
      </c>
      <c r="DR744" t="s">
        <v>411</v>
      </c>
      <c r="DS744" t="b">
        <v>1</v>
      </c>
      <c r="DT744" t="s">
        <v>470</v>
      </c>
      <c r="DU744" t="s">
        <v>471</v>
      </c>
      <c r="DV744" t="s">
        <v>472</v>
      </c>
      <c r="DX744">
        <v>-9999</v>
      </c>
      <c r="DZ744" t="s">
        <v>447</v>
      </c>
      <c r="EA744" t="s">
        <v>448</v>
      </c>
      <c r="EB744" t="s">
        <v>742</v>
      </c>
      <c r="EC744">
        <v>20101217</v>
      </c>
      <c r="ED744" t="s">
        <v>474</v>
      </c>
      <c r="EF744">
        <v>552.4</v>
      </c>
      <c r="EG744">
        <v>552.4</v>
      </c>
      <c r="EI744">
        <v>20160407</v>
      </c>
      <c r="EJ744">
        <v>0</v>
      </c>
      <c r="EK744">
        <v>0</v>
      </c>
      <c r="EP744" t="s">
        <v>421</v>
      </c>
      <c r="EQ744" t="s">
        <v>422</v>
      </c>
      <c r="ER744">
        <v>0</v>
      </c>
      <c r="ES744">
        <v>11</v>
      </c>
      <c r="ET744">
        <v>0</v>
      </c>
      <c r="EU744">
        <v>0</v>
      </c>
      <c r="EV744">
        <v>0</v>
      </c>
      <c r="EW744" s="2">
        <v>43222</v>
      </c>
      <c r="EX744" s="1">
        <v>42879</v>
      </c>
      <c r="EY744">
        <v>2016</v>
      </c>
      <c r="EZ744">
        <v>563.01</v>
      </c>
      <c r="FA744" t="s">
        <v>7885</v>
      </c>
      <c r="FB744">
        <v>0.25</v>
      </c>
      <c r="FC744" t="s">
        <v>424</v>
      </c>
      <c r="FD744" t="s">
        <v>425</v>
      </c>
      <c r="FE744" s="1">
        <v>43152</v>
      </c>
      <c r="FF744">
        <v>9</v>
      </c>
      <c r="FG744">
        <v>2851116</v>
      </c>
      <c r="FH744" t="s">
        <v>480</v>
      </c>
      <c r="FJ744" s="1">
        <v>42879</v>
      </c>
      <c r="FK744">
        <v>2016</v>
      </c>
      <c r="FL744">
        <v>563.01</v>
      </c>
      <c r="FM744" t="s">
        <v>7885</v>
      </c>
      <c r="FN744">
        <v>0.25</v>
      </c>
      <c r="FO744" t="s">
        <v>424</v>
      </c>
      <c r="FP744" t="s">
        <v>425</v>
      </c>
      <c r="FR744">
        <v>22</v>
      </c>
      <c r="FS744">
        <v>5749912</v>
      </c>
      <c r="FT744" t="s">
        <v>7886</v>
      </c>
      <c r="FV744" s="1">
        <v>42515</v>
      </c>
      <c r="FW744">
        <v>2015</v>
      </c>
      <c r="FX744">
        <v>571.29</v>
      </c>
      <c r="FY744" t="s">
        <v>7887</v>
      </c>
      <c r="FZ744">
        <v>0.25</v>
      </c>
      <c r="GA744" t="s">
        <v>424</v>
      </c>
      <c r="GB744" t="s">
        <v>425</v>
      </c>
      <c r="GC744" s="1">
        <v>43152</v>
      </c>
      <c r="GD744">
        <v>21</v>
      </c>
      <c r="GE744">
        <v>7045074</v>
      </c>
      <c r="GF744" t="s">
        <v>580</v>
      </c>
      <c r="GH744" s="1">
        <v>42515</v>
      </c>
      <c r="GI744">
        <v>2015</v>
      </c>
      <c r="GJ744">
        <v>571.29</v>
      </c>
      <c r="GK744" t="s">
        <v>7887</v>
      </c>
      <c r="GL744">
        <v>0.25</v>
      </c>
      <c r="GM744" t="s">
        <v>424</v>
      </c>
      <c r="GN744" t="s">
        <v>425</v>
      </c>
      <c r="GP744">
        <v>22</v>
      </c>
      <c r="GQ744">
        <v>6282494</v>
      </c>
      <c r="GR744" t="s">
        <v>7888</v>
      </c>
      <c r="GT744" s="1">
        <v>42151</v>
      </c>
      <c r="GU744">
        <v>2014</v>
      </c>
      <c r="GV744">
        <v>658.93</v>
      </c>
      <c r="GW744" t="s">
        <v>7889</v>
      </c>
      <c r="GX744">
        <v>0.25</v>
      </c>
      <c r="GY744" t="s">
        <v>424</v>
      </c>
      <c r="GZ744" t="s">
        <v>425</v>
      </c>
      <c r="HA744" s="1">
        <v>42790</v>
      </c>
      <c r="HB744">
        <v>21</v>
      </c>
      <c r="HC744">
        <v>2851116</v>
      </c>
      <c r="HD744" t="s">
        <v>480</v>
      </c>
      <c r="HF744" s="1">
        <v>42151</v>
      </c>
      <c r="HG744">
        <v>2014</v>
      </c>
      <c r="HH744">
        <v>658.93</v>
      </c>
      <c r="HI744" t="s">
        <v>7889</v>
      </c>
      <c r="HJ744">
        <v>0.25</v>
      </c>
      <c r="HK744" t="s">
        <v>424</v>
      </c>
      <c r="HL744" t="s">
        <v>425</v>
      </c>
      <c r="HN744">
        <v>22</v>
      </c>
      <c r="HO744">
        <v>5239186</v>
      </c>
      <c r="HP744" t="s">
        <v>7890</v>
      </c>
      <c r="HR744" s="1">
        <v>41787</v>
      </c>
      <c r="HS744">
        <v>2013</v>
      </c>
      <c r="HT744">
        <v>632.47</v>
      </c>
      <c r="HU744" t="s">
        <v>7891</v>
      </c>
      <c r="HV744">
        <v>0.25</v>
      </c>
      <c r="HW744" t="s">
        <v>424</v>
      </c>
      <c r="HX744" t="s">
        <v>425</v>
      </c>
      <c r="HZ744">
        <v>22</v>
      </c>
      <c r="IA744">
        <v>11289</v>
      </c>
      <c r="IB744" t="s">
        <v>787</v>
      </c>
      <c r="ID744" s="1">
        <v>41787</v>
      </c>
      <c r="IE744">
        <v>2013</v>
      </c>
      <c r="IF744">
        <v>632.47</v>
      </c>
      <c r="IG744" t="s">
        <v>7891</v>
      </c>
      <c r="IH744">
        <v>0.25</v>
      </c>
      <c r="II744" t="s">
        <v>424</v>
      </c>
      <c r="IJ744" t="s">
        <v>425</v>
      </c>
      <c r="IK744" s="1">
        <v>42424</v>
      </c>
      <c r="IL744">
        <v>21</v>
      </c>
      <c r="IM744">
        <v>4844954</v>
      </c>
      <c r="IN744" t="s">
        <v>1719</v>
      </c>
      <c r="IP744" s="1">
        <v>41423</v>
      </c>
      <c r="IQ744">
        <v>2012</v>
      </c>
      <c r="IR744">
        <v>631.53</v>
      </c>
      <c r="IS744" t="s">
        <v>7892</v>
      </c>
      <c r="IT744">
        <v>2.75</v>
      </c>
      <c r="IU744" t="s">
        <v>424</v>
      </c>
      <c r="IV744" t="s">
        <v>425</v>
      </c>
      <c r="IW744" s="1">
        <v>42048</v>
      </c>
      <c r="IX744">
        <v>21</v>
      </c>
      <c r="IY744">
        <v>15399</v>
      </c>
      <c r="IZ744" t="s">
        <v>485</v>
      </c>
      <c r="JB744" s="1">
        <v>41052</v>
      </c>
      <c r="JC744">
        <v>2011</v>
      </c>
      <c r="JD744">
        <v>987.56</v>
      </c>
      <c r="JE744" t="s">
        <v>7893</v>
      </c>
      <c r="JF744">
        <v>6</v>
      </c>
      <c r="JG744" t="s">
        <v>424</v>
      </c>
      <c r="JH744" t="s">
        <v>425</v>
      </c>
      <c r="JI744" s="1">
        <v>41698</v>
      </c>
      <c r="JJ744">
        <v>21</v>
      </c>
      <c r="JK744">
        <v>105</v>
      </c>
      <c r="JL744" t="s">
        <v>946</v>
      </c>
      <c r="JN744" s="1">
        <v>40688</v>
      </c>
      <c r="JO744">
        <v>2010</v>
      </c>
      <c r="JP744">
        <v>1020.02</v>
      </c>
      <c r="JQ744" t="s">
        <v>7894</v>
      </c>
      <c r="JR744">
        <v>7.75</v>
      </c>
      <c r="JS744" t="s">
        <v>424</v>
      </c>
      <c r="JT744" t="s">
        <v>425</v>
      </c>
      <c r="JU744" s="1">
        <v>41332</v>
      </c>
      <c r="JV744">
        <v>21</v>
      </c>
      <c r="JW744">
        <v>11302</v>
      </c>
      <c r="JX744" t="s">
        <v>3940</v>
      </c>
    </row>
    <row r="745" spans="1:284" x14ac:dyDescent="0.25">
      <c r="A745">
        <v>16485752</v>
      </c>
      <c r="B745">
        <v>744</v>
      </c>
      <c r="C745" t="s">
        <v>393</v>
      </c>
      <c r="D745" t="s">
        <v>394</v>
      </c>
      <c r="F745" t="str">
        <f>"37-1N-25-299S-0002-0210"</f>
        <v>37-1N-25-299S-0002-0210</v>
      </c>
      <c r="H745" t="str">
        <f>"CLARK JULIAN W EST"</f>
        <v>CLARK JULIAN W EST</v>
      </c>
      <c r="I745" t="str">
        <f>"54069 LISA DR"</f>
        <v>54069 LISA DR</v>
      </c>
      <c r="J745" t="str">
        <f>"CALLAHAN FL 32011"</f>
        <v>CALLAHAN FL 32011</v>
      </c>
      <c r="K745" t="str">
        <f>"ARMSTRONG RD"</f>
        <v>ARMSTRONG RD</v>
      </c>
      <c r="L745" t="str">
        <f t="shared" si="222"/>
        <v>CALLAHAN FL 32011</v>
      </c>
      <c r="M745" t="str">
        <f>"BLOCK 2 LOT 21 IN OR 970/1712 SHEFFIELD VILLAGE PB 5/28 &amp; 29"</f>
        <v>BLOCK 2 LOT 21 IN OR 970/1712 SHEFFIELD VILLAGE PB 5/28 &amp; 29</v>
      </c>
      <c r="N745" t="str">
        <f>""</f>
        <v/>
      </c>
      <c r="O745" t="str">
        <f>"43196"</f>
        <v>43196</v>
      </c>
      <c r="P745" t="str">
        <f t="shared" si="218"/>
        <v>2017</v>
      </c>
      <c r="Q745" t="str">
        <f>""</f>
        <v/>
      </c>
      <c r="R745" t="str">
        <f>"N"</f>
        <v>N</v>
      </c>
      <c r="S745" t="str">
        <f>""</f>
        <v/>
      </c>
      <c r="T745" t="str">
        <f>"302.78"</f>
        <v>302.78</v>
      </c>
      <c r="U745" t="str">
        <f>"20000.00"</f>
        <v>20000.00</v>
      </c>
      <c r="V745" t="str">
        <f>"20000.00"</f>
        <v>20000.00</v>
      </c>
      <c r="W745" t="str">
        <f t="shared" si="219"/>
        <v>2017</v>
      </c>
      <c r="X745" t="str">
        <f>"23.00"</f>
        <v>23.00</v>
      </c>
      <c r="Y745" t="str">
        <f>"343.86"</f>
        <v>343.86</v>
      </c>
      <c r="Z745" t="str">
        <f>""</f>
        <v/>
      </c>
      <c r="AA745" t="str">
        <f>"20000.00"</f>
        <v>20000.00</v>
      </c>
      <c r="AB745" t="str">
        <f t="shared" si="225"/>
        <v>Residential</v>
      </c>
      <c r="AC745" t="str">
        <f t="shared" si="230"/>
        <v>0</v>
      </c>
      <c r="AD745" t="str">
        <f>""</f>
        <v/>
      </c>
      <c r="AE745" t="str">
        <f>""</f>
        <v/>
      </c>
      <c r="AF745" t="str">
        <f>"000"</f>
        <v>000</v>
      </c>
      <c r="AG745" t="str">
        <f t="shared" si="231"/>
        <v>FL</v>
      </c>
      <c r="AH745" t="str">
        <f t="shared" si="233"/>
        <v>-</v>
      </c>
      <c r="AI745" t="str">
        <f t="shared" si="234"/>
        <v>20000.00</v>
      </c>
      <c r="AJ745" t="str">
        <f>"C55-000-587-9106-2"</f>
        <v>C55-000-587-9106-2</v>
      </c>
      <c r="AK745" t="str">
        <f>"11969"</f>
        <v>11969</v>
      </c>
      <c r="AL745">
        <v>3</v>
      </c>
      <c r="AM745">
        <v>861</v>
      </c>
      <c r="AN745">
        <v>359.45</v>
      </c>
      <c r="AQ745" t="s">
        <v>7895</v>
      </c>
      <c r="AR745" t="s">
        <v>7895</v>
      </c>
      <c r="AS745" t="s">
        <v>7895</v>
      </c>
      <c r="AU745" t="s">
        <v>396</v>
      </c>
      <c r="AV745">
        <v>2017</v>
      </c>
      <c r="AW745" t="str">
        <f>"37-1N-25-299S-0002-0210 "</f>
        <v xml:space="preserve">37-1N-25-299S-0002-0210 </v>
      </c>
      <c r="AZ745" t="s">
        <v>7862</v>
      </c>
      <c r="BA745" t="s">
        <v>496</v>
      </c>
      <c r="BD745" t="s">
        <v>2785</v>
      </c>
      <c r="BE745" t="s">
        <v>393</v>
      </c>
      <c r="BF745">
        <v>32011</v>
      </c>
      <c r="BG745" t="s">
        <v>7896</v>
      </c>
      <c r="BH745" t="s">
        <v>2787</v>
      </c>
      <c r="BI745">
        <v>-81.775065342065503</v>
      </c>
      <c r="BJ745">
        <v>30.518010772281499</v>
      </c>
      <c r="BK745" t="s">
        <v>7449</v>
      </c>
      <c r="BM745" t="s">
        <v>7448</v>
      </c>
      <c r="BN745" t="s">
        <v>928</v>
      </c>
      <c r="BO745">
        <v>32011</v>
      </c>
      <c r="BP745" t="s">
        <v>404</v>
      </c>
      <c r="BQ745">
        <v>0</v>
      </c>
      <c r="BR745" t="s">
        <v>491</v>
      </c>
      <c r="BS745">
        <v>8001</v>
      </c>
      <c r="BT745" t="s">
        <v>492</v>
      </c>
      <c r="BW745">
        <v>43575</v>
      </c>
      <c r="BX745" t="s">
        <v>407</v>
      </c>
      <c r="BY745" t="s">
        <v>408</v>
      </c>
      <c r="CD745">
        <v>2017</v>
      </c>
      <c r="CE745">
        <v>20000</v>
      </c>
      <c r="CG745">
        <v>20000</v>
      </c>
      <c r="CH745">
        <v>2017</v>
      </c>
      <c r="CI745">
        <v>20000</v>
      </c>
      <c r="CK745">
        <v>20000</v>
      </c>
      <c r="CL745">
        <v>2017</v>
      </c>
      <c r="CM745">
        <v>302.77999999999997</v>
      </c>
      <c r="CN745" s="1">
        <v>36936</v>
      </c>
      <c r="CO745">
        <v>12500</v>
      </c>
      <c r="CZ745" s="1">
        <v>36936</v>
      </c>
      <c r="DD745" t="s">
        <v>2785</v>
      </c>
      <c r="DF745">
        <v>21</v>
      </c>
      <c r="DG745">
        <v>37</v>
      </c>
      <c r="DJ745" t="s">
        <v>7589</v>
      </c>
      <c r="DL745">
        <v>50502</v>
      </c>
      <c r="DM745" t="s">
        <v>7353</v>
      </c>
      <c r="DO745" t="s">
        <v>7897</v>
      </c>
      <c r="DP745">
        <v>0</v>
      </c>
      <c r="DQ745">
        <v>0</v>
      </c>
      <c r="DR745" t="s">
        <v>411</v>
      </c>
      <c r="DS745" t="b">
        <v>1</v>
      </c>
      <c r="DT745" t="s">
        <v>470</v>
      </c>
      <c r="DU745" t="s">
        <v>471</v>
      </c>
      <c r="DV745" t="s">
        <v>472</v>
      </c>
      <c r="DX745">
        <v>-9999</v>
      </c>
      <c r="DZ745" t="s">
        <v>447</v>
      </c>
      <c r="EA745" t="s">
        <v>448</v>
      </c>
      <c r="EB745" t="s">
        <v>742</v>
      </c>
      <c r="EC745">
        <v>20101217</v>
      </c>
      <c r="ED745" t="s">
        <v>474</v>
      </c>
      <c r="EF745">
        <v>133</v>
      </c>
      <c r="EG745">
        <v>133</v>
      </c>
      <c r="EI745">
        <v>20160407</v>
      </c>
      <c r="EJ745">
        <v>0</v>
      </c>
      <c r="EK745">
        <v>0</v>
      </c>
      <c r="EP745" t="s">
        <v>421</v>
      </c>
      <c r="EQ745" t="s">
        <v>422</v>
      </c>
      <c r="ER745">
        <v>1</v>
      </c>
      <c r="ES745">
        <v>1</v>
      </c>
      <c r="ET745">
        <v>359.04</v>
      </c>
      <c r="EU745">
        <v>29.59</v>
      </c>
      <c r="EV745">
        <v>388.63</v>
      </c>
      <c r="EW745" s="2">
        <v>43222</v>
      </c>
      <c r="EX745" s="1">
        <v>42879</v>
      </c>
      <c r="EY745">
        <v>2016</v>
      </c>
      <c r="EZ745">
        <v>359.04</v>
      </c>
      <c r="FA745" t="s">
        <v>7898</v>
      </c>
      <c r="FB745">
        <v>6.5</v>
      </c>
      <c r="FC745" t="s">
        <v>424</v>
      </c>
      <c r="FD745" t="s">
        <v>454</v>
      </c>
      <c r="FF745">
        <v>12</v>
      </c>
      <c r="FG745">
        <v>5100525</v>
      </c>
      <c r="FH745" t="s">
        <v>6804</v>
      </c>
      <c r="FJ745" s="1">
        <v>42515</v>
      </c>
      <c r="FK745">
        <v>2015</v>
      </c>
      <c r="FL745">
        <v>361.79</v>
      </c>
      <c r="FM745" t="s">
        <v>7899</v>
      </c>
      <c r="FN745">
        <v>15.75</v>
      </c>
      <c r="FO745" t="s">
        <v>424</v>
      </c>
      <c r="FP745" t="s">
        <v>425</v>
      </c>
      <c r="FQ745" s="1">
        <v>43192</v>
      </c>
      <c r="FR745">
        <v>23</v>
      </c>
      <c r="FS745">
        <v>7336677</v>
      </c>
      <c r="FT745" t="s">
        <v>5826</v>
      </c>
    </row>
    <row r="746" spans="1:284" x14ac:dyDescent="0.25">
      <c r="A746">
        <v>16485753</v>
      </c>
      <c r="B746">
        <v>745</v>
      </c>
      <c r="C746" t="s">
        <v>393</v>
      </c>
      <c r="D746" t="s">
        <v>394</v>
      </c>
      <c r="F746" t="str">
        <f>"37-1N-25-299S-0003-0110"</f>
        <v>37-1N-25-299S-0003-0110</v>
      </c>
      <c r="H746" t="str">
        <f>"WALTERS LARRY J &amp; TRACY D"</f>
        <v>WALTERS LARRY J &amp; TRACY D</v>
      </c>
      <c r="I746" t="str">
        <f>"54326 BEA ROAD"</f>
        <v>54326 BEA ROAD</v>
      </c>
      <c r="J746" t="str">
        <f>"CALLAHAN FL 32011"</f>
        <v>CALLAHAN FL 32011</v>
      </c>
      <c r="K746" t="str">
        <f>"54326 BEA RD"</f>
        <v>54326 BEA RD</v>
      </c>
      <c r="L746" t="str">
        <f t="shared" si="222"/>
        <v>CALLAHAN FL 32011</v>
      </c>
      <c r="M746" t="str">
        <f>"BLOCK 3 LOT 11 IN OR 584 PG 139 R378159 R378158 SHEFFIELD VILLAGE PB 5/28 &amp; 29"</f>
        <v>BLOCK 3 LOT 11 IN OR 584 PG 139 R378159 R378158 SHEFFIELD VILLAGE PB 5/28 &amp; 29</v>
      </c>
      <c r="N746" t="str">
        <f>""</f>
        <v/>
      </c>
      <c r="O746" t="str">
        <f>"43209"</f>
        <v>43209</v>
      </c>
      <c r="P746" t="str">
        <f t="shared" si="218"/>
        <v>2017</v>
      </c>
      <c r="Q746" t="str">
        <f>""</f>
        <v/>
      </c>
      <c r="R746" t="str">
        <f>"Y"</f>
        <v>Y</v>
      </c>
      <c r="S746" t="str">
        <f>""</f>
        <v/>
      </c>
      <c r="T746" t="str">
        <f>"272.75"</f>
        <v>272.75</v>
      </c>
      <c r="U746" t="str">
        <f>"43016.00"</f>
        <v>43016.00</v>
      </c>
      <c r="V746" t="str">
        <f>"43016.00"</f>
        <v>43016.00</v>
      </c>
      <c r="W746" t="str">
        <f t="shared" si="219"/>
        <v>2017</v>
      </c>
      <c r="X746" t="str">
        <f>"1.50"</f>
        <v>1.50</v>
      </c>
      <c r="Y746" t="str">
        <f>"312.93"</f>
        <v>312.93</v>
      </c>
      <c r="Z746" t="str">
        <f>"25000.00"</f>
        <v>25000.00</v>
      </c>
      <c r="AA746" t="str">
        <f>"18016.00"</f>
        <v>18016.00</v>
      </c>
      <c r="AB746" t="str">
        <f t="shared" si="225"/>
        <v>Residential</v>
      </c>
      <c r="AC746" t="str">
        <f t="shared" si="230"/>
        <v>0</v>
      </c>
      <c r="AD746" t="str">
        <f t="shared" ref="AD746:AD753" si="235">"4"</f>
        <v>4</v>
      </c>
      <c r="AE746" t="str">
        <f t="shared" ref="AE746:AE753" si="236">"WOOD (INCLUDE STEEL STUDS)"</f>
        <v>WOOD (INCLUDE STEEL STUDS)</v>
      </c>
      <c r="AF746" t="str">
        <f>"002"</f>
        <v>002</v>
      </c>
      <c r="AG746" t="str">
        <f t="shared" si="231"/>
        <v>FL</v>
      </c>
      <c r="AH746" t="str">
        <f t="shared" si="233"/>
        <v>-</v>
      </c>
      <c r="AI746" t="str">
        <f t="shared" si="234"/>
        <v>20000.00</v>
      </c>
      <c r="AJ746" t="str">
        <f>"C55-000-587-9119-5"</f>
        <v>C55-000-587-9119-5</v>
      </c>
      <c r="AK746" t="str">
        <f>"11982"</f>
        <v>11982</v>
      </c>
      <c r="AL746">
        <v>3</v>
      </c>
      <c r="AM746">
        <v>862</v>
      </c>
      <c r="AN746">
        <v>326.98</v>
      </c>
      <c r="AQ746" t="s">
        <v>7900</v>
      </c>
      <c r="AR746" t="s">
        <v>7900</v>
      </c>
      <c r="AS746" t="s">
        <v>7900</v>
      </c>
      <c r="AU746" t="s">
        <v>396</v>
      </c>
      <c r="AV746">
        <v>2017</v>
      </c>
      <c r="AW746" t="str">
        <f>"37-1N-25-299S-0003-0110 "</f>
        <v xml:space="preserve">37-1N-25-299S-0003-0110 </v>
      </c>
      <c r="AX746">
        <v>54326</v>
      </c>
      <c r="AZ746" t="s">
        <v>7901</v>
      </c>
      <c r="BA746" t="s">
        <v>496</v>
      </c>
      <c r="BD746" t="s">
        <v>2785</v>
      </c>
      <c r="BE746" t="s">
        <v>393</v>
      </c>
      <c r="BF746">
        <v>32011</v>
      </c>
      <c r="BG746" t="s">
        <v>7902</v>
      </c>
      <c r="BH746" t="s">
        <v>2787</v>
      </c>
      <c r="BI746">
        <v>-81.775818332978005</v>
      </c>
      <c r="BJ746">
        <v>30.521756617978099</v>
      </c>
      <c r="BK746" t="s">
        <v>7903</v>
      </c>
      <c r="BL746" t="s">
        <v>7904</v>
      </c>
      <c r="BM746" t="s">
        <v>7902</v>
      </c>
      <c r="BN746" t="s">
        <v>928</v>
      </c>
      <c r="BO746">
        <v>32011</v>
      </c>
      <c r="BP746" t="s">
        <v>416</v>
      </c>
      <c r="BQ746">
        <v>200</v>
      </c>
      <c r="BR746" t="s">
        <v>405</v>
      </c>
      <c r="BS746">
        <v>1006</v>
      </c>
      <c r="BT746" t="s">
        <v>406</v>
      </c>
      <c r="BW746">
        <v>41470</v>
      </c>
      <c r="BX746" t="s">
        <v>407</v>
      </c>
      <c r="BY746" t="s">
        <v>408</v>
      </c>
      <c r="BZ746">
        <v>4</v>
      </c>
      <c r="CA746">
        <v>1989</v>
      </c>
      <c r="CB746">
        <v>1</v>
      </c>
      <c r="CC746">
        <v>1</v>
      </c>
      <c r="CD746">
        <v>2017</v>
      </c>
      <c r="CG746">
        <v>43016</v>
      </c>
      <c r="CH746">
        <v>2017</v>
      </c>
      <c r="CI746">
        <v>20000</v>
      </c>
      <c r="CJ746">
        <v>32136</v>
      </c>
      <c r="CK746">
        <v>52136</v>
      </c>
      <c r="CL746">
        <v>2017</v>
      </c>
      <c r="CM746">
        <v>272.75</v>
      </c>
      <c r="CN746" s="1">
        <v>32829</v>
      </c>
      <c r="CZ746" s="1">
        <v>32829</v>
      </c>
      <c r="DD746" t="s">
        <v>2785</v>
      </c>
      <c r="DF746">
        <v>11</v>
      </c>
      <c r="DG746">
        <v>37</v>
      </c>
      <c r="DL746">
        <v>50502</v>
      </c>
      <c r="DM746" t="s">
        <v>7353</v>
      </c>
      <c r="DO746" t="s">
        <v>7905</v>
      </c>
      <c r="DP746">
        <v>0</v>
      </c>
      <c r="DQ746">
        <v>0</v>
      </c>
      <c r="DR746" t="s">
        <v>411</v>
      </c>
      <c r="DS746" t="b">
        <v>1</v>
      </c>
      <c r="DT746" t="s">
        <v>470</v>
      </c>
      <c r="DU746" t="s">
        <v>471</v>
      </c>
      <c r="DV746" t="s">
        <v>472</v>
      </c>
      <c r="DX746">
        <v>-9999</v>
      </c>
      <c r="DZ746" t="s">
        <v>447</v>
      </c>
      <c r="EA746" t="s">
        <v>448</v>
      </c>
      <c r="EB746" t="s">
        <v>742</v>
      </c>
      <c r="EC746">
        <v>20101217</v>
      </c>
      <c r="ED746" t="s">
        <v>474</v>
      </c>
      <c r="EF746">
        <v>1495.1</v>
      </c>
      <c r="EG746">
        <v>1495.1</v>
      </c>
      <c r="EI746">
        <v>20160407</v>
      </c>
      <c r="EJ746">
        <v>0</v>
      </c>
      <c r="EK746">
        <v>0</v>
      </c>
      <c r="EP746" t="s">
        <v>421</v>
      </c>
      <c r="EQ746" t="s">
        <v>422</v>
      </c>
      <c r="ER746">
        <v>0</v>
      </c>
      <c r="ES746">
        <v>8</v>
      </c>
      <c r="ET746">
        <v>0</v>
      </c>
      <c r="EU746">
        <v>0</v>
      </c>
      <c r="EV746">
        <v>0</v>
      </c>
      <c r="EW746" s="2">
        <v>43222</v>
      </c>
      <c r="EX746" s="1">
        <v>42879</v>
      </c>
      <c r="EY746">
        <v>2016</v>
      </c>
      <c r="EZ746">
        <v>311.41000000000003</v>
      </c>
      <c r="FA746" t="s">
        <v>7906</v>
      </c>
      <c r="FB746">
        <v>0.25</v>
      </c>
      <c r="FC746" t="s">
        <v>424</v>
      </c>
      <c r="FD746" t="s">
        <v>425</v>
      </c>
      <c r="FE746" s="1">
        <v>42922</v>
      </c>
      <c r="FF746">
        <v>2</v>
      </c>
      <c r="FG746">
        <v>2851116</v>
      </c>
      <c r="FH746" t="s">
        <v>480</v>
      </c>
      <c r="FJ746" s="1">
        <v>42879</v>
      </c>
      <c r="FK746">
        <v>2016</v>
      </c>
      <c r="FL746">
        <v>311.41000000000003</v>
      </c>
      <c r="FM746" t="s">
        <v>7906</v>
      </c>
      <c r="FN746">
        <v>0.25</v>
      </c>
      <c r="FO746" t="s">
        <v>424</v>
      </c>
      <c r="FP746" t="s">
        <v>425</v>
      </c>
      <c r="FR746">
        <v>22</v>
      </c>
      <c r="FS746">
        <v>4969803</v>
      </c>
      <c r="FT746" t="s">
        <v>7907</v>
      </c>
      <c r="FV746" s="1">
        <v>42515</v>
      </c>
      <c r="FW746">
        <v>2015</v>
      </c>
      <c r="FX746">
        <v>308.33999999999997</v>
      </c>
      <c r="FY746" t="s">
        <v>7908</v>
      </c>
      <c r="FZ746">
        <v>0.25</v>
      </c>
      <c r="GA746" t="s">
        <v>424</v>
      </c>
      <c r="GB746" t="s">
        <v>425</v>
      </c>
      <c r="GC746" s="1">
        <v>42591</v>
      </c>
      <c r="GD746">
        <v>3</v>
      </c>
      <c r="GE746">
        <v>7336671</v>
      </c>
      <c r="GF746" t="s">
        <v>437</v>
      </c>
      <c r="GH746" s="1">
        <v>42515</v>
      </c>
      <c r="GI746">
        <v>2015</v>
      </c>
      <c r="GJ746">
        <v>308.33999999999997</v>
      </c>
      <c r="GK746" t="s">
        <v>7908</v>
      </c>
      <c r="GL746">
        <v>0.25</v>
      </c>
      <c r="GM746" t="s">
        <v>424</v>
      </c>
      <c r="GN746" t="s">
        <v>425</v>
      </c>
      <c r="GP746">
        <v>22</v>
      </c>
      <c r="GQ746">
        <v>6921126</v>
      </c>
      <c r="GR746" t="s">
        <v>7909</v>
      </c>
      <c r="GT746" s="1">
        <v>42151</v>
      </c>
      <c r="GU746">
        <v>2014</v>
      </c>
      <c r="GV746">
        <v>304.10000000000002</v>
      </c>
      <c r="GW746" t="s">
        <v>7910</v>
      </c>
      <c r="GX746">
        <v>0.25</v>
      </c>
      <c r="GY746" t="s">
        <v>424</v>
      </c>
      <c r="GZ746" t="s">
        <v>425</v>
      </c>
      <c r="HA746" s="1">
        <v>42193</v>
      </c>
      <c r="HB746">
        <v>2</v>
      </c>
      <c r="HC746">
        <v>2851116</v>
      </c>
      <c r="HD746" t="s">
        <v>480</v>
      </c>
      <c r="HF746" s="1">
        <v>42151</v>
      </c>
      <c r="HG746">
        <v>2014</v>
      </c>
      <c r="HH746">
        <v>304.10000000000002</v>
      </c>
      <c r="HI746" t="s">
        <v>7910</v>
      </c>
      <c r="HJ746">
        <v>0.25</v>
      </c>
      <c r="HK746" t="s">
        <v>424</v>
      </c>
      <c r="HL746" t="s">
        <v>425</v>
      </c>
      <c r="HN746">
        <v>22</v>
      </c>
      <c r="HO746">
        <v>4854043</v>
      </c>
      <c r="HP746" t="s">
        <v>7911</v>
      </c>
      <c r="HR746" s="1">
        <v>41787</v>
      </c>
      <c r="HS746">
        <v>2013</v>
      </c>
      <c r="HT746">
        <v>436.19</v>
      </c>
      <c r="HU746" t="s">
        <v>7912</v>
      </c>
      <c r="HV746">
        <v>0.25</v>
      </c>
      <c r="HW746" t="s">
        <v>424</v>
      </c>
      <c r="HX746" t="s">
        <v>425</v>
      </c>
      <c r="HY746" s="1">
        <v>41816</v>
      </c>
      <c r="HZ746">
        <v>1</v>
      </c>
      <c r="IA746">
        <v>2101382</v>
      </c>
      <c r="IB746" t="s">
        <v>993</v>
      </c>
      <c r="ID746" s="1">
        <v>41052</v>
      </c>
      <c r="IE746">
        <v>2011</v>
      </c>
      <c r="IF746">
        <v>461.27</v>
      </c>
      <c r="IG746" t="s">
        <v>7913</v>
      </c>
      <c r="IH746">
        <v>6</v>
      </c>
      <c r="II746" t="s">
        <v>424</v>
      </c>
      <c r="IJ746" t="s">
        <v>425</v>
      </c>
      <c r="IK746" s="1">
        <v>41080</v>
      </c>
      <c r="IL746">
        <v>1</v>
      </c>
      <c r="IM746">
        <v>1109</v>
      </c>
      <c r="IN746" t="s">
        <v>852</v>
      </c>
    </row>
    <row r="747" spans="1:284" x14ac:dyDescent="0.25">
      <c r="A747">
        <v>16485754</v>
      </c>
      <c r="B747">
        <v>746</v>
      </c>
      <c r="C747" t="s">
        <v>393</v>
      </c>
      <c r="D747" t="s">
        <v>394</v>
      </c>
      <c r="F747" t="str">
        <f>"37-1N-25-299S-0003-0330"</f>
        <v>37-1N-25-299S-0003-0330</v>
      </c>
      <c r="H747" t="str">
        <f>"WEAVER RHENDA S"</f>
        <v>WEAVER RHENDA S</v>
      </c>
      <c r="I747" t="str">
        <f>"54365 ARMSTRONG ROAD"</f>
        <v>54365 ARMSTRONG ROAD</v>
      </c>
      <c r="J747" t="str">
        <f>"CALLAHAN FL 32011"</f>
        <v>CALLAHAN FL 32011</v>
      </c>
      <c r="K747" t="str">
        <f>"54365 ARMSTRONG RD"</f>
        <v>54365 ARMSTRONG RD</v>
      </c>
      <c r="L747" t="str">
        <f t="shared" si="222"/>
        <v>CALLAHAN FL 32011</v>
      </c>
      <c r="M747" t="str">
        <f>"BLOCK 3 LOT 33 IN OR 781 PG 755 R672711 &amp; R672712 SHEFFIELD VILLAGE PB 5/28 &amp; 29"</f>
        <v>BLOCK 3 LOT 33 IN OR 781 PG 755 R672711 &amp; R672712 SHEFFIELD VILLAGE PB 5/28 &amp; 29</v>
      </c>
      <c r="N747" t="str">
        <f>""</f>
        <v/>
      </c>
      <c r="O747" t="str">
        <f>"43231"</f>
        <v>43231</v>
      </c>
      <c r="P747" t="str">
        <f t="shared" si="218"/>
        <v>2017</v>
      </c>
      <c r="Q747" t="str">
        <f>""</f>
        <v/>
      </c>
      <c r="R747" t="str">
        <f>"Y"</f>
        <v>Y</v>
      </c>
      <c r="S747" t="str">
        <f>""</f>
        <v/>
      </c>
      <c r="T747" t="str">
        <f>"388.08"</f>
        <v>388.08</v>
      </c>
      <c r="U747" t="str">
        <f>"51455.00"</f>
        <v>51455.00</v>
      </c>
      <c r="V747" t="str">
        <f>"51455.00"</f>
        <v>51455.00</v>
      </c>
      <c r="W747" t="str">
        <f t="shared" si="219"/>
        <v>2017</v>
      </c>
      <c r="X747" t="str">
        <f>"21.10"</f>
        <v>21.10</v>
      </c>
      <c r="Y747" t="str">
        <f>"431.72"</f>
        <v>431.72</v>
      </c>
      <c r="Z747" t="str">
        <f>"25000.00"</f>
        <v>25000.00</v>
      </c>
      <c r="AA747" t="str">
        <f>"26455.00"</f>
        <v>26455.00</v>
      </c>
      <c r="AB747" t="str">
        <f t="shared" si="225"/>
        <v>Residential</v>
      </c>
      <c r="AC747" t="str">
        <f t="shared" si="230"/>
        <v>0</v>
      </c>
      <c r="AD747" t="str">
        <f t="shared" si="235"/>
        <v>4</v>
      </c>
      <c r="AE747" t="str">
        <f t="shared" si="236"/>
        <v>WOOD (INCLUDE STEEL STUDS)</v>
      </c>
      <c r="AF747" t="str">
        <f>"002"</f>
        <v>002</v>
      </c>
      <c r="AG747" t="str">
        <f t="shared" si="231"/>
        <v>FL</v>
      </c>
      <c r="AH747" t="str">
        <f t="shared" si="233"/>
        <v>-</v>
      </c>
      <c r="AI747" t="str">
        <f t="shared" si="234"/>
        <v>20000.00</v>
      </c>
      <c r="AJ747" t="str">
        <f>"C55-000-587-9140-1"</f>
        <v>C55-000-587-9140-1</v>
      </c>
      <c r="AK747" t="str">
        <f>"12004"</f>
        <v>12004</v>
      </c>
      <c r="AL747">
        <v>3</v>
      </c>
      <c r="AM747">
        <v>865</v>
      </c>
      <c r="AN747">
        <v>451.71</v>
      </c>
      <c r="AQ747" t="s">
        <v>7914</v>
      </c>
      <c r="AR747" t="s">
        <v>7914</v>
      </c>
      <c r="AS747" t="s">
        <v>7914</v>
      </c>
      <c r="AU747" t="s">
        <v>396</v>
      </c>
      <c r="AV747">
        <v>2017</v>
      </c>
      <c r="AW747" t="str">
        <f>"37-1N-25-299S-0003-0330 "</f>
        <v xml:space="preserve">37-1N-25-299S-0003-0330 </v>
      </c>
      <c r="AX747">
        <v>54365</v>
      </c>
      <c r="AZ747" t="s">
        <v>7862</v>
      </c>
      <c r="BA747" t="s">
        <v>496</v>
      </c>
      <c r="BD747" t="s">
        <v>2785</v>
      </c>
      <c r="BE747" t="s">
        <v>393</v>
      </c>
      <c r="BF747">
        <v>32011</v>
      </c>
      <c r="BG747" t="s">
        <v>7915</v>
      </c>
      <c r="BH747" t="s">
        <v>2787</v>
      </c>
      <c r="BI747">
        <v>-81.774575093411102</v>
      </c>
      <c r="BJ747">
        <v>30.522144851680899</v>
      </c>
      <c r="BK747" t="s">
        <v>7916</v>
      </c>
      <c r="BM747" t="s">
        <v>7915</v>
      </c>
      <c r="BN747" t="s">
        <v>928</v>
      </c>
      <c r="BO747">
        <v>32011</v>
      </c>
      <c r="BP747" t="s">
        <v>416</v>
      </c>
      <c r="BQ747">
        <v>200</v>
      </c>
      <c r="BR747" t="s">
        <v>405</v>
      </c>
      <c r="BS747">
        <v>1006</v>
      </c>
      <c r="BT747" t="s">
        <v>406</v>
      </c>
      <c r="BW747">
        <v>43651</v>
      </c>
      <c r="BX747" t="s">
        <v>407</v>
      </c>
      <c r="BY747" t="s">
        <v>408</v>
      </c>
      <c r="BZ747">
        <v>4</v>
      </c>
      <c r="CA747">
        <v>1996</v>
      </c>
      <c r="CB747">
        <v>1</v>
      </c>
      <c r="CC747">
        <v>1</v>
      </c>
      <c r="CD747">
        <v>2017</v>
      </c>
      <c r="CG747">
        <v>51455</v>
      </c>
      <c r="CH747">
        <v>2017</v>
      </c>
      <c r="CI747">
        <v>20000</v>
      </c>
      <c r="CJ747">
        <v>41841</v>
      </c>
      <c r="CK747">
        <v>61841</v>
      </c>
      <c r="CL747">
        <v>2017</v>
      </c>
      <c r="CM747">
        <v>388.08</v>
      </c>
      <c r="CN747" s="1">
        <v>35436</v>
      </c>
      <c r="CO747">
        <v>3400</v>
      </c>
      <c r="CZ747" s="1">
        <v>35436</v>
      </c>
      <c r="DD747" t="s">
        <v>2785</v>
      </c>
      <c r="DF747">
        <v>33</v>
      </c>
      <c r="DG747">
        <v>37</v>
      </c>
      <c r="DL747">
        <v>50502</v>
      </c>
      <c r="DM747" t="s">
        <v>7353</v>
      </c>
      <c r="DO747" t="s">
        <v>7917</v>
      </c>
      <c r="DP747">
        <v>0</v>
      </c>
      <c r="DQ747">
        <v>0</v>
      </c>
      <c r="DR747" t="s">
        <v>411</v>
      </c>
      <c r="DS747" t="b">
        <v>1</v>
      </c>
      <c r="DT747" t="s">
        <v>470</v>
      </c>
      <c r="DU747" t="s">
        <v>471</v>
      </c>
      <c r="DV747" t="s">
        <v>472</v>
      </c>
      <c r="DX747">
        <v>-9999</v>
      </c>
      <c r="DZ747" t="s">
        <v>447</v>
      </c>
      <c r="EA747" t="s">
        <v>448</v>
      </c>
      <c r="EB747" t="s">
        <v>742</v>
      </c>
      <c r="EC747">
        <v>20101217</v>
      </c>
      <c r="ED747" t="s">
        <v>474</v>
      </c>
      <c r="EF747">
        <v>1470.4</v>
      </c>
      <c r="EG747">
        <v>1470.4</v>
      </c>
      <c r="EI747">
        <v>20160407</v>
      </c>
      <c r="EJ747">
        <v>0</v>
      </c>
      <c r="EK747">
        <v>0</v>
      </c>
      <c r="EP747" t="s">
        <v>421</v>
      </c>
      <c r="EQ747" t="s">
        <v>422</v>
      </c>
      <c r="ER747">
        <v>2</v>
      </c>
      <c r="ES747">
        <v>8</v>
      </c>
      <c r="ET747">
        <v>889.92</v>
      </c>
      <c r="EU747">
        <v>57</v>
      </c>
      <c r="EV747">
        <v>946.92</v>
      </c>
      <c r="EW747" s="2">
        <v>43222</v>
      </c>
      <c r="EX747" s="1">
        <v>42879</v>
      </c>
      <c r="EY747">
        <v>2016</v>
      </c>
      <c r="EZ747">
        <v>444.96</v>
      </c>
      <c r="FA747" t="s">
        <v>7918</v>
      </c>
      <c r="FB747">
        <v>0.25</v>
      </c>
      <c r="FC747" t="s">
        <v>424</v>
      </c>
      <c r="FD747" t="s">
        <v>454</v>
      </c>
      <c r="FF747">
        <v>12</v>
      </c>
      <c r="FG747">
        <v>7400234</v>
      </c>
      <c r="FH747" t="s">
        <v>426</v>
      </c>
      <c r="FJ747" s="1">
        <v>42879</v>
      </c>
      <c r="FK747">
        <v>2016</v>
      </c>
      <c r="FL747">
        <v>444.96</v>
      </c>
      <c r="FM747" t="s">
        <v>7918</v>
      </c>
      <c r="FN747">
        <v>0.25</v>
      </c>
      <c r="FO747" t="s">
        <v>424</v>
      </c>
      <c r="FP747" t="s">
        <v>454</v>
      </c>
      <c r="FR747">
        <v>12</v>
      </c>
      <c r="FS747">
        <v>7446359</v>
      </c>
      <c r="FT747" t="s">
        <v>7919</v>
      </c>
      <c r="FV747" s="1">
        <v>42515</v>
      </c>
      <c r="FW747">
        <v>2015</v>
      </c>
      <c r="FX747">
        <v>477.64</v>
      </c>
      <c r="FY747" t="s">
        <v>7920</v>
      </c>
      <c r="FZ747">
        <v>0.25</v>
      </c>
      <c r="GA747" t="s">
        <v>424</v>
      </c>
      <c r="GB747" t="s">
        <v>425</v>
      </c>
      <c r="GC747" s="1">
        <v>43158</v>
      </c>
      <c r="GD747">
        <v>21</v>
      </c>
      <c r="GE747">
        <v>2851116</v>
      </c>
      <c r="GF747" t="s">
        <v>480</v>
      </c>
      <c r="GH747" s="1">
        <v>42515</v>
      </c>
      <c r="GI747">
        <v>2015</v>
      </c>
      <c r="GJ747">
        <v>477.64</v>
      </c>
      <c r="GK747" t="s">
        <v>7920</v>
      </c>
      <c r="GL747">
        <v>0.25</v>
      </c>
      <c r="GM747" t="s">
        <v>424</v>
      </c>
      <c r="GN747" t="s">
        <v>425</v>
      </c>
      <c r="GP747">
        <v>22</v>
      </c>
      <c r="GQ747">
        <v>4964722</v>
      </c>
      <c r="GR747" t="s">
        <v>7921</v>
      </c>
      <c r="GT747" s="1">
        <v>42151</v>
      </c>
      <c r="GU747">
        <v>2014</v>
      </c>
      <c r="GV747">
        <v>476.7</v>
      </c>
      <c r="GW747" t="s">
        <v>7922</v>
      </c>
      <c r="GX747">
        <v>0.25</v>
      </c>
      <c r="GY747" t="s">
        <v>424</v>
      </c>
      <c r="GZ747" t="s">
        <v>425</v>
      </c>
      <c r="HA747" s="1">
        <v>42794</v>
      </c>
      <c r="HB747">
        <v>21</v>
      </c>
      <c r="HC747">
        <v>2851116</v>
      </c>
      <c r="HD747" t="s">
        <v>480</v>
      </c>
      <c r="HF747" s="1">
        <v>42151</v>
      </c>
      <c r="HG747">
        <v>2014</v>
      </c>
      <c r="HH747">
        <v>476.7</v>
      </c>
      <c r="HI747" t="s">
        <v>7922</v>
      </c>
      <c r="HJ747">
        <v>0.25</v>
      </c>
      <c r="HK747" t="s">
        <v>424</v>
      </c>
      <c r="HL747" t="s">
        <v>425</v>
      </c>
      <c r="HN747">
        <v>22</v>
      </c>
      <c r="HO747">
        <v>4978941</v>
      </c>
      <c r="HP747" t="s">
        <v>7923</v>
      </c>
      <c r="HR747" s="1">
        <v>41787</v>
      </c>
      <c r="HS747">
        <v>2013</v>
      </c>
      <c r="HT747">
        <v>508.95</v>
      </c>
      <c r="HU747" t="s">
        <v>7924</v>
      </c>
      <c r="HV747">
        <v>0.25</v>
      </c>
      <c r="HW747" t="s">
        <v>424</v>
      </c>
      <c r="HX747" t="s">
        <v>425</v>
      </c>
      <c r="HY747" s="1">
        <v>42429</v>
      </c>
      <c r="HZ747">
        <v>21</v>
      </c>
      <c r="IA747">
        <v>2407503</v>
      </c>
      <c r="IB747" t="s">
        <v>461</v>
      </c>
      <c r="ID747" s="1">
        <v>41423</v>
      </c>
      <c r="IE747">
        <v>2012</v>
      </c>
      <c r="IF747">
        <v>507.82</v>
      </c>
      <c r="IG747" t="s">
        <v>7925</v>
      </c>
      <c r="IH747">
        <v>2.75</v>
      </c>
      <c r="II747" t="s">
        <v>424</v>
      </c>
      <c r="IJ747" t="s">
        <v>425</v>
      </c>
      <c r="IK747" s="1">
        <v>42062</v>
      </c>
      <c r="IL747">
        <v>21</v>
      </c>
      <c r="IM747">
        <v>15399</v>
      </c>
      <c r="IN747" t="s">
        <v>485</v>
      </c>
      <c r="IP747" s="1">
        <v>41052</v>
      </c>
      <c r="IQ747">
        <v>2011</v>
      </c>
      <c r="IR747">
        <v>525.58000000000004</v>
      </c>
      <c r="IS747" t="s">
        <v>7926</v>
      </c>
      <c r="IT747">
        <v>6</v>
      </c>
      <c r="IU747" t="s">
        <v>424</v>
      </c>
      <c r="IV747" t="s">
        <v>425</v>
      </c>
      <c r="IW747" s="1">
        <v>41698</v>
      </c>
      <c r="IX747">
        <v>21</v>
      </c>
      <c r="IY747">
        <v>105</v>
      </c>
      <c r="IZ747" t="s">
        <v>946</v>
      </c>
      <c r="JB747" s="1">
        <v>40688</v>
      </c>
      <c r="JC747">
        <v>2010</v>
      </c>
      <c r="JD747">
        <v>485.23</v>
      </c>
      <c r="JE747" t="s">
        <v>7927</v>
      </c>
      <c r="JF747">
        <v>7.75</v>
      </c>
      <c r="JG747" t="s">
        <v>424</v>
      </c>
      <c r="JH747" t="s">
        <v>425</v>
      </c>
      <c r="JI747" s="1">
        <v>41333</v>
      </c>
      <c r="JJ747">
        <v>21</v>
      </c>
      <c r="JK747">
        <v>62</v>
      </c>
      <c r="JL747" t="s">
        <v>463</v>
      </c>
    </row>
    <row r="748" spans="1:284" x14ac:dyDescent="0.25">
      <c r="A748">
        <v>16485755</v>
      </c>
      <c r="B748">
        <v>747</v>
      </c>
      <c r="C748" t="s">
        <v>393</v>
      </c>
      <c r="D748" t="s">
        <v>394</v>
      </c>
      <c r="F748" t="str">
        <f>"37-1N-25-299S-0004-0170"</f>
        <v>37-1N-25-299S-0004-0170</v>
      </c>
      <c r="H748" t="str">
        <f>"LOVE STEVEN J"</f>
        <v>LOVE STEVEN J</v>
      </c>
      <c r="I748" t="str">
        <f>"54200 DORNBUSH RD"</f>
        <v>54200 DORNBUSH RD</v>
      </c>
      <c r="J748" t="str">
        <f>"CALLAHAN FL 32011"</f>
        <v>CALLAHAN FL 32011</v>
      </c>
      <c r="K748" t="str">
        <f>"54200 DORNBUSH RD"</f>
        <v>54200 DORNBUSH RD</v>
      </c>
      <c r="L748" t="str">
        <f t="shared" si="222"/>
        <v>CALLAHAN FL 32011</v>
      </c>
      <c r="M748" t="str">
        <f>"BLOCK 4 LOT 17 IN OR 2100/1226 SHEFFIELD VILLAGE PB 5/28 &amp; 29"</f>
        <v>BLOCK 4 LOT 17 IN OR 2100/1226 SHEFFIELD VILLAGE PB 5/28 &amp; 29</v>
      </c>
      <c r="N748" t="str">
        <f>""</f>
        <v/>
      </c>
      <c r="O748" t="str">
        <f>"43254"</f>
        <v>43254</v>
      </c>
      <c r="P748" t="str">
        <f t="shared" si="218"/>
        <v>2017</v>
      </c>
      <c r="Q748" t="str">
        <f>""</f>
        <v/>
      </c>
      <c r="R748" t="str">
        <f>"Y"</f>
        <v>Y</v>
      </c>
      <c r="S748" t="str">
        <f>""</f>
        <v/>
      </c>
      <c r="T748" t="str">
        <f>"538.46"</f>
        <v>538.46</v>
      </c>
      <c r="U748" t="str">
        <f>"74097.00"</f>
        <v>74097.00</v>
      </c>
      <c r="V748" t="str">
        <f>"74097.00"</f>
        <v>74097.00</v>
      </c>
      <c r="W748" t="str">
        <f t="shared" si="219"/>
        <v>2017</v>
      </c>
      <c r="X748" t="str">
        <f>"5.50"</f>
        <v>5.50</v>
      </c>
      <c r="Y748" t="str">
        <f>"586.61"</f>
        <v>586.61</v>
      </c>
      <c r="Z748" t="str">
        <f>"25000.00"</f>
        <v>25000.00</v>
      </c>
      <c r="AA748" t="str">
        <f>"49097.00"</f>
        <v>49097.00</v>
      </c>
      <c r="AB748" t="str">
        <f t="shared" si="225"/>
        <v>Residential</v>
      </c>
      <c r="AC748" t="str">
        <f t="shared" si="230"/>
        <v>0</v>
      </c>
      <c r="AD748" t="str">
        <f t="shared" si="235"/>
        <v>4</v>
      </c>
      <c r="AE748" t="str">
        <f t="shared" si="236"/>
        <v>WOOD (INCLUDE STEEL STUDS)</v>
      </c>
      <c r="AF748" t="str">
        <f>"001"</f>
        <v>001</v>
      </c>
      <c r="AG748" t="str">
        <f t="shared" si="231"/>
        <v>FL</v>
      </c>
      <c r="AH748" t="str">
        <f t="shared" si="233"/>
        <v>-</v>
      </c>
      <c r="AI748" t="str">
        <f t="shared" si="234"/>
        <v>20000.00</v>
      </c>
      <c r="AJ748" t="str">
        <f>"C55-000-587-9163-3"</f>
        <v>C55-000-587-9163-3</v>
      </c>
      <c r="AK748" t="str">
        <f>"12027"</f>
        <v>12027</v>
      </c>
      <c r="AL748">
        <v>3</v>
      </c>
      <c r="AM748">
        <v>866</v>
      </c>
      <c r="AN748">
        <v>614.34</v>
      </c>
      <c r="AQ748" t="s">
        <v>7928</v>
      </c>
      <c r="AR748" t="s">
        <v>7928</v>
      </c>
      <c r="AS748" t="s">
        <v>7928</v>
      </c>
      <c r="AU748" t="s">
        <v>396</v>
      </c>
      <c r="AV748">
        <v>2017</v>
      </c>
      <c r="AW748" t="str">
        <f>"37-1N-25-299S-0004-0170 "</f>
        <v xml:space="preserve">37-1N-25-299S-0004-0170 </v>
      </c>
      <c r="AX748">
        <v>54200</v>
      </c>
      <c r="AZ748" t="s">
        <v>7852</v>
      </c>
      <c r="BA748" t="s">
        <v>496</v>
      </c>
      <c r="BD748" t="s">
        <v>2785</v>
      </c>
      <c r="BE748" t="s">
        <v>393</v>
      </c>
      <c r="BF748">
        <v>32011</v>
      </c>
      <c r="BG748" t="s">
        <v>7929</v>
      </c>
      <c r="BH748" t="s">
        <v>2787</v>
      </c>
      <c r="BI748">
        <v>-81.778981532232294</v>
      </c>
      <c r="BJ748">
        <v>30.5201902469347</v>
      </c>
      <c r="BK748" t="s">
        <v>7930</v>
      </c>
      <c r="BM748" t="s">
        <v>7929</v>
      </c>
      <c r="BN748" t="s">
        <v>928</v>
      </c>
      <c r="BO748">
        <v>32011</v>
      </c>
      <c r="BP748" t="s">
        <v>416</v>
      </c>
      <c r="BQ748">
        <v>100</v>
      </c>
      <c r="BR748" t="s">
        <v>514</v>
      </c>
      <c r="BS748">
        <v>1001</v>
      </c>
      <c r="BT748" t="s">
        <v>515</v>
      </c>
      <c r="BW748">
        <v>45620</v>
      </c>
      <c r="BX748" t="s">
        <v>407</v>
      </c>
      <c r="BY748" t="s">
        <v>408</v>
      </c>
      <c r="BZ748">
        <v>4</v>
      </c>
      <c r="CA748">
        <v>1984</v>
      </c>
      <c r="CB748">
        <v>1</v>
      </c>
      <c r="CC748">
        <v>1</v>
      </c>
      <c r="CD748">
        <v>2017</v>
      </c>
      <c r="CG748">
        <v>74097</v>
      </c>
      <c r="CH748">
        <v>2017</v>
      </c>
      <c r="CI748">
        <v>20000</v>
      </c>
      <c r="CJ748">
        <v>70583</v>
      </c>
      <c r="CK748">
        <v>90583</v>
      </c>
      <c r="CL748">
        <v>2017</v>
      </c>
      <c r="CM748">
        <v>538.46</v>
      </c>
      <c r="CN748" s="1">
        <v>40609</v>
      </c>
      <c r="CO748">
        <v>65000</v>
      </c>
      <c r="CV748">
        <v>0</v>
      </c>
      <c r="CZ748" s="1">
        <v>40609</v>
      </c>
      <c r="DA748">
        <v>0</v>
      </c>
      <c r="DD748" t="s">
        <v>2785</v>
      </c>
      <c r="DF748">
        <v>17</v>
      </c>
      <c r="DG748">
        <v>37</v>
      </c>
      <c r="DJ748" t="s">
        <v>7589</v>
      </c>
      <c r="DL748">
        <v>50502</v>
      </c>
      <c r="DM748" t="s">
        <v>7353</v>
      </c>
      <c r="DO748" t="s">
        <v>7931</v>
      </c>
      <c r="DP748">
        <v>0</v>
      </c>
      <c r="DQ748">
        <v>0</v>
      </c>
      <c r="DR748" t="s">
        <v>411</v>
      </c>
      <c r="DS748" t="b">
        <v>1</v>
      </c>
      <c r="DT748" t="s">
        <v>470</v>
      </c>
      <c r="DU748" t="s">
        <v>471</v>
      </c>
      <c r="DV748" t="s">
        <v>472</v>
      </c>
      <c r="DX748">
        <v>-9999</v>
      </c>
      <c r="DZ748" t="s">
        <v>447</v>
      </c>
      <c r="EA748" t="s">
        <v>448</v>
      </c>
      <c r="EB748" t="s">
        <v>742</v>
      </c>
      <c r="EC748">
        <v>20101217</v>
      </c>
      <c r="ED748" t="s">
        <v>474</v>
      </c>
      <c r="EF748">
        <v>1507.5</v>
      </c>
      <c r="EG748">
        <v>1507.5</v>
      </c>
      <c r="EI748">
        <v>20160407</v>
      </c>
      <c r="EJ748">
        <v>0</v>
      </c>
      <c r="EK748">
        <v>0</v>
      </c>
      <c r="EP748" t="s">
        <v>421</v>
      </c>
      <c r="EQ748" t="s">
        <v>422</v>
      </c>
      <c r="ER748">
        <v>0</v>
      </c>
      <c r="ES748">
        <v>3</v>
      </c>
      <c r="ET748">
        <v>0</v>
      </c>
      <c r="EU748">
        <v>0</v>
      </c>
      <c r="EV748">
        <v>0</v>
      </c>
      <c r="EW748" s="2">
        <v>43222</v>
      </c>
      <c r="EX748" s="1">
        <v>42515</v>
      </c>
      <c r="EY748">
        <v>2015</v>
      </c>
      <c r="EZ748">
        <v>621.95000000000005</v>
      </c>
      <c r="FA748" t="s">
        <v>7932</v>
      </c>
      <c r="FB748">
        <v>0.25</v>
      </c>
      <c r="FC748" t="s">
        <v>424</v>
      </c>
      <c r="FD748" t="s">
        <v>425</v>
      </c>
      <c r="FE748" s="1">
        <v>42867</v>
      </c>
      <c r="FF748">
        <v>12</v>
      </c>
      <c r="FG748">
        <v>7336671</v>
      </c>
      <c r="FH748" t="s">
        <v>437</v>
      </c>
      <c r="FJ748" s="1">
        <v>42515</v>
      </c>
      <c r="FK748">
        <v>2015</v>
      </c>
      <c r="FL748">
        <v>621.95000000000005</v>
      </c>
      <c r="FM748" t="s">
        <v>7932</v>
      </c>
      <c r="FN748">
        <v>0.25</v>
      </c>
      <c r="FO748" t="s">
        <v>424</v>
      </c>
      <c r="FP748" t="s">
        <v>425</v>
      </c>
      <c r="FR748">
        <v>22</v>
      </c>
      <c r="FS748">
        <v>6974433</v>
      </c>
      <c r="FT748" t="s">
        <v>7933</v>
      </c>
      <c r="FV748" s="1">
        <v>41423</v>
      </c>
      <c r="FW748">
        <v>2012</v>
      </c>
      <c r="FX748">
        <v>1103.8</v>
      </c>
      <c r="FY748" t="s">
        <v>7934</v>
      </c>
      <c r="FZ748">
        <v>0.25</v>
      </c>
      <c r="GA748" t="s">
        <v>424</v>
      </c>
      <c r="GB748" t="s">
        <v>425</v>
      </c>
      <c r="GC748" s="1">
        <v>41562</v>
      </c>
      <c r="GD748">
        <v>5</v>
      </c>
      <c r="GE748">
        <v>11303</v>
      </c>
      <c r="GF748" t="s">
        <v>918</v>
      </c>
    </row>
    <row r="749" spans="1:284" x14ac:dyDescent="0.25">
      <c r="A749">
        <v>16485756</v>
      </c>
      <c r="B749">
        <v>748</v>
      </c>
      <c r="C749" t="s">
        <v>393</v>
      </c>
      <c r="D749" t="s">
        <v>394</v>
      </c>
      <c r="F749" t="str">
        <f>"37-1N-25-299S-0004-0380"</f>
        <v>37-1N-25-299S-0004-0380</v>
      </c>
      <c r="H749" t="str">
        <f>"DAUGHTRY JOSEPH JR"</f>
        <v>DAUGHTRY JOSEPH JR</v>
      </c>
      <c r="I749" t="str">
        <f>"3479 SUGAR CANE CIR"</f>
        <v>3479 SUGAR CANE CIR</v>
      </c>
      <c r="J749" t="str">
        <f>"FAYETTEVILLE NC 28303"</f>
        <v>FAYETTEVILLE NC 28303</v>
      </c>
      <c r="K749" t="str">
        <f>"54439 BEA RD"</f>
        <v>54439 BEA RD</v>
      </c>
      <c r="L749" t="str">
        <f t="shared" si="222"/>
        <v>CALLAHAN FL 32011</v>
      </c>
      <c r="M749" t="str">
        <f>"BLOCK 4 LOT 38 IN OR 1457/85 R235632 &amp; R235633 SHEFFIELD VILLAGE PB 5/28 &amp; 29"</f>
        <v>BLOCK 4 LOT 38 IN OR 1457/85 R235632 &amp; R235633 SHEFFIELD VILLAGE PB 5/28 &amp; 29</v>
      </c>
      <c r="N749" t="str">
        <f>""</f>
        <v/>
      </c>
      <c r="O749" t="str">
        <f>"43275"</f>
        <v>43275</v>
      </c>
      <c r="P749" t="str">
        <f t="shared" si="218"/>
        <v>2017</v>
      </c>
      <c r="Q749" t="str">
        <f>""</f>
        <v/>
      </c>
      <c r="R749" t="str">
        <f>"N"</f>
        <v>N</v>
      </c>
      <c r="S749" t="str">
        <f>""</f>
        <v/>
      </c>
      <c r="T749" t="str">
        <f>"663.88"</f>
        <v>663.88</v>
      </c>
      <c r="U749" t="str">
        <f>"43853.00"</f>
        <v>43853.00</v>
      </c>
      <c r="V749" t="str">
        <f>"43853.00"</f>
        <v>43853.00</v>
      </c>
      <c r="W749" t="str">
        <f t="shared" si="219"/>
        <v>2017</v>
      </c>
      <c r="X749" t="str">
        <f>""</f>
        <v/>
      </c>
      <c r="Y749" t="str">
        <f>"715.80"</f>
        <v>715.80</v>
      </c>
      <c r="Z749" t="str">
        <f>""</f>
        <v/>
      </c>
      <c r="AA749" t="str">
        <f>"43853.00"</f>
        <v>43853.00</v>
      </c>
      <c r="AB749" t="str">
        <f t="shared" si="225"/>
        <v>Residential</v>
      </c>
      <c r="AC749" t="str">
        <f t="shared" si="230"/>
        <v>0</v>
      </c>
      <c r="AD749" t="str">
        <f t="shared" si="235"/>
        <v>4</v>
      </c>
      <c r="AE749" t="str">
        <f t="shared" si="236"/>
        <v>WOOD (INCLUDE STEEL STUDS)</v>
      </c>
      <c r="AF749" t="str">
        <f>"002"</f>
        <v>002</v>
      </c>
      <c r="AG749" t="str">
        <f>"NC"</f>
        <v>NC</v>
      </c>
      <c r="AH749" t="str">
        <f t="shared" si="233"/>
        <v>-</v>
      </c>
      <c r="AI749" t="str">
        <f t="shared" si="234"/>
        <v>20000.00</v>
      </c>
      <c r="AJ749" t="str">
        <f>"C55-000-587-9184-9"</f>
        <v>C55-000-587-9184-9</v>
      </c>
      <c r="AK749" t="str">
        <f>"12048"</f>
        <v>12048</v>
      </c>
      <c r="AL749">
        <v>3</v>
      </c>
      <c r="AM749">
        <v>869</v>
      </c>
      <c r="AN749">
        <v>749.99</v>
      </c>
      <c r="AQ749" t="s">
        <v>7935</v>
      </c>
      <c r="AR749" t="s">
        <v>7935</v>
      </c>
      <c r="AS749" t="s">
        <v>7935</v>
      </c>
      <c r="AU749" t="s">
        <v>396</v>
      </c>
      <c r="AV749">
        <v>2017</v>
      </c>
      <c r="AW749" t="str">
        <f>"37-1N-25-299S-0004-0380 "</f>
        <v xml:space="preserve">37-1N-25-299S-0004-0380 </v>
      </c>
      <c r="AX749">
        <v>54439</v>
      </c>
      <c r="AZ749" t="s">
        <v>7901</v>
      </c>
      <c r="BA749" t="s">
        <v>496</v>
      </c>
      <c r="BD749" t="s">
        <v>2785</v>
      </c>
      <c r="BE749" t="s">
        <v>393</v>
      </c>
      <c r="BF749">
        <v>32011</v>
      </c>
      <c r="BG749" t="s">
        <v>7936</v>
      </c>
      <c r="BH749" t="s">
        <v>2787</v>
      </c>
      <c r="BI749">
        <v>-81.775926962201794</v>
      </c>
      <c r="BJ749">
        <v>30.523764229237798</v>
      </c>
      <c r="BK749" t="s">
        <v>7937</v>
      </c>
      <c r="BM749" t="s">
        <v>7938</v>
      </c>
      <c r="BN749" t="s">
        <v>7939</v>
      </c>
      <c r="BO749">
        <v>28303</v>
      </c>
      <c r="BP749" t="s">
        <v>404</v>
      </c>
      <c r="BQ749">
        <v>200</v>
      </c>
      <c r="BR749" t="s">
        <v>405</v>
      </c>
      <c r="BS749">
        <v>1006</v>
      </c>
      <c r="BT749" t="s">
        <v>406</v>
      </c>
      <c r="BW749">
        <v>43814</v>
      </c>
      <c r="BX749" t="s">
        <v>407</v>
      </c>
      <c r="BY749" t="s">
        <v>408</v>
      </c>
      <c r="BZ749">
        <v>4</v>
      </c>
      <c r="CA749">
        <v>1985</v>
      </c>
      <c r="CB749">
        <v>1</v>
      </c>
      <c r="CC749">
        <v>1</v>
      </c>
      <c r="CD749">
        <v>2017</v>
      </c>
      <c r="CE749">
        <v>20000</v>
      </c>
      <c r="CF749">
        <v>23853</v>
      </c>
      <c r="CG749">
        <v>43853</v>
      </c>
      <c r="CH749">
        <v>2017</v>
      </c>
      <c r="CI749">
        <v>20000</v>
      </c>
      <c r="CJ749">
        <v>23853</v>
      </c>
      <c r="CK749">
        <v>43853</v>
      </c>
      <c r="CL749">
        <v>2017</v>
      </c>
      <c r="CM749">
        <v>663.88</v>
      </c>
      <c r="CN749" s="1">
        <v>39027</v>
      </c>
      <c r="CZ749" s="1">
        <v>39027</v>
      </c>
      <c r="DD749" t="s">
        <v>2785</v>
      </c>
      <c r="DF749">
        <v>38</v>
      </c>
      <c r="DG749">
        <v>37</v>
      </c>
      <c r="DL749">
        <v>50502</v>
      </c>
      <c r="DM749" t="s">
        <v>7353</v>
      </c>
      <c r="DO749" t="s">
        <v>7940</v>
      </c>
      <c r="DP749">
        <v>0</v>
      </c>
      <c r="DQ749">
        <v>0</v>
      </c>
      <c r="DR749" t="s">
        <v>411</v>
      </c>
      <c r="EP749" t="s">
        <v>421</v>
      </c>
      <c r="EQ749" t="s">
        <v>422</v>
      </c>
      <c r="ER749">
        <v>2</v>
      </c>
      <c r="ES749">
        <v>0</v>
      </c>
      <c r="ET749">
        <v>1575.28</v>
      </c>
      <c r="EU749">
        <v>91.26</v>
      </c>
      <c r="EV749">
        <v>1666.54</v>
      </c>
      <c r="EW749" s="2">
        <v>43222</v>
      </c>
      <c r="EX749" s="1">
        <v>42879</v>
      </c>
      <c r="EY749">
        <v>2016</v>
      </c>
      <c r="EZ749">
        <v>787.64</v>
      </c>
      <c r="FA749" t="s">
        <v>7941</v>
      </c>
      <c r="FB749">
        <v>0.25</v>
      </c>
      <c r="FC749" t="s">
        <v>424</v>
      </c>
      <c r="FD749" t="s">
        <v>454</v>
      </c>
      <c r="FF749">
        <v>12</v>
      </c>
      <c r="FG749">
        <v>2851116</v>
      </c>
      <c r="FH749" t="s">
        <v>480</v>
      </c>
      <c r="FJ749" s="1">
        <v>42879</v>
      </c>
      <c r="FK749">
        <v>2016</v>
      </c>
      <c r="FL749">
        <v>787.64</v>
      </c>
      <c r="FM749" t="s">
        <v>7941</v>
      </c>
      <c r="FN749">
        <v>0.25</v>
      </c>
      <c r="FO749" t="s">
        <v>424</v>
      </c>
      <c r="FP749" t="s">
        <v>454</v>
      </c>
      <c r="FR749">
        <v>12</v>
      </c>
      <c r="FS749">
        <v>5274847</v>
      </c>
      <c r="FT749" t="s">
        <v>7942</v>
      </c>
    </row>
    <row r="750" spans="1:284" x14ac:dyDescent="0.25">
      <c r="A750">
        <v>16485757</v>
      </c>
      <c r="B750">
        <v>749</v>
      </c>
      <c r="C750" t="s">
        <v>393</v>
      </c>
      <c r="D750" t="s">
        <v>394</v>
      </c>
      <c r="F750" t="str">
        <f>"37-1N-25-299S-0006-0220"</f>
        <v>37-1N-25-299S-0006-0220</v>
      </c>
      <c r="H750" t="str">
        <f>"SHELFER CANDIE R"</f>
        <v>SHELFER CANDIE R</v>
      </c>
      <c r="I750" t="str">
        <f>"54185 HELLER ROAD"</f>
        <v>54185 HELLER ROAD</v>
      </c>
      <c r="J750" t="str">
        <f>"CALLAHAN FL 32011"</f>
        <v>CALLAHAN FL 32011</v>
      </c>
      <c r="K750" t="str">
        <f>"54185 HELLER RD"</f>
        <v>54185 HELLER RD</v>
      </c>
      <c r="L750" t="str">
        <f t="shared" si="222"/>
        <v>CALLAHAN FL 32011</v>
      </c>
      <c r="M750" t="str">
        <f>"BLOCK 6 LOT 22 IN OR 2074/202 SHEFFIELD VILLAGE PB 5/28 &amp; 29"</f>
        <v>BLOCK 6 LOT 22 IN OR 2074/202 SHEFFIELD VILLAGE PB 5/28 &amp; 29</v>
      </c>
      <c r="N750" t="str">
        <f>""</f>
        <v/>
      </c>
      <c r="O750" t="str">
        <f>"43305"</f>
        <v>43305</v>
      </c>
      <c r="P750" t="str">
        <f t="shared" si="218"/>
        <v>2017</v>
      </c>
      <c r="Q750" t="str">
        <f>""</f>
        <v/>
      </c>
      <c r="R750" t="str">
        <f>"N"</f>
        <v>N</v>
      </c>
      <c r="S750" t="str">
        <f>""</f>
        <v/>
      </c>
      <c r="T750" t="str">
        <f>"961.01"</f>
        <v>961.01</v>
      </c>
      <c r="U750" t="str">
        <f>"61276.00"</f>
        <v>61276.00</v>
      </c>
      <c r="V750" t="str">
        <f>"61276.00"</f>
        <v>61276.00</v>
      </c>
      <c r="W750" t="str">
        <f t="shared" si="219"/>
        <v>2017</v>
      </c>
      <c r="X750" t="str">
        <f>"16.44"</f>
        <v>16.44</v>
      </c>
      <c r="Y750" t="str">
        <f>"1021.84"</f>
        <v>1021.84</v>
      </c>
      <c r="Z750" t="str">
        <f>""</f>
        <v/>
      </c>
      <c r="AA750" t="str">
        <f>"66333.00"</f>
        <v>66333.00</v>
      </c>
      <c r="AB750" t="str">
        <f t="shared" si="225"/>
        <v>Residential</v>
      </c>
      <c r="AC750" t="str">
        <f t="shared" si="230"/>
        <v>0</v>
      </c>
      <c r="AD750" t="str">
        <f t="shared" si="235"/>
        <v>4</v>
      </c>
      <c r="AE750" t="str">
        <f t="shared" si="236"/>
        <v>WOOD (INCLUDE STEEL STUDS)</v>
      </c>
      <c r="AF750" t="str">
        <f>"002"</f>
        <v>002</v>
      </c>
      <c r="AG750" t="str">
        <f t="shared" ref="AG750:AG773" si="237">"FL"</f>
        <v>FL</v>
      </c>
      <c r="AH750" t="str">
        <f t="shared" si="233"/>
        <v>-</v>
      </c>
      <c r="AI750" t="str">
        <f t="shared" si="234"/>
        <v>20000.00</v>
      </c>
      <c r="AJ750" t="str">
        <f>"C55-000-587-9214-4"</f>
        <v>C55-000-587-9214-4</v>
      </c>
      <c r="AK750" t="str">
        <f>"12078"</f>
        <v>12078</v>
      </c>
      <c r="AL750">
        <v>3</v>
      </c>
      <c r="AM750">
        <v>870</v>
      </c>
      <c r="AN750">
        <v>1071.33</v>
      </c>
      <c r="AQ750" t="s">
        <v>7943</v>
      </c>
      <c r="AR750" t="s">
        <v>7943</v>
      </c>
      <c r="AS750" t="s">
        <v>7943</v>
      </c>
      <c r="AU750" t="s">
        <v>396</v>
      </c>
      <c r="AV750">
        <v>2017</v>
      </c>
      <c r="AW750" t="str">
        <f>"37-1N-25-299S-0006-0220 "</f>
        <v xml:space="preserve">37-1N-25-299S-0006-0220 </v>
      </c>
      <c r="AX750">
        <v>54185</v>
      </c>
      <c r="AZ750" t="s">
        <v>7944</v>
      </c>
      <c r="BA750" t="s">
        <v>496</v>
      </c>
      <c r="BD750" t="s">
        <v>2785</v>
      </c>
      <c r="BE750" t="s">
        <v>393</v>
      </c>
      <c r="BF750">
        <v>32011</v>
      </c>
      <c r="BG750" t="s">
        <v>7945</v>
      </c>
      <c r="BH750" t="s">
        <v>2787</v>
      </c>
      <c r="BI750">
        <v>-81.780309448596199</v>
      </c>
      <c r="BJ750">
        <v>30.523676015230699</v>
      </c>
      <c r="BK750" t="s">
        <v>7946</v>
      </c>
      <c r="BM750" t="s">
        <v>7945</v>
      </c>
      <c r="BN750" t="s">
        <v>928</v>
      </c>
      <c r="BO750">
        <v>32011</v>
      </c>
      <c r="BP750" t="s">
        <v>416</v>
      </c>
      <c r="BQ750">
        <v>200</v>
      </c>
      <c r="BR750" t="s">
        <v>405</v>
      </c>
      <c r="BS750">
        <v>1006</v>
      </c>
      <c r="BT750" t="s">
        <v>406</v>
      </c>
      <c r="BW750">
        <v>43930</v>
      </c>
      <c r="BX750" t="s">
        <v>407</v>
      </c>
      <c r="BY750" t="s">
        <v>408</v>
      </c>
      <c r="BZ750">
        <v>4</v>
      </c>
      <c r="CA750">
        <v>1997</v>
      </c>
      <c r="CC750">
        <v>1</v>
      </c>
      <c r="CD750">
        <v>2017</v>
      </c>
      <c r="CE750">
        <v>20000</v>
      </c>
      <c r="CF750">
        <v>46333</v>
      </c>
      <c r="CG750">
        <v>66333</v>
      </c>
      <c r="CH750">
        <v>2017</v>
      </c>
      <c r="CI750">
        <v>20000</v>
      </c>
      <c r="CJ750">
        <v>46333</v>
      </c>
      <c r="CK750">
        <v>66333</v>
      </c>
      <c r="CL750">
        <v>2017</v>
      </c>
      <c r="CM750">
        <v>961.01</v>
      </c>
      <c r="CN750" s="1">
        <v>33060</v>
      </c>
      <c r="CO750">
        <v>9000</v>
      </c>
      <c r="CZ750" s="1">
        <v>33060</v>
      </c>
      <c r="DD750" t="s">
        <v>2785</v>
      </c>
      <c r="DF750">
        <v>22</v>
      </c>
      <c r="DG750">
        <v>37</v>
      </c>
      <c r="DJ750" t="s">
        <v>7589</v>
      </c>
      <c r="DL750">
        <v>50502</v>
      </c>
      <c r="DM750" t="s">
        <v>7353</v>
      </c>
      <c r="DO750" t="s">
        <v>7947</v>
      </c>
      <c r="DP750">
        <v>0</v>
      </c>
      <c r="DQ750">
        <v>0</v>
      </c>
      <c r="DR750" t="s">
        <v>411</v>
      </c>
      <c r="DS750" t="b">
        <v>1</v>
      </c>
      <c r="DT750" t="s">
        <v>470</v>
      </c>
      <c r="DU750" t="s">
        <v>471</v>
      </c>
      <c r="DV750" t="s">
        <v>472</v>
      </c>
      <c r="DX750">
        <v>-9999</v>
      </c>
      <c r="DZ750" t="s">
        <v>447</v>
      </c>
      <c r="EA750" t="s">
        <v>448</v>
      </c>
      <c r="EB750" t="s">
        <v>742</v>
      </c>
      <c r="EC750">
        <v>20101217</v>
      </c>
      <c r="ED750" t="s">
        <v>474</v>
      </c>
      <c r="EF750">
        <v>2745.1</v>
      </c>
      <c r="EG750">
        <v>2745.1</v>
      </c>
      <c r="EH750" t="s">
        <v>451</v>
      </c>
      <c r="EI750">
        <v>20140731</v>
      </c>
      <c r="EJ750">
        <v>0</v>
      </c>
      <c r="EK750">
        <v>0</v>
      </c>
      <c r="EP750" t="s">
        <v>421</v>
      </c>
      <c r="EQ750" t="s">
        <v>422</v>
      </c>
      <c r="ER750">
        <v>0</v>
      </c>
      <c r="ES750">
        <v>6</v>
      </c>
      <c r="ET750">
        <v>0</v>
      </c>
      <c r="EU750">
        <v>0</v>
      </c>
      <c r="EV750">
        <v>0</v>
      </c>
      <c r="EW750" s="2">
        <v>43222</v>
      </c>
      <c r="EX750" s="1">
        <v>42151</v>
      </c>
      <c r="EY750">
        <v>2014</v>
      </c>
      <c r="EZ750">
        <v>875.61</v>
      </c>
      <c r="FA750" t="s">
        <v>7948</v>
      </c>
      <c r="FB750">
        <v>0.25</v>
      </c>
      <c r="FC750" t="s">
        <v>424</v>
      </c>
      <c r="FD750" t="s">
        <v>425</v>
      </c>
      <c r="FE750" s="1">
        <v>42165</v>
      </c>
      <c r="FF750">
        <v>1</v>
      </c>
      <c r="FG750">
        <v>4975594</v>
      </c>
      <c r="FH750" t="s">
        <v>457</v>
      </c>
      <c r="FJ750" s="1">
        <v>42151</v>
      </c>
      <c r="FK750">
        <v>2014</v>
      </c>
      <c r="FL750">
        <v>875.61</v>
      </c>
      <c r="FM750" t="s">
        <v>7948</v>
      </c>
      <c r="FN750">
        <v>0.25</v>
      </c>
      <c r="FO750" t="s">
        <v>424</v>
      </c>
      <c r="FP750" t="s">
        <v>425</v>
      </c>
      <c r="FR750">
        <v>22</v>
      </c>
      <c r="FS750">
        <v>6403691</v>
      </c>
      <c r="FT750" t="s">
        <v>7949</v>
      </c>
      <c r="FV750" s="1">
        <v>41787</v>
      </c>
      <c r="FW750">
        <v>2013</v>
      </c>
      <c r="FX750">
        <v>1057.3699999999999</v>
      </c>
      <c r="FY750" t="s">
        <v>7950</v>
      </c>
      <c r="FZ750">
        <v>0.25</v>
      </c>
      <c r="GA750" t="s">
        <v>424</v>
      </c>
      <c r="GB750" t="s">
        <v>425</v>
      </c>
      <c r="GC750" s="1">
        <v>42156</v>
      </c>
      <c r="GD750">
        <v>13</v>
      </c>
      <c r="GE750">
        <v>2407503</v>
      </c>
      <c r="GF750" t="s">
        <v>461</v>
      </c>
      <c r="GH750" s="1">
        <v>41423</v>
      </c>
      <c r="GI750">
        <v>2012</v>
      </c>
      <c r="GJ750">
        <v>1011.15</v>
      </c>
      <c r="GK750" t="s">
        <v>7951</v>
      </c>
      <c r="GL750">
        <v>0.25</v>
      </c>
      <c r="GM750" t="s">
        <v>424</v>
      </c>
      <c r="GN750" t="s">
        <v>425</v>
      </c>
      <c r="GO750" s="1">
        <v>41641</v>
      </c>
      <c r="GP750">
        <v>8</v>
      </c>
      <c r="GQ750">
        <v>606981</v>
      </c>
      <c r="GR750" t="s">
        <v>792</v>
      </c>
      <c r="GT750" s="1">
        <v>40688</v>
      </c>
      <c r="GU750">
        <v>2010</v>
      </c>
      <c r="GV750">
        <v>1382.79</v>
      </c>
      <c r="GW750" t="s">
        <v>7952</v>
      </c>
      <c r="GX750">
        <v>8</v>
      </c>
      <c r="GY750" t="s">
        <v>424</v>
      </c>
      <c r="GZ750" t="s">
        <v>425</v>
      </c>
      <c r="HA750" s="1">
        <v>41333</v>
      </c>
      <c r="HB750">
        <v>21</v>
      </c>
      <c r="HC750">
        <v>15175</v>
      </c>
      <c r="HD750" t="s">
        <v>588</v>
      </c>
      <c r="HF750" s="1">
        <v>40688</v>
      </c>
      <c r="HG750">
        <v>2010</v>
      </c>
      <c r="HH750">
        <v>1382.79</v>
      </c>
      <c r="HI750" t="s">
        <v>7952</v>
      </c>
      <c r="HJ750">
        <v>8</v>
      </c>
      <c r="HK750" t="s">
        <v>424</v>
      </c>
      <c r="HL750" t="s">
        <v>425</v>
      </c>
      <c r="HN750">
        <v>22</v>
      </c>
      <c r="HO750">
        <v>10548</v>
      </c>
      <c r="HP750" t="s">
        <v>589</v>
      </c>
    </row>
    <row r="751" spans="1:284" x14ac:dyDescent="0.25">
      <c r="A751">
        <v>16485758</v>
      </c>
      <c r="B751">
        <v>750</v>
      </c>
      <c r="C751" t="s">
        <v>393</v>
      </c>
      <c r="D751" t="s">
        <v>394</v>
      </c>
      <c r="F751" t="str">
        <f>"37-1N-25-299S-0007-0050"</f>
        <v>37-1N-25-299S-0007-0050</v>
      </c>
      <c r="H751" t="str">
        <f>"MOSER MICHAEL W"</f>
        <v>MOSER MICHAEL W</v>
      </c>
      <c r="I751" t="str">
        <f>"54174 HELLER ROAD"</f>
        <v>54174 HELLER ROAD</v>
      </c>
      <c r="J751" t="str">
        <f>"CALLAHAN FL 32011"</f>
        <v>CALLAHAN FL 32011</v>
      </c>
      <c r="K751" t="str">
        <f>"54174 HELLER RD"</f>
        <v>54174 HELLER RD</v>
      </c>
      <c r="L751" t="str">
        <f t="shared" si="222"/>
        <v>CALLAHAN FL 32011</v>
      </c>
      <c r="M751" t="str">
        <f>"BLOCK 7 LOT 5 IN OR 886/341 1996 MERI DW/MH SHEFFIELD VILLAGE PB 5/28 &amp; 29"</f>
        <v>BLOCK 7 LOT 5 IN OR 886/341 1996 MERI DW/MH SHEFFIELD VILLAGE PB 5/28 &amp; 29</v>
      </c>
      <c r="N751" t="str">
        <f>""</f>
        <v/>
      </c>
      <c r="O751" t="str">
        <f>"43315"</f>
        <v>43315</v>
      </c>
      <c r="P751" t="str">
        <f t="shared" si="218"/>
        <v>2017</v>
      </c>
      <c r="Q751" t="str">
        <f>""</f>
        <v/>
      </c>
      <c r="R751" t="str">
        <f>"Y"</f>
        <v>Y</v>
      </c>
      <c r="S751" t="str">
        <f>""</f>
        <v/>
      </c>
      <c r="T751" t="str">
        <f>"404.21"</f>
        <v>404.21</v>
      </c>
      <c r="U751" t="str">
        <f>"55049.00"</f>
        <v>55049.00</v>
      </c>
      <c r="V751" t="str">
        <f>"55049.00"</f>
        <v>55049.00</v>
      </c>
      <c r="W751" t="str">
        <f t="shared" si="219"/>
        <v>2017</v>
      </c>
      <c r="X751" t="str">
        <f>""</f>
        <v/>
      </c>
      <c r="Y751" t="str">
        <f>"448.34"</f>
        <v>448.34</v>
      </c>
      <c r="Z751" t="str">
        <f>"25500.00"</f>
        <v>25500.00</v>
      </c>
      <c r="AA751" t="str">
        <f>"29549.00"</f>
        <v>29549.00</v>
      </c>
      <c r="AB751" t="str">
        <f t="shared" si="225"/>
        <v>Residential</v>
      </c>
      <c r="AC751" t="str">
        <f t="shared" si="230"/>
        <v>0</v>
      </c>
      <c r="AD751" t="str">
        <f t="shared" si="235"/>
        <v>4</v>
      </c>
      <c r="AE751" t="str">
        <f t="shared" si="236"/>
        <v>WOOD (INCLUDE STEEL STUDS)</v>
      </c>
      <c r="AF751" t="str">
        <f>"002"</f>
        <v>002</v>
      </c>
      <c r="AG751" t="str">
        <f t="shared" si="237"/>
        <v>FL</v>
      </c>
      <c r="AH751" t="str">
        <f t="shared" si="233"/>
        <v>-</v>
      </c>
      <c r="AI751" t="str">
        <f t="shared" si="234"/>
        <v>20000.00</v>
      </c>
      <c r="AJ751" t="str">
        <f>"C55-000-587-9224-3"</f>
        <v>C55-000-587-9224-3</v>
      </c>
      <c r="AK751" t="str">
        <f>"12088"</f>
        <v>12088</v>
      </c>
      <c r="AL751">
        <v>3</v>
      </c>
      <c r="AM751">
        <v>871</v>
      </c>
      <c r="AN751">
        <v>469.16</v>
      </c>
      <c r="AQ751" t="s">
        <v>7953</v>
      </c>
      <c r="AR751" t="s">
        <v>7953</v>
      </c>
      <c r="AS751" t="s">
        <v>7953</v>
      </c>
      <c r="AU751" t="s">
        <v>396</v>
      </c>
      <c r="AV751">
        <v>2017</v>
      </c>
      <c r="AW751" t="str">
        <f>"37-1N-25-299S-0007-0050 "</f>
        <v xml:space="preserve">37-1N-25-299S-0007-0050 </v>
      </c>
      <c r="AX751">
        <v>54174</v>
      </c>
      <c r="AZ751" t="s">
        <v>7944</v>
      </c>
      <c r="BA751" t="s">
        <v>496</v>
      </c>
      <c r="BD751" t="s">
        <v>2785</v>
      </c>
      <c r="BE751" t="s">
        <v>393</v>
      </c>
      <c r="BF751">
        <v>32011</v>
      </c>
      <c r="BG751" t="s">
        <v>7954</v>
      </c>
      <c r="BH751" t="s">
        <v>2787</v>
      </c>
      <c r="BI751">
        <v>-81.780619933056101</v>
      </c>
      <c r="BJ751">
        <v>30.5226971000586</v>
      </c>
      <c r="BK751" t="s">
        <v>7107</v>
      </c>
      <c r="BM751" t="s">
        <v>7954</v>
      </c>
      <c r="BN751" t="s">
        <v>928</v>
      </c>
      <c r="BO751">
        <v>32011</v>
      </c>
      <c r="BP751" t="s">
        <v>416</v>
      </c>
      <c r="BQ751">
        <v>200</v>
      </c>
      <c r="BR751" t="s">
        <v>405</v>
      </c>
      <c r="BS751">
        <v>1006</v>
      </c>
      <c r="BT751" t="s">
        <v>406</v>
      </c>
      <c r="BW751">
        <v>43458</v>
      </c>
      <c r="BX751" t="s">
        <v>407</v>
      </c>
      <c r="BY751" t="s">
        <v>408</v>
      </c>
      <c r="BZ751">
        <v>4</v>
      </c>
      <c r="CA751">
        <v>1996</v>
      </c>
      <c r="CB751">
        <v>1</v>
      </c>
      <c r="CC751">
        <v>1</v>
      </c>
      <c r="CD751">
        <v>2017</v>
      </c>
      <c r="CG751">
        <v>55049</v>
      </c>
      <c r="CH751">
        <v>2017</v>
      </c>
      <c r="CI751">
        <v>20000</v>
      </c>
      <c r="CJ751">
        <v>46095</v>
      </c>
      <c r="CK751">
        <v>66095</v>
      </c>
      <c r="CL751">
        <v>2017</v>
      </c>
      <c r="CM751">
        <v>404.21</v>
      </c>
      <c r="CN751" s="1">
        <v>36319</v>
      </c>
      <c r="CO751">
        <v>9300</v>
      </c>
      <c r="CZ751" s="1">
        <v>36319</v>
      </c>
      <c r="DD751" t="s">
        <v>2785</v>
      </c>
      <c r="DF751">
        <v>5</v>
      </c>
      <c r="DG751">
        <v>37</v>
      </c>
      <c r="DL751">
        <v>50502</v>
      </c>
      <c r="DM751" t="s">
        <v>7353</v>
      </c>
      <c r="DO751" t="s">
        <v>7955</v>
      </c>
      <c r="DP751">
        <v>0</v>
      </c>
      <c r="DQ751">
        <v>0</v>
      </c>
      <c r="DR751" t="s">
        <v>411</v>
      </c>
      <c r="DS751" t="b">
        <v>1</v>
      </c>
      <c r="DT751" t="s">
        <v>470</v>
      </c>
      <c r="DU751" t="s">
        <v>471</v>
      </c>
      <c r="DV751" t="s">
        <v>472</v>
      </c>
      <c r="DX751">
        <v>-9999</v>
      </c>
      <c r="DZ751" t="s">
        <v>447</v>
      </c>
      <c r="EA751" t="s">
        <v>448</v>
      </c>
      <c r="EB751" t="s">
        <v>742</v>
      </c>
      <c r="EC751">
        <v>20101217</v>
      </c>
      <c r="ED751" t="s">
        <v>474</v>
      </c>
      <c r="EF751">
        <v>2525.1</v>
      </c>
      <c r="EG751">
        <v>2525.1</v>
      </c>
      <c r="EI751">
        <v>20160407</v>
      </c>
      <c r="EJ751">
        <v>0</v>
      </c>
      <c r="EK751">
        <v>0</v>
      </c>
    </row>
    <row r="752" spans="1:284" x14ac:dyDescent="0.25">
      <c r="A752">
        <v>16485759</v>
      </c>
      <c r="B752">
        <v>751</v>
      </c>
      <c r="C752" t="s">
        <v>393</v>
      </c>
      <c r="D752" t="s">
        <v>394</v>
      </c>
      <c r="F752" t="str">
        <f>"37-1N-25-299S-0008-0050"</f>
        <v>37-1N-25-299S-0008-0050</v>
      </c>
      <c r="H752" t="str">
        <f>"MCDOWELL JOHN L"</f>
        <v>MCDOWELL JOHN L</v>
      </c>
      <c r="I752" t="str">
        <f>"54194 JEANNIE ROAD"</f>
        <v>54194 JEANNIE ROAD</v>
      </c>
      <c r="J752" t="str">
        <f>"CALLAHAN FL 32011"</f>
        <v>CALLAHAN FL 32011</v>
      </c>
      <c r="K752" t="str">
        <f>"54194 JEANNIE RD"</f>
        <v>54194 JEANNIE RD</v>
      </c>
      <c r="L752" t="str">
        <f t="shared" si="222"/>
        <v>CALLAHAN FL 32011</v>
      </c>
      <c r="M752" t="str">
        <f>"BLOCK 8 LOT 5 IN OR 513 PG 1303 R407988 &amp; R407989 SHEFFIELD VILLAGE PB 5/28 &amp; 29"</f>
        <v>BLOCK 8 LOT 5 IN OR 513 PG 1303 R407988 &amp; R407989 SHEFFIELD VILLAGE PB 5/28 &amp; 29</v>
      </c>
      <c r="N752" t="str">
        <f>""</f>
        <v/>
      </c>
      <c r="O752" t="str">
        <f>"43334"</f>
        <v>43334</v>
      </c>
      <c r="P752" t="str">
        <f t="shared" si="218"/>
        <v>2017</v>
      </c>
      <c r="Q752" t="str">
        <f>""</f>
        <v/>
      </c>
      <c r="R752" t="str">
        <f>"N"</f>
        <v>N</v>
      </c>
      <c r="S752" t="str">
        <f>""</f>
        <v/>
      </c>
      <c r="T752" t="str">
        <f>"468.96"</f>
        <v>468.96</v>
      </c>
      <c r="U752" t="str">
        <f>"30978.00"</f>
        <v>30978.00</v>
      </c>
      <c r="V752" t="str">
        <f>"30978.00"</f>
        <v>30978.00</v>
      </c>
      <c r="W752" t="str">
        <f t="shared" si="219"/>
        <v>2017</v>
      </c>
      <c r="X752" t="str">
        <f>"16.75"</f>
        <v>16.75</v>
      </c>
      <c r="Y752" t="str">
        <f>"515.03"</f>
        <v>515.03</v>
      </c>
      <c r="Z752" t="str">
        <f>""</f>
        <v/>
      </c>
      <c r="AA752" t="str">
        <f>"30978.00"</f>
        <v>30978.00</v>
      </c>
      <c r="AB752" t="str">
        <f t="shared" si="225"/>
        <v>Residential</v>
      </c>
      <c r="AC752" t="str">
        <f t="shared" si="230"/>
        <v>0</v>
      </c>
      <c r="AD752" t="str">
        <f t="shared" si="235"/>
        <v>4</v>
      </c>
      <c r="AE752" t="str">
        <f t="shared" si="236"/>
        <v>WOOD (INCLUDE STEEL STUDS)</v>
      </c>
      <c r="AF752" t="str">
        <f>"002"</f>
        <v>002</v>
      </c>
      <c r="AG752" t="str">
        <f t="shared" si="237"/>
        <v>FL</v>
      </c>
      <c r="AH752" t="str">
        <f t="shared" si="233"/>
        <v>-</v>
      </c>
      <c r="AI752" t="str">
        <f t="shared" si="234"/>
        <v>20000.00</v>
      </c>
      <c r="AJ752" t="str">
        <f>"C55-000-587-9243-3"</f>
        <v>C55-000-587-9243-3</v>
      </c>
      <c r="AK752" t="str">
        <f>"12107"</f>
        <v>12107</v>
      </c>
      <c r="AL752">
        <v>3</v>
      </c>
      <c r="AM752">
        <v>874</v>
      </c>
      <c r="AN752">
        <v>539.17999999999995</v>
      </c>
      <c r="AQ752" t="s">
        <v>7956</v>
      </c>
      <c r="AR752" t="s">
        <v>7956</v>
      </c>
      <c r="AS752" t="s">
        <v>7956</v>
      </c>
      <c r="AU752" t="s">
        <v>396</v>
      </c>
      <c r="AV752">
        <v>2017</v>
      </c>
      <c r="AW752" t="str">
        <f>"37-1N-25-299S-0008-0050 "</f>
        <v xml:space="preserve">37-1N-25-299S-0008-0050 </v>
      </c>
      <c r="AX752">
        <v>54194</v>
      </c>
      <c r="AZ752" t="s">
        <v>7957</v>
      </c>
      <c r="BA752" t="s">
        <v>496</v>
      </c>
      <c r="BD752" t="s">
        <v>2785</v>
      </c>
      <c r="BE752" t="s">
        <v>393</v>
      </c>
      <c r="BF752">
        <v>32011</v>
      </c>
      <c r="BG752" t="s">
        <v>7958</v>
      </c>
      <c r="BH752" t="s">
        <v>2787</v>
      </c>
      <c r="BI752">
        <v>-81.780857229530596</v>
      </c>
      <c r="BJ752">
        <v>30.520238350231999</v>
      </c>
      <c r="BK752" t="s">
        <v>7959</v>
      </c>
      <c r="BM752" t="s">
        <v>7958</v>
      </c>
      <c r="BN752" t="s">
        <v>928</v>
      </c>
      <c r="BO752">
        <v>32011</v>
      </c>
      <c r="BP752" t="s">
        <v>416</v>
      </c>
      <c r="BQ752">
        <v>200</v>
      </c>
      <c r="BR752" t="s">
        <v>405</v>
      </c>
      <c r="BS752">
        <v>1006</v>
      </c>
      <c r="BT752" t="s">
        <v>406</v>
      </c>
      <c r="BW752">
        <v>42246</v>
      </c>
      <c r="BX752" t="s">
        <v>407</v>
      </c>
      <c r="BY752" t="s">
        <v>408</v>
      </c>
      <c r="BZ752">
        <v>4</v>
      </c>
      <c r="CA752">
        <v>1990</v>
      </c>
      <c r="CB752">
        <v>1</v>
      </c>
      <c r="CC752">
        <v>1</v>
      </c>
      <c r="CD752">
        <v>2017</v>
      </c>
      <c r="CE752">
        <v>20000</v>
      </c>
      <c r="CF752">
        <v>10978</v>
      </c>
      <c r="CG752">
        <v>30978</v>
      </c>
      <c r="CH752">
        <v>2017</v>
      </c>
      <c r="CI752">
        <v>20000</v>
      </c>
      <c r="CJ752">
        <v>10978</v>
      </c>
      <c r="CK752">
        <v>30978</v>
      </c>
      <c r="CL752">
        <v>2017</v>
      </c>
      <c r="CM752">
        <v>468.96</v>
      </c>
      <c r="CN752" s="1">
        <v>31867</v>
      </c>
      <c r="CO752">
        <v>9300</v>
      </c>
      <c r="CZ752" s="1">
        <v>31867</v>
      </c>
      <c r="DD752" t="s">
        <v>2785</v>
      </c>
      <c r="DF752">
        <v>5</v>
      </c>
      <c r="DG752">
        <v>37</v>
      </c>
      <c r="DL752">
        <v>50502</v>
      </c>
      <c r="DM752" t="s">
        <v>7353</v>
      </c>
      <c r="DO752" t="s">
        <v>7960</v>
      </c>
      <c r="DP752">
        <v>0</v>
      </c>
      <c r="DQ752">
        <v>0</v>
      </c>
      <c r="DR752" t="s">
        <v>411</v>
      </c>
      <c r="DS752" t="b">
        <v>1</v>
      </c>
      <c r="DT752" t="s">
        <v>470</v>
      </c>
      <c r="DU752" t="s">
        <v>471</v>
      </c>
      <c r="DV752" t="s">
        <v>472</v>
      </c>
      <c r="DX752">
        <v>-9999</v>
      </c>
      <c r="DZ752" t="s">
        <v>447</v>
      </c>
      <c r="EA752" t="s">
        <v>448</v>
      </c>
      <c r="EB752" t="s">
        <v>742</v>
      </c>
      <c r="EC752">
        <v>20101217</v>
      </c>
      <c r="ED752" t="s">
        <v>474</v>
      </c>
      <c r="EF752">
        <v>1989.3</v>
      </c>
      <c r="EG752">
        <v>1989.3</v>
      </c>
      <c r="EI752">
        <v>20160407</v>
      </c>
      <c r="EJ752">
        <v>0</v>
      </c>
      <c r="EK752">
        <v>0</v>
      </c>
      <c r="EP752" t="s">
        <v>421</v>
      </c>
      <c r="EQ752" t="s">
        <v>452</v>
      </c>
      <c r="ER752">
        <v>1</v>
      </c>
      <c r="ES752">
        <v>8</v>
      </c>
      <c r="ET752">
        <v>541.29</v>
      </c>
      <c r="EU752">
        <v>33.31</v>
      </c>
      <c r="EV752">
        <v>574.6</v>
      </c>
      <c r="EW752" s="2">
        <v>43222</v>
      </c>
      <c r="EX752" s="1">
        <v>42879</v>
      </c>
      <c r="EY752">
        <v>2016</v>
      </c>
      <c r="EZ752">
        <v>541.29</v>
      </c>
      <c r="FA752" t="s">
        <v>7961</v>
      </c>
      <c r="FB752">
        <v>0.25</v>
      </c>
      <c r="FC752" t="s">
        <v>424</v>
      </c>
      <c r="FD752" t="s">
        <v>454</v>
      </c>
      <c r="FF752">
        <v>12</v>
      </c>
      <c r="FG752">
        <v>2035919</v>
      </c>
      <c r="FH752" t="s">
        <v>507</v>
      </c>
      <c r="FJ752" s="1">
        <v>42515</v>
      </c>
      <c r="FK752">
        <v>2015</v>
      </c>
      <c r="FL752">
        <v>727.9</v>
      </c>
      <c r="FM752" t="s">
        <v>7962</v>
      </c>
      <c r="FN752">
        <v>14.75</v>
      </c>
      <c r="FO752" t="s">
        <v>424</v>
      </c>
      <c r="FP752" t="s">
        <v>425</v>
      </c>
      <c r="FQ752" s="1">
        <v>43188</v>
      </c>
      <c r="FR752">
        <v>22</v>
      </c>
      <c r="FS752">
        <v>2035919</v>
      </c>
      <c r="FT752" t="s">
        <v>507</v>
      </c>
      <c r="FV752" s="1">
        <v>42151</v>
      </c>
      <c r="FW752">
        <v>2014</v>
      </c>
      <c r="FX752">
        <v>622.09</v>
      </c>
      <c r="FY752" t="s">
        <v>7963</v>
      </c>
      <c r="FZ752">
        <v>0.25</v>
      </c>
      <c r="GA752" t="s">
        <v>424</v>
      </c>
      <c r="GB752" t="s">
        <v>425</v>
      </c>
      <c r="GC752" s="1">
        <v>42815</v>
      </c>
      <c r="GD752">
        <v>22</v>
      </c>
      <c r="GE752">
        <v>2851116</v>
      </c>
      <c r="GF752" t="s">
        <v>480</v>
      </c>
      <c r="GH752" s="1">
        <v>42151</v>
      </c>
      <c r="GI752">
        <v>2014</v>
      </c>
      <c r="GJ752">
        <v>622.09</v>
      </c>
      <c r="GK752" t="s">
        <v>7963</v>
      </c>
      <c r="GL752">
        <v>0.25</v>
      </c>
      <c r="GM752" t="s">
        <v>424</v>
      </c>
      <c r="GN752" t="s">
        <v>425</v>
      </c>
      <c r="GP752">
        <v>22</v>
      </c>
      <c r="GQ752">
        <v>4928710</v>
      </c>
      <c r="GR752" t="s">
        <v>7964</v>
      </c>
      <c r="GT752" s="1">
        <v>41787</v>
      </c>
      <c r="GU752">
        <v>2013</v>
      </c>
      <c r="GV752">
        <v>806.74</v>
      </c>
      <c r="GW752" t="s">
        <v>7965</v>
      </c>
      <c r="GX752">
        <v>0.25</v>
      </c>
      <c r="GY752" t="s">
        <v>424</v>
      </c>
      <c r="GZ752" t="s">
        <v>425</v>
      </c>
      <c r="HA752" s="1">
        <v>41842</v>
      </c>
      <c r="HB752">
        <v>2</v>
      </c>
      <c r="HC752">
        <v>12092</v>
      </c>
      <c r="HD752" t="s">
        <v>483</v>
      </c>
      <c r="HE752" t="s">
        <v>458</v>
      </c>
      <c r="HF752" s="1">
        <v>41423</v>
      </c>
      <c r="HG752">
        <v>2012</v>
      </c>
      <c r="HH752">
        <v>743.47</v>
      </c>
      <c r="HI752" t="s">
        <v>7966</v>
      </c>
      <c r="HJ752">
        <v>0.25</v>
      </c>
      <c r="HK752" t="s">
        <v>424</v>
      </c>
      <c r="HL752" t="s">
        <v>425</v>
      </c>
      <c r="HM752" s="1">
        <v>41842</v>
      </c>
      <c r="HN752">
        <v>14</v>
      </c>
      <c r="HO752">
        <v>15399</v>
      </c>
      <c r="HP752" t="s">
        <v>485</v>
      </c>
      <c r="HQ752" t="s">
        <v>458</v>
      </c>
      <c r="HR752" s="1">
        <v>41052</v>
      </c>
      <c r="HS752">
        <v>2011</v>
      </c>
      <c r="HT752">
        <v>967.56</v>
      </c>
      <c r="HU752" t="s">
        <v>7967</v>
      </c>
      <c r="HV752">
        <v>5.75</v>
      </c>
      <c r="HW752" t="s">
        <v>424</v>
      </c>
      <c r="HX752" t="s">
        <v>425</v>
      </c>
      <c r="HZ752">
        <v>22</v>
      </c>
      <c r="IA752">
        <v>1625515</v>
      </c>
      <c r="IB752" t="s">
        <v>487</v>
      </c>
      <c r="IC752" t="s">
        <v>458</v>
      </c>
      <c r="ID752" s="1">
        <v>41052</v>
      </c>
      <c r="IE752">
        <v>2011</v>
      </c>
      <c r="IF752">
        <v>967.56</v>
      </c>
      <c r="IG752" t="s">
        <v>7967</v>
      </c>
      <c r="IH752">
        <v>5.75</v>
      </c>
      <c r="II752" t="s">
        <v>424</v>
      </c>
      <c r="IJ752" t="s">
        <v>425</v>
      </c>
      <c r="IL752">
        <v>22</v>
      </c>
      <c r="IM752">
        <v>10579</v>
      </c>
      <c r="IN752" t="s">
        <v>488</v>
      </c>
      <c r="IO752" t="s">
        <v>458</v>
      </c>
      <c r="IP752" s="1">
        <v>40688</v>
      </c>
      <c r="IQ752">
        <v>2010</v>
      </c>
      <c r="IR752">
        <v>420.13</v>
      </c>
      <c r="IS752" t="s">
        <v>7968</v>
      </c>
      <c r="IT752">
        <v>7.75</v>
      </c>
      <c r="IU752" t="s">
        <v>424</v>
      </c>
      <c r="IV752" t="s">
        <v>425</v>
      </c>
      <c r="IW752" s="1">
        <v>41333</v>
      </c>
      <c r="IX752">
        <v>21</v>
      </c>
      <c r="IY752">
        <v>62</v>
      </c>
      <c r="IZ752" t="s">
        <v>463</v>
      </c>
    </row>
    <row r="753" spans="1:236" x14ac:dyDescent="0.25">
      <c r="A753">
        <v>16485760</v>
      </c>
      <c r="B753">
        <v>752</v>
      </c>
      <c r="C753" t="s">
        <v>393</v>
      </c>
      <c r="D753" t="s">
        <v>394</v>
      </c>
      <c r="F753" t="str">
        <f>"37-1N-25-299S-0009-0080"</f>
        <v>37-1N-25-299S-0009-0080</v>
      </c>
      <c r="H753" t="str">
        <f>"NORRIS DONNA KAY"</f>
        <v>NORRIS DONNA KAY</v>
      </c>
      <c r="I753" t="str">
        <f>"54042 VIKKI ROAD"</f>
        <v>54042 VIKKI ROAD</v>
      </c>
      <c r="J753" t="str">
        <f>"CALLAHAN FL 32011"</f>
        <v>CALLAHAN FL 32011</v>
      </c>
      <c r="K753" t="str">
        <f>"54162 VIKKI RD"</f>
        <v>54162 VIKKI RD</v>
      </c>
      <c r="L753" t="str">
        <f t="shared" si="222"/>
        <v>CALLAHAN FL 32011</v>
      </c>
      <c r="M753" t="str">
        <f>"BLOCK 9 LOT 8 (EX S-1) IN OR 1725/141 R360192 SHEFFIELD VILLAGE PB 5/28 &amp; 29"</f>
        <v>BLOCK 9 LOT 8 (EX S-1) IN OR 1725/141 R360192 SHEFFIELD VILLAGE PB 5/28 &amp; 29</v>
      </c>
      <c r="N753" t="str">
        <f>""</f>
        <v/>
      </c>
      <c r="O753" t="str">
        <f>"43353"</f>
        <v>43353</v>
      </c>
      <c r="P753" t="str">
        <f t="shared" si="218"/>
        <v>2017</v>
      </c>
      <c r="Q753" t="str">
        <f>""</f>
        <v/>
      </c>
      <c r="R753" t="str">
        <f>"N"</f>
        <v>N</v>
      </c>
      <c r="S753" t="str">
        <f>""</f>
        <v/>
      </c>
      <c r="T753" t="str">
        <f>"613.73"</f>
        <v>613.73</v>
      </c>
      <c r="U753" t="str">
        <f>"40540.00"</f>
        <v>40540.00</v>
      </c>
      <c r="V753" t="str">
        <f>"40540.00"</f>
        <v>40540.00</v>
      </c>
      <c r="W753" t="str">
        <f t="shared" si="219"/>
        <v>2017</v>
      </c>
      <c r="X753" t="str">
        <f>"8.00"</f>
        <v>8.00</v>
      </c>
      <c r="Y753" t="str">
        <f>"664.14"</f>
        <v>664.14</v>
      </c>
      <c r="Z753" t="str">
        <f>""</f>
        <v/>
      </c>
      <c r="AA753" t="str">
        <f>"40540.00"</f>
        <v>40540.00</v>
      </c>
      <c r="AB753" t="str">
        <f t="shared" si="225"/>
        <v>Residential</v>
      </c>
      <c r="AC753" t="str">
        <f t="shared" si="230"/>
        <v>0</v>
      </c>
      <c r="AD753" t="str">
        <f t="shared" si="235"/>
        <v>4</v>
      </c>
      <c r="AE753" t="str">
        <f t="shared" si="236"/>
        <v>WOOD (INCLUDE STEEL STUDS)</v>
      </c>
      <c r="AF753" t="str">
        <f>"002"</f>
        <v>002</v>
      </c>
      <c r="AG753" t="str">
        <f t="shared" si="237"/>
        <v>FL</v>
      </c>
      <c r="AH753" t="str">
        <f t="shared" si="233"/>
        <v>-</v>
      </c>
      <c r="AI753" t="str">
        <f t="shared" si="234"/>
        <v>20000.00</v>
      </c>
      <c r="AJ753" t="str">
        <f>"C55-000-587-9262-3"</f>
        <v>C55-000-587-9262-3</v>
      </c>
      <c r="AK753" t="str">
        <f>"12126"</f>
        <v>12126</v>
      </c>
      <c r="AL753">
        <v>3</v>
      </c>
      <c r="AM753">
        <v>875</v>
      </c>
      <c r="AN753">
        <v>695.75</v>
      </c>
      <c r="AQ753" t="s">
        <v>7969</v>
      </c>
      <c r="AR753" t="s">
        <v>7969</v>
      </c>
      <c r="AS753" t="s">
        <v>7969</v>
      </c>
      <c r="AU753" t="s">
        <v>396</v>
      </c>
      <c r="AV753">
        <v>2017</v>
      </c>
      <c r="AW753" t="str">
        <f>"37-1N-25-299S-0009-0080 "</f>
        <v xml:space="preserve">37-1N-25-299S-0009-0080 </v>
      </c>
      <c r="AX753">
        <v>54162</v>
      </c>
      <c r="AZ753" t="s">
        <v>7820</v>
      </c>
      <c r="BA753" t="s">
        <v>496</v>
      </c>
      <c r="BD753" t="s">
        <v>2785</v>
      </c>
      <c r="BE753" t="s">
        <v>393</v>
      </c>
      <c r="BF753">
        <v>32011</v>
      </c>
      <c r="BG753" t="s">
        <v>7970</v>
      </c>
      <c r="BH753" t="s">
        <v>2787</v>
      </c>
      <c r="BI753">
        <v>-81.782948296468902</v>
      </c>
      <c r="BJ753">
        <v>30.518704230453899</v>
      </c>
      <c r="BK753" t="s">
        <v>7971</v>
      </c>
      <c r="BM753" t="s">
        <v>7972</v>
      </c>
      <c r="BN753" t="s">
        <v>928</v>
      </c>
      <c r="BO753">
        <v>32011</v>
      </c>
      <c r="BP753" t="s">
        <v>404</v>
      </c>
      <c r="BQ753">
        <v>200</v>
      </c>
      <c r="BR753" t="s">
        <v>405</v>
      </c>
      <c r="BS753">
        <v>1006</v>
      </c>
      <c r="BT753" t="s">
        <v>406</v>
      </c>
      <c r="BW753">
        <v>58422</v>
      </c>
      <c r="BX753" t="s">
        <v>407</v>
      </c>
      <c r="BY753" t="s">
        <v>408</v>
      </c>
      <c r="BZ753">
        <v>4</v>
      </c>
      <c r="CA753">
        <v>1983</v>
      </c>
      <c r="CB753">
        <v>1</v>
      </c>
      <c r="CC753">
        <v>2</v>
      </c>
      <c r="CD753">
        <v>2017</v>
      </c>
      <c r="CE753">
        <v>20000</v>
      </c>
      <c r="CF753">
        <v>20540</v>
      </c>
      <c r="CG753">
        <v>40540</v>
      </c>
      <c r="CH753">
        <v>2017</v>
      </c>
      <c r="CI753">
        <v>20000</v>
      </c>
      <c r="CJ753">
        <v>20540</v>
      </c>
      <c r="CK753">
        <v>40540</v>
      </c>
      <c r="CL753">
        <v>2017</v>
      </c>
      <c r="CM753">
        <v>613.73</v>
      </c>
      <c r="CN753" s="1">
        <v>40591</v>
      </c>
      <c r="CV753">
        <v>0</v>
      </c>
      <c r="CZ753" s="1">
        <v>40591</v>
      </c>
      <c r="DA753">
        <v>0</v>
      </c>
      <c r="DD753" t="s">
        <v>2785</v>
      </c>
      <c r="DF753">
        <v>8</v>
      </c>
      <c r="DG753">
        <v>37</v>
      </c>
      <c r="DJ753" t="s">
        <v>7589</v>
      </c>
      <c r="DL753">
        <v>50502</v>
      </c>
      <c r="DM753" t="s">
        <v>7353</v>
      </c>
      <c r="DO753" t="s">
        <v>7973</v>
      </c>
      <c r="DP753">
        <v>0</v>
      </c>
      <c r="DQ753">
        <v>0</v>
      </c>
      <c r="DR753" t="s">
        <v>411</v>
      </c>
      <c r="DS753" t="b">
        <v>1</v>
      </c>
      <c r="DT753" t="s">
        <v>470</v>
      </c>
      <c r="DU753" t="s">
        <v>471</v>
      </c>
      <c r="DV753" t="s">
        <v>472</v>
      </c>
      <c r="DX753">
        <v>-9999</v>
      </c>
      <c r="DZ753" t="s">
        <v>447</v>
      </c>
      <c r="EA753" t="s">
        <v>448</v>
      </c>
      <c r="EB753" t="s">
        <v>742</v>
      </c>
      <c r="EC753">
        <v>20101217</v>
      </c>
      <c r="ED753" t="s">
        <v>474</v>
      </c>
      <c r="EF753">
        <v>1977.7</v>
      </c>
      <c r="EG753">
        <v>1977.7</v>
      </c>
      <c r="EI753">
        <v>20160407</v>
      </c>
      <c r="EJ753">
        <v>0</v>
      </c>
      <c r="EK753">
        <v>0</v>
      </c>
      <c r="EP753" t="s">
        <v>421</v>
      </c>
      <c r="EQ753" t="s">
        <v>422</v>
      </c>
      <c r="ER753">
        <v>2</v>
      </c>
      <c r="ES753">
        <v>4</v>
      </c>
      <c r="ET753">
        <v>1421.34</v>
      </c>
      <c r="EU753">
        <v>83.57</v>
      </c>
      <c r="EV753">
        <v>1504.91</v>
      </c>
      <c r="EW753" s="2">
        <v>43222</v>
      </c>
      <c r="EX753" s="1">
        <v>42879</v>
      </c>
      <c r="EY753">
        <v>2016</v>
      </c>
      <c r="EZ753">
        <v>710.67</v>
      </c>
      <c r="FA753" t="s">
        <v>7974</v>
      </c>
      <c r="FB753">
        <v>0.25</v>
      </c>
      <c r="FC753" t="s">
        <v>424</v>
      </c>
      <c r="FD753" t="s">
        <v>454</v>
      </c>
      <c r="FF753">
        <v>12</v>
      </c>
      <c r="FG753">
        <v>2851116</v>
      </c>
      <c r="FH753" t="s">
        <v>480</v>
      </c>
      <c r="FJ753" s="1">
        <v>42879</v>
      </c>
      <c r="FK753">
        <v>2016</v>
      </c>
      <c r="FL753">
        <v>710.67</v>
      </c>
      <c r="FM753" t="s">
        <v>7974</v>
      </c>
      <c r="FN753">
        <v>0.25</v>
      </c>
      <c r="FO753" t="s">
        <v>424</v>
      </c>
      <c r="FP753" t="s">
        <v>454</v>
      </c>
      <c r="FR753">
        <v>12</v>
      </c>
      <c r="FS753">
        <v>5066338</v>
      </c>
      <c r="FT753" t="s">
        <v>7975</v>
      </c>
      <c r="FV753" s="1">
        <v>42515</v>
      </c>
      <c r="FW753">
        <v>2015</v>
      </c>
      <c r="FX753">
        <v>726.78</v>
      </c>
      <c r="FY753" t="s">
        <v>7976</v>
      </c>
      <c r="FZ753">
        <v>0.25</v>
      </c>
      <c r="GA753" t="s">
        <v>424</v>
      </c>
      <c r="GB753" t="s">
        <v>425</v>
      </c>
      <c r="GC753" s="1">
        <v>42885</v>
      </c>
      <c r="GD753">
        <v>12</v>
      </c>
      <c r="GE753">
        <v>2851116</v>
      </c>
      <c r="GF753" t="s">
        <v>480</v>
      </c>
      <c r="GH753" s="1">
        <v>42515</v>
      </c>
      <c r="GI753">
        <v>2015</v>
      </c>
      <c r="GJ753">
        <v>726.78</v>
      </c>
      <c r="GK753" t="s">
        <v>7976</v>
      </c>
      <c r="GL753">
        <v>0.25</v>
      </c>
      <c r="GM753" t="s">
        <v>424</v>
      </c>
      <c r="GN753" t="s">
        <v>425</v>
      </c>
      <c r="GP753">
        <v>22</v>
      </c>
      <c r="GQ753">
        <v>5335486</v>
      </c>
      <c r="GR753" t="s">
        <v>7977</v>
      </c>
      <c r="GT753" s="1">
        <v>41423</v>
      </c>
      <c r="GU753">
        <v>2012</v>
      </c>
      <c r="GV753">
        <v>666.02</v>
      </c>
      <c r="GW753" t="s">
        <v>7978</v>
      </c>
      <c r="GX753">
        <v>3</v>
      </c>
      <c r="GY753" t="s">
        <v>424</v>
      </c>
      <c r="GZ753" t="s">
        <v>425</v>
      </c>
      <c r="HA753" s="1">
        <v>41680</v>
      </c>
      <c r="HB753">
        <v>9</v>
      </c>
      <c r="HC753">
        <v>15399</v>
      </c>
      <c r="HD753" t="s">
        <v>485</v>
      </c>
      <c r="HF753" s="1">
        <v>41052</v>
      </c>
      <c r="HG753">
        <v>2011</v>
      </c>
      <c r="HH753">
        <v>292.52999999999997</v>
      </c>
      <c r="HI753" t="s">
        <v>7979</v>
      </c>
      <c r="HJ753">
        <v>6</v>
      </c>
      <c r="HK753" t="s">
        <v>424</v>
      </c>
      <c r="HL753" t="s">
        <v>425</v>
      </c>
      <c r="HM753" s="1">
        <v>41124</v>
      </c>
      <c r="HN753">
        <v>3</v>
      </c>
      <c r="HO753">
        <v>1109</v>
      </c>
      <c r="HP753" t="s">
        <v>852</v>
      </c>
    </row>
    <row r="754" spans="1:236" x14ac:dyDescent="0.25">
      <c r="A754">
        <v>16485761</v>
      </c>
      <c r="B754">
        <v>753</v>
      </c>
      <c r="C754" t="s">
        <v>393</v>
      </c>
      <c r="D754" t="s">
        <v>394</v>
      </c>
      <c r="F754" t="str">
        <f>"37-1N-25-299S-0009-0081"</f>
        <v>37-1N-25-299S-0009-0081</v>
      </c>
      <c r="H754" t="str">
        <f>"HMS AMELIA INC"</f>
        <v>HMS AMELIA INC</v>
      </c>
      <c r="I754" t="str">
        <f>"1503 DUNN AVE"</f>
        <v>1503 DUNN AVE</v>
      </c>
      <c r="J754" t="str">
        <f>"JACKSONVILLE FL 32218"</f>
        <v>JACKSONVILLE FL 32218</v>
      </c>
      <c r="K754" t="str">
        <f>"VIKKI RD"</f>
        <v>VIKKI RD</v>
      </c>
      <c r="L754" t="str">
        <f t="shared" si="222"/>
        <v>CALLAHAN FL 32011</v>
      </c>
      <c r="M754" t="str">
        <f>"BLOCK 9 PT OF LOT 8 PT OR 532 PG 803 SHEFFIELD VILLAGE PB 5/28 &amp; 29"</f>
        <v>BLOCK 9 PT OF LOT 8 PT OR 532 PG 803 SHEFFIELD VILLAGE PB 5/28 &amp; 29</v>
      </c>
      <c r="N754" t="str">
        <f>""</f>
        <v/>
      </c>
      <c r="O754" t="str">
        <f>"43354"</f>
        <v>43354</v>
      </c>
      <c r="P754" t="str">
        <f t="shared" si="218"/>
        <v>2017</v>
      </c>
      <c r="Q754" t="str">
        <f>""</f>
        <v/>
      </c>
      <c r="R754" t="str">
        <f>"N"</f>
        <v>N</v>
      </c>
      <c r="S754" t="str">
        <f>"0.17"</f>
        <v>0.17</v>
      </c>
      <c r="T754" t="str">
        <f>"34.37"</f>
        <v>34.37</v>
      </c>
      <c r="U754" t="str">
        <f>"2054.00"</f>
        <v>2054.00</v>
      </c>
      <c r="V754" t="str">
        <f>"2054.00"</f>
        <v>2054.00</v>
      </c>
      <c r="W754" t="str">
        <f t="shared" si="219"/>
        <v>2017</v>
      </c>
      <c r="X754" t="str">
        <f>""</f>
        <v/>
      </c>
      <c r="Y754" t="str">
        <f>"67.40"</f>
        <v>67.40</v>
      </c>
      <c r="Z754" t="str">
        <f>""</f>
        <v/>
      </c>
      <c r="AA754" t="str">
        <f>"2550.00"</f>
        <v>2550.00</v>
      </c>
      <c r="AB754" t="str">
        <f t="shared" si="225"/>
        <v>Residential</v>
      </c>
      <c r="AC754" t="str">
        <f t="shared" si="230"/>
        <v>0</v>
      </c>
      <c r="AD754" t="str">
        <f>""</f>
        <v/>
      </c>
      <c r="AE754" t="str">
        <f>""</f>
        <v/>
      </c>
      <c r="AF754" t="str">
        <f>"000"</f>
        <v>000</v>
      </c>
      <c r="AG754" t="str">
        <f t="shared" si="237"/>
        <v>FL</v>
      </c>
      <c r="AH754" t="str">
        <f>"7405.00"</f>
        <v>7405.00</v>
      </c>
      <c r="AI754" t="str">
        <f>"2550.00"</f>
        <v>2550.00</v>
      </c>
      <c r="AJ754" t="str">
        <f>"C55-000-587-9263-1"</f>
        <v>C55-000-587-9263-1</v>
      </c>
      <c r="AK754" t="str">
        <f>"12127"</f>
        <v>12127</v>
      </c>
      <c r="AL754">
        <v>3</v>
      </c>
      <c r="AM754">
        <v>876</v>
      </c>
      <c r="AN754">
        <v>69.17</v>
      </c>
      <c r="AQ754" t="s">
        <v>7980</v>
      </c>
      <c r="AR754" t="s">
        <v>7980</v>
      </c>
      <c r="AS754" t="s">
        <v>7980</v>
      </c>
      <c r="AU754" t="s">
        <v>396</v>
      </c>
      <c r="AV754">
        <v>2017</v>
      </c>
      <c r="AW754" t="str">
        <f>"37-1N-25-299S-0009-0081 "</f>
        <v xml:space="preserve">37-1N-25-299S-0009-0081 </v>
      </c>
      <c r="AZ754" t="s">
        <v>7820</v>
      </c>
      <c r="BA754" t="s">
        <v>496</v>
      </c>
      <c r="BD754" t="s">
        <v>2785</v>
      </c>
      <c r="BE754" t="s">
        <v>393</v>
      </c>
      <c r="BF754">
        <v>32011</v>
      </c>
      <c r="BG754" t="s">
        <v>7981</v>
      </c>
      <c r="BH754" t="s">
        <v>2787</v>
      </c>
      <c r="BI754">
        <v>-81.782493490925603</v>
      </c>
      <c r="BJ754">
        <v>30.518840989786199</v>
      </c>
      <c r="BK754" t="s">
        <v>7982</v>
      </c>
      <c r="BM754" t="s">
        <v>7983</v>
      </c>
      <c r="BN754" t="s">
        <v>548</v>
      </c>
      <c r="BO754">
        <v>32218</v>
      </c>
      <c r="BP754" t="s">
        <v>404</v>
      </c>
      <c r="BQ754">
        <v>0</v>
      </c>
      <c r="BR754" t="s">
        <v>491</v>
      </c>
      <c r="BS754">
        <v>8001</v>
      </c>
      <c r="BT754" t="s">
        <v>492</v>
      </c>
      <c r="BW754">
        <v>7405</v>
      </c>
      <c r="BX754" t="s">
        <v>407</v>
      </c>
      <c r="BY754" t="s">
        <v>408</v>
      </c>
      <c r="CD754">
        <v>2017</v>
      </c>
      <c r="CE754">
        <v>2550</v>
      </c>
      <c r="CG754">
        <v>2550</v>
      </c>
      <c r="CH754">
        <v>2017</v>
      </c>
      <c r="CI754">
        <v>2550</v>
      </c>
      <c r="CK754">
        <v>2550</v>
      </c>
      <c r="CL754">
        <v>2017</v>
      </c>
      <c r="CM754">
        <v>34.369999999999997</v>
      </c>
      <c r="DD754" t="s">
        <v>2785</v>
      </c>
      <c r="DF754">
        <v>8</v>
      </c>
      <c r="DG754">
        <v>37</v>
      </c>
      <c r="DJ754" t="s">
        <v>7589</v>
      </c>
      <c r="DL754">
        <v>50502</v>
      </c>
      <c r="DM754" t="s">
        <v>7353</v>
      </c>
      <c r="DO754" t="s">
        <v>7984</v>
      </c>
      <c r="DP754">
        <v>0</v>
      </c>
      <c r="DQ754">
        <v>0</v>
      </c>
      <c r="DR754" t="s">
        <v>411</v>
      </c>
      <c r="DS754" t="b">
        <v>1</v>
      </c>
      <c r="DT754" t="s">
        <v>470</v>
      </c>
      <c r="DU754" t="s">
        <v>471</v>
      </c>
      <c r="DV754" t="s">
        <v>472</v>
      </c>
      <c r="DX754">
        <v>-9999</v>
      </c>
      <c r="DZ754" t="s">
        <v>447</v>
      </c>
      <c r="EA754" t="s">
        <v>448</v>
      </c>
      <c r="EB754" t="s">
        <v>742</v>
      </c>
      <c r="EC754">
        <v>20101217</v>
      </c>
      <c r="ED754" t="s">
        <v>474</v>
      </c>
      <c r="EF754">
        <v>1946</v>
      </c>
      <c r="EG754">
        <v>1946</v>
      </c>
      <c r="EI754">
        <v>20160407</v>
      </c>
      <c r="EJ754">
        <v>0</v>
      </c>
      <c r="EK754">
        <v>0</v>
      </c>
      <c r="EP754" t="s">
        <v>595</v>
      </c>
      <c r="EQ754" t="s">
        <v>422</v>
      </c>
      <c r="ER754">
        <v>7</v>
      </c>
      <c r="ES754">
        <v>0</v>
      </c>
      <c r="ET754">
        <v>364.92</v>
      </c>
      <c r="EU754">
        <v>260.11</v>
      </c>
      <c r="EV754">
        <v>625.03</v>
      </c>
      <c r="EW754" s="2">
        <v>43222</v>
      </c>
      <c r="EX754" s="1">
        <v>42879</v>
      </c>
      <c r="EY754">
        <v>2016</v>
      </c>
      <c r="EZ754">
        <v>59.28</v>
      </c>
      <c r="FA754" t="s">
        <v>7985</v>
      </c>
      <c r="FB754">
        <v>18</v>
      </c>
      <c r="FC754" t="s">
        <v>603</v>
      </c>
      <c r="FD754" t="s">
        <v>454</v>
      </c>
      <c r="FF754">
        <v>12</v>
      </c>
      <c r="FG754">
        <v>9999999</v>
      </c>
      <c r="FH754" t="s">
        <v>604</v>
      </c>
      <c r="FJ754" s="1">
        <v>42515</v>
      </c>
      <c r="FK754">
        <v>2015</v>
      </c>
      <c r="FL754">
        <v>53.49</v>
      </c>
      <c r="FM754" t="s">
        <v>7986</v>
      </c>
      <c r="FN754">
        <v>18</v>
      </c>
      <c r="FO754" t="s">
        <v>603</v>
      </c>
      <c r="FP754" t="s">
        <v>454</v>
      </c>
      <c r="FR754">
        <v>24</v>
      </c>
      <c r="FS754">
        <v>9999999</v>
      </c>
      <c r="FT754" t="s">
        <v>604</v>
      </c>
      <c r="FV754" s="1">
        <v>42151</v>
      </c>
      <c r="FW754">
        <v>2014</v>
      </c>
      <c r="FX754">
        <v>52.25</v>
      </c>
      <c r="FY754" t="s">
        <v>7987</v>
      </c>
      <c r="FZ754">
        <v>14.75</v>
      </c>
      <c r="GA754" t="s">
        <v>424</v>
      </c>
      <c r="GB754" t="s">
        <v>454</v>
      </c>
      <c r="GD754">
        <v>36</v>
      </c>
      <c r="GE754">
        <v>6516843</v>
      </c>
      <c r="GF754" t="s">
        <v>601</v>
      </c>
      <c r="GH754" s="1">
        <v>41787</v>
      </c>
      <c r="GI754">
        <v>2013</v>
      </c>
      <c r="GJ754">
        <v>49.09</v>
      </c>
      <c r="GK754" t="s">
        <v>7988</v>
      </c>
      <c r="GL754">
        <v>18</v>
      </c>
      <c r="GM754" t="s">
        <v>603</v>
      </c>
      <c r="GN754" t="s">
        <v>454</v>
      </c>
      <c r="GP754">
        <v>48</v>
      </c>
      <c r="GQ754">
        <v>9999999</v>
      </c>
      <c r="GR754" t="s">
        <v>604</v>
      </c>
      <c r="GT754" s="1">
        <v>41423</v>
      </c>
      <c r="GU754">
        <v>2012</v>
      </c>
      <c r="GV754">
        <v>42.88</v>
      </c>
      <c r="GW754" t="s">
        <v>7989</v>
      </c>
      <c r="GX754">
        <v>17</v>
      </c>
      <c r="GY754" t="s">
        <v>424</v>
      </c>
      <c r="GZ754" t="s">
        <v>454</v>
      </c>
      <c r="HB754">
        <v>60</v>
      </c>
      <c r="HC754">
        <v>10125</v>
      </c>
      <c r="HD754" t="s">
        <v>440</v>
      </c>
      <c r="HF754" s="1">
        <v>41052</v>
      </c>
      <c r="HG754">
        <v>2011</v>
      </c>
      <c r="HH754">
        <v>54.35</v>
      </c>
      <c r="HI754" t="s">
        <v>7990</v>
      </c>
      <c r="HJ754">
        <v>18</v>
      </c>
      <c r="HK754" t="s">
        <v>603</v>
      </c>
      <c r="HL754" t="s">
        <v>454</v>
      </c>
      <c r="HN754">
        <v>72</v>
      </c>
      <c r="HO754">
        <v>9999999</v>
      </c>
      <c r="HP754" t="s">
        <v>604</v>
      </c>
      <c r="HR754" s="1">
        <v>40688</v>
      </c>
      <c r="HS754">
        <v>2010</v>
      </c>
      <c r="HT754">
        <v>53.58</v>
      </c>
      <c r="HU754" t="s">
        <v>7991</v>
      </c>
      <c r="HV754">
        <v>8.75</v>
      </c>
      <c r="HW754" t="s">
        <v>424</v>
      </c>
      <c r="HX754" t="s">
        <v>454</v>
      </c>
      <c r="HZ754">
        <v>84</v>
      </c>
      <c r="IA754">
        <v>375</v>
      </c>
      <c r="IB754" t="s">
        <v>776</v>
      </c>
    </row>
    <row r="755" spans="1:236" x14ac:dyDescent="0.25">
      <c r="A755">
        <v>16485762</v>
      </c>
      <c r="B755">
        <v>754</v>
      </c>
      <c r="C755" t="s">
        <v>393</v>
      </c>
      <c r="D755" t="s">
        <v>394</v>
      </c>
      <c r="F755" t="str">
        <f>"37-1N-25-299S-0009-0140"</f>
        <v>37-1N-25-299S-0009-0140</v>
      </c>
      <c r="H755" t="str">
        <f>"RYALS JEFF &amp; CZINDER BARBARA"</f>
        <v>RYALS JEFF &amp; CZINDER BARBARA</v>
      </c>
      <c r="I755" t="str">
        <f>"54115 JEANNIE ROAD"</f>
        <v>54115 JEANNIE ROAD</v>
      </c>
      <c r="J755" t="str">
        <f t="shared" ref="J755:J764" si="238">"CALLAHAN FL 32011"</f>
        <v>CALLAHAN FL 32011</v>
      </c>
      <c r="K755" t="str">
        <f>"54115 JEANNIE RD"</f>
        <v>54115 JEANNIE RD</v>
      </c>
      <c r="L755" t="str">
        <f t="shared" si="222"/>
        <v>CALLAHAN FL 32011</v>
      </c>
      <c r="M755" t="str">
        <f>"BLOCK 9 LOT 14 IN OR 1687/671 2007/JACO/DW/MH SHEFFIELD VILLAGE PB 5/28 &amp; 29"</f>
        <v>BLOCK 9 LOT 14 IN OR 1687/671 2007/JACO/DW/MH SHEFFIELD VILLAGE PB 5/28 &amp; 29</v>
      </c>
      <c r="N755" t="str">
        <f>""</f>
        <v/>
      </c>
      <c r="O755" t="str">
        <f>"43360"</f>
        <v>43360</v>
      </c>
      <c r="P755" t="str">
        <f t="shared" si="218"/>
        <v>2017</v>
      </c>
      <c r="Q755" t="str">
        <f>""</f>
        <v/>
      </c>
      <c r="R755" t="str">
        <f>"N"</f>
        <v>N</v>
      </c>
      <c r="S755" t="str">
        <f>""</f>
        <v/>
      </c>
      <c r="T755" t="str">
        <f>"1307.39"</f>
        <v>1307.39</v>
      </c>
      <c r="U755" t="str">
        <f>"86360.00"</f>
        <v>86360.00</v>
      </c>
      <c r="V755" t="str">
        <f>"86360.00"</f>
        <v>86360.00</v>
      </c>
      <c r="W755" t="str">
        <f t="shared" si="219"/>
        <v>2017</v>
      </c>
      <c r="X755" t="str">
        <f>""</f>
        <v/>
      </c>
      <c r="Y755" t="str">
        <f>"1378.61"</f>
        <v>1378.61</v>
      </c>
      <c r="Z755" t="str">
        <f>""</f>
        <v/>
      </c>
      <c r="AA755" t="str">
        <f>"86360.00"</f>
        <v>86360.00</v>
      </c>
      <c r="AB755" t="str">
        <f t="shared" si="225"/>
        <v>Residential</v>
      </c>
      <c r="AC755" t="str">
        <f t="shared" si="230"/>
        <v>0</v>
      </c>
      <c r="AD755" t="str">
        <f>"4"</f>
        <v>4</v>
      </c>
      <c r="AE755" t="str">
        <f>"WOOD (INCLUDE STEEL STUDS)"</f>
        <v>WOOD (INCLUDE STEEL STUDS)</v>
      </c>
      <c r="AF755" t="str">
        <f>"002"</f>
        <v>002</v>
      </c>
      <c r="AG755" t="str">
        <f t="shared" si="237"/>
        <v>FL</v>
      </c>
      <c r="AH755" t="str">
        <f>"-"</f>
        <v>-</v>
      </c>
      <c r="AI755" t="str">
        <f>"20000.00"</f>
        <v>20000.00</v>
      </c>
      <c r="AJ755" t="str">
        <f>"C55-000-587-9269-8"</f>
        <v>C55-000-587-9269-8</v>
      </c>
      <c r="AK755" t="str">
        <f>"12133"</f>
        <v>12133</v>
      </c>
      <c r="AL755">
        <v>3</v>
      </c>
      <c r="AM755">
        <v>878</v>
      </c>
      <c r="AN755">
        <v>1445.94</v>
      </c>
      <c r="AQ755" t="s">
        <v>7992</v>
      </c>
      <c r="AR755" t="s">
        <v>7992</v>
      </c>
      <c r="AS755" t="s">
        <v>7992</v>
      </c>
      <c r="AU755" t="s">
        <v>396</v>
      </c>
      <c r="AV755">
        <v>2017</v>
      </c>
      <c r="AW755" t="str">
        <f>"37-1N-25-299S-0009-0140 "</f>
        <v xml:space="preserve">37-1N-25-299S-0009-0140 </v>
      </c>
      <c r="AX755">
        <v>54115</v>
      </c>
      <c r="AZ755" t="s">
        <v>7957</v>
      </c>
      <c r="BA755" t="s">
        <v>496</v>
      </c>
      <c r="BD755" t="s">
        <v>2785</v>
      </c>
      <c r="BE755" t="s">
        <v>393</v>
      </c>
      <c r="BF755">
        <v>32011</v>
      </c>
      <c r="BG755" t="s">
        <v>7993</v>
      </c>
      <c r="BH755" t="s">
        <v>2787</v>
      </c>
      <c r="BI755">
        <v>-81.781891555370805</v>
      </c>
      <c r="BJ755">
        <v>30.519168946082001</v>
      </c>
      <c r="BK755" t="s">
        <v>7994</v>
      </c>
      <c r="BL755" t="s">
        <v>7995</v>
      </c>
      <c r="BM755" t="s">
        <v>7993</v>
      </c>
      <c r="BN755" t="s">
        <v>928</v>
      </c>
      <c r="BO755">
        <v>32011</v>
      </c>
      <c r="BP755" t="s">
        <v>416</v>
      </c>
      <c r="BQ755">
        <v>200</v>
      </c>
      <c r="BR755" t="s">
        <v>405</v>
      </c>
      <c r="BS755">
        <v>1006</v>
      </c>
      <c r="BT755" t="s">
        <v>406</v>
      </c>
      <c r="BW755">
        <v>45937</v>
      </c>
      <c r="BX755" t="s">
        <v>407</v>
      </c>
      <c r="BY755" t="s">
        <v>408</v>
      </c>
      <c r="BZ755">
        <v>4</v>
      </c>
      <c r="CA755">
        <v>2007</v>
      </c>
      <c r="CB755">
        <v>1</v>
      </c>
      <c r="CC755">
        <v>1</v>
      </c>
      <c r="CD755">
        <v>2017</v>
      </c>
      <c r="CE755">
        <v>20000</v>
      </c>
      <c r="CF755">
        <v>66360</v>
      </c>
      <c r="CG755">
        <v>86360</v>
      </c>
      <c r="CH755">
        <v>2017</v>
      </c>
      <c r="CI755">
        <v>20000</v>
      </c>
      <c r="CJ755">
        <v>66360</v>
      </c>
      <c r="CK755">
        <v>86360</v>
      </c>
      <c r="CL755">
        <v>2017</v>
      </c>
      <c r="CM755">
        <v>1307.3900000000001</v>
      </c>
      <c r="CN755" s="1">
        <v>40367</v>
      </c>
      <c r="CV755">
        <v>152054</v>
      </c>
      <c r="CX755" t="s">
        <v>2501</v>
      </c>
      <c r="CZ755" s="1">
        <v>40367</v>
      </c>
      <c r="DA755">
        <v>0</v>
      </c>
      <c r="DD755" t="s">
        <v>2785</v>
      </c>
      <c r="DF755">
        <v>14</v>
      </c>
      <c r="DG755">
        <v>37</v>
      </c>
      <c r="DL755">
        <v>50502</v>
      </c>
      <c r="DM755" t="s">
        <v>7353</v>
      </c>
      <c r="DO755" t="s">
        <v>7996</v>
      </c>
      <c r="DP755">
        <v>0</v>
      </c>
      <c r="DQ755">
        <v>0</v>
      </c>
      <c r="DR755" t="s">
        <v>411</v>
      </c>
    </row>
    <row r="756" spans="1:236" x14ac:dyDescent="0.25">
      <c r="A756">
        <v>16485763</v>
      </c>
      <c r="B756">
        <v>755</v>
      </c>
      <c r="C756" t="s">
        <v>393</v>
      </c>
      <c r="D756" t="s">
        <v>394</v>
      </c>
      <c r="F756" t="str">
        <f>"03-2N-25-0000-0001-0080"</f>
        <v>03-2N-25-0000-0001-0080</v>
      </c>
      <c r="H756" t="str">
        <f>"NETTLES AL W JR &amp; MISTY A"</f>
        <v>NETTLES AL W JR &amp; MISTY A</v>
      </c>
      <c r="I756" t="str">
        <f>"45544 MUSSLEWHITE RD"</f>
        <v>45544 MUSSLEWHITE RD</v>
      </c>
      <c r="J756" t="str">
        <f t="shared" si="238"/>
        <v>CALLAHAN FL 32011</v>
      </c>
      <c r="K756" t="str">
        <f>"45544 MUSSLEWHITE RD"</f>
        <v>45544 MUSSLEWHITE RD</v>
      </c>
      <c r="L756" t="str">
        <f t="shared" si="222"/>
        <v>CALLAHAN FL 32011</v>
      </c>
      <c r="M756" t="str">
        <f>"PT SW1/4 SEC 3-2N-25E IN OR 1490/1119"</f>
        <v>PT SW1/4 SEC 3-2N-25E IN OR 1490/1119</v>
      </c>
      <c r="N756" t="str">
        <f>""</f>
        <v/>
      </c>
      <c r="O756" t="str">
        <f>"18997"</f>
        <v>18997</v>
      </c>
      <c r="P756" t="str">
        <f t="shared" si="218"/>
        <v>2017</v>
      </c>
      <c r="Q756" t="str">
        <f>""</f>
        <v/>
      </c>
      <c r="R756" t="str">
        <f>"Y"</f>
        <v>Y</v>
      </c>
      <c r="S756" t="str">
        <f>"11.76"</f>
        <v>11.76</v>
      </c>
      <c r="T756" t="str">
        <f>"3721.07"</f>
        <v>3721.07</v>
      </c>
      <c r="U756" t="str">
        <f>"284901.00"</f>
        <v>284901.00</v>
      </c>
      <c r="V756" t="str">
        <f>"284901.00"</f>
        <v>284901.00</v>
      </c>
      <c r="W756" t="str">
        <f t="shared" si="219"/>
        <v>2017</v>
      </c>
      <c r="X756" t="str">
        <f>""</f>
        <v/>
      </c>
      <c r="Y756" t="str">
        <f>"3864.70"</f>
        <v>3864.70</v>
      </c>
      <c r="Z756" t="str">
        <f>"25000.00"</f>
        <v>25000.00</v>
      </c>
      <c r="AA756" t="str">
        <f>"259901.00"</f>
        <v>259901.00</v>
      </c>
      <c r="AB756" t="str">
        <f t="shared" si="225"/>
        <v>Residential</v>
      </c>
      <c r="AC756" t="str">
        <f t="shared" si="230"/>
        <v>0</v>
      </c>
      <c r="AD756" t="str">
        <f>"4"</f>
        <v>4</v>
      </c>
      <c r="AE756" t="str">
        <f>"WOOD (INCLUDE STEEL STUDS)"</f>
        <v>WOOD (INCLUDE STEEL STUDS)</v>
      </c>
      <c r="AF756" t="str">
        <f>"001"</f>
        <v>001</v>
      </c>
      <c r="AG756" t="str">
        <f t="shared" si="237"/>
        <v>FL</v>
      </c>
      <c r="AH756" t="str">
        <f>"512265.00"</f>
        <v>512265.00</v>
      </c>
      <c r="AI756" t="str">
        <f>"70560.00"</f>
        <v>70560.00</v>
      </c>
      <c r="AJ756" t="str">
        <f>"C55-000-589-2479-6"</f>
        <v>C55-000-589-2479-6</v>
      </c>
      <c r="AK756" t="str">
        <f>"12161"</f>
        <v>12161</v>
      </c>
      <c r="AL756">
        <v>3</v>
      </c>
      <c r="AM756">
        <v>879</v>
      </c>
      <c r="AN756">
        <v>4056.34</v>
      </c>
      <c r="AQ756" t="s">
        <v>7997</v>
      </c>
      <c r="AR756" t="s">
        <v>7997</v>
      </c>
      <c r="AS756" t="s">
        <v>7997</v>
      </c>
      <c r="AU756" t="s">
        <v>396</v>
      </c>
      <c r="AV756">
        <v>2017</v>
      </c>
      <c r="AW756" t="str">
        <f>"03-2N-25-0000-0001-0080 "</f>
        <v xml:space="preserve">03-2N-25-0000-0001-0080 </v>
      </c>
      <c r="AX756">
        <v>45544</v>
      </c>
      <c r="AZ756" t="s">
        <v>7998</v>
      </c>
      <c r="BA756" t="s">
        <v>496</v>
      </c>
      <c r="BD756" t="s">
        <v>2785</v>
      </c>
      <c r="BE756" t="s">
        <v>393</v>
      </c>
      <c r="BF756">
        <v>32011</v>
      </c>
      <c r="BG756" t="s">
        <v>7999</v>
      </c>
      <c r="BH756" t="s">
        <v>2787</v>
      </c>
      <c r="BI756">
        <v>-81.799813544111103</v>
      </c>
      <c r="BJ756">
        <v>30.616385155092299</v>
      </c>
      <c r="BK756" t="s">
        <v>7231</v>
      </c>
      <c r="BL756" t="s">
        <v>8000</v>
      </c>
      <c r="BM756" t="s">
        <v>8001</v>
      </c>
      <c r="BN756" t="s">
        <v>928</v>
      </c>
      <c r="BO756">
        <v>32011</v>
      </c>
      <c r="BP756" t="s">
        <v>416</v>
      </c>
      <c r="BQ756">
        <v>100</v>
      </c>
      <c r="BR756" t="s">
        <v>514</v>
      </c>
      <c r="BS756">
        <v>1001</v>
      </c>
      <c r="BT756" t="s">
        <v>515</v>
      </c>
      <c r="BW756">
        <v>512265</v>
      </c>
      <c r="BX756" t="s">
        <v>407</v>
      </c>
      <c r="BY756" t="s">
        <v>408</v>
      </c>
      <c r="BZ756">
        <v>4</v>
      </c>
      <c r="CA756">
        <v>2010</v>
      </c>
      <c r="CB756">
        <v>2</v>
      </c>
      <c r="CC756">
        <v>1</v>
      </c>
      <c r="CD756">
        <v>2017</v>
      </c>
      <c r="CG756">
        <v>284901</v>
      </c>
      <c r="CH756">
        <v>2017</v>
      </c>
      <c r="CI756">
        <v>70560</v>
      </c>
      <c r="CJ756">
        <v>347619</v>
      </c>
      <c r="CK756">
        <v>418179</v>
      </c>
      <c r="CL756">
        <v>2017</v>
      </c>
      <c r="CM756">
        <v>3721.07</v>
      </c>
      <c r="CN756" s="1">
        <v>39177</v>
      </c>
      <c r="CO756">
        <v>175000</v>
      </c>
      <c r="CV756">
        <v>0</v>
      </c>
      <c r="CZ756" s="1">
        <v>39177</v>
      </c>
      <c r="DA756">
        <v>0</v>
      </c>
      <c r="DD756" t="s">
        <v>2785</v>
      </c>
      <c r="DG756">
        <v>3</v>
      </c>
      <c r="DL756">
        <v>50503</v>
      </c>
      <c r="DM756" t="s">
        <v>8002</v>
      </c>
      <c r="DO756" t="s">
        <v>8003</v>
      </c>
      <c r="DP756">
        <v>0</v>
      </c>
      <c r="DQ756">
        <v>0</v>
      </c>
      <c r="DR756" t="s">
        <v>411</v>
      </c>
    </row>
    <row r="757" spans="1:236" x14ac:dyDescent="0.25">
      <c r="A757">
        <v>16485764</v>
      </c>
      <c r="B757">
        <v>756</v>
      </c>
      <c r="C757" t="s">
        <v>393</v>
      </c>
      <c r="D757" t="s">
        <v>394</v>
      </c>
      <c r="F757" t="str">
        <f>"03-2N-25-0000-0001-0170"</f>
        <v>03-2N-25-0000-0001-0170</v>
      </c>
      <c r="H757" t="str">
        <f>"BECKER MARVIN ROY"</f>
        <v>BECKER MARVIN ROY</v>
      </c>
      <c r="I757" t="str">
        <f>"56585 DAVIS ROAD"</f>
        <v>56585 DAVIS ROAD</v>
      </c>
      <c r="J757" t="str">
        <f t="shared" si="238"/>
        <v>CALLAHAN FL 32011</v>
      </c>
      <c r="K757" t="str">
        <f>"56585 DAVIS RD"</f>
        <v>56585 DAVIS RD</v>
      </c>
      <c r="L757" t="str">
        <f t="shared" si="222"/>
        <v>CALLAHAN FL 32011</v>
      </c>
      <c r="M757" t="str">
        <f>"PT E1/2 PARS 1-17 &amp; 1-18 IN OR 1804/133"</f>
        <v>PT E1/2 PARS 1-17 &amp; 1-18 IN OR 1804/133</v>
      </c>
      <c r="N757" t="str">
        <f>""</f>
        <v/>
      </c>
      <c r="O757" t="str">
        <f>"19006"</f>
        <v>19006</v>
      </c>
      <c r="P757" t="str">
        <f t="shared" si="218"/>
        <v>2017</v>
      </c>
      <c r="Q757" t="str">
        <f>""</f>
        <v/>
      </c>
      <c r="R757" t="str">
        <f>"N"</f>
        <v>N</v>
      </c>
      <c r="S757" t="str">
        <f>"65.00"</f>
        <v>65.00</v>
      </c>
      <c r="T757" t="str">
        <f>"3945.38"</f>
        <v>3945.38</v>
      </c>
      <c r="U757" t="str">
        <f>"260614.00"</f>
        <v>260614.00</v>
      </c>
      <c r="V757" t="str">
        <f>"260614.00"</f>
        <v>260614.00</v>
      </c>
      <c r="W757" t="str">
        <f t="shared" si="219"/>
        <v>2017</v>
      </c>
      <c r="X757" t="str">
        <f>"1.00"</f>
        <v>1.00</v>
      </c>
      <c r="Y757" t="str">
        <f>"4095.74"</f>
        <v>4095.74</v>
      </c>
      <c r="Z757" t="str">
        <f>""</f>
        <v/>
      </c>
      <c r="AA757" t="str">
        <f>"260614.00"</f>
        <v>260614.00</v>
      </c>
      <c r="AB757" t="str">
        <f t="shared" si="225"/>
        <v>Residential</v>
      </c>
      <c r="AC757" t="str">
        <f t="shared" si="230"/>
        <v>0</v>
      </c>
      <c r="AD757" t="str">
        <f>"4"</f>
        <v>4</v>
      </c>
      <c r="AE757" t="str">
        <f>"WOOD (INCLUDE STEEL STUDS)"</f>
        <v>WOOD (INCLUDE STEEL STUDS)</v>
      </c>
      <c r="AF757" t="str">
        <f>"001"</f>
        <v>001</v>
      </c>
      <c r="AG757" t="str">
        <f t="shared" si="237"/>
        <v>FL</v>
      </c>
      <c r="AH757" t="str">
        <f>"2831411.00"</f>
        <v>2831411.00</v>
      </c>
      <c r="AI757" t="str">
        <f>"35480.00"</f>
        <v>35480.00</v>
      </c>
      <c r="AJ757" t="str">
        <f>"C55-001-047-4985-8"</f>
        <v>C55-001-047-4985-8</v>
      </c>
      <c r="AK757" t="str">
        <f>"12167"</f>
        <v>12167</v>
      </c>
      <c r="AL757">
        <v>3</v>
      </c>
      <c r="AM757">
        <v>880</v>
      </c>
      <c r="AN757">
        <v>4298.93</v>
      </c>
      <c r="AQ757" t="s">
        <v>8004</v>
      </c>
      <c r="AR757" t="s">
        <v>8004</v>
      </c>
      <c r="AS757" t="s">
        <v>8004</v>
      </c>
      <c r="AU757" t="s">
        <v>396</v>
      </c>
      <c r="AV757">
        <v>2017</v>
      </c>
      <c r="AW757" t="str">
        <f>"03-2N-25-0000-0001-0170 "</f>
        <v xml:space="preserve">03-2N-25-0000-0001-0170 </v>
      </c>
      <c r="AX757">
        <v>56585</v>
      </c>
      <c r="AZ757" t="s">
        <v>8005</v>
      </c>
      <c r="BA757" t="s">
        <v>496</v>
      </c>
      <c r="BD757" t="s">
        <v>2785</v>
      </c>
      <c r="BE757" t="s">
        <v>393</v>
      </c>
      <c r="BF757">
        <v>32011</v>
      </c>
      <c r="BG757" t="s">
        <v>8006</v>
      </c>
      <c r="BH757" t="s">
        <v>2787</v>
      </c>
      <c r="BI757">
        <v>-81.788116680475298</v>
      </c>
      <c r="BJ757">
        <v>30.6248517931054</v>
      </c>
      <c r="BK757" t="s">
        <v>8007</v>
      </c>
      <c r="BM757" t="s">
        <v>8006</v>
      </c>
      <c r="BN757" t="s">
        <v>928</v>
      </c>
      <c r="BO757">
        <v>32011</v>
      </c>
      <c r="BP757" t="s">
        <v>416</v>
      </c>
      <c r="BQ757">
        <v>100</v>
      </c>
      <c r="BR757" t="s">
        <v>514</v>
      </c>
      <c r="BS757">
        <v>1001</v>
      </c>
      <c r="BT757" t="s">
        <v>515</v>
      </c>
      <c r="BW757">
        <v>2831411</v>
      </c>
      <c r="BX757" t="s">
        <v>407</v>
      </c>
      <c r="BZ757">
        <v>4</v>
      </c>
      <c r="CA757">
        <v>2014</v>
      </c>
      <c r="CB757">
        <v>2</v>
      </c>
      <c r="CC757">
        <v>1</v>
      </c>
      <c r="CD757">
        <v>2017</v>
      </c>
      <c r="CG757">
        <v>260614</v>
      </c>
      <c r="CH757">
        <v>2017</v>
      </c>
      <c r="CI757">
        <v>35480</v>
      </c>
      <c r="CJ757">
        <v>396654</v>
      </c>
      <c r="CK757">
        <v>432134</v>
      </c>
      <c r="CL757">
        <v>2017</v>
      </c>
      <c r="CM757">
        <v>3945.38</v>
      </c>
      <c r="CN757" s="1">
        <v>41114</v>
      </c>
      <c r="CO757">
        <v>357500</v>
      </c>
      <c r="CZ757" s="1">
        <v>41114</v>
      </c>
      <c r="DD757" t="s">
        <v>2785</v>
      </c>
      <c r="DG757">
        <v>3</v>
      </c>
      <c r="DL757">
        <v>50503</v>
      </c>
      <c r="DM757" t="s">
        <v>8002</v>
      </c>
      <c r="DO757" t="s">
        <v>8008</v>
      </c>
      <c r="DP757">
        <v>0</v>
      </c>
      <c r="DQ757">
        <v>0</v>
      </c>
      <c r="DR757" t="s">
        <v>411</v>
      </c>
      <c r="EP757" t="s">
        <v>421</v>
      </c>
      <c r="EQ757" t="s">
        <v>422</v>
      </c>
      <c r="ER757">
        <v>0</v>
      </c>
      <c r="ES757">
        <v>2</v>
      </c>
      <c r="ET757">
        <v>0</v>
      </c>
      <c r="EU757">
        <v>0</v>
      </c>
      <c r="EV757">
        <v>0</v>
      </c>
      <c r="EW757" s="2">
        <v>43222</v>
      </c>
      <c r="EX757" s="1">
        <v>42879</v>
      </c>
      <c r="EY757">
        <v>2016</v>
      </c>
      <c r="EZ757">
        <v>4217.3100000000004</v>
      </c>
      <c r="FA757" t="s">
        <v>8009</v>
      </c>
      <c r="FB757">
        <v>0.25</v>
      </c>
      <c r="FC757" t="s">
        <v>424</v>
      </c>
      <c r="FD757" t="s">
        <v>425</v>
      </c>
      <c r="FE757" s="1">
        <v>42900</v>
      </c>
      <c r="FF757">
        <v>1</v>
      </c>
      <c r="FG757">
        <v>5857474</v>
      </c>
      <c r="FH757" t="s">
        <v>900</v>
      </c>
      <c r="FJ757" s="1">
        <v>42879</v>
      </c>
      <c r="FK757">
        <v>2016</v>
      </c>
      <c r="FL757">
        <v>4217.3100000000004</v>
      </c>
      <c r="FM757" t="s">
        <v>8009</v>
      </c>
      <c r="FN757">
        <v>0.25</v>
      </c>
      <c r="FO757" t="s">
        <v>424</v>
      </c>
      <c r="FP757" t="s">
        <v>425</v>
      </c>
      <c r="FR757">
        <v>22</v>
      </c>
      <c r="FS757">
        <v>6604938</v>
      </c>
      <c r="FT757" t="s">
        <v>8010</v>
      </c>
    </row>
    <row r="758" spans="1:236" x14ac:dyDescent="0.25">
      <c r="A758">
        <v>16485765</v>
      </c>
      <c r="B758">
        <v>757</v>
      </c>
      <c r="C758" t="s">
        <v>393</v>
      </c>
      <c r="D758" t="s">
        <v>394</v>
      </c>
      <c r="F758" t="str">
        <f>"03-2N-25-0000-0004-0010"</f>
        <v>03-2N-25-0000-0004-0010</v>
      </c>
      <c r="H758" t="str">
        <f>"EDWARDS EVAN W &amp; ALISON D"</f>
        <v>EDWARDS EVAN W &amp; ALISON D</v>
      </c>
      <c r="I758" t="str">
        <f>"45619 MUSSLEWHITE RD"</f>
        <v>45619 MUSSLEWHITE RD</v>
      </c>
      <c r="J758" t="str">
        <f t="shared" si="238"/>
        <v>CALLAHAN FL 32011</v>
      </c>
      <c r="K758" t="str">
        <f>"45617 MUSSLEWHITE RD"</f>
        <v>45617 MUSSLEWHITE RD</v>
      </c>
      <c r="L758" t="str">
        <f t="shared" si="222"/>
        <v>CALLAHAN FL 32011</v>
      </c>
      <c r="M758" t="str">
        <f>"PT W1/2 OF SW1/4 OF NW1/4 &amp; PT W1/2 OF NW1/4 OF SW1/4 BWING ONLY PT LYING W OF MUSSLEWHITERD IN OR 2099/1450 PARCEL 4-1"</f>
        <v>PT W1/2 OF SW1/4 OF NW1/4 &amp; PT W1/2 OF NW1/4 OF SW1/4 BWING ONLY PT LYING W OF MUSSLEWHITERD IN OR 2099/1450 PARCEL 4-1</v>
      </c>
      <c r="N758" t="str">
        <f>""</f>
        <v/>
      </c>
      <c r="O758" t="str">
        <f>"57019"</f>
        <v>57019</v>
      </c>
      <c r="P758" t="str">
        <f t="shared" si="218"/>
        <v>2017</v>
      </c>
      <c r="Q758" t="str">
        <f>""</f>
        <v/>
      </c>
      <c r="R758" t="str">
        <f>"N"</f>
        <v>N</v>
      </c>
      <c r="S758" t="str">
        <f>"2.05"</f>
        <v>2.05</v>
      </c>
      <c r="T758" t="str">
        <f>"1181.80"</f>
        <v>1181.80</v>
      </c>
      <c r="U758" t="str">
        <f>"78064.00"</f>
        <v>78064.00</v>
      </c>
      <c r="V758" t="str">
        <f>"78064.00"</f>
        <v>78064.00</v>
      </c>
      <c r="W758" t="str">
        <f t="shared" si="219"/>
        <v>2017</v>
      </c>
      <c r="X758" t="str">
        <f>""</f>
        <v/>
      </c>
      <c r="Y758" t="str">
        <f>"1249.25"</f>
        <v>1249.25</v>
      </c>
      <c r="Z758" t="str">
        <f>""</f>
        <v/>
      </c>
      <c r="AA758" t="str">
        <f>"78064.00"</f>
        <v>78064.00</v>
      </c>
      <c r="AB758" t="str">
        <f t="shared" si="225"/>
        <v>Residential</v>
      </c>
      <c r="AC758" t="str">
        <f t="shared" si="230"/>
        <v>0</v>
      </c>
      <c r="AD758" t="str">
        <f>"4"</f>
        <v>4</v>
      </c>
      <c r="AE758" t="str">
        <f>"WOOD (INCLUDE STEEL STUDS)"</f>
        <v>WOOD (INCLUDE STEEL STUDS)</v>
      </c>
      <c r="AF758" t="str">
        <f>"001"</f>
        <v>001</v>
      </c>
      <c r="AG758" t="str">
        <f t="shared" si="237"/>
        <v>FL</v>
      </c>
      <c r="AH758" t="str">
        <f>"89298.00"</f>
        <v>89298.00</v>
      </c>
      <c r="AI758" t="str">
        <f>"24600.00"</f>
        <v>24600.00</v>
      </c>
      <c r="AJ758" t="str">
        <f>"C55-001-092-7855-6"</f>
        <v>C55-001-092-7855-6</v>
      </c>
      <c r="AK758" t="str">
        <f>"12181"</f>
        <v>12181</v>
      </c>
      <c r="AL758">
        <v>3</v>
      </c>
      <c r="AM758">
        <v>882</v>
      </c>
      <c r="AN758">
        <v>1310.1099999999999</v>
      </c>
      <c r="AQ758" t="s">
        <v>8011</v>
      </c>
      <c r="AR758" t="s">
        <v>8011</v>
      </c>
      <c r="AS758" t="s">
        <v>8011</v>
      </c>
      <c r="AU758" t="s">
        <v>396</v>
      </c>
      <c r="AV758">
        <v>2017</v>
      </c>
      <c r="AW758" t="str">
        <f>"03-2N-25-0000-0004-0010 "</f>
        <v xml:space="preserve">03-2N-25-0000-0004-0010 </v>
      </c>
      <c r="AX758">
        <v>45617</v>
      </c>
      <c r="AZ758" t="s">
        <v>7998</v>
      </c>
      <c r="BA758" t="s">
        <v>496</v>
      </c>
      <c r="BD758" t="s">
        <v>2785</v>
      </c>
      <c r="BE758" t="s">
        <v>393</v>
      </c>
      <c r="BF758">
        <v>32011</v>
      </c>
      <c r="BG758" t="s">
        <v>8012</v>
      </c>
      <c r="BH758" t="s">
        <v>2787</v>
      </c>
      <c r="BK758" t="s">
        <v>8013</v>
      </c>
      <c r="BM758" t="s">
        <v>8014</v>
      </c>
      <c r="BN758" t="s">
        <v>928</v>
      </c>
      <c r="BO758">
        <v>32011</v>
      </c>
      <c r="BQ758">
        <v>100</v>
      </c>
      <c r="BR758" t="s">
        <v>514</v>
      </c>
      <c r="BS758">
        <v>1001</v>
      </c>
      <c r="BT758" t="s">
        <v>515</v>
      </c>
      <c r="BW758">
        <v>89298</v>
      </c>
      <c r="BX758" t="s">
        <v>407</v>
      </c>
      <c r="BZ758">
        <v>4</v>
      </c>
      <c r="CA758">
        <v>1967</v>
      </c>
      <c r="CC758">
        <v>1</v>
      </c>
      <c r="CD758">
        <v>2017</v>
      </c>
      <c r="CE758">
        <v>24600</v>
      </c>
      <c r="CF758">
        <v>53464</v>
      </c>
      <c r="CG758">
        <v>78064</v>
      </c>
      <c r="CH758">
        <v>2017</v>
      </c>
      <c r="CI758">
        <v>24600</v>
      </c>
      <c r="CJ758">
        <v>53464</v>
      </c>
      <c r="CK758">
        <v>78064</v>
      </c>
      <c r="CL758">
        <v>2017</v>
      </c>
      <c r="CM758">
        <v>1181.8</v>
      </c>
      <c r="DD758" t="s">
        <v>2785</v>
      </c>
      <c r="DM758" t="s">
        <v>8002</v>
      </c>
      <c r="DO758" t="s">
        <v>8015</v>
      </c>
    </row>
    <row r="759" spans="1:236" x14ac:dyDescent="0.25">
      <c r="A759">
        <v>16485766</v>
      </c>
      <c r="B759">
        <v>758</v>
      </c>
      <c r="C759" t="s">
        <v>393</v>
      </c>
      <c r="D759" t="s">
        <v>394</v>
      </c>
      <c r="F759" t="str">
        <f>"03-2N-25-0000-0006-0010"</f>
        <v>03-2N-25-0000-0006-0010</v>
      </c>
      <c r="H759" t="str">
        <f>"DAVIS JOEL L &amp; KRISTY L"</f>
        <v>DAVIS JOEL L &amp; KRISTY L</v>
      </c>
      <c r="I759" t="str">
        <f>"56695 DAVIS RD"</f>
        <v>56695 DAVIS RD</v>
      </c>
      <c r="J759" t="str">
        <f t="shared" si="238"/>
        <v>CALLAHAN FL 32011</v>
      </c>
      <c r="K759" t="str">
        <f>"56695 DAVIS RD"</f>
        <v>56695 DAVIS RD</v>
      </c>
      <c r="L759" t="str">
        <f t="shared" si="222"/>
        <v>CALLAHAN FL 32011</v>
      </c>
      <c r="M759" t="str">
        <f>"IN OR 1792/1807 ESMT OR 1812/249 1981 SOUTHERN DW/MH"</f>
        <v>IN OR 1792/1807 ESMT OR 1812/249 1981 SOUTHERN DW/MH</v>
      </c>
      <c r="N759" t="str">
        <f>""</f>
        <v/>
      </c>
      <c r="O759" t="str">
        <f>"19036"</f>
        <v>19036</v>
      </c>
      <c r="P759" t="str">
        <f t="shared" si="218"/>
        <v>2017</v>
      </c>
      <c r="Q759" t="str">
        <f>""</f>
        <v/>
      </c>
      <c r="R759" t="str">
        <f>"Y"</f>
        <v>Y</v>
      </c>
      <c r="S759" t="str">
        <f>"9.15"</f>
        <v>9.15</v>
      </c>
      <c r="T759" t="str">
        <f>"485.72"</f>
        <v>485.72</v>
      </c>
      <c r="U759" t="str">
        <f>"66253.00"</f>
        <v>66253.00</v>
      </c>
      <c r="V759" t="str">
        <f>"66253.00"</f>
        <v>66253.00</v>
      </c>
      <c r="W759" t="str">
        <f t="shared" si="219"/>
        <v>2017</v>
      </c>
      <c r="X759" t="str">
        <f>"1.00"</f>
        <v>1.00</v>
      </c>
      <c r="Y759" t="str">
        <f>"532.29"</f>
        <v>532.29</v>
      </c>
      <c r="Z759" t="str">
        <f>"25000.00"</f>
        <v>25000.00</v>
      </c>
      <c r="AA759" t="str">
        <f>"41253.00"</f>
        <v>41253.00</v>
      </c>
      <c r="AB759" t="str">
        <f t="shared" si="225"/>
        <v>Residential</v>
      </c>
      <c r="AC759" t="str">
        <f t="shared" si="230"/>
        <v>0</v>
      </c>
      <c r="AD759" t="str">
        <f>"4"</f>
        <v>4</v>
      </c>
      <c r="AE759" t="str">
        <f>"WOOD (INCLUDE STEEL STUDS)"</f>
        <v>WOOD (INCLUDE STEEL STUDS)</v>
      </c>
      <c r="AF759" t="str">
        <f>"002"</f>
        <v>002</v>
      </c>
      <c r="AG759" t="str">
        <f t="shared" si="237"/>
        <v>FL</v>
      </c>
      <c r="AH759" t="str">
        <f>"398574.00"</f>
        <v>398574.00</v>
      </c>
      <c r="AI759" t="str">
        <f>"54900.00"</f>
        <v>54900.00</v>
      </c>
      <c r="AJ759" t="str">
        <f>"C55-001-045-7669-9"</f>
        <v>C55-001-045-7669-9</v>
      </c>
      <c r="AK759" t="str">
        <f>"12196"</f>
        <v>12196</v>
      </c>
      <c r="AL759">
        <v>3</v>
      </c>
      <c r="AM759">
        <v>883</v>
      </c>
      <c r="AN759">
        <v>557.29999999999995</v>
      </c>
      <c r="AQ759" t="s">
        <v>8016</v>
      </c>
      <c r="AR759" t="s">
        <v>8016</v>
      </c>
      <c r="AS759" t="s">
        <v>8016</v>
      </c>
      <c r="AU759" t="s">
        <v>396</v>
      </c>
      <c r="AV759">
        <v>2017</v>
      </c>
      <c r="AW759" t="str">
        <f>"03-2N-25-0000-0006-0010 "</f>
        <v xml:space="preserve">03-2N-25-0000-0006-0010 </v>
      </c>
      <c r="AX759">
        <v>56695</v>
      </c>
      <c r="AZ759" t="s">
        <v>8005</v>
      </c>
      <c r="BA759" t="s">
        <v>496</v>
      </c>
      <c r="BD759" t="s">
        <v>2785</v>
      </c>
      <c r="BE759" t="s">
        <v>393</v>
      </c>
      <c r="BF759">
        <v>32011</v>
      </c>
      <c r="BG759" t="s">
        <v>8017</v>
      </c>
      <c r="BH759" t="s">
        <v>2787</v>
      </c>
      <c r="BI759">
        <v>-81.787036098687693</v>
      </c>
      <c r="BJ759">
        <v>30.6207569150152</v>
      </c>
      <c r="BK759" t="s">
        <v>8018</v>
      </c>
      <c r="BL759" t="s">
        <v>8019</v>
      </c>
      <c r="BM759" t="s">
        <v>8017</v>
      </c>
      <c r="BN759" t="s">
        <v>928</v>
      </c>
      <c r="BO759">
        <v>32011</v>
      </c>
      <c r="BP759" t="s">
        <v>416</v>
      </c>
      <c r="BQ759">
        <v>200</v>
      </c>
      <c r="BR759" t="s">
        <v>405</v>
      </c>
      <c r="BS759">
        <v>1006</v>
      </c>
      <c r="BT759" t="s">
        <v>406</v>
      </c>
      <c r="BW759">
        <v>398574</v>
      </c>
      <c r="BX759" t="s">
        <v>407</v>
      </c>
      <c r="BY759" t="s">
        <v>408</v>
      </c>
      <c r="BZ759">
        <v>4</v>
      </c>
      <c r="CA759">
        <v>1981</v>
      </c>
      <c r="CC759">
        <v>1</v>
      </c>
      <c r="CD759">
        <v>2017</v>
      </c>
      <c r="CG759">
        <v>66253</v>
      </c>
      <c r="CH759">
        <v>2017</v>
      </c>
      <c r="CI759">
        <v>54900</v>
      </c>
      <c r="CJ759">
        <v>17581</v>
      </c>
      <c r="CK759">
        <v>72481</v>
      </c>
      <c r="CL759">
        <v>2017</v>
      </c>
      <c r="CM759">
        <v>485.72</v>
      </c>
      <c r="CN759" s="1">
        <v>41040</v>
      </c>
      <c r="CZ759" s="1">
        <v>41040</v>
      </c>
      <c r="DD759" t="s">
        <v>2785</v>
      </c>
      <c r="DG759">
        <v>3</v>
      </c>
      <c r="DL759">
        <v>50503</v>
      </c>
      <c r="DM759" t="s">
        <v>8002</v>
      </c>
      <c r="DO759" t="s">
        <v>8020</v>
      </c>
      <c r="DP759">
        <v>0</v>
      </c>
      <c r="DQ759">
        <v>0</v>
      </c>
      <c r="DR759" t="s">
        <v>411</v>
      </c>
      <c r="EP759" t="s">
        <v>421</v>
      </c>
      <c r="EQ759" t="s">
        <v>422</v>
      </c>
      <c r="ER759">
        <v>0</v>
      </c>
      <c r="ES759">
        <v>1</v>
      </c>
      <c r="ET759">
        <v>0</v>
      </c>
      <c r="EU759">
        <v>0</v>
      </c>
      <c r="EV759">
        <v>0</v>
      </c>
      <c r="EW759" s="2">
        <v>43222</v>
      </c>
      <c r="EX759" s="1">
        <v>41423</v>
      </c>
      <c r="EY759">
        <v>2012</v>
      </c>
      <c r="EZ759">
        <v>58.99</v>
      </c>
      <c r="FA759" t="s">
        <v>8021</v>
      </c>
      <c r="FB759">
        <v>4</v>
      </c>
      <c r="FC759" t="s">
        <v>424</v>
      </c>
      <c r="FD759" t="s">
        <v>425</v>
      </c>
      <c r="FE759" s="1">
        <v>41442</v>
      </c>
      <c r="FF759">
        <v>1</v>
      </c>
      <c r="FG759">
        <v>10178</v>
      </c>
      <c r="FH759" t="s">
        <v>8022</v>
      </c>
    </row>
    <row r="760" spans="1:236" x14ac:dyDescent="0.25">
      <c r="A760">
        <v>16485767</v>
      </c>
      <c r="B760">
        <v>759</v>
      </c>
      <c r="C760" t="s">
        <v>393</v>
      </c>
      <c r="D760" t="s">
        <v>394</v>
      </c>
      <c r="F760" t="str">
        <f>"07-2N-25-0000-0005-0000"</f>
        <v>07-2N-25-0000-0005-0000</v>
      </c>
      <c r="H760" t="str">
        <f>"BELL CAROL ANN"</f>
        <v>BELL CAROL ANN</v>
      </c>
      <c r="I760" t="str">
        <f>"45348 ZIDELL ROAD"</f>
        <v>45348 ZIDELL ROAD</v>
      </c>
      <c r="J760" t="str">
        <f t="shared" si="238"/>
        <v>CALLAHAN FL 32011</v>
      </c>
      <c r="K760" t="str">
        <f>"US HWY 1"</f>
        <v>US HWY 1</v>
      </c>
      <c r="L760" t="str">
        <f t="shared" si="222"/>
        <v>CALLAHAN FL 32011</v>
      </c>
      <c r="M760" t="str">
        <f>"PT OR 1317/1646"</f>
        <v>PT OR 1317/1646</v>
      </c>
      <c r="N760" t="str">
        <f>""</f>
        <v/>
      </c>
      <c r="O760" t="str">
        <f>"22412"</f>
        <v>22412</v>
      </c>
      <c r="P760" t="str">
        <f t="shared" si="218"/>
        <v>2017</v>
      </c>
      <c r="Q760" t="str">
        <f>""</f>
        <v/>
      </c>
      <c r="R760" t="str">
        <f t="shared" ref="R760:R765" si="239">"N"</f>
        <v>N</v>
      </c>
      <c r="S760" t="str">
        <f>"60.65"</f>
        <v>60.65</v>
      </c>
      <c r="T760" t="str">
        <f>"276.71"</f>
        <v>276.71</v>
      </c>
      <c r="U760" t="str">
        <f>"18279.00"</f>
        <v>18279.00</v>
      </c>
      <c r="V760" t="str">
        <f>"18279.00"</f>
        <v>18279.00</v>
      </c>
      <c r="W760" t="str">
        <f t="shared" si="219"/>
        <v>2017</v>
      </c>
      <c r="X760" t="str">
        <f>"12.63"</f>
        <v>12.63</v>
      </c>
      <c r="Y760" t="str">
        <f>"317.01"</f>
        <v>317.01</v>
      </c>
      <c r="Z760" t="str">
        <f>""</f>
        <v/>
      </c>
      <c r="AA760" t="str">
        <f>"18279.00"</f>
        <v>18279.00</v>
      </c>
      <c r="AB760" t="str">
        <f>"Agricultural"</f>
        <v>Agricultural</v>
      </c>
      <c r="AC760" t="str">
        <f t="shared" si="230"/>
        <v>0</v>
      </c>
      <c r="AD760" t="str">
        <f>""</f>
        <v/>
      </c>
      <c r="AE760" t="str">
        <f>""</f>
        <v/>
      </c>
      <c r="AF760" t="str">
        <f>"055"</f>
        <v>055</v>
      </c>
      <c r="AG760" t="str">
        <f t="shared" si="237"/>
        <v>FL</v>
      </c>
      <c r="AH760" t="str">
        <f>"2641914.00"</f>
        <v>2641914.00</v>
      </c>
      <c r="AI760" t="str">
        <f>"18279.00"</f>
        <v>18279.00</v>
      </c>
      <c r="AJ760" t="str">
        <f>"C55-000-586-6826-0"</f>
        <v>C55-000-586-6826-0</v>
      </c>
      <c r="AK760" t="str">
        <f>"12231"</f>
        <v>12231</v>
      </c>
      <c r="AL760">
        <v>3</v>
      </c>
      <c r="AM760">
        <v>884</v>
      </c>
      <c r="AN760">
        <v>331.26</v>
      </c>
      <c r="AQ760" t="s">
        <v>8023</v>
      </c>
      <c r="AR760" t="s">
        <v>8023</v>
      </c>
      <c r="AS760" t="s">
        <v>8023</v>
      </c>
      <c r="AU760" t="s">
        <v>396</v>
      </c>
      <c r="AV760">
        <v>2017</v>
      </c>
      <c r="AW760" t="str">
        <f>"07-2N-25-0000-0005-0000 "</f>
        <v xml:space="preserve">07-2N-25-0000-0005-0000 </v>
      </c>
      <c r="AZ760" t="s">
        <v>2386</v>
      </c>
      <c r="BD760" t="s">
        <v>2785</v>
      </c>
      <c r="BE760" t="s">
        <v>393</v>
      </c>
      <c r="BF760">
        <v>32011</v>
      </c>
      <c r="BG760" t="s">
        <v>2386</v>
      </c>
      <c r="BH760" t="s">
        <v>2787</v>
      </c>
      <c r="BI760">
        <v>-81.847543808368997</v>
      </c>
      <c r="BJ760">
        <v>30.606272188531499</v>
      </c>
      <c r="BK760" t="s">
        <v>8024</v>
      </c>
      <c r="BM760" t="s">
        <v>8025</v>
      </c>
      <c r="BN760" t="s">
        <v>928</v>
      </c>
      <c r="BO760">
        <v>32011</v>
      </c>
      <c r="BP760" t="s">
        <v>404</v>
      </c>
      <c r="BQ760">
        <v>5500</v>
      </c>
      <c r="BR760" t="s">
        <v>1353</v>
      </c>
      <c r="BS760">
        <v>7009</v>
      </c>
      <c r="BT760" t="s">
        <v>418</v>
      </c>
      <c r="BW760">
        <v>2641914</v>
      </c>
      <c r="BX760" t="s">
        <v>407</v>
      </c>
      <c r="BY760" t="s">
        <v>408</v>
      </c>
      <c r="CD760">
        <v>2017</v>
      </c>
      <c r="CG760">
        <v>18279</v>
      </c>
      <c r="CH760">
        <v>2017</v>
      </c>
      <c r="CI760">
        <v>18279</v>
      </c>
      <c r="CJ760">
        <v>163671</v>
      </c>
      <c r="CK760">
        <v>181950</v>
      </c>
      <c r="CL760">
        <v>2017</v>
      </c>
      <c r="CM760">
        <v>276.70999999999998</v>
      </c>
      <c r="CN760" s="1">
        <v>38488</v>
      </c>
      <c r="CZ760" s="1">
        <v>38488</v>
      </c>
      <c r="DD760" t="s">
        <v>2785</v>
      </c>
      <c r="DG760">
        <v>7</v>
      </c>
      <c r="DM760" t="s">
        <v>8026</v>
      </c>
      <c r="DO760" t="s">
        <v>8027</v>
      </c>
      <c r="DP760">
        <v>0</v>
      </c>
      <c r="DQ760">
        <v>0</v>
      </c>
      <c r="DR760" t="s">
        <v>411</v>
      </c>
      <c r="DS760" t="b">
        <v>1</v>
      </c>
      <c r="DT760" t="s">
        <v>396</v>
      </c>
      <c r="DV760" t="s">
        <v>446</v>
      </c>
      <c r="DX760">
        <v>-9999</v>
      </c>
      <c r="DZ760" t="s">
        <v>447</v>
      </c>
      <c r="EA760" t="s">
        <v>448</v>
      </c>
      <c r="EB760" t="s">
        <v>449</v>
      </c>
      <c r="EC760">
        <v>20101217</v>
      </c>
      <c r="ED760" t="s">
        <v>450</v>
      </c>
      <c r="EE760">
        <v>15.5</v>
      </c>
      <c r="EF760">
        <v>0</v>
      </c>
      <c r="EG760">
        <v>0</v>
      </c>
      <c r="EI760">
        <v>20160407</v>
      </c>
      <c r="EJ760">
        <v>0</v>
      </c>
      <c r="EK760">
        <v>0</v>
      </c>
      <c r="EP760" t="s">
        <v>421</v>
      </c>
      <c r="EQ760" t="s">
        <v>422</v>
      </c>
      <c r="ER760">
        <v>0</v>
      </c>
      <c r="ES760">
        <v>7</v>
      </c>
      <c r="ET760">
        <v>0</v>
      </c>
      <c r="EU760">
        <v>0</v>
      </c>
      <c r="EV760">
        <v>0</v>
      </c>
      <c r="EW760" s="2">
        <v>43222</v>
      </c>
      <c r="EX760" s="1">
        <v>42879</v>
      </c>
      <c r="EY760">
        <v>2016</v>
      </c>
      <c r="EZ760">
        <v>300.26</v>
      </c>
      <c r="FA760" t="s">
        <v>8028</v>
      </c>
      <c r="FB760">
        <v>0.25</v>
      </c>
      <c r="FC760" t="s">
        <v>424</v>
      </c>
      <c r="FD760" t="s">
        <v>425</v>
      </c>
      <c r="FE760" s="1">
        <v>43160</v>
      </c>
      <c r="FF760">
        <v>10</v>
      </c>
      <c r="FG760">
        <v>7400234</v>
      </c>
      <c r="FH760" t="s">
        <v>426</v>
      </c>
      <c r="FJ760" s="1">
        <v>42879</v>
      </c>
      <c r="FK760">
        <v>2016</v>
      </c>
      <c r="FL760">
        <v>300.26</v>
      </c>
      <c r="FM760" t="s">
        <v>8028</v>
      </c>
      <c r="FN760">
        <v>0.25</v>
      </c>
      <c r="FO760" t="s">
        <v>424</v>
      </c>
      <c r="FP760" t="s">
        <v>425</v>
      </c>
      <c r="FR760">
        <v>22</v>
      </c>
      <c r="FS760">
        <v>7419149</v>
      </c>
      <c r="FT760" t="s">
        <v>8029</v>
      </c>
      <c r="FV760" s="1">
        <v>42515</v>
      </c>
      <c r="FW760">
        <v>2015</v>
      </c>
      <c r="FX760">
        <v>283.56</v>
      </c>
      <c r="FY760" t="s">
        <v>8030</v>
      </c>
      <c r="FZ760">
        <v>0.25</v>
      </c>
      <c r="GA760" t="s">
        <v>424</v>
      </c>
      <c r="GB760" t="s">
        <v>425</v>
      </c>
      <c r="GC760" s="1">
        <v>43144</v>
      </c>
      <c r="GD760">
        <v>21</v>
      </c>
      <c r="GE760">
        <v>7336671</v>
      </c>
      <c r="GF760" t="s">
        <v>437</v>
      </c>
      <c r="GH760" s="1">
        <v>42515</v>
      </c>
      <c r="GI760">
        <v>2015</v>
      </c>
      <c r="GJ760">
        <v>283.56</v>
      </c>
      <c r="GK760" t="s">
        <v>8030</v>
      </c>
      <c r="GL760">
        <v>0.25</v>
      </c>
      <c r="GM760" t="s">
        <v>424</v>
      </c>
      <c r="GN760" t="s">
        <v>425</v>
      </c>
      <c r="GP760">
        <v>22</v>
      </c>
      <c r="GQ760">
        <v>7019391</v>
      </c>
      <c r="GR760" t="s">
        <v>8031</v>
      </c>
      <c r="GT760" s="1">
        <v>42151</v>
      </c>
      <c r="GU760">
        <v>2014</v>
      </c>
      <c r="GV760">
        <v>280.8</v>
      </c>
      <c r="GW760" t="s">
        <v>8032</v>
      </c>
      <c r="GX760">
        <v>4.75</v>
      </c>
      <c r="GY760" t="s">
        <v>424</v>
      </c>
      <c r="GZ760" t="s">
        <v>425</v>
      </c>
      <c r="HA760" s="1">
        <v>42385</v>
      </c>
      <c r="HB760">
        <v>8</v>
      </c>
      <c r="HC760">
        <v>4975593</v>
      </c>
      <c r="HD760" t="s">
        <v>505</v>
      </c>
      <c r="HF760" s="1">
        <v>41423</v>
      </c>
      <c r="HG760">
        <v>2012</v>
      </c>
      <c r="HH760">
        <v>156.62</v>
      </c>
      <c r="HI760" t="s">
        <v>8033</v>
      </c>
      <c r="HJ760">
        <v>7.5</v>
      </c>
      <c r="HK760" t="s">
        <v>424</v>
      </c>
      <c r="HL760" t="s">
        <v>425</v>
      </c>
      <c r="HM760" s="1">
        <v>41717</v>
      </c>
      <c r="HN760">
        <v>10</v>
      </c>
      <c r="HO760">
        <v>15407</v>
      </c>
      <c r="HP760" t="s">
        <v>1134</v>
      </c>
      <c r="HR760" s="1">
        <v>41052</v>
      </c>
      <c r="HS760">
        <v>2011</v>
      </c>
      <c r="HT760">
        <v>150.99</v>
      </c>
      <c r="HU760" t="s">
        <v>8034</v>
      </c>
      <c r="HV760">
        <v>6.5</v>
      </c>
      <c r="HW760" t="s">
        <v>424</v>
      </c>
      <c r="HX760" t="s">
        <v>425</v>
      </c>
      <c r="HY760" s="1">
        <v>41695</v>
      </c>
      <c r="HZ760">
        <v>21</v>
      </c>
      <c r="IA760">
        <v>116</v>
      </c>
      <c r="IB760" t="s">
        <v>509</v>
      </c>
    </row>
    <row r="761" spans="1:236" x14ac:dyDescent="0.25">
      <c r="A761">
        <v>16485768</v>
      </c>
      <c r="B761">
        <v>760</v>
      </c>
      <c r="C761" t="s">
        <v>393</v>
      </c>
      <c r="D761" t="s">
        <v>394</v>
      </c>
      <c r="F761" t="str">
        <f>"07-2N-25-0000-0006-0000"</f>
        <v>07-2N-25-0000-0006-0000</v>
      </c>
      <c r="H761" t="str">
        <f>"BELL CAROL ANN"</f>
        <v>BELL CAROL ANN</v>
      </c>
      <c r="I761" t="str">
        <f>"45348 ZIDELL ROAD"</f>
        <v>45348 ZIDELL ROAD</v>
      </c>
      <c r="J761" t="str">
        <f t="shared" si="238"/>
        <v>CALLAHAN FL 32011</v>
      </c>
      <c r="K761" t="str">
        <f>"US HWY 1"</f>
        <v>US HWY 1</v>
      </c>
      <c r="L761" t="str">
        <f t="shared" si="222"/>
        <v>CALLAHAN FL 32011</v>
      </c>
      <c r="M761" t="str">
        <f>"PT OR 1317/1646"</f>
        <v>PT OR 1317/1646</v>
      </c>
      <c r="N761" t="str">
        <f>""</f>
        <v/>
      </c>
      <c r="O761" t="str">
        <f>"22416"</f>
        <v>22416</v>
      </c>
      <c r="P761" t="str">
        <f t="shared" si="218"/>
        <v>2017</v>
      </c>
      <c r="Q761" t="str">
        <f>""</f>
        <v/>
      </c>
      <c r="R761" t="str">
        <f t="shared" si="239"/>
        <v>N</v>
      </c>
      <c r="S761" t="str">
        <f>"40.47"</f>
        <v>40.47</v>
      </c>
      <c r="T761" t="str">
        <f>"237.62"</f>
        <v>237.62</v>
      </c>
      <c r="U761" t="str">
        <f>"15696.00"</f>
        <v>15696.00</v>
      </c>
      <c r="V761" t="str">
        <f>"15696.00"</f>
        <v>15696.00</v>
      </c>
      <c r="W761" t="str">
        <f t="shared" si="219"/>
        <v>2017</v>
      </c>
      <c r="X761" t="str">
        <f>"10.25"</f>
        <v>10.25</v>
      </c>
      <c r="Y761" t="str">
        <f>"276.75"</f>
        <v>276.75</v>
      </c>
      <c r="Z761" t="str">
        <f>""</f>
        <v/>
      </c>
      <c r="AA761" t="str">
        <f>"15696.00"</f>
        <v>15696.00</v>
      </c>
      <c r="AB761" t="str">
        <f>"Agricultural"</f>
        <v>Agricultural</v>
      </c>
      <c r="AC761" t="str">
        <f t="shared" si="230"/>
        <v>0</v>
      </c>
      <c r="AD761" t="str">
        <f>""</f>
        <v/>
      </c>
      <c r="AE761" t="str">
        <f>""</f>
        <v/>
      </c>
      <c r="AF761" t="str">
        <f>"055"</f>
        <v>055</v>
      </c>
      <c r="AG761" t="str">
        <f t="shared" si="237"/>
        <v>FL</v>
      </c>
      <c r="AH761" t="str">
        <f>"1762873.00"</f>
        <v>1762873.00</v>
      </c>
      <c r="AI761" t="str">
        <f>"15696.00"</f>
        <v>15696.00</v>
      </c>
      <c r="AJ761" t="str">
        <f>"C55-000-586-6829-4"</f>
        <v>C55-000-586-6829-4</v>
      </c>
      <c r="AK761" t="str">
        <f>"12234"</f>
        <v>12234</v>
      </c>
      <c r="AL761">
        <v>3</v>
      </c>
      <c r="AM761">
        <v>885</v>
      </c>
      <c r="AN761">
        <v>288.99</v>
      </c>
      <c r="AQ761" t="s">
        <v>8035</v>
      </c>
      <c r="AR761" t="s">
        <v>8035</v>
      </c>
      <c r="AS761" t="s">
        <v>8035</v>
      </c>
      <c r="AU761" t="s">
        <v>396</v>
      </c>
      <c r="AV761">
        <v>2017</v>
      </c>
      <c r="AW761" t="str">
        <f>"07-2N-25-0000-0006-0000 "</f>
        <v xml:space="preserve">07-2N-25-0000-0006-0000 </v>
      </c>
      <c r="AZ761" t="s">
        <v>2386</v>
      </c>
      <c r="BD761" t="s">
        <v>2785</v>
      </c>
      <c r="BE761" t="s">
        <v>393</v>
      </c>
      <c r="BF761">
        <v>32011</v>
      </c>
      <c r="BG761" t="s">
        <v>2386</v>
      </c>
      <c r="BH761" t="s">
        <v>2787</v>
      </c>
      <c r="BI761">
        <v>-81.847486959009103</v>
      </c>
      <c r="BJ761">
        <v>30.603841443857899</v>
      </c>
      <c r="BK761" t="s">
        <v>8024</v>
      </c>
      <c r="BM761" t="s">
        <v>8025</v>
      </c>
      <c r="BN761" t="s">
        <v>928</v>
      </c>
      <c r="BO761">
        <v>32011</v>
      </c>
      <c r="BP761" t="s">
        <v>404</v>
      </c>
      <c r="BQ761">
        <v>5500</v>
      </c>
      <c r="BR761" t="s">
        <v>1353</v>
      </c>
      <c r="BS761">
        <v>7009</v>
      </c>
      <c r="BT761" t="s">
        <v>418</v>
      </c>
      <c r="BW761">
        <v>1762873</v>
      </c>
      <c r="BX761" t="s">
        <v>407</v>
      </c>
      <c r="BY761" t="s">
        <v>408</v>
      </c>
      <c r="CD761">
        <v>2017</v>
      </c>
      <c r="CG761">
        <v>15696</v>
      </c>
      <c r="CH761">
        <v>2017</v>
      </c>
      <c r="CI761">
        <v>15696</v>
      </c>
      <c r="CJ761">
        <v>125949</v>
      </c>
      <c r="CK761">
        <v>141645</v>
      </c>
      <c r="CL761">
        <v>2017</v>
      </c>
      <c r="CM761">
        <v>237.62</v>
      </c>
      <c r="CN761" s="1">
        <v>38488</v>
      </c>
      <c r="CZ761" s="1">
        <v>38488</v>
      </c>
      <c r="DD761" t="s">
        <v>2785</v>
      </c>
      <c r="DG761">
        <v>7</v>
      </c>
      <c r="DM761" t="s">
        <v>8026</v>
      </c>
      <c r="DO761" t="s">
        <v>8027</v>
      </c>
      <c r="DP761">
        <v>0</v>
      </c>
      <c r="DQ761">
        <v>0</v>
      </c>
      <c r="DR761" t="s">
        <v>411</v>
      </c>
      <c r="DS761" t="b">
        <v>1</v>
      </c>
      <c r="DT761" t="s">
        <v>396</v>
      </c>
      <c r="DV761" t="s">
        <v>446</v>
      </c>
      <c r="DX761">
        <v>-9999</v>
      </c>
      <c r="DZ761" t="s">
        <v>447</v>
      </c>
      <c r="EA761" t="s">
        <v>448</v>
      </c>
      <c r="EB761" t="s">
        <v>449</v>
      </c>
      <c r="EC761">
        <v>20101217</v>
      </c>
      <c r="ED761" t="s">
        <v>450</v>
      </c>
      <c r="EE761">
        <v>15.8</v>
      </c>
      <c r="EF761">
        <v>0</v>
      </c>
      <c r="EG761">
        <v>0</v>
      </c>
      <c r="EI761">
        <v>20160407</v>
      </c>
      <c r="EJ761">
        <v>0</v>
      </c>
      <c r="EK761">
        <v>0</v>
      </c>
      <c r="EP761" t="s">
        <v>421</v>
      </c>
      <c r="EQ761" t="s">
        <v>422</v>
      </c>
      <c r="ER761">
        <v>0</v>
      </c>
      <c r="ES761">
        <v>7</v>
      </c>
      <c r="ET761">
        <v>0</v>
      </c>
      <c r="EU761">
        <v>0</v>
      </c>
      <c r="EV761">
        <v>0</v>
      </c>
      <c r="EW761" s="2">
        <v>43222</v>
      </c>
      <c r="EX761" s="1">
        <v>42879</v>
      </c>
      <c r="EY761">
        <v>2016</v>
      </c>
      <c r="EZ761">
        <v>263.45999999999998</v>
      </c>
      <c r="FA761" t="s">
        <v>8036</v>
      </c>
      <c r="FB761">
        <v>0.25</v>
      </c>
      <c r="FC761" t="s">
        <v>424</v>
      </c>
      <c r="FD761" t="s">
        <v>425</v>
      </c>
      <c r="FE761" s="1">
        <v>43160</v>
      </c>
      <c r="FF761">
        <v>10</v>
      </c>
      <c r="FG761">
        <v>7336671</v>
      </c>
      <c r="FH761" t="s">
        <v>437</v>
      </c>
      <c r="FJ761" s="1">
        <v>42879</v>
      </c>
      <c r="FK761">
        <v>2016</v>
      </c>
      <c r="FL761">
        <v>263.45999999999998</v>
      </c>
      <c r="FM761" t="s">
        <v>8036</v>
      </c>
      <c r="FN761">
        <v>0.25</v>
      </c>
      <c r="FO761" t="s">
        <v>424</v>
      </c>
      <c r="FP761" t="s">
        <v>425</v>
      </c>
      <c r="FR761">
        <v>22</v>
      </c>
      <c r="FS761">
        <v>6788860</v>
      </c>
      <c r="FT761" t="s">
        <v>8037</v>
      </c>
      <c r="FV761" s="1">
        <v>42515</v>
      </c>
      <c r="FW761">
        <v>2015</v>
      </c>
      <c r="FX761">
        <v>256.48</v>
      </c>
      <c r="FY761" t="s">
        <v>8038</v>
      </c>
      <c r="FZ761">
        <v>0.25</v>
      </c>
      <c r="GA761" t="s">
        <v>424</v>
      </c>
      <c r="GB761" t="s">
        <v>425</v>
      </c>
      <c r="GC761" s="1">
        <v>42572</v>
      </c>
      <c r="GD761">
        <v>2</v>
      </c>
      <c r="GE761">
        <v>7336671</v>
      </c>
      <c r="GF761" t="s">
        <v>437</v>
      </c>
      <c r="GH761" s="1">
        <v>42515</v>
      </c>
      <c r="GI761">
        <v>2015</v>
      </c>
      <c r="GJ761">
        <v>256.48</v>
      </c>
      <c r="GK761" t="s">
        <v>8038</v>
      </c>
      <c r="GL761">
        <v>0.25</v>
      </c>
      <c r="GM761" t="s">
        <v>424</v>
      </c>
      <c r="GN761" t="s">
        <v>425</v>
      </c>
      <c r="GP761">
        <v>22</v>
      </c>
      <c r="GQ761">
        <v>6762117</v>
      </c>
      <c r="GR761" t="s">
        <v>8039</v>
      </c>
      <c r="GT761" s="1">
        <v>42151</v>
      </c>
      <c r="GU761">
        <v>2014</v>
      </c>
      <c r="GV761">
        <v>252.1</v>
      </c>
      <c r="GW761" t="s">
        <v>8040</v>
      </c>
      <c r="GX761">
        <v>4.75</v>
      </c>
      <c r="GY761" t="s">
        <v>424</v>
      </c>
      <c r="GZ761" t="s">
        <v>425</v>
      </c>
      <c r="HA761" s="1">
        <v>42385</v>
      </c>
      <c r="HB761">
        <v>8</v>
      </c>
      <c r="HC761">
        <v>4975593</v>
      </c>
      <c r="HD761" t="s">
        <v>505</v>
      </c>
      <c r="HF761" s="1">
        <v>41423</v>
      </c>
      <c r="HG761">
        <v>2012</v>
      </c>
      <c r="HH761">
        <v>115.72</v>
      </c>
      <c r="HI761" t="s">
        <v>8041</v>
      </c>
      <c r="HJ761">
        <v>9.75</v>
      </c>
      <c r="HK761" t="s">
        <v>424</v>
      </c>
      <c r="HL761" t="s">
        <v>425</v>
      </c>
      <c r="HM761" s="1">
        <v>41717</v>
      </c>
      <c r="HN761">
        <v>10</v>
      </c>
      <c r="HO761">
        <v>10021</v>
      </c>
      <c r="HP761" t="s">
        <v>597</v>
      </c>
      <c r="HR761" s="1">
        <v>41052</v>
      </c>
      <c r="HS761">
        <v>2011</v>
      </c>
      <c r="HT761">
        <v>109.36</v>
      </c>
      <c r="HU761" t="s">
        <v>8042</v>
      </c>
      <c r="HV761">
        <v>6.75</v>
      </c>
      <c r="HW761" t="s">
        <v>424</v>
      </c>
      <c r="HX761" t="s">
        <v>425</v>
      </c>
      <c r="HY761" s="1">
        <v>41695</v>
      </c>
      <c r="HZ761">
        <v>21</v>
      </c>
      <c r="IA761">
        <v>10125</v>
      </c>
      <c r="IB761" t="s">
        <v>440</v>
      </c>
    </row>
    <row r="762" spans="1:236" x14ac:dyDescent="0.25">
      <c r="A762">
        <v>16485769</v>
      </c>
      <c r="B762">
        <v>761</v>
      </c>
      <c r="C762" t="s">
        <v>393</v>
      </c>
      <c r="D762" t="s">
        <v>394</v>
      </c>
      <c r="F762" t="str">
        <f>"07-2N-25-0000-0006-0010"</f>
        <v>07-2N-25-0000-0006-0010</v>
      </c>
      <c r="H762" t="str">
        <f>"BELL FRANKLIN AARON"</f>
        <v>BELL FRANKLIN AARON</v>
      </c>
      <c r="I762" t="str">
        <f>"45419 ZIDELL ROAD"</f>
        <v>45419 ZIDELL ROAD</v>
      </c>
      <c r="J762" t="str">
        <f t="shared" si="238"/>
        <v>CALLAHAN FL 32011</v>
      </c>
      <c r="K762" t="str">
        <f>"UD HWY 1"</f>
        <v>UD HWY 1</v>
      </c>
      <c r="L762" t="str">
        <f t="shared" si="222"/>
        <v>CALLAHAN FL 32011</v>
      </c>
      <c r="M762" t="str">
        <f>"S1/3 OF W1/2 PT OR 1303/899"</f>
        <v>S1/3 OF W1/2 PT OR 1303/899</v>
      </c>
      <c r="N762" t="str">
        <f>""</f>
        <v/>
      </c>
      <c r="O762" t="str">
        <f>"22417"</f>
        <v>22417</v>
      </c>
      <c r="P762" t="str">
        <f t="shared" si="218"/>
        <v>2017</v>
      </c>
      <c r="Q762" t="str">
        <f>""</f>
        <v/>
      </c>
      <c r="R762" t="str">
        <f t="shared" si="239"/>
        <v>N</v>
      </c>
      <c r="S762" t="str">
        <f>"79.53"</f>
        <v>79.53</v>
      </c>
      <c r="T762" t="str">
        <f>"435.74"</f>
        <v>435.74</v>
      </c>
      <c r="U762" t="str">
        <f>"28783.00"</f>
        <v>28783.00</v>
      </c>
      <c r="V762" t="str">
        <f>"28783.00"</f>
        <v>28783.00</v>
      </c>
      <c r="W762" t="str">
        <f t="shared" si="219"/>
        <v>2017</v>
      </c>
      <c r="X762" t="str">
        <f>"10.00"</f>
        <v>10.00</v>
      </c>
      <c r="Y762" t="str">
        <f>"480.81"</f>
        <v>480.81</v>
      </c>
      <c r="Z762" t="str">
        <f>""</f>
        <v/>
      </c>
      <c r="AA762" t="str">
        <f>"28783.00"</f>
        <v>28783.00</v>
      </c>
      <c r="AB762" t="str">
        <f>"Agricultural"</f>
        <v>Agricultural</v>
      </c>
      <c r="AC762" t="str">
        <f t="shared" si="230"/>
        <v>0</v>
      </c>
      <c r="AD762" t="str">
        <f>""</f>
        <v/>
      </c>
      <c r="AE762" t="str">
        <f>""</f>
        <v/>
      </c>
      <c r="AF762" t="str">
        <f>"055"</f>
        <v>055</v>
      </c>
      <c r="AG762" t="str">
        <f t="shared" si="237"/>
        <v>FL</v>
      </c>
      <c r="AH762" t="str">
        <f>"3464326.00"</f>
        <v>3464326.00</v>
      </c>
      <c r="AI762" t="str">
        <f>"28783.00"</f>
        <v>28783.00</v>
      </c>
      <c r="AJ762" t="str">
        <f>"C55-000-589-2500-9"</f>
        <v>C55-000-589-2500-9</v>
      </c>
      <c r="AK762" t="str">
        <f>"12235"</f>
        <v>12235</v>
      </c>
      <c r="AL762">
        <v>3</v>
      </c>
      <c r="AM762">
        <v>886</v>
      </c>
      <c r="AN762">
        <v>503.25</v>
      </c>
      <c r="AQ762" t="s">
        <v>8043</v>
      </c>
      <c r="AR762" t="s">
        <v>8043</v>
      </c>
      <c r="AS762" t="s">
        <v>8043</v>
      </c>
      <c r="AU762" t="s">
        <v>396</v>
      </c>
      <c r="AV762">
        <v>2017</v>
      </c>
      <c r="AW762" t="str">
        <f>"07-2N-25-0000-0006-0010 "</f>
        <v xml:space="preserve">07-2N-25-0000-0006-0010 </v>
      </c>
      <c r="AZ762" t="s">
        <v>8044</v>
      </c>
      <c r="BD762" t="s">
        <v>2785</v>
      </c>
      <c r="BE762" t="s">
        <v>393</v>
      </c>
      <c r="BF762">
        <v>32011</v>
      </c>
      <c r="BG762" t="s">
        <v>8044</v>
      </c>
      <c r="BH762" t="s">
        <v>2787</v>
      </c>
      <c r="BI762">
        <v>-81.847424081691301</v>
      </c>
      <c r="BJ762">
        <v>30.601153256485102</v>
      </c>
      <c r="BK762" t="s">
        <v>8045</v>
      </c>
      <c r="BM762" t="s">
        <v>8046</v>
      </c>
      <c r="BN762" t="s">
        <v>928</v>
      </c>
      <c r="BO762">
        <v>32011</v>
      </c>
      <c r="BP762" t="s">
        <v>404</v>
      </c>
      <c r="BQ762">
        <v>5500</v>
      </c>
      <c r="BR762" t="s">
        <v>1353</v>
      </c>
      <c r="BS762">
        <v>7009</v>
      </c>
      <c r="BT762" t="s">
        <v>418</v>
      </c>
      <c r="BW762">
        <v>3464326</v>
      </c>
      <c r="BX762" t="s">
        <v>407</v>
      </c>
      <c r="BY762" t="s">
        <v>408</v>
      </c>
      <c r="CD762">
        <v>2017</v>
      </c>
      <c r="CG762">
        <v>28783</v>
      </c>
      <c r="CH762">
        <v>2017</v>
      </c>
      <c r="CI762">
        <v>28783</v>
      </c>
      <c r="CJ762">
        <v>209807</v>
      </c>
      <c r="CK762">
        <v>238590</v>
      </c>
      <c r="CL762">
        <v>2017</v>
      </c>
      <c r="CM762">
        <v>435.74</v>
      </c>
      <c r="CN762" s="1">
        <v>38432</v>
      </c>
      <c r="CZ762" s="1">
        <v>38432</v>
      </c>
      <c r="DD762" t="s">
        <v>2785</v>
      </c>
      <c r="DG762">
        <v>7</v>
      </c>
      <c r="DM762" t="s">
        <v>8026</v>
      </c>
      <c r="DO762" t="s">
        <v>8047</v>
      </c>
      <c r="DP762">
        <v>0</v>
      </c>
      <c r="DQ762">
        <v>0</v>
      </c>
      <c r="DR762" t="s">
        <v>411</v>
      </c>
      <c r="DS762" t="b">
        <v>1</v>
      </c>
      <c r="DT762" t="s">
        <v>396</v>
      </c>
      <c r="DV762" t="s">
        <v>446</v>
      </c>
      <c r="DX762">
        <v>-9999</v>
      </c>
      <c r="DZ762" t="s">
        <v>447</v>
      </c>
      <c r="EA762" t="s">
        <v>448</v>
      </c>
      <c r="EB762" t="s">
        <v>449</v>
      </c>
      <c r="EC762">
        <v>20101217</v>
      </c>
      <c r="ED762" t="s">
        <v>450</v>
      </c>
      <c r="EE762">
        <v>15.9</v>
      </c>
      <c r="EF762">
        <v>0</v>
      </c>
      <c r="EG762">
        <v>0</v>
      </c>
      <c r="EI762">
        <v>20160407</v>
      </c>
      <c r="EJ762">
        <v>0</v>
      </c>
      <c r="EK762">
        <v>0</v>
      </c>
      <c r="EP762" t="s">
        <v>421</v>
      </c>
      <c r="EQ762" t="s">
        <v>422</v>
      </c>
      <c r="ER762">
        <v>2</v>
      </c>
      <c r="ES762">
        <v>5</v>
      </c>
      <c r="ET762">
        <v>930.5</v>
      </c>
      <c r="EU762">
        <v>59.03</v>
      </c>
      <c r="EV762">
        <v>989.53</v>
      </c>
      <c r="EW762" s="2">
        <v>43222</v>
      </c>
      <c r="EX762" s="1">
        <v>42879</v>
      </c>
      <c r="EY762">
        <v>2016</v>
      </c>
      <c r="EZ762">
        <v>465.25</v>
      </c>
      <c r="FA762" t="s">
        <v>8048</v>
      </c>
      <c r="FB762">
        <v>0.25</v>
      </c>
      <c r="FC762" t="s">
        <v>424</v>
      </c>
      <c r="FD762" t="s">
        <v>454</v>
      </c>
      <c r="FF762">
        <v>12</v>
      </c>
      <c r="FG762">
        <v>7336671</v>
      </c>
      <c r="FH762" t="s">
        <v>437</v>
      </c>
      <c r="FJ762" s="1">
        <v>42879</v>
      </c>
      <c r="FK762">
        <v>2016</v>
      </c>
      <c r="FL762">
        <v>465.25</v>
      </c>
      <c r="FM762" t="s">
        <v>8048</v>
      </c>
      <c r="FN762">
        <v>0.25</v>
      </c>
      <c r="FO762" t="s">
        <v>424</v>
      </c>
      <c r="FP762" t="s">
        <v>454</v>
      </c>
      <c r="FR762">
        <v>12</v>
      </c>
      <c r="FS762">
        <v>6976420</v>
      </c>
      <c r="FT762" t="s">
        <v>8049</v>
      </c>
      <c r="FV762" s="1">
        <v>42515</v>
      </c>
      <c r="FW762">
        <v>2015</v>
      </c>
      <c r="FX762">
        <v>440.54</v>
      </c>
      <c r="FY762" t="s">
        <v>8050</v>
      </c>
      <c r="FZ762">
        <v>0.25</v>
      </c>
      <c r="GA762" t="s">
        <v>424</v>
      </c>
      <c r="GB762" t="s">
        <v>425</v>
      </c>
      <c r="GC762" s="1">
        <v>42821</v>
      </c>
      <c r="GD762">
        <v>10</v>
      </c>
      <c r="GE762">
        <v>7336671</v>
      </c>
      <c r="GF762" t="s">
        <v>437</v>
      </c>
      <c r="GH762" s="1">
        <v>42515</v>
      </c>
      <c r="GI762">
        <v>2015</v>
      </c>
      <c r="GJ762">
        <v>440.54</v>
      </c>
      <c r="GK762" t="s">
        <v>8050</v>
      </c>
      <c r="GL762">
        <v>0.25</v>
      </c>
      <c r="GM762" t="s">
        <v>424</v>
      </c>
      <c r="GN762" t="s">
        <v>425</v>
      </c>
      <c r="GP762">
        <v>22</v>
      </c>
      <c r="GQ762">
        <v>6954917</v>
      </c>
      <c r="GR762" t="s">
        <v>8051</v>
      </c>
      <c r="GT762" s="1">
        <v>42151</v>
      </c>
      <c r="GU762">
        <v>2014</v>
      </c>
      <c r="GV762">
        <v>434.17</v>
      </c>
      <c r="GW762" t="s">
        <v>8052</v>
      </c>
      <c r="GX762">
        <v>4.75</v>
      </c>
      <c r="GY762" t="s">
        <v>424</v>
      </c>
      <c r="GZ762" t="s">
        <v>425</v>
      </c>
      <c r="HA762" s="1">
        <v>42364</v>
      </c>
      <c r="HB762">
        <v>7</v>
      </c>
      <c r="HC762">
        <v>4975593</v>
      </c>
      <c r="HD762" t="s">
        <v>505</v>
      </c>
      <c r="HF762" s="1">
        <v>41423</v>
      </c>
      <c r="HG762">
        <v>2012</v>
      </c>
      <c r="HH762">
        <v>272.87</v>
      </c>
      <c r="HI762" t="s">
        <v>8053</v>
      </c>
      <c r="HJ762">
        <v>3.5</v>
      </c>
      <c r="HK762" t="s">
        <v>424</v>
      </c>
      <c r="HL762" t="s">
        <v>425</v>
      </c>
      <c r="HM762" s="1">
        <v>41717</v>
      </c>
      <c r="HN762">
        <v>10</v>
      </c>
      <c r="HO762">
        <v>15407</v>
      </c>
      <c r="HP762" t="s">
        <v>1134</v>
      </c>
      <c r="HR762" s="1">
        <v>41052</v>
      </c>
      <c r="HS762">
        <v>2011</v>
      </c>
      <c r="HT762">
        <v>269.24</v>
      </c>
      <c r="HU762" t="s">
        <v>8054</v>
      </c>
      <c r="HV762">
        <v>6.25</v>
      </c>
      <c r="HW762" t="s">
        <v>424</v>
      </c>
      <c r="HX762" t="s">
        <v>425</v>
      </c>
      <c r="HY762" s="1">
        <v>41359</v>
      </c>
      <c r="HZ762">
        <v>10</v>
      </c>
      <c r="IA762">
        <v>375</v>
      </c>
      <c r="IB762" t="s">
        <v>776</v>
      </c>
    </row>
    <row r="763" spans="1:236" x14ac:dyDescent="0.25">
      <c r="A763">
        <v>16485770</v>
      </c>
      <c r="B763">
        <v>762</v>
      </c>
      <c r="C763" t="s">
        <v>393</v>
      </c>
      <c r="D763" t="s">
        <v>394</v>
      </c>
      <c r="F763" t="str">
        <f>"07-2N-25-0000-0007-0000"</f>
        <v>07-2N-25-0000-0007-0000</v>
      </c>
      <c r="H763" t="str">
        <f>"BELL FRANKLIN AARON"</f>
        <v>BELL FRANKLIN AARON</v>
      </c>
      <c r="I763" t="str">
        <f>"45419 ZIDELL ROAD"</f>
        <v>45419 ZIDELL ROAD</v>
      </c>
      <c r="J763" t="str">
        <f t="shared" si="238"/>
        <v>CALLAHAN FL 32011</v>
      </c>
      <c r="K763" t="str">
        <f>"US HWY 1"</f>
        <v>US HWY 1</v>
      </c>
      <c r="L763" t="str">
        <f t="shared" si="222"/>
        <v>CALLAHAN FL 32011</v>
      </c>
      <c r="M763" t="str">
        <f>"PT OR 1303/899"</f>
        <v>PT OR 1303/899</v>
      </c>
      <c r="N763" t="str">
        <f>""</f>
        <v/>
      </c>
      <c r="O763" t="str">
        <f>"22420"</f>
        <v>22420</v>
      </c>
      <c r="P763" t="str">
        <f t="shared" si="218"/>
        <v>2017</v>
      </c>
      <c r="Q763" t="str">
        <f>""</f>
        <v/>
      </c>
      <c r="R763" t="str">
        <f t="shared" si="239"/>
        <v>N</v>
      </c>
      <c r="S763" t="str">
        <f>"20.00"</f>
        <v>20.00</v>
      </c>
      <c r="T763" t="str">
        <f>"99.92"</f>
        <v>99.92</v>
      </c>
      <c r="U763" t="str">
        <f>"6600.00"</f>
        <v>6600.00</v>
      </c>
      <c r="V763" t="str">
        <f>"6600.00"</f>
        <v>6600.00</v>
      </c>
      <c r="W763" t="str">
        <f t="shared" si="219"/>
        <v>2017</v>
      </c>
      <c r="X763" t="str">
        <f>"10.00"</f>
        <v>10.00</v>
      </c>
      <c r="Y763" t="str">
        <f>"134.92"</f>
        <v>134.92</v>
      </c>
      <c r="Z763" t="str">
        <f>""</f>
        <v/>
      </c>
      <c r="AA763" t="str">
        <f>"6600.00"</f>
        <v>6600.00</v>
      </c>
      <c r="AB763" t="str">
        <f>"Agricultural"</f>
        <v>Agricultural</v>
      </c>
      <c r="AC763" t="str">
        <f t="shared" si="230"/>
        <v>0</v>
      </c>
      <c r="AD763" t="str">
        <f>""</f>
        <v/>
      </c>
      <c r="AE763" t="str">
        <f>""</f>
        <v/>
      </c>
      <c r="AF763" t="str">
        <f>"055"</f>
        <v>055</v>
      </c>
      <c r="AG763" t="str">
        <f t="shared" si="237"/>
        <v>FL</v>
      </c>
      <c r="AH763" t="str">
        <f>"871200.00"</f>
        <v>871200.00</v>
      </c>
      <c r="AI763" t="str">
        <f>"6600.00"</f>
        <v>6600.00</v>
      </c>
      <c r="AJ763" t="str">
        <f>"C55-000-586-6832-8"</f>
        <v>C55-000-586-6832-8</v>
      </c>
      <c r="AK763" t="str">
        <f>"12238"</f>
        <v>12238</v>
      </c>
      <c r="AL763">
        <v>3</v>
      </c>
      <c r="AM763">
        <v>888</v>
      </c>
      <c r="AN763">
        <v>140.07</v>
      </c>
      <c r="AQ763" t="s">
        <v>8055</v>
      </c>
      <c r="AR763" t="s">
        <v>8055</v>
      </c>
      <c r="AS763" t="s">
        <v>8055</v>
      </c>
      <c r="AU763" t="s">
        <v>396</v>
      </c>
      <c r="AV763">
        <v>2017</v>
      </c>
      <c r="AW763" t="str">
        <f>"07-2N-25-0000-0007-0000 "</f>
        <v xml:space="preserve">07-2N-25-0000-0007-0000 </v>
      </c>
      <c r="AZ763" t="s">
        <v>2386</v>
      </c>
      <c r="BD763" t="s">
        <v>2785</v>
      </c>
      <c r="BE763" t="s">
        <v>393</v>
      </c>
      <c r="BF763">
        <v>32011</v>
      </c>
      <c r="BG763" t="s">
        <v>2386</v>
      </c>
      <c r="BH763" t="s">
        <v>2787</v>
      </c>
      <c r="BI763">
        <v>-81.847344950326502</v>
      </c>
      <c r="BJ763">
        <v>30.598697342231599</v>
      </c>
      <c r="BK763" t="s">
        <v>8045</v>
      </c>
      <c r="BM763" t="s">
        <v>8046</v>
      </c>
      <c r="BN763" t="s">
        <v>928</v>
      </c>
      <c r="BO763">
        <v>32011</v>
      </c>
      <c r="BP763" t="s">
        <v>404</v>
      </c>
      <c r="BQ763">
        <v>5500</v>
      </c>
      <c r="BR763" t="s">
        <v>1353</v>
      </c>
      <c r="BS763">
        <v>7009</v>
      </c>
      <c r="BT763" t="s">
        <v>418</v>
      </c>
      <c r="BW763">
        <v>871200</v>
      </c>
      <c r="BX763" t="s">
        <v>407</v>
      </c>
      <c r="BY763" t="s">
        <v>408</v>
      </c>
      <c r="CD763">
        <v>2017</v>
      </c>
      <c r="CG763">
        <v>6600</v>
      </c>
      <c r="CH763">
        <v>2017</v>
      </c>
      <c r="CI763">
        <v>6600</v>
      </c>
      <c r="CJ763">
        <v>83400</v>
      </c>
      <c r="CK763">
        <v>90000</v>
      </c>
      <c r="CL763">
        <v>2017</v>
      </c>
      <c r="CM763">
        <v>99.92</v>
      </c>
      <c r="CN763" s="1">
        <v>38432</v>
      </c>
      <c r="CZ763" s="1">
        <v>38432</v>
      </c>
      <c r="DD763" t="s">
        <v>2785</v>
      </c>
      <c r="DG763">
        <v>7</v>
      </c>
      <c r="DM763" t="s">
        <v>8026</v>
      </c>
      <c r="DO763" t="s">
        <v>8056</v>
      </c>
      <c r="DP763">
        <v>0</v>
      </c>
      <c r="DQ763">
        <v>0</v>
      </c>
      <c r="DR763" t="s">
        <v>411</v>
      </c>
      <c r="DS763" t="b">
        <v>1</v>
      </c>
      <c r="DT763" t="s">
        <v>470</v>
      </c>
      <c r="DU763" t="s">
        <v>471</v>
      </c>
      <c r="DV763" t="s">
        <v>472</v>
      </c>
      <c r="DX763">
        <v>-9999</v>
      </c>
      <c r="DZ763" t="s">
        <v>447</v>
      </c>
      <c r="EA763" t="s">
        <v>448</v>
      </c>
      <c r="EB763" t="s">
        <v>742</v>
      </c>
      <c r="EC763">
        <v>20101217</v>
      </c>
      <c r="ED763" t="s">
        <v>474</v>
      </c>
      <c r="EF763">
        <v>21.7</v>
      </c>
      <c r="EG763">
        <v>21.7</v>
      </c>
      <c r="EI763">
        <v>20160407</v>
      </c>
      <c r="EJ763">
        <v>0</v>
      </c>
      <c r="EK763">
        <v>0</v>
      </c>
      <c r="EP763" t="s">
        <v>421</v>
      </c>
      <c r="EQ763" t="s">
        <v>422</v>
      </c>
      <c r="ER763">
        <v>0</v>
      </c>
      <c r="ES763">
        <v>5</v>
      </c>
      <c r="ET763">
        <v>0</v>
      </c>
      <c r="EU763">
        <v>0</v>
      </c>
      <c r="EV763">
        <v>0</v>
      </c>
      <c r="EW763" s="2">
        <v>43222</v>
      </c>
      <c r="EX763" s="1">
        <v>42515</v>
      </c>
      <c r="EY763">
        <v>2015</v>
      </c>
      <c r="EZ763">
        <v>117.24</v>
      </c>
      <c r="FA763" t="s">
        <v>8057</v>
      </c>
      <c r="FB763">
        <v>0.25</v>
      </c>
      <c r="FC763" t="s">
        <v>424</v>
      </c>
      <c r="FD763" t="s">
        <v>425</v>
      </c>
      <c r="FE763" s="1">
        <v>42821</v>
      </c>
      <c r="FF763">
        <v>10</v>
      </c>
      <c r="FG763">
        <v>7336671</v>
      </c>
      <c r="FH763" t="s">
        <v>437</v>
      </c>
      <c r="FJ763" s="1">
        <v>42515</v>
      </c>
      <c r="FK763">
        <v>2015</v>
      </c>
      <c r="FL763">
        <v>117.24</v>
      </c>
      <c r="FM763" t="s">
        <v>8057</v>
      </c>
      <c r="FN763">
        <v>0.25</v>
      </c>
      <c r="FO763" t="s">
        <v>424</v>
      </c>
      <c r="FP763" t="s">
        <v>425</v>
      </c>
      <c r="FR763">
        <v>22</v>
      </c>
      <c r="FS763">
        <v>7027503</v>
      </c>
      <c r="FT763" t="s">
        <v>8058</v>
      </c>
      <c r="FV763" s="1">
        <v>42151</v>
      </c>
      <c r="FW763">
        <v>2014</v>
      </c>
      <c r="FX763">
        <v>116</v>
      </c>
      <c r="FY763" t="s">
        <v>8059</v>
      </c>
      <c r="FZ763">
        <v>4.75</v>
      </c>
      <c r="GA763" t="s">
        <v>424</v>
      </c>
      <c r="GB763" t="s">
        <v>425</v>
      </c>
      <c r="GC763" s="1">
        <v>42364</v>
      </c>
      <c r="GD763">
        <v>7</v>
      </c>
      <c r="GE763">
        <v>4975593</v>
      </c>
      <c r="GF763" t="s">
        <v>505</v>
      </c>
      <c r="GH763" s="1">
        <v>41423</v>
      </c>
      <c r="GI763">
        <v>2012</v>
      </c>
      <c r="GJ763">
        <v>75.239999999999995</v>
      </c>
      <c r="GK763" t="s">
        <v>8060</v>
      </c>
      <c r="GL763">
        <v>6.75</v>
      </c>
      <c r="GM763" t="s">
        <v>424</v>
      </c>
      <c r="GN763" t="s">
        <v>425</v>
      </c>
      <c r="GO763" s="1">
        <v>41717</v>
      </c>
      <c r="GP763">
        <v>10</v>
      </c>
      <c r="GQ763">
        <v>10178</v>
      </c>
      <c r="GR763" t="s">
        <v>8022</v>
      </c>
      <c r="GT763" s="1">
        <v>41052</v>
      </c>
      <c r="GU763">
        <v>2011</v>
      </c>
      <c r="GV763">
        <v>68.17</v>
      </c>
      <c r="GW763" t="s">
        <v>8061</v>
      </c>
      <c r="GX763">
        <v>8.75</v>
      </c>
      <c r="GY763" t="s">
        <v>424</v>
      </c>
      <c r="GZ763" t="s">
        <v>425</v>
      </c>
      <c r="HA763" s="1">
        <v>41359</v>
      </c>
      <c r="HB763">
        <v>10</v>
      </c>
      <c r="HC763">
        <v>10125</v>
      </c>
      <c r="HD763" t="s">
        <v>440</v>
      </c>
    </row>
    <row r="764" spans="1:236" x14ac:dyDescent="0.25">
      <c r="A764">
        <v>16485771</v>
      </c>
      <c r="B764">
        <v>763</v>
      </c>
      <c r="C764" t="s">
        <v>393</v>
      </c>
      <c r="D764" t="s">
        <v>394</v>
      </c>
      <c r="F764" t="str">
        <f>"09-2N-25-0000-0003-0030"</f>
        <v>09-2N-25-0000-0003-0030</v>
      </c>
      <c r="H764" t="str">
        <f>"WALL TIMBER PRODUCTS INC"</f>
        <v>WALL TIMBER PRODUCTS INC</v>
      </c>
      <c r="I764" t="str">
        <f>"45282 MUSSLEWHITE RD"</f>
        <v>45282 MUSSLEWHITE RD</v>
      </c>
      <c r="J764" t="str">
        <f t="shared" si="238"/>
        <v>CALLAHAN FL 32011</v>
      </c>
      <c r="K764" t="str">
        <f>"MUSSLEWHITE RD"</f>
        <v>MUSSLEWHITE RD</v>
      </c>
      <c r="L764" t="str">
        <f t="shared" si="222"/>
        <v>CALLAHAN FL 32011</v>
      </c>
      <c r="M764" t="str">
        <f>"PT OF SW1/4 OF R/W IN OR 2006/1994"</f>
        <v>PT OF SW1/4 OF R/W IN OR 2006/1994</v>
      </c>
      <c r="N764" t="str">
        <f>""</f>
        <v/>
      </c>
      <c r="O764" t="str">
        <f>"56012"</f>
        <v>56012</v>
      </c>
      <c r="P764" t="str">
        <f t="shared" si="218"/>
        <v>2017</v>
      </c>
      <c r="Q764" t="str">
        <f>""</f>
        <v/>
      </c>
      <c r="R764" t="str">
        <f t="shared" si="239"/>
        <v>N</v>
      </c>
      <c r="S764" t="str">
        <f>"10.00"</f>
        <v>10.00</v>
      </c>
      <c r="T764" t="str">
        <f>"2913.26"</f>
        <v>2913.26</v>
      </c>
      <c r="U764" t="str">
        <f>"192436.00"</f>
        <v>192436.00</v>
      </c>
      <c r="V764" t="str">
        <f>"192436.00"</f>
        <v>192436.00</v>
      </c>
      <c r="W764" t="str">
        <f t="shared" si="219"/>
        <v>2017</v>
      </c>
      <c r="X764" t="str">
        <f>""</f>
        <v/>
      </c>
      <c r="Y764" t="str">
        <f>"3032.66"</f>
        <v>3032.66</v>
      </c>
      <c r="Z764" t="str">
        <f>""</f>
        <v/>
      </c>
      <c r="AA764" t="str">
        <f>"192436.00"</f>
        <v>192436.00</v>
      </c>
      <c r="AB764" t="str">
        <f>"Commercial"</f>
        <v>Commercial</v>
      </c>
      <c r="AC764" t="str">
        <f t="shared" si="230"/>
        <v>0</v>
      </c>
      <c r="AD764" t="str">
        <f>"5"</f>
        <v>5</v>
      </c>
      <c r="AE764" t="str">
        <f>"STEEL FRAME/INCOMBUSTIBLE WALLS/ROOF"</f>
        <v>STEEL FRAME/INCOMBUSTIBLE WALLS/ROOF</v>
      </c>
      <c r="AF764" t="str">
        <f>"025"</f>
        <v>025</v>
      </c>
      <c r="AG764" t="str">
        <f t="shared" si="237"/>
        <v>FL</v>
      </c>
      <c r="AH764" t="str">
        <f>"435600.00"</f>
        <v>435600.00</v>
      </c>
      <c r="AI764" t="str">
        <f>"27500.00"</f>
        <v>27500.00</v>
      </c>
      <c r="AJ764" t="str">
        <f>"C55-001-080-4830-7"</f>
        <v>C55-001-080-4830-7</v>
      </c>
      <c r="AK764" t="str">
        <f>"12255"</f>
        <v>12255</v>
      </c>
      <c r="AL764">
        <v>3</v>
      </c>
      <c r="AM764">
        <v>889</v>
      </c>
      <c r="AN764">
        <v>3182.69</v>
      </c>
      <c r="AQ764" t="s">
        <v>8062</v>
      </c>
      <c r="AR764" t="s">
        <v>8062</v>
      </c>
      <c r="AS764" t="s">
        <v>8062</v>
      </c>
      <c r="AU764" t="s">
        <v>396</v>
      </c>
      <c r="AV764">
        <v>2017</v>
      </c>
      <c r="AW764" t="str">
        <f>"09-2N-25-0000-0003-0030 "</f>
        <v xml:space="preserve">09-2N-25-0000-0003-0030 </v>
      </c>
      <c r="AZ764" t="s">
        <v>7998</v>
      </c>
      <c r="BA764" t="s">
        <v>496</v>
      </c>
      <c r="BD764" t="s">
        <v>2785</v>
      </c>
      <c r="BE764" t="s">
        <v>393</v>
      </c>
      <c r="BF764">
        <v>32011</v>
      </c>
      <c r="BG764" t="s">
        <v>8063</v>
      </c>
      <c r="BH764" t="s">
        <v>2787</v>
      </c>
      <c r="BI764">
        <v>-81.812879106050801</v>
      </c>
      <c r="BJ764">
        <v>30.602703899465499</v>
      </c>
      <c r="BK764" t="s">
        <v>8064</v>
      </c>
      <c r="BM764" t="s">
        <v>8065</v>
      </c>
      <c r="BN764" t="s">
        <v>928</v>
      </c>
      <c r="BO764">
        <v>32011</v>
      </c>
      <c r="BP764" t="s">
        <v>404</v>
      </c>
      <c r="BQ764">
        <v>2500</v>
      </c>
      <c r="BR764" t="s">
        <v>8066</v>
      </c>
      <c r="BS764">
        <v>2027</v>
      </c>
      <c r="BT764" t="s">
        <v>8067</v>
      </c>
      <c r="BW764">
        <v>435600</v>
      </c>
      <c r="BX764" t="s">
        <v>407</v>
      </c>
      <c r="BZ764">
        <v>5</v>
      </c>
      <c r="CA764">
        <v>1999</v>
      </c>
      <c r="CD764">
        <v>2017</v>
      </c>
      <c r="CE764">
        <v>27500</v>
      </c>
      <c r="CF764">
        <v>164936</v>
      </c>
      <c r="CG764">
        <v>192436</v>
      </c>
      <c r="CH764">
        <v>2017</v>
      </c>
      <c r="CI764">
        <v>27500</v>
      </c>
      <c r="CJ764">
        <v>164936</v>
      </c>
      <c r="CK764">
        <v>192436</v>
      </c>
      <c r="CL764">
        <v>2017</v>
      </c>
      <c r="CM764">
        <v>2913.26</v>
      </c>
      <c r="CN764" s="1">
        <v>42265</v>
      </c>
      <c r="CO764">
        <v>107000</v>
      </c>
      <c r="CZ764" s="1">
        <v>42265</v>
      </c>
      <c r="DD764" t="s">
        <v>2785</v>
      </c>
      <c r="DG764">
        <v>9</v>
      </c>
      <c r="DL764">
        <v>50503</v>
      </c>
      <c r="DM764" t="s">
        <v>8068</v>
      </c>
      <c r="DO764" t="s">
        <v>8069</v>
      </c>
      <c r="DP764">
        <v>0</v>
      </c>
      <c r="DQ764">
        <v>3</v>
      </c>
      <c r="DR764" t="s">
        <v>1479</v>
      </c>
    </row>
    <row r="765" spans="1:236" x14ac:dyDescent="0.25">
      <c r="A765">
        <v>16485772</v>
      </c>
      <c r="B765">
        <v>764</v>
      </c>
      <c r="C765" t="s">
        <v>393</v>
      </c>
      <c r="D765" t="s">
        <v>394</v>
      </c>
      <c r="F765" t="str">
        <f>"12-2N-25-0000-0002-0050"</f>
        <v>12-2N-25-0000-0002-0050</v>
      </c>
      <c r="H765" t="str">
        <f>"HALEY WILLIAM J &amp; HALEY THOMAS J"</f>
        <v>HALEY WILLIAM J &amp; HALEY THOMAS J</v>
      </c>
      <c r="I765" t="str">
        <f>"PO BOX 2756"</f>
        <v>PO BOX 2756</v>
      </c>
      <c r="J765" t="str">
        <f>"LAKE CITY FL 32055"</f>
        <v>LAKE CITY FL 32055</v>
      </c>
      <c r="K765" t="str">
        <f>"SR 200"</f>
        <v>SR 200</v>
      </c>
      <c r="L765" t="str">
        <f t="shared" si="222"/>
        <v>CALLAHAN FL 32011</v>
      </c>
      <c r="M765" t="str">
        <f>"PT OR 1279/1851"</f>
        <v>PT OR 1279/1851</v>
      </c>
      <c r="N765" t="str">
        <f>""</f>
        <v/>
      </c>
      <c r="O765" t="str">
        <f>"27939"</f>
        <v>27939</v>
      </c>
      <c r="P765" t="str">
        <f t="shared" si="218"/>
        <v>2017</v>
      </c>
      <c r="Q765" t="str">
        <f>""</f>
        <v/>
      </c>
      <c r="R765" t="str">
        <f t="shared" si="239"/>
        <v>N</v>
      </c>
      <c r="S765" t="str">
        <f>"0.17"</f>
        <v>0.17</v>
      </c>
      <c r="T765" t="str">
        <f>"34.37"</f>
        <v>34.37</v>
      </c>
      <c r="U765" t="str">
        <f>"2054.00"</f>
        <v>2054.00</v>
      </c>
      <c r="V765" t="str">
        <f>"2054.00"</f>
        <v>2054.00</v>
      </c>
      <c r="W765" t="str">
        <f t="shared" si="219"/>
        <v>2017</v>
      </c>
      <c r="X765" t="str">
        <f>""</f>
        <v/>
      </c>
      <c r="Y765" t="str">
        <f>"67.40"</f>
        <v>67.40</v>
      </c>
      <c r="Z765" t="str">
        <f>""</f>
        <v/>
      </c>
      <c r="AA765" t="str">
        <f>"2550.00"</f>
        <v>2550.00</v>
      </c>
      <c r="AB765" t="str">
        <f t="shared" ref="AB765:AB777" si="240">"Residential"</f>
        <v>Residential</v>
      </c>
      <c r="AC765" t="str">
        <f t="shared" si="230"/>
        <v>0</v>
      </c>
      <c r="AD765" t="str">
        <f>""</f>
        <v/>
      </c>
      <c r="AE765" t="str">
        <f>""</f>
        <v/>
      </c>
      <c r="AF765" t="str">
        <f>"000"</f>
        <v>000</v>
      </c>
      <c r="AG765" t="str">
        <f t="shared" si="237"/>
        <v>FL</v>
      </c>
      <c r="AH765" t="str">
        <f>"7405.00"</f>
        <v>7405.00</v>
      </c>
      <c r="AI765" t="str">
        <f>"2550.00"</f>
        <v>2550.00</v>
      </c>
      <c r="AJ765" t="str">
        <f>"C55-000-588-8475-0"</f>
        <v>C55-000-588-8475-0</v>
      </c>
      <c r="AK765" t="str">
        <f>"12278"</f>
        <v>12278</v>
      </c>
      <c r="AL765">
        <v>3</v>
      </c>
      <c r="AM765">
        <v>890</v>
      </c>
      <c r="AN765">
        <v>69.17</v>
      </c>
      <c r="AQ765" t="s">
        <v>8070</v>
      </c>
      <c r="AR765" t="s">
        <v>8070</v>
      </c>
      <c r="AS765" t="s">
        <v>8070</v>
      </c>
      <c r="AU765" t="s">
        <v>396</v>
      </c>
      <c r="AV765">
        <v>2017</v>
      </c>
      <c r="AW765" t="str">
        <f>"12-2N-25-0000-0002-0050 "</f>
        <v xml:space="preserve">12-2N-25-0000-0002-0050 </v>
      </c>
      <c r="AZ765" t="s">
        <v>8071</v>
      </c>
      <c r="BD765" t="s">
        <v>2785</v>
      </c>
      <c r="BE765" t="s">
        <v>393</v>
      </c>
      <c r="BF765">
        <v>32011</v>
      </c>
      <c r="BG765" t="s">
        <v>8071</v>
      </c>
      <c r="BH765" t="s">
        <v>2787</v>
      </c>
      <c r="BI765">
        <v>-81.755520858857295</v>
      </c>
      <c r="BJ765">
        <v>30.6012659344097</v>
      </c>
      <c r="BK765" t="s">
        <v>8072</v>
      </c>
      <c r="BL765" t="s">
        <v>8073</v>
      </c>
      <c r="BM765" t="s">
        <v>8074</v>
      </c>
      <c r="BN765" t="s">
        <v>8075</v>
      </c>
      <c r="BO765">
        <v>32056</v>
      </c>
      <c r="BP765" t="s">
        <v>404</v>
      </c>
      <c r="BQ765">
        <v>0</v>
      </c>
      <c r="BR765" t="s">
        <v>491</v>
      </c>
      <c r="BS765">
        <v>8001</v>
      </c>
      <c r="BT765" t="s">
        <v>492</v>
      </c>
      <c r="BW765">
        <v>7405</v>
      </c>
      <c r="BX765" t="s">
        <v>407</v>
      </c>
      <c r="BY765" t="s">
        <v>408</v>
      </c>
      <c r="CD765">
        <v>2017</v>
      </c>
      <c r="CE765">
        <v>2550</v>
      </c>
      <c r="CG765">
        <v>2550</v>
      </c>
      <c r="CH765">
        <v>2017</v>
      </c>
      <c r="CI765">
        <v>2550</v>
      </c>
      <c r="CK765">
        <v>2550</v>
      </c>
      <c r="CL765">
        <v>2017</v>
      </c>
      <c r="CM765">
        <v>34.369999999999997</v>
      </c>
      <c r="CN765" s="1">
        <v>38330</v>
      </c>
      <c r="CO765">
        <v>40600</v>
      </c>
      <c r="CZ765" s="1">
        <v>38330</v>
      </c>
      <c r="DD765" t="s">
        <v>2785</v>
      </c>
      <c r="DG765">
        <v>12</v>
      </c>
      <c r="DL765">
        <v>50502</v>
      </c>
      <c r="DM765" t="s">
        <v>8076</v>
      </c>
      <c r="DO765" t="s">
        <v>8077</v>
      </c>
      <c r="DP765">
        <v>0</v>
      </c>
      <c r="DQ765">
        <v>0</v>
      </c>
      <c r="DR765" t="s">
        <v>411</v>
      </c>
      <c r="DS765" t="b">
        <v>1</v>
      </c>
      <c r="DT765" t="s">
        <v>470</v>
      </c>
      <c r="DU765" t="s">
        <v>471</v>
      </c>
      <c r="DV765" t="s">
        <v>472</v>
      </c>
      <c r="DX765">
        <v>-9999</v>
      </c>
      <c r="DZ765" t="s">
        <v>447</v>
      </c>
      <c r="EA765" t="s">
        <v>448</v>
      </c>
      <c r="EB765" t="s">
        <v>742</v>
      </c>
      <c r="EC765">
        <v>20101217</v>
      </c>
      <c r="ED765" t="s">
        <v>474</v>
      </c>
      <c r="EF765">
        <v>527.1</v>
      </c>
      <c r="EG765">
        <v>527.1</v>
      </c>
      <c r="EI765">
        <v>20160407</v>
      </c>
      <c r="EJ765">
        <v>0</v>
      </c>
      <c r="EK765">
        <v>0</v>
      </c>
      <c r="EP765" t="s">
        <v>595</v>
      </c>
      <c r="EQ765" t="s">
        <v>422</v>
      </c>
      <c r="ER765">
        <v>4</v>
      </c>
      <c r="ES765">
        <v>0</v>
      </c>
      <c r="ET765">
        <v>241.51</v>
      </c>
      <c r="EU765">
        <v>89</v>
      </c>
      <c r="EV765">
        <v>330.51</v>
      </c>
      <c r="EW765" s="2">
        <v>43222</v>
      </c>
      <c r="EX765" s="1">
        <v>42879</v>
      </c>
      <c r="EY765">
        <v>2016</v>
      </c>
      <c r="EZ765">
        <v>59.28</v>
      </c>
      <c r="FA765" t="s">
        <v>8078</v>
      </c>
      <c r="FB765">
        <v>18</v>
      </c>
      <c r="FC765" t="s">
        <v>603</v>
      </c>
      <c r="FD765" t="s">
        <v>454</v>
      </c>
      <c r="FF765">
        <v>12</v>
      </c>
      <c r="FG765">
        <v>9999999</v>
      </c>
      <c r="FH765" t="s">
        <v>604</v>
      </c>
      <c r="FJ765" s="1">
        <v>42879</v>
      </c>
      <c r="FK765">
        <v>2016</v>
      </c>
      <c r="FL765">
        <v>68.2</v>
      </c>
      <c r="FM765" t="s">
        <v>8078</v>
      </c>
      <c r="FN765">
        <v>18</v>
      </c>
      <c r="FO765" t="s">
        <v>424</v>
      </c>
      <c r="FP765" t="s">
        <v>454</v>
      </c>
      <c r="FR765">
        <v>12</v>
      </c>
      <c r="FS765">
        <v>7685300</v>
      </c>
      <c r="FT765" t="s">
        <v>2881</v>
      </c>
      <c r="FV765" s="1">
        <v>42515</v>
      </c>
      <c r="FW765">
        <v>2015</v>
      </c>
      <c r="FX765">
        <v>53.49</v>
      </c>
      <c r="FY765" t="s">
        <v>8079</v>
      </c>
      <c r="FZ765">
        <v>18</v>
      </c>
      <c r="GA765" t="s">
        <v>603</v>
      </c>
      <c r="GB765" t="s">
        <v>454</v>
      </c>
      <c r="GD765">
        <v>24</v>
      </c>
      <c r="GE765">
        <v>9999999</v>
      </c>
      <c r="GF765" t="s">
        <v>604</v>
      </c>
      <c r="GH765" s="1">
        <v>42515</v>
      </c>
      <c r="GI765">
        <v>2015</v>
      </c>
      <c r="GJ765">
        <v>60.54</v>
      </c>
      <c r="GK765" t="s">
        <v>8079</v>
      </c>
      <c r="GL765">
        <v>18</v>
      </c>
      <c r="GM765" t="s">
        <v>424</v>
      </c>
      <c r="GN765" t="s">
        <v>454</v>
      </c>
      <c r="GP765">
        <v>24</v>
      </c>
      <c r="GQ765">
        <v>7336685</v>
      </c>
      <c r="GR765" t="s">
        <v>5499</v>
      </c>
    </row>
    <row r="766" spans="1:236" x14ac:dyDescent="0.25">
      <c r="A766">
        <v>16485773</v>
      </c>
      <c r="B766">
        <v>765</v>
      </c>
      <c r="C766" t="s">
        <v>393</v>
      </c>
      <c r="D766" t="s">
        <v>394</v>
      </c>
      <c r="F766" t="str">
        <f>"12-2N-25-2350-0004-0000"</f>
        <v>12-2N-25-2350-0004-0000</v>
      </c>
      <c r="H766" t="str">
        <f>"HANNAH CLYDE CLAYTON JR &amp; DEDMON EDDIE L ET AL"</f>
        <v>HANNAH CLYDE CLAYTON JR &amp; DEDMON EDDIE L ET AL</v>
      </c>
      <c r="I766" t="str">
        <f>"55193 WHITE OAKS PL"</f>
        <v>55193 WHITE OAKS PL</v>
      </c>
      <c r="J766" t="str">
        <f>"CALLAHAN FL 32011"</f>
        <v>CALLAHAN FL 32011</v>
      </c>
      <c r="K766" t="str">
        <f>"55193 WHITE OAKS PL"</f>
        <v>55193 WHITE OAKS PL</v>
      </c>
      <c r="L766" t="str">
        <f t="shared" si="222"/>
        <v>CALLAHAN FL 32011</v>
      </c>
      <c r="M766" t="str">
        <f>"LOT 4 IN OR 1873/679 &amp; OR 1983/700 WHITE OAK SUBS PB 5/230"</f>
        <v>LOT 4 IN OR 1873/679 &amp; OR 1983/700 WHITE OAK SUBS PB 5/230</v>
      </c>
      <c r="N766" t="str">
        <f>""</f>
        <v/>
      </c>
      <c r="O766" t="str">
        <f>"27946"</f>
        <v>27946</v>
      </c>
      <c r="P766" t="str">
        <f t="shared" si="218"/>
        <v>2017</v>
      </c>
      <c r="Q766" t="str">
        <f>""</f>
        <v/>
      </c>
      <c r="R766" t="str">
        <f>"Y"</f>
        <v>Y</v>
      </c>
      <c r="S766" t="str">
        <f>""</f>
        <v/>
      </c>
      <c r="T766" t="str">
        <f>"1393.82"</f>
        <v>1393.82</v>
      </c>
      <c r="U766" t="str">
        <f>"123776.00"</f>
        <v>123776.00</v>
      </c>
      <c r="V766" t="str">
        <f>"123776.00"</f>
        <v>123776.00</v>
      </c>
      <c r="W766" t="str">
        <f t="shared" si="219"/>
        <v>2017</v>
      </c>
      <c r="X766" t="str">
        <f>""</f>
        <v/>
      </c>
      <c r="Y766" t="str">
        <f>"1467.63"</f>
        <v>1467.63</v>
      </c>
      <c r="Z766" t="str">
        <f>"25000.00"</f>
        <v>25000.00</v>
      </c>
      <c r="AA766" t="str">
        <f>"98776.00"</f>
        <v>98776.00</v>
      </c>
      <c r="AB766" t="str">
        <f t="shared" si="240"/>
        <v>Residential</v>
      </c>
      <c r="AC766" t="str">
        <f t="shared" si="230"/>
        <v>0</v>
      </c>
      <c r="AD766" t="str">
        <f t="shared" ref="AD766:AD772" si="241">"4"</f>
        <v>4</v>
      </c>
      <c r="AE766" t="str">
        <f t="shared" ref="AE766:AE772" si="242">"WOOD (INCLUDE STEEL STUDS)"</f>
        <v>WOOD (INCLUDE STEEL STUDS)</v>
      </c>
      <c r="AF766" t="str">
        <f>"001"</f>
        <v>001</v>
      </c>
      <c r="AG766" t="str">
        <f t="shared" si="237"/>
        <v>FL</v>
      </c>
      <c r="AH766" t="str">
        <f>"-"</f>
        <v>-</v>
      </c>
      <c r="AI766" t="str">
        <f>"25000.00"</f>
        <v>25000.00</v>
      </c>
      <c r="AJ766" t="str">
        <f>"C55-000-586-9411-8"</f>
        <v>C55-000-586-9411-8</v>
      </c>
      <c r="AK766" t="str">
        <f>"12283"</f>
        <v>12283</v>
      </c>
      <c r="AL766">
        <v>3</v>
      </c>
      <c r="AM766">
        <v>891</v>
      </c>
      <c r="AN766">
        <v>1539.41</v>
      </c>
      <c r="AQ766" t="s">
        <v>8080</v>
      </c>
      <c r="AR766" t="s">
        <v>8080</v>
      </c>
      <c r="AS766" t="s">
        <v>8080</v>
      </c>
      <c r="AU766" t="s">
        <v>396</v>
      </c>
      <c r="AV766">
        <v>2017</v>
      </c>
      <c r="AW766" t="str">
        <f>"12-2N-25-2350-0004-0000 "</f>
        <v xml:space="preserve">12-2N-25-2350-0004-0000 </v>
      </c>
      <c r="AX766">
        <v>55193</v>
      </c>
      <c r="AZ766" t="s">
        <v>8081</v>
      </c>
      <c r="BA766" t="s">
        <v>641</v>
      </c>
      <c r="BD766" t="s">
        <v>2785</v>
      </c>
      <c r="BE766" t="s">
        <v>393</v>
      </c>
      <c r="BF766">
        <v>32011</v>
      </c>
      <c r="BG766" t="s">
        <v>8082</v>
      </c>
      <c r="BH766" t="s">
        <v>2787</v>
      </c>
      <c r="BI766">
        <v>-81.754013054071905</v>
      </c>
      <c r="BJ766">
        <v>30.600839665775101</v>
      </c>
      <c r="BK766" t="s">
        <v>6064</v>
      </c>
      <c r="BL766" t="s">
        <v>8083</v>
      </c>
      <c r="BM766" t="s">
        <v>6065</v>
      </c>
      <c r="BN766" t="s">
        <v>928</v>
      </c>
      <c r="BO766">
        <v>32011</v>
      </c>
      <c r="BP766" t="s">
        <v>416</v>
      </c>
      <c r="BQ766">
        <v>100</v>
      </c>
      <c r="BR766" t="s">
        <v>514</v>
      </c>
      <c r="BS766">
        <v>1001</v>
      </c>
      <c r="BT766" t="s">
        <v>515</v>
      </c>
      <c r="BW766">
        <v>24348</v>
      </c>
      <c r="BX766" t="s">
        <v>407</v>
      </c>
      <c r="BY766" t="s">
        <v>2729</v>
      </c>
      <c r="BZ766">
        <v>4</v>
      </c>
      <c r="CA766">
        <v>2000</v>
      </c>
      <c r="CB766">
        <v>1</v>
      </c>
      <c r="CC766">
        <v>1</v>
      </c>
      <c r="CD766">
        <v>2017</v>
      </c>
      <c r="CE766">
        <v>25000</v>
      </c>
      <c r="CF766">
        <v>98776</v>
      </c>
      <c r="CG766">
        <v>123776</v>
      </c>
      <c r="CH766">
        <v>2017</v>
      </c>
      <c r="CI766">
        <v>25000</v>
      </c>
      <c r="CJ766">
        <v>98776</v>
      </c>
      <c r="CK766">
        <v>123776</v>
      </c>
      <c r="CL766">
        <v>2017</v>
      </c>
      <c r="CM766">
        <v>1393.82</v>
      </c>
      <c r="CN766" s="1">
        <v>42152</v>
      </c>
      <c r="CZ766" s="1">
        <v>42152</v>
      </c>
      <c r="DD766" t="s">
        <v>2785</v>
      </c>
      <c r="DF766">
        <v>4</v>
      </c>
      <c r="DG766">
        <v>12</v>
      </c>
      <c r="DL766">
        <v>50502</v>
      </c>
      <c r="DM766" t="s">
        <v>8076</v>
      </c>
      <c r="DO766" t="s">
        <v>8084</v>
      </c>
      <c r="DP766">
        <v>0</v>
      </c>
      <c r="DQ766">
        <v>0</v>
      </c>
      <c r="DR766" t="s">
        <v>411</v>
      </c>
      <c r="EP766" t="s">
        <v>421</v>
      </c>
      <c r="EQ766" t="s">
        <v>422</v>
      </c>
      <c r="ER766">
        <v>2</v>
      </c>
      <c r="ES766">
        <v>0</v>
      </c>
      <c r="ET766">
        <v>3101.54</v>
      </c>
      <c r="EU766">
        <v>167.58</v>
      </c>
      <c r="EV766">
        <v>3269.12</v>
      </c>
      <c r="EW766" s="2">
        <v>43222</v>
      </c>
      <c r="EX766" s="1">
        <v>42879</v>
      </c>
      <c r="EY766">
        <v>2016</v>
      </c>
      <c r="EZ766">
        <v>1550.77</v>
      </c>
      <c r="FA766" t="s">
        <v>8085</v>
      </c>
      <c r="FB766">
        <v>0.25</v>
      </c>
      <c r="FC766" t="s">
        <v>424</v>
      </c>
      <c r="FD766" t="s">
        <v>454</v>
      </c>
      <c r="FF766">
        <v>12</v>
      </c>
      <c r="FG766">
        <v>7336671</v>
      </c>
      <c r="FH766" t="s">
        <v>437</v>
      </c>
      <c r="FJ766" s="1">
        <v>42879</v>
      </c>
      <c r="FK766">
        <v>2016</v>
      </c>
      <c r="FL766">
        <v>1550.77</v>
      </c>
      <c r="FM766" t="s">
        <v>8085</v>
      </c>
      <c r="FN766">
        <v>0.25</v>
      </c>
      <c r="FO766" t="s">
        <v>424</v>
      </c>
      <c r="FP766" t="s">
        <v>454</v>
      </c>
      <c r="FR766">
        <v>12</v>
      </c>
      <c r="FS766">
        <v>5119620</v>
      </c>
      <c r="FT766" t="s">
        <v>8086</v>
      </c>
    </row>
    <row r="767" spans="1:236" x14ac:dyDescent="0.25">
      <c r="A767">
        <v>16485774</v>
      </c>
      <c r="B767">
        <v>766</v>
      </c>
      <c r="C767" t="s">
        <v>393</v>
      </c>
      <c r="D767" t="s">
        <v>394</v>
      </c>
      <c r="F767" t="str">
        <f>"14-2N-25-0000-0001-0020"</f>
        <v>14-2N-25-0000-0001-0020</v>
      </c>
      <c r="H767" t="str">
        <f>"BROWN JEAN"</f>
        <v>BROWN JEAN</v>
      </c>
      <c r="I767" t="str">
        <f>"55058 THOMAS ROAD"</f>
        <v>55058 THOMAS ROAD</v>
      </c>
      <c r="J767" t="str">
        <f>"CALLAHAN FL 32011"</f>
        <v>CALLAHAN FL 32011</v>
      </c>
      <c r="K767" t="str">
        <f>"55058 THOMAS RD"</f>
        <v>55058 THOMAS RD</v>
      </c>
      <c r="L767" t="str">
        <f t="shared" si="222"/>
        <v>CALLAHAN FL 32011</v>
      </c>
      <c r="M767" t="str">
        <f>"PT OR SW1/4 OF NW/14 &amp; PT OF GOVT LOT 1 IN OR 576/1014 EX R/W OR 1077/1646"</f>
        <v>PT OR SW1/4 OF NW/14 &amp; PT OF GOVT LOT 1 IN OR 576/1014 EX R/W OR 1077/1646</v>
      </c>
      <c r="N767" t="str">
        <f>""</f>
        <v/>
      </c>
      <c r="O767" t="str">
        <f>"29882"</f>
        <v>29882</v>
      </c>
      <c r="P767" t="str">
        <f t="shared" si="218"/>
        <v>2017</v>
      </c>
      <c r="Q767" t="str">
        <f>""</f>
        <v/>
      </c>
      <c r="R767" t="str">
        <f>"Y"</f>
        <v>Y</v>
      </c>
      <c r="S767" t="str">
        <f>"2.00"</f>
        <v>2.00</v>
      </c>
      <c r="T767" t="str">
        <f>"509.23"</f>
        <v>509.23</v>
      </c>
      <c r="U767" t="str">
        <f>"70967.00"</f>
        <v>70967.00</v>
      </c>
      <c r="V767" t="str">
        <f>"70967.00"</f>
        <v>70967.00</v>
      </c>
      <c r="W767" t="str">
        <f t="shared" si="219"/>
        <v>2017</v>
      </c>
      <c r="X767" t="str">
        <f>""</f>
        <v/>
      </c>
      <c r="Y767" t="str">
        <f>"556.51"</f>
        <v>556.51</v>
      </c>
      <c r="Z767" t="str">
        <f>"25500.00"</f>
        <v>25500.00</v>
      </c>
      <c r="AA767" t="str">
        <f>"45467.00"</f>
        <v>45467.00</v>
      </c>
      <c r="AB767" t="str">
        <f t="shared" si="240"/>
        <v>Residential</v>
      </c>
      <c r="AC767" t="str">
        <f t="shared" si="230"/>
        <v>0</v>
      </c>
      <c r="AD767" t="str">
        <f t="shared" si="241"/>
        <v>4</v>
      </c>
      <c r="AE767" t="str">
        <f t="shared" si="242"/>
        <v>WOOD (INCLUDE STEEL STUDS)</v>
      </c>
      <c r="AF767" t="str">
        <f>"001"</f>
        <v>001</v>
      </c>
      <c r="AG767" t="str">
        <f t="shared" si="237"/>
        <v>FL</v>
      </c>
      <c r="AH767" t="str">
        <f>"87120.00"</f>
        <v>87120.00</v>
      </c>
      <c r="AI767" t="str">
        <f>"24000.00"</f>
        <v>24000.00</v>
      </c>
      <c r="AJ767" t="str">
        <f>"C55-000-587-0137-6"</f>
        <v>C55-000-587-0137-6</v>
      </c>
      <c r="AK767" t="str">
        <f>"12318"</f>
        <v>12318</v>
      </c>
      <c r="AL767">
        <v>3</v>
      </c>
      <c r="AM767">
        <v>892</v>
      </c>
      <c r="AN767">
        <v>582.74</v>
      </c>
      <c r="AQ767" t="s">
        <v>8087</v>
      </c>
      <c r="AR767" t="s">
        <v>8087</v>
      </c>
      <c r="AS767" t="s">
        <v>8087</v>
      </c>
      <c r="AU767" t="s">
        <v>396</v>
      </c>
      <c r="AV767">
        <v>2017</v>
      </c>
      <c r="AW767" t="str">
        <f>"14-2N-25-0000-0001-0020 "</f>
        <v xml:space="preserve">14-2N-25-0000-0001-0020 </v>
      </c>
      <c r="AX767">
        <v>55058</v>
      </c>
      <c r="AZ767" t="s">
        <v>8088</v>
      </c>
      <c r="BA767" t="s">
        <v>496</v>
      </c>
      <c r="BD767" t="s">
        <v>2785</v>
      </c>
      <c r="BE767" t="s">
        <v>393</v>
      </c>
      <c r="BF767">
        <v>32011</v>
      </c>
      <c r="BG767" t="s">
        <v>8089</v>
      </c>
      <c r="BH767" t="s">
        <v>2787</v>
      </c>
      <c r="BI767">
        <v>-81.783365422753207</v>
      </c>
      <c r="BJ767">
        <v>30.5923708982208</v>
      </c>
      <c r="BK767" t="s">
        <v>8090</v>
      </c>
      <c r="BM767" t="s">
        <v>8089</v>
      </c>
      <c r="BN767" t="s">
        <v>928</v>
      </c>
      <c r="BO767">
        <v>32011</v>
      </c>
      <c r="BP767" t="s">
        <v>416</v>
      </c>
      <c r="BQ767">
        <v>100</v>
      </c>
      <c r="BR767" t="s">
        <v>514</v>
      </c>
      <c r="BS767">
        <v>1001</v>
      </c>
      <c r="BT767" t="s">
        <v>515</v>
      </c>
      <c r="BW767">
        <v>87120</v>
      </c>
      <c r="BX767" t="s">
        <v>407</v>
      </c>
      <c r="BY767" t="s">
        <v>408</v>
      </c>
      <c r="BZ767">
        <v>4</v>
      </c>
      <c r="CA767">
        <v>1991</v>
      </c>
      <c r="CB767">
        <v>2</v>
      </c>
      <c r="CC767">
        <v>1</v>
      </c>
      <c r="CD767">
        <v>2017</v>
      </c>
      <c r="CG767">
        <v>70967</v>
      </c>
      <c r="CH767">
        <v>2017</v>
      </c>
      <c r="CI767">
        <v>24000</v>
      </c>
      <c r="CJ767">
        <v>61989</v>
      </c>
      <c r="CK767">
        <v>85989</v>
      </c>
      <c r="CL767">
        <v>2017</v>
      </c>
      <c r="CM767">
        <v>509.23</v>
      </c>
      <c r="CN767" s="1">
        <v>37497</v>
      </c>
      <c r="CV767">
        <v>0</v>
      </c>
      <c r="CZ767" s="1">
        <v>37497</v>
      </c>
      <c r="DA767">
        <v>0</v>
      </c>
      <c r="DD767" t="s">
        <v>2785</v>
      </c>
      <c r="DF767">
        <v>1</v>
      </c>
      <c r="DG767">
        <v>14</v>
      </c>
      <c r="DL767">
        <v>50503</v>
      </c>
      <c r="DM767" t="s">
        <v>8091</v>
      </c>
      <c r="DO767" t="s">
        <v>8092</v>
      </c>
      <c r="DP767">
        <v>0</v>
      </c>
      <c r="DQ767">
        <v>0</v>
      </c>
      <c r="DR767" t="s">
        <v>411</v>
      </c>
    </row>
    <row r="768" spans="1:236" x14ac:dyDescent="0.25">
      <c r="A768">
        <v>16485775</v>
      </c>
      <c r="B768">
        <v>767</v>
      </c>
      <c r="C768" t="s">
        <v>393</v>
      </c>
      <c r="D768" t="s">
        <v>394</v>
      </c>
      <c r="F768" t="str">
        <f>"14-2N-25-0000-0001-0040"</f>
        <v>14-2N-25-0000-0001-0040</v>
      </c>
      <c r="H768" t="str">
        <f>"THOMPSON GARY &amp; MARY ANN"</f>
        <v>THOMPSON GARY &amp; MARY ANN</v>
      </c>
      <c r="I768" t="str">
        <f>"450769 SR 200"</f>
        <v>450769 SR 200</v>
      </c>
      <c r="J768" t="str">
        <f>"CALLAHAN FL 32011"</f>
        <v>CALLAHAN FL 32011</v>
      </c>
      <c r="K768" t="str">
        <f>"450769 SR 200"</f>
        <v>450769 SR 200</v>
      </c>
      <c r="L768" t="str">
        <f t="shared" si="222"/>
        <v>CALLAHAN FL 32011</v>
      </c>
      <c r="M768" t="str">
        <f>"PT OF SW1/4 OF NW1/4 IN OR 1420/1961 &amp; OR 1549/13 EX R/W CASE 03-64-CA"</f>
        <v>PT OF SW1/4 OF NW1/4 IN OR 1420/1961 &amp; OR 1549/13 EX R/W CASE 03-64-CA</v>
      </c>
      <c r="N768" t="str">
        <f>""</f>
        <v/>
      </c>
      <c r="O768" t="str">
        <f>"29884"</f>
        <v>29884</v>
      </c>
      <c r="P768" t="str">
        <f t="shared" si="218"/>
        <v>2017</v>
      </c>
      <c r="Q768" t="str">
        <f>""</f>
        <v/>
      </c>
      <c r="R768" t="str">
        <f>"Y"</f>
        <v>Y</v>
      </c>
      <c r="S768" t="str">
        <f>"0.94"</f>
        <v>0.94</v>
      </c>
      <c r="T768" t="str">
        <f>"1259.57"</f>
        <v>1259.57</v>
      </c>
      <c r="U768" t="str">
        <f>"122305.00"</f>
        <v>122305.00</v>
      </c>
      <c r="V768" t="str">
        <f>"122305.00"</f>
        <v>122305.00</v>
      </c>
      <c r="W768" t="str">
        <f t="shared" si="219"/>
        <v>2017</v>
      </c>
      <c r="X768" t="str">
        <f>"1.00"</f>
        <v>1.00</v>
      </c>
      <c r="Y768" t="str">
        <f>"1329.36"</f>
        <v>1329.36</v>
      </c>
      <c r="Z768" t="str">
        <f>"25000.00"</f>
        <v>25000.00</v>
      </c>
      <c r="AA768" t="str">
        <f>"97305.00"</f>
        <v>97305.00</v>
      </c>
      <c r="AB768" t="str">
        <f t="shared" si="240"/>
        <v>Residential</v>
      </c>
      <c r="AC768" t="str">
        <f t="shared" si="230"/>
        <v>0</v>
      </c>
      <c r="AD768" t="str">
        <f t="shared" si="241"/>
        <v>4</v>
      </c>
      <c r="AE768" t="str">
        <f t="shared" si="242"/>
        <v>WOOD (INCLUDE STEEL STUDS)</v>
      </c>
      <c r="AF768" t="str">
        <f>"001"</f>
        <v>001</v>
      </c>
      <c r="AG768" t="str">
        <f t="shared" si="237"/>
        <v>FL</v>
      </c>
      <c r="AH768" t="str">
        <f>"40946.00"</f>
        <v>40946.00</v>
      </c>
      <c r="AI768" t="str">
        <f>"14100.00"</f>
        <v>14100.00</v>
      </c>
      <c r="AJ768" t="str">
        <f>"C55-000-587-0139-2"</f>
        <v>C55-000-587-0139-2</v>
      </c>
      <c r="AK768" t="str">
        <f>"12320"</f>
        <v>12320</v>
      </c>
      <c r="AL768">
        <v>3</v>
      </c>
      <c r="AM768">
        <v>893</v>
      </c>
      <c r="AN768">
        <v>1394.23</v>
      </c>
      <c r="AQ768" t="s">
        <v>8093</v>
      </c>
      <c r="AR768" t="s">
        <v>8093</v>
      </c>
      <c r="AS768" t="s">
        <v>8093</v>
      </c>
      <c r="AU768" t="s">
        <v>396</v>
      </c>
      <c r="AV768">
        <v>2017</v>
      </c>
      <c r="AW768" t="str">
        <f>"14-2N-25-0000-0001-0040 "</f>
        <v xml:space="preserve">14-2N-25-0000-0001-0040 </v>
      </c>
      <c r="AX768">
        <v>450769</v>
      </c>
      <c r="AZ768" t="s">
        <v>8071</v>
      </c>
      <c r="BD768" t="s">
        <v>2785</v>
      </c>
      <c r="BE768" t="s">
        <v>393</v>
      </c>
      <c r="BF768">
        <v>32011</v>
      </c>
      <c r="BG768" t="s">
        <v>8094</v>
      </c>
      <c r="BH768" t="s">
        <v>2787</v>
      </c>
      <c r="BI768">
        <v>-81.7810859335044</v>
      </c>
      <c r="BJ768">
        <v>30.593188929401801</v>
      </c>
      <c r="BK768" t="s">
        <v>8095</v>
      </c>
      <c r="BL768" t="s">
        <v>8096</v>
      </c>
      <c r="BM768" t="s">
        <v>8097</v>
      </c>
      <c r="BN768" t="s">
        <v>928</v>
      </c>
      <c r="BO768">
        <v>32011</v>
      </c>
      <c r="BP768" t="s">
        <v>416</v>
      </c>
      <c r="BQ768">
        <v>100</v>
      </c>
      <c r="BR768" t="s">
        <v>514</v>
      </c>
      <c r="BS768">
        <v>1001</v>
      </c>
      <c r="BT768" t="s">
        <v>515</v>
      </c>
      <c r="BW768">
        <v>40946</v>
      </c>
      <c r="BX768" t="s">
        <v>407</v>
      </c>
      <c r="BY768" t="s">
        <v>408</v>
      </c>
      <c r="BZ768">
        <v>4</v>
      </c>
      <c r="CA768">
        <v>1990</v>
      </c>
      <c r="CB768">
        <v>1</v>
      </c>
      <c r="CC768">
        <v>1</v>
      </c>
      <c r="CD768">
        <v>2017</v>
      </c>
      <c r="CG768">
        <v>122305</v>
      </c>
      <c r="CH768">
        <v>2017</v>
      </c>
      <c r="CI768">
        <v>14100</v>
      </c>
      <c r="CJ768">
        <v>122906</v>
      </c>
      <c r="CK768">
        <v>137006</v>
      </c>
      <c r="CL768">
        <v>2017</v>
      </c>
      <c r="CM768">
        <v>1259.57</v>
      </c>
      <c r="CN768" s="1">
        <v>38884</v>
      </c>
      <c r="CO768">
        <v>150000</v>
      </c>
      <c r="CV768">
        <v>149900</v>
      </c>
      <c r="CX768" t="s">
        <v>707</v>
      </c>
      <c r="CZ768" s="1">
        <v>38884</v>
      </c>
      <c r="DA768">
        <v>0</v>
      </c>
      <c r="DD768" t="s">
        <v>2785</v>
      </c>
      <c r="DG768">
        <v>14</v>
      </c>
      <c r="DL768">
        <v>50503</v>
      </c>
      <c r="DM768" t="s">
        <v>8091</v>
      </c>
      <c r="DO768" t="s">
        <v>8098</v>
      </c>
      <c r="DP768">
        <v>0</v>
      </c>
      <c r="DQ768">
        <v>0</v>
      </c>
      <c r="DR768" t="s">
        <v>411</v>
      </c>
      <c r="DS768" t="b">
        <v>1</v>
      </c>
      <c r="DT768" t="s">
        <v>470</v>
      </c>
      <c r="DU768" t="s">
        <v>471</v>
      </c>
      <c r="DV768" t="s">
        <v>472</v>
      </c>
      <c r="DX768">
        <v>-9999</v>
      </c>
      <c r="DZ768" t="s">
        <v>447</v>
      </c>
      <c r="EA768" t="s">
        <v>448</v>
      </c>
      <c r="EB768" t="s">
        <v>742</v>
      </c>
      <c r="EC768">
        <v>20101217</v>
      </c>
      <c r="ED768" t="s">
        <v>474</v>
      </c>
      <c r="EF768">
        <v>339.7</v>
      </c>
      <c r="EG768">
        <v>339.7</v>
      </c>
      <c r="EI768">
        <v>20160407</v>
      </c>
      <c r="EJ768">
        <v>0</v>
      </c>
      <c r="EK768">
        <v>0</v>
      </c>
      <c r="EP768" t="s">
        <v>421</v>
      </c>
      <c r="EQ768" t="s">
        <v>422</v>
      </c>
      <c r="ER768">
        <v>0</v>
      </c>
      <c r="ES768">
        <v>2</v>
      </c>
      <c r="ET768">
        <v>0</v>
      </c>
      <c r="EU768">
        <v>0</v>
      </c>
      <c r="EV768">
        <v>0</v>
      </c>
      <c r="EW768" s="2">
        <v>43222</v>
      </c>
      <c r="EX768" s="1">
        <v>41052</v>
      </c>
      <c r="EY768">
        <v>2011</v>
      </c>
      <c r="EZ768">
        <v>1374.86</v>
      </c>
      <c r="FA768" t="s">
        <v>8099</v>
      </c>
      <c r="FB768">
        <v>0.25</v>
      </c>
      <c r="FC768" t="s">
        <v>424</v>
      </c>
      <c r="FD768" t="s">
        <v>425</v>
      </c>
      <c r="FE768" s="1">
        <v>41087</v>
      </c>
      <c r="FF768">
        <v>1</v>
      </c>
      <c r="FG768">
        <v>13067</v>
      </c>
      <c r="FH768" t="s">
        <v>429</v>
      </c>
      <c r="FJ768" s="1">
        <v>41052</v>
      </c>
      <c r="FK768">
        <v>2011</v>
      </c>
      <c r="FL768">
        <v>1374.86</v>
      </c>
      <c r="FM768" t="s">
        <v>8099</v>
      </c>
      <c r="FN768">
        <v>0.25</v>
      </c>
      <c r="FO768" t="s">
        <v>424</v>
      </c>
      <c r="FP768" t="s">
        <v>425</v>
      </c>
      <c r="FR768">
        <v>22</v>
      </c>
      <c r="FS768">
        <v>13467</v>
      </c>
      <c r="FT768" t="s">
        <v>8100</v>
      </c>
    </row>
    <row r="769" spans="1:284" x14ac:dyDescent="0.25">
      <c r="A769">
        <v>16485776</v>
      </c>
      <c r="B769">
        <v>768</v>
      </c>
      <c r="C769" t="s">
        <v>393</v>
      </c>
      <c r="D769" t="s">
        <v>394</v>
      </c>
      <c r="F769" t="str">
        <f>"15-2N-25-0000-0001-0070"</f>
        <v>15-2N-25-0000-0001-0070</v>
      </c>
      <c r="H769" t="str">
        <f>"ARMSTRONG DORIS C EST"</f>
        <v>ARMSTRONG DORIS C EST</v>
      </c>
      <c r="I769" t="str">
        <f>"55126 THOMAS RD"</f>
        <v>55126 THOMAS RD</v>
      </c>
      <c r="J769" t="str">
        <f>"CALLAHAN FL 32011"</f>
        <v>CALLAHAN FL 32011</v>
      </c>
      <c r="K769" t="str">
        <f>"55126 THOMAS RD"</f>
        <v>55126 THOMAS RD</v>
      </c>
      <c r="L769" t="str">
        <f t="shared" si="222"/>
        <v>CALLAHAN FL 32011</v>
      </c>
      <c r="M769" t="str">
        <f>"OR 274 PG 678"</f>
        <v>OR 274 PG 678</v>
      </c>
      <c r="N769" t="str">
        <f>""</f>
        <v/>
      </c>
      <c r="O769" t="str">
        <f>"30573"</f>
        <v>30573</v>
      </c>
      <c r="P769" t="str">
        <f t="shared" si="218"/>
        <v>2017</v>
      </c>
      <c r="Q769" t="str">
        <f>""</f>
        <v/>
      </c>
      <c r="R769" t="str">
        <f>"N"</f>
        <v>N</v>
      </c>
      <c r="S769" t="str">
        <f>"1.00"</f>
        <v>1.00</v>
      </c>
      <c r="T769" t="str">
        <f>"1697.88"</f>
        <v>1697.88</v>
      </c>
      <c r="U769" t="str">
        <f>"112154.00"</f>
        <v>112154.00</v>
      </c>
      <c r="V769" t="str">
        <f>"112154.00"</f>
        <v>112154.00</v>
      </c>
      <c r="W769" t="str">
        <f t="shared" si="219"/>
        <v>2017</v>
      </c>
      <c r="X769" t="str">
        <f>"16.00"</f>
        <v>16.00</v>
      </c>
      <c r="Y769" t="str">
        <f>"1780.82"</f>
        <v>1780.82</v>
      </c>
      <c r="Z769" t="str">
        <f>""</f>
        <v/>
      </c>
      <c r="AA769" t="str">
        <f>"112154.00"</f>
        <v>112154.00</v>
      </c>
      <c r="AB769" t="str">
        <f t="shared" si="240"/>
        <v>Residential</v>
      </c>
      <c r="AC769" t="str">
        <f t="shared" si="230"/>
        <v>0</v>
      </c>
      <c r="AD769" t="str">
        <f t="shared" si="241"/>
        <v>4</v>
      </c>
      <c r="AE769" t="str">
        <f t="shared" si="242"/>
        <v>WOOD (INCLUDE STEEL STUDS)</v>
      </c>
      <c r="AF769" t="str">
        <f>"001"</f>
        <v>001</v>
      </c>
      <c r="AG769" t="str">
        <f t="shared" si="237"/>
        <v>FL</v>
      </c>
      <c r="AH769" t="str">
        <f>"43560.00"</f>
        <v>43560.00</v>
      </c>
      <c r="AI769" t="str">
        <f>"15000.00"</f>
        <v>15000.00</v>
      </c>
      <c r="AJ769" t="str">
        <f>"C55-000-587-0533-6"</f>
        <v>C55-000-587-0533-6</v>
      </c>
      <c r="AK769" t="str">
        <f>"12369"</f>
        <v>12369</v>
      </c>
      <c r="AL769">
        <v>3</v>
      </c>
      <c r="AM769">
        <v>894</v>
      </c>
      <c r="AN769">
        <v>1868.26</v>
      </c>
      <c r="AQ769" t="s">
        <v>8101</v>
      </c>
      <c r="AR769" t="s">
        <v>8101</v>
      </c>
      <c r="AS769" t="s">
        <v>8101</v>
      </c>
      <c r="AU769" t="s">
        <v>396</v>
      </c>
      <c r="AV769">
        <v>2017</v>
      </c>
      <c r="AW769" t="str">
        <f>"15-2N-25-0000-0001-0070 "</f>
        <v xml:space="preserve">15-2N-25-0000-0001-0070 </v>
      </c>
      <c r="AX769">
        <v>55126</v>
      </c>
      <c r="AZ769" t="s">
        <v>8088</v>
      </c>
      <c r="BA769" t="s">
        <v>496</v>
      </c>
      <c r="BD769" t="s">
        <v>2785</v>
      </c>
      <c r="BE769" t="s">
        <v>393</v>
      </c>
      <c r="BF769">
        <v>32011</v>
      </c>
      <c r="BG769" t="s">
        <v>8102</v>
      </c>
      <c r="BH769" t="s">
        <v>2787</v>
      </c>
      <c r="BI769">
        <v>-81.784152100491994</v>
      </c>
      <c r="BJ769">
        <v>30.593666518143401</v>
      </c>
      <c r="BK769" t="s">
        <v>8103</v>
      </c>
      <c r="BM769" t="s">
        <v>8102</v>
      </c>
      <c r="BN769" t="s">
        <v>928</v>
      </c>
      <c r="BO769">
        <v>32011</v>
      </c>
      <c r="BP769" t="s">
        <v>416</v>
      </c>
      <c r="BQ769">
        <v>100</v>
      </c>
      <c r="BR769" t="s">
        <v>514</v>
      </c>
      <c r="BS769">
        <v>1001</v>
      </c>
      <c r="BT769" t="s">
        <v>515</v>
      </c>
      <c r="BW769">
        <v>40912</v>
      </c>
      <c r="BX769" t="s">
        <v>407</v>
      </c>
      <c r="BY769" t="s">
        <v>408</v>
      </c>
      <c r="BZ769">
        <v>4</v>
      </c>
      <c r="CA769">
        <v>1982</v>
      </c>
      <c r="CB769">
        <v>1</v>
      </c>
      <c r="CC769">
        <v>1</v>
      </c>
      <c r="CD769">
        <v>2017</v>
      </c>
      <c r="CE769">
        <v>15000</v>
      </c>
      <c r="CF769">
        <v>97154</v>
      </c>
      <c r="CG769">
        <v>112154</v>
      </c>
      <c r="CH769">
        <v>2017</v>
      </c>
      <c r="CI769">
        <v>15000</v>
      </c>
      <c r="CJ769">
        <v>97154</v>
      </c>
      <c r="CK769">
        <v>112154</v>
      </c>
      <c r="CL769">
        <v>2017</v>
      </c>
      <c r="CM769">
        <v>1697.88</v>
      </c>
      <c r="CN769" s="1">
        <v>28734</v>
      </c>
      <c r="CO769">
        <v>2000</v>
      </c>
      <c r="CZ769" s="1">
        <v>28734</v>
      </c>
      <c r="DD769" t="s">
        <v>2785</v>
      </c>
      <c r="DG769">
        <v>15</v>
      </c>
      <c r="DL769">
        <v>50503</v>
      </c>
      <c r="DM769" t="s">
        <v>8104</v>
      </c>
      <c r="DO769" t="s">
        <v>8105</v>
      </c>
      <c r="DP769">
        <v>0</v>
      </c>
      <c r="DQ769">
        <v>0</v>
      </c>
      <c r="DR769" t="s">
        <v>411</v>
      </c>
      <c r="DS769" t="b">
        <v>1</v>
      </c>
      <c r="DT769" t="s">
        <v>470</v>
      </c>
      <c r="DU769" t="s">
        <v>471</v>
      </c>
      <c r="DV769" t="s">
        <v>472</v>
      </c>
      <c r="DX769">
        <v>-9999</v>
      </c>
      <c r="DZ769" t="s">
        <v>447</v>
      </c>
      <c r="EA769" t="s">
        <v>448</v>
      </c>
      <c r="EB769" t="s">
        <v>742</v>
      </c>
      <c r="EC769">
        <v>20101217</v>
      </c>
      <c r="ED769" t="s">
        <v>474</v>
      </c>
      <c r="EF769">
        <v>1012.6</v>
      </c>
      <c r="EG769">
        <v>1012.6</v>
      </c>
      <c r="EI769">
        <v>20160407</v>
      </c>
      <c r="EJ769">
        <v>0</v>
      </c>
      <c r="EK769">
        <v>0</v>
      </c>
      <c r="EP769" t="s">
        <v>421</v>
      </c>
      <c r="EQ769" t="s">
        <v>422</v>
      </c>
      <c r="ER769">
        <v>2</v>
      </c>
      <c r="ES769">
        <v>4</v>
      </c>
      <c r="ET769">
        <v>3622.9</v>
      </c>
      <c r="EU769">
        <v>193.64</v>
      </c>
      <c r="EV769">
        <v>3816.54</v>
      </c>
      <c r="EW769" s="2">
        <v>43222</v>
      </c>
      <c r="EX769" s="1">
        <v>42879</v>
      </c>
      <c r="EY769">
        <v>2016</v>
      </c>
      <c r="EZ769">
        <v>1811.45</v>
      </c>
      <c r="FA769" t="s">
        <v>8106</v>
      </c>
      <c r="FB769">
        <v>0.25</v>
      </c>
      <c r="FC769" t="s">
        <v>424</v>
      </c>
      <c r="FD769" t="s">
        <v>454</v>
      </c>
      <c r="FF769">
        <v>12</v>
      </c>
      <c r="FG769">
        <v>5856194</v>
      </c>
      <c r="FH769" t="s">
        <v>2685</v>
      </c>
      <c r="FJ769" s="1">
        <v>42879</v>
      </c>
      <c r="FK769">
        <v>2016</v>
      </c>
      <c r="FL769">
        <v>1811.45</v>
      </c>
      <c r="FM769" t="s">
        <v>8106</v>
      </c>
      <c r="FN769">
        <v>0.25</v>
      </c>
      <c r="FO769" t="s">
        <v>424</v>
      </c>
      <c r="FP769" t="s">
        <v>454</v>
      </c>
      <c r="FR769">
        <v>12</v>
      </c>
      <c r="FS769">
        <v>6237878</v>
      </c>
      <c r="FT769" t="s">
        <v>8107</v>
      </c>
      <c r="FV769" s="1">
        <v>42515</v>
      </c>
      <c r="FW769">
        <v>2015</v>
      </c>
      <c r="FX769">
        <v>1027.93</v>
      </c>
      <c r="FY769" t="s">
        <v>8108</v>
      </c>
      <c r="FZ769">
        <v>0.25</v>
      </c>
      <c r="GA769" t="s">
        <v>424</v>
      </c>
      <c r="GB769" t="s">
        <v>425</v>
      </c>
      <c r="GC769" s="1">
        <v>43174</v>
      </c>
      <c r="GD769">
        <v>22</v>
      </c>
      <c r="GE769">
        <v>11289</v>
      </c>
      <c r="GF769" t="s">
        <v>787</v>
      </c>
      <c r="GH769" s="1">
        <v>42515</v>
      </c>
      <c r="GI769">
        <v>2015</v>
      </c>
      <c r="GJ769">
        <v>1027.93</v>
      </c>
      <c r="GK769" t="s">
        <v>8108</v>
      </c>
      <c r="GL769">
        <v>0.25</v>
      </c>
      <c r="GM769" t="s">
        <v>424</v>
      </c>
      <c r="GN769" t="s">
        <v>425</v>
      </c>
      <c r="GP769">
        <v>22</v>
      </c>
      <c r="GQ769">
        <v>7092798</v>
      </c>
      <c r="GR769" t="s">
        <v>8109</v>
      </c>
      <c r="GT769" s="1">
        <v>42151</v>
      </c>
      <c r="GU769">
        <v>2014</v>
      </c>
      <c r="GV769">
        <v>1020.43</v>
      </c>
      <c r="GW769" t="s">
        <v>8110</v>
      </c>
      <c r="GX769">
        <v>0.25</v>
      </c>
      <c r="GY769" t="s">
        <v>424</v>
      </c>
      <c r="GZ769" t="s">
        <v>425</v>
      </c>
      <c r="HA769" s="1">
        <v>42433</v>
      </c>
      <c r="HB769">
        <v>10</v>
      </c>
      <c r="HC769">
        <v>4975594</v>
      </c>
      <c r="HD769" t="s">
        <v>457</v>
      </c>
      <c r="HF769" s="1">
        <v>42151</v>
      </c>
      <c r="HG769">
        <v>2014</v>
      </c>
      <c r="HH769">
        <v>1020.43</v>
      </c>
      <c r="HI769" t="s">
        <v>8110</v>
      </c>
      <c r="HJ769">
        <v>0.25</v>
      </c>
      <c r="HK769" t="s">
        <v>424</v>
      </c>
      <c r="HL769" t="s">
        <v>425</v>
      </c>
      <c r="HN769">
        <v>22</v>
      </c>
      <c r="HO769">
        <v>6590587</v>
      </c>
      <c r="HP769" t="s">
        <v>8111</v>
      </c>
    </row>
    <row r="770" spans="1:284" x14ac:dyDescent="0.25">
      <c r="A770">
        <v>16485777</v>
      </c>
      <c r="B770">
        <v>769</v>
      </c>
      <c r="C770" t="s">
        <v>393</v>
      </c>
      <c r="D770" t="s">
        <v>394</v>
      </c>
      <c r="F770" t="str">
        <f>"15-2N-25-2980-0001-0010"</f>
        <v>15-2N-25-2980-0001-0010</v>
      </c>
      <c r="H770" t="str">
        <f>"WILLIAMS CATHY LOWE"</f>
        <v>WILLIAMS CATHY LOWE</v>
      </c>
      <c r="I770" t="str">
        <f>"36127 MATT DYLAN RD"</f>
        <v>36127 MATT DYLAN RD</v>
      </c>
      <c r="J770" t="str">
        <f>"CALLAHAN FL 32011"</f>
        <v>CALLAHAN FL 32011</v>
      </c>
      <c r="K770" t="str">
        <f>"55049 THOMAS RD"</f>
        <v>55049 THOMAS RD</v>
      </c>
      <c r="L770" t="str">
        <f t="shared" si="222"/>
        <v>CALLAHAN FL 32011</v>
      </c>
      <c r="M770" t="str">
        <f>"PT OF LOT 1 (S-1) IN OR 2116/1857 R788153 &amp; R788154 EX R/W OR 1049/1150 PITTMAN ACRES PB 4/8"</f>
        <v>PT OF LOT 1 (S-1) IN OR 2116/1857 R788153 &amp; R788154 EX R/W OR 1049/1150 PITTMAN ACRES PB 4/8</v>
      </c>
      <c r="N770" t="str">
        <f>""</f>
        <v/>
      </c>
      <c r="O770" t="str">
        <f>"30602"</f>
        <v>30602</v>
      </c>
      <c r="P770" t="str">
        <f t="shared" ref="P770:P833" si="243">"2017"</f>
        <v>2017</v>
      </c>
      <c r="Q770" t="str">
        <f>""</f>
        <v/>
      </c>
      <c r="R770" t="str">
        <f>"N"</f>
        <v>N</v>
      </c>
      <c r="S770" t="str">
        <f>"1.14"</f>
        <v>1.14</v>
      </c>
      <c r="T770" t="str">
        <f>"752.38"</f>
        <v>752.38</v>
      </c>
      <c r="U770" t="str">
        <f>"48234.00"</f>
        <v>48234.00</v>
      </c>
      <c r="V770" t="str">
        <f>"48234.00"</f>
        <v>48234.00</v>
      </c>
      <c r="W770" t="str">
        <f t="shared" ref="W770:W833" si="244">"2017"</f>
        <v>2017</v>
      </c>
      <c r="X770" t="str">
        <f>""</f>
        <v/>
      </c>
      <c r="Y770" t="str">
        <f>"806.95"</f>
        <v>806.95</v>
      </c>
      <c r="Z770" t="str">
        <f>""</f>
        <v/>
      </c>
      <c r="AA770" t="str">
        <f>"51595.00"</f>
        <v>51595.00</v>
      </c>
      <c r="AB770" t="str">
        <f t="shared" si="240"/>
        <v>Residential</v>
      </c>
      <c r="AC770" t="str">
        <f t="shared" si="230"/>
        <v>0</v>
      </c>
      <c r="AD770" t="str">
        <f t="shared" si="241"/>
        <v>4</v>
      </c>
      <c r="AE770" t="str">
        <f t="shared" si="242"/>
        <v>WOOD (INCLUDE STEEL STUDS)</v>
      </c>
      <c r="AF770" t="str">
        <f>"002"</f>
        <v>002</v>
      </c>
      <c r="AG770" t="str">
        <f t="shared" si="237"/>
        <v>FL</v>
      </c>
      <c r="AH770" t="str">
        <f>"49658.00"</f>
        <v>49658.00</v>
      </c>
      <c r="AI770" t="str">
        <f>"17100.00"</f>
        <v>17100.00</v>
      </c>
      <c r="AJ770" t="str">
        <f>"C55-000-587-0558-3"</f>
        <v>C55-000-587-0558-3</v>
      </c>
      <c r="AK770" t="str">
        <f>"12397"</f>
        <v>12397</v>
      </c>
      <c r="AL770">
        <v>3</v>
      </c>
      <c r="AM770">
        <v>895</v>
      </c>
      <c r="AN770">
        <v>845.7</v>
      </c>
      <c r="AQ770" t="s">
        <v>8112</v>
      </c>
      <c r="AR770" t="s">
        <v>8112</v>
      </c>
      <c r="AS770" t="s">
        <v>8112</v>
      </c>
      <c r="AU770" t="s">
        <v>396</v>
      </c>
      <c r="AV770">
        <v>2017</v>
      </c>
      <c r="AW770" t="str">
        <f>"15-2N-25-2980-0001-0010 "</f>
        <v xml:space="preserve">15-2N-25-2980-0001-0010 </v>
      </c>
      <c r="AX770">
        <v>55049</v>
      </c>
      <c r="AZ770" t="s">
        <v>8088</v>
      </c>
      <c r="BA770" t="s">
        <v>496</v>
      </c>
      <c r="BD770" t="s">
        <v>2785</v>
      </c>
      <c r="BE770" t="s">
        <v>393</v>
      </c>
      <c r="BF770">
        <v>32011</v>
      </c>
      <c r="BG770" t="s">
        <v>8113</v>
      </c>
      <c r="BH770" t="s">
        <v>2787</v>
      </c>
      <c r="BI770">
        <v>-81.784185074439904</v>
      </c>
      <c r="BJ770">
        <v>30.592120776331601</v>
      </c>
      <c r="BK770" t="s">
        <v>8114</v>
      </c>
      <c r="BM770" t="s">
        <v>8115</v>
      </c>
      <c r="BN770" t="s">
        <v>928</v>
      </c>
      <c r="BO770">
        <v>32011</v>
      </c>
      <c r="BP770" t="s">
        <v>404</v>
      </c>
      <c r="BQ770">
        <v>200</v>
      </c>
      <c r="BR770" t="s">
        <v>405</v>
      </c>
      <c r="BS770">
        <v>1006</v>
      </c>
      <c r="BT770" t="s">
        <v>406</v>
      </c>
      <c r="BW770">
        <v>49658</v>
      </c>
      <c r="BX770" t="s">
        <v>407</v>
      </c>
      <c r="BZ770">
        <v>4</v>
      </c>
      <c r="CA770">
        <v>1999</v>
      </c>
      <c r="CB770">
        <v>1</v>
      </c>
      <c r="CC770">
        <v>1</v>
      </c>
      <c r="CD770">
        <v>2017</v>
      </c>
      <c r="CE770">
        <v>17100</v>
      </c>
      <c r="CF770">
        <v>34495</v>
      </c>
      <c r="CG770">
        <v>51595</v>
      </c>
      <c r="CH770">
        <v>2017</v>
      </c>
      <c r="CI770">
        <v>17100</v>
      </c>
      <c r="CJ770">
        <v>34495</v>
      </c>
      <c r="CK770">
        <v>51595</v>
      </c>
      <c r="CL770">
        <v>2017</v>
      </c>
      <c r="CM770">
        <v>752.38</v>
      </c>
      <c r="CN770" s="1">
        <v>42856</v>
      </c>
      <c r="CO770">
        <v>74500</v>
      </c>
      <c r="CV770">
        <v>0</v>
      </c>
      <c r="CZ770" s="1">
        <v>42856</v>
      </c>
      <c r="DA770">
        <v>0</v>
      </c>
      <c r="DD770" t="s">
        <v>2785</v>
      </c>
      <c r="DF770">
        <v>1</v>
      </c>
      <c r="DG770">
        <v>15</v>
      </c>
      <c r="DL770">
        <v>50503</v>
      </c>
      <c r="DM770" t="s">
        <v>8104</v>
      </c>
      <c r="DO770" t="s">
        <v>8116</v>
      </c>
      <c r="DP770">
        <v>0</v>
      </c>
      <c r="DQ770">
        <v>0</v>
      </c>
      <c r="DR770" t="s">
        <v>411</v>
      </c>
    </row>
    <row r="771" spans="1:284" x14ac:dyDescent="0.25">
      <c r="A771">
        <v>16485778</v>
      </c>
      <c r="B771">
        <v>770</v>
      </c>
      <c r="C771" t="s">
        <v>393</v>
      </c>
      <c r="D771" t="s">
        <v>394</v>
      </c>
      <c r="F771" t="str">
        <f>"15-2N-25-2980-0009-0030"</f>
        <v>15-2N-25-2980-0009-0030</v>
      </c>
      <c r="H771" t="str">
        <f>"CARRIGG DAVID"</f>
        <v>CARRIGG DAVID</v>
      </c>
      <c r="I771" t="str">
        <f>"145 PINE TREE RD"</f>
        <v>145 PINE TREE RD</v>
      </c>
      <c r="J771" t="str">
        <f>"EAST PALATKA FL 32131"</f>
        <v>EAST PALATKA FL 32131</v>
      </c>
      <c r="K771" t="str">
        <f>"450671 SR 200 W"</f>
        <v>450671 SR 200 W</v>
      </c>
      <c r="L771" t="str">
        <f t="shared" si="222"/>
        <v>CALLAHAN FL 32011</v>
      </c>
      <c r="M771" t="str">
        <f>"PT OF LOTS 9 10 &amp; 11 (S-3) IN OR 1831/594 EX R/W OR 1114/426 PITTMAN ACRES PB 4/8"</f>
        <v>PT OF LOTS 9 10 &amp; 11 (S-3) IN OR 1831/594 EX R/W OR 1114/426 PITTMAN ACRES PB 4/8</v>
      </c>
      <c r="N771" t="str">
        <f>""</f>
        <v/>
      </c>
      <c r="O771" t="str">
        <f>"30614"</f>
        <v>30614</v>
      </c>
      <c r="P771" t="str">
        <f t="shared" si="243"/>
        <v>2017</v>
      </c>
      <c r="Q771" t="str">
        <f>""</f>
        <v/>
      </c>
      <c r="R771" t="str">
        <f>"N"</f>
        <v>N</v>
      </c>
      <c r="S771" t="str">
        <f>"1.31"</f>
        <v>1.31</v>
      </c>
      <c r="T771" t="str">
        <f>"2998.36"</f>
        <v>2998.36</v>
      </c>
      <c r="U771" t="str">
        <f>"198058.00"</f>
        <v>198058.00</v>
      </c>
      <c r="V771" t="str">
        <f>"198058.00"</f>
        <v>198058.00</v>
      </c>
      <c r="W771" t="str">
        <f t="shared" si="244"/>
        <v>2017</v>
      </c>
      <c r="X771" t="str">
        <f>"15.25"</f>
        <v>15.25</v>
      </c>
      <c r="Y771" t="str">
        <f>"3120.31"</f>
        <v>3120.31</v>
      </c>
      <c r="Z771" t="str">
        <f>""</f>
        <v/>
      </c>
      <c r="AA771" t="str">
        <f>"198058.00"</f>
        <v>198058.00</v>
      </c>
      <c r="AB771" t="str">
        <f t="shared" si="240"/>
        <v>Residential</v>
      </c>
      <c r="AC771" t="str">
        <f t="shared" si="230"/>
        <v>0</v>
      </c>
      <c r="AD771" t="str">
        <f t="shared" si="241"/>
        <v>4</v>
      </c>
      <c r="AE771" t="str">
        <f t="shared" si="242"/>
        <v>WOOD (INCLUDE STEEL STUDS)</v>
      </c>
      <c r="AF771" t="str">
        <f>"001"</f>
        <v>001</v>
      </c>
      <c r="AG771" t="str">
        <f t="shared" si="237"/>
        <v>FL</v>
      </c>
      <c r="AH771" t="str">
        <f>"57063.00"</f>
        <v>57063.00</v>
      </c>
      <c r="AI771" t="str">
        <f>"19650.00"</f>
        <v>19650.00</v>
      </c>
      <c r="AJ771" t="str">
        <f>"C55-000-587-0569-0"</f>
        <v>C55-000-587-0569-0</v>
      </c>
      <c r="AK771" t="str">
        <f>"12408"</f>
        <v>12408</v>
      </c>
      <c r="AL771">
        <v>3</v>
      </c>
      <c r="AM771">
        <v>896</v>
      </c>
      <c r="AN771">
        <v>3274.73</v>
      </c>
      <c r="AQ771" t="s">
        <v>8117</v>
      </c>
      <c r="AR771" t="s">
        <v>8117</v>
      </c>
      <c r="AS771" t="s">
        <v>8117</v>
      </c>
      <c r="AU771" t="s">
        <v>396</v>
      </c>
      <c r="AV771">
        <v>2017</v>
      </c>
      <c r="AW771" t="str">
        <f>"15-2N-25-2980-0009-0030 "</f>
        <v xml:space="preserve">15-2N-25-2980-0009-0030 </v>
      </c>
      <c r="AX771">
        <v>450671</v>
      </c>
      <c r="AZ771" t="s">
        <v>8071</v>
      </c>
      <c r="BB771" t="s">
        <v>4459</v>
      </c>
      <c r="BD771" t="s">
        <v>2785</v>
      </c>
      <c r="BE771" t="s">
        <v>393</v>
      </c>
      <c r="BF771">
        <v>32011</v>
      </c>
      <c r="BG771" t="s">
        <v>8118</v>
      </c>
      <c r="BH771" t="s">
        <v>2787</v>
      </c>
      <c r="BI771">
        <v>-81.788416389209104</v>
      </c>
      <c r="BJ771">
        <v>30.590437588241301</v>
      </c>
      <c r="BK771" t="s">
        <v>8119</v>
      </c>
      <c r="BM771" t="s">
        <v>8120</v>
      </c>
      <c r="BN771" t="s">
        <v>8121</v>
      </c>
      <c r="BO771">
        <v>32131</v>
      </c>
      <c r="BP771" t="s">
        <v>404</v>
      </c>
      <c r="BQ771">
        <v>100</v>
      </c>
      <c r="BR771" t="s">
        <v>514</v>
      </c>
      <c r="BS771">
        <v>1001</v>
      </c>
      <c r="BT771" t="s">
        <v>515</v>
      </c>
      <c r="BW771">
        <v>57063</v>
      </c>
      <c r="BX771" t="s">
        <v>407</v>
      </c>
      <c r="BY771" t="s">
        <v>408</v>
      </c>
      <c r="BZ771">
        <v>4</v>
      </c>
      <c r="CA771">
        <v>1970</v>
      </c>
      <c r="CB771">
        <v>1</v>
      </c>
      <c r="CC771">
        <v>1</v>
      </c>
      <c r="CD771">
        <v>2017</v>
      </c>
      <c r="CE771">
        <v>19650</v>
      </c>
      <c r="CF771">
        <v>178408</v>
      </c>
      <c r="CG771">
        <v>198058</v>
      </c>
      <c r="CH771">
        <v>2017</v>
      </c>
      <c r="CI771">
        <v>19650</v>
      </c>
      <c r="CJ771">
        <v>178408</v>
      </c>
      <c r="CK771">
        <v>198058</v>
      </c>
      <c r="CL771">
        <v>2017</v>
      </c>
      <c r="CM771">
        <v>2998.36</v>
      </c>
      <c r="CN771" s="1">
        <v>41269</v>
      </c>
      <c r="CO771">
        <v>63000</v>
      </c>
      <c r="CV771">
        <v>0</v>
      </c>
      <c r="CZ771" s="1">
        <v>41269</v>
      </c>
      <c r="DA771">
        <v>0</v>
      </c>
      <c r="DD771" t="s">
        <v>2785</v>
      </c>
      <c r="DG771">
        <v>15</v>
      </c>
      <c r="DL771">
        <v>50503</v>
      </c>
      <c r="DM771" t="s">
        <v>8104</v>
      </c>
      <c r="DO771" t="s">
        <v>8122</v>
      </c>
      <c r="DP771">
        <v>0</v>
      </c>
      <c r="DQ771">
        <v>0</v>
      </c>
      <c r="DR771" t="s">
        <v>411</v>
      </c>
      <c r="DS771" t="b">
        <v>1</v>
      </c>
      <c r="DT771" t="s">
        <v>470</v>
      </c>
      <c r="DU771" t="s">
        <v>471</v>
      </c>
      <c r="DV771" t="s">
        <v>472</v>
      </c>
      <c r="DX771">
        <v>-9999</v>
      </c>
      <c r="DZ771" t="s">
        <v>447</v>
      </c>
      <c r="EA771" t="s">
        <v>448</v>
      </c>
      <c r="EB771" t="s">
        <v>742</v>
      </c>
      <c r="EC771">
        <v>20101217</v>
      </c>
      <c r="ED771" t="s">
        <v>474</v>
      </c>
      <c r="EF771">
        <v>340.6</v>
      </c>
      <c r="EG771">
        <v>340.6</v>
      </c>
      <c r="EI771">
        <v>20160407</v>
      </c>
      <c r="EJ771">
        <v>0</v>
      </c>
      <c r="EK771">
        <v>0</v>
      </c>
      <c r="EP771" t="s">
        <v>421</v>
      </c>
      <c r="EQ771" t="s">
        <v>452</v>
      </c>
      <c r="ER771">
        <v>0</v>
      </c>
      <c r="ES771">
        <v>7</v>
      </c>
      <c r="ET771">
        <v>0</v>
      </c>
      <c r="EU771">
        <v>0</v>
      </c>
      <c r="EV771">
        <v>0</v>
      </c>
      <c r="EW771" s="2">
        <v>43222</v>
      </c>
      <c r="EX771" s="1">
        <v>42879</v>
      </c>
      <c r="EY771">
        <v>2016</v>
      </c>
      <c r="EZ771">
        <v>3242.34</v>
      </c>
      <c r="FA771" t="s">
        <v>8123</v>
      </c>
      <c r="FB771">
        <v>0.25</v>
      </c>
      <c r="FC771" t="s">
        <v>424</v>
      </c>
      <c r="FD771" t="s">
        <v>425</v>
      </c>
      <c r="FE771" s="1">
        <v>42914</v>
      </c>
      <c r="FF771">
        <v>1</v>
      </c>
      <c r="FG771">
        <v>5856194</v>
      </c>
      <c r="FH771" t="s">
        <v>2685</v>
      </c>
      <c r="FI771" t="s">
        <v>458</v>
      </c>
      <c r="FJ771" s="1">
        <v>42879</v>
      </c>
      <c r="FK771">
        <v>2016</v>
      </c>
      <c r="FL771">
        <v>3242.34</v>
      </c>
      <c r="FM771" t="s">
        <v>8123</v>
      </c>
      <c r="FN771">
        <v>0.25</v>
      </c>
      <c r="FO771" t="s">
        <v>424</v>
      </c>
      <c r="FP771" t="s">
        <v>425</v>
      </c>
      <c r="FR771">
        <v>22</v>
      </c>
      <c r="FS771">
        <v>6098020</v>
      </c>
      <c r="FT771" t="s">
        <v>8124</v>
      </c>
      <c r="FU771" t="s">
        <v>458</v>
      </c>
      <c r="FV771" s="1">
        <v>42515</v>
      </c>
      <c r="FW771">
        <v>2015</v>
      </c>
      <c r="FX771">
        <v>3337.29</v>
      </c>
      <c r="FY771" t="s">
        <v>8125</v>
      </c>
      <c r="FZ771">
        <v>0.25</v>
      </c>
      <c r="GA771" t="s">
        <v>424</v>
      </c>
      <c r="GB771" t="s">
        <v>425</v>
      </c>
      <c r="GC771" s="1">
        <v>42914</v>
      </c>
      <c r="GD771">
        <v>13</v>
      </c>
      <c r="GE771">
        <v>5894185</v>
      </c>
      <c r="GF771" t="s">
        <v>7135</v>
      </c>
      <c r="GG771" t="s">
        <v>458</v>
      </c>
      <c r="GH771" s="1">
        <v>42515</v>
      </c>
      <c r="GI771">
        <v>2015</v>
      </c>
      <c r="GJ771">
        <v>3337.29</v>
      </c>
      <c r="GK771" t="s">
        <v>8125</v>
      </c>
      <c r="GL771">
        <v>0.25</v>
      </c>
      <c r="GM771" t="s">
        <v>424</v>
      </c>
      <c r="GN771" t="s">
        <v>425</v>
      </c>
      <c r="GP771">
        <v>22</v>
      </c>
      <c r="GQ771">
        <v>6065628</v>
      </c>
      <c r="GR771" t="s">
        <v>8126</v>
      </c>
      <c r="GS771" t="s">
        <v>458</v>
      </c>
      <c r="GT771" s="1">
        <v>42151</v>
      </c>
      <c r="GU771">
        <v>2014</v>
      </c>
      <c r="GV771">
        <v>3097.2</v>
      </c>
      <c r="GW771" t="s">
        <v>8127</v>
      </c>
      <c r="GX771">
        <v>0.25</v>
      </c>
      <c r="GY771" t="s">
        <v>424</v>
      </c>
      <c r="GZ771" t="s">
        <v>425</v>
      </c>
      <c r="HB771">
        <v>22</v>
      </c>
      <c r="HC771">
        <v>4975594</v>
      </c>
      <c r="HD771" t="s">
        <v>457</v>
      </c>
      <c r="HE771" t="s">
        <v>458</v>
      </c>
      <c r="HF771" s="1">
        <v>42151</v>
      </c>
      <c r="HG771">
        <v>2014</v>
      </c>
      <c r="HH771">
        <v>3097.2</v>
      </c>
      <c r="HI771" t="s">
        <v>8127</v>
      </c>
      <c r="HJ771">
        <v>0.25</v>
      </c>
      <c r="HK771" t="s">
        <v>424</v>
      </c>
      <c r="HL771" t="s">
        <v>425</v>
      </c>
      <c r="HN771">
        <v>22</v>
      </c>
      <c r="HO771">
        <v>6389948</v>
      </c>
      <c r="HP771" t="s">
        <v>8128</v>
      </c>
      <c r="HQ771" t="s">
        <v>458</v>
      </c>
      <c r="HR771" s="1">
        <v>41787</v>
      </c>
      <c r="HS771">
        <v>2013</v>
      </c>
      <c r="HT771">
        <v>2642.81</v>
      </c>
      <c r="HU771" t="s">
        <v>8129</v>
      </c>
      <c r="HV771">
        <v>0.25</v>
      </c>
      <c r="HW771" t="s">
        <v>424</v>
      </c>
      <c r="HX771" t="s">
        <v>425</v>
      </c>
      <c r="HY771" s="1">
        <v>42459</v>
      </c>
      <c r="HZ771">
        <v>22</v>
      </c>
      <c r="IA771">
        <v>2675455</v>
      </c>
      <c r="IB771" t="s">
        <v>1981</v>
      </c>
    </row>
    <row r="772" spans="1:284" x14ac:dyDescent="0.25">
      <c r="A772">
        <v>16485779</v>
      </c>
      <c r="B772">
        <v>771</v>
      </c>
      <c r="C772" t="s">
        <v>393</v>
      </c>
      <c r="D772" t="s">
        <v>394</v>
      </c>
      <c r="F772" t="str">
        <f>"16-2N-25-0000-0003-0000"</f>
        <v>16-2N-25-0000-0003-0000</v>
      </c>
      <c r="H772" t="str">
        <f>"BROWN JOHNNY L"</f>
        <v>BROWN JOHNNY L</v>
      </c>
      <c r="I772" t="str">
        <f>"45489 JONES WAY"</f>
        <v>45489 JONES WAY</v>
      </c>
      <c r="J772" t="str">
        <f>"CALLAHAN FL 32011"</f>
        <v>CALLAHAN FL 32011</v>
      </c>
      <c r="K772" t="str">
        <f>"45489 JONES WAY"</f>
        <v>45489 JONES WAY</v>
      </c>
      <c r="L772" t="str">
        <f t="shared" si="222"/>
        <v>CALLAHAN FL 32011</v>
      </c>
      <c r="M772" t="str">
        <f>"IN OR 261 PG 385 &amp; IN OR 286/58 &amp; OR 319/737 (PAR 3 &amp; 3-3 &amp; 3-4) 1999 HICKORY TW/MH"</f>
        <v>IN OR 261 PG 385 &amp; IN OR 286/58 &amp; OR 319/737 (PAR 3 &amp; 3-3 &amp; 3-4) 1999 HICKORY TW/MH</v>
      </c>
      <c r="N772" t="str">
        <f>""</f>
        <v/>
      </c>
      <c r="O772" t="str">
        <f>"31360"</f>
        <v>31360</v>
      </c>
      <c r="P772" t="str">
        <f t="shared" si="243"/>
        <v>2017</v>
      </c>
      <c r="Q772" t="str">
        <f>""</f>
        <v/>
      </c>
      <c r="R772" t="str">
        <f>"Y"</f>
        <v>Y</v>
      </c>
      <c r="S772" t="str">
        <f>"2.99"</f>
        <v>2.99</v>
      </c>
      <c r="T772" t="str">
        <f>"638.37"</f>
        <v>638.37</v>
      </c>
      <c r="U772" t="str">
        <f>"86272.00"</f>
        <v>86272.00</v>
      </c>
      <c r="V772" t="str">
        <f>"86272.00"</f>
        <v>86272.00</v>
      </c>
      <c r="W772" t="str">
        <f t="shared" si="244"/>
        <v>2017</v>
      </c>
      <c r="X772" t="str">
        <f>"24.07"</f>
        <v>24.07</v>
      </c>
      <c r="Y772" t="str">
        <f>"689.52"</f>
        <v>689.52</v>
      </c>
      <c r="Z772" t="str">
        <f>"30000.00"</f>
        <v>30000.00</v>
      </c>
      <c r="AA772" t="str">
        <f>"56272.00"</f>
        <v>56272.00</v>
      </c>
      <c r="AB772" t="str">
        <f t="shared" si="240"/>
        <v>Residential</v>
      </c>
      <c r="AC772" t="str">
        <f t="shared" si="230"/>
        <v>0</v>
      </c>
      <c r="AD772" t="str">
        <f t="shared" si="241"/>
        <v>4</v>
      </c>
      <c r="AE772" t="str">
        <f t="shared" si="242"/>
        <v>WOOD (INCLUDE STEEL STUDS)</v>
      </c>
      <c r="AF772" t="str">
        <f>"002"</f>
        <v>002</v>
      </c>
      <c r="AG772" t="str">
        <f t="shared" si="237"/>
        <v>FL</v>
      </c>
      <c r="AH772" t="str">
        <f>"130244.00"</f>
        <v>130244.00</v>
      </c>
      <c r="AI772" t="str">
        <f>"35880.00"</f>
        <v>35880.00</v>
      </c>
      <c r="AJ772" t="str">
        <f>"C55-000-587-1108-6"</f>
        <v>C55-000-587-1108-6</v>
      </c>
      <c r="AK772" t="str">
        <f>"12421"</f>
        <v>12421</v>
      </c>
      <c r="AL772">
        <v>3</v>
      </c>
      <c r="AM772">
        <v>897</v>
      </c>
      <c r="AN772">
        <v>722.4</v>
      </c>
      <c r="AQ772" t="s">
        <v>8130</v>
      </c>
      <c r="AR772" t="s">
        <v>8130</v>
      </c>
      <c r="AS772" t="s">
        <v>8130</v>
      </c>
      <c r="AU772" t="s">
        <v>396</v>
      </c>
      <c r="AV772">
        <v>2017</v>
      </c>
      <c r="AW772" t="str">
        <f>"16-2N-25-0000-0003-0000 "</f>
        <v xml:space="preserve">16-2N-25-0000-0003-0000 </v>
      </c>
      <c r="AX772">
        <v>45489</v>
      </c>
      <c r="AZ772" t="s">
        <v>8131</v>
      </c>
      <c r="BA772" t="s">
        <v>866</v>
      </c>
      <c r="BD772" t="s">
        <v>2785</v>
      </c>
      <c r="BE772" t="s">
        <v>393</v>
      </c>
      <c r="BF772">
        <v>32011</v>
      </c>
      <c r="BG772" t="s">
        <v>8132</v>
      </c>
      <c r="BH772" t="s">
        <v>2787</v>
      </c>
      <c r="BI772">
        <v>-81.8169259803866</v>
      </c>
      <c r="BJ772">
        <v>30.5860053626877</v>
      </c>
      <c r="BK772" t="s">
        <v>8133</v>
      </c>
      <c r="BM772" t="s">
        <v>8134</v>
      </c>
      <c r="BN772" t="s">
        <v>928</v>
      </c>
      <c r="BO772">
        <v>32011</v>
      </c>
      <c r="BP772" t="s">
        <v>404</v>
      </c>
      <c r="BQ772">
        <v>200</v>
      </c>
      <c r="BR772" t="s">
        <v>405</v>
      </c>
      <c r="BS772">
        <v>1006</v>
      </c>
      <c r="BT772" t="s">
        <v>406</v>
      </c>
      <c r="BW772">
        <v>130244</v>
      </c>
      <c r="BX772" t="s">
        <v>407</v>
      </c>
      <c r="BY772" t="s">
        <v>408</v>
      </c>
      <c r="BZ772">
        <v>4</v>
      </c>
      <c r="CA772">
        <v>1999</v>
      </c>
      <c r="CB772">
        <v>1</v>
      </c>
      <c r="CC772">
        <v>1</v>
      </c>
      <c r="CD772">
        <v>2017</v>
      </c>
      <c r="CG772">
        <v>86272</v>
      </c>
      <c r="CH772">
        <v>2017</v>
      </c>
      <c r="CI772">
        <v>35880</v>
      </c>
      <c r="CJ772">
        <v>59866</v>
      </c>
      <c r="CK772">
        <v>95746</v>
      </c>
      <c r="CL772">
        <v>2017</v>
      </c>
      <c r="CM772">
        <v>638.37</v>
      </c>
      <c r="DD772" t="s">
        <v>2785</v>
      </c>
      <c r="DG772">
        <v>16</v>
      </c>
      <c r="DL772">
        <v>50503</v>
      </c>
      <c r="DM772" t="s">
        <v>8135</v>
      </c>
      <c r="DO772" t="s">
        <v>8136</v>
      </c>
      <c r="DP772">
        <v>0</v>
      </c>
      <c r="DQ772">
        <v>0</v>
      </c>
      <c r="DR772" t="s">
        <v>411</v>
      </c>
      <c r="DS772" t="b">
        <v>1</v>
      </c>
      <c r="DT772" t="s">
        <v>470</v>
      </c>
      <c r="DU772" t="s">
        <v>471</v>
      </c>
      <c r="DV772" t="s">
        <v>472</v>
      </c>
      <c r="DX772">
        <v>-9999</v>
      </c>
      <c r="DZ772" t="s">
        <v>447</v>
      </c>
      <c r="EA772" t="s">
        <v>448</v>
      </c>
      <c r="EB772" t="s">
        <v>742</v>
      </c>
      <c r="EC772">
        <v>20101217</v>
      </c>
      <c r="ED772" t="s">
        <v>474</v>
      </c>
      <c r="EF772">
        <v>1343</v>
      </c>
      <c r="EG772">
        <v>1343</v>
      </c>
      <c r="EI772">
        <v>20160407</v>
      </c>
      <c r="EJ772">
        <v>0</v>
      </c>
      <c r="EK772">
        <v>0</v>
      </c>
      <c r="EP772" t="s">
        <v>421</v>
      </c>
      <c r="EQ772" t="s">
        <v>452</v>
      </c>
      <c r="ER772">
        <v>0</v>
      </c>
      <c r="ES772">
        <v>10</v>
      </c>
      <c r="ET772">
        <v>0</v>
      </c>
      <c r="EU772">
        <v>0</v>
      </c>
      <c r="EV772">
        <v>0</v>
      </c>
      <c r="EW772" s="2">
        <v>43222</v>
      </c>
      <c r="EX772" s="1">
        <v>42879</v>
      </c>
      <c r="EY772">
        <v>2016</v>
      </c>
      <c r="EZ772">
        <v>700.41</v>
      </c>
      <c r="FA772" t="s">
        <v>8137</v>
      </c>
      <c r="FB772">
        <v>0.25</v>
      </c>
      <c r="FC772" t="s">
        <v>424</v>
      </c>
      <c r="FD772" t="s">
        <v>425</v>
      </c>
      <c r="FE772" s="1">
        <v>42914</v>
      </c>
      <c r="FF772">
        <v>1</v>
      </c>
      <c r="FG772">
        <v>7400234</v>
      </c>
      <c r="FH772" t="s">
        <v>426</v>
      </c>
      <c r="FI772" t="s">
        <v>458</v>
      </c>
      <c r="FJ772" s="1">
        <v>42879</v>
      </c>
      <c r="FK772">
        <v>2016</v>
      </c>
      <c r="FL772">
        <v>700.41</v>
      </c>
      <c r="FM772" t="s">
        <v>8137</v>
      </c>
      <c r="FN772">
        <v>0.25</v>
      </c>
      <c r="FO772" t="s">
        <v>424</v>
      </c>
      <c r="FP772" t="s">
        <v>425</v>
      </c>
      <c r="FR772">
        <v>22</v>
      </c>
      <c r="FS772">
        <v>7414108</v>
      </c>
      <c r="FT772" t="s">
        <v>8138</v>
      </c>
      <c r="FU772" t="s">
        <v>458</v>
      </c>
      <c r="FV772" s="1">
        <v>42515</v>
      </c>
      <c r="FW772">
        <v>2015</v>
      </c>
      <c r="FX772">
        <v>707.03</v>
      </c>
      <c r="FY772" t="s">
        <v>8139</v>
      </c>
      <c r="FZ772">
        <v>0.25</v>
      </c>
      <c r="GA772" t="s">
        <v>424</v>
      </c>
      <c r="GB772" t="s">
        <v>425</v>
      </c>
      <c r="GC772" s="1">
        <v>42914</v>
      </c>
      <c r="GD772">
        <v>13</v>
      </c>
      <c r="GE772">
        <v>7045074</v>
      </c>
      <c r="GF772" t="s">
        <v>580</v>
      </c>
      <c r="GG772" t="s">
        <v>458</v>
      </c>
      <c r="GH772" s="1">
        <v>42515</v>
      </c>
      <c r="GI772">
        <v>2015</v>
      </c>
      <c r="GJ772">
        <v>707.03</v>
      </c>
      <c r="GK772" t="s">
        <v>8139</v>
      </c>
      <c r="GL772">
        <v>0.25</v>
      </c>
      <c r="GM772" t="s">
        <v>424</v>
      </c>
      <c r="GN772" t="s">
        <v>425</v>
      </c>
      <c r="GP772">
        <v>22</v>
      </c>
      <c r="GQ772">
        <v>6331248</v>
      </c>
      <c r="GR772" t="s">
        <v>8140</v>
      </c>
      <c r="GS772" t="s">
        <v>458</v>
      </c>
      <c r="GT772" s="1">
        <v>42151</v>
      </c>
      <c r="GU772">
        <v>2014</v>
      </c>
      <c r="GV772">
        <v>717.28</v>
      </c>
      <c r="GW772" t="s">
        <v>8141</v>
      </c>
      <c r="GX772">
        <v>0.25</v>
      </c>
      <c r="GY772" t="s">
        <v>424</v>
      </c>
      <c r="GZ772" t="s">
        <v>425</v>
      </c>
      <c r="HB772">
        <v>22</v>
      </c>
      <c r="HC772">
        <v>4975594</v>
      </c>
      <c r="HD772" t="s">
        <v>457</v>
      </c>
      <c r="HE772" t="s">
        <v>458</v>
      </c>
      <c r="HF772" s="1">
        <v>42151</v>
      </c>
      <c r="HG772">
        <v>2014</v>
      </c>
      <c r="HH772">
        <v>717.28</v>
      </c>
      <c r="HI772" t="s">
        <v>8141</v>
      </c>
      <c r="HJ772">
        <v>0.25</v>
      </c>
      <c r="HK772" t="s">
        <v>424</v>
      </c>
      <c r="HL772" t="s">
        <v>425</v>
      </c>
      <c r="HN772">
        <v>22</v>
      </c>
      <c r="HO772">
        <v>6268717</v>
      </c>
      <c r="HP772" t="s">
        <v>8142</v>
      </c>
      <c r="HQ772" t="s">
        <v>458</v>
      </c>
      <c r="HR772" s="1">
        <v>41787</v>
      </c>
      <c r="HS772">
        <v>2013</v>
      </c>
      <c r="HT772">
        <v>674.27</v>
      </c>
      <c r="HU772" t="s">
        <v>8143</v>
      </c>
      <c r="HV772">
        <v>0.25</v>
      </c>
      <c r="HW772" t="s">
        <v>424</v>
      </c>
      <c r="HX772" t="s">
        <v>425</v>
      </c>
      <c r="HY772" s="1">
        <v>42453</v>
      </c>
      <c r="HZ772">
        <v>22</v>
      </c>
      <c r="IA772">
        <v>2407503</v>
      </c>
      <c r="IB772" t="s">
        <v>461</v>
      </c>
      <c r="ID772" s="1">
        <v>41423</v>
      </c>
      <c r="IE772">
        <v>2012</v>
      </c>
      <c r="IF772">
        <v>662.16</v>
      </c>
      <c r="IG772" t="s">
        <v>8144</v>
      </c>
      <c r="IH772">
        <v>2.75</v>
      </c>
      <c r="II772" t="s">
        <v>424</v>
      </c>
      <c r="IJ772" t="s">
        <v>425</v>
      </c>
      <c r="IK772" s="1">
        <v>42087</v>
      </c>
      <c r="IL772">
        <v>22</v>
      </c>
      <c r="IM772">
        <v>15399</v>
      </c>
      <c r="IN772" t="s">
        <v>485</v>
      </c>
      <c r="IP772" s="1">
        <v>41052</v>
      </c>
      <c r="IQ772">
        <v>2011</v>
      </c>
      <c r="IR772">
        <v>652.4</v>
      </c>
      <c r="IS772" t="s">
        <v>8145</v>
      </c>
      <c r="IT772">
        <v>6</v>
      </c>
      <c r="IU772" t="s">
        <v>424</v>
      </c>
      <c r="IV772" t="s">
        <v>425</v>
      </c>
      <c r="IW772" s="1">
        <v>41754</v>
      </c>
      <c r="IX772">
        <v>23</v>
      </c>
      <c r="IY772">
        <v>10125</v>
      </c>
      <c r="IZ772" t="s">
        <v>440</v>
      </c>
      <c r="JB772" s="1">
        <v>40688</v>
      </c>
      <c r="JC772">
        <v>2010</v>
      </c>
      <c r="JD772">
        <v>794.47</v>
      </c>
      <c r="JE772" t="s">
        <v>8146</v>
      </c>
      <c r="JF772">
        <v>7.75</v>
      </c>
      <c r="JG772" t="s">
        <v>424</v>
      </c>
      <c r="JH772" t="s">
        <v>425</v>
      </c>
      <c r="JI772" s="1">
        <v>41424</v>
      </c>
      <c r="JJ772">
        <v>24</v>
      </c>
      <c r="JK772">
        <v>62</v>
      </c>
      <c r="JL772" t="s">
        <v>463</v>
      </c>
    </row>
    <row r="773" spans="1:284" x14ac:dyDescent="0.25">
      <c r="A773">
        <v>16485780</v>
      </c>
      <c r="B773">
        <v>772</v>
      </c>
      <c r="C773" t="s">
        <v>393</v>
      </c>
      <c r="D773" t="s">
        <v>394</v>
      </c>
      <c r="F773" t="str">
        <f>"16-2N-25-0000-0005-0010"</f>
        <v>16-2N-25-0000-0005-0010</v>
      </c>
      <c r="H773" t="str">
        <f>"WALKER MICHAEL L"</f>
        <v>WALKER MICHAEL L</v>
      </c>
      <c r="I773" t="str">
        <f>"45082 RAINY LANE"</f>
        <v>45082 RAINY LANE</v>
      </c>
      <c r="J773" t="str">
        <f>"CALLAHAN FL 32011"</f>
        <v>CALLAHAN FL 32011</v>
      </c>
      <c r="K773" t="str">
        <f>"45082 RAINY LN"</f>
        <v>45082 RAINY LN</v>
      </c>
      <c r="L773" t="str">
        <f t="shared" si="222"/>
        <v>CALLAHAN FL 32011</v>
      </c>
      <c r="M773" t="str">
        <f>"IN OR 747/824"</f>
        <v>IN OR 747/824</v>
      </c>
      <c r="N773" t="str">
        <f>""</f>
        <v/>
      </c>
      <c r="O773" t="str">
        <f>"31366"</f>
        <v>31366</v>
      </c>
      <c r="P773" t="str">
        <f t="shared" si="243"/>
        <v>2017</v>
      </c>
      <c r="Q773" t="str">
        <f>""</f>
        <v/>
      </c>
      <c r="R773" t="str">
        <f>"N"</f>
        <v>N</v>
      </c>
      <c r="S773" t="str">
        <f>"1.00"</f>
        <v>1.00</v>
      </c>
      <c r="T773" t="str">
        <f>"309.20"</f>
        <v>309.20</v>
      </c>
      <c r="U773" t="str">
        <f>"18553.00"</f>
        <v>18553.00</v>
      </c>
      <c r="V773" t="str">
        <f>"18553.00"</f>
        <v>18553.00</v>
      </c>
      <c r="W773" t="str">
        <f t="shared" si="244"/>
        <v>2017</v>
      </c>
      <c r="X773" t="str">
        <f>""</f>
        <v/>
      </c>
      <c r="Y773" t="str">
        <f>"350.48"</f>
        <v>350.48</v>
      </c>
      <c r="Z773" t="str">
        <f>""</f>
        <v/>
      </c>
      <c r="AA773" t="str">
        <f>"22849.00"</f>
        <v>22849.00</v>
      </c>
      <c r="AB773" t="str">
        <f t="shared" si="240"/>
        <v>Residential</v>
      </c>
      <c r="AC773" t="str">
        <f t="shared" si="230"/>
        <v>0</v>
      </c>
      <c r="AD773" t="str">
        <f>""</f>
        <v/>
      </c>
      <c r="AE773" t="str">
        <f>""</f>
        <v/>
      </c>
      <c r="AF773" t="str">
        <f>"000"</f>
        <v>000</v>
      </c>
      <c r="AG773" t="str">
        <f t="shared" si="237"/>
        <v>FL</v>
      </c>
      <c r="AH773" t="str">
        <f>"43560.00"</f>
        <v>43560.00</v>
      </c>
      <c r="AI773" t="str">
        <f>"15000.00"</f>
        <v>15000.00</v>
      </c>
      <c r="AJ773" t="str">
        <f>"C55-000-587-1114-4"</f>
        <v>C55-000-587-1114-4</v>
      </c>
      <c r="AK773" t="str">
        <f>"12427"</f>
        <v>12427</v>
      </c>
      <c r="AL773">
        <v>3</v>
      </c>
      <c r="AM773">
        <v>898</v>
      </c>
      <c r="AN773">
        <v>366.4</v>
      </c>
      <c r="AQ773" t="s">
        <v>8147</v>
      </c>
      <c r="AR773" t="s">
        <v>8147</v>
      </c>
      <c r="AS773" t="s">
        <v>8147</v>
      </c>
      <c r="AU773" t="s">
        <v>396</v>
      </c>
      <c r="AV773">
        <v>2017</v>
      </c>
      <c r="AW773" t="str">
        <f>"16-2N-25-0000-0005-0010 "</f>
        <v xml:space="preserve">16-2N-25-0000-0005-0010 </v>
      </c>
      <c r="AX773">
        <v>45082</v>
      </c>
      <c r="AZ773" t="s">
        <v>8148</v>
      </c>
      <c r="BA773" t="s">
        <v>653</v>
      </c>
      <c r="BD773" t="s">
        <v>2785</v>
      </c>
      <c r="BE773" t="s">
        <v>393</v>
      </c>
      <c r="BF773">
        <v>32011</v>
      </c>
      <c r="BG773" t="s">
        <v>8149</v>
      </c>
      <c r="BH773" t="s">
        <v>2787</v>
      </c>
      <c r="BI773">
        <v>-81.817227110238306</v>
      </c>
      <c r="BJ773">
        <v>30.584743702359301</v>
      </c>
      <c r="BK773" t="s">
        <v>8150</v>
      </c>
      <c r="BM773" t="s">
        <v>8149</v>
      </c>
      <c r="BN773" t="s">
        <v>928</v>
      </c>
      <c r="BO773">
        <v>32011</v>
      </c>
      <c r="BP773" t="s">
        <v>404</v>
      </c>
      <c r="BQ773">
        <v>1</v>
      </c>
      <c r="BR773" t="s">
        <v>491</v>
      </c>
      <c r="BS773">
        <v>8001</v>
      </c>
      <c r="BT773" t="s">
        <v>492</v>
      </c>
      <c r="BW773">
        <v>43560</v>
      </c>
      <c r="BX773" t="s">
        <v>407</v>
      </c>
      <c r="CD773">
        <v>2017</v>
      </c>
      <c r="CE773">
        <v>15000</v>
      </c>
      <c r="CF773">
        <v>7849</v>
      </c>
      <c r="CG773">
        <v>22849</v>
      </c>
      <c r="CH773">
        <v>2017</v>
      </c>
      <c r="CI773">
        <v>15000</v>
      </c>
      <c r="CJ773">
        <v>7849</v>
      </c>
      <c r="CK773">
        <v>22849</v>
      </c>
      <c r="CL773">
        <v>2017</v>
      </c>
      <c r="CM773">
        <v>309.2</v>
      </c>
      <c r="CN773" s="1">
        <v>35062</v>
      </c>
      <c r="CZ773" s="1">
        <v>35062</v>
      </c>
      <c r="DD773" t="s">
        <v>2785</v>
      </c>
      <c r="DG773">
        <v>16</v>
      </c>
      <c r="DL773">
        <v>50503</v>
      </c>
      <c r="DM773" t="s">
        <v>7075</v>
      </c>
      <c r="DO773" t="s">
        <v>8151</v>
      </c>
      <c r="DP773">
        <v>0</v>
      </c>
      <c r="DQ773">
        <v>0</v>
      </c>
      <c r="DR773" t="s">
        <v>411</v>
      </c>
    </row>
    <row r="774" spans="1:284" x14ac:dyDescent="0.25">
      <c r="A774">
        <v>16485781</v>
      </c>
      <c r="B774">
        <v>773</v>
      </c>
      <c r="C774" t="s">
        <v>393</v>
      </c>
      <c r="D774" t="s">
        <v>394</v>
      </c>
      <c r="F774" t="str">
        <f>"17-2N-25-0000-0011-0130"</f>
        <v>17-2N-25-0000-0011-0130</v>
      </c>
      <c r="H774" t="str">
        <f>"FRISON HILDA JONES"</f>
        <v>FRISON HILDA JONES</v>
      </c>
      <c r="I774" t="str">
        <f>"100 BROOKLYN AVE APT 1T"</f>
        <v>100 BROOKLYN AVE APT 1T</v>
      </c>
      <c r="J774" t="str">
        <f>"FREEPORT NY 11520"</f>
        <v>FREEPORT NY 11520</v>
      </c>
      <c r="K774" t="str">
        <f>"PRECIOUS PL"</f>
        <v>PRECIOUS PL</v>
      </c>
      <c r="L774" t="str">
        <f t="shared" si="222"/>
        <v>CALLAHAN FL 32011</v>
      </c>
      <c r="M774" t="str">
        <f>"PT OF LOT 4 IN OR 404/59 BEING PARCEL D ELIZA JONES ESTATE OR 148/454"</f>
        <v>PT OF LOT 4 IN OR 404/59 BEING PARCEL D ELIZA JONES ESTATE OR 148/454</v>
      </c>
      <c r="N774" t="str">
        <f>""</f>
        <v/>
      </c>
      <c r="O774" t="str">
        <f>"31919"</f>
        <v>31919</v>
      </c>
      <c r="P774" t="str">
        <f t="shared" si="243"/>
        <v>2017</v>
      </c>
      <c r="Q774" t="str">
        <f>""</f>
        <v/>
      </c>
      <c r="R774" t="str">
        <f>"N"</f>
        <v>N</v>
      </c>
      <c r="S774" t="str">
        <f>"1.27"</f>
        <v>1.27</v>
      </c>
      <c r="T774" t="str">
        <f>"268.88"</f>
        <v>268.88</v>
      </c>
      <c r="U774" t="str">
        <f>"16764.00"</f>
        <v>16764.00</v>
      </c>
      <c r="V774" t="str">
        <f>"16764.00"</f>
        <v>16764.00</v>
      </c>
      <c r="W774" t="str">
        <f t="shared" si="244"/>
        <v>2017</v>
      </c>
      <c r="X774" t="str">
        <f>""</f>
        <v/>
      </c>
      <c r="Y774" t="str">
        <f>"308.95"</f>
        <v>308.95</v>
      </c>
      <c r="Z774" t="str">
        <f>""</f>
        <v/>
      </c>
      <c r="AA774" t="str">
        <f>"19050.00"</f>
        <v>19050.00</v>
      </c>
      <c r="AB774" t="str">
        <f t="shared" si="240"/>
        <v>Residential</v>
      </c>
      <c r="AC774" t="str">
        <f t="shared" si="230"/>
        <v>0</v>
      </c>
      <c r="AD774" t="str">
        <f>""</f>
        <v/>
      </c>
      <c r="AE774" t="str">
        <f>""</f>
        <v/>
      </c>
      <c r="AF774" t="str">
        <f>"000"</f>
        <v>000</v>
      </c>
      <c r="AG774" t="str">
        <f>"NY"</f>
        <v>NY</v>
      </c>
      <c r="AH774" t="str">
        <f>"55321.00"</f>
        <v>55321.00</v>
      </c>
      <c r="AI774" t="str">
        <f>"19050.00"</f>
        <v>19050.00</v>
      </c>
      <c r="AJ774" t="str">
        <f>"C55-000-587-1521-0"</f>
        <v>C55-000-587-1521-0</v>
      </c>
      <c r="AK774" t="str">
        <f>"12503"</f>
        <v>12503</v>
      </c>
      <c r="AL774">
        <v>3</v>
      </c>
      <c r="AM774">
        <v>900</v>
      </c>
      <c r="AN774">
        <v>322.8</v>
      </c>
      <c r="AQ774" t="s">
        <v>8152</v>
      </c>
      <c r="AR774" t="s">
        <v>8152</v>
      </c>
      <c r="AS774" t="s">
        <v>8152</v>
      </c>
      <c r="AU774" t="s">
        <v>396</v>
      </c>
      <c r="AV774">
        <v>2017</v>
      </c>
      <c r="AW774" t="str">
        <f>"17-2N-25-0000-0011-0130 "</f>
        <v xml:space="preserve">17-2N-25-0000-0011-0130 </v>
      </c>
      <c r="AZ774" t="s">
        <v>8153</v>
      </c>
      <c r="BA774" t="s">
        <v>641</v>
      </c>
      <c r="BD774" t="s">
        <v>2785</v>
      </c>
      <c r="BE774" t="s">
        <v>393</v>
      </c>
      <c r="BF774">
        <v>32011</v>
      </c>
      <c r="BG774" t="s">
        <v>8154</v>
      </c>
      <c r="BH774" t="s">
        <v>2787</v>
      </c>
      <c r="BI774">
        <v>-81.819429860055607</v>
      </c>
      <c r="BJ774">
        <v>30.589688228287098</v>
      </c>
      <c r="BK774" t="s">
        <v>8155</v>
      </c>
      <c r="BM774" t="s">
        <v>8156</v>
      </c>
      <c r="BN774" t="s">
        <v>8157</v>
      </c>
      <c r="BO774">
        <v>11520</v>
      </c>
      <c r="BP774" t="s">
        <v>404</v>
      </c>
      <c r="BQ774">
        <v>0</v>
      </c>
      <c r="BR774" t="s">
        <v>491</v>
      </c>
      <c r="BS774">
        <v>8001</v>
      </c>
      <c r="BT774" t="s">
        <v>492</v>
      </c>
      <c r="BW774">
        <v>55321</v>
      </c>
      <c r="BX774" t="s">
        <v>407</v>
      </c>
      <c r="BY774" t="s">
        <v>408</v>
      </c>
      <c r="CD774">
        <v>2017</v>
      </c>
      <c r="CE774">
        <v>19050</v>
      </c>
      <c r="CG774">
        <v>19050</v>
      </c>
      <c r="CH774">
        <v>2017</v>
      </c>
      <c r="CI774">
        <v>19050</v>
      </c>
      <c r="CK774">
        <v>19050</v>
      </c>
      <c r="CL774">
        <v>2017</v>
      </c>
      <c r="CM774">
        <v>268.88</v>
      </c>
      <c r="CN774" s="1">
        <v>30628</v>
      </c>
      <c r="CZ774" s="1">
        <v>30628</v>
      </c>
      <c r="DD774" t="s">
        <v>2785</v>
      </c>
      <c r="DF774">
        <v>4</v>
      </c>
      <c r="DG774">
        <v>17</v>
      </c>
      <c r="DJ774" t="s">
        <v>8158</v>
      </c>
      <c r="DL774">
        <v>50503</v>
      </c>
      <c r="DM774" t="s">
        <v>8159</v>
      </c>
      <c r="DO774" t="s">
        <v>8160</v>
      </c>
      <c r="DP774">
        <v>0</v>
      </c>
      <c r="DQ774">
        <v>0</v>
      </c>
      <c r="DR774" t="s">
        <v>411</v>
      </c>
      <c r="DS774" t="b">
        <v>1</v>
      </c>
      <c r="DT774" t="s">
        <v>470</v>
      </c>
      <c r="DU774" t="s">
        <v>471</v>
      </c>
      <c r="DV774" t="s">
        <v>472</v>
      </c>
      <c r="DX774">
        <v>-9999</v>
      </c>
      <c r="DZ774" t="s">
        <v>447</v>
      </c>
      <c r="EA774" t="s">
        <v>448</v>
      </c>
      <c r="EB774" t="s">
        <v>742</v>
      </c>
      <c r="EC774">
        <v>20101217</v>
      </c>
      <c r="ED774" t="s">
        <v>474</v>
      </c>
      <c r="EF774">
        <v>822.6</v>
      </c>
      <c r="EG774">
        <v>822.6</v>
      </c>
      <c r="EI774">
        <v>20160407</v>
      </c>
      <c r="EJ774">
        <v>0</v>
      </c>
      <c r="EK774">
        <v>0</v>
      </c>
      <c r="EP774" t="s">
        <v>421</v>
      </c>
      <c r="EQ774" t="s">
        <v>422</v>
      </c>
      <c r="ER774">
        <v>8</v>
      </c>
      <c r="ES774">
        <v>0</v>
      </c>
      <c r="ET774">
        <v>2431.92</v>
      </c>
      <c r="EU774">
        <v>1252.4000000000001</v>
      </c>
      <c r="EV774">
        <v>3684.32</v>
      </c>
      <c r="EW774" s="2">
        <v>43222</v>
      </c>
      <c r="EX774" s="1">
        <v>42879</v>
      </c>
      <c r="EY774">
        <v>2016</v>
      </c>
      <c r="EZ774">
        <v>280.02999999999997</v>
      </c>
      <c r="FA774" t="s">
        <v>8161</v>
      </c>
      <c r="FB774">
        <v>18</v>
      </c>
      <c r="FC774" t="s">
        <v>424</v>
      </c>
      <c r="FD774" t="s">
        <v>454</v>
      </c>
      <c r="FF774">
        <v>12</v>
      </c>
      <c r="FG774">
        <v>10125</v>
      </c>
      <c r="FH774" t="s">
        <v>440</v>
      </c>
      <c r="FJ774" s="1">
        <v>42515</v>
      </c>
      <c r="FK774">
        <v>2015</v>
      </c>
      <c r="FL774">
        <v>281.17</v>
      </c>
      <c r="FM774" t="s">
        <v>8162</v>
      </c>
      <c r="FN774">
        <v>18</v>
      </c>
      <c r="FO774" t="s">
        <v>424</v>
      </c>
      <c r="FP774" t="s">
        <v>454</v>
      </c>
      <c r="FR774">
        <v>24</v>
      </c>
      <c r="FS774">
        <v>10125</v>
      </c>
      <c r="FT774" t="s">
        <v>440</v>
      </c>
      <c r="FV774" s="1">
        <v>42151</v>
      </c>
      <c r="FW774">
        <v>2014</v>
      </c>
      <c r="FX774">
        <v>282.48</v>
      </c>
      <c r="FY774" t="s">
        <v>8163</v>
      </c>
      <c r="FZ774">
        <v>5</v>
      </c>
      <c r="GA774" t="s">
        <v>424</v>
      </c>
      <c r="GB774" t="s">
        <v>454</v>
      </c>
      <c r="GD774">
        <v>36</v>
      </c>
      <c r="GE774">
        <v>10125</v>
      </c>
      <c r="GF774" t="s">
        <v>440</v>
      </c>
      <c r="GH774" s="1">
        <v>41787</v>
      </c>
      <c r="GI774">
        <v>2013</v>
      </c>
      <c r="GJ774">
        <v>258.26</v>
      </c>
      <c r="GK774" t="s">
        <v>8164</v>
      </c>
      <c r="GL774">
        <v>16.5</v>
      </c>
      <c r="GM774" t="s">
        <v>424</v>
      </c>
      <c r="GN774" t="s">
        <v>454</v>
      </c>
      <c r="GP774">
        <v>48</v>
      </c>
      <c r="GQ774">
        <v>10125</v>
      </c>
      <c r="GR774" t="s">
        <v>440</v>
      </c>
      <c r="GT774" s="1">
        <v>41423</v>
      </c>
      <c r="GU774">
        <v>2012</v>
      </c>
      <c r="GV774">
        <v>334.03</v>
      </c>
      <c r="GW774" t="s">
        <v>8165</v>
      </c>
      <c r="GX774">
        <v>6.75</v>
      </c>
      <c r="GY774" t="s">
        <v>424</v>
      </c>
      <c r="GZ774" t="s">
        <v>454</v>
      </c>
      <c r="HB774">
        <v>60</v>
      </c>
      <c r="HC774">
        <v>10125</v>
      </c>
      <c r="HD774" t="s">
        <v>440</v>
      </c>
      <c r="HF774" s="1">
        <v>41052</v>
      </c>
      <c r="HG774">
        <v>2011</v>
      </c>
      <c r="HH774">
        <v>331.49</v>
      </c>
      <c r="HI774" t="s">
        <v>8166</v>
      </c>
      <c r="HJ774">
        <v>16</v>
      </c>
      <c r="HK774" t="s">
        <v>424</v>
      </c>
      <c r="HL774" t="s">
        <v>454</v>
      </c>
      <c r="HN774">
        <v>72</v>
      </c>
      <c r="HO774">
        <v>10125</v>
      </c>
      <c r="HP774" t="s">
        <v>440</v>
      </c>
      <c r="HR774" s="1">
        <v>40688</v>
      </c>
      <c r="HS774">
        <v>2010</v>
      </c>
      <c r="HT774">
        <v>332.23</v>
      </c>
      <c r="HU774" t="s">
        <v>8167</v>
      </c>
      <c r="HV774">
        <v>8.75</v>
      </c>
      <c r="HW774" t="s">
        <v>424</v>
      </c>
      <c r="HX774" t="s">
        <v>454</v>
      </c>
      <c r="HZ774">
        <v>84</v>
      </c>
      <c r="IA774">
        <v>375</v>
      </c>
      <c r="IB774" t="s">
        <v>776</v>
      </c>
      <c r="ID774" s="1">
        <v>40688</v>
      </c>
      <c r="IE774">
        <v>2010</v>
      </c>
      <c r="IF774">
        <v>332.23</v>
      </c>
      <c r="IG774" t="s">
        <v>8167</v>
      </c>
      <c r="IH774">
        <v>8.75</v>
      </c>
      <c r="II774" t="s">
        <v>424</v>
      </c>
      <c r="IJ774" t="s">
        <v>454</v>
      </c>
      <c r="IL774">
        <v>84</v>
      </c>
      <c r="IM774">
        <v>105</v>
      </c>
      <c r="IN774" t="s">
        <v>946</v>
      </c>
    </row>
    <row r="775" spans="1:284" x14ac:dyDescent="0.25">
      <c r="A775">
        <v>16485782</v>
      </c>
      <c r="B775">
        <v>774</v>
      </c>
      <c r="C775" t="s">
        <v>393</v>
      </c>
      <c r="D775" t="s">
        <v>394</v>
      </c>
      <c r="F775" t="str">
        <f>"17-2N-25-0000-0011-0160"</f>
        <v>17-2N-25-0000-0011-0160</v>
      </c>
      <c r="H775" t="str">
        <f>"MITCHELL GREGORY &amp; LISA"</f>
        <v>MITCHELL GREGORY &amp; LISA</v>
      </c>
      <c r="I775" t="str">
        <f>"1418 GUARDIAN DRIVE"</f>
        <v>1418 GUARDIAN DRIVE</v>
      </c>
      <c r="J775" t="str">
        <f>"JACKSONVILLE FL 32221"</f>
        <v>JACKSONVILLE FL 32221</v>
      </c>
      <c r="K775" t="str">
        <f>"PRECIOUS PL"</f>
        <v>PRECIOUS PL</v>
      </c>
      <c r="L775" t="str">
        <f t="shared" si="222"/>
        <v>CALLAHAN FL 32011</v>
      </c>
      <c r="M775" t="str">
        <f>"PT OF LOT 4 IN OR 1301/328 ELIZA JONES ESTATE OR 148/454"</f>
        <v>PT OF LOT 4 IN OR 1301/328 ELIZA JONES ESTATE OR 148/454</v>
      </c>
      <c r="N775" t="str">
        <f>""</f>
        <v/>
      </c>
      <c r="O775" t="str">
        <f>"31922"</f>
        <v>31922</v>
      </c>
      <c r="P775" t="str">
        <f t="shared" si="243"/>
        <v>2017</v>
      </c>
      <c r="Q775" t="str">
        <f>""</f>
        <v/>
      </c>
      <c r="R775" t="str">
        <f>"N"</f>
        <v>N</v>
      </c>
      <c r="S775" t="str">
        <f>"0.18"</f>
        <v>0.18</v>
      </c>
      <c r="T775" t="str">
        <f>"38.12"</f>
        <v>38.12</v>
      </c>
      <c r="U775" t="str">
        <f>"2376.00"</f>
        <v>2376.00</v>
      </c>
      <c r="V775" t="str">
        <f>"2376.00"</f>
        <v>2376.00</v>
      </c>
      <c r="W775" t="str">
        <f t="shared" si="244"/>
        <v>2017</v>
      </c>
      <c r="X775" t="str">
        <f>""</f>
        <v/>
      </c>
      <c r="Y775" t="str">
        <f>"71.26"</f>
        <v>71.26</v>
      </c>
      <c r="Z775" t="str">
        <f>""</f>
        <v/>
      </c>
      <c r="AA775" t="str">
        <f>"2700.00"</f>
        <v>2700.00</v>
      </c>
      <c r="AB775" t="str">
        <f t="shared" si="240"/>
        <v>Residential</v>
      </c>
      <c r="AC775" t="str">
        <f t="shared" si="230"/>
        <v>0</v>
      </c>
      <c r="AD775" t="str">
        <f>""</f>
        <v/>
      </c>
      <c r="AE775" t="str">
        <f>""</f>
        <v/>
      </c>
      <c r="AF775" t="str">
        <f>"000"</f>
        <v>000</v>
      </c>
      <c r="AG775" t="str">
        <f t="shared" ref="AG775:AG792" si="245">"FL"</f>
        <v>FL</v>
      </c>
      <c r="AH775" t="str">
        <f>"7840.00"</f>
        <v>7840.00</v>
      </c>
      <c r="AI775" t="str">
        <f>"2700.00"</f>
        <v>2700.00</v>
      </c>
      <c r="AJ775" t="str">
        <f>"C55-000-589-2559-5"</f>
        <v>C55-000-589-2559-5</v>
      </c>
      <c r="AK775" t="str">
        <f>"12506"</f>
        <v>12506</v>
      </c>
      <c r="AL775">
        <v>3</v>
      </c>
      <c r="AM775">
        <v>901</v>
      </c>
      <c r="AN775">
        <v>73.22</v>
      </c>
      <c r="AQ775" t="s">
        <v>8168</v>
      </c>
      <c r="AR775" t="s">
        <v>8168</v>
      </c>
      <c r="AS775" t="s">
        <v>8168</v>
      </c>
      <c r="AU775" t="s">
        <v>396</v>
      </c>
      <c r="AV775">
        <v>2017</v>
      </c>
      <c r="AW775" t="str">
        <f>"17-2N-25-0000-0011-0160 "</f>
        <v xml:space="preserve">17-2N-25-0000-0011-0160 </v>
      </c>
      <c r="AZ775" t="s">
        <v>8153</v>
      </c>
      <c r="BA775" t="s">
        <v>641</v>
      </c>
      <c r="BD775" t="s">
        <v>2785</v>
      </c>
      <c r="BE775" t="s">
        <v>393</v>
      </c>
      <c r="BF775">
        <v>32011</v>
      </c>
      <c r="BG775" t="s">
        <v>8154</v>
      </c>
      <c r="BH775" t="s">
        <v>2787</v>
      </c>
      <c r="BI775">
        <v>-81.818876534023701</v>
      </c>
      <c r="BJ775">
        <v>30.590131958463001</v>
      </c>
      <c r="BK775" t="s">
        <v>8169</v>
      </c>
      <c r="BL775" t="s">
        <v>8170</v>
      </c>
      <c r="BM775" t="s">
        <v>8171</v>
      </c>
      <c r="BN775" t="s">
        <v>548</v>
      </c>
      <c r="BO775">
        <v>32221</v>
      </c>
      <c r="BP775" t="s">
        <v>404</v>
      </c>
      <c r="BQ775">
        <v>0</v>
      </c>
      <c r="BR775" t="s">
        <v>491</v>
      </c>
      <c r="BS775">
        <v>8001</v>
      </c>
      <c r="BT775" t="s">
        <v>492</v>
      </c>
      <c r="BW775">
        <v>7840</v>
      </c>
      <c r="BX775" t="s">
        <v>407</v>
      </c>
      <c r="BY775" t="s">
        <v>408</v>
      </c>
      <c r="CD775">
        <v>2017</v>
      </c>
      <c r="CE775">
        <v>2700</v>
      </c>
      <c r="CG775">
        <v>2700</v>
      </c>
      <c r="CH775">
        <v>2017</v>
      </c>
      <c r="CI775">
        <v>2700</v>
      </c>
      <c r="CK775">
        <v>2700</v>
      </c>
      <c r="CL775">
        <v>2017</v>
      </c>
      <c r="CM775">
        <v>38.119999999999997</v>
      </c>
      <c r="CN775" s="1">
        <v>38421</v>
      </c>
      <c r="CZ775" s="1">
        <v>38421</v>
      </c>
      <c r="DD775" t="s">
        <v>2785</v>
      </c>
      <c r="DG775">
        <v>17</v>
      </c>
      <c r="DL775">
        <v>50503</v>
      </c>
      <c r="DM775" t="s">
        <v>8159</v>
      </c>
      <c r="DO775" t="s">
        <v>8172</v>
      </c>
      <c r="DP775">
        <v>0</v>
      </c>
      <c r="DQ775">
        <v>0</v>
      </c>
      <c r="DR775" t="s">
        <v>411</v>
      </c>
      <c r="DS775" t="b">
        <v>1</v>
      </c>
      <c r="DT775" t="s">
        <v>470</v>
      </c>
      <c r="DU775" t="s">
        <v>471</v>
      </c>
      <c r="DV775" t="s">
        <v>472</v>
      </c>
      <c r="DX775">
        <v>-9999</v>
      </c>
      <c r="DZ775" t="s">
        <v>447</v>
      </c>
      <c r="EA775" t="s">
        <v>448</v>
      </c>
      <c r="EB775" t="s">
        <v>742</v>
      </c>
      <c r="EC775">
        <v>20101217</v>
      </c>
      <c r="ED775" t="s">
        <v>474</v>
      </c>
      <c r="EF775">
        <v>584.70000000000005</v>
      </c>
      <c r="EG775">
        <v>584.70000000000005</v>
      </c>
      <c r="EI775">
        <v>20160407</v>
      </c>
      <c r="EJ775">
        <v>0</v>
      </c>
      <c r="EK775">
        <v>0</v>
      </c>
      <c r="EP775" t="s">
        <v>595</v>
      </c>
      <c r="EQ775" t="s">
        <v>422</v>
      </c>
      <c r="ER775">
        <v>8</v>
      </c>
      <c r="ES775">
        <v>0</v>
      </c>
      <c r="ET775">
        <v>491.79</v>
      </c>
      <c r="EU775">
        <v>433.01</v>
      </c>
      <c r="EV775">
        <v>924.8</v>
      </c>
      <c r="EW775" s="2">
        <v>43222</v>
      </c>
      <c r="EX775" s="1">
        <v>42879</v>
      </c>
      <c r="EY775">
        <v>2016</v>
      </c>
      <c r="EZ775">
        <v>62.86</v>
      </c>
      <c r="FA775" t="s">
        <v>8173</v>
      </c>
      <c r="FB775">
        <v>18</v>
      </c>
      <c r="FC775" t="s">
        <v>603</v>
      </c>
      <c r="FD775" t="s">
        <v>454</v>
      </c>
      <c r="FF775">
        <v>12</v>
      </c>
      <c r="FG775">
        <v>9999999</v>
      </c>
      <c r="FH775" t="s">
        <v>604</v>
      </c>
      <c r="FJ775" s="1">
        <v>42515</v>
      </c>
      <c r="FK775">
        <v>2015</v>
      </c>
      <c r="FL775">
        <v>58.73</v>
      </c>
      <c r="FM775" t="s">
        <v>8174</v>
      </c>
      <c r="FN775">
        <v>18</v>
      </c>
      <c r="FO775" t="s">
        <v>603</v>
      </c>
      <c r="FP775" t="s">
        <v>454</v>
      </c>
      <c r="FR775">
        <v>24</v>
      </c>
      <c r="FS775">
        <v>9999999</v>
      </c>
      <c r="FT775" t="s">
        <v>604</v>
      </c>
      <c r="FV775" s="1">
        <v>42151</v>
      </c>
      <c r="FW775">
        <v>2014</v>
      </c>
      <c r="FX775">
        <v>58.91</v>
      </c>
      <c r="FY775" t="s">
        <v>8175</v>
      </c>
      <c r="FZ775">
        <v>14.75</v>
      </c>
      <c r="GA775" t="s">
        <v>424</v>
      </c>
      <c r="GB775" t="s">
        <v>454</v>
      </c>
      <c r="GD775">
        <v>36</v>
      </c>
      <c r="GE775">
        <v>6516843</v>
      </c>
      <c r="GF775" t="s">
        <v>601</v>
      </c>
      <c r="GH775" s="1">
        <v>41787</v>
      </c>
      <c r="GI775">
        <v>2013</v>
      </c>
      <c r="GJ775">
        <v>55.5</v>
      </c>
      <c r="GK775" t="s">
        <v>8176</v>
      </c>
      <c r="GL775">
        <v>18</v>
      </c>
      <c r="GM775" t="s">
        <v>603</v>
      </c>
      <c r="GN775" t="s">
        <v>454</v>
      </c>
      <c r="GP775">
        <v>48</v>
      </c>
      <c r="GQ775">
        <v>9999999</v>
      </c>
      <c r="GR775" t="s">
        <v>604</v>
      </c>
      <c r="GT775" s="1">
        <v>41423</v>
      </c>
      <c r="GU775">
        <v>2012</v>
      </c>
      <c r="GV775">
        <v>66.22</v>
      </c>
      <c r="GW775" t="s">
        <v>8177</v>
      </c>
      <c r="GX775">
        <v>17</v>
      </c>
      <c r="GY775" t="s">
        <v>424</v>
      </c>
      <c r="GZ775" t="s">
        <v>454</v>
      </c>
      <c r="HB775">
        <v>60</v>
      </c>
      <c r="HC775">
        <v>10628</v>
      </c>
      <c r="HD775" t="s">
        <v>943</v>
      </c>
      <c r="HF775" s="1">
        <v>41052</v>
      </c>
      <c r="HG775">
        <v>2011</v>
      </c>
      <c r="HH775">
        <v>59</v>
      </c>
      <c r="HI775" t="s">
        <v>8178</v>
      </c>
      <c r="HJ775">
        <v>18</v>
      </c>
      <c r="HK775" t="s">
        <v>424</v>
      </c>
      <c r="HL775" t="s">
        <v>454</v>
      </c>
      <c r="HN775">
        <v>72</v>
      </c>
      <c r="HO775">
        <v>10125</v>
      </c>
      <c r="HP775" t="s">
        <v>440</v>
      </c>
      <c r="HR775" s="1">
        <v>40688</v>
      </c>
      <c r="HS775">
        <v>2010</v>
      </c>
      <c r="HT775">
        <v>72.34</v>
      </c>
      <c r="HU775" t="s">
        <v>8179</v>
      </c>
      <c r="HV775">
        <v>18</v>
      </c>
      <c r="HW775" t="s">
        <v>424</v>
      </c>
      <c r="HX775" t="s">
        <v>454</v>
      </c>
      <c r="HZ775">
        <v>84</v>
      </c>
      <c r="IA775">
        <v>12071</v>
      </c>
      <c r="IB775" t="s">
        <v>2936</v>
      </c>
      <c r="ID775" s="1">
        <v>40688</v>
      </c>
      <c r="IE775">
        <v>2010</v>
      </c>
      <c r="IF775">
        <v>58.23</v>
      </c>
      <c r="IG775" t="s">
        <v>8179</v>
      </c>
      <c r="IH775">
        <v>18</v>
      </c>
      <c r="II775" t="s">
        <v>603</v>
      </c>
      <c r="IJ775" t="s">
        <v>454</v>
      </c>
      <c r="IL775">
        <v>84</v>
      </c>
      <c r="IM775">
        <v>9999999</v>
      </c>
      <c r="IN775" t="s">
        <v>604</v>
      </c>
    </row>
    <row r="776" spans="1:284" x14ac:dyDescent="0.25">
      <c r="A776">
        <v>16485783</v>
      </c>
      <c r="B776">
        <v>775</v>
      </c>
      <c r="C776" t="s">
        <v>393</v>
      </c>
      <c r="D776" t="s">
        <v>394</v>
      </c>
      <c r="F776" t="str">
        <f>"17-2N-25-0000-0011-0170"</f>
        <v>17-2N-25-0000-0011-0170</v>
      </c>
      <c r="H776" t="str">
        <f>"OLIVER BARRY &amp; PADILLA DEBRA"</f>
        <v>OLIVER BARRY &amp; PADILLA DEBRA</v>
      </c>
      <c r="I776" t="str">
        <f>"45052 KEY LANE"</f>
        <v>45052 KEY LANE</v>
      </c>
      <c r="J776" t="str">
        <f t="shared" ref="J776:J781" si="246">"CALLAHAN FL 32011"</f>
        <v>CALLAHAN FL 32011</v>
      </c>
      <c r="K776" t="str">
        <f>"45052 KEY LN"</f>
        <v>45052 KEY LN</v>
      </c>
      <c r="L776" t="str">
        <f t="shared" si="222"/>
        <v>CALLAHAN FL 32011</v>
      </c>
      <c r="M776" t="str">
        <f>"PT OF LOT 9 IN OR 1443/1700 ELIZA JONES ESTATE OR 148/454 {R788007 R788008 &amp; R788009}"</f>
        <v>PT OF LOT 9 IN OR 1443/1700 ELIZA JONES ESTATE OR 148/454 {R788007 R788008 &amp; R788009}</v>
      </c>
      <c r="N776" t="str">
        <f>""</f>
        <v/>
      </c>
      <c r="O776" t="str">
        <f>"31923"</f>
        <v>31923</v>
      </c>
      <c r="P776" t="str">
        <f t="shared" si="243"/>
        <v>2017</v>
      </c>
      <c r="Q776" t="str">
        <f>""</f>
        <v/>
      </c>
      <c r="R776" t="str">
        <f>"Y"</f>
        <v>Y</v>
      </c>
      <c r="S776" t="str">
        <f>"1.01"</f>
        <v>1.01</v>
      </c>
      <c r="T776" t="str">
        <f>"319.29"</f>
        <v>319.29</v>
      </c>
      <c r="U776" t="str">
        <f>"46591.00"</f>
        <v>46591.00</v>
      </c>
      <c r="V776" t="str">
        <f>"46591.00"</f>
        <v>46591.00</v>
      </c>
      <c r="W776" t="str">
        <f t="shared" si="244"/>
        <v>2017</v>
      </c>
      <c r="X776" t="str">
        <f>"22.00"</f>
        <v>22.00</v>
      </c>
      <c r="Y776" t="str">
        <f>"360.87"</f>
        <v>360.87</v>
      </c>
      <c r="Z776" t="str">
        <f>"25500.00"</f>
        <v>25500.00</v>
      </c>
      <c r="AA776" t="str">
        <f>"21091.00"</f>
        <v>21091.00</v>
      </c>
      <c r="AB776" t="str">
        <f t="shared" si="240"/>
        <v>Residential</v>
      </c>
      <c r="AC776" t="str">
        <f t="shared" si="230"/>
        <v>0</v>
      </c>
      <c r="AD776" t="str">
        <f>"4"</f>
        <v>4</v>
      </c>
      <c r="AE776" t="str">
        <f>"WOOD (INCLUDE STEEL STUDS)"</f>
        <v>WOOD (INCLUDE STEEL STUDS)</v>
      </c>
      <c r="AF776" t="str">
        <f>"002"</f>
        <v>002</v>
      </c>
      <c r="AG776" t="str">
        <f t="shared" si="245"/>
        <v>FL</v>
      </c>
      <c r="AH776" t="str">
        <f>"43995.00"</f>
        <v>43995.00</v>
      </c>
      <c r="AI776" t="str">
        <f>"15150.00"</f>
        <v>15150.00</v>
      </c>
      <c r="AJ776" t="str">
        <f>"C55-000-589-2560-3"</f>
        <v>C55-000-589-2560-3</v>
      </c>
      <c r="AK776" t="str">
        <f>"12507"</f>
        <v>12507</v>
      </c>
      <c r="AL776">
        <v>3</v>
      </c>
      <c r="AM776">
        <v>902</v>
      </c>
      <c r="AN776">
        <v>377.31</v>
      </c>
      <c r="AQ776" t="s">
        <v>8180</v>
      </c>
      <c r="AR776" t="s">
        <v>8180</v>
      </c>
      <c r="AS776" t="s">
        <v>8180</v>
      </c>
      <c r="AU776" t="s">
        <v>396</v>
      </c>
      <c r="AV776">
        <v>2017</v>
      </c>
      <c r="AW776" t="str">
        <f>"17-2N-25-0000-0011-0170 "</f>
        <v xml:space="preserve">17-2N-25-0000-0011-0170 </v>
      </c>
      <c r="AX776">
        <v>45052</v>
      </c>
      <c r="AZ776" t="s">
        <v>8181</v>
      </c>
      <c r="BA776" t="s">
        <v>653</v>
      </c>
      <c r="BD776" t="s">
        <v>2785</v>
      </c>
      <c r="BE776" t="s">
        <v>393</v>
      </c>
      <c r="BF776">
        <v>32011</v>
      </c>
      <c r="BG776" t="s">
        <v>8182</v>
      </c>
      <c r="BH776" t="s">
        <v>2787</v>
      </c>
      <c r="BI776">
        <v>-81.820556376073895</v>
      </c>
      <c r="BJ776">
        <v>30.588219903998901</v>
      </c>
      <c r="BK776" t="s">
        <v>8183</v>
      </c>
      <c r="BL776" t="s">
        <v>8184</v>
      </c>
      <c r="BM776" t="s">
        <v>8182</v>
      </c>
      <c r="BN776" t="s">
        <v>928</v>
      </c>
      <c r="BO776">
        <v>32011</v>
      </c>
      <c r="BP776" t="s">
        <v>416</v>
      </c>
      <c r="BQ776">
        <v>200</v>
      </c>
      <c r="BR776" t="s">
        <v>405</v>
      </c>
      <c r="BS776">
        <v>1006</v>
      </c>
      <c r="BT776" t="s">
        <v>406</v>
      </c>
      <c r="BW776">
        <v>43995</v>
      </c>
      <c r="BX776" t="s">
        <v>407</v>
      </c>
      <c r="BY776" t="s">
        <v>408</v>
      </c>
      <c r="BZ776">
        <v>4</v>
      </c>
      <c r="CA776">
        <v>1998</v>
      </c>
      <c r="CB776">
        <v>1</v>
      </c>
      <c r="CC776">
        <v>1</v>
      </c>
      <c r="CD776">
        <v>2017</v>
      </c>
      <c r="CG776">
        <v>46591</v>
      </c>
      <c r="CH776">
        <v>2017</v>
      </c>
      <c r="CI776">
        <v>15150</v>
      </c>
      <c r="CJ776">
        <v>41039</v>
      </c>
      <c r="CK776">
        <v>56189</v>
      </c>
      <c r="CL776">
        <v>2017</v>
      </c>
      <c r="CM776">
        <v>319.29000000000002</v>
      </c>
      <c r="CN776" s="1">
        <v>38972</v>
      </c>
      <c r="CO776">
        <v>83800</v>
      </c>
      <c r="CZ776" s="1">
        <v>38972</v>
      </c>
      <c r="DD776" t="s">
        <v>2785</v>
      </c>
      <c r="DG776">
        <v>17</v>
      </c>
      <c r="DL776">
        <v>50503</v>
      </c>
      <c r="DM776" t="s">
        <v>8159</v>
      </c>
      <c r="DO776" t="s">
        <v>8185</v>
      </c>
      <c r="DP776">
        <v>0</v>
      </c>
      <c r="DQ776">
        <v>0</v>
      </c>
      <c r="DR776" t="s">
        <v>411</v>
      </c>
      <c r="DS776" t="b">
        <v>1</v>
      </c>
      <c r="DT776" t="s">
        <v>470</v>
      </c>
      <c r="DU776" t="s">
        <v>471</v>
      </c>
      <c r="DV776" t="s">
        <v>472</v>
      </c>
      <c r="DX776">
        <v>-9999</v>
      </c>
      <c r="DZ776" t="s">
        <v>447</v>
      </c>
      <c r="EA776" t="s">
        <v>448</v>
      </c>
      <c r="EB776" t="s">
        <v>742</v>
      </c>
      <c r="EC776">
        <v>20101217</v>
      </c>
      <c r="ED776" t="s">
        <v>474</v>
      </c>
      <c r="EF776">
        <v>1458.8</v>
      </c>
      <c r="EG776">
        <v>1458.8</v>
      </c>
      <c r="EI776">
        <v>20160407</v>
      </c>
      <c r="EJ776">
        <v>0</v>
      </c>
      <c r="EK776">
        <v>0</v>
      </c>
      <c r="EP776" t="s">
        <v>421</v>
      </c>
      <c r="EQ776" t="s">
        <v>422</v>
      </c>
      <c r="ER776">
        <v>2</v>
      </c>
      <c r="ES776">
        <v>9</v>
      </c>
      <c r="ET776">
        <v>739.08</v>
      </c>
      <c r="EU776">
        <v>49.45</v>
      </c>
      <c r="EV776">
        <v>788.53</v>
      </c>
      <c r="EW776" s="2">
        <v>43222</v>
      </c>
      <c r="EX776" s="1">
        <v>42879</v>
      </c>
      <c r="EY776">
        <v>2016</v>
      </c>
      <c r="EZ776">
        <v>369.54</v>
      </c>
      <c r="FA776" t="s">
        <v>8186</v>
      </c>
      <c r="FB776">
        <v>0.25</v>
      </c>
      <c r="FC776" t="s">
        <v>424</v>
      </c>
      <c r="FD776" t="s">
        <v>454</v>
      </c>
      <c r="FF776">
        <v>12</v>
      </c>
      <c r="FG776">
        <v>2851116</v>
      </c>
      <c r="FH776" t="s">
        <v>480</v>
      </c>
      <c r="FJ776" s="1">
        <v>42879</v>
      </c>
      <c r="FK776">
        <v>2016</v>
      </c>
      <c r="FL776">
        <v>369.54</v>
      </c>
      <c r="FM776" t="s">
        <v>8186</v>
      </c>
      <c r="FN776">
        <v>0.25</v>
      </c>
      <c r="FO776" t="s">
        <v>424</v>
      </c>
      <c r="FP776" t="s">
        <v>454</v>
      </c>
      <c r="FR776">
        <v>12</v>
      </c>
      <c r="FS776">
        <v>5387549</v>
      </c>
      <c r="FT776" t="s">
        <v>8187</v>
      </c>
      <c r="FV776" s="1">
        <v>42515</v>
      </c>
      <c r="FW776">
        <v>2015</v>
      </c>
      <c r="FX776">
        <v>367.48</v>
      </c>
      <c r="FY776" t="s">
        <v>8188</v>
      </c>
      <c r="FZ776">
        <v>0.25</v>
      </c>
      <c r="GA776" t="s">
        <v>424</v>
      </c>
      <c r="GB776" t="s">
        <v>425</v>
      </c>
      <c r="GC776" s="1">
        <v>43164</v>
      </c>
      <c r="GD776">
        <v>22</v>
      </c>
      <c r="GE776">
        <v>2851116</v>
      </c>
      <c r="GF776" t="s">
        <v>480</v>
      </c>
      <c r="GH776" s="1">
        <v>42515</v>
      </c>
      <c r="GI776">
        <v>2015</v>
      </c>
      <c r="GJ776">
        <v>367.48</v>
      </c>
      <c r="GK776" t="s">
        <v>8188</v>
      </c>
      <c r="GL776">
        <v>0.25</v>
      </c>
      <c r="GM776" t="s">
        <v>424</v>
      </c>
      <c r="GN776" t="s">
        <v>425</v>
      </c>
      <c r="GP776">
        <v>22</v>
      </c>
      <c r="GQ776">
        <v>5236503</v>
      </c>
      <c r="GR776" t="s">
        <v>8189</v>
      </c>
      <c r="GT776" s="1">
        <v>42151</v>
      </c>
      <c r="GU776">
        <v>2014</v>
      </c>
      <c r="GV776">
        <v>369.15</v>
      </c>
      <c r="GW776" t="s">
        <v>8190</v>
      </c>
      <c r="GX776">
        <v>0.25</v>
      </c>
      <c r="GY776" t="s">
        <v>424</v>
      </c>
      <c r="GZ776" t="s">
        <v>425</v>
      </c>
      <c r="HA776" s="1">
        <v>42829</v>
      </c>
      <c r="HB776">
        <v>23</v>
      </c>
      <c r="HC776">
        <v>2851116</v>
      </c>
      <c r="HD776" t="s">
        <v>480</v>
      </c>
      <c r="HF776" s="1">
        <v>42151</v>
      </c>
      <c r="HG776">
        <v>2014</v>
      </c>
      <c r="HH776">
        <v>369.15</v>
      </c>
      <c r="HI776" t="s">
        <v>8190</v>
      </c>
      <c r="HJ776">
        <v>0.25</v>
      </c>
      <c r="HK776" t="s">
        <v>424</v>
      </c>
      <c r="HL776" t="s">
        <v>425</v>
      </c>
      <c r="HN776">
        <v>22</v>
      </c>
      <c r="HO776">
        <v>5275042</v>
      </c>
      <c r="HP776" t="s">
        <v>8191</v>
      </c>
      <c r="HR776" s="1">
        <v>41787</v>
      </c>
      <c r="HS776">
        <v>2013</v>
      </c>
      <c r="HT776">
        <v>413.98</v>
      </c>
      <c r="HU776" t="s">
        <v>8192</v>
      </c>
      <c r="HV776">
        <v>2.25</v>
      </c>
      <c r="HW776" t="s">
        <v>424</v>
      </c>
      <c r="HX776" t="s">
        <v>425</v>
      </c>
      <c r="HY776" s="1">
        <v>42432</v>
      </c>
      <c r="HZ776">
        <v>22</v>
      </c>
      <c r="IA776">
        <v>62</v>
      </c>
      <c r="IB776" t="s">
        <v>463</v>
      </c>
      <c r="ID776" s="1">
        <v>41423</v>
      </c>
      <c r="IE776">
        <v>2012</v>
      </c>
      <c r="IF776">
        <v>452.79</v>
      </c>
      <c r="IG776" t="s">
        <v>8193</v>
      </c>
      <c r="IH776">
        <v>2.75</v>
      </c>
      <c r="II776" t="s">
        <v>424</v>
      </c>
      <c r="IJ776" t="s">
        <v>425</v>
      </c>
      <c r="IK776" s="1">
        <v>42066</v>
      </c>
      <c r="IL776">
        <v>22</v>
      </c>
      <c r="IM776">
        <v>15399</v>
      </c>
      <c r="IN776" t="s">
        <v>485</v>
      </c>
      <c r="IP776" s="1">
        <v>41052</v>
      </c>
      <c r="IQ776">
        <v>2011</v>
      </c>
      <c r="IR776">
        <v>481.73</v>
      </c>
      <c r="IS776" t="s">
        <v>8194</v>
      </c>
      <c r="IT776">
        <v>6</v>
      </c>
      <c r="IU776" t="s">
        <v>424</v>
      </c>
      <c r="IV776" t="s">
        <v>425</v>
      </c>
      <c r="IW776" s="1">
        <v>41698</v>
      </c>
      <c r="IX776">
        <v>21</v>
      </c>
      <c r="IY776">
        <v>10125</v>
      </c>
      <c r="IZ776" t="s">
        <v>440</v>
      </c>
      <c r="JB776" s="1">
        <v>40688</v>
      </c>
      <c r="JC776">
        <v>2010</v>
      </c>
      <c r="JD776">
        <v>487.81</v>
      </c>
      <c r="JE776" t="s">
        <v>8195</v>
      </c>
      <c r="JF776">
        <v>8</v>
      </c>
      <c r="JG776" t="s">
        <v>424</v>
      </c>
      <c r="JH776" t="s">
        <v>425</v>
      </c>
      <c r="JI776" s="1">
        <v>41337</v>
      </c>
      <c r="JJ776">
        <v>22</v>
      </c>
      <c r="JK776">
        <v>15175</v>
      </c>
      <c r="JL776" t="s">
        <v>588</v>
      </c>
      <c r="JN776" s="1">
        <v>40688</v>
      </c>
      <c r="JO776">
        <v>2010</v>
      </c>
      <c r="JP776">
        <v>487.81</v>
      </c>
      <c r="JQ776" t="s">
        <v>8195</v>
      </c>
      <c r="JR776">
        <v>8</v>
      </c>
      <c r="JS776" t="s">
        <v>424</v>
      </c>
      <c r="JT776" t="s">
        <v>425</v>
      </c>
      <c r="JV776">
        <v>22</v>
      </c>
      <c r="JW776">
        <v>10548</v>
      </c>
      <c r="JX776" t="s">
        <v>589</v>
      </c>
    </row>
    <row r="777" spans="1:284" x14ac:dyDescent="0.25">
      <c r="A777">
        <v>16485784</v>
      </c>
      <c r="B777">
        <v>776</v>
      </c>
      <c r="C777" t="s">
        <v>393</v>
      </c>
      <c r="D777" t="s">
        <v>394</v>
      </c>
      <c r="F777" t="str">
        <f>"17-2N-25-3010-0017-0000"</f>
        <v>17-2N-25-3010-0017-0000</v>
      </c>
      <c r="H777" t="str">
        <f>"BRAY DILLON"</f>
        <v>BRAY DILLON</v>
      </c>
      <c r="I777" t="str">
        <f>"45125 EULA B RD"</f>
        <v>45125 EULA B RD</v>
      </c>
      <c r="J777" t="str">
        <f t="shared" si="246"/>
        <v>CALLAHAN FL 32011</v>
      </c>
      <c r="K777" t="str">
        <f>"45125 EULA B RD"</f>
        <v>45125 EULA B RD</v>
      </c>
      <c r="L777" t="str">
        <f t="shared" si="222"/>
        <v>CALLAHAN FL 32011</v>
      </c>
      <c r="M777" t="str">
        <f>"LOT 17 R673562 IN OR 1481/1720 WOODGROVE ACRES PB 4/59"</f>
        <v>LOT 17 R673562 IN OR 1481/1720 WOODGROVE ACRES PB 4/59</v>
      </c>
      <c r="N777" t="str">
        <f>""</f>
        <v/>
      </c>
      <c r="O777" t="str">
        <f>"31947"</f>
        <v>31947</v>
      </c>
      <c r="P777" t="str">
        <f t="shared" si="243"/>
        <v>2017</v>
      </c>
      <c r="Q777" t="str">
        <f>""</f>
        <v/>
      </c>
      <c r="R777" t="str">
        <f>"N"</f>
        <v>N</v>
      </c>
      <c r="S777" t="str">
        <f>""</f>
        <v/>
      </c>
      <c r="T777" t="str">
        <f>"678.60"</f>
        <v>678.60</v>
      </c>
      <c r="U777" t="str">
        <f>"44141.00"</f>
        <v>44141.00</v>
      </c>
      <c r="V777" t="str">
        <f>"44141.00"</f>
        <v>44141.00</v>
      </c>
      <c r="W777" t="str">
        <f t="shared" si="244"/>
        <v>2017</v>
      </c>
      <c r="X777" t="str">
        <f>"15.00"</f>
        <v>15.00</v>
      </c>
      <c r="Y777" t="str">
        <f>"730.96"</f>
        <v>730.96</v>
      </c>
      <c r="Z777" t="str">
        <f>""</f>
        <v/>
      </c>
      <c r="AA777" t="str">
        <f>"45712.00"</f>
        <v>45712.00</v>
      </c>
      <c r="AB777" t="str">
        <f t="shared" si="240"/>
        <v>Residential</v>
      </c>
      <c r="AC777" t="str">
        <f t="shared" si="230"/>
        <v>0</v>
      </c>
      <c r="AD777" t="str">
        <f>"4"</f>
        <v>4</v>
      </c>
      <c r="AE777" t="str">
        <f>"WOOD (INCLUDE STEEL STUDS)"</f>
        <v>WOOD (INCLUDE STEEL STUDS)</v>
      </c>
      <c r="AF777" t="str">
        <f>"002"</f>
        <v>002</v>
      </c>
      <c r="AG777" t="str">
        <f t="shared" si="245"/>
        <v>FL</v>
      </c>
      <c r="AH777" t="str">
        <f>"-"</f>
        <v>-</v>
      </c>
      <c r="AI777" t="str">
        <f>"15000.00"</f>
        <v>15000.00</v>
      </c>
      <c r="AJ777" t="str">
        <f>"C55-000-587-1544-2"</f>
        <v>C55-000-587-1544-2</v>
      </c>
      <c r="AK777" t="str">
        <f>"12530"</f>
        <v>12530</v>
      </c>
      <c r="AL777">
        <v>3</v>
      </c>
      <c r="AM777">
        <v>904</v>
      </c>
      <c r="AN777">
        <v>765.91</v>
      </c>
      <c r="AQ777" t="s">
        <v>8196</v>
      </c>
      <c r="AR777" t="s">
        <v>8196</v>
      </c>
      <c r="AS777" t="s">
        <v>8196</v>
      </c>
      <c r="AU777" t="s">
        <v>396</v>
      </c>
      <c r="AV777">
        <v>2017</v>
      </c>
      <c r="AW777" t="str">
        <f>"17-2N-25-3010-0017-0000 "</f>
        <v xml:space="preserve">17-2N-25-3010-0017-0000 </v>
      </c>
      <c r="AX777">
        <v>45125</v>
      </c>
      <c r="AZ777" t="s">
        <v>8197</v>
      </c>
      <c r="BA777" t="s">
        <v>496</v>
      </c>
      <c r="BD777" t="s">
        <v>2785</v>
      </c>
      <c r="BE777" t="s">
        <v>393</v>
      </c>
      <c r="BF777">
        <v>32011</v>
      </c>
      <c r="BG777" t="s">
        <v>8198</v>
      </c>
      <c r="BH777" t="s">
        <v>2787</v>
      </c>
      <c r="BI777">
        <v>-81.822801174873902</v>
      </c>
      <c r="BJ777">
        <v>30.5873761296148</v>
      </c>
      <c r="BK777" t="s">
        <v>8199</v>
      </c>
      <c r="BM777" t="s">
        <v>8198</v>
      </c>
      <c r="BN777" t="s">
        <v>928</v>
      </c>
      <c r="BO777">
        <v>32011</v>
      </c>
      <c r="BP777" t="s">
        <v>416</v>
      </c>
      <c r="BQ777">
        <v>200</v>
      </c>
      <c r="BR777" t="s">
        <v>405</v>
      </c>
      <c r="BS777">
        <v>1006</v>
      </c>
      <c r="BT777" t="s">
        <v>406</v>
      </c>
      <c r="BW777">
        <v>43691</v>
      </c>
      <c r="BX777" t="s">
        <v>407</v>
      </c>
      <c r="BY777" t="s">
        <v>408</v>
      </c>
      <c r="BZ777">
        <v>4</v>
      </c>
      <c r="CA777">
        <v>1998</v>
      </c>
      <c r="CB777">
        <v>1</v>
      </c>
      <c r="CC777">
        <v>1</v>
      </c>
      <c r="CD777">
        <v>2017</v>
      </c>
      <c r="CE777">
        <v>15000</v>
      </c>
      <c r="CF777">
        <v>30712</v>
      </c>
      <c r="CG777">
        <v>45712</v>
      </c>
      <c r="CH777">
        <v>2017</v>
      </c>
      <c r="CI777">
        <v>15000</v>
      </c>
      <c r="CJ777">
        <v>30712</v>
      </c>
      <c r="CK777">
        <v>45712</v>
      </c>
      <c r="CL777">
        <v>2017</v>
      </c>
      <c r="CM777">
        <v>678.6</v>
      </c>
      <c r="CN777" s="1">
        <v>39141</v>
      </c>
      <c r="CZ777" s="1">
        <v>39141</v>
      </c>
      <c r="DD777" t="s">
        <v>2785</v>
      </c>
      <c r="DF777">
        <v>17</v>
      </c>
      <c r="DG777">
        <v>17</v>
      </c>
      <c r="DJ777" t="s">
        <v>8200</v>
      </c>
      <c r="DL777">
        <v>50503</v>
      </c>
      <c r="DM777" t="s">
        <v>8159</v>
      </c>
      <c r="DO777" t="s">
        <v>8201</v>
      </c>
      <c r="DP777">
        <v>0</v>
      </c>
      <c r="DQ777">
        <v>0</v>
      </c>
      <c r="DR777" t="s">
        <v>411</v>
      </c>
      <c r="DS777" t="b">
        <v>1</v>
      </c>
      <c r="DT777" t="s">
        <v>470</v>
      </c>
      <c r="DU777" t="s">
        <v>471</v>
      </c>
      <c r="DV777" t="s">
        <v>472</v>
      </c>
      <c r="DX777">
        <v>-9999</v>
      </c>
      <c r="DZ777" t="s">
        <v>447</v>
      </c>
      <c r="EA777" t="s">
        <v>448</v>
      </c>
      <c r="EB777" t="s">
        <v>742</v>
      </c>
      <c r="EC777">
        <v>20101217</v>
      </c>
      <c r="ED777" t="s">
        <v>474</v>
      </c>
      <c r="EF777">
        <v>1576.1</v>
      </c>
      <c r="EG777">
        <v>1576.1</v>
      </c>
      <c r="EI777">
        <v>20160407</v>
      </c>
      <c r="EJ777">
        <v>0</v>
      </c>
      <c r="EK777">
        <v>0</v>
      </c>
      <c r="EP777" t="s">
        <v>421</v>
      </c>
      <c r="EQ777" t="s">
        <v>422</v>
      </c>
      <c r="ER777">
        <v>0</v>
      </c>
      <c r="ES777">
        <v>3</v>
      </c>
      <c r="ET777">
        <v>0</v>
      </c>
      <c r="EU777">
        <v>0</v>
      </c>
      <c r="EV777">
        <v>0</v>
      </c>
      <c r="EW777" s="2">
        <v>43222</v>
      </c>
      <c r="EX777" s="1">
        <v>42515</v>
      </c>
      <c r="EY777">
        <v>2015</v>
      </c>
      <c r="EZ777">
        <v>696.15</v>
      </c>
      <c r="FA777" t="s">
        <v>8202</v>
      </c>
      <c r="FB777">
        <v>0.25</v>
      </c>
      <c r="FC777" t="s">
        <v>424</v>
      </c>
      <c r="FD777" t="s">
        <v>425</v>
      </c>
      <c r="FE777" s="1">
        <v>42846</v>
      </c>
      <c r="FF777">
        <v>11</v>
      </c>
      <c r="FG777">
        <v>2851116</v>
      </c>
      <c r="FH777" t="s">
        <v>480</v>
      </c>
      <c r="FJ777" s="1">
        <v>42515</v>
      </c>
      <c r="FK777">
        <v>2015</v>
      </c>
      <c r="FL777">
        <v>696.15</v>
      </c>
      <c r="FM777" t="s">
        <v>8202</v>
      </c>
      <c r="FN777">
        <v>0.25</v>
      </c>
      <c r="FO777" t="s">
        <v>424</v>
      </c>
      <c r="FP777" t="s">
        <v>425</v>
      </c>
      <c r="FR777">
        <v>22</v>
      </c>
      <c r="FS777">
        <v>4936606</v>
      </c>
      <c r="FT777" t="s">
        <v>8203</v>
      </c>
      <c r="FV777" s="1">
        <v>40688</v>
      </c>
      <c r="FW777">
        <v>2010</v>
      </c>
      <c r="FX777">
        <v>776.58</v>
      </c>
      <c r="FY777" t="s">
        <v>8204</v>
      </c>
      <c r="FZ777">
        <v>7.5</v>
      </c>
      <c r="GA777" t="s">
        <v>424</v>
      </c>
      <c r="GB777" t="s">
        <v>425</v>
      </c>
      <c r="GC777" s="1">
        <v>41025</v>
      </c>
      <c r="GD777">
        <v>11</v>
      </c>
      <c r="GE777">
        <v>10579</v>
      </c>
      <c r="GF777" t="s">
        <v>488</v>
      </c>
    </row>
    <row r="778" spans="1:284" x14ac:dyDescent="0.25">
      <c r="A778">
        <v>16485785</v>
      </c>
      <c r="B778">
        <v>777</v>
      </c>
      <c r="C778" t="s">
        <v>393</v>
      </c>
      <c r="D778" t="s">
        <v>394</v>
      </c>
      <c r="F778" t="str">
        <f>"18-2N-25-3000-0005-0110"</f>
        <v>18-2N-25-3000-0005-0110</v>
      </c>
      <c r="H778" t="str">
        <f>"BELL FRANKLIN AARON"</f>
        <v>BELL FRANKLIN AARON</v>
      </c>
      <c r="I778" t="str">
        <f>"45419 ZIDELL ROAD"</f>
        <v>45419 ZIDELL ROAD</v>
      </c>
      <c r="J778" t="str">
        <f t="shared" si="246"/>
        <v>CALLAHAN FL 32011</v>
      </c>
      <c r="K778" t="str">
        <f>"ZIDELL RD"</f>
        <v>ZIDELL RD</v>
      </c>
      <c r="L778" t="str">
        <f t="shared" si="222"/>
        <v>CALLAHAN FL 32011</v>
      </c>
      <c r="M778" t="str">
        <f>"LOTS 5 &amp; 6 (EX S1/3) &amp; LOT 7 IN OR 1336/421 CALLAHAN HEIGHTS PB 0/30"</f>
        <v>LOTS 5 &amp; 6 (EX S1/3) &amp; LOT 7 IN OR 1336/421 CALLAHAN HEIGHTS PB 0/30</v>
      </c>
      <c r="N778" t="str">
        <f>""</f>
        <v/>
      </c>
      <c r="O778" t="str">
        <f>"32250"</f>
        <v>32250</v>
      </c>
      <c r="P778" t="str">
        <f t="shared" si="243"/>
        <v>2017</v>
      </c>
      <c r="Q778" t="str">
        <f>""</f>
        <v/>
      </c>
      <c r="R778" t="str">
        <f>"N"</f>
        <v>N</v>
      </c>
      <c r="S778" t="str">
        <f>"46.56"</f>
        <v>46.56</v>
      </c>
      <c r="T778" t="str">
        <f>"284.86"</f>
        <v>284.86</v>
      </c>
      <c r="U778" t="str">
        <f>"18817.00"</f>
        <v>18817.00</v>
      </c>
      <c r="V778" t="str">
        <f>"18817.00"</f>
        <v>18817.00</v>
      </c>
      <c r="W778" t="str">
        <f t="shared" si="244"/>
        <v>2017</v>
      </c>
      <c r="X778" t="str">
        <f>"10.00"</f>
        <v>10.00</v>
      </c>
      <c r="Y778" t="str">
        <f>"325.41"</f>
        <v>325.41</v>
      </c>
      <c r="Z778" t="str">
        <f>""</f>
        <v/>
      </c>
      <c r="AA778" t="str">
        <f>"18817.00"</f>
        <v>18817.00</v>
      </c>
      <c r="AB778" t="str">
        <f>"Agricultural"</f>
        <v>Agricultural</v>
      </c>
      <c r="AC778" t="str">
        <f t="shared" si="230"/>
        <v>0</v>
      </c>
      <c r="AD778" t="str">
        <f>""</f>
        <v/>
      </c>
      <c r="AE778" t="str">
        <f>""</f>
        <v/>
      </c>
      <c r="AF778" t="str">
        <f>"055"</f>
        <v>055</v>
      </c>
      <c r="AG778" t="str">
        <f t="shared" si="245"/>
        <v>FL</v>
      </c>
      <c r="AH778" t="str">
        <f>"2028153.00"</f>
        <v>2028153.00</v>
      </c>
      <c r="AI778" t="str">
        <f>"18817.00"</f>
        <v>18817.00</v>
      </c>
      <c r="AJ778" t="str">
        <f>"C55-000-587-1783-6"</f>
        <v>C55-000-587-1783-6</v>
      </c>
      <c r="AK778" t="str">
        <f>"12539"</f>
        <v>12539</v>
      </c>
      <c r="AL778">
        <v>3</v>
      </c>
      <c r="AM778">
        <v>905</v>
      </c>
      <c r="AN778">
        <v>340.08</v>
      </c>
      <c r="AQ778" t="s">
        <v>8205</v>
      </c>
      <c r="AR778" t="s">
        <v>8205</v>
      </c>
      <c r="AS778" t="s">
        <v>8205</v>
      </c>
      <c r="AU778" t="s">
        <v>396</v>
      </c>
      <c r="AV778">
        <v>2017</v>
      </c>
      <c r="AW778" t="str">
        <f>"18-2N-25-3000-0005-0110 "</f>
        <v xml:space="preserve">18-2N-25-3000-0005-0110 </v>
      </c>
      <c r="AZ778" t="s">
        <v>8206</v>
      </c>
      <c r="BA778" t="s">
        <v>496</v>
      </c>
      <c r="BD778" t="s">
        <v>2785</v>
      </c>
      <c r="BE778" t="s">
        <v>393</v>
      </c>
      <c r="BF778">
        <v>32011</v>
      </c>
      <c r="BG778" t="s">
        <v>8207</v>
      </c>
      <c r="BH778" t="s">
        <v>2787</v>
      </c>
      <c r="BI778">
        <v>-81.841870478204498</v>
      </c>
      <c r="BJ778">
        <v>30.5966503525744</v>
      </c>
      <c r="BK778" t="s">
        <v>8045</v>
      </c>
      <c r="BM778" t="s">
        <v>8046</v>
      </c>
      <c r="BN778" t="s">
        <v>928</v>
      </c>
      <c r="BO778">
        <v>32011</v>
      </c>
      <c r="BP778" t="s">
        <v>404</v>
      </c>
      <c r="BQ778">
        <v>5500</v>
      </c>
      <c r="BR778" t="s">
        <v>1353</v>
      </c>
      <c r="BS778">
        <v>7009</v>
      </c>
      <c r="BT778" t="s">
        <v>418</v>
      </c>
      <c r="BW778">
        <v>2028153</v>
      </c>
      <c r="BX778" t="s">
        <v>407</v>
      </c>
      <c r="BY778" t="s">
        <v>408</v>
      </c>
      <c r="CD778">
        <v>2017</v>
      </c>
      <c r="CG778">
        <v>18817</v>
      </c>
      <c r="CH778">
        <v>2017</v>
      </c>
      <c r="CI778">
        <v>18817</v>
      </c>
      <c r="CJ778">
        <v>144143</v>
      </c>
      <c r="CK778">
        <v>162960</v>
      </c>
      <c r="CL778">
        <v>2017</v>
      </c>
      <c r="CM778">
        <v>284.86</v>
      </c>
      <c r="CN778" s="1">
        <v>38559</v>
      </c>
      <c r="CO778">
        <v>45000</v>
      </c>
      <c r="CZ778" s="1">
        <v>38559</v>
      </c>
      <c r="DD778" t="s">
        <v>2785</v>
      </c>
      <c r="DF778">
        <v>7</v>
      </c>
      <c r="DG778">
        <v>18</v>
      </c>
      <c r="DJ778" t="s">
        <v>8208</v>
      </c>
      <c r="DL778">
        <v>50503</v>
      </c>
      <c r="DM778" t="s">
        <v>8209</v>
      </c>
      <c r="DO778" t="s">
        <v>8210</v>
      </c>
      <c r="DP778">
        <v>0</v>
      </c>
      <c r="DQ778">
        <v>0</v>
      </c>
      <c r="DR778" t="s">
        <v>411</v>
      </c>
      <c r="DS778" t="b">
        <v>1</v>
      </c>
      <c r="DT778" t="s">
        <v>396</v>
      </c>
      <c r="DV778" t="s">
        <v>446</v>
      </c>
      <c r="DX778">
        <v>-9999</v>
      </c>
      <c r="DZ778" t="s">
        <v>447</v>
      </c>
      <c r="EA778" t="s">
        <v>448</v>
      </c>
      <c r="EB778" t="s">
        <v>449</v>
      </c>
      <c r="EC778">
        <v>20101217</v>
      </c>
      <c r="ED778" t="s">
        <v>450</v>
      </c>
      <c r="EE778">
        <v>14.7</v>
      </c>
      <c r="EF778">
        <v>0</v>
      </c>
      <c r="EG778">
        <v>0</v>
      </c>
      <c r="EI778">
        <v>20160407</v>
      </c>
      <c r="EJ778">
        <v>0</v>
      </c>
      <c r="EK778">
        <v>0</v>
      </c>
      <c r="EP778" t="s">
        <v>421</v>
      </c>
      <c r="EQ778" t="s">
        <v>422</v>
      </c>
      <c r="ER778">
        <v>0</v>
      </c>
      <c r="ES778">
        <v>5</v>
      </c>
      <c r="ET778">
        <v>0</v>
      </c>
      <c r="EU778">
        <v>0</v>
      </c>
      <c r="EV778">
        <v>0</v>
      </c>
      <c r="EW778" s="2">
        <v>43222</v>
      </c>
      <c r="EX778" s="1">
        <v>42515</v>
      </c>
      <c r="EY778">
        <v>2015</v>
      </c>
      <c r="EZ778">
        <v>216.27</v>
      </c>
      <c r="FA778" t="s">
        <v>8211</v>
      </c>
      <c r="FB778">
        <v>0.25</v>
      </c>
      <c r="FC778" t="s">
        <v>424</v>
      </c>
      <c r="FD778" t="s">
        <v>425</v>
      </c>
      <c r="FE778" s="1">
        <v>42821</v>
      </c>
      <c r="FF778">
        <v>10</v>
      </c>
      <c r="FG778">
        <v>7336671</v>
      </c>
      <c r="FH778" t="s">
        <v>437</v>
      </c>
      <c r="FJ778" s="1">
        <v>42515</v>
      </c>
      <c r="FK778">
        <v>2015</v>
      </c>
      <c r="FL778">
        <v>216.27</v>
      </c>
      <c r="FM778" t="s">
        <v>8211</v>
      </c>
      <c r="FN778">
        <v>0.25</v>
      </c>
      <c r="FO778" t="s">
        <v>424</v>
      </c>
      <c r="FP778" t="s">
        <v>425</v>
      </c>
      <c r="FR778">
        <v>22</v>
      </c>
      <c r="FS778">
        <v>6782689</v>
      </c>
      <c r="FT778" t="s">
        <v>8212</v>
      </c>
      <c r="FV778" s="1">
        <v>42151</v>
      </c>
      <c r="FW778">
        <v>2014</v>
      </c>
      <c r="FX778">
        <v>214.41</v>
      </c>
      <c r="FY778" t="s">
        <v>8213</v>
      </c>
      <c r="FZ778">
        <v>4.75</v>
      </c>
      <c r="GA778" t="s">
        <v>424</v>
      </c>
      <c r="GB778" t="s">
        <v>425</v>
      </c>
      <c r="GC778" s="1">
        <v>42364</v>
      </c>
      <c r="GD778">
        <v>7</v>
      </c>
      <c r="GE778">
        <v>4975593</v>
      </c>
      <c r="GF778" t="s">
        <v>505</v>
      </c>
      <c r="GH778" s="1">
        <v>41423</v>
      </c>
      <c r="GI778">
        <v>2012</v>
      </c>
      <c r="GJ778">
        <v>118.95</v>
      </c>
      <c r="GK778" t="s">
        <v>8214</v>
      </c>
      <c r="GL778">
        <v>3.75</v>
      </c>
      <c r="GM778" t="s">
        <v>424</v>
      </c>
      <c r="GN778" t="s">
        <v>425</v>
      </c>
      <c r="GO778" s="1">
        <v>41717</v>
      </c>
      <c r="GP778">
        <v>10</v>
      </c>
      <c r="GQ778">
        <v>10178</v>
      </c>
      <c r="GR778" t="s">
        <v>8022</v>
      </c>
      <c r="GT778" s="1">
        <v>41052</v>
      </c>
      <c r="GU778">
        <v>2011</v>
      </c>
      <c r="GV778">
        <v>112.64</v>
      </c>
      <c r="GW778" t="s">
        <v>8215</v>
      </c>
      <c r="GX778">
        <v>6.75</v>
      </c>
      <c r="GY778" t="s">
        <v>424</v>
      </c>
      <c r="GZ778" t="s">
        <v>425</v>
      </c>
      <c r="HA778" s="1">
        <v>41359</v>
      </c>
      <c r="HB778">
        <v>10</v>
      </c>
      <c r="HC778">
        <v>10125</v>
      </c>
      <c r="HD778" t="s">
        <v>440</v>
      </c>
    </row>
    <row r="779" spans="1:284" x14ac:dyDescent="0.25">
      <c r="A779">
        <v>16485786</v>
      </c>
      <c r="B779">
        <v>778</v>
      </c>
      <c r="C779" t="s">
        <v>393</v>
      </c>
      <c r="D779" t="s">
        <v>394</v>
      </c>
      <c r="F779" t="str">
        <f>"18-2N-25-3000-0008-0000"</f>
        <v>18-2N-25-3000-0008-0000</v>
      </c>
      <c r="H779" t="str">
        <f>"BELL FRANKLIN AARON"</f>
        <v>BELL FRANKLIN AARON</v>
      </c>
      <c r="I779" t="str">
        <f>"45419 ZIDELL ROAD"</f>
        <v>45419 ZIDELL ROAD</v>
      </c>
      <c r="J779" t="str">
        <f t="shared" si="246"/>
        <v>CALLAHAN FL 32011</v>
      </c>
      <c r="K779" t="str">
        <f>"ZIDELL RD"</f>
        <v>ZIDELL RD</v>
      </c>
      <c r="L779" t="str">
        <f t="shared" si="222"/>
        <v>CALLAHAN FL 32011</v>
      </c>
      <c r="M779" t="str">
        <f>"LOTS 8 &amp; 10 IN OR 1303/897 CALLAHAN HEIGHTS PB 0/30"</f>
        <v>LOTS 8 &amp; 10 IN OR 1303/897 CALLAHAN HEIGHTS PB 0/30</v>
      </c>
      <c r="N779" t="str">
        <f>""</f>
        <v/>
      </c>
      <c r="O779" t="str">
        <f>"32254"</f>
        <v>32254</v>
      </c>
      <c r="P779" t="str">
        <f t="shared" si="243"/>
        <v>2017</v>
      </c>
      <c r="Q779" t="str">
        <f>""</f>
        <v/>
      </c>
      <c r="R779" t="str">
        <f>"N"</f>
        <v>N</v>
      </c>
      <c r="S779" t="str">
        <f>"40.00"</f>
        <v>40.00</v>
      </c>
      <c r="T779" t="str">
        <f>"160.48"</f>
        <v>160.48</v>
      </c>
      <c r="U779" t="str">
        <f>"10600.00"</f>
        <v>10600.00</v>
      </c>
      <c r="V779" t="str">
        <f>"10600.00"</f>
        <v>10600.00</v>
      </c>
      <c r="W779" t="str">
        <f t="shared" si="244"/>
        <v>2017</v>
      </c>
      <c r="X779" t="str">
        <f>"10.00"</f>
        <v>10.00</v>
      </c>
      <c r="Y779" t="str">
        <f>"197.29"</f>
        <v>197.29</v>
      </c>
      <c r="Z779" t="str">
        <f>""</f>
        <v/>
      </c>
      <c r="AA779" t="str">
        <f>"10600.00"</f>
        <v>10600.00</v>
      </c>
      <c r="AB779" t="str">
        <f>"Agricultural"</f>
        <v>Agricultural</v>
      </c>
      <c r="AC779" t="str">
        <f t="shared" si="230"/>
        <v>0</v>
      </c>
      <c r="AD779" t="str">
        <f>""</f>
        <v/>
      </c>
      <c r="AE779" t="str">
        <f>""</f>
        <v/>
      </c>
      <c r="AF779" t="str">
        <f>"055"</f>
        <v>055</v>
      </c>
      <c r="AG779" t="str">
        <f t="shared" si="245"/>
        <v>FL</v>
      </c>
      <c r="AH779" t="str">
        <f>"1742400.00"</f>
        <v>1742400.00</v>
      </c>
      <c r="AI779" t="str">
        <f>"10600.00"</f>
        <v>10600.00</v>
      </c>
      <c r="AJ779" t="str">
        <f>"C55-000-589-2270-9"</f>
        <v>C55-000-589-2270-9</v>
      </c>
      <c r="AK779" t="str">
        <f>"12542"</f>
        <v>12542</v>
      </c>
      <c r="AL779">
        <v>3</v>
      </c>
      <c r="AM779">
        <v>906</v>
      </c>
      <c r="AN779">
        <v>205.55</v>
      </c>
      <c r="AQ779" t="s">
        <v>8216</v>
      </c>
      <c r="AR779" t="s">
        <v>8216</v>
      </c>
      <c r="AS779" t="s">
        <v>8216</v>
      </c>
      <c r="AU779" t="s">
        <v>396</v>
      </c>
      <c r="AV779">
        <v>2017</v>
      </c>
      <c r="AW779" t="str">
        <f>"18-2N-25-3000-0008-0000 "</f>
        <v xml:space="preserve">18-2N-25-3000-0008-0000 </v>
      </c>
      <c r="AZ779" t="s">
        <v>8206</v>
      </c>
      <c r="BA779" t="s">
        <v>496</v>
      </c>
      <c r="BD779" t="s">
        <v>2785</v>
      </c>
      <c r="BE779" t="s">
        <v>393</v>
      </c>
      <c r="BF779">
        <v>32011</v>
      </c>
      <c r="BG779" t="s">
        <v>8207</v>
      </c>
      <c r="BH779" t="s">
        <v>2787</v>
      </c>
      <c r="BI779">
        <v>-81.837520696863194</v>
      </c>
      <c r="BJ779">
        <v>30.597040377620601</v>
      </c>
      <c r="BK779" t="s">
        <v>8045</v>
      </c>
      <c r="BM779" t="s">
        <v>8046</v>
      </c>
      <c r="BN779" t="s">
        <v>928</v>
      </c>
      <c r="BO779">
        <v>32011</v>
      </c>
      <c r="BP779" t="s">
        <v>404</v>
      </c>
      <c r="BQ779">
        <v>5500</v>
      </c>
      <c r="BR779" t="s">
        <v>1353</v>
      </c>
      <c r="BS779">
        <v>7009</v>
      </c>
      <c r="BT779" t="s">
        <v>418</v>
      </c>
      <c r="BW779">
        <v>1742400</v>
      </c>
      <c r="BX779" t="s">
        <v>407</v>
      </c>
      <c r="BY779" t="s">
        <v>408</v>
      </c>
      <c r="CD779">
        <v>2017</v>
      </c>
      <c r="CG779">
        <v>10600</v>
      </c>
      <c r="CH779">
        <v>2017</v>
      </c>
      <c r="CI779">
        <v>10600</v>
      </c>
      <c r="CJ779">
        <v>129400</v>
      </c>
      <c r="CK779">
        <v>140000</v>
      </c>
      <c r="CL779">
        <v>2017</v>
      </c>
      <c r="CM779">
        <v>160.47999999999999</v>
      </c>
      <c r="CN779" s="1">
        <v>38432</v>
      </c>
      <c r="CZ779" s="1">
        <v>38432</v>
      </c>
      <c r="DD779" t="s">
        <v>2785</v>
      </c>
      <c r="DG779">
        <v>18</v>
      </c>
      <c r="DJ779" t="s">
        <v>8208</v>
      </c>
      <c r="DL779">
        <v>50503</v>
      </c>
      <c r="DM779" t="s">
        <v>8209</v>
      </c>
      <c r="DO779" t="s">
        <v>8217</v>
      </c>
      <c r="DP779">
        <v>0</v>
      </c>
      <c r="DQ779">
        <v>0</v>
      </c>
      <c r="DR779" t="s">
        <v>411</v>
      </c>
      <c r="DS779" t="b">
        <v>1</v>
      </c>
      <c r="DT779" t="s">
        <v>396</v>
      </c>
      <c r="DV779" t="s">
        <v>446</v>
      </c>
      <c r="DX779">
        <v>-9999</v>
      </c>
      <c r="DZ779" t="s">
        <v>447</v>
      </c>
      <c r="EA779" t="s">
        <v>448</v>
      </c>
      <c r="EB779" t="s">
        <v>449</v>
      </c>
      <c r="EC779">
        <v>20101217</v>
      </c>
      <c r="ED779" t="s">
        <v>450</v>
      </c>
      <c r="EE779">
        <v>14</v>
      </c>
      <c r="EF779">
        <v>0</v>
      </c>
      <c r="EG779">
        <v>0</v>
      </c>
      <c r="EI779">
        <v>20160407</v>
      </c>
      <c r="EJ779">
        <v>0</v>
      </c>
      <c r="EK779">
        <v>0</v>
      </c>
      <c r="EP779" t="s">
        <v>421</v>
      </c>
      <c r="EQ779" t="s">
        <v>422</v>
      </c>
      <c r="ER779">
        <v>0</v>
      </c>
      <c r="ES779">
        <v>5</v>
      </c>
      <c r="ET779">
        <v>0</v>
      </c>
      <c r="EU779">
        <v>0</v>
      </c>
      <c r="EV779">
        <v>0</v>
      </c>
      <c r="EW779" s="2">
        <v>43222</v>
      </c>
      <c r="EX779" s="1">
        <v>42515</v>
      </c>
      <c r="EY779">
        <v>2015</v>
      </c>
      <c r="EZ779">
        <v>171.64</v>
      </c>
      <c r="FA779" t="s">
        <v>8218</v>
      </c>
      <c r="FB779">
        <v>0.25</v>
      </c>
      <c r="FC779" t="s">
        <v>424</v>
      </c>
      <c r="FD779" t="s">
        <v>425</v>
      </c>
      <c r="FE779" s="1">
        <v>42821</v>
      </c>
      <c r="FF779">
        <v>10</v>
      </c>
      <c r="FG779">
        <v>7336671</v>
      </c>
      <c r="FH779" t="s">
        <v>437</v>
      </c>
      <c r="FJ779" s="1">
        <v>42515</v>
      </c>
      <c r="FK779">
        <v>2015</v>
      </c>
      <c r="FL779">
        <v>171.64</v>
      </c>
      <c r="FM779" t="s">
        <v>8218</v>
      </c>
      <c r="FN779">
        <v>0.25</v>
      </c>
      <c r="FO779" t="s">
        <v>424</v>
      </c>
      <c r="FP779" t="s">
        <v>425</v>
      </c>
      <c r="FR779">
        <v>22</v>
      </c>
      <c r="FS779">
        <v>6819852</v>
      </c>
      <c r="FT779" t="s">
        <v>8219</v>
      </c>
      <c r="FV779" s="1">
        <v>42151</v>
      </c>
      <c r="FW779">
        <v>2014</v>
      </c>
      <c r="FX779">
        <v>170.68</v>
      </c>
      <c r="FY779" t="s">
        <v>8220</v>
      </c>
      <c r="FZ779">
        <v>4.75</v>
      </c>
      <c r="GA779" t="s">
        <v>424</v>
      </c>
      <c r="GB779" t="s">
        <v>425</v>
      </c>
      <c r="GC779" s="1">
        <v>42364</v>
      </c>
      <c r="GD779">
        <v>7</v>
      </c>
      <c r="GE779">
        <v>4975593</v>
      </c>
      <c r="GF779" t="s">
        <v>505</v>
      </c>
      <c r="GH779" s="1">
        <v>41423</v>
      </c>
      <c r="GI779">
        <v>2012</v>
      </c>
      <c r="GJ779">
        <v>88.34</v>
      </c>
      <c r="GK779" t="s">
        <v>8221</v>
      </c>
      <c r="GL779">
        <v>3.75</v>
      </c>
      <c r="GM779" t="s">
        <v>424</v>
      </c>
      <c r="GN779" t="s">
        <v>425</v>
      </c>
      <c r="GO779" s="1">
        <v>41717</v>
      </c>
      <c r="GP779">
        <v>10</v>
      </c>
      <c r="GQ779">
        <v>10178</v>
      </c>
      <c r="GR779" t="s">
        <v>8022</v>
      </c>
      <c r="GT779" s="1">
        <v>41052</v>
      </c>
      <c r="GU779">
        <v>2011</v>
      </c>
      <c r="GV779">
        <v>81.489999999999995</v>
      </c>
      <c r="GW779" t="s">
        <v>8222</v>
      </c>
      <c r="GX779">
        <v>8.75</v>
      </c>
      <c r="GY779" t="s">
        <v>424</v>
      </c>
      <c r="GZ779" t="s">
        <v>425</v>
      </c>
      <c r="HA779" s="1">
        <v>41359</v>
      </c>
      <c r="HB779">
        <v>10</v>
      </c>
      <c r="HC779">
        <v>10125</v>
      </c>
      <c r="HD779" t="s">
        <v>440</v>
      </c>
    </row>
    <row r="780" spans="1:284" x14ac:dyDescent="0.25">
      <c r="A780">
        <v>16485787</v>
      </c>
      <c r="B780">
        <v>779</v>
      </c>
      <c r="C780" t="s">
        <v>393</v>
      </c>
      <c r="D780" t="s">
        <v>394</v>
      </c>
      <c r="F780" t="str">
        <f>"18-2N-25-3000-0009-0000"</f>
        <v>18-2N-25-3000-0009-0000</v>
      </c>
      <c r="H780" t="str">
        <f>"BELL FRANKLIN AARON &amp; BELL ZACHARY AARON"</f>
        <v>BELL FRANKLIN AARON &amp; BELL ZACHARY AARON</v>
      </c>
      <c r="I780" t="str">
        <f>"45419 ZIDELL ROAD"</f>
        <v>45419 ZIDELL ROAD</v>
      </c>
      <c r="J780" t="str">
        <f t="shared" si="246"/>
        <v>CALLAHAN FL 32011</v>
      </c>
      <c r="K780" t="str">
        <f>"ZIDELL RD"</f>
        <v>ZIDELL RD</v>
      </c>
      <c r="L780" t="str">
        <f t="shared" si="222"/>
        <v>CALLAHAN FL 32011</v>
      </c>
      <c r="M780" t="str">
        <f>"LOT 9 IN OR 1303/898 CALLAHAN HEIGHTS PB 0/30"</f>
        <v>LOT 9 IN OR 1303/898 CALLAHAN HEIGHTS PB 0/30</v>
      </c>
      <c r="N780" t="str">
        <f>""</f>
        <v/>
      </c>
      <c r="O780" t="str">
        <f>"32255"</f>
        <v>32255</v>
      </c>
      <c r="P780" t="str">
        <f t="shared" si="243"/>
        <v>2017</v>
      </c>
      <c r="Q780" t="str">
        <f>""</f>
        <v/>
      </c>
      <c r="R780" t="str">
        <f>"N"</f>
        <v>N</v>
      </c>
      <c r="S780" t="str">
        <f>"20.00"</f>
        <v>20.00</v>
      </c>
      <c r="T780" t="str">
        <f>"135.35"</f>
        <v>135.35</v>
      </c>
      <c r="U780" t="str">
        <f>"8940.00"</f>
        <v>8940.00</v>
      </c>
      <c r="V780" t="str">
        <f>"8940.00"</f>
        <v>8940.00</v>
      </c>
      <c r="W780" t="str">
        <f t="shared" si="244"/>
        <v>2017</v>
      </c>
      <c r="X780" t="str">
        <f>"10.00"</f>
        <v>10.00</v>
      </c>
      <c r="Y780" t="str">
        <f>"171.41"</f>
        <v>171.41</v>
      </c>
      <c r="Z780" t="str">
        <f>""</f>
        <v/>
      </c>
      <c r="AA780" t="str">
        <f>"8940.00"</f>
        <v>8940.00</v>
      </c>
      <c r="AB780" t="str">
        <f>"Agricultural"</f>
        <v>Agricultural</v>
      </c>
      <c r="AC780" t="str">
        <f t="shared" si="230"/>
        <v>0</v>
      </c>
      <c r="AD780" t="str">
        <f>""</f>
        <v/>
      </c>
      <c r="AE780" t="str">
        <f>""</f>
        <v/>
      </c>
      <c r="AF780" t="str">
        <f>"055"</f>
        <v>055</v>
      </c>
      <c r="AG780" t="str">
        <f t="shared" si="245"/>
        <v>FL</v>
      </c>
      <c r="AH780" t="str">
        <f>"871200.00"</f>
        <v>871200.00</v>
      </c>
      <c r="AI780" t="str">
        <f>"8940.00"</f>
        <v>8940.00</v>
      </c>
      <c r="AJ780" t="str">
        <f>"C55-000-589-2271-7"</f>
        <v>C55-000-589-2271-7</v>
      </c>
      <c r="AK780" t="str">
        <f>"12543"</f>
        <v>12543</v>
      </c>
      <c r="AL780">
        <v>3</v>
      </c>
      <c r="AM780">
        <v>907</v>
      </c>
      <c r="AN780">
        <v>178.38</v>
      </c>
      <c r="AQ780" t="s">
        <v>8223</v>
      </c>
      <c r="AR780" t="s">
        <v>8223</v>
      </c>
      <c r="AS780" t="s">
        <v>8223</v>
      </c>
      <c r="AU780" t="s">
        <v>396</v>
      </c>
      <c r="AV780">
        <v>2017</v>
      </c>
      <c r="AW780" t="str">
        <f>"18-2N-25-3000-0009-0000 "</f>
        <v xml:space="preserve">18-2N-25-3000-0009-0000 </v>
      </c>
      <c r="AZ780" t="s">
        <v>8206</v>
      </c>
      <c r="BA780" t="s">
        <v>496</v>
      </c>
      <c r="BD780" t="s">
        <v>2785</v>
      </c>
      <c r="BE780" t="s">
        <v>393</v>
      </c>
      <c r="BF780">
        <v>32011</v>
      </c>
      <c r="BG780" t="s">
        <v>8207</v>
      </c>
      <c r="BH780" t="s">
        <v>2787</v>
      </c>
      <c r="BI780">
        <v>-81.835793647825</v>
      </c>
      <c r="BJ780">
        <v>30.596493519093499</v>
      </c>
      <c r="BK780" t="s">
        <v>8224</v>
      </c>
      <c r="BL780" t="s">
        <v>8225</v>
      </c>
      <c r="BM780" t="s">
        <v>8046</v>
      </c>
      <c r="BN780" t="s">
        <v>928</v>
      </c>
      <c r="BO780">
        <v>32011</v>
      </c>
      <c r="BP780" t="s">
        <v>404</v>
      </c>
      <c r="BQ780">
        <v>5500</v>
      </c>
      <c r="BR780" t="s">
        <v>1353</v>
      </c>
      <c r="BS780">
        <v>7009</v>
      </c>
      <c r="BT780" t="s">
        <v>418</v>
      </c>
      <c r="BW780">
        <v>871200</v>
      </c>
      <c r="BX780" t="s">
        <v>407</v>
      </c>
      <c r="BY780" t="s">
        <v>408</v>
      </c>
      <c r="CD780">
        <v>2017</v>
      </c>
      <c r="CG780">
        <v>8940</v>
      </c>
      <c r="CH780">
        <v>2017</v>
      </c>
      <c r="CI780">
        <v>8940</v>
      </c>
      <c r="CJ780">
        <v>81060</v>
      </c>
      <c r="CK780">
        <v>90000</v>
      </c>
      <c r="CL780">
        <v>2017</v>
      </c>
      <c r="CM780">
        <v>135.35</v>
      </c>
      <c r="CN780" s="1">
        <v>38432</v>
      </c>
      <c r="CZ780" s="1">
        <v>38432</v>
      </c>
      <c r="DD780" t="s">
        <v>2785</v>
      </c>
      <c r="DF780">
        <v>9</v>
      </c>
      <c r="DG780">
        <v>18</v>
      </c>
      <c r="DJ780" t="s">
        <v>8208</v>
      </c>
      <c r="DL780">
        <v>50503</v>
      </c>
      <c r="DM780" t="s">
        <v>8209</v>
      </c>
      <c r="DO780" t="s">
        <v>8226</v>
      </c>
      <c r="DP780">
        <v>0</v>
      </c>
      <c r="DQ780">
        <v>0</v>
      </c>
      <c r="DR780" t="s">
        <v>411</v>
      </c>
      <c r="DS780" t="b">
        <v>1</v>
      </c>
      <c r="DT780" t="s">
        <v>470</v>
      </c>
      <c r="DU780" t="s">
        <v>471</v>
      </c>
      <c r="DV780" t="s">
        <v>472</v>
      </c>
      <c r="DX780">
        <v>-9999</v>
      </c>
      <c r="DZ780" t="s">
        <v>447</v>
      </c>
      <c r="EA780" t="s">
        <v>448</v>
      </c>
      <c r="EB780" t="s">
        <v>742</v>
      </c>
      <c r="EC780">
        <v>20101217</v>
      </c>
      <c r="ED780" t="s">
        <v>474</v>
      </c>
      <c r="EF780">
        <v>343.6</v>
      </c>
      <c r="EG780">
        <v>343.6</v>
      </c>
      <c r="EI780">
        <v>20160407</v>
      </c>
      <c r="EJ780">
        <v>0</v>
      </c>
      <c r="EK780">
        <v>0</v>
      </c>
      <c r="EP780" t="s">
        <v>421</v>
      </c>
      <c r="EQ780" t="s">
        <v>422</v>
      </c>
      <c r="ER780">
        <v>0</v>
      </c>
      <c r="ES780">
        <v>5</v>
      </c>
      <c r="ET780">
        <v>0</v>
      </c>
      <c r="EU780">
        <v>0</v>
      </c>
      <c r="EV780">
        <v>0</v>
      </c>
      <c r="EW780" s="2">
        <v>43222</v>
      </c>
      <c r="EX780" s="1">
        <v>42515</v>
      </c>
      <c r="EY780">
        <v>2015</v>
      </c>
      <c r="EZ780">
        <v>153.96</v>
      </c>
      <c r="FA780" t="s">
        <v>8227</v>
      </c>
      <c r="FB780">
        <v>0.25</v>
      </c>
      <c r="FC780" t="s">
        <v>424</v>
      </c>
      <c r="FD780" t="s">
        <v>425</v>
      </c>
      <c r="FE780" s="1">
        <v>42821</v>
      </c>
      <c r="FF780">
        <v>10</v>
      </c>
      <c r="FG780">
        <v>7336671</v>
      </c>
      <c r="FH780" t="s">
        <v>437</v>
      </c>
      <c r="FJ780" s="1">
        <v>42515</v>
      </c>
      <c r="FK780">
        <v>2015</v>
      </c>
      <c r="FL780">
        <v>153.96</v>
      </c>
      <c r="FM780" t="s">
        <v>8227</v>
      </c>
      <c r="FN780">
        <v>0.25</v>
      </c>
      <c r="FO780" t="s">
        <v>424</v>
      </c>
      <c r="FP780" t="s">
        <v>425</v>
      </c>
      <c r="FR780">
        <v>22</v>
      </c>
      <c r="FS780">
        <v>7033151</v>
      </c>
      <c r="FT780" t="s">
        <v>8228</v>
      </c>
      <c r="FV780" s="1">
        <v>42151</v>
      </c>
      <c r="FW780">
        <v>2014</v>
      </c>
      <c r="FX780">
        <v>151.38</v>
      </c>
      <c r="FY780" t="s">
        <v>8229</v>
      </c>
      <c r="FZ780">
        <v>4.5</v>
      </c>
      <c r="GA780" t="s">
        <v>424</v>
      </c>
      <c r="GB780" t="s">
        <v>425</v>
      </c>
      <c r="GC780" s="1">
        <v>42364</v>
      </c>
      <c r="GD780">
        <v>7</v>
      </c>
      <c r="GE780">
        <v>4975593</v>
      </c>
      <c r="GF780" t="s">
        <v>505</v>
      </c>
      <c r="GH780" s="1">
        <v>41423</v>
      </c>
      <c r="GI780">
        <v>2012</v>
      </c>
      <c r="GJ780">
        <v>111.37</v>
      </c>
      <c r="GK780" t="s">
        <v>8230</v>
      </c>
      <c r="GL780">
        <v>4.75</v>
      </c>
      <c r="GM780" t="s">
        <v>424</v>
      </c>
      <c r="GN780" t="s">
        <v>425</v>
      </c>
      <c r="GO780" s="1">
        <v>41717</v>
      </c>
      <c r="GP780">
        <v>10</v>
      </c>
      <c r="GQ780">
        <v>116</v>
      </c>
      <c r="GR780" t="s">
        <v>509</v>
      </c>
      <c r="GT780" s="1">
        <v>41052</v>
      </c>
      <c r="GU780">
        <v>2011</v>
      </c>
      <c r="GV780">
        <v>104.92</v>
      </c>
      <c r="GW780" t="s">
        <v>8231</v>
      </c>
      <c r="GX780">
        <v>8.25</v>
      </c>
      <c r="GY780" t="s">
        <v>424</v>
      </c>
      <c r="GZ780" t="s">
        <v>425</v>
      </c>
      <c r="HA780" s="1">
        <v>41359</v>
      </c>
      <c r="HB780">
        <v>10</v>
      </c>
      <c r="HC780">
        <v>10125</v>
      </c>
      <c r="HD780" t="s">
        <v>440</v>
      </c>
    </row>
    <row r="781" spans="1:284" x14ac:dyDescent="0.25">
      <c r="A781">
        <v>16485788</v>
      </c>
      <c r="B781">
        <v>780</v>
      </c>
      <c r="C781" t="s">
        <v>393</v>
      </c>
      <c r="D781" t="s">
        <v>394</v>
      </c>
      <c r="F781" t="str">
        <f>"18-2N-25-3000-0011-0000"</f>
        <v>18-2N-25-3000-0011-0000</v>
      </c>
      <c r="H781" t="str">
        <f>"BELL FRANKLIN AARON"</f>
        <v>BELL FRANKLIN AARON</v>
      </c>
      <c r="I781" t="str">
        <f>"45419 ZIDELL ROAD"</f>
        <v>45419 ZIDELL ROAD</v>
      </c>
      <c r="J781" t="str">
        <f t="shared" si="246"/>
        <v>CALLAHAN FL 32011</v>
      </c>
      <c r="K781" t="str">
        <f>"45417 ZIDELL RD"</f>
        <v>45417 ZIDELL RD</v>
      </c>
      <c r="L781" t="str">
        <f t="shared" si="222"/>
        <v>CALLAHAN FL 32011</v>
      </c>
      <c r="M781" t="str">
        <f>"LOT 11 IN OR 818 PG 573 CALLAHAN HEIGHTS PB 0/30"</f>
        <v>LOT 11 IN OR 818 PG 573 CALLAHAN HEIGHTS PB 0/30</v>
      </c>
      <c r="N781" t="str">
        <f>""</f>
        <v/>
      </c>
      <c r="O781" t="str">
        <f>"32257"</f>
        <v>32257</v>
      </c>
      <c r="P781" t="str">
        <f t="shared" si="243"/>
        <v>2017</v>
      </c>
      <c r="Q781" t="str">
        <f>""</f>
        <v/>
      </c>
      <c r="R781" t="str">
        <f>"Y"</f>
        <v>Y</v>
      </c>
      <c r="S781" t="str">
        <f>"18.95"</f>
        <v>18.95</v>
      </c>
      <c r="T781" t="str">
        <f>"433.53"</f>
        <v>433.53</v>
      </c>
      <c r="U781" t="str">
        <f>"58343.00"</f>
        <v>58343.00</v>
      </c>
      <c r="V781" t="str">
        <f>"58343.00"</f>
        <v>58343.00</v>
      </c>
      <c r="W781" t="str">
        <f t="shared" si="244"/>
        <v>2017</v>
      </c>
      <c r="X781" t="str">
        <f>"11.00"</f>
        <v>11.00</v>
      </c>
      <c r="Y781" t="str">
        <f>"478.54"</f>
        <v>478.54</v>
      </c>
      <c r="Z781" t="str">
        <f>"25000.00"</f>
        <v>25000.00</v>
      </c>
      <c r="AA781" t="str">
        <f>"33343.00"</f>
        <v>33343.00</v>
      </c>
      <c r="AB781" t="str">
        <f>"Agricultural"</f>
        <v>Agricultural</v>
      </c>
      <c r="AC781" t="str">
        <f t="shared" si="230"/>
        <v>0</v>
      </c>
      <c r="AD781" t="str">
        <f>"4"</f>
        <v>4</v>
      </c>
      <c r="AE781" t="str">
        <f>"WOOD (INCLUDE STEEL STUDS)"</f>
        <v>WOOD (INCLUDE STEEL STUDS)</v>
      </c>
      <c r="AF781" t="str">
        <f>"050"</f>
        <v>050</v>
      </c>
      <c r="AG781" t="str">
        <f t="shared" si="245"/>
        <v>FL</v>
      </c>
      <c r="AH781" t="str">
        <f>"825462.00"</f>
        <v>825462.00</v>
      </c>
      <c r="AI781" t="str">
        <f>"20250.00"</f>
        <v>20250.00</v>
      </c>
      <c r="AJ781" t="str">
        <f>"C55-000-587-1787-7"</f>
        <v>C55-000-587-1787-7</v>
      </c>
      <c r="AK781" t="str">
        <f>"12544"</f>
        <v>12544</v>
      </c>
      <c r="AL781">
        <v>3</v>
      </c>
      <c r="AM781">
        <v>908</v>
      </c>
      <c r="AN781">
        <v>500.87</v>
      </c>
      <c r="AQ781" t="s">
        <v>8232</v>
      </c>
      <c r="AR781" t="s">
        <v>8232</v>
      </c>
      <c r="AS781" t="s">
        <v>8232</v>
      </c>
      <c r="AU781" t="s">
        <v>396</v>
      </c>
      <c r="AV781">
        <v>2017</v>
      </c>
      <c r="AW781" t="str">
        <f>"18-2N-25-3000-0011-0000 "</f>
        <v xml:space="preserve">18-2N-25-3000-0011-0000 </v>
      </c>
      <c r="AX781">
        <v>45417</v>
      </c>
      <c r="AZ781" t="s">
        <v>8206</v>
      </c>
      <c r="BA781" t="s">
        <v>496</v>
      </c>
      <c r="BD781" t="s">
        <v>2785</v>
      </c>
      <c r="BE781" t="s">
        <v>393</v>
      </c>
      <c r="BF781">
        <v>32011</v>
      </c>
      <c r="BG781" t="s">
        <v>8233</v>
      </c>
      <c r="BH781" t="s">
        <v>2787</v>
      </c>
      <c r="BI781">
        <v>-81.837747320332099</v>
      </c>
      <c r="BJ781">
        <v>30.592830386679498</v>
      </c>
      <c r="BK781" t="s">
        <v>8045</v>
      </c>
      <c r="BM781" t="s">
        <v>8046</v>
      </c>
      <c r="BN781" t="s">
        <v>928</v>
      </c>
      <c r="BO781">
        <v>32011</v>
      </c>
      <c r="BP781" t="s">
        <v>404</v>
      </c>
      <c r="BQ781">
        <v>5000</v>
      </c>
      <c r="BR781" t="s">
        <v>664</v>
      </c>
      <c r="BS781">
        <v>7000</v>
      </c>
      <c r="BT781" t="s">
        <v>665</v>
      </c>
      <c r="BW781">
        <v>825462</v>
      </c>
      <c r="BX781" t="s">
        <v>407</v>
      </c>
      <c r="BZ781">
        <v>4</v>
      </c>
      <c r="CA781">
        <v>1925</v>
      </c>
      <c r="CB781">
        <v>1.5</v>
      </c>
      <c r="CC781">
        <v>1</v>
      </c>
      <c r="CD781">
        <v>2017</v>
      </c>
      <c r="CG781">
        <v>58343</v>
      </c>
      <c r="CH781">
        <v>2017</v>
      </c>
      <c r="CI781">
        <v>20250</v>
      </c>
      <c r="CJ781">
        <v>154906</v>
      </c>
      <c r="CK781">
        <v>175156</v>
      </c>
      <c r="CL781">
        <v>2017</v>
      </c>
      <c r="CM781">
        <v>433.53</v>
      </c>
      <c r="CN781" s="1">
        <v>35794</v>
      </c>
      <c r="CZ781" s="1">
        <v>35794</v>
      </c>
      <c r="DD781" t="s">
        <v>2785</v>
      </c>
      <c r="DF781">
        <v>11</v>
      </c>
      <c r="DG781">
        <v>18</v>
      </c>
      <c r="DJ781" t="s">
        <v>8208</v>
      </c>
      <c r="DL781">
        <v>50503</v>
      </c>
      <c r="DM781" t="s">
        <v>8209</v>
      </c>
      <c r="DO781" t="s">
        <v>8234</v>
      </c>
      <c r="DP781">
        <v>0</v>
      </c>
      <c r="DQ781">
        <v>0</v>
      </c>
      <c r="DR781" t="s">
        <v>411</v>
      </c>
      <c r="DS781" t="b">
        <v>1</v>
      </c>
      <c r="DT781" t="s">
        <v>396</v>
      </c>
      <c r="DV781" t="s">
        <v>446</v>
      </c>
      <c r="DX781">
        <v>-9999</v>
      </c>
      <c r="DZ781" t="s">
        <v>447</v>
      </c>
      <c r="EA781" t="s">
        <v>448</v>
      </c>
      <c r="EB781" t="s">
        <v>449</v>
      </c>
      <c r="EC781">
        <v>20101217</v>
      </c>
      <c r="ED781" t="s">
        <v>450</v>
      </c>
      <c r="EE781">
        <v>14.1</v>
      </c>
      <c r="EF781">
        <v>0</v>
      </c>
      <c r="EG781">
        <v>0</v>
      </c>
      <c r="EI781">
        <v>20160407</v>
      </c>
      <c r="EJ781">
        <v>0</v>
      </c>
      <c r="EK781">
        <v>0</v>
      </c>
      <c r="EP781" t="s">
        <v>421</v>
      </c>
      <c r="EQ781" t="s">
        <v>422</v>
      </c>
      <c r="ER781">
        <v>2</v>
      </c>
      <c r="ES781">
        <v>7</v>
      </c>
      <c r="ET781">
        <v>986.12</v>
      </c>
      <c r="EU781">
        <v>61.81</v>
      </c>
      <c r="EV781">
        <v>1047.93</v>
      </c>
      <c r="EW781" s="2">
        <v>43222</v>
      </c>
      <c r="EX781" s="1">
        <v>42879</v>
      </c>
      <c r="EY781">
        <v>2016</v>
      </c>
      <c r="EZ781">
        <v>493.06</v>
      </c>
      <c r="FA781" t="s">
        <v>8235</v>
      </c>
      <c r="FB781">
        <v>0.25</v>
      </c>
      <c r="FC781" t="s">
        <v>424</v>
      </c>
      <c r="FD781" t="s">
        <v>454</v>
      </c>
      <c r="FF781">
        <v>12</v>
      </c>
      <c r="FG781">
        <v>7336671</v>
      </c>
      <c r="FH781" t="s">
        <v>437</v>
      </c>
      <c r="FJ781" s="1">
        <v>42879</v>
      </c>
      <c r="FK781">
        <v>2016</v>
      </c>
      <c r="FL781">
        <v>493.06</v>
      </c>
      <c r="FM781" t="s">
        <v>8235</v>
      </c>
      <c r="FN781">
        <v>0.25</v>
      </c>
      <c r="FO781" t="s">
        <v>424</v>
      </c>
      <c r="FP781" t="s">
        <v>454</v>
      </c>
      <c r="FR781">
        <v>12</v>
      </c>
      <c r="FS781">
        <v>6866238</v>
      </c>
      <c r="FT781" t="s">
        <v>8236</v>
      </c>
      <c r="FV781" s="1">
        <v>42515</v>
      </c>
      <c r="FW781">
        <v>2015</v>
      </c>
      <c r="FX781">
        <v>498.87</v>
      </c>
      <c r="FY781" t="s">
        <v>8237</v>
      </c>
      <c r="FZ781">
        <v>0.25</v>
      </c>
      <c r="GA781" t="s">
        <v>424</v>
      </c>
      <c r="GB781" t="s">
        <v>425</v>
      </c>
      <c r="GC781" s="1">
        <v>42821</v>
      </c>
      <c r="GD781">
        <v>10</v>
      </c>
      <c r="GE781">
        <v>7336671</v>
      </c>
      <c r="GF781" t="s">
        <v>437</v>
      </c>
      <c r="GH781" s="1">
        <v>42515</v>
      </c>
      <c r="GI781">
        <v>2015</v>
      </c>
      <c r="GJ781">
        <v>498.87</v>
      </c>
      <c r="GK781" t="s">
        <v>8237</v>
      </c>
      <c r="GL781">
        <v>0.25</v>
      </c>
      <c r="GM781" t="s">
        <v>424</v>
      </c>
      <c r="GN781" t="s">
        <v>425</v>
      </c>
      <c r="GP781">
        <v>22</v>
      </c>
      <c r="GQ781">
        <v>6975201</v>
      </c>
      <c r="GR781" t="s">
        <v>8238</v>
      </c>
      <c r="GT781" s="1">
        <v>42151</v>
      </c>
      <c r="GU781">
        <v>2014</v>
      </c>
      <c r="GV781">
        <v>498.27</v>
      </c>
      <c r="GW781" t="s">
        <v>8239</v>
      </c>
      <c r="GX781">
        <v>0.25</v>
      </c>
      <c r="GY781" t="s">
        <v>424</v>
      </c>
      <c r="GZ781" t="s">
        <v>425</v>
      </c>
      <c r="HA781" s="1">
        <v>42364</v>
      </c>
      <c r="HB781">
        <v>7</v>
      </c>
      <c r="HC781">
        <v>2101382</v>
      </c>
      <c r="HD781" t="s">
        <v>993</v>
      </c>
      <c r="HF781" s="1">
        <v>42151</v>
      </c>
      <c r="HG781">
        <v>2014</v>
      </c>
      <c r="HH781">
        <v>498.27</v>
      </c>
      <c r="HI781" t="s">
        <v>8239</v>
      </c>
      <c r="HJ781">
        <v>0.25</v>
      </c>
      <c r="HK781" t="s">
        <v>424</v>
      </c>
      <c r="HL781" t="s">
        <v>425</v>
      </c>
      <c r="HN781">
        <v>22</v>
      </c>
      <c r="HO781">
        <v>5447389</v>
      </c>
      <c r="HP781" t="s">
        <v>8240</v>
      </c>
      <c r="HR781" s="1">
        <v>41423</v>
      </c>
      <c r="HS781">
        <v>2012</v>
      </c>
      <c r="HT781">
        <v>439.61</v>
      </c>
      <c r="HU781" t="s">
        <v>8241</v>
      </c>
      <c r="HV781">
        <v>1.75</v>
      </c>
      <c r="HW781" t="s">
        <v>424</v>
      </c>
      <c r="HX781" t="s">
        <v>425</v>
      </c>
      <c r="HY781" s="1">
        <v>41717</v>
      </c>
      <c r="HZ781">
        <v>10</v>
      </c>
      <c r="IA781">
        <v>606977</v>
      </c>
      <c r="IB781" t="s">
        <v>1286</v>
      </c>
      <c r="ID781" s="1">
        <v>41052</v>
      </c>
      <c r="IE781">
        <v>2011</v>
      </c>
      <c r="IF781">
        <v>423.73</v>
      </c>
      <c r="IG781" t="s">
        <v>8242</v>
      </c>
      <c r="IH781">
        <v>6</v>
      </c>
      <c r="II781" t="s">
        <v>424</v>
      </c>
      <c r="IJ781" t="s">
        <v>425</v>
      </c>
      <c r="IK781" s="1">
        <v>41359</v>
      </c>
      <c r="IL781">
        <v>10</v>
      </c>
      <c r="IM781">
        <v>10125</v>
      </c>
      <c r="IN781" t="s">
        <v>440</v>
      </c>
      <c r="IP781" s="1">
        <v>40688</v>
      </c>
      <c r="IQ781">
        <v>2010</v>
      </c>
      <c r="IR781">
        <v>413.31</v>
      </c>
      <c r="IS781" t="s">
        <v>8243</v>
      </c>
      <c r="IT781">
        <v>7.5</v>
      </c>
      <c r="IU781" t="s">
        <v>424</v>
      </c>
      <c r="IV781" t="s">
        <v>425</v>
      </c>
      <c r="IW781" s="1">
        <v>40941</v>
      </c>
      <c r="IX781">
        <v>9</v>
      </c>
      <c r="IY781">
        <v>11064</v>
      </c>
      <c r="IZ781" t="s">
        <v>6946</v>
      </c>
    </row>
    <row r="782" spans="1:284" x14ac:dyDescent="0.25">
      <c r="A782">
        <v>16485789</v>
      </c>
      <c r="B782">
        <v>781</v>
      </c>
      <c r="C782" t="s">
        <v>393</v>
      </c>
      <c r="D782" t="s">
        <v>394</v>
      </c>
      <c r="F782" t="str">
        <f>"18-2N-25-3000-0016-0240"</f>
        <v>18-2N-25-3000-0016-0240</v>
      </c>
      <c r="H782" t="str">
        <f>"WITT GARY C &amp; JENNIFER C"</f>
        <v>WITT GARY C &amp; JENNIFER C</v>
      </c>
      <c r="I782" t="str">
        <f>"5150 ALPHA AVE"</f>
        <v>5150 ALPHA AVE</v>
      </c>
      <c r="J782" t="str">
        <f>"JACKSONVILLE FL 32205"</f>
        <v>JACKSONVILLE FL 32205</v>
      </c>
      <c r="K782" t="str">
        <f>"ZIDELL RD"</f>
        <v>ZIDELL RD</v>
      </c>
      <c r="L782" t="str">
        <f t="shared" si="222"/>
        <v>CALLAHAN FL 32011</v>
      </c>
      <c r="M782" t="str">
        <f>"N1/2 OF LOT 16 (S-24) IN OR 1793/321 CALLAHAN HEIGHTS PB 0/30"</f>
        <v>N1/2 OF LOT 16 (S-24) IN OR 1793/321 CALLAHAN HEIGHTS PB 0/30</v>
      </c>
      <c r="N782" t="str">
        <f>""</f>
        <v/>
      </c>
      <c r="O782" t="str">
        <f>"32264"</f>
        <v>32264</v>
      </c>
      <c r="P782" t="str">
        <f t="shared" si="243"/>
        <v>2017</v>
      </c>
      <c r="Q782" t="str">
        <f>""</f>
        <v/>
      </c>
      <c r="R782" t="str">
        <f t="shared" ref="R782:R791" si="247">"N"</f>
        <v>N</v>
      </c>
      <c r="S782" t="str">
        <f>"9.00"</f>
        <v>9.00</v>
      </c>
      <c r="T782" t="str">
        <f>"735.75"</f>
        <v>735.75</v>
      </c>
      <c r="U782" t="str">
        <f>"48600.00"</f>
        <v>48600.00</v>
      </c>
      <c r="V782" t="str">
        <f>"48600.00"</f>
        <v>48600.00</v>
      </c>
      <c r="W782" t="str">
        <f t="shared" si="244"/>
        <v>2017</v>
      </c>
      <c r="X782" t="str">
        <f>"1.00"</f>
        <v>1.00</v>
      </c>
      <c r="Y782" t="str">
        <f>"789.82"</f>
        <v>789.82</v>
      </c>
      <c r="Z782" t="str">
        <f>""</f>
        <v/>
      </c>
      <c r="AA782" t="str">
        <f>"48600.00"</f>
        <v>48600.00</v>
      </c>
      <c r="AB782" t="str">
        <f>"Residential"</f>
        <v>Residential</v>
      </c>
      <c r="AC782" t="str">
        <f t="shared" si="230"/>
        <v>0</v>
      </c>
      <c r="AD782" t="str">
        <f>""</f>
        <v/>
      </c>
      <c r="AE782" t="str">
        <f>""</f>
        <v/>
      </c>
      <c r="AF782" t="str">
        <f>"000"</f>
        <v>000</v>
      </c>
      <c r="AG782" t="str">
        <f t="shared" si="245"/>
        <v>FL</v>
      </c>
      <c r="AH782" t="str">
        <f>"392040.00"</f>
        <v>392040.00</v>
      </c>
      <c r="AI782" t="str">
        <f>"48600.00"</f>
        <v>48600.00</v>
      </c>
      <c r="AJ782" t="str">
        <f>"C55-000-587-1794-3"</f>
        <v>C55-000-587-1794-3</v>
      </c>
      <c r="AK782" t="str">
        <f>"12551"</f>
        <v>12551</v>
      </c>
      <c r="AL782">
        <v>3</v>
      </c>
      <c r="AM782">
        <v>909</v>
      </c>
      <c r="AN782">
        <v>827.71</v>
      </c>
      <c r="AQ782" t="s">
        <v>8244</v>
      </c>
      <c r="AR782" t="s">
        <v>8244</v>
      </c>
      <c r="AS782" t="s">
        <v>8244</v>
      </c>
      <c r="AU782" t="s">
        <v>396</v>
      </c>
      <c r="AV782">
        <v>2017</v>
      </c>
      <c r="AW782" t="str">
        <f>"18-2N-25-3000-0016-0240 "</f>
        <v xml:space="preserve">18-2N-25-3000-0016-0240 </v>
      </c>
      <c r="AZ782" t="s">
        <v>8206</v>
      </c>
      <c r="BA782" t="s">
        <v>496</v>
      </c>
      <c r="BD782" t="s">
        <v>2785</v>
      </c>
      <c r="BE782" t="s">
        <v>393</v>
      </c>
      <c r="BF782">
        <v>32011</v>
      </c>
      <c r="BG782" t="s">
        <v>8207</v>
      </c>
      <c r="BH782" t="s">
        <v>2787</v>
      </c>
      <c r="BI782">
        <v>-81.848324426678403</v>
      </c>
      <c r="BJ782">
        <v>30.593458520567101</v>
      </c>
      <c r="BK782" t="s">
        <v>8245</v>
      </c>
      <c r="BL782" t="s">
        <v>8246</v>
      </c>
      <c r="BM782" t="s">
        <v>8247</v>
      </c>
      <c r="BN782" t="s">
        <v>548</v>
      </c>
      <c r="BO782">
        <v>32205</v>
      </c>
      <c r="BP782" t="s">
        <v>404</v>
      </c>
      <c r="BQ782">
        <v>0</v>
      </c>
      <c r="BR782" t="s">
        <v>491</v>
      </c>
      <c r="BS782">
        <v>8001</v>
      </c>
      <c r="BT782" t="s">
        <v>492</v>
      </c>
      <c r="BW782">
        <v>392040</v>
      </c>
      <c r="BX782" t="s">
        <v>407</v>
      </c>
      <c r="BY782" t="s">
        <v>408</v>
      </c>
      <c r="CD782">
        <v>2017</v>
      </c>
      <c r="CE782">
        <v>48600</v>
      </c>
      <c r="CG782">
        <v>48600</v>
      </c>
      <c r="CH782">
        <v>2017</v>
      </c>
      <c r="CI782">
        <v>48600</v>
      </c>
      <c r="CK782">
        <v>48600</v>
      </c>
      <c r="CL782">
        <v>2017</v>
      </c>
      <c r="CM782">
        <v>735.75</v>
      </c>
      <c r="CN782" s="1">
        <v>41043</v>
      </c>
      <c r="CO782">
        <v>55000</v>
      </c>
      <c r="CV782">
        <v>40000</v>
      </c>
      <c r="CX782" t="s">
        <v>707</v>
      </c>
      <c r="CZ782" s="1">
        <v>41043</v>
      </c>
      <c r="DA782">
        <v>0</v>
      </c>
      <c r="DD782" t="s">
        <v>2785</v>
      </c>
      <c r="DF782">
        <v>16</v>
      </c>
      <c r="DG782">
        <v>18</v>
      </c>
      <c r="DJ782" t="s">
        <v>8208</v>
      </c>
      <c r="DL782">
        <v>50503</v>
      </c>
      <c r="DM782" t="s">
        <v>8209</v>
      </c>
      <c r="DO782" t="s">
        <v>8248</v>
      </c>
      <c r="DP782">
        <v>0</v>
      </c>
      <c r="DQ782">
        <v>0</v>
      </c>
      <c r="DR782" t="s">
        <v>411</v>
      </c>
      <c r="DS782" t="b">
        <v>1</v>
      </c>
      <c r="DT782" t="s">
        <v>470</v>
      </c>
      <c r="DU782" t="s">
        <v>471</v>
      </c>
      <c r="DV782" t="s">
        <v>472</v>
      </c>
      <c r="DX782">
        <v>-9999</v>
      </c>
      <c r="DZ782" t="s">
        <v>447</v>
      </c>
      <c r="EA782" t="s">
        <v>448</v>
      </c>
      <c r="EB782" t="s">
        <v>742</v>
      </c>
      <c r="EC782">
        <v>20101217</v>
      </c>
      <c r="ED782" t="s">
        <v>474</v>
      </c>
      <c r="EF782">
        <v>374.5</v>
      </c>
      <c r="EG782">
        <v>374.5</v>
      </c>
      <c r="EI782">
        <v>20160407</v>
      </c>
      <c r="EJ782">
        <v>0</v>
      </c>
      <c r="EK782">
        <v>0</v>
      </c>
      <c r="EP782" t="s">
        <v>421</v>
      </c>
      <c r="EQ782" t="s">
        <v>422</v>
      </c>
      <c r="ER782">
        <v>0</v>
      </c>
      <c r="ES782">
        <v>1</v>
      </c>
      <c r="ET782">
        <v>0</v>
      </c>
      <c r="EU782">
        <v>0</v>
      </c>
      <c r="EV782">
        <v>0</v>
      </c>
      <c r="EW782" s="2">
        <v>43222</v>
      </c>
      <c r="EX782" s="1">
        <v>42515</v>
      </c>
      <c r="EY782">
        <v>2015</v>
      </c>
      <c r="EZ782">
        <v>848.46</v>
      </c>
      <c r="FA782" t="s">
        <v>8249</v>
      </c>
      <c r="FB782">
        <v>4.75</v>
      </c>
      <c r="FC782" t="s">
        <v>424</v>
      </c>
      <c r="FD782" t="s">
        <v>425</v>
      </c>
      <c r="FE782" s="1">
        <v>42528</v>
      </c>
      <c r="FF782">
        <v>1</v>
      </c>
      <c r="FG782">
        <v>2035919</v>
      </c>
      <c r="FH782" t="s">
        <v>507</v>
      </c>
    </row>
    <row r="783" spans="1:284" x14ac:dyDescent="0.25">
      <c r="A783">
        <v>16485790</v>
      </c>
      <c r="B783">
        <v>782</v>
      </c>
      <c r="C783" t="s">
        <v>393</v>
      </c>
      <c r="D783" t="s">
        <v>394</v>
      </c>
      <c r="F783" t="str">
        <f>"18-2N-25-3000-0022-0210"</f>
        <v>18-2N-25-3000-0022-0210</v>
      </c>
      <c r="H783" t="str">
        <f>"BELL CAROL ANN"</f>
        <v>BELL CAROL ANN</v>
      </c>
      <c r="I783" t="str">
        <f>"45348 ZIDELL RD"</f>
        <v>45348 ZIDELL RD</v>
      </c>
      <c r="J783" t="str">
        <f t="shared" ref="J783:J788" si="248">"CALLAHAN FL 32011"</f>
        <v>CALLAHAN FL 32011</v>
      </c>
      <c r="K783" t="str">
        <f>"ZIDELL RD"</f>
        <v>ZIDELL RD</v>
      </c>
      <c r="L783" t="str">
        <f t="shared" si="222"/>
        <v>CALLAHAN FL 32011</v>
      </c>
      <c r="M783" t="str">
        <f>"PT E1/2 OF LOT 22 IN OR 818/574 BEING ONLY PT LYING S OF OR 1755/1930 CALLAHAN HEIGHTS PBK O/30"</f>
        <v>PT E1/2 OF LOT 22 IN OR 818/574 BEING ONLY PT LYING S OF OR 1755/1930 CALLAHAN HEIGHTS PBK O/30</v>
      </c>
      <c r="N783" t="str">
        <f>""</f>
        <v/>
      </c>
      <c r="O783" t="str">
        <f>"32280"</f>
        <v>32280</v>
      </c>
      <c r="P783" t="str">
        <f t="shared" si="243"/>
        <v>2017</v>
      </c>
      <c r="Q783" t="str">
        <f>""</f>
        <v/>
      </c>
      <c r="R783" t="str">
        <f t="shared" si="247"/>
        <v>N</v>
      </c>
      <c r="S783" t="str">
        <f>"5.16"</f>
        <v>5.16</v>
      </c>
      <c r="T783" t="str">
        <f>"30.70"</f>
        <v>30.70</v>
      </c>
      <c r="U783" t="str">
        <f>"2028.00"</f>
        <v>2028.00</v>
      </c>
      <c r="V783" t="str">
        <f>"2028.00"</f>
        <v>2028.00</v>
      </c>
      <c r="W783" t="str">
        <f t="shared" si="244"/>
        <v>2017</v>
      </c>
      <c r="X783" t="str">
        <f>"6.67"</f>
        <v>6.67</v>
      </c>
      <c r="Y783" t="str">
        <f>"63.62"</f>
        <v>63.62</v>
      </c>
      <c r="Z783" t="str">
        <f>""</f>
        <v/>
      </c>
      <c r="AA783" t="str">
        <f>"2028.00"</f>
        <v>2028.00</v>
      </c>
      <c r="AB783" t="str">
        <f>"Agricultural"</f>
        <v>Agricultural</v>
      </c>
      <c r="AC783" t="str">
        <f t="shared" si="230"/>
        <v>0</v>
      </c>
      <c r="AD783" t="str">
        <f>""</f>
        <v/>
      </c>
      <c r="AE783" t="str">
        <f>""</f>
        <v/>
      </c>
      <c r="AF783" t="str">
        <f>"055"</f>
        <v>055</v>
      </c>
      <c r="AG783" t="str">
        <f t="shared" si="245"/>
        <v>FL</v>
      </c>
      <c r="AH783" t="str">
        <f>"224769.00"</f>
        <v>224769.00</v>
      </c>
      <c r="AI783" t="str">
        <f>"2028.00"</f>
        <v>2028.00</v>
      </c>
      <c r="AJ783" t="str">
        <f>"C55-001-042-9446-7"</f>
        <v>C55-001-042-9446-7</v>
      </c>
      <c r="AK783" t="str">
        <f>"12567"</f>
        <v>12567</v>
      </c>
      <c r="AL783">
        <v>3</v>
      </c>
      <c r="AM783">
        <v>910</v>
      </c>
      <c r="AN783">
        <v>65.2</v>
      </c>
      <c r="AQ783" t="s">
        <v>8250</v>
      </c>
      <c r="AR783" t="s">
        <v>8250</v>
      </c>
      <c r="AS783" t="s">
        <v>8250</v>
      </c>
      <c r="AU783" t="s">
        <v>396</v>
      </c>
      <c r="AV783">
        <v>2017</v>
      </c>
      <c r="AW783" t="str">
        <f>"18-2N-25-3000-0022-0210 "</f>
        <v xml:space="preserve">18-2N-25-3000-0022-0210 </v>
      </c>
      <c r="AZ783" t="s">
        <v>8206</v>
      </c>
      <c r="BA783" t="s">
        <v>496</v>
      </c>
      <c r="BD783" t="s">
        <v>2785</v>
      </c>
      <c r="BE783" t="s">
        <v>393</v>
      </c>
      <c r="BF783">
        <v>32011</v>
      </c>
      <c r="BG783" t="s">
        <v>8207</v>
      </c>
      <c r="BH783" t="s">
        <v>2787</v>
      </c>
      <c r="BI783">
        <v>-81.839294869336399</v>
      </c>
      <c r="BJ783">
        <v>30.5883953328015</v>
      </c>
      <c r="BK783" t="s">
        <v>8024</v>
      </c>
      <c r="BM783" t="s">
        <v>8025</v>
      </c>
      <c r="BN783" t="s">
        <v>928</v>
      </c>
      <c r="BO783">
        <v>32011</v>
      </c>
      <c r="BP783" t="s">
        <v>404</v>
      </c>
      <c r="BQ783">
        <v>5500</v>
      </c>
      <c r="BR783" t="s">
        <v>1353</v>
      </c>
      <c r="BS783">
        <v>7009</v>
      </c>
      <c r="BT783" t="s">
        <v>418</v>
      </c>
      <c r="BW783">
        <v>360241</v>
      </c>
      <c r="BX783" t="s">
        <v>407</v>
      </c>
      <c r="BY783" t="s">
        <v>408</v>
      </c>
      <c r="CD783">
        <v>2017</v>
      </c>
      <c r="CG783">
        <v>2028</v>
      </c>
      <c r="CH783">
        <v>2017</v>
      </c>
      <c r="CI783">
        <v>2028</v>
      </c>
      <c r="CJ783">
        <v>39252</v>
      </c>
      <c r="CK783">
        <v>41280</v>
      </c>
      <c r="CL783">
        <v>2017</v>
      </c>
      <c r="CM783">
        <v>30.7</v>
      </c>
      <c r="DD783" t="s">
        <v>2785</v>
      </c>
      <c r="DF783">
        <v>22</v>
      </c>
      <c r="DG783">
        <v>18</v>
      </c>
      <c r="DL783">
        <v>50503</v>
      </c>
      <c r="DM783" t="s">
        <v>8209</v>
      </c>
      <c r="DO783" t="s">
        <v>8251</v>
      </c>
      <c r="DP783">
        <v>0</v>
      </c>
      <c r="DQ783">
        <v>0</v>
      </c>
      <c r="DR783" t="s">
        <v>411</v>
      </c>
      <c r="DS783" t="b">
        <v>1</v>
      </c>
      <c r="DT783" t="s">
        <v>470</v>
      </c>
      <c r="DU783" t="s">
        <v>471</v>
      </c>
      <c r="DV783" t="s">
        <v>472</v>
      </c>
      <c r="DX783">
        <v>-9999</v>
      </c>
      <c r="DZ783" t="s">
        <v>447</v>
      </c>
      <c r="EA783" t="s">
        <v>448</v>
      </c>
      <c r="EB783" t="s">
        <v>742</v>
      </c>
      <c r="EC783">
        <v>20101217</v>
      </c>
      <c r="ED783" t="s">
        <v>474</v>
      </c>
      <c r="EF783">
        <v>379.7</v>
      </c>
      <c r="EG783">
        <v>379.7</v>
      </c>
      <c r="EI783">
        <v>20160407</v>
      </c>
      <c r="EJ783">
        <v>0</v>
      </c>
      <c r="EK783">
        <v>0</v>
      </c>
      <c r="EP783" t="s">
        <v>421</v>
      </c>
      <c r="EQ783" t="s">
        <v>422</v>
      </c>
      <c r="ER783">
        <v>0</v>
      </c>
      <c r="ES783">
        <v>3</v>
      </c>
      <c r="ET783">
        <v>0</v>
      </c>
      <c r="EU783">
        <v>0</v>
      </c>
      <c r="EV783">
        <v>0</v>
      </c>
      <c r="EW783" s="2">
        <v>43222</v>
      </c>
      <c r="EX783" s="1">
        <v>42879</v>
      </c>
      <c r="EY783">
        <v>2016</v>
      </c>
      <c r="EZ783">
        <v>81.31</v>
      </c>
      <c r="FA783" t="s">
        <v>8252</v>
      </c>
      <c r="FB783">
        <v>7.75</v>
      </c>
      <c r="FC783" t="s">
        <v>424</v>
      </c>
      <c r="FD783" t="s">
        <v>425</v>
      </c>
      <c r="FE783" s="1">
        <v>43160</v>
      </c>
      <c r="FF783">
        <v>10</v>
      </c>
      <c r="FG783">
        <v>10021</v>
      </c>
      <c r="FH783" t="s">
        <v>597</v>
      </c>
      <c r="FJ783" s="1">
        <v>42515</v>
      </c>
      <c r="FK783">
        <v>2015</v>
      </c>
      <c r="FL783">
        <v>75.7</v>
      </c>
      <c r="FM783" t="s">
        <v>8253</v>
      </c>
      <c r="FN783">
        <v>18</v>
      </c>
      <c r="FO783" t="s">
        <v>424</v>
      </c>
      <c r="FP783" t="s">
        <v>425</v>
      </c>
      <c r="FQ783" s="1">
        <v>42572</v>
      </c>
      <c r="FR783">
        <v>2</v>
      </c>
      <c r="FS783">
        <v>10125</v>
      </c>
      <c r="FT783" t="s">
        <v>440</v>
      </c>
      <c r="FV783" s="1">
        <v>42151</v>
      </c>
      <c r="FW783">
        <v>2014</v>
      </c>
      <c r="FX783">
        <v>75.069999999999993</v>
      </c>
      <c r="FY783" t="s">
        <v>8254</v>
      </c>
      <c r="FZ783">
        <v>14.75</v>
      </c>
      <c r="GA783" t="s">
        <v>424</v>
      </c>
      <c r="GB783" t="s">
        <v>425</v>
      </c>
      <c r="GC783" s="1">
        <v>42385</v>
      </c>
      <c r="GD783">
        <v>8</v>
      </c>
      <c r="GE783">
        <v>6516843</v>
      </c>
      <c r="GF783" t="s">
        <v>601</v>
      </c>
    </row>
    <row r="784" spans="1:284" x14ac:dyDescent="0.25">
      <c r="A784">
        <v>16485791</v>
      </c>
      <c r="B784">
        <v>783</v>
      </c>
      <c r="C784" t="s">
        <v>393</v>
      </c>
      <c r="D784" t="s">
        <v>394</v>
      </c>
      <c r="F784" t="str">
        <f>"19-2N-25-0000-0001-0000"</f>
        <v>19-2N-25-0000-0001-0000</v>
      </c>
      <c r="H784" t="str">
        <f>"MITCHELL ARCHIE A JR"</f>
        <v>MITCHELL ARCHIE A JR</v>
      </c>
      <c r="I784" t="str">
        <f>"45560 HILL RD"</f>
        <v>45560 HILL RD</v>
      </c>
      <c r="J784" t="str">
        <f t="shared" si="248"/>
        <v>CALLAHAN FL 32011</v>
      </c>
      <c r="K784" t="str">
        <f>"45560 HILL RD"</f>
        <v>45560 HILL RD</v>
      </c>
      <c r="L784" t="str">
        <f t="shared" si="222"/>
        <v>CALLAHAN FL 32011</v>
      </c>
      <c r="M784" t="str">
        <f>"IN OR 1784/1006 EX 1-1 3 1-2 &amp; 1-3"</f>
        <v>IN OR 1784/1006 EX 1-1 3 1-2 &amp; 1-3</v>
      </c>
      <c r="N784" t="str">
        <f>""</f>
        <v/>
      </c>
      <c r="O784" t="str">
        <f>"32666"</f>
        <v>32666</v>
      </c>
      <c r="P784" t="str">
        <f t="shared" si="243"/>
        <v>2017</v>
      </c>
      <c r="Q784" t="str">
        <f>""</f>
        <v/>
      </c>
      <c r="R784" t="str">
        <f t="shared" si="247"/>
        <v>N</v>
      </c>
      <c r="S784" t="str">
        <f>"1.00"</f>
        <v>1.00</v>
      </c>
      <c r="T784" t="str">
        <f>"1126.66"</f>
        <v>1126.66</v>
      </c>
      <c r="U784" t="str">
        <f>"74422.00"</f>
        <v>74422.00</v>
      </c>
      <c r="V784" t="str">
        <f>"74422.00"</f>
        <v>74422.00</v>
      </c>
      <c r="W784" t="str">
        <f t="shared" si="244"/>
        <v>2017</v>
      </c>
      <c r="X784" t="str">
        <f>"8.67"</f>
        <v>8.67</v>
      </c>
      <c r="Y784" t="str">
        <f>"1192.46"</f>
        <v>1192.46</v>
      </c>
      <c r="Z784" t="str">
        <f>""</f>
        <v/>
      </c>
      <c r="AA784" t="str">
        <f>"74422.00"</f>
        <v>74422.00</v>
      </c>
      <c r="AB784" t="str">
        <f t="shared" ref="AB784:AB789" si="249">"Residential"</f>
        <v>Residential</v>
      </c>
      <c r="AC784" t="str">
        <f t="shared" si="230"/>
        <v>0</v>
      </c>
      <c r="AD784" t="str">
        <f>"4"</f>
        <v>4</v>
      </c>
      <c r="AE784" t="str">
        <f>"WOOD (INCLUDE STEEL STUDS)"</f>
        <v>WOOD (INCLUDE STEEL STUDS)</v>
      </c>
      <c r="AF784" t="str">
        <f>"001"</f>
        <v>001</v>
      </c>
      <c r="AG784" t="str">
        <f t="shared" si="245"/>
        <v>FL</v>
      </c>
      <c r="AH784" t="str">
        <f>"43560.00"</f>
        <v>43560.00</v>
      </c>
      <c r="AI784" t="str">
        <f>"15000.00"</f>
        <v>15000.00</v>
      </c>
      <c r="AJ784" t="str">
        <f>"C55-000-587-2146-5"</f>
        <v>C55-000-587-2146-5</v>
      </c>
      <c r="AK784" t="str">
        <f>"12574"</f>
        <v>12574</v>
      </c>
      <c r="AL784">
        <v>3</v>
      </c>
      <c r="AM784">
        <v>911</v>
      </c>
      <c r="AN784">
        <v>1250.48</v>
      </c>
      <c r="AQ784" t="s">
        <v>8255</v>
      </c>
      <c r="AR784" t="s">
        <v>8255</v>
      </c>
      <c r="AS784" t="s">
        <v>8255</v>
      </c>
      <c r="AU784" t="s">
        <v>396</v>
      </c>
      <c r="AV784">
        <v>2017</v>
      </c>
      <c r="AW784" t="str">
        <f>"19-2N-25-0000-0001-0000 "</f>
        <v xml:space="preserve">19-2N-25-0000-0001-0000 </v>
      </c>
      <c r="AX784">
        <v>45560</v>
      </c>
      <c r="AZ784" t="s">
        <v>8256</v>
      </c>
      <c r="BA784" t="s">
        <v>496</v>
      </c>
      <c r="BD784" t="s">
        <v>2785</v>
      </c>
      <c r="BE784" t="s">
        <v>393</v>
      </c>
      <c r="BF784">
        <v>32011</v>
      </c>
      <c r="BG784" t="s">
        <v>8257</v>
      </c>
      <c r="BH784" t="s">
        <v>2787</v>
      </c>
      <c r="BI784">
        <v>-81.834924109461696</v>
      </c>
      <c r="BJ784">
        <v>30.581861439602399</v>
      </c>
      <c r="BK784" t="s">
        <v>8258</v>
      </c>
      <c r="BM784" t="s">
        <v>8257</v>
      </c>
      <c r="BN784" t="s">
        <v>928</v>
      </c>
      <c r="BO784">
        <v>32011</v>
      </c>
      <c r="BP784" t="s">
        <v>416</v>
      </c>
      <c r="BQ784">
        <v>100</v>
      </c>
      <c r="BR784" t="s">
        <v>514</v>
      </c>
      <c r="BS784">
        <v>1001</v>
      </c>
      <c r="BT784" t="s">
        <v>515</v>
      </c>
      <c r="BW784">
        <v>43560</v>
      </c>
      <c r="BX784" t="s">
        <v>407</v>
      </c>
      <c r="BY784" t="s">
        <v>408</v>
      </c>
      <c r="BZ784">
        <v>4</v>
      </c>
      <c r="CA784">
        <v>1974</v>
      </c>
      <c r="CB784">
        <v>1</v>
      </c>
      <c r="CC784">
        <v>1</v>
      </c>
      <c r="CD784">
        <v>2017</v>
      </c>
      <c r="CE784">
        <v>15000</v>
      </c>
      <c r="CF784">
        <v>59422</v>
      </c>
      <c r="CG784">
        <v>74422</v>
      </c>
      <c r="CH784">
        <v>2017</v>
      </c>
      <c r="CI784">
        <v>15000</v>
      </c>
      <c r="CJ784">
        <v>59422</v>
      </c>
      <c r="CK784">
        <v>74422</v>
      </c>
      <c r="CL784">
        <v>2017</v>
      </c>
      <c r="CM784">
        <v>1126.6600000000001</v>
      </c>
      <c r="CN784" s="1">
        <v>40990</v>
      </c>
      <c r="CV784">
        <v>0</v>
      </c>
      <c r="CZ784" s="1">
        <v>40990</v>
      </c>
      <c r="DA784">
        <v>0</v>
      </c>
      <c r="DD784" t="s">
        <v>2785</v>
      </c>
      <c r="DG784">
        <v>19</v>
      </c>
      <c r="DL784">
        <v>50503</v>
      </c>
      <c r="DM784" t="s">
        <v>8259</v>
      </c>
      <c r="DO784" t="s">
        <v>8260</v>
      </c>
      <c r="DP784">
        <v>0</v>
      </c>
      <c r="DQ784">
        <v>0</v>
      </c>
      <c r="DR784" t="s">
        <v>411</v>
      </c>
      <c r="DS784" t="b">
        <v>1</v>
      </c>
      <c r="DT784" t="s">
        <v>470</v>
      </c>
      <c r="DU784" t="s">
        <v>471</v>
      </c>
      <c r="DV784" t="s">
        <v>472</v>
      </c>
      <c r="DX784">
        <v>-9999</v>
      </c>
      <c r="DZ784" t="s">
        <v>447</v>
      </c>
      <c r="EA784" t="s">
        <v>448</v>
      </c>
      <c r="EB784" t="s">
        <v>742</v>
      </c>
      <c r="EC784">
        <v>20101217</v>
      </c>
      <c r="ED784" t="s">
        <v>474</v>
      </c>
      <c r="EF784">
        <v>921.9</v>
      </c>
      <c r="EG784">
        <v>921.9</v>
      </c>
      <c r="EI784">
        <v>20160407</v>
      </c>
      <c r="EJ784">
        <v>0</v>
      </c>
      <c r="EK784">
        <v>0</v>
      </c>
      <c r="EP784" t="s">
        <v>421</v>
      </c>
      <c r="EQ784" t="s">
        <v>422</v>
      </c>
      <c r="ER784">
        <v>0</v>
      </c>
      <c r="ES784">
        <v>6</v>
      </c>
      <c r="ET784">
        <v>0</v>
      </c>
      <c r="EU784">
        <v>0</v>
      </c>
      <c r="EV784">
        <v>0</v>
      </c>
      <c r="EW784" s="2">
        <v>43222</v>
      </c>
      <c r="EX784" s="1">
        <v>42879</v>
      </c>
      <c r="EY784">
        <v>2016</v>
      </c>
      <c r="EZ784">
        <v>1219.05</v>
      </c>
      <c r="FA784" t="s">
        <v>8261</v>
      </c>
      <c r="FB784">
        <v>0.25</v>
      </c>
      <c r="FC784" t="s">
        <v>424</v>
      </c>
      <c r="FD784" t="s">
        <v>425</v>
      </c>
      <c r="FE784" s="1">
        <v>43208</v>
      </c>
      <c r="FF784">
        <v>11</v>
      </c>
      <c r="FG784">
        <v>7400234</v>
      </c>
      <c r="FH784" t="s">
        <v>426</v>
      </c>
      <c r="FJ784" s="1">
        <v>42879</v>
      </c>
      <c r="FK784">
        <v>2016</v>
      </c>
      <c r="FL784">
        <v>1219.05</v>
      </c>
      <c r="FM784" t="s">
        <v>8261</v>
      </c>
      <c r="FN784">
        <v>0.25</v>
      </c>
      <c r="FO784" t="s">
        <v>424</v>
      </c>
      <c r="FP784" t="s">
        <v>425</v>
      </c>
      <c r="FR784">
        <v>22</v>
      </c>
      <c r="FS784">
        <v>7522753</v>
      </c>
      <c r="FT784" t="s">
        <v>8262</v>
      </c>
      <c r="FV784" s="1">
        <v>42515</v>
      </c>
      <c r="FW784">
        <v>2015</v>
      </c>
      <c r="FX784">
        <v>1246.6300000000001</v>
      </c>
      <c r="FY784" t="s">
        <v>8263</v>
      </c>
      <c r="FZ784">
        <v>0.25</v>
      </c>
      <c r="GA784" t="s">
        <v>424</v>
      </c>
      <c r="GB784" t="s">
        <v>425</v>
      </c>
      <c r="GC784" s="1">
        <v>42819</v>
      </c>
      <c r="GD784">
        <v>10</v>
      </c>
      <c r="GE784">
        <v>5916895</v>
      </c>
      <c r="GF784" t="s">
        <v>1390</v>
      </c>
      <c r="GH784" s="1">
        <v>42515</v>
      </c>
      <c r="GI784">
        <v>2015</v>
      </c>
      <c r="GJ784">
        <v>1246.6300000000001</v>
      </c>
      <c r="GK784" t="s">
        <v>8263</v>
      </c>
      <c r="GL784">
        <v>0.25</v>
      </c>
      <c r="GM784" t="s">
        <v>424</v>
      </c>
      <c r="GN784" t="s">
        <v>425</v>
      </c>
      <c r="GP784">
        <v>22</v>
      </c>
      <c r="GQ784">
        <v>5826045</v>
      </c>
      <c r="GR784" t="s">
        <v>8264</v>
      </c>
      <c r="GT784" s="1">
        <v>42151</v>
      </c>
      <c r="GU784">
        <v>2014</v>
      </c>
      <c r="GV784">
        <v>1138.8399999999999</v>
      </c>
      <c r="GW784" t="s">
        <v>8265</v>
      </c>
      <c r="GX784">
        <v>0.25</v>
      </c>
      <c r="GY784" t="s">
        <v>424</v>
      </c>
      <c r="GZ784" t="s">
        <v>425</v>
      </c>
      <c r="HA784" s="1">
        <v>42307</v>
      </c>
      <c r="HB784">
        <v>5</v>
      </c>
      <c r="HC784">
        <v>4844983</v>
      </c>
      <c r="HD784" t="s">
        <v>3901</v>
      </c>
      <c r="HF784" s="1">
        <v>42151</v>
      </c>
      <c r="HG784">
        <v>2014</v>
      </c>
      <c r="HH784">
        <v>1138.8399999999999</v>
      </c>
      <c r="HI784" t="s">
        <v>8265</v>
      </c>
      <c r="HJ784">
        <v>0.25</v>
      </c>
      <c r="HK784" t="s">
        <v>424</v>
      </c>
      <c r="HL784" t="s">
        <v>425</v>
      </c>
      <c r="HN784">
        <v>22</v>
      </c>
      <c r="HO784">
        <v>5880099</v>
      </c>
      <c r="HP784" t="s">
        <v>8266</v>
      </c>
    </row>
    <row r="785" spans="1:320" x14ac:dyDescent="0.25">
      <c r="A785">
        <v>16485792</v>
      </c>
      <c r="B785">
        <v>784</v>
      </c>
      <c r="C785" t="s">
        <v>393</v>
      </c>
      <c r="D785" t="s">
        <v>394</v>
      </c>
      <c r="F785" t="str">
        <f>"19-2N-25-0000-0017-0000"</f>
        <v>19-2N-25-0000-0017-0000</v>
      </c>
      <c r="H785" t="str">
        <f>"ELEBY DAVID EST"</f>
        <v>ELEBY DAVID EST</v>
      </c>
      <c r="I785" t="str">
        <f>"PO BOX 657"</f>
        <v>PO BOX 657</v>
      </c>
      <c r="J785" t="str">
        <f t="shared" si="248"/>
        <v>CALLAHAN FL 32011</v>
      </c>
      <c r="K785" t="str">
        <f>"HILL RD"</f>
        <v>HILL RD</v>
      </c>
      <c r="L785" t="str">
        <f t="shared" si="222"/>
        <v>CALLAHAN FL 32011</v>
      </c>
      <c r="M785" t="str">
        <f>"IN SW1/4 OF SE1/4 OF NE1/4 OR 828/1575 EX 17-2"</f>
        <v>IN SW1/4 OF SE1/4 OF NE1/4 OR 828/1575 EX 17-2</v>
      </c>
      <c r="N785" t="str">
        <f>""</f>
        <v/>
      </c>
      <c r="O785" t="str">
        <f>"32687"</f>
        <v>32687</v>
      </c>
      <c r="P785" t="str">
        <f t="shared" si="243"/>
        <v>2017</v>
      </c>
      <c r="Q785" t="str">
        <f>""</f>
        <v/>
      </c>
      <c r="R785" t="str">
        <f t="shared" si="247"/>
        <v>N</v>
      </c>
      <c r="S785" t="str">
        <f>"1.00"</f>
        <v>1.00</v>
      </c>
      <c r="T785" t="str">
        <f>"211.71"</f>
        <v>211.71</v>
      </c>
      <c r="U785" t="str">
        <f>"13200.00"</f>
        <v>13200.00</v>
      </c>
      <c r="V785" t="str">
        <f>"13200.00"</f>
        <v>13200.00</v>
      </c>
      <c r="W785" t="str">
        <f t="shared" si="244"/>
        <v>2017</v>
      </c>
      <c r="X785" t="str">
        <f>"15.71"</f>
        <v>15.71</v>
      </c>
      <c r="Y785" t="str">
        <f>"250.06"</f>
        <v>250.06</v>
      </c>
      <c r="Z785" t="str">
        <f>""</f>
        <v/>
      </c>
      <c r="AA785" t="str">
        <f>"15000.00"</f>
        <v>15000.00</v>
      </c>
      <c r="AB785" t="str">
        <f t="shared" si="249"/>
        <v>Residential</v>
      </c>
      <c r="AC785" t="str">
        <f t="shared" si="230"/>
        <v>0</v>
      </c>
      <c r="AD785" t="str">
        <f>""</f>
        <v/>
      </c>
      <c r="AE785" t="str">
        <f>""</f>
        <v/>
      </c>
      <c r="AF785" t="str">
        <f>"000"</f>
        <v>000</v>
      </c>
      <c r="AG785" t="str">
        <f t="shared" si="245"/>
        <v>FL</v>
      </c>
      <c r="AH785" t="str">
        <f>"43560.00"</f>
        <v>43560.00</v>
      </c>
      <c r="AI785" t="str">
        <f>"15000.00"</f>
        <v>15000.00</v>
      </c>
      <c r="AJ785" t="str">
        <f>"C55-000-587-2165-5"</f>
        <v>C55-000-587-2165-5</v>
      </c>
      <c r="AK785" t="str">
        <f>"12595"</f>
        <v>12595</v>
      </c>
      <c r="AL785">
        <v>3</v>
      </c>
      <c r="AM785">
        <v>913</v>
      </c>
      <c r="AN785">
        <v>260.95999999999998</v>
      </c>
      <c r="AQ785" t="s">
        <v>8267</v>
      </c>
      <c r="AR785" t="s">
        <v>8267</v>
      </c>
      <c r="AS785" t="s">
        <v>8267</v>
      </c>
      <c r="AU785" t="s">
        <v>396</v>
      </c>
      <c r="AV785">
        <v>2017</v>
      </c>
      <c r="AW785" t="str">
        <f>"19-2N-25-0000-0017-0000 "</f>
        <v xml:space="preserve">19-2N-25-0000-0017-0000 </v>
      </c>
      <c r="AZ785" t="s">
        <v>8256</v>
      </c>
      <c r="BA785" t="s">
        <v>496</v>
      </c>
      <c r="BD785" t="s">
        <v>2785</v>
      </c>
      <c r="BE785" t="s">
        <v>393</v>
      </c>
      <c r="BF785">
        <v>32011</v>
      </c>
      <c r="BG785" t="s">
        <v>8268</v>
      </c>
      <c r="BH785" t="s">
        <v>2787</v>
      </c>
      <c r="BI785">
        <v>-81.836995035011398</v>
      </c>
      <c r="BJ785">
        <v>30.5764820287562</v>
      </c>
      <c r="BK785" t="s">
        <v>8269</v>
      </c>
      <c r="BM785" t="s">
        <v>8270</v>
      </c>
      <c r="BN785" t="s">
        <v>928</v>
      </c>
      <c r="BO785">
        <v>32011</v>
      </c>
      <c r="BP785" t="s">
        <v>404</v>
      </c>
      <c r="BQ785">
        <v>0</v>
      </c>
      <c r="BR785" t="s">
        <v>491</v>
      </c>
      <c r="BS785">
        <v>8001</v>
      </c>
      <c r="BT785" t="s">
        <v>492</v>
      </c>
      <c r="BW785">
        <v>28798</v>
      </c>
      <c r="BX785" t="s">
        <v>407</v>
      </c>
      <c r="BY785" t="s">
        <v>408</v>
      </c>
      <c r="CD785">
        <v>2017</v>
      </c>
      <c r="CE785">
        <v>15000</v>
      </c>
      <c r="CG785">
        <v>15000</v>
      </c>
      <c r="CH785">
        <v>2017</v>
      </c>
      <c r="CI785">
        <v>15000</v>
      </c>
      <c r="CK785">
        <v>15000</v>
      </c>
      <c r="CL785">
        <v>2017</v>
      </c>
      <c r="CM785">
        <v>211.71</v>
      </c>
      <c r="CN785" s="1">
        <v>35891</v>
      </c>
      <c r="CZ785" s="1">
        <v>35891</v>
      </c>
      <c r="DD785" t="s">
        <v>2785</v>
      </c>
      <c r="DG785">
        <v>19</v>
      </c>
      <c r="DL785">
        <v>50503</v>
      </c>
      <c r="DM785" t="s">
        <v>8259</v>
      </c>
      <c r="DO785" t="s">
        <v>8271</v>
      </c>
      <c r="DP785">
        <v>0</v>
      </c>
      <c r="DQ785">
        <v>0</v>
      </c>
      <c r="DR785" t="s">
        <v>411</v>
      </c>
      <c r="DS785" t="b">
        <v>1</v>
      </c>
      <c r="DT785" t="s">
        <v>470</v>
      </c>
      <c r="DU785" t="s">
        <v>471</v>
      </c>
      <c r="DV785" t="s">
        <v>472</v>
      </c>
      <c r="DX785">
        <v>-9999</v>
      </c>
      <c r="DZ785" t="s">
        <v>447</v>
      </c>
      <c r="EA785" t="s">
        <v>448</v>
      </c>
      <c r="EB785" t="s">
        <v>742</v>
      </c>
      <c r="EC785">
        <v>20101217</v>
      </c>
      <c r="ED785" t="s">
        <v>474</v>
      </c>
      <c r="EF785">
        <v>194.9</v>
      </c>
      <c r="EG785">
        <v>194.9</v>
      </c>
      <c r="EI785">
        <v>20160407</v>
      </c>
      <c r="EJ785">
        <v>0</v>
      </c>
      <c r="EK785">
        <v>0</v>
      </c>
      <c r="EP785" t="s">
        <v>421</v>
      </c>
      <c r="EQ785" t="s">
        <v>452</v>
      </c>
      <c r="ER785">
        <v>0</v>
      </c>
      <c r="ES785">
        <v>8</v>
      </c>
      <c r="ET785">
        <v>0</v>
      </c>
      <c r="EU785">
        <v>0</v>
      </c>
      <c r="EV785">
        <v>0</v>
      </c>
      <c r="EW785" s="2">
        <v>43222</v>
      </c>
      <c r="EX785" s="1">
        <v>42879</v>
      </c>
      <c r="EY785">
        <v>2016</v>
      </c>
      <c r="EZ785">
        <v>226.22</v>
      </c>
      <c r="FA785" t="s">
        <v>8272</v>
      </c>
      <c r="FB785">
        <v>13.5</v>
      </c>
      <c r="FC785" t="s">
        <v>424</v>
      </c>
      <c r="FD785" t="s">
        <v>425</v>
      </c>
      <c r="FE785" s="1">
        <v>43158</v>
      </c>
      <c r="FF785">
        <v>9</v>
      </c>
      <c r="FG785">
        <v>10125</v>
      </c>
      <c r="FH785" t="s">
        <v>440</v>
      </c>
      <c r="FJ785" s="1">
        <v>42515</v>
      </c>
      <c r="FK785">
        <v>2015</v>
      </c>
      <c r="FL785">
        <v>251.57</v>
      </c>
      <c r="FM785" t="s">
        <v>8273</v>
      </c>
      <c r="FN785">
        <v>0.25</v>
      </c>
      <c r="FO785" t="s">
        <v>424</v>
      </c>
      <c r="FP785" t="s">
        <v>425</v>
      </c>
      <c r="FQ785" s="1">
        <v>43146</v>
      </c>
      <c r="FR785">
        <v>21</v>
      </c>
      <c r="FS785">
        <v>7336671</v>
      </c>
      <c r="FT785" t="s">
        <v>437</v>
      </c>
      <c r="FV785" s="1">
        <v>42515</v>
      </c>
      <c r="FW785">
        <v>2015</v>
      </c>
      <c r="FX785">
        <v>251.57</v>
      </c>
      <c r="FY785" t="s">
        <v>8273</v>
      </c>
      <c r="FZ785">
        <v>0.25</v>
      </c>
      <c r="GA785" t="s">
        <v>424</v>
      </c>
      <c r="GB785" t="s">
        <v>425</v>
      </c>
      <c r="GD785">
        <v>22</v>
      </c>
      <c r="GE785">
        <v>6995677</v>
      </c>
      <c r="GF785" t="s">
        <v>8274</v>
      </c>
      <c r="GH785" s="1">
        <v>41787</v>
      </c>
      <c r="GI785">
        <v>2013</v>
      </c>
      <c r="GJ785">
        <v>240.4</v>
      </c>
      <c r="GK785" t="s">
        <v>8275</v>
      </c>
      <c r="GL785">
        <v>6.75</v>
      </c>
      <c r="GM785" t="s">
        <v>424</v>
      </c>
      <c r="GN785" t="s">
        <v>425</v>
      </c>
      <c r="GO785" s="1">
        <v>42039</v>
      </c>
      <c r="GP785">
        <v>9</v>
      </c>
      <c r="GQ785">
        <v>2035919</v>
      </c>
      <c r="GR785" t="s">
        <v>507</v>
      </c>
      <c r="GT785" s="1">
        <v>41423</v>
      </c>
      <c r="GU785">
        <v>2012</v>
      </c>
      <c r="GV785">
        <v>243.12</v>
      </c>
      <c r="GW785" t="s">
        <v>8276</v>
      </c>
      <c r="GX785">
        <v>7.5</v>
      </c>
      <c r="GY785" t="s">
        <v>424</v>
      </c>
      <c r="GZ785" t="s">
        <v>425</v>
      </c>
      <c r="HA785" s="1">
        <v>41526</v>
      </c>
      <c r="HB785">
        <v>4</v>
      </c>
      <c r="HC785">
        <v>2035919</v>
      </c>
      <c r="HD785" t="s">
        <v>507</v>
      </c>
      <c r="HE785" t="s">
        <v>458</v>
      </c>
      <c r="HF785" s="1">
        <v>41052</v>
      </c>
      <c r="HG785">
        <v>2011</v>
      </c>
      <c r="HH785">
        <v>264.02</v>
      </c>
      <c r="HI785" t="s">
        <v>8277</v>
      </c>
      <c r="HJ785">
        <v>16</v>
      </c>
      <c r="HK785" t="s">
        <v>424</v>
      </c>
      <c r="HL785" t="s">
        <v>425</v>
      </c>
      <c r="HM785" s="1">
        <v>41526</v>
      </c>
      <c r="HN785">
        <v>16</v>
      </c>
      <c r="HO785">
        <v>10125</v>
      </c>
      <c r="HP785" t="s">
        <v>440</v>
      </c>
      <c r="HQ785" t="s">
        <v>458</v>
      </c>
      <c r="HR785" s="1">
        <v>40688</v>
      </c>
      <c r="HS785">
        <v>2010</v>
      </c>
      <c r="HT785">
        <v>263.11</v>
      </c>
      <c r="HU785" t="s">
        <v>8278</v>
      </c>
      <c r="HV785">
        <v>8.25</v>
      </c>
      <c r="HW785" t="s">
        <v>424</v>
      </c>
      <c r="HX785" t="s">
        <v>425</v>
      </c>
      <c r="HZ785">
        <v>22</v>
      </c>
      <c r="IA785">
        <v>15175</v>
      </c>
      <c r="IB785" t="s">
        <v>588</v>
      </c>
      <c r="IC785" t="s">
        <v>458</v>
      </c>
      <c r="ID785" s="1">
        <v>40688</v>
      </c>
      <c r="IE785">
        <v>2010</v>
      </c>
      <c r="IF785">
        <v>263.11</v>
      </c>
      <c r="IG785" t="s">
        <v>8278</v>
      </c>
      <c r="IH785">
        <v>8.25</v>
      </c>
      <c r="II785" t="s">
        <v>424</v>
      </c>
      <c r="IJ785" t="s">
        <v>425</v>
      </c>
      <c r="IL785">
        <v>22</v>
      </c>
      <c r="IM785">
        <v>10548</v>
      </c>
      <c r="IN785" t="s">
        <v>589</v>
      </c>
      <c r="IO785" t="s">
        <v>458</v>
      </c>
    </row>
    <row r="786" spans="1:320" x14ac:dyDescent="0.25">
      <c r="A786">
        <v>16485793</v>
      </c>
      <c r="B786">
        <v>785</v>
      </c>
      <c r="C786" t="s">
        <v>393</v>
      </c>
      <c r="D786" t="s">
        <v>394</v>
      </c>
      <c r="F786" t="str">
        <f>"19-2N-25-0000-0017-0010"</f>
        <v>19-2N-25-0000-0017-0010</v>
      </c>
      <c r="H786" t="str">
        <f>"MITCHELL ARCHIE ANTHONY"</f>
        <v>MITCHELL ARCHIE ANTHONY</v>
      </c>
      <c r="I786" t="str">
        <f>"PO BOX 955"</f>
        <v>PO BOX 955</v>
      </c>
      <c r="J786" t="str">
        <f t="shared" si="248"/>
        <v>CALLAHAN FL 32011</v>
      </c>
      <c r="K786" t="str">
        <f>"45063 ELMWOOD LN"</f>
        <v>45063 ELMWOOD LN</v>
      </c>
      <c r="L786" t="str">
        <f t="shared" ref="L786:L849" si="250">"CALLAHAN FL 32011"</f>
        <v>CALLAHAN FL 32011</v>
      </c>
      <c r="M786" t="str">
        <f>"PT GOVT LOT 1 OF SEC 19-2N-25E IN OR 1735/88"</f>
        <v>PT GOVT LOT 1 OF SEC 19-2N-25E IN OR 1735/88</v>
      </c>
      <c r="N786" t="str">
        <f>""</f>
        <v/>
      </c>
      <c r="O786" t="str">
        <f>"32688"</f>
        <v>32688</v>
      </c>
      <c r="P786" t="str">
        <f t="shared" si="243"/>
        <v>2017</v>
      </c>
      <c r="Q786" t="str">
        <f>""</f>
        <v/>
      </c>
      <c r="R786" t="str">
        <f t="shared" si="247"/>
        <v>N</v>
      </c>
      <c r="S786" t="str">
        <f>"2.53"</f>
        <v>2.53</v>
      </c>
      <c r="T786" t="str">
        <f>"1042.52"</f>
        <v>1042.52</v>
      </c>
      <c r="U786" t="str">
        <f>"68311.00"</f>
        <v>68311.00</v>
      </c>
      <c r="V786" t="str">
        <f>"68311.00"</f>
        <v>68311.00</v>
      </c>
      <c r="W786" t="str">
        <f t="shared" si="244"/>
        <v>2017</v>
      </c>
      <c r="X786" t="str">
        <f>"12.25"</f>
        <v>12.25</v>
      </c>
      <c r="Y786" t="str">
        <f>"1105.80"</f>
        <v>1105.80</v>
      </c>
      <c r="Z786" t="str">
        <f>""</f>
        <v/>
      </c>
      <c r="AA786" t="str">
        <f>"69579.00"</f>
        <v>69579.00</v>
      </c>
      <c r="AB786" t="str">
        <f t="shared" si="249"/>
        <v>Residential</v>
      </c>
      <c r="AC786" t="str">
        <f t="shared" si="230"/>
        <v>0</v>
      </c>
      <c r="AD786" t="str">
        <f t="shared" ref="AD786:AD792" si="251">"4"</f>
        <v>4</v>
      </c>
      <c r="AE786" t="str">
        <f t="shared" ref="AE786:AE792" si="252">"WOOD (INCLUDE STEEL STUDS)"</f>
        <v>WOOD (INCLUDE STEEL STUDS)</v>
      </c>
      <c r="AF786" t="str">
        <f>"001"</f>
        <v>001</v>
      </c>
      <c r="AG786" t="str">
        <f t="shared" si="245"/>
        <v>FL</v>
      </c>
      <c r="AH786" t="str">
        <f>"110206.00"</f>
        <v>110206.00</v>
      </c>
      <c r="AI786" t="str">
        <f>"30360.00"</f>
        <v>30360.00</v>
      </c>
      <c r="AJ786" t="str">
        <f>"C55-000-587-2166-3"</f>
        <v>C55-000-587-2166-3</v>
      </c>
      <c r="AK786" t="str">
        <f>"12596"</f>
        <v>12596</v>
      </c>
      <c r="AL786">
        <v>3</v>
      </c>
      <c r="AM786">
        <v>914</v>
      </c>
      <c r="AN786">
        <v>1159.49</v>
      </c>
      <c r="AQ786" t="s">
        <v>8279</v>
      </c>
      <c r="AR786" t="s">
        <v>8279</v>
      </c>
      <c r="AS786" t="s">
        <v>8279</v>
      </c>
      <c r="AU786" t="s">
        <v>396</v>
      </c>
      <c r="AV786">
        <v>2017</v>
      </c>
      <c r="AW786" t="str">
        <f>"19-2N-25-0000-0017-0010 "</f>
        <v xml:space="preserve">19-2N-25-0000-0017-0010 </v>
      </c>
      <c r="AX786">
        <v>45063</v>
      </c>
      <c r="AZ786" t="s">
        <v>8280</v>
      </c>
      <c r="BA786" t="s">
        <v>653</v>
      </c>
      <c r="BD786" t="s">
        <v>2785</v>
      </c>
      <c r="BE786" t="s">
        <v>393</v>
      </c>
      <c r="BF786">
        <v>32011</v>
      </c>
      <c r="BG786" t="s">
        <v>8281</v>
      </c>
      <c r="BH786" t="s">
        <v>2787</v>
      </c>
      <c r="BI786">
        <v>-81.837759161901701</v>
      </c>
      <c r="BJ786">
        <v>30.5767181330922</v>
      </c>
      <c r="BK786" t="s">
        <v>8282</v>
      </c>
      <c r="BM786" t="s">
        <v>8283</v>
      </c>
      <c r="BN786" t="s">
        <v>928</v>
      </c>
      <c r="BO786">
        <v>32011</v>
      </c>
      <c r="BP786" t="s">
        <v>404</v>
      </c>
      <c r="BQ786">
        <v>100</v>
      </c>
      <c r="BR786" t="s">
        <v>514</v>
      </c>
      <c r="BS786">
        <v>1001</v>
      </c>
      <c r="BT786" t="s">
        <v>515</v>
      </c>
      <c r="BW786">
        <v>110206</v>
      </c>
      <c r="BX786" t="s">
        <v>407</v>
      </c>
      <c r="BY786" t="s">
        <v>408</v>
      </c>
      <c r="BZ786">
        <v>4</v>
      </c>
      <c r="CA786">
        <v>1960</v>
      </c>
      <c r="CB786">
        <v>1</v>
      </c>
      <c r="CC786">
        <v>2</v>
      </c>
      <c r="CD786">
        <v>2017</v>
      </c>
      <c r="CE786">
        <v>30360</v>
      </c>
      <c r="CF786">
        <v>39219</v>
      </c>
      <c r="CG786">
        <v>69579</v>
      </c>
      <c r="CH786">
        <v>2017</v>
      </c>
      <c r="CI786">
        <v>30360</v>
      </c>
      <c r="CJ786">
        <v>39219</v>
      </c>
      <c r="CK786">
        <v>69579</v>
      </c>
      <c r="CL786">
        <v>2017</v>
      </c>
      <c r="CM786">
        <v>1042.52</v>
      </c>
      <c r="CN786" s="1">
        <v>39912</v>
      </c>
      <c r="CZ786" s="1">
        <v>39912</v>
      </c>
      <c r="DD786" t="s">
        <v>2785</v>
      </c>
      <c r="DG786">
        <v>19</v>
      </c>
      <c r="DL786">
        <v>50503</v>
      </c>
      <c r="DM786" t="s">
        <v>8259</v>
      </c>
      <c r="DO786" t="s">
        <v>8284</v>
      </c>
      <c r="DP786">
        <v>0</v>
      </c>
      <c r="DQ786">
        <v>0</v>
      </c>
      <c r="DR786" t="s">
        <v>411</v>
      </c>
      <c r="DS786" t="b">
        <v>1</v>
      </c>
      <c r="DT786" t="s">
        <v>470</v>
      </c>
      <c r="DU786" t="s">
        <v>471</v>
      </c>
      <c r="DV786" t="s">
        <v>472</v>
      </c>
      <c r="DX786">
        <v>-9999</v>
      </c>
      <c r="DZ786" t="s">
        <v>447</v>
      </c>
      <c r="EA786" t="s">
        <v>448</v>
      </c>
      <c r="EB786" t="s">
        <v>742</v>
      </c>
      <c r="EC786">
        <v>20101217</v>
      </c>
      <c r="ED786" t="s">
        <v>474</v>
      </c>
      <c r="EF786">
        <v>55.8</v>
      </c>
      <c r="EG786">
        <v>55.8</v>
      </c>
      <c r="EI786">
        <v>20160407</v>
      </c>
      <c r="EJ786">
        <v>0</v>
      </c>
      <c r="EK786">
        <v>0</v>
      </c>
      <c r="EP786" t="s">
        <v>421</v>
      </c>
      <c r="EQ786" t="s">
        <v>422</v>
      </c>
      <c r="ER786">
        <v>0</v>
      </c>
      <c r="ES786">
        <v>6</v>
      </c>
      <c r="ET786">
        <v>0</v>
      </c>
      <c r="EU786">
        <v>0</v>
      </c>
      <c r="EV786">
        <v>0</v>
      </c>
      <c r="EW786" s="2">
        <v>43222</v>
      </c>
      <c r="EX786" s="1">
        <v>42515</v>
      </c>
      <c r="EY786">
        <v>2015</v>
      </c>
      <c r="EZ786">
        <v>1089.0899999999999</v>
      </c>
      <c r="FA786" t="s">
        <v>8285</v>
      </c>
      <c r="FB786">
        <v>0.25</v>
      </c>
      <c r="FC786" t="s">
        <v>424</v>
      </c>
      <c r="FD786" t="s">
        <v>425</v>
      </c>
      <c r="FE786" s="1">
        <v>42726</v>
      </c>
      <c r="FF786">
        <v>7</v>
      </c>
      <c r="FG786">
        <v>11289</v>
      </c>
      <c r="FH786" t="s">
        <v>787</v>
      </c>
      <c r="FJ786" s="1">
        <v>42515</v>
      </c>
      <c r="FK786">
        <v>2015</v>
      </c>
      <c r="FL786">
        <v>1089.0899999999999</v>
      </c>
      <c r="FM786" t="s">
        <v>8285</v>
      </c>
      <c r="FN786">
        <v>0.25</v>
      </c>
      <c r="FO786" t="s">
        <v>424</v>
      </c>
      <c r="FP786" t="s">
        <v>425</v>
      </c>
      <c r="FR786">
        <v>22</v>
      </c>
      <c r="FS786">
        <v>7117452</v>
      </c>
      <c r="FT786" t="s">
        <v>8286</v>
      </c>
      <c r="FV786" s="1">
        <v>42151</v>
      </c>
      <c r="FW786">
        <v>2014</v>
      </c>
      <c r="FX786">
        <v>1006.72</v>
      </c>
      <c r="FY786" t="s">
        <v>8287</v>
      </c>
      <c r="FZ786">
        <v>0.25</v>
      </c>
      <c r="GA786" t="s">
        <v>424</v>
      </c>
      <c r="GB786" t="s">
        <v>425</v>
      </c>
      <c r="GC786" s="1">
        <v>42461</v>
      </c>
      <c r="GD786">
        <v>11</v>
      </c>
      <c r="GE786">
        <v>2851116</v>
      </c>
      <c r="GF786" t="s">
        <v>480</v>
      </c>
      <c r="GH786" s="1">
        <v>42151</v>
      </c>
      <c r="GI786">
        <v>2014</v>
      </c>
      <c r="GJ786">
        <v>1006.72</v>
      </c>
      <c r="GK786" t="s">
        <v>8287</v>
      </c>
      <c r="GL786">
        <v>0.25</v>
      </c>
      <c r="GM786" t="s">
        <v>424</v>
      </c>
      <c r="GN786" t="s">
        <v>425</v>
      </c>
      <c r="GP786">
        <v>22</v>
      </c>
      <c r="GQ786">
        <v>4988841</v>
      </c>
      <c r="GR786" t="s">
        <v>8288</v>
      </c>
      <c r="GT786" s="1">
        <v>41787</v>
      </c>
      <c r="GU786">
        <v>2013</v>
      </c>
      <c r="GV786">
        <v>841.37</v>
      </c>
      <c r="GW786" t="s">
        <v>8289</v>
      </c>
      <c r="GX786">
        <v>0.25</v>
      </c>
      <c r="GY786" t="s">
        <v>424</v>
      </c>
      <c r="GZ786" t="s">
        <v>425</v>
      </c>
      <c r="HA786" s="1">
        <v>42094</v>
      </c>
      <c r="HB786">
        <v>10</v>
      </c>
      <c r="HC786">
        <v>13026</v>
      </c>
      <c r="HD786" t="s">
        <v>2129</v>
      </c>
      <c r="HF786" s="1">
        <v>41052</v>
      </c>
      <c r="HG786">
        <v>2011</v>
      </c>
      <c r="HH786">
        <v>778.19</v>
      </c>
      <c r="HI786" t="s">
        <v>8290</v>
      </c>
      <c r="HJ786">
        <v>5</v>
      </c>
      <c r="HK786" t="s">
        <v>424</v>
      </c>
      <c r="HL786" t="s">
        <v>425</v>
      </c>
      <c r="HM786" s="1">
        <v>41682</v>
      </c>
      <c r="HN786">
        <v>21</v>
      </c>
      <c r="HO786">
        <v>13027</v>
      </c>
      <c r="HP786" t="s">
        <v>826</v>
      </c>
    </row>
    <row r="787" spans="1:320" x14ac:dyDescent="0.25">
      <c r="A787">
        <v>16485794</v>
      </c>
      <c r="B787">
        <v>786</v>
      </c>
      <c r="C787" t="s">
        <v>393</v>
      </c>
      <c r="D787" t="s">
        <v>394</v>
      </c>
      <c r="F787" t="str">
        <f>"19-2N-25-0000-0017-0030"</f>
        <v>19-2N-25-0000-0017-0030</v>
      </c>
      <c r="H787" t="str">
        <f>"WAY RONNIE L EST"</f>
        <v>WAY RONNIE L EST</v>
      </c>
      <c r="I787" t="str">
        <f>"PO BOX 387"</f>
        <v>PO BOX 387</v>
      </c>
      <c r="J787" t="str">
        <f t="shared" si="248"/>
        <v>CALLAHAN FL 32011</v>
      </c>
      <c r="K787" t="str">
        <f>"45063 ELMWOOD RD"</f>
        <v>45063 ELMWOOD RD</v>
      </c>
      <c r="L787" t="str">
        <f t="shared" si="250"/>
        <v>CALLAHAN FL 32011</v>
      </c>
      <c r="M787" t="str">
        <f>"IN OR 1664/1823"</f>
        <v>IN OR 1664/1823</v>
      </c>
      <c r="N787" t="str">
        <f>""</f>
        <v/>
      </c>
      <c r="O787" t="str">
        <f>"32690"</f>
        <v>32690</v>
      </c>
      <c r="P787" t="str">
        <f t="shared" si="243"/>
        <v>2017</v>
      </c>
      <c r="Q787" t="str">
        <f>""</f>
        <v/>
      </c>
      <c r="R787" t="str">
        <f t="shared" si="247"/>
        <v>N</v>
      </c>
      <c r="S787" t="str">
        <f>"1.00"</f>
        <v>1.00</v>
      </c>
      <c r="T787" t="str">
        <f>"450.34"</f>
        <v>450.34</v>
      </c>
      <c r="U787" t="str">
        <f>"29748.00"</f>
        <v>29748.00</v>
      </c>
      <c r="V787" t="str">
        <f>"29748.00"</f>
        <v>29748.00</v>
      </c>
      <c r="W787" t="str">
        <f t="shared" si="244"/>
        <v>2017</v>
      </c>
      <c r="X787" t="str">
        <f>"15.00"</f>
        <v>15.00</v>
      </c>
      <c r="Y787" t="str">
        <f>"495.85"</f>
        <v>495.85</v>
      </c>
      <c r="Z787" t="str">
        <f>""</f>
        <v/>
      </c>
      <c r="AA787" t="str">
        <f>"29748.00"</f>
        <v>29748.00</v>
      </c>
      <c r="AB787" t="str">
        <f t="shared" si="249"/>
        <v>Residential</v>
      </c>
      <c r="AC787" t="str">
        <f t="shared" si="230"/>
        <v>0</v>
      </c>
      <c r="AD787" t="str">
        <f t="shared" si="251"/>
        <v>4</v>
      </c>
      <c r="AE787" t="str">
        <f t="shared" si="252"/>
        <v>WOOD (INCLUDE STEEL STUDS)</v>
      </c>
      <c r="AF787" t="str">
        <f>"001"</f>
        <v>001</v>
      </c>
      <c r="AG787" t="str">
        <f t="shared" si="245"/>
        <v>FL</v>
      </c>
      <c r="AH787" t="str">
        <f>"43560.00"</f>
        <v>43560.00</v>
      </c>
      <c r="AI787" t="str">
        <f>"10500.00"</f>
        <v>10500.00</v>
      </c>
      <c r="AJ787" t="str">
        <f>"C55-000-587-2168-9"</f>
        <v>C55-000-587-2168-9</v>
      </c>
      <c r="AK787" t="str">
        <f>"12598"</f>
        <v>12598</v>
      </c>
      <c r="AL787">
        <v>3</v>
      </c>
      <c r="AM787">
        <v>915</v>
      </c>
      <c r="AN787">
        <v>519.04</v>
      </c>
      <c r="AQ787" t="s">
        <v>8291</v>
      </c>
      <c r="AR787" t="s">
        <v>8291</v>
      </c>
      <c r="AS787" t="s">
        <v>8291</v>
      </c>
      <c r="AU787" t="s">
        <v>396</v>
      </c>
      <c r="AV787">
        <v>2017</v>
      </c>
      <c r="AW787" t="str">
        <f>"19-2N-25-0000-0017-0030 "</f>
        <v xml:space="preserve">19-2N-25-0000-0017-0030 </v>
      </c>
      <c r="AX787">
        <v>45063</v>
      </c>
      <c r="AZ787" t="s">
        <v>8280</v>
      </c>
      <c r="BA787" t="s">
        <v>496</v>
      </c>
      <c r="BD787" t="s">
        <v>2785</v>
      </c>
      <c r="BE787" t="s">
        <v>393</v>
      </c>
      <c r="BF787">
        <v>32011</v>
      </c>
      <c r="BG787" t="s">
        <v>8292</v>
      </c>
      <c r="BH787" t="s">
        <v>2787</v>
      </c>
      <c r="BI787">
        <v>-81.837438065020606</v>
      </c>
      <c r="BJ787">
        <v>30.5768401434011</v>
      </c>
      <c r="BK787" t="s">
        <v>8293</v>
      </c>
      <c r="BM787" t="s">
        <v>2467</v>
      </c>
      <c r="BN787" t="s">
        <v>928</v>
      </c>
      <c r="BO787">
        <v>32011</v>
      </c>
      <c r="BP787" t="s">
        <v>404</v>
      </c>
      <c r="BQ787">
        <v>100</v>
      </c>
      <c r="BR787" t="s">
        <v>514</v>
      </c>
      <c r="BS787">
        <v>1001</v>
      </c>
      <c r="BT787" t="s">
        <v>515</v>
      </c>
      <c r="BW787">
        <v>43560</v>
      </c>
      <c r="BX787" t="s">
        <v>407</v>
      </c>
      <c r="BY787" t="s">
        <v>408</v>
      </c>
      <c r="BZ787">
        <v>4</v>
      </c>
      <c r="CA787">
        <v>1962</v>
      </c>
      <c r="CB787">
        <v>1</v>
      </c>
      <c r="CC787">
        <v>1</v>
      </c>
      <c r="CD787">
        <v>2017</v>
      </c>
      <c r="CE787">
        <v>10500</v>
      </c>
      <c r="CF787">
        <v>19248</v>
      </c>
      <c r="CG787">
        <v>29748</v>
      </c>
      <c r="CH787">
        <v>2017</v>
      </c>
      <c r="CI787">
        <v>10500</v>
      </c>
      <c r="CJ787">
        <v>19248</v>
      </c>
      <c r="CK787">
        <v>29748</v>
      </c>
      <c r="CL787">
        <v>2017</v>
      </c>
      <c r="CM787">
        <v>450.34</v>
      </c>
      <c r="CN787" s="1">
        <v>40120</v>
      </c>
      <c r="CZ787" s="1">
        <v>40120</v>
      </c>
      <c r="DD787" t="s">
        <v>2785</v>
      </c>
      <c r="DG787">
        <v>19</v>
      </c>
      <c r="DL787">
        <v>50503</v>
      </c>
      <c r="DM787" t="s">
        <v>8259</v>
      </c>
      <c r="DO787" t="s">
        <v>8294</v>
      </c>
      <c r="DP787">
        <v>0</v>
      </c>
      <c r="DQ787">
        <v>0</v>
      </c>
      <c r="DR787" t="s">
        <v>411</v>
      </c>
      <c r="DS787" t="b">
        <v>1</v>
      </c>
      <c r="DT787" t="s">
        <v>470</v>
      </c>
      <c r="DU787" t="s">
        <v>471</v>
      </c>
      <c r="DV787" t="s">
        <v>472</v>
      </c>
      <c r="DX787">
        <v>-9999</v>
      </c>
      <c r="DZ787" t="s">
        <v>447</v>
      </c>
      <c r="EA787" t="s">
        <v>448</v>
      </c>
      <c r="EB787" t="s">
        <v>742</v>
      </c>
      <c r="EC787">
        <v>20101217</v>
      </c>
      <c r="ED787" t="s">
        <v>474</v>
      </c>
      <c r="EF787">
        <v>79.5</v>
      </c>
      <c r="EG787">
        <v>79.5</v>
      </c>
      <c r="EI787">
        <v>20160407</v>
      </c>
      <c r="EJ787">
        <v>0</v>
      </c>
      <c r="EK787">
        <v>0</v>
      </c>
      <c r="EP787" t="s">
        <v>421</v>
      </c>
      <c r="EQ787" t="s">
        <v>422</v>
      </c>
      <c r="ER787">
        <v>0</v>
      </c>
      <c r="ES787">
        <v>2</v>
      </c>
      <c r="ET787">
        <v>0</v>
      </c>
      <c r="EU787">
        <v>0</v>
      </c>
      <c r="EV787">
        <v>0</v>
      </c>
      <c r="EW787" s="2">
        <v>43222</v>
      </c>
      <c r="EX787" s="1">
        <v>42879</v>
      </c>
      <c r="EY787">
        <v>2016</v>
      </c>
      <c r="EZ787">
        <v>489.02</v>
      </c>
      <c r="FA787" t="s">
        <v>8295</v>
      </c>
      <c r="FB787">
        <v>4.5</v>
      </c>
      <c r="FC787" t="s">
        <v>424</v>
      </c>
      <c r="FD787" t="s">
        <v>425</v>
      </c>
      <c r="FE787" s="1">
        <v>43159</v>
      </c>
      <c r="FF787">
        <v>9</v>
      </c>
      <c r="FG787">
        <v>2035919</v>
      </c>
      <c r="FH787" t="s">
        <v>507</v>
      </c>
      <c r="FJ787" s="1">
        <v>42515</v>
      </c>
      <c r="FK787">
        <v>2015</v>
      </c>
      <c r="FL787">
        <v>516.17999999999995</v>
      </c>
      <c r="FM787" t="s">
        <v>8296</v>
      </c>
      <c r="FN787">
        <v>10.75</v>
      </c>
      <c r="FO787" t="s">
        <v>424</v>
      </c>
      <c r="FP787" t="s">
        <v>425</v>
      </c>
      <c r="FQ787" s="1">
        <v>43158</v>
      </c>
      <c r="FR787">
        <v>21</v>
      </c>
      <c r="FS787">
        <v>2035919</v>
      </c>
      <c r="FT787" t="s">
        <v>507</v>
      </c>
    </row>
    <row r="788" spans="1:320" x14ac:dyDescent="0.25">
      <c r="A788">
        <v>16485795</v>
      </c>
      <c r="B788">
        <v>787</v>
      </c>
      <c r="C788" t="s">
        <v>393</v>
      </c>
      <c r="D788" t="s">
        <v>394</v>
      </c>
      <c r="F788" t="str">
        <f>"19-2N-25-0000-0019-0000"</f>
        <v>19-2N-25-0000-0019-0000</v>
      </c>
      <c r="H788" t="str">
        <f>"SHEFFIELD EMILY EST"</f>
        <v>SHEFFIELD EMILY EST</v>
      </c>
      <c r="I788" t="str">
        <f>"45005 COLSON ROAD"</f>
        <v>45005 COLSON ROAD</v>
      </c>
      <c r="J788" t="str">
        <f t="shared" si="248"/>
        <v>CALLAHAN FL 32011</v>
      </c>
      <c r="K788" t="str">
        <f>"45051 ELMWOOD RD"</f>
        <v>45051 ELMWOOD RD</v>
      </c>
      <c r="L788" t="str">
        <f t="shared" si="250"/>
        <v>CALLAHAN FL 32011</v>
      </c>
      <c r="M788" t="str">
        <f>"IN OR 726 PG 5"</f>
        <v>IN OR 726 PG 5</v>
      </c>
      <c r="N788" t="str">
        <f>""</f>
        <v/>
      </c>
      <c r="O788" t="str">
        <f>"32692"</f>
        <v>32692</v>
      </c>
      <c r="P788" t="str">
        <f t="shared" si="243"/>
        <v>2017</v>
      </c>
      <c r="Q788" t="str">
        <f>""</f>
        <v/>
      </c>
      <c r="R788" t="str">
        <f t="shared" si="247"/>
        <v>N</v>
      </c>
      <c r="S788" t="str">
        <f>"1.00"</f>
        <v>1.00</v>
      </c>
      <c r="T788" t="str">
        <f>"767.72"</f>
        <v>767.72</v>
      </c>
      <c r="U788" t="str">
        <f>"50713.00"</f>
        <v>50713.00</v>
      </c>
      <c r="V788" t="str">
        <f>"50713.00"</f>
        <v>50713.00</v>
      </c>
      <c r="W788" t="str">
        <f t="shared" si="244"/>
        <v>2017</v>
      </c>
      <c r="X788" t="str">
        <f>"16.60"</f>
        <v>16.60</v>
      </c>
      <c r="Y788" t="str">
        <f>"822.75"</f>
        <v>822.75</v>
      </c>
      <c r="Z788" t="str">
        <f>""</f>
        <v/>
      </c>
      <c r="AA788" t="str">
        <f>"50713.00"</f>
        <v>50713.00</v>
      </c>
      <c r="AB788" t="str">
        <f t="shared" si="249"/>
        <v>Residential</v>
      </c>
      <c r="AC788" t="str">
        <f t="shared" si="230"/>
        <v>0</v>
      </c>
      <c r="AD788" t="str">
        <f t="shared" si="251"/>
        <v>4</v>
      </c>
      <c r="AE788" t="str">
        <f t="shared" si="252"/>
        <v>WOOD (INCLUDE STEEL STUDS)</v>
      </c>
      <c r="AF788" t="str">
        <f>"001"</f>
        <v>001</v>
      </c>
      <c r="AG788" t="str">
        <f t="shared" si="245"/>
        <v>FL</v>
      </c>
      <c r="AH788" t="str">
        <f>"43560.00"</f>
        <v>43560.00</v>
      </c>
      <c r="AI788" t="str">
        <f>"12000.00"</f>
        <v>12000.00</v>
      </c>
      <c r="AJ788" t="str">
        <f>"C55-000-587-2170-5"</f>
        <v>C55-000-587-2170-5</v>
      </c>
      <c r="AK788" t="str">
        <f>"12600"</f>
        <v>12600</v>
      </c>
      <c r="AL788">
        <v>3</v>
      </c>
      <c r="AM788">
        <v>916</v>
      </c>
      <c r="AN788">
        <v>862.29</v>
      </c>
      <c r="AQ788" t="s">
        <v>8297</v>
      </c>
      <c r="AR788" t="s">
        <v>8297</v>
      </c>
      <c r="AS788" t="s">
        <v>8297</v>
      </c>
      <c r="AU788" t="s">
        <v>396</v>
      </c>
      <c r="AV788">
        <v>2017</v>
      </c>
      <c r="AW788" t="str">
        <f>"19-2N-25-0000-0019-0000 "</f>
        <v xml:space="preserve">19-2N-25-0000-0019-0000 </v>
      </c>
      <c r="AX788">
        <v>45051</v>
      </c>
      <c r="AZ788" t="s">
        <v>8280</v>
      </c>
      <c r="BA788" t="s">
        <v>496</v>
      </c>
      <c r="BD788" t="s">
        <v>2785</v>
      </c>
      <c r="BE788" t="s">
        <v>393</v>
      </c>
      <c r="BF788">
        <v>32011</v>
      </c>
      <c r="BG788" t="s">
        <v>8298</v>
      </c>
      <c r="BH788" t="s">
        <v>2787</v>
      </c>
      <c r="BI788">
        <v>-81.837439392130804</v>
      </c>
      <c r="BJ788">
        <v>30.576255545815101</v>
      </c>
      <c r="BK788" t="s">
        <v>8299</v>
      </c>
      <c r="BM788" t="s">
        <v>8300</v>
      </c>
      <c r="BN788" t="s">
        <v>928</v>
      </c>
      <c r="BO788">
        <v>32011</v>
      </c>
      <c r="BP788" t="s">
        <v>404</v>
      </c>
      <c r="BQ788">
        <v>100</v>
      </c>
      <c r="BR788" t="s">
        <v>514</v>
      </c>
      <c r="BS788">
        <v>1001</v>
      </c>
      <c r="BT788" t="s">
        <v>515</v>
      </c>
      <c r="BW788">
        <v>43560</v>
      </c>
      <c r="BX788" t="s">
        <v>407</v>
      </c>
      <c r="BY788" t="s">
        <v>408</v>
      </c>
      <c r="BZ788">
        <v>4</v>
      </c>
      <c r="CA788">
        <v>1960</v>
      </c>
      <c r="CB788">
        <v>1</v>
      </c>
      <c r="CC788">
        <v>1</v>
      </c>
      <c r="CD788">
        <v>2017</v>
      </c>
      <c r="CE788">
        <v>12000</v>
      </c>
      <c r="CF788">
        <v>38713</v>
      </c>
      <c r="CG788">
        <v>50713</v>
      </c>
      <c r="CH788">
        <v>2017</v>
      </c>
      <c r="CI788">
        <v>12000</v>
      </c>
      <c r="CJ788">
        <v>38713</v>
      </c>
      <c r="CK788">
        <v>50713</v>
      </c>
      <c r="CL788">
        <v>2017</v>
      </c>
      <c r="CM788">
        <v>767.72</v>
      </c>
      <c r="CN788" s="1">
        <v>34778</v>
      </c>
      <c r="CZ788" s="1">
        <v>34778</v>
      </c>
      <c r="DD788" t="s">
        <v>2785</v>
      </c>
      <c r="DG788">
        <v>19</v>
      </c>
      <c r="DL788">
        <v>50503</v>
      </c>
      <c r="DM788" t="s">
        <v>8259</v>
      </c>
      <c r="DO788" t="s">
        <v>8301</v>
      </c>
      <c r="DP788">
        <v>0</v>
      </c>
      <c r="DQ788">
        <v>0</v>
      </c>
      <c r="DR788" t="s">
        <v>411</v>
      </c>
      <c r="DS788" t="b">
        <v>1</v>
      </c>
      <c r="DT788" t="s">
        <v>470</v>
      </c>
      <c r="DU788" t="s">
        <v>471</v>
      </c>
      <c r="DV788" t="s">
        <v>472</v>
      </c>
      <c r="DX788">
        <v>-9999</v>
      </c>
      <c r="DZ788" t="s">
        <v>447</v>
      </c>
      <c r="EA788" t="s">
        <v>448</v>
      </c>
      <c r="EB788" t="s">
        <v>742</v>
      </c>
      <c r="EC788">
        <v>20101217</v>
      </c>
      <c r="ED788" t="s">
        <v>474</v>
      </c>
      <c r="EF788">
        <v>87.8</v>
      </c>
      <c r="EG788">
        <v>87.8</v>
      </c>
      <c r="EI788">
        <v>20160407</v>
      </c>
      <c r="EJ788">
        <v>0</v>
      </c>
      <c r="EK788">
        <v>0</v>
      </c>
      <c r="EP788" t="s">
        <v>421</v>
      </c>
      <c r="EQ788" t="s">
        <v>452</v>
      </c>
      <c r="ER788">
        <v>2</v>
      </c>
      <c r="ES788">
        <v>10</v>
      </c>
      <c r="ET788">
        <v>1659.28</v>
      </c>
      <c r="EU788">
        <v>95.46</v>
      </c>
      <c r="EV788">
        <v>1754.74</v>
      </c>
      <c r="EW788" s="2">
        <v>43222</v>
      </c>
      <c r="EX788" s="1">
        <v>42879</v>
      </c>
      <c r="EY788">
        <v>2016</v>
      </c>
      <c r="EZ788">
        <v>829.64</v>
      </c>
      <c r="FA788" t="s">
        <v>8302</v>
      </c>
      <c r="FB788">
        <v>0.25</v>
      </c>
      <c r="FC788" t="s">
        <v>424</v>
      </c>
      <c r="FD788" t="s">
        <v>454</v>
      </c>
      <c r="FF788">
        <v>12</v>
      </c>
      <c r="FG788">
        <v>7336753</v>
      </c>
      <c r="FH788" t="s">
        <v>1731</v>
      </c>
      <c r="FJ788" s="1">
        <v>42879</v>
      </c>
      <c r="FK788">
        <v>2016</v>
      </c>
      <c r="FL788">
        <v>829.64</v>
      </c>
      <c r="FM788" t="s">
        <v>8302</v>
      </c>
      <c r="FN788">
        <v>0.25</v>
      </c>
      <c r="FO788" t="s">
        <v>424</v>
      </c>
      <c r="FP788" t="s">
        <v>454</v>
      </c>
      <c r="FR788">
        <v>12</v>
      </c>
      <c r="FS788">
        <v>7360240</v>
      </c>
      <c r="FT788" t="s">
        <v>8303</v>
      </c>
      <c r="FV788" s="1">
        <v>42515</v>
      </c>
      <c r="FW788">
        <v>2015</v>
      </c>
      <c r="FX788">
        <v>811.41</v>
      </c>
      <c r="FY788" t="s">
        <v>8304</v>
      </c>
      <c r="FZ788">
        <v>0.25</v>
      </c>
      <c r="GA788" t="s">
        <v>424</v>
      </c>
      <c r="GB788" t="s">
        <v>425</v>
      </c>
      <c r="GC788" s="1">
        <v>42640</v>
      </c>
      <c r="GD788">
        <v>4</v>
      </c>
      <c r="GE788">
        <v>7045074</v>
      </c>
      <c r="GF788" t="s">
        <v>580</v>
      </c>
      <c r="GG788" t="s">
        <v>458</v>
      </c>
      <c r="GH788" s="1">
        <v>42515</v>
      </c>
      <c r="GI788">
        <v>2015</v>
      </c>
      <c r="GJ788">
        <v>811.41</v>
      </c>
      <c r="GK788" t="s">
        <v>8304</v>
      </c>
      <c r="GL788">
        <v>0.25</v>
      </c>
      <c r="GM788" t="s">
        <v>424</v>
      </c>
      <c r="GN788" t="s">
        <v>425</v>
      </c>
      <c r="GP788">
        <v>22</v>
      </c>
      <c r="GQ788">
        <v>6497283</v>
      </c>
      <c r="GR788" t="s">
        <v>8305</v>
      </c>
      <c r="GS788" t="s">
        <v>458</v>
      </c>
      <c r="GT788" s="1">
        <v>42151</v>
      </c>
      <c r="GU788">
        <v>2014</v>
      </c>
      <c r="GV788">
        <v>749.82</v>
      </c>
      <c r="GW788" t="s">
        <v>8306</v>
      </c>
      <c r="GX788">
        <v>0.25</v>
      </c>
      <c r="GY788" t="s">
        <v>424</v>
      </c>
      <c r="GZ788" t="s">
        <v>425</v>
      </c>
      <c r="HA788" s="1">
        <v>42640</v>
      </c>
      <c r="HB788">
        <v>16</v>
      </c>
      <c r="HC788">
        <v>4975594</v>
      </c>
      <c r="HD788" t="s">
        <v>457</v>
      </c>
      <c r="HE788" t="s">
        <v>458</v>
      </c>
      <c r="HF788" s="1">
        <v>42151</v>
      </c>
      <c r="HG788">
        <v>2014</v>
      </c>
      <c r="HH788">
        <v>749.82</v>
      </c>
      <c r="HI788" t="s">
        <v>8306</v>
      </c>
      <c r="HJ788">
        <v>0.25</v>
      </c>
      <c r="HK788" t="s">
        <v>424</v>
      </c>
      <c r="HL788" t="s">
        <v>425</v>
      </c>
      <c r="HN788">
        <v>22</v>
      </c>
      <c r="HO788">
        <v>6543643</v>
      </c>
      <c r="HP788" t="s">
        <v>8307</v>
      </c>
      <c r="HQ788" t="s">
        <v>458</v>
      </c>
      <c r="HR788" s="1">
        <v>41787</v>
      </c>
      <c r="HS788">
        <v>2013</v>
      </c>
      <c r="HT788">
        <v>608.76</v>
      </c>
      <c r="HU788" t="s">
        <v>8308</v>
      </c>
      <c r="HV788">
        <v>2.25</v>
      </c>
      <c r="HW788" t="s">
        <v>424</v>
      </c>
      <c r="HX788" t="s">
        <v>425</v>
      </c>
      <c r="HZ788">
        <v>22</v>
      </c>
      <c r="IA788">
        <v>15399</v>
      </c>
      <c r="IB788" t="s">
        <v>485</v>
      </c>
      <c r="IC788" t="s">
        <v>458</v>
      </c>
      <c r="ID788" s="1">
        <v>41787</v>
      </c>
      <c r="IE788">
        <v>2013</v>
      </c>
      <c r="IF788">
        <v>608.76</v>
      </c>
      <c r="IG788" t="s">
        <v>8308</v>
      </c>
      <c r="IH788">
        <v>2.25</v>
      </c>
      <c r="II788" t="s">
        <v>424</v>
      </c>
      <c r="IJ788" t="s">
        <v>425</v>
      </c>
      <c r="IL788">
        <v>22</v>
      </c>
      <c r="IM788">
        <v>7336692</v>
      </c>
      <c r="IN788" t="s">
        <v>822</v>
      </c>
      <c r="IO788" t="s">
        <v>458</v>
      </c>
      <c r="IP788" s="1">
        <v>41787</v>
      </c>
      <c r="IQ788">
        <v>2013</v>
      </c>
      <c r="IR788">
        <v>608.76</v>
      </c>
      <c r="IS788" t="s">
        <v>8308</v>
      </c>
      <c r="IT788">
        <v>2.25</v>
      </c>
      <c r="IU788" t="s">
        <v>424</v>
      </c>
      <c r="IV788" t="s">
        <v>425</v>
      </c>
      <c r="IX788">
        <v>22</v>
      </c>
      <c r="IY788">
        <v>7336698</v>
      </c>
      <c r="IZ788" t="s">
        <v>823</v>
      </c>
      <c r="JA788" t="s">
        <v>458</v>
      </c>
      <c r="JB788" s="1">
        <v>41423</v>
      </c>
      <c r="JC788">
        <v>2012</v>
      </c>
      <c r="JD788">
        <v>617.39</v>
      </c>
      <c r="JE788" t="s">
        <v>8309</v>
      </c>
      <c r="JF788">
        <v>3.5</v>
      </c>
      <c r="JG788" t="s">
        <v>424</v>
      </c>
      <c r="JH788" t="s">
        <v>425</v>
      </c>
      <c r="JI788" s="1">
        <v>41799</v>
      </c>
      <c r="JJ788">
        <v>13</v>
      </c>
      <c r="JK788">
        <v>1625515</v>
      </c>
      <c r="JL788" t="s">
        <v>487</v>
      </c>
      <c r="JN788" s="1">
        <v>41052</v>
      </c>
      <c r="JO788">
        <v>2011</v>
      </c>
      <c r="JP788">
        <v>667.24</v>
      </c>
      <c r="JQ788" t="s">
        <v>8310</v>
      </c>
      <c r="JR788">
        <v>5</v>
      </c>
      <c r="JS788" t="s">
        <v>424</v>
      </c>
      <c r="JT788" t="s">
        <v>425</v>
      </c>
      <c r="JU788" s="1">
        <v>41703</v>
      </c>
      <c r="JV788">
        <v>22</v>
      </c>
      <c r="JW788">
        <v>1625515</v>
      </c>
      <c r="JX788" t="s">
        <v>487</v>
      </c>
      <c r="JZ788" s="1">
        <v>41052</v>
      </c>
      <c r="KA788">
        <v>2011</v>
      </c>
      <c r="KB788">
        <v>667.24</v>
      </c>
      <c r="KC788" t="s">
        <v>8310</v>
      </c>
      <c r="KD788">
        <v>5</v>
      </c>
      <c r="KE788" t="s">
        <v>424</v>
      </c>
      <c r="KF788" t="s">
        <v>425</v>
      </c>
      <c r="KH788">
        <v>22</v>
      </c>
      <c r="KI788">
        <v>10579</v>
      </c>
      <c r="KJ788" t="s">
        <v>488</v>
      </c>
    </row>
    <row r="789" spans="1:320" x14ac:dyDescent="0.25">
      <c r="A789">
        <v>16485796</v>
      </c>
      <c r="B789">
        <v>788</v>
      </c>
      <c r="C789" t="s">
        <v>393</v>
      </c>
      <c r="D789" t="s">
        <v>394</v>
      </c>
      <c r="F789" t="str">
        <f>"19-2N-25-0000-0019-0010"</f>
        <v>19-2N-25-0000-0019-0010</v>
      </c>
      <c r="H789" t="str">
        <f>"ALDERMAN BERNICE JONES W EST"</f>
        <v>ALDERMAN BERNICE JONES W EST</v>
      </c>
      <c r="I789" t="str">
        <f>"58067 ALDERMAN LANE"</f>
        <v>58067 ALDERMAN LANE</v>
      </c>
      <c r="J789" t="str">
        <f>"HILLIARD FL 32046"</f>
        <v>HILLIARD FL 32046</v>
      </c>
      <c r="K789" t="str">
        <f>"ROBERTS RD"</f>
        <v>ROBERTS RD</v>
      </c>
      <c r="L789" t="str">
        <f t="shared" si="250"/>
        <v>CALLAHAN FL 32011</v>
      </c>
      <c r="M789" t="str">
        <f>"IN OR 35 PG 345 IN OR 18 PG 374"</f>
        <v>IN OR 35 PG 345 IN OR 18 PG 374</v>
      </c>
      <c r="N789" t="str">
        <f>""</f>
        <v/>
      </c>
      <c r="O789" t="str">
        <f>"32693"</f>
        <v>32693</v>
      </c>
      <c r="P789" t="str">
        <f t="shared" si="243"/>
        <v>2017</v>
      </c>
      <c r="Q789" t="str">
        <f>""</f>
        <v/>
      </c>
      <c r="R789" t="str">
        <f t="shared" si="247"/>
        <v>N</v>
      </c>
      <c r="S789" t="str">
        <f>"1.00"</f>
        <v>1.00</v>
      </c>
      <c r="T789" t="str">
        <f>"418.83"</f>
        <v>418.83</v>
      </c>
      <c r="U789" t="str">
        <f>"27476.00"</f>
        <v>27476.00</v>
      </c>
      <c r="V789" t="str">
        <f>"27476.00"</f>
        <v>27476.00</v>
      </c>
      <c r="W789" t="str">
        <f t="shared" si="244"/>
        <v>2017</v>
      </c>
      <c r="X789" t="str">
        <f>"8.50"</f>
        <v>8.50</v>
      </c>
      <c r="Y789" t="str">
        <f>"463.39"</f>
        <v>463.39</v>
      </c>
      <c r="Z789" t="str">
        <f>""</f>
        <v/>
      </c>
      <c r="AA789" t="str">
        <f>"27912.00"</f>
        <v>27912.00</v>
      </c>
      <c r="AB789" t="str">
        <f t="shared" si="249"/>
        <v>Residential</v>
      </c>
      <c r="AC789" t="str">
        <f t="shared" si="230"/>
        <v>0</v>
      </c>
      <c r="AD789" t="str">
        <f t="shared" si="251"/>
        <v>4</v>
      </c>
      <c r="AE789" t="str">
        <f t="shared" si="252"/>
        <v>WOOD (INCLUDE STEEL STUDS)</v>
      </c>
      <c r="AF789" t="str">
        <f>"001"</f>
        <v>001</v>
      </c>
      <c r="AG789" t="str">
        <f t="shared" si="245"/>
        <v>FL</v>
      </c>
      <c r="AH789" t="str">
        <f>"18525.00"</f>
        <v>18525.00</v>
      </c>
      <c r="AI789" t="str">
        <f>"15000.00"</f>
        <v>15000.00</v>
      </c>
      <c r="AJ789" t="str">
        <f>"C55-000-587-2171-3"</f>
        <v>C55-000-587-2171-3</v>
      </c>
      <c r="AK789" t="str">
        <f>"12601"</f>
        <v>12601</v>
      </c>
      <c r="AL789">
        <v>3</v>
      </c>
      <c r="AM789">
        <v>917</v>
      </c>
      <c r="AN789">
        <v>484.96</v>
      </c>
      <c r="AQ789" t="s">
        <v>8311</v>
      </c>
      <c r="AR789" t="s">
        <v>8311</v>
      </c>
      <c r="AS789" t="s">
        <v>8311</v>
      </c>
      <c r="AU789" t="s">
        <v>396</v>
      </c>
      <c r="AV789">
        <v>2017</v>
      </c>
      <c r="AW789" t="str">
        <f>"19-2N-25-0000-0019-0010 "</f>
        <v xml:space="preserve">19-2N-25-0000-0019-0010 </v>
      </c>
      <c r="AZ789" t="s">
        <v>8312</v>
      </c>
      <c r="BA789" t="s">
        <v>496</v>
      </c>
      <c r="BD789" t="s">
        <v>2785</v>
      </c>
      <c r="BE789" t="s">
        <v>393</v>
      </c>
      <c r="BF789">
        <v>32011</v>
      </c>
      <c r="BG789" t="s">
        <v>8313</v>
      </c>
      <c r="BH789" t="s">
        <v>2787</v>
      </c>
      <c r="BI789">
        <v>-81.837888361651807</v>
      </c>
      <c r="BJ789">
        <v>30.576239289716501</v>
      </c>
      <c r="BK789" t="s">
        <v>8314</v>
      </c>
      <c r="BM789" t="s">
        <v>8315</v>
      </c>
      <c r="BN789" t="s">
        <v>403</v>
      </c>
      <c r="BO789">
        <v>32046</v>
      </c>
      <c r="BP789" t="s">
        <v>404</v>
      </c>
      <c r="BQ789">
        <v>100</v>
      </c>
      <c r="BR789" t="s">
        <v>514</v>
      </c>
      <c r="BS789">
        <v>1001</v>
      </c>
      <c r="BT789" t="s">
        <v>515</v>
      </c>
      <c r="BW789">
        <v>18525</v>
      </c>
      <c r="BX789" t="s">
        <v>407</v>
      </c>
      <c r="BY789" t="s">
        <v>408</v>
      </c>
      <c r="BZ789">
        <v>4</v>
      </c>
      <c r="CA789">
        <v>1962</v>
      </c>
      <c r="CB789">
        <v>1</v>
      </c>
      <c r="CC789">
        <v>1</v>
      </c>
      <c r="CD789">
        <v>2017</v>
      </c>
      <c r="CE789">
        <v>15000</v>
      </c>
      <c r="CF789">
        <v>12912</v>
      </c>
      <c r="CG789">
        <v>27912</v>
      </c>
      <c r="CH789">
        <v>2017</v>
      </c>
      <c r="CI789">
        <v>15000</v>
      </c>
      <c r="CJ789">
        <v>12912</v>
      </c>
      <c r="CK789">
        <v>27912</v>
      </c>
      <c r="CL789">
        <v>2017</v>
      </c>
      <c r="CM789">
        <v>418.83</v>
      </c>
      <c r="DD789" t="s">
        <v>2785</v>
      </c>
      <c r="DG789">
        <v>19</v>
      </c>
      <c r="DL789">
        <v>50503</v>
      </c>
      <c r="DM789" t="s">
        <v>8259</v>
      </c>
      <c r="DO789" t="s">
        <v>8316</v>
      </c>
      <c r="DP789">
        <v>0</v>
      </c>
      <c r="DQ789">
        <v>0</v>
      </c>
      <c r="DR789" t="s">
        <v>411</v>
      </c>
      <c r="DS789" t="b">
        <v>1</v>
      </c>
      <c r="DT789" t="s">
        <v>396</v>
      </c>
      <c r="DV789" t="s">
        <v>446</v>
      </c>
      <c r="DX789">
        <v>-9999</v>
      </c>
      <c r="DZ789" t="s">
        <v>447</v>
      </c>
      <c r="EA789" t="s">
        <v>448</v>
      </c>
      <c r="EB789" t="s">
        <v>8317</v>
      </c>
      <c r="EC789">
        <v>20101217</v>
      </c>
      <c r="ED789" t="s">
        <v>450</v>
      </c>
      <c r="EE789">
        <v>15.9</v>
      </c>
      <c r="EF789">
        <v>0</v>
      </c>
      <c r="EG789">
        <v>0</v>
      </c>
      <c r="EI789">
        <v>20160407</v>
      </c>
      <c r="EJ789">
        <v>0</v>
      </c>
      <c r="EK789">
        <v>0</v>
      </c>
      <c r="EP789" t="s">
        <v>421</v>
      </c>
      <c r="EQ789" t="s">
        <v>422</v>
      </c>
      <c r="ER789">
        <v>14</v>
      </c>
      <c r="ES789">
        <v>0</v>
      </c>
      <c r="ET789">
        <v>6234.56</v>
      </c>
      <c r="EU789">
        <v>2115.89</v>
      </c>
      <c r="EV789">
        <v>8350.4500000000007</v>
      </c>
      <c r="EW789" s="2">
        <v>43222</v>
      </c>
      <c r="EX789" s="1">
        <v>42879</v>
      </c>
      <c r="EY789">
        <v>2016</v>
      </c>
      <c r="EZ789">
        <v>441.69</v>
      </c>
      <c r="FA789" t="s">
        <v>8318</v>
      </c>
      <c r="FB789">
        <v>5</v>
      </c>
      <c r="FC789" t="s">
        <v>424</v>
      </c>
      <c r="FD789" t="s">
        <v>454</v>
      </c>
      <c r="FF789">
        <v>12</v>
      </c>
      <c r="FG789">
        <v>10125</v>
      </c>
      <c r="FH789" t="s">
        <v>440</v>
      </c>
      <c r="FJ789" s="1">
        <v>42515</v>
      </c>
      <c r="FK789">
        <v>2015</v>
      </c>
      <c r="FL789">
        <v>479.68</v>
      </c>
      <c r="FM789" t="s">
        <v>8319</v>
      </c>
      <c r="FN789">
        <v>18</v>
      </c>
      <c r="FO789" t="s">
        <v>424</v>
      </c>
      <c r="FP789" t="s">
        <v>454</v>
      </c>
      <c r="FR789">
        <v>24</v>
      </c>
      <c r="FS789">
        <v>10003</v>
      </c>
      <c r="FT789" t="s">
        <v>4341</v>
      </c>
      <c r="FV789" s="1">
        <v>42151</v>
      </c>
      <c r="FW789">
        <v>2014</v>
      </c>
      <c r="FX789">
        <v>439.15</v>
      </c>
      <c r="FY789" t="s">
        <v>8320</v>
      </c>
      <c r="FZ789">
        <v>5</v>
      </c>
      <c r="GA789" t="s">
        <v>424</v>
      </c>
      <c r="GB789" t="s">
        <v>454</v>
      </c>
      <c r="GD789">
        <v>36</v>
      </c>
      <c r="GE789">
        <v>6516843</v>
      </c>
      <c r="GF789" t="s">
        <v>601</v>
      </c>
      <c r="GH789" s="1">
        <v>41787</v>
      </c>
      <c r="GI789">
        <v>2013</v>
      </c>
      <c r="GJ789">
        <v>369.22</v>
      </c>
      <c r="GK789" t="s">
        <v>8321</v>
      </c>
      <c r="GL789">
        <v>6.75</v>
      </c>
      <c r="GM789" t="s">
        <v>424</v>
      </c>
      <c r="GN789" t="s">
        <v>454</v>
      </c>
      <c r="GP789">
        <v>48</v>
      </c>
      <c r="GQ789">
        <v>2035919</v>
      </c>
      <c r="GR789" t="s">
        <v>507</v>
      </c>
      <c r="GT789" s="1">
        <v>41787</v>
      </c>
      <c r="GU789">
        <v>2013</v>
      </c>
      <c r="GV789">
        <v>369.22</v>
      </c>
      <c r="GW789" t="s">
        <v>8321</v>
      </c>
      <c r="GX789">
        <v>6.75</v>
      </c>
      <c r="GY789" t="s">
        <v>424</v>
      </c>
      <c r="GZ789" t="s">
        <v>454</v>
      </c>
      <c r="HB789">
        <v>48</v>
      </c>
      <c r="HC789">
        <v>7336670</v>
      </c>
      <c r="HD789" t="s">
        <v>2102</v>
      </c>
      <c r="HF789" s="1">
        <v>41423</v>
      </c>
      <c r="HG789">
        <v>2012</v>
      </c>
      <c r="HH789">
        <v>362.06</v>
      </c>
      <c r="HI789" t="s">
        <v>8322</v>
      </c>
      <c r="HJ789">
        <v>4.75</v>
      </c>
      <c r="HK789" t="s">
        <v>424</v>
      </c>
      <c r="HL789" t="s">
        <v>454</v>
      </c>
      <c r="HN789">
        <v>60</v>
      </c>
      <c r="HO789">
        <v>1127</v>
      </c>
      <c r="HP789" t="s">
        <v>1379</v>
      </c>
      <c r="HR789" s="1">
        <v>41423</v>
      </c>
      <c r="HS789">
        <v>2012</v>
      </c>
      <c r="HT789">
        <v>362.06</v>
      </c>
      <c r="HU789" t="s">
        <v>8322</v>
      </c>
      <c r="HV789">
        <v>4.75</v>
      </c>
      <c r="HW789" t="s">
        <v>424</v>
      </c>
      <c r="HX789" t="s">
        <v>454</v>
      </c>
      <c r="HZ789">
        <v>60</v>
      </c>
      <c r="IA789">
        <v>2035919</v>
      </c>
      <c r="IB789" t="s">
        <v>507</v>
      </c>
      <c r="ID789" s="1">
        <v>41423</v>
      </c>
      <c r="IE789">
        <v>2012</v>
      </c>
      <c r="IF789">
        <v>362.06</v>
      </c>
      <c r="IG789" t="s">
        <v>8322</v>
      </c>
      <c r="IH789">
        <v>4.75</v>
      </c>
      <c r="II789" t="s">
        <v>424</v>
      </c>
      <c r="IJ789" t="s">
        <v>454</v>
      </c>
      <c r="IL789">
        <v>60</v>
      </c>
      <c r="IM789">
        <v>7336670</v>
      </c>
      <c r="IN789" t="s">
        <v>2102</v>
      </c>
      <c r="IP789" s="1">
        <v>41052</v>
      </c>
      <c r="IQ789">
        <v>2011</v>
      </c>
      <c r="IR789">
        <v>497.32</v>
      </c>
      <c r="IS789" t="s">
        <v>8323</v>
      </c>
      <c r="IT789">
        <v>5</v>
      </c>
      <c r="IU789" t="s">
        <v>424</v>
      </c>
      <c r="IV789" t="s">
        <v>454</v>
      </c>
      <c r="IX789">
        <v>72</v>
      </c>
      <c r="IY789">
        <v>10125</v>
      </c>
      <c r="IZ789" t="s">
        <v>440</v>
      </c>
      <c r="JB789" s="1">
        <v>40688</v>
      </c>
      <c r="JC789">
        <v>2010</v>
      </c>
      <c r="JD789">
        <v>510.42</v>
      </c>
      <c r="JE789" t="s">
        <v>8324</v>
      </c>
      <c r="JF789">
        <v>6.5</v>
      </c>
      <c r="JG789" t="s">
        <v>424</v>
      </c>
      <c r="JH789" t="s">
        <v>454</v>
      </c>
      <c r="JJ789">
        <v>84</v>
      </c>
      <c r="JK789">
        <v>15175</v>
      </c>
      <c r="JL789" t="s">
        <v>588</v>
      </c>
      <c r="JN789" s="1">
        <v>40688</v>
      </c>
      <c r="JO789">
        <v>2010</v>
      </c>
      <c r="JP789">
        <v>510.42</v>
      </c>
      <c r="JQ789" t="s">
        <v>8324</v>
      </c>
      <c r="JR789">
        <v>6.5</v>
      </c>
      <c r="JS789" t="s">
        <v>424</v>
      </c>
      <c r="JT789" t="s">
        <v>454</v>
      </c>
      <c r="JV789">
        <v>84</v>
      </c>
      <c r="JW789">
        <v>10579</v>
      </c>
      <c r="JX789" t="s">
        <v>488</v>
      </c>
      <c r="JZ789" s="1">
        <v>40688</v>
      </c>
      <c r="KA789">
        <v>2010</v>
      </c>
      <c r="KB789">
        <v>510.42</v>
      </c>
      <c r="KC789" t="s">
        <v>8324</v>
      </c>
      <c r="KD789">
        <v>6.5</v>
      </c>
      <c r="KE789" t="s">
        <v>424</v>
      </c>
      <c r="KF789" t="s">
        <v>454</v>
      </c>
      <c r="KH789">
        <v>84</v>
      </c>
      <c r="KI789">
        <v>10198</v>
      </c>
      <c r="KJ789" t="s">
        <v>5883</v>
      </c>
      <c r="KL789" s="1">
        <v>40688</v>
      </c>
      <c r="KM789">
        <v>2010</v>
      </c>
      <c r="KN789">
        <v>510.42</v>
      </c>
      <c r="KO789" t="s">
        <v>8324</v>
      </c>
      <c r="KP789">
        <v>6.5</v>
      </c>
      <c r="KQ789" t="s">
        <v>424</v>
      </c>
      <c r="KR789" t="s">
        <v>454</v>
      </c>
      <c r="KT789">
        <v>84</v>
      </c>
      <c r="KU789">
        <v>11325</v>
      </c>
      <c r="KV789" t="s">
        <v>2402</v>
      </c>
      <c r="KX789" s="1">
        <v>40688</v>
      </c>
      <c r="KY789">
        <v>2010</v>
      </c>
      <c r="KZ789">
        <v>510.42</v>
      </c>
      <c r="LA789" t="s">
        <v>8324</v>
      </c>
      <c r="LB789">
        <v>6.5</v>
      </c>
      <c r="LC789" t="s">
        <v>424</v>
      </c>
      <c r="LD789" t="s">
        <v>454</v>
      </c>
      <c r="LF789">
        <v>84</v>
      </c>
      <c r="LG789">
        <v>7336670</v>
      </c>
      <c r="LH789" t="s">
        <v>2102</v>
      </c>
    </row>
    <row r="790" spans="1:320" x14ac:dyDescent="0.25">
      <c r="A790">
        <v>16485797</v>
      </c>
      <c r="B790">
        <v>789</v>
      </c>
      <c r="C790" t="s">
        <v>393</v>
      </c>
      <c r="D790" t="s">
        <v>394</v>
      </c>
      <c r="F790" t="str">
        <f>"19-2N-25-0000-0026-0020"</f>
        <v>19-2N-25-0000-0026-0020</v>
      </c>
      <c r="H790" t="str">
        <f>"BLUME IDEE EST"</f>
        <v>BLUME IDEE EST</v>
      </c>
      <c r="I790" t="str">
        <f>"PO BOX 781"</f>
        <v>PO BOX 781</v>
      </c>
      <c r="J790" t="str">
        <f>"CALLAHAN FL 32011"</f>
        <v>CALLAHAN FL 32011</v>
      </c>
      <c r="K790" t="str">
        <f>"45273 BLUME DR"</f>
        <v>45273 BLUME DR</v>
      </c>
      <c r="L790" t="str">
        <f t="shared" si="250"/>
        <v>CALLAHAN FL 32011</v>
      </c>
      <c r="M790" t="str">
        <f>"IN OR 95 PG 387 EX R/W OR 326 PG 298 ESMT PT OR 1861/825"</f>
        <v>IN OR 95 PG 387 EX R/W OR 326 PG 298 ESMT PT OR 1861/825</v>
      </c>
      <c r="N790" t="str">
        <f>""</f>
        <v/>
      </c>
      <c r="O790" t="str">
        <f>"32703"</f>
        <v>32703</v>
      </c>
      <c r="P790" t="str">
        <f t="shared" si="243"/>
        <v>2017</v>
      </c>
      <c r="Q790" t="str">
        <f>""</f>
        <v/>
      </c>
      <c r="R790" t="str">
        <f t="shared" si="247"/>
        <v>N</v>
      </c>
      <c r="S790" t="str">
        <f>"25.00"</f>
        <v>25.00</v>
      </c>
      <c r="T790" t="str">
        <f>"1284.97"</f>
        <v>1284.97</v>
      </c>
      <c r="U790" t="str">
        <f>"84879.00"</f>
        <v>84879.00</v>
      </c>
      <c r="V790" t="str">
        <f>"84879.00"</f>
        <v>84879.00</v>
      </c>
      <c r="W790" t="str">
        <f t="shared" si="244"/>
        <v>2017</v>
      </c>
      <c r="X790" t="str">
        <f>"8.29"</f>
        <v>8.29</v>
      </c>
      <c r="Y790" t="str">
        <f>"1355.52"</f>
        <v>1355.52</v>
      </c>
      <c r="Z790" t="str">
        <f>""</f>
        <v/>
      </c>
      <c r="AA790" t="str">
        <f>"84879.00"</f>
        <v>84879.00</v>
      </c>
      <c r="AB790" t="str">
        <f>"Agricultural"</f>
        <v>Agricultural</v>
      </c>
      <c r="AC790" t="str">
        <f t="shared" si="230"/>
        <v>0</v>
      </c>
      <c r="AD790" t="str">
        <f t="shared" si="251"/>
        <v>4</v>
      </c>
      <c r="AE790" t="str">
        <f t="shared" si="252"/>
        <v>WOOD (INCLUDE STEEL STUDS)</v>
      </c>
      <c r="AF790" t="str">
        <f>"050"</f>
        <v>050</v>
      </c>
      <c r="AG790" t="str">
        <f t="shared" si="245"/>
        <v>FL</v>
      </c>
      <c r="AH790" t="str">
        <f>"1089000.00"</f>
        <v>1089000.00</v>
      </c>
      <c r="AI790" t="str">
        <f>"23440.00"</f>
        <v>23440.00</v>
      </c>
      <c r="AJ790" t="str">
        <f>"C55-000-587-2182-0"</f>
        <v>C55-000-587-2182-0</v>
      </c>
      <c r="AK790" t="str">
        <f>"12611"</f>
        <v>12611</v>
      </c>
      <c r="AL790">
        <v>3</v>
      </c>
      <c r="AM790">
        <v>918</v>
      </c>
      <c r="AN790">
        <v>1421.7</v>
      </c>
      <c r="AQ790" t="s">
        <v>8325</v>
      </c>
      <c r="AR790" t="s">
        <v>8325</v>
      </c>
      <c r="AS790" t="s">
        <v>8325</v>
      </c>
      <c r="AU790" t="s">
        <v>396</v>
      </c>
      <c r="AV790">
        <v>2017</v>
      </c>
      <c r="AW790" t="str">
        <f>"19-2N-25-0000-0026-0020 "</f>
        <v xml:space="preserve">19-2N-25-0000-0026-0020 </v>
      </c>
      <c r="AX790">
        <v>45273</v>
      </c>
      <c r="AZ790" t="s">
        <v>8326</v>
      </c>
      <c r="BA790" t="s">
        <v>669</v>
      </c>
      <c r="BD790" t="s">
        <v>2785</v>
      </c>
      <c r="BE790" t="s">
        <v>393</v>
      </c>
      <c r="BF790">
        <v>32011</v>
      </c>
      <c r="BG790" t="s">
        <v>8327</v>
      </c>
      <c r="BH790" t="s">
        <v>2787</v>
      </c>
      <c r="BI790">
        <v>-81.846787692127904</v>
      </c>
      <c r="BJ790">
        <v>30.580924652272699</v>
      </c>
      <c r="BK790" t="s">
        <v>8328</v>
      </c>
      <c r="BM790" t="s">
        <v>8329</v>
      </c>
      <c r="BN790" t="s">
        <v>928</v>
      </c>
      <c r="BO790">
        <v>32011</v>
      </c>
      <c r="BP790" t="s">
        <v>404</v>
      </c>
      <c r="BQ790">
        <v>5000</v>
      </c>
      <c r="BR790" t="s">
        <v>664</v>
      </c>
      <c r="BS790">
        <v>7000</v>
      </c>
      <c r="BT790" t="s">
        <v>665</v>
      </c>
      <c r="BW790">
        <v>1089000</v>
      </c>
      <c r="BX790" t="s">
        <v>407</v>
      </c>
      <c r="BY790" t="s">
        <v>408</v>
      </c>
      <c r="BZ790">
        <v>4</v>
      </c>
      <c r="CA790">
        <v>1979</v>
      </c>
      <c r="CB790">
        <v>1</v>
      </c>
      <c r="CC790">
        <v>1</v>
      </c>
      <c r="CD790">
        <v>2017</v>
      </c>
      <c r="CG790">
        <v>84879</v>
      </c>
      <c r="CH790">
        <v>2017</v>
      </c>
      <c r="CI790">
        <v>23440</v>
      </c>
      <c r="CJ790">
        <v>165499</v>
      </c>
      <c r="CK790">
        <v>188939</v>
      </c>
      <c r="CL790">
        <v>2017</v>
      </c>
      <c r="CM790">
        <v>1284.97</v>
      </c>
      <c r="DD790" t="s">
        <v>2785</v>
      </c>
      <c r="DG790">
        <v>19</v>
      </c>
      <c r="DL790">
        <v>50503</v>
      </c>
      <c r="DM790" t="s">
        <v>8259</v>
      </c>
      <c r="DO790" t="s">
        <v>8330</v>
      </c>
      <c r="DP790">
        <v>0</v>
      </c>
      <c r="DQ790">
        <v>0</v>
      </c>
      <c r="DR790" t="s">
        <v>411</v>
      </c>
      <c r="DS790" t="b">
        <v>1</v>
      </c>
      <c r="DT790" t="s">
        <v>396</v>
      </c>
      <c r="DV790" t="s">
        <v>446</v>
      </c>
      <c r="DX790">
        <v>-9999</v>
      </c>
      <c r="DZ790" t="s">
        <v>447</v>
      </c>
      <c r="EA790" t="s">
        <v>448</v>
      </c>
      <c r="EB790" t="s">
        <v>449</v>
      </c>
      <c r="EC790">
        <v>20101217</v>
      </c>
      <c r="ED790" t="s">
        <v>450</v>
      </c>
      <c r="EE790">
        <v>16.8</v>
      </c>
      <c r="EF790">
        <v>0</v>
      </c>
      <c r="EG790">
        <v>0</v>
      </c>
      <c r="EI790">
        <v>20160407</v>
      </c>
      <c r="EJ790">
        <v>0</v>
      </c>
      <c r="EK790">
        <v>0</v>
      </c>
      <c r="EP790" t="s">
        <v>421</v>
      </c>
      <c r="EQ790" t="s">
        <v>422</v>
      </c>
      <c r="ER790">
        <v>0</v>
      </c>
      <c r="ES790">
        <v>9</v>
      </c>
      <c r="ET790">
        <v>0</v>
      </c>
      <c r="EU790">
        <v>0</v>
      </c>
      <c r="EV790">
        <v>0</v>
      </c>
      <c r="EW790" s="2">
        <v>43222</v>
      </c>
      <c r="EX790" s="1">
        <v>42879</v>
      </c>
      <c r="EY790">
        <v>2016</v>
      </c>
      <c r="EZ790">
        <v>1381.89</v>
      </c>
      <c r="FA790" t="s">
        <v>8331</v>
      </c>
      <c r="FB790">
        <v>0.25</v>
      </c>
      <c r="FC790" t="s">
        <v>424</v>
      </c>
      <c r="FD790" t="s">
        <v>425</v>
      </c>
      <c r="FE790" s="1">
        <v>43220</v>
      </c>
      <c r="FF790">
        <v>11</v>
      </c>
      <c r="FG790">
        <v>7336671</v>
      </c>
      <c r="FH790" t="s">
        <v>437</v>
      </c>
      <c r="FJ790" s="1">
        <v>42879</v>
      </c>
      <c r="FK790">
        <v>2016</v>
      </c>
      <c r="FL790">
        <v>1381.89</v>
      </c>
      <c r="FM790" t="s">
        <v>8331</v>
      </c>
      <c r="FN790">
        <v>0.25</v>
      </c>
      <c r="FO790" t="s">
        <v>424</v>
      </c>
      <c r="FP790" t="s">
        <v>425</v>
      </c>
      <c r="FR790">
        <v>22</v>
      </c>
      <c r="FS790">
        <v>6844897</v>
      </c>
      <c r="FT790" t="s">
        <v>8332</v>
      </c>
      <c r="FV790" s="1">
        <v>42515</v>
      </c>
      <c r="FW790">
        <v>2015</v>
      </c>
      <c r="FX790">
        <v>1408.64</v>
      </c>
      <c r="FY790" t="s">
        <v>8333</v>
      </c>
      <c r="FZ790">
        <v>0.25</v>
      </c>
      <c r="GA790" t="s">
        <v>424</v>
      </c>
      <c r="GB790" t="s">
        <v>425</v>
      </c>
      <c r="GC790" s="1">
        <v>42828</v>
      </c>
      <c r="GD790">
        <v>11</v>
      </c>
      <c r="GE790">
        <v>7045074</v>
      </c>
      <c r="GF790" t="s">
        <v>580</v>
      </c>
      <c r="GH790" s="1">
        <v>42515</v>
      </c>
      <c r="GI790">
        <v>2015</v>
      </c>
      <c r="GJ790">
        <v>1408.64</v>
      </c>
      <c r="GK790" t="s">
        <v>8333</v>
      </c>
      <c r="GL790">
        <v>0.25</v>
      </c>
      <c r="GM790" t="s">
        <v>424</v>
      </c>
      <c r="GN790" t="s">
        <v>425</v>
      </c>
      <c r="GP790">
        <v>22</v>
      </c>
      <c r="GQ790">
        <v>6279049</v>
      </c>
      <c r="GR790" t="s">
        <v>8334</v>
      </c>
      <c r="GT790" s="1">
        <v>42151</v>
      </c>
      <c r="GU790">
        <v>2014</v>
      </c>
      <c r="GV790">
        <v>1305.05</v>
      </c>
      <c r="GW790" t="s">
        <v>8335</v>
      </c>
      <c r="GX790">
        <v>0.25</v>
      </c>
      <c r="GY790" t="s">
        <v>424</v>
      </c>
      <c r="GZ790" t="s">
        <v>425</v>
      </c>
      <c r="HA790" s="1">
        <v>42513</v>
      </c>
      <c r="HB790">
        <v>12</v>
      </c>
      <c r="HC790">
        <v>2101382</v>
      </c>
      <c r="HD790" t="s">
        <v>993</v>
      </c>
      <c r="HF790" s="1">
        <v>42151</v>
      </c>
      <c r="HG790">
        <v>2014</v>
      </c>
      <c r="HH790">
        <v>1305.05</v>
      </c>
      <c r="HI790" t="s">
        <v>8335</v>
      </c>
      <c r="HJ790">
        <v>0.25</v>
      </c>
      <c r="HK790" t="s">
        <v>424</v>
      </c>
      <c r="HL790" t="s">
        <v>425</v>
      </c>
      <c r="HN790">
        <v>22</v>
      </c>
      <c r="HO790">
        <v>5618945</v>
      </c>
      <c r="HP790" t="s">
        <v>8336</v>
      </c>
      <c r="HR790" s="1">
        <v>41787</v>
      </c>
      <c r="HS790">
        <v>2013</v>
      </c>
      <c r="HT790">
        <v>1147.17</v>
      </c>
      <c r="HU790" t="s">
        <v>8337</v>
      </c>
      <c r="HV790">
        <v>0.25</v>
      </c>
      <c r="HW790" t="s">
        <v>424</v>
      </c>
      <c r="HX790" t="s">
        <v>425</v>
      </c>
      <c r="HY790" s="1">
        <v>42128</v>
      </c>
      <c r="HZ790">
        <v>12</v>
      </c>
      <c r="IA790">
        <v>2101382</v>
      </c>
      <c r="IB790" t="s">
        <v>993</v>
      </c>
      <c r="ID790" s="1">
        <v>41423</v>
      </c>
      <c r="IE790">
        <v>2012</v>
      </c>
      <c r="IF790">
        <v>1233.1300000000001</v>
      </c>
      <c r="IG790" t="s">
        <v>8338</v>
      </c>
      <c r="IH790">
        <v>0.25</v>
      </c>
      <c r="II790" t="s">
        <v>424</v>
      </c>
      <c r="IJ790" t="s">
        <v>425</v>
      </c>
      <c r="IK790" s="1">
        <v>41583</v>
      </c>
      <c r="IL790">
        <v>6</v>
      </c>
      <c r="IM790">
        <v>2101385</v>
      </c>
      <c r="IN790" t="s">
        <v>810</v>
      </c>
      <c r="IP790" s="1">
        <v>40688</v>
      </c>
      <c r="IQ790">
        <v>2010</v>
      </c>
      <c r="IR790">
        <v>587.17999999999995</v>
      </c>
      <c r="IS790" t="s">
        <v>8339</v>
      </c>
      <c r="IT790">
        <v>6</v>
      </c>
      <c r="IU790" t="s">
        <v>424</v>
      </c>
      <c r="IV790" t="s">
        <v>425</v>
      </c>
      <c r="IW790" s="1">
        <v>40787</v>
      </c>
      <c r="IX790">
        <v>4</v>
      </c>
      <c r="IY790">
        <v>11287</v>
      </c>
      <c r="IZ790" t="s">
        <v>511</v>
      </c>
    </row>
    <row r="791" spans="1:320" x14ac:dyDescent="0.25">
      <c r="A791">
        <v>16485798</v>
      </c>
      <c r="B791">
        <v>790</v>
      </c>
      <c r="C791" t="s">
        <v>393</v>
      </c>
      <c r="D791" t="s">
        <v>394</v>
      </c>
      <c r="F791" t="str">
        <f>"19-2N-25-0000-0028-0010"</f>
        <v>19-2N-25-0000-0028-0010</v>
      </c>
      <c r="H791" t="str">
        <f>"DUTTON DONALD D"</f>
        <v>DUTTON DONALD D</v>
      </c>
      <c r="I791" t="str">
        <f>"35808 QUAIL ROAD"</f>
        <v>35808 QUAIL ROAD</v>
      </c>
      <c r="J791" t="str">
        <f>"CALLAHAN FL 32011"</f>
        <v>CALLAHAN FL 32011</v>
      </c>
      <c r="K791" t="str">
        <f>"35808 QUAIL RD"</f>
        <v>35808 QUAIL RD</v>
      </c>
      <c r="L791" t="str">
        <f t="shared" si="250"/>
        <v>CALLAHAN FL 32011</v>
      </c>
      <c r="M791" t="str">
        <f>"PT OF SW1/4 OF NW1/4 R407833 L/E PT OR 754/726 EX R/W OR 247/154 EX 28-8 28-9 &amp; 28-10"</f>
        <v>PT OF SW1/4 OF NW1/4 R407833 L/E PT OR 754/726 EX R/W OR 247/154 EX 28-8 28-9 &amp; 28-10</v>
      </c>
      <c r="N791" t="str">
        <f>""</f>
        <v/>
      </c>
      <c r="O791" t="str">
        <f>"32709"</f>
        <v>32709</v>
      </c>
      <c r="P791" t="str">
        <f t="shared" si="243"/>
        <v>2017</v>
      </c>
      <c r="Q791" t="str">
        <f>""</f>
        <v/>
      </c>
      <c r="R791" t="str">
        <f t="shared" si="247"/>
        <v>N</v>
      </c>
      <c r="S791" t="str">
        <f>"10.72"</f>
        <v>10.72</v>
      </c>
      <c r="T791" t="str">
        <f>"1097.77"</f>
        <v>1097.77</v>
      </c>
      <c r="U791" t="str">
        <f>"72514.00"</f>
        <v>72514.00</v>
      </c>
      <c r="V791" t="str">
        <f>"72514.00"</f>
        <v>72514.00</v>
      </c>
      <c r="W791" t="str">
        <f t="shared" si="244"/>
        <v>2017</v>
      </c>
      <c r="X791" t="str">
        <f>""</f>
        <v/>
      </c>
      <c r="Y791" t="str">
        <f>"1162.70"</f>
        <v>1162.70</v>
      </c>
      <c r="Z791" t="str">
        <f>""</f>
        <v/>
      </c>
      <c r="AA791" t="str">
        <f>"72514.00"</f>
        <v>72514.00</v>
      </c>
      <c r="AB791" t="str">
        <f t="shared" ref="AB791:AB811" si="253">"Residential"</f>
        <v>Residential</v>
      </c>
      <c r="AC791" t="str">
        <f t="shared" si="230"/>
        <v>0</v>
      </c>
      <c r="AD791" t="str">
        <f t="shared" si="251"/>
        <v>4</v>
      </c>
      <c r="AE791" t="str">
        <f t="shared" si="252"/>
        <v>WOOD (INCLUDE STEEL STUDS)</v>
      </c>
      <c r="AF791" t="str">
        <f>"002"</f>
        <v>002</v>
      </c>
      <c r="AG791" t="str">
        <f t="shared" si="245"/>
        <v>FL</v>
      </c>
      <c r="AH791" t="str">
        <f>"466963.00"</f>
        <v>466963.00</v>
      </c>
      <c r="AI791" t="str">
        <f>"64320.00"</f>
        <v>64320.00</v>
      </c>
      <c r="AJ791" t="str">
        <f>"C55-000-587-2188-7"</f>
        <v>C55-000-587-2188-7</v>
      </c>
      <c r="AK791" t="str">
        <f>"12618"</f>
        <v>12618</v>
      </c>
      <c r="AL791">
        <v>3</v>
      </c>
      <c r="AM791">
        <v>919</v>
      </c>
      <c r="AN791">
        <v>1219.24</v>
      </c>
      <c r="AQ791" t="s">
        <v>8340</v>
      </c>
      <c r="AR791" t="s">
        <v>8340</v>
      </c>
      <c r="AS791" t="s">
        <v>8340</v>
      </c>
      <c r="AU791" t="s">
        <v>396</v>
      </c>
      <c r="AV791">
        <v>2017</v>
      </c>
      <c r="AW791" t="str">
        <f>"19-2N-25-0000-0028-0010 "</f>
        <v xml:space="preserve">19-2N-25-0000-0028-0010 </v>
      </c>
      <c r="AX791">
        <v>35808</v>
      </c>
      <c r="AZ791" t="s">
        <v>3860</v>
      </c>
      <c r="BA791" t="s">
        <v>496</v>
      </c>
      <c r="BD791" t="s">
        <v>2785</v>
      </c>
      <c r="BE791" t="s">
        <v>393</v>
      </c>
      <c r="BF791">
        <v>32011</v>
      </c>
      <c r="BG791" t="s">
        <v>8341</v>
      </c>
      <c r="BH791" t="s">
        <v>2787</v>
      </c>
      <c r="BI791">
        <v>-81.847962702753904</v>
      </c>
      <c r="BJ791">
        <v>30.576796101461198</v>
      </c>
      <c r="BK791" t="s">
        <v>8342</v>
      </c>
      <c r="BM791" t="s">
        <v>8341</v>
      </c>
      <c r="BN791" t="s">
        <v>928</v>
      </c>
      <c r="BO791">
        <v>32011</v>
      </c>
      <c r="BP791" t="s">
        <v>416</v>
      </c>
      <c r="BQ791">
        <v>200</v>
      </c>
      <c r="BR791" t="s">
        <v>405</v>
      </c>
      <c r="BS791">
        <v>1006</v>
      </c>
      <c r="BT791" t="s">
        <v>406</v>
      </c>
      <c r="BW791">
        <v>466963</v>
      </c>
      <c r="BX791" t="s">
        <v>407</v>
      </c>
      <c r="BY791" t="s">
        <v>408</v>
      </c>
      <c r="BZ791">
        <v>4</v>
      </c>
      <c r="CA791">
        <v>1970</v>
      </c>
      <c r="CB791">
        <v>1</v>
      </c>
      <c r="CC791">
        <v>1</v>
      </c>
      <c r="CD791">
        <v>2017</v>
      </c>
      <c r="CE791">
        <v>64320</v>
      </c>
      <c r="CF791">
        <v>8194</v>
      </c>
      <c r="CG791">
        <v>72514</v>
      </c>
      <c r="CH791">
        <v>2017</v>
      </c>
      <c r="CI791">
        <v>64320</v>
      </c>
      <c r="CJ791">
        <v>8194</v>
      </c>
      <c r="CK791">
        <v>72514</v>
      </c>
      <c r="CL791">
        <v>2017</v>
      </c>
      <c r="CM791">
        <v>1097.77</v>
      </c>
      <c r="CN791" s="1">
        <v>35143</v>
      </c>
      <c r="CZ791" s="1">
        <v>35143</v>
      </c>
      <c r="DD791" t="s">
        <v>2785</v>
      </c>
      <c r="DG791">
        <v>19</v>
      </c>
      <c r="DL791">
        <v>50503</v>
      </c>
      <c r="DM791" t="s">
        <v>8259</v>
      </c>
      <c r="DO791" t="s">
        <v>8343</v>
      </c>
      <c r="DP791">
        <v>0</v>
      </c>
      <c r="DQ791">
        <v>0</v>
      </c>
      <c r="DR791" t="s">
        <v>411</v>
      </c>
      <c r="EP791" t="s">
        <v>421</v>
      </c>
      <c r="EQ791" t="s">
        <v>422</v>
      </c>
      <c r="ER791">
        <v>2</v>
      </c>
      <c r="ES791">
        <v>0</v>
      </c>
      <c r="ET791">
        <v>2461.7399999999998</v>
      </c>
      <c r="EU791">
        <v>135.59</v>
      </c>
      <c r="EV791">
        <v>2597.33</v>
      </c>
      <c r="EW791" s="2">
        <v>43222</v>
      </c>
      <c r="EX791" s="1">
        <v>42879</v>
      </c>
      <c r="EY791">
        <v>2016</v>
      </c>
      <c r="EZ791">
        <v>1230.8699999999999</v>
      </c>
      <c r="FA791" t="s">
        <v>8344</v>
      </c>
      <c r="FB791">
        <v>0.25</v>
      </c>
      <c r="FC791" t="s">
        <v>424</v>
      </c>
      <c r="FD791" t="s">
        <v>454</v>
      </c>
      <c r="FF791">
        <v>12</v>
      </c>
      <c r="FG791">
        <v>7400234</v>
      </c>
      <c r="FH791" t="s">
        <v>426</v>
      </c>
      <c r="FJ791" s="1">
        <v>42879</v>
      </c>
      <c r="FK791">
        <v>2016</v>
      </c>
      <c r="FL791">
        <v>1230.8699999999999</v>
      </c>
      <c r="FM791" t="s">
        <v>8344</v>
      </c>
      <c r="FN791">
        <v>0.25</v>
      </c>
      <c r="FO791" t="s">
        <v>424</v>
      </c>
      <c r="FP791" t="s">
        <v>454</v>
      </c>
      <c r="FR791">
        <v>12</v>
      </c>
      <c r="FS791">
        <v>7492650</v>
      </c>
      <c r="FT791" t="s">
        <v>8345</v>
      </c>
    </row>
    <row r="792" spans="1:320" x14ac:dyDescent="0.25">
      <c r="A792">
        <v>16485799</v>
      </c>
      <c r="B792">
        <v>791</v>
      </c>
      <c r="C792" t="s">
        <v>393</v>
      </c>
      <c r="D792" t="s">
        <v>394</v>
      </c>
      <c r="F792" t="str">
        <f>"19-2N-25-0000-0033-0020"</f>
        <v>19-2N-25-0000-0033-0020</v>
      </c>
      <c r="H792" t="str">
        <f>"WRIGHT GERALD A &amp; WRIGHT CURTIS M &amp; CAROLYN D &amp; WRIGHT VALERIE K ETAL"</f>
        <v>WRIGHT GERALD A &amp; WRIGHT CURTIS M &amp; CAROLYN D &amp; WRIGHT VALERIE K ETAL</v>
      </c>
      <c r="I792" t="str">
        <f>""</f>
        <v/>
      </c>
      <c r="J792" t="str">
        <f>"CALLAHAN FL 32011"</f>
        <v>CALLAHAN FL 32011</v>
      </c>
      <c r="K792" t="str">
        <f>"45175 WARDLAW CIR"</f>
        <v>45175 WARDLAW CIR</v>
      </c>
      <c r="L792" t="str">
        <f t="shared" si="250"/>
        <v>CALLAHAN FL 32011</v>
      </c>
      <c r="M792" t="str">
        <f>"IN OR 1509/1777 EX FPL R/W OR 281/530 EX ESMT OR 593/63 EX R/W OR 677/232"</f>
        <v>IN OR 1509/1777 EX FPL R/W OR 281/530 EX ESMT OR 593/63 EX R/W OR 677/232</v>
      </c>
      <c r="N792" t="str">
        <f>""</f>
        <v/>
      </c>
      <c r="O792" t="str">
        <f>"32727"</f>
        <v>32727</v>
      </c>
      <c r="P792" t="str">
        <f t="shared" si="243"/>
        <v>2017</v>
      </c>
      <c r="Q792" t="str">
        <f>""</f>
        <v/>
      </c>
      <c r="R792" t="str">
        <f>"Y"</f>
        <v>Y</v>
      </c>
      <c r="S792" t="str">
        <f>"3.00"</f>
        <v>3.00</v>
      </c>
      <c r="T792" t="str">
        <f>"629.73"</f>
        <v>629.73</v>
      </c>
      <c r="U792" t="str">
        <f>"63026.00"</f>
        <v>63026.00</v>
      </c>
      <c r="V792" t="str">
        <f>"63026.00"</f>
        <v>63026.00</v>
      </c>
      <c r="W792" t="str">
        <f t="shared" si="244"/>
        <v>2017</v>
      </c>
      <c r="X792" t="str">
        <f>"14.25"</f>
        <v>14.25</v>
      </c>
      <c r="Y792" t="str">
        <f>"680.62"</f>
        <v>680.62</v>
      </c>
      <c r="Z792" t="str">
        <f>"21429.00"</f>
        <v>21429.00</v>
      </c>
      <c r="AA792" t="str">
        <f>"41597.00"</f>
        <v>41597.00</v>
      </c>
      <c r="AB792" t="str">
        <f t="shared" si="253"/>
        <v>Residential</v>
      </c>
      <c r="AC792" t="str">
        <f t="shared" ref="AC792:AC855" si="254">"0"</f>
        <v>0</v>
      </c>
      <c r="AD792" t="str">
        <f t="shared" si="251"/>
        <v>4</v>
      </c>
      <c r="AE792" t="str">
        <f t="shared" si="252"/>
        <v>WOOD (INCLUDE STEEL STUDS)</v>
      </c>
      <c r="AF792" t="str">
        <f>"001"</f>
        <v>001</v>
      </c>
      <c r="AG792" t="str">
        <f t="shared" si="245"/>
        <v>FL</v>
      </c>
      <c r="AH792" t="str">
        <f>"130680.00"</f>
        <v>130680.00</v>
      </c>
      <c r="AI792" t="str">
        <f>"24000.00"</f>
        <v>24000.00</v>
      </c>
      <c r="AJ792" t="str">
        <f>"C55-000-587-2206-7"</f>
        <v>C55-000-587-2206-7</v>
      </c>
      <c r="AK792" t="str">
        <f>"12636"</f>
        <v>12636</v>
      </c>
      <c r="AL792">
        <v>3</v>
      </c>
      <c r="AM792">
        <v>920</v>
      </c>
      <c r="AN792">
        <v>713.05</v>
      </c>
      <c r="AQ792" t="s">
        <v>8346</v>
      </c>
      <c r="AR792" t="s">
        <v>8346</v>
      </c>
      <c r="AS792" t="s">
        <v>8346</v>
      </c>
      <c r="AU792" t="s">
        <v>396</v>
      </c>
      <c r="AV792">
        <v>2017</v>
      </c>
      <c r="AW792" t="str">
        <f>"19-2N-25-0000-0033-0020 "</f>
        <v xml:space="preserve">19-2N-25-0000-0033-0020 </v>
      </c>
      <c r="AX792">
        <v>45175</v>
      </c>
      <c r="AZ792" t="s">
        <v>8347</v>
      </c>
      <c r="BA792" t="s">
        <v>1799</v>
      </c>
      <c r="BD792" t="s">
        <v>2785</v>
      </c>
      <c r="BE792" t="s">
        <v>393</v>
      </c>
      <c r="BF792">
        <v>32011</v>
      </c>
      <c r="BG792" t="s">
        <v>8348</v>
      </c>
      <c r="BH792" t="s">
        <v>2787</v>
      </c>
      <c r="BI792">
        <v>-81.844633306250302</v>
      </c>
      <c r="BJ792">
        <v>30.571182302207099</v>
      </c>
      <c r="BK792" t="s">
        <v>8349</v>
      </c>
      <c r="BL792" t="s">
        <v>8350</v>
      </c>
      <c r="BM792" t="s">
        <v>8351</v>
      </c>
      <c r="BN792" t="s">
        <v>928</v>
      </c>
      <c r="BO792">
        <v>32011</v>
      </c>
      <c r="BP792" t="s">
        <v>416</v>
      </c>
      <c r="BQ792">
        <v>100</v>
      </c>
      <c r="BR792" t="s">
        <v>514</v>
      </c>
      <c r="BS792">
        <v>1001</v>
      </c>
      <c r="BT792" t="s">
        <v>515</v>
      </c>
      <c r="BW792">
        <v>130680</v>
      </c>
      <c r="BX792" t="s">
        <v>407</v>
      </c>
      <c r="BY792" t="s">
        <v>408</v>
      </c>
      <c r="BZ792">
        <v>4</v>
      </c>
      <c r="CA792">
        <v>1971</v>
      </c>
      <c r="CB792">
        <v>1</v>
      </c>
      <c r="CC792">
        <v>2</v>
      </c>
      <c r="CD792">
        <v>2017</v>
      </c>
      <c r="CE792">
        <v>24000</v>
      </c>
      <c r="CF792">
        <v>39026</v>
      </c>
      <c r="CG792">
        <v>63026</v>
      </c>
      <c r="CH792">
        <v>2017</v>
      </c>
      <c r="CI792">
        <v>24000</v>
      </c>
      <c r="CJ792">
        <v>39026</v>
      </c>
      <c r="CK792">
        <v>63026</v>
      </c>
      <c r="CL792">
        <v>2017</v>
      </c>
      <c r="CM792">
        <v>629.73</v>
      </c>
      <c r="CN792" s="1">
        <v>39266</v>
      </c>
      <c r="CZ792" s="1">
        <v>39266</v>
      </c>
      <c r="DD792" t="s">
        <v>2785</v>
      </c>
      <c r="DG792">
        <v>19</v>
      </c>
      <c r="DL792">
        <v>50503</v>
      </c>
      <c r="DM792" t="s">
        <v>8259</v>
      </c>
      <c r="DO792" t="s">
        <v>8352</v>
      </c>
      <c r="DP792">
        <v>0</v>
      </c>
      <c r="DQ792">
        <v>0</v>
      </c>
      <c r="DR792" t="s">
        <v>411</v>
      </c>
      <c r="DS792" t="b">
        <v>1</v>
      </c>
      <c r="DT792" t="s">
        <v>470</v>
      </c>
      <c r="DU792" t="s">
        <v>471</v>
      </c>
      <c r="DV792" t="s">
        <v>472</v>
      </c>
      <c r="DX792">
        <v>-9999</v>
      </c>
      <c r="DZ792" t="s">
        <v>447</v>
      </c>
      <c r="EA792" t="s">
        <v>448</v>
      </c>
      <c r="EB792" t="s">
        <v>8353</v>
      </c>
      <c r="EC792">
        <v>20101217</v>
      </c>
      <c r="ED792" t="s">
        <v>474</v>
      </c>
      <c r="EF792">
        <v>20.5</v>
      </c>
      <c r="EG792">
        <v>20.5</v>
      </c>
      <c r="EH792" t="s">
        <v>451</v>
      </c>
      <c r="EI792">
        <v>20140731</v>
      </c>
      <c r="EJ792">
        <v>0</v>
      </c>
      <c r="EK792">
        <v>0</v>
      </c>
      <c r="EP792" t="s">
        <v>421</v>
      </c>
      <c r="EQ792" t="s">
        <v>452</v>
      </c>
      <c r="ER792">
        <v>2</v>
      </c>
      <c r="ES792">
        <v>7</v>
      </c>
      <c r="ET792">
        <v>1426.2</v>
      </c>
      <c r="EU792">
        <v>83.81</v>
      </c>
      <c r="EV792">
        <v>1510.01</v>
      </c>
      <c r="EW792" s="2">
        <v>43222</v>
      </c>
      <c r="EX792" s="1">
        <v>42879</v>
      </c>
      <c r="EY792">
        <v>2016</v>
      </c>
      <c r="EZ792">
        <v>713.1</v>
      </c>
      <c r="FA792" t="s">
        <v>8354</v>
      </c>
      <c r="FB792">
        <v>0.25</v>
      </c>
      <c r="FC792" t="s">
        <v>424</v>
      </c>
      <c r="FD792" t="s">
        <v>454</v>
      </c>
      <c r="FF792">
        <v>12</v>
      </c>
      <c r="FG792">
        <v>2851116</v>
      </c>
      <c r="FH792" t="s">
        <v>480</v>
      </c>
      <c r="FJ792" s="1">
        <v>42879</v>
      </c>
      <c r="FK792">
        <v>2016</v>
      </c>
      <c r="FL792">
        <v>713.1</v>
      </c>
      <c r="FM792" t="s">
        <v>8354</v>
      </c>
      <c r="FN792">
        <v>0.25</v>
      </c>
      <c r="FO792" t="s">
        <v>424</v>
      </c>
      <c r="FP792" t="s">
        <v>454</v>
      </c>
      <c r="FR792">
        <v>12</v>
      </c>
      <c r="FS792">
        <v>4947879</v>
      </c>
      <c r="FT792" t="s">
        <v>8355</v>
      </c>
      <c r="FV792" s="1">
        <v>42151</v>
      </c>
      <c r="FW792">
        <v>2014</v>
      </c>
      <c r="FX792">
        <v>923.2</v>
      </c>
      <c r="FY792" t="s">
        <v>8356</v>
      </c>
      <c r="FZ792">
        <v>0.25</v>
      </c>
      <c r="GA792" t="s">
        <v>424</v>
      </c>
      <c r="GB792" t="s">
        <v>425</v>
      </c>
      <c r="GC792" s="1">
        <v>42486</v>
      </c>
      <c r="GD792">
        <v>11</v>
      </c>
      <c r="GE792">
        <v>2101382</v>
      </c>
      <c r="GF792" t="s">
        <v>993</v>
      </c>
      <c r="GG792" t="s">
        <v>458</v>
      </c>
      <c r="GH792" s="1">
        <v>42151</v>
      </c>
      <c r="GI792">
        <v>2014</v>
      </c>
      <c r="GJ792">
        <v>923.2</v>
      </c>
      <c r="GK792" t="s">
        <v>8356</v>
      </c>
      <c r="GL792">
        <v>0.25</v>
      </c>
      <c r="GM792" t="s">
        <v>424</v>
      </c>
      <c r="GN792" t="s">
        <v>425</v>
      </c>
      <c r="GP792">
        <v>22</v>
      </c>
      <c r="GQ792">
        <v>5564466</v>
      </c>
      <c r="GR792" t="s">
        <v>8357</v>
      </c>
      <c r="GS792" t="s">
        <v>458</v>
      </c>
      <c r="GT792" s="1">
        <v>41787</v>
      </c>
      <c r="GU792">
        <v>2013</v>
      </c>
      <c r="GV792">
        <v>905.73</v>
      </c>
      <c r="GW792" t="s">
        <v>8358</v>
      </c>
      <c r="GX792">
        <v>0.25</v>
      </c>
      <c r="GY792" t="s">
        <v>424</v>
      </c>
      <c r="GZ792" t="s">
        <v>425</v>
      </c>
      <c r="HB792">
        <v>22</v>
      </c>
      <c r="HC792">
        <v>15259</v>
      </c>
      <c r="HD792" t="s">
        <v>891</v>
      </c>
      <c r="HE792" t="s">
        <v>458</v>
      </c>
      <c r="HF792" s="1">
        <v>41787</v>
      </c>
      <c r="HG792">
        <v>2013</v>
      </c>
      <c r="HH792">
        <v>905.73</v>
      </c>
      <c r="HI792" t="s">
        <v>8358</v>
      </c>
      <c r="HJ792">
        <v>0.25</v>
      </c>
      <c r="HK792" t="s">
        <v>424</v>
      </c>
      <c r="HL792" t="s">
        <v>425</v>
      </c>
      <c r="HN792">
        <v>22</v>
      </c>
      <c r="HO792">
        <v>7045049</v>
      </c>
      <c r="HP792" t="s">
        <v>1335</v>
      </c>
      <c r="HQ792" t="s">
        <v>458</v>
      </c>
      <c r="HR792" s="1">
        <v>41052</v>
      </c>
      <c r="HS792">
        <v>2011</v>
      </c>
      <c r="HT792">
        <v>894.54</v>
      </c>
      <c r="HU792" t="s">
        <v>8359</v>
      </c>
      <c r="HV792">
        <v>0.25</v>
      </c>
      <c r="HW792" t="s">
        <v>424</v>
      </c>
      <c r="HX792" t="s">
        <v>425</v>
      </c>
      <c r="HY792" s="1">
        <v>41400</v>
      </c>
      <c r="HZ792">
        <v>12</v>
      </c>
      <c r="IA792">
        <v>13104</v>
      </c>
      <c r="IB792" t="s">
        <v>888</v>
      </c>
      <c r="IC792" t="s">
        <v>458</v>
      </c>
      <c r="ID792" s="1">
        <v>41052</v>
      </c>
      <c r="IE792">
        <v>2011</v>
      </c>
      <c r="IF792">
        <v>894.54</v>
      </c>
      <c r="IG792" t="s">
        <v>8359</v>
      </c>
      <c r="IH792">
        <v>0.25</v>
      </c>
      <c r="II792" t="s">
        <v>424</v>
      </c>
      <c r="IJ792" t="s">
        <v>425</v>
      </c>
      <c r="IL792">
        <v>22</v>
      </c>
      <c r="IM792">
        <v>13653</v>
      </c>
      <c r="IN792" t="s">
        <v>7579</v>
      </c>
      <c r="IO792" t="s">
        <v>458</v>
      </c>
      <c r="IP792" s="1">
        <v>40688</v>
      </c>
      <c r="IQ792">
        <v>2010</v>
      </c>
      <c r="IR792">
        <v>1314.32</v>
      </c>
      <c r="IS792" t="s">
        <v>8360</v>
      </c>
      <c r="IT792">
        <v>3.5</v>
      </c>
      <c r="IU792" t="s">
        <v>424</v>
      </c>
      <c r="IV792" t="s">
        <v>425</v>
      </c>
      <c r="IX792">
        <v>22</v>
      </c>
      <c r="IY792">
        <v>11244</v>
      </c>
      <c r="IZ792" t="s">
        <v>3585</v>
      </c>
      <c r="JA792" t="s">
        <v>458</v>
      </c>
    </row>
    <row r="793" spans="1:320" x14ac:dyDescent="0.25">
      <c r="A793">
        <v>16485800</v>
      </c>
      <c r="B793">
        <v>792</v>
      </c>
      <c r="C793" t="s">
        <v>393</v>
      </c>
      <c r="D793" t="s">
        <v>394</v>
      </c>
      <c r="F793" t="str">
        <f>"19-2N-25-0000-0033-0090"</f>
        <v>19-2N-25-0000-0033-0090</v>
      </c>
      <c r="H793" t="str">
        <f>"NELSON EDWARD ELLIS TRUST FOR CAROL LA RAE NELSON"</f>
        <v>NELSON EDWARD ELLIS TRUST FOR CAROL LA RAE NELSON</v>
      </c>
      <c r="I793" t="str">
        <f>"15 MAGNOLIA DR"</f>
        <v>15 MAGNOLIA DR</v>
      </c>
      <c r="J793" t="str">
        <f>"OXFORD GA 30054"</f>
        <v>OXFORD GA 30054</v>
      </c>
      <c r="K793" t="str">
        <f>"OLD DIXIE HWY"</f>
        <v>OLD DIXIE HWY</v>
      </c>
      <c r="L793" t="str">
        <f t="shared" si="250"/>
        <v>CALLAHAN FL 32011</v>
      </c>
      <c r="M793" t="str">
        <f>"IN OR 379 PG 771"</f>
        <v>IN OR 379 PG 771</v>
      </c>
      <c r="N793" t="str">
        <f>""</f>
        <v/>
      </c>
      <c r="O793" t="str">
        <f>"32733"</f>
        <v>32733</v>
      </c>
      <c r="P793" t="str">
        <f t="shared" si="243"/>
        <v>2017</v>
      </c>
      <c r="Q793" t="str">
        <f>""</f>
        <v/>
      </c>
      <c r="R793" t="str">
        <f t="shared" ref="R793:R806" si="255">"N"</f>
        <v>N</v>
      </c>
      <c r="S793" t="str">
        <f>"3.00"</f>
        <v>3.00</v>
      </c>
      <c r="T793" t="str">
        <f>"363.34"</f>
        <v>363.34</v>
      </c>
      <c r="U793" t="str">
        <f>"24000.00"</f>
        <v>24000.00</v>
      </c>
      <c r="V793" t="str">
        <f>"24000.00"</f>
        <v>24000.00</v>
      </c>
      <c r="W793" t="str">
        <f t="shared" si="244"/>
        <v>2017</v>
      </c>
      <c r="X793" t="str">
        <f>""</f>
        <v/>
      </c>
      <c r="Y793" t="str">
        <f>"406.24"</f>
        <v>406.24</v>
      </c>
      <c r="Z793" t="str">
        <f>""</f>
        <v/>
      </c>
      <c r="AA793" t="str">
        <f>"24000.00"</f>
        <v>24000.00</v>
      </c>
      <c r="AB793" t="str">
        <f t="shared" si="253"/>
        <v>Residential</v>
      </c>
      <c r="AC793" t="str">
        <f t="shared" si="254"/>
        <v>0</v>
      </c>
      <c r="AD793" t="str">
        <f>""</f>
        <v/>
      </c>
      <c r="AE793" t="str">
        <f>""</f>
        <v/>
      </c>
      <c r="AF793" t="str">
        <f>"000"</f>
        <v>000</v>
      </c>
      <c r="AG793" t="str">
        <f>"GA"</f>
        <v>GA</v>
      </c>
      <c r="AH793" t="str">
        <f>"130680.00"</f>
        <v>130680.00</v>
      </c>
      <c r="AI793" t="str">
        <f>"24000.00"</f>
        <v>24000.00</v>
      </c>
      <c r="AJ793" t="str">
        <f>"C55-000-587-2212-5"</f>
        <v>C55-000-587-2212-5</v>
      </c>
      <c r="AK793" t="str">
        <f>"12642"</f>
        <v>12642</v>
      </c>
      <c r="AL793">
        <v>3</v>
      </c>
      <c r="AM793">
        <v>921</v>
      </c>
      <c r="AN793">
        <v>424.95</v>
      </c>
      <c r="AQ793" t="s">
        <v>8361</v>
      </c>
      <c r="AR793" t="s">
        <v>8361</v>
      </c>
      <c r="AS793" t="s">
        <v>8361</v>
      </c>
      <c r="AU793" t="s">
        <v>396</v>
      </c>
      <c r="AV793">
        <v>2017</v>
      </c>
      <c r="AW793" t="str">
        <f>"19-2N-25-0000-0033-0090 "</f>
        <v xml:space="preserve">19-2N-25-0000-0033-0090 </v>
      </c>
      <c r="AZ793" t="s">
        <v>3712</v>
      </c>
      <c r="BA793" t="s">
        <v>3713</v>
      </c>
      <c r="BD793" t="s">
        <v>2785</v>
      </c>
      <c r="BE793" t="s">
        <v>393</v>
      </c>
      <c r="BF793">
        <v>32011</v>
      </c>
      <c r="BG793" t="s">
        <v>3810</v>
      </c>
      <c r="BH793" t="s">
        <v>2787</v>
      </c>
      <c r="BI793">
        <v>-81.845773039718907</v>
      </c>
      <c r="BJ793">
        <v>30.572685447387599</v>
      </c>
      <c r="BK793" t="s">
        <v>8362</v>
      </c>
      <c r="BM793" t="s">
        <v>3967</v>
      </c>
      <c r="BN793" t="s">
        <v>3968</v>
      </c>
      <c r="BO793">
        <v>30054</v>
      </c>
      <c r="BP793" t="s">
        <v>404</v>
      </c>
      <c r="BQ793">
        <v>0</v>
      </c>
      <c r="BR793" t="s">
        <v>491</v>
      </c>
      <c r="BS793">
        <v>8001</v>
      </c>
      <c r="BT793" t="s">
        <v>492</v>
      </c>
      <c r="BW793">
        <v>130680</v>
      </c>
      <c r="BX793" t="s">
        <v>407</v>
      </c>
      <c r="BY793" t="s">
        <v>408</v>
      </c>
      <c r="CD793">
        <v>2017</v>
      </c>
      <c r="CE793">
        <v>24000</v>
      </c>
      <c r="CG793">
        <v>24000</v>
      </c>
      <c r="CH793">
        <v>2017</v>
      </c>
      <c r="CI793">
        <v>24000</v>
      </c>
      <c r="CK793">
        <v>24000</v>
      </c>
      <c r="CL793">
        <v>2017</v>
      </c>
      <c r="CM793">
        <v>363.34</v>
      </c>
      <c r="CN793" s="1">
        <v>30348</v>
      </c>
      <c r="CZ793" s="1">
        <v>30348</v>
      </c>
      <c r="DD793" t="s">
        <v>2785</v>
      </c>
      <c r="DG793">
        <v>19</v>
      </c>
      <c r="DL793">
        <v>50503</v>
      </c>
      <c r="DM793" t="s">
        <v>8259</v>
      </c>
      <c r="DO793" t="s">
        <v>8363</v>
      </c>
      <c r="DP793">
        <v>0</v>
      </c>
      <c r="DQ793">
        <v>0</v>
      </c>
      <c r="DR793" t="s">
        <v>411</v>
      </c>
    </row>
    <row r="794" spans="1:320" x14ac:dyDescent="0.25">
      <c r="A794">
        <v>16485801</v>
      </c>
      <c r="B794">
        <v>793</v>
      </c>
      <c r="C794" t="s">
        <v>393</v>
      </c>
      <c r="D794" t="s">
        <v>394</v>
      </c>
      <c r="F794" t="str">
        <f>"19-2N-25-0000-0033-0200"</f>
        <v>19-2N-25-0000-0033-0200</v>
      </c>
      <c r="H794" t="str">
        <f>"NELSON FREDEVA M (1/2 INT) &amp; NELSON CAROL L (1/4 INT) &amp; ELLIS RAY (1/4 INT)"</f>
        <v>NELSON FREDEVA M (1/2 INT) &amp; NELSON CAROL L (1/4 INT) &amp; ELLIS RAY (1/4 INT)</v>
      </c>
      <c r="I794" t="str">
        <f>""</f>
        <v/>
      </c>
      <c r="J794" t="str">
        <f>"OXFORD GA 30054"</f>
        <v>OXFORD GA 30054</v>
      </c>
      <c r="K794" t="str">
        <f>"BY PASS RD"</f>
        <v>BY PASS RD</v>
      </c>
      <c r="L794" t="str">
        <f t="shared" si="250"/>
        <v>CALLAHAN FL 32011</v>
      </c>
      <c r="M794" t="str">
        <f>"PT OF W1/2 OF SW1/4 PT OR 1390/172 CASE 50-2006-CP-000548 XXXX MB"</f>
        <v>PT OF W1/2 OF SW1/4 PT OR 1390/172 CASE 50-2006-CP-000548 XXXX MB</v>
      </c>
      <c r="N794" t="str">
        <f>""</f>
        <v/>
      </c>
      <c r="O794" t="str">
        <f>"32744"</f>
        <v>32744</v>
      </c>
      <c r="P794" t="str">
        <f t="shared" si="243"/>
        <v>2017</v>
      </c>
      <c r="Q794" t="str">
        <f>""</f>
        <v/>
      </c>
      <c r="R794" t="str">
        <f t="shared" si="255"/>
        <v>N</v>
      </c>
      <c r="S794" t="str">
        <f>"1.93"</f>
        <v>1.93</v>
      </c>
      <c r="T794" t="str">
        <f>"204.30"</f>
        <v>204.30</v>
      </c>
      <c r="U794" t="str">
        <f>"12738.00"</f>
        <v>12738.00</v>
      </c>
      <c r="V794" t="str">
        <f>"12738.00"</f>
        <v>12738.00</v>
      </c>
      <c r="W794" t="str">
        <f t="shared" si="244"/>
        <v>2017</v>
      </c>
      <c r="X794" t="str">
        <f>""</f>
        <v/>
      </c>
      <c r="Y794" t="str">
        <f>"242.43"</f>
        <v>242.43</v>
      </c>
      <c r="Z794" t="str">
        <f>""</f>
        <v/>
      </c>
      <c r="AA794" t="str">
        <f>"14475.00"</f>
        <v>14475.00</v>
      </c>
      <c r="AB794" t="str">
        <f t="shared" si="253"/>
        <v>Residential</v>
      </c>
      <c r="AC794" t="str">
        <f t="shared" si="254"/>
        <v>0</v>
      </c>
      <c r="AD794" t="str">
        <f>""</f>
        <v/>
      </c>
      <c r="AE794" t="str">
        <f>""</f>
        <v/>
      </c>
      <c r="AF794" t="str">
        <f>"000"</f>
        <v>000</v>
      </c>
      <c r="AG794" t="str">
        <f>"GA"</f>
        <v>GA</v>
      </c>
      <c r="AH794" t="str">
        <f>"84070.00"</f>
        <v>84070.00</v>
      </c>
      <c r="AI794" t="str">
        <f>"14475.00"</f>
        <v>14475.00</v>
      </c>
      <c r="AJ794" t="str">
        <f>"C55-000-587-2223-2"</f>
        <v>C55-000-587-2223-2</v>
      </c>
      <c r="AK794" t="str">
        <f>"12653"</f>
        <v>12653</v>
      </c>
      <c r="AL794">
        <v>3</v>
      </c>
      <c r="AM794">
        <v>922</v>
      </c>
      <c r="AN794">
        <v>252.95</v>
      </c>
      <c r="AQ794" t="s">
        <v>8364</v>
      </c>
      <c r="AR794" t="s">
        <v>8364</v>
      </c>
      <c r="AS794" t="s">
        <v>8364</v>
      </c>
      <c r="AU794" t="s">
        <v>396</v>
      </c>
      <c r="AV794">
        <v>2017</v>
      </c>
      <c r="AW794" t="str">
        <f>"19-2N-25-0000-0033-0200 "</f>
        <v xml:space="preserve">19-2N-25-0000-0033-0200 </v>
      </c>
      <c r="AZ794" t="s">
        <v>8365</v>
      </c>
      <c r="BA794" t="s">
        <v>496</v>
      </c>
      <c r="BD794" t="s">
        <v>2785</v>
      </c>
      <c r="BE794" t="s">
        <v>393</v>
      </c>
      <c r="BF794">
        <v>32011</v>
      </c>
      <c r="BG794" t="s">
        <v>8366</v>
      </c>
      <c r="BH794" t="s">
        <v>2787</v>
      </c>
      <c r="BI794">
        <v>-81.847474785023095</v>
      </c>
      <c r="BJ794">
        <v>30.572637731224901</v>
      </c>
      <c r="BK794" t="s">
        <v>3966</v>
      </c>
      <c r="BM794" t="s">
        <v>3967</v>
      </c>
      <c r="BN794" t="s">
        <v>3968</v>
      </c>
      <c r="BO794">
        <v>30054</v>
      </c>
      <c r="BP794" t="s">
        <v>404</v>
      </c>
      <c r="BQ794">
        <v>0</v>
      </c>
      <c r="BR794" t="s">
        <v>491</v>
      </c>
      <c r="BS794">
        <v>8001</v>
      </c>
      <c r="BT794" t="s">
        <v>492</v>
      </c>
      <c r="BW794">
        <v>84070</v>
      </c>
      <c r="BX794" t="s">
        <v>407</v>
      </c>
      <c r="BY794" t="s">
        <v>408</v>
      </c>
      <c r="CD794">
        <v>2017</v>
      </c>
      <c r="CE794">
        <v>14475</v>
      </c>
      <c r="CG794">
        <v>14475</v>
      </c>
      <c r="CH794">
        <v>2017</v>
      </c>
      <c r="CI794">
        <v>14475</v>
      </c>
      <c r="CK794">
        <v>14475</v>
      </c>
      <c r="CL794">
        <v>2017</v>
      </c>
      <c r="CM794">
        <v>204.3</v>
      </c>
      <c r="CN794" s="1">
        <v>33745</v>
      </c>
      <c r="CZ794" s="1">
        <v>33745</v>
      </c>
      <c r="DD794" t="s">
        <v>2785</v>
      </c>
      <c r="DG794">
        <v>19</v>
      </c>
      <c r="DL794">
        <v>50503</v>
      </c>
      <c r="DM794" t="s">
        <v>8259</v>
      </c>
      <c r="DO794" t="s">
        <v>8367</v>
      </c>
      <c r="DP794">
        <v>0</v>
      </c>
      <c r="DQ794">
        <v>0</v>
      </c>
      <c r="DR794" t="s">
        <v>411</v>
      </c>
    </row>
    <row r="795" spans="1:320" x14ac:dyDescent="0.25">
      <c r="A795">
        <v>16485802</v>
      </c>
      <c r="B795">
        <v>794</v>
      </c>
      <c r="C795" t="s">
        <v>393</v>
      </c>
      <c r="D795" t="s">
        <v>394</v>
      </c>
      <c r="F795" t="str">
        <f>"19-2N-25-0000-0035-0010"</f>
        <v>19-2N-25-0000-0035-0010</v>
      </c>
      <c r="H795" t="str">
        <f>"HAMPTON KEVA &amp; COOPER TERRIE ET AL"</f>
        <v>HAMPTON KEVA &amp; COOPER TERRIE ET AL</v>
      </c>
      <c r="I795" t="str">
        <f>"45136 DUTTON WAY"</f>
        <v>45136 DUTTON WAY</v>
      </c>
      <c r="J795" t="str">
        <f>"CALLAHAN FL 32011"</f>
        <v>CALLAHAN FL 32011</v>
      </c>
      <c r="K795" t="str">
        <f>"45059 ARLINE RD"</f>
        <v>45059 ARLINE RD</v>
      </c>
      <c r="L795" t="str">
        <f t="shared" si="250"/>
        <v>CALLAHAN FL 32011</v>
      </c>
      <c r="M795" t="str">
        <f>"PT OF SE1/4 OF NE1/4 OF SW1/4 IN OR 1974/1193"</f>
        <v>PT OF SE1/4 OF NE1/4 OF SW1/4 IN OR 1974/1193</v>
      </c>
      <c r="N795" t="str">
        <f>""</f>
        <v/>
      </c>
      <c r="O795" t="str">
        <f>"32750"</f>
        <v>32750</v>
      </c>
      <c r="P795" t="str">
        <f t="shared" si="243"/>
        <v>2017</v>
      </c>
      <c r="Q795" t="str">
        <f>""</f>
        <v/>
      </c>
      <c r="R795" t="str">
        <f t="shared" si="255"/>
        <v>N</v>
      </c>
      <c r="S795" t="str">
        <f>"0.80"</f>
        <v>0.80</v>
      </c>
      <c r="T795" t="str">
        <f>"1151.58"</f>
        <v>1151.58</v>
      </c>
      <c r="U795" t="str">
        <f>"76068.00"</f>
        <v>76068.00</v>
      </c>
      <c r="V795" t="str">
        <f>"76068.00"</f>
        <v>76068.00</v>
      </c>
      <c r="W795" t="str">
        <f t="shared" si="244"/>
        <v>2017</v>
      </c>
      <c r="X795" t="str">
        <f>"12.33"</f>
        <v>12.33</v>
      </c>
      <c r="Y795" t="str">
        <f>"1218.13"</f>
        <v>1218.13</v>
      </c>
      <c r="Z795" t="str">
        <f>""</f>
        <v/>
      </c>
      <c r="AA795" t="str">
        <f>"76068.00"</f>
        <v>76068.00</v>
      </c>
      <c r="AB795" t="str">
        <f t="shared" si="253"/>
        <v>Residential</v>
      </c>
      <c r="AC795" t="str">
        <f t="shared" si="254"/>
        <v>0</v>
      </c>
      <c r="AD795" t="str">
        <f>"4"</f>
        <v>4</v>
      </c>
      <c r="AE795" t="str">
        <f>"WOOD (INCLUDE STEEL STUDS)"</f>
        <v>WOOD (INCLUDE STEEL STUDS)</v>
      </c>
      <c r="AF795" t="str">
        <f>"001"</f>
        <v>001</v>
      </c>
      <c r="AG795" t="str">
        <f>"FL"</f>
        <v>FL</v>
      </c>
      <c r="AH795" t="str">
        <f>"34848.00"</f>
        <v>34848.00</v>
      </c>
      <c r="AI795" t="str">
        <f>"15000.00"</f>
        <v>15000.00</v>
      </c>
      <c r="AJ795" t="str">
        <f>"C55-000-587-2228-1"</f>
        <v>C55-000-587-2228-1</v>
      </c>
      <c r="AK795" t="str">
        <f>"12659"</f>
        <v>12659</v>
      </c>
      <c r="AL795">
        <v>3</v>
      </c>
      <c r="AM795">
        <v>923</v>
      </c>
      <c r="AN795">
        <v>1277.44</v>
      </c>
      <c r="AQ795" t="s">
        <v>8368</v>
      </c>
      <c r="AR795" t="s">
        <v>8368</v>
      </c>
      <c r="AS795" t="s">
        <v>8368</v>
      </c>
      <c r="AU795" t="s">
        <v>396</v>
      </c>
      <c r="AV795">
        <v>2017</v>
      </c>
      <c r="AW795" t="str">
        <f>"19-2N-25-0000-0035-0010 "</f>
        <v xml:space="preserve">19-2N-25-0000-0035-0010 </v>
      </c>
      <c r="AX795">
        <v>45059</v>
      </c>
      <c r="AZ795" t="s">
        <v>8369</v>
      </c>
      <c r="BA795" t="s">
        <v>496</v>
      </c>
      <c r="BD795" t="s">
        <v>2785</v>
      </c>
      <c r="BE795" t="s">
        <v>393</v>
      </c>
      <c r="BF795">
        <v>32011</v>
      </c>
      <c r="BG795" t="s">
        <v>8370</v>
      </c>
      <c r="BH795" t="s">
        <v>2787</v>
      </c>
      <c r="BI795">
        <v>-81.843902790293896</v>
      </c>
      <c r="BJ795">
        <v>30.573499033701601</v>
      </c>
      <c r="BK795" t="s">
        <v>8371</v>
      </c>
      <c r="BL795" t="s">
        <v>8372</v>
      </c>
      <c r="BM795" t="s">
        <v>8373</v>
      </c>
      <c r="BN795" t="s">
        <v>928</v>
      </c>
      <c r="BO795">
        <v>32011</v>
      </c>
      <c r="BP795" t="s">
        <v>404</v>
      </c>
      <c r="BQ795">
        <v>100</v>
      </c>
      <c r="BR795" t="s">
        <v>514</v>
      </c>
      <c r="BS795">
        <v>1001</v>
      </c>
      <c r="BT795" t="s">
        <v>515</v>
      </c>
      <c r="BW795">
        <v>34848</v>
      </c>
      <c r="BX795" t="s">
        <v>407</v>
      </c>
      <c r="BY795" t="s">
        <v>408</v>
      </c>
      <c r="BZ795">
        <v>4</v>
      </c>
      <c r="CA795">
        <v>1970</v>
      </c>
      <c r="CB795">
        <v>1</v>
      </c>
      <c r="CC795">
        <v>1</v>
      </c>
      <c r="CD795">
        <v>2017</v>
      </c>
      <c r="CE795">
        <v>15000</v>
      </c>
      <c r="CF795">
        <v>61068</v>
      </c>
      <c r="CG795">
        <v>76068</v>
      </c>
      <c r="CH795">
        <v>2017</v>
      </c>
      <c r="CI795">
        <v>15000</v>
      </c>
      <c r="CJ795">
        <v>61068</v>
      </c>
      <c r="CK795">
        <v>76068</v>
      </c>
      <c r="CL795">
        <v>2017</v>
      </c>
      <c r="CM795">
        <v>1151.58</v>
      </c>
      <c r="CN795" s="1">
        <v>42100</v>
      </c>
      <c r="CZ795" s="1">
        <v>42100</v>
      </c>
      <c r="DD795" t="s">
        <v>2785</v>
      </c>
      <c r="DG795">
        <v>19</v>
      </c>
      <c r="DL795">
        <v>50503</v>
      </c>
      <c r="DM795" t="s">
        <v>8259</v>
      </c>
      <c r="DO795" t="s">
        <v>8374</v>
      </c>
      <c r="DP795">
        <v>0</v>
      </c>
      <c r="DQ795">
        <v>0</v>
      </c>
      <c r="DR795" t="s">
        <v>411</v>
      </c>
      <c r="DS795" t="b">
        <v>1</v>
      </c>
      <c r="DT795" t="s">
        <v>470</v>
      </c>
      <c r="DU795" t="s">
        <v>471</v>
      </c>
      <c r="DV795" t="s">
        <v>472</v>
      </c>
      <c r="DX795">
        <v>-9999</v>
      </c>
      <c r="DZ795" t="s">
        <v>447</v>
      </c>
      <c r="EA795" t="s">
        <v>448</v>
      </c>
      <c r="EB795" t="s">
        <v>742</v>
      </c>
      <c r="EC795">
        <v>20101217</v>
      </c>
      <c r="ED795" t="s">
        <v>474</v>
      </c>
      <c r="EF795">
        <v>176.2</v>
      </c>
      <c r="EG795">
        <v>176.2</v>
      </c>
      <c r="EI795">
        <v>20160407</v>
      </c>
      <c r="EJ795">
        <v>0</v>
      </c>
      <c r="EK795">
        <v>0</v>
      </c>
      <c r="EP795" t="s">
        <v>421</v>
      </c>
      <c r="EQ795" t="s">
        <v>422</v>
      </c>
      <c r="ER795">
        <v>0</v>
      </c>
      <c r="ES795">
        <v>6</v>
      </c>
      <c r="ET795">
        <v>0</v>
      </c>
      <c r="EU795">
        <v>0</v>
      </c>
      <c r="EV795">
        <v>0</v>
      </c>
      <c r="EW795" s="2">
        <v>43222</v>
      </c>
      <c r="EX795" s="1">
        <v>42879</v>
      </c>
      <c r="EY795">
        <v>2016</v>
      </c>
      <c r="EZ795">
        <v>1243.27</v>
      </c>
      <c r="FA795" t="s">
        <v>8375</v>
      </c>
      <c r="FB795">
        <v>0.25</v>
      </c>
      <c r="FC795" t="s">
        <v>424</v>
      </c>
      <c r="FD795" t="s">
        <v>425</v>
      </c>
      <c r="FE795" s="1">
        <v>43138</v>
      </c>
      <c r="FF795">
        <v>9</v>
      </c>
      <c r="FG795">
        <v>7400234</v>
      </c>
      <c r="FH795" t="s">
        <v>426</v>
      </c>
      <c r="FJ795" s="1">
        <v>42879</v>
      </c>
      <c r="FK795">
        <v>2016</v>
      </c>
      <c r="FL795">
        <v>1243.27</v>
      </c>
      <c r="FM795" t="s">
        <v>8375</v>
      </c>
      <c r="FN795">
        <v>0.25</v>
      </c>
      <c r="FO795" t="s">
        <v>424</v>
      </c>
      <c r="FP795" t="s">
        <v>425</v>
      </c>
      <c r="FR795">
        <v>22</v>
      </c>
      <c r="FS795">
        <v>7517332</v>
      </c>
      <c r="FT795" t="s">
        <v>8376</v>
      </c>
      <c r="FV795" s="1">
        <v>42515</v>
      </c>
      <c r="FW795">
        <v>2015</v>
      </c>
      <c r="FX795">
        <v>1237.07</v>
      </c>
      <c r="FY795" t="s">
        <v>8377</v>
      </c>
      <c r="FZ795">
        <v>0.25</v>
      </c>
      <c r="GA795" t="s">
        <v>424</v>
      </c>
      <c r="GB795" t="s">
        <v>425</v>
      </c>
      <c r="GC795" s="1">
        <v>43068</v>
      </c>
      <c r="GD795">
        <v>18</v>
      </c>
      <c r="GE795">
        <v>7045074</v>
      </c>
      <c r="GF795" t="s">
        <v>580</v>
      </c>
      <c r="GH795" s="1">
        <v>42515</v>
      </c>
      <c r="GI795">
        <v>2015</v>
      </c>
      <c r="GJ795">
        <v>1237.07</v>
      </c>
      <c r="GK795" t="s">
        <v>8377</v>
      </c>
      <c r="GL795">
        <v>0.25</v>
      </c>
      <c r="GM795" t="s">
        <v>424</v>
      </c>
      <c r="GN795" t="s">
        <v>425</v>
      </c>
      <c r="GP795">
        <v>22</v>
      </c>
      <c r="GQ795">
        <v>6346707</v>
      </c>
      <c r="GR795" t="s">
        <v>8378</v>
      </c>
      <c r="GT795" s="1">
        <v>42151</v>
      </c>
      <c r="GU795">
        <v>2014</v>
      </c>
      <c r="GV795">
        <v>1145.0999999999999</v>
      </c>
      <c r="GW795" t="s">
        <v>8379</v>
      </c>
      <c r="GX795">
        <v>0.25</v>
      </c>
      <c r="GY795" t="s">
        <v>424</v>
      </c>
      <c r="GZ795" t="s">
        <v>425</v>
      </c>
      <c r="HA795" s="1">
        <v>42432</v>
      </c>
      <c r="HB795">
        <v>10</v>
      </c>
      <c r="HC795">
        <v>2851116</v>
      </c>
      <c r="HD795" t="s">
        <v>480</v>
      </c>
      <c r="HF795" s="1">
        <v>42151</v>
      </c>
      <c r="HG795">
        <v>2014</v>
      </c>
      <c r="HH795">
        <v>1145.0999999999999</v>
      </c>
      <c r="HI795" t="s">
        <v>8379</v>
      </c>
      <c r="HJ795">
        <v>0.25</v>
      </c>
      <c r="HK795" t="s">
        <v>424</v>
      </c>
      <c r="HL795" t="s">
        <v>425</v>
      </c>
      <c r="HN795">
        <v>22</v>
      </c>
      <c r="HO795">
        <v>5236980</v>
      </c>
      <c r="HP795" t="s">
        <v>8380</v>
      </c>
    </row>
    <row r="796" spans="1:320" x14ac:dyDescent="0.25">
      <c r="A796">
        <v>16485803</v>
      </c>
      <c r="B796">
        <v>795</v>
      </c>
      <c r="C796" t="s">
        <v>393</v>
      </c>
      <c r="D796" t="s">
        <v>394</v>
      </c>
      <c r="F796" t="str">
        <f>"19-2N-25-0000-0040-0000"</f>
        <v>19-2N-25-0000-0040-0000</v>
      </c>
      <c r="H796" t="str">
        <f>"MOON JEAN"</f>
        <v>MOON JEAN</v>
      </c>
      <c r="I796" t="str">
        <f>"1545 NORTH STIRLING AVENUE"</f>
        <v>1545 NORTH STIRLING AVENUE</v>
      </c>
      <c r="J796" t="str">
        <f>"PONTIAC MI 48340"</f>
        <v>PONTIAC MI 48340</v>
      </c>
      <c r="K796" t="str">
        <f>"BY PASS RD"</f>
        <v>BY PASS RD</v>
      </c>
      <c r="L796" t="str">
        <f t="shared" si="250"/>
        <v>CALLAHAN FL 32011</v>
      </c>
      <c r="M796" t="str">
        <f>"NW1/4 OF NW1/4 OF SW1/4 LESS 2A PT OR 2030/1492"</f>
        <v>NW1/4 OF NW1/4 OF SW1/4 LESS 2A PT OR 2030/1492</v>
      </c>
      <c r="N796" t="str">
        <f>""</f>
        <v/>
      </c>
      <c r="O796" t="str">
        <f>"32762"</f>
        <v>32762</v>
      </c>
      <c r="P796" t="str">
        <f t="shared" si="243"/>
        <v>2017</v>
      </c>
      <c r="Q796" t="str">
        <f>""</f>
        <v/>
      </c>
      <c r="R796" t="str">
        <f t="shared" si="255"/>
        <v>N</v>
      </c>
      <c r="S796" t="str">
        <f>"10.00"</f>
        <v>10.00</v>
      </c>
      <c r="T796" t="str">
        <f>"726.67"</f>
        <v>726.67</v>
      </c>
      <c r="U796" t="str">
        <f>"48000.00"</f>
        <v>48000.00</v>
      </c>
      <c r="V796" t="str">
        <f>"48000.00"</f>
        <v>48000.00</v>
      </c>
      <c r="W796" t="str">
        <f t="shared" si="244"/>
        <v>2017</v>
      </c>
      <c r="X796" t="str">
        <f>"21.40"</f>
        <v>21.40</v>
      </c>
      <c r="Y796" t="str">
        <f>"780.47"</f>
        <v>780.47</v>
      </c>
      <c r="Z796" t="str">
        <f>""</f>
        <v/>
      </c>
      <c r="AA796" t="str">
        <f>"48000.00"</f>
        <v>48000.00</v>
      </c>
      <c r="AB796" t="str">
        <f t="shared" si="253"/>
        <v>Residential</v>
      </c>
      <c r="AC796" t="str">
        <f t="shared" si="254"/>
        <v>0</v>
      </c>
      <c r="AD796" t="str">
        <f>""</f>
        <v/>
      </c>
      <c r="AE796" t="str">
        <f>""</f>
        <v/>
      </c>
      <c r="AF796" t="str">
        <f>"000"</f>
        <v>000</v>
      </c>
      <c r="AG796" t="str">
        <f>"MI"</f>
        <v>MI</v>
      </c>
      <c r="AH796" t="str">
        <f>"435600.00"</f>
        <v>435600.00</v>
      </c>
      <c r="AI796" t="str">
        <f>"48000.00"</f>
        <v>48000.00</v>
      </c>
      <c r="AJ796" t="str">
        <f>"C55-000-587-2239-8"</f>
        <v>C55-000-587-2239-8</v>
      </c>
      <c r="AK796" t="str">
        <f>"12669"</f>
        <v>12669</v>
      </c>
      <c r="AL796">
        <v>3</v>
      </c>
      <c r="AM796">
        <v>924</v>
      </c>
      <c r="AN796">
        <v>817.89</v>
      </c>
      <c r="AQ796" t="s">
        <v>8381</v>
      </c>
      <c r="AR796" t="s">
        <v>8381</v>
      </c>
      <c r="AS796" t="s">
        <v>8381</v>
      </c>
      <c r="AU796" t="s">
        <v>396</v>
      </c>
      <c r="AV796">
        <v>2017</v>
      </c>
      <c r="AW796" t="str">
        <f>"19-2N-25-0000-0040-0000 "</f>
        <v xml:space="preserve">19-2N-25-0000-0040-0000 </v>
      </c>
      <c r="AZ796" t="s">
        <v>8365</v>
      </c>
      <c r="BA796" t="s">
        <v>496</v>
      </c>
      <c r="BD796" t="s">
        <v>2785</v>
      </c>
      <c r="BE796" t="s">
        <v>393</v>
      </c>
      <c r="BF796">
        <v>32011</v>
      </c>
      <c r="BG796" t="s">
        <v>8366</v>
      </c>
      <c r="BH796" t="s">
        <v>2787</v>
      </c>
      <c r="BI796">
        <v>-81.850103534856899</v>
      </c>
      <c r="BJ796">
        <v>30.574892335115599</v>
      </c>
      <c r="BK796" t="s">
        <v>4751</v>
      </c>
      <c r="BM796" t="s">
        <v>8382</v>
      </c>
      <c r="BN796" t="s">
        <v>4753</v>
      </c>
      <c r="BO796">
        <v>48340</v>
      </c>
      <c r="BP796" t="s">
        <v>404</v>
      </c>
      <c r="BQ796">
        <v>0</v>
      </c>
      <c r="BR796" t="s">
        <v>491</v>
      </c>
      <c r="BS796">
        <v>8001</v>
      </c>
      <c r="BT796" t="s">
        <v>492</v>
      </c>
      <c r="BW796">
        <v>435600</v>
      </c>
      <c r="BX796" t="s">
        <v>407</v>
      </c>
      <c r="BY796" t="s">
        <v>408</v>
      </c>
      <c r="CD796">
        <v>2017</v>
      </c>
      <c r="CE796">
        <v>48000</v>
      </c>
      <c r="CG796">
        <v>48000</v>
      </c>
      <c r="CH796">
        <v>2017</v>
      </c>
      <c r="CI796">
        <v>48000</v>
      </c>
      <c r="CK796">
        <v>48000</v>
      </c>
      <c r="CL796">
        <v>2017</v>
      </c>
      <c r="CM796">
        <v>726.67</v>
      </c>
      <c r="CN796" s="1">
        <v>42425</v>
      </c>
      <c r="CZ796" s="1">
        <v>42425</v>
      </c>
      <c r="DD796" t="s">
        <v>2785</v>
      </c>
      <c r="DG796">
        <v>19</v>
      </c>
      <c r="DL796">
        <v>50503</v>
      </c>
      <c r="DM796" t="s">
        <v>8259</v>
      </c>
      <c r="DO796" t="s">
        <v>8383</v>
      </c>
      <c r="DP796">
        <v>0</v>
      </c>
      <c r="DQ796">
        <v>0</v>
      </c>
      <c r="DR796" t="s">
        <v>411</v>
      </c>
      <c r="DS796" t="b">
        <v>1</v>
      </c>
      <c r="DT796" t="s">
        <v>396</v>
      </c>
      <c r="DV796" t="s">
        <v>446</v>
      </c>
      <c r="DX796">
        <v>-9999</v>
      </c>
      <c r="DZ796" t="s">
        <v>447</v>
      </c>
      <c r="EA796" t="s">
        <v>448</v>
      </c>
      <c r="EB796" t="s">
        <v>449</v>
      </c>
      <c r="EC796">
        <v>20101217</v>
      </c>
      <c r="ED796" t="s">
        <v>450</v>
      </c>
      <c r="EE796">
        <v>17.600000000000001</v>
      </c>
      <c r="EF796">
        <v>0</v>
      </c>
      <c r="EG796">
        <v>0</v>
      </c>
      <c r="EI796">
        <v>20160407</v>
      </c>
      <c r="EJ796">
        <v>0</v>
      </c>
      <c r="EK796">
        <v>0</v>
      </c>
      <c r="EP796" t="s">
        <v>421</v>
      </c>
      <c r="EQ796" t="s">
        <v>452</v>
      </c>
      <c r="ER796">
        <v>1</v>
      </c>
      <c r="ES796">
        <v>8</v>
      </c>
      <c r="ET796">
        <v>823.91</v>
      </c>
      <c r="EU796">
        <v>47.45</v>
      </c>
      <c r="EV796">
        <v>871.36</v>
      </c>
      <c r="EW796" s="2">
        <v>43222</v>
      </c>
      <c r="EX796" s="1">
        <v>42879</v>
      </c>
      <c r="EY796">
        <v>2016</v>
      </c>
      <c r="EZ796">
        <v>823.91</v>
      </c>
      <c r="FA796" t="s">
        <v>8384</v>
      </c>
      <c r="FB796">
        <v>4.75</v>
      </c>
      <c r="FC796" t="s">
        <v>424</v>
      </c>
      <c r="FD796" t="s">
        <v>454</v>
      </c>
      <c r="FF796">
        <v>12</v>
      </c>
      <c r="FG796">
        <v>7336745</v>
      </c>
      <c r="FH796" t="s">
        <v>502</v>
      </c>
      <c r="FJ796" s="1">
        <v>42515</v>
      </c>
      <c r="FK796">
        <v>2015</v>
      </c>
      <c r="FL796">
        <v>825.12</v>
      </c>
      <c r="FM796" t="s">
        <v>8385</v>
      </c>
      <c r="FN796">
        <v>4.75</v>
      </c>
      <c r="FO796" t="s">
        <v>424</v>
      </c>
      <c r="FP796" t="s">
        <v>425</v>
      </c>
      <c r="FQ796" s="1">
        <v>43165</v>
      </c>
      <c r="FR796">
        <v>22</v>
      </c>
      <c r="FS796">
        <v>2035919</v>
      </c>
      <c r="FT796" t="s">
        <v>507</v>
      </c>
      <c r="FV796" s="1">
        <v>42151</v>
      </c>
      <c r="FW796">
        <v>2014</v>
      </c>
      <c r="FX796">
        <v>789.9</v>
      </c>
      <c r="FY796" t="s">
        <v>8386</v>
      </c>
      <c r="FZ796">
        <v>4.75</v>
      </c>
      <c r="GA796" t="s">
        <v>424</v>
      </c>
      <c r="GB796" t="s">
        <v>425</v>
      </c>
      <c r="GD796">
        <v>22</v>
      </c>
      <c r="GE796">
        <v>4975593</v>
      </c>
      <c r="GF796" t="s">
        <v>505</v>
      </c>
      <c r="GH796" s="1">
        <v>42151</v>
      </c>
      <c r="GI796">
        <v>2014</v>
      </c>
      <c r="GJ796">
        <v>789.9</v>
      </c>
      <c r="GK796" t="s">
        <v>8386</v>
      </c>
      <c r="GL796">
        <v>4.75</v>
      </c>
      <c r="GM796" t="s">
        <v>424</v>
      </c>
      <c r="GN796" t="s">
        <v>425</v>
      </c>
      <c r="GO796" s="1">
        <v>43076</v>
      </c>
      <c r="GP796">
        <v>31</v>
      </c>
      <c r="GQ796">
        <v>7336670</v>
      </c>
      <c r="GR796" t="s">
        <v>2102</v>
      </c>
      <c r="GT796" s="1">
        <v>41787</v>
      </c>
      <c r="GU796">
        <v>2013</v>
      </c>
      <c r="GV796">
        <v>752.28</v>
      </c>
      <c r="GW796" t="s">
        <v>8387</v>
      </c>
      <c r="GX796">
        <v>0.25</v>
      </c>
      <c r="GY796" t="s">
        <v>424</v>
      </c>
      <c r="GZ796" t="s">
        <v>425</v>
      </c>
      <c r="HA796" s="1">
        <v>41842</v>
      </c>
      <c r="HB796">
        <v>2</v>
      </c>
      <c r="HC796">
        <v>12092</v>
      </c>
      <c r="HD796" t="s">
        <v>483</v>
      </c>
      <c r="HE796" t="s">
        <v>458</v>
      </c>
      <c r="HF796" s="1">
        <v>41423</v>
      </c>
      <c r="HG796">
        <v>2012</v>
      </c>
      <c r="HH796">
        <v>595.29999999999995</v>
      </c>
      <c r="HI796" t="s">
        <v>8388</v>
      </c>
      <c r="HJ796">
        <v>4.75</v>
      </c>
      <c r="HK796" t="s">
        <v>424</v>
      </c>
      <c r="HL796" t="s">
        <v>425</v>
      </c>
      <c r="HM796" s="1">
        <v>41842</v>
      </c>
      <c r="HN796">
        <v>14</v>
      </c>
      <c r="HO796">
        <v>15407</v>
      </c>
      <c r="HP796" t="s">
        <v>1134</v>
      </c>
      <c r="HQ796" t="s">
        <v>458</v>
      </c>
      <c r="HR796" s="1">
        <v>41052</v>
      </c>
      <c r="HS796">
        <v>2011</v>
      </c>
      <c r="HT796">
        <v>597.34</v>
      </c>
      <c r="HU796" t="s">
        <v>8389</v>
      </c>
      <c r="HV796">
        <v>5</v>
      </c>
      <c r="HW796" t="s">
        <v>424</v>
      </c>
      <c r="HX796" t="s">
        <v>425</v>
      </c>
      <c r="HZ796">
        <v>22</v>
      </c>
      <c r="IA796">
        <v>1625515</v>
      </c>
      <c r="IB796" t="s">
        <v>487</v>
      </c>
      <c r="IC796" t="s">
        <v>458</v>
      </c>
      <c r="ID796" s="1">
        <v>41052</v>
      </c>
      <c r="IE796">
        <v>2011</v>
      </c>
      <c r="IF796">
        <v>597.34</v>
      </c>
      <c r="IG796" t="s">
        <v>8389</v>
      </c>
      <c r="IH796">
        <v>5</v>
      </c>
      <c r="II796" t="s">
        <v>424</v>
      </c>
      <c r="IJ796" t="s">
        <v>425</v>
      </c>
      <c r="IL796">
        <v>22</v>
      </c>
      <c r="IM796">
        <v>10579</v>
      </c>
      <c r="IN796" t="s">
        <v>488</v>
      </c>
      <c r="IO796" t="s">
        <v>458</v>
      </c>
      <c r="IP796" s="1">
        <v>40688</v>
      </c>
      <c r="IQ796">
        <v>2010</v>
      </c>
      <c r="IR796">
        <v>596.61</v>
      </c>
      <c r="IS796" t="s">
        <v>8390</v>
      </c>
      <c r="IT796">
        <v>7.75</v>
      </c>
      <c r="IU796" t="s">
        <v>424</v>
      </c>
      <c r="IV796" t="s">
        <v>425</v>
      </c>
      <c r="IW796" s="1">
        <v>41842</v>
      </c>
      <c r="IX796">
        <v>38</v>
      </c>
      <c r="IY796">
        <v>11064</v>
      </c>
      <c r="IZ796" t="s">
        <v>6946</v>
      </c>
      <c r="JA796" t="s">
        <v>458</v>
      </c>
    </row>
    <row r="797" spans="1:320" x14ac:dyDescent="0.25">
      <c r="A797">
        <v>16485804</v>
      </c>
      <c r="B797">
        <v>796</v>
      </c>
      <c r="C797" t="s">
        <v>393</v>
      </c>
      <c r="D797" t="s">
        <v>394</v>
      </c>
      <c r="F797" t="str">
        <f>"19-2N-25-0000-0042-0030"</f>
        <v>19-2N-25-0000-0042-0030</v>
      </c>
      <c r="H797" t="str">
        <f>"LAST FRANK JAMES III &amp; MARY J"</f>
        <v>LAST FRANK JAMES III &amp; MARY J</v>
      </c>
      <c r="I797" t="str">
        <f>"2019 ALACHUA ST"</f>
        <v>2019 ALACHUA ST</v>
      </c>
      <c r="J797" t="str">
        <f>"FERNANDINA BEACH FL 32034"</f>
        <v>FERNANDINA BEACH FL 32034</v>
      </c>
      <c r="K797" t="str">
        <f>"SR 115"</f>
        <v>SR 115</v>
      </c>
      <c r="L797" t="str">
        <f t="shared" si="250"/>
        <v>CALLAHAN FL 32011</v>
      </c>
      <c r="M797" t="str">
        <f>"PT OF SW1/4 IN OR 1578/1803"</f>
        <v>PT OF SW1/4 IN OR 1578/1803</v>
      </c>
      <c r="N797" t="str">
        <f>""</f>
        <v/>
      </c>
      <c r="O797" t="str">
        <f>"32766"</f>
        <v>32766</v>
      </c>
      <c r="P797" t="str">
        <f t="shared" si="243"/>
        <v>2017</v>
      </c>
      <c r="Q797" t="str">
        <f>""</f>
        <v/>
      </c>
      <c r="R797" t="str">
        <f t="shared" si="255"/>
        <v>N</v>
      </c>
      <c r="S797" t="str">
        <f>"1.00"</f>
        <v>1.00</v>
      </c>
      <c r="T797" t="str">
        <f>"169.38"</f>
        <v>169.38</v>
      </c>
      <c r="U797" t="str">
        <f>"10560.00"</f>
        <v>10560.00</v>
      </c>
      <c r="V797" t="str">
        <f>"10560.00"</f>
        <v>10560.00</v>
      </c>
      <c r="W797" t="str">
        <f t="shared" si="244"/>
        <v>2017</v>
      </c>
      <c r="X797" t="str">
        <f>"39.00"</f>
        <v>39.00</v>
      </c>
      <c r="Y797" t="str">
        <f>"206.46"</f>
        <v>206.46</v>
      </c>
      <c r="Z797" t="str">
        <f>""</f>
        <v/>
      </c>
      <c r="AA797" t="str">
        <f>"12000.00"</f>
        <v>12000.00</v>
      </c>
      <c r="AB797" t="str">
        <f t="shared" si="253"/>
        <v>Residential</v>
      </c>
      <c r="AC797" t="str">
        <f t="shared" si="254"/>
        <v>0</v>
      </c>
      <c r="AD797" t="str">
        <f>""</f>
        <v/>
      </c>
      <c r="AE797" t="str">
        <f>""</f>
        <v/>
      </c>
      <c r="AF797" t="str">
        <f>"000"</f>
        <v>000</v>
      </c>
      <c r="AG797" t="str">
        <f t="shared" ref="AG797:AG840" si="256">"FL"</f>
        <v>FL</v>
      </c>
      <c r="AH797" t="str">
        <f>"7351.00"</f>
        <v>7351.00</v>
      </c>
      <c r="AI797" t="str">
        <f>"12000.00"</f>
        <v>12000.00</v>
      </c>
      <c r="AJ797" t="str">
        <f>"C55-000-587-2242-2"</f>
        <v>C55-000-587-2242-2</v>
      </c>
      <c r="AK797" t="str">
        <f>"12672"</f>
        <v>12672</v>
      </c>
      <c r="AL797">
        <v>3</v>
      </c>
      <c r="AM797">
        <v>925</v>
      </c>
      <c r="AN797">
        <v>215.18</v>
      </c>
      <c r="AQ797" t="s">
        <v>8391</v>
      </c>
      <c r="AR797" t="s">
        <v>8391</v>
      </c>
      <c r="AS797" t="s">
        <v>8391</v>
      </c>
      <c r="AU797" t="s">
        <v>396</v>
      </c>
      <c r="AV797">
        <v>2017</v>
      </c>
      <c r="AW797" t="str">
        <f>"19-2N-25-0000-0042-0030 "</f>
        <v xml:space="preserve">19-2N-25-0000-0042-0030 </v>
      </c>
      <c r="AZ797" t="s">
        <v>6319</v>
      </c>
      <c r="BD797" t="s">
        <v>2785</v>
      </c>
      <c r="BE797" t="s">
        <v>393</v>
      </c>
      <c r="BF797">
        <v>32011</v>
      </c>
      <c r="BG797" t="s">
        <v>6319</v>
      </c>
      <c r="BH797" t="s">
        <v>2787</v>
      </c>
      <c r="BI797">
        <v>-81.843658261331996</v>
      </c>
      <c r="BJ797">
        <v>30.572028251057301</v>
      </c>
      <c r="BK797" t="s">
        <v>8392</v>
      </c>
      <c r="BL797" t="s">
        <v>8393</v>
      </c>
      <c r="BM797" t="s">
        <v>8394</v>
      </c>
      <c r="BN797" t="s">
        <v>3983</v>
      </c>
      <c r="BO797">
        <v>32034</v>
      </c>
      <c r="BP797" t="s">
        <v>404</v>
      </c>
      <c r="BQ797">
        <v>0</v>
      </c>
      <c r="BR797" t="s">
        <v>491</v>
      </c>
      <c r="BS797">
        <v>8001</v>
      </c>
      <c r="BT797" t="s">
        <v>492</v>
      </c>
      <c r="BW797">
        <v>7351</v>
      </c>
      <c r="BX797" t="s">
        <v>407</v>
      </c>
      <c r="BY797" t="s">
        <v>408</v>
      </c>
      <c r="CD797">
        <v>2017</v>
      </c>
      <c r="CE797">
        <v>12000</v>
      </c>
      <c r="CG797">
        <v>12000</v>
      </c>
      <c r="CH797">
        <v>2017</v>
      </c>
      <c r="CI797">
        <v>12000</v>
      </c>
      <c r="CK797">
        <v>12000</v>
      </c>
      <c r="CL797">
        <v>2017</v>
      </c>
      <c r="CM797">
        <v>169.38</v>
      </c>
      <c r="CN797" s="1">
        <v>39658</v>
      </c>
      <c r="CO797">
        <v>2700</v>
      </c>
      <c r="CZ797" s="1">
        <v>39658</v>
      </c>
      <c r="DD797" t="s">
        <v>2785</v>
      </c>
      <c r="DG797">
        <v>19</v>
      </c>
      <c r="DL797">
        <v>50503</v>
      </c>
      <c r="DM797" t="s">
        <v>8259</v>
      </c>
      <c r="DO797" t="s">
        <v>8395</v>
      </c>
      <c r="DP797">
        <v>0</v>
      </c>
      <c r="DQ797">
        <v>0</v>
      </c>
      <c r="DR797" t="s">
        <v>411</v>
      </c>
      <c r="DS797" t="b">
        <v>1</v>
      </c>
      <c r="DT797" t="s">
        <v>470</v>
      </c>
      <c r="DU797" t="s">
        <v>471</v>
      </c>
      <c r="DV797" t="s">
        <v>472</v>
      </c>
      <c r="DX797">
        <v>-9999</v>
      </c>
      <c r="DZ797" t="s">
        <v>447</v>
      </c>
      <c r="EA797" t="s">
        <v>448</v>
      </c>
      <c r="EB797" t="s">
        <v>742</v>
      </c>
      <c r="EC797">
        <v>20101217</v>
      </c>
      <c r="ED797" t="s">
        <v>474</v>
      </c>
      <c r="EF797">
        <v>119.3</v>
      </c>
      <c r="EG797">
        <v>119.3</v>
      </c>
      <c r="EI797">
        <v>20160407</v>
      </c>
      <c r="EJ797">
        <v>0</v>
      </c>
      <c r="EK797">
        <v>0</v>
      </c>
      <c r="EP797" t="s">
        <v>421</v>
      </c>
      <c r="EQ797" t="s">
        <v>422</v>
      </c>
      <c r="ER797">
        <v>3</v>
      </c>
      <c r="ES797">
        <v>0</v>
      </c>
      <c r="ET797">
        <v>570.48</v>
      </c>
      <c r="EU797">
        <v>50.07</v>
      </c>
      <c r="EV797">
        <v>620.54999999999995</v>
      </c>
      <c r="EW797" s="2">
        <v>43222</v>
      </c>
      <c r="EX797" s="1">
        <v>42879</v>
      </c>
      <c r="EY797">
        <v>2016</v>
      </c>
      <c r="EZ797">
        <v>186.38</v>
      </c>
      <c r="FA797" t="s">
        <v>8396</v>
      </c>
      <c r="FB797">
        <v>6.5</v>
      </c>
      <c r="FC797" t="s">
        <v>424</v>
      </c>
      <c r="FD797" t="s">
        <v>454</v>
      </c>
      <c r="FF797">
        <v>12</v>
      </c>
      <c r="FG797">
        <v>10125</v>
      </c>
      <c r="FH797" t="s">
        <v>440</v>
      </c>
      <c r="FJ797" s="1">
        <v>42515</v>
      </c>
      <c r="FK797">
        <v>2015</v>
      </c>
      <c r="FL797">
        <v>192.05</v>
      </c>
      <c r="FM797" t="s">
        <v>8397</v>
      </c>
      <c r="FN797">
        <v>0.25</v>
      </c>
      <c r="FO797" t="s">
        <v>424</v>
      </c>
      <c r="FP797" t="s">
        <v>454</v>
      </c>
      <c r="FR797">
        <v>24</v>
      </c>
      <c r="FS797">
        <v>7336671</v>
      </c>
      <c r="FT797" t="s">
        <v>437</v>
      </c>
      <c r="FV797" s="1">
        <v>42515</v>
      </c>
      <c r="FW797">
        <v>2015</v>
      </c>
      <c r="FX797">
        <v>192.05</v>
      </c>
      <c r="FY797" t="s">
        <v>8397</v>
      </c>
      <c r="FZ797">
        <v>0.25</v>
      </c>
      <c r="GA797" t="s">
        <v>424</v>
      </c>
      <c r="GB797" t="s">
        <v>454</v>
      </c>
      <c r="GD797">
        <v>24</v>
      </c>
      <c r="GE797">
        <v>6971542</v>
      </c>
      <c r="GF797" t="s">
        <v>8398</v>
      </c>
    </row>
    <row r="798" spans="1:320" x14ac:dyDescent="0.25">
      <c r="A798">
        <v>16485805</v>
      </c>
      <c r="B798">
        <v>797</v>
      </c>
      <c r="C798" t="s">
        <v>393</v>
      </c>
      <c r="D798" t="s">
        <v>394</v>
      </c>
      <c r="F798" t="str">
        <f>"19-2N-25-0000-0051-0000"</f>
        <v>19-2N-25-0000-0051-0000</v>
      </c>
      <c r="H798" t="str">
        <f>"TANNER IRIS C BRADDOCK"</f>
        <v>TANNER IRIS C BRADDOCK</v>
      </c>
      <c r="I798" t="str">
        <f>"2475 STATE ROAD 2"</f>
        <v>2475 STATE ROAD 2</v>
      </c>
      <c r="J798" t="str">
        <f>"AVENTURA FL 33160"</f>
        <v>AVENTURA FL 33160</v>
      </c>
      <c r="K798" t="str">
        <f>"45091 WORDLAW CIR"</f>
        <v>45091 WORDLAW CIR</v>
      </c>
      <c r="L798" t="str">
        <f t="shared" si="250"/>
        <v>CALLAHAN FL 32011</v>
      </c>
      <c r="M798" t="str">
        <f>"IN OR 1646/782 ESMT IN OR 288/745"</f>
        <v>IN OR 1646/782 ESMT IN OR 288/745</v>
      </c>
      <c r="N798" t="str">
        <f>""</f>
        <v/>
      </c>
      <c r="O798" t="str">
        <f>"32782"</f>
        <v>32782</v>
      </c>
      <c r="P798" t="str">
        <f t="shared" si="243"/>
        <v>2017</v>
      </c>
      <c r="Q798" t="str">
        <f>""</f>
        <v/>
      </c>
      <c r="R798" t="str">
        <f t="shared" si="255"/>
        <v>N</v>
      </c>
      <c r="S798" t="str">
        <f>"2.00"</f>
        <v>2.00</v>
      </c>
      <c r="T798" t="str">
        <f>"370.90"</f>
        <v>370.90</v>
      </c>
      <c r="U798" t="str">
        <f>"24500.00"</f>
        <v>24500.00</v>
      </c>
      <c r="V798" t="str">
        <f>"24500.00"</f>
        <v>24500.00</v>
      </c>
      <c r="W798" t="str">
        <f t="shared" si="244"/>
        <v>2017</v>
      </c>
      <c r="X798" t="str">
        <f>"32.89"</f>
        <v>32.89</v>
      </c>
      <c r="Y798" t="str">
        <f>"414.03"</f>
        <v>414.03</v>
      </c>
      <c r="Z798" t="str">
        <f>""</f>
        <v/>
      </c>
      <c r="AA798" t="str">
        <f>"24500.00"</f>
        <v>24500.00</v>
      </c>
      <c r="AB798" t="str">
        <f t="shared" si="253"/>
        <v>Residential</v>
      </c>
      <c r="AC798" t="str">
        <f t="shared" si="254"/>
        <v>0</v>
      </c>
      <c r="AD798" t="str">
        <f>""</f>
        <v/>
      </c>
      <c r="AE798" t="str">
        <f>""</f>
        <v/>
      </c>
      <c r="AF798" t="str">
        <f>"000"</f>
        <v>000</v>
      </c>
      <c r="AG798" t="str">
        <f t="shared" si="256"/>
        <v>FL</v>
      </c>
      <c r="AH798" t="str">
        <f>"87120.00"</f>
        <v>87120.00</v>
      </c>
      <c r="AI798" t="str">
        <f>"24000.00"</f>
        <v>24000.00</v>
      </c>
      <c r="AJ798" t="str">
        <f>"C55-000-587-2256-2"</f>
        <v>C55-000-587-2256-2</v>
      </c>
      <c r="AK798" t="str">
        <f>"12686"</f>
        <v>12686</v>
      </c>
      <c r="AL798">
        <v>3</v>
      </c>
      <c r="AM798">
        <v>926</v>
      </c>
      <c r="AN798">
        <v>433.13</v>
      </c>
      <c r="AQ798" t="s">
        <v>8399</v>
      </c>
      <c r="AR798" t="s">
        <v>8399</v>
      </c>
      <c r="AS798" t="s">
        <v>8399</v>
      </c>
      <c r="AU798" t="s">
        <v>396</v>
      </c>
      <c r="AV798">
        <v>2017</v>
      </c>
      <c r="AW798" t="str">
        <f>"19-2N-25-0000-0051-0000 "</f>
        <v xml:space="preserve">19-2N-25-0000-0051-0000 </v>
      </c>
      <c r="AX798">
        <v>45091</v>
      </c>
      <c r="AZ798" t="s">
        <v>8400</v>
      </c>
      <c r="BA798" t="s">
        <v>1799</v>
      </c>
      <c r="BD798" t="s">
        <v>2785</v>
      </c>
      <c r="BE798" t="s">
        <v>393</v>
      </c>
      <c r="BF798">
        <v>32011</v>
      </c>
      <c r="BG798" t="s">
        <v>8401</v>
      </c>
      <c r="BH798" t="s">
        <v>2787</v>
      </c>
      <c r="BI798">
        <v>-81.843153559773697</v>
      </c>
      <c r="BJ798">
        <v>30.5699927473934</v>
      </c>
      <c r="BK798" t="s">
        <v>8402</v>
      </c>
      <c r="BM798" t="s">
        <v>8403</v>
      </c>
      <c r="BN798" t="s">
        <v>8404</v>
      </c>
      <c r="BO798">
        <v>33160</v>
      </c>
      <c r="BP798" t="s">
        <v>404</v>
      </c>
      <c r="BQ798">
        <v>1</v>
      </c>
      <c r="BR798" t="s">
        <v>491</v>
      </c>
      <c r="BS798">
        <v>8001</v>
      </c>
      <c r="BT798" t="s">
        <v>492</v>
      </c>
      <c r="BW798">
        <v>87120</v>
      </c>
      <c r="BX798" t="s">
        <v>407</v>
      </c>
      <c r="BY798" t="s">
        <v>408</v>
      </c>
      <c r="CD798">
        <v>2017</v>
      </c>
      <c r="CE798">
        <v>24000</v>
      </c>
      <c r="CF798">
        <v>500</v>
      </c>
      <c r="CG798">
        <v>24500</v>
      </c>
      <c r="CH798">
        <v>2017</v>
      </c>
      <c r="CI798">
        <v>24000</v>
      </c>
      <c r="CJ798">
        <v>500</v>
      </c>
      <c r="CK798">
        <v>24500</v>
      </c>
      <c r="CL798">
        <v>2017</v>
      </c>
      <c r="CM798">
        <v>370.9</v>
      </c>
      <c r="CN798" s="1">
        <v>40115</v>
      </c>
      <c r="CO798">
        <v>6400</v>
      </c>
      <c r="CZ798" s="1">
        <v>40115</v>
      </c>
      <c r="DD798" t="s">
        <v>2785</v>
      </c>
      <c r="DG798">
        <v>19</v>
      </c>
      <c r="DL798">
        <v>50503</v>
      </c>
      <c r="DM798" t="s">
        <v>8259</v>
      </c>
      <c r="DO798" t="s">
        <v>8405</v>
      </c>
      <c r="DP798">
        <v>0</v>
      </c>
      <c r="DQ798">
        <v>1</v>
      </c>
      <c r="DR798" t="s">
        <v>411</v>
      </c>
      <c r="DS798" t="b">
        <v>1</v>
      </c>
      <c r="DT798" t="s">
        <v>396</v>
      </c>
      <c r="DV798" t="s">
        <v>446</v>
      </c>
      <c r="DX798">
        <v>-9999</v>
      </c>
      <c r="DZ798" t="s">
        <v>447</v>
      </c>
      <c r="EA798" t="s">
        <v>448</v>
      </c>
      <c r="EB798" t="s">
        <v>449</v>
      </c>
      <c r="EC798">
        <v>20101217</v>
      </c>
      <c r="ED798" t="s">
        <v>450</v>
      </c>
      <c r="EE798">
        <v>17.399999999999999</v>
      </c>
      <c r="EF798">
        <v>0</v>
      </c>
      <c r="EG798">
        <v>0</v>
      </c>
      <c r="EI798">
        <v>20160407</v>
      </c>
      <c r="EJ798">
        <v>0</v>
      </c>
      <c r="EK798">
        <v>0</v>
      </c>
      <c r="EP798" t="s">
        <v>421</v>
      </c>
      <c r="EQ798" t="s">
        <v>452</v>
      </c>
      <c r="ER798">
        <v>4</v>
      </c>
      <c r="ES798">
        <v>3</v>
      </c>
      <c r="ET798">
        <v>1530.93</v>
      </c>
      <c r="EU798">
        <v>394.36</v>
      </c>
      <c r="EV798">
        <v>1925.29</v>
      </c>
      <c r="EW798" s="2">
        <v>43222</v>
      </c>
      <c r="EX798" s="1">
        <v>42879</v>
      </c>
      <c r="EY798">
        <v>2016</v>
      </c>
      <c r="EZ798">
        <v>425.39</v>
      </c>
      <c r="FA798" t="s">
        <v>8406</v>
      </c>
      <c r="FB798">
        <v>18</v>
      </c>
      <c r="FC798" t="s">
        <v>424</v>
      </c>
      <c r="FD798" t="s">
        <v>454</v>
      </c>
      <c r="FF798">
        <v>12</v>
      </c>
      <c r="FG798">
        <v>10125</v>
      </c>
      <c r="FH798" t="s">
        <v>440</v>
      </c>
      <c r="FJ798" s="1">
        <v>42515</v>
      </c>
      <c r="FK798">
        <v>2015</v>
      </c>
      <c r="FL798">
        <v>410.35</v>
      </c>
      <c r="FM798" t="s">
        <v>8407</v>
      </c>
      <c r="FN798">
        <v>18</v>
      </c>
      <c r="FO798" t="s">
        <v>424</v>
      </c>
      <c r="FP798" t="s">
        <v>454</v>
      </c>
      <c r="FR798">
        <v>24</v>
      </c>
      <c r="FS798">
        <v>10125</v>
      </c>
      <c r="FT798" t="s">
        <v>440</v>
      </c>
      <c r="FV798" s="1">
        <v>42151</v>
      </c>
      <c r="FW798">
        <v>2014</v>
      </c>
      <c r="FX798">
        <v>355.29</v>
      </c>
      <c r="FY798" t="s">
        <v>8408</v>
      </c>
      <c r="FZ798">
        <v>5</v>
      </c>
      <c r="GA798" t="s">
        <v>424</v>
      </c>
      <c r="GB798" t="s">
        <v>454</v>
      </c>
      <c r="GD798">
        <v>36</v>
      </c>
      <c r="GE798">
        <v>10125</v>
      </c>
      <c r="GF798" t="s">
        <v>440</v>
      </c>
      <c r="GH798" s="1">
        <v>41787</v>
      </c>
      <c r="GI798">
        <v>2013</v>
      </c>
      <c r="GJ798">
        <v>339.9</v>
      </c>
      <c r="GK798" t="s">
        <v>8409</v>
      </c>
      <c r="GL798">
        <v>6.75</v>
      </c>
      <c r="GM798" t="s">
        <v>424</v>
      </c>
      <c r="GN798" t="s">
        <v>454</v>
      </c>
      <c r="GP798">
        <v>48</v>
      </c>
      <c r="GQ798">
        <v>6408</v>
      </c>
      <c r="GR798" t="s">
        <v>8410</v>
      </c>
      <c r="GT798" s="1">
        <v>41423</v>
      </c>
      <c r="GU798">
        <v>2012</v>
      </c>
      <c r="GV798">
        <v>292.27999999999997</v>
      </c>
      <c r="GW798" t="s">
        <v>8411</v>
      </c>
      <c r="GX798">
        <v>10</v>
      </c>
      <c r="GY798" t="s">
        <v>424</v>
      </c>
      <c r="GZ798" t="s">
        <v>425</v>
      </c>
      <c r="HA798" s="1">
        <v>41466</v>
      </c>
      <c r="HB798">
        <v>2</v>
      </c>
      <c r="HC798">
        <v>10021</v>
      </c>
      <c r="HD798" t="s">
        <v>597</v>
      </c>
      <c r="HE798" t="s">
        <v>458</v>
      </c>
      <c r="HF798" s="1">
        <v>41052</v>
      </c>
      <c r="HG798">
        <v>2011</v>
      </c>
      <c r="HH798">
        <v>289.01</v>
      </c>
      <c r="HI798" t="s">
        <v>8412</v>
      </c>
      <c r="HJ798">
        <v>16</v>
      </c>
      <c r="HK798" t="s">
        <v>424</v>
      </c>
      <c r="HL798" t="s">
        <v>425</v>
      </c>
      <c r="HM798" s="1">
        <v>41466</v>
      </c>
      <c r="HN798">
        <v>14</v>
      </c>
      <c r="HO798">
        <v>10125</v>
      </c>
      <c r="HP798" t="s">
        <v>440</v>
      </c>
      <c r="HQ798" t="s">
        <v>458</v>
      </c>
      <c r="HR798" s="1">
        <v>40688</v>
      </c>
      <c r="HS798">
        <v>2010</v>
      </c>
      <c r="HT798">
        <v>289.51</v>
      </c>
      <c r="HU798" t="s">
        <v>8413</v>
      </c>
      <c r="HV798">
        <v>8.75</v>
      </c>
      <c r="HW798" t="s">
        <v>424</v>
      </c>
      <c r="HX798" t="s">
        <v>425</v>
      </c>
      <c r="HY798" s="1">
        <v>41466</v>
      </c>
      <c r="HZ798">
        <v>26</v>
      </c>
      <c r="IA798">
        <v>105</v>
      </c>
      <c r="IB798" t="s">
        <v>946</v>
      </c>
      <c r="IC798" t="s">
        <v>458</v>
      </c>
    </row>
    <row r="799" spans="1:320" x14ac:dyDescent="0.25">
      <c r="A799">
        <v>16485806</v>
      </c>
      <c r="B799">
        <v>798</v>
      </c>
      <c r="C799" t="s">
        <v>393</v>
      </c>
      <c r="D799" t="s">
        <v>394</v>
      </c>
      <c r="F799" t="str">
        <f>"19-2N-25-0000-0052-0010"</f>
        <v>19-2N-25-0000-0052-0010</v>
      </c>
      <c r="H799" t="str">
        <f>"WILSON MALINDA E"</f>
        <v>WILSON MALINDA E</v>
      </c>
      <c r="I799" t="str">
        <f>"45371 MORGAN CIRCLE"</f>
        <v>45371 MORGAN CIRCLE</v>
      </c>
      <c r="J799" t="str">
        <f>"CALLAHAN FL 32011"</f>
        <v>CALLAHAN FL 32011</v>
      </c>
      <c r="K799" t="str">
        <f>"45371 MORGAN CIR"</f>
        <v>45371 MORGAN CIR</v>
      </c>
      <c r="L799" t="str">
        <f t="shared" si="250"/>
        <v>CALLAHAN FL 32011</v>
      </c>
      <c r="M799" t="str">
        <f>"ELY 250 FT R497748 IN OR 1194/1817 EX R/W OR 677/228"</f>
        <v>ELY 250 FT R497748 IN OR 1194/1817 EX R/W OR 677/228</v>
      </c>
      <c r="N799" t="str">
        <f>""</f>
        <v/>
      </c>
      <c r="O799" t="str">
        <f>"32784"</f>
        <v>32784</v>
      </c>
      <c r="P799" t="str">
        <f t="shared" si="243"/>
        <v>2017</v>
      </c>
      <c r="Q799" t="str">
        <f>""</f>
        <v/>
      </c>
      <c r="R799" t="str">
        <f t="shared" si="255"/>
        <v>N</v>
      </c>
      <c r="S799" t="str">
        <f>"1.00"</f>
        <v>1.00</v>
      </c>
      <c r="T799" t="str">
        <f>"276.00"</f>
        <v>276.00</v>
      </c>
      <c r="U799" t="str">
        <f>"17365.00"</f>
        <v>17365.00</v>
      </c>
      <c r="V799" t="str">
        <f>"17365.00"</f>
        <v>17365.00</v>
      </c>
      <c r="W799" t="str">
        <f t="shared" si="244"/>
        <v>2017</v>
      </c>
      <c r="X799" t="str">
        <f>"21.11"</f>
        <v>21.11</v>
      </c>
      <c r="Y799" t="str">
        <f>"316.28"</f>
        <v>316.28</v>
      </c>
      <c r="Z799" t="str">
        <f>""</f>
        <v/>
      </c>
      <c r="AA799" t="str">
        <f>"19351.00"</f>
        <v>19351.00</v>
      </c>
      <c r="AB799" t="str">
        <f t="shared" si="253"/>
        <v>Residential</v>
      </c>
      <c r="AC799" t="str">
        <f t="shared" si="254"/>
        <v>0</v>
      </c>
      <c r="AD799" t="str">
        <f>"4"</f>
        <v>4</v>
      </c>
      <c r="AE799" t="str">
        <f>"WOOD (INCLUDE STEEL STUDS)"</f>
        <v>WOOD (INCLUDE STEEL STUDS)</v>
      </c>
      <c r="AF799" t="str">
        <f>"002"</f>
        <v>002</v>
      </c>
      <c r="AG799" t="str">
        <f t="shared" si="256"/>
        <v>FL</v>
      </c>
      <c r="AH799" t="str">
        <f>"43560.00"</f>
        <v>43560.00</v>
      </c>
      <c r="AI799" t="str">
        <f>"15000.00"</f>
        <v>15000.00</v>
      </c>
      <c r="AJ799" t="str">
        <f>"C55-000-587-2258-8"</f>
        <v>C55-000-587-2258-8</v>
      </c>
      <c r="AK799" t="str">
        <f>"12688"</f>
        <v>12688</v>
      </c>
      <c r="AL799">
        <v>3</v>
      </c>
      <c r="AM799">
        <v>927</v>
      </c>
      <c r="AN799">
        <v>330.49</v>
      </c>
      <c r="AQ799" t="s">
        <v>8414</v>
      </c>
      <c r="AR799" t="s">
        <v>8414</v>
      </c>
      <c r="AS799" t="s">
        <v>8414</v>
      </c>
      <c r="AU799" t="s">
        <v>396</v>
      </c>
      <c r="AV799">
        <v>2017</v>
      </c>
      <c r="AW799" t="str">
        <f>"19-2N-25-0000-0052-0010 "</f>
        <v xml:space="preserve">19-2N-25-0000-0052-0010 </v>
      </c>
      <c r="AX799">
        <v>45371</v>
      </c>
      <c r="AZ799" t="s">
        <v>8415</v>
      </c>
      <c r="BA799" t="s">
        <v>1799</v>
      </c>
      <c r="BD799" t="s">
        <v>2785</v>
      </c>
      <c r="BE799" t="s">
        <v>393</v>
      </c>
      <c r="BF799">
        <v>32011</v>
      </c>
      <c r="BG799" t="s">
        <v>8416</v>
      </c>
      <c r="BH799" t="s">
        <v>2787</v>
      </c>
      <c r="BI799">
        <v>-81.8441159122671</v>
      </c>
      <c r="BJ799">
        <v>30.5694669067516</v>
      </c>
      <c r="BK799" t="s">
        <v>8417</v>
      </c>
      <c r="BM799" t="s">
        <v>8416</v>
      </c>
      <c r="BN799" t="s">
        <v>928</v>
      </c>
      <c r="BO799">
        <v>32011</v>
      </c>
      <c r="BP799" t="s">
        <v>416</v>
      </c>
      <c r="BQ799">
        <v>200</v>
      </c>
      <c r="BR799" t="s">
        <v>405</v>
      </c>
      <c r="BS799">
        <v>1006</v>
      </c>
      <c r="BT799" t="s">
        <v>406</v>
      </c>
      <c r="BW799">
        <v>27686</v>
      </c>
      <c r="BX799" t="s">
        <v>407</v>
      </c>
      <c r="BY799" t="s">
        <v>408</v>
      </c>
      <c r="BZ799">
        <v>4</v>
      </c>
      <c r="CA799">
        <v>1972</v>
      </c>
      <c r="CB799">
        <v>1</v>
      </c>
      <c r="CC799">
        <v>1</v>
      </c>
      <c r="CD799">
        <v>2017</v>
      </c>
      <c r="CE799">
        <v>15000</v>
      </c>
      <c r="CF799">
        <v>4351</v>
      </c>
      <c r="CG799">
        <v>19351</v>
      </c>
      <c r="CH799">
        <v>2017</v>
      </c>
      <c r="CI799">
        <v>15000</v>
      </c>
      <c r="CJ799">
        <v>4351</v>
      </c>
      <c r="CK799">
        <v>19351</v>
      </c>
      <c r="CL799">
        <v>2017</v>
      </c>
      <c r="CM799">
        <v>276</v>
      </c>
      <c r="CN799" s="1">
        <v>37966</v>
      </c>
      <c r="CV799">
        <v>0</v>
      </c>
      <c r="CZ799" s="1">
        <v>37966</v>
      </c>
      <c r="DA799">
        <v>0</v>
      </c>
      <c r="DD799" t="s">
        <v>2785</v>
      </c>
      <c r="DG799">
        <v>19</v>
      </c>
      <c r="DL799">
        <v>50503</v>
      </c>
      <c r="DM799" t="s">
        <v>8259</v>
      </c>
      <c r="DO799" t="s">
        <v>8418</v>
      </c>
      <c r="DP799">
        <v>0</v>
      </c>
      <c r="DQ799">
        <v>0</v>
      </c>
      <c r="DR799" t="s">
        <v>411</v>
      </c>
      <c r="DS799" t="b">
        <v>1</v>
      </c>
      <c r="DT799" t="s">
        <v>470</v>
      </c>
      <c r="DU799" t="s">
        <v>471</v>
      </c>
      <c r="DV799" t="s">
        <v>472</v>
      </c>
      <c r="DX799">
        <v>-9999</v>
      </c>
      <c r="DZ799" t="s">
        <v>447</v>
      </c>
      <c r="EA799" t="s">
        <v>448</v>
      </c>
      <c r="EB799" t="s">
        <v>8353</v>
      </c>
      <c r="EC799">
        <v>20101217</v>
      </c>
      <c r="ED799" t="s">
        <v>474</v>
      </c>
      <c r="EF799">
        <v>127.4</v>
      </c>
      <c r="EG799">
        <v>127.4</v>
      </c>
      <c r="EI799">
        <v>20160407</v>
      </c>
      <c r="EJ799">
        <v>0</v>
      </c>
      <c r="EK799">
        <v>0</v>
      </c>
      <c r="EP799" t="s">
        <v>421</v>
      </c>
      <c r="EQ799" t="s">
        <v>452</v>
      </c>
      <c r="ER799">
        <v>0</v>
      </c>
      <c r="ES799">
        <v>5</v>
      </c>
      <c r="ET799">
        <v>0</v>
      </c>
      <c r="EU799">
        <v>0</v>
      </c>
      <c r="EV799">
        <v>0</v>
      </c>
      <c r="EW799" s="2">
        <v>43222</v>
      </c>
      <c r="EX799" s="1">
        <v>42515</v>
      </c>
      <c r="EY799">
        <v>2015</v>
      </c>
      <c r="EZ799">
        <v>266.05</v>
      </c>
      <c r="FA799" t="s">
        <v>8419</v>
      </c>
      <c r="FB799">
        <v>18</v>
      </c>
      <c r="FC799" t="s">
        <v>424</v>
      </c>
      <c r="FD799" t="s">
        <v>425</v>
      </c>
      <c r="FE799" s="1">
        <v>42703</v>
      </c>
      <c r="FF799">
        <v>6</v>
      </c>
      <c r="FG799">
        <v>6516843</v>
      </c>
      <c r="FH799" t="s">
        <v>601</v>
      </c>
      <c r="FJ799" s="1">
        <v>42151</v>
      </c>
      <c r="FK799">
        <v>2014</v>
      </c>
      <c r="FL799">
        <v>259.3</v>
      </c>
      <c r="FM799" t="s">
        <v>8420</v>
      </c>
      <c r="FN799">
        <v>5</v>
      </c>
      <c r="FO799" t="s">
        <v>424</v>
      </c>
      <c r="FP799" t="s">
        <v>425</v>
      </c>
      <c r="FQ799" s="1">
        <v>42558</v>
      </c>
      <c r="FR799">
        <v>14</v>
      </c>
      <c r="FS799">
        <v>6516843</v>
      </c>
      <c r="FT799" t="s">
        <v>601</v>
      </c>
      <c r="FV799" s="1">
        <v>41787</v>
      </c>
      <c r="FW799">
        <v>2013</v>
      </c>
      <c r="FX799">
        <v>267.56</v>
      </c>
      <c r="FY799" t="s">
        <v>8421</v>
      </c>
      <c r="FZ799">
        <v>0.25</v>
      </c>
      <c r="GA799" t="s">
        <v>424</v>
      </c>
      <c r="GB799" t="s">
        <v>425</v>
      </c>
      <c r="GC799" s="1">
        <v>41809</v>
      </c>
      <c r="GD799">
        <v>1</v>
      </c>
      <c r="GE799">
        <v>13026</v>
      </c>
      <c r="GF799" t="s">
        <v>2129</v>
      </c>
      <c r="GH799" s="1">
        <v>41052</v>
      </c>
      <c r="GI799">
        <v>2011</v>
      </c>
      <c r="GJ799">
        <v>277.33</v>
      </c>
      <c r="GK799" t="s">
        <v>8422</v>
      </c>
      <c r="GL799">
        <v>15.75</v>
      </c>
      <c r="GM799" t="s">
        <v>424</v>
      </c>
      <c r="GN799" t="s">
        <v>425</v>
      </c>
      <c r="GO799" s="1">
        <v>41365</v>
      </c>
      <c r="GP799">
        <v>11</v>
      </c>
      <c r="GQ799">
        <v>10125</v>
      </c>
      <c r="GR799" t="s">
        <v>440</v>
      </c>
      <c r="GS799" t="s">
        <v>458</v>
      </c>
      <c r="GT799" s="1">
        <v>40688</v>
      </c>
      <c r="GU799">
        <v>2010</v>
      </c>
      <c r="GV799">
        <v>277.77999999999997</v>
      </c>
      <c r="GW799" t="s">
        <v>8423</v>
      </c>
      <c r="GX799">
        <v>10</v>
      </c>
      <c r="GY799" t="s">
        <v>424</v>
      </c>
      <c r="GZ799" t="s">
        <v>425</v>
      </c>
      <c r="HA799" s="1">
        <v>41365</v>
      </c>
      <c r="HB799">
        <v>23</v>
      </c>
      <c r="HC799">
        <v>10125</v>
      </c>
      <c r="HD799" t="s">
        <v>440</v>
      </c>
      <c r="HE799" t="s">
        <v>458</v>
      </c>
    </row>
    <row r="800" spans="1:320" x14ac:dyDescent="0.25">
      <c r="A800">
        <v>16485807</v>
      </c>
      <c r="B800">
        <v>799</v>
      </c>
      <c r="C800" t="s">
        <v>393</v>
      </c>
      <c r="D800" t="s">
        <v>394</v>
      </c>
      <c r="F800" t="str">
        <f>"19-2N-25-0000-0054-0000"</f>
        <v>19-2N-25-0000-0054-0000</v>
      </c>
      <c r="H800" t="str">
        <f>"THOMPSON A J"</f>
        <v>THOMPSON A J</v>
      </c>
      <c r="I800" t="str">
        <f>"9220 CYPRESS GREEN DR"</f>
        <v>9220 CYPRESS GREEN DR</v>
      </c>
      <c r="J800" t="str">
        <f>"JACKSONVILLE FL 32256"</f>
        <v>JACKSONVILLE FL 32256</v>
      </c>
      <c r="K800" t="str">
        <f>"45435 MORGAN CIR"</f>
        <v>45435 MORGAN CIR</v>
      </c>
      <c r="L800" t="str">
        <f t="shared" si="250"/>
        <v>CALLAHAN FL 32011</v>
      </c>
      <c r="M800" t="str">
        <f>"IN OR 2009/1688 EX R/W OR 673/1892"</f>
        <v>IN OR 2009/1688 EX R/W OR 673/1892</v>
      </c>
      <c r="N800" t="str">
        <f>""</f>
        <v/>
      </c>
      <c r="O800" t="str">
        <f>"32789"</f>
        <v>32789</v>
      </c>
      <c r="P800" t="str">
        <f t="shared" si="243"/>
        <v>2017</v>
      </c>
      <c r="Q800" t="str">
        <f>""</f>
        <v/>
      </c>
      <c r="R800" t="str">
        <f t="shared" si="255"/>
        <v>N</v>
      </c>
      <c r="S800" t="str">
        <f>"1.57"</f>
        <v>1.57</v>
      </c>
      <c r="T800" t="str">
        <f>"752.71"</f>
        <v>752.71</v>
      </c>
      <c r="U800" t="str">
        <f>"49634.00"</f>
        <v>49634.00</v>
      </c>
      <c r="V800" t="str">
        <f>"49634.00"</f>
        <v>49634.00</v>
      </c>
      <c r="W800" t="str">
        <f t="shared" si="244"/>
        <v>2017</v>
      </c>
      <c r="X800" t="str">
        <f>""</f>
        <v/>
      </c>
      <c r="Y800" t="str">
        <f>"807.29"</f>
        <v>807.29</v>
      </c>
      <c r="Z800" t="str">
        <f>""</f>
        <v/>
      </c>
      <c r="AA800" t="str">
        <f>"49832.00"</f>
        <v>49832.00</v>
      </c>
      <c r="AB800" t="str">
        <f t="shared" si="253"/>
        <v>Residential</v>
      </c>
      <c r="AC800" t="str">
        <f t="shared" si="254"/>
        <v>0</v>
      </c>
      <c r="AD800" t="str">
        <f>"4"</f>
        <v>4</v>
      </c>
      <c r="AE800" t="str">
        <f>"WOOD (INCLUDE STEEL STUDS)"</f>
        <v>WOOD (INCLUDE STEEL STUDS)</v>
      </c>
      <c r="AF800" t="str">
        <f>"001"</f>
        <v>001</v>
      </c>
      <c r="AG800" t="str">
        <f t="shared" si="256"/>
        <v>FL</v>
      </c>
      <c r="AH800" t="str">
        <f>"68389.00"</f>
        <v>68389.00</v>
      </c>
      <c r="AI800" t="str">
        <f>"23550.00"</f>
        <v>23550.00</v>
      </c>
      <c r="AJ800" t="str">
        <f>"C55-000-587-2263-8"</f>
        <v>C55-000-587-2263-8</v>
      </c>
      <c r="AK800" t="str">
        <f>"12693"</f>
        <v>12693</v>
      </c>
      <c r="AL800">
        <v>3</v>
      </c>
      <c r="AM800">
        <v>928</v>
      </c>
      <c r="AN800">
        <v>846.05</v>
      </c>
      <c r="AQ800" t="s">
        <v>8424</v>
      </c>
      <c r="AR800" t="s">
        <v>8424</v>
      </c>
      <c r="AS800" t="s">
        <v>8424</v>
      </c>
      <c r="AU800" t="s">
        <v>396</v>
      </c>
      <c r="AV800">
        <v>2017</v>
      </c>
      <c r="AW800" t="str">
        <f>"19-2N-25-0000-0054-0000 "</f>
        <v xml:space="preserve">19-2N-25-0000-0054-0000 </v>
      </c>
      <c r="AX800">
        <v>45435</v>
      </c>
      <c r="AZ800" t="s">
        <v>8415</v>
      </c>
      <c r="BA800" t="s">
        <v>1799</v>
      </c>
      <c r="BD800" t="s">
        <v>2785</v>
      </c>
      <c r="BE800" t="s">
        <v>393</v>
      </c>
      <c r="BF800">
        <v>32011</v>
      </c>
      <c r="BG800" t="s">
        <v>8425</v>
      </c>
      <c r="BH800" t="s">
        <v>2787</v>
      </c>
      <c r="BI800">
        <v>-81.844267596021197</v>
      </c>
      <c r="BJ800">
        <v>30.570062543486799</v>
      </c>
      <c r="BK800" t="s">
        <v>8426</v>
      </c>
      <c r="BM800" t="s">
        <v>8427</v>
      </c>
      <c r="BN800" t="s">
        <v>548</v>
      </c>
      <c r="BO800">
        <v>32256</v>
      </c>
      <c r="BP800" t="s">
        <v>404</v>
      </c>
      <c r="BQ800">
        <v>100</v>
      </c>
      <c r="BR800" t="s">
        <v>514</v>
      </c>
      <c r="BS800">
        <v>1001</v>
      </c>
      <c r="BT800" t="s">
        <v>515</v>
      </c>
      <c r="BW800">
        <v>68389</v>
      </c>
      <c r="BX800" t="s">
        <v>407</v>
      </c>
      <c r="BY800" t="s">
        <v>408</v>
      </c>
      <c r="BZ800">
        <v>4</v>
      </c>
      <c r="CA800">
        <v>1943</v>
      </c>
      <c r="CB800">
        <v>1</v>
      </c>
      <c r="CC800">
        <v>1</v>
      </c>
      <c r="CD800">
        <v>2017</v>
      </c>
      <c r="CE800">
        <v>23550</v>
      </c>
      <c r="CF800">
        <v>26282</v>
      </c>
      <c r="CG800">
        <v>49832</v>
      </c>
      <c r="CH800">
        <v>2017</v>
      </c>
      <c r="CI800">
        <v>23550</v>
      </c>
      <c r="CJ800">
        <v>26282</v>
      </c>
      <c r="CK800">
        <v>49832</v>
      </c>
      <c r="CL800">
        <v>2017</v>
      </c>
      <c r="CM800">
        <v>752.71</v>
      </c>
      <c r="CN800" s="1">
        <v>42297</v>
      </c>
      <c r="CO800">
        <v>11700</v>
      </c>
      <c r="CZ800" s="1">
        <v>42297</v>
      </c>
      <c r="DD800" t="s">
        <v>2785</v>
      </c>
      <c r="DG800">
        <v>19</v>
      </c>
      <c r="DL800">
        <v>50503</v>
      </c>
      <c r="DM800" t="s">
        <v>8259</v>
      </c>
      <c r="DO800" t="s">
        <v>8428</v>
      </c>
      <c r="DP800">
        <v>0</v>
      </c>
      <c r="DQ800">
        <v>0</v>
      </c>
      <c r="DR800" t="s">
        <v>411</v>
      </c>
    </row>
    <row r="801" spans="1:284" x14ac:dyDescent="0.25">
      <c r="A801">
        <v>16485808</v>
      </c>
      <c r="B801">
        <v>800</v>
      </c>
      <c r="C801" t="s">
        <v>393</v>
      </c>
      <c r="D801" t="s">
        <v>394</v>
      </c>
      <c r="F801" t="str">
        <f>"19-2N-25-0000-0055-0010"</f>
        <v>19-2N-25-0000-0055-0010</v>
      </c>
      <c r="H801" t="str">
        <f>"COAKLEY EMMITT D"</f>
        <v>COAKLEY EMMITT D</v>
      </c>
      <c r="I801" t="str">
        <f>"PO BOX 536"</f>
        <v>PO BOX 536</v>
      </c>
      <c r="J801" t="str">
        <f>"CALLAHAN FL 32011"</f>
        <v>CALLAHAN FL 32011</v>
      </c>
      <c r="K801" t="str">
        <f>"DENEFIELD RD"</f>
        <v>DENEFIELD RD</v>
      </c>
      <c r="L801" t="str">
        <f t="shared" si="250"/>
        <v>CALLAHAN FL 32011</v>
      </c>
      <c r="M801" t="str">
        <f>"IN OR 74 PG 312"</f>
        <v>IN OR 74 PG 312</v>
      </c>
      <c r="N801" t="str">
        <f>""</f>
        <v/>
      </c>
      <c r="O801" t="str">
        <f>"32791"</f>
        <v>32791</v>
      </c>
      <c r="P801" t="str">
        <f t="shared" si="243"/>
        <v>2017</v>
      </c>
      <c r="Q801" t="str">
        <f>""</f>
        <v/>
      </c>
      <c r="R801" t="str">
        <f t="shared" si="255"/>
        <v>N</v>
      </c>
      <c r="S801" t="str">
        <f>"0.35"</f>
        <v>0.35</v>
      </c>
      <c r="T801" t="str">
        <f>"74.10"</f>
        <v>74.10</v>
      </c>
      <c r="U801" t="str">
        <f>"4620.00"</f>
        <v>4620.00</v>
      </c>
      <c r="V801" t="str">
        <f>"4620.00"</f>
        <v>4620.00</v>
      </c>
      <c r="W801" t="str">
        <f t="shared" si="244"/>
        <v>2017</v>
      </c>
      <c r="X801" t="str">
        <f>""</f>
        <v/>
      </c>
      <c r="Y801" t="str">
        <f>"108.32"</f>
        <v>108.32</v>
      </c>
      <c r="Z801" t="str">
        <f>""</f>
        <v/>
      </c>
      <c r="AA801" t="str">
        <f>"5250.00"</f>
        <v>5250.00</v>
      </c>
      <c r="AB801" t="str">
        <f t="shared" si="253"/>
        <v>Residential</v>
      </c>
      <c r="AC801" t="str">
        <f t="shared" si="254"/>
        <v>0</v>
      </c>
      <c r="AD801" t="str">
        <f>""</f>
        <v/>
      </c>
      <c r="AE801" t="str">
        <f>""</f>
        <v/>
      </c>
      <c r="AF801" t="str">
        <f>"000"</f>
        <v>000</v>
      </c>
      <c r="AG801" t="str">
        <f t="shared" si="256"/>
        <v>FL</v>
      </c>
      <c r="AH801" t="str">
        <f>"15246.00"</f>
        <v>15246.00</v>
      </c>
      <c r="AI801" t="str">
        <f>"5250.00"</f>
        <v>5250.00</v>
      </c>
      <c r="AJ801" t="str">
        <f>"C55-000-587-2265-3"</f>
        <v>C55-000-587-2265-3</v>
      </c>
      <c r="AK801" t="str">
        <f>"12695"</f>
        <v>12695</v>
      </c>
      <c r="AL801">
        <v>3</v>
      </c>
      <c r="AM801">
        <v>929</v>
      </c>
      <c r="AN801">
        <v>112.14</v>
      </c>
      <c r="AQ801" t="s">
        <v>8429</v>
      </c>
      <c r="AR801" t="s">
        <v>8429</v>
      </c>
      <c r="AS801" t="s">
        <v>8429</v>
      </c>
      <c r="AU801" t="s">
        <v>396</v>
      </c>
      <c r="AV801">
        <v>2017</v>
      </c>
      <c r="AW801" t="str">
        <f>"19-2N-25-0000-0055-0010 "</f>
        <v xml:space="preserve">19-2N-25-0000-0055-0010 </v>
      </c>
      <c r="AZ801" t="s">
        <v>8430</v>
      </c>
      <c r="BA801" t="s">
        <v>496</v>
      </c>
      <c r="BD801" t="s">
        <v>2785</v>
      </c>
      <c r="BE801" t="s">
        <v>393</v>
      </c>
      <c r="BF801">
        <v>32011</v>
      </c>
      <c r="BG801" t="s">
        <v>8431</v>
      </c>
      <c r="BH801" t="s">
        <v>2787</v>
      </c>
      <c r="BI801">
        <v>-81.843329427287998</v>
      </c>
      <c r="BJ801">
        <v>30.5694111545323</v>
      </c>
      <c r="BK801" t="s">
        <v>8432</v>
      </c>
      <c r="BL801" t="s">
        <v>8433</v>
      </c>
      <c r="BM801" t="s">
        <v>8434</v>
      </c>
      <c r="BN801" t="s">
        <v>928</v>
      </c>
      <c r="BO801">
        <v>32011</v>
      </c>
      <c r="BP801" t="s">
        <v>404</v>
      </c>
      <c r="BQ801">
        <v>0</v>
      </c>
      <c r="BR801" t="s">
        <v>491</v>
      </c>
      <c r="BS801">
        <v>8001</v>
      </c>
      <c r="BT801" t="s">
        <v>492</v>
      </c>
      <c r="BW801">
        <v>15246</v>
      </c>
      <c r="BX801" t="s">
        <v>407</v>
      </c>
      <c r="BY801" t="s">
        <v>408</v>
      </c>
      <c r="CD801">
        <v>2017</v>
      </c>
      <c r="CE801">
        <v>5250</v>
      </c>
      <c r="CG801">
        <v>5250</v>
      </c>
      <c r="CH801">
        <v>2017</v>
      </c>
      <c r="CI801">
        <v>5250</v>
      </c>
      <c r="CK801">
        <v>5250</v>
      </c>
      <c r="CL801">
        <v>2017</v>
      </c>
      <c r="CM801">
        <v>74.099999999999994</v>
      </c>
      <c r="DD801" t="s">
        <v>2785</v>
      </c>
      <c r="DG801">
        <v>19</v>
      </c>
      <c r="DL801">
        <v>50503</v>
      </c>
      <c r="DM801" t="s">
        <v>8259</v>
      </c>
      <c r="DO801" t="s">
        <v>8435</v>
      </c>
      <c r="DP801">
        <v>0</v>
      </c>
      <c r="DQ801">
        <v>0</v>
      </c>
      <c r="DR801" t="s">
        <v>411</v>
      </c>
      <c r="DS801" t="b">
        <v>1</v>
      </c>
      <c r="DT801" t="s">
        <v>396</v>
      </c>
      <c r="DV801" t="s">
        <v>446</v>
      </c>
      <c r="DX801">
        <v>-9999</v>
      </c>
      <c r="DZ801" t="s">
        <v>447</v>
      </c>
      <c r="EA801" t="s">
        <v>448</v>
      </c>
      <c r="EB801" t="s">
        <v>449</v>
      </c>
      <c r="EC801">
        <v>20101217</v>
      </c>
      <c r="ED801" t="s">
        <v>450</v>
      </c>
      <c r="EE801">
        <v>17.5</v>
      </c>
      <c r="EF801">
        <v>0</v>
      </c>
      <c r="EG801">
        <v>0</v>
      </c>
      <c r="EI801">
        <v>20160407</v>
      </c>
      <c r="EJ801">
        <v>0</v>
      </c>
      <c r="EK801">
        <v>0</v>
      </c>
      <c r="EP801" t="s">
        <v>595</v>
      </c>
      <c r="EQ801" t="s">
        <v>422</v>
      </c>
      <c r="ER801">
        <v>4</v>
      </c>
      <c r="ES801">
        <v>0</v>
      </c>
      <c r="ET801">
        <v>385.28</v>
      </c>
      <c r="EU801">
        <v>107.23</v>
      </c>
      <c r="EV801">
        <v>492.51</v>
      </c>
      <c r="EW801" s="2">
        <v>43222</v>
      </c>
      <c r="EX801" s="1">
        <v>42879</v>
      </c>
      <c r="EY801">
        <v>2016</v>
      </c>
      <c r="EZ801">
        <v>96.71</v>
      </c>
      <c r="FA801" t="s">
        <v>8436</v>
      </c>
      <c r="FB801">
        <v>18</v>
      </c>
      <c r="FC801" t="s">
        <v>603</v>
      </c>
      <c r="FD801" t="s">
        <v>454</v>
      </c>
      <c r="FF801">
        <v>12</v>
      </c>
      <c r="FG801">
        <v>9999999</v>
      </c>
      <c r="FH801" t="s">
        <v>604</v>
      </c>
      <c r="FJ801" s="1">
        <v>42879</v>
      </c>
      <c r="FK801">
        <v>2016</v>
      </c>
      <c r="FL801">
        <v>107.31</v>
      </c>
      <c r="FM801" t="s">
        <v>8436</v>
      </c>
      <c r="FN801">
        <v>18</v>
      </c>
      <c r="FO801" t="s">
        <v>424</v>
      </c>
      <c r="FP801" t="s">
        <v>454</v>
      </c>
      <c r="FR801">
        <v>12</v>
      </c>
      <c r="FS801">
        <v>7685300</v>
      </c>
      <c r="FT801" t="s">
        <v>2881</v>
      </c>
      <c r="FV801" s="1">
        <v>42515</v>
      </c>
      <c r="FW801">
        <v>2015</v>
      </c>
      <c r="FX801">
        <v>90.46</v>
      </c>
      <c r="FY801" t="s">
        <v>8437</v>
      </c>
      <c r="FZ801">
        <v>18</v>
      </c>
      <c r="GA801" t="s">
        <v>424</v>
      </c>
      <c r="GB801" t="s">
        <v>454</v>
      </c>
      <c r="GD801">
        <v>24</v>
      </c>
      <c r="GE801">
        <v>3039821</v>
      </c>
      <c r="GF801" t="s">
        <v>721</v>
      </c>
      <c r="GH801" s="1">
        <v>42151</v>
      </c>
      <c r="GI801">
        <v>2014</v>
      </c>
      <c r="GJ801">
        <v>90.8</v>
      </c>
      <c r="GK801" t="s">
        <v>8438</v>
      </c>
      <c r="GL801">
        <v>4.75</v>
      </c>
      <c r="GM801" t="s">
        <v>424</v>
      </c>
      <c r="GN801" t="s">
        <v>454</v>
      </c>
      <c r="GP801">
        <v>36</v>
      </c>
      <c r="GQ801">
        <v>7045028</v>
      </c>
      <c r="GR801" t="s">
        <v>8439</v>
      </c>
    </row>
    <row r="802" spans="1:284" x14ac:dyDescent="0.25">
      <c r="A802">
        <v>16485809</v>
      </c>
      <c r="B802">
        <v>801</v>
      </c>
      <c r="C802" t="s">
        <v>393</v>
      </c>
      <c r="D802" t="s">
        <v>394</v>
      </c>
      <c r="F802" t="str">
        <f>"19-2N-25-0000-0075-0000"</f>
        <v>19-2N-25-0000-0075-0000</v>
      </c>
      <c r="H802" t="str">
        <f>"KILLINGS LENDFORD &amp; EARTHIE"</f>
        <v>KILLINGS LENDFORD &amp; EARTHIE</v>
      </c>
      <c r="I802" t="str">
        <f>"PO BOX 329"</f>
        <v>PO BOX 329</v>
      </c>
      <c r="J802" t="str">
        <f>"CALLAHAN FL 32011"</f>
        <v>CALLAHAN FL 32011</v>
      </c>
      <c r="K802" t="str">
        <f>"JOHNSON RD"</f>
        <v>JOHNSON RD</v>
      </c>
      <c r="L802" t="str">
        <f t="shared" si="250"/>
        <v>CALLAHAN FL 32011</v>
      </c>
      <c r="M802" t="str">
        <f>"LOTS 36 37 &amp; 38 IN OR 1747/1008 (EX ESMT IN OR 734/1027) W H BRANDIES SURVEY OR 15/357"</f>
        <v>LOTS 36 37 &amp; 38 IN OR 1747/1008 (EX ESMT IN OR 734/1027) W H BRANDIES SURVEY OR 15/357</v>
      </c>
      <c r="N802" t="str">
        <f>""</f>
        <v/>
      </c>
      <c r="O802" t="str">
        <f>"32808"</f>
        <v>32808</v>
      </c>
      <c r="P802" t="str">
        <f t="shared" si="243"/>
        <v>2017</v>
      </c>
      <c r="Q802" t="str">
        <f>""</f>
        <v/>
      </c>
      <c r="R802" t="str">
        <f t="shared" si="255"/>
        <v>N</v>
      </c>
      <c r="S802" t="str">
        <f>"1.00"</f>
        <v>1.00</v>
      </c>
      <c r="T802" t="str">
        <f>"190.55"</f>
        <v>190.55</v>
      </c>
      <c r="U802" t="str">
        <f>"11880.00"</f>
        <v>11880.00</v>
      </c>
      <c r="V802" t="str">
        <f>"11880.00"</f>
        <v>11880.00</v>
      </c>
      <c r="W802" t="str">
        <f t="shared" si="244"/>
        <v>2017</v>
      </c>
      <c r="X802" t="str">
        <f>"28.50"</f>
        <v>28.50</v>
      </c>
      <c r="Y802" t="str">
        <f>"228.27"</f>
        <v>228.27</v>
      </c>
      <c r="Z802" t="str">
        <f>""</f>
        <v/>
      </c>
      <c r="AA802" t="str">
        <f>"13500.00"</f>
        <v>13500.00</v>
      </c>
      <c r="AB802" t="str">
        <f t="shared" si="253"/>
        <v>Residential</v>
      </c>
      <c r="AC802" t="str">
        <f t="shared" si="254"/>
        <v>0</v>
      </c>
      <c r="AD802" t="str">
        <f>""</f>
        <v/>
      </c>
      <c r="AE802" t="str">
        <f>""</f>
        <v/>
      </c>
      <c r="AF802" t="str">
        <f>"000"</f>
        <v>000</v>
      </c>
      <c r="AG802" t="str">
        <f t="shared" si="256"/>
        <v>FL</v>
      </c>
      <c r="AH802" t="str">
        <f>"43560.00"</f>
        <v>43560.00</v>
      </c>
      <c r="AI802" t="str">
        <f>"13500.00"</f>
        <v>13500.00</v>
      </c>
      <c r="AJ802" t="str">
        <f>"C55-000-587-2280-2"</f>
        <v>C55-000-587-2280-2</v>
      </c>
      <c r="AK802" t="str">
        <f>"12710"</f>
        <v>12710</v>
      </c>
      <c r="AL802">
        <v>3</v>
      </c>
      <c r="AM802">
        <v>930</v>
      </c>
      <c r="AN802">
        <v>238.08</v>
      </c>
      <c r="AQ802" t="s">
        <v>8440</v>
      </c>
      <c r="AR802" t="s">
        <v>8440</v>
      </c>
      <c r="AS802" t="s">
        <v>8440</v>
      </c>
      <c r="AU802" t="s">
        <v>396</v>
      </c>
      <c r="AV802">
        <v>2017</v>
      </c>
      <c r="AW802" t="str">
        <f>"19-2N-25-0000-0075-0000 "</f>
        <v xml:space="preserve">19-2N-25-0000-0075-0000 </v>
      </c>
      <c r="AZ802" t="s">
        <v>2280</v>
      </c>
      <c r="BA802" t="s">
        <v>496</v>
      </c>
      <c r="BD802" t="s">
        <v>2785</v>
      </c>
      <c r="BE802" t="s">
        <v>393</v>
      </c>
      <c r="BF802">
        <v>32011</v>
      </c>
      <c r="BG802" t="s">
        <v>2281</v>
      </c>
      <c r="BH802" t="s">
        <v>2787</v>
      </c>
      <c r="BI802">
        <v>-81.838267044764706</v>
      </c>
      <c r="BJ802">
        <v>30.573908068005402</v>
      </c>
      <c r="BK802" t="s">
        <v>8441</v>
      </c>
      <c r="BL802" t="s">
        <v>8442</v>
      </c>
      <c r="BM802" t="s">
        <v>8300</v>
      </c>
      <c r="BN802" t="s">
        <v>928</v>
      </c>
      <c r="BO802">
        <v>32011</v>
      </c>
      <c r="BP802" t="s">
        <v>404</v>
      </c>
      <c r="BQ802">
        <v>0</v>
      </c>
      <c r="BR802" t="s">
        <v>491</v>
      </c>
      <c r="BS802">
        <v>8001</v>
      </c>
      <c r="BT802" t="s">
        <v>492</v>
      </c>
      <c r="BW802">
        <v>40720</v>
      </c>
      <c r="BX802" t="s">
        <v>407</v>
      </c>
      <c r="BY802" t="s">
        <v>4360</v>
      </c>
      <c r="CD802">
        <v>2017</v>
      </c>
      <c r="CE802">
        <v>13500</v>
      </c>
      <c r="CG802">
        <v>13500</v>
      </c>
      <c r="CH802">
        <v>2017</v>
      </c>
      <c r="CI802">
        <v>13500</v>
      </c>
      <c r="CK802">
        <v>13500</v>
      </c>
      <c r="CL802">
        <v>2017</v>
      </c>
      <c r="CM802">
        <v>190.55</v>
      </c>
      <c r="CN802" s="1">
        <v>40743</v>
      </c>
      <c r="CV802">
        <v>0</v>
      </c>
      <c r="CZ802" s="1">
        <v>40743</v>
      </c>
      <c r="DA802">
        <v>0</v>
      </c>
      <c r="DD802" t="s">
        <v>2785</v>
      </c>
      <c r="DG802">
        <v>19</v>
      </c>
      <c r="DL802">
        <v>50503</v>
      </c>
      <c r="DM802" t="s">
        <v>8259</v>
      </c>
      <c r="DO802" t="s">
        <v>8443</v>
      </c>
      <c r="DP802">
        <v>0</v>
      </c>
      <c r="DQ802">
        <v>1</v>
      </c>
      <c r="DR802" t="s">
        <v>1479</v>
      </c>
      <c r="DS802" t="b">
        <v>1</v>
      </c>
      <c r="DT802" t="s">
        <v>470</v>
      </c>
      <c r="DU802" t="s">
        <v>471</v>
      </c>
      <c r="DV802" t="s">
        <v>472</v>
      </c>
      <c r="DX802">
        <v>-9999</v>
      </c>
      <c r="DZ802" t="s">
        <v>447</v>
      </c>
      <c r="EA802" t="s">
        <v>448</v>
      </c>
      <c r="EB802" t="s">
        <v>742</v>
      </c>
      <c r="EC802">
        <v>20101217</v>
      </c>
      <c r="ED802" t="s">
        <v>474</v>
      </c>
      <c r="EF802">
        <v>675.9</v>
      </c>
      <c r="EG802">
        <v>675.9</v>
      </c>
      <c r="EI802">
        <v>20160407</v>
      </c>
      <c r="EJ802">
        <v>0</v>
      </c>
      <c r="EK802">
        <v>0</v>
      </c>
      <c r="EP802" t="s">
        <v>595</v>
      </c>
      <c r="EQ802" t="s">
        <v>422</v>
      </c>
      <c r="ER802">
        <v>1</v>
      </c>
      <c r="ES802">
        <v>8</v>
      </c>
      <c r="ET802">
        <v>206.31</v>
      </c>
      <c r="EU802">
        <v>21.72</v>
      </c>
      <c r="EV802">
        <v>228.03</v>
      </c>
      <c r="EW802" s="2">
        <v>43222</v>
      </c>
      <c r="EX802" s="1">
        <v>42879</v>
      </c>
      <c r="EY802">
        <v>2016</v>
      </c>
      <c r="EZ802">
        <v>206.31</v>
      </c>
      <c r="FA802" t="s">
        <v>8444</v>
      </c>
      <c r="FB802">
        <v>7.5</v>
      </c>
      <c r="FC802" t="s">
        <v>424</v>
      </c>
      <c r="FD802" t="s">
        <v>454</v>
      </c>
      <c r="FF802">
        <v>12</v>
      </c>
      <c r="FG802">
        <v>10125</v>
      </c>
      <c r="FH802" t="s">
        <v>440</v>
      </c>
      <c r="FJ802" s="1">
        <v>42515</v>
      </c>
      <c r="FK802">
        <v>2015</v>
      </c>
      <c r="FL802">
        <v>200.54</v>
      </c>
      <c r="FM802" t="s">
        <v>8445</v>
      </c>
      <c r="FN802">
        <v>18</v>
      </c>
      <c r="FO802" t="s">
        <v>603</v>
      </c>
      <c r="FP802" t="s">
        <v>425</v>
      </c>
      <c r="FR802">
        <v>22</v>
      </c>
      <c r="FS802">
        <v>9999999</v>
      </c>
      <c r="FT802" t="s">
        <v>604</v>
      </c>
      <c r="FV802" s="1">
        <v>42515</v>
      </c>
      <c r="FW802">
        <v>2015</v>
      </c>
      <c r="FX802">
        <v>233.86</v>
      </c>
      <c r="FY802" t="s">
        <v>8445</v>
      </c>
      <c r="FZ802">
        <v>18</v>
      </c>
      <c r="GA802" t="s">
        <v>424</v>
      </c>
      <c r="GB802" t="s">
        <v>425</v>
      </c>
      <c r="GC802" s="1">
        <v>43045</v>
      </c>
      <c r="GD802">
        <v>18</v>
      </c>
      <c r="GE802">
        <v>2101381</v>
      </c>
      <c r="GF802" t="s">
        <v>605</v>
      </c>
      <c r="GH802" s="1">
        <v>42151</v>
      </c>
      <c r="GI802">
        <v>2014</v>
      </c>
      <c r="GJ802">
        <v>201.45</v>
      </c>
      <c r="GK802" t="s">
        <v>8446</v>
      </c>
      <c r="GL802">
        <v>4.75</v>
      </c>
      <c r="GM802" t="s">
        <v>424</v>
      </c>
      <c r="GN802" t="s">
        <v>425</v>
      </c>
      <c r="GO802" s="1">
        <v>42780</v>
      </c>
      <c r="GP802">
        <v>21</v>
      </c>
      <c r="GQ802">
        <v>4975593</v>
      </c>
      <c r="GR802" t="s">
        <v>505</v>
      </c>
      <c r="GT802" s="1">
        <v>41787</v>
      </c>
      <c r="GU802">
        <v>2013</v>
      </c>
      <c r="GV802">
        <v>191.86</v>
      </c>
      <c r="GW802" t="s">
        <v>8447</v>
      </c>
      <c r="GX802">
        <v>6.75</v>
      </c>
      <c r="GY802" t="s">
        <v>424</v>
      </c>
      <c r="GZ802" t="s">
        <v>425</v>
      </c>
      <c r="HB802">
        <v>22</v>
      </c>
      <c r="HC802">
        <v>2035919</v>
      </c>
      <c r="HD802" t="s">
        <v>507</v>
      </c>
      <c r="HF802" s="1">
        <v>41787</v>
      </c>
      <c r="HG802">
        <v>2013</v>
      </c>
      <c r="HH802">
        <v>191.86</v>
      </c>
      <c r="HI802" t="s">
        <v>8447</v>
      </c>
      <c r="HJ802">
        <v>6.75</v>
      </c>
      <c r="HK802" t="s">
        <v>424</v>
      </c>
      <c r="HL802" t="s">
        <v>425</v>
      </c>
      <c r="HM802" s="1">
        <v>42780</v>
      </c>
      <c r="HN802">
        <v>33</v>
      </c>
      <c r="HO802">
        <v>7336670</v>
      </c>
      <c r="HP802" t="s">
        <v>2102</v>
      </c>
      <c r="HR802" s="1">
        <v>41423</v>
      </c>
      <c r="HS802">
        <v>2012</v>
      </c>
      <c r="HT802">
        <v>193.99</v>
      </c>
      <c r="HU802" t="s">
        <v>8448</v>
      </c>
      <c r="HV802">
        <v>6.25</v>
      </c>
      <c r="HW802" t="s">
        <v>424</v>
      </c>
      <c r="HX802" t="s">
        <v>425</v>
      </c>
      <c r="HY802" s="1">
        <v>42062</v>
      </c>
      <c r="HZ802">
        <v>21</v>
      </c>
      <c r="IA802">
        <v>2101381</v>
      </c>
      <c r="IB802" t="s">
        <v>605</v>
      </c>
      <c r="ID802" s="1">
        <v>41052</v>
      </c>
      <c r="IE802">
        <v>2011</v>
      </c>
      <c r="IF802">
        <v>188.99</v>
      </c>
      <c r="IG802" t="s">
        <v>8449</v>
      </c>
      <c r="IH802">
        <v>16</v>
      </c>
      <c r="II802" t="s">
        <v>424</v>
      </c>
      <c r="IJ802" t="s">
        <v>425</v>
      </c>
      <c r="IK802" s="1">
        <v>42780</v>
      </c>
      <c r="IL802">
        <v>57</v>
      </c>
      <c r="IM802">
        <v>10125</v>
      </c>
      <c r="IN802" t="s">
        <v>440</v>
      </c>
      <c r="IP802" s="1">
        <v>40688</v>
      </c>
      <c r="IQ802">
        <v>2010</v>
      </c>
      <c r="IR802">
        <v>188.95</v>
      </c>
      <c r="IS802" t="s">
        <v>8450</v>
      </c>
      <c r="IT802">
        <v>8.75</v>
      </c>
      <c r="IU802" t="s">
        <v>424</v>
      </c>
      <c r="IV802" t="s">
        <v>425</v>
      </c>
      <c r="IW802" s="1">
        <v>41333</v>
      </c>
      <c r="IX802">
        <v>21</v>
      </c>
      <c r="IY802">
        <v>105</v>
      </c>
      <c r="IZ802" t="s">
        <v>946</v>
      </c>
    </row>
    <row r="803" spans="1:284" x14ac:dyDescent="0.25">
      <c r="A803">
        <v>16485810</v>
      </c>
      <c r="B803">
        <v>802</v>
      </c>
      <c r="C803" t="s">
        <v>393</v>
      </c>
      <c r="D803" t="s">
        <v>394</v>
      </c>
      <c r="F803" t="str">
        <f>"19-2N-25-0000-0084-0000"</f>
        <v>19-2N-25-0000-0084-0000</v>
      </c>
      <c r="H803" t="str">
        <f>"WILLIAMS ANTHONY"</f>
        <v>WILLIAMS ANTHONY</v>
      </c>
      <c r="I803" t="str">
        <f>"2819 RIPLEY AVE"</f>
        <v>2819 RIPLEY AVE</v>
      </c>
      <c r="J803" t="str">
        <f>"JACKSONVILLE FL 32207"</f>
        <v>JACKSONVILLE FL 32207</v>
      </c>
      <c r="K803" t="str">
        <f>"45064 COLSON RD"</f>
        <v>45064 COLSON RD</v>
      </c>
      <c r="L803" t="str">
        <f t="shared" si="250"/>
        <v>CALLAHAN FL 32011</v>
      </c>
      <c r="M803" t="str">
        <f>"PT GOVT LOT 2 OF SEC 19-2N-25E IN OR 2097/1688(EX PT IN OR 289/715)"</f>
        <v>PT GOVT LOT 2 OF SEC 19-2N-25E IN OR 2097/1688(EX PT IN OR 289/715)</v>
      </c>
      <c r="N803" t="str">
        <f>""</f>
        <v/>
      </c>
      <c r="O803" t="str">
        <f>"32815"</f>
        <v>32815</v>
      </c>
      <c r="P803" t="str">
        <f t="shared" si="243"/>
        <v>2017</v>
      </c>
      <c r="Q803" t="str">
        <f>""</f>
        <v/>
      </c>
      <c r="R803" t="str">
        <f t="shared" si="255"/>
        <v>N</v>
      </c>
      <c r="S803" t="str">
        <f>"1.94"</f>
        <v>1.94</v>
      </c>
      <c r="T803" t="str">
        <f>"1047.47"</f>
        <v>1047.47</v>
      </c>
      <c r="U803" t="str">
        <f>"69191.00"</f>
        <v>69191.00</v>
      </c>
      <c r="V803" t="str">
        <f>"69191.00"</f>
        <v>69191.00</v>
      </c>
      <c r="W803" t="str">
        <f t="shared" si="244"/>
        <v>2017</v>
      </c>
      <c r="X803" t="str">
        <f>"27.00"</f>
        <v>27.00</v>
      </c>
      <c r="Y803" t="str">
        <f>"1110.89"</f>
        <v>1110.89</v>
      </c>
      <c r="Z803" t="str">
        <f>""</f>
        <v/>
      </c>
      <c r="AA803" t="str">
        <f>"69191.00"</f>
        <v>69191.00</v>
      </c>
      <c r="AB803" t="str">
        <f t="shared" si="253"/>
        <v>Residential</v>
      </c>
      <c r="AC803" t="str">
        <f t="shared" si="254"/>
        <v>0</v>
      </c>
      <c r="AD803" t="str">
        <f>"4"</f>
        <v>4</v>
      </c>
      <c r="AE803" t="str">
        <f>"WOOD (INCLUDE STEEL STUDS)"</f>
        <v>WOOD (INCLUDE STEEL STUDS)</v>
      </c>
      <c r="AF803" t="str">
        <f>"001"</f>
        <v>001</v>
      </c>
      <c r="AG803" t="str">
        <f t="shared" si="256"/>
        <v>FL</v>
      </c>
      <c r="AH803" t="str">
        <f>"84506.00"</f>
        <v>84506.00</v>
      </c>
      <c r="AI803" t="str">
        <f>"29100.00"</f>
        <v>29100.00</v>
      </c>
      <c r="AJ803" t="str">
        <f>"C55-000-587-2286-9"</f>
        <v>C55-000-587-2286-9</v>
      </c>
      <c r="AK803" t="str">
        <f>"12716"</f>
        <v>12716</v>
      </c>
      <c r="AL803">
        <v>3</v>
      </c>
      <c r="AM803">
        <v>931</v>
      </c>
      <c r="AN803">
        <v>1164.83</v>
      </c>
      <c r="AQ803" t="s">
        <v>8451</v>
      </c>
      <c r="AR803" t="s">
        <v>8451</v>
      </c>
      <c r="AS803" t="s">
        <v>8451</v>
      </c>
      <c r="AU803" t="s">
        <v>396</v>
      </c>
      <c r="AV803">
        <v>2017</v>
      </c>
      <c r="AW803" t="str">
        <f>"19-2N-25-0000-0084-0000 "</f>
        <v xml:space="preserve">19-2N-25-0000-0084-0000 </v>
      </c>
      <c r="AX803">
        <v>45064</v>
      </c>
      <c r="AZ803" t="s">
        <v>8452</v>
      </c>
      <c r="BA803" t="s">
        <v>496</v>
      </c>
      <c r="BD803" t="s">
        <v>2785</v>
      </c>
      <c r="BE803" t="s">
        <v>393</v>
      </c>
      <c r="BF803">
        <v>32011</v>
      </c>
      <c r="BG803" t="s">
        <v>8453</v>
      </c>
      <c r="BH803" t="s">
        <v>2787</v>
      </c>
      <c r="BI803">
        <v>-81.837278681075006</v>
      </c>
      <c r="BJ803">
        <v>30.572883510718299</v>
      </c>
      <c r="BK803" t="s">
        <v>8454</v>
      </c>
      <c r="BM803" t="s">
        <v>8455</v>
      </c>
      <c r="BN803" t="s">
        <v>548</v>
      </c>
      <c r="BO803">
        <v>32207</v>
      </c>
      <c r="BP803" t="s">
        <v>404</v>
      </c>
      <c r="BQ803">
        <v>100</v>
      </c>
      <c r="BR803" t="s">
        <v>514</v>
      </c>
      <c r="BS803">
        <v>1001</v>
      </c>
      <c r="BT803" t="s">
        <v>515</v>
      </c>
      <c r="BW803">
        <v>84506</v>
      </c>
      <c r="BX803" t="s">
        <v>407</v>
      </c>
      <c r="BY803" t="s">
        <v>4360</v>
      </c>
      <c r="BZ803">
        <v>4</v>
      </c>
      <c r="CA803">
        <v>1924</v>
      </c>
      <c r="CB803">
        <v>1</v>
      </c>
      <c r="CC803">
        <v>1</v>
      </c>
      <c r="CD803">
        <v>2017</v>
      </c>
      <c r="CE803">
        <v>29100</v>
      </c>
      <c r="CF803">
        <v>40091</v>
      </c>
      <c r="CG803">
        <v>69191</v>
      </c>
      <c r="CH803">
        <v>2017</v>
      </c>
      <c r="CI803">
        <v>29100</v>
      </c>
      <c r="CJ803">
        <v>40091</v>
      </c>
      <c r="CK803">
        <v>69191</v>
      </c>
      <c r="CL803">
        <v>2017</v>
      </c>
      <c r="CM803">
        <v>1047.47</v>
      </c>
      <c r="CN803" s="1">
        <v>41918</v>
      </c>
      <c r="CZ803" s="1">
        <v>41918</v>
      </c>
      <c r="DD803" t="s">
        <v>2785</v>
      </c>
      <c r="DG803">
        <v>19</v>
      </c>
      <c r="DL803">
        <v>50503</v>
      </c>
      <c r="DM803" t="s">
        <v>8259</v>
      </c>
      <c r="DO803" t="s">
        <v>8456</v>
      </c>
      <c r="DP803">
        <v>0</v>
      </c>
      <c r="DQ803">
        <v>4</v>
      </c>
      <c r="DR803" t="s">
        <v>1479</v>
      </c>
      <c r="DS803" t="b">
        <v>1</v>
      </c>
      <c r="DT803" t="s">
        <v>470</v>
      </c>
      <c r="DU803" t="s">
        <v>471</v>
      </c>
      <c r="DV803" t="s">
        <v>472</v>
      </c>
      <c r="DX803">
        <v>-9999</v>
      </c>
      <c r="DZ803" t="s">
        <v>447</v>
      </c>
      <c r="EA803" t="s">
        <v>448</v>
      </c>
      <c r="EB803" t="s">
        <v>742</v>
      </c>
      <c r="EC803">
        <v>20101217</v>
      </c>
      <c r="ED803" t="s">
        <v>474</v>
      </c>
      <c r="EF803">
        <v>878.3</v>
      </c>
      <c r="EG803">
        <v>878.3</v>
      </c>
      <c r="EI803">
        <v>20160407</v>
      </c>
      <c r="EJ803">
        <v>0</v>
      </c>
      <c r="EK803">
        <v>0</v>
      </c>
      <c r="EP803" t="s">
        <v>421</v>
      </c>
      <c r="EQ803" t="s">
        <v>422</v>
      </c>
      <c r="ER803">
        <v>2</v>
      </c>
      <c r="ES803">
        <v>8</v>
      </c>
      <c r="ET803">
        <v>2172.86</v>
      </c>
      <c r="EU803">
        <v>121.14</v>
      </c>
      <c r="EV803">
        <v>2294</v>
      </c>
      <c r="EW803" s="2">
        <v>43222</v>
      </c>
      <c r="EX803" s="1">
        <v>42879</v>
      </c>
      <c r="EY803">
        <v>2016</v>
      </c>
      <c r="EZ803">
        <v>1086.43</v>
      </c>
      <c r="FA803" t="s">
        <v>8457</v>
      </c>
      <c r="FB803">
        <v>0.25</v>
      </c>
      <c r="FC803" t="s">
        <v>424</v>
      </c>
      <c r="FD803" t="s">
        <v>454</v>
      </c>
      <c r="FF803">
        <v>12</v>
      </c>
      <c r="FG803">
        <v>7336671</v>
      </c>
      <c r="FH803" t="s">
        <v>437</v>
      </c>
      <c r="FJ803" s="1">
        <v>42879</v>
      </c>
      <c r="FK803">
        <v>2016</v>
      </c>
      <c r="FL803">
        <v>1086.43</v>
      </c>
      <c r="FM803" t="s">
        <v>8457</v>
      </c>
      <c r="FN803">
        <v>0.25</v>
      </c>
      <c r="FO803" t="s">
        <v>424</v>
      </c>
      <c r="FP803" t="s">
        <v>454</v>
      </c>
      <c r="FR803">
        <v>12</v>
      </c>
      <c r="FS803">
        <v>5210516</v>
      </c>
      <c r="FT803" t="s">
        <v>8458</v>
      </c>
      <c r="FV803" s="1">
        <v>42515</v>
      </c>
      <c r="FW803">
        <v>2015</v>
      </c>
      <c r="FX803">
        <v>1114.26</v>
      </c>
      <c r="FY803" t="s">
        <v>8459</v>
      </c>
      <c r="FZ803">
        <v>4.75</v>
      </c>
      <c r="GA803" t="s">
        <v>424</v>
      </c>
      <c r="GB803" t="s">
        <v>425</v>
      </c>
      <c r="GC803" s="1">
        <v>43089</v>
      </c>
      <c r="GD803">
        <v>19</v>
      </c>
      <c r="GE803">
        <v>2035919</v>
      </c>
      <c r="GF803" t="s">
        <v>507</v>
      </c>
      <c r="GH803" s="1">
        <v>42151</v>
      </c>
      <c r="GI803">
        <v>2014</v>
      </c>
      <c r="GJ803">
        <v>1061.33</v>
      </c>
      <c r="GK803" t="s">
        <v>8460</v>
      </c>
      <c r="GL803">
        <v>0.25</v>
      </c>
      <c r="GM803" t="s">
        <v>424</v>
      </c>
      <c r="GN803" t="s">
        <v>425</v>
      </c>
      <c r="GO803" s="1">
        <v>42825</v>
      </c>
      <c r="GP803">
        <v>22</v>
      </c>
      <c r="GQ803">
        <v>2851116</v>
      </c>
      <c r="GR803" t="s">
        <v>480</v>
      </c>
      <c r="GT803" s="1">
        <v>42151</v>
      </c>
      <c r="GU803">
        <v>2014</v>
      </c>
      <c r="GV803">
        <v>1061.33</v>
      </c>
      <c r="GW803" t="s">
        <v>8460</v>
      </c>
      <c r="GX803">
        <v>0.25</v>
      </c>
      <c r="GY803" t="s">
        <v>424</v>
      </c>
      <c r="GZ803" t="s">
        <v>425</v>
      </c>
      <c r="HB803">
        <v>22</v>
      </c>
      <c r="HC803">
        <v>5085117</v>
      </c>
      <c r="HD803" t="s">
        <v>8461</v>
      </c>
      <c r="HF803" s="1">
        <v>41787</v>
      </c>
      <c r="HG803">
        <v>2013</v>
      </c>
      <c r="HH803">
        <v>951.86</v>
      </c>
      <c r="HI803" t="s">
        <v>8462</v>
      </c>
      <c r="HJ803">
        <v>0.25</v>
      </c>
      <c r="HK803" t="s">
        <v>424</v>
      </c>
      <c r="HL803" t="s">
        <v>425</v>
      </c>
      <c r="HM803" s="1">
        <v>42767</v>
      </c>
      <c r="HN803">
        <v>33</v>
      </c>
      <c r="HO803">
        <v>2101382</v>
      </c>
      <c r="HP803" t="s">
        <v>993</v>
      </c>
      <c r="HR803" s="1">
        <v>41423</v>
      </c>
      <c r="HS803">
        <v>2012</v>
      </c>
      <c r="HT803">
        <v>466.76</v>
      </c>
      <c r="HU803" t="s">
        <v>8463</v>
      </c>
      <c r="HV803">
        <v>0.25</v>
      </c>
      <c r="HW803" t="s">
        <v>424</v>
      </c>
      <c r="HX803" t="s">
        <v>425</v>
      </c>
      <c r="HZ803">
        <v>22</v>
      </c>
      <c r="IA803">
        <v>15399</v>
      </c>
      <c r="IB803" t="s">
        <v>485</v>
      </c>
      <c r="ID803" s="1">
        <v>41423</v>
      </c>
      <c r="IE803">
        <v>2012</v>
      </c>
      <c r="IF803">
        <v>466.76</v>
      </c>
      <c r="IG803" t="s">
        <v>8463</v>
      </c>
      <c r="IH803">
        <v>0.25</v>
      </c>
      <c r="II803" t="s">
        <v>424</v>
      </c>
      <c r="IJ803" t="s">
        <v>425</v>
      </c>
      <c r="IL803">
        <v>22</v>
      </c>
      <c r="IM803">
        <v>13027</v>
      </c>
      <c r="IN803" t="s">
        <v>826</v>
      </c>
      <c r="IP803" s="1">
        <v>41423</v>
      </c>
      <c r="IQ803">
        <v>2012</v>
      </c>
      <c r="IR803">
        <v>466.76</v>
      </c>
      <c r="IS803" t="s">
        <v>8463</v>
      </c>
      <c r="IT803">
        <v>0.25</v>
      </c>
      <c r="IU803" t="s">
        <v>424</v>
      </c>
      <c r="IV803" t="s">
        <v>425</v>
      </c>
      <c r="IX803">
        <v>22</v>
      </c>
      <c r="IY803">
        <v>7336692</v>
      </c>
      <c r="IZ803" t="s">
        <v>822</v>
      </c>
      <c r="JB803" s="1">
        <v>41423</v>
      </c>
      <c r="JC803">
        <v>2012</v>
      </c>
      <c r="JD803">
        <v>466.76</v>
      </c>
      <c r="JE803" t="s">
        <v>8463</v>
      </c>
      <c r="JF803">
        <v>0.25</v>
      </c>
      <c r="JG803" t="s">
        <v>424</v>
      </c>
      <c r="JH803" t="s">
        <v>425</v>
      </c>
      <c r="JI803" s="1">
        <v>42767</v>
      </c>
      <c r="JJ803">
        <v>45</v>
      </c>
      <c r="JK803">
        <v>7336698</v>
      </c>
      <c r="JL803" t="s">
        <v>823</v>
      </c>
    </row>
    <row r="804" spans="1:284" x14ac:dyDescent="0.25">
      <c r="A804">
        <v>16485811</v>
      </c>
      <c r="B804">
        <v>803</v>
      </c>
      <c r="C804" t="s">
        <v>393</v>
      </c>
      <c r="D804" t="s">
        <v>394</v>
      </c>
      <c r="F804" t="str">
        <f>"19-2N-25-0000-0102-0010"</f>
        <v>19-2N-25-0000-0102-0010</v>
      </c>
      <c r="H804" t="str">
        <f>"MELTON CHAD"</f>
        <v>MELTON CHAD</v>
      </c>
      <c r="I804" t="str">
        <f>"7923 BERRY AVE"</f>
        <v>7923 BERRY AVE</v>
      </c>
      <c r="J804" t="str">
        <f>"JACKSONVILLE FL 32211"</f>
        <v>JACKSONVILLE FL 32211</v>
      </c>
      <c r="K804" t="str">
        <f>"45263 WHITFIELD RD"</f>
        <v>45263 WHITFIELD RD</v>
      </c>
      <c r="L804" t="str">
        <f t="shared" si="250"/>
        <v>CALLAHAN FL 32011</v>
      </c>
      <c r="M804" t="str">
        <f>"IN OR 1890/825 PARCELS 102-1 &amp; 102-3 EX 102-2"</f>
        <v>IN OR 1890/825 PARCELS 102-1 &amp; 102-3 EX 102-2</v>
      </c>
      <c r="N804" t="str">
        <f>""</f>
        <v/>
      </c>
      <c r="O804" t="str">
        <f>"32841"</f>
        <v>32841</v>
      </c>
      <c r="P804" t="str">
        <f t="shared" si="243"/>
        <v>2017</v>
      </c>
      <c r="Q804" t="str">
        <f>""</f>
        <v/>
      </c>
      <c r="R804" t="str">
        <f t="shared" si="255"/>
        <v>N</v>
      </c>
      <c r="S804" t="str">
        <f>"1.00"</f>
        <v>1.00</v>
      </c>
      <c r="T804" t="str">
        <f>"169.38"</f>
        <v>169.38</v>
      </c>
      <c r="U804" t="str">
        <f>"10560.00"</f>
        <v>10560.00</v>
      </c>
      <c r="V804" t="str">
        <f>"10560.00"</f>
        <v>10560.00</v>
      </c>
      <c r="W804" t="str">
        <f t="shared" si="244"/>
        <v>2017</v>
      </c>
      <c r="X804" t="str">
        <f>"15.00"</f>
        <v>15.00</v>
      </c>
      <c r="Y804" t="str">
        <f>"206.46"</f>
        <v>206.46</v>
      </c>
      <c r="Z804" t="str">
        <f>""</f>
        <v/>
      </c>
      <c r="AA804" t="str">
        <f>"12000.00"</f>
        <v>12000.00</v>
      </c>
      <c r="AB804" t="str">
        <f t="shared" si="253"/>
        <v>Residential</v>
      </c>
      <c r="AC804" t="str">
        <f t="shared" si="254"/>
        <v>0</v>
      </c>
      <c r="AD804" t="str">
        <f>""</f>
        <v/>
      </c>
      <c r="AE804" t="str">
        <f>""</f>
        <v/>
      </c>
      <c r="AF804" t="str">
        <f>"000"</f>
        <v>000</v>
      </c>
      <c r="AG804" t="str">
        <f t="shared" si="256"/>
        <v>FL</v>
      </c>
      <c r="AH804" t="str">
        <f>"21919.00"</f>
        <v>21919.00</v>
      </c>
      <c r="AI804" t="str">
        <f>"12000.00"</f>
        <v>12000.00</v>
      </c>
      <c r="AJ804" t="str">
        <f>"C55-000-587-2311-5"</f>
        <v>C55-000-587-2311-5</v>
      </c>
      <c r="AK804" t="str">
        <f>"12741"</f>
        <v>12741</v>
      </c>
      <c r="AL804">
        <v>3</v>
      </c>
      <c r="AM804">
        <v>932</v>
      </c>
      <c r="AN804">
        <v>215.18</v>
      </c>
      <c r="AQ804" t="s">
        <v>8464</v>
      </c>
      <c r="AR804" t="s">
        <v>8464</v>
      </c>
      <c r="AS804" t="s">
        <v>8464</v>
      </c>
      <c r="AU804" t="s">
        <v>396</v>
      </c>
      <c r="AV804">
        <v>2017</v>
      </c>
      <c r="AW804" t="str">
        <f>"19-2N-25-0000-0102-0010 "</f>
        <v xml:space="preserve">19-2N-25-0000-0102-0010 </v>
      </c>
      <c r="AX804">
        <v>45263</v>
      </c>
      <c r="AZ804" t="s">
        <v>8465</v>
      </c>
      <c r="BA804" t="s">
        <v>496</v>
      </c>
      <c r="BD804" t="s">
        <v>2785</v>
      </c>
      <c r="BE804" t="s">
        <v>393</v>
      </c>
      <c r="BF804">
        <v>32011</v>
      </c>
      <c r="BG804" t="s">
        <v>8466</v>
      </c>
      <c r="BH804" t="s">
        <v>2787</v>
      </c>
      <c r="BI804">
        <v>-81.841191784686401</v>
      </c>
      <c r="BJ804">
        <v>30.574503996051298</v>
      </c>
      <c r="BK804" t="s">
        <v>8467</v>
      </c>
      <c r="BM804" t="s">
        <v>8468</v>
      </c>
      <c r="BN804" t="s">
        <v>548</v>
      </c>
      <c r="BO804">
        <v>32211</v>
      </c>
      <c r="BP804" t="s">
        <v>404</v>
      </c>
      <c r="BQ804">
        <v>0</v>
      </c>
      <c r="BR804" t="s">
        <v>491</v>
      </c>
      <c r="BS804">
        <v>8001</v>
      </c>
      <c r="BT804" t="s">
        <v>492</v>
      </c>
      <c r="BW804">
        <v>21919</v>
      </c>
      <c r="BX804" t="s">
        <v>407</v>
      </c>
      <c r="BY804" t="s">
        <v>408</v>
      </c>
      <c r="CD804">
        <v>2017</v>
      </c>
      <c r="CE804">
        <v>12000</v>
      </c>
      <c r="CG804">
        <v>12000</v>
      </c>
      <c r="CH804">
        <v>2017</v>
      </c>
      <c r="CI804">
        <v>12000</v>
      </c>
      <c r="CK804">
        <v>12000</v>
      </c>
      <c r="CL804">
        <v>2017</v>
      </c>
      <c r="CM804">
        <v>169.38</v>
      </c>
      <c r="CN804" s="1">
        <v>41593</v>
      </c>
      <c r="CZ804" s="1">
        <v>41593</v>
      </c>
      <c r="DD804" t="s">
        <v>2785</v>
      </c>
      <c r="DG804">
        <v>19</v>
      </c>
      <c r="DL804">
        <v>50503</v>
      </c>
      <c r="DM804" t="s">
        <v>8259</v>
      </c>
      <c r="DO804" t="s">
        <v>8469</v>
      </c>
      <c r="DP804">
        <v>0</v>
      </c>
      <c r="DQ804">
        <v>0</v>
      </c>
      <c r="DR804" t="s">
        <v>411</v>
      </c>
      <c r="DS804" t="b">
        <v>1</v>
      </c>
      <c r="DT804" t="s">
        <v>470</v>
      </c>
      <c r="DU804" t="s">
        <v>471</v>
      </c>
      <c r="DV804" t="s">
        <v>472</v>
      </c>
      <c r="DX804">
        <v>-9999</v>
      </c>
      <c r="DZ804" t="s">
        <v>447</v>
      </c>
      <c r="EA804" t="s">
        <v>448</v>
      </c>
      <c r="EB804" t="s">
        <v>742</v>
      </c>
      <c r="EC804">
        <v>20101217</v>
      </c>
      <c r="ED804" t="s">
        <v>474</v>
      </c>
      <c r="EF804">
        <v>666.6</v>
      </c>
      <c r="EG804">
        <v>666.6</v>
      </c>
      <c r="EI804">
        <v>20160407</v>
      </c>
      <c r="EJ804">
        <v>0</v>
      </c>
      <c r="EK804">
        <v>0</v>
      </c>
      <c r="EP804" t="s">
        <v>421</v>
      </c>
      <c r="EQ804" t="s">
        <v>422</v>
      </c>
      <c r="ER804">
        <v>1</v>
      </c>
      <c r="ES804">
        <v>6</v>
      </c>
      <c r="ET804">
        <v>186.38</v>
      </c>
      <c r="EU804">
        <v>20.23</v>
      </c>
      <c r="EV804">
        <v>206.61</v>
      </c>
      <c r="EW804" s="2">
        <v>43222</v>
      </c>
      <c r="EX804" s="1">
        <v>42879</v>
      </c>
      <c r="EY804">
        <v>2016</v>
      </c>
      <c r="EZ804">
        <v>186.38</v>
      </c>
      <c r="FA804" t="s">
        <v>8470</v>
      </c>
      <c r="FB804">
        <v>7.5</v>
      </c>
      <c r="FC804" t="s">
        <v>424</v>
      </c>
      <c r="FD804" t="s">
        <v>454</v>
      </c>
      <c r="FF804">
        <v>12</v>
      </c>
      <c r="FG804">
        <v>10125</v>
      </c>
      <c r="FH804" t="s">
        <v>440</v>
      </c>
      <c r="FJ804" s="1">
        <v>42515</v>
      </c>
      <c r="FK804">
        <v>2015</v>
      </c>
      <c r="FL804">
        <v>213.32</v>
      </c>
      <c r="FM804" t="s">
        <v>8471</v>
      </c>
      <c r="FN804">
        <v>15.5</v>
      </c>
      <c r="FO804" t="s">
        <v>424</v>
      </c>
      <c r="FP804" t="s">
        <v>425</v>
      </c>
      <c r="FQ804" s="1">
        <v>43151</v>
      </c>
      <c r="FR804">
        <v>21</v>
      </c>
      <c r="FS804">
        <v>7336677</v>
      </c>
      <c r="FT804" t="s">
        <v>5826</v>
      </c>
      <c r="FV804" s="1">
        <v>42151</v>
      </c>
      <c r="FW804">
        <v>2014</v>
      </c>
      <c r="FX804">
        <v>214.29</v>
      </c>
      <c r="FY804" t="s">
        <v>8472</v>
      </c>
      <c r="FZ804">
        <v>4.75</v>
      </c>
      <c r="GA804" t="s">
        <v>424</v>
      </c>
      <c r="GB804" t="s">
        <v>425</v>
      </c>
      <c r="GC804" s="1">
        <v>42801</v>
      </c>
      <c r="GD804">
        <v>22</v>
      </c>
      <c r="GE804">
        <v>4975593</v>
      </c>
      <c r="GF804" t="s">
        <v>505</v>
      </c>
      <c r="GH804" s="1">
        <v>41787</v>
      </c>
      <c r="GI804">
        <v>2013</v>
      </c>
      <c r="GJ804">
        <v>204</v>
      </c>
      <c r="GK804" t="s">
        <v>8473</v>
      </c>
      <c r="GL804">
        <v>6.75</v>
      </c>
      <c r="GM804" t="s">
        <v>424</v>
      </c>
      <c r="GN804" t="s">
        <v>425</v>
      </c>
      <c r="GO804" s="1">
        <v>42431</v>
      </c>
      <c r="GP804">
        <v>22</v>
      </c>
      <c r="GQ804">
        <v>2035919</v>
      </c>
      <c r="GR804" t="s">
        <v>507</v>
      </c>
      <c r="GT804" s="1">
        <v>41423</v>
      </c>
      <c r="GU804">
        <v>2012</v>
      </c>
      <c r="GV804">
        <v>206.28</v>
      </c>
      <c r="GW804" t="s">
        <v>8474</v>
      </c>
      <c r="GX804">
        <v>6</v>
      </c>
      <c r="GY804" t="s">
        <v>424</v>
      </c>
      <c r="GZ804" t="s">
        <v>425</v>
      </c>
      <c r="HA804" s="1">
        <v>42087</v>
      </c>
      <c r="HB804">
        <v>22</v>
      </c>
      <c r="HC804">
        <v>375</v>
      </c>
      <c r="HD804" t="s">
        <v>776</v>
      </c>
      <c r="HF804" s="1">
        <v>41052</v>
      </c>
      <c r="HG804">
        <v>2011</v>
      </c>
      <c r="HH804">
        <v>201.5</v>
      </c>
      <c r="HI804" t="s">
        <v>8475</v>
      </c>
      <c r="HJ804">
        <v>11</v>
      </c>
      <c r="HK804" t="s">
        <v>424</v>
      </c>
      <c r="HL804" t="s">
        <v>425</v>
      </c>
      <c r="HM804" s="1">
        <v>41074</v>
      </c>
      <c r="HN804">
        <v>1</v>
      </c>
      <c r="HO804">
        <v>10125</v>
      </c>
      <c r="HP804" t="s">
        <v>440</v>
      </c>
      <c r="HR804" s="1">
        <v>40688</v>
      </c>
      <c r="HS804">
        <v>2010</v>
      </c>
      <c r="HT804">
        <v>201.53</v>
      </c>
      <c r="HU804" t="s">
        <v>8476</v>
      </c>
      <c r="HV804">
        <v>8.75</v>
      </c>
      <c r="HW804" t="s">
        <v>424</v>
      </c>
      <c r="HX804" t="s">
        <v>425</v>
      </c>
      <c r="HY804" s="1">
        <v>40725</v>
      </c>
      <c r="HZ804">
        <v>2</v>
      </c>
      <c r="IA804">
        <v>105</v>
      </c>
      <c r="IB804" t="s">
        <v>946</v>
      </c>
    </row>
    <row r="805" spans="1:284" x14ac:dyDescent="0.25">
      <c r="A805">
        <v>16485812</v>
      </c>
      <c r="B805">
        <v>804</v>
      </c>
      <c r="C805" t="s">
        <v>393</v>
      </c>
      <c r="D805" t="s">
        <v>394</v>
      </c>
      <c r="F805" t="str">
        <f>"19-2N-25-0000-0102-0040"</f>
        <v>19-2N-25-0000-0102-0040</v>
      </c>
      <c r="H805" t="str">
        <f>"MELTON CHAD"</f>
        <v>MELTON CHAD</v>
      </c>
      <c r="I805" t="str">
        <f>"7923 BERRY AVE"</f>
        <v>7923 BERRY AVE</v>
      </c>
      <c r="J805" t="str">
        <f>"JACKSONVILLE FL 32211"</f>
        <v>JACKSONVILLE FL 32211</v>
      </c>
      <c r="K805" t="str">
        <f>"45243 WHITFIELD RD"</f>
        <v>45243 WHITFIELD RD</v>
      </c>
      <c r="L805" t="str">
        <f t="shared" si="250"/>
        <v>CALLAHAN FL 32011</v>
      </c>
      <c r="M805" t="str">
        <f>"PT OF W1/2 OF NW1/4 OF SE1/4 IN OR 1890/827 1984 SANT DW/MH"</f>
        <v>PT OF W1/2 OF NW1/4 OF SE1/4 IN OR 1890/827 1984 SANT DW/MH</v>
      </c>
      <c r="N805" t="str">
        <f>""</f>
        <v/>
      </c>
      <c r="O805" t="str">
        <f>"32842"</f>
        <v>32842</v>
      </c>
      <c r="P805" t="str">
        <f t="shared" si="243"/>
        <v>2017</v>
      </c>
      <c r="Q805" t="str">
        <f>""</f>
        <v/>
      </c>
      <c r="R805" t="str">
        <f t="shared" si="255"/>
        <v>N</v>
      </c>
      <c r="S805" t="str">
        <f>"1.00"</f>
        <v>1.00</v>
      </c>
      <c r="T805" t="str">
        <f>"470.75"</f>
        <v>470.75</v>
      </c>
      <c r="U805" t="str">
        <f>"27818.00"</f>
        <v>27818.00</v>
      </c>
      <c r="V805" t="str">
        <f>"27818.00"</f>
        <v>27818.00</v>
      </c>
      <c r="W805" t="str">
        <f t="shared" si="244"/>
        <v>2017</v>
      </c>
      <c r="X805" t="str">
        <f>"16.75"</f>
        <v>16.75</v>
      </c>
      <c r="Y805" t="str">
        <f>"516.87"</f>
        <v>516.87</v>
      </c>
      <c r="Z805" t="str">
        <f>""</f>
        <v/>
      </c>
      <c r="AA805" t="str">
        <f>"35339.00"</f>
        <v>35339.00</v>
      </c>
      <c r="AB805" t="str">
        <f t="shared" si="253"/>
        <v>Residential</v>
      </c>
      <c r="AC805" t="str">
        <f t="shared" si="254"/>
        <v>0</v>
      </c>
      <c r="AD805" t="str">
        <f>"4"</f>
        <v>4</v>
      </c>
      <c r="AE805" t="str">
        <f>"WOOD (INCLUDE STEEL STUDS)"</f>
        <v>WOOD (INCLUDE STEEL STUDS)</v>
      </c>
      <c r="AF805" t="str">
        <f>"002"</f>
        <v>002</v>
      </c>
      <c r="AG805" t="str">
        <f t="shared" si="256"/>
        <v>FL</v>
      </c>
      <c r="AH805" t="str">
        <f>"23154.00"</f>
        <v>23154.00</v>
      </c>
      <c r="AI805" t="str">
        <f>"12000.00"</f>
        <v>12000.00</v>
      </c>
      <c r="AJ805" t="str">
        <f>"C55-000-587-2312-3"</f>
        <v>C55-000-587-2312-3</v>
      </c>
      <c r="AK805" t="str">
        <f>"12742"</f>
        <v>12742</v>
      </c>
      <c r="AL805">
        <v>3</v>
      </c>
      <c r="AM805">
        <v>933</v>
      </c>
      <c r="AN805">
        <v>541.11</v>
      </c>
      <c r="AQ805" t="s">
        <v>8477</v>
      </c>
      <c r="AR805" t="s">
        <v>8477</v>
      </c>
      <c r="AS805" t="s">
        <v>8477</v>
      </c>
      <c r="AU805" t="s">
        <v>396</v>
      </c>
      <c r="AV805">
        <v>2017</v>
      </c>
      <c r="AW805" t="str">
        <f>"19-2N-25-0000-0102-0040 "</f>
        <v xml:space="preserve">19-2N-25-0000-0102-0040 </v>
      </c>
      <c r="AX805">
        <v>45243</v>
      </c>
      <c r="AZ805" t="s">
        <v>8465</v>
      </c>
      <c r="BA805" t="s">
        <v>496</v>
      </c>
      <c r="BD805" t="s">
        <v>2785</v>
      </c>
      <c r="BE805" t="s">
        <v>393</v>
      </c>
      <c r="BF805">
        <v>32011</v>
      </c>
      <c r="BG805" t="s">
        <v>8478</v>
      </c>
      <c r="BH805" t="s">
        <v>2787</v>
      </c>
      <c r="BI805">
        <v>-81.841026144961802</v>
      </c>
      <c r="BJ805">
        <v>30.574080317113701</v>
      </c>
      <c r="BK805" t="s">
        <v>8467</v>
      </c>
      <c r="BM805" t="s">
        <v>8468</v>
      </c>
      <c r="BN805" t="s">
        <v>548</v>
      </c>
      <c r="BO805">
        <v>32211</v>
      </c>
      <c r="BP805" t="s">
        <v>404</v>
      </c>
      <c r="BQ805">
        <v>200</v>
      </c>
      <c r="BR805" t="s">
        <v>405</v>
      </c>
      <c r="BS805">
        <v>1006</v>
      </c>
      <c r="BT805" t="s">
        <v>406</v>
      </c>
      <c r="BW805">
        <v>23154</v>
      </c>
      <c r="BX805" t="s">
        <v>407</v>
      </c>
      <c r="BY805" t="s">
        <v>408</v>
      </c>
      <c r="BZ805">
        <v>4</v>
      </c>
      <c r="CA805">
        <v>1984</v>
      </c>
      <c r="CB805">
        <v>1</v>
      </c>
      <c r="CC805">
        <v>1</v>
      </c>
      <c r="CD805">
        <v>2017</v>
      </c>
      <c r="CE805">
        <v>12000</v>
      </c>
      <c r="CF805">
        <v>23339</v>
      </c>
      <c r="CG805">
        <v>35339</v>
      </c>
      <c r="CH805">
        <v>2017</v>
      </c>
      <c r="CI805">
        <v>12000</v>
      </c>
      <c r="CJ805">
        <v>23339</v>
      </c>
      <c r="CK805">
        <v>35339</v>
      </c>
      <c r="CL805">
        <v>2017</v>
      </c>
      <c r="CM805">
        <v>470.75</v>
      </c>
      <c r="CN805" s="1">
        <v>41592</v>
      </c>
      <c r="CZ805" s="1">
        <v>41592</v>
      </c>
      <c r="DD805" t="s">
        <v>2785</v>
      </c>
      <c r="DG805">
        <v>19</v>
      </c>
      <c r="DL805">
        <v>50503</v>
      </c>
      <c r="DM805" t="s">
        <v>8259</v>
      </c>
      <c r="DO805" t="s">
        <v>8479</v>
      </c>
      <c r="DP805">
        <v>0</v>
      </c>
      <c r="DQ805">
        <v>0</v>
      </c>
      <c r="DR805" t="s">
        <v>411</v>
      </c>
      <c r="DS805" t="b">
        <v>1</v>
      </c>
      <c r="DT805" t="s">
        <v>470</v>
      </c>
      <c r="DU805" t="s">
        <v>471</v>
      </c>
      <c r="DV805" t="s">
        <v>472</v>
      </c>
      <c r="DX805">
        <v>-9999</v>
      </c>
      <c r="DZ805" t="s">
        <v>447</v>
      </c>
      <c r="EA805" t="s">
        <v>448</v>
      </c>
      <c r="EB805" t="s">
        <v>742</v>
      </c>
      <c r="EC805">
        <v>20101217</v>
      </c>
      <c r="ED805" t="s">
        <v>474</v>
      </c>
      <c r="EF805">
        <v>787.7</v>
      </c>
      <c r="EG805">
        <v>787.7</v>
      </c>
      <c r="EI805">
        <v>20160407</v>
      </c>
      <c r="EJ805">
        <v>0</v>
      </c>
      <c r="EK805">
        <v>0</v>
      </c>
      <c r="EP805" t="s">
        <v>595</v>
      </c>
      <c r="EQ805" t="s">
        <v>422</v>
      </c>
      <c r="ER805">
        <v>1</v>
      </c>
      <c r="ES805">
        <v>5</v>
      </c>
      <c r="ET805">
        <v>446.85</v>
      </c>
      <c r="EU805">
        <v>28.59</v>
      </c>
      <c r="EV805">
        <v>475.44</v>
      </c>
      <c r="EW805" s="2">
        <v>43222</v>
      </c>
      <c r="EX805" s="1">
        <v>42879</v>
      </c>
      <c r="EY805">
        <v>2016</v>
      </c>
      <c r="EZ805">
        <v>446.85</v>
      </c>
      <c r="FA805" t="s">
        <v>8480</v>
      </c>
      <c r="FB805">
        <v>4.5</v>
      </c>
      <c r="FC805" t="s">
        <v>424</v>
      </c>
      <c r="FD805" t="s">
        <v>454</v>
      </c>
      <c r="FF805">
        <v>12</v>
      </c>
      <c r="FG805">
        <v>2035919</v>
      </c>
      <c r="FH805" t="s">
        <v>507</v>
      </c>
      <c r="FJ805" s="1">
        <v>42515</v>
      </c>
      <c r="FK805">
        <v>2015</v>
      </c>
      <c r="FL805">
        <v>543.66</v>
      </c>
      <c r="FM805" t="s">
        <v>8481</v>
      </c>
      <c r="FN805">
        <v>14.75</v>
      </c>
      <c r="FO805" t="s">
        <v>424</v>
      </c>
      <c r="FP805" t="s">
        <v>425</v>
      </c>
      <c r="FQ805" s="1">
        <v>43165</v>
      </c>
      <c r="FR805">
        <v>22</v>
      </c>
      <c r="FS805">
        <v>2035919</v>
      </c>
      <c r="FT805" t="s">
        <v>507</v>
      </c>
      <c r="FV805" s="1">
        <v>42151</v>
      </c>
      <c r="FW805">
        <v>2014</v>
      </c>
      <c r="FX805">
        <v>454.47</v>
      </c>
      <c r="FY805" t="s">
        <v>8482</v>
      </c>
      <c r="FZ805">
        <v>4.75</v>
      </c>
      <c r="GA805" t="s">
        <v>424</v>
      </c>
      <c r="GB805" t="s">
        <v>425</v>
      </c>
      <c r="GC805" s="1">
        <v>42801</v>
      </c>
      <c r="GD805">
        <v>22</v>
      </c>
      <c r="GE805">
        <v>4975593</v>
      </c>
      <c r="GF805" t="s">
        <v>505</v>
      </c>
      <c r="GH805" s="1">
        <v>41787</v>
      </c>
      <c r="GI805">
        <v>2013</v>
      </c>
      <c r="GJ805">
        <v>134.47</v>
      </c>
      <c r="GK805" t="s">
        <v>8483</v>
      </c>
      <c r="GL805">
        <v>18</v>
      </c>
      <c r="GM805" t="s">
        <v>603</v>
      </c>
      <c r="GN805" t="s">
        <v>425</v>
      </c>
      <c r="GP805">
        <v>22</v>
      </c>
      <c r="GQ805">
        <v>9999999</v>
      </c>
      <c r="GR805" t="s">
        <v>604</v>
      </c>
      <c r="GT805" s="1">
        <v>41787</v>
      </c>
      <c r="GU805">
        <v>2013</v>
      </c>
      <c r="GV805">
        <v>160.88999999999999</v>
      </c>
      <c r="GW805" t="s">
        <v>8483</v>
      </c>
      <c r="GX805">
        <v>18</v>
      </c>
      <c r="GY805" t="s">
        <v>424</v>
      </c>
      <c r="GZ805" t="s">
        <v>425</v>
      </c>
      <c r="HA805" s="1">
        <v>42431</v>
      </c>
      <c r="HB805">
        <v>22</v>
      </c>
      <c r="HC805">
        <v>4844964</v>
      </c>
      <c r="HD805" t="s">
        <v>1788</v>
      </c>
      <c r="HF805" s="1">
        <v>41423</v>
      </c>
      <c r="HG805">
        <v>2012</v>
      </c>
      <c r="HH805">
        <v>127.13</v>
      </c>
      <c r="HI805" t="s">
        <v>8484</v>
      </c>
      <c r="HJ805">
        <v>18</v>
      </c>
      <c r="HK805" t="s">
        <v>603</v>
      </c>
      <c r="HL805" t="s">
        <v>425</v>
      </c>
      <c r="HM805" s="1">
        <v>41438</v>
      </c>
      <c r="HN805">
        <v>1</v>
      </c>
      <c r="HO805">
        <v>9999999</v>
      </c>
      <c r="HP805" t="s">
        <v>604</v>
      </c>
    </row>
    <row r="806" spans="1:284" x14ac:dyDescent="0.25">
      <c r="A806">
        <v>16485813</v>
      </c>
      <c r="B806">
        <v>805</v>
      </c>
      <c r="C806" t="s">
        <v>393</v>
      </c>
      <c r="D806" t="s">
        <v>394</v>
      </c>
      <c r="F806" t="str">
        <f>"19-2N-25-0000-0102-0050"</f>
        <v>19-2N-25-0000-0102-0050</v>
      </c>
      <c r="H806" t="str">
        <f>"MELTON CHAD &amp; MELTON BENIN &amp; EBONY MELTON &amp; MCKNIGHT NICOLE &amp; N MITCHELL"</f>
        <v>MELTON CHAD &amp; MELTON BENIN &amp; EBONY MELTON &amp; MCKNIGHT NICOLE &amp; N MITCHELL</v>
      </c>
      <c r="I806" t="str">
        <f>""</f>
        <v/>
      </c>
      <c r="J806" t="str">
        <f t="shared" ref="J806:J825" si="257">"CALLAHAN FL 32011"</f>
        <v>CALLAHAN FL 32011</v>
      </c>
      <c r="K806" t="str">
        <f>"WHITFIELD RD"</f>
        <v>WHITFIELD RD</v>
      </c>
      <c r="L806" t="str">
        <f t="shared" si="250"/>
        <v>CALLAHAN FL 32011</v>
      </c>
      <c r="M806" t="str">
        <f>"IN OR 1710/602"</f>
        <v>IN OR 1710/602</v>
      </c>
      <c r="N806" t="str">
        <f>""</f>
        <v/>
      </c>
      <c r="O806" t="str">
        <f>"32843"</f>
        <v>32843</v>
      </c>
      <c r="P806" t="str">
        <f t="shared" si="243"/>
        <v>2017</v>
      </c>
      <c r="Q806" t="str">
        <f>""</f>
        <v/>
      </c>
      <c r="R806" t="str">
        <f t="shared" si="255"/>
        <v>N</v>
      </c>
      <c r="S806" t="str">
        <f>"1.00"</f>
        <v>1.00</v>
      </c>
      <c r="T806" t="str">
        <f>"211.71"</f>
        <v>211.71</v>
      </c>
      <c r="U806" t="str">
        <f>"13200.00"</f>
        <v>13200.00</v>
      </c>
      <c r="V806" t="str">
        <f>"13200.00"</f>
        <v>13200.00</v>
      </c>
      <c r="W806" t="str">
        <f t="shared" si="244"/>
        <v>2017</v>
      </c>
      <c r="X806" t="str">
        <f>"19.80"</f>
        <v>19.80</v>
      </c>
      <c r="Y806" t="str">
        <f>"250.06"</f>
        <v>250.06</v>
      </c>
      <c r="Z806" t="str">
        <f>""</f>
        <v/>
      </c>
      <c r="AA806" t="str">
        <f>"15000.00"</f>
        <v>15000.00</v>
      </c>
      <c r="AB806" t="str">
        <f t="shared" si="253"/>
        <v>Residential</v>
      </c>
      <c r="AC806" t="str">
        <f t="shared" si="254"/>
        <v>0</v>
      </c>
      <c r="AD806" t="str">
        <f>""</f>
        <v/>
      </c>
      <c r="AE806" t="str">
        <f>""</f>
        <v/>
      </c>
      <c r="AF806" t="str">
        <f>"000"</f>
        <v>000</v>
      </c>
      <c r="AG806" t="str">
        <f t="shared" si="256"/>
        <v>FL</v>
      </c>
      <c r="AH806" t="str">
        <f>"43560.00"</f>
        <v>43560.00</v>
      </c>
      <c r="AI806" t="str">
        <f>"15000.00"</f>
        <v>15000.00</v>
      </c>
      <c r="AJ806" t="str">
        <f>"C55-000-588-9543-4"</f>
        <v>C55-000-588-9543-4</v>
      </c>
      <c r="AK806" t="str">
        <f>"12743"</f>
        <v>12743</v>
      </c>
      <c r="AL806">
        <v>3</v>
      </c>
      <c r="AM806">
        <v>934</v>
      </c>
      <c r="AN806">
        <v>260.95999999999998</v>
      </c>
      <c r="AQ806" t="s">
        <v>8485</v>
      </c>
      <c r="AR806" t="s">
        <v>8485</v>
      </c>
      <c r="AS806" t="s">
        <v>8485</v>
      </c>
      <c r="AU806" t="s">
        <v>396</v>
      </c>
      <c r="AV806">
        <v>2017</v>
      </c>
      <c r="AW806" t="str">
        <f>"19-2N-25-0000-0102-0050 "</f>
        <v xml:space="preserve">19-2N-25-0000-0102-0050 </v>
      </c>
      <c r="AZ806" t="s">
        <v>8465</v>
      </c>
      <c r="BA806" t="s">
        <v>496</v>
      </c>
      <c r="BD806" t="s">
        <v>2785</v>
      </c>
      <c r="BE806" t="s">
        <v>393</v>
      </c>
      <c r="BF806">
        <v>32011</v>
      </c>
      <c r="BG806" t="s">
        <v>8486</v>
      </c>
      <c r="BH806" t="s">
        <v>2787</v>
      </c>
      <c r="BI806">
        <v>-81.8412862345441</v>
      </c>
      <c r="BJ806">
        <v>30.573682715330101</v>
      </c>
      <c r="BK806" t="s">
        <v>8467</v>
      </c>
      <c r="BL806" t="s">
        <v>8487</v>
      </c>
      <c r="BM806" t="s">
        <v>8488</v>
      </c>
      <c r="BN806" t="s">
        <v>928</v>
      </c>
      <c r="BO806">
        <v>32011</v>
      </c>
      <c r="BP806" t="s">
        <v>404</v>
      </c>
      <c r="BQ806">
        <v>0</v>
      </c>
      <c r="BR806" t="s">
        <v>491</v>
      </c>
      <c r="BS806">
        <v>8001</v>
      </c>
      <c r="BT806" t="s">
        <v>492</v>
      </c>
      <c r="BW806">
        <v>43560</v>
      </c>
      <c r="BX806" t="s">
        <v>407</v>
      </c>
      <c r="BY806" t="s">
        <v>408</v>
      </c>
      <c r="CD806">
        <v>2017</v>
      </c>
      <c r="CE806">
        <v>15000</v>
      </c>
      <c r="CG806">
        <v>15000</v>
      </c>
      <c r="CH806">
        <v>2017</v>
      </c>
      <c r="CI806">
        <v>15000</v>
      </c>
      <c r="CK806">
        <v>15000</v>
      </c>
      <c r="CL806">
        <v>2017</v>
      </c>
      <c r="CM806">
        <v>211.71</v>
      </c>
      <c r="CN806" s="1">
        <v>40499</v>
      </c>
      <c r="CZ806" s="1">
        <v>40499</v>
      </c>
      <c r="DD806" t="s">
        <v>2785</v>
      </c>
      <c r="DG806">
        <v>19</v>
      </c>
      <c r="DL806">
        <v>50503</v>
      </c>
      <c r="DM806" t="s">
        <v>8259</v>
      </c>
      <c r="DO806" t="s">
        <v>8489</v>
      </c>
      <c r="DP806">
        <v>0</v>
      </c>
      <c r="DQ806">
        <v>0</v>
      </c>
      <c r="DR806" t="s">
        <v>411</v>
      </c>
      <c r="DS806" t="b">
        <v>1</v>
      </c>
      <c r="DT806" t="s">
        <v>470</v>
      </c>
      <c r="DU806" t="s">
        <v>471</v>
      </c>
      <c r="DV806" t="s">
        <v>472</v>
      </c>
      <c r="DX806">
        <v>-9999</v>
      </c>
      <c r="DZ806" t="s">
        <v>447</v>
      </c>
      <c r="EA806" t="s">
        <v>448</v>
      </c>
      <c r="EB806" t="s">
        <v>742</v>
      </c>
      <c r="EC806">
        <v>20101217</v>
      </c>
      <c r="ED806" t="s">
        <v>474</v>
      </c>
      <c r="EF806">
        <v>807.3</v>
      </c>
      <c r="EG806">
        <v>807.3</v>
      </c>
      <c r="EI806">
        <v>20160407</v>
      </c>
      <c r="EJ806">
        <v>0</v>
      </c>
      <c r="EK806">
        <v>0</v>
      </c>
      <c r="EP806" t="s">
        <v>421</v>
      </c>
      <c r="EQ806" t="s">
        <v>422</v>
      </c>
      <c r="ER806">
        <v>1</v>
      </c>
      <c r="ES806">
        <v>7</v>
      </c>
      <c r="ET806">
        <v>226.22</v>
      </c>
      <c r="EU806">
        <v>20.95</v>
      </c>
      <c r="EV806">
        <v>247.17</v>
      </c>
      <c r="EW806" s="2">
        <v>43222</v>
      </c>
      <c r="EX806" s="1">
        <v>42879</v>
      </c>
      <c r="EY806">
        <v>2016</v>
      </c>
      <c r="EZ806">
        <v>226.22</v>
      </c>
      <c r="FA806" t="s">
        <v>8490</v>
      </c>
      <c r="FB806">
        <v>6.5</v>
      </c>
      <c r="FC806" t="s">
        <v>424</v>
      </c>
      <c r="FD806" t="s">
        <v>454</v>
      </c>
      <c r="FF806">
        <v>12</v>
      </c>
      <c r="FG806">
        <v>10125</v>
      </c>
      <c r="FH806" t="s">
        <v>440</v>
      </c>
      <c r="FJ806" s="1">
        <v>42515</v>
      </c>
      <c r="FK806">
        <v>2015</v>
      </c>
      <c r="FL806">
        <v>226.06</v>
      </c>
      <c r="FM806" t="s">
        <v>8491</v>
      </c>
      <c r="FN806">
        <v>14.75</v>
      </c>
      <c r="FO806" t="s">
        <v>424</v>
      </c>
      <c r="FP806" t="s">
        <v>425</v>
      </c>
      <c r="FQ806" s="1">
        <v>43181</v>
      </c>
      <c r="FR806">
        <v>22</v>
      </c>
      <c r="FS806">
        <v>6516843</v>
      </c>
      <c r="FT806" t="s">
        <v>601</v>
      </c>
      <c r="FV806" s="1">
        <v>42151</v>
      </c>
      <c r="FW806">
        <v>2014</v>
      </c>
      <c r="FX806">
        <v>227.1</v>
      </c>
      <c r="FY806" t="s">
        <v>8492</v>
      </c>
      <c r="FZ806">
        <v>5</v>
      </c>
      <c r="GA806" t="s">
        <v>424</v>
      </c>
      <c r="GB806" t="s">
        <v>425</v>
      </c>
      <c r="GC806" s="1">
        <v>42825</v>
      </c>
      <c r="GD806">
        <v>22</v>
      </c>
      <c r="GE806">
        <v>6516843</v>
      </c>
      <c r="GF806" t="s">
        <v>601</v>
      </c>
      <c r="GH806" s="1">
        <v>41787</v>
      </c>
      <c r="GI806">
        <v>2013</v>
      </c>
      <c r="GJ806">
        <v>208.05</v>
      </c>
      <c r="GK806" t="s">
        <v>8493</v>
      </c>
      <c r="GL806">
        <v>12</v>
      </c>
      <c r="GM806" t="s">
        <v>424</v>
      </c>
      <c r="GN806" t="s">
        <v>425</v>
      </c>
      <c r="GO806" s="1">
        <v>42431</v>
      </c>
      <c r="GP806">
        <v>22</v>
      </c>
      <c r="GQ806">
        <v>10125</v>
      </c>
      <c r="GR806" t="s">
        <v>440</v>
      </c>
      <c r="GT806" s="1">
        <v>41423</v>
      </c>
      <c r="GU806">
        <v>2012</v>
      </c>
      <c r="GV806">
        <v>209.95</v>
      </c>
      <c r="GW806" t="s">
        <v>8494</v>
      </c>
      <c r="GX806">
        <v>5.75</v>
      </c>
      <c r="GY806" t="s">
        <v>424</v>
      </c>
      <c r="GZ806" t="s">
        <v>425</v>
      </c>
      <c r="HA806" s="1">
        <v>42087</v>
      </c>
      <c r="HB806">
        <v>22</v>
      </c>
      <c r="HC806">
        <v>2101381</v>
      </c>
      <c r="HD806" t="s">
        <v>605</v>
      </c>
      <c r="HF806" s="1">
        <v>41052</v>
      </c>
      <c r="HG806">
        <v>2011</v>
      </c>
      <c r="HH806">
        <v>226.49</v>
      </c>
      <c r="HI806" t="s">
        <v>8495</v>
      </c>
      <c r="HJ806">
        <v>8.75</v>
      </c>
      <c r="HK806" t="s">
        <v>424</v>
      </c>
      <c r="HL806" t="s">
        <v>425</v>
      </c>
      <c r="HM806" s="1">
        <v>41689</v>
      </c>
      <c r="HN806">
        <v>21</v>
      </c>
      <c r="HO806">
        <v>10125</v>
      </c>
      <c r="HP806" t="s">
        <v>440</v>
      </c>
      <c r="HR806" s="1">
        <v>40688</v>
      </c>
      <c r="HS806">
        <v>2010</v>
      </c>
      <c r="HT806">
        <v>226.65</v>
      </c>
      <c r="HU806" t="s">
        <v>8496</v>
      </c>
      <c r="HV806">
        <v>8.25</v>
      </c>
      <c r="HW806" t="s">
        <v>424</v>
      </c>
      <c r="HX806" t="s">
        <v>425</v>
      </c>
      <c r="HY806" s="1">
        <v>41324</v>
      </c>
      <c r="HZ806">
        <v>21</v>
      </c>
      <c r="IA806">
        <v>15175</v>
      </c>
      <c r="IB806" t="s">
        <v>588</v>
      </c>
      <c r="ID806" s="1">
        <v>40688</v>
      </c>
      <c r="IE806">
        <v>2010</v>
      </c>
      <c r="IF806">
        <v>226.65</v>
      </c>
      <c r="IG806" t="s">
        <v>8496</v>
      </c>
      <c r="IH806">
        <v>8.25</v>
      </c>
      <c r="II806" t="s">
        <v>424</v>
      </c>
      <c r="IJ806" t="s">
        <v>425</v>
      </c>
      <c r="IL806">
        <v>22</v>
      </c>
      <c r="IM806">
        <v>10548</v>
      </c>
      <c r="IN806" t="s">
        <v>589</v>
      </c>
    </row>
    <row r="807" spans="1:284" x14ac:dyDescent="0.25">
      <c r="A807">
        <v>16485814</v>
      </c>
      <c r="B807">
        <v>806</v>
      </c>
      <c r="C807" t="s">
        <v>393</v>
      </c>
      <c r="D807" t="s">
        <v>394</v>
      </c>
      <c r="F807" t="str">
        <f>"19-2N-25-0000-0102-0080"</f>
        <v>19-2N-25-0000-0102-0080</v>
      </c>
      <c r="H807" t="str">
        <f>"JANUSZKIEWICZ LEE &amp; SHERRI L"</f>
        <v>JANUSZKIEWICZ LEE &amp; SHERRI L</v>
      </c>
      <c r="I807" t="str">
        <f>"45174 ARLINE ROAD"</f>
        <v>45174 ARLINE ROAD</v>
      </c>
      <c r="J807" t="str">
        <f t="shared" si="257"/>
        <v>CALLAHAN FL 32011</v>
      </c>
      <c r="K807" t="str">
        <f>"45174 ARLINE RD"</f>
        <v>45174 ARLINE RD</v>
      </c>
      <c r="L807" t="str">
        <f t="shared" si="250"/>
        <v>CALLAHAN FL 32011</v>
      </c>
      <c r="M807" t="str">
        <f>"IN OR 1322/22 2006 PALM HARBOR DW/MH"</f>
        <v>IN OR 1322/22 2006 PALM HARBOR DW/MH</v>
      </c>
      <c r="N807" t="str">
        <f>""</f>
        <v/>
      </c>
      <c r="O807" t="str">
        <f>"32846"</f>
        <v>32846</v>
      </c>
      <c r="P807" t="str">
        <f t="shared" si="243"/>
        <v>2017</v>
      </c>
      <c r="Q807" t="str">
        <f>""</f>
        <v/>
      </c>
      <c r="R807" t="str">
        <f>"Y"</f>
        <v>Y</v>
      </c>
      <c r="S807" t="str">
        <f>"1.56"</f>
        <v>1.56</v>
      </c>
      <c r="T807" t="str">
        <f>"1233.20"</f>
        <v>1233.20</v>
      </c>
      <c r="U807" t="str">
        <f>"120563.00"</f>
        <v>120563.00</v>
      </c>
      <c r="V807" t="str">
        <f>"120563.00"</f>
        <v>120563.00</v>
      </c>
      <c r="W807" t="str">
        <f t="shared" si="244"/>
        <v>2017</v>
      </c>
      <c r="X807" t="str">
        <f>"22.71"</f>
        <v>22.71</v>
      </c>
      <c r="Y807" t="str">
        <f>"1302.20"</f>
        <v>1302.20</v>
      </c>
      <c r="Z807" t="str">
        <f>"25000.00"</f>
        <v>25000.00</v>
      </c>
      <c r="AA807" t="str">
        <f>"95563.00"</f>
        <v>95563.00</v>
      </c>
      <c r="AB807" t="str">
        <f t="shared" si="253"/>
        <v>Residential</v>
      </c>
      <c r="AC807" t="str">
        <f t="shared" si="254"/>
        <v>0</v>
      </c>
      <c r="AD807" t="str">
        <f>"4"</f>
        <v>4</v>
      </c>
      <c r="AE807" t="str">
        <f>"WOOD (INCLUDE STEEL STUDS)"</f>
        <v>WOOD (INCLUDE STEEL STUDS)</v>
      </c>
      <c r="AF807" t="str">
        <f>"002"</f>
        <v>002</v>
      </c>
      <c r="AG807" t="str">
        <f t="shared" si="256"/>
        <v>FL</v>
      </c>
      <c r="AH807" t="str">
        <f>"67953.00"</f>
        <v>67953.00</v>
      </c>
      <c r="AI807" t="str">
        <f>"23400.00"</f>
        <v>23400.00</v>
      </c>
      <c r="AJ807" t="str">
        <f>"C55-000-589-2274-1"</f>
        <v>C55-000-589-2274-1</v>
      </c>
      <c r="AK807" t="str">
        <f>"12746"</f>
        <v>12746</v>
      </c>
      <c r="AL807">
        <v>3</v>
      </c>
      <c r="AM807">
        <v>935</v>
      </c>
      <c r="AN807">
        <v>1365.71</v>
      </c>
      <c r="AQ807" t="s">
        <v>8497</v>
      </c>
      <c r="AR807" t="s">
        <v>8497</v>
      </c>
      <c r="AS807" t="s">
        <v>8497</v>
      </c>
      <c r="AU807" t="s">
        <v>396</v>
      </c>
      <c r="AV807">
        <v>2017</v>
      </c>
      <c r="AW807" t="str">
        <f>"19-2N-25-0000-0102-0080 "</f>
        <v xml:space="preserve">19-2N-25-0000-0102-0080 </v>
      </c>
      <c r="AX807">
        <v>45174</v>
      </c>
      <c r="AZ807" t="s">
        <v>8369</v>
      </c>
      <c r="BA807" t="s">
        <v>496</v>
      </c>
      <c r="BD807" t="s">
        <v>2785</v>
      </c>
      <c r="BE807" t="s">
        <v>393</v>
      </c>
      <c r="BF807">
        <v>32011</v>
      </c>
      <c r="BG807" t="s">
        <v>8498</v>
      </c>
      <c r="BH807" t="s">
        <v>2787</v>
      </c>
      <c r="BI807">
        <v>-81.842298799627301</v>
      </c>
      <c r="BJ807">
        <v>30.573799877104499</v>
      </c>
      <c r="BK807" t="s">
        <v>8499</v>
      </c>
      <c r="BL807" t="s">
        <v>8500</v>
      </c>
      <c r="BM807" t="s">
        <v>8498</v>
      </c>
      <c r="BN807" t="s">
        <v>928</v>
      </c>
      <c r="BO807">
        <v>32011</v>
      </c>
      <c r="BP807" t="s">
        <v>416</v>
      </c>
      <c r="BQ807">
        <v>200</v>
      </c>
      <c r="BR807" t="s">
        <v>405</v>
      </c>
      <c r="BS807">
        <v>1006</v>
      </c>
      <c r="BT807" t="s">
        <v>406</v>
      </c>
      <c r="BW807">
        <v>67953</v>
      </c>
      <c r="BX807" t="s">
        <v>407</v>
      </c>
      <c r="BY807" t="s">
        <v>408</v>
      </c>
      <c r="BZ807">
        <v>4</v>
      </c>
      <c r="CA807">
        <v>2005</v>
      </c>
      <c r="CB807">
        <v>1</v>
      </c>
      <c r="CC807">
        <v>2</v>
      </c>
      <c r="CD807">
        <v>2017</v>
      </c>
      <c r="CG807">
        <v>120563</v>
      </c>
      <c r="CH807">
        <v>2017</v>
      </c>
      <c r="CI807">
        <v>23400</v>
      </c>
      <c r="CJ807">
        <v>100907</v>
      </c>
      <c r="CK807">
        <v>124307</v>
      </c>
      <c r="CL807">
        <v>2017</v>
      </c>
      <c r="CM807">
        <v>1233.2</v>
      </c>
      <c r="CN807" s="1">
        <v>38506</v>
      </c>
      <c r="CO807">
        <v>22000</v>
      </c>
      <c r="CZ807" s="1">
        <v>38506</v>
      </c>
      <c r="DD807" t="s">
        <v>2785</v>
      </c>
      <c r="DG807">
        <v>19</v>
      </c>
      <c r="DL807">
        <v>50503</v>
      </c>
      <c r="DM807" t="s">
        <v>8259</v>
      </c>
      <c r="DO807" t="s">
        <v>8501</v>
      </c>
      <c r="DP807">
        <v>0</v>
      </c>
      <c r="DQ807">
        <v>0</v>
      </c>
      <c r="DR807" t="s">
        <v>411</v>
      </c>
      <c r="DS807" t="b">
        <v>1</v>
      </c>
      <c r="DT807" t="s">
        <v>470</v>
      </c>
      <c r="DU807" t="s">
        <v>471</v>
      </c>
      <c r="DV807" t="s">
        <v>472</v>
      </c>
      <c r="DX807">
        <v>-9999</v>
      </c>
      <c r="DZ807" t="s">
        <v>447</v>
      </c>
      <c r="EA807" t="s">
        <v>448</v>
      </c>
      <c r="EB807" t="s">
        <v>742</v>
      </c>
      <c r="EC807">
        <v>20101217</v>
      </c>
      <c r="ED807" t="s">
        <v>474</v>
      </c>
      <c r="EF807">
        <v>523</v>
      </c>
      <c r="EG807">
        <v>523</v>
      </c>
      <c r="EI807">
        <v>20160407</v>
      </c>
      <c r="EJ807">
        <v>0</v>
      </c>
      <c r="EK807">
        <v>0</v>
      </c>
      <c r="EP807" t="s">
        <v>421</v>
      </c>
      <c r="EQ807" t="s">
        <v>452</v>
      </c>
      <c r="ER807">
        <v>0</v>
      </c>
      <c r="ES807">
        <v>10</v>
      </c>
      <c r="ET807">
        <v>0</v>
      </c>
      <c r="EU807">
        <v>0</v>
      </c>
      <c r="EV807">
        <v>0</v>
      </c>
      <c r="EW807" s="2">
        <v>43222</v>
      </c>
      <c r="EX807" s="1">
        <v>42515</v>
      </c>
      <c r="EY807">
        <v>2015</v>
      </c>
      <c r="EZ807">
        <v>1381.18</v>
      </c>
      <c r="FA807" t="s">
        <v>8502</v>
      </c>
      <c r="FB807">
        <v>0.25</v>
      </c>
      <c r="FC807" t="s">
        <v>424</v>
      </c>
      <c r="FD807" t="s">
        <v>425</v>
      </c>
      <c r="FE807" s="1">
        <v>42852</v>
      </c>
      <c r="FF807">
        <v>11</v>
      </c>
      <c r="FG807">
        <v>7336671</v>
      </c>
      <c r="FH807" t="s">
        <v>437</v>
      </c>
      <c r="FI807" t="s">
        <v>458</v>
      </c>
      <c r="FJ807" s="1">
        <v>42515</v>
      </c>
      <c r="FK807">
        <v>2015</v>
      </c>
      <c r="FL807">
        <v>1381.18</v>
      </c>
      <c r="FM807" t="s">
        <v>8502</v>
      </c>
      <c r="FN807">
        <v>0.25</v>
      </c>
      <c r="FO807" t="s">
        <v>424</v>
      </c>
      <c r="FP807" t="s">
        <v>425</v>
      </c>
      <c r="FR807">
        <v>22</v>
      </c>
      <c r="FS807">
        <v>6850858</v>
      </c>
      <c r="FT807" t="s">
        <v>8503</v>
      </c>
      <c r="FU807" t="s">
        <v>458</v>
      </c>
      <c r="FV807" s="1">
        <v>42151</v>
      </c>
      <c r="FW807">
        <v>2014</v>
      </c>
      <c r="FX807">
        <v>1372.7</v>
      </c>
      <c r="FY807" t="s">
        <v>8504</v>
      </c>
      <c r="FZ807">
        <v>0.25</v>
      </c>
      <c r="GA807" t="s">
        <v>424</v>
      </c>
      <c r="GB807" t="s">
        <v>425</v>
      </c>
      <c r="GD807">
        <v>22</v>
      </c>
      <c r="GE807">
        <v>4975593</v>
      </c>
      <c r="GF807" t="s">
        <v>505</v>
      </c>
      <c r="GG807" t="s">
        <v>458</v>
      </c>
      <c r="GH807" s="1">
        <v>41787</v>
      </c>
      <c r="GI807">
        <v>2013</v>
      </c>
      <c r="GJ807">
        <v>1413.16</v>
      </c>
      <c r="GK807" t="s">
        <v>8505</v>
      </c>
      <c r="GL807">
        <v>0.25</v>
      </c>
      <c r="GM807" t="s">
        <v>424</v>
      </c>
      <c r="GN807" t="s">
        <v>425</v>
      </c>
      <c r="GP807">
        <v>22</v>
      </c>
      <c r="GQ807">
        <v>11289</v>
      </c>
      <c r="GR807" t="s">
        <v>787</v>
      </c>
      <c r="GT807" s="1">
        <v>41787</v>
      </c>
      <c r="GU807">
        <v>2013</v>
      </c>
      <c r="GV807">
        <v>1413.16</v>
      </c>
      <c r="GW807" t="s">
        <v>8505</v>
      </c>
      <c r="GX807">
        <v>0.25</v>
      </c>
      <c r="GY807" t="s">
        <v>424</v>
      </c>
      <c r="GZ807" t="s">
        <v>425</v>
      </c>
      <c r="HA807" s="1">
        <v>42467</v>
      </c>
      <c r="HB807">
        <v>23</v>
      </c>
      <c r="HC807">
        <v>4844954</v>
      </c>
      <c r="HD807" t="s">
        <v>1719</v>
      </c>
      <c r="HF807" s="1">
        <v>41423</v>
      </c>
      <c r="HG807">
        <v>2012</v>
      </c>
      <c r="HH807">
        <v>1535.82</v>
      </c>
      <c r="HI807" t="s">
        <v>8506</v>
      </c>
      <c r="HJ807">
        <v>0.25</v>
      </c>
      <c r="HK807" t="s">
        <v>424</v>
      </c>
      <c r="HL807" t="s">
        <v>425</v>
      </c>
      <c r="HN807">
        <v>22</v>
      </c>
      <c r="HO807">
        <v>15399</v>
      </c>
      <c r="HP807" t="s">
        <v>485</v>
      </c>
      <c r="HR807" s="1">
        <v>41423</v>
      </c>
      <c r="HS807">
        <v>2012</v>
      </c>
      <c r="HT807">
        <v>1535.82</v>
      </c>
      <c r="HU807" t="s">
        <v>8506</v>
      </c>
      <c r="HV807">
        <v>0.25</v>
      </c>
      <c r="HW807" t="s">
        <v>424</v>
      </c>
      <c r="HX807" t="s">
        <v>425</v>
      </c>
      <c r="HY807" s="1">
        <v>42467</v>
      </c>
      <c r="HZ807">
        <v>35</v>
      </c>
      <c r="IA807">
        <v>13027</v>
      </c>
      <c r="IB807" t="s">
        <v>826</v>
      </c>
      <c r="ID807" s="1">
        <v>41052</v>
      </c>
      <c r="IE807">
        <v>2011</v>
      </c>
      <c r="IF807">
        <v>1978.17</v>
      </c>
      <c r="IG807" t="s">
        <v>8507</v>
      </c>
      <c r="IH807">
        <v>0.25</v>
      </c>
      <c r="II807" t="s">
        <v>424</v>
      </c>
      <c r="IJ807" t="s">
        <v>425</v>
      </c>
      <c r="IK807" s="1">
        <v>41726</v>
      </c>
      <c r="IL807">
        <v>22</v>
      </c>
      <c r="IM807">
        <v>13104</v>
      </c>
      <c r="IN807" t="s">
        <v>888</v>
      </c>
      <c r="IP807" s="1">
        <v>41052</v>
      </c>
      <c r="IQ807">
        <v>2011</v>
      </c>
      <c r="IR807">
        <v>1978.17</v>
      </c>
      <c r="IS807" t="s">
        <v>8507</v>
      </c>
      <c r="IT807">
        <v>0.25</v>
      </c>
      <c r="IU807" t="s">
        <v>424</v>
      </c>
      <c r="IV807" t="s">
        <v>425</v>
      </c>
      <c r="IX807">
        <v>22</v>
      </c>
      <c r="IY807">
        <v>13692</v>
      </c>
      <c r="IZ807" t="s">
        <v>8508</v>
      </c>
      <c r="JB807" s="1">
        <v>40688</v>
      </c>
      <c r="JC807">
        <v>2010</v>
      </c>
      <c r="JD807">
        <v>1969.72</v>
      </c>
      <c r="JE807" t="s">
        <v>8509</v>
      </c>
      <c r="JF807">
        <v>7.75</v>
      </c>
      <c r="JG807" t="s">
        <v>424</v>
      </c>
      <c r="JH807" t="s">
        <v>425</v>
      </c>
      <c r="JI807" s="1">
        <v>41361</v>
      </c>
      <c r="JJ807">
        <v>22</v>
      </c>
      <c r="JK807">
        <v>305</v>
      </c>
      <c r="JL807" t="s">
        <v>1078</v>
      </c>
    </row>
    <row r="808" spans="1:284" x14ac:dyDescent="0.25">
      <c r="A808">
        <v>16485815</v>
      </c>
      <c r="B808">
        <v>807</v>
      </c>
      <c r="C808" t="s">
        <v>393</v>
      </c>
      <c r="D808" t="s">
        <v>394</v>
      </c>
      <c r="F808" t="str">
        <f>"19-2N-25-0000-0108-0000"</f>
        <v>19-2N-25-0000-0108-0000</v>
      </c>
      <c r="H808" t="str">
        <f>"KELLY JOANNE"</f>
        <v>KELLY JOANNE</v>
      </c>
      <c r="I808" t="str">
        <f>"P O BOX 545"</f>
        <v>P O BOX 545</v>
      </c>
      <c r="J808" t="str">
        <f t="shared" si="257"/>
        <v>CALLAHAN FL 32011</v>
      </c>
      <c r="K808" t="str">
        <f>"45029 STRAWBERRY LN"</f>
        <v>45029 STRAWBERRY LN</v>
      </c>
      <c r="L808" t="str">
        <f t="shared" si="250"/>
        <v>CALLAHAN FL 32011</v>
      </c>
      <c r="M808" t="str">
        <f>"IN OR 453 PG 36 PARCELS 108 &amp; 109"</f>
        <v>IN OR 453 PG 36 PARCELS 108 &amp; 109</v>
      </c>
      <c r="N808" t="str">
        <f>""</f>
        <v/>
      </c>
      <c r="O808" t="str">
        <f>"32852"</f>
        <v>32852</v>
      </c>
      <c r="P808" t="str">
        <f t="shared" si="243"/>
        <v>2017</v>
      </c>
      <c r="Q808" t="str">
        <f>""</f>
        <v/>
      </c>
      <c r="R808" t="str">
        <f>"Y"</f>
        <v>Y</v>
      </c>
      <c r="S808" t="str">
        <f>"1.00"</f>
        <v>1.00</v>
      </c>
      <c r="T808" t="str">
        <f>"384.71"</f>
        <v>384.71</v>
      </c>
      <c r="U808" t="str">
        <f>"50945.00"</f>
        <v>50945.00</v>
      </c>
      <c r="V808" t="str">
        <f>"50945.00"</f>
        <v>50945.00</v>
      </c>
      <c r="W808" t="str">
        <f t="shared" si="244"/>
        <v>2017</v>
      </c>
      <c r="X808" t="str">
        <f>"15.83"</f>
        <v>15.83</v>
      </c>
      <c r="Y808" t="str">
        <f>"428.25"</f>
        <v>428.25</v>
      </c>
      <c r="Z808" t="str">
        <f>"25000.00"</f>
        <v>25000.00</v>
      </c>
      <c r="AA808" t="str">
        <f>"25945.00"</f>
        <v>25945.00</v>
      </c>
      <c r="AB808" t="str">
        <f t="shared" si="253"/>
        <v>Residential</v>
      </c>
      <c r="AC808" t="str">
        <f t="shared" si="254"/>
        <v>0</v>
      </c>
      <c r="AD808" t="str">
        <f>"4"</f>
        <v>4</v>
      </c>
      <c r="AE808" t="str">
        <f>"WOOD (INCLUDE STEEL STUDS)"</f>
        <v>WOOD (INCLUDE STEEL STUDS)</v>
      </c>
      <c r="AF808" t="str">
        <f>"001"</f>
        <v>001</v>
      </c>
      <c r="AG808" t="str">
        <f t="shared" si="256"/>
        <v>FL</v>
      </c>
      <c r="AH808" t="str">
        <f>"10000.00"</f>
        <v>10000.00</v>
      </c>
      <c r="AI808" t="str">
        <f>"9750.00"</f>
        <v>9750.00</v>
      </c>
      <c r="AJ808" t="str">
        <f>"C55-000-587-2317-2"</f>
        <v>C55-000-587-2317-2</v>
      </c>
      <c r="AK808" t="str">
        <f>"12752"</f>
        <v>12752</v>
      </c>
      <c r="AL808">
        <v>3</v>
      </c>
      <c r="AM808">
        <v>936</v>
      </c>
      <c r="AN808">
        <v>448.06</v>
      </c>
      <c r="AQ808" t="s">
        <v>8510</v>
      </c>
      <c r="AR808" t="s">
        <v>8510</v>
      </c>
      <c r="AS808" t="s">
        <v>8510</v>
      </c>
      <c r="AU808" t="s">
        <v>396</v>
      </c>
      <c r="AV808">
        <v>2017</v>
      </c>
      <c r="AW808" t="str">
        <f>"19-2N-25-0000-0108-0000 "</f>
        <v xml:space="preserve">19-2N-25-0000-0108-0000 </v>
      </c>
      <c r="AX808">
        <v>45029</v>
      </c>
      <c r="AZ808" t="s">
        <v>8511</v>
      </c>
      <c r="BA808" t="s">
        <v>653</v>
      </c>
      <c r="BD808" t="s">
        <v>2785</v>
      </c>
      <c r="BE808" t="s">
        <v>393</v>
      </c>
      <c r="BF808">
        <v>32011</v>
      </c>
      <c r="BG808" t="s">
        <v>8512</v>
      </c>
      <c r="BH808" t="s">
        <v>2787</v>
      </c>
      <c r="BI808">
        <v>-81.840072968073798</v>
      </c>
      <c r="BJ808">
        <v>30.571786828778901</v>
      </c>
      <c r="BK808" t="s">
        <v>4648</v>
      </c>
      <c r="BM808" t="s">
        <v>4649</v>
      </c>
      <c r="BN808" t="s">
        <v>928</v>
      </c>
      <c r="BO808">
        <v>32011</v>
      </c>
      <c r="BP808" t="s">
        <v>404</v>
      </c>
      <c r="BQ808">
        <v>100</v>
      </c>
      <c r="BR808" t="s">
        <v>514</v>
      </c>
      <c r="BS808">
        <v>1001</v>
      </c>
      <c r="BT808" t="s">
        <v>515</v>
      </c>
      <c r="BW808">
        <v>10000</v>
      </c>
      <c r="BX808" t="s">
        <v>407</v>
      </c>
      <c r="BY808" t="s">
        <v>408</v>
      </c>
      <c r="BZ808">
        <v>4</v>
      </c>
      <c r="CA808">
        <v>1986</v>
      </c>
      <c r="CB808">
        <v>1</v>
      </c>
      <c r="CC808">
        <v>1</v>
      </c>
      <c r="CD808">
        <v>2017</v>
      </c>
      <c r="CG808">
        <v>50945</v>
      </c>
      <c r="CH808">
        <v>2017</v>
      </c>
      <c r="CI808">
        <v>9750</v>
      </c>
      <c r="CJ808">
        <v>45604</v>
      </c>
      <c r="CK808">
        <v>55354</v>
      </c>
      <c r="CL808">
        <v>2017</v>
      </c>
      <c r="CM808">
        <v>384.71</v>
      </c>
      <c r="CN808" s="1">
        <v>31168</v>
      </c>
      <c r="CZ808" s="1">
        <v>31168</v>
      </c>
      <c r="DD808" t="s">
        <v>2785</v>
      </c>
      <c r="DG808">
        <v>19</v>
      </c>
      <c r="DL808">
        <v>50503</v>
      </c>
      <c r="DM808" t="s">
        <v>8259</v>
      </c>
      <c r="DO808" t="s">
        <v>8513</v>
      </c>
      <c r="DP808">
        <v>0</v>
      </c>
      <c r="DQ808">
        <v>2</v>
      </c>
      <c r="DR808" t="s">
        <v>411</v>
      </c>
      <c r="DS808" t="b">
        <v>1</v>
      </c>
      <c r="DT808" t="s">
        <v>470</v>
      </c>
      <c r="DU808" t="s">
        <v>471</v>
      </c>
      <c r="DV808" t="s">
        <v>472</v>
      </c>
      <c r="DX808">
        <v>-9999</v>
      </c>
      <c r="DZ808" t="s">
        <v>447</v>
      </c>
      <c r="EA808" t="s">
        <v>448</v>
      </c>
      <c r="EB808" t="s">
        <v>742</v>
      </c>
      <c r="EC808">
        <v>20101217</v>
      </c>
      <c r="ED808" t="s">
        <v>474</v>
      </c>
      <c r="EF808">
        <v>115.7</v>
      </c>
      <c r="EG808">
        <v>115.7</v>
      </c>
      <c r="EI808">
        <v>20160407</v>
      </c>
      <c r="EJ808">
        <v>0</v>
      </c>
      <c r="EK808">
        <v>0</v>
      </c>
      <c r="EP808" t="s">
        <v>421</v>
      </c>
      <c r="EQ808" t="s">
        <v>422</v>
      </c>
      <c r="ER808">
        <v>2</v>
      </c>
      <c r="ES808">
        <v>8</v>
      </c>
      <c r="ET808">
        <v>880.68</v>
      </c>
      <c r="EU808">
        <v>56.53</v>
      </c>
      <c r="EV808">
        <v>937.21</v>
      </c>
      <c r="EW808" s="2">
        <v>43222</v>
      </c>
      <c r="EX808" s="1">
        <v>42879</v>
      </c>
      <c r="EY808">
        <v>2016</v>
      </c>
      <c r="EZ808">
        <v>440.34</v>
      </c>
      <c r="FA808" t="s">
        <v>8514</v>
      </c>
      <c r="FB808">
        <v>0.25</v>
      </c>
      <c r="FC808" t="s">
        <v>424</v>
      </c>
      <c r="FD808" t="s">
        <v>454</v>
      </c>
      <c r="FF808">
        <v>12</v>
      </c>
      <c r="FG808">
        <v>7336671</v>
      </c>
      <c r="FH808" t="s">
        <v>437</v>
      </c>
      <c r="FJ808" s="1">
        <v>42879</v>
      </c>
      <c r="FK808">
        <v>2016</v>
      </c>
      <c r="FL808">
        <v>440.34</v>
      </c>
      <c r="FM808" t="s">
        <v>8514</v>
      </c>
      <c r="FN808">
        <v>0.25</v>
      </c>
      <c r="FO808" t="s">
        <v>424</v>
      </c>
      <c r="FP808" t="s">
        <v>454</v>
      </c>
      <c r="FR808">
        <v>12</v>
      </c>
      <c r="FS808">
        <v>6900005</v>
      </c>
      <c r="FT808" t="s">
        <v>8515</v>
      </c>
      <c r="FV808" s="1">
        <v>42515</v>
      </c>
      <c r="FW808">
        <v>2015</v>
      </c>
      <c r="FX808">
        <v>439.47</v>
      </c>
      <c r="FY808" t="s">
        <v>8516</v>
      </c>
      <c r="FZ808">
        <v>0.25</v>
      </c>
      <c r="GA808" t="s">
        <v>424</v>
      </c>
      <c r="GB808" t="s">
        <v>425</v>
      </c>
      <c r="GC808" s="1">
        <v>43146</v>
      </c>
      <c r="GD808">
        <v>21</v>
      </c>
      <c r="GE808">
        <v>11289</v>
      </c>
      <c r="GF808" t="s">
        <v>787</v>
      </c>
      <c r="GH808" s="1">
        <v>42515</v>
      </c>
      <c r="GI808">
        <v>2015</v>
      </c>
      <c r="GJ808">
        <v>439.47</v>
      </c>
      <c r="GK808" t="s">
        <v>8516</v>
      </c>
      <c r="GL808">
        <v>0.25</v>
      </c>
      <c r="GM808" t="s">
        <v>424</v>
      </c>
      <c r="GN808" t="s">
        <v>425</v>
      </c>
      <c r="GP808">
        <v>22</v>
      </c>
      <c r="GQ808">
        <v>5227004</v>
      </c>
      <c r="GR808" t="s">
        <v>8517</v>
      </c>
      <c r="GT808" s="1">
        <v>42151</v>
      </c>
      <c r="GU808">
        <v>2014</v>
      </c>
      <c r="GV808">
        <v>434.87</v>
      </c>
      <c r="GW808" t="s">
        <v>8518</v>
      </c>
      <c r="GX808">
        <v>0.25</v>
      </c>
      <c r="GY808" t="s">
        <v>424</v>
      </c>
      <c r="GZ808" t="s">
        <v>425</v>
      </c>
      <c r="HB808">
        <v>22</v>
      </c>
      <c r="HC808">
        <v>15259</v>
      </c>
      <c r="HD808" t="s">
        <v>891</v>
      </c>
      <c r="HF808" s="1">
        <v>42151</v>
      </c>
      <c r="HG808">
        <v>2014</v>
      </c>
      <c r="HH808">
        <v>434.87</v>
      </c>
      <c r="HI808" t="s">
        <v>8518</v>
      </c>
      <c r="HJ808">
        <v>0.25</v>
      </c>
      <c r="HK808" t="s">
        <v>424</v>
      </c>
      <c r="HL808" t="s">
        <v>425</v>
      </c>
      <c r="HN808">
        <v>22</v>
      </c>
      <c r="HO808">
        <v>6805272</v>
      </c>
      <c r="HP808" t="s">
        <v>8519</v>
      </c>
      <c r="HR808" s="1">
        <v>42151</v>
      </c>
      <c r="HS808">
        <v>2014</v>
      </c>
      <c r="HT808">
        <v>434.87</v>
      </c>
      <c r="HU808" t="s">
        <v>8518</v>
      </c>
      <c r="HV808">
        <v>0.25</v>
      </c>
      <c r="HW808" t="s">
        <v>424</v>
      </c>
      <c r="HX808" t="s">
        <v>425</v>
      </c>
      <c r="HY808" s="1">
        <v>42789</v>
      </c>
      <c r="HZ808">
        <v>21</v>
      </c>
      <c r="IA808">
        <v>7045049</v>
      </c>
      <c r="IB808" t="s">
        <v>1335</v>
      </c>
      <c r="ID808" s="1">
        <v>41787</v>
      </c>
      <c r="IE808">
        <v>2013</v>
      </c>
      <c r="IF808">
        <v>401.05</v>
      </c>
      <c r="IG808" t="s">
        <v>8520</v>
      </c>
      <c r="IH808">
        <v>0.25</v>
      </c>
      <c r="II808" t="s">
        <v>424</v>
      </c>
      <c r="IJ808" t="s">
        <v>425</v>
      </c>
      <c r="IK808" s="1">
        <v>42145</v>
      </c>
      <c r="IL808">
        <v>12</v>
      </c>
      <c r="IM808">
        <v>2101382</v>
      </c>
      <c r="IN808" t="s">
        <v>993</v>
      </c>
      <c r="IP808" s="1">
        <v>41423</v>
      </c>
      <c r="IQ808">
        <v>2012</v>
      </c>
      <c r="IR808">
        <v>415.45</v>
      </c>
      <c r="IS808" t="s">
        <v>8521</v>
      </c>
      <c r="IT808">
        <v>0.25</v>
      </c>
      <c r="IU808" t="s">
        <v>424</v>
      </c>
      <c r="IV808" t="s">
        <v>425</v>
      </c>
      <c r="IW808" s="1">
        <v>41726</v>
      </c>
      <c r="IX808">
        <v>10</v>
      </c>
      <c r="IY808">
        <v>15407</v>
      </c>
      <c r="IZ808" t="s">
        <v>1134</v>
      </c>
      <c r="JB808" s="1">
        <v>40688</v>
      </c>
      <c r="JC808">
        <v>2010</v>
      </c>
      <c r="JD808">
        <v>408.46</v>
      </c>
      <c r="JE808" t="s">
        <v>8522</v>
      </c>
      <c r="JF808">
        <v>7.5</v>
      </c>
      <c r="JG808" t="s">
        <v>424</v>
      </c>
      <c r="JH808" t="s">
        <v>425</v>
      </c>
      <c r="JI808" s="1">
        <v>40982</v>
      </c>
      <c r="JJ808">
        <v>10</v>
      </c>
      <c r="JK808">
        <v>11064</v>
      </c>
      <c r="JL808" t="s">
        <v>6946</v>
      </c>
    </row>
    <row r="809" spans="1:284" x14ac:dyDescent="0.25">
      <c r="A809">
        <v>16485816</v>
      </c>
      <c r="B809">
        <v>808</v>
      </c>
      <c r="C809" t="s">
        <v>393</v>
      </c>
      <c r="D809" t="s">
        <v>394</v>
      </c>
      <c r="F809" t="str">
        <f>"19-2N-25-0000-0110-0000"</f>
        <v>19-2N-25-0000-0110-0000</v>
      </c>
      <c r="H809" t="str">
        <f>"JONES LATHERN B"</f>
        <v>JONES LATHERN B</v>
      </c>
      <c r="I809" t="str">
        <f>"45772 JONES WAY"</f>
        <v>45772 JONES WAY</v>
      </c>
      <c r="J809" t="str">
        <f t="shared" si="257"/>
        <v>CALLAHAN FL 32011</v>
      </c>
      <c r="K809" t="str">
        <f>"STRAWBERRY LN"</f>
        <v>STRAWBERRY LN</v>
      </c>
      <c r="L809" t="str">
        <f t="shared" si="250"/>
        <v>CALLAHAN FL 32011</v>
      </c>
      <c r="M809" t="str">
        <f>"PT OR 1590/726"</f>
        <v>PT OR 1590/726</v>
      </c>
      <c r="N809" t="str">
        <f>""</f>
        <v/>
      </c>
      <c r="O809" t="str">
        <f>"32853"</f>
        <v>32853</v>
      </c>
      <c r="P809" t="str">
        <f t="shared" si="243"/>
        <v>2017</v>
      </c>
      <c r="Q809" t="str">
        <f>""</f>
        <v/>
      </c>
      <c r="R809" t="str">
        <f t="shared" ref="R809:R821" si="258">"N"</f>
        <v>N</v>
      </c>
      <c r="S809" t="str">
        <f>"1.00"</f>
        <v>1.00</v>
      </c>
      <c r="T809" t="str">
        <f>"137.60"</f>
        <v>137.60</v>
      </c>
      <c r="U809" t="str">
        <f>"8580.00"</f>
        <v>8580.00</v>
      </c>
      <c r="V809" t="str">
        <f>"8580.00"</f>
        <v>8580.00</v>
      </c>
      <c r="W809" t="str">
        <f t="shared" si="244"/>
        <v>2017</v>
      </c>
      <c r="X809" t="str">
        <f>"39.60"</f>
        <v>39.60</v>
      </c>
      <c r="Y809" t="str">
        <f>"173.73"</f>
        <v>173.73</v>
      </c>
      <c r="Z809" t="str">
        <f>""</f>
        <v/>
      </c>
      <c r="AA809" t="str">
        <f>"9750.00"</f>
        <v>9750.00</v>
      </c>
      <c r="AB809" t="str">
        <f t="shared" si="253"/>
        <v>Residential</v>
      </c>
      <c r="AC809" t="str">
        <f t="shared" si="254"/>
        <v>0</v>
      </c>
      <c r="AD809" t="str">
        <f>""</f>
        <v/>
      </c>
      <c r="AE809" t="str">
        <f>""</f>
        <v/>
      </c>
      <c r="AF809" t="str">
        <f>"000"</f>
        <v>000</v>
      </c>
      <c r="AG809" t="str">
        <f t="shared" si="256"/>
        <v>FL</v>
      </c>
      <c r="AH809" t="str">
        <f>"5000.00"</f>
        <v>5000.00</v>
      </c>
      <c r="AI809" t="str">
        <f>"9750.00"</f>
        <v>9750.00</v>
      </c>
      <c r="AJ809" t="str">
        <f>"C55-000-587-2318-0"</f>
        <v>C55-000-587-2318-0</v>
      </c>
      <c r="AK809" t="str">
        <f>"12753"</f>
        <v>12753</v>
      </c>
      <c r="AL809">
        <v>3</v>
      </c>
      <c r="AM809">
        <v>937</v>
      </c>
      <c r="AN809">
        <v>180.82</v>
      </c>
      <c r="AQ809" t="s">
        <v>8523</v>
      </c>
      <c r="AR809" t="s">
        <v>8523</v>
      </c>
      <c r="AS809" t="s">
        <v>8523</v>
      </c>
      <c r="AU809" t="s">
        <v>396</v>
      </c>
      <c r="AV809">
        <v>2017</v>
      </c>
      <c r="AW809" t="str">
        <f>"19-2N-25-0000-0110-0000 "</f>
        <v xml:space="preserve">19-2N-25-0000-0110-0000 </v>
      </c>
      <c r="AZ809" t="s">
        <v>8511</v>
      </c>
      <c r="BA809" t="s">
        <v>653</v>
      </c>
      <c r="BD809" t="s">
        <v>2785</v>
      </c>
      <c r="BE809" t="s">
        <v>393</v>
      </c>
      <c r="BF809">
        <v>32011</v>
      </c>
      <c r="BG809" t="s">
        <v>8524</v>
      </c>
      <c r="BH809" t="s">
        <v>2787</v>
      </c>
      <c r="BI809">
        <v>-81.839834731666997</v>
      </c>
      <c r="BJ809">
        <v>30.571791497885702</v>
      </c>
      <c r="BK809" t="s">
        <v>8525</v>
      </c>
      <c r="BM809" t="s">
        <v>8526</v>
      </c>
      <c r="BN809" t="s">
        <v>548</v>
      </c>
      <c r="BO809">
        <v>32202</v>
      </c>
      <c r="BP809" t="s">
        <v>404</v>
      </c>
      <c r="BQ809">
        <v>0</v>
      </c>
      <c r="BR809" t="s">
        <v>491</v>
      </c>
      <c r="BS809">
        <v>8001</v>
      </c>
      <c r="BT809" t="s">
        <v>492</v>
      </c>
      <c r="BW809">
        <v>5000</v>
      </c>
      <c r="BX809" t="s">
        <v>407</v>
      </c>
      <c r="BY809" t="s">
        <v>408</v>
      </c>
      <c r="CD809">
        <v>2017</v>
      </c>
      <c r="CE809">
        <v>9750</v>
      </c>
      <c r="CG809">
        <v>9750</v>
      </c>
      <c r="CH809">
        <v>2017</v>
      </c>
      <c r="CI809">
        <v>9750</v>
      </c>
      <c r="CK809">
        <v>9750</v>
      </c>
      <c r="CL809">
        <v>2017</v>
      </c>
      <c r="CM809">
        <v>137.6</v>
      </c>
      <c r="CN809" s="1">
        <v>39743</v>
      </c>
      <c r="CZ809" s="1">
        <v>39743</v>
      </c>
      <c r="DD809" t="s">
        <v>2785</v>
      </c>
      <c r="DG809">
        <v>19</v>
      </c>
      <c r="DL809">
        <v>50503</v>
      </c>
      <c r="DM809" t="s">
        <v>8259</v>
      </c>
      <c r="DO809" t="s">
        <v>8527</v>
      </c>
      <c r="DP809">
        <v>0</v>
      </c>
      <c r="DQ809">
        <v>2</v>
      </c>
      <c r="DR809" t="s">
        <v>411</v>
      </c>
      <c r="EP809" t="s">
        <v>421</v>
      </c>
      <c r="EQ809" t="s">
        <v>422</v>
      </c>
      <c r="ER809">
        <v>6</v>
      </c>
      <c r="ES809">
        <v>2</v>
      </c>
      <c r="ET809">
        <v>982.47</v>
      </c>
      <c r="EU809">
        <v>485.79</v>
      </c>
      <c r="EV809">
        <v>1468.26</v>
      </c>
      <c r="EW809" s="2">
        <v>43222</v>
      </c>
      <c r="EX809" s="1">
        <v>42879</v>
      </c>
      <c r="EY809">
        <v>2016</v>
      </c>
      <c r="EZ809">
        <v>156.49</v>
      </c>
      <c r="FA809" t="s">
        <v>8528</v>
      </c>
      <c r="FB809">
        <v>18</v>
      </c>
      <c r="FC809" t="s">
        <v>424</v>
      </c>
      <c r="FD809" t="s">
        <v>454</v>
      </c>
      <c r="FF809">
        <v>12</v>
      </c>
      <c r="FG809">
        <v>10125</v>
      </c>
      <c r="FH809" t="s">
        <v>440</v>
      </c>
      <c r="FJ809" s="1">
        <v>42879</v>
      </c>
      <c r="FK809">
        <v>2015</v>
      </c>
      <c r="FL809">
        <v>176.84</v>
      </c>
      <c r="FM809" t="s">
        <v>8529</v>
      </c>
      <c r="FN809">
        <v>17.75</v>
      </c>
      <c r="FO809" t="s">
        <v>424</v>
      </c>
      <c r="FP809" t="s">
        <v>454</v>
      </c>
      <c r="FR809">
        <v>12</v>
      </c>
      <c r="FS809">
        <v>10125</v>
      </c>
      <c r="FT809" t="s">
        <v>440</v>
      </c>
      <c r="FV809" s="1">
        <v>42879</v>
      </c>
      <c r="FW809">
        <v>2014</v>
      </c>
      <c r="FX809">
        <v>221.98</v>
      </c>
      <c r="FY809" t="s">
        <v>8530</v>
      </c>
      <c r="FZ809">
        <v>17.75</v>
      </c>
      <c r="GA809" t="s">
        <v>424</v>
      </c>
      <c r="GB809" t="s">
        <v>454</v>
      </c>
      <c r="GD809">
        <v>12</v>
      </c>
      <c r="GE809">
        <v>10125</v>
      </c>
      <c r="GF809" t="s">
        <v>440</v>
      </c>
      <c r="GH809" s="1">
        <v>41787</v>
      </c>
      <c r="GI809">
        <v>2013</v>
      </c>
      <c r="GJ809">
        <v>143.33000000000001</v>
      </c>
      <c r="GK809" t="s">
        <v>8531</v>
      </c>
      <c r="GL809">
        <v>16.5</v>
      </c>
      <c r="GM809" t="s">
        <v>424</v>
      </c>
      <c r="GN809" t="s">
        <v>454</v>
      </c>
      <c r="GP809">
        <v>48</v>
      </c>
      <c r="GQ809">
        <v>10125</v>
      </c>
      <c r="GR809" t="s">
        <v>440</v>
      </c>
      <c r="GT809" s="1">
        <v>41423</v>
      </c>
      <c r="GU809">
        <v>2012</v>
      </c>
      <c r="GV809">
        <v>144.84</v>
      </c>
      <c r="GW809" t="s">
        <v>8532</v>
      </c>
      <c r="GX809">
        <v>16.75</v>
      </c>
      <c r="GY809" t="s">
        <v>424</v>
      </c>
      <c r="GZ809" t="s">
        <v>454</v>
      </c>
      <c r="HB809">
        <v>60</v>
      </c>
      <c r="HC809">
        <v>10021</v>
      </c>
      <c r="HD809" t="s">
        <v>597</v>
      </c>
      <c r="HF809" s="1">
        <v>41052</v>
      </c>
      <c r="HG809">
        <v>2011</v>
      </c>
      <c r="HH809">
        <v>138.99</v>
      </c>
      <c r="HI809" t="s">
        <v>8533</v>
      </c>
      <c r="HJ809">
        <v>16</v>
      </c>
      <c r="HK809" t="s">
        <v>424</v>
      </c>
      <c r="HL809" t="s">
        <v>454</v>
      </c>
      <c r="HN809">
        <v>72</v>
      </c>
      <c r="HO809">
        <v>10125</v>
      </c>
      <c r="HP809" t="s">
        <v>440</v>
      </c>
      <c r="HR809" s="1">
        <v>40688</v>
      </c>
      <c r="HS809">
        <v>2010</v>
      </c>
      <c r="HT809">
        <v>138.69999999999999</v>
      </c>
      <c r="HU809" t="s">
        <v>8534</v>
      </c>
      <c r="HV809">
        <v>8.75</v>
      </c>
      <c r="HW809" t="s">
        <v>424</v>
      </c>
      <c r="HX809" t="s">
        <v>425</v>
      </c>
      <c r="HY809" s="1">
        <v>42943</v>
      </c>
      <c r="HZ809">
        <v>74</v>
      </c>
      <c r="IA809">
        <v>375</v>
      </c>
      <c r="IB809" t="s">
        <v>776</v>
      </c>
      <c r="ID809" s="1">
        <v>40688</v>
      </c>
      <c r="IE809">
        <v>2010</v>
      </c>
      <c r="IF809">
        <v>138.69999999999999</v>
      </c>
      <c r="IG809" t="s">
        <v>8534</v>
      </c>
      <c r="IH809">
        <v>8.75</v>
      </c>
      <c r="II809" t="s">
        <v>424</v>
      </c>
      <c r="IJ809" t="s">
        <v>425</v>
      </c>
      <c r="IL809">
        <v>22</v>
      </c>
      <c r="IM809">
        <v>105</v>
      </c>
      <c r="IN809" t="s">
        <v>946</v>
      </c>
    </row>
    <row r="810" spans="1:284" x14ac:dyDescent="0.25">
      <c r="A810">
        <v>16485817</v>
      </c>
      <c r="B810">
        <v>809</v>
      </c>
      <c r="C810" t="s">
        <v>393</v>
      </c>
      <c r="D810" t="s">
        <v>394</v>
      </c>
      <c r="F810" t="str">
        <f>"19-2N-25-0000-0111-0000"</f>
        <v>19-2N-25-0000-0111-0000</v>
      </c>
      <c r="H810" t="str">
        <f>"JONES LATHERN B"</f>
        <v>JONES LATHERN B</v>
      </c>
      <c r="I810" t="str">
        <f>"45772 JONES WAY"</f>
        <v>45772 JONES WAY</v>
      </c>
      <c r="J810" t="str">
        <f t="shared" si="257"/>
        <v>CALLAHAN FL 32011</v>
      </c>
      <c r="K810" t="str">
        <f>"45055 STRAWBERRY LN"</f>
        <v>45055 STRAWBERRY LN</v>
      </c>
      <c r="L810" t="str">
        <f t="shared" si="250"/>
        <v>CALLAHAN FL 32011</v>
      </c>
      <c r="M810" t="str">
        <f>"PT OR 1590/726"</f>
        <v>PT OR 1590/726</v>
      </c>
      <c r="N810" t="str">
        <f>""</f>
        <v/>
      </c>
      <c r="O810" t="str">
        <f>"32854"</f>
        <v>32854</v>
      </c>
      <c r="P810" t="str">
        <f t="shared" si="243"/>
        <v>2017</v>
      </c>
      <c r="Q810" t="str">
        <f>""</f>
        <v/>
      </c>
      <c r="R810" t="str">
        <f t="shared" si="258"/>
        <v>N</v>
      </c>
      <c r="S810" t="str">
        <f>"1.00"</f>
        <v>1.00</v>
      </c>
      <c r="T810" t="str">
        <f>"171.50"</f>
        <v>171.50</v>
      </c>
      <c r="U810" t="str">
        <f>"10230.00"</f>
        <v>10230.00</v>
      </c>
      <c r="V810" t="str">
        <f>"10230.00"</f>
        <v>10230.00</v>
      </c>
      <c r="W810" t="str">
        <f t="shared" si="244"/>
        <v>2017</v>
      </c>
      <c r="X810" t="str">
        <f>"36.20"</f>
        <v>36.20</v>
      </c>
      <c r="Y810" t="str">
        <f>"208.65"</f>
        <v>208.65</v>
      </c>
      <c r="Z810" t="str">
        <f>""</f>
        <v/>
      </c>
      <c r="AA810" t="str">
        <f>"12750.00"</f>
        <v>12750.00</v>
      </c>
      <c r="AB810" t="str">
        <f t="shared" si="253"/>
        <v>Residential</v>
      </c>
      <c r="AC810" t="str">
        <f t="shared" si="254"/>
        <v>0</v>
      </c>
      <c r="AD810" t="str">
        <f>""</f>
        <v/>
      </c>
      <c r="AE810" t="str">
        <f>""</f>
        <v/>
      </c>
      <c r="AF810" t="str">
        <f>"000"</f>
        <v>000</v>
      </c>
      <c r="AG810" t="str">
        <f t="shared" si="256"/>
        <v>FL</v>
      </c>
      <c r="AH810" t="str">
        <f>"5000.00"</f>
        <v>5000.00</v>
      </c>
      <c r="AI810" t="str">
        <f>"9750.00"</f>
        <v>9750.00</v>
      </c>
      <c r="AJ810" t="str">
        <f>"C55-000-587-2319-8"</f>
        <v>C55-000-587-2319-8</v>
      </c>
      <c r="AK810" t="str">
        <f>"12754"</f>
        <v>12754</v>
      </c>
      <c r="AL810">
        <v>3</v>
      </c>
      <c r="AM810">
        <v>938</v>
      </c>
      <c r="AN810">
        <v>217.48</v>
      </c>
      <c r="AQ810" t="s">
        <v>8535</v>
      </c>
      <c r="AR810" t="s">
        <v>8535</v>
      </c>
      <c r="AS810" t="s">
        <v>8535</v>
      </c>
      <c r="AU810" t="s">
        <v>396</v>
      </c>
      <c r="AV810">
        <v>2017</v>
      </c>
      <c r="AW810" t="str">
        <f>"19-2N-25-0000-0111-0000 "</f>
        <v xml:space="preserve">19-2N-25-0000-0111-0000 </v>
      </c>
      <c r="AX810">
        <v>45055</v>
      </c>
      <c r="AZ810" t="s">
        <v>8511</v>
      </c>
      <c r="BA810" t="s">
        <v>653</v>
      </c>
      <c r="BD810" t="s">
        <v>2785</v>
      </c>
      <c r="BE810" t="s">
        <v>393</v>
      </c>
      <c r="BF810">
        <v>32011</v>
      </c>
      <c r="BG810" t="s">
        <v>8536</v>
      </c>
      <c r="BH810" t="s">
        <v>2787</v>
      </c>
      <c r="BI810">
        <v>-81.839675906641403</v>
      </c>
      <c r="BJ810">
        <v>30.571794595584699</v>
      </c>
      <c r="BK810" t="s">
        <v>8525</v>
      </c>
      <c r="BM810" t="s">
        <v>8526</v>
      </c>
      <c r="BN810" t="s">
        <v>548</v>
      </c>
      <c r="BO810">
        <v>32202</v>
      </c>
      <c r="BP810" t="s">
        <v>404</v>
      </c>
      <c r="BQ810">
        <v>1</v>
      </c>
      <c r="BR810" t="s">
        <v>491</v>
      </c>
      <c r="BS810">
        <v>8001</v>
      </c>
      <c r="BT810" t="s">
        <v>492</v>
      </c>
      <c r="BW810">
        <v>5000</v>
      </c>
      <c r="BX810" t="s">
        <v>407</v>
      </c>
      <c r="BY810" t="s">
        <v>408</v>
      </c>
      <c r="CD810">
        <v>2017</v>
      </c>
      <c r="CE810">
        <v>9750</v>
      </c>
      <c r="CF810">
        <v>3000</v>
      </c>
      <c r="CG810">
        <v>12750</v>
      </c>
      <c r="CH810">
        <v>2017</v>
      </c>
      <c r="CI810">
        <v>9750</v>
      </c>
      <c r="CJ810">
        <v>3000</v>
      </c>
      <c r="CK810">
        <v>12750</v>
      </c>
      <c r="CL810">
        <v>2017</v>
      </c>
      <c r="CM810">
        <v>171.5</v>
      </c>
      <c r="CN810" s="1">
        <v>39743</v>
      </c>
      <c r="CZ810" s="1">
        <v>39743</v>
      </c>
      <c r="DD810" t="s">
        <v>2785</v>
      </c>
      <c r="DG810">
        <v>19</v>
      </c>
      <c r="DL810">
        <v>50503</v>
      </c>
      <c r="DM810" t="s">
        <v>8259</v>
      </c>
      <c r="DO810" t="s">
        <v>8527</v>
      </c>
      <c r="DP810">
        <v>0</v>
      </c>
      <c r="DQ810">
        <v>2</v>
      </c>
      <c r="DR810" t="s">
        <v>411</v>
      </c>
      <c r="EP810" t="s">
        <v>421</v>
      </c>
      <c r="EQ810" t="s">
        <v>422</v>
      </c>
      <c r="ER810">
        <v>10</v>
      </c>
      <c r="ES810">
        <v>0</v>
      </c>
      <c r="ET810">
        <v>1815.93</v>
      </c>
      <c r="EU810">
        <v>643.77</v>
      </c>
      <c r="EV810">
        <v>2459.6999999999998</v>
      </c>
      <c r="EW810" s="2">
        <v>43222</v>
      </c>
      <c r="EX810" s="1">
        <v>42879</v>
      </c>
      <c r="EY810">
        <v>2016</v>
      </c>
      <c r="EZ810">
        <v>181.4</v>
      </c>
      <c r="FA810" t="s">
        <v>8537</v>
      </c>
      <c r="FB810">
        <v>18</v>
      </c>
      <c r="FC810" t="s">
        <v>424</v>
      </c>
      <c r="FD810" t="s">
        <v>454</v>
      </c>
      <c r="FF810">
        <v>12</v>
      </c>
      <c r="FG810">
        <v>10125</v>
      </c>
      <c r="FH810" t="s">
        <v>440</v>
      </c>
      <c r="FJ810" s="1">
        <v>42879</v>
      </c>
      <c r="FK810">
        <v>2015</v>
      </c>
      <c r="FL810">
        <v>206.79</v>
      </c>
      <c r="FM810" t="s">
        <v>8538</v>
      </c>
      <c r="FN810">
        <v>17.75</v>
      </c>
      <c r="FO810" t="s">
        <v>424</v>
      </c>
      <c r="FP810" t="s">
        <v>454</v>
      </c>
      <c r="FR810">
        <v>12</v>
      </c>
      <c r="FS810">
        <v>10125</v>
      </c>
      <c r="FT810" t="s">
        <v>440</v>
      </c>
      <c r="FV810" s="1">
        <v>42879</v>
      </c>
      <c r="FW810">
        <v>2014</v>
      </c>
      <c r="FX810">
        <v>256.57</v>
      </c>
      <c r="FY810" t="s">
        <v>8539</v>
      </c>
      <c r="FZ810">
        <v>17.75</v>
      </c>
      <c r="GA810" t="s">
        <v>424</v>
      </c>
      <c r="GB810" t="s">
        <v>454</v>
      </c>
      <c r="GD810">
        <v>12</v>
      </c>
      <c r="GE810">
        <v>10125</v>
      </c>
      <c r="GF810" t="s">
        <v>440</v>
      </c>
      <c r="GH810" s="1">
        <v>41787</v>
      </c>
      <c r="GI810">
        <v>2013</v>
      </c>
      <c r="GJ810">
        <v>167.58</v>
      </c>
      <c r="GK810" t="s">
        <v>8540</v>
      </c>
      <c r="GL810">
        <v>6.75</v>
      </c>
      <c r="GM810" t="s">
        <v>424</v>
      </c>
      <c r="GN810" t="s">
        <v>454</v>
      </c>
      <c r="GP810">
        <v>48</v>
      </c>
      <c r="GQ810">
        <v>2035919</v>
      </c>
      <c r="GR810" t="s">
        <v>507</v>
      </c>
      <c r="GT810" s="1">
        <v>41787</v>
      </c>
      <c r="GU810">
        <v>2013</v>
      </c>
      <c r="GV810">
        <v>167.58</v>
      </c>
      <c r="GW810" t="s">
        <v>8540</v>
      </c>
      <c r="GX810">
        <v>6.75</v>
      </c>
      <c r="GY810" t="s">
        <v>424</v>
      </c>
      <c r="GZ810" t="s">
        <v>454</v>
      </c>
      <c r="HB810">
        <v>48</v>
      </c>
      <c r="HC810">
        <v>7336670</v>
      </c>
      <c r="HD810" t="s">
        <v>2102</v>
      </c>
      <c r="HF810" s="1">
        <v>41423</v>
      </c>
      <c r="HG810">
        <v>2012</v>
      </c>
      <c r="HH810">
        <v>169.41</v>
      </c>
      <c r="HI810" t="s">
        <v>8541</v>
      </c>
      <c r="HJ810">
        <v>7.5</v>
      </c>
      <c r="HK810" t="s">
        <v>424</v>
      </c>
      <c r="HL810" t="s">
        <v>454</v>
      </c>
      <c r="HN810">
        <v>60</v>
      </c>
      <c r="HO810">
        <v>1127</v>
      </c>
      <c r="HP810" t="s">
        <v>1379</v>
      </c>
      <c r="HR810" s="1">
        <v>41423</v>
      </c>
      <c r="HS810">
        <v>2012</v>
      </c>
      <c r="HT810">
        <v>169.41</v>
      </c>
      <c r="HU810" t="s">
        <v>8541</v>
      </c>
      <c r="HV810">
        <v>7.5</v>
      </c>
      <c r="HW810" t="s">
        <v>424</v>
      </c>
      <c r="HX810" t="s">
        <v>454</v>
      </c>
      <c r="HZ810">
        <v>60</v>
      </c>
      <c r="IA810">
        <v>2035919</v>
      </c>
      <c r="IB810" t="s">
        <v>507</v>
      </c>
      <c r="ID810" s="1">
        <v>41423</v>
      </c>
      <c r="IE810">
        <v>2012</v>
      </c>
      <c r="IF810">
        <v>169.41</v>
      </c>
      <c r="IG810" t="s">
        <v>8541</v>
      </c>
      <c r="IH810">
        <v>7.5</v>
      </c>
      <c r="II810" t="s">
        <v>424</v>
      </c>
      <c r="IJ810" t="s">
        <v>454</v>
      </c>
      <c r="IL810">
        <v>60</v>
      </c>
      <c r="IM810">
        <v>12259</v>
      </c>
      <c r="IN810" t="s">
        <v>1032</v>
      </c>
      <c r="IP810" s="1">
        <v>41052</v>
      </c>
      <c r="IQ810">
        <v>2011</v>
      </c>
      <c r="IR810">
        <v>163.98</v>
      </c>
      <c r="IS810" t="s">
        <v>8542</v>
      </c>
      <c r="IT810">
        <v>18</v>
      </c>
      <c r="IU810" t="s">
        <v>424</v>
      </c>
      <c r="IV810" t="s">
        <v>454</v>
      </c>
      <c r="IX810">
        <v>72</v>
      </c>
      <c r="IY810">
        <v>10125</v>
      </c>
      <c r="IZ810" t="s">
        <v>440</v>
      </c>
      <c r="JB810" s="1">
        <v>40688</v>
      </c>
      <c r="JC810">
        <v>2010</v>
      </c>
      <c r="JD810">
        <v>163.80000000000001</v>
      </c>
      <c r="JE810" t="s">
        <v>8543</v>
      </c>
      <c r="JF810">
        <v>0.25</v>
      </c>
      <c r="JG810" t="s">
        <v>424</v>
      </c>
      <c r="JH810" t="s">
        <v>454</v>
      </c>
      <c r="JJ810">
        <v>84</v>
      </c>
      <c r="JK810">
        <v>389</v>
      </c>
      <c r="JL810" t="s">
        <v>609</v>
      </c>
    </row>
    <row r="811" spans="1:284" x14ac:dyDescent="0.25">
      <c r="A811">
        <v>16485818</v>
      </c>
      <c r="B811">
        <v>810</v>
      </c>
      <c r="C811" t="s">
        <v>393</v>
      </c>
      <c r="D811" t="s">
        <v>394</v>
      </c>
      <c r="F811" t="str">
        <f>"19-2N-25-0000-0132-0000"</f>
        <v>19-2N-25-0000-0132-0000</v>
      </c>
      <c r="H811" t="str">
        <f>"REED-WHITE BETTY (3/4 INT) &amp; WRIGHT LLOYD EST (1/4 INT)"</f>
        <v>REED-WHITE BETTY (3/4 INT) &amp; WRIGHT LLOYD EST (1/4 INT)</v>
      </c>
      <c r="I811" t="str">
        <f>"45092 WHITE ROAD"</f>
        <v>45092 WHITE ROAD</v>
      </c>
      <c r="J811" t="str">
        <f t="shared" si="257"/>
        <v>CALLAHAN FL 32011</v>
      </c>
      <c r="K811" t="str">
        <f>"45092 WHITE RD"</f>
        <v>45092 WHITE RD</v>
      </c>
      <c r="L811" t="str">
        <f t="shared" si="250"/>
        <v>CALLAHAN FL 32011</v>
      </c>
      <c r="M811" t="str">
        <f>"IN DB 135/184 &amp; DB 172/375 &amp; IN OR 1594/661 PARCELS 132 &amp; 133 D/C OR 638/867"</f>
        <v>IN DB 135/184 &amp; DB 172/375 &amp; IN OR 1594/661 PARCELS 132 &amp; 133 D/C OR 638/867</v>
      </c>
      <c r="N811" t="str">
        <f>""</f>
        <v/>
      </c>
      <c r="O811" t="str">
        <f>"32876"</f>
        <v>32876</v>
      </c>
      <c r="P811" t="str">
        <f t="shared" si="243"/>
        <v>2017</v>
      </c>
      <c r="Q811" t="str">
        <f>""</f>
        <v/>
      </c>
      <c r="R811" t="str">
        <f t="shared" si="258"/>
        <v>N</v>
      </c>
      <c r="S811" t="str">
        <f>"1.00"</f>
        <v>1.00</v>
      </c>
      <c r="T811" t="str">
        <f>"327.02"</f>
        <v>327.02</v>
      </c>
      <c r="U811" t="str">
        <f>"21602.00"</f>
        <v>21602.00</v>
      </c>
      <c r="V811" t="str">
        <f>"21602.00"</f>
        <v>21602.00</v>
      </c>
      <c r="W811" t="str">
        <f t="shared" si="244"/>
        <v>2017</v>
      </c>
      <c r="X811" t="str">
        <f>"22.25"</f>
        <v>22.25</v>
      </c>
      <c r="Y811" t="str">
        <f>"368.83"</f>
        <v>368.83</v>
      </c>
      <c r="Z811" t="str">
        <f>""</f>
        <v/>
      </c>
      <c r="AA811" t="str">
        <f>"21602.00"</f>
        <v>21602.00</v>
      </c>
      <c r="AB811" t="str">
        <f t="shared" si="253"/>
        <v>Residential</v>
      </c>
      <c r="AC811" t="str">
        <f t="shared" si="254"/>
        <v>0</v>
      </c>
      <c r="AD811" t="str">
        <f>"4"</f>
        <v>4</v>
      </c>
      <c r="AE811" t="str">
        <f>"WOOD (INCLUDE STEEL STUDS)"</f>
        <v>WOOD (INCLUDE STEEL STUDS)</v>
      </c>
      <c r="AF811" t="str">
        <f>"001"</f>
        <v>001</v>
      </c>
      <c r="AG811" t="str">
        <f t="shared" si="256"/>
        <v>FL</v>
      </c>
      <c r="AH811" t="str">
        <f>"4183.00"</f>
        <v>4183.00</v>
      </c>
      <c r="AI811" t="str">
        <f>"9000.00"</f>
        <v>9000.00</v>
      </c>
      <c r="AJ811" t="str">
        <f>"C55-000-587-2335-4"</f>
        <v>C55-000-587-2335-4</v>
      </c>
      <c r="AK811" t="str">
        <f>"12770"</f>
        <v>12770</v>
      </c>
      <c r="AL811">
        <v>3</v>
      </c>
      <c r="AM811">
        <v>940</v>
      </c>
      <c r="AN811">
        <v>385.67</v>
      </c>
      <c r="AQ811" t="s">
        <v>8544</v>
      </c>
      <c r="AR811" t="s">
        <v>8544</v>
      </c>
      <c r="AS811" t="s">
        <v>8544</v>
      </c>
      <c r="AU811" t="s">
        <v>396</v>
      </c>
      <c r="AV811">
        <v>2017</v>
      </c>
      <c r="AW811" t="str">
        <f>"19-2N-25-0000-0132-0000 "</f>
        <v xml:space="preserve">19-2N-25-0000-0132-0000 </v>
      </c>
      <c r="AX811">
        <v>45092</v>
      </c>
      <c r="AZ811" t="s">
        <v>8545</v>
      </c>
      <c r="BA811" t="s">
        <v>496</v>
      </c>
      <c r="BD811" t="s">
        <v>2785</v>
      </c>
      <c r="BE811" t="s">
        <v>393</v>
      </c>
      <c r="BF811">
        <v>32011</v>
      </c>
      <c r="BG811" t="s">
        <v>8546</v>
      </c>
      <c r="BH811" t="s">
        <v>2787</v>
      </c>
      <c r="BI811">
        <v>-81.837248152232206</v>
      </c>
      <c r="BJ811">
        <v>30.571941279530598</v>
      </c>
      <c r="BK811" t="s">
        <v>8547</v>
      </c>
      <c r="BM811" t="s">
        <v>8546</v>
      </c>
      <c r="BN811" t="s">
        <v>928</v>
      </c>
      <c r="BO811">
        <v>32011</v>
      </c>
      <c r="BP811" t="s">
        <v>416</v>
      </c>
      <c r="BQ811">
        <v>100</v>
      </c>
      <c r="BR811" t="s">
        <v>514</v>
      </c>
      <c r="BS811">
        <v>1001</v>
      </c>
      <c r="BT811" t="s">
        <v>515</v>
      </c>
      <c r="BW811">
        <v>4183</v>
      </c>
      <c r="BX811" t="s">
        <v>407</v>
      </c>
      <c r="BY811" t="s">
        <v>4360</v>
      </c>
      <c r="BZ811">
        <v>4</v>
      </c>
      <c r="CA811">
        <v>1940</v>
      </c>
      <c r="CB811">
        <v>1</v>
      </c>
      <c r="CC811">
        <v>1</v>
      </c>
      <c r="CD811">
        <v>2017</v>
      </c>
      <c r="CE811">
        <v>9000</v>
      </c>
      <c r="CF811">
        <v>12602</v>
      </c>
      <c r="CG811">
        <v>21602</v>
      </c>
      <c r="CH811">
        <v>2017</v>
      </c>
      <c r="CI811">
        <v>9000</v>
      </c>
      <c r="CJ811">
        <v>12602</v>
      </c>
      <c r="CK811">
        <v>21602</v>
      </c>
      <c r="CL811">
        <v>2017</v>
      </c>
      <c r="CM811">
        <v>327.02</v>
      </c>
      <c r="CN811" s="1">
        <v>39773</v>
      </c>
      <c r="CZ811" s="1">
        <v>39773</v>
      </c>
      <c r="DD811" t="s">
        <v>2785</v>
      </c>
      <c r="DG811">
        <v>19</v>
      </c>
      <c r="DL811">
        <v>50503</v>
      </c>
      <c r="DM811" t="s">
        <v>8259</v>
      </c>
      <c r="DO811" t="s">
        <v>8548</v>
      </c>
      <c r="DP811">
        <v>0</v>
      </c>
      <c r="DQ811">
        <v>0</v>
      </c>
      <c r="DR811" t="s">
        <v>411</v>
      </c>
      <c r="DS811" t="b">
        <v>1</v>
      </c>
      <c r="DT811" t="s">
        <v>470</v>
      </c>
      <c r="DU811" t="s">
        <v>471</v>
      </c>
      <c r="DV811" t="s">
        <v>472</v>
      </c>
      <c r="DX811">
        <v>-9999</v>
      </c>
      <c r="DZ811" t="s">
        <v>447</v>
      </c>
      <c r="EA811" t="s">
        <v>448</v>
      </c>
      <c r="EB811" t="s">
        <v>742</v>
      </c>
      <c r="EC811">
        <v>20101217</v>
      </c>
      <c r="ED811" t="s">
        <v>474</v>
      </c>
      <c r="EF811">
        <v>552.29999999999995</v>
      </c>
      <c r="EG811">
        <v>552.29999999999995</v>
      </c>
      <c r="EI811">
        <v>20160407</v>
      </c>
      <c r="EJ811">
        <v>0</v>
      </c>
      <c r="EK811">
        <v>0</v>
      </c>
      <c r="EP811" t="s">
        <v>595</v>
      </c>
      <c r="EQ811" t="s">
        <v>422</v>
      </c>
      <c r="ER811">
        <v>10</v>
      </c>
      <c r="ES811">
        <v>1</v>
      </c>
      <c r="ET811">
        <v>3196</v>
      </c>
      <c r="EU811">
        <v>1076.3</v>
      </c>
      <c r="EV811">
        <v>4272.3</v>
      </c>
      <c r="EW811" s="2">
        <v>43222</v>
      </c>
      <c r="EX811" s="1">
        <v>42879</v>
      </c>
      <c r="EY811">
        <v>2016</v>
      </c>
      <c r="EZ811">
        <v>355.74</v>
      </c>
      <c r="FA811" t="s">
        <v>8549</v>
      </c>
      <c r="FB811">
        <v>11.75</v>
      </c>
      <c r="FC811" t="s">
        <v>424</v>
      </c>
      <c r="FD811" t="s">
        <v>454</v>
      </c>
      <c r="FF811">
        <v>12</v>
      </c>
      <c r="FG811">
        <v>10125</v>
      </c>
      <c r="FH811" t="s">
        <v>440</v>
      </c>
      <c r="FJ811" s="1">
        <v>42515</v>
      </c>
      <c r="FK811">
        <v>2015</v>
      </c>
      <c r="FL811">
        <v>347.62</v>
      </c>
      <c r="FM811" t="s">
        <v>8550</v>
      </c>
      <c r="FN811">
        <v>18</v>
      </c>
      <c r="FO811" t="s">
        <v>603</v>
      </c>
      <c r="FP811" t="s">
        <v>454</v>
      </c>
      <c r="FR811">
        <v>24</v>
      </c>
      <c r="FS811">
        <v>9999999</v>
      </c>
      <c r="FT811" t="s">
        <v>604</v>
      </c>
      <c r="FV811" s="1">
        <v>42515</v>
      </c>
      <c r="FW811">
        <v>2015</v>
      </c>
      <c r="FX811">
        <v>369.51</v>
      </c>
      <c r="FY811" t="s">
        <v>8550</v>
      </c>
      <c r="FZ811">
        <v>18</v>
      </c>
      <c r="GA811" t="s">
        <v>424</v>
      </c>
      <c r="GB811" t="s">
        <v>454</v>
      </c>
      <c r="GD811">
        <v>24</v>
      </c>
      <c r="GE811">
        <v>7336703</v>
      </c>
      <c r="GF811" t="s">
        <v>8551</v>
      </c>
      <c r="GH811" s="1">
        <v>42515</v>
      </c>
      <c r="GI811">
        <v>2015</v>
      </c>
      <c r="GJ811">
        <v>369.51</v>
      </c>
      <c r="GK811" t="s">
        <v>8550</v>
      </c>
      <c r="GL811">
        <v>18</v>
      </c>
      <c r="GM811" t="s">
        <v>424</v>
      </c>
      <c r="GN811" t="s">
        <v>454</v>
      </c>
      <c r="GP811">
        <v>24</v>
      </c>
      <c r="GQ811">
        <v>7336704</v>
      </c>
      <c r="GR811" t="s">
        <v>8552</v>
      </c>
      <c r="GT811" s="1">
        <v>42151</v>
      </c>
      <c r="GU811">
        <v>2014</v>
      </c>
      <c r="GV811">
        <v>323.41000000000003</v>
      </c>
      <c r="GW811" t="s">
        <v>8553</v>
      </c>
      <c r="GX811">
        <v>4.75</v>
      </c>
      <c r="GY811" t="s">
        <v>424</v>
      </c>
      <c r="GZ811" t="s">
        <v>454</v>
      </c>
      <c r="HB811">
        <v>36</v>
      </c>
      <c r="HC811">
        <v>4975593</v>
      </c>
      <c r="HD811" t="s">
        <v>505</v>
      </c>
      <c r="HF811" s="1">
        <v>42151</v>
      </c>
      <c r="HG811">
        <v>2014</v>
      </c>
      <c r="HH811">
        <v>323.41000000000003</v>
      </c>
      <c r="HI811" t="s">
        <v>8553</v>
      </c>
      <c r="HJ811">
        <v>4.75</v>
      </c>
      <c r="HK811" t="s">
        <v>424</v>
      </c>
      <c r="HL811" t="s">
        <v>454</v>
      </c>
      <c r="HN811">
        <v>36</v>
      </c>
      <c r="HO811">
        <v>7336670</v>
      </c>
      <c r="HP811" t="s">
        <v>2102</v>
      </c>
      <c r="HR811" s="1">
        <v>41787</v>
      </c>
      <c r="HS811">
        <v>2013</v>
      </c>
      <c r="HT811">
        <v>276.31</v>
      </c>
      <c r="HU811" t="s">
        <v>8554</v>
      </c>
      <c r="HV811">
        <v>6.75</v>
      </c>
      <c r="HW811" t="s">
        <v>424</v>
      </c>
      <c r="HX811" t="s">
        <v>454</v>
      </c>
      <c r="HZ811">
        <v>48</v>
      </c>
      <c r="IA811">
        <v>2035919</v>
      </c>
      <c r="IB811" t="s">
        <v>507</v>
      </c>
      <c r="ID811" s="1">
        <v>41787</v>
      </c>
      <c r="IE811">
        <v>2013</v>
      </c>
      <c r="IF811">
        <v>276.31</v>
      </c>
      <c r="IG811" t="s">
        <v>8554</v>
      </c>
      <c r="IH811">
        <v>6.75</v>
      </c>
      <c r="II811" t="s">
        <v>424</v>
      </c>
      <c r="IJ811" t="s">
        <v>454</v>
      </c>
      <c r="IL811">
        <v>48</v>
      </c>
      <c r="IM811">
        <v>7336670</v>
      </c>
      <c r="IN811" t="s">
        <v>2102</v>
      </c>
      <c r="IP811" s="1">
        <v>41052</v>
      </c>
      <c r="IQ811">
        <v>2011</v>
      </c>
      <c r="IR811">
        <v>264.95999999999998</v>
      </c>
      <c r="IS811" t="s">
        <v>8555</v>
      </c>
      <c r="IT811">
        <v>6</v>
      </c>
      <c r="IU811" t="s">
        <v>424</v>
      </c>
      <c r="IV811" t="s">
        <v>425</v>
      </c>
      <c r="IW811" s="1">
        <v>41729</v>
      </c>
      <c r="IX811">
        <v>22</v>
      </c>
      <c r="IY811">
        <v>10125</v>
      </c>
      <c r="IZ811" t="s">
        <v>440</v>
      </c>
      <c r="JB811" s="1">
        <v>40688</v>
      </c>
      <c r="JC811">
        <v>2010</v>
      </c>
      <c r="JD811">
        <v>277.08999999999997</v>
      </c>
      <c r="JE811" t="s">
        <v>8556</v>
      </c>
      <c r="JF811">
        <v>8.75</v>
      </c>
      <c r="JG811" t="s">
        <v>424</v>
      </c>
      <c r="JH811" t="s">
        <v>454</v>
      </c>
      <c r="JJ811">
        <v>84</v>
      </c>
      <c r="JK811">
        <v>375</v>
      </c>
      <c r="JL811" t="s">
        <v>776</v>
      </c>
      <c r="JN811" s="1">
        <v>40688</v>
      </c>
      <c r="JO811">
        <v>2010</v>
      </c>
      <c r="JP811">
        <v>277.08999999999997</v>
      </c>
      <c r="JQ811" t="s">
        <v>8556</v>
      </c>
      <c r="JR811">
        <v>8.75</v>
      </c>
      <c r="JS811" t="s">
        <v>424</v>
      </c>
      <c r="JT811" t="s">
        <v>454</v>
      </c>
      <c r="JV811">
        <v>84</v>
      </c>
      <c r="JW811">
        <v>105</v>
      </c>
      <c r="JX811" t="s">
        <v>946</v>
      </c>
    </row>
    <row r="812" spans="1:284" x14ac:dyDescent="0.25">
      <c r="A812">
        <v>16485819</v>
      </c>
      <c r="B812">
        <v>811</v>
      </c>
      <c r="C812" t="s">
        <v>393</v>
      </c>
      <c r="D812" t="s">
        <v>394</v>
      </c>
      <c r="F812" t="str">
        <f>"19-2N-25-0000-0135-0000"</f>
        <v>19-2N-25-0000-0135-0000</v>
      </c>
      <c r="H812" t="str">
        <f>"MAIN LINE TIMBER LLC"</f>
        <v>MAIN LINE TIMBER LLC</v>
      </c>
      <c r="I812" t="str">
        <f t="shared" ref="I812:I820" si="259">"PO BOX 1694"</f>
        <v>PO BOX 1694</v>
      </c>
      <c r="J812" t="str">
        <f t="shared" si="257"/>
        <v>CALLAHAN FL 32011</v>
      </c>
      <c r="K812" t="str">
        <f>"OLD DIXIE HWY"</f>
        <v>OLD DIXIE HWY</v>
      </c>
      <c r="L812" t="str">
        <f t="shared" si="250"/>
        <v>CALLAHAN FL 32011</v>
      </c>
      <c r="M812" t="str">
        <f>"PT GOVT LOT 2 PAR 135 PT OR 1385/762"</f>
        <v>PT GOVT LOT 2 PAR 135 PT OR 1385/762</v>
      </c>
      <c r="N812" t="str">
        <f>""</f>
        <v/>
      </c>
      <c r="O812" t="str">
        <f>"32878"</f>
        <v>32878</v>
      </c>
      <c r="P812" t="str">
        <f t="shared" si="243"/>
        <v>2017</v>
      </c>
      <c r="Q812" t="str">
        <f>""</f>
        <v/>
      </c>
      <c r="R812" t="str">
        <f t="shared" si="258"/>
        <v>N</v>
      </c>
      <c r="S812" t="str">
        <f>""</f>
        <v/>
      </c>
      <c r="T812" t="str">
        <f>"636.27"</f>
        <v>636.27</v>
      </c>
      <c r="U812" t="str">
        <f>"38555.00"</f>
        <v>38555.00</v>
      </c>
      <c r="V812" t="str">
        <f>"38555.00"</f>
        <v>38555.00</v>
      </c>
      <c r="W812" t="str">
        <f t="shared" si="244"/>
        <v>2017</v>
      </c>
      <c r="X812" t="str">
        <f>"5.67"</f>
        <v>5.67</v>
      </c>
      <c r="Y812" t="str">
        <f>"687.36"</f>
        <v>687.36</v>
      </c>
      <c r="Z812" t="str">
        <f>""</f>
        <v/>
      </c>
      <c r="AA812" t="str">
        <f>"38555.00"</f>
        <v>38555.00</v>
      </c>
      <c r="AB812" t="str">
        <f>"Commercial"</f>
        <v>Commercial</v>
      </c>
      <c r="AC812" t="str">
        <f t="shared" si="254"/>
        <v>0</v>
      </c>
      <c r="AD812" t="str">
        <f>""</f>
        <v/>
      </c>
      <c r="AE812" t="str">
        <f>""</f>
        <v/>
      </c>
      <c r="AF812" t="str">
        <f>"010"</f>
        <v>010</v>
      </c>
      <c r="AG812" t="str">
        <f t="shared" si="256"/>
        <v>FL</v>
      </c>
      <c r="AH812" t="str">
        <f>"9639.00"</f>
        <v>9639.00</v>
      </c>
      <c r="AI812" t="str">
        <f>"38555.00"</f>
        <v>38555.00</v>
      </c>
      <c r="AJ812" t="str">
        <f>"C55-000-587-2337-0"</f>
        <v>C55-000-587-2337-0</v>
      </c>
      <c r="AK812" t="str">
        <f>"12772"</f>
        <v>12772</v>
      </c>
      <c r="AL812">
        <v>3</v>
      </c>
      <c r="AM812">
        <v>941</v>
      </c>
      <c r="AN812">
        <v>720.13</v>
      </c>
      <c r="AQ812" t="s">
        <v>8557</v>
      </c>
      <c r="AR812" t="s">
        <v>8557</v>
      </c>
      <c r="AS812" t="s">
        <v>8557</v>
      </c>
      <c r="AU812" t="s">
        <v>396</v>
      </c>
      <c r="AV812">
        <v>2017</v>
      </c>
      <c r="AW812" t="str">
        <f>"19-2N-25-0000-0135-0000 "</f>
        <v xml:space="preserve">19-2N-25-0000-0135-0000 </v>
      </c>
      <c r="AZ812" t="s">
        <v>3712</v>
      </c>
      <c r="BA812" t="s">
        <v>3713</v>
      </c>
      <c r="BD812" t="s">
        <v>2785</v>
      </c>
      <c r="BE812" t="s">
        <v>393</v>
      </c>
      <c r="BF812">
        <v>32011</v>
      </c>
      <c r="BG812" t="s">
        <v>3810</v>
      </c>
      <c r="BH812" t="s">
        <v>2787</v>
      </c>
      <c r="BI812">
        <v>-81.835882327798998</v>
      </c>
      <c r="BJ812">
        <v>30.570702707854501</v>
      </c>
      <c r="BK812" t="s">
        <v>8558</v>
      </c>
      <c r="BM812" t="s">
        <v>1631</v>
      </c>
      <c r="BN812" t="s">
        <v>928</v>
      </c>
      <c r="BO812">
        <v>32011</v>
      </c>
      <c r="BP812" t="s">
        <v>404</v>
      </c>
      <c r="BQ812">
        <v>1000</v>
      </c>
      <c r="BR812" t="s">
        <v>2391</v>
      </c>
      <c r="BS812">
        <v>8002</v>
      </c>
      <c r="BT812" t="s">
        <v>2392</v>
      </c>
      <c r="BW812">
        <v>9640</v>
      </c>
      <c r="BX812" t="s">
        <v>407</v>
      </c>
      <c r="BY812" t="s">
        <v>4413</v>
      </c>
      <c r="CD812">
        <v>2017</v>
      </c>
      <c r="CE812">
        <v>38555</v>
      </c>
      <c r="CG812">
        <v>38555</v>
      </c>
      <c r="CH812">
        <v>2017</v>
      </c>
      <c r="CI812">
        <v>38555</v>
      </c>
      <c r="CK812">
        <v>38555</v>
      </c>
      <c r="CL812">
        <v>2017</v>
      </c>
      <c r="CM812">
        <v>636.27</v>
      </c>
      <c r="CN812" s="1">
        <v>38747</v>
      </c>
      <c r="CO812">
        <v>118000</v>
      </c>
      <c r="CV812">
        <v>0</v>
      </c>
      <c r="CZ812" s="1">
        <v>38747</v>
      </c>
      <c r="DA812">
        <v>0</v>
      </c>
      <c r="DD812" t="s">
        <v>2785</v>
      </c>
      <c r="DF812">
        <v>2</v>
      </c>
      <c r="DG812">
        <v>19</v>
      </c>
      <c r="DL812">
        <v>50503</v>
      </c>
      <c r="DM812" t="s">
        <v>8259</v>
      </c>
      <c r="DO812" t="s">
        <v>8559</v>
      </c>
      <c r="DP812">
        <v>0</v>
      </c>
      <c r="DQ812">
        <v>4</v>
      </c>
      <c r="DR812" t="s">
        <v>1479</v>
      </c>
      <c r="DS812" t="s">
        <v>695</v>
      </c>
      <c r="EJ812">
        <v>0</v>
      </c>
      <c r="EK812">
        <v>0</v>
      </c>
      <c r="EP812" t="s">
        <v>421</v>
      </c>
      <c r="EQ812" t="s">
        <v>422</v>
      </c>
      <c r="ER812">
        <v>0</v>
      </c>
      <c r="ES812">
        <v>5</v>
      </c>
      <c r="ET812">
        <v>0</v>
      </c>
      <c r="EU812">
        <v>0</v>
      </c>
      <c r="EV812">
        <v>0</v>
      </c>
      <c r="EW812" s="2">
        <v>43222</v>
      </c>
      <c r="EX812" s="1">
        <v>42151</v>
      </c>
      <c r="EY812">
        <v>2014</v>
      </c>
      <c r="EZ812">
        <v>688.51</v>
      </c>
      <c r="FA812" t="s">
        <v>8560</v>
      </c>
      <c r="FB812">
        <v>0.25</v>
      </c>
      <c r="FC812" t="s">
        <v>424</v>
      </c>
      <c r="FD812" t="s">
        <v>425</v>
      </c>
      <c r="FE812" s="1">
        <v>42384</v>
      </c>
      <c r="FF812">
        <v>8</v>
      </c>
      <c r="FG812">
        <v>2101382</v>
      </c>
      <c r="FH812" t="s">
        <v>993</v>
      </c>
      <c r="FJ812" s="1">
        <v>42151</v>
      </c>
      <c r="FK812">
        <v>2014</v>
      </c>
      <c r="FL812">
        <v>688.51</v>
      </c>
      <c r="FM812" t="s">
        <v>8560</v>
      </c>
      <c r="FN812">
        <v>0.25</v>
      </c>
      <c r="FO812" t="s">
        <v>424</v>
      </c>
      <c r="FP812" t="s">
        <v>425</v>
      </c>
      <c r="FR812">
        <v>22</v>
      </c>
      <c r="FS812">
        <v>5674702</v>
      </c>
      <c r="FT812" t="s">
        <v>8561</v>
      </c>
      <c r="FV812" s="1">
        <v>41787</v>
      </c>
      <c r="FW812">
        <v>2013</v>
      </c>
      <c r="FX812">
        <v>631.07000000000005</v>
      </c>
      <c r="FY812" t="s">
        <v>8562</v>
      </c>
      <c r="FZ812">
        <v>0.25</v>
      </c>
      <c r="GA812" t="s">
        <v>424</v>
      </c>
      <c r="GB812" t="s">
        <v>425</v>
      </c>
      <c r="GC812" s="1">
        <v>41829</v>
      </c>
      <c r="GD812">
        <v>2</v>
      </c>
      <c r="GE812">
        <v>2101385</v>
      </c>
      <c r="GF812" t="s">
        <v>810</v>
      </c>
      <c r="GH812" s="1">
        <v>41423</v>
      </c>
      <c r="GI812">
        <v>2012</v>
      </c>
      <c r="GJ812">
        <v>559.69000000000005</v>
      </c>
      <c r="GK812" t="s">
        <v>8563</v>
      </c>
      <c r="GL812">
        <v>3.5</v>
      </c>
      <c r="GM812" t="s">
        <v>424</v>
      </c>
      <c r="GN812" t="s">
        <v>425</v>
      </c>
      <c r="GO812" s="1">
        <v>41684</v>
      </c>
      <c r="GP812">
        <v>9</v>
      </c>
      <c r="GQ812">
        <v>1625515</v>
      </c>
      <c r="GR812" t="s">
        <v>487</v>
      </c>
      <c r="GT812" s="1">
        <v>41052</v>
      </c>
      <c r="GU812">
        <v>2011</v>
      </c>
      <c r="GV812">
        <v>425.23</v>
      </c>
      <c r="GW812" t="s">
        <v>8564</v>
      </c>
      <c r="GX812">
        <v>5</v>
      </c>
      <c r="GY812" t="s">
        <v>424</v>
      </c>
      <c r="GZ812" t="s">
        <v>425</v>
      </c>
      <c r="HA812" s="1">
        <v>41122</v>
      </c>
      <c r="HB812">
        <v>3</v>
      </c>
      <c r="HC812">
        <v>10125</v>
      </c>
      <c r="HD812" t="s">
        <v>440</v>
      </c>
    </row>
    <row r="813" spans="1:284" x14ac:dyDescent="0.25">
      <c r="A813">
        <v>16485820</v>
      </c>
      <c r="B813">
        <v>812</v>
      </c>
      <c r="C813" t="s">
        <v>393</v>
      </c>
      <c r="D813" t="s">
        <v>394</v>
      </c>
      <c r="F813" t="str">
        <f>"19-2N-25-0000-0143-0000"</f>
        <v>19-2N-25-0000-0143-0000</v>
      </c>
      <c r="H813" t="str">
        <f>"HIGGINBOTHAM ALBERT L &amp; GRAHAM SHARI T (H&amp;W)"</f>
        <v>HIGGINBOTHAM ALBERT L &amp; GRAHAM SHARI T (H&amp;W)</v>
      </c>
      <c r="I813" t="str">
        <f t="shared" si="259"/>
        <v>PO BOX 1694</v>
      </c>
      <c r="J813" t="str">
        <f t="shared" si="257"/>
        <v>CALLAHAN FL 32011</v>
      </c>
      <c r="K813" t="str">
        <f>"450027 OLD DIXIE HWY"</f>
        <v>450027 OLD DIXIE HWY</v>
      </c>
      <c r="L813" t="str">
        <f t="shared" si="250"/>
        <v>CALLAHAN FL 32011</v>
      </c>
      <c r="M813" t="str">
        <f>"PT GOVT LOT 2 PAR 143 PT OR 1747/1823"</f>
        <v>PT GOVT LOT 2 PAR 143 PT OR 1747/1823</v>
      </c>
      <c r="N813" t="str">
        <f>""</f>
        <v/>
      </c>
      <c r="O813" t="str">
        <f>"32888"</f>
        <v>32888</v>
      </c>
      <c r="P813" t="str">
        <f t="shared" si="243"/>
        <v>2017</v>
      </c>
      <c r="Q813" t="str">
        <f>""</f>
        <v/>
      </c>
      <c r="R813" t="str">
        <f t="shared" si="258"/>
        <v>N</v>
      </c>
      <c r="S813" t="str">
        <f>""</f>
        <v/>
      </c>
      <c r="T813" t="str">
        <f>"1287.82"</f>
        <v>1287.82</v>
      </c>
      <c r="U813" t="str">
        <f>"78034.00"</f>
        <v>78034.00</v>
      </c>
      <c r="V813" t="str">
        <f>"78034.00"</f>
        <v>78034.00</v>
      </c>
      <c r="W813" t="str">
        <f t="shared" si="244"/>
        <v>2017</v>
      </c>
      <c r="X813" t="str">
        <f>"9.00"</f>
        <v>9.00</v>
      </c>
      <c r="Y813" t="str">
        <f>"1358.45"</f>
        <v>1358.45</v>
      </c>
      <c r="Z813" t="str">
        <f>""</f>
        <v/>
      </c>
      <c r="AA813" t="str">
        <f>"78034.00"</f>
        <v>78034.00</v>
      </c>
      <c r="AB813" t="str">
        <f>"Commercial"</f>
        <v>Commercial</v>
      </c>
      <c r="AC813" t="str">
        <f t="shared" si="254"/>
        <v>0</v>
      </c>
      <c r="AD813" t="str">
        <f>"3"</f>
        <v>3</v>
      </c>
      <c r="AE813" t="str">
        <f>"MASONRY"</f>
        <v>MASONRY</v>
      </c>
      <c r="AF813" t="str">
        <f>"017"</f>
        <v>017</v>
      </c>
      <c r="AG813" t="str">
        <f t="shared" si="256"/>
        <v>FL</v>
      </c>
      <c r="AH813" t="str">
        <f>"8005.00"</f>
        <v>8005.00</v>
      </c>
      <c r="AI813" t="str">
        <f>"32020.00"</f>
        <v>32020.00</v>
      </c>
      <c r="AJ813" t="str">
        <f>"C55-000-587-2347-9"</f>
        <v>C55-000-587-2347-9</v>
      </c>
      <c r="AK813" t="str">
        <f>"12782"</f>
        <v>12782</v>
      </c>
      <c r="AL813">
        <v>3</v>
      </c>
      <c r="AM813">
        <v>942</v>
      </c>
      <c r="AN813">
        <v>1424.77</v>
      </c>
      <c r="AQ813" t="s">
        <v>8565</v>
      </c>
      <c r="AR813" t="s">
        <v>8565</v>
      </c>
      <c r="AS813" t="s">
        <v>8565</v>
      </c>
      <c r="AU813" t="s">
        <v>396</v>
      </c>
      <c r="AV813">
        <v>2017</v>
      </c>
      <c r="AW813" t="str">
        <f>"19-2N-25-0000-0143-0000 "</f>
        <v xml:space="preserve">19-2N-25-0000-0143-0000 </v>
      </c>
      <c r="AX813">
        <v>450027</v>
      </c>
      <c r="AZ813" t="s">
        <v>3712</v>
      </c>
      <c r="BA813" t="s">
        <v>3713</v>
      </c>
      <c r="BD813" t="s">
        <v>2785</v>
      </c>
      <c r="BE813" t="s">
        <v>393</v>
      </c>
      <c r="BF813">
        <v>32011</v>
      </c>
      <c r="BG813" t="s">
        <v>8566</v>
      </c>
      <c r="BH813" t="s">
        <v>2787</v>
      </c>
      <c r="BI813">
        <v>-81.836253379789298</v>
      </c>
      <c r="BJ813">
        <v>30.570677744348199</v>
      </c>
      <c r="BK813" t="s">
        <v>8567</v>
      </c>
      <c r="BL813" t="s">
        <v>3796</v>
      </c>
      <c r="BM813" t="s">
        <v>1631</v>
      </c>
      <c r="BN813" t="s">
        <v>928</v>
      </c>
      <c r="BO813">
        <v>32011</v>
      </c>
      <c r="BP813" t="s">
        <v>404</v>
      </c>
      <c r="BQ813">
        <v>1700</v>
      </c>
      <c r="BR813" t="s">
        <v>3686</v>
      </c>
      <c r="BS813">
        <v>3003</v>
      </c>
      <c r="BT813" t="s">
        <v>3687</v>
      </c>
      <c r="BW813">
        <v>8006</v>
      </c>
      <c r="BX813" t="s">
        <v>407</v>
      </c>
      <c r="BY813" t="s">
        <v>4413</v>
      </c>
      <c r="BZ813">
        <v>3</v>
      </c>
      <c r="CA813">
        <v>1950</v>
      </c>
      <c r="CB813">
        <v>1</v>
      </c>
      <c r="CC813">
        <v>1</v>
      </c>
      <c r="CD813">
        <v>2017</v>
      </c>
      <c r="CE813">
        <v>32020</v>
      </c>
      <c r="CF813">
        <v>46014</v>
      </c>
      <c r="CG813">
        <v>78034</v>
      </c>
      <c r="CH813">
        <v>2017</v>
      </c>
      <c r="CI813">
        <v>32020</v>
      </c>
      <c r="CJ813">
        <v>46014</v>
      </c>
      <c r="CK813">
        <v>78034</v>
      </c>
      <c r="CL813">
        <v>2017</v>
      </c>
      <c r="CM813">
        <v>1287.82</v>
      </c>
      <c r="CN813" s="1">
        <v>40749</v>
      </c>
      <c r="CO813">
        <v>140000</v>
      </c>
      <c r="CV813">
        <v>0</v>
      </c>
      <c r="CZ813" s="1">
        <v>40749</v>
      </c>
      <c r="DA813">
        <v>0</v>
      </c>
      <c r="DD813" t="s">
        <v>2785</v>
      </c>
      <c r="DF813">
        <v>2</v>
      </c>
      <c r="DG813">
        <v>19</v>
      </c>
      <c r="DL813">
        <v>50503</v>
      </c>
      <c r="DM813" t="s">
        <v>8259</v>
      </c>
      <c r="DO813" t="s">
        <v>8568</v>
      </c>
      <c r="DP813">
        <v>0</v>
      </c>
      <c r="DQ813">
        <v>4</v>
      </c>
      <c r="DR813" t="s">
        <v>1479</v>
      </c>
      <c r="EP813" t="s">
        <v>421</v>
      </c>
      <c r="EQ813" t="s">
        <v>422</v>
      </c>
      <c r="ER813">
        <v>0</v>
      </c>
      <c r="ES813">
        <v>1</v>
      </c>
      <c r="ET813">
        <v>0</v>
      </c>
      <c r="EU813">
        <v>0</v>
      </c>
      <c r="EV813">
        <v>0</v>
      </c>
      <c r="EW813" s="2">
        <v>43222</v>
      </c>
      <c r="EX813" s="1">
        <v>41423</v>
      </c>
      <c r="EY813">
        <v>2012</v>
      </c>
      <c r="EZ813">
        <v>966.7</v>
      </c>
      <c r="FA813" t="s">
        <v>8569</v>
      </c>
      <c r="FB813">
        <v>0.25</v>
      </c>
      <c r="FC813" t="s">
        <v>424</v>
      </c>
      <c r="FD813" t="s">
        <v>425</v>
      </c>
      <c r="FE813" s="1">
        <v>41684</v>
      </c>
      <c r="FF813">
        <v>9</v>
      </c>
      <c r="FG813">
        <v>2101382</v>
      </c>
      <c r="FH813" t="s">
        <v>993</v>
      </c>
    </row>
    <row r="814" spans="1:284" x14ac:dyDescent="0.25">
      <c r="A814">
        <v>16485821</v>
      </c>
      <c r="B814">
        <v>813</v>
      </c>
      <c r="C814" t="s">
        <v>393</v>
      </c>
      <c r="D814" t="s">
        <v>394</v>
      </c>
      <c r="F814" t="str">
        <f>"19-2N-25-0000-0143-0010"</f>
        <v>19-2N-25-0000-0143-0010</v>
      </c>
      <c r="H814" t="str">
        <f>"HIGGINBOTHAM ALBERT L &amp; GRAHAM SHARI T (H&amp;W)"</f>
        <v>HIGGINBOTHAM ALBERT L &amp; GRAHAM SHARI T (H&amp;W)</v>
      </c>
      <c r="I814" t="str">
        <f t="shared" si="259"/>
        <v>PO BOX 1694</v>
      </c>
      <c r="J814" t="str">
        <f t="shared" si="257"/>
        <v>CALLAHAN FL 32011</v>
      </c>
      <c r="K814" t="str">
        <f>"OLD DIXIE HWY"</f>
        <v>OLD DIXIE HWY</v>
      </c>
      <c r="L814" t="str">
        <f t="shared" si="250"/>
        <v>CALLAHAN FL 32011</v>
      </c>
      <c r="M814" t="str">
        <f>"PT GOVT LOT 2 PAR 143-1 PT OR 1747/1823"</f>
        <v>PT GOVT LOT 2 PAR 143-1 PT OR 1747/1823</v>
      </c>
      <c r="N814" t="str">
        <f>""</f>
        <v/>
      </c>
      <c r="O814" t="str">
        <f>"32889"</f>
        <v>32889</v>
      </c>
      <c r="P814" t="str">
        <f t="shared" si="243"/>
        <v>2017</v>
      </c>
      <c r="Q814" t="str">
        <f>""</f>
        <v/>
      </c>
      <c r="R814" t="str">
        <f t="shared" si="258"/>
        <v>N</v>
      </c>
      <c r="S814" t="str">
        <f>""</f>
        <v/>
      </c>
      <c r="T814" t="str">
        <f>"700.07"</f>
        <v>700.07</v>
      </c>
      <c r="U814" t="str">
        <f>"42420.00"</f>
        <v>42420.00</v>
      </c>
      <c r="V814" t="str">
        <f>"42420.00"</f>
        <v>42420.00</v>
      </c>
      <c r="W814" t="str">
        <f t="shared" si="244"/>
        <v>2017</v>
      </c>
      <c r="X814" t="str">
        <f>"13.67"</f>
        <v>13.67</v>
      </c>
      <c r="Y814" t="str">
        <f>"753.07"</f>
        <v>753.07</v>
      </c>
      <c r="Z814" t="str">
        <f>""</f>
        <v/>
      </c>
      <c r="AA814" t="str">
        <f>"42420.00"</f>
        <v>42420.00</v>
      </c>
      <c r="AB814" t="str">
        <f>"Residential"</f>
        <v>Residential</v>
      </c>
      <c r="AC814" t="str">
        <f t="shared" si="254"/>
        <v>0</v>
      </c>
      <c r="AD814" t="str">
        <f>""</f>
        <v/>
      </c>
      <c r="AE814" t="str">
        <f>""</f>
        <v/>
      </c>
      <c r="AF814" t="str">
        <f>"000"</f>
        <v>000</v>
      </c>
      <c r="AG814" t="str">
        <f t="shared" si="256"/>
        <v>FL</v>
      </c>
      <c r="AH814" t="str">
        <f>"10605.00"</f>
        <v>10605.00</v>
      </c>
      <c r="AI814" t="str">
        <f>"42420.00"</f>
        <v>42420.00</v>
      </c>
      <c r="AJ814" t="str">
        <f>"C55-000-587-2348-7"</f>
        <v>C55-000-587-2348-7</v>
      </c>
      <c r="AK814" t="str">
        <f>"12783"</f>
        <v>12783</v>
      </c>
      <c r="AL814">
        <v>3</v>
      </c>
      <c r="AM814">
        <v>943</v>
      </c>
      <c r="AN814">
        <v>789.12</v>
      </c>
      <c r="AQ814" t="s">
        <v>8570</v>
      </c>
      <c r="AR814" t="s">
        <v>8570</v>
      </c>
      <c r="AS814" t="s">
        <v>8570</v>
      </c>
      <c r="AU814" t="s">
        <v>396</v>
      </c>
      <c r="AV814">
        <v>2017</v>
      </c>
      <c r="AW814" t="str">
        <f>"19-2N-25-0000-0143-0010 "</f>
        <v xml:space="preserve">19-2N-25-0000-0143-0010 </v>
      </c>
      <c r="AZ814" t="s">
        <v>3712</v>
      </c>
      <c r="BA814" t="s">
        <v>3713</v>
      </c>
      <c r="BD814" t="s">
        <v>2785</v>
      </c>
      <c r="BE814" t="s">
        <v>393</v>
      </c>
      <c r="BF814">
        <v>32011</v>
      </c>
      <c r="BG814" t="s">
        <v>3810</v>
      </c>
      <c r="BH814" t="s">
        <v>2787</v>
      </c>
      <c r="BI814">
        <v>-81.836203413736797</v>
      </c>
      <c r="BJ814">
        <v>30.57045096509</v>
      </c>
      <c r="BK814" t="s">
        <v>8567</v>
      </c>
      <c r="BL814" t="s">
        <v>3796</v>
      </c>
      <c r="BM814" t="s">
        <v>1631</v>
      </c>
      <c r="BN814" t="s">
        <v>928</v>
      </c>
      <c r="BO814">
        <v>32011</v>
      </c>
      <c r="BP814" t="s">
        <v>404</v>
      </c>
      <c r="BQ814">
        <v>0</v>
      </c>
      <c r="BR814" t="s">
        <v>491</v>
      </c>
      <c r="BS814">
        <v>8001</v>
      </c>
      <c r="BT814" t="s">
        <v>492</v>
      </c>
      <c r="BW814">
        <v>10607</v>
      </c>
      <c r="BX814" t="s">
        <v>407</v>
      </c>
      <c r="BY814" t="s">
        <v>4413</v>
      </c>
      <c r="CD814">
        <v>2017</v>
      </c>
      <c r="CE814">
        <v>42420</v>
      </c>
      <c r="CG814">
        <v>42420</v>
      </c>
      <c r="CH814">
        <v>2017</v>
      </c>
      <c r="CI814">
        <v>42420</v>
      </c>
      <c r="CK814">
        <v>42420</v>
      </c>
      <c r="CL814">
        <v>2017</v>
      </c>
      <c r="CM814">
        <v>700.07</v>
      </c>
      <c r="CN814" s="1">
        <v>40749</v>
      </c>
      <c r="CO814">
        <v>140000</v>
      </c>
      <c r="CV814">
        <v>0</v>
      </c>
      <c r="CZ814" s="1">
        <v>40749</v>
      </c>
      <c r="DA814">
        <v>0</v>
      </c>
      <c r="DD814" t="s">
        <v>2785</v>
      </c>
      <c r="DF814">
        <v>2</v>
      </c>
      <c r="DG814">
        <v>19</v>
      </c>
      <c r="DL814">
        <v>50503</v>
      </c>
      <c r="DM814" t="s">
        <v>8259</v>
      </c>
      <c r="DO814" t="s">
        <v>8571</v>
      </c>
      <c r="DP814">
        <v>0</v>
      </c>
      <c r="DQ814">
        <v>4</v>
      </c>
      <c r="DR814" t="s">
        <v>1479</v>
      </c>
      <c r="DS814" t="b">
        <v>1</v>
      </c>
      <c r="DT814" t="s">
        <v>470</v>
      </c>
      <c r="DU814" t="s">
        <v>471</v>
      </c>
      <c r="DV814" t="s">
        <v>472</v>
      </c>
      <c r="DX814">
        <v>-9999</v>
      </c>
      <c r="DZ814" t="s">
        <v>447</v>
      </c>
      <c r="EA814" t="s">
        <v>448</v>
      </c>
      <c r="EB814" t="s">
        <v>742</v>
      </c>
      <c r="EC814">
        <v>20101217</v>
      </c>
      <c r="ED814" t="s">
        <v>474</v>
      </c>
      <c r="EF814">
        <v>29.3</v>
      </c>
      <c r="EG814">
        <v>29.3</v>
      </c>
      <c r="EI814">
        <v>20160407</v>
      </c>
      <c r="EJ814">
        <v>0</v>
      </c>
      <c r="EK814">
        <v>0</v>
      </c>
      <c r="EP814" t="s">
        <v>421</v>
      </c>
      <c r="EQ814" t="s">
        <v>422</v>
      </c>
      <c r="ER814">
        <v>0</v>
      </c>
      <c r="ES814">
        <v>4</v>
      </c>
      <c r="ET814">
        <v>0</v>
      </c>
      <c r="EU814">
        <v>0</v>
      </c>
      <c r="EV814">
        <v>0</v>
      </c>
      <c r="EW814" s="2">
        <v>43222</v>
      </c>
      <c r="EX814" s="1">
        <v>42515</v>
      </c>
      <c r="EY814">
        <v>2015</v>
      </c>
      <c r="EZ814">
        <v>814.28</v>
      </c>
      <c r="FA814" t="s">
        <v>8572</v>
      </c>
      <c r="FB814">
        <v>14.75</v>
      </c>
      <c r="FC814" t="s">
        <v>424</v>
      </c>
      <c r="FD814" t="s">
        <v>425</v>
      </c>
      <c r="FE814" s="1">
        <v>42808</v>
      </c>
      <c r="FF814">
        <v>10</v>
      </c>
      <c r="FG814">
        <v>2035919</v>
      </c>
      <c r="FH814" t="s">
        <v>507</v>
      </c>
      <c r="FJ814" s="1">
        <v>42151</v>
      </c>
      <c r="FK814">
        <v>2014</v>
      </c>
      <c r="FL814">
        <v>825.27</v>
      </c>
      <c r="FM814" t="s">
        <v>8573</v>
      </c>
      <c r="FN814">
        <v>0.25</v>
      </c>
      <c r="FO814" t="s">
        <v>424</v>
      </c>
      <c r="FP814" t="s">
        <v>425</v>
      </c>
      <c r="FQ814" s="1">
        <v>42808</v>
      </c>
      <c r="FR814">
        <v>22</v>
      </c>
      <c r="FS814">
        <v>2101382</v>
      </c>
      <c r="FT814" t="s">
        <v>993</v>
      </c>
      <c r="FV814" s="1">
        <v>42151</v>
      </c>
      <c r="FW814">
        <v>2014</v>
      </c>
      <c r="FX814">
        <v>825.27</v>
      </c>
      <c r="FY814" t="s">
        <v>8573</v>
      </c>
      <c r="FZ814">
        <v>0.25</v>
      </c>
      <c r="GA814" t="s">
        <v>424</v>
      </c>
      <c r="GB814" t="s">
        <v>425</v>
      </c>
      <c r="GD814">
        <v>22</v>
      </c>
      <c r="GE814">
        <v>5444386</v>
      </c>
      <c r="GF814" t="s">
        <v>8574</v>
      </c>
      <c r="GH814" s="1">
        <v>41423</v>
      </c>
      <c r="GI814">
        <v>2012</v>
      </c>
      <c r="GJ814">
        <v>716.81</v>
      </c>
      <c r="GK814" t="s">
        <v>8575</v>
      </c>
      <c r="GL814">
        <v>0.25</v>
      </c>
      <c r="GM814" t="s">
        <v>424</v>
      </c>
      <c r="GN814" t="s">
        <v>425</v>
      </c>
      <c r="GO814" s="1">
        <v>41684</v>
      </c>
      <c r="GP814">
        <v>9</v>
      </c>
      <c r="GQ814">
        <v>2101385</v>
      </c>
      <c r="GR814" t="s">
        <v>810</v>
      </c>
    </row>
    <row r="815" spans="1:284" x14ac:dyDescent="0.25">
      <c r="A815">
        <v>16485822</v>
      </c>
      <c r="B815">
        <v>814</v>
      </c>
      <c r="C815" t="s">
        <v>393</v>
      </c>
      <c r="D815" t="s">
        <v>394</v>
      </c>
      <c r="F815" t="str">
        <f>"19-2N-25-0000-0143-0020"</f>
        <v>19-2N-25-0000-0143-0020</v>
      </c>
      <c r="H815" t="str">
        <f t="shared" ref="H815:H820" si="260">"MAIN LINE TIMBER LLC"</f>
        <v>MAIN LINE TIMBER LLC</v>
      </c>
      <c r="I815" t="str">
        <f t="shared" si="259"/>
        <v>PO BOX 1694</v>
      </c>
      <c r="J815" t="str">
        <f t="shared" si="257"/>
        <v>CALLAHAN FL 32011</v>
      </c>
      <c r="K815" t="str">
        <f>"US HWY 1"</f>
        <v>US HWY 1</v>
      </c>
      <c r="L815" t="str">
        <f t="shared" si="250"/>
        <v>CALLAHAN FL 32011</v>
      </c>
      <c r="M815" t="str">
        <f>"PT GOVT LOT 2 PAR 143-2 PT OR 1385/762"</f>
        <v>PT GOVT LOT 2 PAR 143-2 PT OR 1385/762</v>
      </c>
      <c r="N815" t="str">
        <f>""</f>
        <v/>
      </c>
      <c r="O815" t="str">
        <f>"32890"</f>
        <v>32890</v>
      </c>
      <c r="P815" t="str">
        <f t="shared" si="243"/>
        <v>2017</v>
      </c>
      <c r="Q815" t="str">
        <f>""</f>
        <v/>
      </c>
      <c r="R815" t="str">
        <f t="shared" si="258"/>
        <v>N</v>
      </c>
      <c r="S815" t="str">
        <f>""</f>
        <v/>
      </c>
      <c r="T815" t="str">
        <f>"915.69"</f>
        <v>915.69</v>
      </c>
      <c r="U815" t="str">
        <f>"55486.00"</f>
        <v>55486.00</v>
      </c>
      <c r="V815" t="str">
        <f>"55486.00"</f>
        <v>55486.00</v>
      </c>
      <c r="W815" t="str">
        <f t="shared" si="244"/>
        <v>2017</v>
      </c>
      <c r="X815" t="str">
        <f>"5.67"</f>
        <v>5.67</v>
      </c>
      <c r="Y815" t="str">
        <f>"975.16"</f>
        <v>975.16</v>
      </c>
      <c r="Z815" t="str">
        <f>""</f>
        <v/>
      </c>
      <c r="AA815" t="str">
        <f>"55486.00"</f>
        <v>55486.00</v>
      </c>
      <c r="AB815" t="str">
        <f t="shared" ref="AB815:AB820" si="261">"Commercial"</f>
        <v>Commercial</v>
      </c>
      <c r="AC815" t="str">
        <f t="shared" si="254"/>
        <v>0</v>
      </c>
      <c r="AD815" t="str">
        <f>""</f>
        <v/>
      </c>
      <c r="AE815" t="str">
        <f>""</f>
        <v/>
      </c>
      <c r="AF815" t="str">
        <f t="shared" ref="AF815:AF820" si="262">"010"</f>
        <v>010</v>
      </c>
      <c r="AG815" t="str">
        <f t="shared" si="256"/>
        <v>FL</v>
      </c>
      <c r="AH815" t="str">
        <f>"13872.00"</f>
        <v>13872.00</v>
      </c>
      <c r="AI815" t="str">
        <f>"55486.00"</f>
        <v>55486.00</v>
      </c>
      <c r="AJ815" t="str">
        <f>"C55-000-587-2349-5"</f>
        <v>C55-000-587-2349-5</v>
      </c>
      <c r="AK815" t="str">
        <f>"12784"</f>
        <v>12784</v>
      </c>
      <c r="AL815">
        <v>3</v>
      </c>
      <c r="AM815">
        <v>944</v>
      </c>
      <c r="AN815">
        <v>1022.32</v>
      </c>
      <c r="AQ815" t="s">
        <v>8576</v>
      </c>
      <c r="AR815" t="s">
        <v>8576</v>
      </c>
      <c r="AS815" t="s">
        <v>8576</v>
      </c>
      <c r="AU815" t="s">
        <v>396</v>
      </c>
      <c r="AV815">
        <v>2017</v>
      </c>
      <c r="AW815" t="str">
        <f>"19-2N-25-0000-0143-0020 "</f>
        <v xml:space="preserve">19-2N-25-0000-0143-0020 </v>
      </c>
      <c r="AZ815" t="s">
        <v>2386</v>
      </c>
      <c r="BD815" t="s">
        <v>2785</v>
      </c>
      <c r="BE815" t="s">
        <v>393</v>
      </c>
      <c r="BF815">
        <v>32011</v>
      </c>
      <c r="BG815" t="s">
        <v>2386</v>
      </c>
      <c r="BH815" t="s">
        <v>2787</v>
      </c>
      <c r="BI815">
        <v>-81.835906091571104</v>
      </c>
      <c r="BJ815">
        <v>30.5704104246927</v>
      </c>
      <c r="BK815" t="s">
        <v>8558</v>
      </c>
      <c r="BM815" t="s">
        <v>1631</v>
      </c>
      <c r="BN815" t="s">
        <v>928</v>
      </c>
      <c r="BO815">
        <v>32011</v>
      </c>
      <c r="BP815" t="s">
        <v>404</v>
      </c>
      <c r="BQ815">
        <v>1000</v>
      </c>
      <c r="BR815" t="s">
        <v>2391</v>
      </c>
      <c r="BS815">
        <v>8002</v>
      </c>
      <c r="BT815" t="s">
        <v>2392</v>
      </c>
      <c r="BW815">
        <v>13870</v>
      </c>
      <c r="BX815" t="s">
        <v>407</v>
      </c>
      <c r="BY815" t="s">
        <v>4413</v>
      </c>
      <c r="CD815">
        <v>2017</v>
      </c>
      <c r="CE815">
        <v>55486</v>
      </c>
      <c r="CG815">
        <v>55486</v>
      </c>
      <c r="CH815">
        <v>2017</v>
      </c>
      <c r="CI815">
        <v>55486</v>
      </c>
      <c r="CK815">
        <v>55486</v>
      </c>
      <c r="CL815">
        <v>2017</v>
      </c>
      <c r="CM815">
        <v>915.69</v>
      </c>
      <c r="CN815" s="1">
        <v>38702</v>
      </c>
      <c r="CO815">
        <v>115000</v>
      </c>
      <c r="CV815">
        <v>0</v>
      </c>
      <c r="CZ815" s="1">
        <v>38702</v>
      </c>
      <c r="DA815">
        <v>0</v>
      </c>
      <c r="DD815" t="s">
        <v>2785</v>
      </c>
      <c r="DF815">
        <v>2</v>
      </c>
      <c r="DG815">
        <v>19</v>
      </c>
      <c r="DL815">
        <v>50503</v>
      </c>
      <c r="DM815" t="s">
        <v>8259</v>
      </c>
      <c r="DO815" t="s">
        <v>8577</v>
      </c>
      <c r="DP815">
        <v>0</v>
      </c>
      <c r="DQ815">
        <v>4</v>
      </c>
      <c r="DR815" t="s">
        <v>1479</v>
      </c>
      <c r="DS815" t="s">
        <v>695</v>
      </c>
      <c r="EJ815">
        <v>0</v>
      </c>
      <c r="EK815">
        <v>0</v>
      </c>
      <c r="EP815" t="s">
        <v>421</v>
      </c>
      <c r="EQ815" t="s">
        <v>422</v>
      </c>
      <c r="ER815">
        <v>0</v>
      </c>
      <c r="ES815">
        <v>5</v>
      </c>
      <c r="ET815">
        <v>0</v>
      </c>
      <c r="EU815">
        <v>0</v>
      </c>
      <c r="EV815">
        <v>0</v>
      </c>
      <c r="EW815" s="2">
        <v>43222</v>
      </c>
      <c r="EX815" s="1">
        <v>42151</v>
      </c>
      <c r="EY815">
        <v>2014</v>
      </c>
      <c r="EZ815">
        <v>981.19</v>
      </c>
      <c r="FA815" t="s">
        <v>8578</v>
      </c>
      <c r="FB815">
        <v>0.25</v>
      </c>
      <c r="FC815" t="s">
        <v>424</v>
      </c>
      <c r="FD815" t="s">
        <v>425</v>
      </c>
      <c r="FE815" s="1">
        <v>42384</v>
      </c>
      <c r="FF815">
        <v>8</v>
      </c>
      <c r="FG815">
        <v>2101382</v>
      </c>
      <c r="FH815" t="s">
        <v>993</v>
      </c>
      <c r="FJ815" s="1">
        <v>42151</v>
      </c>
      <c r="FK815">
        <v>2014</v>
      </c>
      <c r="FL815">
        <v>981.19</v>
      </c>
      <c r="FM815" t="s">
        <v>8578</v>
      </c>
      <c r="FN815">
        <v>0.25</v>
      </c>
      <c r="FO815" t="s">
        <v>424</v>
      </c>
      <c r="FP815" t="s">
        <v>425</v>
      </c>
      <c r="FR815">
        <v>22</v>
      </c>
      <c r="FS815">
        <v>5655356</v>
      </c>
      <c r="FT815" t="s">
        <v>8579</v>
      </c>
      <c r="FV815" s="1">
        <v>41787</v>
      </c>
      <c r="FW815">
        <v>2013</v>
      </c>
      <c r="FX815">
        <v>898.52</v>
      </c>
      <c r="FY815" t="s">
        <v>8580</v>
      </c>
      <c r="FZ815">
        <v>0.25</v>
      </c>
      <c r="GA815" t="s">
        <v>424</v>
      </c>
      <c r="GB815" t="s">
        <v>425</v>
      </c>
      <c r="GC815" s="1">
        <v>41829</v>
      </c>
      <c r="GD815">
        <v>2</v>
      </c>
      <c r="GE815">
        <v>2101385</v>
      </c>
      <c r="GF815" t="s">
        <v>810</v>
      </c>
      <c r="GH815" s="1">
        <v>41423</v>
      </c>
      <c r="GI815">
        <v>2012</v>
      </c>
      <c r="GJ815">
        <v>795.8</v>
      </c>
      <c r="GK815" t="s">
        <v>8581</v>
      </c>
      <c r="GL815">
        <v>3.5</v>
      </c>
      <c r="GM815" t="s">
        <v>424</v>
      </c>
      <c r="GN815" t="s">
        <v>425</v>
      </c>
      <c r="GO815" s="1">
        <v>41684</v>
      </c>
      <c r="GP815">
        <v>9</v>
      </c>
      <c r="GQ815">
        <v>1625515</v>
      </c>
      <c r="GR815" t="s">
        <v>487</v>
      </c>
      <c r="GT815" s="1">
        <v>41052</v>
      </c>
      <c r="GU815">
        <v>2011</v>
      </c>
      <c r="GV815">
        <v>605.83000000000004</v>
      </c>
      <c r="GW815" t="s">
        <v>8582</v>
      </c>
      <c r="GX815">
        <v>5</v>
      </c>
      <c r="GY815" t="s">
        <v>424</v>
      </c>
      <c r="GZ815" t="s">
        <v>425</v>
      </c>
      <c r="HA815" s="1">
        <v>41122</v>
      </c>
      <c r="HB815">
        <v>3</v>
      </c>
      <c r="HC815">
        <v>10579</v>
      </c>
      <c r="HD815" t="s">
        <v>488</v>
      </c>
    </row>
    <row r="816" spans="1:284" x14ac:dyDescent="0.25">
      <c r="A816">
        <v>16485823</v>
      </c>
      <c r="B816">
        <v>815</v>
      </c>
      <c r="C816" t="s">
        <v>393</v>
      </c>
      <c r="D816" t="s">
        <v>394</v>
      </c>
      <c r="F816" t="str">
        <f>"19-2N-25-0000-0144-0000"</f>
        <v>19-2N-25-0000-0144-0000</v>
      </c>
      <c r="H816" t="str">
        <f t="shared" si="260"/>
        <v>MAIN LINE TIMBER LLC</v>
      </c>
      <c r="I816" t="str">
        <f t="shared" si="259"/>
        <v>PO BOX 1694</v>
      </c>
      <c r="J816" t="str">
        <f t="shared" si="257"/>
        <v>CALLAHAN FL 32011</v>
      </c>
      <c r="K816" t="str">
        <f>"US HWY 1"</f>
        <v>US HWY 1</v>
      </c>
      <c r="L816" t="str">
        <f t="shared" si="250"/>
        <v>CALLAHAN FL 32011</v>
      </c>
      <c r="M816" t="str">
        <f>"PT GOVT LOT 2 PT OR 1385/758 PAR 144 ANNEXED CITY 13-0-2005"</f>
        <v>PT GOVT LOT 2 PT OR 1385/758 PAR 144 ANNEXED CITY 13-0-2005</v>
      </c>
      <c r="N816" t="str">
        <f>""</f>
        <v/>
      </c>
      <c r="O816" t="str">
        <f>"32891"</f>
        <v>32891</v>
      </c>
      <c r="P816" t="str">
        <f t="shared" si="243"/>
        <v>2017</v>
      </c>
      <c r="Q816" t="str">
        <f>""</f>
        <v/>
      </c>
      <c r="R816" t="str">
        <f t="shared" si="258"/>
        <v>N</v>
      </c>
      <c r="S816" t="str">
        <f>""</f>
        <v/>
      </c>
      <c r="T816" t="str">
        <f>"990.19"</f>
        <v>990.19</v>
      </c>
      <c r="U816" t="str">
        <f>"60000.00"</f>
        <v>60000.00</v>
      </c>
      <c r="V816" t="str">
        <f>"60000.00"</f>
        <v>60000.00</v>
      </c>
      <c r="W816" t="str">
        <f t="shared" si="244"/>
        <v>2017</v>
      </c>
      <c r="X816" t="str">
        <f>"6.11"</f>
        <v>6.11</v>
      </c>
      <c r="Y816" t="str">
        <f>"1051.90"</f>
        <v>1051.90</v>
      </c>
      <c r="Z816" t="str">
        <f>""</f>
        <v/>
      </c>
      <c r="AA816" t="str">
        <f>"60000.00"</f>
        <v>60000.00</v>
      </c>
      <c r="AB816" t="str">
        <f t="shared" si="261"/>
        <v>Commercial</v>
      </c>
      <c r="AC816" t="str">
        <f t="shared" si="254"/>
        <v>0</v>
      </c>
      <c r="AD816" t="str">
        <f>""</f>
        <v/>
      </c>
      <c r="AE816" t="str">
        <f>""</f>
        <v/>
      </c>
      <c r="AF816" t="str">
        <f t="shared" si="262"/>
        <v>010</v>
      </c>
      <c r="AG816" t="str">
        <f t="shared" si="256"/>
        <v>FL</v>
      </c>
      <c r="AH816" t="str">
        <f>"15000.00"</f>
        <v>15000.00</v>
      </c>
      <c r="AI816" t="str">
        <f>"60000.00"</f>
        <v>60000.00</v>
      </c>
      <c r="AJ816" t="str">
        <f>"C55-000-587-2350-3"</f>
        <v>C55-000-587-2350-3</v>
      </c>
      <c r="AK816" t="str">
        <f>"12785"</f>
        <v>12785</v>
      </c>
      <c r="AL816">
        <v>3</v>
      </c>
      <c r="AM816">
        <v>945</v>
      </c>
      <c r="AN816">
        <v>1102.9000000000001</v>
      </c>
      <c r="AQ816" t="s">
        <v>8583</v>
      </c>
      <c r="AR816" t="s">
        <v>8583</v>
      </c>
      <c r="AS816" t="s">
        <v>8583</v>
      </c>
      <c r="AU816" t="s">
        <v>396</v>
      </c>
      <c r="AV816">
        <v>2017</v>
      </c>
      <c r="AW816" t="str">
        <f>"19-2N-25-0000-0144-0000 "</f>
        <v xml:space="preserve">19-2N-25-0000-0144-0000 </v>
      </c>
      <c r="AZ816" t="s">
        <v>2386</v>
      </c>
      <c r="BD816" t="s">
        <v>2785</v>
      </c>
      <c r="BE816" t="s">
        <v>393</v>
      </c>
      <c r="BF816">
        <v>32011</v>
      </c>
      <c r="BG816" t="s">
        <v>2386</v>
      </c>
      <c r="BH816" t="s">
        <v>2787</v>
      </c>
      <c r="BI816">
        <v>-81.835903741845399</v>
      </c>
      <c r="BJ816">
        <v>30.570132482175602</v>
      </c>
      <c r="BK816" t="s">
        <v>8558</v>
      </c>
      <c r="BM816" t="s">
        <v>1631</v>
      </c>
      <c r="BN816" t="s">
        <v>928</v>
      </c>
      <c r="BO816">
        <v>32011</v>
      </c>
      <c r="BP816" t="s">
        <v>404</v>
      </c>
      <c r="BQ816">
        <v>1000</v>
      </c>
      <c r="BR816" t="s">
        <v>2391</v>
      </c>
      <c r="BS816">
        <v>8002</v>
      </c>
      <c r="BT816" t="s">
        <v>2392</v>
      </c>
      <c r="BW816">
        <v>12754</v>
      </c>
      <c r="BX816" t="s">
        <v>407</v>
      </c>
      <c r="BY816" t="s">
        <v>4413</v>
      </c>
      <c r="CD816">
        <v>2017</v>
      </c>
      <c r="CE816">
        <v>60000</v>
      </c>
      <c r="CG816">
        <v>60000</v>
      </c>
      <c r="CH816">
        <v>2017</v>
      </c>
      <c r="CI816">
        <v>60000</v>
      </c>
      <c r="CK816">
        <v>60000</v>
      </c>
      <c r="CL816">
        <v>2017</v>
      </c>
      <c r="CM816">
        <v>990.19</v>
      </c>
      <c r="CN816" s="1">
        <v>38747</v>
      </c>
      <c r="CO816">
        <v>2000000</v>
      </c>
      <c r="CZ816" s="1">
        <v>38747</v>
      </c>
      <c r="DD816" t="s">
        <v>2785</v>
      </c>
      <c r="DF816">
        <v>2</v>
      </c>
      <c r="DG816">
        <v>19</v>
      </c>
      <c r="DL816">
        <v>50503</v>
      </c>
      <c r="DM816" t="s">
        <v>8259</v>
      </c>
      <c r="DO816" t="s">
        <v>8584</v>
      </c>
      <c r="DP816">
        <v>0</v>
      </c>
      <c r="DQ816">
        <v>4</v>
      </c>
      <c r="DR816" t="s">
        <v>1479</v>
      </c>
      <c r="DS816" t="b">
        <v>1</v>
      </c>
      <c r="DT816" t="s">
        <v>470</v>
      </c>
      <c r="DU816" t="s">
        <v>471</v>
      </c>
      <c r="DV816" t="s">
        <v>472</v>
      </c>
      <c r="DX816">
        <v>-9999</v>
      </c>
      <c r="DZ816" t="s">
        <v>447</v>
      </c>
      <c r="EA816" t="s">
        <v>448</v>
      </c>
      <c r="EB816" t="s">
        <v>742</v>
      </c>
      <c r="EC816">
        <v>20101217</v>
      </c>
      <c r="ED816" t="s">
        <v>474</v>
      </c>
      <c r="EF816">
        <v>13.2</v>
      </c>
      <c r="EG816">
        <v>13.2</v>
      </c>
      <c r="EI816">
        <v>20160407</v>
      </c>
      <c r="EJ816">
        <v>0</v>
      </c>
      <c r="EK816">
        <v>0</v>
      </c>
      <c r="EP816" t="s">
        <v>421</v>
      </c>
      <c r="EQ816" t="s">
        <v>422</v>
      </c>
      <c r="ER816">
        <v>0</v>
      </c>
      <c r="ES816">
        <v>7</v>
      </c>
      <c r="ET816">
        <v>0</v>
      </c>
      <c r="EU816">
        <v>0</v>
      </c>
      <c r="EV816">
        <v>0</v>
      </c>
      <c r="EW816" s="2">
        <v>43222</v>
      </c>
      <c r="EX816" s="1">
        <v>42515</v>
      </c>
      <c r="EY816">
        <v>2015</v>
      </c>
      <c r="EZ816">
        <v>1091.67</v>
      </c>
      <c r="FA816" t="s">
        <v>8585</v>
      </c>
      <c r="FB816">
        <v>0.25</v>
      </c>
      <c r="FC816" t="s">
        <v>424</v>
      </c>
      <c r="FD816" t="s">
        <v>425</v>
      </c>
      <c r="FE816" s="1">
        <v>42655</v>
      </c>
      <c r="FF816">
        <v>5</v>
      </c>
      <c r="FG816">
        <v>7336671</v>
      </c>
      <c r="FH816" t="s">
        <v>437</v>
      </c>
      <c r="FJ816" s="1">
        <v>42515</v>
      </c>
      <c r="FK816">
        <v>2015</v>
      </c>
      <c r="FL816">
        <v>1091.67</v>
      </c>
      <c r="FM816" t="s">
        <v>8585</v>
      </c>
      <c r="FN816">
        <v>0.25</v>
      </c>
      <c r="FO816" t="s">
        <v>424</v>
      </c>
      <c r="FP816" t="s">
        <v>425</v>
      </c>
      <c r="FR816">
        <v>22</v>
      </c>
      <c r="FS816">
        <v>6858065</v>
      </c>
      <c r="FT816" t="s">
        <v>8586</v>
      </c>
      <c r="FV816" s="1">
        <v>42151</v>
      </c>
      <c r="FW816">
        <v>2014</v>
      </c>
      <c r="FX816">
        <v>1050.3499999999999</v>
      </c>
      <c r="FY816" t="s">
        <v>8587</v>
      </c>
      <c r="FZ816">
        <v>0.25</v>
      </c>
      <c r="GA816" t="s">
        <v>424</v>
      </c>
      <c r="GB816" t="s">
        <v>425</v>
      </c>
      <c r="GC816" s="1">
        <v>42384</v>
      </c>
      <c r="GD816">
        <v>8</v>
      </c>
      <c r="GE816">
        <v>2101382</v>
      </c>
      <c r="GF816" t="s">
        <v>993</v>
      </c>
      <c r="GH816" s="1">
        <v>42151</v>
      </c>
      <c r="GI816">
        <v>2014</v>
      </c>
      <c r="GJ816">
        <v>1050.3499999999999</v>
      </c>
      <c r="GK816" t="s">
        <v>8587</v>
      </c>
      <c r="GL816">
        <v>0.25</v>
      </c>
      <c r="GM816" t="s">
        <v>424</v>
      </c>
      <c r="GN816" t="s">
        <v>425</v>
      </c>
      <c r="GP816">
        <v>22</v>
      </c>
      <c r="GQ816">
        <v>5654618</v>
      </c>
      <c r="GR816" t="s">
        <v>8588</v>
      </c>
      <c r="GT816" s="1">
        <v>41787</v>
      </c>
      <c r="GU816">
        <v>2013</v>
      </c>
      <c r="GV816">
        <v>962.5</v>
      </c>
      <c r="GW816" t="s">
        <v>8589</v>
      </c>
      <c r="GX816">
        <v>0.25</v>
      </c>
      <c r="GY816" t="s">
        <v>424</v>
      </c>
      <c r="GZ816" t="s">
        <v>425</v>
      </c>
      <c r="HA816" s="1">
        <v>41829</v>
      </c>
      <c r="HB816">
        <v>2</v>
      </c>
      <c r="HC816">
        <v>11340</v>
      </c>
      <c r="HD816" t="s">
        <v>1230</v>
      </c>
      <c r="HF816" s="1">
        <v>41423</v>
      </c>
      <c r="HG816">
        <v>2012</v>
      </c>
      <c r="HH816">
        <v>932.6</v>
      </c>
      <c r="HI816" t="s">
        <v>8590</v>
      </c>
      <c r="HJ816">
        <v>3.25</v>
      </c>
      <c r="HK816" t="s">
        <v>424</v>
      </c>
      <c r="HL816" t="s">
        <v>425</v>
      </c>
      <c r="HM816" s="1">
        <v>41684</v>
      </c>
      <c r="HN816">
        <v>9</v>
      </c>
      <c r="HO816">
        <v>1625515</v>
      </c>
      <c r="HP816" t="s">
        <v>487</v>
      </c>
      <c r="HR816" s="1">
        <v>41052</v>
      </c>
      <c r="HS816">
        <v>2011</v>
      </c>
      <c r="HT816">
        <v>710.06</v>
      </c>
      <c r="HU816" t="s">
        <v>8591</v>
      </c>
      <c r="HV816">
        <v>5</v>
      </c>
      <c r="HW816" t="s">
        <v>424</v>
      </c>
      <c r="HX816" t="s">
        <v>425</v>
      </c>
      <c r="HY816" s="1">
        <v>41122</v>
      </c>
      <c r="HZ816">
        <v>3</v>
      </c>
      <c r="IA816">
        <v>10579</v>
      </c>
      <c r="IB816" t="s">
        <v>488</v>
      </c>
    </row>
    <row r="817" spans="1:261" x14ac:dyDescent="0.25">
      <c r="A817">
        <v>16485824</v>
      </c>
      <c r="B817">
        <v>816</v>
      </c>
      <c r="C817" t="s">
        <v>393</v>
      </c>
      <c r="D817" t="s">
        <v>394</v>
      </c>
      <c r="F817" t="str">
        <f>"19-2N-25-0000-0145-0000"</f>
        <v>19-2N-25-0000-0145-0000</v>
      </c>
      <c r="H817" t="str">
        <f t="shared" si="260"/>
        <v>MAIN LINE TIMBER LLC</v>
      </c>
      <c r="I817" t="str">
        <f t="shared" si="259"/>
        <v>PO BOX 1694</v>
      </c>
      <c r="J817" t="str">
        <f t="shared" si="257"/>
        <v>CALLAHAN FL 32011</v>
      </c>
      <c r="K817" t="str">
        <f>"US HWY 1"</f>
        <v>US HWY 1</v>
      </c>
      <c r="L817" t="str">
        <f t="shared" si="250"/>
        <v>CALLAHAN FL 32011</v>
      </c>
      <c r="M817" t="str">
        <f>"PT GOVT LOT 2 PT OR 1385/758 PAR 145 ANNEXED CITY 13-0-2005"</f>
        <v>PT GOVT LOT 2 PT OR 1385/758 PAR 145 ANNEXED CITY 13-0-2005</v>
      </c>
      <c r="N817" t="str">
        <f>""</f>
        <v/>
      </c>
      <c r="O817" t="str">
        <f>"32892"</f>
        <v>32892</v>
      </c>
      <c r="P817" t="str">
        <f t="shared" si="243"/>
        <v>2017</v>
      </c>
      <c r="Q817" t="str">
        <f>""</f>
        <v/>
      </c>
      <c r="R817" t="str">
        <f t="shared" si="258"/>
        <v>N</v>
      </c>
      <c r="S817" t="str">
        <f>""</f>
        <v/>
      </c>
      <c r="T817" t="str">
        <f>"706.34"</f>
        <v>706.34</v>
      </c>
      <c r="U817" t="str">
        <f>"42800.00"</f>
        <v>42800.00</v>
      </c>
      <c r="V817" t="str">
        <f>"42800.00"</f>
        <v>42800.00</v>
      </c>
      <c r="W817" t="str">
        <f t="shared" si="244"/>
        <v>2017</v>
      </c>
      <c r="X817" t="str">
        <f>"5.11"</f>
        <v>5.11</v>
      </c>
      <c r="Y817" t="str">
        <f>"759.53"</f>
        <v>759.53</v>
      </c>
      <c r="Z817" t="str">
        <f>""</f>
        <v/>
      </c>
      <c r="AA817" t="str">
        <f>"42800.00"</f>
        <v>42800.00</v>
      </c>
      <c r="AB817" t="str">
        <f t="shared" si="261"/>
        <v>Commercial</v>
      </c>
      <c r="AC817" t="str">
        <f t="shared" si="254"/>
        <v>0</v>
      </c>
      <c r="AD817" t="str">
        <f>""</f>
        <v/>
      </c>
      <c r="AE817" t="str">
        <f>""</f>
        <v/>
      </c>
      <c r="AF817" t="str">
        <f t="shared" si="262"/>
        <v>010</v>
      </c>
      <c r="AG817" t="str">
        <f t="shared" si="256"/>
        <v>FL</v>
      </c>
      <c r="AH817" t="str">
        <f>"21400.00"</f>
        <v>21400.00</v>
      </c>
      <c r="AI817" t="str">
        <f>"42800.00"</f>
        <v>42800.00</v>
      </c>
      <c r="AJ817" t="str">
        <f>"C55-000-587-2351-1"</f>
        <v>C55-000-587-2351-1</v>
      </c>
      <c r="AK817" t="str">
        <f>"12786"</f>
        <v>12786</v>
      </c>
      <c r="AL817">
        <v>3</v>
      </c>
      <c r="AM817">
        <v>946</v>
      </c>
      <c r="AN817">
        <v>795.91</v>
      </c>
      <c r="AQ817" t="s">
        <v>8592</v>
      </c>
      <c r="AR817" t="s">
        <v>8592</v>
      </c>
      <c r="AS817" t="s">
        <v>8592</v>
      </c>
      <c r="AU817" t="s">
        <v>396</v>
      </c>
      <c r="AV817">
        <v>2017</v>
      </c>
      <c r="AW817" t="str">
        <f>"19-2N-25-0000-0145-0000 "</f>
        <v xml:space="preserve">19-2N-25-0000-0145-0000 </v>
      </c>
      <c r="AZ817" t="s">
        <v>2386</v>
      </c>
      <c r="BD817" t="s">
        <v>2785</v>
      </c>
      <c r="BE817" t="s">
        <v>393</v>
      </c>
      <c r="BF817">
        <v>32011</v>
      </c>
      <c r="BG817" t="s">
        <v>2386</v>
      </c>
      <c r="BH817" t="s">
        <v>2787</v>
      </c>
      <c r="BI817">
        <v>-81.835736505257003</v>
      </c>
      <c r="BJ817">
        <v>30.5697433916854</v>
      </c>
      <c r="BK817" t="s">
        <v>8558</v>
      </c>
      <c r="BM817" t="s">
        <v>1631</v>
      </c>
      <c r="BN817" t="s">
        <v>928</v>
      </c>
      <c r="BO817">
        <v>32011</v>
      </c>
      <c r="BP817" t="s">
        <v>404</v>
      </c>
      <c r="BQ817">
        <v>1000</v>
      </c>
      <c r="BR817" t="s">
        <v>2391</v>
      </c>
      <c r="BS817">
        <v>8002</v>
      </c>
      <c r="BT817" t="s">
        <v>2392</v>
      </c>
      <c r="BW817">
        <v>16823</v>
      </c>
      <c r="BX817" t="s">
        <v>407</v>
      </c>
      <c r="BY817" t="s">
        <v>4413</v>
      </c>
      <c r="CD817">
        <v>2017</v>
      </c>
      <c r="CE817">
        <v>42800</v>
      </c>
      <c r="CG817">
        <v>42800</v>
      </c>
      <c r="CH817">
        <v>2017</v>
      </c>
      <c r="CI817">
        <v>42800</v>
      </c>
      <c r="CK817">
        <v>42800</v>
      </c>
      <c r="CL817">
        <v>2017</v>
      </c>
      <c r="CM817">
        <v>706.34</v>
      </c>
      <c r="CN817" s="1">
        <v>38747</v>
      </c>
      <c r="CO817">
        <v>2000000</v>
      </c>
      <c r="CZ817" s="1">
        <v>38747</v>
      </c>
      <c r="DD817" t="s">
        <v>2785</v>
      </c>
      <c r="DF817">
        <v>2</v>
      </c>
      <c r="DG817">
        <v>19</v>
      </c>
      <c r="DL817">
        <v>50503</v>
      </c>
      <c r="DM817" t="s">
        <v>8259</v>
      </c>
      <c r="DO817" t="s">
        <v>8593</v>
      </c>
      <c r="DP817">
        <v>0</v>
      </c>
      <c r="DQ817">
        <v>4</v>
      </c>
      <c r="DR817" t="s">
        <v>1479</v>
      </c>
      <c r="DS817" t="b">
        <v>1</v>
      </c>
      <c r="DT817" t="s">
        <v>396</v>
      </c>
      <c r="DV817" t="s">
        <v>446</v>
      </c>
      <c r="DX817">
        <v>-9999</v>
      </c>
      <c r="DZ817" t="s">
        <v>447</v>
      </c>
      <c r="EA817" t="s">
        <v>448</v>
      </c>
      <c r="EB817" t="s">
        <v>8594</v>
      </c>
      <c r="EC817">
        <v>20101217</v>
      </c>
      <c r="ED817" t="s">
        <v>450</v>
      </c>
      <c r="EE817">
        <v>16</v>
      </c>
      <c r="EF817">
        <v>0</v>
      </c>
      <c r="EG817">
        <v>0</v>
      </c>
      <c r="EI817">
        <v>20160407</v>
      </c>
      <c r="EJ817">
        <v>0</v>
      </c>
      <c r="EK817">
        <v>0</v>
      </c>
      <c r="EP817" t="s">
        <v>421</v>
      </c>
      <c r="EQ817" t="s">
        <v>422</v>
      </c>
      <c r="ER817">
        <v>0</v>
      </c>
      <c r="ES817">
        <v>7</v>
      </c>
      <c r="ET817">
        <v>0</v>
      </c>
      <c r="EU817">
        <v>0</v>
      </c>
      <c r="EV817">
        <v>0</v>
      </c>
      <c r="EW817" s="2">
        <v>43222</v>
      </c>
      <c r="EX817" s="1">
        <v>42515</v>
      </c>
      <c r="EY817">
        <v>2015</v>
      </c>
      <c r="EZ817">
        <v>821.37</v>
      </c>
      <c r="FA817" t="s">
        <v>8595</v>
      </c>
      <c r="FB817">
        <v>0.25</v>
      </c>
      <c r="FC817" t="s">
        <v>424</v>
      </c>
      <c r="FD817" t="s">
        <v>425</v>
      </c>
      <c r="FE817" s="1">
        <v>42655</v>
      </c>
      <c r="FF817">
        <v>5</v>
      </c>
      <c r="FG817">
        <v>7336671</v>
      </c>
      <c r="FH817" t="s">
        <v>437</v>
      </c>
      <c r="FJ817" s="1">
        <v>42515</v>
      </c>
      <c r="FK817">
        <v>2015</v>
      </c>
      <c r="FL817">
        <v>821.37</v>
      </c>
      <c r="FM817" t="s">
        <v>8595</v>
      </c>
      <c r="FN817">
        <v>0.25</v>
      </c>
      <c r="FO817" t="s">
        <v>424</v>
      </c>
      <c r="FP817" t="s">
        <v>425</v>
      </c>
      <c r="FR817">
        <v>22</v>
      </c>
      <c r="FS817">
        <v>6989553</v>
      </c>
      <c r="FT817" t="s">
        <v>8596</v>
      </c>
      <c r="FV817" s="1">
        <v>42151</v>
      </c>
      <c r="FW817">
        <v>2014</v>
      </c>
      <c r="FX817">
        <v>832.48</v>
      </c>
      <c r="FY817" t="s">
        <v>8597</v>
      </c>
      <c r="FZ817">
        <v>0.25</v>
      </c>
      <c r="GA817" t="s">
        <v>424</v>
      </c>
      <c r="GB817" t="s">
        <v>425</v>
      </c>
      <c r="GC817" s="1">
        <v>42384</v>
      </c>
      <c r="GD817">
        <v>8</v>
      </c>
      <c r="GE817">
        <v>2101382</v>
      </c>
      <c r="GF817" t="s">
        <v>993</v>
      </c>
      <c r="GH817" s="1">
        <v>42151</v>
      </c>
      <c r="GI817">
        <v>2014</v>
      </c>
      <c r="GJ817">
        <v>832.48</v>
      </c>
      <c r="GK817" t="s">
        <v>8597</v>
      </c>
      <c r="GL817">
        <v>0.25</v>
      </c>
      <c r="GM817" t="s">
        <v>424</v>
      </c>
      <c r="GN817" t="s">
        <v>425</v>
      </c>
      <c r="GP817">
        <v>22</v>
      </c>
      <c r="GQ817">
        <v>5520768</v>
      </c>
      <c r="GR817" t="s">
        <v>8598</v>
      </c>
      <c r="GT817" s="1">
        <v>41787</v>
      </c>
      <c r="GU817">
        <v>2013</v>
      </c>
      <c r="GV817">
        <v>795.87</v>
      </c>
      <c r="GW817" t="s">
        <v>8599</v>
      </c>
      <c r="GX817">
        <v>0.25</v>
      </c>
      <c r="GY817" t="s">
        <v>424</v>
      </c>
      <c r="GZ817" t="s">
        <v>425</v>
      </c>
      <c r="HA817" s="1">
        <v>41829</v>
      </c>
      <c r="HB817">
        <v>2</v>
      </c>
      <c r="HC817">
        <v>2101385</v>
      </c>
      <c r="HD817" t="s">
        <v>810</v>
      </c>
      <c r="HF817" s="1">
        <v>41423</v>
      </c>
      <c r="HG817">
        <v>2012</v>
      </c>
      <c r="HH817">
        <v>804.64</v>
      </c>
      <c r="HI817" t="s">
        <v>8600</v>
      </c>
      <c r="HJ817">
        <v>3.25</v>
      </c>
      <c r="HK817" t="s">
        <v>424</v>
      </c>
      <c r="HL817" t="s">
        <v>425</v>
      </c>
      <c r="HM817" s="1">
        <v>41684</v>
      </c>
      <c r="HN817">
        <v>9</v>
      </c>
      <c r="HO817">
        <v>1625515</v>
      </c>
      <c r="HP817" t="s">
        <v>487</v>
      </c>
      <c r="HR817" s="1">
        <v>41052</v>
      </c>
      <c r="HS817">
        <v>2011</v>
      </c>
      <c r="HT817">
        <v>1007.07</v>
      </c>
      <c r="HU817" t="s">
        <v>8601</v>
      </c>
      <c r="HV817">
        <v>5</v>
      </c>
      <c r="HW817" t="s">
        <v>424</v>
      </c>
      <c r="HX817" t="s">
        <v>425</v>
      </c>
      <c r="HY817" s="1">
        <v>41122</v>
      </c>
      <c r="HZ817">
        <v>3</v>
      </c>
      <c r="IA817">
        <v>10579</v>
      </c>
      <c r="IB817" t="s">
        <v>488</v>
      </c>
    </row>
    <row r="818" spans="1:261" x14ac:dyDescent="0.25">
      <c r="A818">
        <v>16485825</v>
      </c>
      <c r="B818">
        <v>817</v>
      </c>
      <c r="C818" t="s">
        <v>393</v>
      </c>
      <c r="D818" t="s">
        <v>394</v>
      </c>
      <c r="F818" t="str">
        <f>"19-2N-25-0000-0147-0000"</f>
        <v>19-2N-25-0000-0147-0000</v>
      </c>
      <c r="H818" t="str">
        <f t="shared" si="260"/>
        <v>MAIN LINE TIMBER LLC</v>
      </c>
      <c r="I818" t="str">
        <f t="shared" si="259"/>
        <v>PO BOX 1694</v>
      </c>
      <c r="J818" t="str">
        <f t="shared" si="257"/>
        <v>CALLAHAN FL 32011</v>
      </c>
      <c r="K818" t="str">
        <f>"OLD DIXIE HWY"</f>
        <v>OLD DIXIE HWY</v>
      </c>
      <c r="L818" t="str">
        <f t="shared" si="250"/>
        <v>CALLAHAN FL 32011</v>
      </c>
      <c r="M818" t="str">
        <f>"PT GOVT LOT 2 PT OR 1385/758 PAR 147 ANNEXED CITY 13-0-2005"</f>
        <v>PT GOVT LOT 2 PT OR 1385/758 PAR 147 ANNEXED CITY 13-0-2005</v>
      </c>
      <c r="N818" t="str">
        <f>""</f>
        <v/>
      </c>
      <c r="O818" t="str">
        <f>"32894"</f>
        <v>32894</v>
      </c>
      <c r="P818" t="str">
        <f t="shared" si="243"/>
        <v>2017</v>
      </c>
      <c r="Q818" t="str">
        <f>""</f>
        <v/>
      </c>
      <c r="R818" t="str">
        <f t="shared" si="258"/>
        <v>N</v>
      </c>
      <c r="S818" t="str">
        <f>""</f>
        <v/>
      </c>
      <c r="T818" t="str">
        <f>"517.80"</f>
        <v>517.80</v>
      </c>
      <c r="U818" t="str">
        <f>"27903.00"</f>
        <v>27903.00</v>
      </c>
      <c r="V818" t="str">
        <f>"27903.00"</f>
        <v>27903.00</v>
      </c>
      <c r="W818" t="str">
        <f t="shared" si="244"/>
        <v>2017</v>
      </c>
      <c r="X818" t="str">
        <f>"5.22"</f>
        <v>5.22</v>
      </c>
      <c r="Y818" t="str">
        <f>"565.33"</f>
        <v>565.33</v>
      </c>
      <c r="Z818" t="str">
        <f>""</f>
        <v/>
      </c>
      <c r="AA818" t="str">
        <f>"36590.00"</f>
        <v>36590.00</v>
      </c>
      <c r="AB818" t="str">
        <f t="shared" si="261"/>
        <v>Commercial</v>
      </c>
      <c r="AC818" t="str">
        <f t="shared" si="254"/>
        <v>0</v>
      </c>
      <c r="AD818" t="str">
        <f>""</f>
        <v/>
      </c>
      <c r="AE818" t="str">
        <f>""</f>
        <v/>
      </c>
      <c r="AF818" t="str">
        <f t="shared" si="262"/>
        <v>010</v>
      </c>
      <c r="AG818" t="str">
        <f t="shared" si="256"/>
        <v>FL</v>
      </c>
      <c r="AH818" t="str">
        <f>"18295.00"</f>
        <v>18295.00</v>
      </c>
      <c r="AI818" t="str">
        <f>"36590.00"</f>
        <v>36590.00</v>
      </c>
      <c r="AJ818" t="str">
        <f>"C55-000-587-2353-7"</f>
        <v>C55-000-587-2353-7</v>
      </c>
      <c r="AK818" t="str">
        <f>"12788"</f>
        <v>12788</v>
      </c>
      <c r="AL818">
        <v>3</v>
      </c>
      <c r="AM818">
        <v>947</v>
      </c>
      <c r="AN818">
        <v>592</v>
      </c>
      <c r="AQ818" t="s">
        <v>8602</v>
      </c>
      <c r="AR818" t="s">
        <v>8602</v>
      </c>
      <c r="AS818" t="s">
        <v>8602</v>
      </c>
      <c r="AU818" t="s">
        <v>396</v>
      </c>
      <c r="AV818">
        <v>2017</v>
      </c>
      <c r="AW818" t="str">
        <f>"19-2N-25-0000-0147-0000 "</f>
        <v xml:space="preserve">19-2N-25-0000-0147-0000 </v>
      </c>
      <c r="AZ818" t="s">
        <v>3712</v>
      </c>
      <c r="BA818" t="s">
        <v>3713</v>
      </c>
      <c r="BD818" t="s">
        <v>2785</v>
      </c>
      <c r="BE818" t="s">
        <v>393</v>
      </c>
      <c r="BF818">
        <v>32011</v>
      </c>
      <c r="BG818" t="s">
        <v>3810</v>
      </c>
      <c r="BH818" t="s">
        <v>2787</v>
      </c>
      <c r="BI818">
        <v>-81.836608905111305</v>
      </c>
      <c r="BJ818">
        <v>30.5696686545947</v>
      </c>
      <c r="BK818" t="s">
        <v>8558</v>
      </c>
      <c r="BM818" t="s">
        <v>1631</v>
      </c>
      <c r="BN818" t="s">
        <v>928</v>
      </c>
      <c r="BO818">
        <v>32011</v>
      </c>
      <c r="BP818" t="s">
        <v>404</v>
      </c>
      <c r="BQ818">
        <v>1000</v>
      </c>
      <c r="BR818" t="s">
        <v>2391</v>
      </c>
      <c r="BS818">
        <v>8002</v>
      </c>
      <c r="BT818" t="s">
        <v>2392</v>
      </c>
      <c r="BW818">
        <v>66329</v>
      </c>
      <c r="BX818" t="s">
        <v>407</v>
      </c>
      <c r="BY818" t="s">
        <v>2221</v>
      </c>
      <c r="CD818">
        <v>2017</v>
      </c>
      <c r="CE818">
        <v>36590</v>
      </c>
      <c r="CG818">
        <v>36590</v>
      </c>
      <c r="CH818">
        <v>2017</v>
      </c>
      <c r="CI818">
        <v>36590</v>
      </c>
      <c r="CK818">
        <v>36590</v>
      </c>
      <c r="CL818">
        <v>2017</v>
      </c>
      <c r="CM818">
        <v>517.79999999999995</v>
      </c>
      <c r="CN818" s="1">
        <v>38747</v>
      </c>
      <c r="CO818">
        <v>2000000</v>
      </c>
      <c r="CZ818" s="1">
        <v>38747</v>
      </c>
      <c r="DD818" t="s">
        <v>2785</v>
      </c>
      <c r="DF818">
        <v>2</v>
      </c>
      <c r="DG818">
        <v>19</v>
      </c>
      <c r="DL818">
        <v>50503</v>
      </c>
      <c r="DM818" t="s">
        <v>8259</v>
      </c>
      <c r="DO818" t="s">
        <v>8603</v>
      </c>
      <c r="DP818">
        <v>0</v>
      </c>
      <c r="DQ818">
        <v>4</v>
      </c>
      <c r="DR818" t="s">
        <v>1479</v>
      </c>
      <c r="DS818" t="b">
        <v>1</v>
      </c>
      <c r="DT818" t="s">
        <v>396</v>
      </c>
      <c r="DV818" t="s">
        <v>446</v>
      </c>
      <c r="DX818">
        <v>-9999</v>
      </c>
      <c r="DZ818" t="s">
        <v>447</v>
      </c>
      <c r="EA818" t="s">
        <v>448</v>
      </c>
      <c r="EB818" t="s">
        <v>8594</v>
      </c>
      <c r="EC818">
        <v>20101217</v>
      </c>
      <c r="ED818" t="s">
        <v>450</v>
      </c>
      <c r="EE818">
        <v>16.3</v>
      </c>
      <c r="EF818">
        <v>0</v>
      </c>
      <c r="EG818">
        <v>0</v>
      </c>
      <c r="EI818">
        <v>20160407</v>
      </c>
      <c r="EJ818">
        <v>0</v>
      </c>
      <c r="EK818">
        <v>0</v>
      </c>
      <c r="EP818" t="s">
        <v>421</v>
      </c>
      <c r="EQ818" t="s">
        <v>422</v>
      </c>
      <c r="ER818">
        <v>0</v>
      </c>
      <c r="ES818">
        <v>6</v>
      </c>
      <c r="ET818">
        <v>0</v>
      </c>
      <c r="EU818">
        <v>0</v>
      </c>
      <c r="EV818">
        <v>0</v>
      </c>
      <c r="EW818" s="2">
        <v>43222</v>
      </c>
      <c r="EX818" s="1">
        <v>42515</v>
      </c>
      <c r="EY818">
        <v>2015</v>
      </c>
      <c r="EZ818">
        <v>557.36</v>
      </c>
      <c r="FA818" t="s">
        <v>8604</v>
      </c>
      <c r="FB818">
        <v>0.25</v>
      </c>
      <c r="FC818" t="s">
        <v>424</v>
      </c>
      <c r="FD818" t="s">
        <v>425</v>
      </c>
      <c r="FE818" s="1">
        <v>42655</v>
      </c>
      <c r="FF818">
        <v>5</v>
      </c>
      <c r="FG818">
        <v>7336671</v>
      </c>
      <c r="FH818" t="s">
        <v>437</v>
      </c>
      <c r="FJ818" s="1">
        <v>42515</v>
      </c>
      <c r="FK818">
        <v>2015</v>
      </c>
      <c r="FL818">
        <v>557.36</v>
      </c>
      <c r="FM818" t="s">
        <v>8604</v>
      </c>
      <c r="FN818">
        <v>0.25</v>
      </c>
      <c r="FO818" t="s">
        <v>424</v>
      </c>
      <c r="FP818" t="s">
        <v>425</v>
      </c>
      <c r="FR818">
        <v>22</v>
      </c>
      <c r="FS818">
        <v>6788913</v>
      </c>
      <c r="FT818" t="s">
        <v>8605</v>
      </c>
      <c r="FV818" s="1">
        <v>42151</v>
      </c>
      <c r="FW818">
        <v>2014</v>
      </c>
      <c r="FX818">
        <v>540.92999999999995</v>
      </c>
      <c r="FY818" t="s">
        <v>8606</v>
      </c>
      <c r="FZ818">
        <v>5</v>
      </c>
      <c r="GA818" t="s">
        <v>424</v>
      </c>
      <c r="GB818" t="s">
        <v>425</v>
      </c>
      <c r="GC818" s="1">
        <v>42424</v>
      </c>
      <c r="GD818">
        <v>9</v>
      </c>
      <c r="GE818">
        <v>6516843</v>
      </c>
      <c r="GF818" t="s">
        <v>601</v>
      </c>
      <c r="GH818" s="1">
        <v>41787</v>
      </c>
      <c r="GI818">
        <v>2013</v>
      </c>
      <c r="GJ818">
        <v>506.13</v>
      </c>
      <c r="GK818" t="s">
        <v>8607</v>
      </c>
      <c r="GL818">
        <v>0.25</v>
      </c>
      <c r="GM818" t="s">
        <v>424</v>
      </c>
      <c r="GN818" t="s">
        <v>425</v>
      </c>
      <c r="GO818" s="1">
        <v>41829</v>
      </c>
      <c r="GP818">
        <v>2</v>
      </c>
      <c r="GQ818">
        <v>11340</v>
      </c>
      <c r="GR818" t="s">
        <v>1230</v>
      </c>
      <c r="GT818" s="1">
        <v>41423</v>
      </c>
      <c r="GU818">
        <v>2012</v>
      </c>
      <c r="GV818">
        <v>495.97</v>
      </c>
      <c r="GW818" t="s">
        <v>8608</v>
      </c>
      <c r="GX818">
        <v>4.75</v>
      </c>
      <c r="GY818" t="s">
        <v>424</v>
      </c>
      <c r="GZ818" t="s">
        <v>425</v>
      </c>
      <c r="HA818" s="1">
        <v>41684</v>
      </c>
      <c r="HB818">
        <v>9</v>
      </c>
      <c r="HC818">
        <v>15407</v>
      </c>
      <c r="HD818" t="s">
        <v>1134</v>
      </c>
      <c r="HF818" s="1">
        <v>41052</v>
      </c>
      <c r="HG818">
        <v>2011</v>
      </c>
      <c r="HH818">
        <v>304.02999999999997</v>
      </c>
      <c r="HI818" t="s">
        <v>8609</v>
      </c>
      <c r="HJ818">
        <v>6</v>
      </c>
      <c r="HK818" t="s">
        <v>424</v>
      </c>
      <c r="HL818" t="s">
        <v>425</v>
      </c>
      <c r="HM818" s="1">
        <v>41122</v>
      </c>
      <c r="HN818">
        <v>3</v>
      </c>
      <c r="HO818">
        <v>10125</v>
      </c>
      <c r="HP818" t="s">
        <v>440</v>
      </c>
    </row>
    <row r="819" spans="1:261" x14ac:dyDescent="0.25">
      <c r="A819">
        <v>16485826</v>
      </c>
      <c r="B819">
        <v>818</v>
      </c>
      <c r="C819" t="s">
        <v>393</v>
      </c>
      <c r="D819" t="s">
        <v>394</v>
      </c>
      <c r="F819" t="str">
        <f>"19-2N-25-0000-0147-0010"</f>
        <v>19-2N-25-0000-0147-0010</v>
      </c>
      <c r="H819" t="str">
        <f t="shared" si="260"/>
        <v>MAIN LINE TIMBER LLC</v>
      </c>
      <c r="I819" t="str">
        <f t="shared" si="259"/>
        <v>PO BOX 1694</v>
      </c>
      <c r="J819" t="str">
        <f t="shared" si="257"/>
        <v>CALLAHAN FL 32011</v>
      </c>
      <c r="K819" t="str">
        <f>"OLD DIXIE HWY"</f>
        <v>OLD DIXIE HWY</v>
      </c>
      <c r="L819" t="str">
        <f t="shared" si="250"/>
        <v>CALLAHAN FL 32011</v>
      </c>
      <c r="M819" t="str">
        <f>"PT GOVT LOT 2 PT OR 1385/758 PAR 147-1 ANNEXED CITY 13-0-2005"</f>
        <v>PT GOVT LOT 2 PT OR 1385/758 PAR 147-1 ANNEXED CITY 13-0-2005</v>
      </c>
      <c r="N819" t="str">
        <f>""</f>
        <v/>
      </c>
      <c r="O819" t="str">
        <f>"32895"</f>
        <v>32895</v>
      </c>
      <c r="P819" t="str">
        <f t="shared" si="243"/>
        <v>2017</v>
      </c>
      <c r="Q819" t="str">
        <f>""</f>
        <v/>
      </c>
      <c r="R819" t="str">
        <f t="shared" si="258"/>
        <v>N</v>
      </c>
      <c r="S819" t="str">
        <f>""</f>
        <v/>
      </c>
      <c r="T819" t="str">
        <f>"402.56"</f>
        <v>402.56</v>
      </c>
      <c r="U819" t="str">
        <f>"24393.00"</f>
        <v>24393.00</v>
      </c>
      <c r="V819" t="str">
        <f>"24393.00"</f>
        <v>24393.00</v>
      </c>
      <c r="W819" t="str">
        <f t="shared" si="244"/>
        <v>2017</v>
      </c>
      <c r="X819" t="str">
        <f>"5.22"</f>
        <v>5.22</v>
      </c>
      <c r="Y819" t="str">
        <f>"446.64"</f>
        <v>446.64</v>
      </c>
      <c r="Z819" t="str">
        <f>""</f>
        <v/>
      </c>
      <c r="AA819" t="str">
        <f>"24393.00"</f>
        <v>24393.00</v>
      </c>
      <c r="AB819" t="str">
        <f t="shared" si="261"/>
        <v>Commercial</v>
      </c>
      <c r="AC819" t="str">
        <f t="shared" si="254"/>
        <v>0</v>
      </c>
      <c r="AD819" t="str">
        <f>""</f>
        <v/>
      </c>
      <c r="AE819" t="str">
        <f>""</f>
        <v/>
      </c>
      <c r="AF819" t="str">
        <f t="shared" si="262"/>
        <v>010</v>
      </c>
      <c r="AG819" t="str">
        <f t="shared" si="256"/>
        <v>FL</v>
      </c>
      <c r="AH819" t="str">
        <f>"12197.00"</f>
        <v>12197.00</v>
      </c>
      <c r="AI819" t="str">
        <f>"24393.00"</f>
        <v>24393.00</v>
      </c>
      <c r="AJ819" t="str">
        <f>"C55-000-587-2354-5"</f>
        <v>C55-000-587-2354-5</v>
      </c>
      <c r="AK819" t="str">
        <f>"12789"</f>
        <v>12789</v>
      </c>
      <c r="AL819">
        <v>3</v>
      </c>
      <c r="AM819">
        <v>948</v>
      </c>
      <c r="AN819">
        <v>467.37</v>
      </c>
      <c r="AQ819" t="s">
        <v>8610</v>
      </c>
      <c r="AR819" t="s">
        <v>8610</v>
      </c>
      <c r="AS819" t="s">
        <v>8610</v>
      </c>
      <c r="AU819" t="s">
        <v>396</v>
      </c>
      <c r="AV819">
        <v>2017</v>
      </c>
      <c r="AW819" t="str">
        <f>"19-2N-25-0000-0147-0010 "</f>
        <v xml:space="preserve">19-2N-25-0000-0147-0010 </v>
      </c>
      <c r="AZ819" t="s">
        <v>3712</v>
      </c>
      <c r="BA819" t="s">
        <v>3713</v>
      </c>
      <c r="BD819" t="s">
        <v>2785</v>
      </c>
      <c r="BE819" t="s">
        <v>393</v>
      </c>
      <c r="BF819">
        <v>32011</v>
      </c>
      <c r="BG819" t="s">
        <v>3810</v>
      </c>
      <c r="BH819" t="s">
        <v>2787</v>
      </c>
      <c r="BI819">
        <v>-81.836599906888793</v>
      </c>
      <c r="BJ819">
        <v>30.570435231133601</v>
      </c>
      <c r="BK819" t="s">
        <v>8558</v>
      </c>
      <c r="BM819" t="s">
        <v>1631</v>
      </c>
      <c r="BN819" t="s">
        <v>928</v>
      </c>
      <c r="BO819">
        <v>32011</v>
      </c>
      <c r="BP819" t="s">
        <v>404</v>
      </c>
      <c r="BQ819">
        <v>1000</v>
      </c>
      <c r="BR819" t="s">
        <v>2391</v>
      </c>
      <c r="BS819">
        <v>8002</v>
      </c>
      <c r="BT819" t="s">
        <v>2392</v>
      </c>
      <c r="BW819">
        <v>12197</v>
      </c>
      <c r="BX819" t="s">
        <v>407</v>
      </c>
      <c r="BY819" t="s">
        <v>2221</v>
      </c>
      <c r="CD819">
        <v>2017</v>
      </c>
      <c r="CE819">
        <v>24393</v>
      </c>
      <c r="CG819">
        <v>24393</v>
      </c>
      <c r="CH819">
        <v>2017</v>
      </c>
      <c r="CI819">
        <v>24393</v>
      </c>
      <c r="CK819">
        <v>24393</v>
      </c>
      <c r="CL819">
        <v>2017</v>
      </c>
      <c r="CM819">
        <v>402.56</v>
      </c>
      <c r="CN819" s="1">
        <v>38747</v>
      </c>
      <c r="CO819">
        <v>2000000</v>
      </c>
      <c r="CZ819" s="1">
        <v>38747</v>
      </c>
      <c r="DD819" t="s">
        <v>2785</v>
      </c>
      <c r="DF819">
        <v>2</v>
      </c>
      <c r="DG819">
        <v>19</v>
      </c>
      <c r="DL819">
        <v>50503</v>
      </c>
      <c r="DM819" t="s">
        <v>8259</v>
      </c>
      <c r="DO819" t="s">
        <v>8611</v>
      </c>
      <c r="DP819">
        <v>0</v>
      </c>
      <c r="DQ819">
        <v>4</v>
      </c>
      <c r="DR819" t="s">
        <v>1479</v>
      </c>
      <c r="DS819" t="b">
        <v>1</v>
      </c>
      <c r="DT819" t="s">
        <v>470</v>
      </c>
      <c r="DU819" t="s">
        <v>471</v>
      </c>
      <c r="DV819" t="s">
        <v>472</v>
      </c>
      <c r="DX819">
        <v>-9999</v>
      </c>
      <c r="DZ819" t="s">
        <v>447</v>
      </c>
      <c r="EA819" t="s">
        <v>448</v>
      </c>
      <c r="EB819" t="s">
        <v>742</v>
      </c>
      <c r="EC819">
        <v>20101217</v>
      </c>
      <c r="ED819" t="s">
        <v>474</v>
      </c>
      <c r="EF819">
        <v>28.9</v>
      </c>
      <c r="EG819">
        <v>28.9</v>
      </c>
      <c r="EI819">
        <v>20160407</v>
      </c>
      <c r="EJ819">
        <v>0</v>
      </c>
      <c r="EK819">
        <v>0</v>
      </c>
      <c r="EP819" t="s">
        <v>421</v>
      </c>
      <c r="EQ819" t="s">
        <v>422</v>
      </c>
      <c r="ER819">
        <v>0</v>
      </c>
      <c r="ES819">
        <v>6</v>
      </c>
      <c r="ET819">
        <v>0</v>
      </c>
      <c r="EU819">
        <v>0</v>
      </c>
      <c r="EV819">
        <v>0</v>
      </c>
      <c r="EW819" s="2">
        <v>43222</v>
      </c>
      <c r="EX819" s="1">
        <v>42515</v>
      </c>
      <c r="EY819">
        <v>2015</v>
      </c>
      <c r="EZ819">
        <v>477.6</v>
      </c>
      <c r="FA819" t="s">
        <v>8612</v>
      </c>
      <c r="FB819">
        <v>0.25</v>
      </c>
      <c r="FC819" t="s">
        <v>424</v>
      </c>
      <c r="FD819" t="s">
        <v>425</v>
      </c>
      <c r="FE819" s="1">
        <v>42655</v>
      </c>
      <c r="FF819">
        <v>5</v>
      </c>
      <c r="FG819">
        <v>7336671</v>
      </c>
      <c r="FH819" t="s">
        <v>437</v>
      </c>
      <c r="FJ819" s="1">
        <v>42515</v>
      </c>
      <c r="FK819">
        <v>2015</v>
      </c>
      <c r="FL819">
        <v>477.6</v>
      </c>
      <c r="FM819" t="s">
        <v>8612</v>
      </c>
      <c r="FN819">
        <v>0.25</v>
      </c>
      <c r="FO819" t="s">
        <v>424</v>
      </c>
      <c r="FP819" t="s">
        <v>425</v>
      </c>
      <c r="FR819">
        <v>22</v>
      </c>
      <c r="FS819">
        <v>7028079</v>
      </c>
      <c r="FT819" t="s">
        <v>8613</v>
      </c>
      <c r="FV819" s="1">
        <v>42151</v>
      </c>
      <c r="FW819">
        <v>2014</v>
      </c>
      <c r="FX819">
        <v>483.92</v>
      </c>
      <c r="FY819" t="s">
        <v>8614</v>
      </c>
      <c r="FZ819">
        <v>5</v>
      </c>
      <c r="GA819" t="s">
        <v>424</v>
      </c>
      <c r="GB819" t="s">
        <v>425</v>
      </c>
      <c r="GC819" s="1">
        <v>42424</v>
      </c>
      <c r="GD819">
        <v>9</v>
      </c>
      <c r="GE819">
        <v>10125</v>
      </c>
      <c r="GF819" t="s">
        <v>440</v>
      </c>
      <c r="GH819" s="1">
        <v>41787</v>
      </c>
      <c r="GI819">
        <v>2013</v>
      </c>
      <c r="GJ819">
        <v>463.05</v>
      </c>
      <c r="GK819" t="s">
        <v>8615</v>
      </c>
      <c r="GL819">
        <v>0.25</v>
      </c>
      <c r="GM819" t="s">
        <v>424</v>
      </c>
      <c r="GN819" t="s">
        <v>425</v>
      </c>
      <c r="GO819" s="1">
        <v>41829</v>
      </c>
      <c r="GP819">
        <v>2</v>
      </c>
      <c r="GQ819">
        <v>11340</v>
      </c>
      <c r="GR819" t="s">
        <v>1230</v>
      </c>
      <c r="GT819" s="1">
        <v>41423</v>
      </c>
      <c r="GU819">
        <v>2012</v>
      </c>
      <c r="GV819">
        <v>468.05</v>
      </c>
      <c r="GW819" t="s">
        <v>8616</v>
      </c>
      <c r="GX819">
        <v>4.75</v>
      </c>
      <c r="GY819" t="s">
        <v>424</v>
      </c>
      <c r="GZ819" t="s">
        <v>425</v>
      </c>
      <c r="HA819" s="1">
        <v>41684</v>
      </c>
      <c r="HB819">
        <v>9</v>
      </c>
      <c r="HC819">
        <v>1625515</v>
      </c>
      <c r="HD819" t="s">
        <v>487</v>
      </c>
      <c r="HF819" s="1">
        <v>41052</v>
      </c>
      <c r="HG819">
        <v>2011</v>
      </c>
      <c r="HH819">
        <v>1192.52</v>
      </c>
      <c r="HI819" t="s">
        <v>8617</v>
      </c>
      <c r="HJ819">
        <v>5</v>
      </c>
      <c r="HK819" t="s">
        <v>424</v>
      </c>
      <c r="HL819" t="s">
        <v>425</v>
      </c>
      <c r="HM819" s="1">
        <v>41122</v>
      </c>
      <c r="HN819">
        <v>3</v>
      </c>
      <c r="HO819">
        <v>10125</v>
      </c>
      <c r="HP819" t="s">
        <v>440</v>
      </c>
    </row>
    <row r="820" spans="1:261" x14ac:dyDescent="0.25">
      <c r="A820">
        <v>16485827</v>
      </c>
      <c r="B820">
        <v>819</v>
      </c>
      <c r="C820" t="s">
        <v>393</v>
      </c>
      <c r="D820" t="s">
        <v>394</v>
      </c>
      <c r="F820" t="str">
        <f>"19-2N-25-0000-0147-0020"</f>
        <v>19-2N-25-0000-0147-0020</v>
      </c>
      <c r="H820" t="str">
        <f t="shared" si="260"/>
        <v>MAIN LINE TIMBER LLC</v>
      </c>
      <c r="I820" t="str">
        <f t="shared" si="259"/>
        <v>PO BOX 1694</v>
      </c>
      <c r="J820" t="str">
        <f t="shared" si="257"/>
        <v>CALLAHAN FL 32011</v>
      </c>
      <c r="K820" t="str">
        <f>"US HWY 1"</f>
        <v>US HWY 1</v>
      </c>
      <c r="L820" t="str">
        <f t="shared" si="250"/>
        <v>CALLAHAN FL 32011</v>
      </c>
      <c r="M820" t="str">
        <f>"PT GOVT LOT 2 PT OR 1385/758 PAR 147-2 ANNEXED 13-0-2005"</f>
        <v>PT GOVT LOT 2 PT OR 1385/758 PAR 147-2 ANNEXED 13-0-2005</v>
      </c>
      <c r="N820" t="str">
        <f>""</f>
        <v/>
      </c>
      <c r="O820" t="str">
        <f>"32896"</f>
        <v>32896</v>
      </c>
      <c r="P820" t="str">
        <f t="shared" si="243"/>
        <v>2017</v>
      </c>
      <c r="Q820" t="str">
        <f>""</f>
        <v/>
      </c>
      <c r="R820" t="str">
        <f t="shared" si="258"/>
        <v>N</v>
      </c>
      <c r="S820" t="str">
        <f>""</f>
        <v/>
      </c>
      <c r="T820" t="str">
        <f>"2149.44"</f>
        <v>2149.44</v>
      </c>
      <c r="U820" t="str">
        <f>"130244.00"</f>
        <v>130244.00</v>
      </c>
      <c r="V820" t="str">
        <f>"130244.00"</f>
        <v>130244.00</v>
      </c>
      <c r="W820" t="str">
        <f t="shared" si="244"/>
        <v>2017</v>
      </c>
      <c r="X820" t="str">
        <f>"4.11"</f>
        <v>4.11</v>
      </c>
      <c r="Y820" t="str">
        <f>"2245.92"</f>
        <v>2245.92</v>
      </c>
      <c r="Z820" t="str">
        <f>""</f>
        <v/>
      </c>
      <c r="AA820" t="str">
        <f>"130244.00"</f>
        <v>130244.00</v>
      </c>
      <c r="AB820" t="str">
        <f t="shared" si="261"/>
        <v>Commercial</v>
      </c>
      <c r="AC820" t="str">
        <f t="shared" si="254"/>
        <v>0</v>
      </c>
      <c r="AD820" t="str">
        <f>""</f>
        <v/>
      </c>
      <c r="AE820" t="str">
        <f>""</f>
        <v/>
      </c>
      <c r="AF820" t="str">
        <f t="shared" si="262"/>
        <v>010</v>
      </c>
      <c r="AG820" t="str">
        <f t="shared" si="256"/>
        <v>FL</v>
      </c>
      <c r="AH820" t="str">
        <f>"100188.00"</f>
        <v>100188.00</v>
      </c>
      <c r="AI820" t="str">
        <f>"130244.00"</f>
        <v>130244.00</v>
      </c>
      <c r="AJ820" t="str">
        <f>"C55-000-587-2355-2"</f>
        <v>C55-000-587-2355-2</v>
      </c>
      <c r="AK820" t="str">
        <f>"12790"</f>
        <v>12790</v>
      </c>
      <c r="AL820">
        <v>3</v>
      </c>
      <c r="AM820">
        <v>949</v>
      </c>
      <c r="AN820">
        <v>2356.62</v>
      </c>
      <c r="AQ820" t="s">
        <v>8618</v>
      </c>
      <c r="AR820" t="s">
        <v>8618</v>
      </c>
      <c r="AS820" t="s">
        <v>8618</v>
      </c>
      <c r="AU820" t="s">
        <v>396</v>
      </c>
      <c r="AV820">
        <v>2017</v>
      </c>
      <c r="AW820" t="str">
        <f>"19-2N-25-0000-0147-0020 "</f>
        <v xml:space="preserve">19-2N-25-0000-0147-0020 </v>
      </c>
      <c r="AZ820" t="s">
        <v>2386</v>
      </c>
      <c r="BD820" t="s">
        <v>2785</v>
      </c>
      <c r="BE820" t="s">
        <v>393</v>
      </c>
      <c r="BF820">
        <v>32011</v>
      </c>
      <c r="BG820" t="s">
        <v>2386</v>
      </c>
      <c r="BH820" t="s">
        <v>2787</v>
      </c>
      <c r="BI820">
        <v>-81.836045600779499</v>
      </c>
      <c r="BJ820">
        <v>30.5694939844252</v>
      </c>
      <c r="BK820" t="s">
        <v>8558</v>
      </c>
      <c r="BM820" t="s">
        <v>1631</v>
      </c>
      <c r="BN820" t="s">
        <v>928</v>
      </c>
      <c r="BO820">
        <v>32011</v>
      </c>
      <c r="BP820" t="s">
        <v>404</v>
      </c>
      <c r="BQ820">
        <v>1000</v>
      </c>
      <c r="BR820" t="s">
        <v>2391</v>
      </c>
      <c r="BS820">
        <v>8002</v>
      </c>
      <c r="BT820" t="s">
        <v>2392</v>
      </c>
      <c r="BW820">
        <v>102958</v>
      </c>
      <c r="BX820" t="s">
        <v>407</v>
      </c>
      <c r="BY820" t="s">
        <v>2221</v>
      </c>
      <c r="CD820">
        <v>2017</v>
      </c>
      <c r="CE820">
        <v>130244</v>
      </c>
      <c r="CG820">
        <v>130244</v>
      </c>
      <c r="CH820">
        <v>2017</v>
      </c>
      <c r="CI820">
        <v>130244</v>
      </c>
      <c r="CK820">
        <v>130244</v>
      </c>
      <c r="CL820">
        <v>2017</v>
      </c>
      <c r="CM820">
        <v>2149.44</v>
      </c>
      <c r="CN820" s="1">
        <v>38747</v>
      </c>
      <c r="CO820">
        <v>2000000</v>
      </c>
      <c r="CZ820" s="1">
        <v>38747</v>
      </c>
      <c r="DD820" t="s">
        <v>2785</v>
      </c>
      <c r="DF820">
        <v>2</v>
      </c>
      <c r="DG820">
        <v>19</v>
      </c>
      <c r="DL820">
        <v>50503</v>
      </c>
      <c r="DM820" t="s">
        <v>8259</v>
      </c>
      <c r="DO820" t="s">
        <v>8619</v>
      </c>
      <c r="DP820">
        <v>0</v>
      </c>
      <c r="DQ820">
        <v>4</v>
      </c>
      <c r="DR820" t="s">
        <v>1479</v>
      </c>
      <c r="DS820" t="b">
        <v>1</v>
      </c>
      <c r="DT820" t="s">
        <v>396</v>
      </c>
      <c r="DV820" t="s">
        <v>446</v>
      </c>
      <c r="DX820">
        <v>-9999</v>
      </c>
      <c r="DZ820" t="s">
        <v>447</v>
      </c>
      <c r="EA820" t="s">
        <v>448</v>
      </c>
      <c r="EB820" t="s">
        <v>8594</v>
      </c>
      <c r="EC820">
        <v>20101217</v>
      </c>
      <c r="ED820" t="s">
        <v>450</v>
      </c>
      <c r="EE820">
        <v>16.100000000000001</v>
      </c>
      <c r="EF820">
        <v>0</v>
      </c>
      <c r="EG820">
        <v>0</v>
      </c>
      <c r="EI820">
        <v>20160407</v>
      </c>
      <c r="EJ820">
        <v>0</v>
      </c>
      <c r="EK820">
        <v>0</v>
      </c>
      <c r="EP820" t="s">
        <v>421</v>
      </c>
      <c r="EQ820" t="s">
        <v>422</v>
      </c>
      <c r="ER820">
        <v>0</v>
      </c>
      <c r="ES820">
        <v>7</v>
      </c>
      <c r="ET820">
        <v>0</v>
      </c>
      <c r="EU820">
        <v>0</v>
      </c>
      <c r="EV820">
        <v>0</v>
      </c>
      <c r="EW820" s="2">
        <v>43222</v>
      </c>
      <c r="EX820" s="1">
        <v>42515</v>
      </c>
      <c r="EY820">
        <v>2015</v>
      </c>
      <c r="EZ820">
        <v>2454.56</v>
      </c>
      <c r="FA820" t="s">
        <v>8620</v>
      </c>
      <c r="FB820">
        <v>0.25</v>
      </c>
      <c r="FC820" t="s">
        <v>424</v>
      </c>
      <c r="FD820" t="s">
        <v>425</v>
      </c>
      <c r="FE820" s="1">
        <v>42655</v>
      </c>
      <c r="FF820">
        <v>5</v>
      </c>
      <c r="FG820">
        <v>7336671</v>
      </c>
      <c r="FH820" t="s">
        <v>437</v>
      </c>
      <c r="FJ820" s="1">
        <v>42515</v>
      </c>
      <c r="FK820">
        <v>2015</v>
      </c>
      <c r="FL820">
        <v>2454.56</v>
      </c>
      <c r="FM820" t="s">
        <v>8620</v>
      </c>
      <c r="FN820">
        <v>0.25</v>
      </c>
      <c r="FO820" t="s">
        <v>424</v>
      </c>
      <c r="FP820" t="s">
        <v>425</v>
      </c>
      <c r="FR820">
        <v>22</v>
      </c>
      <c r="FS820">
        <v>6983972</v>
      </c>
      <c r="FT820" t="s">
        <v>8621</v>
      </c>
      <c r="FV820" s="1">
        <v>42151</v>
      </c>
      <c r="FW820">
        <v>2014</v>
      </c>
      <c r="FX820">
        <v>2401.62</v>
      </c>
      <c r="FY820" t="s">
        <v>8622</v>
      </c>
      <c r="FZ820">
        <v>0.25</v>
      </c>
      <c r="GA820" t="s">
        <v>424</v>
      </c>
      <c r="GB820" t="s">
        <v>425</v>
      </c>
      <c r="GC820" s="1">
        <v>42424</v>
      </c>
      <c r="GD820">
        <v>9</v>
      </c>
      <c r="GE820">
        <v>11289</v>
      </c>
      <c r="GF820" t="s">
        <v>787</v>
      </c>
      <c r="GH820" s="1">
        <v>42151</v>
      </c>
      <c r="GI820">
        <v>2014</v>
      </c>
      <c r="GJ820">
        <v>2401.62</v>
      </c>
      <c r="GK820" t="s">
        <v>8622</v>
      </c>
      <c r="GL820">
        <v>0.25</v>
      </c>
      <c r="GM820" t="s">
        <v>424</v>
      </c>
      <c r="GN820" t="s">
        <v>425</v>
      </c>
      <c r="GP820">
        <v>22</v>
      </c>
      <c r="GQ820">
        <v>5157794</v>
      </c>
      <c r="GR820" t="s">
        <v>8623</v>
      </c>
      <c r="GT820" s="1">
        <v>41787</v>
      </c>
      <c r="GU820">
        <v>2013</v>
      </c>
      <c r="GV820">
        <v>2185.38</v>
      </c>
      <c r="GW820" t="s">
        <v>8624</v>
      </c>
      <c r="GX820">
        <v>0.25</v>
      </c>
      <c r="GY820" t="s">
        <v>424</v>
      </c>
      <c r="GZ820" t="s">
        <v>425</v>
      </c>
      <c r="HA820" s="1">
        <v>41829</v>
      </c>
      <c r="HB820">
        <v>2</v>
      </c>
      <c r="HC820">
        <v>11289</v>
      </c>
      <c r="HD820" t="s">
        <v>787</v>
      </c>
      <c r="HF820" s="1">
        <v>41423</v>
      </c>
      <c r="HG820">
        <v>2012</v>
      </c>
      <c r="HH820">
        <v>2109.48</v>
      </c>
      <c r="HI820" t="s">
        <v>8625</v>
      </c>
      <c r="HJ820">
        <v>0.25</v>
      </c>
      <c r="HK820" t="s">
        <v>424</v>
      </c>
      <c r="HL820" t="s">
        <v>425</v>
      </c>
      <c r="HM820" s="1">
        <v>41684</v>
      </c>
      <c r="HN820">
        <v>9</v>
      </c>
      <c r="HO820">
        <v>11340</v>
      </c>
      <c r="HP820" t="s">
        <v>1230</v>
      </c>
      <c r="HR820" s="1">
        <v>41052</v>
      </c>
      <c r="HS820">
        <v>2011</v>
      </c>
      <c r="HT820">
        <v>1708.11</v>
      </c>
      <c r="HU820" t="s">
        <v>8626</v>
      </c>
      <c r="HV820">
        <v>5</v>
      </c>
      <c r="HW820" t="s">
        <v>424</v>
      </c>
      <c r="HX820" t="s">
        <v>425</v>
      </c>
      <c r="HY820" s="1">
        <v>41122</v>
      </c>
      <c r="HZ820">
        <v>3</v>
      </c>
      <c r="IA820">
        <v>10579</v>
      </c>
      <c r="IB820" t="s">
        <v>488</v>
      </c>
    </row>
    <row r="821" spans="1:261" x14ac:dyDescent="0.25">
      <c r="A821">
        <v>16485828</v>
      </c>
      <c r="B821">
        <v>820</v>
      </c>
      <c r="C821" t="s">
        <v>393</v>
      </c>
      <c r="D821" t="s">
        <v>394</v>
      </c>
      <c r="F821" t="str">
        <f>"19-2N-25-3020-0018-0000"</f>
        <v>19-2N-25-3020-0018-0000</v>
      </c>
      <c r="H821" t="str">
        <f>"DUTTON DONALD D"</f>
        <v>DUTTON DONALD D</v>
      </c>
      <c r="I821" t="str">
        <f>"35808 QUAIL ROAD"</f>
        <v>35808 QUAIL ROAD</v>
      </c>
      <c r="J821" t="str">
        <f t="shared" si="257"/>
        <v>CALLAHAN FL 32011</v>
      </c>
      <c r="K821" t="str">
        <f>"QUAIL RD"</f>
        <v>QUAIL RD</v>
      </c>
      <c r="L821" t="str">
        <f t="shared" si="250"/>
        <v>CALLAHAN FL 32011</v>
      </c>
      <c r="M821" t="str">
        <f>"IN SW1/4 OF SE1/4 OF NW1/4 PT OF LOTS 18 19 30 31 32 WEST OF RD L/E PT OR 754/726 SUB OF SE1/4 OF NW1/4"</f>
        <v>IN SW1/4 OF SE1/4 OF NW1/4 PT OF LOTS 18 19 30 31 32 WEST OF RD L/E PT OR 754/726 SUB OF SE1/4 OF NW1/4</v>
      </c>
      <c r="N821" t="str">
        <f>""</f>
        <v/>
      </c>
      <c r="O821" t="str">
        <f>"32907"</f>
        <v>32907</v>
      </c>
      <c r="P821" t="str">
        <f t="shared" si="243"/>
        <v>2017</v>
      </c>
      <c r="Q821" t="str">
        <f>""</f>
        <v/>
      </c>
      <c r="R821" t="str">
        <f t="shared" si="258"/>
        <v>N</v>
      </c>
      <c r="S821" t="str">
        <f>"2.50"</f>
        <v>2.50</v>
      </c>
      <c r="T821" t="str">
        <f>"13.05"</f>
        <v>13.05</v>
      </c>
      <c r="U821" t="str">
        <f>"862.00"</f>
        <v>862.00</v>
      </c>
      <c r="V821" t="str">
        <f>"862.00"</f>
        <v>862.00</v>
      </c>
      <c r="W821" t="str">
        <f t="shared" si="244"/>
        <v>2017</v>
      </c>
      <c r="X821" t="str">
        <f>"17.25"</f>
        <v>17.25</v>
      </c>
      <c r="Y821" t="str">
        <f>"45.44"</f>
        <v>45.44</v>
      </c>
      <c r="Z821" t="str">
        <f>""</f>
        <v/>
      </c>
      <c r="AA821" t="str">
        <f>"862.00"</f>
        <v>862.00</v>
      </c>
      <c r="AB821" t="str">
        <f>"Agricultural"</f>
        <v>Agricultural</v>
      </c>
      <c r="AC821" t="str">
        <f t="shared" si="254"/>
        <v>0</v>
      </c>
      <c r="AD821" t="str">
        <f>""</f>
        <v/>
      </c>
      <c r="AE821" t="str">
        <f>""</f>
        <v/>
      </c>
      <c r="AF821" t="str">
        <f>"060"</f>
        <v>060</v>
      </c>
      <c r="AG821" t="str">
        <f t="shared" si="256"/>
        <v>FL</v>
      </c>
      <c r="AH821" t="str">
        <f>"108900.00"</f>
        <v>108900.00</v>
      </c>
      <c r="AI821" t="str">
        <f>"862.00"</f>
        <v>862.00</v>
      </c>
      <c r="AJ821" t="str">
        <f>"C55-000-587-2366-9"</f>
        <v>C55-000-587-2366-9</v>
      </c>
      <c r="AK821" t="str">
        <f>"12800"</f>
        <v>12800</v>
      </c>
      <c r="AL821">
        <v>3</v>
      </c>
      <c r="AM821">
        <v>952</v>
      </c>
      <c r="AN821">
        <v>46.11</v>
      </c>
      <c r="AQ821" t="s">
        <v>8627</v>
      </c>
      <c r="AR821" t="s">
        <v>8627</v>
      </c>
      <c r="AS821" t="s">
        <v>8627</v>
      </c>
      <c r="AU821" t="s">
        <v>396</v>
      </c>
      <c r="AV821">
        <v>2017</v>
      </c>
      <c r="AW821" t="str">
        <f>"19-2N-25-3020-0018-0000 "</f>
        <v xml:space="preserve">19-2N-25-3020-0018-0000 </v>
      </c>
      <c r="AZ821" t="s">
        <v>3860</v>
      </c>
      <c r="BA821" t="s">
        <v>496</v>
      </c>
      <c r="BD821" t="s">
        <v>2785</v>
      </c>
      <c r="BE821" t="s">
        <v>393</v>
      </c>
      <c r="BF821">
        <v>32011</v>
      </c>
      <c r="BG821" t="s">
        <v>3908</v>
      </c>
      <c r="BH821" t="s">
        <v>2787</v>
      </c>
      <c r="BI821">
        <v>-81.846622482464895</v>
      </c>
      <c r="BJ821">
        <v>30.576643095507301</v>
      </c>
      <c r="BK821" t="s">
        <v>8342</v>
      </c>
      <c r="BM821" t="s">
        <v>8341</v>
      </c>
      <c r="BN821" t="s">
        <v>928</v>
      </c>
      <c r="BO821">
        <v>32011</v>
      </c>
      <c r="BP821" t="s">
        <v>404</v>
      </c>
      <c r="BQ821">
        <v>6000</v>
      </c>
      <c r="BR821" t="s">
        <v>433</v>
      </c>
      <c r="BS821">
        <v>7003</v>
      </c>
      <c r="BT821" t="s">
        <v>434</v>
      </c>
      <c r="BW821">
        <v>108900</v>
      </c>
      <c r="BX821" t="s">
        <v>407</v>
      </c>
      <c r="BY821" t="s">
        <v>408</v>
      </c>
      <c r="CD821">
        <v>2017</v>
      </c>
      <c r="CG821">
        <v>862</v>
      </c>
      <c r="CH821">
        <v>2017</v>
      </c>
      <c r="CI821">
        <v>862</v>
      </c>
      <c r="CJ821">
        <v>29138</v>
      </c>
      <c r="CK821">
        <v>30000</v>
      </c>
      <c r="CL821">
        <v>2017</v>
      </c>
      <c r="CM821">
        <v>13.05</v>
      </c>
      <c r="CN821" s="1">
        <v>35143</v>
      </c>
      <c r="CZ821" s="1">
        <v>35143</v>
      </c>
      <c r="DD821" t="s">
        <v>2785</v>
      </c>
      <c r="DG821">
        <v>19</v>
      </c>
      <c r="DL821">
        <v>50503</v>
      </c>
      <c r="DM821" t="s">
        <v>8259</v>
      </c>
      <c r="DO821" t="s">
        <v>8628</v>
      </c>
      <c r="DP821">
        <v>0</v>
      </c>
      <c r="DQ821">
        <v>0</v>
      </c>
      <c r="DR821" t="s">
        <v>411</v>
      </c>
      <c r="DS821" t="b">
        <v>1</v>
      </c>
      <c r="DT821" t="s">
        <v>396</v>
      </c>
      <c r="DV821" t="s">
        <v>446</v>
      </c>
      <c r="DX821">
        <v>-9999</v>
      </c>
      <c r="DZ821" t="s">
        <v>447</v>
      </c>
      <c r="EA821" t="s">
        <v>448</v>
      </c>
      <c r="EB821" t="s">
        <v>449</v>
      </c>
      <c r="EC821">
        <v>20101217</v>
      </c>
      <c r="ED821" t="s">
        <v>450</v>
      </c>
      <c r="EE821">
        <v>17.100000000000001</v>
      </c>
      <c r="EF821">
        <v>0</v>
      </c>
      <c r="EG821">
        <v>0</v>
      </c>
      <c r="EI821">
        <v>20160407</v>
      </c>
      <c r="EJ821">
        <v>0</v>
      </c>
      <c r="EK821">
        <v>0</v>
      </c>
      <c r="EP821" t="s">
        <v>595</v>
      </c>
      <c r="EQ821" t="s">
        <v>422</v>
      </c>
      <c r="ER821">
        <v>3</v>
      </c>
      <c r="ES821">
        <v>4</v>
      </c>
      <c r="ET821">
        <v>114.67</v>
      </c>
      <c r="EU821">
        <v>29.8</v>
      </c>
      <c r="EV821">
        <v>144.47</v>
      </c>
      <c r="EW821" s="2">
        <v>43222</v>
      </c>
      <c r="EX821" s="1">
        <v>42879</v>
      </c>
      <c r="EY821">
        <v>2016</v>
      </c>
      <c r="EZ821">
        <v>40.909999999999997</v>
      </c>
      <c r="FA821" t="s">
        <v>8629</v>
      </c>
      <c r="FB821">
        <v>18</v>
      </c>
      <c r="FC821" t="s">
        <v>424</v>
      </c>
      <c r="FD821" t="s">
        <v>454</v>
      </c>
      <c r="FF821">
        <v>12</v>
      </c>
      <c r="FG821">
        <v>10125</v>
      </c>
      <c r="FH821" t="s">
        <v>440</v>
      </c>
      <c r="FJ821" s="1">
        <v>42515</v>
      </c>
      <c r="FK821">
        <v>2015</v>
      </c>
      <c r="FL821">
        <v>36.880000000000003</v>
      </c>
      <c r="FM821" t="s">
        <v>8630</v>
      </c>
      <c r="FN821">
        <v>0.25</v>
      </c>
      <c r="FO821" t="s">
        <v>424</v>
      </c>
      <c r="FP821" t="s">
        <v>454</v>
      </c>
      <c r="FR821">
        <v>24</v>
      </c>
      <c r="FS821">
        <v>7336671</v>
      </c>
      <c r="FT821" t="s">
        <v>437</v>
      </c>
      <c r="FV821" s="1">
        <v>42515</v>
      </c>
      <c r="FW821">
        <v>2015</v>
      </c>
      <c r="FX821">
        <v>36.880000000000003</v>
      </c>
      <c r="FY821" t="s">
        <v>8630</v>
      </c>
      <c r="FZ821">
        <v>0.25</v>
      </c>
      <c r="GA821" t="s">
        <v>424</v>
      </c>
      <c r="GB821" t="s">
        <v>454</v>
      </c>
      <c r="GD821">
        <v>24</v>
      </c>
      <c r="GE821">
        <v>6838252</v>
      </c>
      <c r="GF821" t="s">
        <v>8631</v>
      </c>
      <c r="GH821" s="1">
        <v>41787</v>
      </c>
      <c r="GI821">
        <v>2013</v>
      </c>
      <c r="GJ821">
        <v>35.35</v>
      </c>
      <c r="GK821" t="s">
        <v>8632</v>
      </c>
      <c r="GL821">
        <v>18</v>
      </c>
      <c r="GM821" t="s">
        <v>603</v>
      </c>
      <c r="GN821" t="s">
        <v>425</v>
      </c>
      <c r="GP821">
        <v>22</v>
      </c>
      <c r="GQ821">
        <v>9999999</v>
      </c>
      <c r="GR821" t="s">
        <v>604</v>
      </c>
      <c r="GT821" s="1">
        <v>41787</v>
      </c>
      <c r="GU821">
        <v>2013</v>
      </c>
      <c r="GV821">
        <v>42.66</v>
      </c>
      <c r="GW821" t="s">
        <v>8632</v>
      </c>
      <c r="GX821">
        <v>18</v>
      </c>
      <c r="GY821" t="s">
        <v>424</v>
      </c>
      <c r="GZ821" t="s">
        <v>425</v>
      </c>
      <c r="HA821" s="1">
        <v>41964</v>
      </c>
      <c r="HB821">
        <v>6</v>
      </c>
      <c r="HC821">
        <v>4844951</v>
      </c>
      <c r="HD821" t="s">
        <v>697</v>
      </c>
      <c r="HF821" s="1">
        <v>41052</v>
      </c>
      <c r="HG821">
        <v>2011</v>
      </c>
      <c r="HH821">
        <v>22.34</v>
      </c>
      <c r="HI821" t="s">
        <v>8633</v>
      </c>
      <c r="HJ821">
        <v>18</v>
      </c>
      <c r="HK821" t="s">
        <v>424</v>
      </c>
      <c r="HL821" t="s">
        <v>425</v>
      </c>
      <c r="HM821" s="1">
        <v>41331</v>
      </c>
      <c r="HN821">
        <v>9</v>
      </c>
      <c r="HO821">
        <v>10125</v>
      </c>
      <c r="HP821" t="s">
        <v>440</v>
      </c>
      <c r="HR821" s="1">
        <v>40688</v>
      </c>
      <c r="HS821">
        <v>2010</v>
      </c>
      <c r="HT821">
        <v>21.37</v>
      </c>
      <c r="HU821" t="s">
        <v>8634</v>
      </c>
      <c r="HV821">
        <v>8.75</v>
      </c>
      <c r="HW821" t="s">
        <v>424</v>
      </c>
      <c r="HX821" t="s">
        <v>425</v>
      </c>
      <c r="HY821" s="1">
        <v>41331</v>
      </c>
      <c r="HZ821">
        <v>21</v>
      </c>
      <c r="IA821">
        <v>105</v>
      </c>
      <c r="IB821" t="s">
        <v>946</v>
      </c>
    </row>
    <row r="822" spans="1:261" x14ac:dyDescent="0.25">
      <c r="A822">
        <v>16485829</v>
      </c>
      <c r="B822">
        <v>821</v>
      </c>
      <c r="C822" t="s">
        <v>393</v>
      </c>
      <c r="D822" t="s">
        <v>394</v>
      </c>
      <c r="F822" t="str">
        <f>"19-2N-25-3020-0033-0000"</f>
        <v>19-2N-25-3020-0033-0000</v>
      </c>
      <c r="H822" t="str">
        <f>"PATTERSON MARK SR &amp; ROBERTS MAHALIA"</f>
        <v>PATTERSON MARK SR &amp; ROBERTS MAHALIA</v>
      </c>
      <c r="I822" t="str">
        <f>"450426 OLD DIXIE HWY"</f>
        <v>450426 OLD DIXIE HWY</v>
      </c>
      <c r="J822" t="str">
        <f t="shared" si="257"/>
        <v>CALLAHAN FL 32011</v>
      </c>
      <c r="K822" t="str">
        <f>"450426 OLD DIXIE HWY"</f>
        <v>450426 OLD DIXIE HWY</v>
      </c>
      <c r="L822" t="str">
        <f t="shared" si="250"/>
        <v>CALLAHAN FL 32011</v>
      </c>
      <c r="M822" t="str">
        <f>"LOT 33 &amp; PT LOT 32 E SR 115 IN OR 1596/1847 R497691 SUB OF SE1/4 OF NW1/4"</f>
        <v>LOT 33 &amp; PT LOT 32 E SR 115 IN OR 1596/1847 R497691 SUB OF SE1/4 OF NW1/4</v>
      </c>
      <c r="N822" t="str">
        <f>""</f>
        <v/>
      </c>
      <c r="O822" t="str">
        <f>"32917"</f>
        <v>32917</v>
      </c>
      <c r="P822" t="str">
        <f t="shared" si="243"/>
        <v>2017</v>
      </c>
      <c r="Q822" t="str">
        <f>""</f>
        <v/>
      </c>
      <c r="R822" t="str">
        <f>"Y"</f>
        <v>Y</v>
      </c>
      <c r="S822" t="str">
        <f>"1.50"</f>
        <v>1.50</v>
      </c>
      <c r="T822" t="str">
        <f>"259.45"</f>
        <v>259.45</v>
      </c>
      <c r="U822" t="str">
        <f>"28941.00"</f>
        <v>28941.00</v>
      </c>
      <c r="V822" t="str">
        <f>"28941.00"</f>
        <v>28941.00</v>
      </c>
      <c r="W822" t="str">
        <f t="shared" si="244"/>
        <v>2017</v>
      </c>
      <c r="X822" t="str">
        <f>"11.25"</f>
        <v>11.25</v>
      </c>
      <c r="Y822" t="str">
        <f>"299.23"</f>
        <v>299.23</v>
      </c>
      <c r="Z822" t="str">
        <f>"13029.00"</f>
        <v>13029.00</v>
      </c>
      <c r="AA822" t="str">
        <f>"18726.00"</f>
        <v>18726.00</v>
      </c>
      <c r="AB822" t="str">
        <f t="shared" ref="AB822:AB839" si="263">"Residential"</f>
        <v>Residential</v>
      </c>
      <c r="AC822" t="str">
        <f t="shared" si="254"/>
        <v>0</v>
      </c>
      <c r="AD822" t="str">
        <f>"4"</f>
        <v>4</v>
      </c>
      <c r="AE822" t="str">
        <f>"WOOD (INCLUDE STEEL STUDS)"</f>
        <v>WOOD (INCLUDE STEEL STUDS)</v>
      </c>
      <c r="AF822" t="str">
        <f>"002"</f>
        <v>002</v>
      </c>
      <c r="AG822" t="str">
        <f t="shared" si="256"/>
        <v>FL</v>
      </c>
      <c r="AH822" t="str">
        <f>"65340.00"</f>
        <v>65340.00</v>
      </c>
      <c r="AI822" t="str">
        <f>"22500.00"</f>
        <v>22500.00</v>
      </c>
      <c r="AJ822" t="str">
        <f>"C55-000-587-2376-8"</f>
        <v>C55-000-587-2376-8</v>
      </c>
      <c r="AK822" t="str">
        <f>"12810"</f>
        <v>12810</v>
      </c>
      <c r="AL822">
        <v>3</v>
      </c>
      <c r="AM822">
        <v>953</v>
      </c>
      <c r="AN822">
        <v>312.58999999999997</v>
      </c>
      <c r="AQ822" t="s">
        <v>8635</v>
      </c>
      <c r="AR822" t="s">
        <v>8635</v>
      </c>
      <c r="AS822" t="s">
        <v>8635</v>
      </c>
      <c r="AU822" t="s">
        <v>396</v>
      </c>
      <c r="AV822">
        <v>2017</v>
      </c>
      <c r="AW822" t="str">
        <f>"19-2N-25-3020-0033-0000 "</f>
        <v xml:space="preserve">19-2N-25-3020-0033-0000 </v>
      </c>
      <c r="AX822">
        <v>450426</v>
      </c>
      <c r="AZ822" t="s">
        <v>3712</v>
      </c>
      <c r="BA822" t="s">
        <v>3713</v>
      </c>
      <c r="BD822" t="s">
        <v>2785</v>
      </c>
      <c r="BE822" t="s">
        <v>393</v>
      </c>
      <c r="BF822">
        <v>32011</v>
      </c>
      <c r="BG822" t="s">
        <v>8636</v>
      </c>
      <c r="BH822" t="s">
        <v>2787</v>
      </c>
      <c r="BI822">
        <v>-81.845341777689598</v>
      </c>
      <c r="BJ822">
        <v>30.576211414635502</v>
      </c>
      <c r="BK822" t="s">
        <v>8637</v>
      </c>
      <c r="BL822" t="s">
        <v>8638</v>
      </c>
      <c r="BM822" t="s">
        <v>8636</v>
      </c>
      <c r="BN822" t="s">
        <v>928</v>
      </c>
      <c r="BO822">
        <v>32011</v>
      </c>
      <c r="BP822" t="s">
        <v>416</v>
      </c>
      <c r="BQ822">
        <v>200</v>
      </c>
      <c r="BR822" t="s">
        <v>405</v>
      </c>
      <c r="BS822">
        <v>1006</v>
      </c>
      <c r="BT822" t="s">
        <v>406</v>
      </c>
      <c r="BW822">
        <v>65340</v>
      </c>
      <c r="BX822" t="s">
        <v>407</v>
      </c>
      <c r="BY822" t="s">
        <v>408</v>
      </c>
      <c r="BZ822">
        <v>4</v>
      </c>
      <c r="CA822">
        <v>1987</v>
      </c>
      <c r="CB822">
        <v>1</v>
      </c>
      <c r="CC822">
        <v>1</v>
      </c>
      <c r="CD822">
        <v>2017</v>
      </c>
      <c r="CG822">
        <v>31755</v>
      </c>
      <c r="CH822">
        <v>2017</v>
      </c>
      <c r="CI822">
        <v>22500</v>
      </c>
      <c r="CJ822">
        <v>14953</v>
      </c>
      <c r="CK822">
        <v>37453</v>
      </c>
      <c r="CL822">
        <v>2017</v>
      </c>
      <c r="CM822">
        <v>259.45</v>
      </c>
      <c r="CN822" s="1">
        <v>39794</v>
      </c>
      <c r="CZ822" s="1">
        <v>39794</v>
      </c>
      <c r="DD822" t="s">
        <v>2785</v>
      </c>
      <c r="DF822">
        <v>33</v>
      </c>
      <c r="DG822">
        <v>19</v>
      </c>
      <c r="DL822">
        <v>50503</v>
      </c>
      <c r="DM822" t="s">
        <v>8259</v>
      </c>
      <c r="DO822" t="s">
        <v>8639</v>
      </c>
      <c r="DP822">
        <v>0</v>
      </c>
      <c r="DQ822">
        <v>1</v>
      </c>
      <c r="DR822" t="s">
        <v>411</v>
      </c>
      <c r="DS822" t="b">
        <v>1</v>
      </c>
      <c r="DT822" t="s">
        <v>470</v>
      </c>
      <c r="DU822" t="s">
        <v>471</v>
      </c>
      <c r="DV822" t="s">
        <v>472</v>
      </c>
      <c r="DX822">
        <v>-9999</v>
      </c>
      <c r="DZ822" t="s">
        <v>447</v>
      </c>
      <c r="EA822" t="s">
        <v>448</v>
      </c>
      <c r="EB822" t="s">
        <v>742</v>
      </c>
      <c r="EC822">
        <v>20101217</v>
      </c>
      <c r="ED822" t="s">
        <v>474</v>
      </c>
      <c r="EF822">
        <v>34.5</v>
      </c>
      <c r="EG822">
        <v>34.5</v>
      </c>
      <c r="EI822">
        <v>20160407</v>
      </c>
      <c r="EJ822">
        <v>0</v>
      </c>
      <c r="EK822">
        <v>0</v>
      </c>
      <c r="EP822" t="s">
        <v>421</v>
      </c>
      <c r="EQ822" t="s">
        <v>422</v>
      </c>
      <c r="ER822">
        <v>0</v>
      </c>
      <c r="ES822">
        <v>3</v>
      </c>
      <c r="ET822">
        <v>0</v>
      </c>
      <c r="EU822">
        <v>0</v>
      </c>
      <c r="EV822">
        <v>0</v>
      </c>
      <c r="EW822" s="2">
        <v>43222</v>
      </c>
      <c r="EX822" s="1">
        <v>42515</v>
      </c>
      <c r="EY822">
        <v>2015</v>
      </c>
      <c r="EZ822">
        <v>276.94</v>
      </c>
      <c r="FA822" t="s">
        <v>8640</v>
      </c>
      <c r="FB822">
        <v>15</v>
      </c>
      <c r="FC822" t="s">
        <v>424</v>
      </c>
      <c r="FD822" t="s">
        <v>425</v>
      </c>
      <c r="FE822" s="1">
        <v>42859</v>
      </c>
      <c r="FF822">
        <v>12</v>
      </c>
      <c r="FG822">
        <v>10125</v>
      </c>
      <c r="FH822" t="s">
        <v>440</v>
      </c>
      <c r="FJ822" s="1">
        <v>41787</v>
      </c>
      <c r="FK822">
        <v>2013</v>
      </c>
      <c r="FL822">
        <v>300.79000000000002</v>
      </c>
      <c r="FM822" t="s">
        <v>8641</v>
      </c>
      <c r="FN822">
        <v>0.25</v>
      </c>
      <c r="FO822" t="s">
        <v>424</v>
      </c>
      <c r="FP822" t="s">
        <v>425</v>
      </c>
      <c r="FQ822" s="1">
        <v>42115</v>
      </c>
      <c r="FR822">
        <v>11</v>
      </c>
      <c r="FS822">
        <v>13026</v>
      </c>
      <c r="FT822" t="s">
        <v>2129</v>
      </c>
      <c r="FV822" s="1">
        <v>40688</v>
      </c>
      <c r="FW822">
        <v>2010</v>
      </c>
      <c r="FX822">
        <v>303.44</v>
      </c>
      <c r="FY822" t="s">
        <v>8642</v>
      </c>
      <c r="FZ822">
        <v>7.75</v>
      </c>
      <c r="GA822" t="s">
        <v>424</v>
      </c>
      <c r="GB822" t="s">
        <v>425</v>
      </c>
      <c r="GC822" s="1">
        <v>40998</v>
      </c>
      <c r="GD822">
        <v>10</v>
      </c>
      <c r="GE822">
        <v>305</v>
      </c>
      <c r="GF822" t="s">
        <v>1078</v>
      </c>
    </row>
    <row r="823" spans="1:261" x14ac:dyDescent="0.25">
      <c r="A823">
        <v>16485830</v>
      </c>
      <c r="B823">
        <v>822</v>
      </c>
      <c r="C823" t="s">
        <v>393</v>
      </c>
      <c r="D823" t="s">
        <v>394</v>
      </c>
      <c r="F823" t="str">
        <f>"20-2N-25-0000-0011-0000"</f>
        <v>20-2N-25-0000-0011-0000</v>
      </c>
      <c r="H823" t="str">
        <f>"SAMPSON JAMES L"</f>
        <v>SAMPSON JAMES L</v>
      </c>
      <c r="I823" t="str">
        <f>"45086 WHITFIELD ROAD"</f>
        <v>45086 WHITFIELD ROAD</v>
      </c>
      <c r="J823" t="str">
        <f t="shared" si="257"/>
        <v>CALLAHAN FL 32011</v>
      </c>
      <c r="K823" t="str">
        <f>"45972 DIXIE AVE"</f>
        <v>45972 DIXIE AVE</v>
      </c>
      <c r="L823" t="str">
        <f t="shared" si="250"/>
        <v>CALLAHAN FL 32011</v>
      </c>
      <c r="M823" t="str">
        <f>"IN OR 791 PG 607"</f>
        <v>IN OR 791 PG 607</v>
      </c>
      <c r="N823" t="str">
        <f>""</f>
        <v/>
      </c>
      <c r="O823" t="str">
        <f>"33151"</f>
        <v>33151</v>
      </c>
      <c r="P823" t="str">
        <f t="shared" si="243"/>
        <v>2017</v>
      </c>
      <c r="Q823" t="str">
        <f>""</f>
        <v/>
      </c>
      <c r="R823" t="str">
        <f>"N"</f>
        <v>N</v>
      </c>
      <c r="S823" t="str">
        <f>"1.00"</f>
        <v>1.00</v>
      </c>
      <c r="T823" t="str">
        <f>"314.09"</f>
        <v>314.09</v>
      </c>
      <c r="U823" t="str">
        <f>"18888.00"</f>
        <v>18888.00</v>
      </c>
      <c r="V823" t="str">
        <f>"18888.00"</f>
        <v>18888.00</v>
      </c>
      <c r="W823" t="str">
        <f t="shared" si="244"/>
        <v>2017</v>
      </c>
      <c r="X823" t="str">
        <f>"16.17"</f>
        <v>16.17</v>
      </c>
      <c r="Y823" t="str">
        <f>"355.51"</f>
        <v>355.51</v>
      </c>
      <c r="Z823" t="str">
        <f>""</f>
        <v/>
      </c>
      <c r="AA823" t="str">
        <f>"19248.00"</f>
        <v>19248.00</v>
      </c>
      <c r="AB823" t="str">
        <f t="shared" si="263"/>
        <v>Residential</v>
      </c>
      <c r="AC823" t="str">
        <f t="shared" si="254"/>
        <v>0</v>
      </c>
      <c r="AD823" t="str">
        <f>"4"</f>
        <v>4</v>
      </c>
      <c r="AE823" t="str">
        <f>"WOOD (INCLUDE STEEL STUDS)"</f>
        <v>WOOD (INCLUDE STEEL STUDS)</v>
      </c>
      <c r="AF823" t="str">
        <f>"001"</f>
        <v>001</v>
      </c>
      <c r="AG823" t="str">
        <f t="shared" si="256"/>
        <v>FL</v>
      </c>
      <c r="AH823" t="str">
        <f>"13432.00"</f>
        <v>13432.00</v>
      </c>
      <c r="AI823" t="str">
        <f>"9750.00"</f>
        <v>9750.00</v>
      </c>
      <c r="AJ823" t="str">
        <f>"C55-000-587-2575-5"</f>
        <v>C55-000-587-2575-5</v>
      </c>
      <c r="AK823" t="str">
        <f>"12840"</f>
        <v>12840</v>
      </c>
      <c r="AL823">
        <v>3</v>
      </c>
      <c r="AM823">
        <v>954</v>
      </c>
      <c r="AN823">
        <v>371.69</v>
      </c>
      <c r="AQ823" t="s">
        <v>8643</v>
      </c>
      <c r="AR823" t="s">
        <v>8643</v>
      </c>
      <c r="AS823" t="s">
        <v>8643</v>
      </c>
      <c r="AU823" t="s">
        <v>396</v>
      </c>
      <c r="AV823">
        <v>2017</v>
      </c>
      <c r="AW823" t="str">
        <f>"20-2N-25-0000-0011-0000 "</f>
        <v xml:space="preserve">20-2N-25-0000-0011-0000 </v>
      </c>
      <c r="AX823">
        <v>45972</v>
      </c>
      <c r="AZ823" t="s">
        <v>8644</v>
      </c>
      <c r="BA823" t="s">
        <v>1112</v>
      </c>
      <c r="BD823" t="s">
        <v>2785</v>
      </c>
      <c r="BE823" t="s">
        <v>393</v>
      </c>
      <c r="BF823">
        <v>32011</v>
      </c>
      <c r="BG823" t="s">
        <v>8645</v>
      </c>
      <c r="BH823" t="s">
        <v>2787</v>
      </c>
      <c r="BI823">
        <v>-81.826227185408399</v>
      </c>
      <c r="BJ823">
        <v>30.5691550678958</v>
      </c>
      <c r="BK823" t="s">
        <v>8646</v>
      </c>
      <c r="BM823" t="s">
        <v>8647</v>
      </c>
      <c r="BN823" t="s">
        <v>928</v>
      </c>
      <c r="BO823">
        <v>32011</v>
      </c>
      <c r="BP823" t="s">
        <v>404</v>
      </c>
      <c r="BQ823">
        <v>100</v>
      </c>
      <c r="BR823" t="s">
        <v>514</v>
      </c>
      <c r="BS823">
        <v>1001</v>
      </c>
      <c r="BT823" t="s">
        <v>515</v>
      </c>
      <c r="BW823">
        <v>13432</v>
      </c>
      <c r="BX823" t="s">
        <v>407</v>
      </c>
      <c r="BY823" t="s">
        <v>4360</v>
      </c>
      <c r="BZ823">
        <v>4</v>
      </c>
      <c r="CA823">
        <v>1930</v>
      </c>
      <c r="CB823">
        <v>1</v>
      </c>
      <c r="CC823">
        <v>1</v>
      </c>
      <c r="CD823">
        <v>2017</v>
      </c>
      <c r="CE823">
        <v>9750</v>
      </c>
      <c r="CF823">
        <v>9498</v>
      </c>
      <c r="CG823">
        <v>19248</v>
      </c>
      <c r="CH823">
        <v>2017</v>
      </c>
      <c r="CI823">
        <v>9750</v>
      </c>
      <c r="CJ823">
        <v>9498</v>
      </c>
      <c r="CK823">
        <v>19248</v>
      </c>
      <c r="CL823">
        <v>2017</v>
      </c>
      <c r="CM823">
        <v>314.08999999999997</v>
      </c>
      <c r="CN823" s="1">
        <v>35544</v>
      </c>
      <c r="CZ823" s="1">
        <v>35544</v>
      </c>
      <c r="DD823" t="s">
        <v>2785</v>
      </c>
      <c r="DG823">
        <v>20</v>
      </c>
      <c r="DL823">
        <v>50503</v>
      </c>
      <c r="DM823" t="s">
        <v>8648</v>
      </c>
      <c r="DO823" t="s">
        <v>8649</v>
      </c>
      <c r="DP823">
        <v>0</v>
      </c>
      <c r="DQ823">
        <v>2</v>
      </c>
      <c r="DR823" t="s">
        <v>1479</v>
      </c>
      <c r="DS823" t="b">
        <v>1</v>
      </c>
      <c r="DT823" t="s">
        <v>470</v>
      </c>
      <c r="DU823" t="s">
        <v>471</v>
      </c>
      <c r="DV823" t="s">
        <v>472</v>
      </c>
      <c r="DX823">
        <v>-9999</v>
      </c>
      <c r="DZ823" t="s">
        <v>447</v>
      </c>
      <c r="EA823" t="s">
        <v>448</v>
      </c>
      <c r="EB823" t="s">
        <v>742</v>
      </c>
      <c r="EC823">
        <v>20101217</v>
      </c>
      <c r="ED823" t="s">
        <v>474</v>
      </c>
      <c r="EF823">
        <v>857</v>
      </c>
      <c r="EG823">
        <v>857</v>
      </c>
      <c r="EI823">
        <v>20160407</v>
      </c>
      <c r="EJ823">
        <v>0</v>
      </c>
      <c r="EK823">
        <v>0</v>
      </c>
      <c r="EP823" t="s">
        <v>421</v>
      </c>
      <c r="EQ823" t="s">
        <v>422</v>
      </c>
      <c r="ER823">
        <v>1</v>
      </c>
      <c r="ES823">
        <v>5</v>
      </c>
      <c r="ET823">
        <v>313.01</v>
      </c>
      <c r="EU823">
        <v>26.6</v>
      </c>
      <c r="EV823">
        <v>339.61</v>
      </c>
      <c r="EW823" s="2">
        <v>43222</v>
      </c>
      <c r="EX823" s="1">
        <v>42879</v>
      </c>
      <c r="EY823">
        <v>2016</v>
      </c>
      <c r="EZ823">
        <v>313.01</v>
      </c>
      <c r="FA823" t="s">
        <v>8650</v>
      </c>
      <c r="FB823">
        <v>6.5</v>
      </c>
      <c r="FC823" t="s">
        <v>424</v>
      </c>
      <c r="FD823" t="s">
        <v>454</v>
      </c>
      <c r="FF823">
        <v>12</v>
      </c>
      <c r="FG823">
        <v>10125</v>
      </c>
      <c r="FH823" t="s">
        <v>440</v>
      </c>
      <c r="FJ823" s="1">
        <v>42515</v>
      </c>
      <c r="FK823">
        <v>2015</v>
      </c>
      <c r="FL823">
        <v>298.92</v>
      </c>
      <c r="FM823" t="s">
        <v>8651</v>
      </c>
      <c r="FN823">
        <v>15.25</v>
      </c>
      <c r="FO823" t="s">
        <v>424</v>
      </c>
      <c r="FP823" t="s">
        <v>425</v>
      </c>
      <c r="FQ823" s="1">
        <v>43188</v>
      </c>
      <c r="FR823">
        <v>22</v>
      </c>
      <c r="FS823">
        <v>2035919</v>
      </c>
      <c r="FT823" t="s">
        <v>507</v>
      </c>
      <c r="FV823" s="1">
        <v>42151</v>
      </c>
      <c r="FW823">
        <v>2014</v>
      </c>
      <c r="FX823">
        <v>274.51</v>
      </c>
      <c r="FY823" t="s">
        <v>8652</v>
      </c>
      <c r="FZ823">
        <v>5</v>
      </c>
      <c r="GA823" t="s">
        <v>424</v>
      </c>
      <c r="GB823" t="s">
        <v>425</v>
      </c>
      <c r="GC823" s="1">
        <v>42828</v>
      </c>
      <c r="GD823">
        <v>23</v>
      </c>
      <c r="GE823">
        <v>6516843</v>
      </c>
      <c r="GF823" t="s">
        <v>601</v>
      </c>
      <c r="GH823" s="1">
        <v>41787</v>
      </c>
      <c r="GI823">
        <v>2013</v>
      </c>
      <c r="GJ823">
        <v>230.72</v>
      </c>
      <c r="GK823" t="s">
        <v>8653</v>
      </c>
      <c r="GL823">
        <v>0.25</v>
      </c>
      <c r="GM823" t="s">
        <v>424</v>
      </c>
      <c r="GN823" t="s">
        <v>425</v>
      </c>
      <c r="GO823" s="1">
        <v>42460</v>
      </c>
      <c r="GP823">
        <v>22</v>
      </c>
      <c r="GQ823">
        <v>13026</v>
      </c>
      <c r="GR823" t="s">
        <v>2129</v>
      </c>
      <c r="GT823" s="1">
        <v>41423</v>
      </c>
      <c r="GU823">
        <v>2012</v>
      </c>
      <c r="GV823">
        <v>246.58</v>
      </c>
      <c r="GW823" t="s">
        <v>8654</v>
      </c>
      <c r="GX823">
        <v>4.75</v>
      </c>
      <c r="GY823" t="s">
        <v>424</v>
      </c>
      <c r="GZ823" t="s">
        <v>425</v>
      </c>
      <c r="HA823" s="1">
        <v>41453</v>
      </c>
      <c r="HB823">
        <v>1</v>
      </c>
      <c r="HC823">
        <v>2035919</v>
      </c>
      <c r="HD823" t="s">
        <v>507</v>
      </c>
      <c r="HF823" s="1">
        <v>41052</v>
      </c>
      <c r="HG823">
        <v>2011</v>
      </c>
      <c r="HH823">
        <v>243.52</v>
      </c>
      <c r="HI823" t="s">
        <v>8655</v>
      </c>
      <c r="HJ823">
        <v>16</v>
      </c>
      <c r="HK823" t="s">
        <v>424</v>
      </c>
      <c r="HL823" t="s">
        <v>425</v>
      </c>
      <c r="HM823" s="1">
        <v>41411</v>
      </c>
      <c r="HN823">
        <v>12</v>
      </c>
      <c r="HO823">
        <v>10125</v>
      </c>
      <c r="HP823" t="s">
        <v>440</v>
      </c>
    </row>
    <row r="824" spans="1:261" x14ac:dyDescent="0.25">
      <c r="A824">
        <v>16485831</v>
      </c>
      <c r="B824">
        <v>823</v>
      </c>
      <c r="C824" t="s">
        <v>393</v>
      </c>
      <c r="D824" t="s">
        <v>394</v>
      </c>
      <c r="F824" t="str">
        <f>"21-2N-25-0000-0005-0000"</f>
        <v>21-2N-25-0000-0005-0000</v>
      </c>
      <c r="H824" t="str">
        <f>"BYRD JEAN ANN &amp; SMITH RUTH BYRD ET AL"</f>
        <v>BYRD JEAN ANN &amp; SMITH RUTH BYRD ET AL</v>
      </c>
      <c r="I824" t="str">
        <f>"45049 BENRAY LANE"</f>
        <v>45049 BENRAY LANE</v>
      </c>
      <c r="J824" t="str">
        <f t="shared" si="257"/>
        <v>CALLAHAN FL 32011</v>
      </c>
      <c r="K824" t="str">
        <f>"BENRAY LN"</f>
        <v>BENRAY LN</v>
      </c>
      <c r="L824" t="str">
        <f t="shared" si="250"/>
        <v>CALLAHAN FL 32011</v>
      </c>
      <c r="M824" t="str">
        <f>"PT OR 456/745 EX 5-2"</f>
        <v>PT OR 456/745 EX 5-2</v>
      </c>
      <c r="N824" t="str">
        <f>""</f>
        <v/>
      </c>
      <c r="O824" t="str">
        <f>"33420"</f>
        <v>33420</v>
      </c>
      <c r="P824" t="str">
        <f t="shared" si="243"/>
        <v>2017</v>
      </c>
      <c r="Q824" t="str">
        <f>""</f>
        <v/>
      </c>
      <c r="R824" t="str">
        <f>"N"</f>
        <v>N</v>
      </c>
      <c r="S824" t="str">
        <f>"3.45"</f>
        <v>3.45</v>
      </c>
      <c r="T824" t="str">
        <f>"417.83"</f>
        <v>417.83</v>
      </c>
      <c r="U824" t="str">
        <f>"27600.00"</f>
        <v>27600.00</v>
      </c>
      <c r="V824" t="str">
        <f>"27600.00"</f>
        <v>27600.00</v>
      </c>
      <c r="W824" t="str">
        <f t="shared" si="244"/>
        <v>2017</v>
      </c>
      <c r="X824" t="str">
        <f>"34.50"</f>
        <v>34.50</v>
      </c>
      <c r="Y824" t="str">
        <f>"462.36"</f>
        <v>462.36</v>
      </c>
      <c r="Z824" t="str">
        <f>""</f>
        <v/>
      </c>
      <c r="AA824" t="str">
        <f>"27600.00"</f>
        <v>27600.00</v>
      </c>
      <c r="AB824" t="str">
        <f t="shared" si="263"/>
        <v>Residential</v>
      </c>
      <c r="AC824" t="str">
        <f t="shared" si="254"/>
        <v>0</v>
      </c>
      <c r="AD824" t="str">
        <f>""</f>
        <v/>
      </c>
      <c r="AE824" t="str">
        <f>""</f>
        <v/>
      </c>
      <c r="AF824" t="str">
        <f>"000"</f>
        <v>000</v>
      </c>
      <c r="AG824" t="str">
        <f t="shared" si="256"/>
        <v>FL</v>
      </c>
      <c r="AH824" t="str">
        <f>"150282.00"</f>
        <v>150282.00</v>
      </c>
      <c r="AI824" t="str">
        <f>"27600.00"</f>
        <v>27600.00</v>
      </c>
      <c r="AJ824" t="str">
        <f>"C55-000-587-2804-9"</f>
        <v>C55-000-587-2804-9</v>
      </c>
      <c r="AK824" t="str">
        <f>"12857"</f>
        <v>12857</v>
      </c>
      <c r="AL824">
        <v>3</v>
      </c>
      <c r="AM824">
        <v>955</v>
      </c>
      <c r="AN824">
        <v>483.88</v>
      </c>
      <c r="AQ824" t="s">
        <v>8656</v>
      </c>
      <c r="AR824" t="s">
        <v>8656</v>
      </c>
      <c r="AS824" t="s">
        <v>8656</v>
      </c>
      <c r="AU824" t="s">
        <v>396</v>
      </c>
      <c r="AV824">
        <v>2017</v>
      </c>
      <c r="AW824" t="str">
        <f>"21-2N-25-0000-0005-0000 "</f>
        <v xml:space="preserve">21-2N-25-0000-0005-0000 </v>
      </c>
      <c r="AZ824" t="s">
        <v>8657</v>
      </c>
      <c r="BA824" t="s">
        <v>653</v>
      </c>
      <c r="BD824" t="s">
        <v>2785</v>
      </c>
      <c r="BE824" t="s">
        <v>393</v>
      </c>
      <c r="BF824">
        <v>32011</v>
      </c>
      <c r="BG824" t="s">
        <v>8658</v>
      </c>
      <c r="BH824" t="s">
        <v>2787</v>
      </c>
      <c r="BI824">
        <v>-81.815696545108494</v>
      </c>
      <c r="BJ824">
        <v>30.583499132719201</v>
      </c>
      <c r="BK824" t="s">
        <v>8659</v>
      </c>
      <c r="BL824" t="s">
        <v>8660</v>
      </c>
      <c r="BM824" t="s">
        <v>8661</v>
      </c>
      <c r="BN824" t="s">
        <v>928</v>
      </c>
      <c r="BO824">
        <v>32011</v>
      </c>
      <c r="BP824" t="s">
        <v>404</v>
      </c>
      <c r="BQ824">
        <v>0</v>
      </c>
      <c r="BR824" t="s">
        <v>491</v>
      </c>
      <c r="BS824">
        <v>8001</v>
      </c>
      <c r="BT824" t="s">
        <v>492</v>
      </c>
      <c r="BW824">
        <v>150282</v>
      </c>
      <c r="BX824" t="s">
        <v>407</v>
      </c>
      <c r="BY824" t="s">
        <v>408</v>
      </c>
      <c r="CD824">
        <v>2017</v>
      </c>
      <c r="CE824">
        <v>27600</v>
      </c>
      <c r="CG824">
        <v>27600</v>
      </c>
      <c r="CH824">
        <v>2017</v>
      </c>
      <c r="CI824">
        <v>27600</v>
      </c>
      <c r="CK824">
        <v>27600</v>
      </c>
      <c r="CL824">
        <v>2017</v>
      </c>
      <c r="CM824">
        <v>417.83</v>
      </c>
      <c r="CN824" s="1">
        <v>31199</v>
      </c>
      <c r="CZ824" s="1">
        <v>31199</v>
      </c>
      <c r="DD824" t="s">
        <v>2785</v>
      </c>
      <c r="DG824">
        <v>21</v>
      </c>
      <c r="DL824">
        <v>50503</v>
      </c>
      <c r="DM824" t="s">
        <v>8662</v>
      </c>
      <c r="DO824" t="s">
        <v>8663</v>
      </c>
      <c r="DP824">
        <v>0</v>
      </c>
      <c r="DQ824">
        <v>0</v>
      </c>
      <c r="DR824" t="s">
        <v>411</v>
      </c>
      <c r="DS824" t="b">
        <v>1</v>
      </c>
      <c r="DT824" t="s">
        <v>470</v>
      </c>
      <c r="DU824" t="s">
        <v>471</v>
      </c>
      <c r="DV824" t="s">
        <v>472</v>
      </c>
      <c r="DX824">
        <v>-9999</v>
      </c>
      <c r="DZ824" t="s">
        <v>447</v>
      </c>
      <c r="EA824" t="s">
        <v>448</v>
      </c>
      <c r="EB824" t="s">
        <v>742</v>
      </c>
      <c r="EC824">
        <v>20101217</v>
      </c>
      <c r="ED824" t="s">
        <v>474</v>
      </c>
      <c r="EF824">
        <v>1557.3</v>
      </c>
      <c r="EG824">
        <v>1557.3</v>
      </c>
      <c r="EI824">
        <v>20160407</v>
      </c>
      <c r="EJ824">
        <v>0</v>
      </c>
      <c r="EK824">
        <v>0</v>
      </c>
      <c r="EP824" t="s">
        <v>421</v>
      </c>
      <c r="EQ824" t="s">
        <v>422</v>
      </c>
      <c r="ER824">
        <v>3</v>
      </c>
      <c r="ES824">
        <v>3</v>
      </c>
      <c r="ET824">
        <v>1378.16</v>
      </c>
      <c r="EU824">
        <v>264.94</v>
      </c>
      <c r="EV824">
        <v>1643.1</v>
      </c>
      <c r="EW824" s="2">
        <v>43222</v>
      </c>
      <c r="EX824" s="1">
        <v>42879</v>
      </c>
      <c r="EY824">
        <v>2016</v>
      </c>
      <c r="EZ824">
        <v>485.21</v>
      </c>
      <c r="FA824" t="s">
        <v>8664</v>
      </c>
      <c r="FB824">
        <v>9</v>
      </c>
      <c r="FC824" t="s">
        <v>424</v>
      </c>
      <c r="FD824" t="s">
        <v>454</v>
      </c>
      <c r="FF824">
        <v>12</v>
      </c>
      <c r="FG824">
        <v>10125</v>
      </c>
      <c r="FH824" t="s">
        <v>440</v>
      </c>
      <c r="FJ824" s="1">
        <v>42515</v>
      </c>
      <c r="FK824">
        <v>2015</v>
      </c>
      <c r="FL824">
        <v>472.94</v>
      </c>
      <c r="FM824" t="s">
        <v>8665</v>
      </c>
      <c r="FN824">
        <v>14.75</v>
      </c>
      <c r="FO824" t="s">
        <v>424</v>
      </c>
      <c r="FP824" t="s">
        <v>454</v>
      </c>
      <c r="FR824">
        <v>24</v>
      </c>
      <c r="FS824">
        <v>10125</v>
      </c>
      <c r="FT824" t="s">
        <v>440</v>
      </c>
      <c r="FV824" s="1">
        <v>42151</v>
      </c>
      <c r="FW824">
        <v>2014</v>
      </c>
      <c r="FX824">
        <v>420.01</v>
      </c>
      <c r="FY824" t="s">
        <v>8666</v>
      </c>
      <c r="FZ824">
        <v>5</v>
      </c>
      <c r="GA824" t="s">
        <v>424</v>
      </c>
      <c r="GB824" t="s">
        <v>454</v>
      </c>
      <c r="GD824">
        <v>36</v>
      </c>
      <c r="GE824">
        <v>10125</v>
      </c>
      <c r="GF824" t="s">
        <v>440</v>
      </c>
      <c r="GH824" s="1">
        <v>41787</v>
      </c>
      <c r="GI824">
        <v>2013</v>
      </c>
      <c r="GJ824">
        <v>401.51</v>
      </c>
      <c r="GK824" t="s">
        <v>8667</v>
      </c>
      <c r="GL824">
        <v>13.25</v>
      </c>
      <c r="GM824" t="s">
        <v>424</v>
      </c>
      <c r="GN824" t="s">
        <v>425</v>
      </c>
      <c r="GO824" s="1">
        <v>42426</v>
      </c>
      <c r="GP824">
        <v>21</v>
      </c>
      <c r="GQ824">
        <v>10125</v>
      </c>
      <c r="GR824" t="s">
        <v>440</v>
      </c>
      <c r="GT824" s="1">
        <v>41423</v>
      </c>
      <c r="GU824">
        <v>2012</v>
      </c>
      <c r="GV824">
        <v>742.5</v>
      </c>
      <c r="GW824" t="s">
        <v>8668</v>
      </c>
      <c r="GX824">
        <v>4.5</v>
      </c>
      <c r="GY824" t="s">
        <v>424</v>
      </c>
      <c r="GZ824" t="s">
        <v>425</v>
      </c>
      <c r="HA824" s="1">
        <v>42290</v>
      </c>
      <c r="HB824">
        <v>29</v>
      </c>
      <c r="HC824">
        <v>1625515</v>
      </c>
      <c r="HD824" t="s">
        <v>487</v>
      </c>
      <c r="HF824" s="1">
        <v>41052</v>
      </c>
      <c r="HG824">
        <v>2011</v>
      </c>
      <c r="HH824">
        <v>747.1</v>
      </c>
      <c r="HI824" t="s">
        <v>8669</v>
      </c>
      <c r="HJ824">
        <v>5</v>
      </c>
      <c r="HK824" t="s">
        <v>424</v>
      </c>
      <c r="HL824" t="s">
        <v>425</v>
      </c>
      <c r="HM824" s="1">
        <v>42286</v>
      </c>
      <c r="HN824">
        <v>41</v>
      </c>
      <c r="HO824">
        <v>10125</v>
      </c>
      <c r="HP824" t="s">
        <v>440</v>
      </c>
    </row>
    <row r="825" spans="1:261" x14ac:dyDescent="0.25">
      <c r="A825">
        <v>16485832</v>
      </c>
      <c r="B825">
        <v>824</v>
      </c>
      <c r="C825" t="s">
        <v>393</v>
      </c>
      <c r="D825" t="s">
        <v>394</v>
      </c>
      <c r="F825" t="str">
        <f>"21-2N-25-0000-0005-0020"</f>
        <v>21-2N-25-0000-0005-0020</v>
      </c>
      <c r="H825" t="str">
        <f>"WYNDAM MARISSA &amp; SMITH RUTH BYRD ETAL"</f>
        <v>WYNDAM MARISSA &amp; SMITH RUTH BYRD ETAL</v>
      </c>
      <c r="I825" t="str">
        <f>"45049 BENRAY LANE"</f>
        <v>45049 BENRAY LANE</v>
      </c>
      <c r="J825" t="str">
        <f t="shared" si="257"/>
        <v>CALLAHAN FL 32011</v>
      </c>
      <c r="K825" t="str">
        <f>"45002 BENRAY LN"</f>
        <v>45002 BENRAY LN</v>
      </c>
      <c r="L825" t="str">
        <f t="shared" si="250"/>
        <v>CALLAHAN FL 32011</v>
      </c>
      <c r="M825" t="str">
        <f>"PT OR 946/1954"</f>
        <v>PT OR 946/1954</v>
      </c>
      <c r="N825" t="str">
        <f>""</f>
        <v/>
      </c>
      <c r="O825" t="str">
        <f>"33422"</f>
        <v>33422</v>
      </c>
      <c r="P825" t="str">
        <f t="shared" si="243"/>
        <v>2017</v>
      </c>
      <c r="Q825" t="str">
        <f>""</f>
        <v/>
      </c>
      <c r="R825" t="str">
        <f>"N"</f>
        <v>N</v>
      </c>
      <c r="S825" t="str">
        <f>"0.86"</f>
        <v>0.86</v>
      </c>
      <c r="T825" t="str">
        <f>"535.86"</f>
        <v>535.86</v>
      </c>
      <c r="U825" t="str">
        <f>"35397.00"</f>
        <v>35397.00</v>
      </c>
      <c r="V825" t="str">
        <f>"35397.00"</f>
        <v>35397.00</v>
      </c>
      <c r="W825" t="str">
        <f t="shared" si="244"/>
        <v>2017</v>
      </c>
      <c r="X825" t="str">
        <f>"27.50"</f>
        <v>27.50</v>
      </c>
      <c r="Y825" t="str">
        <f>"583.94"</f>
        <v>583.94</v>
      </c>
      <c r="Z825" t="str">
        <f>""</f>
        <v/>
      </c>
      <c r="AA825" t="str">
        <f>"35397.00"</f>
        <v>35397.00</v>
      </c>
      <c r="AB825" t="str">
        <f t="shared" si="263"/>
        <v>Residential</v>
      </c>
      <c r="AC825" t="str">
        <f t="shared" si="254"/>
        <v>0</v>
      </c>
      <c r="AD825" t="str">
        <f>"4"</f>
        <v>4</v>
      </c>
      <c r="AE825" t="str">
        <f>"WOOD (INCLUDE STEEL STUDS)"</f>
        <v>WOOD (INCLUDE STEEL STUDS)</v>
      </c>
      <c r="AF825" t="str">
        <f>"001"</f>
        <v>001</v>
      </c>
      <c r="AG825" t="str">
        <f t="shared" si="256"/>
        <v>FL</v>
      </c>
      <c r="AH825" t="str">
        <f>"37461.00"</f>
        <v>37461.00</v>
      </c>
      <c r="AI825" t="str">
        <f>"12900.00"</f>
        <v>12900.00</v>
      </c>
      <c r="AJ825" t="str">
        <f>"C55-000-587-2806-4"</f>
        <v>C55-000-587-2806-4</v>
      </c>
      <c r="AK825" t="str">
        <f>"12859"</f>
        <v>12859</v>
      </c>
      <c r="AL825">
        <v>3</v>
      </c>
      <c r="AM825">
        <v>956</v>
      </c>
      <c r="AN825">
        <v>611.54</v>
      </c>
      <c r="AQ825" t="s">
        <v>8670</v>
      </c>
      <c r="AR825" t="s">
        <v>8670</v>
      </c>
      <c r="AS825" t="s">
        <v>8670</v>
      </c>
      <c r="AU825" t="s">
        <v>396</v>
      </c>
      <c r="AV825">
        <v>2017</v>
      </c>
      <c r="AW825" t="str">
        <f>"21-2N-25-0000-0005-0020 "</f>
        <v xml:space="preserve">21-2N-25-0000-0005-0020 </v>
      </c>
      <c r="AX825">
        <v>45002</v>
      </c>
      <c r="AZ825" t="s">
        <v>8657</v>
      </c>
      <c r="BA825" t="s">
        <v>653</v>
      </c>
      <c r="BD825" t="s">
        <v>2785</v>
      </c>
      <c r="BE825" t="s">
        <v>393</v>
      </c>
      <c r="BF825">
        <v>32011</v>
      </c>
      <c r="BG825" t="s">
        <v>8671</v>
      </c>
      <c r="BH825" t="s">
        <v>2787</v>
      </c>
      <c r="BI825">
        <v>-81.817108535566007</v>
      </c>
      <c r="BJ825">
        <v>30.5820999596225</v>
      </c>
      <c r="BK825" t="s">
        <v>8672</v>
      </c>
      <c r="BM825" t="s">
        <v>8661</v>
      </c>
      <c r="BN825" t="s">
        <v>928</v>
      </c>
      <c r="BO825">
        <v>32011</v>
      </c>
      <c r="BP825" t="s">
        <v>404</v>
      </c>
      <c r="BQ825">
        <v>100</v>
      </c>
      <c r="BR825" t="s">
        <v>514</v>
      </c>
      <c r="BS825">
        <v>1001</v>
      </c>
      <c r="BT825" t="s">
        <v>515</v>
      </c>
      <c r="BW825">
        <v>37461</v>
      </c>
      <c r="BX825" t="s">
        <v>407</v>
      </c>
      <c r="BZ825">
        <v>4</v>
      </c>
      <c r="CA825">
        <v>1946</v>
      </c>
      <c r="CB825">
        <v>1</v>
      </c>
      <c r="CC825">
        <v>1</v>
      </c>
      <c r="CD825">
        <v>2017</v>
      </c>
      <c r="CE825">
        <v>12900</v>
      </c>
      <c r="CF825">
        <v>22497</v>
      </c>
      <c r="CG825">
        <v>35397</v>
      </c>
      <c r="CH825">
        <v>2017</v>
      </c>
      <c r="CI825">
        <v>12900</v>
      </c>
      <c r="CJ825">
        <v>22497</v>
      </c>
      <c r="CK825">
        <v>35397</v>
      </c>
      <c r="CL825">
        <v>2017</v>
      </c>
      <c r="CM825">
        <v>535.86</v>
      </c>
      <c r="CN825" s="1">
        <v>36766</v>
      </c>
      <c r="CZ825" s="1">
        <v>36766</v>
      </c>
      <c r="DD825" t="s">
        <v>2785</v>
      </c>
      <c r="DG825">
        <v>21</v>
      </c>
      <c r="DL825">
        <v>50503</v>
      </c>
      <c r="DM825" t="s">
        <v>8662</v>
      </c>
      <c r="DO825" t="s">
        <v>8673</v>
      </c>
      <c r="DP825">
        <v>0</v>
      </c>
      <c r="DQ825">
        <v>0</v>
      </c>
      <c r="DR825" t="s">
        <v>411</v>
      </c>
      <c r="DS825" t="b">
        <v>1</v>
      </c>
      <c r="DT825" t="s">
        <v>470</v>
      </c>
      <c r="DU825" t="s">
        <v>471</v>
      </c>
      <c r="DV825" t="s">
        <v>472</v>
      </c>
      <c r="DX825">
        <v>-9999</v>
      </c>
      <c r="DZ825" t="s">
        <v>447</v>
      </c>
      <c r="EA825" t="s">
        <v>448</v>
      </c>
      <c r="EB825" t="s">
        <v>742</v>
      </c>
      <c r="EC825">
        <v>20101217</v>
      </c>
      <c r="ED825" t="s">
        <v>474</v>
      </c>
      <c r="EF825">
        <v>1381.2</v>
      </c>
      <c r="EG825">
        <v>1381.2</v>
      </c>
      <c r="EI825">
        <v>20160407</v>
      </c>
      <c r="EJ825">
        <v>0</v>
      </c>
      <c r="EK825">
        <v>0</v>
      </c>
      <c r="EP825" t="s">
        <v>421</v>
      </c>
      <c r="EQ825" t="s">
        <v>452</v>
      </c>
      <c r="ER825">
        <v>0</v>
      </c>
      <c r="ES825">
        <v>7</v>
      </c>
      <c r="ET825">
        <v>0</v>
      </c>
      <c r="EU825">
        <v>0</v>
      </c>
      <c r="EV825">
        <v>0</v>
      </c>
      <c r="EW825" s="2">
        <v>43222</v>
      </c>
      <c r="EX825" s="1">
        <v>42515</v>
      </c>
      <c r="EY825">
        <v>2015</v>
      </c>
      <c r="EZ825">
        <v>577.57000000000005</v>
      </c>
      <c r="FA825" t="s">
        <v>8674</v>
      </c>
      <c r="FB825">
        <v>0.25</v>
      </c>
      <c r="FC825" t="s">
        <v>424</v>
      </c>
      <c r="FD825" t="s">
        <v>425</v>
      </c>
      <c r="FE825" s="1">
        <v>42852</v>
      </c>
      <c r="FF825">
        <v>11</v>
      </c>
      <c r="FG825">
        <v>11289</v>
      </c>
      <c r="FH825" t="s">
        <v>787</v>
      </c>
      <c r="FI825" t="s">
        <v>458</v>
      </c>
      <c r="FJ825" s="1">
        <v>42515</v>
      </c>
      <c r="FK825">
        <v>2015</v>
      </c>
      <c r="FL825">
        <v>577.57000000000005</v>
      </c>
      <c r="FM825" t="s">
        <v>8674</v>
      </c>
      <c r="FN825">
        <v>0.25</v>
      </c>
      <c r="FO825" t="s">
        <v>424</v>
      </c>
      <c r="FP825" t="s">
        <v>425</v>
      </c>
      <c r="FR825">
        <v>22</v>
      </c>
      <c r="FS825">
        <v>5145667</v>
      </c>
      <c r="FT825" t="s">
        <v>8675</v>
      </c>
      <c r="FU825" t="s">
        <v>458</v>
      </c>
      <c r="FV825" s="1">
        <v>42151</v>
      </c>
      <c r="FW825">
        <v>2014</v>
      </c>
      <c r="FX825">
        <v>528.05999999999995</v>
      </c>
      <c r="FY825" t="s">
        <v>8676</v>
      </c>
      <c r="FZ825">
        <v>3.75</v>
      </c>
      <c r="GA825" t="s">
        <v>424</v>
      </c>
      <c r="GB825" t="s">
        <v>425</v>
      </c>
      <c r="GD825">
        <v>22</v>
      </c>
      <c r="GE825">
        <v>4975593</v>
      </c>
      <c r="GF825" t="s">
        <v>505</v>
      </c>
      <c r="GG825" t="s">
        <v>458</v>
      </c>
      <c r="GH825" s="1">
        <v>41787</v>
      </c>
      <c r="GI825">
        <v>2013</v>
      </c>
      <c r="GJ825">
        <v>456.16</v>
      </c>
      <c r="GK825" t="s">
        <v>8677</v>
      </c>
      <c r="GL825">
        <v>6.75</v>
      </c>
      <c r="GM825" t="s">
        <v>424</v>
      </c>
      <c r="GN825" t="s">
        <v>425</v>
      </c>
      <c r="GO825" s="1">
        <v>42424</v>
      </c>
      <c r="GP825">
        <v>21</v>
      </c>
      <c r="GQ825">
        <v>2035919</v>
      </c>
      <c r="GR825" t="s">
        <v>507</v>
      </c>
      <c r="GT825" s="1">
        <v>41423</v>
      </c>
      <c r="GU825">
        <v>2012</v>
      </c>
      <c r="GV825">
        <v>521.79</v>
      </c>
      <c r="GW825" t="s">
        <v>8678</v>
      </c>
      <c r="GX825">
        <v>0.25</v>
      </c>
      <c r="GY825" t="s">
        <v>424</v>
      </c>
      <c r="GZ825" t="s">
        <v>425</v>
      </c>
      <c r="HB825">
        <v>22</v>
      </c>
      <c r="HC825">
        <v>15399</v>
      </c>
      <c r="HD825" t="s">
        <v>485</v>
      </c>
      <c r="HF825" s="1">
        <v>41423</v>
      </c>
      <c r="HG825">
        <v>2012</v>
      </c>
      <c r="HH825">
        <v>521.79</v>
      </c>
      <c r="HI825" t="s">
        <v>8678</v>
      </c>
      <c r="HJ825">
        <v>0.25</v>
      </c>
      <c r="HK825" t="s">
        <v>424</v>
      </c>
      <c r="HL825" t="s">
        <v>425</v>
      </c>
      <c r="HM825" s="1">
        <v>42424</v>
      </c>
      <c r="HN825">
        <v>33</v>
      </c>
      <c r="HO825">
        <v>13027</v>
      </c>
      <c r="HP825" t="s">
        <v>826</v>
      </c>
      <c r="HR825" s="1">
        <v>41052</v>
      </c>
      <c r="HS825">
        <v>2011</v>
      </c>
      <c r="HT825">
        <v>523.30999999999995</v>
      </c>
      <c r="HU825" t="s">
        <v>8679</v>
      </c>
      <c r="HV825">
        <v>5</v>
      </c>
      <c r="HW825" t="s">
        <v>424</v>
      </c>
      <c r="HX825" t="s">
        <v>425</v>
      </c>
      <c r="HY825" s="1">
        <v>42424</v>
      </c>
      <c r="HZ825">
        <v>45</v>
      </c>
      <c r="IA825">
        <v>10125</v>
      </c>
      <c r="IB825" t="s">
        <v>440</v>
      </c>
    </row>
    <row r="826" spans="1:261" x14ac:dyDescent="0.25">
      <c r="A826">
        <v>16485833</v>
      </c>
      <c r="B826">
        <v>825</v>
      </c>
      <c r="C826" t="s">
        <v>393</v>
      </c>
      <c r="D826" t="s">
        <v>394</v>
      </c>
      <c r="F826" t="str">
        <f>"22-2N-25-1460-0003-0000"</f>
        <v>22-2N-25-1460-0003-0000</v>
      </c>
      <c r="H826" t="str">
        <f>"GUY THIAM"</f>
        <v>GUY THIAM</v>
      </c>
      <c r="I826" t="str">
        <f>"85372 CLAXTON ROAD"</f>
        <v>85372 CLAXTON ROAD</v>
      </c>
      <c r="J826" t="str">
        <f>"YULEE FL 32097"</f>
        <v>YULEE FL 32097</v>
      </c>
      <c r="K826" t="str">
        <f>"45126 AMERICAN DREAM DR"</f>
        <v>45126 AMERICAN DREAM DR</v>
      </c>
      <c r="L826" t="str">
        <f t="shared" si="250"/>
        <v>CALLAHAN FL 32011</v>
      </c>
      <c r="M826" t="str">
        <f>"LOT 3 IN OR 1519/406 NORTH DEERWOOD EST PB 6/173"</f>
        <v>LOT 3 IN OR 1519/406 NORTH DEERWOOD EST PB 6/173</v>
      </c>
      <c r="N826" t="str">
        <f>""</f>
        <v/>
      </c>
      <c r="O826" t="str">
        <f>"33648"</f>
        <v>33648</v>
      </c>
      <c r="P826" t="str">
        <f t="shared" si="243"/>
        <v>2017</v>
      </c>
      <c r="Q826" t="str">
        <f>""</f>
        <v/>
      </c>
      <c r="R826" t="str">
        <f>"N"</f>
        <v>N</v>
      </c>
      <c r="S826" t="str">
        <f>""</f>
        <v/>
      </c>
      <c r="T826" t="str">
        <f>"3288.98"</f>
        <v>3288.98</v>
      </c>
      <c r="U826" t="str">
        <f>"206990.00"</f>
        <v>206990.00</v>
      </c>
      <c r="V826" t="str">
        <f>"206990.00"</f>
        <v>206990.00</v>
      </c>
      <c r="W826" t="str">
        <f t="shared" si="244"/>
        <v>2017</v>
      </c>
      <c r="X826" t="str">
        <f>"10.83"</f>
        <v>10.83</v>
      </c>
      <c r="Y826" t="str">
        <f>"3419.65"</f>
        <v>3419.65</v>
      </c>
      <c r="Z826" t="str">
        <f>""</f>
        <v/>
      </c>
      <c r="AA826" t="str">
        <f>"230544.00"</f>
        <v>230544.00</v>
      </c>
      <c r="AB826" t="str">
        <f t="shared" si="263"/>
        <v>Residential</v>
      </c>
      <c r="AC826" t="str">
        <f t="shared" si="254"/>
        <v>0</v>
      </c>
      <c r="AD826" t="str">
        <f>"4"</f>
        <v>4</v>
      </c>
      <c r="AE826" t="str">
        <f>"WOOD (INCLUDE STEEL STUDS)"</f>
        <v>WOOD (INCLUDE STEEL STUDS)</v>
      </c>
      <c r="AF826" t="str">
        <f>"001"</f>
        <v>001</v>
      </c>
      <c r="AG826" t="str">
        <f t="shared" si="256"/>
        <v>FL</v>
      </c>
      <c r="AH826" t="str">
        <f>"-"</f>
        <v>-</v>
      </c>
      <c r="AI826" t="str">
        <f>"45000.00"</f>
        <v>45000.00</v>
      </c>
      <c r="AJ826" t="str">
        <f>"C55-000-587-2993-0"</f>
        <v>C55-000-587-2993-0</v>
      </c>
      <c r="AK826" t="str">
        <f>"12867"</f>
        <v>12867</v>
      </c>
      <c r="AL826">
        <v>3</v>
      </c>
      <c r="AM826">
        <v>957</v>
      </c>
      <c r="AN826">
        <v>3589.03</v>
      </c>
      <c r="AQ826" t="s">
        <v>8680</v>
      </c>
      <c r="AR826" t="s">
        <v>8680</v>
      </c>
      <c r="AS826" t="s">
        <v>8680</v>
      </c>
      <c r="AU826" t="s">
        <v>396</v>
      </c>
      <c r="AV826">
        <v>2017</v>
      </c>
      <c r="AW826" t="str">
        <f>"22-2N-25-1460-0003-0000 "</f>
        <v xml:space="preserve">22-2N-25-1460-0003-0000 </v>
      </c>
      <c r="AX826">
        <v>45126</v>
      </c>
      <c r="AZ826" t="s">
        <v>8681</v>
      </c>
      <c r="BA826" t="s">
        <v>669</v>
      </c>
      <c r="BD826" t="s">
        <v>2785</v>
      </c>
      <c r="BE826" t="s">
        <v>393</v>
      </c>
      <c r="BF826">
        <v>32011</v>
      </c>
      <c r="BG826" t="s">
        <v>8682</v>
      </c>
      <c r="BH826" t="s">
        <v>2787</v>
      </c>
      <c r="BI826">
        <v>-81.802765456470297</v>
      </c>
      <c r="BJ826">
        <v>30.5713793265361</v>
      </c>
      <c r="BK826" t="s">
        <v>8683</v>
      </c>
      <c r="BM826" t="s">
        <v>8684</v>
      </c>
      <c r="BN826" t="s">
        <v>1778</v>
      </c>
      <c r="BO826">
        <v>32097</v>
      </c>
      <c r="BP826" t="s">
        <v>404</v>
      </c>
      <c r="BQ826">
        <v>100</v>
      </c>
      <c r="BR826" t="s">
        <v>514</v>
      </c>
      <c r="BS826">
        <v>1001</v>
      </c>
      <c r="BT826" t="s">
        <v>515</v>
      </c>
      <c r="BW826">
        <v>48070</v>
      </c>
      <c r="BX826" t="s">
        <v>407</v>
      </c>
      <c r="BZ826">
        <v>4</v>
      </c>
      <c r="CA826">
        <v>2010</v>
      </c>
      <c r="CC826">
        <v>2</v>
      </c>
      <c r="CD826">
        <v>2017</v>
      </c>
      <c r="CE826">
        <v>45000</v>
      </c>
      <c r="CF826">
        <v>185544</v>
      </c>
      <c r="CG826">
        <v>230544</v>
      </c>
      <c r="CH826">
        <v>2017</v>
      </c>
      <c r="CI826">
        <v>45000</v>
      </c>
      <c r="CJ826">
        <v>185544</v>
      </c>
      <c r="CK826">
        <v>230544</v>
      </c>
      <c r="CL826">
        <v>2017</v>
      </c>
      <c r="CM826">
        <v>3288.98</v>
      </c>
      <c r="CN826" s="1">
        <v>39308</v>
      </c>
      <c r="CO826">
        <v>92000</v>
      </c>
      <c r="CV826">
        <v>73600</v>
      </c>
      <c r="CX826" t="s">
        <v>5513</v>
      </c>
      <c r="CZ826" s="1">
        <v>39308</v>
      </c>
      <c r="DA826">
        <v>0</v>
      </c>
      <c r="DD826" t="s">
        <v>2785</v>
      </c>
      <c r="DF826">
        <v>3</v>
      </c>
      <c r="DG826">
        <v>22</v>
      </c>
      <c r="DJ826" t="s">
        <v>8685</v>
      </c>
      <c r="DL826">
        <v>50502</v>
      </c>
      <c r="DM826" t="s">
        <v>8686</v>
      </c>
      <c r="DO826" t="s">
        <v>8687</v>
      </c>
      <c r="DP826">
        <v>0</v>
      </c>
      <c r="DQ826">
        <v>0</v>
      </c>
      <c r="DR826" t="s">
        <v>411</v>
      </c>
      <c r="DS826" t="b">
        <v>1</v>
      </c>
      <c r="DT826" t="s">
        <v>470</v>
      </c>
      <c r="DU826" t="s">
        <v>471</v>
      </c>
      <c r="DV826" t="s">
        <v>472</v>
      </c>
      <c r="DX826">
        <v>-9999</v>
      </c>
      <c r="DZ826" t="s">
        <v>447</v>
      </c>
      <c r="EA826" t="s">
        <v>448</v>
      </c>
      <c r="EB826" t="s">
        <v>742</v>
      </c>
      <c r="EC826">
        <v>20101217</v>
      </c>
      <c r="ED826" t="s">
        <v>474</v>
      </c>
      <c r="EF826">
        <v>323.60000000000002</v>
      </c>
      <c r="EG826">
        <v>323.60000000000002</v>
      </c>
      <c r="EI826">
        <v>20160407</v>
      </c>
      <c r="EJ826">
        <v>0</v>
      </c>
      <c r="EK826">
        <v>0</v>
      </c>
      <c r="EP826" t="s">
        <v>421</v>
      </c>
      <c r="EQ826" t="s">
        <v>452</v>
      </c>
      <c r="ER826">
        <v>0</v>
      </c>
      <c r="ES826">
        <v>9</v>
      </c>
      <c r="ET826">
        <v>0</v>
      </c>
      <c r="EU826">
        <v>0</v>
      </c>
      <c r="EV826">
        <v>0</v>
      </c>
      <c r="EW826" s="2">
        <v>43222</v>
      </c>
      <c r="EX826" s="1">
        <v>42515</v>
      </c>
      <c r="EY826">
        <v>2015</v>
      </c>
      <c r="EZ826">
        <v>3234.07</v>
      </c>
      <c r="FA826" t="s">
        <v>8688</v>
      </c>
      <c r="FB826">
        <v>0.25</v>
      </c>
      <c r="FC826" t="s">
        <v>424</v>
      </c>
      <c r="FD826" t="s">
        <v>425</v>
      </c>
      <c r="FE826" s="1">
        <v>42789</v>
      </c>
      <c r="FF826">
        <v>9</v>
      </c>
      <c r="FG826">
        <v>5894185</v>
      </c>
      <c r="FH826" t="s">
        <v>7135</v>
      </c>
      <c r="FJ826" s="1">
        <v>42515</v>
      </c>
      <c r="FK826">
        <v>2015</v>
      </c>
      <c r="FL826">
        <v>3234.07</v>
      </c>
      <c r="FM826" t="s">
        <v>8688</v>
      </c>
      <c r="FN826">
        <v>0.25</v>
      </c>
      <c r="FO826" t="s">
        <v>424</v>
      </c>
      <c r="FP826" t="s">
        <v>425</v>
      </c>
      <c r="FR826">
        <v>22</v>
      </c>
      <c r="FS826">
        <v>6141021</v>
      </c>
      <c r="FT826" t="s">
        <v>8689</v>
      </c>
      <c r="FV826" s="1">
        <v>42151</v>
      </c>
      <c r="FW826">
        <v>2014</v>
      </c>
      <c r="FX826">
        <v>3020.74</v>
      </c>
      <c r="FY826" t="s">
        <v>8690</v>
      </c>
      <c r="FZ826">
        <v>0.25</v>
      </c>
      <c r="GA826" t="s">
        <v>424</v>
      </c>
      <c r="GB826" t="s">
        <v>425</v>
      </c>
      <c r="GD826">
        <v>22</v>
      </c>
      <c r="GE826">
        <v>15259</v>
      </c>
      <c r="GF826" t="s">
        <v>891</v>
      </c>
      <c r="GH826" s="1">
        <v>42151</v>
      </c>
      <c r="GI826">
        <v>2014</v>
      </c>
      <c r="GJ826">
        <v>3020.74</v>
      </c>
      <c r="GK826" t="s">
        <v>8690</v>
      </c>
      <c r="GL826">
        <v>0.25</v>
      </c>
      <c r="GM826" t="s">
        <v>424</v>
      </c>
      <c r="GN826" t="s">
        <v>425</v>
      </c>
      <c r="GP826">
        <v>22</v>
      </c>
      <c r="GQ826">
        <v>6992049</v>
      </c>
      <c r="GR826" t="s">
        <v>8691</v>
      </c>
      <c r="GT826" s="1">
        <v>42151</v>
      </c>
      <c r="GU826">
        <v>2014</v>
      </c>
      <c r="GV826">
        <v>3020.74</v>
      </c>
      <c r="GW826" t="s">
        <v>8690</v>
      </c>
      <c r="GX826">
        <v>0.25</v>
      </c>
      <c r="GY826" t="s">
        <v>424</v>
      </c>
      <c r="GZ826" t="s">
        <v>425</v>
      </c>
      <c r="HA826" s="1">
        <v>42789</v>
      </c>
      <c r="HB826">
        <v>21</v>
      </c>
      <c r="HC826">
        <v>7045049</v>
      </c>
      <c r="HD826" t="s">
        <v>1335</v>
      </c>
      <c r="HF826" s="1">
        <v>41423</v>
      </c>
      <c r="HG826">
        <v>2012</v>
      </c>
      <c r="HH826">
        <v>2559.12</v>
      </c>
      <c r="HI826" t="s">
        <v>8692</v>
      </c>
      <c r="HJ826">
        <v>0.25</v>
      </c>
      <c r="HK826" t="s">
        <v>424</v>
      </c>
      <c r="HL826" t="s">
        <v>425</v>
      </c>
      <c r="HM826" s="1">
        <v>41593</v>
      </c>
      <c r="HN826">
        <v>6</v>
      </c>
      <c r="HO826">
        <v>606981</v>
      </c>
      <c r="HP826" t="s">
        <v>792</v>
      </c>
      <c r="HQ826" t="s">
        <v>458</v>
      </c>
      <c r="HR826" s="1">
        <v>41052</v>
      </c>
      <c r="HS826">
        <v>2011</v>
      </c>
      <c r="HT826">
        <v>2939.6</v>
      </c>
      <c r="HU826" t="s">
        <v>8693</v>
      </c>
      <c r="HV826">
        <v>0.25</v>
      </c>
      <c r="HW826" t="s">
        <v>424</v>
      </c>
      <c r="HX826" t="s">
        <v>425</v>
      </c>
      <c r="HY826" s="1">
        <v>41593</v>
      </c>
      <c r="HZ826">
        <v>18</v>
      </c>
      <c r="IA826">
        <v>13813</v>
      </c>
      <c r="IB826" t="s">
        <v>8694</v>
      </c>
      <c r="IC826" t="s">
        <v>458</v>
      </c>
      <c r="ID826" s="1">
        <v>40688</v>
      </c>
      <c r="IE826">
        <v>2010</v>
      </c>
      <c r="IF826">
        <v>1269.83</v>
      </c>
      <c r="IG826" t="s">
        <v>8695</v>
      </c>
      <c r="IH826">
        <v>7.5</v>
      </c>
      <c r="II826" t="s">
        <v>424</v>
      </c>
      <c r="IJ826" t="s">
        <v>425</v>
      </c>
      <c r="IL826">
        <v>22</v>
      </c>
      <c r="IM826">
        <v>1122</v>
      </c>
      <c r="IN826" t="s">
        <v>7609</v>
      </c>
      <c r="IO826" t="s">
        <v>458</v>
      </c>
      <c r="IP826" s="1">
        <v>40688</v>
      </c>
      <c r="IQ826">
        <v>2010</v>
      </c>
      <c r="IR826">
        <v>1269.83</v>
      </c>
      <c r="IS826" t="s">
        <v>8695</v>
      </c>
      <c r="IT826">
        <v>7.5</v>
      </c>
      <c r="IU826" t="s">
        <v>424</v>
      </c>
      <c r="IV826" t="s">
        <v>425</v>
      </c>
      <c r="IX826">
        <v>22</v>
      </c>
      <c r="IY826">
        <v>10579</v>
      </c>
      <c r="IZ826" t="s">
        <v>488</v>
      </c>
      <c r="JA826" t="s">
        <v>458</v>
      </c>
    </row>
    <row r="827" spans="1:261" x14ac:dyDescent="0.25">
      <c r="A827">
        <v>16485834</v>
      </c>
      <c r="B827">
        <v>826</v>
      </c>
      <c r="C827" t="s">
        <v>393</v>
      </c>
      <c r="D827" t="s">
        <v>394</v>
      </c>
      <c r="F827" t="str">
        <f>"22-2N-25-1460-0004-0000"</f>
        <v>22-2N-25-1460-0004-0000</v>
      </c>
      <c r="H827" t="str">
        <f>"TOY GEORGETTE C"</f>
        <v>TOY GEORGETTE C</v>
      </c>
      <c r="I827" t="str">
        <f>"45176 AMERICAN DREAM DRIVE"</f>
        <v>45176 AMERICAN DREAM DRIVE</v>
      </c>
      <c r="J827" t="str">
        <f>"CALLAHAN FL 32011"</f>
        <v>CALLAHAN FL 32011</v>
      </c>
      <c r="K827" t="str">
        <f>"45176 AMERICAN DREAM DR"</f>
        <v>45176 AMERICAN DREAM DR</v>
      </c>
      <c r="L827" t="str">
        <f t="shared" si="250"/>
        <v>CALLAHAN FL 32011</v>
      </c>
      <c r="M827" t="str">
        <f>"LOT 4 IN OR 1280/1197 NORTH DEERWOOD EST PB 6/173"</f>
        <v>LOT 4 IN OR 1280/1197 NORTH DEERWOOD EST PB 6/173</v>
      </c>
      <c r="N827" t="str">
        <f>""</f>
        <v/>
      </c>
      <c r="O827" t="str">
        <f>"33649"</f>
        <v>33649</v>
      </c>
      <c r="P827" t="str">
        <f t="shared" si="243"/>
        <v>2017</v>
      </c>
      <c r="Q827" t="str">
        <f>""</f>
        <v/>
      </c>
      <c r="R827" t="str">
        <f>"Y"</f>
        <v>Y</v>
      </c>
      <c r="S827" t="str">
        <f>""</f>
        <v/>
      </c>
      <c r="T827" t="str">
        <f>"2992.55"</f>
        <v>2992.55</v>
      </c>
      <c r="U827" t="str">
        <f>"236778.00"</f>
        <v>236778.00</v>
      </c>
      <c r="V827" t="str">
        <f>"236778.00"</f>
        <v>236778.00</v>
      </c>
      <c r="W827" t="str">
        <f t="shared" si="244"/>
        <v>2017</v>
      </c>
      <c r="X827" t="str">
        <f>"9.50"</f>
        <v>9.50</v>
      </c>
      <c r="Y827" t="str">
        <f>"3114.33"</f>
        <v>3114.33</v>
      </c>
      <c r="Z827" t="str">
        <f>"25000.00"</f>
        <v>25000.00</v>
      </c>
      <c r="AA827" t="str">
        <f>"211778.00"</f>
        <v>211778.00</v>
      </c>
      <c r="AB827" t="str">
        <f t="shared" si="263"/>
        <v>Residential</v>
      </c>
      <c r="AC827" t="str">
        <f t="shared" si="254"/>
        <v>0</v>
      </c>
      <c r="AD827" t="str">
        <f>"4"</f>
        <v>4</v>
      </c>
      <c r="AE827" t="str">
        <f>"WOOD (INCLUDE STEEL STUDS)"</f>
        <v>WOOD (INCLUDE STEEL STUDS)</v>
      </c>
      <c r="AF827" t="str">
        <f>"001"</f>
        <v>001</v>
      </c>
      <c r="AG827" t="str">
        <f t="shared" si="256"/>
        <v>FL</v>
      </c>
      <c r="AH827" t="str">
        <f>"-"</f>
        <v>-</v>
      </c>
      <c r="AI827" t="str">
        <f>"45000.00"</f>
        <v>45000.00</v>
      </c>
      <c r="AJ827" t="str">
        <f>"C55-000-587-2994-8"</f>
        <v>C55-000-587-2994-8</v>
      </c>
      <c r="AK827" t="str">
        <f>"12868"</f>
        <v>12868</v>
      </c>
      <c r="AL827">
        <v>3</v>
      </c>
      <c r="AM827">
        <v>958</v>
      </c>
      <c r="AN827">
        <v>3268.45</v>
      </c>
      <c r="AQ827" t="s">
        <v>8696</v>
      </c>
      <c r="AR827" t="s">
        <v>8696</v>
      </c>
      <c r="AS827" t="s">
        <v>8696</v>
      </c>
      <c r="AU827" t="s">
        <v>396</v>
      </c>
      <c r="AV827">
        <v>2017</v>
      </c>
      <c r="AW827" t="str">
        <f>"22-2N-25-1460-0004-0000 "</f>
        <v xml:space="preserve">22-2N-25-1460-0004-0000 </v>
      </c>
      <c r="AX827">
        <v>45176</v>
      </c>
      <c r="AZ827" t="s">
        <v>8681</v>
      </c>
      <c r="BA827" t="s">
        <v>669</v>
      </c>
      <c r="BD827" t="s">
        <v>2785</v>
      </c>
      <c r="BE827" t="s">
        <v>393</v>
      </c>
      <c r="BF827">
        <v>32011</v>
      </c>
      <c r="BG827" t="s">
        <v>8697</v>
      </c>
      <c r="BH827" t="s">
        <v>2787</v>
      </c>
      <c r="BI827">
        <v>-81.802217747219302</v>
      </c>
      <c r="BJ827">
        <v>30.5715097394651</v>
      </c>
      <c r="BK827" t="s">
        <v>8698</v>
      </c>
      <c r="BL827" t="s">
        <v>8699</v>
      </c>
      <c r="BM827" t="s">
        <v>8697</v>
      </c>
      <c r="BN827" t="s">
        <v>928</v>
      </c>
      <c r="BO827">
        <v>32011</v>
      </c>
      <c r="BP827" t="s">
        <v>416</v>
      </c>
      <c r="BQ827">
        <v>100</v>
      </c>
      <c r="BR827" t="s">
        <v>514</v>
      </c>
      <c r="BS827">
        <v>1001</v>
      </c>
      <c r="BT827" t="s">
        <v>515</v>
      </c>
      <c r="BW827">
        <v>47964</v>
      </c>
      <c r="BX827" t="s">
        <v>407</v>
      </c>
      <c r="BZ827">
        <v>4</v>
      </c>
      <c r="CA827">
        <v>2001</v>
      </c>
      <c r="CB827">
        <v>2</v>
      </c>
      <c r="CC827">
        <v>2</v>
      </c>
      <c r="CD827">
        <v>2017</v>
      </c>
      <c r="CG827">
        <v>236778</v>
      </c>
      <c r="CH827">
        <v>2017</v>
      </c>
      <c r="CI827">
        <v>45000</v>
      </c>
      <c r="CJ827">
        <v>265234</v>
      </c>
      <c r="CK827">
        <v>310234</v>
      </c>
      <c r="CL827">
        <v>2017</v>
      </c>
      <c r="CM827">
        <v>2992.55</v>
      </c>
      <c r="CN827" s="1">
        <v>37047</v>
      </c>
      <c r="CO827">
        <v>33900</v>
      </c>
      <c r="CV827">
        <v>61020</v>
      </c>
      <c r="CZ827" s="1">
        <v>37047</v>
      </c>
      <c r="DA827">
        <v>0</v>
      </c>
      <c r="DD827" t="s">
        <v>2785</v>
      </c>
      <c r="DF827">
        <v>4</v>
      </c>
      <c r="DG827">
        <v>22</v>
      </c>
      <c r="DJ827" t="s">
        <v>8685</v>
      </c>
      <c r="DL827">
        <v>50502</v>
      </c>
      <c r="DM827" t="s">
        <v>8686</v>
      </c>
      <c r="DO827" t="s">
        <v>8700</v>
      </c>
      <c r="DP827">
        <v>0</v>
      </c>
      <c r="DQ827">
        <v>0</v>
      </c>
      <c r="DR827" t="s">
        <v>411</v>
      </c>
      <c r="EP827" t="s">
        <v>421</v>
      </c>
      <c r="EQ827" t="s">
        <v>422</v>
      </c>
      <c r="ER827">
        <v>0</v>
      </c>
      <c r="ES827">
        <v>1</v>
      </c>
      <c r="ET827">
        <v>0</v>
      </c>
      <c r="EU827">
        <v>0</v>
      </c>
      <c r="EV827">
        <v>0</v>
      </c>
      <c r="EW827" s="2">
        <v>43222</v>
      </c>
      <c r="EX827" s="1">
        <v>41787</v>
      </c>
      <c r="EY827">
        <v>2013</v>
      </c>
      <c r="EZ827">
        <v>3166.18</v>
      </c>
      <c r="FA827" t="s">
        <v>8701</v>
      </c>
      <c r="FB827">
        <v>0.25</v>
      </c>
      <c r="FC827" t="s">
        <v>424</v>
      </c>
      <c r="FD827" t="s">
        <v>425</v>
      </c>
      <c r="FE827" s="1">
        <v>42045</v>
      </c>
      <c r="FF827">
        <v>9</v>
      </c>
      <c r="FG827">
        <v>2662137</v>
      </c>
      <c r="FH827" t="s">
        <v>916</v>
      </c>
    </row>
    <row r="828" spans="1:261" x14ac:dyDescent="0.25">
      <c r="A828">
        <v>16485835</v>
      </c>
      <c r="B828">
        <v>827</v>
      </c>
      <c r="C828" t="s">
        <v>393</v>
      </c>
      <c r="D828" t="s">
        <v>394</v>
      </c>
      <c r="F828" t="str">
        <f>"22-2N-25-1460-0005-0000"</f>
        <v>22-2N-25-1460-0005-0000</v>
      </c>
      <c r="H828" t="str">
        <f>"U Y PROPERTIES LLC"</f>
        <v>U Y PROPERTIES LLC</v>
      </c>
      <c r="I828" t="str">
        <f>"45176 AMERICAN DREAM DRIVE"</f>
        <v>45176 AMERICAN DREAM DRIVE</v>
      </c>
      <c r="J828" t="str">
        <f>"CALLAHAN FL 32011"</f>
        <v>CALLAHAN FL 32011</v>
      </c>
      <c r="K828" t="str">
        <f>"45196 AMERICAN DREAM DR"</f>
        <v>45196 AMERICAN DREAM DR</v>
      </c>
      <c r="L828" t="str">
        <f t="shared" si="250"/>
        <v>CALLAHAN FL 32011</v>
      </c>
      <c r="M828" t="str">
        <f>"LOT 5 PT OR 1634/724 NORTH DEERWOOD EST PB 6/173"</f>
        <v>LOT 5 PT OR 1634/724 NORTH DEERWOOD EST PB 6/173</v>
      </c>
      <c r="N828" t="str">
        <f>""</f>
        <v/>
      </c>
      <c r="O828" t="str">
        <f>"33650"</f>
        <v>33650</v>
      </c>
      <c r="P828" t="str">
        <f t="shared" si="243"/>
        <v>2017</v>
      </c>
      <c r="Q828" t="str">
        <f>""</f>
        <v/>
      </c>
      <c r="R828" t="str">
        <f>"N"</f>
        <v>N</v>
      </c>
      <c r="S828" t="str">
        <f>""</f>
        <v/>
      </c>
      <c r="T828" t="str">
        <f>"531.78"</f>
        <v>531.78</v>
      </c>
      <c r="U828" t="str">
        <f>"27500.00"</f>
        <v>27500.00</v>
      </c>
      <c r="V828" t="str">
        <f>"27500.00"</f>
        <v>27500.00</v>
      </c>
      <c r="W828" t="str">
        <f t="shared" si="244"/>
        <v>2017</v>
      </c>
      <c r="X828" t="str">
        <f>"7.80"</f>
        <v>7.80</v>
      </c>
      <c r="Y828" t="str">
        <f>"579.73"</f>
        <v>579.73</v>
      </c>
      <c r="Z828" t="str">
        <f>""</f>
        <v/>
      </c>
      <c r="AA828" t="str">
        <f>"45000.00"</f>
        <v>45000.00</v>
      </c>
      <c r="AB828" t="str">
        <f t="shared" si="263"/>
        <v>Residential</v>
      </c>
      <c r="AC828" t="str">
        <f t="shared" si="254"/>
        <v>0</v>
      </c>
      <c r="AD828" t="str">
        <f>""</f>
        <v/>
      </c>
      <c r="AE828" t="str">
        <f>""</f>
        <v/>
      </c>
      <c r="AF828" t="str">
        <f>"000"</f>
        <v>000</v>
      </c>
      <c r="AG828" t="str">
        <f t="shared" si="256"/>
        <v>FL</v>
      </c>
      <c r="AH828" t="str">
        <f>"-"</f>
        <v>-</v>
      </c>
      <c r="AI828" t="str">
        <f>"45000.00"</f>
        <v>45000.00</v>
      </c>
      <c r="AJ828" t="str">
        <f>"C55-000-587-2995-5"</f>
        <v>C55-000-587-2995-5</v>
      </c>
      <c r="AK828" t="str">
        <f>"12869"</f>
        <v>12869</v>
      </c>
      <c r="AL828">
        <v>3</v>
      </c>
      <c r="AM828">
        <v>959</v>
      </c>
      <c r="AN828">
        <v>607.12</v>
      </c>
      <c r="AQ828" t="s">
        <v>8702</v>
      </c>
      <c r="AR828" t="s">
        <v>8702</v>
      </c>
      <c r="AS828" t="s">
        <v>8702</v>
      </c>
      <c r="AU828" t="s">
        <v>396</v>
      </c>
      <c r="AV828">
        <v>2017</v>
      </c>
      <c r="AW828" t="str">
        <f>"22-2N-25-1460-0005-0000 "</f>
        <v xml:space="preserve">22-2N-25-1460-0005-0000 </v>
      </c>
      <c r="AX828">
        <v>45196</v>
      </c>
      <c r="AZ828" t="s">
        <v>8681</v>
      </c>
      <c r="BA828" t="s">
        <v>669</v>
      </c>
      <c r="BD828" t="s">
        <v>2785</v>
      </c>
      <c r="BE828" t="s">
        <v>393</v>
      </c>
      <c r="BF828">
        <v>32011</v>
      </c>
      <c r="BG828" t="s">
        <v>8703</v>
      </c>
      <c r="BH828" t="s">
        <v>2787</v>
      </c>
      <c r="BI828">
        <v>-81.801759518256702</v>
      </c>
      <c r="BJ828">
        <v>30.571646978854599</v>
      </c>
      <c r="BK828" t="s">
        <v>8704</v>
      </c>
      <c r="BM828" t="s">
        <v>8697</v>
      </c>
      <c r="BN828" t="s">
        <v>928</v>
      </c>
      <c r="BO828">
        <v>32011</v>
      </c>
      <c r="BP828" t="s">
        <v>404</v>
      </c>
      <c r="BQ828">
        <v>0</v>
      </c>
      <c r="BR828" t="s">
        <v>491</v>
      </c>
      <c r="BS828">
        <v>8001</v>
      </c>
      <c r="BT828" t="s">
        <v>492</v>
      </c>
      <c r="BW828">
        <v>43563</v>
      </c>
      <c r="BX828" t="s">
        <v>407</v>
      </c>
      <c r="CD828">
        <v>2017</v>
      </c>
      <c r="CE828">
        <v>45000</v>
      </c>
      <c r="CG828">
        <v>45000</v>
      </c>
      <c r="CH828">
        <v>2017</v>
      </c>
      <c r="CI828">
        <v>45000</v>
      </c>
      <c r="CK828">
        <v>45000</v>
      </c>
      <c r="CL828">
        <v>2017</v>
      </c>
      <c r="CM828">
        <v>531.78</v>
      </c>
      <c r="CN828" s="1">
        <v>38366</v>
      </c>
      <c r="CO828">
        <v>32900</v>
      </c>
      <c r="CV828">
        <v>22900</v>
      </c>
      <c r="CX828" t="s">
        <v>707</v>
      </c>
      <c r="CZ828" s="1">
        <v>38366</v>
      </c>
      <c r="DA828">
        <v>0</v>
      </c>
      <c r="DD828" t="s">
        <v>2785</v>
      </c>
      <c r="DF828">
        <v>5</v>
      </c>
      <c r="DG828">
        <v>22</v>
      </c>
      <c r="DJ828" t="s">
        <v>8685</v>
      </c>
      <c r="DL828">
        <v>50502</v>
      </c>
      <c r="DM828" t="s">
        <v>8686</v>
      </c>
      <c r="DO828" t="s">
        <v>8705</v>
      </c>
      <c r="DP828">
        <v>0</v>
      </c>
      <c r="DQ828">
        <v>0</v>
      </c>
      <c r="DR828" t="s">
        <v>411</v>
      </c>
      <c r="DS828" t="s">
        <v>695</v>
      </c>
      <c r="EJ828">
        <v>0</v>
      </c>
      <c r="EK828">
        <v>0</v>
      </c>
      <c r="EP828" t="s">
        <v>421</v>
      </c>
      <c r="EQ828" t="s">
        <v>422</v>
      </c>
      <c r="ER828">
        <v>0</v>
      </c>
      <c r="ES828">
        <v>2</v>
      </c>
      <c r="ET828">
        <v>0</v>
      </c>
      <c r="EU828">
        <v>0</v>
      </c>
      <c r="EV828">
        <v>0</v>
      </c>
      <c r="EW828" s="2">
        <v>43222</v>
      </c>
      <c r="EX828" s="1">
        <v>42151</v>
      </c>
      <c r="EY828">
        <v>2014</v>
      </c>
      <c r="EZ828">
        <v>449.29</v>
      </c>
      <c r="FA828" t="s">
        <v>8706</v>
      </c>
      <c r="FB828">
        <v>4.25</v>
      </c>
      <c r="FC828" t="s">
        <v>424</v>
      </c>
      <c r="FD828" t="s">
        <v>425</v>
      </c>
      <c r="FE828" s="1">
        <v>42184</v>
      </c>
      <c r="FF828">
        <v>1</v>
      </c>
      <c r="FG828">
        <v>10013</v>
      </c>
      <c r="FH828" t="s">
        <v>8707</v>
      </c>
      <c r="FJ828" s="1">
        <v>41787</v>
      </c>
      <c r="FK828">
        <v>2013</v>
      </c>
      <c r="FL828">
        <v>426.45</v>
      </c>
      <c r="FM828" t="s">
        <v>8708</v>
      </c>
      <c r="FN828">
        <v>0.25</v>
      </c>
      <c r="FO828" t="s">
        <v>424</v>
      </c>
      <c r="FP828" t="s">
        <v>425</v>
      </c>
      <c r="FQ828" s="1">
        <v>42041</v>
      </c>
      <c r="FR828">
        <v>9</v>
      </c>
      <c r="FS828">
        <v>11340</v>
      </c>
      <c r="FT828" t="s">
        <v>1230</v>
      </c>
    </row>
    <row r="829" spans="1:261" x14ac:dyDescent="0.25">
      <c r="A829">
        <v>16485836</v>
      </c>
      <c r="B829">
        <v>828</v>
      </c>
      <c r="C829" t="s">
        <v>393</v>
      </c>
      <c r="D829" t="s">
        <v>394</v>
      </c>
      <c r="F829" t="str">
        <f>"22-2N-25-1460-0010-0000"</f>
        <v>22-2N-25-1460-0010-0000</v>
      </c>
      <c r="H829" t="str">
        <f>"TOY RYAN J"</f>
        <v>TOY RYAN J</v>
      </c>
      <c r="I829" t="str">
        <f>"180 BOX TREE COURT"</f>
        <v>180 BOX TREE COURT</v>
      </c>
      <c r="J829" t="str">
        <f>"JACKSONVILLE FL 32225"</f>
        <v>JACKSONVILLE FL 32225</v>
      </c>
      <c r="K829" t="str">
        <f>"45338 AMERICAN DREAM DR"</f>
        <v>45338 AMERICAN DREAM DR</v>
      </c>
      <c r="L829" t="str">
        <f t="shared" si="250"/>
        <v>CALLAHAN FL 32011</v>
      </c>
      <c r="M829" t="str">
        <f>"LOT 10 IN OR 1093/983 NORTH DEERWOOD EST PB 6/173"</f>
        <v>LOT 10 IN OR 1093/983 NORTH DEERWOOD EST PB 6/173</v>
      </c>
      <c r="N829" t="str">
        <f>""</f>
        <v/>
      </c>
      <c r="O829" t="str">
        <f>"33655"</f>
        <v>33655</v>
      </c>
      <c r="P829" t="str">
        <f t="shared" si="243"/>
        <v>2017</v>
      </c>
      <c r="Q829" t="str">
        <f>""</f>
        <v/>
      </c>
      <c r="R829" t="str">
        <f>"N"</f>
        <v>N</v>
      </c>
      <c r="S829" t="str">
        <f>""</f>
        <v/>
      </c>
      <c r="T829" t="str">
        <f>"555.27"</f>
        <v>555.27</v>
      </c>
      <c r="U829" t="str">
        <f>"30250.00"</f>
        <v>30250.00</v>
      </c>
      <c r="V829" t="str">
        <f>"30250.00"</f>
        <v>30250.00</v>
      </c>
      <c r="W829" t="str">
        <f t="shared" si="244"/>
        <v>2017</v>
      </c>
      <c r="X829" t="str">
        <f>"19.86"</f>
        <v>19.86</v>
      </c>
      <c r="Y829" t="str">
        <f>"603.93"</f>
        <v>603.93</v>
      </c>
      <c r="Z829" t="str">
        <f>""</f>
        <v/>
      </c>
      <c r="AA829" t="str">
        <f>"45000.00"</f>
        <v>45000.00</v>
      </c>
      <c r="AB829" t="str">
        <f t="shared" si="263"/>
        <v>Residential</v>
      </c>
      <c r="AC829" t="str">
        <f t="shared" si="254"/>
        <v>0</v>
      </c>
      <c r="AD829" t="str">
        <f>""</f>
        <v/>
      </c>
      <c r="AE829" t="str">
        <f>""</f>
        <v/>
      </c>
      <c r="AF829" t="str">
        <f>"000"</f>
        <v>000</v>
      </c>
      <c r="AG829" t="str">
        <f t="shared" si="256"/>
        <v>FL</v>
      </c>
      <c r="AH829" t="str">
        <f>"-"</f>
        <v>-</v>
      </c>
      <c r="AI829" t="str">
        <f>"45000.00"</f>
        <v>45000.00</v>
      </c>
      <c r="AJ829" t="str">
        <f>"C55-000-587-3000-3"</f>
        <v>C55-000-587-3000-3</v>
      </c>
      <c r="AK829" t="str">
        <f>"12874"</f>
        <v>12874</v>
      </c>
      <c r="AL829">
        <v>3</v>
      </c>
      <c r="AM829">
        <v>960</v>
      </c>
      <c r="AN829">
        <v>632.53</v>
      </c>
      <c r="AQ829" t="s">
        <v>8709</v>
      </c>
      <c r="AR829" t="s">
        <v>8709</v>
      </c>
      <c r="AS829" t="s">
        <v>8709</v>
      </c>
      <c r="AU829" t="s">
        <v>396</v>
      </c>
      <c r="AV829">
        <v>2017</v>
      </c>
      <c r="AW829" t="str">
        <f>"22-2N-25-1460-0010-0000 "</f>
        <v xml:space="preserve">22-2N-25-1460-0010-0000 </v>
      </c>
      <c r="AX829">
        <v>45338</v>
      </c>
      <c r="AZ829" t="s">
        <v>8681</v>
      </c>
      <c r="BA829" t="s">
        <v>669</v>
      </c>
      <c r="BD829" t="s">
        <v>2785</v>
      </c>
      <c r="BE829" t="s">
        <v>393</v>
      </c>
      <c r="BF829">
        <v>32011</v>
      </c>
      <c r="BG829" t="s">
        <v>8710</v>
      </c>
      <c r="BH829" t="s">
        <v>2787</v>
      </c>
      <c r="BI829">
        <v>-81.799573169973897</v>
      </c>
      <c r="BJ829">
        <v>30.572184830021801</v>
      </c>
      <c r="BK829" t="s">
        <v>8711</v>
      </c>
      <c r="BM829" t="s">
        <v>8712</v>
      </c>
      <c r="BN829" t="s">
        <v>548</v>
      </c>
      <c r="BO829">
        <v>32225</v>
      </c>
      <c r="BP829" t="s">
        <v>404</v>
      </c>
      <c r="BQ829">
        <v>0</v>
      </c>
      <c r="BR829" t="s">
        <v>491</v>
      </c>
      <c r="BS829">
        <v>8001</v>
      </c>
      <c r="BT829" t="s">
        <v>492</v>
      </c>
      <c r="BW829">
        <v>48588</v>
      </c>
      <c r="BX829" t="s">
        <v>407</v>
      </c>
      <c r="CD829">
        <v>2017</v>
      </c>
      <c r="CE829">
        <v>45000</v>
      </c>
      <c r="CG829">
        <v>45000</v>
      </c>
      <c r="CH829">
        <v>2017</v>
      </c>
      <c r="CI829">
        <v>45000</v>
      </c>
      <c r="CK829">
        <v>45000</v>
      </c>
      <c r="CL829">
        <v>2017</v>
      </c>
      <c r="CM829">
        <v>555.27</v>
      </c>
      <c r="CN829" s="1">
        <v>37568</v>
      </c>
      <c r="CO829">
        <v>35900</v>
      </c>
      <c r="CV829">
        <v>0</v>
      </c>
      <c r="CZ829" s="1">
        <v>37568</v>
      </c>
      <c r="DA829">
        <v>0</v>
      </c>
      <c r="DD829" t="s">
        <v>2785</v>
      </c>
      <c r="DF829">
        <v>10</v>
      </c>
      <c r="DG829">
        <v>22</v>
      </c>
      <c r="DJ829" t="s">
        <v>8685</v>
      </c>
      <c r="DL829">
        <v>50502</v>
      </c>
      <c r="DM829" t="s">
        <v>8686</v>
      </c>
      <c r="DO829" t="s">
        <v>8713</v>
      </c>
      <c r="DP829">
        <v>0</v>
      </c>
      <c r="DQ829">
        <v>0</v>
      </c>
      <c r="DR829" t="s">
        <v>411</v>
      </c>
      <c r="EP829" t="s">
        <v>421</v>
      </c>
      <c r="EQ829" t="s">
        <v>422</v>
      </c>
      <c r="ER829">
        <v>0</v>
      </c>
      <c r="ES829">
        <v>4</v>
      </c>
      <c r="ET829">
        <v>0</v>
      </c>
      <c r="EU829">
        <v>0</v>
      </c>
      <c r="EV829">
        <v>0</v>
      </c>
      <c r="EW829" s="2">
        <v>43222</v>
      </c>
      <c r="EX829" s="1">
        <v>41787</v>
      </c>
      <c r="EY829">
        <v>2013</v>
      </c>
      <c r="EZ829">
        <v>466.87</v>
      </c>
      <c r="FA829" t="s">
        <v>8714</v>
      </c>
      <c r="FB829">
        <v>6.75</v>
      </c>
      <c r="FC829" t="s">
        <v>424</v>
      </c>
      <c r="FD829" t="s">
        <v>425</v>
      </c>
      <c r="FE829" s="1">
        <v>42041</v>
      </c>
      <c r="FF829">
        <v>9</v>
      </c>
      <c r="FG829">
        <v>2035919</v>
      </c>
      <c r="FH829" t="s">
        <v>507</v>
      </c>
      <c r="FJ829" s="1">
        <v>41423</v>
      </c>
      <c r="FK829">
        <v>2012</v>
      </c>
      <c r="FL829">
        <v>472.43</v>
      </c>
      <c r="FM829" t="s">
        <v>8715</v>
      </c>
      <c r="FN829">
        <v>3.25</v>
      </c>
      <c r="FO829" t="s">
        <v>424</v>
      </c>
      <c r="FP829" t="s">
        <v>425</v>
      </c>
      <c r="FQ829" s="1">
        <v>42041</v>
      </c>
      <c r="FR829">
        <v>21</v>
      </c>
      <c r="FS829">
        <v>116</v>
      </c>
      <c r="FT829" t="s">
        <v>509</v>
      </c>
      <c r="FV829" s="1">
        <v>41052</v>
      </c>
      <c r="FW829">
        <v>2011</v>
      </c>
      <c r="FX829">
        <v>713.96</v>
      </c>
      <c r="FY829" t="s">
        <v>8716</v>
      </c>
      <c r="FZ829">
        <v>4.75</v>
      </c>
      <c r="GA829" t="s">
        <v>424</v>
      </c>
      <c r="GB829" t="s">
        <v>425</v>
      </c>
      <c r="GC829" s="1">
        <v>41689</v>
      </c>
      <c r="GD829">
        <v>21</v>
      </c>
      <c r="GE829">
        <v>10125</v>
      </c>
      <c r="GF829" t="s">
        <v>440</v>
      </c>
      <c r="GH829" s="1">
        <v>40688</v>
      </c>
      <c r="GI829">
        <v>2010</v>
      </c>
      <c r="GJ829">
        <v>1269.83</v>
      </c>
      <c r="GK829" t="s">
        <v>8717</v>
      </c>
      <c r="GL829">
        <v>7.5</v>
      </c>
      <c r="GM829" t="s">
        <v>424</v>
      </c>
      <c r="GN829" t="s">
        <v>425</v>
      </c>
      <c r="GO829" s="1">
        <v>41326</v>
      </c>
      <c r="GP829">
        <v>21</v>
      </c>
      <c r="GQ829">
        <v>10579</v>
      </c>
      <c r="GR829" t="s">
        <v>488</v>
      </c>
    </row>
    <row r="830" spans="1:261" x14ac:dyDescent="0.25">
      <c r="A830">
        <v>16485837</v>
      </c>
      <c r="B830">
        <v>829</v>
      </c>
      <c r="C830" t="s">
        <v>393</v>
      </c>
      <c r="D830" t="s">
        <v>394</v>
      </c>
      <c r="F830" t="str">
        <f>"22-2N-25-1460-0020-0000"</f>
        <v>22-2N-25-1460-0020-0000</v>
      </c>
      <c r="H830" t="str">
        <f>"TOY CAROLYN GEORGETTE"</f>
        <v>TOY CAROLYN GEORGETTE</v>
      </c>
      <c r="I830" t="str">
        <f>"45176 AMERICAN DREAM DRIVE"</f>
        <v>45176 AMERICAN DREAM DRIVE</v>
      </c>
      <c r="J830" t="str">
        <f t="shared" ref="J830:J840" si="264">"CALLAHAN FL 32011"</f>
        <v>CALLAHAN FL 32011</v>
      </c>
      <c r="K830" t="str">
        <f>"45361 AMERICAN DREAM DR"</f>
        <v>45361 AMERICAN DREAM DR</v>
      </c>
      <c r="L830" t="str">
        <f t="shared" si="250"/>
        <v>CALLAHAN FL 32011</v>
      </c>
      <c r="M830" t="str">
        <f>"LOT 20 IN OR 1650/1877 NORTH DEERWOOD EST PB 6/173"</f>
        <v>LOT 20 IN OR 1650/1877 NORTH DEERWOOD EST PB 6/173</v>
      </c>
      <c r="N830" t="str">
        <f>""</f>
        <v/>
      </c>
      <c r="O830" t="str">
        <f>"33665"</f>
        <v>33665</v>
      </c>
      <c r="P830" t="str">
        <f t="shared" si="243"/>
        <v>2017</v>
      </c>
      <c r="Q830" t="str">
        <f>""</f>
        <v/>
      </c>
      <c r="R830" t="str">
        <f>"N"</f>
        <v>N</v>
      </c>
      <c r="S830" t="str">
        <f>""</f>
        <v/>
      </c>
      <c r="T830" t="str">
        <f>"2581.19"</f>
        <v>2581.19</v>
      </c>
      <c r="U830" t="str">
        <f>"156580.00"</f>
        <v>156580.00</v>
      </c>
      <c r="V830" t="str">
        <f>"156580.00"</f>
        <v>156580.00</v>
      </c>
      <c r="W830" t="str">
        <f t="shared" si="244"/>
        <v>2017</v>
      </c>
      <c r="X830" t="str">
        <f>"9.67"</f>
        <v>9.67</v>
      </c>
      <c r="Y830" t="str">
        <f>"2690.63"</f>
        <v>2690.63</v>
      </c>
      <c r="Z830" t="str">
        <f>""</f>
        <v/>
      </c>
      <c r="AA830" t="str">
        <f>"188524.00"</f>
        <v>188524.00</v>
      </c>
      <c r="AB830" t="str">
        <f t="shared" si="263"/>
        <v>Residential</v>
      </c>
      <c r="AC830" t="str">
        <f t="shared" si="254"/>
        <v>0</v>
      </c>
      <c r="AD830" t="str">
        <f>"4"</f>
        <v>4</v>
      </c>
      <c r="AE830" t="str">
        <f>"WOOD (INCLUDE STEEL STUDS)"</f>
        <v>WOOD (INCLUDE STEEL STUDS)</v>
      </c>
      <c r="AF830" t="str">
        <f>"001"</f>
        <v>001</v>
      </c>
      <c r="AG830" t="str">
        <f t="shared" si="256"/>
        <v>FL</v>
      </c>
      <c r="AH830" t="str">
        <f>"-"</f>
        <v>-</v>
      </c>
      <c r="AI830" t="str">
        <f>"45000.00"</f>
        <v>45000.00</v>
      </c>
      <c r="AJ830" t="str">
        <f>"C55-000-587-3010-2"</f>
        <v>C55-000-587-3010-2</v>
      </c>
      <c r="AK830" t="str">
        <f>"12884"</f>
        <v>12884</v>
      </c>
      <c r="AL830">
        <v>3</v>
      </c>
      <c r="AM830">
        <v>961</v>
      </c>
      <c r="AN830">
        <v>2823.56</v>
      </c>
      <c r="AQ830" t="s">
        <v>8718</v>
      </c>
      <c r="AR830" t="s">
        <v>8718</v>
      </c>
      <c r="AS830" t="s">
        <v>8718</v>
      </c>
      <c r="AU830" t="s">
        <v>396</v>
      </c>
      <c r="AV830">
        <v>2017</v>
      </c>
      <c r="AW830" t="str">
        <f>"22-2N-25-1460-0020-0000 "</f>
        <v xml:space="preserve">22-2N-25-1460-0020-0000 </v>
      </c>
      <c r="AX830">
        <v>45361</v>
      </c>
      <c r="AZ830" t="s">
        <v>8681</v>
      </c>
      <c r="BA830" t="s">
        <v>669</v>
      </c>
      <c r="BD830" t="s">
        <v>2785</v>
      </c>
      <c r="BE830" t="s">
        <v>393</v>
      </c>
      <c r="BF830">
        <v>32011</v>
      </c>
      <c r="BG830" t="s">
        <v>8719</v>
      </c>
      <c r="BH830" t="s">
        <v>2787</v>
      </c>
      <c r="BI830">
        <v>-81.798704916721107</v>
      </c>
      <c r="BJ830">
        <v>30.571237042597499</v>
      </c>
      <c r="BK830" t="s">
        <v>8720</v>
      </c>
      <c r="BL830" t="s">
        <v>8721</v>
      </c>
      <c r="BM830" t="s">
        <v>8697</v>
      </c>
      <c r="BN830" t="s">
        <v>928</v>
      </c>
      <c r="BO830">
        <v>32011</v>
      </c>
      <c r="BP830" t="s">
        <v>404</v>
      </c>
      <c r="BQ830">
        <v>100</v>
      </c>
      <c r="BR830" t="s">
        <v>514</v>
      </c>
      <c r="BS830">
        <v>1001</v>
      </c>
      <c r="BT830" t="s">
        <v>515</v>
      </c>
      <c r="BW830">
        <v>58040</v>
      </c>
      <c r="BX830" t="s">
        <v>407</v>
      </c>
      <c r="BZ830">
        <v>4</v>
      </c>
      <c r="CA830">
        <v>2015</v>
      </c>
      <c r="CB830">
        <v>1</v>
      </c>
      <c r="CC830">
        <v>1</v>
      </c>
      <c r="CD830">
        <v>2017</v>
      </c>
      <c r="CE830">
        <v>45000</v>
      </c>
      <c r="CF830">
        <v>143524</v>
      </c>
      <c r="CG830">
        <v>188524</v>
      </c>
      <c r="CH830">
        <v>2017</v>
      </c>
      <c r="CI830">
        <v>45000</v>
      </c>
      <c r="CJ830">
        <v>143524</v>
      </c>
      <c r="CK830">
        <v>188524</v>
      </c>
      <c r="CL830">
        <v>2017</v>
      </c>
      <c r="CM830">
        <v>2581.19</v>
      </c>
      <c r="CN830" s="1">
        <v>38397</v>
      </c>
      <c r="CO830">
        <v>37900</v>
      </c>
      <c r="CV830">
        <v>32900</v>
      </c>
      <c r="CX830" t="s">
        <v>707</v>
      </c>
      <c r="CZ830" s="1">
        <v>38397</v>
      </c>
      <c r="DA830">
        <v>0</v>
      </c>
      <c r="DD830" t="s">
        <v>2785</v>
      </c>
      <c r="DF830">
        <v>20</v>
      </c>
      <c r="DG830">
        <v>22</v>
      </c>
      <c r="DJ830" t="s">
        <v>8685</v>
      </c>
      <c r="DL830">
        <v>50502</v>
      </c>
      <c r="DM830" t="s">
        <v>8686</v>
      </c>
      <c r="DO830" t="s">
        <v>8722</v>
      </c>
      <c r="DP830">
        <v>0</v>
      </c>
      <c r="DQ830">
        <v>0</v>
      </c>
      <c r="DR830" t="s">
        <v>411</v>
      </c>
      <c r="EP830" t="s">
        <v>421</v>
      </c>
      <c r="EQ830" t="s">
        <v>422</v>
      </c>
      <c r="ER830">
        <v>0</v>
      </c>
      <c r="ES830">
        <v>1</v>
      </c>
      <c r="ET830">
        <v>0</v>
      </c>
      <c r="EU830">
        <v>0</v>
      </c>
      <c r="EV830">
        <v>0</v>
      </c>
      <c r="EW830" s="2">
        <v>43222</v>
      </c>
      <c r="EX830" s="1">
        <v>41787</v>
      </c>
      <c r="EY830">
        <v>2013</v>
      </c>
      <c r="EZ830">
        <v>466.87</v>
      </c>
      <c r="FA830" t="s">
        <v>8723</v>
      </c>
      <c r="FB830">
        <v>0.25</v>
      </c>
      <c r="FC830" t="s">
        <v>424</v>
      </c>
      <c r="FD830" t="s">
        <v>425</v>
      </c>
      <c r="FE830" s="1">
        <v>42041</v>
      </c>
      <c r="FF830">
        <v>9</v>
      </c>
      <c r="FG830">
        <v>2101385</v>
      </c>
      <c r="FH830" t="s">
        <v>810</v>
      </c>
    </row>
    <row r="831" spans="1:261" x14ac:dyDescent="0.25">
      <c r="A831">
        <v>16485838</v>
      </c>
      <c r="B831">
        <v>830</v>
      </c>
      <c r="C831" t="s">
        <v>393</v>
      </c>
      <c r="D831" t="s">
        <v>394</v>
      </c>
      <c r="F831" t="str">
        <f>"25-2N-25-0000-0001-0100"</f>
        <v>25-2N-25-0000-0001-0100</v>
      </c>
      <c r="H831" t="str">
        <f>"PIPPIN PERRY J &amp; SHERYL S"</f>
        <v>PIPPIN PERRY J &amp; SHERYL S</v>
      </c>
      <c r="I831" t="str">
        <f>"45979 BISMARK ROAD"</f>
        <v>45979 BISMARK ROAD</v>
      </c>
      <c r="J831" t="str">
        <f t="shared" si="264"/>
        <v>CALLAHAN FL 32011</v>
      </c>
      <c r="K831" t="str">
        <f>"45979 BISMARK RD"</f>
        <v>45979 BISMARK RD</v>
      </c>
      <c r="L831" t="str">
        <f t="shared" si="250"/>
        <v>CALLAHAN FL 32011</v>
      </c>
      <c r="M831" t="str">
        <f>"IN OR 1546/67"</f>
        <v>IN OR 1546/67</v>
      </c>
      <c r="N831" t="str">
        <f>""</f>
        <v/>
      </c>
      <c r="O831" t="str">
        <f>"35062"</f>
        <v>35062</v>
      </c>
      <c r="P831" t="str">
        <f t="shared" si="243"/>
        <v>2017</v>
      </c>
      <c r="Q831" t="str">
        <f>""</f>
        <v/>
      </c>
      <c r="R831" t="str">
        <f>"Y"</f>
        <v>Y</v>
      </c>
      <c r="S831" t="str">
        <f>"2.10"</f>
        <v>2.10</v>
      </c>
      <c r="T831" t="str">
        <f>"2375.25"</f>
        <v>2375.25</v>
      </c>
      <c r="U831" t="str">
        <f>"196003.00"</f>
        <v>196003.00</v>
      </c>
      <c r="V831" t="str">
        <f>"196003.00"</f>
        <v>196003.00</v>
      </c>
      <c r="W831" t="str">
        <f t="shared" si="244"/>
        <v>2017</v>
      </c>
      <c r="X831" t="str">
        <f>""</f>
        <v/>
      </c>
      <c r="Y831" t="str">
        <f>"650.32"</f>
        <v>650.32</v>
      </c>
      <c r="Z831" t="str">
        <f>"25000.00"</f>
        <v>25000.00</v>
      </c>
      <c r="AA831" t="str">
        <f>"171003.00"</f>
        <v>171003.00</v>
      </c>
      <c r="AB831" t="str">
        <f t="shared" si="263"/>
        <v>Residential</v>
      </c>
      <c r="AC831" t="str">
        <f t="shared" si="254"/>
        <v>0</v>
      </c>
      <c r="AD831" t="str">
        <f>"4"</f>
        <v>4</v>
      </c>
      <c r="AE831" t="str">
        <f>"WOOD (INCLUDE STEEL STUDS)"</f>
        <v>WOOD (INCLUDE STEEL STUDS)</v>
      </c>
      <c r="AF831" t="str">
        <f>"001"</f>
        <v>001</v>
      </c>
      <c r="AG831" t="str">
        <f t="shared" si="256"/>
        <v>FL</v>
      </c>
      <c r="AH831" t="str">
        <f>"91476.00"</f>
        <v>91476.00</v>
      </c>
      <c r="AI831" t="str">
        <f>"25200.00"</f>
        <v>25200.00</v>
      </c>
      <c r="AJ831" t="str">
        <f>"C55-001-024-9389-7"</f>
        <v>C55-001-024-9389-7</v>
      </c>
      <c r="AK831" t="str">
        <f>"12915"</f>
        <v>12915</v>
      </c>
      <c r="AL831">
        <v>3</v>
      </c>
      <c r="AM831">
        <v>962</v>
      </c>
      <c r="AN831">
        <v>681.24</v>
      </c>
      <c r="AQ831" t="s">
        <v>8724</v>
      </c>
      <c r="AR831" t="s">
        <v>8724</v>
      </c>
      <c r="AS831" t="s">
        <v>8724</v>
      </c>
      <c r="AU831" t="s">
        <v>396</v>
      </c>
      <c r="AV831">
        <v>2017</v>
      </c>
      <c r="AW831" t="str">
        <f>"25-2N-25-0000-0001-0100 "</f>
        <v xml:space="preserve">25-2N-25-0000-0001-0100 </v>
      </c>
      <c r="AX831">
        <v>45979</v>
      </c>
      <c r="AZ831" t="s">
        <v>8725</v>
      </c>
      <c r="BA831" t="s">
        <v>496</v>
      </c>
      <c r="BD831" t="s">
        <v>2785</v>
      </c>
      <c r="BE831" t="s">
        <v>393</v>
      </c>
      <c r="BF831">
        <v>32011</v>
      </c>
      <c r="BG831" t="s">
        <v>8726</v>
      </c>
      <c r="BH831" t="s">
        <v>2787</v>
      </c>
      <c r="BI831">
        <v>-81.756770627553607</v>
      </c>
      <c r="BJ831">
        <v>30.570019056576701</v>
      </c>
      <c r="BK831" t="s">
        <v>8727</v>
      </c>
      <c r="BL831" t="s">
        <v>8728</v>
      </c>
      <c r="BM831" t="s">
        <v>8726</v>
      </c>
      <c r="BN831" t="s">
        <v>928</v>
      </c>
      <c r="BO831">
        <v>32011</v>
      </c>
      <c r="BP831" t="s">
        <v>416</v>
      </c>
      <c r="BQ831">
        <v>100</v>
      </c>
      <c r="BR831" t="s">
        <v>514</v>
      </c>
      <c r="BS831">
        <v>1001</v>
      </c>
      <c r="BT831" t="s">
        <v>515</v>
      </c>
      <c r="BW831">
        <v>91476</v>
      </c>
      <c r="BX831" t="s">
        <v>407</v>
      </c>
      <c r="BY831" t="s">
        <v>408</v>
      </c>
      <c r="BZ831">
        <v>4</v>
      </c>
      <c r="CA831">
        <v>2010</v>
      </c>
      <c r="CB831">
        <v>1</v>
      </c>
      <c r="CC831">
        <v>1</v>
      </c>
      <c r="CD831">
        <v>2017</v>
      </c>
      <c r="CG831">
        <v>196003</v>
      </c>
      <c r="CH831">
        <v>2017</v>
      </c>
      <c r="CI831">
        <v>25200</v>
      </c>
      <c r="CJ831">
        <v>192100</v>
      </c>
      <c r="CK831">
        <v>217300</v>
      </c>
      <c r="CL831">
        <v>2017</v>
      </c>
      <c r="CM831">
        <v>2375.25</v>
      </c>
      <c r="CN831" s="1">
        <v>39461</v>
      </c>
      <c r="CZ831" s="1">
        <v>39461</v>
      </c>
      <c r="DD831" t="s">
        <v>2785</v>
      </c>
      <c r="DG831">
        <v>25</v>
      </c>
      <c r="DL831">
        <v>50502</v>
      </c>
      <c r="DM831" t="s">
        <v>8729</v>
      </c>
      <c r="DO831" t="s">
        <v>8730</v>
      </c>
      <c r="DP831">
        <v>0</v>
      </c>
      <c r="DQ831">
        <v>0</v>
      </c>
      <c r="DR831" t="s">
        <v>411</v>
      </c>
    </row>
    <row r="832" spans="1:261" x14ac:dyDescent="0.25">
      <c r="A832">
        <v>16485839</v>
      </c>
      <c r="B832">
        <v>831</v>
      </c>
      <c r="C832" t="s">
        <v>393</v>
      </c>
      <c r="D832" t="s">
        <v>394</v>
      </c>
      <c r="F832" t="str">
        <f>"26-2N-25-0000-0001-0200"</f>
        <v>26-2N-25-0000-0001-0200</v>
      </c>
      <c r="H832" t="str">
        <f>"JONES RICHARD A &amp; GAYLA S"</f>
        <v>JONES RICHARD A &amp; GAYLA S</v>
      </c>
      <c r="I832" t="str">
        <f>"55798 BEAR RUN ROAD"</f>
        <v>55798 BEAR RUN ROAD</v>
      </c>
      <c r="J832" t="str">
        <f t="shared" si="264"/>
        <v>CALLAHAN FL 32011</v>
      </c>
      <c r="K832" t="str">
        <f>"55798 BEAR RUN RD"</f>
        <v>55798 BEAR RUN RD</v>
      </c>
      <c r="L832" t="str">
        <f t="shared" si="250"/>
        <v>CALLAHAN FL 32011</v>
      </c>
      <c r="M832" t="str">
        <f>"IN OR 1224/458 PARCEL 1-20 &amp; TRACT A OF GREEN ACRES PB6/261"</f>
        <v>IN OR 1224/458 PARCEL 1-20 &amp; TRACT A OF GREEN ACRES PB6/261</v>
      </c>
      <c r="N832" t="str">
        <f>""</f>
        <v/>
      </c>
      <c r="O832" t="str">
        <f>"36089"</f>
        <v>36089</v>
      </c>
      <c r="P832" t="str">
        <f t="shared" si="243"/>
        <v>2017</v>
      </c>
      <c r="Q832" t="str">
        <f>""</f>
        <v/>
      </c>
      <c r="R832" t="str">
        <f>"Y"</f>
        <v>Y</v>
      </c>
      <c r="S832" t="str">
        <f>"1.00"</f>
        <v>1.00</v>
      </c>
      <c r="T832" t="str">
        <f>"2379.40"</f>
        <v>2379.40</v>
      </c>
      <c r="U832" t="str">
        <f>"196277.00"</f>
        <v>196277.00</v>
      </c>
      <c r="V832" t="str">
        <f>"196277.00"</f>
        <v>196277.00</v>
      </c>
      <c r="W832" t="str">
        <f t="shared" si="244"/>
        <v>2017</v>
      </c>
      <c r="X832" t="str">
        <f>""</f>
        <v/>
      </c>
      <c r="Y832" t="str">
        <f>"2482.78"</f>
        <v>2482.78</v>
      </c>
      <c r="Z832" t="str">
        <f>"25000.00"</f>
        <v>25000.00</v>
      </c>
      <c r="AA832" t="str">
        <f>"171277.00"</f>
        <v>171277.00</v>
      </c>
      <c r="AB832" t="str">
        <f t="shared" si="263"/>
        <v>Residential</v>
      </c>
      <c r="AC832" t="str">
        <f t="shared" si="254"/>
        <v>0</v>
      </c>
      <c r="AD832" t="str">
        <f>"4"</f>
        <v>4</v>
      </c>
      <c r="AE832" t="str">
        <f>"WOOD (INCLUDE STEEL STUDS)"</f>
        <v>WOOD (INCLUDE STEEL STUDS)</v>
      </c>
      <c r="AF832" t="str">
        <f>"001"</f>
        <v>001</v>
      </c>
      <c r="AG832" t="str">
        <f t="shared" si="256"/>
        <v>FL</v>
      </c>
      <c r="AH832" t="str">
        <f>"43560.00"</f>
        <v>43560.00</v>
      </c>
      <c r="AI832" t="str">
        <f>"15000.00"</f>
        <v>15000.00</v>
      </c>
      <c r="AJ832" t="str">
        <f>"C55-000-587-4564-7"</f>
        <v>C55-000-587-4564-7</v>
      </c>
      <c r="AK832" t="str">
        <f>"12930"</f>
        <v>12930</v>
      </c>
      <c r="AL832">
        <v>3</v>
      </c>
      <c r="AM832">
        <v>963</v>
      </c>
      <c r="AN832">
        <v>2605.3200000000002</v>
      </c>
      <c r="AQ832" t="s">
        <v>8731</v>
      </c>
      <c r="AR832" t="s">
        <v>8731</v>
      </c>
      <c r="AS832" t="s">
        <v>8731</v>
      </c>
      <c r="AU832" t="s">
        <v>396</v>
      </c>
      <c r="AV832">
        <v>2017</v>
      </c>
      <c r="AW832" t="str">
        <f>"26-2N-25-0000-0001-0200 "</f>
        <v xml:space="preserve">26-2N-25-0000-0001-0200 </v>
      </c>
      <c r="AX832">
        <v>55798</v>
      </c>
      <c r="AZ832" t="s">
        <v>8732</v>
      </c>
      <c r="BA832" t="s">
        <v>496</v>
      </c>
      <c r="BD832" t="s">
        <v>2785</v>
      </c>
      <c r="BE832" t="s">
        <v>393</v>
      </c>
      <c r="BF832">
        <v>32011</v>
      </c>
      <c r="BG832" t="s">
        <v>8733</v>
      </c>
      <c r="BH832" t="s">
        <v>2787</v>
      </c>
      <c r="BI832">
        <v>-81.774254921927906</v>
      </c>
      <c r="BJ832">
        <v>30.567273737027801</v>
      </c>
      <c r="BK832" t="s">
        <v>8734</v>
      </c>
      <c r="BL832" t="s">
        <v>8735</v>
      </c>
      <c r="BM832" t="s">
        <v>8733</v>
      </c>
      <c r="BN832" t="s">
        <v>928</v>
      </c>
      <c r="BO832">
        <v>32011</v>
      </c>
      <c r="BP832" t="s">
        <v>416</v>
      </c>
      <c r="BQ832">
        <v>100</v>
      </c>
      <c r="BR832" t="s">
        <v>514</v>
      </c>
      <c r="BS832">
        <v>1001</v>
      </c>
      <c r="BT832" t="s">
        <v>515</v>
      </c>
      <c r="BW832">
        <v>43560</v>
      </c>
      <c r="BX832" t="s">
        <v>407</v>
      </c>
      <c r="BY832" t="s">
        <v>408</v>
      </c>
      <c r="BZ832">
        <v>4</v>
      </c>
      <c r="CA832">
        <v>2006</v>
      </c>
      <c r="CB832">
        <v>2</v>
      </c>
      <c r="CC832">
        <v>1</v>
      </c>
      <c r="CD832">
        <v>2017</v>
      </c>
      <c r="CG832">
        <v>196277</v>
      </c>
      <c r="CH832">
        <v>2017</v>
      </c>
      <c r="CI832">
        <v>15000</v>
      </c>
      <c r="CJ832">
        <v>228638</v>
      </c>
      <c r="CK832">
        <v>243638</v>
      </c>
      <c r="CL832">
        <v>2017</v>
      </c>
      <c r="CM832">
        <v>2379.4</v>
      </c>
      <c r="CN832" s="1">
        <v>38097</v>
      </c>
      <c r="CO832">
        <v>32000</v>
      </c>
      <c r="CV832">
        <v>25000</v>
      </c>
      <c r="CX832" t="s">
        <v>675</v>
      </c>
      <c r="CZ832" s="1">
        <v>38097</v>
      </c>
      <c r="DA832">
        <v>0</v>
      </c>
      <c r="DD832" t="s">
        <v>2785</v>
      </c>
      <c r="DG832">
        <v>26</v>
      </c>
      <c r="DJ832" t="s">
        <v>7352</v>
      </c>
      <c r="DL832">
        <v>50502</v>
      </c>
      <c r="DM832" t="s">
        <v>8736</v>
      </c>
      <c r="DO832" t="s">
        <v>8737</v>
      </c>
      <c r="DP832">
        <v>0</v>
      </c>
      <c r="DQ832">
        <v>0</v>
      </c>
      <c r="DR832" t="s">
        <v>411</v>
      </c>
    </row>
    <row r="833" spans="1:284" x14ac:dyDescent="0.25">
      <c r="A833">
        <v>16485840</v>
      </c>
      <c r="B833">
        <v>832</v>
      </c>
      <c r="C833" t="s">
        <v>393</v>
      </c>
      <c r="D833" t="s">
        <v>394</v>
      </c>
      <c r="F833" t="str">
        <f>"26-2N-25-0672-0001-0000"</f>
        <v>26-2N-25-0672-0001-0000</v>
      </c>
      <c r="H833" t="str">
        <f>"GREEN RANDALL B"</f>
        <v>GREEN RANDALL B</v>
      </c>
      <c r="I833" t="str">
        <f>"54137 CHURCH ROAD"</f>
        <v>54137 CHURCH ROAD</v>
      </c>
      <c r="J833" t="str">
        <f t="shared" si="264"/>
        <v>CALLAHAN FL 32011</v>
      </c>
      <c r="K833" t="str">
        <f>"BEAR RUN RD"</f>
        <v>BEAR RUN RD</v>
      </c>
      <c r="L833" t="str">
        <f t="shared" si="250"/>
        <v>CALLAHAN FL 32011</v>
      </c>
      <c r="M833" t="str">
        <f>"LOT 1 GREEN ACRES PB 6/261"</f>
        <v>LOT 1 GREEN ACRES PB 6/261</v>
      </c>
      <c r="N833" t="str">
        <f>""</f>
        <v/>
      </c>
      <c r="O833" t="str">
        <f>"36094"</f>
        <v>36094</v>
      </c>
      <c r="P833" t="str">
        <f t="shared" si="243"/>
        <v>2017</v>
      </c>
      <c r="Q833" t="str">
        <f>""</f>
        <v/>
      </c>
      <c r="R833" t="str">
        <f>"N"</f>
        <v>N</v>
      </c>
      <c r="S833" t="str">
        <f>""</f>
        <v/>
      </c>
      <c r="T833" t="str">
        <f>"419.61"</f>
        <v>419.61</v>
      </c>
      <c r="U833" t="str">
        <f>"27500.00"</f>
        <v>27500.00</v>
      </c>
      <c r="V833" t="str">
        <f>"27500.00"</f>
        <v>27500.00</v>
      </c>
      <c r="W833" t="str">
        <f t="shared" si="244"/>
        <v>2017</v>
      </c>
      <c r="X833" t="str">
        <f>"38.56"</f>
        <v>38.56</v>
      </c>
      <c r="Y833" t="str">
        <f>"464.20"</f>
        <v>464.20</v>
      </c>
      <c r="Z833" t="str">
        <f>""</f>
        <v/>
      </c>
      <c r="AA833" t="str">
        <f>"28000.00"</f>
        <v>28000.00</v>
      </c>
      <c r="AB833" t="str">
        <f t="shared" si="263"/>
        <v>Residential</v>
      </c>
      <c r="AC833" t="str">
        <f t="shared" si="254"/>
        <v>0</v>
      </c>
      <c r="AD833" t="str">
        <f>""</f>
        <v/>
      </c>
      <c r="AE833" t="str">
        <f>""</f>
        <v/>
      </c>
      <c r="AF833" t="str">
        <f>"000"</f>
        <v>000</v>
      </c>
      <c r="AG833" t="str">
        <f t="shared" si="256"/>
        <v>FL</v>
      </c>
      <c r="AH833" t="str">
        <f>"-"</f>
        <v>-</v>
      </c>
      <c r="AI833" t="str">
        <f>"28000.00"</f>
        <v>28000.00</v>
      </c>
      <c r="AJ833" t="str">
        <f>"C55-000-587-4566-2"</f>
        <v>C55-000-587-4566-2</v>
      </c>
      <c r="AK833" t="str">
        <f>"12935"</f>
        <v>12935</v>
      </c>
      <c r="AL833">
        <v>3</v>
      </c>
      <c r="AM833">
        <v>964</v>
      </c>
      <c r="AN833">
        <v>485.81</v>
      </c>
      <c r="AQ833" t="s">
        <v>8738</v>
      </c>
      <c r="AR833" t="s">
        <v>8738</v>
      </c>
      <c r="AS833" t="s">
        <v>8738</v>
      </c>
      <c r="AU833" t="s">
        <v>396</v>
      </c>
      <c r="AV833">
        <v>2017</v>
      </c>
      <c r="AW833" t="str">
        <f>"26-2N-25-0672-0001-0000 "</f>
        <v xml:space="preserve">26-2N-25-0672-0001-0000 </v>
      </c>
      <c r="AZ833" t="s">
        <v>8732</v>
      </c>
      <c r="BA833" t="s">
        <v>496</v>
      </c>
      <c r="BD833" t="s">
        <v>2785</v>
      </c>
      <c r="BE833" t="s">
        <v>393</v>
      </c>
      <c r="BF833">
        <v>32011</v>
      </c>
      <c r="BG833" t="s">
        <v>8739</v>
      </c>
      <c r="BH833" t="s">
        <v>2787</v>
      </c>
      <c r="BI833">
        <v>-81.774240257961594</v>
      </c>
      <c r="BJ833">
        <v>30.567859473096199</v>
      </c>
      <c r="BK833" t="s">
        <v>8740</v>
      </c>
      <c r="BM833" t="s">
        <v>8741</v>
      </c>
      <c r="BN833" t="s">
        <v>928</v>
      </c>
      <c r="BO833">
        <v>32011</v>
      </c>
      <c r="BP833" t="s">
        <v>404</v>
      </c>
      <c r="BQ833">
        <v>0</v>
      </c>
      <c r="BR833" t="s">
        <v>491</v>
      </c>
      <c r="BS833">
        <v>8001</v>
      </c>
      <c r="BT833" t="s">
        <v>492</v>
      </c>
      <c r="BW833">
        <v>43557</v>
      </c>
      <c r="BX833" t="s">
        <v>407</v>
      </c>
      <c r="CD833">
        <v>2017</v>
      </c>
      <c r="CE833">
        <v>28000</v>
      </c>
      <c r="CG833">
        <v>28000</v>
      </c>
      <c r="CH833">
        <v>2017</v>
      </c>
      <c r="CI833">
        <v>28000</v>
      </c>
      <c r="CK833">
        <v>28000</v>
      </c>
      <c r="CL833">
        <v>2017</v>
      </c>
      <c r="CM833">
        <v>419.61</v>
      </c>
      <c r="CN833" s="1">
        <v>37999</v>
      </c>
      <c r="CV833">
        <v>0</v>
      </c>
      <c r="CZ833" s="1">
        <v>37999</v>
      </c>
      <c r="DA833">
        <v>0</v>
      </c>
      <c r="DD833" t="s">
        <v>2785</v>
      </c>
      <c r="DF833">
        <v>1</v>
      </c>
      <c r="DG833">
        <v>26</v>
      </c>
      <c r="DJ833" t="s">
        <v>7352</v>
      </c>
      <c r="DL833">
        <v>50502</v>
      </c>
      <c r="DM833" t="s">
        <v>8736</v>
      </c>
      <c r="DO833" t="s">
        <v>8742</v>
      </c>
      <c r="DP833">
        <v>0</v>
      </c>
      <c r="DQ833">
        <v>0</v>
      </c>
      <c r="DR833" t="s">
        <v>411</v>
      </c>
      <c r="DS833" t="s">
        <v>695</v>
      </c>
      <c r="EJ833">
        <v>0</v>
      </c>
      <c r="EK833">
        <v>0</v>
      </c>
      <c r="EP833" t="s">
        <v>421</v>
      </c>
      <c r="EQ833" t="s">
        <v>422</v>
      </c>
      <c r="ER833">
        <v>0</v>
      </c>
      <c r="ES833">
        <v>7</v>
      </c>
      <c r="ET833">
        <v>0</v>
      </c>
      <c r="EU833">
        <v>0</v>
      </c>
      <c r="EV833">
        <v>0</v>
      </c>
      <c r="EW833" s="2">
        <v>43222</v>
      </c>
      <c r="EX833" s="1">
        <v>42151</v>
      </c>
      <c r="EY833">
        <v>2014</v>
      </c>
      <c r="EZ833">
        <v>449.29</v>
      </c>
      <c r="FA833" t="s">
        <v>8743</v>
      </c>
      <c r="FB833">
        <v>5</v>
      </c>
      <c r="FC833" t="s">
        <v>424</v>
      </c>
      <c r="FD833" t="s">
        <v>425</v>
      </c>
      <c r="FE833" s="1">
        <v>42429</v>
      </c>
      <c r="FF833">
        <v>9</v>
      </c>
      <c r="FG833">
        <v>10125</v>
      </c>
      <c r="FH833" t="s">
        <v>440</v>
      </c>
      <c r="FJ833" s="1">
        <v>41787</v>
      </c>
      <c r="FK833">
        <v>2013</v>
      </c>
      <c r="FL833">
        <v>426.45</v>
      </c>
      <c r="FM833" t="s">
        <v>8744</v>
      </c>
      <c r="FN833">
        <v>13.25</v>
      </c>
      <c r="FO833" t="s">
        <v>424</v>
      </c>
      <c r="FP833" t="s">
        <v>425</v>
      </c>
      <c r="FQ833" s="1">
        <v>42429</v>
      </c>
      <c r="FR833">
        <v>21</v>
      </c>
      <c r="FS833">
        <v>10125</v>
      </c>
      <c r="FT833" t="s">
        <v>440</v>
      </c>
      <c r="FV833" s="1">
        <v>41787</v>
      </c>
      <c r="FW833">
        <v>2012</v>
      </c>
      <c r="FX833">
        <v>503.06</v>
      </c>
      <c r="FY833" t="s">
        <v>8745</v>
      </c>
      <c r="FZ833">
        <v>12.5</v>
      </c>
      <c r="GA833" t="s">
        <v>424</v>
      </c>
      <c r="GB833" t="s">
        <v>425</v>
      </c>
      <c r="GC833" s="1">
        <v>42429</v>
      </c>
      <c r="GD833">
        <v>21</v>
      </c>
      <c r="GE833">
        <v>10125</v>
      </c>
      <c r="GF833" t="s">
        <v>440</v>
      </c>
      <c r="GH833" s="1">
        <v>41052</v>
      </c>
      <c r="GI833">
        <v>2011</v>
      </c>
      <c r="GJ833">
        <v>513.99</v>
      </c>
      <c r="GK833" t="s">
        <v>8746</v>
      </c>
      <c r="GL833">
        <v>14.75</v>
      </c>
      <c r="GM833" t="s">
        <v>424</v>
      </c>
      <c r="GN833" t="s">
        <v>425</v>
      </c>
      <c r="GO833" s="1">
        <v>42429</v>
      </c>
      <c r="GP833">
        <v>45</v>
      </c>
      <c r="GQ833">
        <v>10125</v>
      </c>
      <c r="GR833" t="s">
        <v>440</v>
      </c>
      <c r="GT833" s="1">
        <v>40688</v>
      </c>
      <c r="GU833">
        <v>2010</v>
      </c>
      <c r="GV833">
        <v>515.73</v>
      </c>
      <c r="GW833" t="s">
        <v>8747</v>
      </c>
      <c r="GX833">
        <v>8.25</v>
      </c>
      <c r="GY833" t="s">
        <v>424</v>
      </c>
      <c r="GZ833" t="s">
        <v>425</v>
      </c>
      <c r="HB833">
        <v>22</v>
      </c>
      <c r="HC833">
        <v>15175</v>
      </c>
      <c r="HD833" t="s">
        <v>588</v>
      </c>
      <c r="HF833" s="1">
        <v>40688</v>
      </c>
      <c r="HG833">
        <v>2010</v>
      </c>
      <c r="HH833">
        <v>515.73</v>
      </c>
      <c r="HI833" t="s">
        <v>8747</v>
      </c>
      <c r="HJ833">
        <v>8.25</v>
      </c>
      <c r="HK833" t="s">
        <v>424</v>
      </c>
      <c r="HL833" t="s">
        <v>425</v>
      </c>
      <c r="HN833">
        <v>22</v>
      </c>
      <c r="HO833">
        <v>10548</v>
      </c>
      <c r="HP833" t="s">
        <v>589</v>
      </c>
      <c r="HR833" s="1">
        <v>40688</v>
      </c>
      <c r="HS833">
        <v>2010</v>
      </c>
      <c r="HT833">
        <v>515.73</v>
      </c>
      <c r="HU833" t="s">
        <v>8747</v>
      </c>
      <c r="HV833">
        <v>8.25</v>
      </c>
      <c r="HW833" t="s">
        <v>424</v>
      </c>
      <c r="HX833" t="s">
        <v>425</v>
      </c>
      <c r="HY833" s="1">
        <v>42429</v>
      </c>
      <c r="HZ833">
        <v>57</v>
      </c>
      <c r="IA833">
        <v>11325</v>
      </c>
      <c r="IB833" t="s">
        <v>2402</v>
      </c>
    </row>
    <row r="834" spans="1:284" x14ac:dyDescent="0.25">
      <c r="A834">
        <v>16485841</v>
      </c>
      <c r="B834">
        <v>833</v>
      </c>
      <c r="C834" t="s">
        <v>393</v>
      </c>
      <c r="D834" t="s">
        <v>394</v>
      </c>
      <c r="F834" t="str">
        <f>"27-2N-25-0000-0004-0280"</f>
        <v>27-2N-25-0000-0004-0280</v>
      </c>
      <c r="H834" t="str">
        <f>"WALKER GEORGE T SR &amp; WALKER JOYCE E"</f>
        <v>WALKER GEORGE T SR &amp; WALKER JOYCE E</v>
      </c>
      <c r="I834" t="str">
        <f>"54593 MARSH RD"</f>
        <v>54593 MARSH RD</v>
      </c>
      <c r="J834" t="str">
        <f t="shared" si="264"/>
        <v>CALLAHAN FL 32011</v>
      </c>
      <c r="K834" t="str">
        <f>"54593 MARSH RD"</f>
        <v>54593 MARSH RD</v>
      </c>
      <c r="L834" t="str">
        <f t="shared" si="250"/>
        <v>CALLAHAN FL 32011</v>
      </c>
      <c r="M834" t="str">
        <f>"IN OR 892/575 R673141 &amp; R673142"</f>
        <v>IN OR 892/575 R673141 &amp; R673142</v>
      </c>
      <c r="N834" t="str">
        <f>""</f>
        <v/>
      </c>
      <c r="O834" t="str">
        <f>"37112"</f>
        <v>37112</v>
      </c>
      <c r="P834" t="str">
        <f t="shared" ref="P834:P897" si="265">"2017"</f>
        <v>2017</v>
      </c>
      <c r="Q834" t="str">
        <f>""</f>
        <v/>
      </c>
      <c r="R834" t="str">
        <f>"Y"</f>
        <v>Y</v>
      </c>
      <c r="S834" t="str">
        <f>"1.71"</f>
        <v>1.71</v>
      </c>
      <c r="T834" t="str">
        <f>"561.79"</f>
        <v>561.79</v>
      </c>
      <c r="U834" t="str">
        <f>"60043.00"</f>
        <v>60043.00</v>
      </c>
      <c r="V834" t="str">
        <f>"60043.00"</f>
        <v>60043.00</v>
      </c>
      <c r="W834" t="str">
        <f t="shared" ref="W834:W897" si="266">"2017"</f>
        <v>2017</v>
      </c>
      <c r="X834" t="str">
        <f>""</f>
        <v/>
      </c>
      <c r="Y834" t="str">
        <f>"610.64"</f>
        <v>610.64</v>
      </c>
      <c r="Z834" t="str">
        <f>"25000.00"</f>
        <v>25000.00</v>
      </c>
      <c r="AA834" t="str">
        <f>"39783.00"</f>
        <v>39783.00</v>
      </c>
      <c r="AB834" t="str">
        <f t="shared" si="263"/>
        <v>Residential</v>
      </c>
      <c r="AC834" t="str">
        <f t="shared" si="254"/>
        <v>0</v>
      </c>
      <c r="AD834" t="str">
        <f t="shared" ref="AD834:AD843" si="267">"4"</f>
        <v>4</v>
      </c>
      <c r="AE834" t="str">
        <f t="shared" ref="AE834:AE843" si="268">"WOOD (INCLUDE STEEL STUDS)"</f>
        <v>WOOD (INCLUDE STEEL STUDS)</v>
      </c>
      <c r="AF834" t="str">
        <f>"002"</f>
        <v>002</v>
      </c>
      <c r="AG834" t="str">
        <f t="shared" si="256"/>
        <v>FL</v>
      </c>
      <c r="AH834" t="str">
        <f>"74487.00"</f>
        <v>74487.00</v>
      </c>
      <c r="AI834" t="str">
        <f>"25650.00"</f>
        <v>25650.00</v>
      </c>
      <c r="AJ834" t="str">
        <f>"C55-000-587-4828-6"</f>
        <v>C55-000-587-4828-6</v>
      </c>
      <c r="AK834" t="str">
        <f>"12981"</f>
        <v>12981</v>
      </c>
      <c r="AL834">
        <v>3</v>
      </c>
      <c r="AM834">
        <v>966</v>
      </c>
      <c r="AN834">
        <v>639.57000000000005</v>
      </c>
      <c r="AQ834" t="s">
        <v>8748</v>
      </c>
      <c r="AR834" t="s">
        <v>8748</v>
      </c>
      <c r="AS834" t="s">
        <v>8748</v>
      </c>
      <c r="AU834" t="s">
        <v>396</v>
      </c>
      <c r="AV834">
        <v>2017</v>
      </c>
      <c r="AW834" t="str">
        <f>"27-2N-25-0000-0004-0280 "</f>
        <v xml:space="preserve">27-2N-25-0000-0004-0280 </v>
      </c>
      <c r="AX834">
        <v>54593</v>
      </c>
      <c r="AZ834" t="s">
        <v>8749</v>
      </c>
      <c r="BA834" t="s">
        <v>496</v>
      </c>
      <c r="BD834" t="s">
        <v>2785</v>
      </c>
      <c r="BE834" t="s">
        <v>393</v>
      </c>
      <c r="BF834">
        <v>32011</v>
      </c>
      <c r="BG834" t="s">
        <v>8750</v>
      </c>
      <c r="BH834" t="s">
        <v>2787</v>
      </c>
      <c r="BI834">
        <v>-81.798401974003397</v>
      </c>
      <c r="BJ834">
        <v>30.557881165225801</v>
      </c>
      <c r="BK834" t="s">
        <v>8751</v>
      </c>
      <c r="BL834" t="s">
        <v>8752</v>
      </c>
      <c r="BM834" t="s">
        <v>8750</v>
      </c>
      <c r="BN834" t="s">
        <v>928</v>
      </c>
      <c r="BO834">
        <v>32011</v>
      </c>
      <c r="BP834" t="s">
        <v>416</v>
      </c>
      <c r="BQ834">
        <v>200</v>
      </c>
      <c r="BR834" t="s">
        <v>405</v>
      </c>
      <c r="BS834">
        <v>1006</v>
      </c>
      <c r="BT834" t="s">
        <v>406</v>
      </c>
      <c r="BW834">
        <v>74487</v>
      </c>
      <c r="BX834" t="s">
        <v>407</v>
      </c>
      <c r="BZ834">
        <v>4</v>
      </c>
      <c r="CA834">
        <v>1997</v>
      </c>
      <c r="CB834">
        <v>1</v>
      </c>
      <c r="CC834">
        <v>1</v>
      </c>
      <c r="CD834">
        <v>2017</v>
      </c>
      <c r="CG834">
        <v>64783</v>
      </c>
      <c r="CH834">
        <v>2017</v>
      </c>
      <c r="CI834">
        <v>25650</v>
      </c>
      <c r="CJ834">
        <v>46952</v>
      </c>
      <c r="CK834">
        <v>72602</v>
      </c>
      <c r="CL834">
        <v>2017</v>
      </c>
      <c r="CM834">
        <v>561.79</v>
      </c>
      <c r="CN834" s="1">
        <v>36363</v>
      </c>
      <c r="CO834">
        <v>7900</v>
      </c>
      <c r="CZ834" s="1">
        <v>36363</v>
      </c>
      <c r="DD834" t="s">
        <v>2785</v>
      </c>
      <c r="DG834">
        <v>27</v>
      </c>
      <c r="DL834">
        <v>50502</v>
      </c>
      <c r="DM834" t="s">
        <v>8753</v>
      </c>
      <c r="DO834" t="s">
        <v>8754</v>
      </c>
      <c r="DP834">
        <v>0</v>
      </c>
      <c r="DQ834">
        <v>0</v>
      </c>
      <c r="DR834" t="s">
        <v>411</v>
      </c>
    </row>
    <row r="835" spans="1:284" x14ac:dyDescent="0.25">
      <c r="A835">
        <v>16485842</v>
      </c>
      <c r="B835">
        <v>834</v>
      </c>
      <c r="C835" t="s">
        <v>393</v>
      </c>
      <c r="D835" t="s">
        <v>394</v>
      </c>
      <c r="F835" t="str">
        <f>"27-2N-25-0000-0004-0300"</f>
        <v>27-2N-25-0000-0004-0300</v>
      </c>
      <c r="H835" t="str">
        <f>"RAY RICHARD C"</f>
        <v>RAY RICHARD C</v>
      </c>
      <c r="I835" t="str">
        <f>"44152 SWALLOWFORK AVE"</f>
        <v>44152 SWALLOWFORK AVE</v>
      </c>
      <c r="J835" t="str">
        <f t="shared" si="264"/>
        <v>CALLAHAN FL 32011</v>
      </c>
      <c r="K835" t="str">
        <f>"54481 MARSH RD"</f>
        <v>54481 MARSH RD</v>
      </c>
      <c r="L835" t="str">
        <f t="shared" si="250"/>
        <v>CALLAHAN FL 32011</v>
      </c>
      <c r="M835" t="str">
        <f>"IN OR 818/1013 &amp; OR 1429/1966 R672485 &amp; R672486"</f>
        <v>IN OR 818/1013 &amp; OR 1429/1966 R672485 &amp; R672486</v>
      </c>
      <c r="N835" t="str">
        <f>""</f>
        <v/>
      </c>
      <c r="O835" t="str">
        <f>"37114"</f>
        <v>37114</v>
      </c>
      <c r="P835" t="str">
        <f t="shared" si="265"/>
        <v>2017</v>
      </c>
      <c r="Q835" t="str">
        <f>""</f>
        <v/>
      </c>
      <c r="R835" t="str">
        <f>"N"</f>
        <v>N</v>
      </c>
      <c r="S835" t="str">
        <f>"1.22"</f>
        <v>1.22</v>
      </c>
      <c r="T835" t="str">
        <f>"516.43"</f>
        <v>516.43</v>
      </c>
      <c r="U835" t="str">
        <f>"31940.00"</f>
        <v>31940.00</v>
      </c>
      <c r="V835" t="str">
        <f>"31940.00"</f>
        <v>31940.00</v>
      </c>
      <c r="W835" t="str">
        <f t="shared" si="266"/>
        <v>2017</v>
      </c>
      <c r="X835" t="str">
        <f>""</f>
        <v/>
      </c>
      <c r="Y835" t="str">
        <f>"563.92"</f>
        <v>563.92</v>
      </c>
      <c r="Z835" t="str">
        <f>""</f>
        <v/>
      </c>
      <c r="AA835" t="str">
        <f>"36926.00"</f>
        <v>36926.00</v>
      </c>
      <c r="AB835" t="str">
        <f t="shared" si="263"/>
        <v>Residential</v>
      </c>
      <c r="AC835" t="str">
        <f t="shared" si="254"/>
        <v>0</v>
      </c>
      <c r="AD835" t="str">
        <f t="shared" si="267"/>
        <v>4</v>
      </c>
      <c r="AE835" t="str">
        <f t="shared" si="268"/>
        <v>WOOD (INCLUDE STEEL STUDS)</v>
      </c>
      <c r="AF835" t="str">
        <f>"002"</f>
        <v>002</v>
      </c>
      <c r="AG835" t="str">
        <f t="shared" si="256"/>
        <v>FL</v>
      </c>
      <c r="AH835" t="str">
        <f>"53143.00"</f>
        <v>53143.00</v>
      </c>
      <c r="AI835" t="str">
        <f>"18300.00"</f>
        <v>18300.00</v>
      </c>
      <c r="AJ835" t="str">
        <f>"C55-000-587-4830-2"</f>
        <v>C55-000-587-4830-2</v>
      </c>
      <c r="AK835" t="str">
        <f>"12983"</f>
        <v>12983</v>
      </c>
      <c r="AL835">
        <v>3</v>
      </c>
      <c r="AM835">
        <v>967</v>
      </c>
      <c r="AN835">
        <v>590.52</v>
      </c>
      <c r="AQ835" t="s">
        <v>8755</v>
      </c>
      <c r="AR835" t="s">
        <v>8755</v>
      </c>
      <c r="AS835" t="s">
        <v>8755</v>
      </c>
      <c r="AU835" t="s">
        <v>396</v>
      </c>
      <c r="AV835">
        <v>2017</v>
      </c>
      <c r="AW835" t="str">
        <f>"27-2N-25-0000-0004-0300 "</f>
        <v xml:space="preserve">27-2N-25-0000-0004-0300 </v>
      </c>
      <c r="AX835">
        <v>54481</v>
      </c>
      <c r="AZ835" t="s">
        <v>8749</v>
      </c>
      <c r="BA835" t="s">
        <v>496</v>
      </c>
      <c r="BD835" t="s">
        <v>2785</v>
      </c>
      <c r="BE835" t="s">
        <v>393</v>
      </c>
      <c r="BF835">
        <v>32011</v>
      </c>
      <c r="BG835" t="s">
        <v>8756</v>
      </c>
      <c r="BH835" t="s">
        <v>2787</v>
      </c>
      <c r="BI835">
        <v>-81.798019280189294</v>
      </c>
      <c r="BJ835">
        <v>30.557253726209101</v>
      </c>
      <c r="BK835" t="s">
        <v>8757</v>
      </c>
      <c r="BM835" t="s">
        <v>7685</v>
      </c>
      <c r="BN835" t="s">
        <v>928</v>
      </c>
      <c r="BO835">
        <v>32011</v>
      </c>
      <c r="BP835" t="s">
        <v>404</v>
      </c>
      <c r="BQ835">
        <v>200</v>
      </c>
      <c r="BR835" t="s">
        <v>405</v>
      </c>
      <c r="BS835">
        <v>1006</v>
      </c>
      <c r="BT835" t="s">
        <v>406</v>
      </c>
      <c r="BW835">
        <v>53143</v>
      </c>
      <c r="BX835" t="s">
        <v>407</v>
      </c>
      <c r="BZ835">
        <v>4</v>
      </c>
      <c r="CA835">
        <v>1987</v>
      </c>
      <c r="CB835">
        <v>1</v>
      </c>
      <c r="CC835">
        <v>1</v>
      </c>
      <c r="CD835">
        <v>2017</v>
      </c>
      <c r="CE835">
        <v>18300</v>
      </c>
      <c r="CF835">
        <v>18626</v>
      </c>
      <c r="CG835">
        <v>36926</v>
      </c>
      <c r="CH835">
        <v>2017</v>
      </c>
      <c r="CI835">
        <v>18300</v>
      </c>
      <c r="CJ835">
        <v>18626</v>
      </c>
      <c r="CK835">
        <v>36926</v>
      </c>
      <c r="CL835">
        <v>2017</v>
      </c>
      <c r="CM835">
        <v>516.42999999999995</v>
      </c>
      <c r="CN835" s="1">
        <v>38922</v>
      </c>
      <c r="CV835">
        <v>0</v>
      </c>
      <c r="CZ835" s="1">
        <v>38922</v>
      </c>
      <c r="DA835">
        <v>0</v>
      </c>
      <c r="DD835" t="s">
        <v>2785</v>
      </c>
      <c r="DG835">
        <v>27</v>
      </c>
      <c r="DL835">
        <v>50502</v>
      </c>
      <c r="DM835" t="s">
        <v>8753</v>
      </c>
      <c r="DO835" t="s">
        <v>8758</v>
      </c>
      <c r="DP835">
        <v>0</v>
      </c>
      <c r="DQ835">
        <v>0</v>
      </c>
      <c r="DR835" t="s">
        <v>411</v>
      </c>
      <c r="EP835" t="s">
        <v>421</v>
      </c>
      <c r="EQ835" t="s">
        <v>422</v>
      </c>
      <c r="ER835">
        <v>1</v>
      </c>
      <c r="ES835">
        <v>0</v>
      </c>
      <c r="ET835">
        <v>509.06</v>
      </c>
      <c r="EU835">
        <v>31.7</v>
      </c>
      <c r="EV835">
        <v>540.76</v>
      </c>
      <c r="EW835" s="2">
        <v>43222</v>
      </c>
      <c r="EX835" s="1">
        <v>42879</v>
      </c>
      <c r="EY835">
        <v>2016</v>
      </c>
      <c r="EZ835">
        <v>509.06</v>
      </c>
      <c r="FA835" t="s">
        <v>8759</v>
      </c>
      <c r="FB835">
        <v>0.25</v>
      </c>
      <c r="FC835" t="s">
        <v>424</v>
      </c>
      <c r="FD835" t="s">
        <v>454</v>
      </c>
      <c r="FF835">
        <v>12</v>
      </c>
      <c r="FG835">
        <v>7336745</v>
      </c>
      <c r="FH835" t="s">
        <v>502</v>
      </c>
    </row>
    <row r="836" spans="1:284" x14ac:dyDescent="0.25">
      <c r="A836">
        <v>16485843</v>
      </c>
      <c r="B836">
        <v>835</v>
      </c>
      <c r="C836" t="s">
        <v>393</v>
      </c>
      <c r="D836" t="s">
        <v>394</v>
      </c>
      <c r="F836" t="str">
        <f>"27-2N-25-0000-0005-0050"</f>
        <v>27-2N-25-0000-0005-0050</v>
      </c>
      <c r="H836" t="str">
        <f>"SCARBOROUGH GLENDA L"</f>
        <v>SCARBOROUGH GLENDA L</v>
      </c>
      <c r="I836" t="str">
        <f>"54388 MARSH ROAD"</f>
        <v>54388 MARSH ROAD</v>
      </c>
      <c r="J836" t="str">
        <f t="shared" si="264"/>
        <v>CALLAHAN FL 32011</v>
      </c>
      <c r="K836" t="str">
        <f>"54388 MARSH RD"</f>
        <v>54388 MARSH RD</v>
      </c>
      <c r="L836" t="str">
        <f t="shared" si="250"/>
        <v>CALLAHAN FL 32011</v>
      </c>
      <c r="M836" t="str">
        <f>"PT OF GOVT LOTS 4 &amp; 5 IN OR 1716/1322 EX 5-8 ESMT IN OR 409/25 R673282 &amp; 1982/SHOW/SW/MH"</f>
        <v>PT OF GOVT LOTS 4 &amp; 5 IN OR 1716/1322 EX 5-8 ESMT IN OR 409/25 R673282 &amp; 1982/SHOW/SW/MH</v>
      </c>
      <c r="N836" t="str">
        <f>""</f>
        <v/>
      </c>
      <c r="O836" t="str">
        <f>"37118"</f>
        <v>37118</v>
      </c>
      <c r="P836" t="str">
        <f t="shared" si="265"/>
        <v>2017</v>
      </c>
      <c r="Q836" t="str">
        <f>""</f>
        <v/>
      </c>
      <c r="R836" t="str">
        <f>"Y"</f>
        <v>Y</v>
      </c>
      <c r="S836" t="str">
        <f>"2.88"</f>
        <v>2.88</v>
      </c>
      <c r="T836" t="str">
        <f>"402.02"</f>
        <v>402.02</v>
      </c>
      <c r="U836" t="str">
        <f>"51556.00"</f>
        <v>51556.00</v>
      </c>
      <c r="V836" t="str">
        <f>"51556.00"</f>
        <v>51556.00</v>
      </c>
      <c r="W836" t="str">
        <f t="shared" si="266"/>
        <v>2017</v>
      </c>
      <c r="X836" t="str">
        <f>""</f>
        <v/>
      </c>
      <c r="Y836" t="str">
        <f>"446.08"</f>
        <v>446.08</v>
      </c>
      <c r="Z836" t="str">
        <f>"25000.00"</f>
        <v>25000.00</v>
      </c>
      <c r="AA836" t="str">
        <f>"26556.00"</f>
        <v>26556.00</v>
      </c>
      <c r="AB836" t="str">
        <f t="shared" si="263"/>
        <v>Residential</v>
      </c>
      <c r="AC836" t="str">
        <f t="shared" si="254"/>
        <v>0</v>
      </c>
      <c r="AD836" t="str">
        <f t="shared" si="267"/>
        <v>4</v>
      </c>
      <c r="AE836" t="str">
        <f t="shared" si="268"/>
        <v>WOOD (INCLUDE STEEL STUDS)</v>
      </c>
      <c r="AF836" t="str">
        <f>"002"</f>
        <v>002</v>
      </c>
      <c r="AG836" t="str">
        <f t="shared" si="256"/>
        <v>FL</v>
      </c>
      <c r="AH836" t="str">
        <f>"125452.00"</f>
        <v>125452.00</v>
      </c>
      <c r="AI836" t="str">
        <f>"34560.00"</f>
        <v>34560.00</v>
      </c>
      <c r="AJ836" t="str">
        <f>"C55-000-587-4834-4"</f>
        <v>C55-000-587-4834-4</v>
      </c>
      <c r="AK836" t="str">
        <f>"12987"</f>
        <v>12987</v>
      </c>
      <c r="AL836">
        <v>3</v>
      </c>
      <c r="AM836">
        <v>968</v>
      </c>
      <c r="AN836">
        <v>466.78</v>
      </c>
      <c r="AQ836" t="s">
        <v>8760</v>
      </c>
      <c r="AR836" t="s">
        <v>8760</v>
      </c>
      <c r="AS836" t="s">
        <v>8760</v>
      </c>
      <c r="AU836" t="s">
        <v>396</v>
      </c>
      <c r="AV836">
        <v>2017</v>
      </c>
      <c r="AW836" t="str">
        <f>"27-2N-25-0000-0005-0050 "</f>
        <v xml:space="preserve">27-2N-25-0000-0005-0050 </v>
      </c>
      <c r="AX836">
        <v>54388</v>
      </c>
      <c r="AZ836" t="s">
        <v>8749</v>
      </c>
      <c r="BA836" t="s">
        <v>496</v>
      </c>
      <c r="BD836" t="s">
        <v>2785</v>
      </c>
      <c r="BE836" t="s">
        <v>393</v>
      </c>
      <c r="BF836">
        <v>32011</v>
      </c>
      <c r="BG836" t="s">
        <v>8761</v>
      </c>
      <c r="BH836" t="s">
        <v>2787</v>
      </c>
      <c r="BI836">
        <v>-81.7960250638167</v>
      </c>
      <c r="BJ836">
        <v>30.556283645548401</v>
      </c>
      <c r="BK836" t="s">
        <v>8762</v>
      </c>
      <c r="BM836" t="s">
        <v>8761</v>
      </c>
      <c r="BN836" t="s">
        <v>928</v>
      </c>
      <c r="BO836">
        <v>32011</v>
      </c>
      <c r="BP836" t="s">
        <v>416</v>
      </c>
      <c r="BQ836">
        <v>200</v>
      </c>
      <c r="BR836" t="s">
        <v>405</v>
      </c>
      <c r="BS836">
        <v>1006</v>
      </c>
      <c r="BT836" t="s">
        <v>406</v>
      </c>
      <c r="BW836">
        <v>125452</v>
      </c>
      <c r="BX836" t="s">
        <v>407</v>
      </c>
      <c r="BY836" t="s">
        <v>408</v>
      </c>
      <c r="BZ836">
        <v>4</v>
      </c>
      <c r="CA836">
        <v>1988</v>
      </c>
      <c r="CB836">
        <v>1</v>
      </c>
      <c r="CC836">
        <v>2</v>
      </c>
      <c r="CD836">
        <v>2017</v>
      </c>
      <c r="CG836">
        <v>51556</v>
      </c>
      <c r="CH836">
        <v>2017</v>
      </c>
      <c r="CI836">
        <v>34560</v>
      </c>
      <c r="CJ836">
        <v>29231</v>
      </c>
      <c r="CK836">
        <v>63791</v>
      </c>
      <c r="CL836">
        <v>2017</v>
      </c>
      <c r="CM836">
        <v>402.02</v>
      </c>
      <c r="CN836" s="1">
        <v>40540</v>
      </c>
      <c r="CO836">
        <v>75000</v>
      </c>
      <c r="CV836">
        <v>75000</v>
      </c>
      <c r="CX836" t="s">
        <v>707</v>
      </c>
      <c r="CZ836" s="1">
        <v>40540</v>
      </c>
      <c r="DA836">
        <v>0</v>
      </c>
      <c r="DD836" t="s">
        <v>2785</v>
      </c>
      <c r="DG836">
        <v>27</v>
      </c>
      <c r="DL836">
        <v>50502</v>
      </c>
      <c r="DM836" t="s">
        <v>8753</v>
      </c>
      <c r="DO836" t="s">
        <v>8763</v>
      </c>
      <c r="DP836">
        <v>0</v>
      </c>
      <c r="DQ836">
        <v>0</v>
      </c>
      <c r="DR836" t="s">
        <v>411</v>
      </c>
    </row>
    <row r="837" spans="1:284" x14ac:dyDescent="0.25">
      <c r="A837">
        <v>16485844</v>
      </c>
      <c r="B837">
        <v>836</v>
      </c>
      <c r="C837" t="s">
        <v>393</v>
      </c>
      <c r="D837" t="s">
        <v>394</v>
      </c>
      <c r="F837" t="str">
        <f>"27-2N-25-8600-0003-0000"</f>
        <v>27-2N-25-8600-0003-0000</v>
      </c>
      <c r="H837" t="str">
        <f>"PARKERSON RHETT P &amp; TANYA D"</f>
        <v>PARKERSON RHETT P &amp; TANYA D</v>
      </c>
      <c r="I837" t="str">
        <f>"55138 PEACEFUL TRAIL DRIVE"</f>
        <v>55138 PEACEFUL TRAIL DRIVE</v>
      </c>
      <c r="J837" t="str">
        <f t="shared" si="264"/>
        <v>CALLAHAN FL 32011</v>
      </c>
      <c r="K837" t="str">
        <f>"55138 PEACEFUL TRAIL DR"</f>
        <v>55138 PEACEFUL TRAIL DR</v>
      </c>
      <c r="L837" t="str">
        <f t="shared" si="250"/>
        <v>CALLAHAN FL 32011</v>
      </c>
      <c r="M837" t="str">
        <f>"LOT 3 IN OR 1257/829 THE TRAILS PB 6/296"</f>
        <v>LOT 3 IN OR 1257/829 THE TRAILS PB 6/296</v>
      </c>
      <c r="N837" t="str">
        <f>""</f>
        <v/>
      </c>
      <c r="O837" t="str">
        <f>"37130"</f>
        <v>37130</v>
      </c>
      <c r="P837" t="str">
        <f t="shared" si="265"/>
        <v>2017</v>
      </c>
      <c r="Q837" t="str">
        <f>""</f>
        <v/>
      </c>
      <c r="R837" t="str">
        <f>"Y"</f>
        <v>Y</v>
      </c>
      <c r="S837" t="str">
        <f>""</f>
        <v/>
      </c>
      <c r="T837" t="str">
        <f>"1681.26"</f>
        <v>1681.26</v>
      </c>
      <c r="U837" t="str">
        <f>"150160.00"</f>
        <v>150160.00</v>
      </c>
      <c r="V837" t="str">
        <f>"150160.00"</f>
        <v>150160.00</v>
      </c>
      <c r="W837" t="str">
        <f t="shared" si="266"/>
        <v>2017</v>
      </c>
      <c r="X837" t="str">
        <f>"15.17"</f>
        <v>15.17</v>
      </c>
      <c r="Y837" t="str">
        <f>"1763.70"</f>
        <v>1763.70</v>
      </c>
      <c r="Z837" t="str">
        <f>"25000.00"</f>
        <v>25000.00</v>
      </c>
      <c r="AA837" t="str">
        <f>"125160.00"</f>
        <v>125160.00</v>
      </c>
      <c r="AB837" t="str">
        <f t="shared" si="263"/>
        <v>Residential</v>
      </c>
      <c r="AC837" t="str">
        <f t="shared" si="254"/>
        <v>0</v>
      </c>
      <c r="AD837" t="str">
        <f t="shared" si="267"/>
        <v>4</v>
      </c>
      <c r="AE837" t="str">
        <f t="shared" si="268"/>
        <v>WOOD (INCLUDE STEEL STUDS)</v>
      </c>
      <c r="AF837" t="str">
        <f>"001"</f>
        <v>001</v>
      </c>
      <c r="AG837" t="str">
        <f t="shared" si="256"/>
        <v>FL</v>
      </c>
      <c r="AH837" t="str">
        <f>"56628.00"</f>
        <v>56628.00</v>
      </c>
      <c r="AI837" t="str">
        <f>"30000.00"</f>
        <v>30000.00</v>
      </c>
      <c r="AJ837" t="str">
        <f>"C55-000-588-8647-4"</f>
        <v>C55-000-588-8647-4</v>
      </c>
      <c r="AK837" t="str">
        <f>"12997"</f>
        <v>12997</v>
      </c>
      <c r="AL837">
        <v>3</v>
      </c>
      <c r="AM837">
        <v>969</v>
      </c>
      <c r="AN837">
        <v>1850.29</v>
      </c>
      <c r="AQ837" t="s">
        <v>8764</v>
      </c>
      <c r="AR837" t="s">
        <v>8764</v>
      </c>
      <c r="AS837" t="s">
        <v>8764</v>
      </c>
      <c r="AU837" t="s">
        <v>396</v>
      </c>
      <c r="AV837">
        <v>2017</v>
      </c>
      <c r="AW837" t="str">
        <f>"27-2N-25-8600-0003-0000 "</f>
        <v xml:space="preserve">27-2N-25-8600-0003-0000 </v>
      </c>
      <c r="AX837">
        <v>55138</v>
      </c>
      <c r="AZ837" t="s">
        <v>8765</v>
      </c>
      <c r="BA837" t="s">
        <v>669</v>
      </c>
      <c r="BD837" t="s">
        <v>2785</v>
      </c>
      <c r="BE837" t="s">
        <v>393</v>
      </c>
      <c r="BF837">
        <v>32011</v>
      </c>
      <c r="BG837" t="s">
        <v>8766</v>
      </c>
      <c r="BH837" t="s">
        <v>2787</v>
      </c>
      <c r="BI837">
        <v>-81.798380475413794</v>
      </c>
      <c r="BJ837">
        <v>30.563365190064101</v>
      </c>
      <c r="BK837" t="s">
        <v>8767</v>
      </c>
      <c r="BL837" t="s">
        <v>8768</v>
      </c>
      <c r="BM837" t="s">
        <v>8766</v>
      </c>
      <c r="BN837" t="s">
        <v>928</v>
      </c>
      <c r="BO837">
        <v>32011</v>
      </c>
      <c r="BP837" t="s">
        <v>416</v>
      </c>
      <c r="BQ837">
        <v>100</v>
      </c>
      <c r="BR837" t="s">
        <v>514</v>
      </c>
      <c r="BS837">
        <v>1001</v>
      </c>
      <c r="BT837" t="s">
        <v>515</v>
      </c>
      <c r="BW837">
        <v>56628</v>
      </c>
      <c r="BX837" t="s">
        <v>407</v>
      </c>
      <c r="BY837" t="s">
        <v>408</v>
      </c>
      <c r="BZ837">
        <v>4</v>
      </c>
      <c r="CA837">
        <v>2004</v>
      </c>
      <c r="CB837">
        <v>1</v>
      </c>
      <c r="CC837">
        <v>1</v>
      </c>
      <c r="CD837">
        <v>2017</v>
      </c>
      <c r="CG837">
        <v>150160</v>
      </c>
      <c r="CH837">
        <v>2017</v>
      </c>
      <c r="CI837">
        <v>30000</v>
      </c>
      <c r="CJ837">
        <v>131813</v>
      </c>
      <c r="CK837">
        <v>161813</v>
      </c>
      <c r="CL837">
        <v>2017</v>
      </c>
      <c r="CM837">
        <v>1681.26</v>
      </c>
      <c r="CN837" s="1">
        <v>38238</v>
      </c>
      <c r="CO837">
        <v>179900</v>
      </c>
      <c r="CV837">
        <v>176400</v>
      </c>
      <c r="CX837" t="s">
        <v>707</v>
      </c>
      <c r="CZ837" s="1">
        <v>38238</v>
      </c>
      <c r="DA837">
        <v>0</v>
      </c>
      <c r="DD837" t="s">
        <v>2785</v>
      </c>
      <c r="DF837">
        <v>3</v>
      </c>
      <c r="DG837">
        <v>27</v>
      </c>
      <c r="DJ837" t="s">
        <v>8769</v>
      </c>
      <c r="DL837">
        <v>50502</v>
      </c>
      <c r="DM837" t="s">
        <v>8753</v>
      </c>
      <c r="DO837" t="s">
        <v>8770</v>
      </c>
      <c r="DP837">
        <v>0</v>
      </c>
      <c r="DQ837">
        <v>0</v>
      </c>
      <c r="DR837" t="s">
        <v>411</v>
      </c>
      <c r="DS837" t="b">
        <v>1</v>
      </c>
      <c r="DT837" t="s">
        <v>470</v>
      </c>
      <c r="DU837" t="s">
        <v>471</v>
      </c>
      <c r="DV837" t="s">
        <v>472</v>
      </c>
      <c r="DX837">
        <v>-9999</v>
      </c>
      <c r="DZ837" t="s">
        <v>447</v>
      </c>
      <c r="EA837" t="s">
        <v>448</v>
      </c>
      <c r="EB837" t="s">
        <v>742</v>
      </c>
      <c r="EC837">
        <v>20101217</v>
      </c>
      <c r="ED837" t="s">
        <v>474</v>
      </c>
      <c r="EF837">
        <v>1863.3</v>
      </c>
      <c r="EG837">
        <v>1863.3</v>
      </c>
      <c r="EI837">
        <v>20160407</v>
      </c>
      <c r="EJ837">
        <v>0</v>
      </c>
      <c r="EK837">
        <v>0</v>
      </c>
      <c r="EP837" t="s">
        <v>421</v>
      </c>
      <c r="EQ837" t="s">
        <v>452</v>
      </c>
      <c r="ER837">
        <v>2</v>
      </c>
      <c r="ES837">
        <v>8</v>
      </c>
      <c r="ET837">
        <v>3302.68</v>
      </c>
      <c r="EU837">
        <v>177.63</v>
      </c>
      <c r="EV837">
        <v>3480.31</v>
      </c>
      <c r="EW837" s="2">
        <v>43222</v>
      </c>
      <c r="EX837" s="1">
        <v>42879</v>
      </c>
      <c r="EY837">
        <v>2016</v>
      </c>
      <c r="EZ837">
        <v>1651.34</v>
      </c>
      <c r="FA837" t="s">
        <v>8771</v>
      </c>
      <c r="FB837">
        <v>0.25</v>
      </c>
      <c r="FC837" t="s">
        <v>424</v>
      </c>
      <c r="FD837" t="s">
        <v>454</v>
      </c>
      <c r="FF837">
        <v>12</v>
      </c>
      <c r="FG837">
        <v>5857474</v>
      </c>
      <c r="FH837" t="s">
        <v>900</v>
      </c>
      <c r="FJ837" s="1">
        <v>42879</v>
      </c>
      <c r="FK837">
        <v>2016</v>
      </c>
      <c r="FL837">
        <v>1651.34</v>
      </c>
      <c r="FM837" t="s">
        <v>8771</v>
      </c>
      <c r="FN837">
        <v>0.25</v>
      </c>
      <c r="FO837" t="s">
        <v>424</v>
      </c>
      <c r="FP837" t="s">
        <v>454</v>
      </c>
      <c r="FR837">
        <v>12</v>
      </c>
      <c r="FS837">
        <v>6501996</v>
      </c>
      <c r="FT837" t="s">
        <v>8772</v>
      </c>
      <c r="FV837" s="1">
        <v>42515</v>
      </c>
      <c r="FW837">
        <v>2015</v>
      </c>
      <c r="FX837">
        <v>1674.87</v>
      </c>
      <c r="FY837" t="s">
        <v>8773</v>
      </c>
      <c r="FZ837">
        <v>0.25</v>
      </c>
      <c r="GA837" t="s">
        <v>424</v>
      </c>
      <c r="GB837" t="s">
        <v>425</v>
      </c>
      <c r="GC837" s="1">
        <v>43145</v>
      </c>
      <c r="GD837">
        <v>21</v>
      </c>
      <c r="GE837">
        <v>11289</v>
      </c>
      <c r="GF837" t="s">
        <v>787</v>
      </c>
      <c r="GH837" s="1">
        <v>42515</v>
      </c>
      <c r="GI837">
        <v>2015</v>
      </c>
      <c r="GJ837">
        <v>1674.87</v>
      </c>
      <c r="GK837" t="s">
        <v>8773</v>
      </c>
      <c r="GL837">
        <v>0.25</v>
      </c>
      <c r="GM837" t="s">
        <v>424</v>
      </c>
      <c r="GN837" t="s">
        <v>425</v>
      </c>
      <c r="GP837">
        <v>22</v>
      </c>
      <c r="GQ837">
        <v>5204476</v>
      </c>
      <c r="GR837" t="s">
        <v>8774</v>
      </c>
      <c r="GT837" s="1">
        <v>41787</v>
      </c>
      <c r="GU837">
        <v>2013</v>
      </c>
      <c r="GV837">
        <v>1575.24</v>
      </c>
      <c r="GW837" t="s">
        <v>8775</v>
      </c>
      <c r="GX837">
        <v>0.25</v>
      </c>
      <c r="GY837" t="s">
        <v>424</v>
      </c>
      <c r="GZ837" t="s">
        <v>425</v>
      </c>
      <c r="HA837" s="1">
        <v>42107</v>
      </c>
      <c r="HB837">
        <v>11</v>
      </c>
      <c r="HC837">
        <v>2757457</v>
      </c>
      <c r="HD837" t="s">
        <v>648</v>
      </c>
      <c r="HE837" t="s">
        <v>458</v>
      </c>
      <c r="HF837" s="1">
        <v>41423</v>
      </c>
      <c r="HG837">
        <v>2012</v>
      </c>
      <c r="HH837">
        <v>1611.33</v>
      </c>
      <c r="HI837" t="s">
        <v>8776</v>
      </c>
      <c r="HJ837">
        <v>0.25</v>
      </c>
      <c r="HK837" t="s">
        <v>424</v>
      </c>
      <c r="HL837" t="s">
        <v>425</v>
      </c>
      <c r="HN837">
        <v>22</v>
      </c>
      <c r="HO837">
        <v>11289</v>
      </c>
      <c r="HP837" t="s">
        <v>787</v>
      </c>
      <c r="HQ837" t="s">
        <v>458</v>
      </c>
      <c r="HR837" s="1">
        <v>41423</v>
      </c>
      <c r="HS837">
        <v>2012</v>
      </c>
      <c r="HT837">
        <v>1611.33</v>
      </c>
      <c r="HU837" t="s">
        <v>8776</v>
      </c>
      <c r="HV837">
        <v>0.25</v>
      </c>
      <c r="HW837" t="s">
        <v>424</v>
      </c>
      <c r="HX837" t="s">
        <v>425</v>
      </c>
      <c r="HZ837">
        <v>22</v>
      </c>
      <c r="IA837">
        <v>4844954</v>
      </c>
      <c r="IB837" t="s">
        <v>1719</v>
      </c>
      <c r="IC837" t="s">
        <v>458</v>
      </c>
      <c r="ID837" s="1">
        <v>41052</v>
      </c>
      <c r="IE837">
        <v>2011</v>
      </c>
      <c r="IF837">
        <v>1774.99</v>
      </c>
      <c r="IG837" t="s">
        <v>8777</v>
      </c>
      <c r="IH837">
        <v>0.25</v>
      </c>
      <c r="II837" t="s">
        <v>424</v>
      </c>
      <c r="IJ837" t="s">
        <v>425</v>
      </c>
      <c r="IK837" s="1">
        <v>41218</v>
      </c>
      <c r="IL837">
        <v>6</v>
      </c>
      <c r="IM837">
        <v>11289</v>
      </c>
      <c r="IN837" t="s">
        <v>787</v>
      </c>
      <c r="IP837" s="1">
        <v>41052</v>
      </c>
      <c r="IQ837">
        <v>2011</v>
      </c>
      <c r="IR837">
        <v>1774.99</v>
      </c>
      <c r="IS837" t="s">
        <v>8777</v>
      </c>
      <c r="IT837">
        <v>0.25</v>
      </c>
      <c r="IU837" t="s">
        <v>424</v>
      </c>
      <c r="IV837" t="s">
        <v>425</v>
      </c>
      <c r="IX837">
        <v>22</v>
      </c>
      <c r="IY837">
        <v>13187</v>
      </c>
      <c r="IZ837" t="s">
        <v>8778</v>
      </c>
      <c r="JB837" s="1">
        <v>40688</v>
      </c>
      <c r="JC837">
        <v>2010</v>
      </c>
      <c r="JD837">
        <v>1902.17</v>
      </c>
      <c r="JE837" t="s">
        <v>8779</v>
      </c>
      <c r="JF837">
        <v>0.25</v>
      </c>
      <c r="JG837" t="s">
        <v>424</v>
      </c>
      <c r="JH837" t="s">
        <v>425</v>
      </c>
      <c r="JI837" s="1">
        <v>41218</v>
      </c>
      <c r="JJ837">
        <v>18</v>
      </c>
      <c r="JK837">
        <v>11177</v>
      </c>
      <c r="JL837" t="s">
        <v>650</v>
      </c>
    </row>
    <row r="838" spans="1:284" x14ac:dyDescent="0.25">
      <c r="A838">
        <v>16485845</v>
      </c>
      <c r="B838">
        <v>837</v>
      </c>
      <c r="C838" t="s">
        <v>393</v>
      </c>
      <c r="D838" t="s">
        <v>394</v>
      </c>
      <c r="F838" t="str">
        <f>"28-2N-25-0150-0005-0000"</f>
        <v>28-2N-25-0150-0005-0000</v>
      </c>
      <c r="H838" t="str">
        <f>"CONNER CHAD DANIEL"</f>
        <v>CONNER CHAD DANIEL</v>
      </c>
      <c r="I838" t="str">
        <f>"45229 BISMARK RD"</f>
        <v>45229 BISMARK RD</v>
      </c>
      <c r="J838" t="str">
        <f t="shared" si="264"/>
        <v>CALLAHAN FL 32011</v>
      </c>
      <c r="K838" t="str">
        <f>"45229 BISMARK RD"</f>
        <v>45229 BISMARK RD</v>
      </c>
      <c r="L838" t="str">
        <f t="shared" si="250"/>
        <v>CALLAHAN FL 32011</v>
      </c>
      <c r="M838" t="str">
        <f>"LOT 5 IN OR 1840/537 1989 SAND SW/MH BISMARK ACRES PB 5/283"</f>
        <v>LOT 5 IN OR 1840/537 1989 SAND SW/MH BISMARK ACRES PB 5/283</v>
      </c>
      <c r="N838" t="str">
        <f>""</f>
        <v/>
      </c>
      <c r="O838" t="str">
        <f>"38073"</f>
        <v>38073</v>
      </c>
      <c r="P838" t="str">
        <f t="shared" si="265"/>
        <v>2017</v>
      </c>
      <c r="Q838" t="str">
        <f>""</f>
        <v/>
      </c>
      <c r="R838" t="str">
        <f>"N"</f>
        <v>N</v>
      </c>
      <c r="S838" t="str">
        <f>"1.10"</f>
        <v>1.10</v>
      </c>
      <c r="T838" t="str">
        <f>"1104.86"</f>
        <v>1104.86</v>
      </c>
      <c r="U838" t="str">
        <f>"72982.00"</f>
        <v>72982.00</v>
      </c>
      <c r="V838" t="str">
        <f>"72982.00"</f>
        <v>72982.00</v>
      </c>
      <c r="W838" t="str">
        <f t="shared" si="266"/>
        <v>2017</v>
      </c>
      <c r="X838" t="str">
        <f>""</f>
        <v/>
      </c>
      <c r="Y838" t="str">
        <f>"1170.01"</f>
        <v>1170.01</v>
      </c>
      <c r="Z838" t="str">
        <f>""</f>
        <v/>
      </c>
      <c r="AA838" t="str">
        <f>"72982.00"</f>
        <v>72982.00</v>
      </c>
      <c r="AB838" t="str">
        <f t="shared" si="263"/>
        <v>Residential</v>
      </c>
      <c r="AC838" t="str">
        <f t="shared" si="254"/>
        <v>0</v>
      </c>
      <c r="AD838" t="str">
        <f t="shared" si="267"/>
        <v>4</v>
      </c>
      <c r="AE838" t="str">
        <f t="shared" si="268"/>
        <v>WOOD (INCLUDE STEEL STUDS)</v>
      </c>
      <c r="AF838" t="str">
        <f>"002"</f>
        <v>002</v>
      </c>
      <c r="AG838" t="str">
        <f t="shared" si="256"/>
        <v>FL</v>
      </c>
      <c r="AH838" t="str">
        <f>"47916.00"</f>
        <v>47916.00</v>
      </c>
      <c r="AI838" t="str">
        <f>"16500.00"</f>
        <v>16500.00</v>
      </c>
      <c r="AJ838" t="str">
        <f>"C55-000-587-5231-2"</f>
        <v>C55-000-587-5231-2</v>
      </c>
      <c r="AK838" t="str">
        <f>"13040"</f>
        <v>13040</v>
      </c>
      <c r="AL838">
        <v>3</v>
      </c>
      <c r="AM838">
        <v>970</v>
      </c>
      <c r="AN838">
        <v>1226.9100000000001</v>
      </c>
      <c r="AQ838" t="s">
        <v>8780</v>
      </c>
      <c r="AR838" t="s">
        <v>8780</v>
      </c>
      <c r="AS838" t="s">
        <v>8780</v>
      </c>
      <c r="AU838" t="s">
        <v>396</v>
      </c>
      <c r="AV838">
        <v>2017</v>
      </c>
      <c r="AW838" t="str">
        <f>"28-2N-25-0150-0005-0000 "</f>
        <v xml:space="preserve">28-2N-25-0150-0005-0000 </v>
      </c>
      <c r="AX838">
        <v>45229</v>
      </c>
      <c r="AZ838" t="s">
        <v>8725</v>
      </c>
      <c r="BA838" t="s">
        <v>496</v>
      </c>
      <c r="BD838" t="s">
        <v>2785</v>
      </c>
      <c r="BE838" t="s">
        <v>393</v>
      </c>
      <c r="BF838">
        <v>32011</v>
      </c>
      <c r="BG838" t="s">
        <v>8781</v>
      </c>
      <c r="BH838" t="s">
        <v>2787</v>
      </c>
      <c r="BI838">
        <v>-81.801613022923505</v>
      </c>
      <c r="BJ838">
        <v>30.563234872416398</v>
      </c>
      <c r="BK838" t="s">
        <v>8782</v>
      </c>
      <c r="BM838" t="s">
        <v>8781</v>
      </c>
      <c r="BN838" t="s">
        <v>928</v>
      </c>
      <c r="BO838">
        <v>32011</v>
      </c>
      <c r="BP838" t="s">
        <v>416</v>
      </c>
      <c r="BQ838">
        <v>200</v>
      </c>
      <c r="BR838" t="s">
        <v>405</v>
      </c>
      <c r="BS838">
        <v>1006</v>
      </c>
      <c r="BT838" t="s">
        <v>406</v>
      </c>
      <c r="BW838">
        <v>47916</v>
      </c>
      <c r="BX838" t="s">
        <v>407</v>
      </c>
      <c r="BY838" t="s">
        <v>408</v>
      </c>
      <c r="BZ838">
        <v>4</v>
      </c>
      <c r="CA838">
        <v>2011</v>
      </c>
      <c r="CC838">
        <v>1</v>
      </c>
      <c r="CD838">
        <v>2017</v>
      </c>
      <c r="CE838">
        <v>16500</v>
      </c>
      <c r="CF838">
        <v>56482</v>
      </c>
      <c r="CG838">
        <v>72982</v>
      </c>
      <c r="CH838">
        <v>2017</v>
      </c>
      <c r="CI838">
        <v>16500</v>
      </c>
      <c r="CJ838">
        <v>56482</v>
      </c>
      <c r="CK838">
        <v>72982</v>
      </c>
      <c r="CL838">
        <v>2017</v>
      </c>
      <c r="CM838">
        <v>1104.8599999999999</v>
      </c>
      <c r="CN838" s="1">
        <v>38663</v>
      </c>
      <c r="CO838">
        <v>53000</v>
      </c>
      <c r="CV838">
        <v>0</v>
      </c>
      <c r="CZ838" s="1">
        <v>38663</v>
      </c>
      <c r="DA838">
        <v>0</v>
      </c>
      <c r="DD838" t="s">
        <v>2785</v>
      </c>
      <c r="DF838">
        <v>5</v>
      </c>
      <c r="DG838">
        <v>28</v>
      </c>
      <c r="DL838">
        <v>50502</v>
      </c>
      <c r="DM838" t="s">
        <v>8783</v>
      </c>
      <c r="DO838" t="s">
        <v>8784</v>
      </c>
      <c r="DP838">
        <v>0</v>
      </c>
      <c r="DQ838">
        <v>0</v>
      </c>
      <c r="DR838" t="s">
        <v>411</v>
      </c>
    </row>
    <row r="839" spans="1:284" x14ac:dyDescent="0.25">
      <c r="A839">
        <v>16485846</v>
      </c>
      <c r="B839">
        <v>838</v>
      </c>
      <c r="C839" t="s">
        <v>393</v>
      </c>
      <c r="D839" t="s">
        <v>394</v>
      </c>
      <c r="F839" t="str">
        <f>"28-2N-25-3060-0002-0010"</f>
        <v>28-2N-25-3060-0002-0010</v>
      </c>
      <c r="H839" t="str">
        <f>"KILPATRICK JOEY ALLAN"</f>
        <v>KILPATRICK JOEY ALLAN</v>
      </c>
      <c r="I839" t="str">
        <f>"45116 KILPATRICK RD"</f>
        <v>45116 KILPATRICK RD</v>
      </c>
      <c r="J839" t="str">
        <f t="shared" si="264"/>
        <v>CALLAHAN FL 32011</v>
      </c>
      <c r="K839" t="str">
        <f>"45116 KILPATRICK RD"</f>
        <v>45116 KILPATRICK RD</v>
      </c>
      <c r="L839" t="str">
        <f t="shared" si="250"/>
        <v>CALLAHAN FL 32011</v>
      </c>
      <c r="M839" t="str">
        <f>"PT OF LOT 2 (S-1) IN OR 1996/1625 EAST CALLAHAN SUB PB 1/35"</f>
        <v>PT OF LOT 2 (S-1) IN OR 1996/1625 EAST CALLAHAN SUB PB 1/35</v>
      </c>
      <c r="N839" t="str">
        <f>""</f>
        <v/>
      </c>
      <c r="O839" t="str">
        <f>"38080"</f>
        <v>38080</v>
      </c>
      <c r="P839" t="str">
        <f t="shared" si="265"/>
        <v>2017</v>
      </c>
      <c r="Q839" t="str">
        <f>""</f>
        <v/>
      </c>
      <c r="R839" t="str">
        <f>"N"</f>
        <v>N</v>
      </c>
      <c r="S839" t="str">
        <f>"1.01"</f>
        <v>1.01</v>
      </c>
      <c r="T839" t="str">
        <f>"905.69"</f>
        <v>905.69</v>
      </c>
      <c r="U839" t="str">
        <f>"59826.00"</f>
        <v>59826.00</v>
      </c>
      <c r="V839" t="str">
        <f>"59826.00"</f>
        <v>59826.00</v>
      </c>
      <c r="W839" t="str">
        <f t="shared" si="266"/>
        <v>2017</v>
      </c>
      <c r="X839" t="str">
        <f>"15.40"</f>
        <v>15.40</v>
      </c>
      <c r="Y839" t="str">
        <f>"964.86"</f>
        <v>964.86</v>
      </c>
      <c r="Z839" t="str">
        <f>""</f>
        <v/>
      </c>
      <c r="AA839" t="str">
        <f>"59826.00"</f>
        <v>59826.00</v>
      </c>
      <c r="AB839" t="str">
        <f t="shared" si="263"/>
        <v>Residential</v>
      </c>
      <c r="AC839" t="str">
        <f t="shared" si="254"/>
        <v>0</v>
      </c>
      <c r="AD839" t="str">
        <f t="shared" si="267"/>
        <v>4</v>
      </c>
      <c r="AE839" t="str">
        <f t="shared" si="268"/>
        <v>WOOD (INCLUDE STEEL STUDS)</v>
      </c>
      <c r="AF839" t="str">
        <f>"001"</f>
        <v>001</v>
      </c>
      <c r="AG839" t="str">
        <f t="shared" si="256"/>
        <v>FL</v>
      </c>
      <c r="AH839" t="str">
        <f>"43995.00"</f>
        <v>43995.00</v>
      </c>
      <c r="AI839" t="str">
        <f>"15150.00"</f>
        <v>15150.00</v>
      </c>
      <c r="AJ839" t="str">
        <f>"C55-001-011-3478-1"</f>
        <v>C55-001-011-3478-1</v>
      </c>
      <c r="AK839" t="str">
        <f>"13046"</f>
        <v>13046</v>
      </c>
      <c r="AL839">
        <v>3</v>
      </c>
      <c r="AM839">
        <v>971</v>
      </c>
      <c r="AN839">
        <v>1011.5</v>
      </c>
      <c r="AQ839" t="s">
        <v>8785</v>
      </c>
      <c r="AR839" t="s">
        <v>8785</v>
      </c>
      <c r="AS839" t="s">
        <v>8785</v>
      </c>
      <c r="AU839" t="s">
        <v>396</v>
      </c>
      <c r="AV839">
        <v>2017</v>
      </c>
      <c r="AW839" t="str">
        <f>"28-2N-25-3060-0002-0010 "</f>
        <v xml:space="preserve">28-2N-25-3060-0002-0010 </v>
      </c>
      <c r="AX839">
        <v>45116</v>
      </c>
      <c r="AZ839" t="s">
        <v>8786</v>
      </c>
      <c r="BA839" t="s">
        <v>496</v>
      </c>
      <c r="BD839" t="s">
        <v>2785</v>
      </c>
      <c r="BE839" t="s">
        <v>393</v>
      </c>
      <c r="BF839">
        <v>32011</v>
      </c>
      <c r="BG839" t="s">
        <v>8787</v>
      </c>
      <c r="BH839" t="s">
        <v>2787</v>
      </c>
      <c r="BI839">
        <v>-81.801550778831896</v>
      </c>
      <c r="BJ839">
        <v>30.5561750527499</v>
      </c>
      <c r="BK839" t="s">
        <v>8788</v>
      </c>
      <c r="BM839" t="s">
        <v>8789</v>
      </c>
      <c r="BN839" t="s">
        <v>928</v>
      </c>
      <c r="BO839">
        <v>32011</v>
      </c>
      <c r="BP839" t="s">
        <v>404</v>
      </c>
      <c r="BQ839">
        <v>100</v>
      </c>
      <c r="BR839" t="s">
        <v>514</v>
      </c>
      <c r="BS839">
        <v>1001</v>
      </c>
      <c r="BT839" t="s">
        <v>515</v>
      </c>
      <c r="BW839">
        <v>43995</v>
      </c>
      <c r="BX839" t="s">
        <v>407</v>
      </c>
      <c r="BY839" t="s">
        <v>408</v>
      </c>
      <c r="BZ839">
        <v>4</v>
      </c>
      <c r="CA839">
        <v>1940</v>
      </c>
      <c r="CC839">
        <v>1</v>
      </c>
      <c r="CD839">
        <v>2017</v>
      </c>
      <c r="CE839">
        <v>15150</v>
      </c>
      <c r="CF839">
        <v>44676</v>
      </c>
      <c r="CG839">
        <v>59826</v>
      </c>
      <c r="CH839">
        <v>2017</v>
      </c>
      <c r="CI839">
        <v>15150</v>
      </c>
      <c r="CJ839">
        <v>44676</v>
      </c>
      <c r="CK839">
        <v>59826</v>
      </c>
      <c r="CL839">
        <v>2017</v>
      </c>
      <c r="CM839">
        <v>905.69</v>
      </c>
      <c r="CN839" s="1">
        <v>43059</v>
      </c>
      <c r="CO839">
        <v>25000</v>
      </c>
      <c r="CV839">
        <v>0</v>
      </c>
      <c r="CZ839" s="1">
        <v>43059</v>
      </c>
      <c r="DA839">
        <v>0</v>
      </c>
      <c r="DD839" t="s">
        <v>2785</v>
      </c>
      <c r="DF839">
        <v>2</v>
      </c>
      <c r="DG839">
        <v>28</v>
      </c>
      <c r="DJ839" t="s">
        <v>8790</v>
      </c>
      <c r="DL839">
        <v>50502</v>
      </c>
      <c r="DM839" t="s">
        <v>8783</v>
      </c>
      <c r="DO839" t="s">
        <v>8791</v>
      </c>
      <c r="DP839">
        <v>0</v>
      </c>
      <c r="DQ839">
        <v>0</v>
      </c>
      <c r="DR839" t="s">
        <v>411</v>
      </c>
      <c r="DS839" t="b">
        <v>1</v>
      </c>
      <c r="DT839" t="s">
        <v>470</v>
      </c>
      <c r="DU839" t="s">
        <v>471</v>
      </c>
      <c r="DV839" t="s">
        <v>472</v>
      </c>
      <c r="DX839">
        <v>-9999</v>
      </c>
      <c r="DZ839" t="s">
        <v>447</v>
      </c>
      <c r="EA839" t="s">
        <v>448</v>
      </c>
      <c r="EB839" t="s">
        <v>742</v>
      </c>
      <c r="EC839">
        <v>20101217</v>
      </c>
      <c r="ED839" t="s">
        <v>474</v>
      </c>
      <c r="EF839">
        <v>832.7</v>
      </c>
      <c r="EG839">
        <v>832.7</v>
      </c>
      <c r="EI839">
        <v>20160407</v>
      </c>
      <c r="EJ839">
        <v>0</v>
      </c>
      <c r="EK839">
        <v>0</v>
      </c>
      <c r="EP839" t="s">
        <v>421</v>
      </c>
      <c r="EQ839" t="s">
        <v>422</v>
      </c>
      <c r="ER839">
        <v>0</v>
      </c>
      <c r="ES839">
        <v>8</v>
      </c>
      <c r="ET839">
        <v>0</v>
      </c>
      <c r="EU839">
        <v>0</v>
      </c>
      <c r="EV839">
        <v>0</v>
      </c>
      <c r="EW839" s="2">
        <v>43222</v>
      </c>
      <c r="EX839" s="1">
        <v>42879</v>
      </c>
      <c r="EY839">
        <v>2016</v>
      </c>
      <c r="EZ839">
        <v>972.81</v>
      </c>
      <c r="FA839" t="s">
        <v>8792</v>
      </c>
      <c r="FB839">
        <v>0.25</v>
      </c>
      <c r="FC839" t="s">
        <v>424</v>
      </c>
      <c r="FD839" t="s">
        <v>425</v>
      </c>
      <c r="FE839" s="1">
        <v>43059</v>
      </c>
      <c r="FF839">
        <v>6</v>
      </c>
      <c r="FG839">
        <v>2851116</v>
      </c>
      <c r="FH839" t="s">
        <v>480</v>
      </c>
      <c r="FJ839" s="1">
        <v>42879</v>
      </c>
      <c r="FK839">
        <v>2016</v>
      </c>
      <c r="FL839">
        <v>972.81</v>
      </c>
      <c r="FM839" t="s">
        <v>8792</v>
      </c>
      <c r="FN839">
        <v>0.25</v>
      </c>
      <c r="FO839" t="s">
        <v>424</v>
      </c>
      <c r="FP839" t="s">
        <v>425</v>
      </c>
      <c r="FR839">
        <v>22</v>
      </c>
      <c r="FS839">
        <v>5694550</v>
      </c>
      <c r="FT839" t="s">
        <v>8793</v>
      </c>
      <c r="FV839" s="1">
        <v>42515</v>
      </c>
      <c r="FW839">
        <v>2015</v>
      </c>
      <c r="FX839">
        <v>418.69</v>
      </c>
      <c r="FY839" t="s">
        <v>8794</v>
      </c>
      <c r="FZ839">
        <v>0.25</v>
      </c>
      <c r="GA839" t="s">
        <v>424</v>
      </c>
      <c r="GB839" t="s">
        <v>425</v>
      </c>
      <c r="GC839" s="1">
        <v>43059</v>
      </c>
      <c r="GD839">
        <v>18</v>
      </c>
      <c r="GE839">
        <v>2851116</v>
      </c>
      <c r="GF839" t="s">
        <v>480</v>
      </c>
      <c r="GH839" s="1">
        <v>42515</v>
      </c>
      <c r="GI839">
        <v>2015</v>
      </c>
      <c r="GJ839">
        <v>418.69</v>
      </c>
      <c r="GK839" t="s">
        <v>8794</v>
      </c>
      <c r="GL839">
        <v>0.25</v>
      </c>
      <c r="GM839" t="s">
        <v>424</v>
      </c>
      <c r="GN839" t="s">
        <v>425</v>
      </c>
      <c r="GP839">
        <v>22</v>
      </c>
      <c r="GQ839">
        <v>5724063</v>
      </c>
      <c r="GR839" t="s">
        <v>8795</v>
      </c>
      <c r="GT839" s="1">
        <v>42151</v>
      </c>
      <c r="GU839">
        <v>2014</v>
      </c>
      <c r="GV839">
        <v>414.13</v>
      </c>
      <c r="GW839" t="s">
        <v>8796</v>
      </c>
      <c r="GX839">
        <v>0.25</v>
      </c>
      <c r="GY839" t="s">
        <v>424</v>
      </c>
      <c r="GZ839" t="s">
        <v>425</v>
      </c>
      <c r="HA839" s="1">
        <v>42794</v>
      </c>
      <c r="HB839">
        <v>21</v>
      </c>
      <c r="HC839">
        <v>2101382</v>
      </c>
      <c r="HD839" t="s">
        <v>993</v>
      </c>
      <c r="HF839" s="1">
        <v>42151</v>
      </c>
      <c r="HG839">
        <v>2014</v>
      </c>
      <c r="HH839">
        <v>414.13</v>
      </c>
      <c r="HI839" t="s">
        <v>8796</v>
      </c>
      <c r="HJ839">
        <v>0.25</v>
      </c>
      <c r="HK839" t="s">
        <v>424</v>
      </c>
      <c r="HL839" t="s">
        <v>425</v>
      </c>
      <c r="HN839">
        <v>22</v>
      </c>
      <c r="HO839">
        <v>5583757</v>
      </c>
      <c r="HP839" t="s">
        <v>8797</v>
      </c>
      <c r="HR839" s="1">
        <v>41787</v>
      </c>
      <c r="HS839">
        <v>2013</v>
      </c>
      <c r="HT839">
        <v>381.71</v>
      </c>
      <c r="HU839" t="s">
        <v>8798</v>
      </c>
      <c r="HV839">
        <v>0.25</v>
      </c>
      <c r="HW839" t="s">
        <v>424</v>
      </c>
      <c r="HX839" t="s">
        <v>425</v>
      </c>
      <c r="HY839" s="1">
        <v>42103</v>
      </c>
      <c r="HZ839">
        <v>11</v>
      </c>
      <c r="IA839">
        <v>2101382</v>
      </c>
      <c r="IB839" t="s">
        <v>993</v>
      </c>
      <c r="ID839" s="1">
        <v>41423</v>
      </c>
      <c r="IE839">
        <v>2012</v>
      </c>
      <c r="IF839">
        <v>442.34</v>
      </c>
      <c r="IG839" t="s">
        <v>8799</v>
      </c>
      <c r="IH839">
        <v>0.25</v>
      </c>
      <c r="II839" t="s">
        <v>424</v>
      </c>
      <c r="IJ839" t="s">
        <v>425</v>
      </c>
      <c r="IK839" s="1">
        <v>42045</v>
      </c>
      <c r="IL839">
        <v>21</v>
      </c>
      <c r="IM839">
        <v>15399</v>
      </c>
      <c r="IN839" t="s">
        <v>485</v>
      </c>
    </row>
    <row r="840" spans="1:284" x14ac:dyDescent="0.25">
      <c r="A840">
        <v>16485847</v>
      </c>
      <c r="B840">
        <v>839</v>
      </c>
      <c r="C840" t="s">
        <v>393</v>
      </c>
      <c r="D840" t="s">
        <v>394</v>
      </c>
      <c r="F840" t="str">
        <f>"28-2N-25-3060-0003-0000"</f>
        <v>28-2N-25-3060-0003-0000</v>
      </c>
      <c r="H840" t="str">
        <f>"EBY TERRY &amp; MARILYN"</f>
        <v>EBY TERRY &amp; MARILYN</v>
      </c>
      <c r="I840" t="str">
        <f>"45113 SNICKERS TRAIL"</f>
        <v>45113 SNICKERS TRAIL</v>
      </c>
      <c r="J840" t="str">
        <f t="shared" si="264"/>
        <v>CALLAHAN FL 32011</v>
      </c>
      <c r="K840" t="str">
        <f>"45113 SNICKERS TL"</f>
        <v>45113 SNICKERS TL</v>
      </c>
      <c r="L840" t="str">
        <f t="shared" si="250"/>
        <v>CALLAHAN FL 32011</v>
      </c>
      <c r="M840" t="str">
        <f>"LOTS 3 4 &amp; 63 &amp; PT OF 61 &amp; 62 &amp; 30 FT OF ESMT IN OR 1069/1448 ESMT IN OR 508/701 EAST CALLAHAN SUB PB 1/35"</f>
        <v>LOTS 3 4 &amp; 63 &amp; PT OF 61 &amp; 62 &amp; 30 FT OF ESMT IN OR 1069/1448 ESMT IN OR 508/701 EAST CALLAHAN SUB PB 1/35</v>
      </c>
      <c r="N840" t="str">
        <f>""</f>
        <v/>
      </c>
      <c r="O840" t="str">
        <f>"38081"</f>
        <v>38081</v>
      </c>
      <c r="P840" t="str">
        <f t="shared" si="265"/>
        <v>2017</v>
      </c>
      <c r="Q840" t="str">
        <f>""</f>
        <v/>
      </c>
      <c r="R840" t="str">
        <f>"Y"</f>
        <v>Y</v>
      </c>
      <c r="S840" t="str">
        <f>"20.31"</f>
        <v>20.31</v>
      </c>
      <c r="T840" t="str">
        <f>"1612.66"</f>
        <v>1612.66</v>
      </c>
      <c r="U840" t="str">
        <f>"145629.00"</f>
        <v>145629.00</v>
      </c>
      <c r="V840" t="str">
        <f>"145629.00"</f>
        <v>145629.00</v>
      </c>
      <c r="W840" t="str">
        <f t="shared" si="266"/>
        <v>2017</v>
      </c>
      <c r="X840" t="str">
        <f>"10.00"</f>
        <v>10.00</v>
      </c>
      <c r="Y840" t="str">
        <f>"1693.04"</f>
        <v>1693.04</v>
      </c>
      <c r="Z840" t="str">
        <f>"25000.00"</f>
        <v>25000.00</v>
      </c>
      <c r="AA840" t="str">
        <f>"120629.00"</f>
        <v>120629.00</v>
      </c>
      <c r="AB840" t="str">
        <f>"Agricultural"</f>
        <v>Agricultural</v>
      </c>
      <c r="AC840" t="str">
        <f t="shared" si="254"/>
        <v>0</v>
      </c>
      <c r="AD840" t="str">
        <f t="shared" si="267"/>
        <v>4</v>
      </c>
      <c r="AE840" t="str">
        <f t="shared" si="268"/>
        <v>WOOD (INCLUDE STEEL STUDS)</v>
      </c>
      <c r="AF840" t="str">
        <f>"050"</f>
        <v>050</v>
      </c>
      <c r="AG840" t="str">
        <f t="shared" si="256"/>
        <v>FL</v>
      </c>
      <c r="AH840" t="str">
        <f>"884703.00"</f>
        <v>884703.00</v>
      </c>
      <c r="AI840" t="str">
        <f>"35766.00"</f>
        <v>35766.00</v>
      </c>
      <c r="AJ840" t="str">
        <f>"C55-000-587-5237-9"</f>
        <v>C55-000-587-5237-9</v>
      </c>
      <c r="AK840" t="str">
        <f>"13047"</f>
        <v>13047</v>
      </c>
      <c r="AL840">
        <v>3</v>
      </c>
      <c r="AM840">
        <v>972</v>
      </c>
      <c r="AN840">
        <v>1776.09</v>
      </c>
      <c r="AQ840" t="s">
        <v>8800</v>
      </c>
      <c r="AR840" t="s">
        <v>8800</v>
      </c>
      <c r="AS840" t="s">
        <v>8800</v>
      </c>
      <c r="AU840" t="s">
        <v>396</v>
      </c>
      <c r="AV840">
        <v>2017</v>
      </c>
      <c r="AW840" t="str">
        <f>"28-2N-25-3060-0003-0000 "</f>
        <v xml:space="preserve">28-2N-25-3060-0003-0000 </v>
      </c>
      <c r="AX840">
        <v>45113</v>
      </c>
      <c r="AZ840" t="s">
        <v>8801</v>
      </c>
      <c r="BD840" t="s">
        <v>2785</v>
      </c>
      <c r="BE840" t="s">
        <v>393</v>
      </c>
      <c r="BF840">
        <v>32011</v>
      </c>
      <c r="BG840" t="s">
        <v>8802</v>
      </c>
      <c r="BH840" t="s">
        <v>2787</v>
      </c>
      <c r="BI840">
        <v>-81.804038879502201</v>
      </c>
      <c r="BJ840">
        <v>30.555490470859102</v>
      </c>
      <c r="BK840" t="s">
        <v>7502</v>
      </c>
      <c r="BL840" t="s">
        <v>7503</v>
      </c>
      <c r="BM840" t="s">
        <v>7504</v>
      </c>
      <c r="BN840" t="s">
        <v>928</v>
      </c>
      <c r="BO840">
        <v>32011</v>
      </c>
      <c r="BP840" t="s">
        <v>416</v>
      </c>
      <c r="BQ840">
        <v>5000</v>
      </c>
      <c r="BR840" t="s">
        <v>664</v>
      </c>
      <c r="BS840">
        <v>7000</v>
      </c>
      <c r="BT840" t="s">
        <v>665</v>
      </c>
      <c r="BW840">
        <v>884703</v>
      </c>
      <c r="BX840" t="s">
        <v>407</v>
      </c>
      <c r="BY840" t="s">
        <v>408</v>
      </c>
      <c r="BZ840">
        <v>4</v>
      </c>
      <c r="CA840">
        <v>1975</v>
      </c>
      <c r="CB840">
        <v>1</v>
      </c>
      <c r="CC840">
        <v>2</v>
      </c>
      <c r="CD840">
        <v>2017</v>
      </c>
      <c r="CG840">
        <v>145629</v>
      </c>
      <c r="CH840">
        <v>2017</v>
      </c>
      <c r="CI840">
        <v>35766</v>
      </c>
      <c r="CJ840">
        <v>210870</v>
      </c>
      <c r="CK840">
        <v>246636</v>
      </c>
      <c r="CL840">
        <v>2017</v>
      </c>
      <c r="CM840">
        <v>1612.66</v>
      </c>
      <c r="CN840" s="1">
        <v>37456</v>
      </c>
      <c r="CO840">
        <v>196500</v>
      </c>
      <c r="CV840">
        <v>189059</v>
      </c>
      <c r="CX840" t="s">
        <v>707</v>
      </c>
      <c r="CZ840" s="1">
        <v>37456</v>
      </c>
      <c r="DA840">
        <v>0</v>
      </c>
      <c r="DD840" t="s">
        <v>2785</v>
      </c>
      <c r="DG840">
        <v>28</v>
      </c>
      <c r="DL840">
        <v>50502</v>
      </c>
      <c r="DM840" t="s">
        <v>8783</v>
      </c>
      <c r="DO840" t="s">
        <v>8803</v>
      </c>
      <c r="DP840">
        <v>0</v>
      </c>
      <c r="DQ840">
        <v>0</v>
      </c>
      <c r="DR840" t="s">
        <v>411</v>
      </c>
      <c r="DS840" t="b">
        <v>1</v>
      </c>
      <c r="DT840" t="s">
        <v>470</v>
      </c>
      <c r="DU840" t="s">
        <v>471</v>
      </c>
      <c r="DV840" t="s">
        <v>472</v>
      </c>
      <c r="DX840">
        <v>-9999</v>
      </c>
      <c r="DZ840" t="s">
        <v>447</v>
      </c>
      <c r="EA840" t="s">
        <v>448</v>
      </c>
      <c r="EB840" t="s">
        <v>742</v>
      </c>
      <c r="EC840">
        <v>20101217</v>
      </c>
      <c r="ED840" t="s">
        <v>474</v>
      </c>
      <c r="EF840">
        <v>44.8</v>
      </c>
      <c r="EG840">
        <v>44.8</v>
      </c>
      <c r="EH840" t="s">
        <v>451</v>
      </c>
      <c r="EI840">
        <v>20140731</v>
      </c>
      <c r="EJ840">
        <v>0</v>
      </c>
      <c r="EK840">
        <v>0</v>
      </c>
      <c r="EP840" t="s">
        <v>421</v>
      </c>
      <c r="EQ840" t="s">
        <v>422</v>
      </c>
      <c r="ER840">
        <v>0</v>
      </c>
      <c r="ES840">
        <v>6</v>
      </c>
      <c r="ET840">
        <v>0</v>
      </c>
      <c r="EU840">
        <v>0</v>
      </c>
      <c r="EV840">
        <v>0</v>
      </c>
      <c r="EW840" s="2">
        <v>43222</v>
      </c>
      <c r="EX840" s="1">
        <v>42879</v>
      </c>
      <c r="EY840">
        <v>2016</v>
      </c>
      <c r="EZ840">
        <v>1714.91</v>
      </c>
      <c r="FA840" t="s">
        <v>8804</v>
      </c>
      <c r="FB840">
        <v>0.25</v>
      </c>
      <c r="FC840" t="s">
        <v>424</v>
      </c>
      <c r="FD840" t="s">
        <v>425</v>
      </c>
      <c r="FE840" s="1">
        <v>42947</v>
      </c>
      <c r="FF840">
        <v>2</v>
      </c>
      <c r="FG840">
        <v>7336671</v>
      </c>
      <c r="FH840" t="s">
        <v>437</v>
      </c>
      <c r="FJ840" s="1">
        <v>42879</v>
      </c>
      <c r="FK840">
        <v>2016</v>
      </c>
      <c r="FL840">
        <v>1714.91</v>
      </c>
      <c r="FM840" t="s">
        <v>8804</v>
      </c>
      <c r="FN840">
        <v>0.25</v>
      </c>
      <c r="FO840" t="s">
        <v>424</v>
      </c>
      <c r="FP840" t="s">
        <v>425</v>
      </c>
      <c r="FR840">
        <v>22</v>
      </c>
      <c r="FS840">
        <v>6911513</v>
      </c>
      <c r="FT840" t="s">
        <v>8805</v>
      </c>
      <c r="FV840" s="1">
        <v>41787</v>
      </c>
      <c r="FW840">
        <v>2013</v>
      </c>
      <c r="FX840">
        <v>1501.7</v>
      </c>
      <c r="FY840" t="s">
        <v>8806</v>
      </c>
      <c r="FZ840">
        <v>0.25</v>
      </c>
      <c r="GA840" t="s">
        <v>424</v>
      </c>
      <c r="GB840" t="s">
        <v>425</v>
      </c>
      <c r="GC840" s="1">
        <v>42144</v>
      </c>
      <c r="GD840">
        <v>12</v>
      </c>
      <c r="GE840">
        <v>2101382</v>
      </c>
      <c r="GF840" t="s">
        <v>993</v>
      </c>
      <c r="GH840" s="1">
        <v>41423</v>
      </c>
      <c r="GI840">
        <v>2012</v>
      </c>
      <c r="GJ840">
        <v>1643.47</v>
      </c>
      <c r="GK840" t="s">
        <v>8807</v>
      </c>
      <c r="GL840">
        <v>0.25</v>
      </c>
      <c r="GM840" t="s">
        <v>424</v>
      </c>
      <c r="GN840" t="s">
        <v>425</v>
      </c>
      <c r="GO840" s="1">
        <v>41477</v>
      </c>
      <c r="GP840">
        <v>2</v>
      </c>
      <c r="GQ840">
        <v>1155951</v>
      </c>
      <c r="GR840" t="s">
        <v>1451</v>
      </c>
      <c r="GT840" s="1">
        <v>41052</v>
      </c>
      <c r="GU840">
        <v>2011</v>
      </c>
      <c r="GV840">
        <v>1672.86</v>
      </c>
      <c r="GW840" t="s">
        <v>8808</v>
      </c>
      <c r="GX840">
        <v>0.25</v>
      </c>
      <c r="GY840" t="s">
        <v>424</v>
      </c>
      <c r="GZ840" t="s">
        <v>425</v>
      </c>
      <c r="HA840" s="1">
        <v>41477</v>
      </c>
      <c r="HB840">
        <v>14</v>
      </c>
      <c r="HC840">
        <v>12407</v>
      </c>
      <c r="HD840" t="s">
        <v>838</v>
      </c>
      <c r="HF840" s="1">
        <v>40688</v>
      </c>
      <c r="HG840">
        <v>2010</v>
      </c>
      <c r="HH840">
        <v>1683.4</v>
      </c>
      <c r="HI840" t="s">
        <v>8809</v>
      </c>
      <c r="HJ840">
        <v>5.25</v>
      </c>
      <c r="HK840" t="s">
        <v>424</v>
      </c>
      <c r="HL840" t="s">
        <v>425</v>
      </c>
      <c r="HM840" s="1">
        <v>40764</v>
      </c>
      <c r="HN840">
        <v>3</v>
      </c>
      <c r="HO840">
        <v>11177</v>
      </c>
      <c r="HP840" t="s">
        <v>650</v>
      </c>
    </row>
    <row r="841" spans="1:284" x14ac:dyDescent="0.25">
      <c r="A841">
        <v>16485848</v>
      </c>
      <c r="B841">
        <v>840</v>
      </c>
      <c r="C841" t="s">
        <v>393</v>
      </c>
      <c r="D841" t="s">
        <v>394</v>
      </c>
      <c r="F841" t="str">
        <f>"28-2N-25-3060-0007-0010"</f>
        <v>28-2N-25-3060-0007-0010</v>
      </c>
      <c r="H841" t="str">
        <f>"DAVIS WALTER LEE &amp; DAVIS ASHLEY ANN"</f>
        <v>DAVIS WALTER LEE &amp; DAVIS ASHLEY ANN</v>
      </c>
      <c r="I841" t="str">
        <f>"1770 RIDGE RD"</f>
        <v>1770 RIDGE RD</v>
      </c>
      <c r="J841" t="str">
        <f>"CANTON GA 30114"</f>
        <v>CANTON GA 30114</v>
      </c>
      <c r="K841" t="str">
        <f>"45151 KILPATRICK RD"</f>
        <v>45151 KILPATRICK RD</v>
      </c>
      <c r="L841" t="str">
        <f t="shared" si="250"/>
        <v>CALLAHAN FL 32011</v>
      </c>
      <c r="M841" t="str">
        <f>"PT OF LOT 7 (S-1) IN OR 2131/932 EAST CALLAHAN SUB PB 1/35"</f>
        <v>PT OF LOT 7 (S-1) IN OR 2131/932 EAST CALLAHAN SUB PB 1/35</v>
      </c>
      <c r="N841" t="str">
        <f>""</f>
        <v/>
      </c>
      <c r="O841" t="str">
        <f>"38085"</f>
        <v>38085</v>
      </c>
      <c r="P841" t="str">
        <f t="shared" si="265"/>
        <v>2017</v>
      </c>
      <c r="Q841" t="str">
        <f>""</f>
        <v/>
      </c>
      <c r="R841" t="str">
        <f>"N"</f>
        <v>N</v>
      </c>
      <c r="S841" t="str">
        <f>"1.01"</f>
        <v>1.01</v>
      </c>
      <c r="T841" t="str">
        <f>"1065.63"</f>
        <v>1065.63</v>
      </c>
      <c r="U841" t="str">
        <f>"70391.00"</f>
        <v>70391.00</v>
      </c>
      <c r="V841" t="str">
        <f>"70391.00"</f>
        <v>70391.00</v>
      </c>
      <c r="W841" t="str">
        <f t="shared" si="266"/>
        <v>2017</v>
      </c>
      <c r="X841" t="str">
        <f>""</f>
        <v/>
      </c>
      <c r="Y841" t="str">
        <f>"1129.60"</f>
        <v>1129.60</v>
      </c>
      <c r="Z841" t="str">
        <f>""</f>
        <v/>
      </c>
      <c r="AA841" t="str">
        <f>"70391.00"</f>
        <v>70391.00</v>
      </c>
      <c r="AB841" t="str">
        <f t="shared" ref="AB841:AB848" si="269">"Residential"</f>
        <v>Residential</v>
      </c>
      <c r="AC841" t="str">
        <f t="shared" si="254"/>
        <v>0</v>
      </c>
      <c r="AD841" t="str">
        <f t="shared" si="267"/>
        <v>4</v>
      </c>
      <c r="AE841" t="str">
        <f t="shared" si="268"/>
        <v>WOOD (INCLUDE STEEL STUDS)</v>
      </c>
      <c r="AF841" t="str">
        <f>"001"</f>
        <v>001</v>
      </c>
      <c r="AG841" t="str">
        <f>"GA"</f>
        <v>GA</v>
      </c>
      <c r="AH841" t="str">
        <f>"43995.00"</f>
        <v>43995.00</v>
      </c>
      <c r="AI841" t="str">
        <f>"15150.00"</f>
        <v>15150.00</v>
      </c>
      <c r="AJ841" t="str">
        <f>"C55-001-011-3479-9"</f>
        <v>C55-001-011-3479-9</v>
      </c>
      <c r="AK841" t="str">
        <f>"13051"</f>
        <v>13051</v>
      </c>
      <c r="AL841">
        <v>3</v>
      </c>
      <c r="AM841">
        <v>973</v>
      </c>
      <c r="AN841">
        <v>1184.48</v>
      </c>
      <c r="AQ841" t="s">
        <v>8810</v>
      </c>
      <c r="AR841" t="s">
        <v>8810</v>
      </c>
      <c r="AS841" t="s">
        <v>8810</v>
      </c>
      <c r="AU841" t="s">
        <v>396</v>
      </c>
      <c r="AV841">
        <v>2017</v>
      </c>
      <c r="AW841" t="str">
        <f>"28-2N-25-3060-0007-0010 "</f>
        <v xml:space="preserve">28-2N-25-3060-0007-0010 </v>
      </c>
      <c r="AX841">
        <v>45151</v>
      </c>
      <c r="AZ841" t="s">
        <v>8786</v>
      </c>
      <c r="BA841" t="s">
        <v>496</v>
      </c>
      <c r="BD841" t="s">
        <v>2785</v>
      </c>
      <c r="BE841" t="s">
        <v>393</v>
      </c>
      <c r="BF841">
        <v>32011</v>
      </c>
      <c r="BG841" t="s">
        <v>8811</v>
      </c>
      <c r="BH841" t="s">
        <v>2787</v>
      </c>
      <c r="BI841">
        <v>-81.801164031845403</v>
      </c>
      <c r="BJ841">
        <v>30.556757890961102</v>
      </c>
      <c r="BK841" t="s">
        <v>8812</v>
      </c>
      <c r="BM841" t="s">
        <v>8811</v>
      </c>
      <c r="BN841" t="s">
        <v>928</v>
      </c>
      <c r="BO841">
        <v>32011</v>
      </c>
      <c r="BP841" t="s">
        <v>416</v>
      </c>
      <c r="BQ841">
        <v>100</v>
      </c>
      <c r="BR841" t="s">
        <v>514</v>
      </c>
      <c r="BS841">
        <v>1001</v>
      </c>
      <c r="BT841" t="s">
        <v>515</v>
      </c>
      <c r="BW841">
        <v>43995</v>
      </c>
      <c r="BX841" t="s">
        <v>407</v>
      </c>
      <c r="BY841" t="s">
        <v>408</v>
      </c>
      <c r="BZ841">
        <v>4</v>
      </c>
      <c r="CA841">
        <v>1940</v>
      </c>
      <c r="CC841">
        <v>1</v>
      </c>
      <c r="CD841">
        <v>2017</v>
      </c>
      <c r="CE841">
        <v>15150</v>
      </c>
      <c r="CF841">
        <v>55241</v>
      </c>
      <c r="CG841">
        <v>70391</v>
      </c>
      <c r="CH841">
        <v>2017</v>
      </c>
      <c r="CI841">
        <v>15150</v>
      </c>
      <c r="CJ841">
        <v>55241</v>
      </c>
      <c r="CK841">
        <v>70391</v>
      </c>
      <c r="CL841">
        <v>2017</v>
      </c>
      <c r="CM841">
        <v>1065.6300000000001</v>
      </c>
      <c r="CN841" s="1">
        <v>37112</v>
      </c>
      <c r="CZ841" s="1">
        <v>37112</v>
      </c>
      <c r="DD841" t="s">
        <v>2785</v>
      </c>
      <c r="DF841">
        <v>7</v>
      </c>
      <c r="DG841">
        <v>28</v>
      </c>
      <c r="DJ841" t="s">
        <v>8790</v>
      </c>
      <c r="DL841">
        <v>50502</v>
      </c>
      <c r="DM841" t="s">
        <v>8783</v>
      </c>
      <c r="DO841" t="s">
        <v>8813</v>
      </c>
      <c r="DP841">
        <v>0</v>
      </c>
      <c r="DQ841">
        <v>0</v>
      </c>
      <c r="DR841" t="s">
        <v>411</v>
      </c>
      <c r="EP841" t="s">
        <v>421</v>
      </c>
      <c r="EQ841" t="s">
        <v>422</v>
      </c>
      <c r="ER841">
        <v>2</v>
      </c>
      <c r="ES841">
        <v>0</v>
      </c>
      <c r="ET841">
        <v>558.55999999999995</v>
      </c>
      <c r="EU841">
        <v>40.43</v>
      </c>
      <c r="EV841">
        <v>598.99</v>
      </c>
      <c r="EW841" s="2">
        <v>43222</v>
      </c>
      <c r="EX841" s="1">
        <v>42879</v>
      </c>
      <c r="EY841">
        <v>2016</v>
      </c>
      <c r="EZ841">
        <v>279.27999999999997</v>
      </c>
      <c r="FA841" t="s">
        <v>8814</v>
      </c>
      <c r="FB841">
        <v>0.25</v>
      </c>
      <c r="FC841" t="s">
        <v>424</v>
      </c>
      <c r="FD841" t="s">
        <v>454</v>
      </c>
      <c r="FF841">
        <v>12</v>
      </c>
      <c r="FG841">
        <v>2851116</v>
      </c>
      <c r="FH841" t="s">
        <v>480</v>
      </c>
      <c r="FJ841" s="1">
        <v>42879</v>
      </c>
      <c r="FK841">
        <v>2016</v>
      </c>
      <c r="FL841">
        <v>279.27999999999997</v>
      </c>
      <c r="FM841" t="s">
        <v>8814</v>
      </c>
      <c r="FN841">
        <v>0.25</v>
      </c>
      <c r="FO841" t="s">
        <v>424</v>
      </c>
      <c r="FP841" t="s">
        <v>454</v>
      </c>
      <c r="FR841">
        <v>12</v>
      </c>
      <c r="FS841">
        <v>5729538</v>
      </c>
      <c r="FT841" t="s">
        <v>8815</v>
      </c>
    </row>
    <row r="842" spans="1:284" x14ac:dyDescent="0.25">
      <c r="A842">
        <v>16485849</v>
      </c>
      <c r="B842">
        <v>841</v>
      </c>
      <c r="C842" t="s">
        <v>393</v>
      </c>
      <c r="D842" t="s">
        <v>394</v>
      </c>
      <c r="F842" t="str">
        <f>"28-2N-25-3060-0010-0010"</f>
        <v>28-2N-25-3060-0010-0010</v>
      </c>
      <c r="H842" t="str">
        <f>"HOLTON ERMA J &amp; JACK HOLTON JR (M&amp;S)"</f>
        <v>HOLTON ERMA J &amp; JACK HOLTON JR (M&amp;S)</v>
      </c>
      <c r="I842" t="str">
        <f>"45228 BISMARK ROAD"</f>
        <v>45228 BISMARK ROAD</v>
      </c>
      <c r="J842" t="str">
        <f>"CALLAHAN FL 32011"</f>
        <v>CALLAHAN FL 32011</v>
      </c>
      <c r="K842" t="str">
        <f>"45228 BISMARK RD"</f>
        <v>45228 BISMARK RD</v>
      </c>
      <c r="L842" t="str">
        <f t="shared" si="250"/>
        <v>CALLAHAN FL 32011</v>
      </c>
      <c r="M842" t="str">
        <f>"PT OF LOT 10 &amp; 27 S-1 IN OR 732 PG 626 EX S-9 OF LOT 10 EAST CALLAHAN SUB PB 1/35"</f>
        <v>PT OF LOT 10 &amp; 27 S-1 IN OR 732 PG 626 EX S-9 OF LOT 10 EAST CALLAHAN SUB PB 1/35</v>
      </c>
      <c r="N842" t="str">
        <f>""</f>
        <v/>
      </c>
      <c r="O842" t="str">
        <f>"38088"</f>
        <v>38088</v>
      </c>
      <c r="P842" t="str">
        <f t="shared" si="265"/>
        <v>2017</v>
      </c>
      <c r="Q842" t="str">
        <f>""</f>
        <v/>
      </c>
      <c r="R842" t="str">
        <f>"Y"</f>
        <v>Y</v>
      </c>
      <c r="S842" t="str">
        <f>"4.00"</f>
        <v>4.00</v>
      </c>
      <c r="T842" t="str">
        <f>"370.13"</f>
        <v>370.13</v>
      </c>
      <c r="U842" t="str">
        <f>"48323.00"</f>
        <v>48323.00</v>
      </c>
      <c r="V842" t="str">
        <f>"48323.00"</f>
        <v>48323.00</v>
      </c>
      <c r="W842" t="str">
        <f t="shared" si="266"/>
        <v>2017</v>
      </c>
      <c r="X842" t="str">
        <f>"26.75"</f>
        <v>26.75</v>
      </c>
      <c r="Y842" t="str">
        <f>"413.23"</f>
        <v>413.23</v>
      </c>
      <c r="Z842" t="str">
        <f>"23874.00"</f>
        <v>23874.00</v>
      </c>
      <c r="AA842" t="str">
        <f>"24449.00"</f>
        <v>24449.00</v>
      </c>
      <c r="AB842" t="str">
        <f t="shared" si="269"/>
        <v>Residential</v>
      </c>
      <c r="AC842" t="str">
        <f t="shared" si="254"/>
        <v>0</v>
      </c>
      <c r="AD842" t="str">
        <f t="shared" si="267"/>
        <v>4</v>
      </c>
      <c r="AE842" t="str">
        <f t="shared" si="268"/>
        <v>WOOD (INCLUDE STEEL STUDS)</v>
      </c>
      <c r="AF842" t="str">
        <f>"001"</f>
        <v>001</v>
      </c>
      <c r="AG842" t="str">
        <f t="shared" ref="AG842:AG856" si="270">"FL"</f>
        <v>FL</v>
      </c>
      <c r="AH842" t="str">
        <f>"174240.00"</f>
        <v>174240.00</v>
      </c>
      <c r="AI842" t="str">
        <f>"32000.00"</f>
        <v>32000.00</v>
      </c>
      <c r="AJ842" t="str">
        <f>"C55-000-587-5243-7"</f>
        <v>C55-000-587-5243-7</v>
      </c>
      <c r="AK842" t="str">
        <f>"13054"</f>
        <v>13054</v>
      </c>
      <c r="AL842">
        <v>3</v>
      </c>
      <c r="AM842">
        <v>974</v>
      </c>
      <c r="AN842">
        <v>432.29</v>
      </c>
      <c r="AQ842" t="s">
        <v>8816</v>
      </c>
      <c r="AR842" t="s">
        <v>8816</v>
      </c>
      <c r="AS842" t="s">
        <v>8816</v>
      </c>
      <c r="AU842" t="s">
        <v>396</v>
      </c>
      <c r="AV842">
        <v>2017</v>
      </c>
      <c r="AW842" t="str">
        <f>"28-2N-25-3060-0010-0010 "</f>
        <v xml:space="preserve">28-2N-25-3060-0010-0010 </v>
      </c>
      <c r="AX842">
        <v>45228</v>
      </c>
      <c r="AZ842" t="s">
        <v>8725</v>
      </c>
      <c r="BA842" t="s">
        <v>496</v>
      </c>
      <c r="BD842" t="s">
        <v>2785</v>
      </c>
      <c r="BE842" t="s">
        <v>393</v>
      </c>
      <c r="BF842">
        <v>32011</v>
      </c>
      <c r="BG842" t="s">
        <v>8817</v>
      </c>
      <c r="BH842" t="s">
        <v>2787</v>
      </c>
      <c r="BI842">
        <v>-81.801434771000402</v>
      </c>
      <c r="BJ842">
        <v>30.561584831813001</v>
      </c>
      <c r="BK842" t="s">
        <v>8818</v>
      </c>
      <c r="BM842" t="s">
        <v>8817</v>
      </c>
      <c r="BN842" t="s">
        <v>928</v>
      </c>
      <c r="BO842">
        <v>32011</v>
      </c>
      <c r="BP842" t="s">
        <v>416</v>
      </c>
      <c r="BQ842">
        <v>100</v>
      </c>
      <c r="BR842" t="s">
        <v>514</v>
      </c>
      <c r="BS842">
        <v>1001</v>
      </c>
      <c r="BT842" t="s">
        <v>515</v>
      </c>
      <c r="BW842">
        <v>174240</v>
      </c>
      <c r="BX842" t="s">
        <v>407</v>
      </c>
      <c r="BY842" t="s">
        <v>408</v>
      </c>
      <c r="BZ842">
        <v>4</v>
      </c>
      <c r="CA842">
        <v>1969</v>
      </c>
      <c r="CB842">
        <v>1</v>
      </c>
      <c r="CC842">
        <v>1</v>
      </c>
      <c r="CD842">
        <v>2017</v>
      </c>
      <c r="CG842">
        <v>48323</v>
      </c>
      <c r="CH842">
        <v>2017</v>
      </c>
      <c r="CI842">
        <v>32000</v>
      </c>
      <c r="CJ842">
        <v>16898</v>
      </c>
      <c r="CK842">
        <v>48898</v>
      </c>
      <c r="CL842">
        <v>2017</v>
      </c>
      <c r="CM842">
        <v>370.13</v>
      </c>
      <c r="CN842" s="1">
        <v>34876</v>
      </c>
      <c r="CZ842" s="1">
        <v>34876</v>
      </c>
      <c r="DD842" t="s">
        <v>2785</v>
      </c>
      <c r="DF842">
        <v>10</v>
      </c>
      <c r="DG842">
        <v>28</v>
      </c>
      <c r="DL842">
        <v>50502</v>
      </c>
      <c r="DM842" t="s">
        <v>8783</v>
      </c>
      <c r="DO842" t="s">
        <v>8819</v>
      </c>
      <c r="DP842">
        <v>0</v>
      </c>
      <c r="DQ842">
        <v>0</v>
      </c>
      <c r="DR842" t="s">
        <v>411</v>
      </c>
      <c r="EP842" t="s">
        <v>421</v>
      </c>
      <c r="EQ842" t="s">
        <v>422</v>
      </c>
      <c r="ER842">
        <v>0</v>
      </c>
      <c r="ES842">
        <v>2</v>
      </c>
      <c r="ET842">
        <v>0</v>
      </c>
      <c r="EU842">
        <v>0</v>
      </c>
      <c r="EV842">
        <v>0</v>
      </c>
      <c r="EW842" s="2">
        <v>43222</v>
      </c>
      <c r="EX842" s="1">
        <v>42879</v>
      </c>
      <c r="EY842">
        <v>2016</v>
      </c>
      <c r="EZ842">
        <v>434.77</v>
      </c>
      <c r="FA842" t="s">
        <v>8820</v>
      </c>
      <c r="FB842">
        <v>0.25</v>
      </c>
      <c r="FC842" t="s">
        <v>424</v>
      </c>
      <c r="FD842" t="s">
        <v>425</v>
      </c>
      <c r="FE842" s="1">
        <v>42898</v>
      </c>
      <c r="FF842">
        <v>1</v>
      </c>
      <c r="FG842">
        <v>2851116</v>
      </c>
      <c r="FH842" t="s">
        <v>480</v>
      </c>
      <c r="FJ842" s="1">
        <v>42879</v>
      </c>
      <c r="FK842">
        <v>2016</v>
      </c>
      <c r="FL842">
        <v>434.77</v>
      </c>
      <c r="FM842" t="s">
        <v>8820</v>
      </c>
      <c r="FN842">
        <v>0.25</v>
      </c>
      <c r="FO842" t="s">
        <v>424</v>
      </c>
      <c r="FP842" t="s">
        <v>425</v>
      </c>
      <c r="FR842">
        <v>22</v>
      </c>
      <c r="FS842">
        <v>5077907</v>
      </c>
      <c r="FT842" t="s">
        <v>8821</v>
      </c>
    </row>
    <row r="843" spans="1:284" x14ac:dyDescent="0.25">
      <c r="A843">
        <v>16485850</v>
      </c>
      <c r="B843">
        <v>842</v>
      </c>
      <c r="C843" t="s">
        <v>393</v>
      </c>
      <c r="D843" t="s">
        <v>394</v>
      </c>
      <c r="F843" t="str">
        <f>"28-2N-25-3060-0012-0010"</f>
        <v>28-2N-25-3060-0012-0010</v>
      </c>
      <c r="H843" t="str">
        <f>"FRALICK MARTHA A EST"</f>
        <v>FRALICK MARTHA A EST</v>
      </c>
      <c r="I843" t="str">
        <f>"45001 REVERE STREET"</f>
        <v>45001 REVERE STREET</v>
      </c>
      <c r="J843" t="str">
        <f>"CALLAHAN FL 32011"</f>
        <v>CALLAHAN FL 32011</v>
      </c>
      <c r="K843" t="str">
        <f>"45001 REVERE ST"</f>
        <v>45001 REVERE ST</v>
      </c>
      <c r="L843" t="str">
        <f t="shared" si="250"/>
        <v>CALLAHAN FL 32011</v>
      </c>
      <c r="M843" t="str">
        <f>"PT OF LOT 12 &amp; 25 IN OR 758/1792 EAST CALLAHAN SUB PBK 1/2 &amp; PBK 1/35 {1980 GUER DW/MH}"</f>
        <v>PT OF LOT 12 &amp; 25 IN OR 758/1792 EAST CALLAHAN SUB PBK 1/2 &amp; PBK 1/35 {1980 GUER DW/MH}</v>
      </c>
      <c r="N843" t="str">
        <f>""</f>
        <v/>
      </c>
      <c r="O843" t="str">
        <f>"38098"</f>
        <v>38098</v>
      </c>
      <c r="P843" t="str">
        <f t="shared" si="265"/>
        <v>2017</v>
      </c>
      <c r="Q843" t="str">
        <f>""</f>
        <v/>
      </c>
      <c r="R843" t="str">
        <f>"N"</f>
        <v>N</v>
      </c>
      <c r="S843" t="str">
        <f>"1.18"</f>
        <v>1.18</v>
      </c>
      <c r="T843" t="str">
        <f>"466.23"</f>
        <v>466.23</v>
      </c>
      <c r="U843" t="str">
        <f>"30797.00"</f>
        <v>30797.00</v>
      </c>
      <c r="V843" t="str">
        <f>"30797.00"</f>
        <v>30797.00</v>
      </c>
      <c r="W843" t="str">
        <f t="shared" si="266"/>
        <v>2017</v>
      </c>
      <c r="X843" t="str">
        <f>""</f>
        <v/>
      </c>
      <c r="Y843" t="str">
        <f>"512.22"</f>
        <v>512.22</v>
      </c>
      <c r="Z843" t="str">
        <f>""</f>
        <v/>
      </c>
      <c r="AA843" t="str">
        <f>"30797.00"</f>
        <v>30797.00</v>
      </c>
      <c r="AB843" t="str">
        <f t="shared" si="269"/>
        <v>Residential</v>
      </c>
      <c r="AC843" t="str">
        <f t="shared" si="254"/>
        <v>0</v>
      </c>
      <c r="AD843" t="str">
        <f t="shared" si="267"/>
        <v>4</v>
      </c>
      <c r="AE843" t="str">
        <f t="shared" si="268"/>
        <v>WOOD (INCLUDE STEEL STUDS)</v>
      </c>
      <c r="AF843" t="str">
        <f>"002"</f>
        <v>002</v>
      </c>
      <c r="AG843" t="str">
        <f t="shared" si="270"/>
        <v>FL</v>
      </c>
      <c r="AH843" t="str">
        <f>"51400.00"</f>
        <v>51400.00</v>
      </c>
      <c r="AI843" t="str">
        <f>"17700.00"</f>
        <v>17700.00</v>
      </c>
      <c r="AJ843" t="str">
        <f>"C55-000-587-5253-6"</f>
        <v>C55-000-587-5253-6</v>
      </c>
      <c r="AK843" t="str">
        <f>"13064"</f>
        <v>13064</v>
      </c>
      <c r="AL843">
        <v>3</v>
      </c>
      <c r="AM843">
        <v>975</v>
      </c>
      <c r="AN843">
        <v>536.23</v>
      </c>
      <c r="AQ843" t="s">
        <v>8822</v>
      </c>
      <c r="AR843" t="s">
        <v>8822</v>
      </c>
      <c r="AS843" t="s">
        <v>8822</v>
      </c>
      <c r="AU843" t="s">
        <v>396</v>
      </c>
      <c r="AV843">
        <v>2017</v>
      </c>
      <c r="AW843" t="str">
        <f>"28-2N-25-3060-0012-0010 "</f>
        <v xml:space="preserve">28-2N-25-3060-0012-0010 </v>
      </c>
      <c r="AX843">
        <v>45001</v>
      </c>
      <c r="AZ843" t="s">
        <v>8823</v>
      </c>
      <c r="BA843" t="s">
        <v>1942</v>
      </c>
      <c r="BD843" t="s">
        <v>2785</v>
      </c>
      <c r="BE843" t="s">
        <v>393</v>
      </c>
      <c r="BF843">
        <v>32011</v>
      </c>
      <c r="BG843" t="s">
        <v>8824</v>
      </c>
      <c r="BH843" t="s">
        <v>2787</v>
      </c>
      <c r="BI843">
        <v>-81.805199227812693</v>
      </c>
      <c r="BJ843">
        <v>30.560910305669498</v>
      </c>
      <c r="BK843" t="s">
        <v>8825</v>
      </c>
      <c r="BM843" t="s">
        <v>8824</v>
      </c>
      <c r="BN843" t="s">
        <v>928</v>
      </c>
      <c r="BO843">
        <v>32011</v>
      </c>
      <c r="BP843" t="s">
        <v>416</v>
      </c>
      <c r="BQ843">
        <v>200</v>
      </c>
      <c r="BR843" t="s">
        <v>405</v>
      </c>
      <c r="BS843">
        <v>1006</v>
      </c>
      <c r="BT843" t="s">
        <v>406</v>
      </c>
      <c r="BW843">
        <v>52272</v>
      </c>
      <c r="BX843" t="s">
        <v>407</v>
      </c>
      <c r="BY843" t="s">
        <v>408</v>
      </c>
      <c r="BZ843">
        <v>4</v>
      </c>
      <c r="CA843">
        <v>1980</v>
      </c>
      <c r="CB843">
        <v>1</v>
      </c>
      <c r="CC843">
        <v>1</v>
      </c>
      <c r="CD843">
        <v>2017</v>
      </c>
      <c r="CE843">
        <v>17700</v>
      </c>
      <c r="CF843">
        <v>13097</v>
      </c>
      <c r="CG843">
        <v>30797</v>
      </c>
      <c r="CH843">
        <v>2017</v>
      </c>
      <c r="CI843">
        <v>17700</v>
      </c>
      <c r="CJ843">
        <v>13097</v>
      </c>
      <c r="CK843">
        <v>30797</v>
      </c>
      <c r="CL843">
        <v>2017</v>
      </c>
      <c r="CM843">
        <v>466.23</v>
      </c>
      <c r="CN843" s="1">
        <v>35191</v>
      </c>
      <c r="CO843">
        <v>17000</v>
      </c>
      <c r="CZ843" s="1">
        <v>35191</v>
      </c>
      <c r="DD843" t="s">
        <v>2785</v>
      </c>
      <c r="DF843">
        <v>12</v>
      </c>
      <c r="DG843">
        <v>28</v>
      </c>
      <c r="DJ843" t="s">
        <v>8790</v>
      </c>
      <c r="DL843">
        <v>50502</v>
      </c>
      <c r="DM843" t="s">
        <v>8783</v>
      </c>
      <c r="DO843" t="s">
        <v>8826</v>
      </c>
      <c r="DP843">
        <v>0</v>
      </c>
      <c r="DQ843">
        <v>0</v>
      </c>
      <c r="DR843" t="s">
        <v>411</v>
      </c>
    </row>
    <row r="844" spans="1:284" x14ac:dyDescent="0.25">
      <c r="A844">
        <v>16485851</v>
      </c>
      <c r="B844">
        <v>843</v>
      </c>
      <c r="C844" t="s">
        <v>393</v>
      </c>
      <c r="D844" t="s">
        <v>394</v>
      </c>
      <c r="F844" t="str">
        <f>"28-2N-25-3060-0012-0050"</f>
        <v>28-2N-25-3060-0012-0050</v>
      </c>
      <c r="H844" t="str">
        <f>"CRAY PRIMULA H"</f>
        <v>CRAY PRIMULA H</v>
      </c>
      <c r="I844" t="str">
        <f>"P O BOX 5031"</f>
        <v>P O BOX 5031</v>
      </c>
      <c r="J844" t="str">
        <f>"CALLAHAN FL 32011"</f>
        <v>CALLAHAN FL 32011</v>
      </c>
      <c r="K844" t="str">
        <f>"QUIP CT"</f>
        <v>QUIP CT</v>
      </c>
      <c r="L844" t="str">
        <f t="shared" si="250"/>
        <v>CALLAHAN FL 32011</v>
      </c>
      <c r="M844" t="str">
        <f>"PT OF LOTS 12 &amp; 13 IN OR 801/1939 EAST CALLAHAN SUB PBK 1/2 &amp; PBK 1/35"</f>
        <v>PT OF LOTS 12 &amp; 13 IN OR 801/1939 EAST CALLAHAN SUB PBK 1/2 &amp; PBK 1/35</v>
      </c>
      <c r="N844" t="str">
        <f>""</f>
        <v/>
      </c>
      <c r="O844" t="str">
        <f>"38101"</f>
        <v>38101</v>
      </c>
      <c r="P844" t="str">
        <f t="shared" si="265"/>
        <v>2017</v>
      </c>
      <c r="Q844" t="str">
        <f>""</f>
        <v/>
      </c>
      <c r="R844" t="str">
        <f>"N"</f>
        <v>N</v>
      </c>
      <c r="S844" t="str">
        <f>"0.72"</f>
        <v>0.72</v>
      </c>
      <c r="T844" t="str">
        <f>"152.43"</f>
        <v>152.43</v>
      </c>
      <c r="U844" t="str">
        <f>"9504.00"</f>
        <v>9504.00</v>
      </c>
      <c r="V844" t="str">
        <f>"9504.00"</f>
        <v>9504.00</v>
      </c>
      <c r="W844" t="str">
        <f t="shared" si="266"/>
        <v>2017</v>
      </c>
      <c r="X844" t="str">
        <f>"2.67"</f>
        <v>2.67</v>
      </c>
      <c r="Y844" t="str">
        <f>"189.00"</f>
        <v>189.00</v>
      </c>
      <c r="Z844" t="str">
        <f>""</f>
        <v/>
      </c>
      <c r="AA844" t="str">
        <f>"10800.00"</f>
        <v>10800.00</v>
      </c>
      <c r="AB844" t="str">
        <f t="shared" si="269"/>
        <v>Residential</v>
      </c>
      <c r="AC844" t="str">
        <f t="shared" si="254"/>
        <v>0</v>
      </c>
      <c r="AD844" t="str">
        <f>""</f>
        <v/>
      </c>
      <c r="AE844" t="str">
        <f>""</f>
        <v/>
      </c>
      <c r="AF844" t="str">
        <f>"000"</f>
        <v>000</v>
      </c>
      <c r="AG844" t="str">
        <f t="shared" si="270"/>
        <v>FL</v>
      </c>
      <c r="AH844" t="str">
        <f>"31363.00"</f>
        <v>31363.00</v>
      </c>
      <c r="AI844" t="str">
        <f>"10800.00"</f>
        <v>10800.00</v>
      </c>
      <c r="AJ844" t="str">
        <f>"C55-000-587-5256-9"</f>
        <v>C55-000-587-5256-9</v>
      </c>
      <c r="AK844" t="str">
        <f>"13067"</f>
        <v>13067</v>
      </c>
      <c r="AL844">
        <v>3</v>
      </c>
      <c r="AM844">
        <v>976</v>
      </c>
      <c r="AN844">
        <v>196.85</v>
      </c>
      <c r="AQ844" t="s">
        <v>8827</v>
      </c>
      <c r="AR844" t="s">
        <v>8827</v>
      </c>
      <c r="AS844" t="s">
        <v>8827</v>
      </c>
      <c r="AU844" t="s">
        <v>396</v>
      </c>
      <c r="AV844">
        <v>2017</v>
      </c>
      <c r="AW844" t="str">
        <f>"28-2N-25-3060-0012-0050 "</f>
        <v xml:space="preserve">28-2N-25-3060-0012-0050 </v>
      </c>
      <c r="AZ844" t="s">
        <v>8828</v>
      </c>
      <c r="BA844" t="s">
        <v>3181</v>
      </c>
      <c r="BD844" t="s">
        <v>2785</v>
      </c>
      <c r="BE844" t="s">
        <v>393</v>
      </c>
      <c r="BF844">
        <v>32011</v>
      </c>
      <c r="BG844" t="s">
        <v>8829</v>
      </c>
      <c r="BH844" t="s">
        <v>2787</v>
      </c>
      <c r="BI844">
        <v>-81.805365045544406</v>
      </c>
      <c r="BJ844">
        <v>30.560445779319</v>
      </c>
      <c r="BK844" t="s">
        <v>8830</v>
      </c>
      <c r="BM844" t="s">
        <v>8831</v>
      </c>
      <c r="BN844" t="s">
        <v>928</v>
      </c>
      <c r="BO844">
        <v>32011</v>
      </c>
      <c r="BP844" t="s">
        <v>404</v>
      </c>
      <c r="BQ844">
        <v>0</v>
      </c>
      <c r="BR844" t="s">
        <v>491</v>
      </c>
      <c r="BS844">
        <v>8001</v>
      </c>
      <c r="BT844" t="s">
        <v>492</v>
      </c>
      <c r="BW844">
        <v>31363</v>
      </c>
      <c r="BX844" t="s">
        <v>407</v>
      </c>
      <c r="BY844" t="s">
        <v>408</v>
      </c>
      <c r="CD844">
        <v>2017</v>
      </c>
      <c r="CE844">
        <v>10800</v>
      </c>
      <c r="CG844">
        <v>10800</v>
      </c>
      <c r="CH844">
        <v>2017</v>
      </c>
      <c r="CI844">
        <v>10800</v>
      </c>
      <c r="CK844">
        <v>10800</v>
      </c>
      <c r="CL844">
        <v>2017</v>
      </c>
      <c r="CM844">
        <v>152.43</v>
      </c>
      <c r="CN844" s="1">
        <v>35646</v>
      </c>
      <c r="CO844">
        <v>500</v>
      </c>
      <c r="CZ844" s="1">
        <v>35646</v>
      </c>
      <c r="DD844" t="s">
        <v>2785</v>
      </c>
      <c r="DG844">
        <v>28</v>
      </c>
      <c r="DJ844" t="s">
        <v>8790</v>
      </c>
      <c r="DL844">
        <v>50502</v>
      </c>
      <c r="DM844" t="s">
        <v>8783</v>
      </c>
      <c r="DO844" t="s">
        <v>8832</v>
      </c>
      <c r="DP844">
        <v>0</v>
      </c>
      <c r="DQ844">
        <v>0</v>
      </c>
      <c r="DR844" t="s">
        <v>411</v>
      </c>
      <c r="DS844" t="s">
        <v>695</v>
      </c>
      <c r="EJ844">
        <v>3</v>
      </c>
      <c r="EK844">
        <v>1</v>
      </c>
      <c r="EP844" t="s">
        <v>421</v>
      </c>
      <c r="EQ844" t="s">
        <v>422</v>
      </c>
      <c r="ER844">
        <v>0</v>
      </c>
      <c r="ES844">
        <v>2</v>
      </c>
      <c r="ET844">
        <v>0</v>
      </c>
      <c r="EU844">
        <v>0</v>
      </c>
      <c r="EV844">
        <v>0</v>
      </c>
      <c r="EW844" s="2">
        <v>43222</v>
      </c>
      <c r="EX844" s="1">
        <v>42879</v>
      </c>
      <c r="EY844">
        <v>2016</v>
      </c>
      <c r="EZ844">
        <v>170.44</v>
      </c>
      <c r="FA844" t="s">
        <v>8833</v>
      </c>
      <c r="FB844">
        <v>13.5</v>
      </c>
      <c r="FC844" t="s">
        <v>424</v>
      </c>
      <c r="FD844" t="s">
        <v>425</v>
      </c>
      <c r="FE844" s="1">
        <v>42956</v>
      </c>
      <c r="FF844">
        <v>3</v>
      </c>
      <c r="FG844">
        <v>10021</v>
      </c>
      <c r="FH844" t="s">
        <v>597</v>
      </c>
      <c r="FJ844" s="1">
        <v>40688</v>
      </c>
      <c r="FK844">
        <v>2010</v>
      </c>
      <c r="FL844">
        <v>166.86</v>
      </c>
      <c r="FM844" t="s">
        <v>8834</v>
      </c>
      <c r="FN844">
        <v>8.75</v>
      </c>
      <c r="FO844" t="s">
        <v>424</v>
      </c>
      <c r="FP844" t="s">
        <v>425</v>
      </c>
      <c r="FQ844" s="1">
        <v>40795</v>
      </c>
      <c r="FR844">
        <v>4</v>
      </c>
      <c r="FS844">
        <v>105</v>
      </c>
      <c r="FT844" t="s">
        <v>946</v>
      </c>
    </row>
    <row r="845" spans="1:284" x14ac:dyDescent="0.25">
      <c r="A845">
        <v>16485852</v>
      </c>
      <c r="B845">
        <v>844</v>
      </c>
      <c r="C845" t="s">
        <v>393</v>
      </c>
      <c r="D845" t="s">
        <v>394</v>
      </c>
      <c r="F845" t="str">
        <f>"28-2N-25-3060-0017-0000"</f>
        <v>28-2N-25-3060-0017-0000</v>
      </c>
      <c r="H845" t="str">
        <f>"FOX J LEE EST C/O DAVID SEAN FOX"</f>
        <v>FOX J LEE EST C/O DAVID SEAN FOX</v>
      </c>
      <c r="I845" t="str">
        <f>"45018 HEMMINGWAY LN"</f>
        <v>45018 HEMMINGWAY LN</v>
      </c>
      <c r="J845" t="str">
        <f>"CALLAHAN FL 32011"</f>
        <v>CALLAHAN FL 32011</v>
      </c>
      <c r="K845" t="str">
        <f>"45018 HEMMINGWAY LN"</f>
        <v>45018 HEMMINGWAY LN</v>
      </c>
      <c r="L845" t="str">
        <f t="shared" si="250"/>
        <v>CALLAHAN FL 32011</v>
      </c>
      <c r="M845" t="str">
        <f>"S 939 FT OF LOT 17 IN OR 497 PG 411 R 107333 &amp; R 107334 EAST CALLAHAN S/D"</f>
        <v>S 939 FT OF LOT 17 IN OR 497 PG 411 R 107333 &amp; R 107334 EAST CALLAHAN S/D</v>
      </c>
      <c r="N845" t="str">
        <f>""</f>
        <v/>
      </c>
      <c r="O845" t="str">
        <f>"38107"</f>
        <v>38107</v>
      </c>
      <c r="P845" t="str">
        <f t="shared" si="265"/>
        <v>2017</v>
      </c>
      <c r="Q845" t="str">
        <f>""</f>
        <v/>
      </c>
      <c r="R845" t="str">
        <f>"Y"</f>
        <v>Y</v>
      </c>
      <c r="S845" t="str">
        <f>"7.10"</f>
        <v>7.10</v>
      </c>
      <c r="T845" t="str">
        <f>"675.71"</f>
        <v>675.71</v>
      </c>
      <c r="U845" t="str">
        <f>"58634.00"</f>
        <v>58634.00</v>
      </c>
      <c r="V845" t="str">
        <f>"58634.00"</f>
        <v>58634.00</v>
      </c>
      <c r="W845" t="str">
        <f t="shared" si="266"/>
        <v>2017</v>
      </c>
      <c r="X845" t="str">
        <f>"4.00"</f>
        <v>4.00</v>
      </c>
      <c r="Y845" t="str">
        <f>"727.98"</f>
        <v>727.98</v>
      </c>
      <c r="Z845" t="str">
        <f>"14000.00"</f>
        <v>14000.00</v>
      </c>
      <c r="AA845" t="str">
        <f>"44634.00"</f>
        <v>44634.00</v>
      </c>
      <c r="AB845" t="str">
        <f t="shared" si="269"/>
        <v>Residential</v>
      </c>
      <c r="AC845" t="str">
        <f t="shared" si="254"/>
        <v>0</v>
      </c>
      <c r="AD845" t="str">
        <f>"4"</f>
        <v>4</v>
      </c>
      <c r="AE845" t="str">
        <f>"WOOD (INCLUDE STEEL STUDS)"</f>
        <v>WOOD (INCLUDE STEEL STUDS)</v>
      </c>
      <c r="AF845" t="str">
        <f>"002"</f>
        <v>002</v>
      </c>
      <c r="AG845" t="str">
        <f t="shared" si="270"/>
        <v>FL</v>
      </c>
      <c r="AH845" t="str">
        <f>"309276.00"</f>
        <v>309276.00</v>
      </c>
      <c r="AI845" t="str">
        <f>"42600.00"</f>
        <v>42600.00</v>
      </c>
      <c r="AJ845" t="str">
        <f>"C55-000-587-5262-7"</f>
        <v>C55-000-587-5262-7</v>
      </c>
      <c r="AK845" t="str">
        <f>"13072"</f>
        <v>13072</v>
      </c>
      <c r="AL845">
        <v>3</v>
      </c>
      <c r="AM845">
        <v>977</v>
      </c>
      <c r="AN845">
        <v>762.78</v>
      </c>
      <c r="AQ845" t="s">
        <v>8835</v>
      </c>
      <c r="AR845" t="s">
        <v>8835</v>
      </c>
      <c r="AS845" t="s">
        <v>8835</v>
      </c>
      <c r="AU845" t="s">
        <v>396</v>
      </c>
      <c r="AV845">
        <v>2017</v>
      </c>
      <c r="AW845" t="str">
        <f>"28-2N-25-3060-0017-0000 "</f>
        <v xml:space="preserve">28-2N-25-3060-0017-0000 </v>
      </c>
      <c r="AX845">
        <v>45018</v>
      </c>
      <c r="AZ845" t="s">
        <v>8836</v>
      </c>
      <c r="BA845" t="s">
        <v>653</v>
      </c>
      <c r="BD845" t="s">
        <v>2785</v>
      </c>
      <c r="BE845" t="s">
        <v>393</v>
      </c>
      <c r="BF845">
        <v>32011</v>
      </c>
      <c r="BG845" t="s">
        <v>8837</v>
      </c>
      <c r="BH845" t="s">
        <v>2787</v>
      </c>
      <c r="BI845">
        <v>-81.810546428097894</v>
      </c>
      <c r="BJ845">
        <v>30.559442536350598</v>
      </c>
      <c r="BK845" t="s">
        <v>8838</v>
      </c>
      <c r="BM845" t="s">
        <v>8837</v>
      </c>
      <c r="BN845" t="s">
        <v>928</v>
      </c>
      <c r="BO845">
        <v>32011</v>
      </c>
      <c r="BP845" t="s">
        <v>416</v>
      </c>
      <c r="BQ845">
        <v>200</v>
      </c>
      <c r="BR845" t="s">
        <v>405</v>
      </c>
      <c r="BS845">
        <v>1006</v>
      </c>
      <c r="BT845" t="s">
        <v>406</v>
      </c>
      <c r="BW845">
        <v>309276</v>
      </c>
      <c r="BX845" t="s">
        <v>407</v>
      </c>
      <c r="BY845" t="s">
        <v>408</v>
      </c>
      <c r="BZ845">
        <v>4</v>
      </c>
      <c r="CA845">
        <v>1982</v>
      </c>
      <c r="CB845">
        <v>1</v>
      </c>
      <c r="CC845">
        <v>1</v>
      </c>
      <c r="CD845">
        <v>2017</v>
      </c>
      <c r="CG845">
        <v>58634</v>
      </c>
      <c r="CH845">
        <v>2017</v>
      </c>
      <c r="CI845">
        <v>42600</v>
      </c>
      <c r="CJ845">
        <v>16858</v>
      </c>
      <c r="CK845">
        <v>59458</v>
      </c>
      <c r="CL845">
        <v>2017</v>
      </c>
      <c r="CM845">
        <v>675.71</v>
      </c>
      <c r="CN845" s="1">
        <v>31656</v>
      </c>
      <c r="CO845">
        <v>59900</v>
      </c>
      <c r="CZ845" s="1">
        <v>31656</v>
      </c>
      <c r="DD845" t="s">
        <v>2785</v>
      </c>
      <c r="DF845">
        <v>17</v>
      </c>
      <c r="DG845">
        <v>28</v>
      </c>
      <c r="DL845">
        <v>50502</v>
      </c>
      <c r="DM845" t="s">
        <v>8783</v>
      </c>
      <c r="DO845" t="s">
        <v>8839</v>
      </c>
      <c r="DP845">
        <v>0</v>
      </c>
      <c r="DQ845">
        <v>0</v>
      </c>
      <c r="DR845" t="s">
        <v>411</v>
      </c>
      <c r="EP845" t="s">
        <v>421</v>
      </c>
      <c r="EQ845" t="s">
        <v>422</v>
      </c>
      <c r="ER845">
        <v>2</v>
      </c>
      <c r="ES845">
        <v>2</v>
      </c>
      <c r="ET845">
        <v>1536.56</v>
      </c>
      <c r="EU845">
        <v>89.33</v>
      </c>
      <c r="EV845">
        <v>1625.89</v>
      </c>
      <c r="EW845" s="2">
        <v>43222</v>
      </c>
      <c r="EX845" s="1">
        <v>42879</v>
      </c>
      <c r="EY845">
        <v>2016</v>
      </c>
      <c r="EZ845">
        <v>768.28</v>
      </c>
      <c r="FA845" t="s">
        <v>8840</v>
      </c>
      <c r="FB845">
        <v>0.25</v>
      </c>
      <c r="FC845" t="s">
        <v>424</v>
      </c>
      <c r="FD845" t="s">
        <v>454</v>
      </c>
      <c r="FF845">
        <v>12</v>
      </c>
      <c r="FG845">
        <v>2851116</v>
      </c>
      <c r="FH845" t="s">
        <v>480</v>
      </c>
      <c r="FJ845" s="1">
        <v>42879</v>
      </c>
      <c r="FK845">
        <v>2016</v>
      </c>
      <c r="FL845">
        <v>768.28</v>
      </c>
      <c r="FM845" t="s">
        <v>8840</v>
      </c>
      <c r="FN845">
        <v>0.25</v>
      </c>
      <c r="FO845" t="s">
        <v>424</v>
      </c>
      <c r="FP845" t="s">
        <v>454</v>
      </c>
      <c r="FR845">
        <v>12</v>
      </c>
      <c r="FS845">
        <v>5092731</v>
      </c>
      <c r="FT845" t="s">
        <v>8841</v>
      </c>
      <c r="FV845" s="1">
        <v>41052</v>
      </c>
      <c r="FW845">
        <v>2011</v>
      </c>
      <c r="FX845">
        <v>979.88</v>
      </c>
      <c r="FY845" t="s">
        <v>8842</v>
      </c>
      <c r="FZ845">
        <v>0.25</v>
      </c>
      <c r="GA845" t="s">
        <v>424</v>
      </c>
      <c r="GB845" t="s">
        <v>425</v>
      </c>
      <c r="GC845" s="1">
        <v>41201</v>
      </c>
      <c r="GD845">
        <v>5</v>
      </c>
      <c r="GE845">
        <v>12407</v>
      </c>
      <c r="GF845" t="s">
        <v>838</v>
      </c>
      <c r="GH845" s="1">
        <v>40688</v>
      </c>
      <c r="GI845">
        <v>2010</v>
      </c>
      <c r="GJ845">
        <v>583.09</v>
      </c>
      <c r="GK845" t="s">
        <v>8843</v>
      </c>
      <c r="GL845">
        <v>7.75</v>
      </c>
      <c r="GM845" t="s">
        <v>424</v>
      </c>
      <c r="GN845" t="s">
        <v>425</v>
      </c>
      <c r="GO845" s="1">
        <v>40756</v>
      </c>
      <c r="GP845">
        <v>3</v>
      </c>
      <c r="GQ845">
        <v>305</v>
      </c>
      <c r="GR845" t="s">
        <v>1078</v>
      </c>
    </row>
    <row r="846" spans="1:284" x14ac:dyDescent="0.25">
      <c r="A846">
        <v>16485853</v>
      </c>
      <c r="B846">
        <v>845</v>
      </c>
      <c r="C846" t="s">
        <v>393</v>
      </c>
      <c r="D846" t="s">
        <v>394</v>
      </c>
      <c r="F846" t="str">
        <f>"28-2N-25-3060-0025-0020"</f>
        <v>28-2N-25-3060-0025-0020</v>
      </c>
      <c r="H846" t="str">
        <f>"FISHER MARGARET SUE"</f>
        <v>FISHER MARGARET SUE</v>
      </c>
      <c r="I846" t="str">
        <f>"45030 REVERE STREET"</f>
        <v>45030 REVERE STREET</v>
      </c>
      <c r="J846" t="str">
        <f>"CALLAHAN FL 32011"</f>
        <v>CALLAHAN FL 32011</v>
      </c>
      <c r="K846" t="str">
        <f>"45030 REVERE ST"</f>
        <v>45030 REVERE ST</v>
      </c>
      <c r="L846" t="str">
        <f t="shared" si="250"/>
        <v>CALLAHAN FL 32011</v>
      </c>
      <c r="M846" t="str">
        <f>"PT OF LOT 25 IN OR 2049/1734 EAST CALLAHAN S/D PBK 1/35"</f>
        <v>PT OF LOT 25 IN OR 2049/1734 EAST CALLAHAN S/D PBK 1/35</v>
      </c>
      <c r="N846" t="str">
        <f>""</f>
        <v/>
      </c>
      <c r="O846" t="str">
        <f>"38119"</f>
        <v>38119</v>
      </c>
      <c r="P846" t="str">
        <f t="shared" si="265"/>
        <v>2017</v>
      </c>
      <c r="Q846" t="str">
        <f>""</f>
        <v/>
      </c>
      <c r="R846" t="str">
        <f>"N"</f>
        <v>N</v>
      </c>
      <c r="S846" t="str">
        <f>"1.30"</f>
        <v>1.30</v>
      </c>
      <c r="T846" t="str">
        <f>"1667.34"</f>
        <v>1667.34</v>
      </c>
      <c r="U846" t="str">
        <f>"110137.00"</f>
        <v>110137.00</v>
      </c>
      <c r="V846" t="str">
        <f>"110137.00"</f>
        <v>110137.00</v>
      </c>
      <c r="W846" t="str">
        <f t="shared" si="266"/>
        <v>2017</v>
      </c>
      <c r="X846" t="str">
        <f>"5.00"</f>
        <v>5.00</v>
      </c>
      <c r="Y846" t="str">
        <f>"1749.36"</f>
        <v>1749.36</v>
      </c>
      <c r="Z846" t="str">
        <f>""</f>
        <v/>
      </c>
      <c r="AA846" t="str">
        <f>"110137.00"</f>
        <v>110137.00</v>
      </c>
      <c r="AB846" t="str">
        <f t="shared" si="269"/>
        <v>Residential</v>
      </c>
      <c r="AC846" t="str">
        <f t="shared" si="254"/>
        <v>0</v>
      </c>
      <c r="AD846" t="str">
        <f>"4"</f>
        <v>4</v>
      </c>
      <c r="AE846" t="str">
        <f>"WOOD (INCLUDE STEEL STUDS)"</f>
        <v>WOOD (INCLUDE STEEL STUDS)</v>
      </c>
      <c r="AF846" t="str">
        <f>"001"</f>
        <v>001</v>
      </c>
      <c r="AG846" t="str">
        <f t="shared" si="270"/>
        <v>FL</v>
      </c>
      <c r="AH846" t="str">
        <f>"56628.00"</f>
        <v>56628.00</v>
      </c>
      <c r="AI846" t="str">
        <f>"19500.00"</f>
        <v>19500.00</v>
      </c>
      <c r="AJ846" t="str">
        <f>"C55-000-587-5274-2"</f>
        <v>C55-000-587-5274-2</v>
      </c>
      <c r="AK846" t="str">
        <f>"13084"</f>
        <v>13084</v>
      </c>
      <c r="AL846">
        <v>3</v>
      </c>
      <c r="AM846">
        <v>978</v>
      </c>
      <c r="AN846">
        <v>1835.23</v>
      </c>
      <c r="AQ846" t="s">
        <v>8844</v>
      </c>
      <c r="AR846" t="s">
        <v>8844</v>
      </c>
      <c r="AS846" t="s">
        <v>8844</v>
      </c>
      <c r="AU846" t="s">
        <v>396</v>
      </c>
      <c r="AV846">
        <v>2017</v>
      </c>
      <c r="AW846" t="str">
        <f>"28-2N-25-3060-0025-0020 "</f>
        <v xml:space="preserve">28-2N-25-3060-0025-0020 </v>
      </c>
      <c r="AX846">
        <v>45030</v>
      </c>
      <c r="AZ846" t="s">
        <v>8823</v>
      </c>
      <c r="BA846" t="s">
        <v>1942</v>
      </c>
      <c r="BD846" t="s">
        <v>2785</v>
      </c>
      <c r="BE846" t="s">
        <v>393</v>
      </c>
      <c r="BF846">
        <v>32011</v>
      </c>
      <c r="BG846" t="s">
        <v>8845</v>
      </c>
      <c r="BH846" t="s">
        <v>2787</v>
      </c>
      <c r="BI846">
        <v>-81.805078085768798</v>
      </c>
      <c r="BJ846">
        <v>30.561812293278599</v>
      </c>
      <c r="BK846" t="s">
        <v>8846</v>
      </c>
      <c r="BM846" t="s">
        <v>8847</v>
      </c>
      <c r="BN846" t="s">
        <v>928</v>
      </c>
      <c r="BO846">
        <v>32011</v>
      </c>
      <c r="BP846" t="s">
        <v>404</v>
      </c>
      <c r="BQ846">
        <v>100</v>
      </c>
      <c r="BR846" t="s">
        <v>514</v>
      </c>
      <c r="BS846">
        <v>1001</v>
      </c>
      <c r="BT846" t="s">
        <v>515</v>
      </c>
      <c r="BW846">
        <v>56628</v>
      </c>
      <c r="BX846" t="s">
        <v>407</v>
      </c>
      <c r="BY846" t="s">
        <v>408</v>
      </c>
      <c r="BZ846">
        <v>4</v>
      </c>
      <c r="CA846">
        <v>1969</v>
      </c>
      <c r="CB846">
        <v>1</v>
      </c>
      <c r="CC846">
        <v>1</v>
      </c>
      <c r="CD846">
        <v>2017</v>
      </c>
      <c r="CE846">
        <v>19500</v>
      </c>
      <c r="CF846">
        <v>90637</v>
      </c>
      <c r="CG846">
        <v>110137</v>
      </c>
      <c r="CH846">
        <v>2017</v>
      </c>
      <c r="CI846">
        <v>19500</v>
      </c>
      <c r="CJ846">
        <v>90637</v>
      </c>
      <c r="CK846">
        <v>110137</v>
      </c>
      <c r="CL846">
        <v>2017</v>
      </c>
      <c r="CM846">
        <v>1667.34</v>
      </c>
      <c r="CN846" s="1">
        <v>40036</v>
      </c>
      <c r="CO846">
        <v>20000</v>
      </c>
      <c r="CV846">
        <v>0</v>
      </c>
      <c r="CZ846" s="1">
        <v>40036</v>
      </c>
      <c r="DA846">
        <v>0</v>
      </c>
      <c r="DD846" t="s">
        <v>2785</v>
      </c>
      <c r="DF846">
        <v>25</v>
      </c>
      <c r="DG846">
        <v>28</v>
      </c>
      <c r="DL846">
        <v>50502</v>
      </c>
      <c r="DM846" t="s">
        <v>8783</v>
      </c>
      <c r="DO846" t="s">
        <v>8848</v>
      </c>
      <c r="DP846">
        <v>0</v>
      </c>
      <c r="DQ846">
        <v>0</v>
      </c>
      <c r="DR846" t="s">
        <v>411</v>
      </c>
      <c r="DS846" t="b">
        <v>1</v>
      </c>
      <c r="DT846" t="s">
        <v>470</v>
      </c>
      <c r="DU846" t="s">
        <v>471</v>
      </c>
      <c r="DV846" t="s">
        <v>472</v>
      </c>
      <c r="DX846">
        <v>-9999</v>
      </c>
      <c r="DZ846" t="s">
        <v>447</v>
      </c>
      <c r="EA846" t="s">
        <v>448</v>
      </c>
      <c r="EB846" t="s">
        <v>742</v>
      </c>
      <c r="EC846">
        <v>20101217</v>
      </c>
      <c r="ED846" t="s">
        <v>474</v>
      </c>
      <c r="EF846">
        <v>79.599999999999994</v>
      </c>
      <c r="EG846">
        <v>79.599999999999994</v>
      </c>
      <c r="EH846" t="s">
        <v>451</v>
      </c>
      <c r="EI846">
        <v>20140731</v>
      </c>
      <c r="EJ846">
        <v>0</v>
      </c>
      <c r="EK846">
        <v>0</v>
      </c>
      <c r="EP846" t="s">
        <v>421</v>
      </c>
      <c r="EQ846" t="s">
        <v>422</v>
      </c>
      <c r="ER846">
        <v>0</v>
      </c>
      <c r="ES846">
        <v>3</v>
      </c>
      <c r="ET846">
        <v>0</v>
      </c>
      <c r="EU846">
        <v>0</v>
      </c>
      <c r="EV846">
        <v>0</v>
      </c>
      <c r="EW846" s="2">
        <v>43222</v>
      </c>
      <c r="EX846" s="1">
        <v>42879</v>
      </c>
      <c r="EY846">
        <v>2016</v>
      </c>
      <c r="EZ846">
        <v>970.31</v>
      </c>
      <c r="FA846" t="s">
        <v>8849</v>
      </c>
      <c r="FB846">
        <v>0.25</v>
      </c>
      <c r="FC846" t="s">
        <v>424</v>
      </c>
      <c r="FD846" t="s">
        <v>425</v>
      </c>
      <c r="FE846" s="1">
        <v>43105</v>
      </c>
      <c r="FF846">
        <v>8</v>
      </c>
      <c r="FG846">
        <v>7336671</v>
      </c>
      <c r="FH846" t="s">
        <v>437</v>
      </c>
      <c r="FJ846" s="1">
        <v>42879</v>
      </c>
      <c r="FK846">
        <v>2016</v>
      </c>
      <c r="FL846">
        <v>970.31</v>
      </c>
      <c r="FM846" t="s">
        <v>8849</v>
      </c>
      <c r="FN846">
        <v>0.25</v>
      </c>
      <c r="FO846" t="s">
        <v>424</v>
      </c>
      <c r="FP846" t="s">
        <v>425</v>
      </c>
      <c r="FR846">
        <v>22</v>
      </c>
      <c r="FS846">
        <v>5182297</v>
      </c>
      <c r="FT846" t="s">
        <v>8850</v>
      </c>
      <c r="FV846" s="1">
        <v>41052</v>
      </c>
      <c r="FW846">
        <v>2011</v>
      </c>
      <c r="FX846">
        <v>1039.5899999999999</v>
      </c>
      <c r="FY846" t="s">
        <v>8851</v>
      </c>
      <c r="FZ846">
        <v>0.25</v>
      </c>
      <c r="GA846" t="s">
        <v>424</v>
      </c>
      <c r="GB846" t="s">
        <v>425</v>
      </c>
      <c r="GC846" s="1">
        <v>41241</v>
      </c>
      <c r="GD846">
        <v>6</v>
      </c>
      <c r="GE846">
        <v>13364</v>
      </c>
      <c r="GF846" t="s">
        <v>8852</v>
      </c>
    </row>
    <row r="847" spans="1:284" x14ac:dyDescent="0.25">
      <c r="A847">
        <v>16485854</v>
      </c>
      <c r="B847">
        <v>846</v>
      </c>
      <c r="C847" t="s">
        <v>393</v>
      </c>
      <c r="D847" t="s">
        <v>394</v>
      </c>
      <c r="F847" t="str">
        <f>"28-2N-25-3060-0033-0050"</f>
        <v>28-2N-25-3060-0033-0050</v>
      </c>
      <c r="H847" t="str">
        <f>"ANDERSON KIMBERLY"</f>
        <v>ANDERSON KIMBERLY</v>
      </c>
      <c r="I847" t="str">
        <f>"872 S BRETT ST"</f>
        <v>872 S BRETT ST</v>
      </c>
      <c r="J847" t="str">
        <f>"CRESTVIEW FL 32539"</f>
        <v>CRESTVIEW FL 32539</v>
      </c>
      <c r="K847" t="str">
        <f>"CIRCLE DR"</f>
        <v>CIRCLE DR</v>
      </c>
      <c r="L847" t="str">
        <f t="shared" si="250"/>
        <v>CALLAHAN FL 32011</v>
      </c>
      <c r="M847" t="str">
        <f>"PT OF LOT 33 IN OR 896/1570 EAST CALLAHAN PB 1/35"</f>
        <v>PT OF LOT 33 IN OR 896/1570 EAST CALLAHAN PB 1/35</v>
      </c>
      <c r="N847" t="str">
        <f>""</f>
        <v/>
      </c>
      <c r="O847" t="str">
        <f>"38132"</f>
        <v>38132</v>
      </c>
      <c r="P847" t="str">
        <f t="shared" si="265"/>
        <v>2017</v>
      </c>
      <c r="Q847" t="str">
        <f>""</f>
        <v/>
      </c>
      <c r="R847" t="str">
        <f>"N"</f>
        <v>N</v>
      </c>
      <c r="S847" t="str">
        <f>"1.87"</f>
        <v>1.87</v>
      </c>
      <c r="T847" t="str">
        <f>"395.90"</f>
        <v>395.90</v>
      </c>
      <c r="U847" t="str">
        <f>"24684.00"</f>
        <v>24684.00</v>
      </c>
      <c r="V847" t="str">
        <f>"24684.00"</f>
        <v>24684.00</v>
      </c>
      <c r="W847" t="str">
        <f t="shared" si="266"/>
        <v>2017</v>
      </c>
      <c r="X847" t="str">
        <f>"14.75"</f>
        <v>14.75</v>
      </c>
      <c r="Y847" t="str">
        <f>"439.78"</f>
        <v>439.78</v>
      </c>
      <c r="Z847" t="str">
        <f>""</f>
        <v/>
      </c>
      <c r="AA847" t="str">
        <f>"28050.00"</f>
        <v>28050.00</v>
      </c>
      <c r="AB847" t="str">
        <f t="shared" si="269"/>
        <v>Residential</v>
      </c>
      <c r="AC847" t="str">
        <f t="shared" si="254"/>
        <v>0</v>
      </c>
      <c r="AD847" t="str">
        <f>""</f>
        <v/>
      </c>
      <c r="AE847" t="str">
        <f>""</f>
        <v/>
      </c>
      <c r="AF847" t="str">
        <f>"000"</f>
        <v>000</v>
      </c>
      <c r="AG847" t="str">
        <f t="shared" si="270"/>
        <v>FL</v>
      </c>
      <c r="AH847" t="str">
        <f>"81457.00"</f>
        <v>81457.00</v>
      </c>
      <c r="AI847" t="str">
        <f>"28050.00"</f>
        <v>28050.00</v>
      </c>
      <c r="AJ847" t="str">
        <f>"C55-000-587-5285-8"</f>
        <v>C55-000-587-5285-8</v>
      </c>
      <c r="AK847" t="str">
        <f>"13095"</f>
        <v>13095</v>
      </c>
      <c r="AL847">
        <v>3</v>
      </c>
      <c r="AM847">
        <v>979</v>
      </c>
      <c r="AN847">
        <v>460.17</v>
      </c>
      <c r="AQ847" t="s">
        <v>8853</v>
      </c>
      <c r="AR847" t="s">
        <v>8853</v>
      </c>
      <c r="AS847" t="s">
        <v>8853</v>
      </c>
      <c r="AU847" t="s">
        <v>396</v>
      </c>
      <c r="AV847">
        <v>2017</v>
      </c>
      <c r="AW847" t="str">
        <f>"28-2N-25-3060-0033-0050 "</f>
        <v xml:space="preserve">28-2N-25-3060-0033-0050 </v>
      </c>
      <c r="AZ847" t="s">
        <v>8854</v>
      </c>
      <c r="BA847" t="s">
        <v>669</v>
      </c>
      <c r="BD847" t="s">
        <v>2785</v>
      </c>
      <c r="BE847" t="s">
        <v>393</v>
      </c>
      <c r="BF847">
        <v>32011</v>
      </c>
      <c r="BG847" t="s">
        <v>8855</v>
      </c>
      <c r="BH847" t="s">
        <v>2787</v>
      </c>
      <c r="BI847">
        <v>-81.810586323045101</v>
      </c>
      <c r="BJ847">
        <v>30.563126850835399</v>
      </c>
      <c r="BK847" t="s">
        <v>8856</v>
      </c>
      <c r="BM847" t="s">
        <v>8857</v>
      </c>
      <c r="BN847" t="s">
        <v>8858</v>
      </c>
      <c r="BO847">
        <v>32539</v>
      </c>
      <c r="BP847" t="s">
        <v>404</v>
      </c>
      <c r="BQ847">
        <v>0</v>
      </c>
      <c r="BR847" t="s">
        <v>491</v>
      </c>
      <c r="BS847">
        <v>8001</v>
      </c>
      <c r="BT847" t="s">
        <v>492</v>
      </c>
      <c r="BW847">
        <v>81457</v>
      </c>
      <c r="BX847" t="s">
        <v>407</v>
      </c>
      <c r="CD847">
        <v>2017</v>
      </c>
      <c r="CE847">
        <v>28050</v>
      </c>
      <c r="CG847">
        <v>28050</v>
      </c>
      <c r="CH847">
        <v>2017</v>
      </c>
      <c r="CI847">
        <v>28050</v>
      </c>
      <c r="CK847">
        <v>28050</v>
      </c>
      <c r="CL847">
        <v>2017</v>
      </c>
      <c r="CM847">
        <v>395.9</v>
      </c>
      <c r="CN847" s="1">
        <v>36398</v>
      </c>
      <c r="CZ847" s="1">
        <v>36398</v>
      </c>
      <c r="DD847" t="s">
        <v>2785</v>
      </c>
      <c r="DF847">
        <v>33</v>
      </c>
      <c r="DG847">
        <v>28</v>
      </c>
      <c r="DJ847" t="s">
        <v>8859</v>
      </c>
      <c r="DL847">
        <v>50502</v>
      </c>
      <c r="DM847" t="s">
        <v>8783</v>
      </c>
      <c r="DO847" t="s">
        <v>8860</v>
      </c>
      <c r="DP847">
        <v>0</v>
      </c>
      <c r="DQ847">
        <v>0</v>
      </c>
      <c r="DR847" t="s">
        <v>411</v>
      </c>
      <c r="DS847" t="b">
        <v>1</v>
      </c>
      <c r="DT847" t="s">
        <v>470</v>
      </c>
      <c r="DU847" t="s">
        <v>471</v>
      </c>
      <c r="DV847" t="s">
        <v>472</v>
      </c>
      <c r="DX847">
        <v>-9999</v>
      </c>
      <c r="DZ847" t="s">
        <v>447</v>
      </c>
      <c r="EA847" t="s">
        <v>448</v>
      </c>
      <c r="EB847" t="s">
        <v>742</v>
      </c>
      <c r="EC847">
        <v>20101217</v>
      </c>
      <c r="ED847" t="s">
        <v>474</v>
      </c>
      <c r="EF847">
        <v>1089.4000000000001</v>
      </c>
      <c r="EG847">
        <v>1089.4000000000001</v>
      </c>
      <c r="EI847">
        <v>20160407</v>
      </c>
      <c r="EJ847">
        <v>0</v>
      </c>
      <c r="EK847">
        <v>0</v>
      </c>
      <c r="EP847" t="s">
        <v>421</v>
      </c>
      <c r="EQ847" t="s">
        <v>422</v>
      </c>
      <c r="ER847">
        <v>1</v>
      </c>
      <c r="ES847">
        <v>4</v>
      </c>
      <c r="ET847">
        <v>399.54</v>
      </c>
      <c r="EU847">
        <v>32.22</v>
      </c>
      <c r="EV847">
        <v>431.76</v>
      </c>
      <c r="EW847" s="2">
        <v>43222</v>
      </c>
      <c r="EX847" s="1">
        <v>42879</v>
      </c>
      <c r="EY847">
        <v>2016</v>
      </c>
      <c r="EZ847">
        <v>399.54</v>
      </c>
      <c r="FA847" t="s">
        <v>8861</v>
      </c>
      <c r="FB847">
        <v>6.5</v>
      </c>
      <c r="FC847" t="s">
        <v>424</v>
      </c>
      <c r="FD847" t="s">
        <v>454</v>
      </c>
      <c r="FF847">
        <v>12</v>
      </c>
      <c r="FG847">
        <v>10125</v>
      </c>
      <c r="FH847" t="s">
        <v>440</v>
      </c>
      <c r="FJ847" s="1">
        <v>42515</v>
      </c>
      <c r="FK847">
        <v>2015</v>
      </c>
      <c r="FL847">
        <v>403.58</v>
      </c>
      <c r="FM847" t="s">
        <v>8862</v>
      </c>
      <c r="FN847">
        <v>0.25</v>
      </c>
      <c r="FO847" t="s">
        <v>424</v>
      </c>
      <c r="FP847" t="s">
        <v>425</v>
      </c>
      <c r="FQ847" s="1">
        <v>43168</v>
      </c>
      <c r="FR847">
        <v>22</v>
      </c>
      <c r="FS847">
        <v>7336671</v>
      </c>
      <c r="FT847" t="s">
        <v>437</v>
      </c>
      <c r="FV847" s="1">
        <v>42515</v>
      </c>
      <c r="FW847">
        <v>2015</v>
      </c>
      <c r="FX847">
        <v>403.58</v>
      </c>
      <c r="FY847" t="s">
        <v>8862</v>
      </c>
      <c r="FZ847">
        <v>0.25</v>
      </c>
      <c r="GA847" t="s">
        <v>424</v>
      </c>
      <c r="GB847" t="s">
        <v>425</v>
      </c>
      <c r="GD847">
        <v>22</v>
      </c>
      <c r="GE847">
        <v>6949605</v>
      </c>
      <c r="GF847" t="s">
        <v>8863</v>
      </c>
      <c r="GH847" s="1">
        <v>41052</v>
      </c>
      <c r="GI847">
        <v>2011</v>
      </c>
      <c r="GJ847">
        <v>411.35</v>
      </c>
      <c r="GK847" t="s">
        <v>8864</v>
      </c>
      <c r="GL847">
        <v>4.75</v>
      </c>
      <c r="GM847" t="s">
        <v>424</v>
      </c>
      <c r="GN847" t="s">
        <v>425</v>
      </c>
      <c r="GO847" s="1">
        <v>41095</v>
      </c>
      <c r="GP847">
        <v>2</v>
      </c>
      <c r="GQ847">
        <v>10125</v>
      </c>
      <c r="GR847" t="s">
        <v>440</v>
      </c>
      <c r="GT847" s="1">
        <v>40688</v>
      </c>
      <c r="GU847">
        <v>2010</v>
      </c>
      <c r="GV847">
        <v>412.53</v>
      </c>
      <c r="GW847" t="s">
        <v>8865</v>
      </c>
      <c r="GX847">
        <v>8.75</v>
      </c>
      <c r="GY847" t="s">
        <v>424</v>
      </c>
      <c r="GZ847" t="s">
        <v>425</v>
      </c>
      <c r="HA847" s="1">
        <v>41095</v>
      </c>
      <c r="HB847">
        <v>14</v>
      </c>
      <c r="HC847">
        <v>375</v>
      </c>
      <c r="HD847" t="s">
        <v>776</v>
      </c>
    </row>
    <row r="848" spans="1:284" x14ac:dyDescent="0.25">
      <c r="A848">
        <v>16485855</v>
      </c>
      <c r="B848">
        <v>847</v>
      </c>
      <c r="C848" t="s">
        <v>393</v>
      </c>
      <c r="D848" t="s">
        <v>394</v>
      </c>
      <c r="F848" t="str">
        <f>"28-2N-25-3060-0047-0030"</f>
        <v>28-2N-25-3060-0047-0030</v>
      </c>
      <c r="H848" t="str">
        <f>"HODGES ROGER L &amp; ANGELA K"</f>
        <v>HODGES ROGER L &amp; ANGELA K</v>
      </c>
      <c r="I848" t="str">
        <f>"45164 STRATTON ROAD"</f>
        <v>45164 STRATTON ROAD</v>
      </c>
      <c r="J848" t="str">
        <f>"CALLAHAN FL 32011"</f>
        <v>CALLAHAN FL 32011</v>
      </c>
      <c r="K848" t="str">
        <f>"45164 STRATTON RD"</f>
        <v>45164 STRATTON RD</v>
      </c>
      <c r="L848" t="str">
        <f t="shared" si="250"/>
        <v>CALLAHAN FL 32011</v>
      </c>
      <c r="M848" t="str">
        <f>"S-3 &amp; S-5 OF LOT 47 IN OR 1311/1386 EAST CALLAHAN SUB PB 1/35"</f>
        <v>S-3 &amp; S-5 OF LOT 47 IN OR 1311/1386 EAST CALLAHAN SUB PB 1/35</v>
      </c>
      <c r="N848" t="str">
        <f>""</f>
        <v/>
      </c>
      <c r="O848" t="str">
        <f>"38147"</f>
        <v>38147</v>
      </c>
      <c r="P848" t="str">
        <f t="shared" si="265"/>
        <v>2017</v>
      </c>
      <c r="Q848" t="str">
        <f>""</f>
        <v/>
      </c>
      <c r="R848" t="str">
        <f>"Y"</f>
        <v>Y</v>
      </c>
      <c r="S848" t="str">
        <f>"5.79"</f>
        <v>5.79</v>
      </c>
      <c r="T848" t="str">
        <f>"2186.06"</f>
        <v>2186.06</v>
      </c>
      <c r="U848" t="str">
        <f>"183505.00"</f>
        <v>183505.00</v>
      </c>
      <c r="V848" t="str">
        <f>"183505.00"</f>
        <v>183505.00</v>
      </c>
      <c r="W848" t="str">
        <f t="shared" si="266"/>
        <v>2017</v>
      </c>
      <c r="X848" t="str">
        <f>"19.33"</f>
        <v>19.33</v>
      </c>
      <c r="Y848" t="str">
        <f>"2283.64"</f>
        <v>2283.64</v>
      </c>
      <c r="Z848" t="str">
        <f>"25000.00"</f>
        <v>25000.00</v>
      </c>
      <c r="AA848" t="str">
        <f>"158505.00"</f>
        <v>158505.00</v>
      </c>
      <c r="AB848" t="str">
        <f t="shared" si="269"/>
        <v>Residential</v>
      </c>
      <c r="AC848" t="str">
        <f t="shared" si="254"/>
        <v>0</v>
      </c>
      <c r="AD848" t="str">
        <f t="shared" ref="AD848:AD866" si="271">"4"</f>
        <v>4</v>
      </c>
      <c r="AE848" t="str">
        <f t="shared" ref="AE848:AE866" si="272">"WOOD (INCLUDE STEEL STUDS)"</f>
        <v>WOOD (INCLUDE STEEL STUDS)</v>
      </c>
      <c r="AF848" t="str">
        <f>"001"</f>
        <v>001</v>
      </c>
      <c r="AG848" t="str">
        <f t="shared" si="270"/>
        <v>FL</v>
      </c>
      <c r="AH848" t="str">
        <f>"252212.00"</f>
        <v>252212.00</v>
      </c>
      <c r="AI848" t="str">
        <f>"46320.00"</f>
        <v>46320.00</v>
      </c>
      <c r="AJ848" t="str">
        <f>"C55-000-587-5298-1"</f>
        <v>C55-000-587-5298-1</v>
      </c>
      <c r="AK848" t="str">
        <f>"13109"</f>
        <v>13109</v>
      </c>
      <c r="AL848">
        <v>3</v>
      </c>
      <c r="AM848">
        <v>980</v>
      </c>
      <c r="AN848">
        <v>2396.2199999999998</v>
      </c>
      <c r="AQ848" t="s">
        <v>8866</v>
      </c>
      <c r="AR848" t="s">
        <v>8866</v>
      </c>
      <c r="AS848" t="s">
        <v>8866</v>
      </c>
      <c r="AU848" t="s">
        <v>396</v>
      </c>
      <c r="AV848">
        <v>2017</v>
      </c>
      <c r="AW848" t="str">
        <f>"28-2N-25-3060-0047-0030 "</f>
        <v xml:space="preserve">28-2N-25-3060-0047-0030 </v>
      </c>
      <c r="AX848">
        <v>45164</v>
      </c>
      <c r="AZ848" t="s">
        <v>8867</v>
      </c>
      <c r="BA848" t="s">
        <v>496</v>
      </c>
      <c r="BD848" t="s">
        <v>2785</v>
      </c>
      <c r="BE848" t="s">
        <v>393</v>
      </c>
      <c r="BF848">
        <v>32011</v>
      </c>
      <c r="BG848" t="s">
        <v>8868</v>
      </c>
      <c r="BH848" t="s">
        <v>2787</v>
      </c>
      <c r="BI848">
        <v>-81.812483305902404</v>
      </c>
      <c r="BJ848">
        <v>30.567030078328902</v>
      </c>
      <c r="BK848" t="s">
        <v>8869</v>
      </c>
      <c r="BL848" t="s">
        <v>8870</v>
      </c>
      <c r="BM848" t="s">
        <v>8868</v>
      </c>
      <c r="BN848" t="s">
        <v>928</v>
      </c>
      <c r="BO848">
        <v>32011</v>
      </c>
      <c r="BP848" t="s">
        <v>416</v>
      </c>
      <c r="BQ848">
        <v>100</v>
      </c>
      <c r="BR848" t="s">
        <v>514</v>
      </c>
      <c r="BS848">
        <v>1001</v>
      </c>
      <c r="BT848" t="s">
        <v>515</v>
      </c>
      <c r="BW848">
        <v>252212</v>
      </c>
      <c r="BX848" t="s">
        <v>407</v>
      </c>
      <c r="BY848" t="s">
        <v>408</v>
      </c>
      <c r="BZ848">
        <v>4</v>
      </c>
      <c r="CA848">
        <v>1979</v>
      </c>
      <c r="CB848">
        <v>2</v>
      </c>
      <c r="CC848">
        <v>1</v>
      </c>
      <c r="CD848">
        <v>2017</v>
      </c>
      <c r="CG848">
        <v>183505</v>
      </c>
      <c r="CH848">
        <v>2017</v>
      </c>
      <c r="CI848">
        <v>46320</v>
      </c>
      <c r="CJ848">
        <v>141336</v>
      </c>
      <c r="CK848">
        <v>187656</v>
      </c>
      <c r="CL848">
        <v>2017</v>
      </c>
      <c r="CM848">
        <v>2186.06</v>
      </c>
      <c r="CN848" s="1">
        <v>38464</v>
      </c>
      <c r="CO848">
        <v>325000</v>
      </c>
      <c r="CV848">
        <v>0</v>
      </c>
      <c r="CZ848" s="1">
        <v>38464</v>
      </c>
      <c r="DA848">
        <v>0</v>
      </c>
      <c r="DD848" t="s">
        <v>2785</v>
      </c>
      <c r="DF848">
        <v>47</v>
      </c>
      <c r="DG848">
        <v>47</v>
      </c>
      <c r="DJ848" t="s">
        <v>8790</v>
      </c>
      <c r="DL848">
        <v>50502</v>
      </c>
      <c r="DM848" t="s">
        <v>8871</v>
      </c>
      <c r="DO848" t="s">
        <v>8872</v>
      </c>
      <c r="DP848">
        <v>0</v>
      </c>
      <c r="DQ848">
        <v>0</v>
      </c>
      <c r="DR848" t="s">
        <v>411</v>
      </c>
      <c r="DS848" t="b">
        <v>1</v>
      </c>
      <c r="DT848" t="s">
        <v>470</v>
      </c>
      <c r="DU848" t="s">
        <v>471</v>
      </c>
      <c r="DV848" t="s">
        <v>472</v>
      </c>
      <c r="DX848">
        <v>-9999</v>
      </c>
      <c r="DZ848" t="s">
        <v>447</v>
      </c>
      <c r="EA848" t="s">
        <v>448</v>
      </c>
      <c r="EB848" t="s">
        <v>742</v>
      </c>
      <c r="EC848">
        <v>20101217</v>
      </c>
      <c r="ED848" t="s">
        <v>474</v>
      </c>
      <c r="EF848">
        <v>1319.7</v>
      </c>
      <c r="EG848">
        <v>1319.7</v>
      </c>
      <c r="EI848">
        <v>20160407</v>
      </c>
      <c r="EJ848">
        <v>0</v>
      </c>
      <c r="EK848">
        <v>0</v>
      </c>
      <c r="EP848" t="s">
        <v>421</v>
      </c>
      <c r="EQ848" t="s">
        <v>422</v>
      </c>
      <c r="ER848">
        <v>2</v>
      </c>
      <c r="ES848">
        <v>9</v>
      </c>
      <c r="ET848">
        <v>4728.96</v>
      </c>
      <c r="EU848">
        <v>248.95</v>
      </c>
      <c r="EV848">
        <v>4977.91</v>
      </c>
      <c r="EW848" s="2">
        <v>43222</v>
      </c>
      <c r="EX848" s="1">
        <v>42879</v>
      </c>
      <c r="EY848">
        <v>2016</v>
      </c>
      <c r="EZ848">
        <v>2364.48</v>
      </c>
      <c r="FA848" t="s">
        <v>8873</v>
      </c>
      <c r="FB848">
        <v>0.25</v>
      </c>
      <c r="FC848" t="s">
        <v>424</v>
      </c>
      <c r="FD848" t="s">
        <v>454</v>
      </c>
      <c r="FF848">
        <v>12</v>
      </c>
      <c r="FG848">
        <v>5857474</v>
      </c>
      <c r="FH848" t="s">
        <v>900</v>
      </c>
      <c r="FJ848" s="1">
        <v>42879</v>
      </c>
      <c r="FK848">
        <v>2016</v>
      </c>
      <c r="FL848">
        <v>2364.48</v>
      </c>
      <c r="FM848" t="s">
        <v>8873</v>
      </c>
      <c r="FN848">
        <v>0.25</v>
      </c>
      <c r="FO848" t="s">
        <v>424</v>
      </c>
      <c r="FP848" t="s">
        <v>454</v>
      </c>
      <c r="FR848">
        <v>12</v>
      </c>
      <c r="FS848">
        <v>6478930</v>
      </c>
      <c r="FT848" t="s">
        <v>8874</v>
      </c>
      <c r="FV848" s="1">
        <v>42515</v>
      </c>
      <c r="FW848">
        <v>2015</v>
      </c>
      <c r="FX848">
        <v>2400.2600000000002</v>
      </c>
      <c r="FY848" t="s">
        <v>8875</v>
      </c>
      <c r="FZ848">
        <v>0.25</v>
      </c>
      <c r="GA848" t="s">
        <v>424</v>
      </c>
      <c r="GB848" t="s">
        <v>425</v>
      </c>
      <c r="GC848" s="1">
        <v>43182</v>
      </c>
      <c r="GD848">
        <v>22</v>
      </c>
      <c r="GE848">
        <v>11289</v>
      </c>
      <c r="GF848" t="s">
        <v>787</v>
      </c>
      <c r="GH848" s="1">
        <v>42515</v>
      </c>
      <c r="GI848">
        <v>2015</v>
      </c>
      <c r="GJ848">
        <v>2400.2600000000002</v>
      </c>
      <c r="GK848" t="s">
        <v>8875</v>
      </c>
      <c r="GL848">
        <v>0.25</v>
      </c>
      <c r="GM848" t="s">
        <v>424</v>
      </c>
      <c r="GN848" t="s">
        <v>425</v>
      </c>
      <c r="GP848">
        <v>22</v>
      </c>
      <c r="GQ848">
        <v>7249192</v>
      </c>
      <c r="GR848" t="s">
        <v>8876</v>
      </c>
      <c r="GT848" s="1">
        <v>42151</v>
      </c>
      <c r="GU848">
        <v>2014</v>
      </c>
      <c r="GV848">
        <v>2388.81</v>
      </c>
      <c r="GW848" t="s">
        <v>8877</v>
      </c>
      <c r="GX848">
        <v>0.25</v>
      </c>
      <c r="GY848" t="s">
        <v>424</v>
      </c>
      <c r="GZ848" t="s">
        <v>425</v>
      </c>
      <c r="HA848" s="1">
        <v>42783</v>
      </c>
      <c r="HB848">
        <v>21</v>
      </c>
      <c r="HC848">
        <v>4844984</v>
      </c>
      <c r="HD848" t="s">
        <v>1323</v>
      </c>
      <c r="HF848" s="1">
        <v>42151</v>
      </c>
      <c r="HG848">
        <v>2014</v>
      </c>
      <c r="HH848">
        <v>2388.81</v>
      </c>
      <c r="HI848" t="s">
        <v>8877</v>
      </c>
      <c r="HJ848">
        <v>0.25</v>
      </c>
      <c r="HK848" t="s">
        <v>424</v>
      </c>
      <c r="HL848" t="s">
        <v>425</v>
      </c>
      <c r="HN848">
        <v>22</v>
      </c>
      <c r="HO848">
        <v>5959838</v>
      </c>
      <c r="HP848" t="s">
        <v>8878</v>
      </c>
      <c r="HR848" s="1">
        <v>41787</v>
      </c>
      <c r="HS848">
        <v>2013</v>
      </c>
      <c r="HT848">
        <v>2259.94</v>
      </c>
      <c r="HU848" t="s">
        <v>8879</v>
      </c>
      <c r="HV848">
        <v>0.25</v>
      </c>
      <c r="HW848" t="s">
        <v>424</v>
      </c>
      <c r="HX848" t="s">
        <v>425</v>
      </c>
      <c r="HY848" s="1">
        <v>42025</v>
      </c>
      <c r="HZ848">
        <v>8</v>
      </c>
      <c r="IA848">
        <v>2675455</v>
      </c>
      <c r="IB848" t="s">
        <v>1981</v>
      </c>
      <c r="ID848" s="1">
        <v>41423</v>
      </c>
      <c r="IE848">
        <v>2012</v>
      </c>
      <c r="IF848">
        <v>2427.48</v>
      </c>
      <c r="IG848" t="s">
        <v>8880</v>
      </c>
      <c r="IH848">
        <v>0.25</v>
      </c>
      <c r="II848" t="s">
        <v>424</v>
      </c>
      <c r="IJ848" t="s">
        <v>425</v>
      </c>
      <c r="IK848" s="1">
        <v>42025</v>
      </c>
      <c r="IL848">
        <v>20</v>
      </c>
      <c r="IM848">
        <v>15398</v>
      </c>
      <c r="IN848" t="s">
        <v>1180</v>
      </c>
      <c r="IP848" s="1">
        <v>41052</v>
      </c>
      <c r="IQ848">
        <v>2011</v>
      </c>
      <c r="IR848">
        <v>3461.58</v>
      </c>
      <c r="IS848" t="s">
        <v>8881</v>
      </c>
      <c r="IT848">
        <v>0.25</v>
      </c>
      <c r="IU848" t="s">
        <v>424</v>
      </c>
      <c r="IV848" t="s">
        <v>425</v>
      </c>
      <c r="IW848" s="1">
        <v>41708</v>
      </c>
      <c r="IX848">
        <v>22</v>
      </c>
      <c r="IY848">
        <v>13104</v>
      </c>
      <c r="IZ848" t="s">
        <v>888</v>
      </c>
      <c r="JB848" s="1">
        <v>41052</v>
      </c>
      <c r="JC848">
        <v>2011</v>
      </c>
      <c r="JD848">
        <v>3461.58</v>
      </c>
      <c r="JE848" t="s">
        <v>8881</v>
      </c>
      <c r="JF848">
        <v>0.25</v>
      </c>
      <c r="JG848" t="s">
        <v>424</v>
      </c>
      <c r="JH848" t="s">
        <v>425</v>
      </c>
      <c r="JJ848">
        <v>22</v>
      </c>
      <c r="JK848">
        <v>13737</v>
      </c>
      <c r="JL848" t="s">
        <v>8882</v>
      </c>
      <c r="JN848" s="1">
        <v>40688</v>
      </c>
      <c r="JO848">
        <v>2010</v>
      </c>
      <c r="JP848">
        <v>3469.92</v>
      </c>
      <c r="JQ848" t="s">
        <v>8883</v>
      </c>
      <c r="JR848">
        <v>0.25</v>
      </c>
      <c r="JS848" t="s">
        <v>424</v>
      </c>
      <c r="JT848" t="s">
        <v>425</v>
      </c>
      <c r="JU848" s="1">
        <v>41337</v>
      </c>
      <c r="JV848">
        <v>22</v>
      </c>
      <c r="JW848">
        <v>11141</v>
      </c>
      <c r="JX848" t="s">
        <v>1723</v>
      </c>
    </row>
    <row r="849" spans="1:285" x14ac:dyDescent="0.25">
      <c r="A849">
        <v>16485856</v>
      </c>
      <c r="B849">
        <v>848</v>
      </c>
      <c r="C849" t="s">
        <v>393</v>
      </c>
      <c r="D849" t="s">
        <v>394</v>
      </c>
      <c r="F849" t="str">
        <f>"29-2N-25-0000-0005-0000"</f>
        <v>29-2N-25-0000-0005-0000</v>
      </c>
      <c r="H849" t="str">
        <f>"MIZELL WALTER S &amp; CARRIE D"</f>
        <v>MIZELL WALTER S &amp; CARRIE D</v>
      </c>
      <c r="I849" t="str">
        <f>"45200 DORMAN PLACE"</f>
        <v>45200 DORMAN PLACE</v>
      </c>
      <c r="J849" t="str">
        <f>"CALLAHAN FL 32011"</f>
        <v>CALLAHAN FL 32011</v>
      </c>
      <c r="K849" t="str">
        <f>"45200 DORMAN PL"</f>
        <v>45200 DORMAN PL</v>
      </c>
      <c r="L849" t="str">
        <f t="shared" si="250"/>
        <v>CALLAHAN FL 32011</v>
      </c>
      <c r="M849" t="str">
        <f>"PT GOVT LOT 1 SEC 29-2N-25E &amp; PT PEDRO PONS GRANT SEC 47-2N-25E PAR 5 IN OR 800/1079 &amp; 928/1829 (EX PT OR 713/112 &amp; R/W OR 442/681)"</f>
        <v>PT GOVT LOT 1 SEC 29-2N-25E &amp; PT PEDRO PONS GRANT SEC 47-2N-25E PAR 5 IN OR 800/1079 &amp; 928/1829 (EX PT OR 713/112 &amp; R/W OR 442/681)</v>
      </c>
      <c r="N849" t="str">
        <f>""</f>
        <v/>
      </c>
      <c r="O849" t="str">
        <f>"38424"</f>
        <v>38424</v>
      </c>
      <c r="P849" t="str">
        <f t="shared" si="265"/>
        <v>2017</v>
      </c>
      <c r="Q849" t="str">
        <f>""</f>
        <v/>
      </c>
      <c r="R849" t="str">
        <f>"Y"</f>
        <v>Y</v>
      </c>
      <c r="S849" t="str">
        <f>"10.99"</f>
        <v>10.99</v>
      </c>
      <c r="T849" t="str">
        <f>"3187.53"</f>
        <v>3187.53</v>
      </c>
      <c r="U849" t="str">
        <f>"249657.00"</f>
        <v>249657.00</v>
      </c>
      <c r="V849" t="str">
        <f>"249657.00"</f>
        <v>249657.00</v>
      </c>
      <c r="W849" t="str">
        <f t="shared" si="266"/>
        <v>2017</v>
      </c>
      <c r="X849" t="str">
        <f>"2.50"</f>
        <v>2.50</v>
      </c>
      <c r="Y849" t="str">
        <f>"3315.16"</f>
        <v>3315.16</v>
      </c>
      <c r="Z849" t="str">
        <f>"25000.00"</f>
        <v>25000.00</v>
      </c>
      <c r="AA849" t="str">
        <f>"224657.00"</f>
        <v>224657.00</v>
      </c>
      <c r="AB849" t="str">
        <f>"Agricultural"</f>
        <v>Agricultural</v>
      </c>
      <c r="AC849" t="str">
        <f t="shared" si="254"/>
        <v>0</v>
      </c>
      <c r="AD849" t="str">
        <f t="shared" si="271"/>
        <v>4</v>
      </c>
      <c r="AE849" t="str">
        <f t="shared" si="272"/>
        <v>WOOD (INCLUDE STEEL STUDS)</v>
      </c>
      <c r="AF849" t="str">
        <f>"050"</f>
        <v>050</v>
      </c>
      <c r="AG849" t="str">
        <f t="shared" si="270"/>
        <v>FL</v>
      </c>
      <c r="AH849" t="str">
        <f>"478724.00"</f>
        <v>478724.00</v>
      </c>
      <c r="AI849" t="str">
        <f>"18011.00"</f>
        <v>18011.00</v>
      </c>
      <c r="AJ849" t="str">
        <f>"C55-000-587-5535-6"</f>
        <v>C55-000-587-5535-6</v>
      </c>
      <c r="AK849" t="str">
        <f>"13175"</f>
        <v>13175</v>
      </c>
      <c r="AL849">
        <v>3</v>
      </c>
      <c r="AM849">
        <v>981</v>
      </c>
      <c r="AN849">
        <v>3479.32</v>
      </c>
      <c r="AQ849" t="s">
        <v>8884</v>
      </c>
      <c r="AR849" t="s">
        <v>8884</v>
      </c>
      <c r="AS849" t="s">
        <v>8884</v>
      </c>
      <c r="AU849" t="s">
        <v>396</v>
      </c>
      <c r="AV849">
        <v>2017</v>
      </c>
      <c r="AW849" t="str">
        <f>"29-2N-25-0000-0005-0000 "</f>
        <v xml:space="preserve">29-2N-25-0000-0005-0000 </v>
      </c>
      <c r="AX849">
        <v>45200</v>
      </c>
      <c r="AZ849" t="s">
        <v>8885</v>
      </c>
      <c r="BA849" t="s">
        <v>641</v>
      </c>
      <c r="BD849" t="s">
        <v>2785</v>
      </c>
      <c r="BE849" t="s">
        <v>393</v>
      </c>
      <c r="BF849">
        <v>32011</v>
      </c>
      <c r="BG849" t="s">
        <v>8886</v>
      </c>
      <c r="BH849" t="s">
        <v>2787</v>
      </c>
      <c r="BI849">
        <v>-81.818265356032299</v>
      </c>
      <c r="BJ849">
        <v>30.566160824594601</v>
      </c>
      <c r="BK849" t="s">
        <v>4115</v>
      </c>
      <c r="BL849" t="s">
        <v>8887</v>
      </c>
      <c r="BM849" t="s">
        <v>8886</v>
      </c>
      <c r="BN849" t="s">
        <v>928</v>
      </c>
      <c r="BO849">
        <v>32011</v>
      </c>
      <c r="BP849" t="s">
        <v>416</v>
      </c>
      <c r="BQ849">
        <v>5000</v>
      </c>
      <c r="BR849" t="s">
        <v>664</v>
      </c>
      <c r="BS849">
        <v>7000</v>
      </c>
      <c r="BT849" t="s">
        <v>665</v>
      </c>
      <c r="BW849">
        <v>478724</v>
      </c>
      <c r="BX849" t="s">
        <v>407</v>
      </c>
      <c r="BY849" t="s">
        <v>408</v>
      </c>
      <c r="BZ849">
        <v>4</v>
      </c>
      <c r="CA849">
        <v>2001</v>
      </c>
      <c r="CB849">
        <v>2</v>
      </c>
      <c r="CC849">
        <v>1</v>
      </c>
      <c r="CD849">
        <v>2017</v>
      </c>
      <c r="CG849">
        <v>249657</v>
      </c>
      <c r="CH849">
        <v>2017</v>
      </c>
      <c r="CI849">
        <v>18011</v>
      </c>
      <c r="CJ849">
        <v>339116</v>
      </c>
      <c r="CK849">
        <v>357127</v>
      </c>
      <c r="CL849">
        <v>2017</v>
      </c>
      <c r="CM849">
        <v>3187.53</v>
      </c>
      <c r="CN849" s="1">
        <v>42198</v>
      </c>
      <c r="CZ849" s="1">
        <v>42198</v>
      </c>
      <c r="DD849" t="s">
        <v>2785</v>
      </c>
      <c r="DF849">
        <v>1</v>
      </c>
      <c r="DG849">
        <v>29</v>
      </c>
      <c r="DL849">
        <v>50503</v>
      </c>
      <c r="DM849" t="s">
        <v>8888</v>
      </c>
      <c r="DO849" t="s">
        <v>8889</v>
      </c>
      <c r="DP849">
        <v>0</v>
      </c>
      <c r="DQ849">
        <v>0</v>
      </c>
      <c r="DR849" t="s">
        <v>411</v>
      </c>
      <c r="DS849" t="b">
        <v>1</v>
      </c>
      <c r="DT849" t="s">
        <v>470</v>
      </c>
      <c r="DU849" t="s">
        <v>471</v>
      </c>
      <c r="DV849" t="s">
        <v>472</v>
      </c>
      <c r="DX849">
        <v>-9999</v>
      </c>
      <c r="DZ849" t="s">
        <v>447</v>
      </c>
      <c r="EA849" t="s">
        <v>448</v>
      </c>
      <c r="EB849" t="s">
        <v>742</v>
      </c>
      <c r="EC849">
        <v>20101217</v>
      </c>
      <c r="ED849" t="s">
        <v>474</v>
      </c>
      <c r="EF849">
        <v>296.2</v>
      </c>
      <c r="EG849">
        <v>296.2</v>
      </c>
      <c r="EI849">
        <v>20160407</v>
      </c>
      <c r="EJ849">
        <v>0</v>
      </c>
      <c r="EK849">
        <v>0</v>
      </c>
      <c r="EP849" t="s">
        <v>421</v>
      </c>
      <c r="EQ849" t="s">
        <v>422</v>
      </c>
      <c r="ER849">
        <v>0</v>
      </c>
      <c r="ES849">
        <v>2</v>
      </c>
      <c r="ET849">
        <v>0</v>
      </c>
      <c r="EU849">
        <v>0</v>
      </c>
      <c r="EV849">
        <v>0</v>
      </c>
      <c r="EW849" s="2">
        <v>43222</v>
      </c>
      <c r="EX849" s="1">
        <v>42879</v>
      </c>
      <c r="EY849">
        <v>2016</v>
      </c>
      <c r="EZ849">
        <v>3438.5</v>
      </c>
      <c r="FA849" t="s">
        <v>8890</v>
      </c>
      <c r="FB849">
        <v>0.25</v>
      </c>
      <c r="FC849" t="s">
        <v>424</v>
      </c>
      <c r="FD849" t="s">
        <v>425</v>
      </c>
      <c r="FE849" s="1">
        <v>42933</v>
      </c>
      <c r="FF849">
        <v>2</v>
      </c>
      <c r="FG849">
        <v>5856195</v>
      </c>
      <c r="FH849" t="s">
        <v>1060</v>
      </c>
      <c r="FJ849" s="1">
        <v>42879</v>
      </c>
      <c r="FK849">
        <v>2016</v>
      </c>
      <c r="FL849">
        <v>3438.5</v>
      </c>
      <c r="FM849" t="s">
        <v>8890</v>
      </c>
      <c r="FN849">
        <v>0.25</v>
      </c>
      <c r="FO849" t="s">
        <v>424</v>
      </c>
      <c r="FP849" t="s">
        <v>425</v>
      </c>
      <c r="FR849">
        <v>22</v>
      </c>
      <c r="FS849">
        <v>6054466</v>
      </c>
      <c r="FT849" t="s">
        <v>8891</v>
      </c>
    </row>
    <row r="850" spans="1:285" x14ac:dyDescent="0.25">
      <c r="A850">
        <v>16485857</v>
      </c>
      <c r="B850">
        <v>849</v>
      </c>
      <c r="C850" t="s">
        <v>393</v>
      </c>
      <c r="D850" t="s">
        <v>394</v>
      </c>
      <c r="F850" t="str">
        <f>"29-2N-25-0000-0012-0000"</f>
        <v>29-2N-25-0000-0012-0000</v>
      </c>
      <c r="H850" t="str">
        <f>"BENNETT JUDSON B 1/2 INT &amp; BURNS ANDREW L 1/2 INT"</f>
        <v>BENNETT JUDSON B 1/2 INT &amp; BURNS ANDREW L 1/2 INT</v>
      </c>
      <c r="I850" t="str">
        <f>"10562 NEW KINGS RD"</f>
        <v>10562 NEW KINGS RD</v>
      </c>
      <c r="J850" t="str">
        <f>"JACKSONVILLE FL 32219"</f>
        <v>JACKSONVILLE FL 32219</v>
      </c>
      <c r="K850" t="str">
        <f>"450047 SR 200"</f>
        <v>450047 SR 200</v>
      </c>
      <c r="L850" t="str">
        <f t="shared" ref="L850:L913" si="273">"CALLAHAN FL 32011"</f>
        <v>CALLAHAN FL 32011</v>
      </c>
      <c r="M850" t="str">
        <f>"PT NW1/4 OF SEC 29-2N-25E IN OR 2119/1225 (EX R/W CASE 99-1163-CA)"</f>
        <v>PT NW1/4 OF SEC 29-2N-25E IN OR 2119/1225 (EX R/W CASE 99-1163-CA)</v>
      </c>
      <c r="N850" t="str">
        <f>""</f>
        <v/>
      </c>
      <c r="O850" t="str">
        <f>"38458"</f>
        <v>38458</v>
      </c>
      <c r="P850" t="str">
        <f t="shared" si="265"/>
        <v>2017</v>
      </c>
      <c r="Q850" t="str">
        <f>""</f>
        <v/>
      </c>
      <c r="R850" t="str">
        <f>"N"</f>
        <v>N</v>
      </c>
      <c r="S850" t="str">
        <f>""</f>
        <v/>
      </c>
      <c r="T850" t="str">
        <f>"2067.31"</f>
        <v>2067.31</v>
      </c>
      <c r="U850" t="str">
        <f>"125267.00"</f>
        <v>125267.00</v>
      </c>
      <c r="V850" t="str">
        <f>"125267.00"</f>
        <v>125267.00</v>
      </c>
      <c r="W850" t="str">
        <f t="shared" si="266"/>
        <v>2017</v>
      </c>
      <c r="X850" t="str">
        <f>""</f>
        <v/>
      </c>
      <c r="Y850" t="str">
        <f>"2161.33"</f>
        <v>2161.33</v>
      </c>
      <c r="Z850" t="str">
        <f>""</f>
        <v/>
      </c>
      <c r="AA850" t="str">
        <f>"125267.00"</f>
        <v>125267.00</v>
      </c>
      <c r="AB850" t="str">
        <f>"Residential"</f>
        <v>Residential</v>
      </c>
      <c r="AC850" t="str">
        <f t="shared" si="254"/>
        <v>0</v>
      </c>
      <c r="AD850" t="str">
        <f t="shared" si="271"/>
        <v>4</v>
      </c>
      <c r="AE850" t="str">
        <f t="shared" si="272"/>
        <v>WOOD (INCLUDE STEEL STUDS)</v>
      </c>
      <c r="AF850" t="str">
        <f>"001"</f>
        <v>001</v>
      </c>
      <c r="AG850" t="str">
        <f t="shared" si="270"/>
        <v>FL</v>
      </c>
      <c r="AH850" t="str">
        <f>"18900.00"</f>
        <v>18900.00</v>
      </c>
      <c r="AI850" t="str">
        <f>"63656.00"</f>
        <v>63656.00</v>
      </c>
      <c r="AJ850" t="str">
        <f>"C55-000-587-5567-9"</f>
        <v>C55-000-587-5567-9</v>
      </c>
      <c r="AK850" t="str">
        <f>"13200"</f>
        <v>13200</v>
      </c>
      <c r="AL850">
        <v>3</v>
      </c>
      <c r="AM850">
        <v>984</v>
      </c>
      <c r="AN850">
        <v>2267.8000000000002</v>
      </c>
      <c r="AQ850" t="s">
        <v>8892</v>
      </c>
      <c r="AR850" t="s">
        <v>8892</v>
      </c>
      <c r="AS850" t="s">
        <v>8892</v>
      </c>
      <c r="AU850" t="s">
        <v>396</v>
      </c>
      <c r="AV850">
        <v>2017</v>
      </c>
      <c r="AW850" t="str">
        <f>"29-2N-25-0000-0012-0000 "</f>
        <v xml:space="preserve">29-2N-25-0000-0012-0000 </v>
      </c>
      <c r="AX850">
        <v>450047</v>
      </c>
      <c r="AZ850" t="s">
        <v>8071</v>
      </c>
      <c r="BD850" t="s">
        <v>2785</v>
      </c>
      <c r="BE850" t="s">
        <v>393</v>
      </c>
      <c r="BF850">
        <v>32011</v>
      </c>
      <c r="BG850" t="s">
        <v>8893</v>
      </c>
      <c r="BH850" t="s">
        <v>2787</v>
      </c>
      <c r="BI850">
        <v>-81.827854036400495</v>
      </c>
      <c r="BJ850">
        <v>30.566551268686599</v>
      </c>
      <c r="BK850" t="s">
        <v>8894</v>
      </c>
      <c r="BL850" t="s">
        <v>8895</v>
      </c>
      <c r="BM850" t="s">
        <v>8896</v>
      </c>
      <c r="BN850" t="s">
        <v>548</v>
      </c>
      <c r="BO850">
        <v>32219</v>
      </c>
      <c r="BP850" t="s">
        <v>404</v>
      </c>
      <c r="BQ850">
        <v>100</v>
      </c>
      <c r="BR850" t="s">
        <v>514</v>
      </c>
      <c r="BS850">
        <v>1001</v>
      </c>
      <c r="BT850" t="s">
        <v>515</v>
      </c>
      <c r="BU850">
        <v>1050</v>
      </c>
      <c r="BV850">
        <v>1800</v>
      </c>
      <c r="BW850">
        <v>21244</v>
      </c>
      <c r="BX850" t="s">
        <v>407</v>
      </c>
      <c r="BZ850">
        <v>4</v>
      </c>
      <c r="CA850">
        <v>1967</v>
      </c>
      <c r="CB850">
        <v>1</v>
      </c>
      <c r="CC850">
        <v>1</v>
      </c>
      <c r="CD850">
        <v>2017</v>
      </c>
      <c r="CE850">
        <v>63656</v>
      </c>
      <c r="CF850">
        <v>61611</v>
      </c>
      <c r="CG850">
        <v>125267</v>
      </c>
      <c r="CH850">
        <v>2017</v>
      </c>
      <c r="CI850">
        <v>63656</v>
      </c>
      <c r="CJ850">
        <v>61611</v>
      </c>
      <c r="CK850">
        <v>125267</v>
      </c>
      <c r="CL850">
        <v>2017</v>
      </c>
      <c r="CM850">
        <v>2067.31</v>
      </c>
      <c r="CN850" s="1">
        <v>42866</v>
      </c>
      <c r="CV850">
        <v>0</v>
      </c>
      <c r="CZ850" s="1">
        <v>42866</v>
      </c>
      <c r="DA850">
        <v>0</v>
      </c>
      <c r="DD850" t="s">
        <v>2785</v>
      </c>
      <c r="DG850">
        <v>29</v>
      </c>
      <c r="DL850">
        <v>50503</v>
      </c>
      <c r="DM850" t="s">
        <v>8888</v>
      </c>
      <c r="DO850" t="s">
        <v>8897</v>
      </c>
      <c r="DP850">
        <v>0</v>
      </c>
      <c r="DQ850">
        <v>2</v>
      </c>
      <c r="DR850" t="s">
        <v>411</v>
      </c>
    </row>
    <row r="851" spans="1:285" x14ac:dyDescent="0.25">
      <c r="A851">
        <v>16485858</v>
      </c>
      <c r="B851">
        <v>850</v>
      </c>
      <c r="C851" t="s">
        <v>393</v>
      </c>
      <c r="D851" t="s">
        <v>394</v>
      </c>
      <c r="F851" t="str">
        <f>"29-2N-25-0000-0016-0010"</f>
        <v>29-2N-25-0000-0016-0010</v>
      </c>
      <c r="H851" t="str">
        <f>"SCOTT JEANNE"</f>
        <v>SCOTT JEANNE</v>
      </c>
      <c r="I851" t="str">
        <f>"PO BOX 1199"</f>
        <v>PO BOX 1199</v>
      </c>
      <c r="J851" t="str">
        <f>"HILLIARD FL 32046"</f>
        <v>HILLIARD FL 32046</v>
      </c>
      <c r="K851" t="str">
        <f>"45063 DRAGONFLY WAY"</f>
        <v>45063 DRAGONFLY WAY</v>
      </c>
      <c r="L851" t="str">
        <f t="shared" si="273"/>
        <v>CALLAHAN FL 32011</v>
      </c>
      <c r="M851" t="str">
        <f>"PT OF NW1/4 OF SEC 29-2N-25E IN OR 1210/1075 {R278350}"</f>
        <v>PT OF NW1/4 OF SEC 29-2N-25E IN OR 1210/1075 {R278350}</v>
      </c>
      <c r="N851" t="str">
        <f>""</f>
        <v/>
      </c>
      <c r="O851" t="str">
        <f>"38470"</f>
        <v>38470</v>
      </c>
      <c r="P851" t="str">
        <f t="shared" si="265"/>
        <v>2017</v>
      </c>
      <c r="Q851" t="str">
        <f>""</f>
        <v/>
      </c>
      <c r="R851" t="str">
        <f>"N"</f>
        <v>N</v>
      </c>
      <c r="S851" t="str">
        <f>""</f>
        <v/>
      </c>
      <c r="T851" t="str">
        <f>"184.49"</f>
        <v>184.49</v>
      </c>
      <c r="U851" t="str">
        <f>"11179.00"</f>
        <v>11179.00</v>
      </c>
      <c r="V851" t="str">
        <f>"11179.00"</f>
        <v>11179.00</v>
      </c>
      <c r="W851" t="str">
        <f t="shared" si="266"/>
        <v>2017</v>
      </c>
      <c r="X851" t="str">
        <f>"16.50"</f>
        <v>16.50</v>
      </c>
      <c r="Y851" t="str">
        <f>"222.02"</f>
        <v>222.02</v>
      </c>
      <c r="Z851" t="str">
        <f>""</f>
        <v/>
      </c>
      <c r="AA851" t="str">
        <f>"11179.00"</f>
        <v>11179.00</v>
      </c>
      <c r="AB851" t="str">
        <f>"Residential"</f>
        <v>Residential</v>
      </c>
      <c r="AC851" t="str">
        <f t="shared" si="254"/>
        <v>0</v>
      </c>
      <c r="AD851" t="str">
        <f t="shared" si="271"/>
        <v>4</v>
      </c>
      <c r="AE851" t="str">
        <f t="shared" si="272"/>
        <v>WOOD (INCLUDE STEEL STUDS)</v>
      </c>
      <c r="AF851" t="str">
        <f>"002"</f>
        <v>002</v>
      </c>
      <c r="AG851" t="str">
        <f t="shared" si="270"/>
        <v>FL</v>
      </c>
      <c r="AH851" t="str">
        <f>"-"</f>
        <v>-</v>
      </c>
      <c r="AI851" t="str">
        <f>"7500.00"</f>
        <v>7500.00</v>
      </c>
      <c r="AJ851" t="str">
        <f>"C55-000-587-5578-6"</f>
        <v>C55-000-587-5578-6</v>
      </c>
      <c r="AK851" t="str">
        <f>"13209"</f>
        <v>13209</v>
      </c>
      <c r="AL851">
        <v>3</v>
      </c>
      <c r="AM851">
        <v>985</v>
      </c>
      <c r="AN851">
        <v>231.52</v>
      </c>
      <c r="AQ851" t="s">
        <v>8898</v>
      </c>
      <c r="AR851" t="s">
        <v>8898</v>
      </c>
      <c r="AS851" t="s">
        <v>8898</v>
      </c>
      <c r="AU851" t="s">
        <v>396</v>
      </c>
      <c r="AV851">
        <v>2017</v>
      </c>
      <c r="AW851" t="str">
        <f>"29-2N-25-0000-0016-0010 "</f>
        <v xml:space="preserve">29-2N-25-0000-0016-0010 </v>
      </c>
      <c r="AX851">
        <v>45063</v>
      </c>
      <c r="AZ851" t="s">
        <v>8899</v>
      </c>
      <c r="BA851" t="s">
        <v>866</v>
      </c>
      <c r="BD851" t="s">
        <v>2785</v>
      </c>
      <c r="BE851" t="s">
        <v>393</v>
      </c>
      <c r="BF851">
        <v>32011</v>
      </c>
      <c r="BG851" t="s">
        <v>8900</v>
      </c>
      <c r="BH851" t="s">
        <v>2787</v>
      </c>
      <c r="BI851">
        <v>-81.832330929337601</v>
      </c>
      <c r="BJ851">
        <v>30.5673678882502</v>
      </c>
      <c r="BK851" t="s">
        <v>4547</v>
      </c>
      <c r="BM851" t="s">
        <v>5615</v>
      </c>
      <c r="BN851" t="s">
        <v>403</v>
      </c>
      <c r="BO851">
        <v>32046</v>
      </c>
      <c r="BP851" t="s">
        <v>404</v>
      </c>
      <c r="BQ851">
        <v>200</v>
      </c>
      <c r="BR851" t="s">
        <v>405</v>
      </c>
      <c r="BS851">
        <v>1006</v>
      </c>
      <c r="BT851" t="s">
        <v>406</v>
      </c>
      <c r="BW851">
        <v>7420</v>
      </c>
      <c r="BX851" t="s">
        <v>407</v>
      </c>
      <c r="BZ851">
        <v>4</v>
      </c>
      <c r="CA851">
        <v>1973</v>
      </c>
      <c r="CB851">
        <v>1</v>
      </c>
      <c r="CC851">
        <v>1</v>
      </c>
      <c r="CD851">
        <v>2017</v>
      </c>
      <c r="CE851">
        <v>7500</v>
      </c>
      <c r="CF851">
        <v>3679</v>
      </c>
      <c r="CG851">
        <v>11179</v>
      </c>
      <c r="CH851">
        <v>2017</v>
      </c>
      <c r="CI851">
        <v>7500</v>
      </c>
      <c r="CJ851">
        <v>3679</v>
      </c>
      <c r="CK851">
        <v>11179</v>
      </c>
      <c r="CL851">
        <v>2017</v>
      </c>
      <c r="CM851">
        <v>184.49</v>
      </c>
      <c r="CN851" s="1">
        <v>38042</v>
      </c>
      <c r="CO851">
        <v>15000</v>
      </c>
      <c r="CV851">
        <v>0</v>
      </c>
      <c r="CZ851" s="1">
        <v>38042</v>
      </c>
      <c r="DA851">
        <v>0</v>
      </c>
      <c r="DD851" t="s">
        <v>2785</v>
      </c>
      <c r="DG851">
        <v>29</v>
      </c>
      <c r="DL851">
        <v>50503</v>
      </c>
      <c r="DM851" t="s">
        <v>8888</v>
      </c>
      <c r="DO851" t="s">
        <v>8901</v>
      </c>
      <c r="DP851">
        <v>0</v>
      </c>
      <c r="DQ851">
        <v>3</v>
      </c>
      <c r="DR851" t="s">
        <v>411</v>
      </c>
      <c r="DS851" t="b">
        <v>1</v>
      </c>
      <c r="DT851" t="s">
        <v>8902</v>
      </c>
      <c r="DV851" t="s">
        <v>446</v>
      </c>
      <c r="DX851">
        <v>-9999</v>
      </c>
      <c r="DZ851" t="s">
        <v>447</v>
      </c>
      <c r="EA851" t="s">
        <v>448</v>
      </c>
      <c r="EB851" t="s">
        <v>8903</v>
      </c>
      <c r="EC851">
        <v>20101217</v>
      </c>
      <c r="ED851" t="s">
        <v>450</v>
      </c>
      <c r="EE851">
        <v>14.8</v>
      </c>
      <c r="EF851">
        <v>0</v>
      </c>
      <c r="EG851">
        <v>0</v>
      </c>
      <c r="EI851">
        <v>20160407</v>
      </c>
      <c r="EJ851">
        <v>0</v>
      </c>
      <c r="EK851">
        <v>0</v>
      </c>
      <c r="EP851" t="s">
        <v>421</v>
      </c>
      <c r="EQ851" t="s">
        <v>422</v>
      </c>
      <c r="ER851">
        <v>0</v>
      </c>
      <c r="ES851">
        <v>2</v>
      </c>
      <c r="ET851">
        <v>0</v>
      </c>
      <c r="EU851">
        <v>0</v>
      </c>
      <c r="EV851">
        <v>0</v>
      </c>
      <c r="EW851" s="2">
        <v>43222</v>
      </c>
      <c r="EX851" s="1">
        <v>42515</v>
      </c>
      <c r="EY851">
        <v>2015</v>
      </c>
      <c r="EZ851">
        <v>227.53</v>
      </c>
      <c r="FA851" t="s">
        <v>8904</v>
      </c>
      <c r="FB851">
        <v>18</v>
      </c>
      <c r="FC851" t="s">
        <v>424</v>
      </c>
      <c r="FD851" t="s">
        <v>425</v>
      </c>
      <c r="FE851" s="1">
        <v>43188</v>
      </c>
      <c r="FF851">
        <v>22</v>
      </c>
      <c r="FG851">
        <v>3039821</v>
      </c>
      <c r="FH851" t="s">
        <v>721</v>
      </c>
      <c r="FJ851" s="1">
        <v>41787</v>
      </c>
      <c r="FK851">
        <v>2013</v>
      </c>
      <c r="FL851">
        <v>233.02</v>
      </c>
      <c r="FM851" t="s">
        <v>8905</v>
      </c>
      <c r="FN851">
        <v>15.25</v>
      </c>
      <c r="FO851" t="s">
        <v>424</v>
      </c>
      <c r="FP851" t="s">
        <v>425</v>
      </c>
      <c r="FQ851" s="1">
        <v>42115</v>
      </c>
      <c r="FR851">
        <v>11</v>
      </c>
      <c r="FS851">
        <v>10125</v>
      </c>
      <c r="FT851" t="s">
        <v>440</v>
      </c>
    </row>
    <row r="852" spans="1:285" x14ac:dyDescent="0.25">
      <c r="A852">
        <v>16485859</v>
      </c>
      <c r="B852">
        <v>851</v>
      </c>
      <c r="C852" t="s">
        <v>393</v>
      </c>
      <c r="D852" t="s">
        <v>394</v>
      </c>
      <c r="F852" t="str">
        <f>"29-2N-25-0000-0016-0100"</f>
        <v>29-2N-25-0000-0016-0100</v>
      </c>
      <c r="H852" t="str">
        <f>"SCOTT JEANNE"</f>
        <v>SCOTT JEANNE</v>
      </c>
      <c r="I852" t="str">
        <f>"P O BOX 1199"</f>
        <v>P O BOX 1199</v>
      </c>
      <c r="J852" t="str">
        <f>"HILLIARD FL 32046"</f>
        <v>HILLIARD FL 32046</v>
      </c>
      <c r="K852" t="str">
        <f>"45065 DRAGONFLY WAY"</f>
        <v>45065 DRAGONFLY WAY</v>
      </c>
      <c r="L852" t="str">
        <f t="shared" si="273"/>
        <v>CALLAHAN FL 32011</v>
      </c>
      <c r="M852" t="str">
        <f>"PT OF NW1/4 OF SEC 29-2N-25E IN OR 958/15"</f>
        <v>PT OF NW1/4 OF SEC 29-2N-25E IN OR 958/15</v>
      </c>
      <c r="N852" t="str">
        <f>""</f>
        <v/>
      </c>
      <c r="O852" t="str">
        <f>"38479"</f>
        <v>38479</v>
      </c>
      <c r="P852" t="str">
        <f t="shared" si="265"/>
        <v>2017</v>
      </c>
      <c r="Q852" t="str">
        <f>""</f>
        <v/>
      </c>
      <c r="R852" t="str">
        <f>"N"</f>
        <v>N</v>
      </c>
      <c r="S852" t="str">
        <f>""</f>
        <v/>
      </c>
      <c r="T852" t="str">
        <f>"815.41"</f>
        <v>815.41</v>
      </c>
      <c r="U852" t="str">
        <f>"49409.00"</f>
        <v>49409.00</v>
      </c>
      <c r="V852" t="str">
        <f>"49409.00"</f>
        <v>49409.00</v>
      </c>
      <c r="W852" t="str">
        <f t="shared" si="266"/>
        <v>2017</v>
      </c>
      <c r="X852" t="str">
        <f>"11.33"</f>
        <v>11.33</v>
      </c>
      <c r="Y852" t="str">
        <f>"871.87"</f>
        <v>871.87</v>
      </c>
      <c r="Z852" t="str">
        <f>""</f>
        <v/>
      </c>
      <c r="AA852" t="str">
        <f>"49409.00"</f>
        <v>49409.00</v>
      </c>
      <c r="AB852" t="str">
        <f>"Residential"</f>
        <v>Residential</v>
      </c>
      <c r="AC852" t="str">
        <f t="shared" si="254"/>
        <v>0</v>
      </c>
      <c r="AD852" t="str">
        <f t="shared" si="271"/>
        <v>4</v>
      </c>
      <c r="AE852" t="str">
        <f t="shared" si="272"/>
        <v>WOOD (INCLUDE STEEL STUDS)</v>
      </c>
      <c r="AF852" t="str">
        <f>"001"</f>
        <v>001</v>
      </c>
      <c r="AG852" t="str">
        <f t="shared" si="270"/>
        <v>FL</v>
      </c>
      <c r="AH852" t="str">
        <f>"-"</f>
        <v>-</v>
      </c>
      <c r="AI852" t="str">
        <f>"7500.00"</f>
        <v>7500.00</v>
      </c>
      <c r="AJ852" t="str">
        <f>"C55-000-587-5587-7"</f>
        <v>C55-000-587-5587-7</v>
      </c>
      <c r="AK852" t="str">
        <f>"13211"</f>
        <v>13211</v>
      </c>
      <c r="AL852">
        <v>3</v>
      </c>
      <c r="AM852">
        <v>986</v>
      </c>
      <c r="AN852">
        <v>913.86</v>
      </c>
      <c r="AQ852" t="s">
        <v>8906</v>
      </c>
      <c r="AR852" t="s">
        <v>8906</v>
      </c>
      <c r="AS852" t="s">
        <v>8906</v>
      </c>
      <c r="AU852" t="s">
        <v>396</v>
      </c>
      <c r="AV852">
        <v>2017</v>
      </c>
      <c r="AW852" t="str">
        <f>"29-2N-25-0000-0016-0100 "</f>
        <v xml:space="preserve">29-2N-25-0000-0016-0100 </v>
      </c>
      <c r="AX852">
        <v>45065</v>
      </c>
      <c r="AZ852" t="s">
        <v>8899</v>
      </c>
      <c r="BA852" t="s">
        <v>866</v>
      </c>
      <c r="BD852" t="s">
        <v>2785</v>
      </c>
      <c r="BE852" t="s">
        <v>393</v>
      </c>
      <c r="BF852">
        <v>32011</v>
      </c>
      <c r="BG852" t="s">
        <v>8907</v>
      </c>
      <c r="BH852" t="s">
        <v>2787</v>
      </c>
      <c r="BI852">
        <v>-81.832495882630795</v>
      </c>
      <c r="BJ852">
        <v>30.5674712863728</v>
      </c>
      <c r="BK852" t="s">
        <v>4547</v>
      </c>
      <c r="BM852" t="s">
        <v>5615</v>
      </c>
      <c r="BN852" t="s">
        <v>403</v>
      </c>
      <c r="BO852">
        <v>32046</v>
      </c>
      <c r="BP852" t="s">
        <v>404</v>
      </c>
      <c r="BQ852">
        <v>100</v>
      </c>
      <c r="BR852" t="s">
        <v>514</v>
      </c>
      <c r="BS852">
        <v>1001</v>
      </c>
      <c r="BT852" t="s">
        <v>515</v>
      </c>
      <c r="BW852">
        <v>6010</v>
      </c>
      <c r="BX852" t="s">
        <v>407</v>
      </c>
      <c r="BZ852">
        <v>4</v>
      </c>
      <c r="CA852">
        <v>1983</v>
      </c>
      <c r="CB852">
        <v>1</v>
      </c>
      <c r="CC852">
        <v>1</v>
      </c>
      <c r="CD852">
        <v>2017</v>
      </c>
      <c r="CE852">
        <v>7500</v>
      </c>
      <c r="CF852">
        <v>41909</v>
      </c>
      <c r="CG852">
        <v>49409</v>
      </c>
      <c r="CH852">
        <v>2017</v>
      </c>
      <c r="CI852">
        <v>7500</v>
      </c>
      <c r="CJ852">
        <v>41909</v>
      </c>
      <c r="CK852">
        <v>49409</v>
      </c>
      <c r="CL852">
        <v>2017</v>
      </c>
      <c r="CM852">
        <v>815.41</v>
      </c>
      <c r="CN852" s="1">
        <v>36843</v>
      </c>
      <c r="CO852">
        <v>10000</v>
      </c>
      <c r="CV852">
        <v>0</v>
      </c>
      <c r="CZ852" s="1">
        <v>36843</v>
      </c>
      <c r="DA852">
        <v>0</v>
      </c>
      <c r="DD852" t="s">
        <v>2785</v>
      </c>
      <c r="DG852">
        <v>29</v>
      </c>
      <c r="DL852">
        <v>50503</v>
      </c>
      <c r="DM852" t="s">
        <v>8888</v>
      </c>
      <c r="DO852" t="s">
        <v>8908</v>
      </c>
      <c r="DP852">
        <v>0</v>
      </c>
      <c r="DQ852">
        <v>0</v>
      </c>
      <c r="DR852" t="s">
        <v>411</v>
      </c>
      <c r="DS852" t="b">
        <v>1</v>
      </c>
      <c r="DT852" t="s">
        <v>8902</v>
      </c>
      <c r="DV852" t="s">
        <v>446</v>
      </c>
      <c r="DX852">
        <v>-9999</v>
      </c>
      <c r="DZ852" t="s">
        <v>447</v>
      </c>
      <c r="EA852" t="s">
        <v>448</v>
      </c>
      <c r="EB852" t="s">
        <v>8903</v>
      </c>
      <c r="EC852">
        <v>20101217</v>
      </c>
      <c r="ED852" t="s">
        <v>450</v>
      </c>
      <c r="EE852">
        <v>14.8</v>
      </c>
      <c r="EF852">
        <v>0</v>
      </c>
      <c r="EG852">
        <v>0</v>
      </c>
      <c r="EI852">
        <v>20160407</v>
      </c>
      <c r="EJ852">
        <v>0</v>
      </c>
      <c r="EK852">
        <v>0</v>
      </c>
      <c r="EP852" t="s">
        <v>421</v>
      </c>
      <c r="EQ852" t="s">
        <v>422</v>
      </c>
      <c r="ER852">
        <v>0</v>
      </c>
      <c r="ES852">
        <v>3</v>
      </c>
      <c r="ET852">
        <v>0</v>
      </c>
      <c r="EU852">
        <v>0</v>
      </c>
      <c r="EV852">
        <v>0</v>
      </c>
      <c r="EW852" s="2">
        <v>43222</v>
      </c>
      <c r="EX852" s="1">
        <v>42515</v>
      </c>
      <c r="EY852">
        <v>2015</v>
      </c>
      <c r="EZ852">
        <v>909.28</v>
      </c>
      <c r="FA852" t="s">
        <v>8909</v>
      </c>
      <c r="FB852">
        <v>0.25</v>
      </c>
      <c r="FC852" t="s">
        <v>424</v>
      </c>
      <c r="FD852" t="s">
        <v>425</v>
      </c>
      <c r="FE852" s="1">
        <v>43188</v>
      </c>
      <c r="FF852">
        <v>22</v>
      </c>
      <c r="FG852">
        <v>7045074</v>
      </c>
      <c r="FH852" t="s">
        <v>580</v>
      </c>
      <c r="FJ852" s="1">
        <v>42515</v>
      </c>
      <c r="FK852">
        <v>2015</v>
      </c>
      <c r="FL852">
        <v>909.28</v>
      </c>
      <c r="FM852" t="s">
        <v>8909</v>
      </c>
      <c r="FN852">
        <v>0.25</v>
      </c>
      <c r="FO852" t="s">
        <v>424</v>
      </c>
      <c r="FP852" t="s">
        <v>425</v>
      </c>
      <c r="FR852">
        <v>22</v>
      </c>
      <c r="FS852">
        <v>6659652</v>
      </c>
      <c r="FT852" t="s">
        <v>8910</v>
      </c>
      <c r="FV852" s="1">
        <v>41787</v>
      </c>
      <c r="FW852">
        <v>2013</v>
      </c>
      <c r="FX852">
        <v>740.11</v>
      </c>
      <c r="FY852" t="s">
        <v>8911</v>
      </c>
      <c r="FZ852">
        <v>0.25</v>
      </c>
      <c r="GA852" t="s">
        <v>424</v>
      </c>
      <c r="GB852" t="s">
        <v>425</v>
      </c>
      <c r="GC852" s="1">
        <v>42116</v>
      </c>
      <c r="GD852">
        <v>11</v>
      </c>
      <c r="GE852">
        <v>2407503</v>
      </c>
      <c r="GF852" t="s">
        <v>461</v>
      </c>
    </row>
    <row r="853" spans="1:285" x14ac:dyDescent="0.25">
      <c r="A853">
        <v>16485860</v>
      </c>
      <c r="B853">
        <v>852</v>
      </c>
      <c r="C853" t="s">
        <v>393</v>
      </c>
      <c r="D853" t="s">
        <v>394</v>
      </c>
      <c r="F853" t="str">
        <f>"29-2N-25-0000-0026-0000"</f>
        <v>29-2N-25-0000-0026-0000</v>
      </c>
      <c r="H853" t="str">
        <f>"SIMMONS JACQUELINE EST &amp; BROWN RUTHIE MAE (T/I/C)"</f>
        <v>SIMMONS JACQUELINE EST &amp; BROWN RUTHIE MAE (T/I/C)</v>
      </c>
      <c r="I853" t="str">
        <f>"618291 MARTIN LUTHER KING AVE"</f>
        <v>618291 MARTIN LUTHER KING AVE</v>
      </c>
      <c r="J853" t="str">
        <f>"CALLAHAN FL 32011"</f>
        <v>CALLAHAN FL 32011</v>
      </c>
      <c r="K853" t="str">
        <f>"618291 DR MARTIN LUTHER KING JR AVE"</f>
        <v>618291 DR MARTIN LUTHER KING JR AVE</v>
      </c>
      <c r="L853" t="str">
        <f t="shared" si="273"/>
        <v>CALLAHAN FL 32011</v>
      </c>
      <c r="M853" t="str">
        <f>"IN OR 1852/1193"</f>
        <v>IN OR 1852/1193</v>
      </c>
      <c r="N853" t="str">
        <f>""</f>
        <v/>
      </c>
      <c r="O853" t="str">
        <f>"38486"</f>
        <v>38486</v>
      </c>
      <c r="P853" t="str">
        <f t="shared" si="265"/>
        <v>2017</v>
      </c>
      <c r="Q853" t="str">
        <f>""</f>
        <v/>
      </c>
      <c r="R853" t="str">
        <f>"Y"</f>
        <v>Y</v>
      </c>
      <c r="S853" t="str">
        <f>""</f>
        <v/>
      </c>
      <c r="T853" t="str">
        <f>"372.52"</f>
        <v>372.52</v>
      </c>
      <c r="U853" t="str">
        <f>"43567.00"</f>
        <v>43567.00</v>
      </c>
      <c r="V853" t="str">
        <f>"43567.00"</f>
        <v>43567.00</v>
      </c>
      <c r="W853" t="str">
        <f t="shared" si="266"/>
        <v>2017</v>
      </c>
      <c r="X853" t="str">
        <f>"10.00"</f>
        <v>10.00</v>
      </c>
      <c r="Y853" t="str">
        <f>"415.70"</f>
        <v>415.70</v>
      </c>
      <c r="Z853" t="str">
        <f>"20994.00"</f>
        <v>20994.00</v>
      </c>
      <c r="AA853" t="str">
        <f>"22573.00"</f>
        <v>22573.00</v>
      </c>
      <c r="AB853" t="str">
        <f>"Residential"</f>
        <v>Residential</v>
      </c>
      <c r="AC853" t="str">
        <f t="shared" si="254"/>
        <v>0</v>
      </c>
      <c r="AD853" t="str">
        <f t="shared" si="271"/>
        <v>4</v>
      </c>
      <c r="AE853" t="str">
        <f t="shared" si="272"/>
        <v>WOOD (INCLUDE STEEL STUDS)</v>
      </c>
      <c r="AF853" t="str">
        <f>"001"</f>
        <v>001</v>
      </c>
      <c r="AG853" t="str">
        <f t="shared" si="270"/>
        <v>FL</v>
      </c>
      <c r="AH853" t="str">
        <f>"11550.00"</f>
        <v>11550.00</v>
      </c>
      <c r="AI853" t="str">
        <f>"9817.00"</f>
        <v>9817.00</v>
      </c>
      <c r="AJ853" t="str">
        <f>"C55-000-587-5595-0"</f>
        <v>C55-000-587-5595-0</v>
      </c>
      <c r="AK853" t="str">
        <f>"13218"</f>
        <v>13218</v>
      </c>
      <c r="AL853">
        <v>3</v>
      </c>
      <c r="AM853">
        <v>987</v>
      </c>
      <c r="AN853">
        <v>434.89</v>
      </c>
      <c r="AQ853" t="s">
        <v>8912</v>
      </c>
      <c r="AR853" t="s">
        <v>8912</v>
      </c>
      <c r="AS853" t="s">
        <v>8912</v>
      </c>
      <c r="AU853" t="s">
        <v>396</v>
      </c>
      <c r="AV853">
        <v>2017</v>
      </c>
      <c r="AW853" t="str">
        <f>"29-2N-25-0000-0026-0000 "</f>
        <v xml:space="preserve">29-2N-25-0000-0026-0000 </v>
      </c>
      <c r="AX853">
        <v>618291</v>
      </c>
      <c r="AZ853" t="s">
        <v>8913</v>
      </c>
      <c r="BA853" t="s">
        <v>1112</v>
      </c>
      <c r="BD853" t="s">
        <v>2785</v>
      </c>
      <c r="BE853" t="s">
        <v>393</v>
      </c>
      <c r="BF853">
        <v>32011</v>
      </c>
      <c r="BG853" t="s">
        <v>8914</v>
      </c>
      <c r="BH853" t="s">
        <v>2787</v>
      </c>
      <c r="BI853">
        <v>-81.8320697394917</v>
      </c>
      <c r="BJ853">
        <v>30.566740280232001</v>
      </c>
      <c r="BK853" t="s">
        <v>8915</v>
      </c>
      <c r="BL853" t="s">
        <v>8916</v>
      </c>
      <c r="BM853" t="s">
        <v>8917</v>
      </c>
      <c r="BN853" t="s">
        <v>928</v>
      </c>
      <c r="BO853">
        <v>32011</v>
      </c>
      <c r="BP853" t="s">
        <v>404</v>
      </c>
      <c r="BQ853">
        <v>100</v>
      </c>
      <c r="BR853" t="s">
        <v>514</v>
      </c>
      <c r="BS853">
        <v>1001</v>
      </c>
      <c r="BT853" t="s">
        <v>515</v>
      </c>
      <c r="BU853">
        <v>550</v>
      </c>
      <c r="BV853">
        <v>2100</v>
      </c>
      <c r="BW853">
        <v>11550</v>
      </c>
      <c r="BX853" t="s">
        <v>407</v>
      </c>
      <c r="BZ853">
        <v>4</v>
      </c>
      <c r="CA853">
        <v>1954</v>
      </c>
      <c r="CB853">
        <v>1</v>
      </c>
      <c r="CC853">
        <v>1</v>
      </c>
      <c r="CD853">
        <v>2017</v>
      </c>
      <c r="CG853">
        <v>43567</v>
      </c>
      <c r="CH853">
        <v>2017</v>
      </c>
      <c r="CI853">
        <v>9817</v>
      </c>
      <c r="CJ853">
        <v>35331</v>
      </c>
      <c r="CK853">
        <v>45148</v>
      </c>
      <c r="CL853">
        <v>2017</v>
      </c>
      <c r="CM853">
        <v>372.52</v>
      </c>
      <c r="CN853" s="1">
        <v>41388</v>
      </c>
      <c r="CZ853" s="1">
        <v>41388</v>
      </c>
      <c r="DD853" t="s">
        <v>2785</v>
      </c>
      <c r="DG853">
        <v>29</v>
      </c>
      <c r="DL853">
        <v>50503</v>
      </c>
      <c r="DM853" t="s">
        <v>8888</v>
      </c>
      <c r="DO853" t="s">
        <v>8918</v>
      </c>
      <c r="DP853">
        <v>0</v>
      </c>
      <c r="DQ853">
        <v>6</v>
      </c>
      <c r="DR853" t="s">
        <v>1479</v>
      </c>
      <c r="DS853" t="b">
        <v>1</v>
      </c>
      <c r="DT853" t="s">
        <v>470</v>
      </c>
      <c r="DU853" t="s">
        <v>471</v>
      </c>
      <c r="DV853" t="s">
        <v>472</v>
      </c>
      <c r="DX853">
        <v>-9999</v>
      </c>
      <c r="DZ853" t="s">
        <v>447</v>
      </c>
      <c r="EA853" t="s">
        <v>448</v>
      </c>
      <c r="EB853" t="s">
        <v>742</v>
      </c>
      <c r="EC853">
        <v>20101217</v>
      </c>
      <c r="ED853" t="s">
        <v>474</v>
      </c>
      <c r="EF853">
        <v>569.79999999999995</v>
      </c>
      <c r="EG853">
        <v>569.79999999999995</v>
      </c>
      <c r="EH853" t="s">
        <v>451</v>
      </c>
      <c r="EI853">
        <v>20140731</v>
      </c>
      <c r="EJ853">
        <v>0</v>
      </c>
      <c r="EK853">
        <v>0</v>
      </c>
      <c r="EP853" t="s">
        <v>421</v>
      </c>
      <c r="EQ853" t="s">
        <v>422</v>
      </c>
      <c r="ER853">
        <v>2</v>
      </c>
      <c r="ES853">
        <v>2</v>
      </c>
      <c r="ET853">
        <v>847.48</v>
      </c>
      <c r="EU853">
        <v>54.87</v>
      </c>
      <c r="EV853">
        <v>902.35</v>
      </c>
      <c r="EW853" s="2">
        <v>43222</v>
      </c>
      <c r="EX853" s="1">
        <v>42879</v>
      </c>
      <c r="EY853">
        <v>2016</v>
      </c>
      <c r="EZ853">
        <v>423.74</v>
      </c>
      <c r="FA853" t="s">
        <v>8919</v>
      </c>
      <c r="FB853">
        <v>0.25</v>
      </c>
      <c r="FC853" t="s">
        <v>424</v>
      </c>
      <c r="FD853" t="s">
        <v>454</v>
      </c>
      <c r="FF853">
        <v>12</v>
      </c>
      <c r="FG853">
        <v>2851116</v>
      </c>
      <c r="FH853" t="s">
        <v>480</v>
      </c>
      <c r="FJ853" s="1">
        <v>42879</v>
      </c>
      <c r="FK853">
        <v>2016</v>
      </c>
      <c r="FL853">
        <v>423.74</v>
      </c>
      <c r="FM853" t="s">
        <v>8919</v>
      </c>
      <c r="FN853">
        <v>0.25</v>
      </c>
      <c r="FO853" t="s">
        <v>424</v>
      </c>
      <c r="FP853" t="s">
        <v>454</v>
      </c>
      <c r="FR853">
        <v>12</v>
      </c>
      <c r="FS853">
        <v>5046175</v>
      </c>
      <c r="FT853" t="s">
        <v>8920</v>
      </c>
      <c r="FV853" s="1">
        <v>42151</v>
      </c>
      <c r="FW853">
        <v>2014</v>
      </c>
      <c r="FX853">
        <v>405.55</v>
      </c>
      <c r="FY853" t="s">
        <v>8921</v>
      </c>
      <c r="FZ853">
        <v>0.25</v>
      </c>
      <c r="GA853" t="s">
        <v>424</v>
      </c>
      <c r="GB853" t="s">
        <v>425</v>
      </c>
      <c r="GC853" s="1">
        <v>42438</v>
      </c>
      <c r="GD853">
        <v>10</v>
      </c>
      <c r="GE853">
        <v>2851116</v>
      </c>
      <c r="GF853" t="s">
        <v>480</v>
      </c>
      <c r="GH853" s="1">
        <v>42151</v>
      </c>
      <c r="GI853">
        <v>2014</v>
      </c>
      <c r="GJ853">
        <v>405.55</v>
      </c>
      <c r="GK853" t="s">
        <v>8921</v>
      </c>
      <c r="GL853">
        <v>0.25</v>
      </c>
      <c r="GM853" t="s">
        <v>424</v>
      </c>
      <c r="GN853" t="s">
        <v>425</v>
      </c>
      <c r="GP853">
        <v>22</v>
      </c>
      <c r="GQ853">
        <v>4897201</v>
      </c>
      <c r="GR853" t="s">
        <v>8922</v>
      </c>
    </row>
    <row r="854" spans="1:285" x14ac:dyDescent="0.25">
      <c r="A854">
        <v>16485861</v>
      </c>
      <c r="B854">
        <v>853</v>
      </c>
      <c r="C854" t="s">
        <v>393</v>
      </c>
      <c r="D854" t="s">
        <v>394</v>
      </c>
      <c r="F854" t="str">
        <f>"29-2N-25-3120-0009-0000"</f>
        <v>29-2N-25-3120-0009-0000</v>
      </c>
      <c r="H854" t="str">
        <f>"G &amp; H LAND DEVELOPMENT LLC"</f>
        <v>G &amp; H LAND DEVELOPMENT LLC</v>
      </c>
      <c r="I854" t="str">
        <f>"PO BOX 1694"</f>
        <v>PO BOX 1694</v>
      </c>
      <c r="J854" t="str">
        <f>"CALLAHAN FL 32011"</f>
        <v>CALLAHAN FL 32011</v>
      </c>
      <c r="K854" t="str">
        <f>"45321 GREEN AVE"</f>
        <v>45321 GREEN AVE</v>
      </c>
      <c r="L854" t="str">
        <f t="shared" si="273"/>
        <v>CALLAHAN FL 32011</v>
      </c>
      <c r="M854" t="str">
        <f>"BLOCK 1 PT OF LOTS 4 &amp; 5 S-9 IN OR 1327/201 BOOTH SURVEY PB 1/29"</f>
        <v>BLOCK 1 PT OF LOTS 4 &amp; 5 S-9 IN OR 1327/201 BOOTH SURVEY PB 1/29</v>
      </c>
      <c r="N854" t="str">
        <f>""</f>
        <v/>
      </c>
      <c r="O854" t="str">
        <f>"38558"</f>
        <v>38558</v>
      </c>
      <c r="P854" t="str">
        <f t="shared" si="265"/>
        <v>2017</v>
      </c>
      <c r="Q854" t="str">
        <f>""</f>
        <v/>
      </c>
      <c r="R854" t="str">
        <f>"N"</f>
        <v>N</v>
      </c>
      <c r="S854" t="str">
        <f>""</f>
        <v/>
      </c>
      <c r="T854" t="str">
        <f>"1498.27"</f>
        <v>1498.27</v>
      </c>
      <c r="U854" t="str">
        <f>"90786.00"</f>
        <v>90786.00</v>
      </c>
      <c r="V854" t="str">
        <f>"90786.00"</f>
        <v>90786.00</v>
      </c>
      <c r="W854" t="str">
        <f t="shared" si="266"/>
        <v>2017</v>
      </c>
      <c r="X854" t="str">
        <f>"13.33"</f>
        <v>13.33</v>
      </c>
      <c r="Y854" t="str">
        <f>"1575.22"</f>
        <v>1575.22</v>
      </c>
      <c r="Z854" t="str">
        <f>""</f>
        <v/>
      </c>
      <c r="AA854" t="str">
        <f>"90786.00"</f>
        <v>90786.00</v>
      </c>
      <c r="AB854" t="str">
        <f>"Commercial"</f>
        <v>Commercial</v>
      </c>
      <c r="AC854" t="str">
        <f t="shared" si="254"/>
        <v>0</v>
      </c>
      <c r="AD854" t="str">
        <f t="shared" si="271"/>
        <v>4</v>
      </c>
      <c r="AE854" t="str">
        <f t="shared" si="272"/>
        <v>WOOD (INCLUDE STEEL STUDS)</v>
      </c>
      <c r="AF854" t="str">
        <f>"017"</f>
        <v>017</v>
      </c>
      <c r="AG854" t="str">
        <f t="shared" si="270"/>
        <v>FL</v>
      </c>
      <c r="AH854" t="str">
        <f>"11685.00"</f>
        <v>11685.00</v>
      </c>
      <c r="AI854" t="str">
        <f>"46739.00"</f>
        <v>46739.00</v>
      </c>
      <c r="AJ854" t="str">
        <f>"C55-000-587-5675-0"</f>
        <v>C55-000-587-5675-0</v>
      </c>
      <c r="AK854" t="str">
        <f>"13278"</f>
        <v>13278</v>
      </c>
      <c r="AL854">
        <v>4</v>
      </c>
      <c r="AM854">
        <v>988</v>
      </c>
      <c r="AN854">
        <v>1652.38</v>
      </c>
      <c r="AQ854" t="s">
        <v>8923</v>
      </c>
      <c r="AR854" t="s">
        <v>8923</v>
      </c>
      <c r="AS854" t="s">
        <v>8923</v>
      </c>
      <c r="AU854" t="s">
        <v>396</v>
      </c>
      <c r="AV854">
        <v>2017</v>
      </c>
      <c r="AW854" t="str">
        <f>"29-2N-25-3120-0009-0000 "</f>
        <v xml:space="preserve">29-2N-25-3120-0009-0000 </v>
      </c>
      <c r="AX854">
        <v>45321</v>
      </c>
      <c r="AZ854" t="s">
        <v>8924</v>
      </c>
      <c r="BA854" t="s">
        <v>1112</v>
      </c>
      <c r="BD854" t="s">
        <v>2785</v>
      </c>
      <c r="BE854" t="s">
        <v>393</v>
      </c>
      <c r="BF854">
        <v>32011</v>
      </c>
      <c r="BG854" t="s">
        <v>8925</v>
      </c>
      <c r="BH854" t="s">
        <v>2787</v>
      </c>
      <c r="BI854">
        <v>-81.832121173009497</v>
      </c>
      <c r="BJ854">
        <v>30.563407893918399</v>
      </c>
      <c r="BK854" t="s">
        <v>8926</v>
      </c>
      <c r="BM854" t="s">
        <v>1631</v>
      </c>
      <c r="BN854" t="s">
        <v>928</v>
      </c>
      <c r="BO854">
        <v>32011</v>
      </c>
      <c r="BP854" t="s">
        <v>404</v>
      </c>
      <c r="BQ854">
        <v>1700</v>
      </c>
      <c r="BR854" t="s">
        <v>3686</v>
      </c>
      <c r="BS854">
        <v>3003</v>
      </c>
      <c r="BT854" t="s">
        <v>3687</v>
      </c>
      <c r="BW854">
        <v>11685</v>
      </c>
      <c r="BX854" t="s">
        <v>407</v>
      </c>
      <c r="BZ854">
        <v>4</v>
      </c>
      <c r="CA854">
        <v>1957</v>
      </c>
      <c r="CB854">
        <v>1</v>
      </c>
      <c r="CD854">
        <v>2017</v>
      </c>
      <c r="CE854">
        <v>46739</v>
      </c>
      <c r="CF854">
        <v>44047</v>
      </c>
      <c r="CG854">
        <v>90786</v>
      </c>
      <c r="CH854">
        <v>2017</v>
      </c>
      <c r="CI854">
        <v>46739</v>
      </c>
      <c r="CJ854">
        <v>44047</v>
      </c>
      <c r="CK854">
        <v>90786</v>
      </c>
      <c r="CL854">
        <v>2017</v>
      </c>
      <c r="CM854">
        <v>1498.27</v>
      </c>
      <c r="CN854" s="1">
        <v>38523</v>
      </c>
      <c r="CO854">
        <v>110000</v>
      </c>
      <c r="CV854">
        <v>100000</v>
      </c>
      <c r="CX854" t="s">
        <v>693</v>
      </c>
      <c r="CZ854" s="1">
        <v>38523</v>
      </c>
      <c r="DA854">
        <v>0</v>
      </c>
      <c r="DD854" t="s">
        <v>2785</v>
      </c>
      <c r="DG854">
        <v>29</v>
      </c>
      <c r="DJ854" t="s">
        <v>8927</v>
      </c>
      <c r="DL854">
        <v>50503</v>
      </c>
      <c r="DM854" t="s">
        <v>8888</v>
      </c>
      <c r="DO854" t="s">
        <v>8928</v>
      </c>
      <c r="DP854">
        <v>0</v>
      </c>
      <c r="DQ854">
        <v>6</v>
      </c>
      <c r="DR854" t="s">
        <v>411</v>
      </c>
      <c r="DS854" t="b">
        <v>1</v>
      </c>
      <c r="DT854" t="s">
        <v>470</v>
      </c>
      <c r="DU854" t="s">
        <v>471</v>
      </c>
      <c r="DV854" t="s">
        <v>472</v>
      </c>
      <c r="DX854">
        <v>-9999</v>
      </c>
      <c r="DZ854" t="s">
        <v>447</v>
      </c>
      <c r="EA854" t="s">
        <v>448</v>
      </c>
      <c r="EB854" t="s">
        <v>742</v>
      </c>
      <c r="EC854">
        <v>20101217</v>
      </c>
      <c r="ED854" t="s">
        <v>474</v>
      </c>
      <c r="EF854">
        <v>663.1</v>
      </c>
      <c r="EG854">
        <v>627.20000000000005</v>
      </c>
      <c r="EI854">
        <v>20160407</v>
      </c>
      <c r="EJ854">
        <v>0</v>
      </c>
      <c r="EK854">
        <v>0</v>
      </c>
      <c r="EP854" t="s">
        <v>421</v>
      </c>
      <c r="EQ854" t="s">
        <v>422</v>
      </c>
      <c r="ER854">
        <v>0</v>
      </c>
      <c r="ES854">
        <v>7</v>
      </c>
      <c r="ET854">
        <v>0</v>
      </c>
      <c r="EU854">
        <v>0</v>
      </c>
      <c r="EV854">
        <v>0</v>
      </c>
      <c r="EW854" s="2">
        <v>43222</v>
      </c>
      <c r="EX854" s="1">
        <v>42515</v>
      </c>
      <c r="EY854">
        <v>2015</v>
      </c>
      <c r="EZ854">
        <v>1729.17</v>
      </c>
      <c r="FA854" t="s">
        <v>8929</v>
      </c>
      <c r="FB854">
        <v>0.25</v>
      </c>
      <c r="FC854" t="s">
        <v>424</v>
      </c>
      <c r="FD854" t="s">
        <v>425</v>
      </c>
      <c r="FE854" s="1">
        <v>42717</v>
      </c>
      <c r="FF854">
        <v>7</v>
      </c>
      <c r="FG854">
        <v>2851116</v>
      </c>
      <c r="FH854" t="s">
        <v>480</v>
      </c>
      <c r="FJ854" s="1">
        <v>42515</v>
      </c>
      <c r="FK854">
        <v>2015</v>
      </c>
      <c r="FL854">
        <v>1729.17</v>
      </c>
      <c r="FM854" t="s">
        <v>8929</v>
      </c>
      <c r="FN854">
        <v>0.25</v>
      </c>
      <c r="FO854" t="s">
        <v>424</v>
      </c>
      <c r="FP854" t="s">
        <v>425</v>
      </c>
      <c r="FR854">
        <v>22</v>
      </c>
      <c r="FS854">
        <v>5534004</v>
      </c>
      <c r="FT854" t="s">
        <v>8930</v>
      </c>
      <c r="FV854" s="1">
        <v>42151</v>
      </c>
      <c r="FW854">
        <v>2014</v>
      </c>
      <c r="FX854">
        <v>1771.16</v>
      </c>
      <c r="FY854" t="s">
        <v>8931</v>
      </c>
      <c r="FZ854">
        <v>0.25</v>
      </c>
      <c r="GA854" t="s">
        <v>424</v>
      </c>
      <c r="GB854" t="s">
        <v>425</v>
      </c>
      <c r="GC854" s="1">
        <v>42384</v>
      </c>
      <c r="GD854">
        <v>8</v>
      </c>
      <c r="GE854">
        <v>2851116</v>
      </c>
      <c r="GF854" t="s">
        <v>480</v>
      </c>
      <c r="GH854" s="1">
        <v>42151</v>
      </c>
      <c r="GI854">
        <v>2014</v>
      </c>
      <c r="GJ854">
        <v>1771.16</v>
      </c>
      <c r="GK854" t="s">
        <v>8931</v>
      </c>
      <c r="GL854">
        <v>0.25</v>
      </c>
      <c r="GM854" t="s">
        <v>424</v>
      </c>
      <c r="GN854" t="s">
        <v>425</v>
      </c>
      <c r="GP854">
        <v>22</v>
      </c>
      <c r="GQ854">
        <v>5426270</v>
      </c>
      <c r="GR854" t="s">
        <v>8932</v>
      </c>
      <c r="GT854" s="1">
        <v>41787</v>
      </c>
      <c r="GU854">
        <v>2013</v>
      </c>
      <c r="GV854">
        <v>1454.66</v>
      </c>
      <c r="GW854" t="s">
        <v>8933</v>
      </c>
      <c r="GX854">
        <v>0.25</v>
      </c>
      <c r="GY854" t="s">
        <v>424</v>
      </c>
      <c r="GZ854" t="s">
        <v>425</v>
      </c>
      <c r="HA854" s="1">
        <v>42384</v>
      </c>
      <c r="HB854">
        <v>20</v>
      </c>
      <c r="HC854">
        <v>2851116</v>
      </c>
      <c r="HD854" t="s">
        <v>480</v>
      </c>
      <c r="HF854" s="1">
        <v>41423</v>
      </c>
      <c r="HG854">
        <v>2012</v>
      </c>
      <c r="HH854">
        <v>1449.38</v>
      </c>
      <c r="HI854" t="s">
        <v>8934</v>
      </c>
      <c r="HJ854">
        <v>0.25</v>
      </c>
      <c r="HK854" t="s">
        <v>424</v>
      </c>
      <c r="HL854" t="s">
        <v>425</v>
      </c>
      <c r="HM854" s="1">
        <v>42046</v>
      </c>
      <c r="HN854">
        <v>21</v>
      </c>
      <c r="HO854">
        <v>606981</v>
      </c>
      <c r="HP854" t="s">
        <v>792</v>
      </c>
      <c r="HR854" s="1">
        <v>41052</v>
      </c>
      <c r="HS854">
        <v>2011</v>
      </c>
      <c r="HT854">
        <v>1301.79</v>
      </c>
      <c r="HU854" t="s">
        <v>8935</v>
      </c>
      <c r="HV854">
        <v>4.75</v>
      </c>
      <c r="HW854" t="s">
        <v>424</v>
      </c>
      <c r="HX854" t="s">
        <v>425</v>
      </c>
      <c r="HY854" s="1">
        <v>41684</v>
      </c>
      <c r="HZ854">
        <v>21</v>
      </c>
      <c r="IA854">
        <v>10125</v>
      </c>
      <c r="IB854" t="s">
        <v>440</v>
      </c>
    </row>
    <row r="855" spans="1:285" x14ac:dyDescent="0.25">
      <c r="A855">
        <v>16485862</v>
      </c>
      <c r="B855">
        <v>854</v>
      </c>
      <c r="C855" t="s">
        <v>393</v>
      </c>
      <c r="D855" t="s">
        <v>394</v>
      </c>
      <c r="F855" t="str">
        <f>"29-2N-25-3120-0012-0000"</f>
        <v>29-2N-25-3120-0012-0000</v>
      </c>
      <c r="H855" t="str">
        <f>"BRADDOCK DALE P &amp; CAROL E"</f>
        <v>BRADDOCK DALE P &amp; CAROL E</v>
      </c>
      <c r="I855" t="str">
        <f>"PO BOX 511"</f>
        <v>PO BOX 511</v>
      </c>
      <c r="J855" t="str">
        <f>"CALLAHAN FL 32011"</f>
        <v>CALLAHAN FL 32011</v>
      </c>
      <c r="K855" t="str">
        <f>"45367 GREEN AVE"</f>
        <v>45367 GREEN AVE</v>
      </c>
      <c r="L855" t="str">
        <f t="shared" si="273"/>
        <v>CALLAHAN FL 32011</v>
      </c>
      <c r="M855" t="str">
        <f>"BLK 1 PT LOT 5 IN OR 349/445 JEHU BOOTHE SURVEY PBK 1/29"</f>
        <v>BLK 1 PT LOT 5 IN OR 349/445 JEHU BOOTHE SURVEY PBK 1/29</v>
      </c>
      <c r="N855" t="str">
        <f>""</f>
        <v/>
      </c>
      <c r="O855" t="str">
        <f>"38560"</f>
        <v>38560</v>
      </c>
      <c r="P855" t="str">
        <f t="shared" si="265"/>
        <v>2017</v>
      </c>
      <c r="Q855" t="str">
        <f>""</f>
        <v/>
      </c>
      <c r="R855" t="str">
        <f>"N"</f>
        <v>N</v>
      </c>
      <c r="S855" t="str">
        <f>""</f>
        <v/>
      </c>
      <c r="T855" t="str">
        <f>"3690.10"</f>
        <v>3690.10</v>
      </c>
      <c r="U855" t="str">
        <f>"223599.00"</f>
        <v>223599.00</v>
      </c>
      <c r="V855" t="str">
        <f>"223599.00"</f>
        <v>223599.00</v>
      </c>
      <c r="W855" t="str">
        <f t="shared" si="266"/>
        <v>2017</v>
      </c>
      <c r="X855" t="str">
        <f>"17.63"</f>
        <v>17.63</v>
      </c>
      <c r="Y855" t="str">
        <f>"3832.80"</f>
        <v>3832.80</v>
      </c>
      <c r="Z855" t="str">
        <f>""</f>
        <v/>
      </c>
      <c r="AA855" t="str">
        <f>"223599.00"</f>
        <v>223599.00</v>
      </c>
      <c r="AB855" t="str">
        <f>"Institutional"</f>
        <v>Institutional</v>
      </c>
      <c r="AC855" t="str">
        <f t="shared" si="254"/>
        <v>0</v>
      </c>
      <c r="AD855" t="str">
        <f t="shared" si="271"/>
        <v>4</v>
      </c>
      <c r="AE855" t="str">
        <f t="shared" si="272"/>
        <v>WOOD (INCLUDE STEEL STUDS)</v>
      </c>
      <c r="AF855" t="str">
        <f>"072"</f>
        <v>072</v>
      </c>
      <c r="AG855" t="str">
        <f t="shared" si="270"/>
        <v>FL</v>
      </c>
      <c r="AH855" t="str">
        <f>"25299.00"</f>
        <v>25299.00</v>
      </c>
      <c r="AI855" t="str">
        <f>"75895.00"</f>
        <v>75895.00</v>
      </c>
      <c r="AJ855" t="str">
        <f>"C55-000-587-5677-6"</f>
        <v>C55-000-587-5677-6</v>
      </c>
      <c r="AK855" t="str">
        <f>"13280"</f>
        <v>13280</v>
      </c>
      <c r="AL855">
        <v>4</v>
      </c>
      <c r="AM855">
        <v>989</v>
      </c>
      <c r="AN855">
        <v>4022.84</v>
      </c>
      <c r="AQ855" t="s">
        <v>8936</v>
      </c>
      <c r="AR855" t="s">
        <v>8936</v>
      </c>
      <c r="AS855" t="s">
        <v>8936</v>
      </c>
      <c r="AU855" t="s">
        <v>396</v>
      </c>
      <c r="AV855">
        <v>2017</v>
      </c>
      <c r="AW855" t="str">
        <f>"29-2N-25-3120-0012-0000 "</f>
        <v xml:space="preserve">29-2N-25-3120-0012-0000 </v>
      </c>
      <c r="AX855">
        <v>45367</v>
      </c>
      <c r="AZ855" t="s">
        <v>8924</v>
      </c>
      <c r="BA855" t="s">
        <v>1112</v>
      </c>
      <c r="BD855" t="s">
        <v>2785</v>
      </c>
      <c r="BE855" t="s">
        <v>393</v>
      </c>
      <c r="BF855">
        <v>32011</v>
      </c>
      <c r="BG855" t="s">
        <v>8937</v>
      </c>
      <c r="BH855" t="s">
        <v>2787</v>
      </c>
      <c r="BI855">
        <v>-81.831867591514296</v>
      </c>
      <c r="BJ855">
        <v>30.563944469418999</v>
      </c>
      <c r="BK855" t="s">
        <v>8938</v>
      </c>
      <c r="BL855" t="s">
        <v>8939</v>
      </c>
      <c r="BM855" t="s">
        <v>8940</v>
      </c>
      <c r="BN855" t="s">
        <v>928</v>
      </c>
      <c r="BO855">
        <v>32011</v>
      </c>
      <c r="BP855" t="s">
        <v>404</v>
      </c>
      <c r="BQ855">
        <v>7200</v>
      </c>
      <c r="BR855" t="s">
        <v>8941</v>
      </c>
      <c r="BS855">
        <v>9102</v>
      </c>
      <c r="BT855" t="s">
        <v>8942</v>
      </c>
      <c r="BW855">
        <v>26206</v>
      </c>
      <c r="BX855" t="s">
        <v>407</v>
      </c>
      <c r="BZ855">
        <v>4</v>
      </c>
      <c r="CA855">
        <v>1957</v>
      </c>
      <c r="CB855">
        <v>1</v>
      </c>
      <c r="CC855">
        <v>2</v>
      </c>
      <c r="CD855">
        <v>2017</v>
      </c>
      <c r="CE855">
        <v>75895</v>
      </c>
      <c r="CF855">
        <v>147704</v>
      </c>
      <c r="CG855">
        <v>223599</v>
      </c>
      <c r="CH855">
        <v>2017</v>
      </c>
      <c r="CI855">
        <v>75895</v>
      </c>
      <c r="CJ855">
        <v>147704</v>
      </c>
      <c r="CK855">
        <v>223599</v>
      </c>
      <c r="CL855">
        <v>2017</v>
      </c>
      <c r="CM855">
        <v>3690.1</v>
      </c>
      <c r="CN855" s="1">
        <v>29915</v>
      </c>
      <c r="CO855">
        <v>45000</v>
      </c>
      <c r="CZ855" s="1">
        <v>29915</v>
      </c>
      <c r="DD855" t="s">
        <v>2785</v>
      </c>
      <c r="DG855">
        <v>29</v>
      </c>
      <c r="DL855">
        <v>50503</v>
      </c>
      <c r="DM855" t="s">
        <v>8888</v>
      </c>
      <c r="DO855" t="s">
        <v>8943</v>
      </c>
      <c r="DP855">
        <v>0</v>
      </c>
      <c r="DQ855">
        <v>9</v>
      </c>
      <c r="DR855" t="s">
        <v>1479</v>
      </c>
      <c r="DS855" t="b">
        <v>1</v>
      </c>
      <c r="DT855" t="s">
        <v>470</v>
      </c>
      <c r="DU855" t="s">
        <v>471</v>
      </c>
      <c r="DV855" t="s">
        <v>472</v>
      </c>
      <c r="DX855">
        <v>-9999</v>
      </c>
      <c r="DZ855" t="s">
        <v>447</v>
      </c>
      <c r="EA855" t="s">
        <v>448</v>
      </c>
      <c r="EB855" t="s">
        <v>742</v>
      </c>
      <c r="EC855">
        <v>20101217</v>
      </c>
      <c r="ED855" t="s">
        <v>474</v>
      </c>
      <c r="EF855">
        <v>585.6</v>
      </c>
      <c r="EG855">
        <v>581.1</v>
      </c>
      <c r="EI855">
        <v>20160407</v>
      </c>
      <c r="EJ855">
        <v>0</v>
      </c>
      <c r="EK855">
        <v>0</v>
      </c>
      <c r="EP855" t="s">
        <v>421</v>
      </c>
      <c r="EQ855" t="s">
        <v>422</v>
      </c>
      <c r="ER855">
        <v>0</v>
      </c>
      <c r="ES855">
        <v>8</v>
      </c>
      <c r="ET855">
        <v>0</v>
      </c>
      <c r="EU855">
        <v>0</v>
      </c>
      <c r="EV855">
        <v>0</v>
      </c>
      <c r="EW855" s="2">
        <v>43222</v>
      </c>
      <c r="EX855" s="1">
        <v>42515</v>
      </c>
      <c r="EY855">
        <v>2015</v>
      </c>
      <c r="EZ855">
        <v>4923.0600000000004</v>
      </c>
      <c r="FA855" t="s">
        <v>8944</v>
      </c>
      <c r="FB855">
        <v>0.25</v>
      </c>
      <c r="FC855" t="s">
        <v>424</v>
      </c>
      <c r="FD855" t="s">
        <v>425</v>
      </c>
      <c r="FE855" s="1">
        <v>43151</v>
      </c>
      <c r="FF855">
        <v>21</v>
      </c>
      <c r="FG855">
        <v>5894185</v>
      </c>
      <c r="FH855" t="s">
        <v>7135</v>
      </c>
      <c r="FJ855" s="1">
        <v>42515</v>
      </c>
      <c r="FK855">
        <v>2015</v>
      </c>
      <c r="FL855">
        <v>4923.0600000000004</v>
      </c>
      <c r="FM855" t="s">
        <v>8944</v>
      </c>
      <c r="FN855">
        <v>0.25</v>
      </c>
      <c r="FO855" t="s">
        <v>424</v>
      </c>
      <c r="FP855" t="s">
        <v>425</v>
      </c>
      <c r="FR855">
        <v>22</v>
      </c>
      <c r="FS855">
        <v>5948880</v>
      </c>
      <c r="FT855" t="s">
        <v>8945</v>
      </c>
      <c r="FV855" s="1">
        <v>42151</v>
      </c>
      <c r="FW855">
        <v>2014</v>
      </c>
      <c r="FX855">
        <v>4992.21</v>
      </c>
      <c r="FY855" t="s">
        <v>8946</v>
      </c>
      <c r="FZ855">
        <v>0.25</v>
      </c>
      <c r="GA855" t="s">
        <v>424</v>
      </c>
      <c r="GB855" t="s">
        <v>425</v>
      </c>
      <c r="GC855" s="1">
        <v>42222</v>
      </c>
      <c r="GD855">
        <v>3</v>
      </c>
      <c r="GE855">
        <v>4975594</v>
      </c>
      <c r="GF855" t="s">
        <v>457</v>
      </c>
      <c r="GH855" s="1">
        <v>42151</v>
      </c>
      <c r="GI855">
        <v>2014</v>
      </c>
      <c r="GJ855">
        <v>4992.21</v>
      </c>
      <c r="GK855" t="s">
        <v>8946</v>
      </c>
      <c r="GL855">
        <v>0.25</v>
      </c>
      <c r="GM855" t="s">
        <v>424</v>
      </c>
      <c r="GN855" t="s">
        <v>425</v>
      </c>
      <c r="GP855">
        <v>22</v>
      </c>
      <c r="GQ855">
        <v>6645203</v>
      </c>
      <c r="GR855" t="s">
        <v>8947</v>
      </c>
      <c r="GT855" s="1">
        <v>41423</v>
      </c>
      <c r="GU855">
        <v>2012</v>
      </c>
      <c r="GV855">
        <v>4812.38</v>
      </c>
      <c r="GW855" t="s">
        <v>8948</v>
      </c>
      <c r="GX855">
        <v>0.25</v>
      </c>
      <c r="GY855" t="s">
        <v>424</v>
      </c>
      <c r="GZ855" t="s">
        <v>425</v>
      </c>
      <c r="HA855" s="1">
        <v>42047</v>
      </c>
      <c r="HB855">
        <v>21</v>
      </c>
      <c r="HC855">
        <v>1625551</v>
      </c>
      <c r="HD855" t="s">
        <v>2839</v>
      </c>
      <c r="HF855" s="1">
        <v>41052</v>
      </c>
      <c r="HG855">
        <v>2011</v>
      </c>
      <c r="HH855">
        <v>5126.24</v>
      </c>
      <c r="HI855" t="s">
        <v>8949</v>
      </c>
      <c r="HJ855">
        <v>4</v>
      </c>
      <c r="HK855" t="s">
        <v>424</v>
      </c>
      <c r="HL855" t="s">
        <v>425</v>
      </c>
      <c r="HM855" s="1">
        <v>41683</v>
      </c>
      <c r="HN855">
        <v>21</v>
      </c>
      <c r="HO855">
        <v>13104</v>
      </c>
      <c r="HP855" t="s">
        <v>888</v>
      </c>
      <c r="HR855" s="1">
        <v>41052</v>
      </c>
      <c r="HS855">
        <v>2011</v>
      </c>
      <c r="HT855">
        <v>5126.24</v>
      </c>
      <c r="HU855" t="s">
        <v>8949</v>
      </c>
      <c r="HV855">
        <v>4</v>
      </c>
      <c r="HW855" t="s">
        <v>424</v>
      </c>
      <c r="HX855" t="s">
        <v>425</v>
      </c>
      <c r="HZ855">
        <v>22</v>
      </c>
      <c r="IA855">
        <v>13727</v>
      </c>
      <c r="IB855" t="s">
        <v>1840</v>
      </c>
      <c r="ID855" s="1">
        <v>40688</v>
      </c>
      <c r="IE855">
        <v>2010</v>
      </c>
      <c r="IF855">
        <v>5156.8</v>
      </c>
      <c r="IG855" t="s">
        <v>8950</v>
      </c>
      <c r="IH855">
        <v>5.25</v>
      </c>
      <c r="II855" t="s">
        <v>424</v>
      </c>
      <c r="IJ855" t="s">
        <v>425</v>
      </c>
      <c r="IK855" s="1">
        <v>41333</v>
      </c>
      <c r="IL855">
        <v>21</v>
      </c>
      <c r="IM855">
        <v>11177</v>
      </c>
      <c r="IN855" t="s">
        <v>650</v>
      </c>
    </row>
    <row r="856" spans="1:285" x14ac:dyDescent="0.25">
      <c r="A856">
        <v>16485863</v>
      </c>
      <c r="B856">
        <v>855</v>
      </c>
      <c r="C856" t="s">
        <v>393</v>
      </c>
      <c r="D856" t="s">
        <v>394</v>
      </c>
      <c r="F856" t="str">
        <f>"29-2N-25-3120-0013-0000"</f>
        <v>29-2N-25-3120-0013-0000</v>
      </c>
      <c r="H856" t="str">
        <f>"MIZELL WALTER S &amp; CARRIE D"</f>
        <v>MIZELL WALTER S &amp; CARRIE D</v>
      </c>
      <c r="I856" t="str">
        <f>"45200 DORMAN PLACE"</f>
        <v>45200 DORMAN PLACE</v>
      </c>
      <c r="J856" t="str">
        <f>"CALLAHAN FL 32011"</f>
        <v>CALLAHAN FL 32011</v>
      </c>
      <c r="K856" t="str">
        <f>"45383 GREEN AVE"</f>
        <v>45383 GREEN AVE</v>
      </c>
      <c r="L856" t="str">
        <f t="shared" si="273"/>
        <v>CALLAHAN FL 32011</v>
      </c>
      <c r="M856" t="str">
        <f>"BLK 1 PT LOTS 5 &amp; 6 IN OR 1516/1704 JEHU BOOTHE SURVEY PBK 1/29"</f>
        <v>BLK 1 PT LOTS 5 &amp; 6 IN OR 1516/1704 JEHU BOOTHE SURVEY PBK 1/29</v>
      </c>
      <c r="N856" t="str">
        <f>""</f>
        <v/>
      </c>
      <c r="O856" t="str">
        <f>"38561"</f>
        <v>38561</v>
      </c>
      <c r="P856" t="str">
        <f t="shared" si="265"/>
        <v>2017</v>
      </c>
      <c r="Q856" t="str">
        <f>""</f>
        <v/>
      </c>
      <c r="R856" t="str">
        <f>"N"</f>
        <v>N</v>
      </c>
      <c r="S856" t="str">
        <f>""</f>
        <v/>
      </c>
      <c r="T856" t="str">
        <f>"1180.79"</f>
        <v>1180.79</v>
      </c>
      <c r="U856" t="str">
        <f>"71549.00"</f>
        <v>71549.00</v>
      </c>
      <c r="V856" t="str">
        <f>"71549.00"</f>
        <v>71549.00</v>
      </c>
      <c r="W856" t="str">
        <f t="shared" si="266"/>
        <v>2017</v>
      </c>
      <c r="X856" t="str">
        <f>"2.50"</f>
        <v>2.50</v>
      </c>
      <c r="Y856" t="str">
        <f>"1248.21"</f>
        <v>1248.21</v>
      </c>
      <c r="Z856" t="str">
        <f>""</f>
        <v/>
      </c>
      <c r="AA856" t="str">
        <f>"71549.00"</f>
        <v>71549.00</v>
      </c>
      <c r="AB856" t="str">
        <f>"Residential"</f>
        <v>Residential</v>
      </c>
      <c r="AC856" t="str">
        <f t="shared" ref="AC856:AC919" si="274">"0"</f>
        <v>0</v>
      </c>
      <c r="AD856" t="str">
        <f t="shared" si="271"/>
        <v>4</v>
      </c>
      <c r="AE856" t="str">
        <f t="shared" si="272"/>
        <v>WOOD (INCLUDE STEEL STUDS)</v>
      </c>
      <c r="AF856" t="str">
        <f>"001"</f>
        <v>001</v>
      </c>
      <c r="AG856" t="str">
        <f t="shared" si="270"/>
        <v>FL</v>
      </c>
      <c r="AH856" t="str">
        <f>"19950.00"</f>
        <v>19950.00</v>
      </c>
      <c r="AI856" t="str">
        <f>"16957.00"</f>
        <v>16957.00</v>
      </c>
      <c r="AJ856" t="str">
        <f>"C55-000-587-5678-4"</f>
        <v>C55-000-587-5678-4</v>
      </c>
      <c r="AK856" t="str">
        <f>"13281"</f>
        <v>13281</v>
      </c>
      <c r="AL856">
        <v>4</v>
      </c>
      <c r="AM856">
        <v>990</v>
      </c>
      <c r="AN856">
        <v>1309.02</v>
      </c>
      <c r="AQ856" t="s">
        <v>8951</v>
      </c>
      <c r="AR856" t="s">
        <v>8951</v>
      </c>
      <c r="AS856" t="s">
        <v>8951</v>
      </c>
      <c r="AU856" t="s">
        <v>396</v>
      </c>
      <c r="AV856">
        <v>2017</v>
      </c>
      <c r="AW856" t="str">
        <f>"29-2N-25-3120-0013-0000 "</f>
        <v xml:space="preserve">29-2N-25-3120-0013-0000 </v>
      </c>
      <c r="AX856">
        <v>45383</v>
      </c>
      <c r="AZ856" t="s">
        <v>8924</v>
      </c>
      <c r="BA856" t="s">
        <v>1112</v>
      </c>
      <c r="BD856" t="s">
        <v>2785</v>
      </c>
      <c r="BE856" t="s">
        <v>393</v>
      </c>
      <c r="BF856">
        <v>32011</v>
      </c>
      <c r="BG856" t="s">
        <v>8952</v>
      </c>
      <c r="BH856" t="s">
        <v>2787</v>
      </c>
      <c r="BI856">
        <v>-81.831668276402297</v>
      </c>
      <c r="BJ856">
        <v>30.564186301674798</v>
      </c>
      <c r="BK856" t="s">
        <v>4115</v>
      </c>
      <c r="BL856" t="s">
        <v>8887</v>
      </c>
      <c r="BM856" t="s">
        <v>8886</v>
      </c>
      <c r="BN856" t="s">
        <v>928</v>
      </c>
      <c r="BO856">
        <v>32011</v>
      </c>
      <c r="BP856" t="s">
        <v>404</v>
      </c>
      <c r="BQ856">
        <v>100</v>
      </c>
      <c r="BR856" t="s">
        <v>514</v>
      </c>
      <c r="BS856">
        <v>1001</v>
      </c>
      <c r="BT856" t="s">
        <v>515</v>
      </c>
      <c r="BU856">
        <v>950</v>
      </c>
      <c r="BV856">
        <v>2100</v>
      </c>
      <c r="BW856">
        <v>19063</v>
      </c>
      <c r="BX856" t="s">
        <v>407</v>
      </c>
      <c r="BZ856">
        <v>4</v>
      </c>
      <c r="CA856">
        <v>1938</v>
      </c>
      <c r="CB856">
        <v>1</v>
      </c>
      <c r="CC856">
        <v>1</v>
      </c>
      <c r="CD856">
        <v>2017</v>
      </c>
      <c r="CE856">
        <v>16957</v>
      </c>
      <c r="CF856">
        <v>54592</v>
      </c>
      <c r="CG856">
        <v>71549</v>
      </c>
      <c r="CH856">
        <v>2017</v>
      </c>
      <c r="CI856">
        <v>16957</v>
      </c>
      <c r="CJ856">
        <v>54592</v>
      </c>
      <c r="CK856">
        <v>71549</v>
      </c>
      <c r="CL856">
        <v>2017</v>
      </c>
      <c r="CM856">
        <v>1180.79</v>
      </c>
      <c r="CN856" s="1">
        <v>39297</v>
      </c>
      <c r="CO856">
        <v>120000</v>
      </c>
      <c r="CV856">
        <v>0</v>
      </c>
      <c r="CZ856" s="1">
        <v>39297</v>
      </c>
      <c r="DA856">
        <v>0</v>
      </c>
      <c r="DD856" t="s">
        <v>2785</v>
      </c>
      <c r="DE856">
        <v>1</v>
      </c>
      <c r="DG856">
        <v>29</v>
      </c>
      <c r="DL856">
        <v>50503</v>
      </c>
      <c r="DM856" t="s">
        <v>8888</v>
      </c>
      <c r="DO856" t="s">
        <v>8953</v>
      </c>
      <c r="DP856">
        <v>0</v>
      </c>
      <c r="DQ856">
        <v>7</v>
      </c>
      <c r="DR856" t="s">
        <v>1479</v>
      </c>
      <c r="DS856" t="b">
        <v>1</v>
      </c>
      <c r="DT856" t="s">
        <v>470</v>
      </c>
      <c r="DU856" t="s">
        <v>471</v>
      </c>
      <c r="DV856" t="s">
        <v>472</v>
      </c>
      <c r="DX856">
        <v>-9999</v>
      </c>
      <c r="DZ856" t="s">
        <v>447</v>
      </c>
      <c r="EA856" t="s">
        <v>448</v>
      </c>
      <c r="EB856" t="s">
        <v>742</v>
      </c>
      <c r="EC856">
        <v>20101217</v>
      </c>
      <c r="ED856" t="s">
        <v>474</v>
      </c>
      <c r="EF856">
        <v>580</v>
      </c>
      <c r="EG856">
        <v>575.9</v>
      </c>
      <c r="EI856">
        <v>20160407</v>
      </c>
      <c r="EJ856">
        <v>0</v>
      </c>
      <c r="EK856">
        <v>0</v>
      </c>
      <c r="EP856" t="s">
        <v>421</v>
      </c>
      <c r="EQ856" t="s">
        <v>422</v>
      </c>
      <c r="ER856">
        <v>0</v>
      </c>
      <c r="ES856">
        <v>2</v>
      </c>
      <c r="ET856">
        <v>0</v>
      </c>
      <c r="EU856">
        <v>0</v>
      </c>
      <c r="EV856">
        <v>0</v>
      </c>
      <c r="EW856" s="2">
        <v>43222</v>
      </c>
      <c r="EX856" s="1">
        <v>42879</v>
      </c>
      <c r="EY856">
        <v>2016</v>
      </c>
      <c r="EZ856">
        <v>1265.18</v>
      </c>
      <c r="FA856" t="s">
        <v>8954</v>
      </c>
      <c r="FB856">
        <v>0.25</v>
      </c>
      <c r="FC856" t="s">
        <v>424</v>
      </c>
      <c r="FD856" t="s">
        <v>425</v>
      </c>
      <c r="FE856" s="1">
        <v>42933</v>
      </c>
      <c r="FF856">
        <v>2</v>
      </c>
      <c r="FG856">
        <v>7336671</v>
      </c>
      <c r="FH856" t="s">
        <v>437</v>
      </c>
      <c r="FJ856" s="1">
        <v>42879</v>
      </c>
      <c r="FK856">
        <v>2016</v>
      </c>
      <c r="FL856">
        <v>1265.18</v>
      </c>
      <c r="FM856" t="s">
        <v>8954</v>
      </c>
      <c r="FN856">
        <v>0.25</v>
      </c>
      <c r="FO856" t="s">
        <v>424</v>
      </c>
      <c r="FP856" t="s">
        <v>425</v>
      </c>
      <c r="FR856">
        <v>22</v>
      </c>
      <c r="FS856">
        <v>5131886</v>
      </c>
      <c r="FT856" t="s">
        <v>8955</v>
      </c>
    </row>
    <row r="857" spans="1:285" x14ac:dyDescent="0.25">
      <c r="A857">
        <v>16485864</v>
      </c>
      <c r="B857">
        <v>856</v>
      </c>
      <c r="C857" t="s">
        <v>393</v>
      </c>
      <c r="D857" t="s">
        <v>394</v>
      </c>
      <c r="F857" t="str">
        <f>"29-2N-25-3120-0070-0000"</f>
        <v>29-2N-25-3120-0070-0000</v>
      </c>
      <c r="H857" t="str">
        <f>"JONES ALLEN LAMARR JR"</f>
        <v>JONES ALLEN LAMARR JR</v>
      </c>
      <c r="I857" t="str">
        <f>"619 CARRACK DRIVE"</f>
        <v>619 CARRACK DRIVE</v>
      </c>
      <c r="J857" t="str">
        <f>"ST MARYS GA 31558"</f>
        <v>ST MARYS GA 31558</v>
      </c>
      <c r="K857" t="str">
        <f>"45125 SECOND AVE"</f>
        <v>45125 SECOND AVE</v>
      </c>
      <c r="L857" t="str">
        <f t="shared" si="273"/>
        <v>CALLAHAN FL 32011</v>
      </c>
      <c r="M857" t="str">
        <f>"BLOCK 23 PT OF LOTS 6 &amp; 7 IN OR 1594/282 &amp; OR 1594/284 J M DANCY SURVEY"</f>
        <v>BLOCK 23 PT OF LOTS 6 &amp; 7 IN OR 1594/282 &amp; OR 1594/284 J M DANCY SURVEY</v>
      </c>
      <c r="N857" t="str">
        <f>""</f>
        <v/>
      </c>
      <c r="O857" t="str">
        <f>"38616"</f>
        <v>38616</v>
      </c>
      <c r="P857" t="str">
        <f t="shared" si="265"/>
        <v>2017</v>
      </c>
      <c r="Q857" t="str">
        <f>""</f>
        <v/>
      </c>
      <c r="R857" t="str">
        <f>"N"</f>
        <v>N</v>
      </c>
      <c r="S857" t="str">
        <f>""</f>
        <v/>
      </c>
      <c r="T857" t="str">
        <f>"1080.07"</f>
        <v>1080.07</v>
      </c>
      <c r="U857" t="str">
        <f>"65447.00"</f>
        <v>65447.00</v>
      </c>
      <c r="V857" t="str">
        <f>"65447.00"</f>
        <v>65447.00</v>
      </c>
      <c r="W857" t="str">
        <f t="shared" si="266"/>
        <v>2017</v>
      </c>
      <c r="X857" t="str">
        <f>"11.50"</f>
        <v>11.50</v>
      </c>
      <c r="Y857" t="str">
        <f>"1144.47"</f>
        <v>1144.47</v>
      </c>
      <c r="Z857" t="str">
        <f>""</f>
        <v/>
      </c>
      <c r="AA857" t="str">
        <f>"65447.00"</f>
        <v>65447.00</v>
      </c>
      <c r="AB857" t="str">
        <f>"Residential"</f>
        <v>Residential</v>
      </c>
      <c r="AC857" t="str">
        <f t="shared" si="274"/>
        <v>0</v>
      </c>
      <c r="AD857" t="str">
        <f t="shared" si="271"/>
        <v>4</v>
      </c>
      <c r="AE857" t="str">
        <f t="shared" si="272"/>
        <v>WOOD (INCLUDE STEEL STUDS)</v>
      </c>
      <c r="AF857" t="str">
        <f>"001"</f>
        <v>001</v>
      </c>
      <c r="AG857" t="str">
        <f>"GA"</f>
        <v>GA</v>
      </c>
      <c r="AH857" t="str">
        <f>"16800.00"</f>
        <v>16800.00</v>
      </c>
      <c r="AI857" t="str">
        <f>"14280.00"</f>
        <v>14280.00</v>
      </c>
      <c r="AJ857" t="str">
        <f>"C55-000-587-5733-7"</f>
        <v>C55-000-587-5733-7</v>
      </c>
      <c r="AK857" t="str">
        <f>"13334"</f>
        <v>13334</v>
      </c>
      <c r="AL857">
        <v>4</v>
      </c>
      <c r="AM857">
        <v>992</v>
      </c>
      <c r="AN857">
        <v>1200.0899999999999</v>
      </c>
      <c r="AQ857" t="s">
        <v>8956</v>
      </c>
      <c r="AR857" t="s">
        <v>8956</v>
      </c>
      <c r="AS857" t="s">
        <v>8956</v>
      </c>
      <c r="AU857" t="s">
        <v>396</v>
      </c>
      <c r="AV857">
        <v>2017</v>
      </c>
      <c r="AW857" t="str">
        <f>"29-2N-25-3120-0070-0000 "</f>
        <v xml:space="preserve">29-2N-25-3120-0070-0000 </v>
      </c>
      <c r="AX857">
        <v>45125</v>
      </c>
      <c r="AZ857" t="s">
        <v>5004</v>
      </c>
      <c r="BA857" t="s">
        <v>1112</v>
      </c>
      <c r="BD857" t="s">
        <v>2785</v>
      </c>
      <c r="BE857" t="s">
        <v>393</v>
      </c>
      <c r="BF857">
        <v>32011</v>
      </c>
      <c r="BG857" t="s">
        <v>8957</v>
      </c>
      <c r="BH857" t="s">
        <v>2787</v>
      </c>
      <c r="BI857">
        <v>-81.829760544270101</v>
      </c>
      <c r="BJ857">
        <v>30.562166356132199</v>
      </c>
      <c r="BK857" t="s">
        <v>8958</v>
      </c>
      <c r="BM857" t="s">
        <v>8959</v>
      </c>
      <c r="BN857" t="s">
        <v>8960</v>
      </c>
      <c r="BO857">
        <v>31558</v>
      </c>
      <c r="BP857" t="s">
        <v>404</v>
      </c>
      <c r="BQ857">
        <v>100</v>
      </c>
      <c r="BR857" t="s">
        <v>514</v>
      </c>
      <c r="BS857">
        <v>1001</v>
      </c>
      <c r="BT857" t="s">
        <v>515</v>
      </c>
      <c r="BU857">
        <v>800</v>
      </c>
      <c r="BV857">
        <v>2100</v>
      </c>
      <c r="BW857">
        <v>14263</v>
      </c>
      <c r="BX857" t="s">
        <v>407</v>
      </c>
      <c r="BZ857">
        <v>4</v>
      </c>
      <c r="CA857">
        <v>1958</v>
      </c>
      <c r="CB857">
        <v>1</v>
      </c>
      <c r="CC857">
        <v>1</v>
      </c>
      <c r="CD857">
        <v>2017</v>
      </c>
      <c r="CE857">
        <v>14280</v>
      </c>
      <c r="CF857">
        <v>51167</v>
      </c>
      <c r="CG857">
        <v>65447</v>
      </c>
      <c r="CH857">
        <v>2017</v>
      </c>
      <c r="CI857">
        <v>14280</v>
      </c>
      <c r="CJ857">
        <v>51167</v>
      </c>
      <c r="CK857">
        <v>65447</v>
      </c>
      <c r="CL857">
        <v>2017</v>
      </c>
      <c r="CM857">
        <v>1080.07</v>
      </c>
      <c r="CN857" s="1">
        <v>39772</v>
      </c>
      <c r="CZ857" s="1">
        <v>39772</v>
      </c>
      <c r="DD857" t="s">
        <v>2785</v>
      </c>
      <c r="DG857">
        <v>29</v>
      </c>
      <c r="DL857">
        <v>50503</v>
      </c>
      <c r="DM857" t="s">
        <v>8888</v>
      </c>
      <c r="DO857" t="s">
        <v>8961</v>
      </c>
      <c r="DP857">
        <v>0</v>
      </c>
      <c r="DQ857">
        <v>15</v>
      </c>
      <c r="DR857" t="s">
        <v>1479</v>
      </c>
      <c r="DS857" t="b">
        <v>1</v>
      </c>
      <c r="DT857" t="s">
        <v>470</v>
      </c>
      <c r="DU857" t="s">
        <v>471</v>
      </c>
      <c r="DV857" t="s">
        <v>472</v>
      </c>
      <c r="DX857">
        <v>-9999</v>
      </c>
      <c r="DZ857" t="s">
        <v>447</v>
      </c>
      <c r="EA857" t="s">
        <v>448</v>
      </c>
      <c r="EB857" t="s">
        <v>742</v>
      </c>
      <c r="EC857">
        <v>20101217</v>
      </c>
      <c r="ED857" t="s">
        <v>474</v>
      </c>
      <c r="EF857">
        <v>1555.2</v>
      </c>
      <c r="EG857">
        <v>1517.5</v>
      </c>
      <c r="EH857" t="s">
        <v>451</v>
      </c>
      <c r="EI857">
        <v>20140731</v>
      </c>
      <c r="EJ857">
        <v>0</v>
      </c>
      <c r="EK857">
        <v>2</v>
      </c>
    </row>
    <row r="858" spans="1:285" x14ac:dyDescent="0.25">
      <c r="A858">
        <v>16485865</v>
      </c>
      <c r="B858">
        <v>857</v>
      </c>
      <c r="C858" t="s">
        <v>393</v>
      </c>
      <c r="D858" t="s">
        <v>394</v>
      </c>
      <c r="F858" t="str">
        <f>"29-2N-25-3160-0002-0064"</f>
        <v>29-2N-25-3160-0002-0064</v>
      </c>
      <c r="H858" t="str">
        <f>"BRADDOCK CAROL E &amp; EMMI NANCY E"</f>
        <v>BRADDOCK CAROL E &amp; EMMI NANCY E</v>
      </c>
      <c r="I858" t="str">
        <f>"PO BOX 511"</f>
        <v>PO BOX 511</v>
      </c>
      <c r="J858" t="str">
        <f t="shared" ref="J858:J876" si="275">"CALLAHAN FL 32011"</f>
        <v>CALLAHAN FL 32011</v>
      </c>
      <c r="K858" t="str">
        <f>"45300 BOOTH ST"</f>
        <v>45300 BOOTH ST</v>
      </c>
      <c r="L858" t="str">
        <f t="shared" si="273"/>
        <v>CALLAHAN FL 32011</v>
      </c>
      <c r="M858" t="str">
        <f>"BLK 2 PT OF LOT 6 IN OR 1879/856 E H BRADDOCKS ADDITION DB 39/362"</f>
        <v>BLK 2 PT OF LOT 6 IN OR 1879/856 E H BRADDOCKS ADDITION DB 39/362</v>
      </c>
      <c r="N858" t="str">
        <f>""</f>
        <v/>
      </c>
      <c r="O858" t="str">
        <f>"38646"</f>
        <v>38646</v>
      </c>
      <c r="P858" t="str">
        <f t="shared" si="265"/>
        <v>2017</v>
      </c>
      <c r="Q858" t="str">
        <f>""</f>
        <v/>
      </c>
      <c r="R858" t="str">
        <f>"N"</f>
        <v>N</v>
      </c>
      <c r="S858" t="str">
        <f>""</f>
        <v/>
      </c>
      <c r="T858" t="str">
        <f>"940.83"</f>
        <v>940.83</v>
      </c>
      <c r="U858" t="str">
        <f>"57009.00"</f>
        <v>57009.00</v>
      </c>
      <c r="V858" t="str">
        <f>"57009.00"</f>
        <v>57009.00</v>
      </c>
      <c r="W858" t="str">
        <f t="shared" si="266"/>
        <v>2017</v>
      </c>
      <c r="X858" t="str">
        <f>"11.00"</f>
        <v>11.00</v>
      </c>
      <c r="Y858" t="str">
        <f>"1001.05"</f>
        <v>1001.05</v>
      </c>
      <c r="Z858" t="str">
        <f>""</f>
        <v/>
      </c>
      <c r="AA858" t="str">
        <f>"57009.00"</f>
        <v>57009.00</v>
      </c>
      <c r="AB858" t="str">
        <f>"Residential"</f>
        <v>Residential</v>
      </c>
      <c r="AC858" t="str">
        <f t="shared" si="274"/>
        <v>0</v>
      </c>
      <c r="AD858" t="str">
        <f t="shared" si="271"/>
        <v>4</v>
      </c>
      <c r="AE858" t="str">
        <f t="shared" si="272"/>
        <v>WOOD (INCLUDE STEEL STUDS)</v>
      </c>
      <c r="AF858" t="str">
        <f>"001"</f>
        <v>001</v>
      </c>
      <c r="AG858" t="str">
        <f t="shared" ref="AG858:AG882" si="276">"FL"</f>
        <v>FL</v>
      </c>
      <c r="AH858" t="str">
        <f>"10185.00"</f>
        <v>10185.00</v>
      </c>
      <c r="AI858" t="str">
        <f>"16975.00"</f>
        <v>16975.00</v>
      </c>
      <c r="AJ858" t="str">
        <f>"C55-000-587-5758-4"</f>
        <v>C55-000-587-5758-4</v>
      </c>
      <c r="AK858" t="str">
        <f>"13357"</f>
        <v>13357</v>
      </c>
      <c r="AL858">
        <v>4</v>
      </c>
      <c r="AM858">
        <v>993</v>
      </c>
      <c r="AN858">
        <v>1049.5</v>
      </c>
      <c r="AQ858" t="s">
        <v>8962</v>
      </c>
      <c r="AR858" t="s">
        <v>8962</v>
      </c>
      <c r="AS858" t="s">
        <v>8962</v>
      </c>
      <c r="AU858" t="s">
        <v>396</v>
      </c>
      <c r="AV858">
        <v>2017</v>
      </c>
      <c r="AW858" t="str">
        <f>"29-2N-25-3160-0002-0064 "</f>
        <v xml:space="preserve">29-2N-25-3160-0002-0064 </v>
      </c>
      <c r="AX858">
        <v>45300</v>
      </c>
      <c r="AZ858" t="s">
        <v>8963</v>
      </c>
      <c r="BA858" t="s">
        <v>1942</v>
      </c>
      <c r="BD858" t="s">
        <v>2785</v>
      </c>
      <c r="BE858" t="s">
        <v>393</v>
      </c>
      <c r="BF858">
        <v>32011</v>
      </c>
      <c r="BG858" t="s">
        <v>8964</v>
      </c>
      <c r="BH858" t="s">
        <v>2787</v>
      </c>
      <c r="BI858">
        <v>-81.829663367723398</v>
      </c>
      <c r="BJ858">
        <v>30.561444741277601</v>
      </c>
      <c r="BK858" t="s">
        <v>8939</v>
      </c>
      <c r="BL858" t="s">
        <v>8965</v>
      </c>
      <c r="BM858" t="s">
        <v>8940</v>
      </c>
      <c r="BN858" t="s">
        <v>928</v>
      </c>
      <c r="BO858">
        <v>32011</v>
      </c>
      <c r="BP858" t="s">
        <v>404</v>
      </c>
      <c r="BQ858">
        <v>100</v>
      </c>
      <c r="BR858" t="s">
        <v>514</v>
      </c>
      <c r="BS858">
        <v>1001</v>
      </c>
      <c r="BT858" t="s">
        <v>515</v>
      </c>
      <c r="BU858">
        <v>970</v>
      </c>
      <c r="BV858">
        <v>1050</v>
      </c>
      <c r="BW858">
        <v>10058</v>
      </c>
      <c r="BX858" t="s">
        <v>407</v>
      </c>
      <c r="BZ858">
        <v>4</v>
      </c>
      <c r="CA858">
        <v>1958</v>
      </c>
      <c r="CB858">
        <v>1</v>
      </c>
      <c r="CC858">
        <v>1</v>
      </c>
      <c r="CD858">
        <v>2017</v>
      </c>
      <c r="CE858">
        <v>16975</v>
      </c>
      <c r="CF858">
        <v>40034</v>
      </c>
      <c r="CG858">
        <v>57009</v>
      </c>
      <c r="CH858">
        <v>2017</v>
      </c>
      <c r="CI858">
        <v>16975</v>
      </c>
      <c r="CJ858">
        <v>40034</v>
      </c>
      <c r="CK858">
        <v>57009</v>
      </c>
      <c r="CL858">
        <v>2017</v>
      </c>
      <c r="CM858">
        <v>940.83</v>
      </c>
      <c r="CN858" s="1">
        <v>41509</v>
      </c>
      <c r="CZ858" s="1">
        <v>41509</v>
      </c>
      <c r="DD858" t="s">
        <v>2785</v>
      </c>
      <c r="DF858">
        <v>6</v>
      </c>
      <c r="DG858">
        <v>29</v>
      </c>
      <c r="DL858">
        <v>50503</v>
      </c>
      <c r="DM858" t="s">
        <v>8888</v>
      </c>
      <c r="DO858" t="s">
        <v>8966</v>
      </c>
      <c r="DP858">
        <v>0</v>
      </c>
      <c r="DQ858">
        <v>1</v>
      </c>
      <c r="DR858" t="s">
        <v>411</v>
      </c>
      <c r="DS858" t="b">
        <v>1</v>
      </c>
      <c r="DT858" t="s">
        <v>470</v>
      </c>
      <c r="DU858" t="s">
        <v>471</v>
      </c>
      <c r="DV858" t="s">
        <v>472</v>
      </c>
      <c r="DX858">
        <v>-9999</v>
      </c>
      <c r="DZ858" t="s">
        <v>447</v>
      </c>
      <c r="EA858" t="s">
        <v>448</v>
      </c>
      <c r="EB858" t="s">
        <v>742</v>
      </c>
      <c r="EC858">
        <v>20101217</v>
      </c>
      <c r="ED858" t="s">
        <v>474</v>
      </c>
      <c r="EF858">
        <v>1686.1</v>
      </c>
      <c r="EG858">
        <v>1652.4</v>
      </c>
      <c r="EI858">
        <v>20160407</v>
      </c>
      <c r="EJ858">
        <v>0</v>
      </c>
      <c r="EK858">
        <v>0</v>
      </c>
      <c r="EP858" t="s">
        <v>421</v>
      </c>
      <c r="EQ858" t="s">
        <v>422</v>
      </c>
      <c r="ER858">
        <v>2</v>
      </c>
      <c r="ES858">
        <v>4</v>
      </c>
      <c r="ET858">
        <v>2067.16</v>
      </c>
      <c r="EU858">
        <v>115.86</v>
      </c>
      <c r="EV858">
        <v>2183.02</v>
      </c>
      <c r="EW858" s="2">
        <v>43222</v>
      </c>
      <c r="EX858" s="1">
        <v>42879</v>
      </c>
      <c r="EY858">
        <v>2016</v>
      </c>
      <c r="EZ858">
        <v>1033.58</v>
      </c>
      <c r="FA858" t="s">
        <v>8967</v>
      </c>
      <c r="FB858">
        <v>0.25</v>
      </c>
      <c r="FC858" t="s">
        <v>424</v>
      </c>
      <c r="FD858" t="s">
        <v>454</v>
      </c>
      <c r="FF858">
        <v>12</v>
      </c>
      <c r="FG858">
        <v>2851116</v>
      </c>
      <c r="FH858" t="s">
        <v>480</v>
      </c>
      <c r="FJ858" s="1">
        <v>42879</v>
      </c>
      <c r="FK858">
        <v>2016</v>
      </c>
      <c r="FL858">
        <v>1033.58</v>
      </c>
      <c r="FM858" t="s">
        <v>8967</v>
      </c>
      <c r="FN858">
        <v>0.25</v>
      </c>
      <c r="FO858" t="s">
        <v>424</v>
      </c>
      <c r="FP858" t="s">
        <v>454</v>
      </c>
      <c r="FR858">
        <v>12</v>
      </c>
      <c r="FS858">
        <v>5047115</v>
      </c>
      <c r="FT858" t="s">
        <v>8968</v>
      </c>
      <c r="FV858" s="1">
        <v>42515</v>
      </c>
      <c r="FW858">
        <v>2015</v>
      </c>
      <c r="FX858">
        <v>1061.8699999999999</v>
      </c>
      <c r="FY858" t="s">
        <v>8969</v>
      </c>
      <c r="FZ858">
        <v>0.25</v>
      </c>
      <c r="GA858" t="s">
        <v>424</v>
      </c>
      <c r="GB858" t="s">
        <v>425</v>
      </c>
      <c r="GC858" s="1">
        <v>42865</v>
      </c>
      <c r="GD858">
        <v>12</v>
      </c>
      <c r="GE858">
        <v>11289</v>
      </c>
      <c r="GF858" t="s">
        <v>787</v>
      </c>
      <c r="GH858" s="1">
        <v>42515</v>
      </c>
      <c r="GI858">
        <v>2015</v>
      </c>
      <c r="GJ858">
        <v>1061.8699999999999</v>
      </c>
      <c r="GK858" t="s">
        <v>8969</v>
      </c>
      <c r="GL858">
        <v>0.25</v>
      </c>
      <c r="GM858" t="s">
        <v>424</v>
      </c>
      <c r="GN858" t="s">
        <v>425</v>
      </c>
      <c r="GP858">
        <v>22</v>
      </c>
      <c r="GQ858">
        <v>7252381</v>
      </c>
      <c r="GR858" t="s">
        <v>8970</v>
      </c>
      <c r="GT858" s="1">
        <v>42151</v>
      </c>
      <c r="GU858">
        <v>2014</v>
      </c>
      <c r="GV858">
        <v>1109.79</v>
      </c>
      <c r="GW858" t="s">
        <v>8971</v>
      </c>
      <c r="GX858">
        <v>0.25</v>
      </c>
      <c r="GY858" t="s">
        <v>424</v>
      </c>
      <c r="GZ858" t="s">
        <v>425</v>
      </c>
      <c r="HA858" s="1">
        <v>42460</v>
      </c>
      <c r="HB858">
        <v>10</v>
      </c>
      <c r="HC858">
        <v>2851116</v>
      </c>
      <c r="HD858" t="s">
        <v>480</v>
      </c>
      <c r="HF858" s="1">
        <v>42151</v>
      </c>
      <c r="HG858">
        <v>2014</v>
      </c>
      <c r="HH858">
        <v>1109.79</v>
      </c>
      <c r="HI858" t="s">
        <v>8971</v>
      </c>
      <c r="HJ858">
        <v>0.25</v>
      </c>
      <c r="HK858" t="s">
        <v>424</v>
      </c>
      <c r="HL858" t="s">
        <v>425</v>
      </c>
      <c r="HN858">
        <v>22</v>
      </c>
      <c r="HO858">
        <v>5081390</v>
      </c>
      <c r="HP858" t="s">
        <v>8972</v>
      </c>
    </row>
    <row r="859" spans="1:285" x14ac:dyDescent="0.25">
      <c r="A859">
        <v>16485866</v>
      </c>
      <c r="B859">
        <v>858</v>
      </c>
      <c r="C859" t="s">
        <v>393</v>
      </c>
      <c r="D859" t="s">
        <v>394</v>
      </c>
      <c r="F859" t="str">
        <f>"29-2N-25-3200-0003-0010"</f>
        <v>29-2N-25-3200-0003-0010</v>
      </c>
      <c r="H859" t="str">
        <f>"BELL RONALD W &amp; BRENDA D"</f>
        <v>BELL RONALD W &amp; BRENDA D</v>
      </c>
      <c r="I859" t="str">
        <f>"45219 MICKLER STREET"</f>
        <v>45219 MICKLER STREET</v>
      </c>
      <c r="J859" t="str">
        <f t="shared" si="275"/>
        <v>CALLAHAN FL 32011</v>
      </c>
      <c r="K859" t="str">
        <f>"45219 MICKLER ST"</f>
        <v>45219 MICKLER ST</v>
      </c>
      <c r="L859" t="str">
        <f t="shared" si="273"/>
        <v>CALLAHAN FL 32011</v>
      </c>
      <c r="M859" t="str">
        <f>"BLOCK 3 LOTS 1 &amp; 2 IN OR 477 PG 249 LAKESIDE PARK SUB PB 0/36"</f>
        <v>BLOCK 3 LOTS 1 &amp; 2 IN OR 477 PG 249 LAKESIDE PARK SUB PB 0/36</v>
      </c>
      <c r="N859" t="str">
        <f>""</f>
        <v/>
      </c>
      <c r="O859" t="str">
        <f>"38677"</f>
        <v>38677</v>
      </c>
      <c r="P859" t="str">
        <f t="shared" si="265"/>
        <v>2017</v>
      </c>
      <c r="Q859" t="str">
        <f>""</f>
        <v/>
      </c>
      <c r="R859" t="str">
        <f>"Y"</f>
        <v>Y</v>
      </c>
      <c r="S859" t="str">
        <f>""</f>
        <v/>
      </c>
      <c r="T859" t="str">
        <f>"2238.58"</f>
        <v>2238.58</v>
      </c>
      <c r="U859" t="str">
        <f>"175650.00"</f>
        <v>175650.00</v>
      </c>
      <c r="V859" t="str">
        <f>"175650.00"</f>
        <v>175650.00</v>
      </c>
      <c r="W859" t="str">
        <f t="shared" si="266"/>
        <v>2017</v>
      </c>
      <c r="X859" t="str">
        <f>"15.00"</f>
        <v>15.00</v>
      </c>
      <c r="Y859" t="str">
        <f>"2337.74"</f>
        <v>2337.74</v>
      </c>
      <c r="Z859" t="str">
        <f>"25000.00"</f>
        <v>25000.00</v>
      </c>
      <c r="AA859" t="str">
        <f>"150650.00"</f>
        <v>150650.00</v>
      </c>
      <c r="AB859" t="str">
        <f>"Residential"</f>
        <v>Residential</v>
      </c>
      <c r="AC859" t="str">
        <f t="shared" si="274"/>
        <v>0</v>
      </c>
      <c r="AD859" t="str">
        <f t="shared" si="271"/>
        <v>4</v>
      </c>
      <c r="AE859" t="str">
        <f t="shared" si="272"/>
        <v>WOOD (INCLUDE STEEL STUDS)</v>
      </c>
      <c r="AF859" t="str">
        <f>"001"</f>
        <v>001</v>
      </c>
      <c r="AG859" t="str">
        <f t="shared" si="276"/>
        <v>FL</v>
      </c>
      <c r="AH859" t="str">
        <f>"32760.00"</f>
        <v>32760.00</v>
      </c>
      <c r="AI859" t="str">
        <f>"35490.00"</f>
        <v>35490.00</v>
      </c>
      <c r="AJ859" t="str">
        <f>"C55-000-587-5785-7"</f>
        <v>C55-000-587-5785-7</v>
      </c>
      <c r="AK859" t="str">
        <f>"13386"</f>
        <v>13386</v>
      </c>
      <c r="AL859">
        <v>4</v>
      </c>
      <c r="AM859">
        <v>995</v>
      </c>
      <c r="AN859">
        <v>2453.0300000000002</v>
      </c>
      <c r="AQ859" t="s">
        <v>8973</v>
      </c>
      <c r="AR859" t="s">
        <v>8973</v>
      </c>
      <c r="AS859" t="s">
        <v>8973</v>
      </c>
      <c r="AU859" t="s">
        <v>396</v>
      </c>
      <c r="AV859">
        <v>2017</v>
      </c>
      <c r="AW859" t="str">
        <f>"29-2N-25-3200-0003-0010 "</f>
        <v xml:space="preserve">29-2N-25-3200-0003-0010 </v>
      </c>
      <c r="AX859">
        <v>45219</v>
      </c>
      <c r="AZ859" t="s">
        <v>8974</v>
      </c>
      <c r="BA859" t="s">
        <v>1942</v>
      </c>
      <c r="BD859" t="s">
        <v>2785</v>
      </c>
      <c r="BE859" t="s">
        <v>393</v>
      </c>
      <c r="BF859">
        <v>32011</v>
      </c>
      <c r="BG859" t="s">
        <v>5182</v>
      </c>
      <c r="BH859" t="s">
        <v>2787</v>
      </c>
      <c r="BI859">
        <v>-81.829948750958096</v>
      </c>
      <c r="BJ859">
        <v>30.558690394338999</v>
      </c>
      <c r="BK859" t="s">
        <v>8975</v>
      </c>
      <c r="BL859" t="s">
        <v>8976</v>
      </c>
      <c r="BM859" t="s">
        <v>5182</v>
      </c>
      <c r="BN859" t="s">
        <v>928</v>
      </c>
      <c r="BO859">
        <v>32011</v>
      </c>
      <c r="BP859" t="s">
        <v>416</v>
      </c>
      <c r="BQ859">
        <v>100</v>
      </c>
      <c r="BR859" t="s">
        <v>514</v>
      </c>
      <c r="BS859">
        <v>1001</v>
      </c>
      <c r="BT859" t="s">
        <v>515</v>
      </c>
      <c r="BU859">
        <v>1950</v>
      </c>
      <c r="BV859">
        <v>1680</v>
      </c>
      <c r="BW859">
        <v>32861</v>
      </c>
      <c r="BX859" t="s">
        <v>407</v>
      </c>
      <c r="BZ859">
        <v>4</v>
      </c>
      <c r="CA859">
        <v>1986</v>
      </c>
      <c r="CB859">
        <v>2</v>
      </c>
      <c r="CC859">
        <v>1</v>
      </c>
      <c r="CD859">
        <v>2017</v>
      </c>
      <c r="CG859">
        <v>175650</v>
      </c>
      <c r="CH859">
        <v>2017</v>
      </c>
      <c r="CI859">
        <v>35490</v>
      </c>
      <c r="CJ859">
        <v>192513</v>
      </c>
      <c r="CK859">
        <v>228003</v>
      </c>
      <c r="CL859">
        <v>2017</v>
      </c>
      <c r="CM859">
        <v>2238.58</v>
      </c>
      <c r="CN859" s="1">
        <v>31382</v>
      </c>
      <c r="CO859">
        <v>5000</v>
      </c>
      <c r="CZ859" s="1">
        <v>31382</v>
      </c>
      <c r="DD859" t="s">
        <v>2785</v>
      </c>
      <c r="DG859">
        <v>29</v>
      </c>
      <c r="DJ859" t="s">
        <v>8977</v>
      </c>
      <c r="DL859">
        <v>50503</v>
      </c>
      <c r="DM859" t="s">
        <v>8888</v>
      </c>
      <c r="DO859" t="s">
        <v>8978</v>
      </c>
      <c r="DP859">
        <v>0</v>
      </c>
      <c r="DQ859">
        <v>1</v>
      </c>
      <c r="DR859" t="s">
        <v>411</v>
      </c>
      <c r="DS859" t="b">
        <v>1</v>
      </c>
      <c r="DT859" t="s">
        <v>470</v>
      </c>
      <c r="DU859" t="s">
        <v>471</v>
      </c>
      <c r="DV859" t="s">
        <v>472</v>
      </c>
      <c r="DX859">
        <v>-9999</v>
      </c>
      <c r="DZ859" t="s">
        <v>447</v>
      </c>
      <c r="EA859" t="s">
        <v>448</v>
      </c>
      <c r="EB859" t="s">
        <v>742</v>
      </c>
      <c r="EC859">
        <v>20101217</v>
      </c>
      <c r="ED859" t="s">
        <v>474</v>
      </c>
      <c r="EF859">
        <v>1335.9</v>
      </c>
      <c r="EG859">
        <v>1335.9</v>
      </c>
      <c r="EI859">
        <v>20160407</v>
      </c>
      <c r="EJ859">
        <v>0</v>
      </c>
      <c r="EK859">
        <v>0</v>
      </c>
      <c r="EP859" t="s">
        <v>421</v>
      </c>
      <c r="EQ859" t="s">
        <v>452</v>
      </c>
      <c r="ER859">
        <v>2</v>
      </c>
      <c r="ES859">
        <v>9</v>
      </c>
      <c r="ET859">
        <v>4865.96</v>
      </c>
      <c r="EU859">
        <v>255.8</v>
      </c>
      <c r="EV859">
        <v>5121.76</v>
      </c>
      <c r="EW859" s="2">
        <v>43222</v>
      </c>
      <c r="EX859" s="1">
        <v>42879</v>
      </c>
      <c r="EY859">
        <v>2016</v>
      </c>
      <c r="EZ859">
        <v>2432.98</v>
      </c>
      <c r="FA859" t="s">
        <v>8979</v>
      </c>
      <c r="FB859">
        <v>0.25</v>
      </c>
      <c r="FC859" t="s">
        <v>424</v>
      </c>
      <c r="FD859" t="s">
        <v>454</v>
      </c>
      <c r="FF859">
        <v>12</v>
      </c>
      <c r="FG859">
        <v>5856194</v>
      </c>
      <c r="FH859" t="s">
        <v>2685</v>
      </c>
      <c r="FJ859" s="1">
        <v>42879</v>
      </c>
      <c r="FK859">
        <v>2016</v>
      </c>
      <c r="FL859">
        <v>2432.98</v>
      </c>
      <c r="FM859" t="s">
        <v>8979</v>
      </c>
      <c r="FN859">
        <v>0.25</v>
      </c>
      <c r="FO859" t="s">
        <v>424</v>
      </c>
      <c r="FP859" t="s">
        <v>454</v>
      </c>
      <c r="FR859">
        <v>12</v>
      </c>
      <c r="FS859">
        <v>5890960</v>
      </c>
      <c r="FT859" t="s">
        <v>8980</v>
      </c>
      <c r="FV859" s="1">
        <v>42515</v>
      </c>
      <c r="FW859">
        <v>2015</v>
      </c>
      <c r="FX859">
        <v>2472.34</v>
      </c>
      <c r="FY859" t="s">
        <v>8981</v>
      </c>
      <c r="FZ859">
        <v>0.25</v>
      </c>
      <c r="GA859" t="s">
        <v>424</v>
      </c>
      <c r="GB859" t="s">
        <v>425</v>
      </c>
      <c r="GC859" s="1">
        <v>43157</v>
      </c>
      <c r="GD859">
        <v>21</v>
      </c>
      <c r="GE859">
        <v>5894185</v>
      </c>
      <c r="GF859" t="s">
        <v>7135</v>
      </c>
      <c r="GH859" s="1">
        <v>42515</v>
      </c>
      <c r="GI859">
        <v>2015</v>
      </c>
      <c r="GJ859">
        <v>2472.34</v>
      </c>
      <c r="GK859" t="s">
        <v>8981</v>
      </c>
      <c r="GL859">
        <v>0.25</v>
      </c>
      <c r="GM859" t="s">
        <v>424</v>
      </c>
      <c r="GN859" t="s">
        <v>425</v>
      </c>
      <c r="GP859">
        <v>22</v>
      </c>
      <c r="GQ859">
        <v>6212557</v>
      </c>
      <c r="GR859" t="s">
        <v>8982</v>
      </c>
      <c r="GT859" s="1">
        <v>42151</v>
      </c>
      <c r="GU859">
        <v>2014</v>
      </c>
      <c r="GV859">
        <v>2479.7399999999998</v>
      </c>
      <c r="GW859" t="s">
        <v>8983</v>
      </c>
      <c r="GX859">
        <v>0.25</v>
      </c>
      <c r="GY859" t="s">
        <v>424</v>
      </c>
      <c r="GZ859" t="s">
        <v>425</v>
      </c>
      <c r="HA859" s="1">
        <v>42233</v>
      </c>
      <c r="HB859">
        <v>3</v>
      </c>
      <c r="HC859">
        <v>2101382</v>
      </c>
      <c r="HD859" t="s">
        <v>993</v>
      </c>
      <c r="HF859" s="1">
        <v>42151</v>
      </c>
      <c r="HG859">
        <v>2014</v>
      </c>
      <c r="HH859">
        <v>2479.7399999999998</v>
      </c>
      <c r="HI859" t="s">
        <v>8983</v>
      </c>
      <c r="HJ859">
        <v>0.25</v>
      </c>
      <c r="HK859" t="s">
        <v>424</v>
      </c>
      <c r="HL859" t="s">
        <v>425</v>
      </c>
      <c r="HN859">
        <v>22</v>
      </c>
      <c r="HO859">
        <v>5671662</v>
      </c>
      <c r="HP859" t="s">
        <v>8984</v>
      </c>
      <c r="HR859" s="1">
        <v>41787</v>
      </c>
      <c r="HS859">
        <v>2013</v>
      </c>
      <c r="HT859">
        <v>2336.0700000000002</v>
      </c>
      <c r="HU859" t="s">
        <v>8985</v>
      </c>
      <c r="HV859">
        <v>0.25</v>
      </c>
      <c r="HW859" t="s">
        <v>424</v>
      </c>
      <c r="HX859" t="s">
        <v>425</v>
      </c>
      <c r="HY859" s="1">
        <v>42212</v>
      </c>
      <c r="HZ859">
        <v>14</v>
      </c>
      <c r="IA859">
        <v>2851116</v>
      </c>
      <c r="IB859" t="s">
        <v>480</v>
      </c>
      <c r="ID859" s="1">
        <v>41423</v>
      </c>
      <c r="IE859">
        <v>2012</v>
      </c>
      <c r="IF859">
        <v>2397.7199999999998</v>
      </c>
      <c r="IG859" t="s">
        <v>8986</v>
      </c>
      <c r="IH859">
        <v>0.25</v>
      </c>
      <c r="II859" t="s">
        <v>424</v>
      </c>
      <c r="IJ859" t="s">
        <v>425</v>
      </c>
      <c r="IK859" s="1">
        <v>42060</v>
      </c>
      <c r="IL859">
        <v>21</v>
      </c>
      <c r="IM859">
        <v>15398</v>
      </c>
      <c r="IN859" t="s">
        <v>1180</v>
      </c>
      <c r="IP859" s="1">
        <v>41052</v>
      </c>
      <c r="IQ859">
        <v>2011</v>
      </c>
      <c r="IR859">
        <v>2345.0700000000002</v>
      </c>
      <c r="IS859" t="s">
        <v>8987</v>
      </c>
      <c r="IT859">
        <v>0.25</v>
      </c>
      <c r="IU859" t="s">
        <v>424</v>
      </c>
      <c r="IV859" t="s">
        <v>425</v>
      </c>
      <c r="IW859" s="1">
        <v>41688</v>
      </c>
      <c r="IX859">
        <v>21</v>
      </c>
      <c r="IY859">
        <v>13104</v>
      </c>
      <c r="IZ859" t="s">
        <v>888</v>
      </c>
      <c r="JB859" s="1">
        <v>41052</v>
      </c>
      <c r="JC859">
        <v>2011</v>
      </c>
      <c r="JD859">
        <v>2345.0700000000002</v>
      </c>
      <c r="JE859" t="s">
        <v>8987</v>
      </c>
      <c r="JF859">
        <v>0.25</v>
      </c>
      <c r="JG859" t="s">
        <v>424</v>
      </c>
      <c r="JH859" t="s">
        <v>425</v>
      </c>
      <c r="JJ859">
        <v>22</v>
      </c>
      <c r="JK859">
        <v>13725</v>
      </c>
      <c r="JL859" t="s">
        <v>1184</v>
      </c>
      <c r="JN859" s="1">
        <v>40688</v>
      </c>
      <c r="JO859">
        <v>2010</v>
      </c>
      <c r="JP859">
        <v>2298.96</v>
      </c>
      <c r="JQ859" t="s">
        <v>8988</v>
      </c>
      <c r="JR859">
        <v>0.25</v>
      </c>
      <c r="JS859" t="s">
        <v>424</v>
      </c>
      <c r="JT859" t="s">
        <v>425</v>
      </c>
      <c r="JU859" s="1">
        <v>40765</v>
      </c>
      <c r="JV859">
        <v>3</v>
      </c>
      <c r="JW859">
        <v>11326</v>
      </c>
      <c r="JX859" t="s">
        <v>8989</v>
      </c>
      <c r="JY859" t="s">
        <v>458</v>
      </c>
    </row>
    <row r="860" spans="1:285" x14ac:dyDescent="0.25">
      <c r="A860">
        <v>16485867</v>
      </c>
      <c r="B860">
        <v>859</v>
      </c>
      <c r="C860" t="s">
        <v>393</v>
      </c>
      <c r="D860" t="s">
        <v>394</v>
      </c>
      <c r="F860" t="str">
        <f>"29-2N-25-3200-0003-0030"</f>
        <v>29-2N-25-3200-0003-0030</v>
      </c>
      <c r="H860" t="str">
        <f>"BRADDOCK CLAUDINE P EST C/O DONALD G BRADDOCK"</f>
        <v>BRADDOCK CLAUDINE P EST C/O DONALD G BRADDOCK</v>
      </c>
      <c r="I860" t="str">
        <f>"45134 BOOTH ST"</f>
        <v>45134 BOOTH ST</v>
      </c>
      <c r="J860" t="str">
        <f t="shared" si="275"/>
        <v>CALLAHAN FL 32011</v>
      </c>
      <c r="K860" t="str">
        <f>"45030 PUMPKIN CT"</f>
        <v>45030 PUMPKIN CT</v>
      </c>
      <c r="L860" t="str">
        <f t="shared" si="273"/>
        <v>CALLAHAN FL 32011</v>
      </c>
      <c r="M860" t="str">
        <f>"BLOCK 3 LOTS 3 &amp; 6 PT OR 381 PG 500 (BY WILL) LAKESIDE PARK SUB PB 0/36"</f>
        <v>BLOCK 3 LOTS 3 &amp; 6 PT OR 381 PG 500 (BY WILL) LAKESIDE PARK SUB PB 0/36</v>
      </c>
      <c r="N860" t="str">
        <f>""</f>
        <v/>
      </c>
      <c r="O860" t="str">
        <f>"38678"</f>
        <v>38678</v>
      </c>
      <c r="P860" t="str">
        <f t="shared" si="265"/>
        <v>2017</v>
      </c>
      <c r="Q860" t="str">
        <f>""</f>
        <v/>
      </c>
      <c r="R860" t="str">
        <f t="shared" ref="R860:R874" si="277">"N"</f>
        <v>N</v>
      </c>
      <c r="S860" t="str">
        <f>""</f>
        <v/>
      </c>
      <c r="T860" t="str">
        <f>"1555.53"</f>
        <v>1555.53</v>
      </c>
      <c r="U860" t="str">
        <f>"94256.00"</f>
        <v>94256.00</v>
      </c>
      <c r="V860" t="str">
        <f>"94256.00"</f>
        <v>94256.00</v>
      </c>
      <c r="W860" t="str">
        <f t="shared" si="266"/>
        <v>2017</v>
      </c>
      <c r="X860" t="str">
        <f>"22.75"</f>
        <v>22.75</v>
      </c>
      <c r="Y860" t="str">
        <f>"1634.20"</f>
        <v>1634.20</v>
      </c>
      <c r="Z860" t="str">
        <f>""</f>
        <v/>
      </c>
      <c r="AA860" t="str">
        <f>"94256.00"</f>
        <v>94256.00</v>
      </c>
      <c r="AB860" t="str">
        <f>"Residential"</f>
        <v>Residential</v>
      </c>
      <c r="AC860" t="str">
        <f t="shared" si="274"/>
        <v>0</v>
      </c>
      <c r="AD860" t="str">
        <f t="shared" si="271"/>
        <v>4</v>
      </c>
      <c r="AE860" t="str">
        <f t="shared" si="272"/>
        <v>WOOD (INCLUDE STEEL STUDS)</v>
      </c>
      <c r="AF860" t="str">
        <f>"001"</f>
        <v>001</v>
      </c>
      <c r="AG860" t="str">
        <f t="shared" si="276"/>
        <v>FL</v>
      </c>
      <c r="AH860" t="str">
        <f>"32928.00"</f>
        <v>32928.00</v>
      </c>
      <c r="AI860" t="str">
        <f>"60840.00"</f>
        <v>60840.00</v>
      </c>
      <c r="AJ860" t="str">
        <f>"C55-000-587-5786-5"</f>
        <v>C55-000-587-5786-5</v>
      </c>
      <c r="AK860" t="str">
        <f>"13387"</f>
        <v>13387</v>
      </c>
      <c r="AL860">
        <v>4</v>
      </c>
      <c r="AM860">
        <v>996</v>
      </c>
      <c r="AN860">
        <v>1714.31</v>
      </c>
      <c r="AQ860" t="s">
        <v>8990</v>
      </c>
      <c r="AR860" t="s">
        <v>8990</v>
      </c>
      <c r="AS860" t="s">
        <v>8990</v>
      </c>
      <c r="AU860" t="s">
        <v>396</v>
      </c>
      <c r="AV860">
        <v>2017</v>
      </c>
      <c r="AW860" t="str">
        <f>"29-2N-25-3200-0003-0030 "</f>
        <v xml:space="preserve">29-2N-25-3200-0003-0030 </v>
      </c>
      <c r="AX860">
        <v>45030</v>
      </c>
      <c r="AZ860" t="s">
        <v>8991</v>
      </c>
      <c r="BA860" t="s">
        <v>3181</v>
      </c>
      <c r="BD860" t="s">
        <v>2785</v>
      </c>
      <c r="BE860" t="s">
        <v>393</v>
      </c>
      <c r="BF860">
        <v>32011</v>
      </c>
      <c r="BG860" t="s">
        <v>8992</v>
      </c>
      <c r="BH860" t="s">
        <v>2787</v>
      </c>
      <c r="BI860">
        <v>-81.829561650237594</v>
      </c>
      <c r="BJ860">
        <v>30.558546139594799</v>
      </c>
      <c r="BK860" t="s">
        <v>6147</v>
      </c>
      <c r="BM860" t="s">
        <v>6148</v>
      </c>
      <c r="BN860" t="s">
        <v>928</v>
      </c>
      <c r="BO860">
        <v>32011</v>
      </c>
      <c r="BP860" t="s">
        <v>404</v>
      </c>
      <c r="BQ860">
        <v>100</v>
      </c>
      <c r="BR860" t="s">
        <v>514</v>
      </c>
      <c r="BS860">
        <v>1001</v>
      </c>
      <c r="BT860" t="s">
        <v>515</v>
      </c>
      <c r="BW860">
        <v>32860</v>
      </c>
      <c r="BX860" t="s">
        <v>407</v>
      </c>
      <c r="BZ860">
        <v>4</v>
      </c>
      <c r="CA860">
        <v>1959</v>
      </c>
      <c r="CB860">
        <v>1</v>
      </c>
      <c r="CC860">
        <v>1</v>
      </c>
      <c r="CD860">
        <v>2017</v>
      </c>
      <c r="CE860">
        <v>60840</v>
      </c>
      <c r="CF860">
        <v>33416</v>
      </c>
      <c r="CG860">
        <v>94256</v>
      </c>
      <c r="CH860">
        <v>2017</v>
      </c>
      <c r="CI860">
        <v>60840</v>
      </c>
      <c r="CJ860">
        <v>33416</v>
      </c>
      <c r="CK860">
        <v>94256</v>
      </c>
      <c r="CL860">
        <v>2017</v>
      </c>
      <c r="CM860">
        <v>1555.53</v>
      </c>
      <c r="CN860" s="1">
        <v>30376</v>
      </c>
      <c r="CO860">
        <v>22500</v>
      </c>
      <c r="CZ860" s="1">
        <v>30376</v>
      </c>
      <c r="DD860" t="s">
        <v>2785</v>
      </c>
      <c r="DG860">
        <v>29</v>
      </c>
      <c r="DJ860" t="s">
        <v>8977</v>
      </c>
      <c r="DL860">
        <v>50503</v>
      </c>
      <c r="DM860" t="s">
        <v>8888</v>
      </c>
      <c r="DO860" t="s">
        <v>8993</v>
      </c>
      <c r="DP860">
        <v>0</v>
      </c>
      <c r="DQ860">
        <v>1</v>
      </c>
      <c r="DR860" t="s">
        <v>411</v>
      </c>
      <c r="EP860" t="s">
        <v>421</v>
      </c>
      <c r="EQ860" t="s">
        <v>452</v>
      </c>
      <c r="ER860">
        <v>2</v>
      </c>
      <c r="ES860">
        <v>6</v>
      </c>
      <c r="ET860">
        <v>3435.48</v>
      </c>
      <c r="EU860">
        <v>184.27</v>
      </c>
      <c r="EV860">
        <v>3619.75</v>
      </c>
      <c r="EW860" s="2">
        <v>43222</v>
      </c>
      <c r="EX860" s="1">
        <v>42879</v>
      </c>
      <c r="EY860">
        <v>2016</v>
      </c>
      <c r="EZ860">
        <v>1717.74</v>
      </c>
      <c r="FA860" t="s">
        <v>8994</v>
      </c>
      <c r="FB860">
        <v>0.25</v>
      </c>
      <c r="FC860" t="s">
        <v>424</v>
      </c>
      <c r="FD860" t="s">
        <v>454</v>
      </c>
      <c r="FF860">
        <v>12</v>
      </c>
      <c r="FG860">
        <v>2851116</v>
      </c>
      <c r="FH860" t="s">
        <v>480</v>
      </c>
      <c r="FJ860" s="1">
        <v>42879</v>
      </c>
      <c r="FK860">
        <v>2016</v>
      </c>
      <c r="FL860">
        <v>1717.74</v>
      </c>
      <c r="FM860" t="s">
        <v>8994</v>
      </c>
      <c r="FN860">
        <v>0.25</v>
      </c>
      <c r="FO860" t="s">
        <v>424</v>
      </c>
      <c r="FP860" t="s">
        <v>454</v>
      </c>
      <c r="FR860">
        <v>12</v>
      </c>
      <c r="FS860">
        <v>5068484</v>
      </c>
      <c r="FT860" t="s">
        <v>8995</v>
      </c>
      <c r="FV860" s="1">
        <v>41787</v>
      </c>
      <c r="FW860">
        <v>2013</v>
      </c>
      <c r="FX860">
        <v>1672.33</v>
      </c>
      <c r="FY860" t="s">
        <v>8996</v>
      </c>
      <c r="FZ860">
        <v>0.25</v>
      </c>
      <c r="GA860" t="s">
        <v>424</v>
      </c>
      <c r="GB860" t="s">
        <v>425</v>
      </c>
      <c r="GD860">
        <v>22</v>
      </c>
      <c r="GE860">
        <v>15259</v>
      </c>
      <c r="GF860" t="s">
        <v>891</v>
      </c>
      <c r="GG860" t="s">
        <v>458</v>
      </c>
      <c r="GH860" s="1">
        <v>41423</v>
      </c>
      <c r="GI860">
        <v>2012</v>
      </c>
      <c r="GJ860">
        <v>1693.98</v>
      </c>
      <c r="GK860" t="s">
        <v>8997</v>
      </c>
      <c r="GL860">
        <v>0.25</v>
      </c>
      <c r="GM860" t="s">
        <v>424</v>
      </c>
      <c r="GN860" t="s">
        <v>425</v>
      </c>
      <c r="GP860">
        <v>22</v>
      </c>
      <c r="GQ860">
        <v>15259</v>
      </c>
      <c r="GR860" t="s">
        <v>891</v>
      </c>
      <c r="GS860" t="s">
        <v>458</v>
      </c>
      <c r="GT860" s="1">
        <v>41052</v>
      </c>
      <c r="GU860">
        <v>2011</v>
      </c>
      <c r="GV860">
        <v>1700.74</v>
      </c>
      <c r="GW860" t="s">
        <v>8998</v>
      </c>
      <c r="GX860">
        <v>3.75</v>
      </c>
      <c r="GY860" t="s">
        <v>424</v>
      </c>
      <c r="GZ860" t="s">
        <v>425</v>
      </c>
      <c r="HA860" s="1">
        <v>41759</v>
      </c>
      <c r="HB860">
        <v>23</v>
      </c>
      <c r="HC860">
        <v>13104</v>
      </c>
      <c r="HD860" t="s">
        <v>888</v>
      </c>
      <c r="HF860" s="1">
        <v>41052</v>
      </c>
      <c r="HG860">
        <v>2011</v>
      </c>
      <c r="HH860">
        <v>1700.74</v>
      </c>
      <c r="HI860" t="s">
        <v>8998</v>
      </c>
      <c r="HJ860">
        <v>3.75</v>
      </c>
      <c r="HK860" t="s">
        <v>424</v>
      </c>
      <c r="HL860" t="s">
        <v>425</v>
      </c>
      <c r="HN860">
        <v>22</v>
      </c>
      <c r="HO860">
        <v>13745</v>
      </c>
      <c r="HP860" t="s">
        <v>8999</v>
      </c>
      <c r="HR860" s="1">
        <v>40688</v>
      </c>
      <c r="HS860">
        <v>2010</v>
      </c>
      <c r="HT860">
        <v>1702.59</v>
      </c>
      <c r="HU860" t="s">
        <v>9000</v>
      </c>
      <c r="HV860">
        <v>6.75</v>
      </c>
      <c r="HW860" t="s">
        <v>424</v>
      </c>
      <c r="HX860" t="s">
        <v>425</v>
      </c>
      <c r="HY860" s="1">
        <v>41453</v>
      </c>
      <c r="HZ860">
        <v>25</v>
      </c>
      <c r="IA860">
        <v>1117</v>
      </c>
      <c r="IB860" t="s">
        <v>3939</v>
      </c>
      <c r="ID860" s="1">
        <v>40688</v>
      </c>
      <c r="IE860">
        <v>2010</v>
      </c>
      <c r="IF860">
        <v>1702.59</v>
      </c>
      <c r="IG860" t="s">
        <v>9000</v>
      </c>
      <c r="IH860">
        <v>6.75</v>
      </c>
      <c r="II860" t="s">
        <v>424</v>
      </c>
      <c r="IJ860" t="s">
        <v>425</v>
      </c>
      <c r="IL860">
        <v>22</v>
      </c>
      <c r="IM860">
        <v>11302</v>
      </c>
      <c r="IN860" t="s">
        <v>3940</v>
      </c>
    </row>
    <row r="861" spans="1:285" x14ac:dyDescent="0.25">
      <c r="A861">
        <v>16485868</v>
      </c>
      <c r="B861">
        <v>860</v>
      </c>
      <c r="C861" t="s">
        <v>393</v>
      </c>
      <c r="D861" t="s">
        <v>394</v>
      </c>
      <c r="F861" t="str">
        <f>"29-2N-25-3200-0003-0040"</f>
        <v>29-2N-25-3200-0003-0040</v>
      </c>
      <c r="H861" t="str">
        <f>"BRADDOCK CLAUDINE P EST C/O DONALD G BRADDOCK"</f>
        <v>BRADDOCK CLAUDINE P EST C/O DONALD G BRADDOCK</v>
      </c>
      <c r="I861" t="str">
        <f>"45134 BOOTH ST"</f>
        <v>45134 BOOTH ST</v>
      </c>
      <c r="J861" t="str">
        <f t="shared" si="275"/>
        <v>CALLAHAN FL 32011</v>
      </c>
      <c r="K861" t="str">
        <f>"45025 PUMPKIN CT"</f>
        <v>45025 PUMPKIN CT</v>
      </c>
      <c r="L861" t="str">
        <f t="shared" si="273"/>
        <v>CALLAHAN FL 32011</v>
      </c>
      <c r="M861" t="str">
        <f>"BLOCK 3 LOTS 4 &amp; 5 IN OR 128 PG 392 LAKESIDE PARK SUB PB 0/36"</f>
        <v>BLOCK 3 LOTS 4 &amp; 5 IN OR 128 PG 392 LAKESIDE PARK SUB PB 0/36</v>
      </c>
      <c r="N861" t="str">
        <f>""</f>
        <v/>
      </c>
      <c r="O861" t="str">
        <f>"38679"</f>
        <v>38679</v>
      </c>
      <c r="P861" t="str">
        <f t="shared" si="265"/>
        <v>2017</v>
      </c>
      <c r="Q861" t="str">
        <f>""</f>
        <v/>
      </c>
      <c r="R861" t="str">
        <f t="shared" si="277"/>
        <v>N</v>
      </c>
      <c r="S861" t="str">
        <f>""</f>
        <v/>
      </c>
      <c r="T861" t="str">
        <f>"2020.84"</f>
        <v>2020.84</v>
      </c>
      <c r="U861" t="str">
        <f>"122451.00"</f>
        <v>122451.00</v>
      </c>
      <c r="V861" t="str">
        <f>"122451.00"</f>
        <v>122451.00</v>
      </c>
      <c r="W861" t="str">
        <f t="shared" si="266"/>
        <v>2017</v>
      </c>
      <c r="X861" t="str">
        <f>"15.80"</f>
        <v>15.80</v>
      </c>
      <c r="Y861" t="str">
        <f>"2113.47"</f>
        <v>2113.47</v>
      </c>
      <c r="Z861" t="str">
        <f>""</f>
        <v/>
      </c>
      <c r="AA861" t="str">
        <f>"122451.00"</f>
        <v>122451.00</v>
      </c>
      <c r="AB861" t="str">
        <f>"Commercial"</f>
        <v>Commercial</v>
      </c>
      <c r="AC861" t="str">
        <f t="shared" si="274"/>
        <v>0</v>
      </c>
      <c r="AD861" t="str">
        <f t="shared" si="271"/>
        <v>4</v>
      </c>
      <c r="AE861" t="str">
        <f t="shared" si="272"/>
        <v>WOOD (INCLUDE STEEL STUDS)</v>
      </c>
      <c r="AF861" t="str">
        <f>"028"</f>
        <v>028</v>
      </c>
      <c r="AG861" t="str">
        <f t="shared" si="276"/>
        <v>FL</v>
      </c>
      <c r="AH861" t="str">
        <f>"32928.00"</f>
        <v>32928.00</v>
      </c>
      <c r="AI861" t="str">
        <f>"60840.00"</f>
        <v>60840.00</v>
      </c>
      <c r="AJ861" t="str">
        <f>"C55-000-587-5787-3"</f>
        <v>C55-000-587-5787-3</v>
      </c>
      <c r="AK861" t="str">
        <f>"13388"</f>
        <v>13388</v>
      </c>
      <c r="AL861">
        <v>4</v>
      </c>
      <c r="AM861">
        <v>997</v>
      </c>
      <c r="AN861">
        <v>2217.54</v>
      </c>
      <c r="AQ861" t="s">
        <v>9001</v>
      </c>
      <c r="AR861" t="s">
        <v>9001</v>
      </c>
      <c r="AS861" t="s">
        <v>9001</v>
      </c>
      <c r="AU861" t="s">
        <v>396</v>
      </c>
      <c r="AV861">
        <v>2017</v>
      </c>
      <c r="AW861" t="str">
        <f>"29-2N-25-3200-0003-0040 "</f>
        <v xml:space="preserve">29-2N-25-3200-0003-0040 </v>
      </c>
      <c r="AX861">
        <v>45025</v>
      </c>
      <c r="AZ861" t="s">
        <v>8991</v>
      </c>
      <c r="BA861" t="s">
        <v>3181</v>
      </c>
      <c r="BD861" t="s">
        <v>2785</v>
      </c>
      <c r="BE861" t="s">
        <v>393</v>
      </c>
      <c r="BF861">
        <v>32011</v>
      </c>
      <c r="BG861" t="s">
        <v>9002</v>
      </c>
      <c r="BH861" t="s">
        <v>2787</v>
      </c>
      <c r="BI861">
        <v>-81.829304698261595</v>
      </c>
      <c r="BJ861">
        <v>30.5583895761979</v>
      </c>
      <c r="BK861" t="s">
        <v>6147</v>
      </c>
      <c r="BM861" t="s">
        <v>6148</v>
      </c>
      <c r="BN861" t="s">
        <v>928</v>
      </c>
      <c r="BO861">
        <v>32011</v>
      </c>
      <c r="BP861" t="s">
        <v>404</v>
      </c>
      <c r="BQ861">
        <v>2800</v>
      </c>
      <c r="BR861" t="s">
        <v>4802</v>
      </c>
      <c r="BS861">
        <v>1109</v>
      </c>
      <c r="BT861" t="s">
        <v>4803</v>
      </c>
      <c r="BW861">
        <v>33835</v>
      </c>
      <c r="BX861" t="s">
        <v>407</v>
      </c>
      <c r="BZ861">
        <v>4</v>
      </c>
      <c r="CA861">
        <v>1923</v>
      </c>
      <c r="CB861">
        <v>2</v>
      </c>
      <c r="CC861">
        <v>1</v>
      </c>
      <c r="CD861">
        <v>2017</v>
      </c>
      <c r="CE861">
        <v>60840</v>
      </c>
      <c r="CF861">
        <v>61611</v>
      </c>
      <c r="CG861">
        <v>122451</v>
      </c>
      <c r="CH861">
        <v>2017</v>
      </c>
      <c r="CI861">
        <v>60840</v>
      </c>
      <c r="CJ861">
        <v>61611</v>
      </c>
      <c r="CK861">
        <v>122451</v>
      </c>
      <c r="CL861">
        <v>2017</v>
      </c>
      <c r="CM861">
        <v>2020.84</v>
      </c>
      <c r="DD861" t="s">
        <v>2785</v>
      </c>
      <c r="DG861">
        <v>29</v>
      </c>
      <c r="DJ861" t="s">
        <v>8977</v>
      </c>
      <c r="DL861">
        <v>50503</v>
      </c>
      <c r="DM861" t="s">
        <v>8888</v>
      </c>
      <c r="DO861" t="s">
        <v>9003</v>
      </c>
      <c r="DP861">
        <v>0</v>
      </c>
      <c r="DQ861">
        <v>1</v>
      </c>
      <c r="DR861" t="s">
        <v>411</v>
      </c>
      <c r="DS861" t="b">
        <v>1</v>
      </c>
      <c r="DT861" t="s">
        <v>470</v>
      </c>
      <c r="DU861" t="s">
        <v>471</v>
      </c>
      <c r="DV861" t="s">
        <v>472</v>
      </c>
      <c r="DX861">
        <v>-9999</v>
      </c>
      <c r="DZ861" t="s">
        <v>447</v>
      </c>
      <c r="EA861" t="s">
        <v>448</v>
      </c>
      <c r="EB861" t="s">
        <v>742</v>
      </c>
      <c r="EC861">
        <v>20101217</v>
      </c>
      <c r="ED861" t="s">
        <v>474</v>
      </c>
      <c r="EF861">
        <v>1241.4000000000001</v>
      </c>
      <c r="EG861">
        <v>1241.4000000000001</v>
      </c>
      <c r="EH861" t="s">
        <v>451</v>
      </c>
      <c r="EI861">
        <v>20140731</v>
      </c>
      <c r="EJ861">
        <v>0</v>
      </c>
      <c r="EK861">
        <v>0</v>
      </c>
      <c r="EP861" t="s">
        <v>421</v>
      </c>
      <c r="EQ861" t="s">
        <v>452</v>
      </c>
      <c r="ER861">
        <v>0</v>
      </c>
      <c r="ES861">
        <v>8</v>
      </c>
      <c r="ET861">
        <v>0</v>
      </c>
      <c r="EU861">
        <v>0</v>
      </c>
      <c r="EV861">
        <v>0</v>
      </c>
      <c r="EW861" s="2">
        <v>43222</v>
      </c>
      <c r="EX861" s="1">
        <v>42151</v>
      </c>
      <c r="EY861">
        <v>2014</v>
      </c>
      <c r="EZ861">
        <v>2216.17</v>
      </c>
      <c r="FA861" t="s">
        <v>9004</v>
      </c>
      <c r="FB861">
        <v>0.25</v>
      </c>
      <c r="FC861" t="s">
        <v>424</v>
      </c>
      <c r="FD861" t="s">
        <v>425</v>
      </c>
      <c r="FF861">
        <v>22</v>
      </c>
      <c r="FG861">
        <v>11289</v>
      </c>
      <c r="FH861" t="s">
        <v>787</v>
      </c>
      <c r="FI861" t="s">
        <v>458</v>
      </c>
      <c r="FJ861" s="1">
        <v>42151</v>
      </c>
      <c r="FK861">
        <v>2014</v>
      </c>
      <c r="FL861">
        <v>2216.17</v>
      </c>
      <c r="FM861" t="s">
        <v>9004</v>
      </c>
      <c r="FN861">
        <v>0.25</v>
      </c>
      <c r="FO861" t="s">
        <v>424</v>
      </c>
      <c r="FP861" t="s">
        <v>425</v>
      </c>
      <c r="FR861">
        <v>22</v>
      </c>
      <c r="FS861">
        <v>5117778</v>
      </c>
      <c r="FT861" t="s">
        <v>9005</v>
      </c>
      <c r="FU861" t="s">
        <v>458</v>
      </c>
      <c r="FV861" s="1">
        <v>42151</v>
      </c>
      <c r="FW861">
        <v>2014</v>
      </c>
      <c r="FX861">
        <v>2216.17</v>
      </c>
      <c r="FY861" t="s">
        <v>9004</v>
      </c>
      <c r="FZ861">
        <v>0.25</v>
      </c>
      <c r="GA861" t="s">
        <v>424</v>
      </c>
      <c r="GB861" t="s">
        <v>425</v>
      </c>
      <c r="GD861">
        <v>22</v>
      </c>
      <c r="GE861">
        <v>7045059</v>
      </c>
      <c r="GF861" t="s">
        <v>5073</v>
      </c>
      <c r="GG861" t="s">
        <v>458</v>
      </c>
      <c r="GH861" s="1">
        <v>41787</v>
      </c>
      <c r="GI861">
        <v>2013</v>
      </c>
      <c r="GJ861">
        <v>2060.6999999999998</v>
      </c>
      <c r="GK861" t="s">
        <v>9006</v>
      </c>
      <c r="GL861">
        <v>0.25</v>
      </c>
      <c r="GM861" t="s">
        <v>424</v>
      </c>
      <c r="GN861" t="s">
        <v>425</v>
      </c>
      <c r="GO861" s="1">
        <v>42425</v>
      </c>
      <c r="GP861">
        <v>21</v>
      </c>
      <c r="GQ861">
        <v>2407503</v>
      </c>
      <c r="GR861" t="s">
        <v>461</v>
      </c>
      <c r="GT861" s="1">
        <v>41423</v>
      </c>
      <c r="GU861">
        <v>2012</v>
      </c>
      <c r="GV861">
        <v>2093.64</v>
      </c>
      <c r="GW861" t="s">
        <v>9007</v>
      </c>
      <c r="GX861">
        <v>0.25</v>
      </c>
      <c r="GY861" t="s">
        <v>424</v>
      </c>
      <c r="GZ861" t="s">
        <v>425</v>
      </c>
      <c r="HA861" s="1">
        <v>41453</v>
      </c>
      <c r="HB861">
        <v>1</v>
      </c>
      <c r="HC861">
        <v>10125</v>
      </c>
      <c r="HD861" t="s">
        <v>440</v>
      </c>
      <c r="HE861" t="s">
        <v>458</v>
      </c>
      <c r="HF861" s="1">
        <v>41052</v>
      </c>
      <c r="HG861">
        <v>2011</v>
      </c>
      <c r="HH861">
        <v>2113.4499999999998</v>
      </c>
      <c r="HI861" t="s">
        <v>9008</v>
      </c>
      <c r="HJ861">
        <v>4.75</v>
      </c>
      <c r="HK861" t="s">
        <v>424</v>
      </c>
      <c r="HL861" t="s">
        <v>425</v>
      </c>
      <c r="HM861" s="1">
        <v>41453</v>
      </c>
      <c r="HN861">
        <v>13</v>
      </c>
      <c r="HO861">
        <v>10125</v>
      </c>
      <c r="HP861" t="s">
        <v>440</v>
      </c>
      <c r="HQ861" t="s">
        <v>458</v>
      </c>
      <c r="HR861" s="1">
        <v>40688</v>
      </c>
      <c r="HS861">
        <v>2010</v>
      </c>
      <c r="HT861">
        <v>2122.33</v>
      </c>
      <c r="HU861" t="s">
        <v>9009</v>
      </c>
      <c r="HV861">
        <v>5</v>
      </c>
      <c r="HW861" t="s">
        <v>424</v>
      </c>
      <c r="HX861" t="s">
        <v>425</v>
      </c>
      <c r="HZ861">
        <v>22</v>
      </c>
      <c r="IA861">
        <v>1117</v>
      </c>
      <c r="IB861" t="s">
        <v>3939</v>
      </c>
      <c r="IC861" t="s">
        <v>458</v>
      </c>
      <c r="ID861" s="1">
        <v>40688</v>
      </c>
      <c r="IE861">
        <v>2010</v>
      </c>
      <c r="IF861">
        <v>2122.33</v>
      </c>
      <c r="IG861" t="s">
        <v>9009</v>
      </c>
      <c r="IH861">
        <v>5</v>
      </c>
      <c r="II861" t="s">
        <v>424</v>
      </c>
      <c r="IJ861" t="s">
        <v>425</v>
      </c>
      <c r="IL861">
        <v>22</v>
      </c>
      <c r="IM861">
        <v>11302</v>
      </c>
      <c r="IN861" t="s">
        <v>3940</v>
      </c>
      <c r="IO861" t="s">
        <v>458</v>
      </c>
    </row>
    <row r="862" spans="1:285" x14ac:dyDescent="0.25">
      <c r="A862">
        <v>16485869</v>
      </c>
      <c r="B862">
        <v>861</v>
      </c>
      <c r="C862" t="s">
        <v>393</v>
      </c>
      <c r="D862" t="s">
        <v>394</v>
      </c>
      <c r="F862" t="str">
        <f>"29-2N-25-3220-0003-0021"</f>
        <v>29-2N-25-3220-0003-0021</v>
      </c>
      <c r="H862" t="str">
        <f>"MCGRATH DONNA"</f>
        <v>MCGRATH DONNA</v>
      </c>
      <c r="I862" t="str">
        <f>"45127 BOOTH ST"</f>
        <v>45127 BOOTH ST</v>
      </c>
      <c r="J862" t="str">
        <f t="shared" si="275"/>
        <v>CALLAHAN FL 32011</v>
      </c>
      <c r="K862" t="str">
        <f>"45127 BOOTH ST"</f>
        <v>45127 BOOTH ST</v>
      </c>
      <c r="L862" t="str">
        <f t="shared" si="273"/>
        <v>CALLAHAN FL 32011</v>
      </c>
      <c r="M862" t="str">
        <f>"BLOCK 3 PT OF LOT 2 (S-1) IN OR 1759/1552 WILSON &amp; OGILVIE SUB DB B9/500"</f>
        <v>BLOCK 3 PT OF LOT 2 (S-1) IN OR 1759/1552 WILSON &amp; OGILVIE SUB DB B9/500</v>
      </c>
      <c r="N862" t="str">
        <f>""</f>
        <v/>
      </c>
      <c r="O862" t="str">
        <f>"38715"</f>
        <v>38715</v>
      </c>
      <c r="P862" t="str">
        <f t="shared" si="265"/>
        <v>2017</v>
      </c>
      <c r="Q862" t="str">
        <f>""</f>
        <v/>
      </c>
      <c r="R862" t="str">
        <f t="shared" si="277"/>
        <v>N</v>
      </c>
      <c r="S862" t="str">
        <f>""</f>
        <v/>
      </c>
      <c r="T862" t="str">
        <f>"2728.91"</f>
        <v>2728.91</v>
      </c>
      <c r="U862" t="str">
        <f>"165357.00"</f>
        <v>165357.00</v>
      </c>
      <c r="V862" t="str">
        <f>"165357.00"</f>
        <v>165357.00</v>
      </c>
      <c r="W862" t="str">
        <f t="shared" si="266"/>
        <v>2017</v>
      </c>
      <c r="X862" t="str">
        <f>"14.00"</f>
        <v>14.00</v>
      </c>
      <c r="Y862" t="str">
        <f>"2842.78"</f>
        <v>2842.78</v>
      </c>
      <c r="Z862" t="str">
        <f>""</f>
        <v/>
      </c>
      <c r="AA862" t="str">
        <f>"165357.00"</f>
        <v>165357.00</v>
      </c>
      <c r="AB862" t="str">
        <f>"Residential"</f>
        <v>Residential</v>
      </c>
      <c r="AC862" t="str">
        <f t="shared" si="274"/>
        <v>0</v>
      </c>
      <c r="AD862" t="str">
        <f t="shared" si="271"/>
        <v>4</v>
      </c>
      <c r="AE862" t="str">
        <f t="shared" si="272"/>
        <v>WOOD (INCLUDE STEEL STUDS)</v>
      </c>
      <c r="AF862" t="str">
        <f>"001"</f>
        <v>001</v>
      </c>
      <c r="AG862" t="str">
        <f t="shared" si="276"/>
        <v>FL</v>
      </c>
      <c r="AH862" t="str">
        <f>"9240.00"</f>
        <v>9240.00</v>
      </c>
      <c r="AI862" t="str">
        <f>"13475.00"</f>
        <v>13475.00</v>
      </c>
      <c r="AJ862" t="str">
        <f>"C55-000-988-2113-5"</f>
        <v>C55-000-988-2113-5</v>
      </c>
      <c r="AK862" t="str">
        <f>"13408"</f>
        <v>13408</v>
      </c>
      <c r="AL862">
        <v>4</v>
      </c>
      <c r="AM862">
        <v>998</v>
      </c>
      <c r="AN862">
        <v>2983.32</v>
      </c>
      <c r="AQ862" t="s">
        <v>9010</v>
      </c>
      <c r="AR862" t="s">
        <v>9010</v>
      </c>
      <c r="AS862" t="s">
        <v>9010</v>
      </c>
      <c r="AU862" t="s">
        <v>396</v>
      </c>
      <c r="AV862">
        <v>2017</v>
      </c>
      <c r="AW862" t="str">
        <f>"29-2N-25-3220-0003-0021 "</f>
        <v xml:space="preserve">29-2N-25-3220-0003-0021 </v>
      </c>
      <c r="AX862">
        <v>45127</v>
      </c>
      <c r="AZ862" t="s">
        <v>8963</v>
      </c>
      <c r="BA862" t="s">
        <v>1942</v>
      </c>
      <c r="BD862" t="s">
        <v>2785</v>
      </c>
      <c r="BE862" t="s">
        <v>393</v>
      </c>
      <c r="BF862">
        <v>32011</v>
      </c>
      <c r="BG862" t="s">
        <v>9011</v>
      </c>
      <c r="BH862" t="s">
        <v>2787</v>
      </c>
      <c r="BI862">
        <v>-81.827527186852294</v>
      </c>
      <c r="BJ862">
        <v>30.5595669618945</v>
      </c>
      <c r="BK862" t="s">
        <v>9012</v>
      </c>
      <c r="BM862" t="s">
        <v>9013</v>
      </c>
      <c r="BN862" t="s">
        <v>928</v>
      </c>
      <c r="BO862">
        <v>32011</v>
      </c>
      <c r="BP862" t="s">
        <v>404</v>
      </c>
      <c r="BQ862">
        <v>100</v>
      </c>
      <c r="BR862" t="s">
        <v>514</v>
      </c>
      <c r="BS862">
        <v>1001</v>
      </c>
      <c r="BT862" t="s">
        <v>515</v>
      </c>
      <c r="BU862">
        <v>700</v>
      </c>
      <c r="BV862">
        <v>1320</v>
      </c>
      <c r="BW862">
        <v>9277</v>
      </c>
      <c r="BX862" t="s">
        <v>407</v>
      </c>
      <c r="BZ862">
        <v>4</v>
      </c>
      <c r="CA862">
        <v>2006</v>
      </c>
      <c r="CB862">
        <v>1</v>
      </c>
      <c r="CC862">
        <v>1</v>
      </c>
      <c r="CD862">
        <v>2017</v>
      </c>
      <c r="CE862">
        <v>13475</v>
      </c>
      <c r="CF862">
        <v>151882</v>
      </c>
      <c r="CG862">
        <v>165357</v>
      </c>
      <c r="CH862">
        <v>2017</v>
      </c>
      <c r="CI862">
        <v>13475</v>
      </c>
      <c r="CJ862">
        <v>151882</v>
      </c>
      <c r="CK862">
        <v>165357</v>
      </c>
      <c r="CL862">
        <v>2017</v>
      </c>
      <c r="CM862">
        <v>2728.91</v>
      </c>
      <c r="CN862" s="1">
        <v>40828</v>
      </c>
      <c r="CO862">
        <v>119000</v>
      </c>
      <c r="CV862">
        <v>0</v>
      </c>
      <c r="CZ862" s="1">
        <v>40828</v>
      </c>
      <c r="DA862">
        <v>0</v>
      </c>
      <c r="DD862" t="s">
        <v>2785</v>
      </c>
      <c r="DF862">
        <v>2</v>
      </c>
      <c r="DG862">
        <v>29</v>
      </c>
      <c r="DL862">
        <v>50503</v>
      </c>
      <c r="DM862" t="s">
        <v>8888</v>
      </c>
      <c r="DO862" t="s">
        <v>9014</v>
      </c>
      <c r="DP862">
        <v>0</v>
      </c>
      <c r="DQ862">
        <v>0</v>
      </c>
      <c r="DR862" t="s">
        <v>411</v>
      </c>
      <c r="DS862" t="b">
        <v>1</v>
      </c>
      <c r="DT862" t="s">
        <v>470</v>
      </c>
      <c r="DU862" t="s">
        <v>471</v>
      </c>
      <c r="DV862" t="s">
        <v>472</v>
      </c>
      <c r="DX862">
        <v>-9999</v>
      </c>
      <c r="DZ862" t="s">
        <v>447</v>
      </c>
      <c r="EA862" t="s">
        <v>448</v>
      </c>
      <c r="EB862" t="s">
        <v>742</v>
      </c>
      <c r="EC862">
        <v>20101217</v>
      </c>
      <c r="ED862" t="s">
        <v>474</v>
      </c>
      <c r="EF862">
        <v>1404.4</v>
      </c>
      <c r="EG862">
        <v>1404.4</v>
      </c>
      <c r="EI862">
        <v>20160407</v>
      </c>
      <c r="EJ862">
        <v>0</v>
      </c>
      <c r="EK862">
        <v>0</v>
      </c>
      <c r="EP862" t="s">
        <v>421</v>
      </c>
      <c r="EQ862" t="s">
        <v>452</v>
      </c>
      <c r="ER862">
        <v>0</v>
      </c>
      <c r="ES862">
        <v>6</v>
      </c>
      <c r="ET862">
        <v>0</v>
      </c>
      <c r="EU862">
        <v>0</v>
      </c>
      <c r="EV862">
        <v>0</v>
      </c>
      <c r="EW862" s="2">
        <v>43222</v>
      </c>
      <c r="EX862" s="1">
        <v>42879</v>
      </c>
      <c r="EY862">
        <v>2016</v>
      </c>
      <c r="EZ862">
        <v>1252.32</v>
      </c>
      <c r="FA862" t="s">
        <v>9015</v>
      </c>
      <c r="FB862">
        <v>0.25</v>
      </c>
      <c r="FC862" t="s">
        <v>424</v>
      </c>
      <c r="FD862" t="s">
        <v>425</v>
      </c>
      <c r="FE862" s="1">
        <v>42946</v>
      </c>
      <c r="FF862">
        <v>2</v>
      </c>
      <c r="FG862">
        <v>11289</v>
      </c>
      <c r="FH862" t="s">
        <v>787</v>
      </c>
      <c r="FI862" t="s">
        <v>458</v>
      </c>
      <c r="FJ862" s="1">
        <v>42879</v>
      </c>
      <c r="FK862">
        <v>2016</v>
      </c>
      <c r="FL862">
        <v>1252.32</v>
      </c>
      <c r="FM862" t="s">
        <v>9015</v>
      </c>
      <c r="FN862">
        <v>0.25</v>
      </c>
      <c r="FO862" t="s">
        <v>424</v>
      </c>
      <c r="FP862" t="s">
        <v>425</v>
      </c>
      <c r="FR862">
        <v>22</v>
      </c>
      <c r="FS862">
        <v>7231142</v>
      </c>
      <c r="FT862" t="s">
        <v>9016</v>
      </c>
      <c r="FU862" t="s">
        <v>458</v>
      </c>
      <c r="FV862" s="1">
        <v>42515</v>
      </c>
      <c r="FW862">
        <v>2015</v>
      </c>
      <c r="FX862">
        <v>1269.76</v>
      </c>
      <c r="FY862" t="s">
        <v>9017</v>
      </c>
      <c r="FZ862">
        <v>0.25</v>
      </c>
      <c r="GA862" t="s">
        <v>424</v>
      </c>
      <c r="GB862" t="s">
        <v>425</v>
      </c>
      <c r="GD862">
        <v>22</v>
      </c>
      <c r="GE862">
        <v>2851116</v>
      </c>
      <c r="GF862" t="s">
        <v>480</v>
      </c>
      <c r="GG862" t="s">
        <v>458</v>
      </c>
      <c r="GH862" s="1">
        <v>42515</v>
      </c>
      <c r="GI862">
        <v>2015</v>
      </c>
      <c r="GJ862">
        <v>1269.76</v>
      </c>
      <c r="GK862" t="s">
        <v>9017</v>
      </c>
      <c r="GL862">
        <v>0.25</v>
      </c>
      <c r="GM862" t="s">
        <v>424</v>
      </c>
      <c r="GN862" t="s">
        <v>425</v>
      </c>
      <c r="GP862">
        <v>22</v>
      </c>
      <c r="GQ862">
        <v>5527545</v>
      </c>
      <c r="GR862" t="s">
        <v>9018</v>
      </c>
      <c r="GS862" t="s">
        <v>458</v>
      </c>
      <c r="GT862" s="1">
        <v>42151</v>
      </c>
      <c r="GU862">
        <v>2014</v>
      </c>
      <c r="GV862">
        <v>1270.03</v>
      </c>
      <c r="GW862" t="s">
        <v>9019</v>
      </c>
      <c r="GX862">
        <v>0.25</v>
      </c>
      <c r="GY862" t="s">
        <v>424</v>
      </c>
      <c r="GZ862" t="s">
        <v>425</v>
      </c>
      <c r="HB862">
        <v>22</v>
      </c>
      <c r="HC862">
        <v>2851116</v>
      </c>
      <c r="HD862" t="s">
        <v>480</v>
      </c>
      <c r="HE862" t="s">
        <v>458</v>
      </c>
      <c r="HF862" s="1">
        <v>42151</v>
      </c>
      <c r="HG862">
        <v>2014</v>
      </c>
      <c r="HH862">
        <v>1270.03</v>
      </c>
      <c r="HI862" t="s">
        <v>9019</v>
      </c>
      <c r="HJ862">
        <v>0.25</v>
      </c>
      <c r="HK862" t="s">
        <v>424</v>
      </c>
      <c r="HL862" t="s">
        <v>425</v>
      </c>
      <c r="HN862">
        <v>22</v>
      </c>
      <c r="HO862">
        <v>5332593</v>
      </c>
      <c r="HP862" t="s">
        <v>9020</v>
      </c>
      <c r="HQ862" t="s">
        <v>458</v>
      </c>
    </row>
    <row r="863" spans="1:285" x14ac:dyDescent="0.25">
      <c r="A863">
        <v>16485870</v>
      </c>
      <c r="B863">
        <v>862</v>
      </c>
      <c r="C863" t="s">
        <v>393</v>
      </c>
      <c r="D863" t="s">
        <v>394</v>
      </c>
      <c r="F863" t="str">
        <f>"29-2N-25-3220-0003-0046"</f>
        <v>29-2N-25-3220-0003-0046</v>
      </c>
      <c r="H863" t="str">
        <f>"BUILDING BLOCKS ACADEMY LLC"</f>
        <v>BUILDING BLOCKS ACADEMY LLC</v>
      </c>
      <c r="I863" t="str">
        <f>"PO BOX 2221"</f>
        <v>PO BOX 2221</v>
      </c>
      <c r="J863" t="str">
        <f t="shared" si="275"/>
        <v>CALLAHAN FL 32011</v>
      </c>
      <c r="K863" t="str">
        <f>"45110 THIRD AVE"</f>
        <v>45110 THIRD AVE</v>
      </c>
      <c r="L863" t="str">
        <f t="shared" si="273"/>
        <v>CALLAHAN FL 32011</v>
      </c>
      <c r="M863" t="str">
        <f>"BLOCK 3 PT OF LOTS 4 &amp; 5 IN OR 2103/1996 WILSON &amp; OGILVIE SUB DB B9/500"</f>
        <v>BLOCK 3 PT OF LOTS 4 &amp; 5 IN OR 2103/1996 WILSON &amp; OGILVIE SUB DB B9/500</v>
      </c>
      <c r="N863" t="str">
        <f>""</f>
        <v/>
      </c>
      <c r="O863" t="str">
        <f>"38719"</f>
        <v>38719</v>
      </c>
      <c r="P863" t="str">
        <f t="shared" si="265"/>
        <v>2017</v>
      </c>
      <c r="Q863" t="str">
        <f>""</f>
        <v/>
      </c>
      <c r="R863" t="str">
        <f t="shared" si="277"/>
        <v>N</v>
      </c>
      <c r="S863" t="str">
        <f>""</f>
        <v/>
      </c>
      <c r="T863" t="str">
        <f>"2337.20"</f>
        <v>2337.20</v>
      </c>
      <c r="U863" t="str">
        <f>"141621.00"</f>
        <v>141621.00</v>
      </c>
      <c r="V863" t="str">
        <f>"141621.00"</f>
        <v>141621.00</v>
      </c>
      <c r="W863" t="str">
        <f t="shared" si="266"/>
        <v>2017</v>
      </c>
      <c r="X863" t="str">
        <f>""</f>
        <v/>
      </c>
      <c r="Y863" t="str">
        <f>"2439.32"</f>
        <v>2439.32</v>
      </c>
      <c r="Z863" t="str">
        <f>""</f>
        <v/>
      </c>
      <c r="AA863" t="str">
        <f>"141621.00"</f>
        <v>141621.00</v>
      </c>
      <c r="AB863" t="str">
        <f>"Institutional"</f>
        <v>Institutional</v>
      </c>
      <c r="AC863" t="str">
        <f t="shared" si="274"/>
        <v>0</v>
      </c>
      <c r="AD863" t="str">
        <f t="shared" si="271"/>
        <v>4</v>
      </c>
      <c r="AE863" t="str">
        <f t="shared" si="272"/>
        <v>WOOD (INCLUDE STEEL STUDS)</v>
      </c>
      <c r="AF863" t="str">
        <f>"072"</f>
        <v>072</v>
      </c>
      <c r="AG863" t="str">
        <f t="shared" si="276"/>
        <v>FL</v>
      </c>
      <c r="AH863" t="str">
        <f>"28614.00"</f>
        <v>28614.00</v>
      </c>
      <c r="AI863" t="str">
        <f>"45900.00"</f>
        <v>45900.00</v>
      </c>
      <c r="AJ863" t="str">
        <f>"C55-000-587-5807-9"</f>
        <v>C55-000-587-5807-9</v>
      </c>
      <c r="AK863" t="str">
        <f>"13412"</f>
        <v>13412</v>
      </c>
      <c r="AL863">
        <v>4</v>
      </c>
      <c r="AM863">
        <v>999</v>
      </c>
      <c r="AN863">
        <v>2559.69</v>
      </c>
      <c r="AQ863" t="s">
        <v>9021</v>
      </c>
      <c r="AR863" t="s">
        <v>9021</v>
      </c>
      <c r="AS863" t="s">
        <v>9021</v>
      </c>
      <c r="AU863" t="s">
        <v>396</v>
      </c>
      <c r="AV863">
        <v>2017</v>
      </c>
      <c r="AW863" t="str">
        <f>"29-2N-25-3220-0003-0046 "</f>
        <v xml:space="preserve">29-2N-25-3220-0003-0046 </v>
      </c>
      <c r="AX863">
        <v>45110</v>
      </c>
      <c r="AZ863" t="s">
        <v>4910</v>
      </c>
      <c r="BA863" t="s">
        <v>1112</v>
      </c>
      <c r="BD863" t="s">
        <v>2785</v>
      </c>
      <c r="BE863" t="s">
        <v>393</v>
      </c>
      <c r="BF863">
        <v>32011</v>
      </c>
      <c r="BG863" t="s">
        <v>9022</v>
      </c>
      <c r="BH863" t="s">
        <v>2787</v>
      </c>
      <c r="BI863">
        <v>-81.828752669488296</v>
      </c>
      <c r="BJ863">
        <v>30.5589566454966</v>
      </c>
      <c r="BK863" t="s">
        <v>9023</v>
      </c>
      <c r="BM863" t="s">
        <v>9024</v>
      </c>
      <c r="BN863" t="s">
        <v>928</v>
      </c>
      <c r="BO863">
        <v>32011</v>
      </c>
      <c r="BP863" t="s">
        <v>404</v>
      </c>
      <c r="BQ863">
        <v>7200</v>
      </c>
      <c r="BR863" t="s">
        <v>8941</v>
      </c>
      <c r="BS863">
        <v>9102</v>
      </c>
      <c r="BT863" t="s">
        <v>8942</v>
      </c>
      <c r="BU863">
        <v>900</v>
      </c>
      <c r="BV863">
        <v>2090</v>
      </c>
      <c r="BW863">
        <v>18299</v>
      </c>
      <c r="BX863" t="s">
        <v>407</v>
      </c>
      <c r="BZ863">
        <v>4</v>
      </c>
      <c r="CA863">
        <v>1993</v>
      </c>
      <c r="CB863">
        <v>1</v>
      </c>
      <c r="CD863">
        <v>2017</v>
      </c>
      <c r="CE863">
        <v>45900</v>
      </c>
      <c r="CF863">
        <v>95721</v>
      </c>
      <c r="CG863">
        <v>141621</v>
      </c>
      <c r="CH863">
        <v>2017</v>
      </c>
      <c r="CI863">
        <v>45900</v>
      </c>
      <c r="CJ863">
        <v>95721</v>
      </c>
      <c r="CK863">
        <v>141621</v>
      </c>
      <c r="CL863">
        <v>2017</v>
      </c>
      <c r="CM863">
        <v>2337.1999999999998</v>
      </c>
      <c r="CN863" s="1">
        <v>42795</v>
      </c>
      <c r="CO863">
        <v>215000</v>
      </c>
      <c r="CV863">
        <v>205000</v>
      </c>
      <c r="CX863" t="s">
        <v>707</v>
      </c>
      <c r="CZ863" s="1">
        <v>42795</v>
      </c>
      <c r="DA863">
        <v>0</v>
      </c>
      <c r="DD863" t="s">
        <v>2785</v>
      </c>
      <c r="DG863">
        <v>29</v>
      </c>
      <c r="DL863">
        <v>50503</v>
      </c>
      <c r="DM863" t="s">
        <v>8888</v>
      </c>
      <c r="DO863" t="s">
        <v>9025</v>
      </c>
      <c r="DP863">
        <v>0</v>
      </c>
      <c r="DQ863">
        <v>1</v>
      </c>
      <c r="DR863" t="s">
        <v>1479</v>
      </c>
    </row>
    <row r="864" spans="1:285" x14ac:dyDescent="0.25">
      <c r="A864">
        <v>16485871</v>
      </c>
      <c r="B864">
        <v>863</v>
      </c>
      <c r="C864" t="s">
        <v>393</v>
      </c>
      <c r="D864" t="s">
        <v>394</v>
      </c>
      <c r="F864" t="str">
        <f>"29-2N-25-3220-0003-0052"</f>
        <v>29-2N-25-3220-0003-0052</v>
      </c>
      <c r="H864" t="str">
        <f>"JAN INVESTMENT GROUP INC"</f>
        <v>JAN INVESTMENT GROUP INC</v>
      </c>
      <c r="I864" t="str">
        <f>"PO BOX 455"</f>
        <v>PO BOX 455</v>
      </c>
      <c r="J864" t="str">
        <f t="shared" si="275"/>
        <v>CALLAHAN FL 32011</v>
      </c>
      <c r="K864" t="str">
        <f>"45098 THIRD AVE"</f>
        <v>45098 THIRD AVE</v>
      </c>
      <c r="L864" t="str">
        <f t="shared" si="273"/>
        <v>CALLAHAN FL 32011</v>
      </c>
      <c r="M864" t="str">
        <f>"BLOCK 3 PT OF LOT 5 IN OR 1450/1666 WILSON &amp; OGILVIE SUB DB B9/500"</f>
        <v>BLOCK 3 PT OF LOT 5 IN OR 1450/1666 WILSON &amp; OGILVIE SUB DB B9/500</v>
      </c>
      <c r="N864" t="str">
        <f>""</f>
        <v/>
      </c>
      <c r="O864" t="str">
        <f>"38721"</f>
        <v>38721</v>
      </c>
      <c r="P864" t="str">
        <f t="shared" si="265"/>
        <v>2017</v>
      </c>
      <c r="Q864" t="str">
        <f>""</f>
        <v/>
      </c>
      <c r="R864" t="str">
        <f t="shared" si="277"/>
        <v>N</v>
      </c>
      <c r="S864" t="str">
        <f>""</f>
        <v/>
      </c>
      <c r="T864" t="str">
        <f>"870.89"</f>
        <v>870.89</v>
      </c>
      <c r="U864" t="str">
        <f>"52771.00"</f>
        <v>52771.00</v>
      </c>
      <c r="V864" t="str">
        <f>"52771.00"</f>
        <v>52771.00</v>
      </c>
      <c r="W864" t="str">
        <f t="shared" si="266"/>
        <v>2017</v>
      </c>
      <c r="X864" t="str">
        <f>"29.80"</f>
        <v>29.80</v>
      </c>
      <c r="Y864" t="str">
        <f>"929.02"</f>
        <v>929.02</v>
      </c>
      <c r="Z864" t="str">
        <f>""</f>
        <v/>
      </c>
      <c r="AA864" t="str">
        <f>"52771.00"</f>
        <v>52771.00</v>
      </c>
      <c r="AB864" t="str">
        <f>"Residential"</f>
        <v>Residential</v>
      </c>
      <c r="AC864" t="str">
        <f t="shared" si="274"/>
        <v>0</v>
      </c>
      <c r="AD864" t="str">
        <f t="shared" si="271"/>
        <v>4</v>
      </c>
      <c r="AE864" t="str">
        <f t="shared" si="272"/>
        <v>WOOD (INCLUDE STEEL STUDS)</v>
      </c>
      <c r="AF864" t="str">
        <f>"001"</f>
        <v>001</v>
      </c>
      <c r="AG864" t="str">
        <f t="shared" si="276"/>
        <v>FL</v>
      </c>
      <c r="AH864" t="str">
        <f>"-"</f>
        <v>-</v>
      </c>
      <c r="AI864" t="str">
        <f>"11000.00"</f>
        <v>11000.00</v>
      </c>
      <c r="AJ864" t="str">
        <f>"C55-000-587-5809-5"</f>
        <v>C55-000-587-5809-5</v>
      </c>
      <c r="AK864" t="str">
        <f>"13414"</f>
        <v>13414</v>
      </c>
      <c r="AL864">
        <v>4</v>
      </c>
      <c r="AM864">
        <v>1000</v>
      </c>
      <c r="AN864">
        <v>973.87</v>
      </c>
      <c r="AQ864" t="s">
        <v>9026</v>
      </c>
      <c r="AR864" t="s">
        <v>9026</v>
      </c>
      <c r="AS864" t="s">
        <v>9026</v>
      </c>
      <c r="AU864" t="s">
        <v>396</v>
      </c>
      <c r="AV864">
        <v>2017</v>
      </c>
      <c r="AW864" t="str">
        <f>"29-2N-25-3220-0003-0052 "</f>
        <v xml:space="preserve">29-2N-25-3220-0003-0052 </v>
      </c>
      <c r="AX864">
        <v>45098</v>
      </c>
      <c r="AZ864" t="s">
        <v>4910</v>
      </c>
      <c r="BA864" t="s">
        <v>1112</v>
      </c>
      <c r="BD864" t="s">
        <v>2785</v>
      </c>
      <c r="BE864" t="s">
        <v>393</v>
      </c>
      <c r="BF864">
        <v>32011</v>
      </c>
      <c r="BG864" t="s">
        <v>9027</v>
      </c>
      <c r="BH864" t="s">
        <v>2787</v>
      </c>
      <c r="BI864">
        <v>-81.829121593562206</v>
      </c>
      <c r="BJ864">
        <v>30.558737196045101</v>
      </c>
      <c r="BK864" t="s">
        <v>6709</v>
      </c>
      <c r="BM864" t="s">
        <v>1372</v>
      </c>
      <c r="BN864" t="s">
        <v>928</v>
      </c>
      <c r="BO864">
        <v>32011</v>
      </c>
      <c r="BP864" t="s">
        <v>404</v>
      </c>
      <c r="BQ864">
        <v>100</v>
      </c>
      <c r="BR864" t="s">
        <v>514</v>
      </c>
      <c r="BS864">
        <v>1001</v>
      </c>
      <c r="BT864" t="s">
        <v>515</v>
      </c>
      <c r="BW864">
        <v>1374</v>
      </c>
      <c r="BX864" t="s">
        <v>407</v>
      </c>
      <c r="BZ864">
        <v>4</v>
      </c>
      <c r="CA864">
        <v>1985</v>
      </c>
      <c r="CB864">
        <v>2</v>
      </c>
      <c r="CC864">
        <v>1</v>
      </c>
      <c r="CD864">
        <v>2017</v>
      </c>
      <c r="CE864">
        <v>11000</v>
      </c>
      <c r="CF864">
        <v>41771</v>
      </c>
      <c r="CG864">
        <v>52771</v>
      </c>
      <c r="CH864">
        <v>2017</v>
      </c>
      <c r="CI864">
        <v>11000</v>
      </c>
      <c r="CJ864">
        <v>41771</v>
      </c>
      <c r="CK864">
        <v>52771</v>
      </c>
      <c r="CL864">
        <v>2017</v>
      </c>
      <c r="CM864">
        <v>870.89</v>
      </c>
      <c r="CN864" s="1">
        <v>38999</v>
      </c>
      <c r="CO864">
        <v>80000</v>
      </c>
      <c r="CV864">
        <v>80168</v>
      </c>
      <c r="CX864" t="s">
        <v>675</v>
      </c>
      <c r="CZ864" s="1">
        <v>38999</v>
      </c>
      <c r="DA864">
        <v>0</v>
      </c>
      <c r="DD864" t="s">
        <v>2785</v>
      </c>
      <c r="DF864">
        <v>5</v>
      </c>
      <c r="DG864">
        <v>29</v>
      </c>
      <c r="DL864">
        <v>50503</v>
      </c>
      <c r="DM864" t="s">
        <v>8888</v>
      </c>
      <c r="DO864" t="s">
        <v>9028</v>
      </c>
      <c r="DP864">
        <v>0</v>
      </c>
      <c r="DQ864">
        <v>1</v>
      </c>
      <c r="DR864" t="s">
        <v>1479</v>
      </c>
      <c r="EP864" t="s">
        <v>421</v>
      </c>
      <c r="EQ864" t="s">
        <v>422</v>
      </c>
      <c r="ER864">
        <v>2</v>
      </c>
      <c r="ES864">
        <v>4</v>
      </c>
      <c r="ET864">
        <v>1918.22</v>
      </c>
      <c r="EU864">
        <v>108.41</v>
      </c>
      <c r="EV864">
        <v>2026.63</v>
      </c>
      <c r="EW864" s="2">
        <v>43222</v>
      </c>
      <c r="EX864" s="1">
        <v>42879</v>
      </c>
      <c r="EY864">
        <v>2016</v>
      </c>
      <c r="EZ864">
        <v>959.11</v>
      </c>
      <c r="FA864" t="s">
        <v>9029</v>
      </c>
      <c r="FB864">
        <v>0.25</v>
      </c>
      <c r="FC864" t="s">
        <v>424</v>
      </c>
      <c r="FD864" t="s">
        <v>454</v>
      </c>
      <c r="FF864">
        <v>12</v>
      </c>
      <c r="FG864">
        <v>7336671</v>
      </c>
      <c r="FH864" t="s">
        <v>437</v>
      </c>
      <c r="FJ864" s="1">
        <v>42879</v>
      </c>
      <c r="FK864">
        <v>2016</v>
      </c>
      <c r="FL864">
        <v>959.11</v>
      </c>
      <c r="FM864" t="s">
        <v>9029</v>
      </c>
      <c r="FN864">
        <v>0.25</v>
      </c>
      <c r="FO864" t="s">
        <v>424</v>
      </c>
      <c r="FP864" t="s">
        <v>454</v>
      </c>
      <c r="FR864">
        <v>12</v>
      </c>
      <c r="FS864">
        <v>7022554</v>
      </c>
      <c r="FT864" t="s">
        <v>9030</v>
      </c>
      <c r="FV864" s="1">
        <v>41787</v>
      </c>
      <c r="FW864">
        <v>2013</v>
      </c>
      <c r="FX864">
        <v>844.71</v>
      </c>
      <c r="FY864" t="s">
        <v>9031</v>
      </c>
      <c r="FZ864">
        <v>0.25</v>
      </c>
      <c r="GA864" t="s">
        <v>424</v>
      </c>
      <c r="GB864" t="s">
        <v>425</v>
      </c>
      <c r="GC864" s="1">
        <v>42202</v>
      </c>
      <c r="GD864">
        <v>14</v>
      </c>
      <c r="GE864">
        <v>12092</v>
      </c>
      <c r="GF864" t="s">
        <v>483</v>
      </c>
      <c r="GH864" s="1">
        <v>41423</v>
      </c>
      <c r="GI864">
        <v>2012</v>
      </c>
      <c r="GJ864">
        <v>860.03</v>
      </c>
      <c r="GK864" t="s">
        <v>9032</v>
      </c>
      <c r="GL864">
        <v>0.25</v>
      </c>
      <c r="GM864" t="s">
        <v>424</v>
      </c>
      <c r="GN864" t="s">
        <v>425</v>
      </c>
      <c r="GO864" s="1">
        <v>42202</v>
      </c>
      <c r="GP864">
        <v>26</v>
      </c>
      <c r="GQ864">
        <v>10096</v>
      </c>
      <c r="GR864" t="s">
        <v>1983</v>
      </c>
      <c r="GT864" s="1">
        <v>41052</v>
      </c>
      <c r="GU864">
        <v>2011</v>
      </c>
      <c r="GV864">
        <v>864.17</v>
      </c>
      <c r="GW864" t="s">
        <v>9033</v>
      </c>
      <c r="GX864">
        <v>4.5</v>
      </c>
      <c r="GY864" t="s">
        <v>424</v>
      </c>
      <c r="GZ864" t="s">
        <v>425</v>
      </c>
      <c r="HA864" s="1">
        <v>41834</v>
      </c>
      <c r="HB864">
        <v>26</v>
      </c>
      <c r="HC864">
        <v>1625515</v>
      </c>
      <c r="HD864" t="s">
        <v>487</v>
      </c>
      <c r="HF864" s="1">
        <v>41052</v>
      </c>
      <c r="HG864">
        <v>2011</v>
      </c>
      <c r="HH864">
        <v>864.17</v>
      </c>
      <c r="HI864" t="s">
        <v>9033</v>
      </c>
      <c r="HJ864">
        <v>4.5</v>
      </c>
      <c r="HK864" t="s">
        <v>424</v>
      </c>
      <c r="HL864" t="s">
        <v>425</v>
      </c>
      <c r="HN864">
        <v>22</v>
      </c>
      <c r="HO864">
        <v>10579</v>
      </c>
      <c r="HP864" t="s">
        <v>488</v>
      </c>
    </row>
    <row r="865" spans="1:284" x14ac:dyDescent="0.25">
      <c r="A865">
        <v>16485872</v>
      </c>
      <c r="B865">
        <v>864</v>
      </c>
      <c r="C865" t="s">
        <v>393</v>
      </c>
      <c r="D865" t="s">
        <v>394</v>
      </c>
      <c r="F865" t="str">
        <f>"29-2N-25-3220-0003-0053"</f>
        <v>29-2N-25-3220-0003-0053</v>
      </c>
      <c r="H865" t="str">
        <f>"JAN INVESTMENT GROUP INC"</f>
        <v>JAN INVESTMENT GROUP INC</v>
      </c>
      <c r="I865" t="str">
        <f>"PO BOX 455"</f>
        <v>PO BOX 455</v>
      </c>
      <c r="J865" t="str">
        <f t="shared" si="275"/>
        <v>CALLAHAN FL 32011</v>
      </c>
      <c r="K865" t="str">
        <f>"45096 THIRD AV"</f>
        <v>45096 THIRD AV</v>
      </c>
      <c r="L865" t="str">
        <f t="shared" si="273"/>
        <v>CALLAHAN FL 32011</v>
      </c>
      <c r="M865" t="str">
        <f>"BLOCK 3 PT OF LOT 5 TOWNHOUSE IN OR 1503/1224 WILSON &amp; OGILVIE SUB DB B9/500"</f>
        <v>BLOCK 3 PT OF LOT 5 TOWNHOUSE IN OR 1503/1224 WILSON &amp; OGILVIE SUB DB B9/500</v>
      </c>
      <c r="N865" t="str">
        <f>""</f>
        <v/>
      </c>
      <c r="O865" t="str">
        <f>"38722"</f>
        <v>38722</v>
      </c>
      <c r="P865" t="str">
        <f t="shared" si="265"/>
        <v>2017</v>
      </c>
      <c r="Q865" t="str">
        <f>""</f>
        <v/>
      </c>
      <c r="R865" t="str">
        <f t="shared" si="277"/>
        <v>N</v>
      </c>
      <c r="S865" t="str">
        <f>""</f>
        <v/>
      </c>
      <c r="T865" t="str">
        <f>"996.07"</f>
        <v>996.07</v>
      </c>
      <c r="U865" t="str">
        <f>"60356.00"</f>
        <v>60356.00</v>
      </c>
      <c r="V865" t="str">
        <f>"60356.00"</f>
        <v>60356.00</v>
      </c>
      <c r="W865" t="str">
        <f t="shared" si="266"/>
        <v>2017</v>
      </c>
      <c r="X865" t="str">
        <f>"34.00"</f>
        <v>34.00</v>
      </c>
      <c r="Y865" t="str">
        <f>"1057.95"</f>
        <v>1057.95</v>
      </c>
      <c r="Z865" t="str">
        <f>""</f>
        <v/>
      </c>
      <c r="AA865" t="str">
        <f>"60356.00"</f>
        <v>60356.00</v>
      </c>
      <c r="AB865" t="str">
        <f>"Residential"</f>
        <v>Residential</v>
      </c>
      <c r="AC865" t="str">
        <f t="shared" si="274"/>
        <v>0</v>
      </c>
      <c r="AD865" t="str">
        <f t="shared" si="271"/>
        <v>4</v>
      </c>
      <c r="AE865" t="str">
        <f t="shared" si="272"/>
        <v>WOOD (INCLUDE STEEL STUDS)</v>
      </c>
      <c r="AF865" t="str">
        <f>"001"</f>
        <v>001</v>
      </c>
      <c r="AG865" t="str">
        <f t="shared" si="276"/>
        <v>FL</v>
      </c>
      <c r="AH865" t="str">
        <f>"-"</f>
        <v>-</v>
      </c>
      <c r="AI865" t="str">
        <f>"15000.00"</f>
        <v>15000.00</v>
      </c>
      <c r="AJ865" t="str">
        <f>"C55-000-587-5810-3"</f>
        <v>C55-000-587-5810-3</v>
      </c>
      <c r="AK865" t="str">
        <f>"13415"</f>
        <v>13415</v>
      </c>
      <c r="AL865">
        <v>4</v>
      </c>
      <c r="AM865">
        <v>1001</v>
      </c>
      <c r="AN865">
        <v>1109.25</v>
      </c>
      <c r="AQ865" t="s">
        <v>9034</v>
      </c>
      <c r="AR865" t="s">
        <v>9034</v>
      </c>
      <c r="AS865" t="s">
        <v>9034</v>
      </c>
      <c r="AU865" t="s">
        <v>396</v>
      </c>
      <c r="AV865">
        <v>2017</v>
      </c>
      <c r="AW865" t="str">
        <f>"29-2N-25-3220-0003-0053 "</f>
        <v xml:space="preserve">29-2N-25-3220-0003-0053 </v>
      </c>
      <c r="AX865">
        <v>45096</v>
      </c>
      <c r="AZ865" t="s">
        <v>4910</v>
      </c>
      <c r="BA865" t="s">
        <v>1122</v>
      </c>
      <c r="BD865" t="s">
        <v>2785</v>
      </c>
      <c r="BE865" t="s">
        <v>393</v>
      </c>
      <c r="BF865">
        <v>32011</v>
      </c>
      <c r="BG865" t="s">
        <v>9035</v>
      </c>
      <c r="BH865" t="s">
        <v>2787</v>
      </c>
      <c r="BI865">
        <v>-81.829172885100704</v>
      </c>
      <c r="BJ865">
        <v>30.558687221019699</v>
      </c>
      <c r="BK865" t="s">
        <v>6709</v>
      </c>
      <c r="BM865" t="s">
        <v>1372</v>
      </c>
      <c r="BN865" t="s">
        <v>928</v>
      </c>
      <c r="BO865">
        <v>32011</v>
      </c>
      <c r="BP865" t="s">
        <v>404</v>
      </c>
      <c r="BQ865">
        <v>100</v>
      </c>
      <c r="BR865" t="s">
        <v>514</v>
      </c>
      <c r="BS865">
        <v>1001</v>
      </c>
      <c r="BT865" t="s">
        <v>515</v>
      </c>
      <c r="BW865">
        <v>2796</v>
      </c>
      <c r="BX865" t="s">
        <v>407</v>
      </c>
      <c r="BZ865">
        <v>4</v>
      </c>
      <c r="CA865">
        <v>1985</v>
      </c>
      <c r="CB865">
        <v>2</v>
      </c>
      <c r="CC865">
        <v>1</v>
      </c>
      <c r="CD865">
        <v>2017</v>
      </c>
      <c r="CE865">
        <v>15000</v>
      </c>
      <c r="CF865">
        <v>45356</v>
      </c>
      <c r="CG865">
        <v>60356</v>
      </c>
      <c r="CH865">
        <v>2017</v>
      </c>
      <c r="CI865">
        <v>15000</v>
      </c>
      <c r="CJ865">
        <v>45356</v>
      </c>
      <c r="CK865">
        <v>60356</v>
      </c>
      <c r="CL865">
        <v>2017</v>
      </c>
      <c r="CM865">
        <v>996.07</v>
      </c>
      <c r="CN865" s="1">
        <v>39238</v>
      </c>
      <c r="CO865">
        <v>75000</v>
      </c>
      <c r="CV865">
        <v>75150</v>
      </c>
      <c r="CX865" t="s">
        <v>9036</v>
      </c>
      <c r="CZ865" s="1">
        <v>39238</v>
      </c>
      <c r="DA865">
        <v>0</v>
      </c>
      <c r="DD865" t="s">
        <v>2785</v>
      </c>
      <c r="DF865">
        <v>5</v>
      </c>
      <c r="DG865">
        <v>29</v>
      </c>
      <c r="DL865">
        <v>50503</v>
      </c>
      <c r="DM865" t="s">
        <v>8888</v>
      </c>
      <c r="DO865" t="s">
        <v>9037</v>
      </c>
      <c r="DP865">
        <v>0</v>
      </c>
      <c r="DQ865">
        <v>1</v>
      </c>
      <c r="DR865" t="s">
        <v>1479</v>
      </c>
      <c r="EP865" t="s">
        <v>421</v>
      </c>
      <c r="EQ865" t="s">
        <v>452</v>
      </c>
      <c r="ER865">
        <v>2</v>
      </c>
      <c r="ES865">
        <v>4</v>
      </c>
      <c r="ET865">
        <v>2189.44</v>
      </c>
      <c r="EU865">
        <v>121.97</v>
      </c>
      <c r="EV865">
        <v>2311.41</v>
      </c>
      <c r="EW865" s="2">
        <v>43222</v>
      </c>
      <c r="EX865" s="1">
        <v>42879</v>
      </c>
      <c r="EY865">
        <v>2016</v>
      </c>
      <c r="EZ865">
        <v>1094.72</v>
      </c>
      <c r="FA865" t="s">
        <v>9038</v>
      </c>
      <c r="FB865">
        <v>0.25</v>
      </c>
      <c r="FC865" t="s">
        <v>424</v>
      </c>
      <c r="FD865" t="s">
        <v>454</v>
      </c>
      <c r="FF865">
        <v>12</v>
      </c>
      <c r="FG865">
        <v>7336671</v>
      </c>
      <c r="FH865" t="s">
        <v>437</v>
      </c>
      <c r="FJ865" s="1">
        <v>42879</v>
      </c>
      <c r="FK865">
        <v>2016</v>
      </c>
      <c r="FL865">
        <v>1094.72</v>
      </c>
      <c r="FM865" t="s">
        <v>9038</v>
      </c>
      <c r="FN865">
        <v>0.25</v>
      </c>
      <c r="FO865" t="s">
        <v>424</v>
      </c>
      <c r="FP865" t="s">
        <v>454</v>
      </c>
      <c r="FR865">
        <v>12</v>
      </c>
      <c r="FS865">
        <v>6979763</v>
      </c>
      <c r="FT865" t="s">
        <v>9039</v>
      </c>
      <c r="FV865" s="1">
        <v>41787</v>
      </c>
      <c r="FW865">
        <v>2013</v>
      </c>
      <c r="FX865">
        <v>971.47</v>
      </c>
      <c r="FY865" t="s">
        <v>9040</v>
      </c>
      <c r="FZ865">
        <v>6.75</v>
      </c>
      <c r="GA865" t="s">
        <v>424</v>
      </c>
      <c r="GB865" t="s">
        <v>425</v>
      </c>
      <c r="GC865" s="1">
        <v>42167</v>
      </c>
      <c r="GD865">
        <v>13</v>
      </c>
      <c r="GE865">
        <v>2035919</v>
      </c>
      <c r="GF865" t="s">
        <v>507</v>
      </c>
      <c r="GG865" t="s">
        <v>458</v>
      </c>
      <c r="GH865" s="1">
        <v>41423</v>
      </c>
      <c r="GI865">
        <v>2012</v>
      </c>
      <c r="GJ865">
        <v>939.1</v>
      </c>
      <c r="GK865" t="s">
        <v>9041</v>
      </c>
      <c r="GL865">
        <v>0.25</v>
      </c>
      <c r="GM865" t="s">
        <v>424</v>
      </c>
      <c r="GN865" t="s">
        <v>425</v>
      </c>
      <c r="GP865">
        <v>22</v>
      </c>
      <c r="GQ865">
        <v>1625515</v>
      </c>
      <c r="GR865" t="s">
        <v>487</v>
      </c>
      <c r="GS865" t="s">
        <v>458</v>
      </c>
      <c r="GT865" s="1">
        <v>41052</v>
      </c>
      <c r="GU865">
        <v>2011</v>
      </c>
      <c r="GV865">
        <v>944.08</v>
      </c>
      <c r="GW865" t="s">
        <v>9042</v>
      </c>
      <c r="GX865">
        <v>4.25</v>
      </c>
      <c r="GY865" t="s">
        <v>424</v>
      </c>
      <c r="GZ865" t="s">
        <v>425</v>
      </c>
      <c r="HB865">
        <v>22</v>
      </c>
      <c r="HC865">
        <v>11141</v>
      </c>
      <c r="HD865" t="s">
        <v>1723</v>
      </c>
      <c r="HE865" t="s">
        <v>458</v>
      </c>
      <c r="HF865" s="1">
        <v>41052</v>
      </c>
      <c r="HG865">
        <v>2011</v>
      </c>
      <c r="HH865">
        <v>944.08</v>
      </c>
      <c r="HI865" t="s">
        <v>9042</v>
      </c>
      <c r="HJ865">
        <v>4.25</v>
      </c>
      <c r="HK865" t="s">
        <v>424</v>
      </c>
      <c r="HL865" t="s">
        <v>425</v>
      </c>
      <c r="HM865" s="1">
        <v>42167</v>
      </c>
      <c r="HN865">
        <v>37</v>
      </c>
      <c r="HO865">
        <v>1130</v>
      </c>
      <c r="HP865" t="s">
        <v>6717</v>
      </c>
      <c r="HQ865" t="s">
        <v>458</v>
      </c>
    </row>
    <row r="866" spans="1:284" x14ac:dyDescent="0.25">
      <c r="A866">
        <v>16485873</v>
      </c>
      <c r="B866">
        <v>865</v>
      </c>
      <c r="C866" t="s">
        <v>393</v>
      </c>
      <c r="D866" t="s">
        <v>394</v>
      </c>
      <c r="F866" t="str">
        <f>"29-2N-25-3220-0003-0054"</f>
        <v>29-2N-25-3220-0003-0054</v>
      </c>
      <c r="H866" t="str">
        <f>"JAN INVESTMENT GROUP INC"</f>
        <v>JAN INVESTMENT GROUP INC</v>
      </c>
      <c r="I866" t="str">
        <f>"PO BOX 455"</f>
        <v>PO BOX 455</v>
      </c>
      <c r="J866" t="str">
        <f t="shared" si="275"/>
        <v>CALLAHAN FL 32011</v>
      </c>
      <c r="K866" t="str">
        <f>"45102 THIRD AV"</f>
        <v>45102 THIRD AV</v>
      </c>
      <c r="L866" t="str">
        <f t="shared" si="273"/>
        <v>CALLAHAN FL 32011</v>
      </c>
      <c r="M866" t="str">
        <f>"BLOCK 3 PT OF LOT 5 IN OR 1503/1215 WILSON &amp; OGILVIE SUB DB B9/500"</f>
        <v>BLOCK 3 PT OF LOT 5 IN OR 1503/1215 WILSON &amp; OGILVIE SUB DB B9/500</v>
      </c>
      <c r="N866" t="str">
        <f>""</f>
        <v/>
      </c>
      <c r="O866" t="str">
        <f>"38723"</f>
        <v>38723</v>
      </c>
      <c r="P866" t="str">
        <f t="shared" si="265"/>
        <v>2017</v>
      </c>
      <c r="Q866" t="str">
        <f>""</f>
        <v/>
      </c>
      <c r="R866" t="str">
        <f t="shared" si="277"/>
        <v>N</v>
      </c>
      <c r="S866" t="str">
        <f>""</f>
        <v/>
      </c>
      <c r="T866" t="str">
        <f>"992.75"</f>
        <v>992.75</v>
      </c>
      <c r="U866" t="str">
        <f>"60155.00"</f>
        <v>60155.00</v>
      </c>
      <c r="V866" t="str">
        <f>"60155.00"</f>
        <v>60155.00</v>
      </c>
      <c r="W866" t="str">
        <f t="shared" si="266"/>
        <v>2017</v>
      </c>
      <c r="X866" t="str">
        <f>"32.00"</f>
        <v>32.00</v>
      </c>
      <c r="Y866" t="str">
        <f>"1054.53"</f>
        <v>1054.53</v>
      </c>
      <c r="Z866" t="str">
        <f>""</f>
        <v/>
      </c>
      <c r="AA866" t="str">
        <f>"60155.00"</f>
        <v>60155.00</v>
      </c>
      <c r="AB866" t="str">
        <f>"Residential"</f>
        <v>Residential</v>
      </c>
      <c r="AC866" t="str">
        <f t="shared" si="274"/>
        <v>0</v>
      </c>
      <c r="AD866" t="str">
        <f t="shared" si="271"/>
        <v>4</v>
      </c>
      <c r="AE866" t="str">
        <f t="shared" si="272"/>
        <v>WOOD (INCLUDE STEEL STUDS)</v>
      </c>
      <c r="AF866" t="str">
        <f>"001"</f>
        <v>001</v>
      </c>
      <c r="AG866" t="str">
        <f t="shared" si="276"/>
        <v>FL</v>
      </c>
      <c r="AH866" t="str">
        <f>"-"</f>
        <v>-</v>
      </c>
      <c r="AI866" t="str">
        <f>"15000.00"</f>
        <v>15000.00</v>
      </c>
      <c r="AJ866" t="str">
        <f>"C55-000-587-5811-1"</f>
        <v>C55-000-587-5811-1</v>
      </c>
      <c r="AK866" t="str">
        <f>"13416"</f>
        <v>13416</v>
      </c>
      <c r="AL866">
        <v>4</v>
      </c>
      <c r="AM866">
        <v>1002</v>
      </c>
      <c r="AN866">
        <v>1105.6600000000001</v>
      </c>
      <c r="AQ866" t="s">
        <v>9043</v>
      </c>
      <c r="AR866" t="s">
        <v>9043</v>
      </c>
      <c r="AS866" t="s">
        <v>9043</v>
      </c>
      <c r="AU866" t="s">
        <v>396</v>
      </c>
      <c r="AV866">
        <v>2017</v>
      </c>
      <c r="AW866" t="str">
        <f>"29-2N-25-3220-0003-0054 "</f>
        <v xml:space="preserve">29-2N-25-3220-0003-0054 </v>
      </c>
      <c r="AX866">
        <v>45102</v>
      </c>
      <c r="AZ866" t="s">
        <v>4910</v>
      </c>
      <c r="BA866" t="s">
        <v>1122</v>
      </c>
      <c r="BD866" t="s">
        <v>2785</v>
      </c>
      <c r="BE866" t="s">
        <v>393</v>
      </c>
      <c r="BF866">
        <v>32011</v>
      </c>
      <c r="BG866" t="s">
        <v>9044</v>
      </c>
      <c r="BH866" t="s">
        <v>2787</v>
      </c>
      <c r="BI866">
        <v>-81.829041229677799</v>
      </c>
      <c r="BJ866">
        <v>30.5588242465405</v>
      </c>
      <c r="BK866" t="s">
        <v>6709</v>
      </c>
      <c r="BM866" t="s">
        <v>1372</v>
      </c>
      <c r="BN866" t="s">
        <v>928</v>
      </c>
      <c r="BO866">
        <v>32011</v>
      </c>
      <c r="BP866" t="s">
        <v>404</v>
      </c>
      <c r="BQ866">
        <v>100</v>
      </c>
      <c r="BR866" t="s">
        <v>514</v>
      </c>
      <c r="BS866">
        <v>1001</v>
      </c>
      <c r="BT866" t="s">
        <v>515</v>
      </c>
      <c r="BW866">
        <v>2833</v>
      </c>
      <c r="BX866" t="s">
        <v>407</v>
      </c>
      <c r="BZ866">
        <v>4</v>
      </c>
      <c r="CA866">
        <v>1985</v>
      </c>
      <c r="CB866">
        <v>2</v>
      </c>
      <c r="CC866">
        <v>1</v>
      </c>
      <c r="CD866">
        <v>2017</v>
      </c>
      <c r="CE866">
        <v>15000</v>
      </c>
      <c r="CF866">
        <v>45155</v>
      </c>
      <c r="CG866">
        <v>60155</v>
      </c>
      <c r="CH866">
        <v>2017</v>
      </c>
      <c r="CI866">
        <v>15000</v>
      </c>
      <c r="CJ866">
        <v>45155</v>
      </c>
      <c r="CK866">
        <v>60155</v>
      </c>
      <c r="CL866">
        <v>2017</v>
      </c>
      <c r="CM866">
        <v>992.75</v>
      </c>
      <c r="CN866" s="1">
        <v>39238</v>
      </c>
      <c r="CO866">
        <v>75000</v>
      </c>
      <c r="CV866">
        <v>75150</v>
      </c>
      <c r="CX866" t="s">
        <v>9036</v>
      </c>
      <c r="CZ866" s="1">
        <v>39238</v>
      </c>
      <c r="DA866">
        <v>0</v>
      </c>
      <c r="DD866" t="s">
        <v>2785</v>
      </c>
      <c r="DF866">
        <v>5</v>
      </c>
      <c r="DG866">
        <v>29</v>
      </c>
      <c r="DL866">
        <v>50503</v>
      </c>
      <c r="DM866" t="s">
        <v>8888</v>
      </c>
      <c r="DO866" t="s">
        <v>9045</v>
      </c>
      <c r="DP866">
        <v>0</v>
      </c>
      <c r="DQ866">
        <v>1</v>
      </c>
      <c r="DR866" t="s">
        <v>1479</v>
      </c>
      <c r="EP866" t="s">
        <v>421</v>
      </c>
      <c r="EQ866" t="s">
        <v>422</v>
      </c>
      <c r="ER866">
        <v>2</v>
      </c>
      <c r="ES866">
        <v>4</v>
      </c>
      <c r="ET866">
        <v>2182.5</v>
      </c>
      <c r="EU866">
        <v>121.62</v>
      </c>
      <c r="EV866">
        <v>2304.12</v>
      </c>
      <c r="EW866" s="2">
        <v>43222</v>
      </c>
      <c r="EX866" s="1">
        <v>42879</v>
      </c>
      <c r="EY866">
        <v>2016</v>
      </c>
      <c r="EZ866">
        <v>1091.25</v>
      </c>
      <c r="FA866" t="s">
        <v>9046</v>
      </c>
      <c r="FB866">
        <v>0.25</v>
      </c>
      <c r="FC866" t="s">
        <v>424</v>
      </c>
      <c r="FD866" t="s">
        <v>454</v>
      </c>
      <c r="FF866">
        <v>12</v>
      </c>
      <c r="FG866">
        <v>2851116</v>
      </c>
      <c r="FH866" t="s">
        <v>480</v>
      </c>
      <c r="FJ866" s="1">
        <v>42879</v>
      </c>
      <c r="FK866">
        <v>2016</v>
      </c>
      <c r="FL866">
        <v>1091.25</v>
      </c>
      <c r="FM866" t="s">
        <v>9046</v>
      </c>
      <c r="FN866">
        <v>0.25</v>
      </c>
      <c r="FO866" t="s">
        <v>424</v>
      </c>
      <c r="FP866" t="s">
        <v>454</v>
      </c>
      <c r="FR866">
        <v>12</v>
      </c>
      <c r="FS866">
        <v>5710463</v>
      </c>
      <c r="FT866" t="s">
        <v>9047</v>
      </c>
      <c r="FV866" s="1">
        <v>41787</v>
      </c>
      <c r="FW866">
        <v>2013</v>
      </c>
      <c r="FX866">
        <v>967.75</v>
      </c>
      <c r="FY866" t="s">
        <v>9048</v>
      </c>
      <c r="FZ866">
        <v>0.25</v>
      </c>
      <c r="GA866" t="s">
        <v>424</v>
      </c>
      <c r="GB866" t="s">
        <v>425</v>
      </c>
      <c r="GC866" s="1">
        <v>42202</v>
      </c>
      <c r="GD866">
        <v>14</v>
      </c>
      <c r="GE866">
        <v>12092</v>
      </c>
      <c r="GF866" t="s">
        <v>483</v>
      </c>
      <c r="GH866" s="1">
        <v>41423</v>
      </c>
      <c r="GI866">
        <v>2012</v>
      </c>
      <c r="GJ866">
        <v>935.25</v>
      </c>
      <c r="GK866" t="s">
        <v>9049</v>
      </c>
      <c r="GL866">
        <v>0.25</v>
      </c>
      <c r="GM866" t="s">
        <v>424</v>
      </c>
      <c r="GN866" t="s">
        <v>425</v>
      </c>
      <c r="GO866" s="1">
        <v>42202</v>
      </c>
      <c r="GP866">
        <v>26</v>
      </c>
      <c r="GQ866">
        <v>10096</v>
      </c>
      <c r="GR866" t="s">
        <v>1983</v>
      </c>
      <c r="GT866" s="1">
        <v>41052</v>
      </c>
      <c r="GU866">
        <v>2011</v>
      </c>
      <c r="GV866">
        <v>921.59</v>
      </c>
      <c r="GW866" t="s">
        <v>9050</v>
      </c>
      <c r="GX866">
        <v>4.5</v>
      </c>
      <c r="GY866" t="s">
        <v>424</v>
      </c>
      <c r="GZ866" t="s">
        <v>425</v>
      </c>
      <c r="HA866" s="1">
        <v>41834</v>
      </c>
      <c r="HB866">
        <v>26</v>
      </c>
      <c r="HC866">
        <v>1625515</v>
      </c>
      <c r="HD866" t="s">
        <v>487</v>
      </c>
      <c r="HF866" s="1">
        <v>41052</v>
      </c>
      <c r="HG866">
        <v>2011</v>
      </c>
      <c r="HH866">
        <v>921.59</v>
      </c>
      <c r="HI866" t="s">
        <v>9050</v>
      </c>
      <c r="HJ866">
        <v>4.5</v>
      </c>
      <c r="HK866" t="s">
        <v>424</v>
      </c>
      <c r="HL866" t="s">
        <v>425</v>
      </c>
      <c r="HN866">
        <v>22</v>
      </c>
      <c r="HO866">
        <v>10579</v>
      </c>
      <c r="HP866" t="s">
        <v>488</v>
      </c>
    </row>
    <row r="867" spans="1:284" x14ac:dyDescent="0.25">
      <c r="A867">
        <v>16485874</v>
      </c>
      <c r="B867">
        <v>866</v>
      </c>
      <c r="C867" t="s">
        <v>393</v>
      </c>
      <c r="D867" t="s">
        <v>394</v>
      </c>
      <c r="F867" t="str">
        <f>"30-2N-25-0000-0001-0020"</f>
        <v>30-2N-25-0000-0001-0020</v>
      </c>
      <c r="H867" t="str">
        <f>"MAIN LINE TIMBER LLC"</f>
        <v>MAIN LINE TIMBER LLC</v>
      </c>
      <c r="I867" t="str">
        <f>"PO BOX 1694"</f>
        <v>PO BOX 1694</v>
      </c>
      <c r="J867" t="str">
        <f t="shared" si="275"/>
        <v>CALLAHAN FL 32011</v>
      </c>
      <c r="K867" t="str">
        <f>"US HWY 1"</f>
        <v>US HWY 1</v>
      </c>
      <c r="L867" t="str">
        <f t="shared" si="273"/>
        <v>CALLAHAN FL 32011</v>
      </c>
      <c r="M867" t="str">
        <f>"PT E1/2 OF NE1/4 PT OR 1385/758 PAR 1-2 LYING EAST OF RR R/W (EX PARS 1-3 1-4 1-5 &amp; 1-6)"</f>
        <v>PT E1/2 OF NE1/4 PT OR 1385/758 PAR 1-2 LYING EAST OF RR R/W (EX PARS 1-3 1-4 1-5 &amp; 1-6)</v>
      </c>
      <c r="N867" t="str">
        <f>""</f>
        <v/>
      </c>
      <c r="O867" t="str">
        <f>"39246"</f>
        <v>39246</v>
      </c>
      <c r="P867" t="str">
        <f t="shared" si="265"/>
        <v>2017</v>
      </c>
      <c r="Q867" t="str">
        <f>""</f>
        <v/>
      </c>
      <c r="R867" t="str">
        <f t="shared" si="277"/>
        <v>N</v>
      </c>
      <c r="S867" t="str">
        <f>"16.79"</f>
        <v>16.79</v>
      </c>
      <c r="T867" t="str">
        <f>"4156.33"</f>
        <v>4156.33</v>
      </c>
      <c r="U867" t="str">
        <f>"251850.00"</f>
        <v>251850.00</v>
      </c>
      <c r="V867" t="str">
        <f>"251850.00"</f>
        <v>251850.00</v>
      </c>
      <c r="W867" t="str">
        <f t="shared" si="266"/>
        <v>2017</v>
      </c>
      <c r="X867" t="str">
        <f>"5.22"</f>
        <v>5.22</v>
      </c>
      <c r="Y867" t="str">
        <f>"4313.02"</f>
        <v>4313.02</v>
      </c>
      <c r="Z867" t="str">
        <f>""</f>
        <v/>
      </c>
      <c r="AA867" t="str">
        <f>"251850.00"</f>
        <v>251850.00</v>
      </c>
      <c r="AB867" t="str">
        <f>"Commercial"</f>
        <v>Commercial</v>
      </c>
      <c r="AC867" t="str">
        <f t="shared" si="274"/>
        <v>0</v>
      </c>
      <c r="AD867" t="str">
        <f>""</f>
        <v/>
      </c>
      <c r="AE867" t="str">
        <f>""</f>
        <v/>
      </c>
      <c r="AF867" t="str">
        <f>"010"</f>
        <v>010</v>
      </c>
      <c r="AG867" t="str">
        <f t="shared" si="276"/>
        <v>FL</v>
      </c>
      <c r="AH867" t="str">
        <f>"731372.00"</f>
        <v>731372.00</v>
      </c>
      <c r="AI867" t="str">
        <f>"251850.00"</f>
        <v>251850.00</v>
      </c>
      <c r="AJ867" t="str">
        <f>"C55-000-587-6126-3"</f>
        <v>C55-000-587-6126-3</v>
      </c>
      <c r="AK867" t="str">
        <f>"13438"</f>
        <v>13438</v>
      </c>
      <c r="AL867">
        <v>4</v>
      </c>
      <c r="AM867">
        <v>1003</v>
      </c>
      <c r="AN867">
        <v>4527.07</v>
      </c>
      <c r="AQ867" t="s">
        <v>9051</v>
      </c>
      <c r="AR867" t="s">
        <v>9051</v>
      </c>
      <c r="AS867" t="s">
        <v>9051</v>
      </c>
      <c r="AU867" t="s">
        <v>396</v>
      </c>
      <c r="AV867">
        <v>2017</v>
      </c>
      <c r="AW867" t="str">
        <f>"30-2N-25-0000-0001-0020 "</f>
        <v xml:space="preserve">30-2N-25-0000-0001-0020 </v>
      </c>
      <c r="AZ867" t="s">
        <v>2386</v>
      </c>
      <c r="BD867" t="s">
        <v>2785</v>
      </c>
      <c r="BE867" t="s">
        <v>393</v>
      </c>
      <c r="BF867">
        <v>32011</v>
      </c>
      <c r="BG867" t="s">
        <v>2386</v>
      </c>
      <c r="BH867" t="s">
        <v>2787</v>
      </c>
      <c r="BI867">
        <v>-81.836290813108306</v>
      </c>
      <c r="BJ867">
        <v>30.567603985163</v>
      </c>
      <c r="BK867" t="s">
        <v>8558</v>
      </c>
      <c r="BM867" t="s">
        <v>1631</v>
      </c>
      <c r="BN867" t="s">
        <v>928</v>
      </c>
      <c r="BO867">
        <v>32011</v>
      </c>
      <c r="BP867" t="s">
        <v>404</v>
      </c>
      <c r="BQ867">
        <v>1000</v>
      </c>
      <c r="BR867" t="s">
        <v>2391</v>
      </c>
      <c r="BS867">
        <v>8002</v>
      </c>
      <c r="BT867" t="s">
        <v>2392</v>
      </c>
      <c r="BW867">
        <v>731372</v>
      </c>
      <c r="BX867" t="s">
        <v>407</v>
      </c>
      <c r="CD867">
        <v>2017</v>
      </c>
      <c r="CE867">
        <v>251850</v>
      </c>
      <c r="CG867">
        <v>251850</v>
      </c>
      <c r="CH867">
        <v>2017</v>
      </c>
      <c r="CI867">
        <v>251850</v>
      </c>
      <c r="CK867">
        <v>251850</v>
      </c>
      <c r="CL867">
        <v>2017</v>
      </c>
      <c r="CM867">
        <v>4156.33</v>
      </c>
      <c r="CN867" s="1">
        <v>38747</v>
      </c>
      <c r="CO867">
        <v>1000000</v>
      </c>
      <c r="CV867">
        <v>904625</v>
      </c>
      <c r="CX867" t="s">
        <v>675</v>
      </c>
      <c r="CZ867" s="1">
        <v>38747</v>
      </c>
      <c r="DA867">
        <v>0</v>
      </c>
      <c r="DD867" t="s">
        <v>2785</v>
      </c>
      <c r="DG867">
        <v>30</v>
      </c>
      <c r="DM867" t="s">
        <v>9052</v>
      </c>
      <c r="DO867" t="s">
        <v>9053</v>
      </c>
      <c r="DP867">
        <v>0</v>
      </c>
      <c r="DQ867">
        <v>11</v>
      </c>
      <c r="DR867" t="s">
        <v>411</v>
      </c>
      <c r="DS867" t="b">
        <v>1</v>
      </c>
      <c r="DT867" t="s">
        <v>8902</v>
      </c>
      <c r="DV867" t="s">
        <v>446</v>
      </c>
      <c r="DX867">
        <v>-9999</v>
      </c>
      <c r="DZ867" t="s">
        <v>447</v>
      </c>
      <c r="EA867" t="s">
        <v>448</v>
      </c>
      <c r="EB867" t="s">
        <v>9054</v>
      </c>
      <c r="EC867">
        <v>20101217</v>
      </c>
      <c r="ED867" t="s">
        <v>450</v>
      </c>
      <c r="EE867">
        <v>16</v>
      </c>
      <c r="EF867">
        <v>0</v>
      </c>
      <c r="EG867">
        <v>0</v>
      </c>
      <c r="EI867">
        <v>20160407</v>
      </c>
      <c r="EJ867">
        <v>0</v>
      </c>
      <c r="EK867">
        <v>0</v>
      </c>
      <c r="EP867" t="s">
        <v>421</v>
      </c>
      <c r="EQ867" t="s">
        <v>422</v>
      </c>
      <c r="ER867">
        <v>0</v>
      </c>
      <c r="ES867">
        <v>7</v>
      </c>
      <c r="ET867">
        <v>0</v>
      </c>
      <c r="EU867">
        <v>0</v>
      </c>
      <c r="EV867">
        <v>0</v>
      </c>
      <c r="EW867" s="2">
        <v>43222</v>
      </c>
      <c r="EX867" s="1">
        <v>42515</v>
      </c>
      <c r="EY867">
        <v>2015</v>
      </c>
      <c r="EZ867">
        <v>4725.79</v>
      </c>
      <c r="FA867" t="s">
        <v>9055</v>
      </c>
      <c r="FB867">
        <v>0.25</v>
      </c>
      <c r="FC867" t="s">
        <v>424</v>
      </c>
      <c r="FD867" t="s">
        <v>425</v>
      </c>
      <c r="FE867" s="1">
        <v>42655</v>
      </c>
      <c r="FF867">
        <v>5</v>
      </c>
      <c r="FG867">
        <v>11289</v>
      </c>
      <c r="FH867" t="s">
        <v>787</v>
      </c>
      <c r="FJ867" s="1">
        <v>42515</v>
      </c>
      <c r="FK867">
        <v>2015</v>
      </c>
      <c r="FL867">
        <v>4725.79</v>
      </c>
      <c r="FM867" t="s">
        <v>9055</v>
      </c>
      <c r="FN867">
        <v>0.25</v>
      </c>
      <c r="FO867" t="s">
        <v>424</v>
      </c>
      <c r="FP867" t="s">
        <v>425</v>
      </c>
      <c r="FR867">
        <v>22</v>
      </c>
      <c r="FS867">
        <v>7130525</v>
      </c>
      <c r="FT867" t="s">
        <v>9056</v>
      </c>
      <c r="FV867" s="1">
        <v>42151</v>
      </c>
      <c r="FW867">
        <v>2014</v>
      </c>
      <c r="FX867">
        <v>4791.16</v>
      </c>
      <c r="FY867" t="s">
        <v>9057</v>
      </c>
      <c r="FZ867">
        <v>0.25</v>
      </c>
      <c r="GA867" t="s">
        <v>424</v>
      </c>
      <c r="GB867" t="s">
        <v>425</v>
      </c>
      <c r="GC867" s="1">
        <v>42424</v>
      </c>
      <c r="GD867">
        <v>9</v>
      </c>
      <c r="GE867">
        <v>2101382</v>
      </c>
      <c r="GF867" t="s">
        <v>993</v>
      </c>
      <c r="GH867" s="1">
        <v>42151</v>
      </c>
      <c r="GI867">
        <v>2014</v>
      </c>
      <c r="GJ867">
        <v>4791.16</v>
      </c>
      <c r="GK867" t="s">
        <v>9057</v>
      </c>
      <c r="GL867">
        <v>0.25</v>
      </c>
      <c r="GM867" t="s">
        <v>424</v>
      </c>
      <c r="GN867" t="s">
        <v>425</v>
      </c>
      <c r="GP867">
        <v>22</v>
      </c>
      <c r="GQ867">
        <v>5520697</v>
      </c>
      <c r="GR867" t="s">
        <v>9058</v>
      </c>
      <c r="GT867" s="1">
        <v>41787</v>
      </c>
      <c r="GU867">
        <v>2013</v>
      </c>
      <c r="GV867">
        <v>4575.68</v>
      </c>
      <c r="GW867" t="s">
        <v>9059</v>
      </c>
      <c r="GX867">
        <v>0.25</v>
      </c>
      <c r="GY867" t="s">
        <v>424</v>
      </c>
      <c r="GZ867" t="s">
        <v>425</v>
      </c>
      <c r="HA867" s="1">
        <v>41829</v>
      </c>
      <c r="HB867">
        <v>2</v>
      </c>
      <c r="HC867">
        <v>11289</v>
      </c>
      <c r="HD867" t="s">
        <v>787</v>
      </c>
      <c r="HF867" s="1">
        <v>41423</v>
      </c>
      <c r="HG867">
        <v>2012</v>
      </c>
      <c r="HH867">
        <v>4627.3</v>
      </c>
      <c r="HI867" t="s">
        <v>9060</v>
      </c>
      <c r="HJ867">
        <v>0.25</v>
      </c>
      <c r="HK867" t="s">
        <v>424</v>
      </c>
      <c r="HL867" t="s">
        <v>425</v>
      </c>
      <c r="HM867" s="1">
        <v>41684</v>
      </c>
      <c r="HN867">
        <v>9</v>
      </c>
      <c r="HO867">
        <v>2101385</v>
      </c>
      <c r="HP867" t="s">
        <v>810</v>
      </c>
      <c r="HR867" s="1">
        <v>41052</v>
      </c>
      <c r="HS867">
        <v>2011</v>
      </c>
      <c r="HT867">
        <v>15472.96</v>
      </c>
      <c r="HU867" t="s">
        <v>9061</v>
      </c>
      <c r="HV867">
        <v>4.25</v>
      </c>
      <c r="HW867" t="s">
        <v>424</v>
      </c>
      <c r="HX867" t="s">
        <v>425</v>
      </c>
      <c r="HY867" s="1">
        <v>41122</v>
      </c>
      <c r="HZ867">
        <v>3</v>
      </c>
      <c r="IA867">
        <v>11340</v>
      </c>
      <c r="IB867" t="s">
        <v>1230</v>
      </c>
    </row>
    <row r="868" spans="1:284" x14ac:dyDescent="0.25">
      <c r="A868">
        <v>16485875</v>
      </c>
      <c r="B868">
        <v>867</v>
      </c>
      <c r="C868" t="s">
        <v>393</v>
      </c>
      <c r="D868" t="s">
        <v>394</v>
      </c>
      <c r="F868" t="str">
        <f>"30-2N-25-0000-0001-0060"</f>
        <v>30-2N-25-0000-0001-0060</v>
      </c>
      <c r="H868" t="str">
        <f>"MAIN LINE TIMBER LLC"</f>
        <v>MAIN LINE TIMBER LLC</v>
      </c>
      <c r="I868" t="str">
        <f>"PO BOX 1694"</f>
        <v>PO BOX 1694</v>
      </c>
      <c r="J868" t="str">
        <f t="shared" si="275"/>
        <v>CALLAHAN FL 32011</v>
      </c>
      <c r="K868" t="str">
        <f>"US HWY 1"</f>
        <v>US HWY 1</v>
      </c>
      <c r="L868" t="str">
        <f t="shared" si="273"/>
        <v>CALLAHAN FL 32011</v>
      </c>
      <c r="M868" t="str">
        <f>"PT E1/2 OF NE1/4 PT OR 1385/758 PARCELS 1-6 &amp; 37-1"</f>
        <v>PT E1/2 OF NE1/4 PT OR 1385/758 PARCELS 1-6 &amp; 37-1</v>
      </c>
      <c r="N868" t="str">
        <f>""</f>
        <v/>
      </c>
      <c r="O868" t="str">
        <f>"39250"</f>
        <v>39250</v>
      </c>
      <c r="P868" t="str">
        <f t="shared" si="265"/>
        <v>2017</v>
      </c>
      <c r="Q868" t="str">
        <f>""</f>
        <v/>
      </c>
      <c r="R868" t="str">
        <f t="shared" si="277"/>
        <v>N</v>
      </c>
      <c r="S868" t="str">
        <f>"10.08"</f>
        <v>10.08</v>
      </c>
      <c r="T868" t="str">
        <f>"2083.03"</f>
        <v>2083.03</v>
      </c>
      <c r="U868" t="str">
        <f>"109579.00"</f>
        <v>109579.00</v>
      </c>
      <c r="V868" t="str">
        <f>"109579.00"</f>
        <v>109579.00</v>
      </c>
      <c r="W868" t="str">
        <f t="shared" si="266"/>
        <v>2017</v>
      </c>
      <c r="X868" t="str">
        <f>"4.67"</f>
        <v>4.67</v>
      </c>
      <c r="Y868" t="str">
        <f>"2177.52"</f>
        <v>2177.52</v>
      </c>
      <c r="Z868" t="str">
        <f>""</f>
        <v/>
      </c>
      <c r="AA868" t="str">
        <f>"151200.00"</f>
        <v>151200.00</v>
      </c>
      <c r="AB868" t="str">
        <f>"Commercial"</f>
        <v>Commercial</v>
      </c>
      <c r="AC868" t="str">
        <f t="shared" si="274"/>
        <v>0</v>
      </c>
      <c r="AD868" t="str">
        <f>""</f>
        <v/>
      </c>
      <c r="AE868" t="str">
        <f>""</f>
        <v/>
      </c>
      <c r="AF868" t="str">
        <f>"010"</f>
        <v>010</v>
      </c>
      <c r="AG868" t="str">
        <f t="shared" si="276"/>
        <v>FL</v>
      </c>
      <c r="AH868" t="str">
        <f>"439084.00"</f>
        <v>439084.00</v>
      </c>
      <c r="AI868" t="str">
        <f>"151200.00"</f>
        <v>151200.00</v>
      </c>
      <c r="AJ868" t="str">
        <f>"C55-000-587-6130-5"</f>
        <v>C55-000-587-6130-5</v>
      </c>
      <c r="AK868" t="str">
        <f>"13442"</f>
        <v>13442</v>
      </c>
      <c r="AL868">
        <v>4</v>
      </c>
      <c r="AM868">
        <v>1004</v>
      </c>
      <c r="AN868">
        <v>2284.8000000000002</v>
      </c>
      <c r="AQ868" t="s">
        <v>9062</v>
      </c>
      <c r="AR868" t="s">
        <v>9062</v>
      </c>
      <c r="AS868" t="s">
        <v>9062</v>
      </c>
      <c r="AU868" t="s">
        <v>396</v>
      </c>
      <c r="AV868">
        <v>2017</v>
      </c>
      <c r="AW868" t="str">
        <f>"30-2N-25-0000-0001-0060 "</f>
        <v xml:space="preserve">30-2N-25-0000-0001-0060 </v>
      </c>
      <c r="AZ868" t="s">
        <v>2386</v>
      </c>
      <c r="BD868" t="s">
        <v>2785</v>
      </c>
      <c r="BE868" t="s">
        <v>393</v>
      </c>
      <c r="BF868">
        <v>32011</v>
      </c>
      <c r="BG868" t="s">
        <v>2386</v>
      </c>
      <c r="BH868" t="s">
        <v>2787</v>
      </c>
      <c r="BI868">
        <v>-81.835471184284103</v>
      </c>
      <c r="BJ868">
        <v>30.565935474977898</v>
      </c>
      <c r="BK868" t="s">
        <v>8558</v>
      </c>
      <c r="BM868" t="s">
        <v>1631</v>
      </c>
      <c r="BN868" t="s">
        <v>928</v>
      </c>
      <c r="BO868">
        <v>32011</v>
      </c>
      <c r="BP868" t="s">
        <v>404</v>
      </c>
      <c r="BQ868">
        <v>1000</v>
      </c>
      <c r="BR868" t="s">
        <v>2391</v>
      </c>
      <c r="BS868">
        <v>8002</v>
      </c>
      <c r="BT868" t="s">
        <v>2392</v>
      </c>
      <c r="BW868">
        <v>439084</v>
      </c>
      <c r="BX868" t="s">
        <v>407</v>
      </c>
      <c r="CD868">
        <v>2017</v>
      </c>
      <c r="CE868">
        <v>151200</v>
      </c>
      <c r="CG868">
        <v>151200</v>
      </c>
      <c r="CH868">
        <v>2017</v>
      </c>
      <c r="CI868">
        <v>151200</v>
      </c>
      <c r="CK868">
        <v>151200</v>
      </c>
      <c r="CL868">
        <v>2017</v>
      </c>
      <c r="CM868">
        <v>2083.0300000000002</v>
      </c>
      <c r="CN868" s="1">
        <v>38747</v>
      </c>
      <c r="CO868">
        <v>2000000</v>
      </c>
      <c r="CZ868" s="1">
        <v>38747</v>
      </c>
      <c r="DD868" t="s">
        <v>2785</v>
      </c>
      <c r="DG868">
        <v>30</v>
      </c>
      <c r="DL868">
        <v>50503</v>
      </c>
      <c r="DM868" t="s">
        <v>9052</v>
      </c>
      <c r="DO868" t="s">
        <v>9063</v>
      </c>
      <c r="DP868">
        <v>0</v>
      </c>
      <c r="DQ868">
        <v>7</v>
      </c>
      <c r="DR868" t="s">
        <v>411</v>
      </c>
      <c r="DS868" t="b">
        <v>1</v>
      </c>
      <c r="DT868" t="s">
        <v>8902</v>
      </c>
      <c r="DV868" t="s">
        <v>446</v>
      </c>
      <c r="DX868">
        <v>-9999</v>
      </c>
      <c r="DZ868" t="s">
        <v>447</v>
      </c>
      <c r="EA868" t="s">
        <v>448</v>
      </c>
      <c r="EB868" t="s">
        <v>9054</v>
      </c>
      <c r="EC868">
        <v>20101217</v>
      </c>
      <c r="ED868" t="s">
        <v>450</v>
      </c>
      <c r="EE868">
        <v>15.7</v>
      </c>
      <c r="EF868">
        <v>0</v>
      </c>
      <c r="EG868">
        <v>0</v>
      </c>
      <c r="EI868">
        <v>20160407</v>
      </c>
      <c r="EJ868">
        <v>0</v>
      </c>
      <c r="EK868">
        <v>0</v>
      </c>
      <c r="EP868" t="s">
        <v>421</v>
      </c>
      <c r="EQ868" t="s">
        <v>422</v>
      </c>
      <c r="ER868">
        <v>0</v>
      </c>
      <c r="ES868">
        <v>7</v>
      </c>
      <c r="ET868">
        <v>0</v>
      </c>
      <c r="EU868">
        <v>0</v>
      </c>
      <c r="EV868">
        <v>0</v>
      </c>
      <c r="EW868" s="2">
        <v>43222</v>
      </c>
      <c r="EX868" s="1">
        <v>42515</v>
      </c>
      <c r="EY868">
        <v>2015</v>
      </c>
      <c r="EZ868">
        <v>2182.5100000000002</v>
      </c>
      <c r="FA868" t="s">
        <v>9064</v>
      </c>
      <c r="FB868">
        <v>0.25</v>
      </c>
      <c r="FC868" t="s">
        <v>424</v>
      </c>
      <c r="FD868" t="s">
        <v>425</v>
      </c>
      <c r="FE868" s="1">
        <v>42655</v>
      </c>
      <c r="FF868">
        <v>5</v>
      </c>
      <c r="FG868">
        <v>7336671</v>
      </c>
      <c r="FH868" t="s">
        <v>437</v>
      </c>
      <c r="FJ868" s="1">
        <v>42515</v>
      </c>
      <c r="FK868">
        <v>2015</v>
      </c>
      <c r="FL868">
        <v>2182.5100000000002</v>
      </c>
      <c r="FM868" t="s">
        <v>9064</v>
      </c>
      <c r="FN868">
        <v>0.25</v>
      </c>
      <c r="FO868" t="s">
        <v>424</v>
      </c>
      <c r="FP868" t="s">
        <v>425</v>
      </c>
      <c r="FR868">
        <v>22</v>
      </c>
      <c r="FS868">
        <v>6799947</v>
      </c>
      <c r="FT868" t="s">
        <v>9065</v>
      </c>
      <c r="FV868" s="1">
        <v>42151</v>
      </c>
      <c r="FW868">
        <v>2014</v>
      </c>
      <c r="FX868">
        <v>2118.5</v>
      </c>
      <c r="FY868" t="s">
        <v>9066</v>
      </c>
      <c r="FZ868">
        <v>0.25</v>
      </c>
      <c r="GA868" t="s">
        <v>424</v>
      </c>
      <c r="GB868" t="s">
        <v>425</v>
      </c>
      <c r="GC868" s="1">
        <v>42424</v>
      </c>
      <c r="GD868">
        <v>9</v>
      </c>
      <c r="GE868">
        <v>2101382</v>
      </c>
      <c r="GF868" t="s">
        <v>993</v>
      </c>
      <c r="GH868" s="1">
        <v>42151</v>
      </c>
      <c r="GI868">
        <v>2014</v>
      </c>
      <c r="GJ868">
        <v>2118.5</v>
      </c>
      <c r="GK868" t="s">
        <v>9066</v>
      </c>
      <c r="GL868">
        <v>0.25</v>
      </c>
      <c r="GM868" t="s">
        <v>424</v>
      </c>
      <c r="GN868" t="s">
        <v>425</v>
      </c>
      <c r="GP868">
        <v>22</v>
      </c>
      <c r="GQ868">
        <v>5670334</v>
      </c>
      <c r="GR868" t="s">
        <v>9067</v>
      </c>
      <c r="GT868" s="1">
        <v>41787</v>
      </c>
      <c r="GU868">
        <v>2013</v>
      </c>
      <c r="GV868">
        <v>1982.95</v>
      </c>
      <c r="GW868" t="s">
        <v>9068</v>
      </c>
      <c r="GX868">
        <v>0.25</v>
      </c>
      <c r="GY868" t="s">
        <v>424</v>
      </c>
      <c r="GZ868" t="s">
        <v>425</v>
      </c>
      <c r="HA868" s="1">
        <v>41829</v>
      </c>
      <c r="HB868">
        <v>2</v>
      </c>
      <c r="HC868">
        <v>11289</v>
      </c>
      <c r="HD868" t="s">
        <v>787</v>
      </c>
      <c r="HF868" s="1">
        <v>41423</v>
      </c>
      <c r="HG868">
        <v>2012</v>
      </c>
      <c r="HH868">
        <v>1266.17</v>
      </c>
      <c r="HI868" t="s">
        <v>9069</v>
      </c>
      <c r="HJ868">
        <v>0.25</v>
      </c>
      <c r="HK868" t="s">
        <v>424</v>
      </c>
      <c r="HL868" t="s">
        <v>425</v>
      </c>
      <c r="HM868" s="1">
        <v>41684</v>
      </c>
      <c r="HN868">
        <v>9</v>
      </c>
      <c r="HO868">
        <v>11340</v>
      </c>
      <c r="HP868" t="s">
        <v>1230</v>
      </c>
      <c r="HR868" s="1">
        <v>41052</v>
      </c>
      <c r="HS868">
        <v>2011</v>
      </c>
      <c r="HT868">
        <v>1266.93</v>
      </c>
      <c r="HU868" t="s">
        <v>9070</v>
      </c>
      <c r="HV868">
        <v>5.75</v>
      </c>
      <c r="HW868" t="s">
        <v>424</v>
      </c>
      <c r="HX868" t="s">
        <v>425</v>
      </c>
      <c r="HY868" s="1">
        <v>41122</v>
      </c>
      <c r="HZ868">
        <v>3</v>
      </c>
      <c r="IA868">
        <v>10579</v>
      </c>
      <c r="IB868" t="s">
        <v>488</v>
      </c>
    </row>
    <row r="869" spans="1:284" x14ac:dyDescent="0.25">
      <c r="A869">
        <v>16485876</v>
      </c>
      <c r="B869">
        <v>868</v>
      </c>
      <c r="C869" t="s">
        <v>393</v>
      </c>
      <c r="D869" t="s">
        <v>394</v>
      </c>
      <c r="F869" t="str">
        <f>"30-2N-25-0000-0003-0140"</f>
        <v>30-2N-25-0000-0003-0140</v>
      </c>
      <c r="H869" t="str">
        <f>"KELLY DAVID M &amp; KELLY KERSTI G (JT/RS)"</f>
        <v>KELLY DAVID M &amp; KELLY KERSTI G (JT/RS)</v>
      </c>
      <c r="I869" t="str">
        <f>"45200 OAK TRAIL"</f>
        <v>45200 OAK TRAIL</v>
      </c>
      <c r="J869" t="str">
        <f t="shared" si="275"/>
        <v>CALLAHAN FL 32011</v>
      </c>
      <c r="K869" t="str">
        <f>"OAK TR"</f>
        <v>OAK TR</v>
      </c>
      <c r="L869" t="str">
        <f t="shared" si="273"/>
        <v>CALLAHAN FL 32011</v>
      </c>
      <c r="M869" t="str">
        <f>"PT NE1/4 OF SEC 30-2N-25E IN OR 2135/1212"</f>
        <v>PT NE1/4 OF SEC 30-2N-25E IN OR 2135/1212</v>
      </c>
      <c r="N869" t="str">
        <f>""</f>
        <v/>
      </c>
      <c r="O869" t="str">
        <f>"57555"</f>
        <v>57555</v>
      </c>
      <c r="P869" t="str">
        <f t="shared" si="265"/>
        <v>2017</v>
      </c>
      <c r="Q869" t="str">
        <f>""</f>
        <v/>
      </c>
      <c r="R869" t="str">
        <f t="shared" si="277"/>
        <v>N</v>
      </c>
      <c r="S869" t="str">
        <f>"1.60"</f>
        <v>1.60</v>
      </c>
      <c r="T869" t="str">
        <f>"5.28"</f>
        <v>5.28</v>
      </c>
      <c r="U869" t="str">
        <f>"320.00"</f>
        <v>320.00</v>
      </c>
      <c r="V869" t="str">
        <f>"320.00"</f>
        <v>320.00</v>
      </c>
      <c r="W869" t="str">
        <f t="shared" si="266"/>
        <v>2017</v>
      </c>
      <c r="X869" t="str">
        <f>""</f>
        <v/>
      </c>
      <c r="Y869" t="str">
        <f>"37.44"</f>
        <v>37.44</v>
      </c>
      <c r="Z869" t="str">
        <f>""</f>
        <v/>
      </c>
      <c r="AA869" t="str">
        <f>"320.00"</f>
        <v>320.00</v>
      </c>
      <c r="AB869" t="str">
        <f>"Agricultural"</f>
        <v>Agricultural</v>
      </c>
      <c r="AC869" t="str">
        <f t="shared" si="274"/>
        <v>0</v>
      </c>
      <c r="AD869" t="str">
        <f>""</f>
        <v/>
      </c>
      <c r="AE869" t="str">
        <f>""</f>
        <v/>
      </c>
      <c r="AF869" t="str">
        <f>"059"</f>
        <v>059</v>
      </c>
      <c r="AG869" t="str">
        <f t="shared" si="276"/>
        <v>FL</v>
      </c>
      <c r="AH869" t="str">
        <f>"69696.00"</f>
        <v>69696.00</v>
      </c>
      <c r="AI869" t="str">
        <f>"320.00"</f>
        <v>320.00</v>
      </c>
      <c r="AJ869" t="str">
        <f>"C55-001-099-3183-2"</f>
        <v>C55-001-099-3183-2</v>
      </c>
      <c r="AK869" t="str">
        <f>"13455"</f>
        <v>13455</v>
      </c>
      <c r="AL869">
        <v>4</v>
      </c>
      <c r="AM869">
        <v>1005</v>
      </c>
      <c r="AN869">
        <v>37.71</v>
      </c>
      <c r="AQ869" t="s">
        <v>9071</v>
      </c>
      <c r="AR869" t="s">
        <v>9071</v>
      </c>
      <c r="AS869" t="s">
        <v>9071</v>
      </c>
      <c r="AU869" t="s">
        <v>396</v>
      </c>
      <c r="AV869">
        <v>2017</v>
      </c>
      <c r="AW869" t="str">
        <f>"30-2N-25-0000-0003-0140 "</f>
        <v xml:space="preserve">30-2N-25-0000-0003-0140 </v>
      </c>
      <c r="AZ869" t="s">
        <v>9072</v>
      </c>
      <c r="BD869" t="s">
        <v>2785</v>
      </c>
      <c r="BE869" t="s">
        <v>393</v>
      </c>
      <c r="BF869">
        <v>32011</v>
      </c>
      <c r="BG869" t="s">
        <v>9072</v>
      </c>
      <c r="BH869" t="s">
        <v>2787</v>
      </c>
      <c r="BK869" t="s">
        <v>9073</v>
      </c>
      <c r="BM869" t="s">
        <v>9074</v>
      </c>
      <c r="BN869" t="s">
        <v>928</v>
      </c>
      <c r="BO869">
        <v>32011</v>
      </c>
      <c r="BQ869">
        <v>5902</v>
      </c>
      <c r="BR869" t="s">
        <v>1241</v>
      </c>
      <c r="BS869">
        <v>7009</v>
      </c>
      <c r="BT869" t="s">
        <v>418</v>
      </c>
      <c r="BW869">
        <v>69696</v>
      </c>
      <c r="BX869" t="s">
        <v>407</v>
      </c>
      <c r="CD869">
        <v>2017</v>
      </c>
      <c r="CG869">
        <v>320</v>
      </c>
      <c r="CH869">
        <v>2017</v>
      </c>
      <c r="CI869">
        <v>320</v>
      </c>
      <c r="CJ869">
        <v>23680</v>
      </c>
      <c r="CK869">
        <v>24000</v>
      </c>
      <c r="CL869">
        <v>2017</v>
      </c>
      <c r="CM869">
        <v>5.28</v>
      </c>
      <c r="DD869" t="s">
        <v>2785</v>
      </c>
      <c r="DM869" t="s">
        <v>9052</v>
      </c>
      <c r="DO869" t="s">
        <v>9075</v>
      </c>
    </row>
    <row r="870" spans="1:284" x14ac:dyDescent="0.25">
      <c r="A870">
        <v>16485877</v>
      </c>
      <c r="B870">
        <v>869</v>
      </c>
      <c r="C870" t="s">
        <v>393</v>
      </c>
      <c r="D870" t="s">
        <v>394</v>
      </c>
      <c r="F870" t="str">
        <f>"30-2N-25-0000-0009-0000"</f>
        <v>30-2N-25-0000-0009-0000</v>
      </c>
      <c r="H870" t="str">
        <f>"MCANINCH ELLIS L JR"</f>
        <v>MCANINCH ELLIS L JR</v>
      </c>
      <c r="I870" t="str">
        <f>"P O BOX 282"</f>
        <v>P O BOX 282</v>
      </c>
      <c r="J870" t="str">
        <f t="shared" si="275"/>
        <v>CALLAHAN FL 32011</v>
      </c>
      <c r="K870" t="str">
        <f>"617365 BRANDIES AV"</f>
        <v>617365 BRANDIES AV</v>
      </c>
      <c r="L870" t="str">
        <f t="shared" si="273"/>
        <v>CALLAHAN FL 32011</v>
      </c>
      <c r="M870" t="str">
        <f>"PT SE1/4 OF NE1/4 OF SEC 30-2N-25E &amp; PT OF FRACL NW1/4 OF SEC 29-2N-25E IN OR 893/229 (EX PT IN R/W &amp; EX PT IN OR 520/526)"</f>
        <v>PT SE1/4 OF NE1/4 OF SEC 30-2N-25E &amp; PT OF FRACL NW1/4 OF SEC 29-2N-25E IN OR 893/229 (EX PT IN R/W &amp; EX PT IN OR 520/526)</v>
      </c>
      <c r="N870" t="str">
        <f>""</f>
        <v/>
      </c>
      <c r="O870" t="str">
        <f>"39285"</f>
        <v>39285</v>
      </c>
      <c r="P870" t="str">
        <f t="shared" si="265"/>
        <v>2017</v>
      </c>
      <c r="Q870" t="str">
        <f>""</f>
        <v/>
      </c>
      <c r="R870" t="str">
        <f t="shared" si="277"/>
        <v>N</v>
      </c>
      <c r="S870" t="str">
        <f>"2.20"</f>
        <v>2.20</v>
      </c>
      <c r="T870" t="str">
        <f>"400.56"</f>
        <v>400.56</v>
      </c>
      <c r="U870" t="str">
        <f>"22854.00"</f>
        <v>22854.00</v>
      </c>
      <c r="V870" t="str">
        <f>"22854.00"</f>
        <v>22854.00</v>
      </c>
      <c r="W870" t="str">
        <f t="shared" si="266"/>
        <v>2017</v>
      </c>
      <c r="X870" t="str">
        <f>"12.00"</f>
        <v>12.00</v>
      </c>
      <c r="Y870" t="str">
        <f>"444.58"</f>
        <v>444.58</v>
      </c>
      <c r="Z870" t="str">
        <f>""</f>
        <v/>
      </c>
      <c r="AA870" t="str">
        <f>"26400.00"</f>
        <v>26400.00</v>
      </c>
      <c r="AB870" t="str">
        <f>"Residential"</f>
        <v>Residential</v>
      </c>
      <c r="AC870" t="str">
        <f t="shared" si="274"/>
        <v>0</v>
      </c>
      <c r="AD870" t="str">
        <f>""</f>
        <v/>
      </c>
      <c r="AE870" t="str">
        <f>""</f>
        <v/>
      </c>
      <c r="AF870" t="str">
        <f>"000"</f>
        <v>000</v>
      </c>
      <c r="AG870" t="str">
        <f t="shared" si="276"/>
        <v>FL</v>
      </c>
      <c r="AH870" t="str">
        <f>"95832.00"</f>
        <v>95832.00</v>
      </c>
      <c r="AI870" t="str">
        <f>"26400.00"</f>
        <v>26400.00</v>
      </c>
      <c r="AJ870" t="str">
        <f>"C55-000-587-6162-8"</f>
        <v>C55-000-587-6162-8</v>
      </c>
      <c r="AK870" t="str">
        <f>"13476"</f>
        <v>13476</v>
      </c>
      <c r="AL870">
        <v>4</v>
      </c>
      <c r="AM870">
        <v>1007</v>
      </c>
      <c r="AN870">
        <v>465.21</v>
      </c>
      <c r="AQ870" t="s">
        <v>9076</v>
      </c>
      <c r="AR870" t="s">
        <v>9076</v>
      </c>
      <c r="AS870" t="s">
        <v>9076</v>
      </c>
      <c r="AU870" t="s">
        <v>396</v>
      </c>
      <c r="AV870">
        <v>2017</v>
      </c>
      <c r="AW870" t="str">
        <f>"30-2N-25-0000-0009-0000 "</f>
        <v xml:space="preserve">30-2N-25-0000-0009-0000 </v>
      </c>
      <c r="AX870">
        <v>617365</v>
      </c>
      <c r="AZ870" t="s">
        <v>9077</v>
      </c>
      <c r="BA870" t="s">
        <v>1122</v>
      </c>
      <c r="BD870" t="s">
        <v>2785</v>
      </c>
      <c r="BE870" t="s">
        <v>393</v>
      </c>
      <c r="BF870">
        <v>32011</v>
      </c>
      <c r="BG870" t="s">
        <v>9078</v>
      </c>
      <c r="BH870" t="s">
        <v>2787</v>
      </c>
      <c r="BI870">
        <v>-81.834422605341103</v>
      </c>
      <c r="BJ870">
        <v>30.564669067897398</v>
      </c>
      <c r="BK870" t="s">
        <v>9079</v>
      </c>
      <c r="BM870" t="s">
        <v>9080</v>
      </c>
      <c r="BN870" t="s">
        <v>928</v>
      </c>
      <c r="BO870">
        <v>32011</v>
      </c>
      <c r="BP870" t="s">
        <v>404</v>
      </c>
      <c r="BQ870">
        <v>0</v>
      </c>
      <c r="BR870" t="s">
        <v>491</v>
      </c>
      <c r="BS870">
        <v>8001</v>
      </c>
      <c r="BT870" t="s">
        <v>492</v>
      </c>
      <c r="BW870">
        <v>93654</v>
      </c>
      <c r="BX870" t="s">
        <v>407</v>
      </c>
      <c r="CD870">
        <v>2017</v>
      </c>
      <c r="CE870">
        <v>26400</v>
      </c>
      <c r="CG870">
        <v>26400</v>
      </c>
      <c r="CH870">
        <v>2017</v>
      </c>
      <c r="CI870">
        <v>26400</v>
      </c>
      <c r="CK870">
        <v>26400</v>
      </c>
      <c r="CL870">
        <v>2017</v>
      </c>
      <c r="CM870">
        <v>400.56</v>
      </c>
      <c r="CN870" s="1">
        <v>36370</v>
      </c>
      <c r="CZ870" s="1">
        <v>36370</v>
      </c>
      <c r="DD870" t="s">
        <v>2785</v>
      </c>
      <c r="DG870">
        <v>30</v>
      </c>
      <c r="DL870">
        <v>50503</v>
      </c>
      <c r="DM870" t="s">
        <v>9052</v>
      </c>
      <c r="DO870" t="s">
        <v>9081</v>
      </c>
      <c r="DP870">
        <v>0</v>
      </c>
      <c r="DQ870">
        <v>4</v>
      </c>
      <c r="DR870" t="s">
        <v>1479</v>
      </c>
      <c r="DS870" t="b">
        <v>1</v>
      </c>
      <c r="DT870" t="s">
        <v>8902</v>
      </c>
      <c r="DV870" t="s">
        <v>446</v>
      </c>
      <c r="DX870">
        <v>-9999</v>
      </c>
      <c r="DZ870" t="s">
        <v>447</v>
      </c>
      <c r="EA870" t="s">
        <v>448</v>
      </c>
      <c r="EB870" t="s">
        <v>8903</v>
      </c>
      <c r="EC870">
        <v>20101217</v>
      </c>
      <c r="ED870" t="s">
        <v>450</v>
      </c>
      <c r="EE870">
        <v>15.7</v>
      </c>
      <c r="EF870">
        <v>0</v>
      </c>
      <c r="EG870">
        <v>0</v>
      </c>
      <c r="EI870">
        <v>20160407</v>
      </c>
      <c r="EJ870">
        <v>0</v>
      </c>
      <c r="EK870">
        <v>0</v>
      </c>
      <c r="EP870" t="s">
        <v>421</v>
      </c>
      <c r="EQ870" t="s">
        <v>452</v>
      </c>
      <c r="ER870">
        <v>0</v>
      </c>
      <c r="ES870">
        <v>3</v>
      </c>
      <c r="ET870">
        <v>0</v>
      </c>
      <c r="EU870">
        <v>0</v>
      </c>
      <c r="EV870">
        <v>0</v>
      </c>
      <c r="EW870" s="2">
        <v>43222</v>
      </c>
      <c r="EX870" s="1">
        <v>42515</v>
      </c>
      <c r="EY870">
        <v>2015</v>
      </c>
      <c r="EZ870">
        <v>428.23</v>
      </c>
      <c r="FA870" t="s">
        <v>9082</v>
      </c>
      <c r="FB870">
        <v>6</v>
      </c>
      <c r="FC870" t="s">
        <v>424</v>
      </c>
      <c r="FD870" t="s">
        <v>425</v>
      </c>
      <c r="FE870" s="1">
        <v>42852</v>
      </c>
      <c r="FF870">
        <v>11</v>
      </c>
      <c r="FG870">
        <v>10125</v>
      </c>
      <c r="FH870" t="s">
        <v>440</v>
      </c>
      <c r="FI870" t="s">
        <v>458</v>
      </c>
      <c r="FJ870" s="1">
        <v>42151</v>
      </c>
      <c r="FK870">
        <v>2014</v>
      </c>
      <c r="FL870">
        <v>414.49</v>
      </c>
      <c r="FM870" t="s">
        <v>9083</v>
      </c>
      <c r="FN870">
        <v>4.75</v>
      </c>
      <c r="FO870" t="s">
        <v>424</v>
      </c>
      <c r="FP870" t="s">
        <v>425</v>
      </c>
      <c r="FR870">
        <v>22</v>
      </c>
      <c r="FS870">
        <v>4975593</v>
      </c>
      <c r="FT870" t="s">
        <v>505</v>
      </c>
      <c r="FU870" t="s">
        <v>458</v>
      </c>
      <c r="FV870" s="1">
        <v>41787</v>
      </c>
      <c r="FW870">
        <v>2013</v>
      </c>
      <c r="FX870">
        <v>376.77</v>
      </c>
      <c r="FY870" t="s">
        <v>9084</v>
      </c>
      <c r="FZ870">
        <v>6.75</v>
      </c>
      <c r="GA870" t="s">
        <v>424</v>
      </c>
      <c r="GB870" t="s">
        <v>425</v>
      </c>
      <c r="GC870" s="1">
        <v>41836</v>
      </c>
      <c r="GD870">
        <v>2</v>
      </c>
      <c r="GE870">
        <v>2035919</v>
      </c>
      <c r="GF870" t="s">
        <v>507</v>
      </c>
    </row>
    <row r="871" spans="1:284" x14ac:dyDescent="0.25">
      <c r="A871">
        <v>16485878</v>
      </c>
      <c r="B871">
        <v>870</v>
      </c>
      <c r="C871" t="s">
        <v>393</v>
      </c>
      <c r="D871" t="s">
        <v>394</v>
      </c>
      <c r="F871" t="str">
        <f>"30-2N-25-0000-0016-0000"</f>
        <v>30-2N-25-0000-0016-0000</v>
      </c>
      <c r="H871" t="str">
        <f>"MCANINCH ELLIS JR &amp; CHARLOTTE &amp; CALLAHAN FUNERAL HOME INC"</f>
        <v>MCANINCH ELLIS JR &amp; CHARLOTTE &amp; CALLAHAN FUNERAL HOME INC</v>
      </c>
      <c r="I871" t="str">
        <f>"PO BOX 282"</f>
        <v>PO BOX 282</v>
      </c>
      <c r="J871" t="str">
        <f t="shared" si="275"/>
        <v>CALLAHAN FL 32011</v>
      </c>
      <c r="K871" t="str">
        <f>"617365 BRANDIES AV"</f>
        <v>617365 BRANDIES AV</v>
      </c>
      <c r="L871" t="str">
        <f t="shared" si="273"/>
        <v>CALLAHAN FL 32011</v>
      </c>
      <c r="M871" t="str">
        <f>"PT OF NE1/4 OF SEC 30-2N-25E &amp; PT LOTS 2 3 4 5 6 &amp; 11 OF A E OGILVIE ADDN 2 PBK 1/19 IN OR 1595/1247 (EX PT IN R/W)"</f>
        <v>PT OF NE1/4 OF SEC 30-2N-25E &amp; PT LOTS 2 3 4 5 6 &amp; 11 OF A E OGILVIE ADDN 2 PBK 1/19 IN OR 1595/1247 (EX PT IN R/W)</v>
      </c>
      <c r="N871" t="str">
        <f>""</f>
        <v/>
      </c>
      <c r="O871" t="str">
        <f>"39293"</f>
        <v>39293</v>
      </c>
      <c r="P871" t="str">
        <f t="shared" si="265"/>
        <v>2017</v>
      </c>
      <c r="Q871" t="str">
        <f>""</f>
        <v/>
      </c>
      <c r="R871" t="str">
        <f t="shared" si="277"/>
        <v>N</v>
      </c>
      <c r="S871" t="str">
        <f>""</f>
        <v/>
      </c>
      <c r="T871" t="str">
        <f>"4256.31"</f>
        <v>4256.31</v>
      </c>
      <c r="U871" t="str">
        <f>"257909.00"</f>
        <v>257909.00</v>
      </c>
      <c r="V871" t="str">
        <f>"257909.00"</f>
        <v>257909.00</v>
      </c>
      <c r="W871" t="str">
        <f t="shared" si="266"/>
        <v>2017</v>
      </c>
      <c r="X871" t="str">
        <f>"5.40"</f>
        <v>5.40</v>
      </c>
      <c r="Y871" t="str">
        <f>"4416.00"</f>
        <v>4416.00</v>
      </c>
      <c r="Z871" t="str">
        <f>""</f>
        <v/>
      </c>
      <c r="AA871" t="str">
        <f>"257909.00"</f>
        <v>257909.00</v>
      </c>
      <c r="AB871" t="str">
        <f>"Institutional"</f>
        <v>Institutional</v>
      </c>
      <c r="AC871" t="str">
        <f t="shared" si="274"/>
        <v>0</v>
      </c>
      <c r="AD871" t="str">
        <f>"4"</f>
        <v>4</v>
      </c>
      <c r="AE871" t="str">
        <f>"WOOD (INCLUDE STEEL STUDS)"</f>
        <v>WOOD (INCLUDE STEEL STUDS)</v>
      </c>
      <c r="AF871" t="str">
        <f>"076"</f>
        <v>076</v>
      </c>
      <c r="AG871" t="str">
        <f t="shared" si="276"/>
        <v>FL</v>
      </c>
      <c r="AH871" t="str">
        <f>"44482.00"</f>
        <v>44482.00</v>
      </c>
      <c r="AI871" t="str">
        <f>"100084.00"</f>
        <v>100084.00</v>
      </c>
      <c r="AJ871" t="str">
        <f>"C55-000-587-6170-1"</f>
        <v>C55-000-587-6170-1</v>
      </c>
      <c r="AK871" t="str">
        <f>"13484"</f>
        <v>13484</v>
      </c>
      <c r="AL871">
        <v>4</v>
      </c>
      <c r="AM871">
        <v>1008</v>
      </c>
      <c r="AN871">
        <v>4635.2</v>
      </c>
      <c r="AQ871" t="s">
        <v>9085</v>
      </c>
      <c r="AR871" t="s">
        <v>9085</v>
      </c>
      <c r="AS871" t="s">
        <v>9085</v>
      </c>
      <c r="AU871" t="s">
        <v>396</v>
      </c>
      <c r="AV871">
        <v>2017</v>
      </c>
      <c r="AW871" t="str">
        <f>"30-2N-25-0000-0016-0000 "</f>
        <v xml:space="preserve">30-2N-25-0000-0016-0000 </v>
      </c>
      <c r="AX871">
        <v>617365</v>
      </c>
      <c r="AZ871" t="s">
        <v>9077</v>
      </c>
      <c r="BA871" t="s">
        <v>1122</v>
      </c>
      <c r="BD871" t="s">
        <v>2785</v>
      </c>
      <c r="BE871" t="s">
        <v>393</v>
      </c>
      <c r="BF871">
        <v>32011</v>
      </c>
      <c r="BG871" t="s">
        <v>9078</v>
      </c>
      <c r="BH871" t="s">
        <v>2787</v>
      </c>
      <c r="BI871">
        <v>-81.834695982601104</v>
      </c>
      <c r="BJ871">
        <v>30.563584389604902</v>
      </c>
      <c r="BK871" t="s">
        <v>9086</v>
      </c>
      <c r="BM871" t="s">
        <v>9080</v>
      </c>
      <c r="BN871" t="s">
        <v>928</v>
      </c>
      <c r="BO871">
        <v>32011</v>
      </c>
      <c r="BP871" t="s">
        <v>404</v>
      </c>
      <c r="BQ871">
        <v>7600</v>
      </c>
      <c r="BR871" t="s">
        <v>9087</v>
      </c>
      <c r="BS871">
        <v>9109</v>
      </c>
      <c r="BT871" t="s">
        <v>9088</v>
      </c>
      <c r="BW871">
        <v>44479</v>
      </c>
      <c r="BX871" t="s">
        <v>407</v>
      </c>
      <c r="BZ871">
        <v>4</v>
      </c>
      <c r="CA871">
        <v>1908</v>
      </c>
      <c r="CB871">
        <v>1.5</v>
      </c>
      <c r="CD871">
        <v>2017</v>
      </c>
      <c r="CE871">
        <v>100084</v>
      </c>
      <c r="CF871">
        <v>157825</v>
      </c>
      <c r="CG871">
        <v>257909</v>
      </c>
      <c r="CH871">
        <v>2017</v>
      </c>
      <c r="CI871">
        <v>100084</v>
      </c>
      <c r="CJ871">
        <v>157825</v>
      </c>
      <c r="CK871">
        <v>257909</v>
      </c>
      <c r="CL871">
        <v>2017</v>
      </c>
      <c r="CM871">
        <v>4256.3100000000004</v>
      </c>
      <c r="CN871" s="1">
        <v>39785</v>
      </c>
      <c r="CZ871" s="1">
        <v>39785</v>
      </c>
      <c r="DD871" t="s">
        <v>2785</v>
      </c>
      <c r="DE871">
        <v>1</v>
      </c>
      <c r="DF871">
        <v>11</v>
      </c>
      <c r="DG871">
        <v>30</v>
      </c>
      <c r="DJ871" t="s">
        <v>9089</v>
      </c>
      <c r="DL871">
        <v>50503</v>
      </c>
      <c r="DM871" t="s">
        <v>9052</v>
      </c>
      <c r="DO871" t="s">
        <v>9090</v>
      </c>
      <c r="DP871">
        <v>0</v>
      </c>
      <c r="DQ871">
        <v>2</v>
      </c>
      <c r="DR871" t="s">
        <v>411</v>
      </c>
      <c r="DS871" t="b">
        <v>1</v>
      </c>
      <c r="DT871" t="s">
        <v>470</v>
      </c>
      <c r="DU871" t="s">
        <v>471</v>
      </c>
      <c r="DV871" t="s">
        <v>472</v>
      </c>
      <c r="DX871">
        <v>-9999</v>
      </c>
      <c r="DZ871" t="s">
        <v>447</v>
      </c>
      <c r="EA871" t="s">
        <v>448</v>
      </c>
      <c r="EB871" t="s">
        <v>742</v>
      </c>
      <c r="EC871">
        <v>20101217</v>
      </c>
      <c r="ED871" t="s">
        <v>474</v>
      </c>
      <c r="EF871">
        <v>117.2</v>
      </c>
      <c r="EG871">
        <v>66.400000000000006</v>
      </c>
      <c r="EI871">
        <v>20160407</v>
      </c>
      <c r="EJ871">
        <v>0</v>
      </c>
      <c r="EK871">
        <v>0</v>
      </c>
      <c r="EP871" t="s">
        <v>421</v>
      </c>
      <c r="EQ871" t="s">
        <v>422</v>
      </c>
      <c r="ER871">
        <v>0</v>
      </c>
      <c r="ES871">
        <v>8</v>
      </c>
      <c r="ET871">
        <v>0</v>
      </c>
      <c r="EU871">
        <v>0</v>
      </c>
      <c r="EV871">
        <v>0</v>
      </c>
      <c r="EW871" s="2">
        <v>43222</v>
      </c>
      <c r="EX871" s="1">
        <v>42879</v>
      </c>
      <c r="EY871">
        <v>2016</v>
      </c>
      <c r="EZ871">
        <v>4613.54</v>
      </c>
      <c r="FA871" t="s">
        <v>9091</v>
      </c>
      <c r="FB871">
        <v>0.25</v>
      </c>
      <c r="FC871" t="s">
        <v>424</v>
      </c>
      <c r="FD871" t="s">
        <v>425</v>
      </c>
      <c r="FE871" s="1">
        <v>42927</v>
      </c>
      <c r="FF871">
        <v>2</v>
      </c>
      <c r="FG871">
        <v>2851116</v>
      </c>
      <c r="FH871" t="s">
        <v>480</v>
      </c>
      <c r="FJ871" s="1">
        <v>42879</v>
      </c>
      <c r="FK871">
        <v>2016</v>
      </c>
      <c r="FL871">
        <v>4613.54</v>
      </c>
      <c r="FM871" t="s">
        <v>9091</v>
      </c>
      <c r="FN871">
        <v>0.25</v>
      </c>
      <c r="FO871" t="s">
        <v>424</v>
      </c>
      <c r="FP871" t="s">
        <v>425</v>
      </c>
      <c r="FR871">
        <v>22</v>
      </c>
      <c r="FS871">
        <v>5707950</v>
      </c>
      <c r="FT871" t="s">
        <v>9092</v>
      </c>
      <c r="FV871" s="1">
        <v>42515</v>
      </c>
      <c r="FW871">
        <v>2015</v>
      </c>
      <c r="FX871">
        <v>4753.0600000000004</v>
      </c>
      <c r="FY871" t="s">
        <v>9093</v>
      </c>
      <c r="FZ871">
        <v>0.25</v>
      </c>
      <c r="GA871" t="s">
        <v>424</v>
      </c>
      <c r="GB871" t="s">
        <v>425</v>
      </c>
      <c r="GC871" s="1">
        <v>42915</v>
      </c>
      <c r="GD871">
        <v>13</v>
      </c>
      <c r="GE871">
        <v>11289</v>
      </c>
      <c r="GF871" t="s">
        <v>787</v>
      </c>
      <c r="GH871" s="1">
        <v>42515</v>
      </c>
      <c r="GI871">
        <v>2015</v>
      </c>
      <c r="GJ871">
        <v>4753.0600000000004</v>
      </c>
      <c r="GK871" t="s">
        <v>9093</v>
      </c>
      <c r="GL871">
        <v>0.25</v>
      </c>
      <c r="GM871" t="s">
        <v>424</v>
      </c>
      <c r="GN871" t="s">
        <v>425</v>
      </c>
      <c r="GP871">
        <v>22</v>
      </c>
      <c r="GQ871">
        <v>7073582</v>
      </c>
      <c r="GR871" t="s">
        <v>9094</v>
      </c>
      <c r="GT871" s="1">
        <v>42151</v>
      </c>
      <c r="GU871">
        <v>2014</v>
      </c>
      <c r="GV871">
        <v>4730.01</v>
      </c>
      <c r="GW871" t="s">
        <v>9095</v>
      </c>
      <c r="GX871">
        <v>0.25</v>
      </c>
      <c r="GY871" t="s">
        <v>424</v>
      </c>
      <c r="GZ871" t="s">
        <v>425</v>
      </c>
      <c r="HA871" s="1">
        <v>42220</v>
      </c>
      <c r="HB871">
        <v>3</v>
      </c>
      <c r="HC871">
        <v>2851116</v>
      </c>
      <c r="HD871" t="s">
        <v>480</v>
      </c>
      <c r="HF871" s="1">
        <v>42151</v>
      </c>
      <c r="HG871">
        <v>2014</v>
      </c>
      <c r="HH871">
        <v>4730.01</v>
      </c>
      <c r="HI871" t="s">
        <v>9095</v>
      </c>
      <c r="HJ871">
        <v>0.25</v>
      </c>
      <c r="HK871" t="s">
        <v>424</v>
      </c>
      <c r="HL871" t="s">
        <v>425</v>
      </c>
      <c r="HN871">
        <v>22</v>
      </c>
      <c r="HO871">
        <v>5375734</v>
      </c>
      <c r="HP871" t="s">
        <v>9096</v>
      </c>
      <c r="HR871" s="1">
        <v>41787</v>
      </c>
      <c r="HS871">
        <v>2013</v>
      </c>
      <c r="HT871">
        <v>4545.93</v>
      </c>
      <c r="HU871" t="s">
        <v>9097</v>
      </c>
      <c r="HV871">
        <v>0.25</v>
      </c>
      <c r="HW871" t="s">
        <v>424</v>
      </c>
      <c r="HX871" t="s">
        <v>425</v>
      </c>
      <c r="HY871" s="1">
        <v>41836</v>
      </c>
      <c r="HZ871">
        <v>2</v>
      </c>
      <c r="IA871">
        <v>2851116</v>
      </c>
      <c r="IB871" t="s">
        <v>480</v>
      </c>
      <c r="ID871" s="1">
        <v>41052</v>
      </c>
      <c r="IE871">
        <v>2011</v>
      </c>
      <c r="IF871">
        <v>4173.51</v>
      </c>
      <c r="IG871" t="s">
        <v>9098</v>
      </c>
      <c r="IH871">
        <v>3.5</v>
      </c>
      <c r="II871" t="s">
        <v>424</v>
      </c>
      <c r="IJ871" t="s">
        <v>425</v>
      </c>
      <c r="IK871" s="1">
        <v>41274</v>
      </c>
      <c r="IL871">
        <v>7</v>
      </c>
      <c r="IM871">
        <v>13728</v>
      </c>
      <c r="IN871" t="s">
        <v>9099</v>
      </c>
    </row>
    <row r="872" spans="1:284" x14ac:dyDescent="0.25">
      <c r="A872">
        <v>16485879</v>
      </c>
      <c r="B872">
        <v>871</v>
      </c>
      <c r="C872" t="s">
        <v>393</v>
      </c>
      <c r="D872" t="s">
        <v>394</v>
      </c>
      <c r="F872" t="str">
        <f>"30-2N-25-0000-0017-0000"</f>
        <v>30-2N-25-0000-0017-0000</v>
      </c>
      <c r="H872" t="str">
        <f>"MORGAN RUBY A ESTATE C/O LEONARD MORGAN"</f>
        <v>MORGAN RUBY A ESTATE C/O LEONARD MORGAN</v>
      </c>
      <c r="I872" t="str">
        <f>"45276 MORGAN CIRCLE"</f>
        <v>45276 MORGAN CIRCLE</v>
      </c>
      <c r="J872" t="str">
        <f t="shared" si="275"/>
        <v>CALLAHAN FL 32011</v>
      </c>
      <c r="K872" t="str">
        <f>"45276 MORGAN CIR"</f>
        <v>45276 MORGAN CIR</v>
      </c>
      <c r="L872" t="str">
        <f t="shared" si="273"/>
        <v>CALLAHAN FL 32011</v>
      </c>
      <c r="M872" t="str">
        <f>"IN OR 83 PG 144 (EX PARCELS 17-1 17-2 18 &amp; 19) EX 17-3 1/6 HX INT"</f>
        <v>IN OR 83 PG 144 (EX PARCELS 17-1 17-2 18 &amp; 19) EX 17-3 1/6 HX INT</v>
      </c>
      <c r="N872" t="str">
        <f>""</f>
        <v/>
      </c>
      <c r="O872" t="str">
        <f>"39295"</f>
        <v>39295</v>
      </c>
      <c r="P872" t="str">
        <f t="shared" si="265"/>
        <v>2017</v>
      </c>
      <c r="Q872" t="str">
        <f>""</f>
        <v/>
      </c>
      <c r="R872" t="str">
        <f t="shared" si="277"/>
        <v>N</v>
      </c>
      <c r="S872" t="str">
        <f>"3.64"</f>
        <v>3.64</v>
      </c>
      <c r="T872" t="str">
        <f>"2032.95"</f>
        <v>2032.95</v>
      </c>
      <c r="U872" t="str">
        <f>"134287.00"</f>
        <v>134287.00</v>
      </c>
      <c r="V872" t="str">
        <f>"134287.00"</f>
        <v>134287.00</v>
      </c>
      <c r="W872" t="str">
        <f t="shared" si="266"/>
        <v>2017</v>
      </c>
      <c r="X872" t="str">
        <f>"22.14"</f>
        <v>22.14</v>
      </c>
      <c r="Y872" t="str">
        <f>"2125.94"</f>
        <v>2125.94</v>
      </c>
      <c r="Z872" t="str">
        <f>""</f>
        <v/>
      </c>
      <c r="AA872" t="str">
        <f>"134287.00"</f>
        <v>134287.00</v>
      </c>
      <c r="AB872" t="str">
        <f>"Residential"</f>
        <v>Residential</v>
      </c>
      <c r="AC872" t="str">
        <f t="shared" si="274"/>
        <v>0</v>
      </c>
      <c r="AD872" t="str">
        <f>"4"</f>
        <v>4</v>
      </c>
      <c r="AE872" t="str">
        <f>"WOOD (INCLUDE STEEL STUDS)"</f>
        <v>WOOD (INCLUDE STEEL STUDS)</v>
      </c>
      <c r="AF872" t="str">
        <f>"001"</f>
        <v>001</v>
      </c>
      <c r="AG872" t="str">
        <f t="shared" si="276"/>
        <v>FL</v>
      </c>
      <c r="AH872" t="str">
        <f>"158558.00"</f>
        <v>158558.00</v>
      </c>
      <c r="AI872" t="str">
        <f>"29120.00"</f>
        <v>29120.00</v>
      </c>
      <c r="AJ872" t="str">
        <f>"C55-000-587-6172-7"</f>
        <v>C55-000-587-6172-7</v>
      </c>
      <c r="AK872" t="str">
        <f>"13486"</f>
        <v>13486</v>
      </c>
      <c r="AL872">
        <v>4</v>
      </c>
      <c r="AM872">
        <v>1009</v>
      </c>
      <c r="AN872">
        <v>2230.64</v>
      </c>
      <c r="AQ872" t="s">
        <v>9100</v>
      </c>
      <c r="AR872" t="s">
        <v>9100</v>
      </c>
      <c r="AS872" t="s">
        <v>9100</v>
      </c>
      <c r="AU872" t="s">
        <v>396</v>
      </c>
      <c r="AV872">
        <v>2017</v>
      </c>
      <c r="AW872" t="str">
        <f>"30-2N-25-0000-0017-0000 "</f>
        <v xml:space="preserve">30-2N-25-0000-0017-0000 </v>
      </c>
      <c r="AX872">
        <v>45276</v>
      </c>
      <c r="AZ872" t="s">
        <v>8415</v>
      </c>
      <c r="BA872" t="s">
        <v>1799</v>
      </c>
      <c r="BD872" t="s">
        <v>2785</v>
      </c>
      <c r="BE872" t="s">
        <v>393</v>
      </c>
      <c r="BF872">
        <v>32011</v>
      </c>
      <c r="BG872" t="s">
        <v>9101</v>
      </c>
      <c r="BH872" t="s">
        <v>2787</v>
      </c>
      <c r="BI872">
        <v>-81.844766781552195</v>
      </c>
      <c r="BJ872">
        <v>30.5681891592887</v>
      </c>
      <c r="BK872" t="s">
        <v>9102</v>
      </c>
      <c r="BM872" t="s">
        <v>9101</v>
      </c>
      <c r="BN872" t="s">
        <v>928</v>
      </c>
      <c r="BO872">
        <v>32011</v>
      </c>
      <c r="BP872" t="s">
        <v>416</v>
      </c>
      <c r="BQ872">
        <v>100</v>
      </c>
      <c r="BR872" t="s">
        <v>514</v>
      </c>
      <c r="BS872">
        <v>1001</v>
      </c>
      <c r="BT872" t="s">
        <v>515</v>
      </c>
      <c r="BW872">
        <v>158558</v>
      </c>
      <c r="BX872" t="s">
        <v>407</v>
      </c>
      <c r="BY872" t="s">
        <v>408</v>
      </c>
      <c r="BZ872">
        <v>4</v>
      </c>
      <c r="CA872">
        <v>1945</v>
      </c>
      <c r="CB872">
        <v>1</v>
      </c>
      <c r="CC872">
        <v>2</v>
      </c>
      <c r="CD872">
        <v>2017</v>
      </c>
      <c r="CE872">
        <v>29120</v>
      </c>
      <c r="CF872">
        <v>105167</v>
      </c>
      <c r="CG872">
        <v>134287</v>
      </c>
      <c r="CH872">
        <v>2017</v>
      </c>
      <c r="CI872">
        <v>29120</v>
      </c>
      <c r="CJ872">
        <v>105167</v>
      </c>
      <c r="CK872">
        <v>134287</v>
      </c>
      <c r="CL872">
        <v>2017</v>
      </c>
      <c r="CM872">
        <v>2032.95</v>
      </c>
      <c r="DD872" t="s">
        <v>2785</v>
      </c>
      <c r="DG872">
        <v>30</v>
      </c>
      <c r="DL872">
        <v>50503</v>
      </c>
      <c r="DM872" t="s">
        <v>9052</v>
      </c>
      <c r="DO872" t="s">
        <v>9103</v>
      </c>
      <c r="DP872">
        <v>0</v>
      </c>
      <c r="DQ872">
        <v>0</v>
      </c>
      <c r="DR872" t="s">
        <v>411</v>
      </c>
      <c r="DS872" t="b">
        <v>1</v>
      </c>
      <c r="DT872" t="s">
        <v>396</v>
      </c>
      <c r="DV872" t="s">
        <v>446</v>
      </c>
      <c r="DX872">
        <v>-9999</v>
      </c>
      <c r="DZ872" t="s">
        <v>447</v>
      </c>
      <c r="EA872" t="s">
        <v>448</v>
      </c>
      <c r="EB872" t="s">
        <v>449</v>
      </c>
      <c r="EC872">
        <v>20101217</v>
      </c>
      <c r="ED872" t="s">
        <v>450</v>
      </c>
      <c r="EE872">
        <v>17.7</v>
      </c>
      <c r="EF872">
        <v>0</v>
      </c>
      <c r="EG872">
        <v>0</v>
      </c>
      <c r="EI872">
        <v>20160407</v>
      </c>
      <c r="EJ872">
        <v>0</v>
      </c>
      <c r="EK872">
        <v>0</v>
      </c>
      <c r="EP872" t="s">
        <v>421</v>
      </c>
      <c r="EQ872" t="s">
        <v>422</v>
      </c>
      <c r="ER872">
        <v>0</v>
      </c>
      <c r="ES872">
        <v>11</v>
      </c>
      <c r="ET872">
        <v>0</v>
      </c>
      <c r="EU872">
        <v>0</v>
      </c>
      <c r="EV872">
        <v>0</v>
      </c>
      <c r="EW872" s="2">
        <v>43222</v>
      </c>
      <c r="EX872" s="1">
        <v>42879</v>
      </c>
      <c r="EY872">
        <v>2016</v>
      </c>
      <c r="EZ872">
        <v>2268.98</v>
      </c>
      <c r="FA872" t="s">
        <v>9104</v>
      </c>
      <c r="FB872">
        <v>0.25</v>
      </c>
      <c r="FC872" t="s">
        <v>424</v>
      </c>
      <c r="FD872" t="s">
        <v>425</v>
      </c>
      <c r="FE872" s="1">
        <v>43153</v>
      </c>
      <c r="FF872">
        <v>9</v>
      </c>
      <c r="FG872">
        <v>7400234</v>
      </c>
      <c r="FH872" t="s">
        <v>426</v>
      </c>
      <c r="FJ872" s="1">
        <v>42879</v>
      </c>
      <c r="FK872">
        <v>2016</v>
      </c>
      <c r="FL872">
        <v>2268.98</v>
      </c>
      <c r="FM872" t="s">
        <v>9104</v>
      </c>
      <c r="FN872">
        <v>0.25</v>
      </c>
      <c r="FO872" t="s">
        <v>424</v>
      </c>
      <c r="FP872" t="s">
        <v>425</v>
      </c>
      <c r="FR872">
        <v>22</v>
      </c>
      <c r="FS872">
        <v>7499918</v>
      </c>
      <c r="FT872" t="s">
        <v>9105</v>
      </c>
      <c r="FV872" s="1">
        <v>42515</v>
      </c>
      <c r="FW872">
        <v>2015</v>
      </c>
      <c r="FX872">
        <v>2331.33</v>
      </c>
      <c r="FY872" t="s">
        <v>9106</v>
      </c>
      <c r="FZ872">
        <v>0.25</v>
      </c>
      <c r="GA872" t="s">
        <v>424</v>
      </c>
      <c r="GB872" t="s">
        <v>425</v>
      </c>
      <c r="GC872" s="1">
        <v>42670</v>
      </c>
      <c r="GD872">
        <v>5</v>
      </c>
      <c r="GE872">
        <v>2851116</v>
      </c>
      <c r="GF872" t="s">
        <v>480</v>
      </c>
      <c r="GH872" s="1">
        <v>42515</v>
      </c>
      <c r="GI872">
        <v>2015</v>
      </c>
      <c r="GJ872">
        <v>2331.33</v>
      </c>
      <c r="GK872" t="s">
        <v>9106</v>
      </c>
      <c r="GL872">
        <v>0.25</v>
      </c>
      <c r="GM872" t="s">
        <v>424</v>
      </c>
      <c r="GN872" t="s">
        <v>425</v>
      </c>
      <c r="GP872">
        <v>22</v>
      </c>
      <c r="GQ872">
        <v>5557721</v>
      </c>
      <c r="GR872" t="s">
        <v>9107</v>
      </c>
      <c r="GT872" s="1">
        <v>42151</v>
      </c>
      <c r="GU872">
        <v>2014</v>
      </c>
      <c r="GV872">
        <v>2434.27</v>
      </c>
      <c r="GW872" t="s">
        <v>9108</v>
      </c>
      <c r="GX872">
        <v>0.25</v>
      </c>
      <c r="GY872" t="s">
        <v>424</v>
      </c>
      <c r="GZ872" t="s">
        <v>425</v>
      </c>
      <c r="HA872" s="1">
        <v>42670</v>
      </c>
      <c r="HB872">
        <v>17</v>
      </c>
      <c r="HC872">
        <v>2851116</v>
      </c>
      <c r="HD872" t="s">
        <v>480</v>
      </c>
      <c r="HF872" s="1">
        <v>42151</v>
      </c>
      <c r="HG872">
        <v>2014</v>
      </c>
      <c r="HH872">
        <v>2434.27</v>
      </c>
      <c r="HI872" t="s">
        <v>9108</v>
      </c>
      <c r="HJ872">
        <v>0.25</v>
      </c>
      <c r="HK872" t="s">
        <v>424</v>
      </c>
      <c r="HL872" t="s">
        <v>425</v>
      </c>
      <c r="HN872">
        <v>22</v>
      </c>
      <c r="HO872">
        <v>5085533</v>
      </c>
      <c r="HP872" t="s">
        <v>9109</v>
      </c>
      <c r="HR872" s="1">
        <v>41787</v>
      </c>
      <c r="HS872">
        <v>2013</v>
      </c>
      <c r="HT872">
        <v>1932.44</v>
      </c>
      <c r="HU872" t="s">
        <v>9110</v>
      </c>
      <c r="HV872">
        <v>0.25</v>
      </c>
      <c r="HW872" t="s">
        <v>424</v>
      </c>
      <c r="HX872" t="s">
        <v>425</v>
      </c>
      <c r="HY872" s="1">
        <v>42458</v>
      </c>
      <c r="HZ872">
        <v>22</v>
      </c>
      <c r="IA872">
        <v>2407503</v>
      </c>
      <c r="IB872" t="s">
        <v>461</v>
      </c>
      <c r="ID872" s="1">
        <v>41423</v>
      </c>
      <c r="IE872">
        <v>2012</v>
      </c>
      <c r="IF872">
        <v>2099.23</v>
      </c>
      <c r="IG872" t="s">
        <v>9111</v>
      </c>
      <c r="IH872">
        <v>0.25</v>
      </c>
      <c r="II872" t="s">
        <v>424</v>
      </c>
      <c r="IJ872" t="s">
        <v>425</v>
      </c>
      <c r="IK872" s="1">
        <v>42067</v>
      </c>
      <c r="IL872">
        <v>22</v>
      </c>
      <c r="IM872">
        <v>15398</v>
      </c>
      <c r="IN872" t="s">
        <v>1180</v>
      </c>
      <c r="IP872" s="1">
        <v>41052</v>
      </c>
      <c r="IQ872">
        <v>2011</v>
      </c>
      <c r="IR872">
        <v>2134.61</v>
      </c>
      <c r="IS872" t="s">
        <v>9112</v>
      </c>
      <c r="IT872">
        <v>0.25</v>
      </c>
      <c r="IU872" t="s">
        <v>424</v>
      </c>
      <c r="IV872" t="s">
        <v>425</v>
      </c>
      <c r="IW872" s="1">
        <v>41726</v>
      </c>
      <c r="IX872">
        <v>22</v>
      </c>
      <c r="IY872">
        <v>1130</v>
      </c>
      <c r="IZ872" t="s">
        <v>6717</v>
      </c>
      <c r="JB872" s="1">
        <v>41052</v>
      </c>
      <c r="JC872">
        <v>2011</v>
      </c>
      <c r="JD872">
        <v>2134.61</v>
      </c>
      <c r="JE872" t="s">
        <v>9112</v>
      </c>
      <c r="JF872">
        <v>0.25</v>
      </c>
      <c r="JG872" t="s">
        <v>424</v>
      </c>
      <c r="JH872" t="s">
        <v>425</v>
      </c>
      <c r="JJ872">
        <v>22</v>
      </c>
      <c r="JK872">
        <v>13262</v>
      </c>
      <c r="JL872" t="s">
        <v>9113</v>
      </c>
      <c r="JN872" s="1">
        <v>40688</v>
      </c>
      <c r="JO872">
        <v>2010</v>
      </c>
      <c r="JP872">
        <v>2152.2199999999998</v>
      </c>
      <c r="JQ872" t="s">
        <v>9114</v>
      </c>
      <c r="JR872">
        <v>0.25</v>
      </c>
      <c r="JS872" t="s">
        <v>424</v>
      </c>
      <c r="JT872" t="s">
        <v>425</v>
      </c>
      <c r="JU872" s="1">
        <v>41365</v>
      </c>
      <c r="JV872">
        <v>23</v>
      </c>
      <c r="JW872">
        <v>11141</v>
      </c>
      <c r="JX872" t="s">
        <v>1723</v>
      </c>
    </row>
    <row r="873" spans="1:284" x14ac:dyDescent="0.25">
      <c r="A873">
        <v>16485880</v>
      </c>
      <c r="B873">
        <v>872</v>
      </c>
      <c r="C873" t="s">
        <v>393</v>
      </c>
      <c r="D873" t="s">
        <v>394</v>
      </c>
      <c r="F873" t="str">
        <f>"30-2N-25-0000-0033-0010"</f>
        <v>30-2N-25-0000-0033-0010</v>
      </c>
      <c r="H873" t="str">
        <f>"WALTON DEBRA"</f>
        <v>WALTON DEBRA</v>
      </c>
      <c r="I873" t="str">
        <f>"45100 PONY TRAIL"</f>
        <v>45100 PONY TRAIL</v>
      </c>
      <c r="J873" t="str">
        <f t="shared" si="275"/>
        <v>CALLAHAN FL 32011</v>
      </c>
      <c r="K873" t="str">
        <f>"45100 PONY TRL"</f>
        <v>45100 PONY TRL</v>
      </c>
      <c r="L873" t="str">
        <f t="shared" si="273"/>
        <v>CALLAHAN FL 32011</v>
      </c>
      <c r="M873" t="str">
        <f>"PT OF SE1/4 OF SEC 30-2N-25E IN OR 2050/1729"</f>
        <v>PT OF SE1/4 OF SEC 30-2N-25E IN OR 2050/1729</v>
      </c>
      <c r="N873" t="str">
        <f>""</f>
        <v/>
      </c>
      <c r="O873" t="str">
        <f>"39314"</f>
        <v>39314</v>
      </c>
      <c r="P873" t="str">
        <f t="shared" si="265"/>
        <v>2017</v>
      </c>
      <c r="Q873" t="str">
        <f>""</f>
        <v/>
      </c>
      <c r="R873" t="str">
        <f t="shared" si="277"/>
        <v>N</v>
      </c>
      <c r="S873" t="str">
        <f>"1.03"</f>
        <v>1.03</v>
      </c>
      <c r="T873" t="str">
        <f>"577.38"</f>
        <v>577.38</v>
      </c>
      <c r="U873" t="str">
        <f>"31012.00"</f>
        <v>31012.00</v>
      </c>
      <c r="V873" t="str">
        <f>"31012.00"</f>
        <v>31012.00</v>
      </c>
      <c r="W873" t="str">
        <f t="shared" si="266"/>
        <v>2017</v>
      </c>
      <c r="X873" t="str">
        <f>""</f>
        <v/>
      </c>
      <c r="Y873" t="str">
        <f>"626.70"</f>
        <v>626.70</v>
      </c>
      <c r="Z873" t="str">
        <f>""</f>
        <v/>
      </c>
      <c r="AA873" t="str">
        <f>"40952.00"</f>
        <v>40952.00</v>
      </c>
      <c r="AB873" t="str">
        <f>"Residential"</f>
        <v>Residential</v>
      </c>
      <c r="AC873" t="str">
        <f t="shared" si="274"/>
        <v>0</v>
      </c>
      <c r="AD873" t="str">
        <f>"4"</f>
        <v>4</v>
      </c>
      <c r="AE873" t="str">
        <f>"WOOD (INCLUDE STEEL STUDS)"</f>
        <v>WOOD (INCLUDE STEEL STUDS)</v>
      </c>
      <c r="AF873" t="str">
        <f>"002"</f>
        <v>002</v>
      </c>
      <c r="AG873" t="str">
        <f t="shared" si="276"/>
        <v>FL</v>
      </c>
      <c r="AH873" t="str">
        <f>"44866.00"</f>
        <v>44866.00</v>
      </c>
      <c r="AI873" t="str">
        <f>"15450.00"</f>
        <v>15450.00</v>
      </c>
      <c r="AJ873" t="str">
        <f>"C55-001-073-0059-2"</f>
        <v>C55-001-073-0059-2</v>
      </c>
      <c r="AK873" t="str">
        <f>"13505"</f>
        <v>13505</v>
      </c>
      <c r="AL873">
        <v>4</v>
      </c>
      <c r="AM873">
        <v>1011</v>
      </c>
      <c r="AN873">
        <v>656.44</v>
      </c>
      <c r="AQ873" t="s">
        <v>9115</v>
      </c>
      <c r="AR873" t="s">
        <v>9115</v>
      </c>
      <c r="AS873" t="s">
        <v>9115</v>
      </c>
      <c r="AU873" t="s">
        <v>396</v>
      </c>
      <c r="AV873">
        <v>2017</v>
      </c>
      <c r="AW873" t="str">
        <f>"30-2N-25-0000-0033-0010 "</f>
        <v xml:space="preserve">30-2N-25-0000-0033-0010 </v>
      </c>
      <c r="AX873">
        <v>45100</v>
      </c>
      <c r="AZ873" t="s">
        <v>9116</v>
      </c>
      <c r="BA873" t="s">
        <v>2497</v>
      </c>
      <c r="BD873" t="s">
        <v>2785</v>
      </c>
      <c r="BE873" t="s">
        <v>393</v>
      </c>
      <c r="BF873">
        <v>32011</v>
      </c>
      <c r="BG873" t="s">
        <v>9117</v>
      </c>
      <c r="BH873" t="s">
        <v>2787</v>
      </c>
      <c r="BI873">
        <v>-81.840688858411895</v>
      </c>
      <c r="BJ873">
        <v>30.556632854066301</v>
      </c>
      <c r="BK873" t="s">
        <v>9118</v>
      </c>
      <c r="BL873" t="s">
        <v>9119</v>
      </c>
      <c r="BM873" t="s">
        <v>9120</v>
      </c>
      <c r="BN873" t="s">
        <v>548</v>
      </c>
      <c r="BO873">
        <v>32221</v>
      </c>
      <c r="BP873" t="s">
        <v>404</v>
      </c>
      <c r="BQ873">
        <v>200</v>
      </c>
      <c r="BR873" t="s">
        <v>405</v>
      </c>
      <c r="BS873">
        <v>1006</v>
      </c>
      <c r="BT873" t="s">
        <v>406</v>
      </c>
      <c r="BW873">
        <v>44866</v>
      </c>
      <c r="BX873" t="s">
        <v>407</v>
      </c>
      <c r="BZ873">
        <v>4</v>
      </c>
      <c r="CA873">
        <v>1992</v>
      </c>
      <c r="CB873">
        <v>1</v>
      </c>
      <c r="CC873">
        <v>1</v>
      </c>
      <c r="CD873">
        <v>2017</v>
      </c>
      <c r="CE873">
        <v>15450</v>
      </c>
      <c r="CF873">
        <v>25502</v>
      </c>
      <c r="CG873">
        <v>40952</v>
      </c>
      <c r="CH873">
        <v>2017</v>
      </c>
      <c r="CI873">
        <v>15450</v>
      </c>
      <c r="CJ873">
        <v>25502</v>
      </c>
      <c r="CK873">
        <v>40952</v>
      </c>
      <c r="CL873">
        <v>2017</v>
      </c>
      <c r="CM873">
        <v>577.38</v>
      </c>
      <c r="CN873" s="1">
        <v>42153</v>
      </c>
      <c r="CO873">
        <v>44300</v>
      </c>
      <c r="CZ873" s="1">
        <v>42153</v>
      </c>
      <c r="DD873" t="s">
        <v>2785</v>
      </c>
      <c r="DG873">
        <v>30</v>
      </c>
      <c r="DL873">
        <v>50503</v>
      </c>
      <c r="DM873" t="s">
        <v>9052</v>
      </c>
      <c r="DO873" t="s">
        <v>9121</v>
      </c>
      <c r="DP873">
        <v>0</v>
      </c>
      <c r="DQ873">
        <v>0</v>
      </c>
      <c r="DR873" t="s">
        <v>411</v>
      </c>
      <c r="DS873" t="s">
        <v>695</v>
      </c>
      <c r="EJ873">
        <v>0</v>
      </c>
      <c r="EK873">
        <v>0</v>
      </c>
      <c r="EP873" t="s">
        <v>421</v>
      </c>
      <c r="EQ873" t="s">
        <v>422</v>
      </c>
      <c r="ER873">
        <v>2</v>
      </c>
      <c r="ES873">
        <v>0</v>
      </c>
      <c r="ET873">
        <v>793.23</v>
      </c>
      <c r="EU873">
        <v>119.17</v>
      </c>
      <c r="EV873">
        <v>912.4</v>
      </c>
      <c r="EW873" s="2">
        <v>43222</v>
      </c>
      <c r="EX873" s="1">
        <v>42879</v>
      </c>
      <c r="EY873">
        <v>2016</v>
      </c>
      <c r="EZ873">
        <v>540.38</v>
      </c>
      <c r="FA873" t="s">
        <v>9122</v>
      </c>
      <c r="FB873">
        <v>0.25</v>
      </c>
      <c r="FC873" t="s">
        <v>424</v>
      </c>
      <c r="FD873" t="s">
        <v>454</v>
      </c>
      <c r="FF873">
        <v>12</v>
      </c>
      <c r="FG873">
        <v>7336745</v>
      </c>
      <c r="FH873" t="s">
        <v>502</v>
      </c>
      <c r="FJ873" s="1">
        <v>42515</v>
      </c>
      <c r="FK873">
        <v>2015</v>
      </c>
      <c r="FL873">
        <v>252.85</v>
      </c>
      <c r="FM873" t="s">
        <v>9123</v>
      </c>
      <c r="FN873">
        <v>15.75</v>
      </c>
      <c r="FO873" t="s">
        <v>424</v>
      </c>
      <c r="FP873" t="s">
        <v>454</v>
      </c>
      <c r="FR873">
        <v>24</v>
      </c>
      <c r="FS873">
        <v>10125</v>
      </c>
      <c r="FT873" t="s">
        <v>440</v>
      </c>
    </row>
    <row r="874" spans="1:284" x14ac:dyDescent="0.25">
      <c r="A874">
        <v>16485881</v>
      </c>
      <c r="B874">
        <v>873</v>
      </c>
      <c r="C874" t="s">
        <v>393</v>
      </c>
      <c r="D874" t="s">
        <v>394</v>
      </c>
      <c r="F874" t="str">
        <f>"30-2N-25-0000-0037-0000"</f>
        <v>30-2N-25-0000-0037-0000</v>
      </c>
      <c r="H874" t="str">
        <f>"MAIN LINE TIMBER LLC"</f>
        <v>MAIN LINE TIMBER LLC</v>
      </c>
      <c r="I874" t="str">
        <f>"PO BOX 1694"</f>
        <v>PO BOX 1694</v>
      </c>
      <c r="J874" t="str">
        <f t="shared" si="275"/>
        <v>CALLAHAN FL 32011</v>
      </c>
      <c r="K874" t="str">
        <f>"US HWY 1"</f>
        <v>US HWY 1</v>
      </c>
      <c r="L874" t="str">
        <f t="shared" si="273"/>
        <v>CALLAHAN FL 32011</v>
      </c>
      <c r="M874" t="str">
        <f>"PT E1/2 OF NE1/4 PT OR 1385/758 PAR 37(EX 37-1)"</f>
        <v>PT E1/2 OF NE1/4 PT OR 1385/758 PAR 37(EX 37-1)</v>
      </c>
      <c r="N874" t="str">
        <f>""</f>
        <v/>
      </c>
      <c r="O874" t="str">
        <f>"39319"</f>
        <v>39319</v>
      </c>
      <c r="P874" t="str">
        <f t="shared" si="265"/>
        <v>2017</v>
      </c>
      <c r="Q874" t="str">
        <f>""</f>
        <v/>
      </c>
      <c r="R874" t="str">
        <f t="shared" si="277"/>
        <v>N</v>
      </c>
      <c r="S874" t="str">
        <f>"0.96"</f>
        <v>0.96</v>
      </c>
      <c r="T874" t="str">
        <f>"237.64"</f>
        <v>237.64</v>
      </c>
      <c r="U874" t="str">
        <f>"14400.00"</f>
        <v>14400.00</v>
      </c>
      <c r="V874" t="str">
        <f>"14400.00"</f>
        <v>14400.00</v>
      </c>
      <c r="W874" t="str">
        <f t="shared" si="266"/>
        <v>2017</v>
      </c>
      <c r="X874" t="str">
        <f>"5.22"</f>
        <v>5.22</v>
      </c>
      <c r="Y874" t="str">
        <f>"276.77"</f>
        <v>276.77</v>
      </c>
      <c r="Z874" t="str">
        <f>""</f>
        <v/>
      </c>
      <c r="AA874" t="str">
        <f>"14400.00"</f>
        <v>14400.00</v>
      </c>
      <c r="AB874" t="str">
        <f>"Commercial"</f>
        <v>Commercial</v>
      </c>
      <c r="AC874" t="str">
        <f t="shared" si="274"/>
        <v>0</v>
      </c>
      <c r="AD874" t="str">
        <f>""</f>
        <v/>
      </c>
      <c r="AE874" t="str">
        <f>""</f>
        <v/>
      </c>
      <c r="AF874" t="str">
        <f>"010"</f>
        <v>010</v>
      </c>
      <c r="AG874" t="str">
        <f t="shared" si="276"/>
        <v>FL</v>
      </c>
      <c r="AH874" t="str">
        <f>"41817.00"</f>
        <v>41817.00</v>
      </c>
      <c r="AI874" t="str">
        <f>"14400.00"</f>
        <v>14400.00</v>
      </c>
      <c r="AJ874" t="str">
        <f>"C55-000-587-6194-1"</f>
        <v>C55-000-587-6194-1</v>
      </c>
      <c r="AK874" t="str">
        <f>"13513"</f>
        <v>13513</v>
      </c>
      <c r="AL874">
        <v>4</v>
      </c>
      <c r="AM874">
        <v>1012</v>
      </c>
      <c r="AN874">
        <v>289.01</v>
      </c>
      <c r="AQ874" t="s">
        <v>9124</v>
      </c>
      <c r="AR874" t="s">
        <v>9124</v>
      </c>
      <c r="AS874" t="s">
        <v>9124</v>
      </c>
      <c r="AU874" t="s">
        <v>396</v>
      </c>
      <c r="AV874">
        <v>2017</v>
      </c>
      <c r="AW874" t="str">
        <f>"30-2N-25-0000-0037-0000 "</f>
        <v xml:space="preserve">30-2N-25-0000-0037-0000 </v>
      </c>
      <c r="AZ874" t="s">
        <v>2386</v>
      </c>
      <c r="BD874" t="s">
        <v>2785</v>
      </c>
      <c r="BE874" t="s">
        <v>393</v>
      </c>
      <c r="BF874">
        <v>32011</v>
      </c>
      <c r="BG874" t="s">
        <v>2386</v>
      </c>
      <c r="BH874" t="s">
        <v>2787</v>
      </c>
      <c r="BI874">
        <v>-81.835012936865397</v>
      </c>
      <c r="BJ874">
        <v>30.567904870519101</v>
      </c>
      <c r="BK874" t="s">
        <v>8558</v>
      </c>
      <c r="BM874" t="s">
        <v>1631</v>
      </c>
      <c r="BN874" t="s">
        <v>928</v>
      </c>
      <c r="BO874">
        <v>32011</v>
      </c>
      <c r="BP874" t="s">
        <v>404</v>
      </c>
      <c r="BQ874">
        <v>1000</v>
      </c>
      <c r="BR874" t="s">
        <v>2391</v>
      </c>
      <c r="BS874">
        <v>8002</v>
      </c>
      <c r="BT874" t="s">
        <v>2392</v>
      </c>
      <c r="BW874">
        <v>41817</v>
      </c>
      <c r="BX874" t="s">
        <v>407</v>
      </c>
      <c r="CD874">
        <v>2017</v>
      </c>
      <c r="CE874">
        <v>14400</v>
      </c>
      <c r="CG874">
        <v>14400</v>
      </c>
      <c r="CH874">
        <v>2017</v>
      </c>
      <c r="CI874">
        <v>14400</v>
      </c>
      <c r="CK874">
        <v>14400</v>
      </c>
      <c r="CL874">
        <v>2017</v>
      </c>
      <c r="CM874">
        <v>237.64</v>
      </c>
      <c r="CN874" s="1">
        <v>38747</v>
      </c>
      <c r="CO874">
        <v>2000000</v>
      </c>
      <c r="CZ874" s="1">
        <v>38747</v>
      </c>
      <c r="DD874" t="s">
        <v>2785</v>
      </c>
      <c r="DG874">
        <v>30</v>
      </c>
      <c r="DL874">
        <v>50503</v>
      </c>
      <c r="DM874" t="s">
        <v>9052</v>
      </c>
      <c r="DO874" t="s">
        <v>9125</v>
      </c>
      <c r="DP874">
        <v>0</v>
      </c>
      <c r="DQ874">
        <v>1</v>
      </c>
      <c r="DR874" t="s">
        <v>411</v>
      </c>
      <c r="DS874" t="b">
        <v>1</v>
      </c>
      <c r="DT874" t="s">
        <v>8902</v>
      </c>
      <c r="DV874" t="s">
        <v>446</v>
      </c>
      <c r="DX874">
        <v>-9999</v>
      </c>
      <c r="DZ874" t="s">
        <v>447</v>
      </c>
      <c r="EA874" t="s">
        <v>448</v>
      </c>
      <c r="EB874" t="s">
        <v>9054</v>
      </c>
      <c r="EC874">
        <v>20101217</v>
      </c>
      <c r="ED874" t="s">
        <v>450</v>
      </c>
      <c r="EE874">
        <v>15.2</v>
      </c>
      <c r="EF874">
        <v>0</v>
      </c>
      <c r="EG874">
        <v>0</v>
      </c>
      <c r="EI874">
        <v>20160407</v>
      </c>
      <c r="EJ874">
        <v>0</v>
      </c>
      <c r="EK874">
        <v>0</v>
      </c>
      <c r="EP874" t="s">
        <v>421</v>
      </c>
      <c r="EQ874" t="s">
        <v>422</v>
      </c>
      <c r="ER874">
        <v>0</v>
      </c>
      <c r="ES874">
        <v>6</v>
      </c>
      <c r="ET874">
        <v>0</v>
      </c>
      <c r="EU874">
        <v>0</v>
      </c>
      <c r="EV874">
        <v>0</v>
      </c>
      <c r="EW874" s="2">
        <v>43222</v>
      </c>
      <c r="EX874" s="1">
        <v>42515</v>
      </c>
      <c r="EY874">
        <v>2015</v>
      </c>
      <c r="EZ874">
        <v>290.94</v>
      </c>
      <c r="FA874" t="s">
        <v>9126</v>
      </c>
      <c r="FB874">
        <v>0.25</v>
      </c>
      <c r="FC874" t="s">
        <v>424</v>
      </c>
      <c r="FD874" t="s">
        <v>425</v>
      </c>
      <c r="FE874" s="1">
        <v>42655</v>
      </c>
      <c r="FF874">
        <v>5</v>
      </c>
      <c r="FG874">
        <v>7336671</v>
      </c>
      <c r="FH874" t="s">
        <v>437</v>
      </c>
      <c r="FJ874" s="1">
        <v>42515</v>
      </c>
      <c r="FK874">
        <v>2015</v>
      </c>
      <c r="FL874">
        <v>290.94</v>
      </c>
      <c r="FM874" t="s">
        <v>9126</v>
      </c>
      <c r="FN874">
        <v>0.25</v>
      </c>
      <c r="FO874" t="s">
        <v>424</v>
      </c>
      <c r="FP874" t="s">
        <v>425</v>
      </c>
      <c r="FR874">
        <v>22</v>
      </c>
      <c r="FS874">
        <v>6859318</v>
      </c>
      <c r="FT874" t="s">
        <v>9127</v>
      </c>
      <c r="FV874" s="1">
        <v>42151</v>
      </c>
      <c r="FW874">
        <v>2014</v>
      </c>
      <c r="FX874">
        <v>294.69</v>
      </c>
      <c r="FY874" t="s">
        <v>9128</v>
      </c>
      <c r="FZ874">
        <v>5</v>
      </c>
      <c r="GA874" t="s">
        <v>424</v>
      </c>
      <c r="GB874" t="s">
        <v>425</v>
      </c>
      <c r="GC874" s="1">
        <v>42424</v>
      </c>
      <c r="GD874">
        <v>9</v>
      </c>
      <c r="GE874">
        <v>10125</v>
      </c>
      <c r="GF874" t="s">
        <v>440</v>
      </c>
      <c r="GH874" s="1">
        <v>41787</v>
      </c>
      <c r="GI874">
        <v>2013</v>
      </c>
      <c r="GJ874">
        <v>282.37</v>
      </c>
      <c r="GK874" t="s">
        <v>9129</v>
      </c>
      <c r="GL874">
        <v>15.75</v>
      </c>
      <c r="GM874" t="s">
        <v>424</v>
      </c>
      <c r="GN874" t="s">
        <v>425</v>
      </c>
      <c r="GO874" s="1">
        <v>41829</v>
      </c>
      <c r="GP874">
        <v>2</v>
      </c>
      <c r="GQ874">
        <v>10125</v>
      </c>
      <c r="GR874" t="s">
        <v>440</v>
      </c>
      <c r="GT874" s="1">
        <v>41423</v>
      </c>
      <c r="GU874">
        <v>2012</v>
      </c>
      <c r="GV874">
        <v>285.31</v>
      </c>
      <c r="GW874" t="s">
        <v>9130</v>
      </c>
      <c r="GX874">
        <v>6</v>
      </c>
      <c r="GY874" t="s">
        <v>424</v>
      </c>
      <c r="GZ874" t="s">
        <v>425</v>
      </c>
      <c r="HA874" s="1">
        <v>41684</v>
      </c>
      <c r="HB874">
        <v>9</v>
      </c>
      <c r="HC874">
        <v>105</v>
      </c>
      <c r="HD874" t="s">
        <v>946</v>
      </c>
      <c r="HF874" s="1">
        <v>41052</v>
      </c>
      <c r="HG874">
        <v>2011</v>
      </c>
      <c r="HH874">
        <v>897.91</v>
      </c>
      <c r="HI874" t="s">
        <v>9131</v>
      </c>
      <c r="HJ874">
        <v>5.75</v>
      </c>
      <c r="HK874" t="s">
        <v>424</v>
      </c>
      <c r="HL874" t="s">
        <v>425</v>
      </c>
      <c r="HM874" s="1">
        <v>41122</v>
      </c>
      <c r="HN874">
        <v>3</v>
      </c>
      <c r="HO874">
        <v>10579</v>
      </c>
      <c r="HP874" t="s">
        <v>488</v>
      </c>
    </row>
    <row r="875" spans="1:284" x14ac:dyDescent="0.25">
      <c r="A875">
        <v>16485882</v>
      </c>
      <c r="B875">
        <v>874</v>
      </c>
      <c r="C875" t="s">
        <v>393</v>
      </c>
      <c r="D875" t="s">
        <v>394</v>
      </c>
      <c r="F875" t="str">
        <f>"32-2N-25-0000-0002-0020"</f>
        <v>32-2N-25-0000-0002-0020</v>
      </c>
      <c r="H875" t="str">
        <f>"DELL DEBORAH H"</f>
        <v>DELL DEBORAH H</v>
      </c>
      <c r="I875" t="str">
        <f>"44087 WOODSIDE LANE"</f>
        <v>44087 WOODSIDE LANE</v>
      </c>
      <c r="J875" t="str">
        <f t="shared" si="275"/>
        <v>CALLAHAN FL 32011</v>
      </c>
      <c r="K875" t="str">
        <f>"44087 WOODSIDE LN"</f>
        <v>44087 WOODSIDE LN</v>
      </c>
      <c r="L875" t="str">
        <f t="shared" si="273"/>
        <v>CALLAHAN FL 32011</v>
      </c>
      <c r="M875" t="str">
        <f>"PT GOVT LOT 1 IN OR 1567/869 (EX OR 18/139)"</f>
        <v>PT GOVT LOT 1 IN OR 1567/869 (EX OR 18/139)</v>
      </c>
      <c r="N875" t="str">
        <f>""</f>
        <v/>
      </c>
      <c r="O875" t="str">
        <f>"40129"</f>
        <v>40129</v>
      </c>
      <c r="P875" t="str">
        <f t="shared" si="265"/>
        <v>2017</v>
      </c>
      <c r="Q875" t="str">
        <f>""</f>
        <v/>
      </c>
      <c r="R875" t="str">
        <f>"Y"</f>
        <v>Y</v>
      </c>
      <c r="S875" t="str">
        <f>"5.34"</f>
        <v>5.34</v>
      </c>
      <c r="T875" t="str">
        <f>"1559.72"</f>
        <v>1559.72</v>
      </c>
      <c r="U875" t="str">
        <f>"142132.00"</f>
        <v>142132.00</v>
      </c>
      <c r="V875" t="str">
        <f>"142132.00"</f>
        <v>142132.00</v>
      </c>
      <c r="W875" t="str">
        <f t="shared" si="266"/>
        <v>2017</v>
      </c>
      <c r="X875" t="str">
        <f>""</f>
        <v/>
      </c>
      <c r="Y875" t="str">
        <f>"1638.51"</f>
        <v>1638.51</v>
      </c>
      <c r="Z875" t="str">
        <f>"25000.00"</f>
        <v>25000.00</v>
      </c>
      <c r="AA875" t="str">
        <f>"117132.00"</f>
        <v>117132.00</v>
      </c>
      <c r="AB875" t="str">
        <f>"Residential"</f>
        <v>Residential</v>
      </c>
      <c r="AC875" t="str">
        <f t="shared" si="274"/>
        <v>0</v>
      </c>
      <c r="AD875" t="str">
        <f>"4"</f>
        <v>4</v>
      </c>
      <c r="AE875" t="str">
        <f>"WOOD (INCLUDE STEEL STUDS)"</f>
        <v>WOOD (INCLUDE STEEL STUDS)</v>
      </c>
      <c r="AF875" t="str">
        <f>"001"</f>
        <v>001</v>
      </c>
      <c r="AG875" t="str">
        <f t="shared" si="276"/>
        <v>FL</v>
      </c>
      <c r="AH875" t="str">
        <f>"232610.00"</f>
        <v>232610.00</v>
      </c>
      <c r="AI875" t="str">
        <f>"42720.00"</f>
        <v>42720.00</v>
      </c>
      <c r="AJ875" t="str">
        <f>"C55-000-587-6738-5"</f>
        <v>C55-000-587-6738-5</v>
      </c>
      <c r="AK875" t="str">
        <f>"13613"</f>
        <v>13613</v>
      </c>
      <c r="AL875">
        <v>4</v>
      </c>
      <c r="AM875">
        <v>1013</v>
      </c>
      <c r="AN875">
        <v>1718.84</v>
      </c>
      <c r="AQ875" t="s">
        <v>9132</v>
      </c>
      <c r="AR875" t="s">
        <v>9132</v>
      </c>
      <c r="AS875" t="s">
        <v>9132</v>
      </c>
      <c r="AU875" t="s">
        <v>396</v>
      </c>
      <c r="AV875">
        <v>2017</v>
      </c>
      <c r="AW875" t="str">
        <f>"32-2N-25-0000-0002-0020 "</f>
        <v xml:space="preserve">32-2N-25-0000-0002-0020 </v>
      </c>
      <c r="AX875">
        <v>44087</v>
      </c>
      <c r="AZ875" t="s">
        <v>9133</v>
      </c>
      <c r="BA875" t="s">
        <v>653</v>
      </c>
      <c r="BD875" t="s">
        <v>2785</v>
      </c>
      <c r="BE875" t="s">
        <v>393</v>
      </c>
      <c r="BF875">
        <v>32011</v>
      </c>
      <c r="BG875" t="s">
        <v>9134</v>
      </c>
      <c r="BH875" t="s">
        <v>2787</v>
      </c>
      <c r="BI875">
        <v>-81.817527401618193</v>
      </c>
      <c r="BJ875">
        <v>30.550627121610301</v>
      </c>
      <c r="BK875" t="s">
        <v>9135</v>
      </c>
      <c r="BM875" t="s">
        <v>9134</v>
      </c>
      <c r="BN875" t="s">
        <v>928</v>
      </c>
      <c r="BO875">
        <v>32011</v>
      </c>
      <c r="BP875" t="s">
        <v>416</v>
      </c>
      <c r="BQ875">
        <v>100</v>
      </c>
      <c r="BR875" t="s">
        <v>514</v>
      </c>
      <c r="BS875">
        <v>1001</v>
      </c>
      <c r="BT875" t="s">
        <v>515</v>
      </c>
      <c r="BW875">
        <v>232610</v>
      </c>
      <c r="BX875" t="s">
        <v>407</v>
      </c>
      <c r="BY875" t="s">
        <v>408</v>
      </c>
      <c r="BZ875">
        <v>4</v>
      </c>
      <c r="CA875">
        <v>1961</v>
      </c>
      <c r="CB875">
        <v>1</v>
      </c>
      <c r="CC875">
        <v>1</v>
      </c>
      <c r="CD875">
        <v>2017</v>
      </c>
      <c r="CG875">
        <v>142132</v>
      </c>
      <c r="CH875">
        <v>2017</v>
      </c>
      <c r="CI875">
        <v>42720</v>
      </c>
      <c r="CJ875">
        <v>103698</v>
      </c>
      <c r="CK875">
        <v>146418</v>
      </c>
      <c r="CL875">
        <v>2017</v>
      </c>
      <c r="CM875">
        <v>1559.72</v>
      </c>
      <c r="CN875" s="1">
        <v>39588</v>
      </c>
      <c r="CO875">
        <v>82400</v>
      </c>
      <c r="CZ875" s="1">
        <v>39588</v>
      </c>
      <c r="DD875" t="s">
        <v>2785</v>
      </c>
      <c r="DF875">
        <v>1</v>
      </c>
      <c r="DG875">
        <v>32</v>
      </c>
      <c r="DL875">
        <v>50503</v>
      </c>
      <c r="DM875" t="s">
        <v>9136</v>
      </c>
      <c r="DO875" t="s">
        <v>9137</v>
      </c>
      <c r="DP875">
        <v>0</v>
      </c>
      <c r="DQ875">
        <v>3</v>
      </c>
      <c r="DR875" t="s">
        <v>411</v>
      </c>
    </row>
    <row r="876" spans="1:284" x14ac:dyDescent="0.25">
      <c r="A876">
        <v>16485883</v>
      </c>
      <c r="B876">
        <v>875</v>
      </c>
      <c r="C876" t="s">
        <v>393</v>
      </c>
      <c r="D876" t="s">
        <v>394</v>
      </c>
      <c r="F876" t="str">
        <f>"32-2N-25-0000-0007-0000"</f>
        <v>32-2N-25-0000-0007-0000</v>
      </c>
      <c r="H876" t="str">
        <f>"WHIDDEN LOREN G"</f>
        <v>WHIDDEN LOREN G</v>
      </c>
      <c r="I876" t="str">
        <f>"541703 US HWY 1"</f>
        <v>541703 US HWY 1</v>
      </c>
      <c r="J876" t="str">
        <f t="shared" si="275"/>
        <v>CALLAHAN FL 32011</v>
      </c>
      <c r="K876" t="str">
        <f>"541703 US HWY 1"</f>
        <v>541703 US HWY 1</v>
      </c>
      <c r="L876" t="str">
        <f t="shared" si="273"/>
        <v>CALLAHAN FL 32011</v>
      </c>
      <c r="M876" t="str">
        <f>"PT GOVT LOT 1 OF SEC 32-2N-25E IN OR 285/212 &amp; ESMT IN OR 290/693"</f>
        <v>PT GOVT LOT 1 OF SEC 32-2N-25E IN OR 285/212 &amp; ESMT IN OR 290/693</v>
      </c>
      <c r="N876" t="str">
        <f>""</f>
        <v/>
      </c>
      <c r="O876" t="str">
        <f>"40137"</f>
        <v>40137</v>
      </c>
      <c r="P876" t="str">
        <f t="shared" si="265"/>
        <v>2017</v>
      </c>
      <c r="Q876" t="str">
        <f>""</f>
        <v/>
      </c>
      <c r="R876" t="str">
        <f t="shared" ref="R876:R887" si="278">"N"</f>
        <v>N</v>
      </c>
      <c r="S876" t="str">
        <f>""</f>
        <v/>
      </c>
      <c r="T876" t="str">
        <f>"2680.47"</f>
        <v>2680.47</v>
      </c>
      <c r="U876" t="str">
        <f>"177059.00"</f>
        <v>177059.00</v>
      </c>
      <c r="V876" t="str">
        <f>"177059.00"</f>
        <v>177059.00</v>
      </c>
      <c r="W876" t="str">
        <f t="shared" si="266"/>
        <v>2017</v>
      </c>
      <c r="X876" t="str">
        <f>"8.33"</f>
        <v>8.33</v>
      </c>
      <c r="Y876" t="str">
        <f>"2792.88"</f>
        <v>2792.88</v>
      </c>
      <c r="Z876" t="str">
        <f>""</f>
        <v/>
      </c>
      <c r="AA876" t="str">
        <f>"177059.00"</f>
        <v>177059.00</v>
      </c>
      <c r="AB876" t="str">
        <f>"Commercial"</f>
        <v>Commercial</v>
      </c>
      <c r="AC876" t="str">
        <f t="shared" si="274"/>
        <v>0</v>
      </c>
      <c r="AD876" t="str">
        <f>"4"</f>
        <v>4</v>
      </c>
      <c r="AE876" t="str">
        <f>"WOOD (INCLUDE STEEL STUDS)"</f>
        <v>WOOD (INCLUDE STEEL STUDS)</v>
      </c>
      <c r="AF876" t="str">
        <f>"027"</f>
        <v>027</v>
      </c>
      <c r="AG876" t="str">
        <f t="shared" si="276"/>
        <v>FL</v>
      </c>
      <c r="AH876" t="str">
        <f>"56628.00"</f>
        <v>56628.00</v>
      </c>
      <c r="AI876" t="str">
        <f>"33976.00"</f>
        <v>33976.00</v>
      </c>
      <c r="AJ876" t="str">
        <f>"C55-000-587-6746-8"</f>
        <v>C55-000-587-6746-8</v>
      </c>
      <c r="AK876" t="str">
        <f>"13621"</f>
        <v>13621</v>
      </c>
      <c r="AL876">
        <v>4</v>
      </c>
      <c r="AM876">
        <v>1014</v>
      </c>
      <c r="AN876">
        <v>2930.92</v>
      </c>
      <c r="AQ876" t="s">
        <v>9138</v>
      </c>
      <c r="AR876" t="s">
        <v>9138</v>
      </c>
      <c r="AS876" t="s">
        <v>9138</v>
      </c>
      <c r="AU876" t="s">
        <v>396</v>
      </c>
      <c r="AV876">
        <v>2017</v>
      </c>
      <c r="AW876" t="str">
        <f>"32-2N-25-0000-0007-0000 "</f>
        <v xml:space="preserve">32-2N-25-0000-0007-0000 </v>
      </c>
      <c r="AX876">
        <v>541703</v>
      </c>
      <c r="AZ876" t="s">
        <v>2386</v>
      </c>
      <c r="BD876" t="s">
        <v>2785</v>
      </c>
      <c r="BE876" t="s">
        <v>393</v>
      </c>
      <c r="BF876">
        <v>32011</v>
      </c>
      <c r="BG876" t="s">
        <v>9139</v>
      </c>
      <c r="BH876" t="s">
        <v>2787</v>
      </c>
      <c r="BI876">
        <v>-81.8200435365587</v>
      </c>
      <c r="BJ876">
        <v>30.547623297523</v>
      </c>
      <c r="BK876" t="s">
        <v>9140</v>
      </c>
      <c r="BM876" t="s">
        <v>9141</v>
      </c>
      <c r="BN876" t="s">
        <v>928</v>
      </c>
      <c r="BO876">
        <v>32011</v>
      </c>
      <c r="BP876" t="s">
        <v>404</v>
      </c>
      <c r="BQ876">
        <v>2700</v>
      </c>
      <c r="BR876" t="s">
        <v>4567</v>
      </c>
      <c r="BS876">
        <v>2023</v>
      </c>
      <c r="BT876" t="s">
        <v>4568</v>
      </c>
      <c r="BW876">
        <v>56628</v>
      </c>
      <c r="BX876" t="s">
        <v>407</v>
      </c>
      <c r="BY876" t="s">
        <v>4413</v>
      </c>
      <c r="BZ876">
        <v>4</v>
      </c>
      <c r="CA876">
        <v>1984</v>
      </c>
      <c r="CB876">
        <v>1</v>
      </c>
      <c r="CD876">
        <v>2017</v>
      </c>
      <c r="CE876">
        <v>33976</v>
      </c>
      <c r="CF876">
        <v>143083</v>
      </c>
      <c r="CG876">
        <v>177059</v>
      </c>
      <c r="CH876">
        <v>2017</v>
      </c>
      <c r="CI876">
        <v>33976</v>
      </c>
      <c r="CJ876">
        <v>143083</v>
      </c>
      <c r="CK876">
        <v>177059</v>
      </c>
      <c r="CL876">
        <v>2017</v>
      </c>
      <c r="CM876">
        <v>2680.47</v>
      </c>
      <c r="CN876" s="1">
        <v>28887</v>
      </c>
      <c r="CO876">
        <v>16200</v>
      </c>
      <c r="CZ876" s="1">
        <v>28887</v>
      </c>
      <c r="DD876" t="s">
        <v>2785</v>
      </c>
      <c r="DG876">
        <v>32</v>
      </c>
      <c r="DL876">
        <v>50503</v>
      </c>
      <c r="DM876" t="s">
        <v>9136</v>
      </c>
      <c r="DO876" t="s">
        <v>9142</v>
      </c>
      <c r="DP876">
        <v>0</v>
      </c>
      <c r="DQ876">
        <v>3</v>
      </c>
      <c r="DR876" t="s">
        <v>1479</v>
      </c>
      <c r="DS876" t="b">
        <v>1</v>
      </c>
      <c r="DT876" t="s">
        <v>470</v>
      </c>
      <c r="DU876" t="s">
        <v>471</v>
      </c>
      <c r="DV876" t="s">
        <v>472</v>
      </c>
      <c r="DX876">
        <v>-9999</v>
      </c>
      <c r="DZ876" t="s">
        <v>447</v>
      </c>
      <c r="EA876" t="s">
        <v>448</v>
      </c>
      <c r="EB876" t="s">
        <v>742</v>
      </c>
      <c r="EC876">
        <v>20101217</v>
      </c>
      <c r="ED876" t="s">
        <v>474</v>
      </c>
      <c r="EF876">
        <v>794.9</v>
      </c>
      <c r="EG876">
        <v>794.9</v>
      </c>
      <c r="EH876" t="s">
        <v>451</v>
      </c>
      <c r="EI876">
        <v>20140731</v>
      </c>
      <c r="EJ876">
        <v>0</v>
      </c>
      <c r="EK876">
        <v>0</v>
      </c>
      <c r="EP876" t="s">
        <v>421</v>
      </c>
      <c r="EQ876" t="s">
        <v>452</v>
      </c>
      <c r="ER876">
        <v>0</v>
      </c>
      <c r="ES876">
        <v>8</v>
      </c>
      <c r="ET876">
        <v>0</v>
      </c>
      <c r="EU876">
        <v>0</v>
      </c>
      <c r="EV876">
        <v>0</v>
      </c>
      <c r="EW876" s="2">
        <v>43222</v>
      </c>
      <c r="EX876" s="1">
        <v>42879</v>
      </c>
      <c r="EY876">
        <v>2016</v>
      </c>
      <c r="EZ876">
        <v>3034.89</v>
      </c>
      <c r="FA876" t="s">
        <v>9143</v>
      </c>
      <c r="FB876">
        <v>0.25</v>
      </c>
      <c r="FC876" t="s">
        <v>424</v>
      </c>
      <c r="FD876" t="s">
        <v>425</v>
      </c>
      <c r="FE876" s="1">
        <v>42900</v>
      </c>
      <c r="FF876">
        <v>1</v>
      </c>
      <c r="FG876">
        <v>7400234</v>
      </c>
      <c r="FH876" t="s">
        <v>426</v>
      </c>
      <c r="FJ876" s="1">
        <v>42879</v>
      </c>
      <c r="FK876">
        <v>2016</v>
      </c>
      <c r="FL876">
        <v>3034.89</v>
      </c>
      <c r="FM876" t="s">
        <v>9143</v>
      </c>
      <c r="FN876">
        <v>0.25</v>
      </c>
      <c r="FO876" t="s">
        <v>424</v>
      </c>
      <c r="FP876" t="s">
        <v>425</v>
      </c>
      <c r="FR876">
        <v>22</v>
      </c>
      <c r="FS876">
        <v>7463644</v>
      </c>
      <c r="FT876" t="s">
        <v>9144</v>
      </c>
      <c r="FV876" s="1">
        <v>42151</v>
      </c>
      <c r="FW876">
        <v>2014</v>
      </c>
      <c r="FX876">
        <v>3149.28</v>
      </c>
      <c r="FY876" t="s">
        <v>9145</v>
      </c>
      <c r="FZ876">
        <v>0.25</v>
      </c>
      <c r="GA876" t="s">
        <v>424</v>
      </c>
      <c r="GB876" t="s">
        <v>425</v>
      </c>
      <c r="GC876" s="1">
        <v>42311</v>
      </c>
      <c r="GD876">
        <v>6</v>
      </c>
      <c r="GE876">
        <v>2851116</v>
      </c>
      <c r="GF876" t="s">
        <v>480</v>
      </c>
      <c r="GG876" t="s">
        <v>458</v>
      </c>
      <c r="GH876" s="1">
        <v>42151</v>
      </c>
      <c r="GI876">
        <v>2014</v>
      </c>
      <c r="GJ876">
        <v>3149.28</v>
      </c>
      <c r="GK876" t="s">
        <v>9145</v>
      </c>
      <c r="GL876">
        <v>0.25</v>
      </c>
      <c r="GM876" t="s">
        <v>424</v>
      </c>
      <c r="GN876" t="s">
        <v>425</v>
      </c>
      <c r="GP876">
        <v>22</v>
      </c>
      <c r="GQ876">
        <v>5365765</v>
      </c>
      <c r="GR876" t="s">
        <v>9146</v>
      </c>
      <c r="GS876" t="s">
        <v>458</v>
      </c>
      <c r="GT876" s="1">
        <v>41787</v>
      </c>
      <c r="GU876">
        <v>2013</v>
      </c>
      <c r="GV876">
        <v>3043.07</v>
      </c>
      <c r="GW876" t="s">
        <v>9147</v>
      </c>
      <c r="GX876">
        <v>0.25</v>
      </c>
      <c r="GY876" t="s">
        <v>424</v>
      </c>
      <c r="GZ876" t="s">
        <v>425</v>
      </c>
      <c r="HA876" s="1">
        <v>42004</v>
      </c>
      <c r="HB876">
        <v>7</v>
      </c>
      <c r="HC876">
        <v>2101382</v>
      </c>
      <c r="HD876" t="s">
        <v>993</v>
      </c>
      <c r="HF876" s="1">
        <v>41423</v>
      </c>
      <c r="HG876">
        <v>2012</v>
      </c>
      <c r="HH876">
        <v>3881.34</v>
      </c>
      <c r="HI876" t="s">
        <v>9148</v>
      </c>
      <c r="HJ876">
        <v>0.25</v>
      </c>
      <c r="HK876" t="s">
        <v>424</v>
      </c>
      <c r="HL876" t="s">
        <v>425</v>
      </c>
      <c r="HN876">
        <v>22</v>
      </c>
      <c r="HO876">
        <v>606981</v>
      </c>
      <c r="HP876" t="s">
        <v>792</v>
      </c>
      <c r="HQ876" t="s">
        <v>458</v>
      </c>
      <c r="HR876" s="1">
        <v>41423</v>
      </c>
      <c r="HS876">
        <v>2012</v>
      </c>
      <c r="HT876">
        <v>3881.34</v>
      </c>
      <c r="HU876" t="s">
        <v>9148</v>
      </c>
      <c r="HV876">
        <v>0.25</v>
      </c>
      <c r="HW876" t="s">
        <v>424</v>
      </c>
      <c r="HX876" t="s">
        <v>425</v>
      </c>
      <c r="HZ876">
        <v>22</v>
      </c>
      <c r="IA876">
        <v>10594</v>
      </c>
      <c r="IB876" t="s">
        <v>4543</v>
      </c>
      <c r="IC876" t="s">
        <v>458</v>
      </c>
      <c r="ID876" s="1">
        <v>41423</v>
      </c>
      <c r="IE876">
        <v>2012</v>
      </c>
      <c r="IF876">
        <v>3881.34</v>
      </c>
      <c r="IG876" t="s">
        <v>9148</v>
      </c>
      <c r="IH876">
        <v>0.25</v>
      </c>
      <c r="II876" t="s">
        <v>424</v>
      </c>
      <c r="IJ876" t="s">
        <v>425</v>
      </c>
      <c r="IL876">
        <v>22</v>
      </c>
      <c r="IM876">
        <v>7045052</v>
      </c>
      <c r="IN876" t="s">
        <v>4544</v>
      </c>
      <c r="IO876" t="s">
        <v>458</v>
      </c>
    </row>
    <row r="877" spans="1:284" x14ac:dyDescent="0.25">
      <c r="A877">
        <v>16485884</v>
      </c>
      <c r="B877">
        <v>876</v>
      </c>
      <c r="C877" t="s">
        <v>393</v>
      </c>
      <c r="D877" t="s">
        <v>394</v>
      </c>
      <c r="F877" t="str">
        <f>"32-2N-25-0000-0007-0010"</f>
        <v>32-2N-25-0000-0007-0010</v>
      </c>
      <c r="H877" t="str">
        <f>"DUEY-DODGE AMY LEGARE"</f>
        <v>DUEY-DODGE AMY LEGARE</v>
      </c>
      <c r="I877" t="str">
        <f>"940272 OLD NASSAUVILLE RD"</f>
        <v>940272 OLD NASSAUVILLE RD</v>
      </c>
      <c r="J877" t="str">
        <f>"FERNANDINA BEACH FL 32034"</f>
        <v>FERNANDINA BEACH FL 32034</v>
      </c>
      <c r="K877" t="str">
        <f>"541763 US HWY 1"</f>
        <v>541763 US HWY 1</v>
      </c>
      <c r="L877" t="str">
        <f t="shared" si="273"/>
        <v>CALLAHAN FL 32011</v>
      </c>
      <c r="M877" t="str">
        <f>"PT GOVT LOT 1 OF SEC 32-2N-25E IN OR 1939/1231"</f>
        <v>PT GOVT LOT 1 OF SEC 32-2N-25E IN OR 1939/1231</v>
      </c>
      <c r="N877" t="str">
        <f>""</f>
        <v/>
      </c>
      <c r="O877" t="str">
        <f>"40138"</f>
        <v>40138</v>
      </c>
      <c r="P877" t="str">
        <f t="shared" si="265"/>
        <v>2017</v>
      </c>
      <c r="Q877" t="str">
        <f>""</f>
        <v/>
      </c>
      <c r="R877" t="str">
        <f t="shared" si="278"/>
        <v>N</v>
      </c>
      <c r="S877" t="str">
        <f>""</f>
        <v/>
      </c>
      <c r="T877" t="str">
        <f>"1207.55"</f>
        <v>1207.55</v>
      </c>
      <c r="U877" t="str">
        <f>"79766.00"</f>
        <v>79766.00</v>
      </c>
      <c r="V877" t="str">
        <f>"79766.00"</f>
        <v>79766.00</v>
      </c>
      <c r="W877" t="str">
        <f t="shared" si="266"/>
        <v>2017</v>
      </c>
      <c r="X877" t="str">
        <f>"6.00"</f>
        <v>6.00</v>
      </c>
      <c r="Y877" t="str">
        <f>"1275.78"</f>
        <v>1275.78</v>
      </c>
      <c r="Z877" t="str">
        <f>""</f>
        <v/>
      </c>
      <c r="AA877" t="str">
        <f>"79766.00"</f>
        <v>79766.00</v>
      </c>
      <c r="AB877" t="str">
        <f>"Commercial"</f>
        <v>Commercial</v>
      </c>
      <c r="AC877" t="str">
        <f t="shared" si="274"/>
        <v>0</v>
      </c>
      <c r="AD877" t="str">
        <f>"4"</f>
        <v>4</v>
      </c>
      <c r="AE877" t="str">
        <f>"WOOD (INCLUDE STEEL STUDS)"</f>
        <v>WOOD (INCLUDE STEEL STUDS)</v>
      </c>
      <c r="AF877" t="str">
        <f>"011"</f>
        <v>011</v>
      </c>
      <c r="AG877" t="str">
        <f t="shared" si="276"/>
        <v>FL</v>
      </c>
      <c r="AH877" t="str">
        <f>"43560.00"</f>
        <v>43560.00</v>
      </c>
      <c r="AI877" t="str">
        <f>"30492.00"</f>
        <v>30492.00</v>
      </c>
      <c r="AJ877" t="str">
        <f>"C55-000-587-6747-6"</f>
        <v>C55-000-587-6747-6</v>
      </c>
      <c r="AK877" t="str">
        <f>"13622"</f>
        <v>13622</v>
      </c>
      <c r="AL877">
        <v>4</v>
      </c>
      <c r="AM877">
        <v>1015</v>
      </c>
      <c r="AN877">
        <v>1337.97</v>
      </c>
      <c r="AQ877" t="s">
        <v>9149</v>
      </c>
      <c r="AR877" t="s">
        <v>9149</v>
      </c>
      <c r="AS877" t="s">
        <v>9149</v>
      </c>
      <c r="AU877" t="s">
        <v>396</v>
      </c>
      <c r="AV877">
        <v>2017</v>
      </c>
      <c r="AW877" t="str">
        <f>"32-2N-25-0000-0007-0010 "</f>
        <v xml:space="preserve">32-2N-25-0000-0007-0010 </v>
      </c>
      <c r="AX877">
        <v>541763</v>
      </c>
      <c r="AZ877" t="s">
        <v>2386</v>
      </c>
      <c r="BD877" t="s">
        <v>2785</v>
      </c>
      <c r="BE877" t="s">
        <v>393</v>
      </c>
      <c r="BF877">
        <v>32011</v>
      </c>
      <c r="BG877" t="s">
        <v>9150</v>
      </c>
      <c r="BH877" t="s">
        <v>2787</v>
      </c>
      <c r="BI877">
        <v>-81.820393442551804</v>
      </c>
      <c r="BJ877">
        <v>30.549414209110299</v>
      </c>
      <c r="BK877" t="s">
        <v>9151</v>
      </c>
      <c r="BM877" t="s">
        <v>9152</v>
      </c>
      <c r="BN877" t="s">
        <v>3983</v>
      </c>
      <c r="BO877">
        <v>32034</v>
      </c>
      <c r="BP877" t="s">
        <v>404</v>
      </c>
      <c r="BQ877">
        <v>1100</v>
      </c>
      <c r="BR877" t="s">
        <v>4474</v>
      </c>
      <c r="BS877">
        <v>2000</v>
      </c>
      <c r="BT877" t="s">
        <v>4475</v>
      </c>
      <c r="BW877">
        <v>43560</v>
      </c>
      <c r="BX877" t="s">
        <v>407</v>
      </c>
      <c r="BY877" t="s">
        <v>5128</v>
      </c>
      <c r="BZ877">
        <v>4</v>
      </c>
      <c r="CA877">
        <v>1950</v>
      </c>
      <c r="CB877">
        <v>1</v>
      </c>
      <c r="CD877">
        <v>2017</v>
      </c>
      <c r="CE877">
        <v>30492</v>
      </c>
      <c r="CF877">
        <v>49274</v>
      </c>
      <c r="CG877">
        <v>79766</v>
      </c>
      <c r="CH877">
        <v>2017</v>
      </c>
      <c r="CI877">
        <v>30492</v>
      </c>
      <c r="CJ877">
        <v>49274</v>
      </c>
      <c r="CK877">
        <v>79766</v>
      </c>
      <c r="CL877">
        <v>2017</v>
      </c>
      <c r="CM877">
        <v>1207.55</v>
      </c>
      <c r="CN877" s="1">
        <v>39426</v>
      </c>
      <c r="CO877">
        <v>200000</v>
      </c>
      <c r="CV877">
        <v>0</v>
      </c>
      <c r="CZ877" s="1">
        <v>39426</v>
      </c>
      <c r="DA877">
        <v>0</v>
      </c>
      <c r="DD877" t="s">
        <v>2785</v>
      </c>
      <c r="DG877">
        <v>32</v>
      </c>
      <c r="DL877">
        <v>50503</v>
      </c>
      <c r="DM877" t="s">
        <v>9136</v>
      </c>
      <c r="DO877" t="s">
        <v>9153</v>
      </c>
      <c r="DP877">
        <v>0</v>
      </c>
      <c r="DQ877">
        <v>1</v>
      </c>
      <c r="DR877" t="s">
        <v>411</v>
      </c>
      <c r="EP877" t="s">
        <v>421</v>
      </c>
      <c r="EQ877" t="s">
        <v>422</v>
      </c>
      <c r="ER877">
        <v>2</v>
      </c>
      <c r="ES877">
        <v>0</v>
      </c>
      <c r="ET877">
        <v>2594.9</v>
      </c>
      <c r="EU877">
        <v>142.25</v>
      </c>
      <c r="EV877">
        <v>2737.15</v>
      </c>
      <c r="EW877" s="2">
        <v>43222</v>
      </c>
      <c r="EX877" s="1">
        <v>42879</v>
      </c>
      <c r="EY877">
        <v>2016</v>
      </c>
      <c r="EZ877">
        <v>1297.45</v>
      </c>
      <c r="FA877" t="s">
        <v>9154</v>
      </c>
      <c r="FB877">
        <v>0.25</v>
      </c>
      <c r="FC877" t="s">
        <v>424</v>
      </c>
      <c r="FD877" t="s">
        <v>454</v>
      </c>
      <c r="FF877">
        <v>12</v>
      </c>
      <c r="FG877">
        <v>7336671</v>
      </c>
      <c r="FH877" t="s">
        <v>437</v>
      </c>
      <c r="FJ877" s="1">
        <v>42879</v>
      </c>
      <c r="FK877">
        <v>2016</v>
      </c>
      <c r="FL877">
        <v>1297.45</v>
      </c>
      <c r="FM877" t="s">
        <v>9154</v>
      </c>
      <c r="FN877">
        <v>0.25</v>
      </c>
      <c r="FO877" t="s">
        <v>424</v>
      </c>
      <c r="FP877" t="s">
        <v>454</v>
      </c>
      <c r="FR877">
        <v>12</v>
      </c>
      <c r="FS877">
        <v>6848771</v>
      </c>
      <c r="FT877" t="s">
        <v>9155</v>
      </c>
    </row>
    <row r="878" spans="1:284" x14ac:dyDescent="0.25">
      <c r="A878">
        <v>16485885</v>
      </c>
      <c r="B878">
        <v>877</v>
      </c>
      <c r="C878" t="s">
        <v>393</v>
      </c>
      <c r="D878" t="s">
        <v>394</v>
      </c>
      <c r="F878" t="str">
        <f>"32-2N-25-0000-0009-0030"</f>
        <v>32-2N-25-0000-0009-0030</v>
      </c>
      <c r="H878" t="str">
        <f>"HOLLEY MARCUS W"</f>
        <v>HOLLEY MARCUS W</v>
      </c>
      <c r="I878" t="str">
        <f>"PO BOX 960"</f>
        <v>PO BOX 960</v>
      </c>
      <c r="J878" t="str">
        <f>"HILLIARD FL 32046"</f>
        <v>HILLIARD FL 32046</v>
      </c>
      <c r="K878" t="str">
        <f>"541661 US HWY 1"</f>
        <v>541661 US HWY 1</v>
      </c>
      <c r="L878" t="str">
        <f t="shared" si="273"/>
        <v>CALLAHAN FL 32011</v>
      </c>
      <c r="M878" t="str">
        <f>"PT GOVT LOT 1 &amp; PT OF SE1/4 OF SEC 32-2N-25E IN OR 1876/506"</f>
        <v>PT GOVT LOT 1 &amp; PT OF SE1/4 OF SEC 32-2N-25E IN OR 1876/506</v>
      </c>
      <c r="N878" t="str">
        <f>""</f>
        <v/>
      </c>
      <c r="O878" t="str">
        <f>"40157"</f>
        <v>40157</v>
      </c>
      <c r="P878" t="str">
        <f t="shared" si="265"/>
        <v>2017</v>
      </c>
      <c r="Q878" t="str">
        <f>""</f>
        <v/>
      </c>
      <c r="R878" t="str">
        <f t="shared" si="278"/>
        <v>N</v>
      </c>
      <c r="S878" t="str">
        <f>""</f>
        <v/>
      </c>
      <c r="T878" t="str">
        <f>"991.33"</f>
        <v>991.33</v>
      </c>
      <c r="U878" t="str">
        <f>"65482.00"</f>
        <v>65482.00</v>
      </c>
      <c r="V878" t="str">
        <f>"65482.00"</f>
        <v>65482.00</v>
      </c>
      <c r="W878" t="str">
        <f t="shared" si="266"/>
        <v>2017</v>
      </c>
      <c r="X878" t="str">
        <f>"13.17"</f>
        <v>13.17</v>
      </c>
      <c r="Y878" t="str">
        <f>"1053.07"</f>
        <v>1053.07</v>
      </c>
      <c r="Z878" t="str">
        <f>""</f>
        <v/>
      </c>
      <c r="AA878" t="str">
        <f>"65482.00"</f>
        <v>65482.00</v>
      </c>
      <c r="AB878" t="str">
        <f>"Commercial"</f>
        <v>Commercial</v>
      </c>
      <c r="AC878" t="str">
        <f t="shared" si="274"/>
        <v>0</v>
      </c>
      <c r="AD878" t="str">
        <f>"4"</f>
        <v>4</v>
      </c>
      <c r="AE878" t="str">
        <f>"WOOD (INCLUDE STEEL STUDS)"</f>
        <v>WOOD (INCLUDE STEEL STUDS)</v>
      </c>
      <c r="AF878" t="str">
        <f>"025"</f>
        <v>025</v>
      </c>
      <c r="AG878" t="str">
        <f t="shared" si="276"/>
        <v>FL</v>
      </c>
      <c r="AH878" t="str">
        <f>"44431.00"</f>
        <v>44431.00</v>
      </c>
      <c r="AI878" t="str">
        <f>"22215.00"</f>
        <v>22215.00</v>
      </c>
      <c r="AJ878" t="str">
        <f>"C55-000-587-6759-1"</f>
        <v>C55-000-587-6759-1</v>
      </c>
      <c r="AK878" t="str">
        <f>"13631"</f>
        <v>13631</v>
      </c>
      <c r="AL878">
        <v>4</v>
      </c>
      <c r="AM878">
        <v>1016</v>
      </c>
      <c r="AN878">
        <v>1104.1199999999999</v>
      </c>
      <c r="AQ878" t="s">
        <v>9156</v>
      </c>
      <c r="AR878" t="s">
        <v>9156</v>
      </c>
      <c r="AS878" t="s">
        <v>9156</v>
      </c>
      <c r="AU878" t="s">
        <v>396</v>
      </c>
      <c r="AV878">
        <v>2017</v>
      </c>
      <c r="AW878" t="str">
        <f>"32-2N-25-0000-0009-0030 "</f>
        <v xml:space="preserve">32-2N-25-0000-0009-0030 </v>
      </c>
      <c r="AX878">
        <v>541661</v>
      </c>
      <c r="AZ878" t="s">
        <v>2386</v>
      </c>
      <c r="BD878" t="s">
        <v>2785</v>
      </c>
      <c r="BE878" t="s">
        <v>393</v>
      </c>
      <c r="BF878">
        <v>32011</v>
      </c>
      <c r="BG878" t="s">
        <v>9157</v>
      </c>
      <c r="BH878" t="s">
        <v>2787</v>
      </c>
      <c r="BI878">
        <v>-81.8188361228151</v>
      </c>
      <c r="BJ878">
        <v>30.546757477015699</v>
      </c>
      <c r="BK878" t="s">
        <v>9158</v>
      </c>
      <c r="BM878" t="s">
        <v>9159</v>
      </c>
      <c r="BN878" t="s">
        <v>548</v>
      </c>
      <c r="BO878">
        <v>32210</v>
      </c>
      <c r="BP878" t="s">
        <v>404</v>
      </c>
      <c r="BQ878">
        <v>2500</v>
      </c>
      <c r="BR878" t="s">
        <v>8066</v>
      </c>
      <c r="BS878">
        <v>2027</v>
      </c>
      <c r="BT878" t="s">
        <v>8067</v>
      </c>
      <c r="BW878">
        <v>44431</v>
      </c>
      <c r="BX878" t="s">
        <v>407</v>
      </c>
      <c r="BY878" t="s">
        <v>4413</v>
      </c>
      <c r="BZ878">
        <v>4</v>
      </c>
      <c r="CA878">
        <v>1971</v>
      </c>
      <c r="CB878">
        <v>1</v>
      </c>
      <c r="CD878">
        <v>2017</v>
      </c>
      <c r="CE878">
        <v>22215</v>
      </c>
      <c r="CF878">
        <v>43267</v>
      </c>
      <c r="CG878">
        <v>65482</v>
      </c>
      <c r="CH878">
        <v>2017</v>
      </c>
      <c r="CI878">
        <v>22215</v>
      </c>
      <c r="CJ878">
        <v>43267</v>
      </c>
      <c r="CK878">
        <v>65482</v>
      </c>
      <c r="CL878">
        <v>2017</v>
      </c>
      <c r="CM878">
        <v>991.33</v>
      </c>
      <c r="CN878" s="1">
        <v>42794</v>
      </c>
      <c r="CO878">
        <v>7500</v>
      </c>
      <c r="CV878">
        <v>0</v>
      </c>
      <c r="CZ878" s="1">
        <v>42794</v>
      </c>
      <c r="DA878">
        <v>0</v>
      </c>
      <c r="DD878" t="s">
        <v>2785</v>
      </c>
      <c r="DG878">
        <v>32</v>
      </c>
      <c r="DL878">
        <v>50503</v>
      </c>
      <c r="DM878" t="s">
        <v>9136</v>
      </c>
      <c r="DO878" t="s">
        <v>9160</v>
      </c>
      <c r="DP878">
        <v>0</v>
      </c>
      <c r="DQ878">
        <v>3</v>
      </c>
      <c r="DR878" t="s">
        <v>411</v>
      </c>
      <c r="DS878" t="b">
        <v>1</v>
      </c>
      <c r="DT878" t="s">
        <v>470</v>
      </c>
      <c r="DU878" t="s">
        <v>471</v>
      </c>
      <c r="DV878" t="s">
        <v>472</v>
      </c>
      <c r="DX878">
        <v>-9999</v>
      </c>
      <c r="DZ878" t="s">
        <v>447</v>
      </c>
      <c r="EA878" t="s">
        <v>448</v>
      </c>
      <c r="EB878" t="s">
        <v>1224</v>
      </c>
      <c r="EC878">
        <v>20101217</v>
      </c>
      <c r="ED878" t="s">
        <v>474</v>
      </c>
      <c r="EF878">
        <v>793.9</v>
      </c>
      <c r="EG878">
        <v>793.9</v>
      </c>
      <c r="EH878" t="s">
        <v>451</v>
      </c>
      <c r="EI878">
        <v>20140731</v>
      </c>
      <c r="EJ878">
        <v>0</v>
      </c>
      <c r="EK878">
        <v>0</v>
      </c>
      <c r="EP878" t="s">
        <v>421</v>
      </c>
      <c r="EQ878" t="s">
        <v>452</v>
      </c>
      <c r="ER878">
        <v>0</v>
      </c>
      <c r="ES878">
        <v>9</v>
      </c>
      <c r="ET878">
        <v>0</v>
      </c>
      <c r="EU878">
        <v>0</v>
      </c>
      <c r="EV878">
        <v>0</v>
      </c>
      <c r="EW878" s="2">
        <v>43222</v>
      </c>
      <c r="EX878" s="1">
        <v>42879</v>
      </c>
      <c r="EY878">
        <v>2016</v>
      </c>
      <c r="EZ878">
        <v>1114.3900000000001</v>
      </c>
      <c r="FA878" t="s">
        <v>9161</v>
      </c>
      <c r="FB878">
        <v>0.25</v>
      </c>
      <c r="FC878" t="s">
        <v>424</v>
      </c>
      <c r="FD878" t="s">
        <v>425</v>
      </c>
      <c r="FE878" s="1">
        <v>43122</v>
      </c>
      <c r="FF878">
        <v>8</v>
      </c>
      <c r="FG878">
        <v>2851116</v>
      </c>
      <c r="FH878" t="s">
        <v>480</v>
      </c>
      <c r="FJ878" s="1">
        <v>42879</v>
      </c>
      <c r="FK878">
        <v>2016</v>
      </c>
      <c r="FL878">
        <v>1114.3900000000001</v>
      </c>
      <c r="FM878" t="s">
        <v>9161</v>
      </c>
      <c r="FN878">
        <v>0.25</v>
      </c>
      <c r="FO878" t="s">
        <v>424</v>
      </c>
      <c r="FP878" t="s">
        <v>425</v>
      </c>
      <c r="FR878">
        <v>22</v>
      </c>
      <c r="FS878">
        <v>5015161</v>
      </c>
      <c r="FT878" t="s">
        <v>9162</v>
      </c>
      <c r="FV878" s="1">
        <v>42151</v>
      </c>
      <c r="FW878">
        <v>2014</v>
      </c>
      <c r="FX878">
        <v>1295.25</v>
      </c>
      <c r="FY878" t="s">
        <v>9163</v>
      </c>
      <c r="FZ878">
        <v>0.25</v>
      </c>
      <c r="GA878" t="s">
        <v>424</v>
      </c>
      <c r="GB878" t="s">
        <v>425</v>
      </c>
      <c r="GC878" s="1">
        <v>42486</v>
      </c>
      <c r="GD878">
        <v>11</v>
      </c>
      <c r="GE878">
        <v>4975594</v>
      </c>
      <c r="GF878" t="s">
        <v>457</v>
      </c>
      <c r="GG878" t="s">
        <v>458</v>
      </c>
      <c r="GH878" s="1">
        <v>42151</v>
      </c>
      <c r="GI878">
        <v>2014</v>
      </c>
      <c r="GJ878">
        <v>1295.25</v>
      </c>
      <c r="GK878" t="s">
        <v>9163</v>
      </c>
      <c r="GL878">
        <v>0.25</v>
      </c>
      <c r="GM878" t="s">
        <v>424</v>
      </c>
      <c r="GN878" t="s">
        <v>425</v>
      </c>
      <c r="GP878">
        <v>22</v>
      </c>
      <c r="GQ878">
        <v>6284124</v>
      </c>
      <c r="GR878" t="s">
        <v>9164</v>
      </c>
      <c r="GS878" t="s">
        <v>458</v>
      </c>
      <c r="GT878" s="1">
        <v>41787</v>
      </c>
      <c r="GU878">
        <v>2013</v>
      </c>
      <c r="GV878">
        <v>1139.68</v>
      </c>
      <c r="GW878" t="s">
        <v>9165</v>
      </c>
      <c r="GX878">
        <v>0.25</v>
      </c>
      <c r="GY878" t="s">
        <v>424</v>
      </c>
      <c r="GZ878" t="s">
        <v>425</v>
      </c>
      <c r="HB878">
        <v>22</v>
      </c>
      <c r="HC878">
        <v>15259</v>
      </c>
      <c r="HD878" t="s">
        <v>891</v>
      </c>
      <c r="HE878" t="s">
        <v>458</v>
      </c>
      <c r="HF878" s="1">
        <v>41787</v>
      </c>
      <c r="HG878">
        <v>2013</v>
      </c>
      <c r="HH878">
        <v>1139.68</v>
      </c>
      <c r="HI878" t="s">
        <v>9165</v>
      </c>
      <c r="HJ878">
        <v>0.25</v>
      </c>
      <c r="HK878" t="s">
        <v>424</v>
      </c>
      <c r="HL878" t="s">
        <v>425</v>
      </c>
      <c r="HN878">
        <v>22</v>
      </c>
      <c r="HO878">
        <v>7045049</v>
      </c>
      <c r="HP878" t="s">
        <v>1335</v>
      </c>
      <c r="HQ878" t="s">
        <v>458</v>
      </c>
      <c r="HR878" s="1">
        <v>41052</v>
      </c>
      <c r="HS878">
        <v>2011</v>
      </c>
      <c r="HT878">
        <v>1266.21</v>
      </c>
      <c r="HU878" t="s">
        <v>9166</v>
      </c>
      <c r="HV878">
        <v>4.5</v>
      </c>
      <c r="HW878" t="s">
        <v>424</v>
      </c>
      <c r="HX878" t="s">
        <v>425</v>
      </c>
      <c r="HY878" s="1">
        <v>41417</v>
      </c>
      <c r="HZ878">
        <v>12</v>
      </c>
      <c r="IA878">
        <v>10125</v>
      </c>
      <c r="IB878" t="s">
        <v>440</v>
      </c>
      <c r="ID878" s="1">
        <v>40688</v>
      </c>
      <c r="IE878">
        <v>2010</v>
      </c>
      <c r="IF878">
        <v>1164.48</v>
      </c>
      <c r="IG878" t="s">
        <v>9167</v>
      </c>
      <c r="IH878">
        <v>5</v>
      </c>
      <c r="II878" t="s">
        <v>424</v>
      </c>
      <c r="IJ878" t="s">
        <v>425</v>
      </c>
      <c r="IK878" s="1">
        <v>41417</v>
      </c>
      <c r="IL878">
        <v>24</v>
      </c>
      <c r="IM878">
        <v>1117</v>
      </c>
      <c r="IN878" t="s">
        <v>3939</v>
      </c>
      <c r="IP878" s="1">
        <v>40688</v>
      </c>
      <c r="IQ878">
        <v>2010</v>
      </c>
      <c r="IR878">
        <v>1164.48</v>
      </c>
      <c r="IS878" t="s">
        <v>9167</v>
      </c>
      <c r="IT878">
        <v>5</v>
      </c>
      <c r="IU878" t="s">
        <v>424</v>
      </c>
      <c r="IV878" t="s">
        <v>425</v>
      </c>
      <c r="IX878">
        <v>22</v>
      </c>
      <c r="IY878">
        <v>11302</v>
      </c>
      <c r="IZ878" t="s">
        <v>3940</v>
      </c>
    </row>
    <row r="879" spans="1:284" x14ac:dyDescent="0.25">
      <c r="A879">
        <v>16485886</v>
      </c>
      <c r="B879">
        <v>878</v>
      </c>
      <c r="C879" t="s">
        <v>393</v>
      </c>
      <c r="D879" t="s">
        <v>394</v>
      </c>
      <c r="F879" t="str">
        <f>"32-2N-25-019B-0041-0000"</f>
        <v>32-2N-25-019B-0041-0000</v>
      </c>
      <c r="H879" t="str">
        <f>"ALLEN TRAVIS JOEL"</f>
        <v>ALLEN TRAVIS JOEL</v>
      </c>
      <c r="I879" t="str">
        <f>"44401 MARY SAULS CIRCLE"</f>
        <v>44401 MARY SAULS CIRCLE</v>
      </c>
      <c r="J879" t="str">
        <f>"CALLAHAN FL 32011"</f>
        <v>CALLAHAN FL 32011</v>
      </c>
      <c r="K879" t="str">
        <f>"44401 MARY SAULS CIR"</f>
        <v>44401 MARY SAULS CIR</v>
      </c>
      <c r="L879" t="str">
        <f t="shared" si="273"/>
        <v>CALLAHAN FL 32011</v>
      </c>
      <c r="M879" t="str">
        <f>"LOT 41 IN OR 1589/437 BRANCH CREEK PB 7/343"</f>
        <v>LOT 41 IN OR 1589/437 BRANCH CREEK PB 7/343</v>
      </c>
      <c r="N879" t="str">
        <f>""</f>
        <v/>
      </c>
      <c r="O879" t="str">
        <f>"40205"</f>
        <v>40205</v>
      </c>
      <c r="P879" t="str">
        <f t="shared" si="265"/>
        <v>2017</v>
      </c>
      <c r="Q879" t="str">
        <f>""</f>
        <v/>
      </c>
      <c r="R879" t="str">
        <f t="shared" si="278"/>
        <v>N</v>
      </c>
      <c r="S879" t="str">
        <f>""</f>
        <v/>
      </c>
      <c r="T879" t="str">
        <f>"2074.92"</f>
        <v>2074.92</v>
      </c>
      <c r="U879" t="str">
        <f>"125728.00"</f>
        <v>125728.00</v>
      </c>
      <c r="V879" t="str">
        <f>"125728.00"</f>
        <v>125728.00</v>
      </c>
      <c r="W879" t="str">
        <f t="shared" si="266"/>
        <v>2017</v>
      </c>
      <c r="X879" t="str">
        <f>"19.50"</f>
        <v>19.50</v>
      </c>
      <c r="Y879" t="str">
        <f>"2169.17"</f>
        <v>2169.17</v>
      </c>
      <c r="Z879" t="str">
        <f>""</f>
        <v/>
      </c>
      <c r="AA879" t="str">
        <f>"125728.00"</f>
        <v>125728.00</v>
      </c>
      <c r="AB879" t="str">
        <f t="shared" ref="AB879:AB893" si="279">"Residential"</f>
        <v>Residential</v>
      </c>
      <c r="AC879" t="str">
        <f t="shared" si="274"/>
        <v>0</v>
      </c>
      <c r="AD879" t="str">
        <f>"4"</f>
        <v>4</v>
      </c>
      <c r="AE879" t="str">
        <f>"WOOD (INCLUDE STEEL STUDS)"</f>
        <v>WOOD (INCLUDE STEEL STUDS)</v>
      </c>
      <c r="AF879" t="str">
        <f>"001"</f>
        <v>001</v>
      </c>
      <c r="AG879" t="str">
        <f t="shared" si="276"/>
        <v>FL</v>
      </c>
      <c r="AH879" t="str">
        <f>"-"</f>
        <v>-</v>
      </c>
      <c r="AI879" t="str">
        <f>"20000.00"</f>
        <v>20000.00</v>
      </c>
      <c r="AJ879" t="str">
        <f>"C55-001-028-2415-8"</f>
        <v>C55-001-028-2415-8</v>
      </c>
      <c r="AK879" t="str">
        <f>"13681"</f>
        <v>13681</v>
      </c>
      <c r="AL879">
        <v>4</v>
      </c>
      <c r="AM879">
        <v>1017</v>
      </c>
      <c r="AN879">
        <v>2276.0300000000002</v>
      </c>
      <c r="AQ879" t="s">
        <v>9168</v>
      </c>
      <c r="AR879" t="s">
        <v>9168</v>
      </c>
      <c r="AS879" t="s">
        <v>9168</v>
      </c>
      <c r="AU879" t="s">
        <v>396</v>
      </c>
      <c r="AV879">
        <v>2017</v>
      </c>
      <c r="AW879" t="str">
        <f>"32-2N-25-019B-0041-0000 "</f>
        <v xml:space="preserve">32-2N-25-019B-0041-0000 </v>
      </c>
      <c r="AX879">
        <v>44401</v>
      </c>
      <c r="AZ879" t="s">
        <v>9169</v>
      </c>
      <c r="BA879" t="s">
        <v>1799</v>
      </c>
      <c r="BD879" t="s">
        <v>2785</v>
      </c>
      <c r="BE879" t="s">
        <v>393</v>
      </c>
      <c r="BF879">
        <v>32011</v>
      </c>
      <c r="BG879" t="s">
        <v>9170</v>
      </c>
      <c r="BH879" t="s">
        <v>2787</v>
      </c>
      <c r="BI879">
        <v>-81.825381434694805</v>
      </c>
      <c r="BJ879">
        <v>30.549534308136302</v>
      </c>
      <c r="BK879" t="s">
        <v>9171</v>
      </c>
      <c r="BM879" t="s">
        <v>9170</v>
      </c>
      <c r="BN879" t="s">
        <v>928</v>
      </c>
      <c r="BO879">
        <v>32011</v>
      </c>
      <c r="BP879" t="s">
        <v>416</v>
      </c>
      <c r="BQ879">
        <v>100</v>
      </c>
      <c r="BR879" t="s">
        <v>514</v>
      </c>
      <c r="BS879">
        <v>1001</v>
      </c>
      <c r="BT879" t="s">
        <v>515</v>
      </c>
      <c r="BW879">
        <v>5365</v>
      </c>
      <c r="BX879" t="s">
        <v>407</v>
      </c>
      <c r="BY879" t="s">
        <v>3019</v>
      </c>
      <c r="BZ879">
        <v>4</v>
      </c>
      <c r="CA879">
        <v>2008</v>
      </c>
      <c r="CB879">
        <v>1</v>
      </c>
      <c r="CC879">
        <v>1</v>
      </c>
      <c r="CD879">
        <v>2017</v>
      </c>
      <c r="CE879">
        <v>20000</v>
      </c>
      <c r="CF879">
        <v>105728</v>
      </c>
      <c r="CG879">
        <v>125728</v>
      </c>
      <c r="CH879">
        <v>2017</v>
      </c>
      <c r="CI879">
        <v>20000</v>
      </c>
      <c r="CJ879">
        <v>105728</v>
      </c>
      <c r="CK879">
        <v>125728</v>
      </c>
      <c r="CL879">
        <v>2017</v>
      </c>
      <c r="CM879">
        <v>2074.92</v>
      </c>
      <c r="CN879" s="1">
        <v>39735</v>
      </c>
      <c r="CO879">
        <v>160000</v>
      </c>
      <c r="CV879">
        <v>0</v>
      </c>
      <c r="CZ879" s="1">
        <v>39735</v>
      </c>
      <c r="DA879">
        <v>0</v>
      </c>
      <c r="DD879" t="s">
        <v>2785</v>
      </c>
      <c r="DF879">
        <v>41</v>
      </c>
      <c r="DG879">
        <v>32</v>
      </c>
      <c r="DJ879" t="s">
        <v>9172</v>
      </c>
      <c r="DL879">
        <v>50503</v>
      </c>
      <c r="DM879" t="s">
        <v>9136</v>
      </c>
      <c r="DO879" t="s">
        <v>9173</v>
      </c>
      <c r="DP879">
        <v>0</v>
      </c>
      <c r="DQ879">
        <v>0</v>
      </c>
      <c r="DR879" t="s">
        <v>411</v>
      </c>
      <c r="DS879" t="b">
        <v>1</v>
      </c>
      <c r="DT879" t="s">
        <v>470</v>
      </c>
      <c r="DU879" t="s">
        <v>471</v>
      </c>
      <c r="DV879" t="s">
        <v>472</v>
      </c>
      <c r="DX879">
        <v>-9999</v>
      </c>
      <c r="DZ879" t="s">
        <v>447</v>
      </c>
      <c r="EA879" t="s">
        <v>448</v>
      </c>
      <c r="EB879" t="s">
        <v>742</v>
      </c>
      <c r="EC879">
        <v>20101217</v>
      </c>
      <c r="ED879" t="s">
        <v>474</v>
      </c>
      <c r="EF879">
        <v>743.1</v>
      </c>
      <c r="EG879">
        <v>743.1</v>
      </c>
      <c r="EI879">
        <v>20160407</v>
      </c>
      <c r="EJ879">
        <v>0</v>
      </c>
      <c r="EK879">
        <v>0</v>
      </c>
      <c r="EP879" t="s">
        <v>421</v>
      </c>
      <c r="EQ879" t="s">
        <v>422</v>
      </c>
      <c r="ER879">
        <v>0</v>
      </c>
      <c r="ES879">
        <v>10</v>
      </c>
      <c r="ET879">
        <v>0</v>
      </c>
      <c r="EU879">
        <v>0</v>
      </c>
      <c r="EV879">
        <v>0</v>
      </c>
      <c r="EW879" s="2">
        <v>43222</v>
      </c>
      <c r="EX879" s="1">
        <v>42515</v>
      </c>
      <c r="EY879">
        <v>2015</v>
      </c>
      <c r="EZ879">
        <v>1263.1600000000001</v>
      </c>
      <c r="FA879" t="s">
        <v>9174</v>
      </c>
      <c r="FB879">
        <v>0.25</v>
      </c>
      <c r="FC879" t="s">
        <v>424</v>
      </c>
      <c r="FD879" t="s">
        <v>425</v>
      </c>
      <c r="FE879" s="1">
        <v>42780</v>
      </c>
      <c r="FF879">
        <v>9</v>
      </c>
      <c r="FG879">
        <v>5916895</v>
      </c>
      <c r="FH879" t="s">
        <v>1390</v>
      </c>
      <c r="FJ879" s="1">
        <v>42515</v>
      </c>
      <c r="FK879">
        <v>2015</v>
      </c>
      <c r="FL879">
        <v>1263.1600000000001</v>
      </c>
      <c r="FM879" t="s">
        <v>9174</v>
      </c>
      <c r="FN879">
        <v>0.25</v>
      </c>
      <c r="FO879" t="s">
        <v>424</v>
      </c>
      <c r="FP879" t="s">
        <v>425</v>
      </c>
      <c r="FR879">
        <v>22</v>
      </c>
      <c r="FS879">
        <v>5846475</v>
      </c>
      <c r="FT879" t="s">
        <v>9175</v>
      </c>
      <c r="FV879" s="1">
        <v>42151</v>
      </c>
      <c r="FW879">
        <v>2014</v>
      </c>
      <c r="FX879">
        <v>1263.3900000000001</v>
      </c>
      <c r="FY879" t="s">
        <v>9176</v>
      </c>
      <c r="FZ879">
        <v>0.25</v>
      </c>
      <c r="GA879" t="s">
        <v>424</v>
      </c>
      <c r="GB879" t="s">
        <v>425</v>
      </c>
      <c r="GC879" s="1">
        <v>42780</v>
      </c>
      <c r="GD879">
        <v>21</v>
      </c>
      <c r="GE879">
        <v>2101382</v>
      </c>
      <c r="GF879" t="s">
        <v>993</v>
      </c>
      <c r="GH879" s="1">
        <v>42151</v>
      </c>
      <c r="GI879">
        <v>2014</v>
      </c>
      <c r="GJ879">
        <v>1263.3900000000001</v>
      </c>
      <c r="GK879" t="s">
        <v>9176</v>
      </c>
      <c r="GL879">
        <v>0.25</v>
      </c>
      <c r="GM879" t="s">
        <v>424</v>
      </c>
      <c r="GN879" t="s">
        <v>425</v>
      </c>
      <c r="GP879">
        <v>22</v>
      </c>
      <c r="GQ879">
        <v>5585487</v>
      </c>
      <c r="GR879" t="s">
        <v>9177</v>
      </c>
      <c r="GT879" s="1">
        <v>41787</v>
      </c>
      <c r="GU879">
        <v>2013</v>
      </c>
      <c r="GV879">
        <v>1963.32</v>
      </c>
      <c r="GW879" t="s">
        <v>9178</v>
      </c>
      <c r="GX879">
        <v>0.25</v>
      </c>
      <c r="GY879" t="s">
        <v>424</v>
      </c>
      <c r="GZ879" t="s">
        <v>425</v>
      </c>
      <c r="HA879" s="1">
        <v>42443</v>
      </c>
      <c r="HB879">
        <v>22</v>
      </c>
      <c r="HC879">
        <v>2675455</v>
      </c>
      <c r="HD879" t="s">
        <v>1981</v>
      </c>
      <c r="HF879" s="1">
        <v>41423</v>
      </c>
      <c r="HG879">
        <v>2012</v>
      </c>
      <c r="HH879">
        <v>1288.0899999999999</v>
      </c>
      <c r="HI879" t="s">
        <v>9179</v>
      </c>
      <c r="HJ879">
        <v>0.25</v>
      </c>
      <c r="HK879" t="s">
        <v>424</v>
      </c>
      <c r="HL879" t="s">
        <v>425</v>
      </c>
      <c r="HN879">
        <v>22</v>
      </c>
      <c r="HO879">
        <v>11303</v>
      </c>
      <c r="HP879" t="s">
        <v>918</v>
      </c>
      <c r="HR879" s="1">
        <v>41423</v>
      </c>
      <c r="HS879">
        <v>2012</v>
      </c>
      <c r="HT879">
        <v>1288.0899999999999</v>
      </c>
      <c r="HU879" t="s">
        <v>9179</v>
      </c>
      <c r="HV879">
        <v>0.25</v>
      </c>
      <c r="HW879" t="s">
        <v>424</v>
      </c>
      <c r="HX879" t="s">
        <v>425</v>
      </c>
      <c r="HY879" s="1">
        <v>42058</v>
      </c>
      <c r="HZ879">
        <v>21</v>
      </c>
      <c r="IA879">
        <v>4844956</v>
      </c>
      <c r="IB879" t="s">
        <v>919</v>
      </c>
      <c r="ID879" s="1">
        <v>41052</v>
      </c>
      <c r="IE879">
        <v>2011</v>
      </c>
      <c r="IF879">
        <v>1979.22</v>
      </c>
      <c r="IG879" t="s">
        <v>9180</v>
      </c>
      <c r="IH879">
        <v>0.25</v>
      </c>
      <c r="II879" t="s">
        <v>424</v>
      </c>
      <c r="IJ879" t="s">
        <v>425</v>
      </c>
      <c r="IK879" s="1">
        <v>41729</v>
      </c>
      <c r="IL879">
        <v>22</v>
      </c>
      <c r="IM879">
        <v>11289</v>
      </c>
      <c r="IN879" t="s">
        <v>787</v>
      </c>
      <c r="IP879" s="1">
        <v>41052</v>
      </c>
      <c r="IQ879">
        <v>2011</v>
      </c>
      <c r="IR879">
        <v>1979.22</v>
      </c>
      <c r="IS879" t="s">
        <v>9180</v>
      </c>
      <c r="IT879">
        <v>0.25</v>
      </c>
      <c r="IU879" t="s">
        <v>424</v>
      </c>
      <c r="IV879" t="s">
        <v>425</v>
      </c>
      <c r="IX879">
        <v>22</v>
      </c>
      <c r="IY879">
        <v>13155</v>
      </c>
      <c r="IZ879" t="s">
        <v>8778</v>
      </c>
      <c r="JB879" s="1">
        <v>40688</v>
      </c>
      <c r="JC879">
        <v>2010</v>
      </c>
      <c r="JD879">
        <v>2189.35</v>
      </c>
      <c r="JE879" t="s">
        <v>9181</v>
      </c>
      <c r="JF879">
        <v>0.25</v>
      </c>
      <c r="JG879" t="s">
        <v>424</v>
      </c>
      <c r="JH879" t="s">
        <v>425</v>
      </c>
      <c r="JI879" s="1">
        <v>41352</v>
      </c>
      <c r="JJ879">
        <v>22</v>
      </c>
      <c r="JK879">
        <v>11177</v>
      </c>
      <c r="JL879" t="s">
        <v>650</v>
      </c>
    </row>
    <row r="880" spans="1:284" x14ac:dyDescent="0.25">
      <c r="A880">
        <v>16485887</v>
      </c>
      <c r="B880">
        <v>879</v>
      </c>
      <c r="C880" t="s">
        <v>393</v>
      </c>
      <c r="D880" t="s">
        <v>394</v>
      </c>
      <c r="F880" t="str">
        <f>"32-2N-25-019B-0059-0000"</f>
        <v>32-2N-25-019B-0059-0000</v>
      </c>
      <c r="H880" t="str">
        <f>"GREENE KENNETH LEE JR"</f>
        <v>GREENE KENNETH LEE JR</v>
      </c>
      <c r="I880" t="str">
        <f>"44959 GREEN MEADOWS LANE"</f>
        <v>44959 GREEN MEADOWS LANE</v>
      </c>
      <c r="J880" t="str">
        <f>"CALLAHAN FL 32011"</f>
        <v>CALLAHAN FL 32011</v>
      </c>
      <c r="K880" t="str">
        <f>"46069 ROBINWOOD TRL"</f>
        <v>46069 ROBINWOOD TRL</v>
      </c>
      <c r="L880" t="str">
        <f t="shared" si="273"/>
        <v>CALLAHAN FL 32011</v>
      </c>
      <c r="M880" t="str">
        <f>"LOT 59 PT OR 1739/377 BRANCH CREEK PB 7/343"</f>
        <v>LOT 59 PT OR 1739/377 BRANCH CREEK PB 7/343</v>
      </c>
      <c r="N880" t="str">
        <f>""</f>
        <v/>
      </c>
      <c r="O880" t="str">
        <f>"40225"</f>
        <v>40225</v>
      </c>
      <c r="P880" t="str">
        <f t="shared" si="265"/>
        <v>2017</v>
      </c>
      <c r="Q880" t="str">
        <f>""</f>
        <v/>
      </c>
      <c r="R880" t="str">
        <f t="shared" si="278"/>
        <v>N</v>
      </c>
      <c r="S880" t="str">
        <f>""</f>
        <v/>
      </c>
      <c r="T880" t="str">
        <f>"218.97"</f>
        <v>218.97</v>
      </c>
      <c r="U880" t="str">
        <f>"8785.00"</f>
        <v>8785.00</v>
      </c>
      <c r="V880" t="str">
        <f>"8785.00"</f>
        <v>8785.00</v>
      </c>
      <c r="W880" t="str">
        <f t="shared" si="266"/>
        <v>2017</v>
      </c>
      <c r="X880" t="str">
        <f>"12.00"</f>
        <v>12.00</v>
      </c>
      <c r="Y880" t="str">
        <f>"257.54"</f>
        <v>257.54</v>
      </c>
      <c r="Z880" t="str">
        <f>""</f>
        <v/>
      </c>
      <c r="AA880" t="str">
        <f>"20000.00"</f>
        <v>20000.00</v>
      </c>
      <c r="AB880" t="str">
        <f t="shared" si="279"/>
        <v>Residential</v>
      </c>
      <c r="AC880" t="str">
        <f t="shared" si="274"/>
        <v>0</v>
      </c>
      <c r="AD880" t="str">
        <f>""</f>
        <v/>
      </c>
      <c r="AE880" t="str">
        <f>""</f>
        <v/>
      </c>
      <c r="AF880" t="str">
        <f>"000"</f>
        <v>000</v>
      </c>
      <c r="AG880" t="str">
        <f t="shared" si="276"/>
        <v>FL</v>
      </c>
      <c r="AH880" t="str">
        <f>"-"</f>
        <v>-</v>
      </c>
      <c r="AI880" t="str">
        <f>"20000.00"</f>
        <v>20000.00</v>
      </c>
      <c r="AJ880" t="str">
        <f>"C55-001-028-2433-1"</f>
        <v>C55-001-028-2433-1</v>
      </c>
      <c r="AK880" t="str">
        <f>"13699"</f>
        <v>13699</v>
      </c>
      <c r="AL880">
        <v>4</v>
      </c>
      <c r="AM880">
        <v>1018</v>
      </c>
      <c r="AN880">
        <v>268.82</v>
      </c>
      <c r="AQ880" t="s">
        <v>9182</v>
      </c>
      <c r="AR880" t="s">
        <v>9182</v>
      </c>
      <c r="AS880" t="s">
        <v>9182</v>
      </c>
      <c r="AU880" t="s">
        <v>396</v>
      </c>
      <c r="AV880">
        <v>2017</v>
      </c>
      <c r="AW880" t="str">
        <f>"32-2N-25-019B-0059-0000 "</f>
        <v xml:space="preserve">32-2N-25-019B-0059-0000 </v>
      </c>
      <c r="AX880">
        <v>46069</v>
      </c>
      <c r="AZ880" t="s">
        <v>9183</v>
      </c>
      <c r="BA880" t="s">
        <v>2497</v>
      </c>
      <c r="BD880" t="s">
        <v>2785</v>
      </c>
      <c r="BE880" t="s">
        <v>393</v>
      </c>
      <c r="BF880">
        <v>32011</v>
      </c>
      <c r="BG880" t="s">
        <v>9184</v>
      </c>
      <c r="BH880" t="s">
        <v>2787</v>
      </c>
      <c r="BI880">
        <v>-81.826434069232207</v>
      </c>
      <c r="BJ880">
        <v>30.553829457153299</v>
      </c>
      <c r="BK880" t="s">
        <v>9185</v>
      </c>
      <c r="BM880" t="s">
        <v>6929</v>
      </c>
      <c r="BN880" t="s">
        <v>928</v>
      </c>
      <c r="BO880">
        <v>32011</v>
      </c>
      <c r="BP880" t="s">
        <v>404</v>
      </c>
      <c r="BQ880">
        <v>0</v>
      </c>
      <c r="BR880" t="s">
        <v>491</v>
      </c>
      <c r="BS880">
        <v>8001</v>
      </c>
      <c r="BT880" t="s">
        <v>492</v>
      </c>
      <c r="BW880">
        <v>28931</v>
      </c>
      <c r="BX880" t="s">
        <v>407</v>
      </c>
      <c r="BY880" t="s">
        <v>3019</v>
      </c>
      <c r="CD880">
        <v>2017</v>
      </c>
      <c r="CE880">
        <v>20000</v>
      </c>
      <c r="CG880">
        <v>20000</v>
      </c>
      <c r="CH880">
        <v>2017</v>
      </c>
      <c r="CI880">
        <v>20000</v>
      </c>
      <c r="CK880">
        <v>20000</v>
      </c>
      <c r="CL880">
        <v>2017</v>
      </c>
      <c r="CM880">
        <v>218.97</v>
      </c>
      <c r="CN880" s="1">
        <v>40518</v>
      </c>
      <c r="CV880">
        <v>0</v>
      </c>
      <c r="CZ880" s="1">
        <v>40518</v>
      </c>
      <c r="DA880">
        <v>0</v>
      </c>
      <c r="DD880" t="s">
        <v>2785</v>
      </c>
      <c r="DF880">
        <v>59</v>
      </c>
      <c r="DG880">
        <v>32</v>
      </c>
      <c r="DJ880" t="s">
        <v>9172</v>
      </c>
      <c r="DL880">
        <v>50503</v>
      </c>
      <c r="DM880" t="s">
        <v>9136</v>
      </c>
      <c r="DO880" t="s">
        <v>9186</v>
      </c>
      <c r="DP880">
        <v>0</v>
      </c>
      <c r="DQ880">
        <v>0</v>
      </c>
      <c r="DR880" t="s">
        <v>411</v>
      </c>
      <c r="EP880" t="s">
        <v>421</v>
      </c>
      <c r="EQ880" t="s">
        <v>422</v>
      </c>
      <c r="ER880">
        <v>0</v>
      </c>
      <c r="ES880">
        <v>1</v>
      </c>
      <c r="ET880">
        <v>0</v>
      </c>
      <c r="EU880">
        <v>0</v>
      </c>
      <c r="EV880">
        <v>0</v>
      </c>
      <c r="EW880" s="2">
        <v>43222</v>
      </c>
      <c r="EX880" s="1">
        <v>41423</v>
      </c>
      <c r="EY880">
        <v>2012</v>
      </c>
      <c r="EZ880">
        <v>124.85</v>
      </c>
      <c r="FA880" t="s">
        <v>9187</v>
      </c>
      <c r="FB880">
        <v>9.75</v>
      </c>
      <c r="FC880" t="s">
        <v>424</v>
      </c>
      <c r="FD880" t="s">
        <v>425</v>
      </c>
      <c r="FE880" s="1">
        <v>41779</v>
      </c>
      <c r="FF880">
        <v>12</v>
      </c>
      <c r="FG880">
        <v>10021</v>
      </c>
      <c r="FH880" t="s">
        <v>597</v>
      </c>
    </row>
    <row r="881" spans="1:272" x14ac:dyDescent="0.25">
      <c r="A881">
        <v>16485888</v>
      </c>
      <c r="B881">
        <v>880</v>
      </c>
      <c r="C881" t="s">
        <v>393</v>
      </c>
      <c r="D881" t="s">
        <v>394</v>
      </c>
      <c r="F881" t="str">
        <f>"32-2N-25-019B-0060-0000"</f>
        <v>32-2N-25-019B-0060-0000</v>
      </c>
      <c r="H881" t="str">
        <f>"GREENE KENNETH L JR"</f>
        <v>GREENE KENNETH L JR</v>
      </c>
      <c r="I881" t="str">
        <f>"PO BOX 544"</f>
        <v>PO BOX 544</v>
      </c>
      <c r="J881" t="str">
        <f>"CALLAHAN FL 32011"</f>
        <v>CALLAHAN FL 32011</v>
      </c>
      <c r="K881" t="str">
        <f>"46051 ROBINWOOD TRL"</f>
        <v>46051 ROBINWOOD TRL</v>
      </c>
      <c r="L881" t="str">
        <f t="shared" si="273"/>
        <v>CALLAHAN FL 32011</v>
      </c>
      <c r="M881" t="str">
        <f>"LOT 60 IN OR 1713/343 BRANCH CREEK PB 7/343"</f>
        <v>LOT 60 IN OR 1713/343 BRANCH CREEK PB 7/343</v>
      </c>
      <c r="N881" t="str">
        <f>""</f>
        <v/>
      </c>
      <c r="O881" t="str">
        <f>"40226"</f>
        <v>40226</v>
      </c>
      <c r="P881" t="str">
        <f t="shared" si="265"/>
        <v>2017</v>
      </c>
      <c r="Q881" t="str">
        <f>""</f>
        <v/>
      </c>
      <c r="R881" t="str">
        <f t="shared" si="278"/>
        <v>N</v>
      </c>
      <c r="S881" t="str">
        <f>""</f>
        <v/>
      </c>
      <c r="T881" t="str">
        <f>"218.97"</f>
        <v>218.97</v>
      </c>
      <c r="U881" t="str">
        <f>"8785.00"</f>
        <v>8785.00</v>
      </c>
      <c r="V881" t="str">
        <f>"8785.00"</f>
        <v>8785.00</v>
      </c>
      <c r="W881" t="str">
        <f t="shared" si="266"/>
        <v>2017</v>
      </c>
      <c r="X881" t="str">
        <f>"12.00"</f>
        <v>12.00</v>
      </c>
      <c r="Y881" t="str">
        <f>"257.54"</f>
        <v>257.54</v>
      </c>
      <c r="Z881" t="str">
        <f>""</f>
        <v/>
      </c>
      <c r="AA881" t="str">
        <f>"20000.00"</f>
        <v>20000.00</v>
      </c>
      <c r="AB881" t="str">
        <f t="shared" si="279"/>
        <v>Residential</v>
      </c>
      <c r="AC881" t="str">
        <f t="shared" si="274"/>
        <v>0</v>
      </c>
      <c r="AD881" t="str">
        <f>""</f>
        <v/>
      </c>
      <c r="AE881" t="str">
        <f>""</f>
        <v/>
      </c>
      <c r="AF881" t="str">
        <f>"000"</f>
        <v>000</v>
      </c>
      <c r="AG881" t="str">
        <f t="shared" si="276"/>
        <v>FL</v>
      </c>
      <c r="AH881" t="str">
        <f>"-"</f>
        <v>-</v>
      </c>
      <c r="AI881" t="str">
        <f>"20000.00"</f>
        <v>20000.00</v>
      </c>
      <c r="AJ881" t="str">
        <f>"C55-001-028-2434-9"</f>
        <v>C55-001-028-2434-9</v>
      </c>
      <c r="AK881" t="str">
        <f>"13700"</f>
        <v>13700</v>
      </c>
      <c r="AL881">
        <v>4</v>
      </c>
      <c r="AM881">
        <v>1019</v>
      </c>
      <c r="AN881">
        <v>268.82</v>
      </c>
      <c r="AQ881" t="s">
        <v>9188</v>
      </c>
      <c r="AR881" t="s">
        <v>9188</v>
      </c>
      <c r="AS881" t="s">
        <v>9188</v>
      </c>
      <c r="AU881" t="s">
        <v>396</v>
      </c>
      <c r="AV881">
        <v>2017</v>
      </c>
      <c r="AW881" t="str">
        <f>"32-2N-25-019B-0060-0000 "</f>
        <v xml:space="preserve">32-2N-25-019B-0060-0000 </v>
      </c>
      <c r="AX881">
        <v>46051</v>
      </c>
      <c r="AZ881" t="s">
        <v>9183</v>
      </c>
      <c r="BA881" t="s">
        <v>2497</v>
      </c>
      <c r="BD881" t="s">
        <v>2785</v>
      </c>
      <c r="BE881" t="s">
        <v>393</v>
      </c>
      <c r="BF881">
        <v>32011</v>
      </c>
      <c r="BG881" t="s">
        <v>9189</v>
      </c>
      <c r="BH881" t="s">
        <v>2787</v>
      </c>
      <c r="BI881">
        <v>-81.826252528595305</v>
      </c>
      <c r="BJ881">
        <v>30.553570903973998</v>
      </c>
      <c r="BK881" t="s">
        <v>6930</v>
      </c>
      <c r="BM881" t="s">
        <v>9190</v>
      </c>
      <c r="BN881" t="s">
        <v>928</v>
      </c>
      <c r="BO881">
        <v>32011</v>
      </c>
      <c r="BP881" t="s">
        <v>404</v>
      </c>
      <c r="BQ881">
        <v>0</v>
      </c>
      <c r="BR881" t="s">
        <v>491</v>
      </c>
      <c r="BS881">
        <v>8001</v>
      </c>
      <c r="BT881" t="s">
        <v>492</v>
      </c>
      <c r="BW881">
        <v>24211</v>
      </c>
      <c r="BX881" t="s">
        <v>407</v>
      </c>
      <c r="BY881" t="s">
        <v>3019</v>
      </c>
      <c r="CD881">
        <v>2017</v>
      </c>
      <c r="CE881">
        <v>20000</v>
      </c>
      <c r="CG881">
        <v>20000</v>
      </c>
      <c r="CH881">
        <v>2017</v>
      </c>
      <c r="CI881">
        <v>20000</v>
      </c>
      <c r="CK881">
        <v>20000</v>
      </c>
      <c r="CL881">
        <v>2017</v>
      </c>
      <c r="CM881">
        <v>218.97</v>
      </c>
      <c r="CN881" s="1">
        <v>40518</v>
      </c>
      <c r="CV881">
        <v>0</v>
      </c>
      <c r="CZ881" s="1">
        <v>40518</v>
      </c>
      <c r="DA881">
        <v>0</v>
      </c>
      <c r="DD881" t="s">
        <v>2785</v>
      </c>
      <c r="DF881">
        <v>60</v>
      </c>
      <c r="DG881">
        <v>32</v>
      </c>
      <c r="DJ881" t="s">
        <v>9172</v>
      </c>
      <c r="DL881">
        <v>50503</v>
      </c>
      <c r="DM881" t="s">
        <v>9136</v>
      </c>
      <c r="DO881" t="s">
        <v>9191</v>
      </c>
      <c r="DP881">
        <v>0</v>
      </c>
      <c r="DQ881">
        <v>0</v>
      </c>
      <c r="DR881" t="s">
        <v>411</v>
      </c>
      <c r="EP881" t="s">
        <v>421</v>
      </c>
      <c r="EQ881" t="s">
        <v>422</v>
      </c>
      <c r="ER881">
        <v>0</v>
      </c>
      <c r="ES881">
        <v>1</v>
      </c>
      <c r="ET881">
        <v>0</v>
      </c>
      <c r="EU881">
        <v>0</v>
      </c>
      <c r="EV881">
        <v>0</v>
      </c>
      <c r="EW881" s="2">
        <v>43222</v>
      </c>
      <c r="EX881" s="1">
        <v>41423</v>
      </c>
      <c r="EY881">
        <v>2012</v>
      </c>
      <c r="EZ881">
        <v>124.85</v>
      </c>
      <c r="FA881" t="s">
        <v>9192</v>
      </c>
      <c r="FB881">
        <v>9.75</v>
      </c>
      <c r="FC881" t="s">
        <v>424</v>
      </c>
      <c r="FD881" t="s">
        <v>425</v>
      </c>
      <c r="FE881" s="1">
        <v>41779</v>
      </c>
      <c r="FF881">
        <v>12</v>
      </c>
      <c r="FG881">
        <v>10021</v>
      </c>
      <c r="FH881" t="s">
        <v>597</v>
      </c>
    </row>
    <row r="882" spans="1:272" x14ac:dyDescent="0.25">
      <c r="A882">
        <v>16485889</v>
      </c>
      <c r="B882">
        <v>881</v>
      </c>
      <c r="C882" t="s">
        <v>393</v>
      </c>
      <c r="D882" t="s">
        <v>394</v>
      </c>
      <c r="F882" t="str">
        <f>"32-2N-25-019B-0061-0000"</f>
        <v>32-2N-25-019B-0061-0000</v>
      </c>
      <c r="H882" t="str">
        <f>"GREENE KENNETH LEE JR"</f>
        <v>GREENE KENNETH LEE JR</v>
      </c>
      <c r="I882" t="str">
        <f>"44959 GREEN MEADOWS LANE"</f>
        <v>44959 GREEN MEADOWS LANE</v>
      </c>
      <c r="J882" t="str">
        <f>"CALLAHAN FL 32011"</f>
        <v>CALLAHAN FL 32011</v>
      </c>
      <c r="K882" t="str">
        <f>"46033 ROBINWOOD TRL"</f>
        <v>46033 ROBINWOOD TRL</v>
      </c>
      <c r="L882" t="str">
        <f t="shared" si="273"/>
        <v>CALLAHAN FL 32011</v>
      </c>
      <c r="M882" t="str">
        <f>"LOT 61 PT OR 1739/377 BRANCH CREEK PB 7/343"</f>
        <v>LOT 61 PT OR 1739/377 BRANCH CREEK PB 7/343</v>
      </c>
      <c r="N882" t="str">
        <f>""</f>
        <v/>
      </c>
      <c r="O882" t="str">
        <f>"40227"</f>
        <v>40227</v>
      </c>
      <c r="P882" t="str">
        <f t="shared" si="265"/>
        <v>2017</v>
      </c>
      <c r="Q882" t="str">
        <f>""</f>
        <v/>
      </c>
      <c r="R882" t="str">
        <f t="shared" si="278"/>
        <v>N</v>
      </c>
      <c r="S882" t="str">
        <f>""</f>
        <v/>
      </c>
      <c r="T882" t="str">
        <f>"221.85"</f>
        <v>221.85</v>
      </c>
      <c r="U882" t="str">
        <f>"9075.00"</f>
        <v>9075.00</v>
      </c>
      <c r="V882" t="str">
        <f>"9075.00"</f>
        <v>9075.00</v>
      </c>
      <c r="W882" t="str">
        <f t="shared" si="266"/>
        <v>2017</v>
      </c>
      <c r="X882" t="str">
        <f>"12.00"</f>
        <v>12.00</v>
      </c>
      <c r="Y882" t="str">
        <f>"260.51"</f>
        <v>260.51</v>
      </c>
      <c r="Z882" t="str">
        <f>""</f>
        <v/>
      </c>
      <c r="AA882" t="str">
        <f>"20000.00"</f>
        <v>20000.00</v>
      </c>
      <c r="AB882" t="str">
        <f t="shared" si="279"/>
        <v>Residential</v>
      </c>
      <c r="AC882" t="str">
        <f t="shared" si="274"/>
        <v>0</v>
      </c>
      <c r="AD882" t="str">
        <f>""</f>
        <v/>
      </c>
      <c r="AE882" t="str">
        <f>""</f>
        <v/>
      </c>
      <c r="AF882" t="str">
        <f>"000"</f>
        <v>000</v>
      </c>
      <c r="AG882" t="str">
        <f t="shared" si="276"/>
        <v>FL</v>
      </c>
      <c r="AH882" t="str">
        <f>"-"</f>
        <v>-</v>
      </c>
      <c r="AI882" t="str">
        <f>"20000.00"</f>
        <v>20000.00</v>
      </c>
      <c r="AJ882" t="str">
        <f>"C55-001-028-2435-6"</f>
        <v>C55-001-028-2435-6</v>
      </c>
      <c r="AK882" t="str">
        <f>"13701"</f>
        <v>13701</v>
      </c>
      <c r="AL882">
        <v>4</v>
      </c>
      <c r="AM882">
        <v>1020</v>
      </c>
      <c r="AN882">
        <v>271.94</v>
      </c>
      <c r="AQ882" t="s">
        <v>9193</v>
      </c>
      <c r="AR882" t="s">
        <v>9193</v>
      </c>
      <c r="AS882" t="s">
        <v>9193</v>
      </c>
      <c r="AU882" t="s">
        <v>396</v>
      </c>
      <c r="AV882">
        <v>2017</v>
      </c>
      <c r="AW882" t="str">
        <f>"32-2N-25-019B-0061-0000 "</f>
        <v xml:space="preserve">32-2N-25-019B-0061-0000 </v>
      </c>
      <c r="AX882">
        <v>46033</v>
      </c>
      <c r="AZ882" t="s">
        <v>9183</v>
      </c>
      <c r="BA882" t="s">
        <v>2497</v>
      </c>
      <c r="BD882" t="s">
        <v>2785</v>
      </c>
      <c r="BE882" t="s">
        <v>393</v>
      </c>
      <c r="BF882">
        <v>32011</v>
      </c>
      <c r="BG882" t="s">
        <v>9194</v>
      </c>
      <c r="BH882" t="s">
        <v>2787</v>
      </c>
      <c r="BI882">
        <v>-81.826087472293594</v>
      </c>
      <c r="BJ882">
        <v>30.553335824841799</v>
      </c>
      <c r="BK882" t="s">
        <v>9185</v>
      </c>
      <c r="BM882" t="s">
        <v>6929</v>
      </c>
      <c r="BN882" t="s">
        <v>928</v>
      </c>
      <c r="BO882">
        <v>32011</v>
      </c>
      <c r="BP882" t="s">
        <v>404</v>
      </c>
      <c r="BQ882">
        <v>0</v>
      </c>
      <c r="BR882" t="s">
        <v>491</v>
      </c>
      <c r="BS882">
        <v>8001</v>
      </c>
      <c r="BT882" t="s">
        <v>492</v>
      </c>
      <c r="BW882">
        <v>24304</v>
      </c>
      <c r="BX882" t="s">
        <v>407</v>
      </c>
      <c r="BY882" t="s">
        <v>3019</v>
      </c>
      <c r="CD882">
        <v>2017</v>
      </c>
      <c r="CE882">
        <v>20000</v>
      </c>
      <c r="CG882">
        <v>20000</v>
      </c>
      <c r="CH882">
        <v>2017</v>
      </c>
      <c r="CI882">
        <v>20000</v>
      </c>
      <c r="CK882">
        <v>20000</v>
      </c>
      <c r="CL882">
        <v>2017</v>
      </c>
      <c r="CM882">
        <v>221.85</v>
      </c>
      <c r="CN882" s="1">
        <v>40518</v>
      </c>
      <c r="CV882">
        <v>0</v>
      </c>
      <c r="CZ882" s="1">
        <v>40518</v>
      </c>
      <c r="DA882">
        <v>0</v>
      </c>
      <c r="DD882" t="s">
        <v>2785</v>
      </c>
      <c r="DF882">
        <v>61</v>
      </c>
      <c r="DG882">
        <v>32</v>
      </c>
      <c r="DJ882" t="s">
        <v>9172</v>
      </c>
      <c r="DL882">
        <v>50503</v>
      </c>
      <c r="DM882" t="s">
        <v>9136</v>
      </c>
      <c r="DO882" t="s">
        <v>9195</v>
      </c>
      <c r="DP882">
        <v>0</v>
      </c>
      <c r="DQ882">
        <v>0</v>
      </c>
      <c r="DR882" t="s">
        <v>411</v>
      </c>
      <c r="EP882" t="s">
        <v>421</v>
      </c>
      <c r="EQ882" t="s">
        <v>422</v>
      </c>
      <c r="ER882">
        <v>0</v>
      </c>
      <c r="ES882">
        <v>2</v>
      </c>
      <c r="ET882">
        <v>0</v>
      </c>
      <c r="EU882">
        <v>0</v>
      </c>
      <c r="EV882">
        <v>0</v>
      </c>
      <c r="EW882" s="2">
        <v>43222</v>
      </c>
      <c r="EX882" s="1">
        <v>41423</v>
      </c>
      <c r="EY882">
        <v>2012</v>
      </c>
      <c r="EZ882">
        <v>159.13</v>
      </c>
      <c r="FA882" t="s">
        <v>9196</v>
      </c>
      <c r="FB882">
        <v>7.5</v>
      </c>
      <c r="FC882" t="s">
        <v>424</v>
      </c>
      <c r="FD882" t="s">
        <v>425</v>
      </c>
      <c r="FE882" s="1">
        <v>41779</v>
      </c>
      <c r="FF882">
        <v>12</v>
      </c>
      <c r="FG882">
        <v>1127</v>
      </c>
      <c r="FH882" t="s">
        <v>1379</v>
      </c>
      <c r="FJ882" s="1">
        <v>41423</v>
      </c>
      <c r="FK882">
        <v>2012</v>
      </c>
      <c r="FL882">
        <v>159.13</v>
      </c>
      <c r="FM882" t="s">
        <v>9196</v>
      </c>
      <c r="FN882">
        <v>7.5</v>
      </c>
      <c r="FO882" t="s">
        <v>424</v>
      </c>
      <c r="FP882" t="s">
        <v>425</v>
      </c>
      <c r="FR882">
        <v>22</v>
      </c>
      <c r="FS882">
        <v>2035919</v>
      </c>
      <c r="FT882" t="s">
        <v>507</v>
      </c>
    </row>
    <row r="883" spans="1:272" x14ac:dyDescent="0.25">
      <c r="A883">
        <v>16485890</v>
      </c>
      <c r="B883">
        <v>882</v>
      </c>
      <c r="C883" t="s">
        <v>393</v>
      </c>
      <c r="D883" t="s">
        <v>394</v>
      </c>
      <c r="F883" t="str">
        <f>"32-2N-25-2920-0002-0020"</f>
        <v>32-2N-25-2920-0002-0020</v>
      </c>
      <c r="H883" t="str">
        <f>"NEWCOMB ETHEL S C/O RICHARD T NEWCOMB"</f>
        <v>NEWCOMB ETHEL S C/O RICHARD T NEWCOMB</v>
      </c>
      <c r="I883" t="str">
        <f>"7590 N DESERT TREE DRIVE"</f>
        <v>7590 N DESERT TREE DRIVE</v>
      </c>
      <c r="J883" t="str">
        <f>"TUCSON AZ 85704"</f>
        <v>TUCSON AZ 85704</v>
      </c>
      <c r="K883" t="str">
        <f>"PICKETT ST"</f>
        <v>PICKETT ST</v>
      </c>
      <c r="L883" t="str">
        <f t="shared" si="273"/>
        <v>CALLAHAN FL 32011</v>
      </c>
      <c r="M883" t="str">
        <f>"BLOCK 2 LOT 2 ESMT PT OR 1861/825 NEWCOMB SUB-SOUTH CALLAHAN PB1/16"</f>
        <v>BLOCK 2 LOT 2 ESMT PT OR 1861/825 NEWCOMB SUB-SOUTH CALLAHAN PB1/16</v>
      </c>
      <c r="N883" t="str">
        <f>""</f>
        <v/>
      </c>
      <c r="O883" t="str">
        <f>"40236"</f>
        <v>40236</v>
      </c>
      <c r="P883" t="str">
        <f t="shared" si="265"/>
        <v>2017</v>
      </c>
      <c r="Q883" t="str">
        <f>""</f>
        <v/>
      </c>
      <c r="R883" t="str">
        <f t="shared" si="278"/>
        <v>N</v>
      </c>
      <c r="S883" t="str">
        <f>"1.00"</f>
        <v>1.00</v>
      </c>
      <c r="T883" t="str">
        <f>"190.55"</f>
        <v>190.55</v>
      </c>
      <c r="U883" t="str">
        <f>"11880.00"</f>
        <v>11880.00</v>
      </c>
      <c r="V883" t="str">
        <f>"11880.00"</f>
        <v>11880.00</v>
      </c>
      <c r="W883" t="str">
        <f t="shared" si="266"/>
        <v>2017</v>
      </c>
      <c r="X883" t="str">
        <f>""</f>
        <v/>
      </c>
      <c r="Y883" t="str">
        <f>"228.27"</f>
        <v>228.27</v>
      </c>
      <c r="Z883" t="str">
        <f>""</f>
        <v/>
      </c>
      <c r="AA883" t="str">
        <f>"13500.00"</f>
        <v>13500.00</v>
      </c>
      <c r="AB883" t="str">
        <f t="shared" si="279"/>
        <v>Residential</v>
      </c>
      <c r="AC883" t="str">
        <f t="shared" si="274"/>
        <v>0</v>
      </c>
      <c r="AD883" t="str">
        <f>""</f>
        <v/>
      </c>
      <c r="AE883" t="str">
        <f>""</f>
        <v/>
      </c>
      <c r="AF883" t="str">
        <f>"000"</f>
        <v>000</v>
      </c>
      <c r="AG883" t="str">
        <f>"AZ"</f>
        <v>AZ</v>
      </c>
      <c r="AH883" t="str">
        <f>"43560.00"</f>
        <v>43560.00</v>
      </c>
      <c r="AI883" t="str">
        <f>"13500.00"</f>
        <v>13500.00</v>
      </c>
      <c r="AJ883" t="str">
        <f>"C55-000-587-6766-6"</f>
        <v>C55-000-587-6766-6</v>
      </c>
      <c r="AK883" t="str">
        <f>"13705"</f>
        <v>13705</v>
      </c>
      <c r="AL883">
        <v>4</v>
      </c>
      <c r="AM883">
        <v>1021</v>
      </c>
      <c r="AN883">
        <v>238.08</v>
      </c>
      <c r="AQ883" t="s">
        <v>9197</v>
      </c>
      <c r="AR883" t="s">
        <v>9197</v>
      </c>
      <c r="AS883" t="s">
        <v>9197</v>
      </c>
      <c r="AU883" t="s">
        <v>396</v>
      </c>
      <c r="AV883">
        <v>2017</v>
      </c>
      <c r="AW883" t="str">
        <f>"32-2N-25-2920-0002-0020 "</f>
        <v xml:space="preserve">32-2N-25-2920-0002-0020 </v>
      </c>
      <c r="AZ883" t="s">
        <v>9198</v>
      </c>
      <c r="BA883" t="s">
        <v>1942</v>
      </c>
      <c r="BD883" t="s">
        <v>2785</v>
      </c>
      <c r="BE883" t="s">
        <v>393</v>
      </c>
      <c r="BF883">
        <v>32011</v>
      </c>
      <c r="BG883" t="s">
        <v>9199</v>
      </c>
      <c r="BH883" t="s">
        <v>2787</v>
      </c>
      <c r="BI883">
        <v>-81.833231199171294</v>
      </c>
      <c r="BJ883">
        <v>30.552106977513699</v>
      </c>
      <c r="BK883" t="s">
        <v>9200</v>
      </c>
      <c r="BM883" t="s">
        <v>9201</v>
      </c>
      <c r="BN883" t="s">
        <v>9202</v>
      </c>
      <c r="BO883">
        <v>85704</v>
      </c>
      <c r="BP883" t="s">
        <v>404</v>
      </c>
      <c r="BQ883">
        <v>0</v>
      </c>
      <c r="BR883" t="s">
        <v>491</v>
      </c>
      <c r="BS883">
        <v>8001</v>
      </c>
      <c r="BT883" t="s">
        <v>492</v>
      </c>
      <c r="BW883">
        <v>30491</v>
      </c>
      <c r="BX883" t="s">
        <v>407</v>
      </c>
      <c r="BY883" t="s">
        <v>408</v>
      </c>
      <c r="CD883">
        <v>2017</v>
      </c>
      <c r="CE883">
        <v>13500</v>
      </c>
      <c r="CG883">
        <v>13500</v>
      </c>
      <c r="CH883">
        <v>2017</v>
      </c>
      <c r="CI883">
        <v>13500</v>
      </c>
      <c r="CK883">
        <v>13500</v>
      </c>
      <c r="CL883">
        <v>2017</v>
      </c>
      <c r="CM883">
        <v>190.55</v>
      </c>
      <c r="DD883" t="s">
        <v>2785</v>
      </c>
      <c r="DF883">
        <v>2</v>
      </c>
      <c r="DG883">
        <v>32</v>
      </c>
      <c r="DJ883" t="s">
        <v>6888</v>
      </c>
      <c r="DL883">
        <v>50503</v>
      </c>
      <c r="DM883" t="s">
        <v>9136</v>
      </c>
      <c r="DO883" t="s">
        <v>9203</v>
      </c>
      <c r="DP883">
        <v>0</v>
      </c>
      <c r="DQ883">
        <v>0</v>
      </c>
      <c r="DR883" t="s">
        <v>411</v>
      </c>
      <c r="DS883" t="b">
        <v>1</v>
      </c>
      <c r="DT883" t="s">
        <v>396</v>
      </c>
      <c r="DV883" t="s">
        <v>446</v>
      </c>
      <c r="DX883">
        <v>-9999</v>
      </c>
      <c r="DZ883" t="s">
        <v>447</v>
      </c>
      <c r="EA883" t="s">
        <v>448</v>
      </c>
      <c r="EB883" t="s">
        <v>2792</v>
      </c>
      <c r="EC883">
        <v>20101217</v>
      </c>
      <c r="ED883" t="s">
        <v>450</v>
      </c>
      <c r="EE883">
        <v>17.100000000000001</v>
      </c>
      <c r="EF883">
        <v>0</v>
      </c>
      <c r="EG883">
        <v>0</v>
      </c>
      <c r="EI883">
        <v>20160407</v>
      </c>
      <c r="EJ883">
        <v>0</v>
      </c>
      <c r="EK883">
        <v>0</v>
      </c>
      <c r="EP883" t="s">
        <v>421</v>
      </c>
      <c r="EQ883" t="s">
        <v>422</v>
      </c>
      <c r="ER883">
        <v>7</v>
      </c>
      <c r="ES883">
        <v>0</v>
      </c>
      <c r="ET883">
        <v>1514.21</v>
      </c>
      <c r="EU883">
        <v>479.17</v>
      </c>
      <c r="EV883">
        <v>1993.38</v>
      </c>
      <c r="EW883" s="2">
        <v>43222</v>
      </c>
      <c r="EX883" s="1">
        <v>42879</v>
      </c>
      <c r="EY883">
        <v>2016</v>
      </c>
      <c r="EZ883">
        <v>206.31</v>
      </c>
      <c r="FA883" t="s">
        <v>9204</v>
      </c>
      <c r="FB883">
        <v>11.75</v>
      </c>
      <c r="FC883" t="s">
        <v>424</v>
      </c>
      <c r="FD883" t="s">
        <v>454</v>
      </c>
      <c r="FF883">
        <v>12</v>
      </c>
      <c r="FG883">
        <v>10125</v>
      </c>
      <c r="FH883" t="s">
        <v>440</v>
      </c>
      <c r="FJ883" s="1">
        <v>42515</v>
      </c>
      <c r="FK883">
        <v>2015</v>
      </c>
      <c r="FL883">
        <v>217.14</v>
      </c>
      <c r="FM883" t="s">
        <v>9205</v>
      </c>
      <c r="FN883">
        <v>18</v>
      </c>
      <c r="FO883" t="s">
        <v>424</v>
      </c>
      <c r="FP883" t="s">
        <v>454</v>
      </c>
      <c r="FR883">
        <v>24</v>
      </c>
      <c r="FS883">
        <v>7336670</v>
      </c>
      <c r="FT883" t="s">
        <v>2102</v>
      </c>
      <c r="FV883" s="1">
        <v>42151</v>
      </c>
      <c r="FW883">
        <v>2014</v>
      </c>
      <c r="FX883">
        <v>218.14</v>
      </c>
      <c r="FY883" t="s">
        <v>9206</v>
      </c>
      <c r="FZ883">
        <v>5</v>
      </c>
      <c r="GA883" t="s">
        <v>424</v>
      </c>
      <c r="GB883" t="s">
        <v>454</v>
      </c>
      <c r="GD883">
        <v>36</v>
      </c>
      <c r="GE883">
        <v>6516843</v>
      </c>
      <c r="GF883" t="s">
        <v>601</v>
      </c>
      <c r="GH883" s="1">
        <v>41787</v>
      </c>
      <c r="GI883">
        <v>2013</v>
      </c>
      <c r="GJ883">
        <v>207.65</v>
      </c>
      <c r="GK883" t="s">
        <v>9207</v>
      </c>
      <c r="GL883">
        <v>6.75</v>
      </c>
      <c r="GM883" t="s">
        <v>424</v>
      </c>
      <c r="GN883" t="s">
        <v>454</v>
      </c>
      <c r="GP883">
        <v>48</v>
      </c>
      <c r="GQ883">
        <v>2035919</v>
      </c>
      <c r="GR883" t="s">
        <v>507</v>
      </c>
      <c r="GT883" s="1">
        <v>41787</v>
      </c>
      <c r="GU883">
        <v>2013</v>
      </c>
      <c r="GV883">
        <v>207.65</v>
      </c>
      <c r="GW883" t="s">
        <v>9207</v>
      </c>
      <c r="GX883">
        <v>6.75</v>
      </c>
      <c r="GY883" t="s">
        <v>424</v>
      </c>
      <c r="GZ883" t="s">
        <v>454</v>
      </c>
      <c r="HB883">
        <v>48</v>
      </c>
      <c r="HC883">
        <v>7336670</v>
      </c>
      <c r="HD883" t="s">
        <v>2102</v>
      </c>
      <c r="HF883" s="1">
        <v>41423</v>
      </c>
      <c r="HG883">
        <v>2012</v>
      </c>
      <c r="HH883">
        <v>230.83</v>
      </c>
      <c r="HI883" t="s">
        <v>9208</v>
      </c>
      <c r="HJ883">
        <v>6</v>
      </c>
      <c r="HK883" t="s">
        <v>424</v>
      </c>
      <c r="HL883" t="s">
        <v>454</v>
      </c>
      <c r="HN883">
        <v>60</v>
      </c>
      <c r="HO883">
        <v>375</v>
      </c>
      <c r="HP883" t="s">
        <v>776</v>
      </c>
      <c r="HR883" s="1">
        <v>41052</v>
      </c>
      <c r="HS883">
        <v>2011</v>
      </c>
      <c r="HT883">
        <v>226.49</v>
      </c>
      <c r="HU883" t="s">
        <v>9209</v>
      </c>
      <c r="HV883">
        <v>8.75</v>
      </c>
      <c r="HW883" t="s">
        <v>424</v>
      </c>
      <c r="HX883" t="s">
        <v>454</v>
      </c>
      <c r="HZ883">
        <v>72</v>
      </c>
      <c r="IA883">
        <v>10125</v>
      </c>
      <c r="IB883" t="s">
        <v>440</v>
      </c>
    </row>
    <row r="884" spans="1:272" x14ac:dyDescent="0.25">
      <c r="A884">
        <v>16485891</v>
      </c>
      <c r="B884">
        <v>883</v>
      </c>
      <c r="C884" t="s">
        <v>393</v>
      </c>
      <c r="D884" t="s">
        <v>394</v>
      </c>
      <c r="F884" t="str">
        <f>"32-2N-25-2920-0002-0061"</f>
        <v>32-2N-25-2920-0002-0061</v>
      </c>
      <c r="H884" t="str">
        <f>"SHAW GLORIA &amp; CARTER JERALD &amp; CARTER TIFTON"</f>
        <v>SHAW GLORIA &amp; CARTER JERALD &amp; CARTER TIFTON</v>
      </c>
      <c r="I884" t="str">
        <f>""</f>
        <v/>
      </c>
      <c r="J884" t="str">
        <f>"MIDDLEBURG FL 32068"</f>
        <v>MIDDLEBURG FL 32068</v>
      </c>
      <c r="K884" t="str">
        <f>"44186 NASSAU AVE"</f>
        <v>44186 NASSAU AVE</v>
      </c>
      <c r="L884" t="str">
        <f t="shared" si="273"/>
        <v>CALLAHAN FL 32011</v>
      </c>
      <c r="M884" t="str">
        <f>"BLOCK 2 LOT PT OF 6 (S-1) R278180 CASE 12-CP-184 OR 1860/173 NEWCOMB SUB SOUTH CALLAHAN PB 1/16"</f>
        <v>BLOCK 2 LOT PT OF 6 (S-1) R278180 CASE 12-CP-184 OR 1860/173 NEWCOMB SUB SOUTH CALLAHAN PB 1/16</v>
      </c>
      <c r="N884" t="str">
        <f>""</f>
        <v/>
      </c>
      <c r="O884" t="str">
        <f>"40250"</f>
        <v>40250</v>
      </c>
      <c r="P884" t="str">
        <f t="shared" si="265"/>
        <v>2017</v>
      </c>
      <c r="Q884" t="str">
        <f>""</f>
        <v/>
      </c>
      <c r="R884" t="str">
        <f t="shared" si="278"/>
        <v>N</v>
      </c>
      <c r="S884" t="str">
        <f>"1.00"</f>
        <v>1.00</v>
      </c>
      <c r="T884" t="str">
        <f>"347.10"</f>
        <v>347.10</v>
      </c>
      <c r="U884" t="str">
        <f>"22513.00"</f>
        <v>22513.00</v>
      </c>
      <c r="V884" t="str">
        <f>"22513.00"</f>
        <v>22513.00</v>
      </c>
      <c r="W884" t="str">
        <f t="shared" si="266"/>
        <v>2017</v>
      </c>
      <c r="X884" t="str">
        <f>"4.00"</f>
        <v>4.00</v>
      </c>
      <c r="Y884" t="str">
        <f>"389.51"</f>
        <v>389.51</v>
      </c>
      <c r="Z884" t="str">
        <f>""</f>
        <v/>
      </c>
      <c r="AA884" t="str">
        <f>"23466.00"</f>
        <v>23466.00</v>
      </c>
      <c r="AB884" t="str">
        <f t="shared" si="279"/>
        <v>Residential</v>
      </c>
      <c r="AC884" t="str">
        <f t="shared" si="274"/>
        <v>0</v>
      </c>
      <c r="AD884" t="str">
        <f>"4"</f>
        <v>4</v>
      </c>
      <c r="AE884" t="str">
        <f>"WOOD (INCLUDE STEEL STUDS)"</f>
        <v>WOOD (INCLUDE STEEL STUDS)</v>
      </c>
      <c r="AF884" t="str">
        <f>"002"</f>
        <v>002</v>
      </c>
      <c r="AG884" t="str">
        <f t="shared" ref="AG884:AG906" si="280">"FL"</f>
        <v>FL</v>
      </c>
      <c r="AH884" t="str">
        <f>"43560.00"</f>
        <v>43560.00</v>
      </c>
      <c r="AI884" t="str">
        <f>"15000.00"</f>
        <v>15000.00</v>
      </c>
      <c r="AJ884" t="str">
        <f>"C55-000-587-6778-1"</f>
        <v>C55-000-587-6778-1</v>
      </c>
      <c r="AK884" t="str">
        <f>"13719"</f>
        <v>13719</v>
      </c>
      <c r="AL884">
        <v>4</v>
      </c>
      <c r="AM884">
        <v>1023</v>
      </c>
      <c r="AN884">
        <v>407.39</v>
      </c>
      <c r="AQ884" t="s">
        <v>9210</v>
      </c>
      <c r="AR884" t="s">
        <v>9210</v>
      </c>
      <c r="AS884" t="s">
        <v>9210</v>
      </c>
      <c r="AU884" t="s">
        <v>396</v>
      </c>
      <c r="AV884">
        <v>2017</v>
      </c>
      <c r="AW884" t="str">
        <f>"32-2N-25-2920-0002-0061 "</f>
        <v xml:space="preserve">32-2N-25-2920-0002-0061 </v>
      </c>
      <c r="AX884">
        <v>44186</v>
      </c>
      <c r="AZ884" t="s">
        <v>9211</v>
      </c>
      <c r="BA884" t="s">
        <v>1112</v>
      </c>
      <c r="BD884" t="s">
        <v>2785</v>
      </c>
      <c r="BE884" t="s">
        <v>393</v>
      </c>
      <c r="BF884">
        <v>32011</v>
      </c>
      <c r="BG884" t="s">
        <v>9212</v>
      </c>
      <c r="BH884" t="s">
        <v>2787</v>
      </c>
      <c r="BI884">
        <v>-81.833079735875799</v>
      </c>
      <c r="BJ884">
        <v>30.5472788414245</v>
      </c>
      <c r="BK884" t="s">
        <v>9213</v>
      </c>
      <c r="BM884" t="s">
        <v>9214</v>
      </c>
      <c r="BN884" t="s">
        <v>6584</v>
      </c>
      <c r="BO884">
        <v>32068</v>
      </c>
      <c r="BP884" t="s">
        <v>404</v>
      </c>
      <c r="BQ884">
        <v>200</v>
      </c>
      <c r="BR884" t="s">
        <v>405</v>
      </c>
      <c r="BS884">
        <v>1006</v>
      </c>
      <c r="BT884" t="s">
        <v>406</v>
      </c>
      <c r="BW884">
        <v>38768</v>
      </c>
      <c r="BX884" t="s">
        <v>407</v>
      </c>
      <c r="BY884" t="s">
        <v>408</v>
      </c>
      <c r="BZ884">
        <v>4</v>
      </c>
      <c r="CA884">
        <v>1972</v>
      </c>
      <c r="CB884">
        <v>1</v>
      </c>
      <c r="CC884">
        <v>1</v>
      </c>
      <c r="CD884">
        <v>2017</v>
      </c>
      <c r="CE884">
        <v>15000</v>
      </c>
      <c r="CF884">
        <v>8466</v>
      </c>
      <c r="CG884">
        <v>23466</v>
      </c>
      <c r="CH884">
        <v>2017</v>
      </c>
      <c r="CI884">
        <v>15000</v>
      </c>
      <c r="CJ884">
        <v>8466</v>
      </c>
      <c r="CK884">
        <v>23466</v>
      </c>
      <c r="CL884">
        <v>2017</v>
      </c>
      <c r="CM884">
        <v>347.1</v>
      </c>
      <c r="CN884" s="1">
        <v>27760</v>
      </c>
      <c r="CO884">
        <v>3500</v>
      </c>
      <c r="CZ884" s="1">
        <v>27760</v>
      </c>
      <c r="DD884" t="s">
        <v>2785</v>
      </c>
      <c r="DG884">
        <v>32</v>
      </c>
      <c r="DL884">
        <v>50503</v>
      </c>
      <c r="DM884" t="s">
        <v>9136</v>
      </c>
      <c r="DO884" t="s">
        <v>9215</v>
      </c>
      <c r="DP884">
        <v>0</v>
      </c>
      <c r="DQ884">
        <v>0</v>
      </c>
      <c r="DR884" t="s">
        <v>411</v>
      </c>
      <c r="DS884" t="b">
        <v>1</v>
      </c>
      <c r="DT884" t="s">
        <v>470</v>
      </c>
      <c r="DU884" t="s">
        <v>471</v>
      </c>
      <c r="DV884" t="s">
        <v>472</v>
      </c>
      <c r="DX884">
        <v>-9999</v>
      </c>
      <c r="DZ884" t="s">
        <v>447</v>
      </c>
      <c r="EA884" t="s">
        <v>448</v>
      </c>
      <c r="EB884" t="s">
        <v>742</v>
      </c>
      <c r="EC884">
        <v>20101217</v>
      </c>
      <c r="ED884" t="s">
        <v>474</v>
      </c>
      <c r="EF884">
        <v>29.4</v>
      </c>
      <c r="EG884">
        <v>29.4</v>
      </c>
      <c r="EI884">
        <v>20160407</v>
      </c>
      <c r="EJ884">
        <v>0</v>
      </c>
      <c r="EK884">
        <v>0</v>
      </c>
      <c r="EP884" t="s">
        <v>421</v>
      </c>
      <c r="EQ884" t="s">
        <v>422</v>
      </c>
      <c r="ER884">
        <v>0</v>
      </c>
      <c r="ES884">
        <v>1</v>
      </c>
      <c r="ET884">
        <v>0</v>
      </c>
      <c r="EU884">
        <v>0</v>
      </c>
      <c r="EV884">
        <v>0</v>
      </c>
      <c r="EW884" s="2">
        <v>43222</v>
      </c>
      <c r="EX884" s="1">
        <v>42515</v>
      </c>
      <c r="EY884">
        <v>2015</v>
      </c>
      <c r="EZ884">
        <v>395.53</v>
      </c>
      <c r="FA884" t="s">
        <v>9216</v>
      </c>
      <c r="FB884">
        <v>7.75</v>
      </c>
      <c r="FC884" t="s">
        <v>424</v>
      </c>
      <c r="FD884" t="s">
        <v>425</v>
      </c>
      <c r="FE884" s="1">
        <v>42632</v>
      </c>
      <c r="FF884">
        <v>4</v>
      </c>
      <c r="FG884">
        <v>2035919</v>
      </c>
      <c r="FH884" t="s">
        <v>507</v>
      </c>
    </row>
    <row r="885" spans="1:272" x14ac:dyDescent="0.25">
      <c r="A885">
        <v>16485892</v>
      </c>
      <c r="B885">
        <v>884</v>
      </c>
      <c r="C885" t="s">
        <v>393</v>
      </c>
      <c r="D885" t="s">
        <v>394</v>
      </c>
      <c r="F885" t="str">
        <f>"32-2N-25-2920-0002-0067"</f>
        <v>32-2N-25-2920-0002-0067</v>
      </c>
      <c r="H885" t="str">
        <f>"WILLIAMS CAROLYN D (1/4 INT) &amp; GODWIN DAVID ANTHONYJR(3/4 IN)"</f>
        <v>WILLIAMS CAROLYN D (1/4 INT) &amp; GODWIN DAVID ANTHONYJR(3/4 IN)</v>
      </c>
      <c r="I885" t="str">
        <f>"44427 COMMANCHEE RD"</f>
        <v>44427 COMMANCHEE RD</v>
      </c>
      <c r="J885" t="str">
        <f t="shared" ref="J885:J893" si="281">"CALLAHAN FL 32011"</f>
        <v>CALLAHAN FL 32011</v>
      </c>
      <c r="K885" t="str">
        <f>"44427 COMMANCHEE RD"</f>
        <v>44427 COMMANCHEE RD</v>
      </c>
      <c r="L885" t="str">
        <f t="shared" si="273"/>
        <v>CALLAHAN FL 32011</v>
      </c>
      <c r="M885" t="str">
        <f>"BLOCK 2 PT OF LOT 6 IN OR 1002/1186 &amp; OR 2046/103 NEWCOMB SUB-SOUTH CALLAHAN PB 1/16"</f>
        <v>BLOCK 2 PT OF LOT 6 IN OR 1002/1186 &amp; OR 2046/103 NEWCOMB SUB-SOUTH CALLAHAN PB 1/16</v>
      </c>
      <c r="N885" t="str">
        <f>""</f>
        <v/>
      </c>
      <c r="O885" t="str">
        <f>"40252"</f>
        <v>40252</v>
      </c>
      <c r="P885" t="str">
        <f t="shared" si="265"/>
        <v>2017</v>
      </c>
      <c r="Q885" t="str">
        <f>""</f>
        <v/>
      </c>
      <c r="R885" t="str">
        <f t="shared" si="278"/>
        <v>N</v>
      </c>
      <c r="S885" t="str">
        <f>"1.00"</f>
        <v>1.00</v>
      </c>
      <c r="T885" t="str">
        <f>"260.72"</f>
        <v>260.72</v>
      </c>
      <c r="U885" t="str">
        <f>"15890.00"</f>
        <v>15890.00</v>
      </c>
      <c r="V885" t="str">
        <f>"15890.00"</f>
        <v>15890.00</v>
      </c>
      <c r="W885" t="str">
        <f t="shared" si="266"/>
        <v>2017</v>
      </c>
      <c r="X885" t="str">
        <f>"7.50"</f>
        <v>7.50</v>
      </c>
      <c r="Y885" t="str">
        <f>"300.54"</f>
        <v>300.54</v>
      </c>
      <c r="Z885" t="str">
        <f>""</f>
        <v/>
      </c>
      <c r="AA885" t="str">
        <f>"18945.00"</f>
        <v>18945.00</v>
      </c>
      <c r="AB885" t="str">
        <f t="shared" si="279"/>
        <v>Residential</v>
      </c>
      <c r="AC885" t="str">
        <f t="shared" si="274"/>
        <v>0</v>
      </c>
      <c r="AD885" t="str">
        <f>""</f>
        <v/>
      </c>
      <c r="AE885" t="str">
        <f>""</f>
        <v/>
      </c>
      <c r="AF885" t="str">
        <f>"000"</f>
        <v>000</v>
      </c>
      <c r="AG885" t="str">
        <f t="shared" si="280"/>
        <v>FL</v>
      </c>
      <c r="AH885" t="str">
        <f>"43560.00"</f>
        <v>43560.00</v>
      </c>
      <c r="AI885" t="str">
        <f>"15000.00"</f>
        <v>15000.00</v>
      </c>
      <c r="AJ885" t="str">
        <f>"C55-000-587-6780-7"</f>
        <v>C55-000-587-6780-7</v>
      </c>
      <c r="AK885" t="str">
        <f>"13721"</f>
        <v>13721</v>
      </c>
      <c r="AL885">
        <v>4</v>
      </c>
      <c r="AM885">
        <v>1024</v>
      </c>
      <c r="AN885">
        <v>313.97000000000003</v>
      </c>
      <c r="AQ885" t="s">
        <v>9217</v>
      </c>
      <c r="AR885" t="s">
        <v>9217</v>
      </c>
      <c r="AS885" t="s">
        <v>9217</v>
      </c>
      <c r="AU885" t="s">
        <v>396</v>
      </c>
      <c r="AV885">
        <v>2017</v>
      </c>
      <c r="AW885" t="str">
        <f>"32-2N-25-2920-0002-0067 "</f>
        <v xml:space="preserve">32-2N-25-2920-0002-0067 </v>
      </c>
      <c r="AX885">
        <v>44427</v>
      </c>
      <c r="AZ885" t="s">
        <v>9218</v>
      </c>
      <c r="BA885" t="s">
        <v>496</v>
      </c>
      <c r="BD885" t="s">
        <v>2785</v>
      </c>
      <c r="BE885" t="s">
        <v>393</v>
      </c>
      <c r="BF885">
        <v>32011</v>
      </c>
      <c r="BG885" t="s">
        <v>9219</v>
      </c>
      <c r="BH885" t="s">
        <v>2787</v>
      </c>
      <c r="BI885">
        <v>-81.831916726712805</v>
      </c>
      <c r="BJ885">
        <v>30.5472889344164</v>
      </c>
      <c r="BK885" t="s">
        <v>9220</v>
      </c>
      <c r="BM885" t="s">
        <v>9219</v>
      </c>
      <c r="BN885" t="s">
        <v>928</v>
      </c>
      <c r="BO885">
        <v>32011</v>
      </c>
      <c r="BP885" t="s">
        <v>404</v>
      </c>
      <c r="BQ885">
        <v>1</v>
      </c>
      <c r="BR885" t="s">
        <v>491</v>
      </c>
      <c r="BS885">
        <v>8001</v>
      </c>
      <c r="BT885" t="s">
        <v>492</v>
      </c>
      <c r="BW885">
        <v>41868</v>
      </c>
      <c r="BX885" t="s">
        <v>407</v>
      </c>
      <c r="BY885" t="s">
        <v>408</v>
      </c>
      <c r="CD885">
        <v>2017</v>
      </c>
      <c r="CE885">
        <v>15000</v>
      </c>
      <c r="CF885">
        <v>3945</v>
      </c>
      <c r="CG885">
        <v>18945</v>
      </c>
      <c r="CH885">
        <v>2017</v>
      </c>
      <c r="CI885">
        <v>15000</v>
      </c>
      <c r="CJ885">
        <v>3945</v>
      </c>
      <c r="CK885">
        <v>18945</v>
      </c>
      <c r="CL885">
        <v>2017</v>
      </c>
      <c r="CM885">
        <v>260.72000000000003</v>
      </c>
      <c r="CN885" s="1">
        <v>42498</v>
      </c>
      <c r="CZ885" s="1">
        <v>42498</v>
      </c>
      <c r="DD885" t="s">
        <v>2785</v>
      </c>
      <c r="DF885">
        <v>6</v>
      </c>
      <c r="DG885">
        <v>32</v>
      </c>
      <c r="DL885">
        <v>50503</v>
      </c>
      <c r="DM885" t="s">
        <v>9136</v>
      </c>
      <c r="DO885" t="s">
        <v>9221</v>
      </c>
      <c r="DP885">
        <v>0</v>
      </c>
      <c r="DQ885">
        <v>0</v>
      </c>
      <c r="DR885" t="s">
        <v>411</v>
      </c>
      <c r="EP885" t="s">
        <v>421</v>
      </c>
      <c r="EQ885" t="s">
        <v>422</v>
      </c>
      <c r="ER885">
        <v>0</v>
      </c>
      <c r="ES885">
        <v>2</v>
      </c>
      <c r="ET885">
        <v>0</v>
      </c>
      <c r="EU885">
        <v>0</v>
      </c>
      <c r="EV885">
        <v>0</v>
      </c>
      <c r="EW885" s="2">
        <v>43222</v>
      </c>
      <c r="EX885" s="1">
        <v>42879</v>
      </c>
      <c r="EY885">
        <v>2016</v>
      </c>
      <c r="EZ885">
        <v>266.81</v>
      </c>
      <c r="FA885" t="s">
        <v>9222</v>
      </c>
      <c r="FB885">
        <v>5.5</v>
      </c>
      <c r="FC885" t="s">
        <v>424</v>
      </c>
      <c r="FD885" t="s">
        <v>425</v>
      </c>
      <c r="FE885" s="1">
        <v>43221</v>
      </c>
      <c r="FF885">
        <v>12</v>
      </c>
      <c r="FG885">
        <v>10125</v>
      </c>
      <c r="FH885" t="s">
        <v>440</v>
      </c>
      <c r="FJ885" s="1">
        <v>41787</v>
      </c>
      <c r="FK885">
        <v>2013</v>
      </c>
      <c r="FL885">
        <v>279.95</v>
      </c>
      <c r="FM885" t="s">
        <v>9223</v>
      </c>
      <c r="FN885">
        <v>6.75</v>
      </c>
      <c r="FO885" t="s">
        <v>424</v>
      </c>
      <c r="FP885" t="s">
        <v>425</v>
      </c>
      <c r="FQ885" s="1">
        <v>41869</v>
      </c>
      <c r="FR885">
        <v>3</v>
      </c>
      <c r="FS885">
        <v>2035919</v>
      </c>
      <c r="FT885" t="s">
        <v>507</v>
      </c>
    </row>
    <row r="886" spans="1:272" x14ac:dyDescent="0.25">
      <c r="A886">
        <v>16485893</v>
      </c>
      <c r="B886">
        <v>885</v>
      </c>
      <c r="C886" t="s">
        <v>393</v>
      </c>
      <c r="D886" t="s">
        <v>394</v>
      </c>
      <c r="F886" t="str">
        <f>"32-2N-25-2920-0002-0610"</f>
        <v>32-2N-25-2920-0002-0610</v>
      </c>
      <c r="H886" t="str">
        <f>"SLAY RILEY JR"</f>
        <v>SLAY RILEY JR</v>
      </c>
      <c r="I886" t="str">
        <f>"P O BOX 369"</f>
        <v>P O BOX 369</v>
      </c>
      <c r="J886" t="str">
        <f t="shared" si="281"/>
        <v>CALLAHAN FL 32011</v>
      </c>
      <c r="K886" t="str">
        <f>"44385 COMMANCHEE RD"</f>
        <v>44385 COMMANCHEE RD</v>
      </c>
      <c r="L886" t="str">
        <f t="shared" si="273"/>
        <v>CALLAHAN FL 32011</v>
      </c>
      <c r="M886" t="str">
        <f>"BLOCK 2 PT OF LOT 6 (S-10) IN OR 1506/1784 NEWCOMB SUB SOUTH CALLAHAN PB 1/16"</f>
        <v>BLOCK 2 PT OF LOT 6 (S-10) IN OR 1506/1784 NEWCOMB SUB SOUTH CALLAHAN PB 1/16</v>
      </c>
      <c r="N886" t="str">
        <f>""</f>
        <v/>
      </c>
      <c r="O886" t="str">
        <f>"40255"</f>
        <v>40255</v>
      </c>
      <c r="P886" t="str">
        <f t="shared" si="265"/>
        <v>2017</v>
      </c>
      <c r="Q886" t="str">
        <f>""</f>
        <v/>
      </c>
      <c r="R886" t="str">
        <f t="shared" si="278"/>
        <v>N</v>
      </c>
      <c r="S886" t="str">
        <f>"1.00"</f>
        <v>1.00</v>
      </c>
      <c r="T886" t="str">
        <f>"404.64"</f>
        <v>404.64</v>
      </c>
      <c r="U886" t="str">
        <f>"26473.00"</f>
        <v>26473.00</v>
      </c>
      <c r="V886" t="str">
        <f>"26473.00"</f>
        <v>26473.00</v>
      </c>
      <c r="W886" t="str">
        <f t="shared" si="266"/>
        <v>2017</v>
      </c>
      <c r="X886" t="str">
        <f>"23.00"</f>
        <v>23.00</v>
      </c>
      <c r="Y886" t="str">
        <f>"448.78"</f>
        <v>448.78</v>
      </c>
      <c r="Z886" t="str">
        <f>""</f>
        <v/>
      </c>
      <c r="AA886" t="str">
        <f>"27059.00"</f>
        <v>27059.00</v>
      </c>
      <c r="AB886" t="str">
        <f t="shared" si="279"/>
        <v>Residential</v>
      </c>
      <c r="AC886" t="str">
        <f t="shared" si="274"/>
        <v>0</v>
      </c>
      <c r="AD886" t="str">
        <f>"4"</f>
        <v>4</v>
      </c>
      <c r="AE886" t="str">
        <f>"WOOD (INCLUDE STEEL STUDS)"</f>
        <v>WOOD (INCLUDE STEEL STUDS)</v>
      </c>
      <c r="AF886" t="str">
        <f>"002"</f>
        <v>002</v>
      </c>
      <c r="AG886" t="str">
        <f t="shared" si="280"/>
        <v>FL</v>
      </c>
      <c r="AH886" t="str">
        <f>"43560.00"</f>
        <v>43560.00</v>
      </c>
      <c r="AI886" t="str">
        <f>"15000.00"</f>
        <v>15000.00</v>
      </c>
      <c r="AJ886" t="str">
        <f>"C55-000-589-2300-4"</f>
        <v>C55-000-589-2300-4</v>
      </c>
      <c r="AK886" t="str">
        <f>"13724"</f>
        <v>13724</v>
      </c>
      <c r="AL886">
        <v>4</v>
      </c>
      <c r="AM886">
        <v>1025</v>
      </c>
      <c r="AN886">
        <v>469.62</v>
      </c>
      <c r="AQ886" t="s">
        <v>9224</v>
      </c>
      <c r="AR886" t="s">
        <v>9224</v>
      </c>
      <c r="AS886" t="s">
        <v>9224</v>
      </c>
      <c r="AU886" t="s">
        <v>396</v>
      </c>
      <c r="AV886">
        <v>2017</v>
      </c>
      <c r="AW886" t="str">
        <f>"32-2N-25-2920-0002-0610 "</f>
        <v xml:space="preserve">32-2N-25-2920-0002-0610 </v>
      </c>
      <c r="AX886">
        <v>44385</v>
      </c>
      <c r="AZ886" t="s">
        <v>9218</v>
      </c>
      <c r="BA886" t="s">
        <v>496</v>
      </c>
      <c r="BD886" t="s">
        <v>2785</v>
      </c>
      <c r="BE886" t="s">
        <v>393</v>
      </c>
      <c r="BF886">
        <v>32011</v>
      </c>
      <c r="BG886" t="s">
        <v>9225</v>
      </c>
      <c r="BH886" t="s">
        <v>2787</v>
      </c>
      <c r="BI886">
        <v>-81.832382096499202</v>
      </c>
      <c r="BJ886">
        <v>30.547484192398802</v>
      </c>
      <c r="BK886" t="s">
        <v>9226</v>
      </c>
      <c r="BM886" t="s">
        <v>9227</v>
      </c>
      <c r="BN886" t="s">
        <v>928</v>
      </c>
      <c r="BO886">
        <v>32011</v>
      </c>
      <c r="BP886" t="s">
        <v>404</v>
      </c>
      <c r="BQ886">
        <v>200</v>
      </c>
      <c r="BR886" t="s">
        <v>405</v>
      </c>
      <c r="BS886">
        <v>1006</v>
      </c>
      <c r="BT886" t="s">
        <v>406</v>
      </c>
      <c r="BW886">
        <v>38704</v>
      </c>
      <c r="BX886" t="s">
        <v>407</v>
      </c>
      <c r="BY886" t="s">
        <v>408</v>
      </c>
      <c r="BZ886">
        <v>4</v>
      </c>
      <c r="CA886">
        <v>1984</v>
      </c>
      <c r="CC886">
        <v>1</v>
      </c>
      <c r="CD886">
        <v>2017</v>
      </c>
      <c r="CE886">
        <v>15000</v>
      </c>
      <c r="CF886">
        <v>12059</v>
      </c>
      <c r="CG886">
        <v>27059</v>
      </c>
      <c r="CH886">
        <v>2017</v>
      </c>
      <c r="CI886">
        <v>15000</v>
      </c>
      <c r="CJ886">
        <v>12059</v>
      </c>
      <c r="CK886">
        <v>27059</v>
      </c>
      <c r="CL886">
        <v>2017</v>
      </c>
      <c r="CM886">
        <v>404.64</v>
      </c>
      <c r="CN886" s="1">
        <v>39253</v>
      </c>
      <c r="CZ886" s="1">
        <v>39253</v>
      </c>
      <c r="DD886" t="s">
        <v>2785</v>
      </c>
      <c r="DF886">
        <v>6</v>
      </c>
      <c r="DG886">
        <v>32</v>
      </c>
      <c r="DJ886" t="s">
        <v>9228</v>
      </c>
      <c r="DL886">
        <v>50503</v>
      </c>
      <c r="DM886" t="s">
        <v>9136</v>
      </c>
      <c r="DO886" t="s">
        <v>9229</v>
      </c>
      <c r="DP886">
        <v>0</v>
      </c>
      <c r="DQ886">
        <v>0</v>
      </c>
      <c r="DR886" t="s">
        <v>411</v>
      </c>
      <c r="DS886" t="b">
        <v>1</v>
      </c>
      <c r="DT886" t="s">
        <v>470</v>
      </c>
      <c r="DU886" t="s">
        <v>471</v>
      </c>
      <c r="DV886" t="s">
        <v>472</v>
      </c>
      <c r="DX886">
        <v>-9999</v>
      </c>
      <c r="DZ886" t="s">
        <v>447</v>
      </c>
      <c r="EA886" t="s">
        <v>448</v>
      </c>
      <c r="EB886" t="s">
        <v>742</v>
      </c>
      <c r="EC886">
        <v>20101217</v>
      </c>
      <c r="ED886" t="s">
        <v>474</v>
      </c>
      <c r="EF886">
        <v>208</v>
      </c>
      <c r="EG886">
        <v>208</v>
      </c>
      <c r="EI886">
        <v>20160407</v>
      </c>
      <c r="EJ886">
        <v>0</v>
      </c>
      <c r="EK886">
        <v>0</v>
      </c>
      <c r="EP886" t="s">
        <v>421</v>
      </c>
      <c r="EQ886" t="s">
        <v>422</v>
      </c>
      <c r="ER886">
        <v>2</v>
      </c>
      <c r="ES886">
        <v>2</v>
      </c>
      <c r="ET886">
        <v>903.95</v>
      </c>
      <c r="EU886">
        <v>57.7</v>
      </c>
      <c r="EV886">
        <v>961.65</v>
      </c>
      <c r="EW886" s="2">
        <v>43222</v>
      </c>
      <c r="EX886" s="1">
        <v>42879</v>
      </c>
      <c r="EY886">
        <v>2016</v>
      </c>
      <c r="EZ886">
        <v>426.54</v>
      </c>
      <c r="FA886" t="s">
        <v>9230</v>
      </c>
      <c r="FB886">
        <v>4.5</v>
      </c>
      <c r="FC886" t="s">
        <v>424</v>
      </c>
      <c r="FD886" t="s">
        <v>454</v>
      </c>
      <c r="FF886">
        <v>12</v>
      </c>
      <c r="FG886">
        <v>2035919</v>
      </c>
      <c r="FH886" t="s">
        <v>507</v>
      </c>
      <c r="FJ886" s="1">
        <v>42515</v>
      </c>
      <c r="FK886">
        <v>2015</v>
      </c>
      <c r="FL886">
        <v>477.41</v>
      </c>
      <c r="FM886" t="s">
        <v>9231</v>
      </c>
      <c r="FN886">
        <v>0.25</v>
      </c>
      <c r="FO886" t="s">
        <v>424</v>
      </c>
      <c r="FP886" t="s">
        <v>454</v>
      </c>
      <c r="FR886">
        <v>24</v>
      </c>
      <c r="FS886">
        <v>7336670</v>
      </c>
      <c r="FT886" t="s">
        <v>2102</v>
      </c>
      <c r="FV886" s="1">
        <v>42151</v>
      </c>
      <c r="FW886">
        <v>2014</v>
      </c>
      <c r="FX886">
        <v>419.23</v>
      </c>
      <c r="FY886" t="s">
        <v>9232</v>
      </c>
      <c r="FZ886">
        <v>3.75</v>
      </c>
      <c r="GA886" t="s">
        <v>424</v>
      </c>
      <c r="GB886" t="s">
        <v>425</v>
      </c>
      <c r="GC886" s="1">
        <v>42866</v>
      </c>
      <c r="GD886">
        <v>24</v>
      </c>
      <c r="GE886">
        <v>4975593</v>
      </c>
      <c r="GF886" t="s">
        <v>505</v>
      </c>
      <c r="GH886" s="1">
        <v>41787</v>
      </c>
      <c r="GI886">
        <v>2013</v>
      </c>
      <c r="GJ886">
        <v>503.02</v>
      </c>
      <c r="GK886" t="s">
        <v>9233</v>
      </c>
      <c r="GL886">
        <v>5.5</v>
      </c>
      <c r="GM886" t="s">
        <v>424</v>
      </c>
      <c r="GN886" t="s">
        <v>425</v>
      </c>
      <c r="GO886" s="1">
        <v>42444</v>
      </c>
      <c r="GP886">
        <v>22</v>
      </c>
      <c r="GQ886">
        <v>2035919</v>
      </c>
      <c r="GR886" t="s">
        <v>507</v>
      </c>
    </row>
    <row r="887" spans="1:272" x14ac:dyDescent="0.25">
      <c r="A887">
        <v>16485894</v>
      </c>
      <c r="B887">
        <v>886</v>
      </c>
      <c r="C887" t="s">
        <v>393</v>
      </c>
      <c r="D887" t="s">
        <v>394</v>
      </c>
      <c r="F887" t="str">
        <f>"32-2N-25-2920-0003-0040"</f>
        <v>32-2N-25-2920-0003-0040</v>
      </c>
      <c r="H887" t="str">
        <f>"GRIFFIN GERALD R JR"</f>
        <v>GRIFFIN GERALD R JR</v>
      </c>
      <c r="I887" t="str">
        <f>"54613 MARLEE RD"</f>
        <v>54613 MARLEE RD</v>
      </c>
      <c r="J887" t="str">
        <f t="shared" si="281"/>
        <v>CALLAHAN FL 32011</v>
      </c>
      <c r="K887" t="str">
        <f>"COMMANCHEE RD"</f>
        <v>COMMANCHEE RD</v>
      </c>
      <c r="L887" t="str">
        <f t="shared" si="273"/>
        <v>CALLAHAN FL 32011</v>
      </c>
      <c r="M887" t="str">
        <f>"BLOCK 3 LOTS 4 &amp; 5 &amp; W 14 FT OF 3 &amp; 6 PT OR 1883/289 NEWCOMB SUB-SOUTH CALLAHAN PB 1/16"</f>
        <v>BLOCK 3 LOTS 4 &amp; 5 &amp; W 14 FT OF 3 &amp; 6 PT OR 1883/289 NEWCOMB SUB-SOUTH CALLAHAN PB 1/16</v>
      </c>
      <c r="N887" t="str">
        <f>""</f>
        <v/>
      </c>
      <c r="O887" t="str">
        <f>"40261"</f>
        <v>40261</v>
      </c>
      <c r="P887" t="str">
        <f t="shared" si="265"/>
        <v>2017</v>
      </c>
      <c r="Q887" t="str">
        <f>""</f>
        <v/>
      </c>
      <c r="R887" t="str">
        <f t="shared" si="278"/>
        <v>N</v>
      </c>
      <c r="S887" t="str">
        <f>"11.00"</f>
        <v>11.00</v>
      </c>
      <c r="T887" t="str">
        <f>"1142.99"</f>
        <v>1142.99</v>
      </c>
      <c r="U887" t="str">
        <f>"75500.00"</f>
        <v>75500.00</v>
      </c>
      <c r="V887" t="str">
        <f>"75500.00"</f>
        <v>75500.00</v>
      </c>
      <c r="W887" t="str">
        <f t="shared" si="266"/>
        <v>2017</v>
      </c>
      <c r="X887" t="str">
        <f>"19.14"</f>
        <v>19.14</v>
      </c>
      <c r="Y887" t="str">
        <f>"1209.28"</f>
        <v>1209.28</v>
      </c>
      <c r="Z887" t="str">
        <f>""</f>
        <v/>
      </c>
      <c r="AA887" t="str">
        <f>"75500.00"</f>
        <v>75500.00</v>
      </c>
      <c r="AB887" t="str">
        <f t="shared" si="279"/>
        <v>Residential</v>
      </c>
      <c r="AC887" t="str">
        <f t="shared" si="274"/>
        <v>0</v>
      </c>
      <c r="AD887" t="str">
        <f>""</f>
        <v/>
      </c>
      <c r="AE887" t="str">
        <f>""</f>
        <v/>
      </c>
      <c r="AF887" t="str">
        <f>"000"</f>
        <v>000</v>
      </c>
      <c r="AG887" t="str">
        <f t="shared" si="280"/>
        <v>FL</v>
      </c>
      <c r="AH887" t="str">
        <f>"479160.00"</f>
        <v>479160.00</v>
      </c>
      <c r="AI887" t="str">
        <f>"60500.00"</f>
        <v>60500.00</v>
      </c>
      <c r="AJ887" t="str">
        <f>"C55-000-587-6788-0"</f>
        <v>C55-000-587-6788-0</v>
      </c>
      <c r="AK887" t="str">
        <f>"13730"</f>
        <v>13730</v>
      </c>
      <c r="AL887">
        <v>4</v>
      </c>
      <c r="AM887">
        <v>1026</v>
      </c>
      <c r="AN887">
        <v>1268.1400000000001</v>
      </c>
      <c r="AQ887" t="s">
        <v>9234</v>
      </c>
      <c r="AR887" t="s">
        <v>9234</v>
      </c>
      <c r="AS887" t="s">
        <v>9234</v>
      </c>
      <c r="AU887" t="s">
        <v>396</v>
      </c>
      <c r="AV887">
        <v>2017</v>
      </c>
      <c r="AW887" t="str">
        <f>"32-2N-25-2920-0003-0040 "</f>
        <v xml:space="preserve">32-2N-25-2920-0003-0040 </v>
      </c>
      <c r="AZ887" t="s">
        <v>9218</v>
      </c>
      <c r="BA887" t="s">
        <v>496</v>
      </c>
      <c r="BD887" t="s">
        <v>2785</v>
      </c>
      <c r="BE887" t="s">
        <v>393</v>
      </c>
      <c r="BF887">
        <v>32011</v>
      </c>
      <c r="BG887" t="s">
        <v>9235</v>
      </c>
      <c r="BH887" t="s">
        <v>2787</v>
      </c>
      <c r="BI887">
        <v>-81.8328937857369</v>
      </c>
      <c r="BJ887">
        <v>30.545061096504298</v>
      </c>
      <c r="BK887" t="s">
        <v>7540</v>
      </c>
      <c r="BM887" t="s">
        <v>7539</v>
      </c>
      <c r="BN887" t="s">
        <v>928</v>
      </c>
      <c r="BO887">
        <v>32011</v>
      </c>
      <c r="BP887" t="s">
        <v>404</v>
      </c>
      <c r="BQ887">
        <v>1</v>
      </c>
      <c r="BR887" t="s">
        <v>491</v>
      </c>
      <c r="BS887">
        <v>8001</v>
      </c>
      <c r="BT887" t="s">
        <v>492</v>
      </c>
      <c r="BW887">
        <v>479160</v>
      </c>
      <c r="BX887" t="s">
        <v>407</v>
      </c>
      <c r="BY887" t="s">
        <v>408</v>
      </c>
      <c r="CD887">
        <v>2017</v>
      </c>
      <c r="CE887">
        <v>60500</v>
      </c>
      <c r="CF887">
        <v>15000</v>
      </c>
      <c r="CG887">
        <v>75500</v>
      </c>
      <c r="CH887">
        <v>2017</v>
      </c>
      <c r="CI887">
        <v>60500</v>
      </c>
      <c r="CJ887">
        <v>15000</v>
      </c>
      <c r="CK887">
        <v>75500</v>
      </c>
      <c r="CL887">
        <v>2017</v>
      </c>
      <c r="CM887">
        <v>1142.99</v>
      </c>
      <c r="CN887" s="1">
        <v>41478</v>
      </c>
      <c r="CZ887" s="1">
        <v>41478</v>
      </c>
      <c r="DD887" t="s">
        <v>2785</v>
      </c>
      <c r="DG887">
        <v>32</v>
      </c>
      <c r="DL887">
        <v>50503</v>
      </c>
      <c r="DM887" t="s">
        <v>9136</v>
      </c>
      <c r="DO887" t="s">
        <v>9236</v>
      </c>
      <c r="DP887">
        <v>0</v>
      </c>
      <c r="DQ887">
        <v>0</v>
      </c>
      <c r="DR887" t="s">
        <v>411</v>
      </c>
      <c r="DS887" t="b">
        <v>1</v>
      </c>
      <c r="DT887" t="s">
        <v>396</v>
      </c>
      <c r="DV887" t="s">
        <v>446</v>
      </c>
      <c r="DX887">
        <v>-9999</v>
      </c>
      <c r="DZ887" t="s">
        <v>447</v>
      </c>
      <c r="EA887" t="s">
        <v>448</v>
      </c>
      <c r="EB887" t="s">
        <v>2792</v>
      </c>
      <c r="EC887">
        <v>20101217</v>
      </c>
      <c r="ED887" t="s">
        <v>450</v>
      </c>
      <c r="EE887">
        <v>17.3</v>
      </c>
      <c r="EF887">
        <v>0</v>
      </c>
      <c r="EG887">
        <v>0</v>
      </c>
      <c r="EI887">
        <v>20160407</v>
      </c>
      <c r="EJ887">
        <v>0</v>
      </c>
      <c r="EK887">
        <v>0</v>
      </c>
      <c r="EP887" t="s">
        <v>421</v>
      </c>
      <c r="EQ887" t="s">
        <v>422</v>
      </c>
      <c r="ER887">
        <v>1</v>
      </c>
      <c r="ES887">
        <v>6</v>
      </c>
      <c r="ET887">
        <v>1197.44</v>
      </c>
      <c r="EU887">
        <v>66.12</v>
      </c>
      <c r="EV887">
        <v>1263.56</v>
      </c>
      <c r="EW887" s="2">
        <v>43222</v>
      </c>
      <c r="EX887" s="1">
        <v>42879</v>
      </c>
      <c r="EY887">
        <v>2016</v>
      </c>
      <c r="EZ887">
        <v>1197.44</v>
      </c>
      <c r="FA887" t="s">
        <v>9237</v>
      </c>
      <c r="FB887">
        <v>0.25</v>
      </c>
      <c r="FC887" t="s">
        <v>424</v>
      </c>
      <c r="FD887" t="s">
        <v>454</v>
      </c>
      <c r="FF887">
        <v>12</v>
      </c>
      <c r="FG887">
        <v>1155951</v>
      </c>
      <c r="FH887" t="s">
        <v>1451</v>
      </c>
      <c r="FJ887" s="1">
        <v>42515</v>
      </c>
      <c r="FK887">
        <v>2015</v>
      </c>
      <c r="FL887">
        <v>1220.8599999999999</v>
      </c>
      <c r="FM887" t="s">
        <v>9238</v>
      </c>
      <c r="FN887">
        <v>0.25</v>
      </c>
      <c r="FO887" t="s">
        <v>424</v>
      </c>
      <c r="FP887" t="s">
        <v>425</v>
      </c>
      <c r="FQ887" s="1">
        <v>43076</v>
      </c>
      <c r="FR887">
        <v>19</v>
      </c>
      <c r="FS887">
        <v>7045080</v>
      </c>
      <c r="FT887" t="s">
        <v>4195</v>
      </c>
      <c r="FV887" s="1">
        <v>42151</v>
      </c>
      <c r="FW887">
        <v>2014</v>
      </c>
      <c r="FX887">
        <v>1226.92</v>
      </c>
      <c r="FY887" t="s">
        <v>9239</v>
      </c>
      <c r="FZ887">
        <v>4.75</v>
      </c>
      <c r="GA887" t="s">
        <v>424</v>
      </c>
      <c r="GB887" t="s">
        <v>425</v>
      </c>
      <c r="GC887" s="1">
        <v>42674</v>
      </c>
      <c r="GD887">
        <v>17</v>
      </c>
      <c r="GE887">
        <v>4975593</v>
      </c>
      <c r="GF887" t="s">
        <v>505</v>
      </c>
      <c r="GH887" s="1">
        <v>41787</v>
      </c>
      <c r="GI887">
        <v>2013</v>
      </c>
      <c r="GJ887">
        <v>1162.5</v>
      </c>
      <c r="GK887" t="s">
        <v>9240</v>
      </c>
      <c r="GL887">
        <v>3</v>
      </c>
      <c r="GM887" t="s">
        <v>424</v>
      </c>
      <c r="GN887" t="s">
        <v>425</v>
      </c>
      <c r="GO887" s="1">
        <v>42391</v>
      </c>
      <c r="GP887">
        <v>20</v>
      </c>
      <c r="GQ887">
        <v>1155951</v>
      </c>
      <c r="GR887" t="s">
        <v>1451</v>
      </c>
      <c r="GT887" s="1">
        <v>41423</v>
      </c>
      <c r="GU887">
        <v>2012</v>
      </c>
      <c r="GV887">
        <v>1158.74</v>
      </c>
      <c r="GW887" t="s">
        <v>9241</v>
      </c>
      <c r="GX887">
        <v>0.25</v>
      </c>
      <c r="GY887" t="s">
        <v>424</v>
      </c>
      <c r="GZ887" t="s">
        <v>425</v>
      </c>
      <c r="HA887" s="1">
        <v>41992</v>
      </c>
      <c r="HB887">
        <v>19</v>
      </c>
      <c r="HC887">
        <v>1625515</v>
      </c>
      <c r="HD887" t="s">
        <v>487</v>
      </c>
      <c r="HF887" s="1">
        <v>41052</v>
      </c>
      <c r="HG887">
        <v>2011</v>
      </c>
      <c r="HH887">
        <v>1280.6300000000001</v>
      </c>
      <c r="HI887" t="s">
        <v>9242</v>
      </c>
      <c r="HJ887">
        <v>5.75</v>
      </c>
      <c r="HK887" t="s">
        <v>424</v>
      </c>
      <c r="HL887" t="s">
        <v>425</v>
      </c>
      <c r="HM887" s="1">
        <v>41696</v>
      </c>
      <c r="HN887">
        <v>21</v>
      </c>
      <c r="HO887">
        <v>10125</v>
      </c>
      <c r="HP887" t="s">
        <v>440</v>
      </c>
      <c r="HR887" s="1">
        <v>40688</v>
      </c>
      <c r="HS887">
        <v>2010</v>
      </c>
      <c r="HT887">
        <v>1286.57</v>
      </c>
      <c r="HU887" t="s">
        <v>9243</v>
      </c>
      <c r="HV887">
        <v>7.75</v>
      </c>
      <c r="HW887" t="s">
        <v>424</v>
      </c>
      <c r="HX887" t="s">
        <v>425</v>
      </c>
      <c r="HY887" s="1">
        <v>41262</v>
      </c>
      <c r="HZ887">
        <v>19</v>
      </c>
      <c r="IA887">
        <v>305</v>
      </c>
      <c r="IB887" t="s">
        <v>1078</v>
      </c>
    </row>
    <row r="888" spans="1:272" x14ac:dyDescent="0.25">
      <c r="A888">
        <v>16485895</v>
      </c>
      <c r="B888">
        <v>887</v>
      </c>
      <c r="C888" t="s">
        <v>393</v>
      </c>
      <c r="D888" t="s">
        <v>394</v>
      </c>
      <c r="F888" t="str">
        <f>"32-2N-25-2920-0003-0101"</f>
        <v>32-2N-25-2920-0003-0101</v>
      </c>
      <c r="H888" t="str">
        <f>"BECK STANLEY R PICKETT ROAD"</f>
        <v>BECK STANLEY R PICKETT ROAD</v>
      </c>
      <c r="I888" t="str">
        <f>"44121 LINSEY LANE"</f>
        <v>44121 LINSEY LANE</v>
      </c>
      <c r="J888" t="str">
        <f t="shared" si="281"/>
        <v>CALLAHAN FL 32011</v>
      </c>
      <c r="K888" t="str">
        <f>"44121 LINDSEY LN"</f>
        <v>44121 LINDSEY LN</v>
      </c>
      <c r="L888" t="str">
        <f t="shared" si="273"/>
        <v>CALLAHAN FL 32011</v>
      </c>
      <c r="M888" t="str">
        <f>"BLOCK 3 PT LOTS 10 &amp; 11 OR 697/1473-1477 ESMT OR 357/497 &amp; 498 ESMT PT OR 1861/825 NEWCOMB SUB SOUTH CALLAHAN PB 1/16"</f>
        <v>BLOCK 3 PT LOTS 10 &amp; 11 OR 697/1473-1477 ESMT OR 357/497 &amp; 498 ESMT PT OR 1861/825 NEWCOMB SUB SOUTH CALLAHAN PB 1/16</v>
      </c>
      <c r="N888" t="str">
        <f>""</f>
        <v/>
      </c>
      <c r="O888" t="str">
        <f>"40276"</f>
        <v>40276</v>
      </c>
      <c r="P888" t="str">
        <f t="shared" si="265"/>
        <v>2017</v>
      </c>
      <c r="Q888" t="str">
        <f>""</f>
        <v/>
      </c>
      <c r="R888" t="str">
        <f>"Y"</f>
        <v>Y</v>
      </c>
      <c r="S888" t="str">
        <f>"4.19"</f>
        <v>4.19</v>
      </c>
      <c r="T888" t="str">
        <f>"749.65"</f>
        <v>749.65</v>
      </c>
      <c r="U888" t="str">
        <f>"88622.00"</f>
        <v>88622.00</v>
      </c>
      <c r="V888" t="str">
        <f>"88622.00"</f>
        <v>88622.00</v>
      </c>
      <c r="W888" t="str">
        <f t="shared" si="266"/>
        <v>2017</v>
      </c>
      <c r="X888" t="str">
        <f>"16.13"</f>
        <v>16.13</v>
      </c>
      <c r="Y888" t="str">
        <f>"804.14"</f>
        <v>804.14</v>
      </c>
      <c r="Z888" t="str">
        <f>"25000.00"</f>
        <v>25000.00</v>
      </c>
      <c r="AA888" t="str">
        <f>"63622.00"</f>
        <v>63622.00</v>
      </c>
      <c r="AB888" t="str">
        <f t="shared" si="279"/>
        <v>Residential</v>
      </c>
      <c r="AC888" t="str">
        <f t="shared" si="274"/>
        <v>0</v>
      </c>
      <c r="AD888" t="str">
        <f>"4"</f>
        <v>4</v>
      </c>
      <c r="AE888" t="str">
        <f>"WOOD (INCLUDE STEEL STUDS)"</f>
        <v>WOOD (INCLUDE STEEL STUDS)</v>
      </c>
      <c r="AF888" t="str">
        <f>"001"</f>
        <v>001</v>
      </c>
      <c r="AG888" t="str">
        <f t="shared" si="280"/>
        <v>FL</v>
      </c>
      <c r="AH888" t="str">
        <f>"182516.00"</f>
        <v>182516.00</v>
      </c>
      <c r="AI888" t="str">
        <f>"33520.00"</f>
        <v>33520.00</v>
      </c>
      <c r="AJ888" t="str">
        <f>"C55-000-587-6799-7"</f>
        <v>C55-000-587-6799-7</v>
      </c>
      <c r="AK888" t="str">
        <f>"13744"</f>
        <v>13744</v>
      </c>
      <c r="AL888">
        <v>4</v>
      </c>
      <c r="AM888">
        <v>1027</v>
      </c>
      <c r="AN888">
        <v>842.75</v>
      </c>
      <c r="AQ888" t="s">
        <v>9244</v>
      </c>
      <c r="AR888" t="s">
        <v>9244</v>
      </c>
      <c r="AS888" t="s">
        <v>9244</v>
      </c>
      <c r="AU888" t="s">
        <v>396</v>
      </c>
      <c r="AV888">
        <v>2017</v>
      </c>
      <c r="AW888" t="str">
        <f>"32-2N-25-2920-0003-0101 "</f>
        <v xml:space="preserve">32-2N-25-2920-0003-0101 </v>
      </c>
      <c r="AX888">
        <v>44121</v>
      </c>
      <c r="AZ888" t="s">
        <v>9245</v>
      </c>
      <c r="BA888" t="s">
        <v>653</v>
      </c>
      <c r="BD888" t="s">
        <v>2785</v>
      </c>
      <c r="BE888" t="s">
        <v>393</v>
      </c>
      <c r="BF888">
        <v>32011</v>
      </c>
      <c r="BG888" t="s">
        <v>9246</v>
      </c>
      <c r="BH888" t="s">
        <v>2787</v>
      </c>
      <c r="BI888">
        <v>-81.828505186567796</v>
      </c>
      <c r="BJ888">
        <v>30.541844799466499</v>
      </c>
      <c r="BK888" t="s">
        <v>9247</v>
      </c>
      <c r="BL888" t="s">
        <v>9248</v>
      </c>
      <c r="BM888" t="s">
        <v>9249</v>
      </c>
      <c r="BN888" t="s">
        <v>928</v>
      </c>
      <c r="BO888">
        <v>32011</v>
      </c>
      <c r="BP888" t="s">
        <v>404</v>
      </c>
      <c r="BQ888">
        <v>100</v>
      </c>
      <c r="BR888" t="s">
        <v>514</v>
      </c>
      <c r="BS888">
        <v>1001</v>
      </c>
      <c r="BT888" t="s">
        <v>515</v>
      </c>
      <c r="BW888">
        <v>182516</v>
      </c>
      <c r="BX888" t="s">
        <v>407</v>
      </c>
      <c r="BY888" t="s">
        <v>408</v>
      </c>
      <c r="BZ888">
        <v>4</v>
      </c>
      <c r="CA888">
        <v>1961</v>
      </c>
      <c r="CB888">
        <v>1</v>
      </c>
      <c r="CC888">
        <v>1</v>
      </c>
      <c r="CD888">
        <v>2017</v>
      </c>
      <c r="CG888">
        <v>88622</v>
      </c>
      <c r="CH888">
        <v>2017</v>
      </c>
      <c r="CI888">
        <v>33520</v>
      </c>
      <c r="CJ888">
        <v>69212</v>
      </c>
      <c r="CK888">
        <v>102732</v>
      </c>
      <c r="CL888">
        <v>2017</v>
      </c>
      <c r="CM888">
        <v>749.65</v>
      </c>
      <c r="CN888" s="1">
        <v>34368</v>
      </c>
      <c r="CO888">
        <v>25500</v>
      </c>
      <c r="CZ888" s="1">
        <v>34368</v>
      </c>
      <c r="DD888" t="s">
        <v>2785</v>
      </c>
      <c r="DG888">
        <v>32</v>
      </c>
      <c r="DL888">
        <v>50503</v>
      </c>
      <c r="DM888" t="s">
        <v>9136</v>
      </c>
      <c r="DO888" t="s">
        <v>9250</v>
      </c>
      <c r="DP888">
        <v>0</v>
      </c>
      <c r="DQ888">
        <v>0</v>
      </c>
      <c r="DR888" t="s">
        <v>411</v>
      </c>
      <c r="DS888" t="b">
        <v>1</v>
      </c>
      <c r="DT888" t="s">
        <v>470</v>
      </c>
      <c r="DU888" t="s">
        <v>471</v>
      </c>
      <c r="DV888" t="s">
        <v>472</v>
      </c>
      <c r="DX888">
        <v>-9999</v>
      </c>
      <c r="DZ888" t="s">
        <v>447</v>
      </c>
      <c r="EA888" t="s">
        <v>448</v>
      </c>
      <c r="EB888" t="s">
        <v>742</v>
      </c>
      <c r="EC888">
        <v>20101217</v>
      </c>
      <c r="ED888" t="s">
        <v>474</v>
      </c>
      <c r="EF888">
        <v>92.2</v>
      </c>
      <c r="EG888">
        <v>92.2</v>
      </c>
      <c r="EI888">
        <v>20160407</v>
      </c>
      <c r="EJ888">
        <v>0</v>
      </c>
      <c r="EK888">
        <v>0</v>
      </c>
      <c r="EP888" t="s">
        <v>421</v>
      </c>
      <c r="EQ888" t="s">
        <v>422</v>
      </c>
      <c r="ER888">
        <v>2</v>
      </c>
      <c r="ES888">
        <v>8</v>
      </c>
      <c r="ET888">
        <v>1643.26</v>
      </c>
      <c r="EU888">
        <v>94.66</v>
      </c>
      <c r="EV888">
        <v>1737.92</v>
      </c>
      <c r="EW888" s="2">
        <v>43222</v>
      </c>
      <c r="EX888" s="1">
        <v>42879</v>
      </c>
      <c r="EY888">
        <v>2016</v>
      </c>
      <c r="EZ888">
        <v>821.63</v>
      </c>
      <c r="FA888" t="s">
        <v>9251</v>
      </c>
      <c r="FB888">
        <v>0.25</v>
      </c>
      <c r="FC888" t="s">
        <v>424</v>
      </c>
      <c r="FD888" t="s">
        <v>454</v>
      </c>
      <c r="FF888">
        <v>12</v>
      </c>
      <c r="FG888">
        <v>2851116</v>
      </c>
      <c r="FH888" t="s">
        <v>480</v>
      </c>
      <c r="FJ888" s="1">
        <v>42879</v>
      </c>
      <c r="FK888">
        <v>2016</v>
      </c>
      <c r="FL888">
        <v>821.63</v>
      </c>
      <c r="FM888" t="s">
        <v>9251</v>
      </c>
      <c r="FN888">
        <v>0.25</v>
      </c>
      <c r="FO888" t="s">
        <v>424</v>
      </c>
      <c r="FP888" t="s">
        <v>454</v>
      </c>
      <c r="FR888">
        <v>12</v>
      </c>
      <c r="FS888">
        <v>4956048</v>
      </c>
      <c r="FT888" t="s">
        <v>9252</v>
      </c>
      <c r="FV888" s="1">
        <v>42515</v>
      </c>
      <c r="FW888">
        <v>2015</v>
      </c>
      <c r="FX888">
        <v>830.93</v>
      </c>
      <c r="FY888" t="s">
        <v>9253</v>
      </c>
      <c r="FZ888">
        <v>0.25</v>
      </c>
      <c r="GA888" t="s">
        <v>424</v>
      </c>
      <c r="GB888" t="s">
        <v>425</v>
      </c>
      <c r="GC888" s="1">
        <v>43159</v>
      </c>
      <c r="GD888">
        <v>21</v>
      </c>
      <c r="GE888">
        <v>7336671</v>
      </c>
      <c r="GF888" t="s">
        <v>437</v>
      </c>
      <c r="GH888" s="1">
        <v>42515</v>
      </c>
      <c r="GI888">
        <v>2015</v>
      </c>
      <c r="GJ888">
        <v>830.93</v>
      </c>
      <c r="GK888" t="s">
        <v>9253</v>
      </c>
      <c r="GL888">
        <v>0.25</v>
      </c>
      <c r="GM888" t="s">
        <v>424</v>
      </c>
      <c r="GN888" t="s">
        <v>425</v>
      </c>
      <c r="GP888">
        <v>22</v>
      </c>
      <c r="GQ888">
        <v>7010658</v>
      </c>
      <c r="GR888" t="s">
        <v>9254</v>
      </c>
      <c r="GT888" s="1">
        <v>42151</v>
      </c>
      <c r="GU888">
        <v>2014</v>
      </c>
      <c r="GV888">
        <v>824.05</v>
      </c>
      <c r="GW888" t="s">
        <v>9255</v>
      </c>
      <c r="GX888">
        <v>0.25</v>
      </c>
      <c r="GY888" t="s">
        <v>424</v>
      </c>
      <c r="GZ888" t="s">
        <v>425</v>
      </c>
      <c r="HA888" s="1">
        <v>42794</v>
      </c>
      <c r="HB888">
        <v>21</v>
      </c>
      <c r="HC888">
        <v>4975594</v>
      </c>
      <c r="HD888" t="s">
        <v>457</v>
      </c>
      <c r="HF888" s="1">
        <v>42151</v>
      </c>
      <c r="HG888">
        <v>2014</v>
      </c>
      <c r="HH888">
        <v>824.05</v>
      </c>
      <c r="HI888" t="s">
        <v>9255</v>
      </c>
      <c r="HJ888">
        <v>0.25</v>
      </c>
      <c r="HK888" t="s">
        <v>424</v>
      </c>
      <c r="HL888" t="s">
        <v>425</v>
      </c>
      <c r="HN888">
        <v>22</v>
      </c>
      <c r="HO888">
        <v>6415185</v>
      </c>
      <c r="HP888" t="s">
        <v>9256</v>
      </c>
      <c r="HR888" s="1">
        <v>41787</v>
      </c>
      <c r="HS888">
        <v>2013</v>
      </c>
      <c r="HT888">
        <v>775</v>
      </c>
      <c r="HU888" t="s">
        <v>9257</v>
      </c>
      <c r="HV888">
        <v>0.25</v>
      </c>
      <c r="HW888" t="s">
        <v>424</v>
      </c>
      <c r="HX888" t="s">
        <v>425</v>
      </c>
      <c r="HY888" s="1">
        <v>42426</v>
      </c>
      <c r="HZ888">
        <v>21</v>
      </c>
      <c r="IA888">
        <v>2719956</v>
      </c>
      <c r="IB888" t="s">
        <v>5473</v>
      </c>
      <c r="ID888" s="1">
        <v>41423</v>
      </c>
      <c r="IE888">
        <v>2012</v>
      </c>
      <c r="IF888">
        <v>446.35</v>
      </c>
      <c r="IG888" t="s">
        <v>9258</v>
      </c>
      <c r="IH888">
        <v>0.25</v>
      </c>
      <c r="II888" t="s">
        <v>424</v>
      </c>
      <c r="IJ888" t="s">
        <v>425</v>
      </c>
      <c r="IK888" s="1">
        <v>42062</v>
      </c>
      <c r="IL888">
        <v>21</v>
      </c>
      <c r="IM888">
        <v>15398</v>
      </c>
      <c r="IN888" t="s">
        <v>1180</v>
      </c>
      <c r="IP888" s="1">
        <v>41052</v>
      </c>
      <c r="IQ888">
        <v>2011</v>
      </c>
      <c r="IR888">
        <v>435.5</v>
      </c>
      <c r="IS888" t="s">
        <v>9259</v>
      </c>
      <c r="IT888">
        <v>4.75</v>
      </c>
      <c r="IU888" t="s">
        <v>424</v>
      </c>
      <c r="IV888" t="s">
        <v>425</v>
      </c>
      <c r="IW888" s="1">
        <v>41075</v>
      </c>
      <c r="IX888">
        <v>1</v>
      </c>
      <c r="IY888">
        <v>10125</v>
      </c>
      <c r="IZ888" t="s">
        <v>440</v>
      </c>
      <c r="JB888" s="1">
        <v>40688</v>
      </c>
      <c r="JC888">
        <v>2010</v>
      </c>
      <c r="JD888">
        <v>566.94000000000005</v>
      </c>
      <c r="JE888" t="s">
        <v>9260</v>
      </c>
      <c r="JF888">
        <v>0.25</v>
      </c>
      <c r="JG888" t="s">
        <v>424</v>
      </c>
      <c r="JH888" t="s">
        <v>425</v>
      </c>
      <c r="JI888" s="1">
        <v>41080</v>
      </c>
      <c r="JJ888">
        <v>13</v>
      </c>
      <c r="JK888">
        <v>11177</v>
      </c>
      <c r="JL888" t="s">
        <v>650</v>
      </c>
    </row>
    <row r="889" spans="1:272" x14ac:dyDescent="0.25">
      <c r="A889">
        <v>16485896</v>
      </c>
      <c r="B889">
        <v>888</v>
      </c>
      <c r="C889" t="s">
        <v>393</v>
      </c>
      <c r="D889" t="s">
        <v>394</v>
      </c>
      <c r="F889" t="str">
        <f>"32-2N-25-4020-0004-0000"</f>
        <v>32-2N-25-4020-0004-0000</v>
      </c>
      <c r="H889" t="str">
        <f>"KIMES DONDI CLINTON"</f>
        <v>KIMES DONDI CLINTON</v>
      </c>
      <c r="I889" t="str">
        <f>"44265 CATTLE BEND"</f>
        <v>44265 CATTLE BEND</v>
      </c>
      <c r="J889" t="str">
        <f t="shared" si="281"/>
        <v>CALLAHAN FL 32011</v>
      </c>
      <c r="K889" t="str">
        <f>"MARY SAULS CIR"</f>
        <v>MARY SAULS CIR</v>
      </c>
      <c r="L889" t="str">
        <f t="shared" si="273"/>
        <v>CALLAHAN FL 32011</v>
      </c>
      <c r="M889" t="str">
        <f>"PT LOT 4 PT OR 1407/1233 ESMT PT OR 887/844 PICKETT ESTATE PBK 2/27"</f>
        <v>PT LOT 4 PT OR 1407/1233 ESMT PT OR 887/844 PICKETT ESTATE PBK 2/27</v>
      </c>
      <c r="N889" t="str">
        <f>""</f>
        <v/>
      </c>
      <c r="O889" t="str">
        <f>"40288"</f>
        <v>40288</v>
      </c>
      <c r="P889" t="str">
        <f t="shared" si="265"/>
        <v>2017</v>
      </c>
      <c r="Q889" t="str">
        <f>""</f>
        <v/>
      </c>
      <c r="R889" t="str">
        <f>"N"</f>
        <v>N</v>
      </c>
      <c r="S889" t="str">
        <f>"8.35"</f>
        <v>8.35</v>
      </c>
      <c r="T889" t="str">
        <f>"758.46"</f>
        <v>758.46</v>
      </c>
      <c r="U889" t="str">
        <f>"50100.00"</f>
        <v>50100.00</v>
      </c>
      <c r="V889" t="str">
        <f>"50100.00"</f>
        <v>50100.00</v>
      </c>
      <c r="W889" t="str">
        <f t="shared" si="266"/>
        <v>2017</v>
      </c>
      <c r="X889" t="str">
        <f>"4.80"</f>
        <v>4.80</v>
      </c>
      <c r="Y889" t="str">
        <f>"813.21"</f>
        <v>813.21</v>
      </c>
      <c r="Z889" t="str">
        <f>""</f>
        <v/>
      </c>
      <c r="AA889" t="str">
        <f>"50100.00"</f>
        <v>50100.00</v>
      </c>
      <c r="AB889" t="str">
        <f t="shared" si="279"/>
        <v>Residential</v>
      </c>
      <c r="AC889" t="str">
        <f t="shared" si="274"/>
        <v>0</v>
      </c>
      <c r="AD889" t="str">
        <f>""</f>
        <v/>
      </c>
      <c r="AE889" t="str">
        <f>""</f>
        <v/>
      </c>
      <c r="AF889" t="str">
        <f>"000"</f>
        <v>000</v>
      </c>
      <c r="AG889" t="str">
        <f t="shared" si="280"/>
        <v>FL</v>
      </c>
      <c r="AH889" t="str">
        <f>"363726.00"</f>
        <v>363726.00</v>
      </c>
      <c r="AI889" t="str">
        <f>"50100.00"</f>
        <v>50100.00</v>
      </c>
      <c r="AJ889" t="str">
        <f>"C55-000-587-6810-2"</f>
        <v>C55-000-587-6810-2</v>
      </c>
      <c r="AK889" t="str">
        <f>"13752"</f>
        <v>13752</v>
      </c>
      <c r="AL889">
        <v>4</v>
      </c>
      <c r="AM889">
        <v>1028</v>
      </c>
      <c r="AN889">
        <v>852.27</v>
      </c>
      <c r="AQ889" t="s">
        <v>9261</v>
      </c>
      <c r="AR889" t="s">
        <v>9261</v>
      </c>
      <c r="AS889" t="s">
        <v>9261</v>
      </c>
      <c r="AU889" t="s">
        <v>396</v>
      </c>
      <c r="AV889">
        <v>2017</v>
      </c>
      <c r="AW889" t="str">
        <f>"32-2N-25-4020-0004-0000 "</f>
        <v xml:space="preserve">32-2N-25-4020-0004-0000 </v>
      </c>
      <c r="AZ889" t="s">
        <v>9169</v>
      </c>
      <c r="BA889" t="s">
        <v>1799</v>
      </c>
      <c r="BD889" t="s">
        <v>2785</v>
      </c>
      <c r="BE889" t="s">
        <v>393</v>
      </c>
      <c r="BF889">
        <v>32011</v>
      </c>
      <c r="BG889" t="s">
        <v>9262</v>
      </c>
      <c r="BH889" t="s">
        <v>2787</v>
      </c>
      <c r="BI889">
        <v>-81.829999419712806</v>
      </c>
      <c r="BJ889">
        <v>30.549805854632002</v>
      </c>
      <c r="BK889" t="s">
        <v>9263</v>
      </c>
      <c r="BM889" t="s">
        <v>9264</v>
      </c>
      <c r="BN889" t="s">
        <v>928</v>
      </c>
      <c r="BO889">
        <v>32011</v>
      </c>
      <c r="BP889" t="s">
        <v>404</v>
      </c>
      <c r="BQ889">
        <v>0</v>
      </c>
      <c r="BR889" t="s">
        <v>491</v>
      </c>
      <c r="BS889">
        <v>8001</v>
      </c>
      <c r="BT889" t="s">
        <v>492</v>
      </c>
      <c r="BW889">
        <v>363726</v>
      </c>
      <c r="BX889" t="s">
        <v>407</v>
      </c>
      <c r="BY889" t="s">
        <v>408</v>
      </c>
      <c r="CD889">
        <v>2017</v>
      </c>
      <c r="CE889">
        <v>50100</v>
      </c>
      <c r="CG889">
        <v>50100</v>
      </c>
      <c r="CH889">
        <v>2017</v>
      </c>
      <c r="CI889">
        <v>50100</v>
      </c>
      <c r="CK889">
        <v>50100</v>
      </c>
      <c r="CL889">
        <v>2017</v>
      </c>
      <c r="CM889">
        <v>758.46</v>
      </c>
      <c r="CN889" s="1">
        <v>38205</v>
      </c>
      <c r="CO889">
        <v>330000</v>
      </c>
      <c r="CV889">
        <v>290000</v>
      </c>
      <c r="CX889" t="s">
        <v>693</v>
      </c>
      <c r="CZ889" s="1">
        <v>38205</v>
      </c>
      <c r="DA889">
        <v>0</v>
      </c>
      <c r="DD889" t="s">
        <v>2785</v>
      </c>
      <c r="DF889">
        <v>4</v>
      </c>
      <c r="DG889">
        <v>32</v>
      </c>
      <c r="DL889">
        <v>50503</v>
      </c>
      <c r="DM889" t="s">
        <v>9136</v>
      </c>
      <c r="DO889" t="s">
        <v>9265</v>
      </c>
      <c r="DP889">
        <v>0</v>
      </c>
      <c r="DQ889">
        <v>1</v>
      </c>
      <c r="DR889" t="s">
        <v>411</v>
      </c>
      <c r="EP889" t="s">
        <v>421</v>
      </c>
      <c r="EQ889" t="s">
        <v>422</v>
      </c>
      <c r="ER889">
        <v>0</v>
      </c>
      <c r="ES889">
        <v>5</v>
      </c>
      <c r="ET889">
        <v>0</v>
      </c>
      <c r="EU889">
        <v>0</v>
      </c>
      <c r="EV889">
        <v>0</v>
      </c>
      <c r="EW889" s="2">
        <v>43222</v>
      </c>
      <c r="EX889" s="1">
        <v>41787</v>
      </c>
      <c r="EY889">
        <v>2013</v>
      </c>
      <c r="EZ889">
        <v>900.03</v>
      </c>
      <c r="FA889" t="s">
        <v>9266</v>
      </c>
      <c r="FB889">
        <v>0.25</v>
      </c>
      <c r="FC889" t="s">
        <v>424</v>
      </c>
      <c r="FD889" t="s">
        <v>425</v>
      </c>
      <c r="FE889" s="1">
        <v>41912</v>
      </c>
      <c r="FF889">
        <v>4</v>
      </c>
      <c r="FG889">
        <v>2101385</v>
      </c>
      <c r="FH889" t="s">
        <v>810</v>
      </c>
      <c r="FJ889" s="1">
        <v>41423</v>
      </c>
      <c r="FK889">
        <v>2012</v>
      </c>
      <c r="FL889">
        <v>852.87</v>
      </c>
      <c r="FM889" t="s">
        <v>9267</v>
      </c>
      <c r="FN889">
        <v>4</v>
      </c>
      <c r="FO889" t="s">
        <v>424</v>
      </c>
      <c r="FP889" t="s">
        <v>425</v>
      </c>
      <c r="FQ889" s="1">
        <v>41564</v>
      </c>
      <c r="FR889">
        <v>5</v>
      </c>
      <c r="FS889">
        <v>1155951</v>
      </c>
      <c r="FT889" t="s">
        <v>1451</v>
      </c>
      <c r="FV889" s="1">
        <v>41423</v>
      </c>
      <c r="FW889">
        <v>2011</v>
      </c>
      <c r="FX889">
        <v>1125.5</v>
      </c>
      <c r="FY889" t="s">
        <v>9268</v>
      </c>
      <c r="FZ889">
        <v>5.75</v>
      </c>
      <c r="GA889" t="s">
        <v>424</v>
      </c>
      <c r="GB889" t="s">
        <v>425</v>
      </c>
      <c r="GC889" s="1">
        <v>41564</v>
      </c>
      <c r="GD889">
        <v>5</v>
      </c>
      <c r="GE889">
        <v>15407</v>
      </c>
      <c r="GF889" t="s">
        <v>1134</v>
      </c>
      <c r="GH889" s="1">
        <v>41423</v>
      </c>
      <c r="GI889">
        <v>2010</v>
      </c>
      <c r="GJ889">
        <v>1296.5999999999999</v>
      </c>
      <c r="GK889" t="s">
        <v>9269</v>
      </c>
      <c r="GL889">
        <v>5.75</v>
      </c>
      <c r="GM889" t="s">
        <v>424</v>
      </c>
      <c r="GN889" t="s">
        <v>425</v>
      </c>
      <c r="GO889" s="1">
        <v>41564</v>
      </c>
      <c r="GP889">
        <v>5</v>
      </c>
      <c r="GQ889">
        <v>15407</v>
      </c>
      <c r="GR889" t="s">
        <v>1134</v>
      </c>
      <c r="GT889" s="1">
        <v>41423</v>
      </c>
      <c r="GU889">
        <v>2009</v>
      </c>
      <c r="GV889">
        <v>1749.6</v>
      </c>
      <c r="GW889" t="s">
        <v>9270</v>
      </c>
      <c r="GX889">
        <v>6</v>
      </c>
      <c r="GY889" t="s">
        <v>424</v>
      </c>
      <c r="GZ889" t="s">
        <v>425</v>
      </c>
      <c r="HA889" s="1">
        <v>41564</v>
      </c>
      <c r="HB889">
        <v>5</v>
      </c>
      <c r="HC889">
        <v>2035919</v>
      </c>
      <c r="HD889" t="s">
        <v>507</v>
      </c>
    </row>
    <row r="890" spans="1:272" x14ac:dyDescent="0.25">
      <c r="A890">
        <v>16485897</v>
      </c>
      <c r="B890">
        <v>889</v>
      </c>
      <c r="C890" t="s">
        <v>393</v>
      </c>
      <c r="D890" t="s">
        <v>394</v>
      </c>
      <c r="F890" t="str">
        <f>"32-2N-25-4020-0004-0020"</f>
        <v>32-2N-25-4020-0004-0020</v>
      </c>
      <c r="H890" t="str">
        <f>"ARNOLD JERRY RAY &amp; PAULA ANN"</f>
        <v>ARNOLD JERRY RAY &amp; PAULA ANN</v>
      </c>
      <c r="I890" t="str">
        <f>"44354 CATTLE BEND DR"</f>
        <v>44354 CATTLE BEND DR</v>
      </c>
      <c r="J890" t="str">
        <f t="shared" si="281"/>
        <v>CALLAHAN FL 32011</v>
      </c>
      <c r="K890" t="str">
        <f>"44354 CATTLE BEND DR"</f>
        <v>44354 CATTLE BEND DR</v>
      </c>
      <c r="L890" t="str">
        <f t="shared" si="273"/>
        <v>CALLAHAN FL 32011</v>
      </c>
      <c r="M890" t="str">
        <f>"PT LOT 4 PAR 4-2 PT OR 890/553 (EX IN OR 1748/1554 &amp; EX LOT 4 OF ANTHONY BRYANT LAND SUB DBK 169/496 LYING N THEREOF) PICKETT ESTATES PBK 2/27"</f>
        <v>PT LOT 4 PAR 4-2 PT OR 890/553 (EX IN OR 1748/1554 &amp; EX LOT 4 OF ANTHONY BRYANT LAND SUB DBK 169/496 LYING N THEREOF) PICKETT ESTATES PBK 2/27</v>
      </c>
      <c r="N890" t="str">
        <f>""</f>
        <v/>
      </c>
      <c r="O890" t="str">
        <f>"40290"</f>
        <v>40290</v>
      </c>
      <c r="P890" t="str">
        <f t="shared" si="265"/>
        <v>2017</v>
      </c>
      <c r="Q890" t="str">
        <f>""</f>
        <v/>
      </c>
      <c r="R890" t="str">
        <f>"Y"</f>
        <v>Y</v>
      </c>
      <c r="S890" t="str">
        <f>"1.03"</f>
        <v>1.03</v>
      </c>
      <c r="T890" t="str">
        <f>"1489.23"</f>
        <v>1489.23</v>
      </c>
      <c r="U890" t="str">
        <f>"137476.00"</f>
        <v>137476.00</v>
      </c>
      <c r="V890" t="str">
        <f>"137476.00"</f>
        <v>137476.00</v>
      </c>
      <c r="W890" t="str">
        <f t="shared" si="266"/>
        <v>2017</v>
      </c>
      <c r="X890" t="str">
        <f>""</f>
        <v/>
      </c>
      <c r="Y890" t="str">
        <f>"1565.91"</f>
        <v>1565.91</v>
      </c>
      <c r="Z890" t="str">
        <f>"25000.00"</f>
        <v>25000.00</v>
      </c>
      <c r="AA890" t="str">
        <f>"112476.00"</f>
        <v>112476.00</v>
      </c>
      <c r="AB890" t="str">
        <f t="shared" si="279"/>
        <v>Residential</v>
      </c>
      <c r="AC890" t="str">
        <f t="shared" si="274"/>
        <v>0</v>
      </c>
      <c r="AD890" t="str">
        <f>"4"</f>
        <v>4</v>
      </c>
      <c r="AE890" t="str">
        <f>"WOOD (INCLUDE STEEL STUDS)"</f>
        <v>WOOD (INCLUDE STEEL STUDS)</v>
      </c>
      <c r="AF890" t="str">
        <f>"001"</f>
        <v>001</v>
      </c>
      <c r="AG890" t="str">
        <f t="shared" si="280"/>
        <v>FL</v>
      </c>
      <c r="AH890" t="str">
        <f>"44866.00"</f>
        <v>44866.00</v>
      </c>
      <c r="AI890" t="str">
        <f>"15450.00"</f>
        <v>15450.00</v>
      </c>
      <c r="AJ890" t="str">
        <f>"C55-000-587-6812-8"</f>
        <v>C55-000-587-6812-8</v>
      </c>
      <c r="AK890" t="str">
        <f>"13754"</f>
        <v>13754</v>
      </c>
      <c r="AL890">
        <v>4</v>
      </c>
      <c r="AM890">
        <v>1029</v>
      </c>
      <c r="AN890">
        <v>1642.61</v>
      </c>
      <c r="AQ890" t="s">
        <v>9271</v>
      </c>
      <c r="AR890" t="s">
        <v>9271</v>
      </c>
      <c r="AS890" t="s">
        <v>9271</v>
      </c>
      <c r="AU890" t="s">
        <v>396</v>
      </c>
      <c r="AV890">
        <v>2017</v>
      </c>
      <c r="AW890" t="str">
        <f>"32-2N-25-4020-0004-0020 "</f>
        <v xml:space="preserve">32-2N-25-4020-0004-0020 </v>
      </c>
      <c r="AX890">
        <v>44354</v>
      </c>
      <c r="AZ890" t="s">
        <v>9272</v>
      </c>
      <c r="BA890" t="s">
        <v>669</v>
      </c>
      <c r="BD890" t="s">
        <v>2785</v>
      </c>
      <c r="BE890" t="s">
        <v>393</v>
      </c>
      <c r="BF890">
        <v>32011</v>
      </c>
      <c r="BG890" t="s">
        <v>9273</v>
      </c>
      <c r="BH890" t="s">
        <v>2787</v>
      </c>
      <c r="BI890">
        <v>-81.829262356333402</v>
      </c>
      <c r="BJ890">
        <v>30.551163243000399</v>
      </c>
      <c r="BK890" t="s">
        <v>9274</v>
      </c>
      <c r="BM890" t="s">
        <v>9275</v>
      </c>
      <c r="BN890" t="s">
        <v>928</v>
      </c>
      <c r="BO890">
        <v>32011</v>
      </c>
      <c r="BP890" t="s">
        <v>416</v>
      </c>
      <c r="BQ890">
        <v>100</v>
      </c>
      <c r="BR890" t="s">
        <v>514</v>
      </c>
      <c r="BS890">
        <v>1001</v>
      </c>
      <c r="BT890" t="s">
        <v>515</v>
      </c>
      <c r="BW890">
        <v>44866</v>
      </c>
      <c r="BX890" t="s">
        <v>407</v>
      </c>
      <c r="BY890" t="s">
        <v>408</v>
      </c>
      <c r="BZ890">
        <v>4</v>
      </c>
      <c r="CA890">
        <v>2012</v>
      </c>
      <c r="CB890">
        <v>1</v>
      </c>
      <c r="CC890">
        <v>1</v>
      </c>
      <c r="CD890">
        <v>2017</v>
      </c>
      <c r="CG890">
        <v>137476</v>
      </c>
      <c r="CH890">
        <v>2017</v>
      </c>
      <c r="CI890">
        <v>15450</v>
      </c>
      <c r="CJ890">
        <v>134489</v>
      </c>
      <c r="CK890">
        <v>149939</v>
      </c>
      <c r="CL890">
        <v>2017</v>
      </c>
      <c r="CM890">
        <v>1489.23</v>
      </c>
      <c r="CN890" s="1">
        <v>40752</v>
      </c>
      <c r="CO890">
        <v>160000</v>
      </c>
      <c r="CV890">
        <v>136787</v>
      </c>
      <c r="CX890" t="s">
        <v>657</v>
      </c>
      <c r="CZ890" s="1">
        <v>40752</v>
      </c>
      <c r="DA890">
        <v>0</v>
      </c>
      <c r="DD890" t="s">
        <v>2785</v>
      </c>
      <c r="DF890">
        <v>4</v>
      </c>
      <c r="DG890">
        <v>32</v>
      </c>
      <c r="DJ890" t="s">
        <v>9276</v>
      </c>
      <c r="DL890">
        <v>50503</v>
      </c>
      <c r="DM890" t="s">
        <v>9136</v>
      </c>
      <c r="DO890" t="s">
        <v>9277</v>
      </c>
      <c r="DP890">
        <v>0</v>
      </c>
      <c r="DQ890">
        <v>0</v>
      </c>
      <c r="DR890" t="s">
        <v>411</v>
      </c>
    </row>
    <row r="891" spans="1:272" x14ac:dyDescent="0.25">
      <c r="A891">
        <v>16485898</v>
      </c>
      <c r="B891">
        <v>890</v>
      </c>
      <c r="C891" t="s">
        <v>393</v>
      </c>
      <c r="D891" t="s">
        <v>394</v>
      </c>
      <c r="F891" t="str">
        <f>"32-2N-25-4020-0010-0020"</f>
        <v>32-2N-25-4020-0010-0020</v>
      </c>
      <c r="H891" t="str">
        <f>"NOBLES JOHN &amp; MARY"</f>
        <v>NOBLES JOHN &amp; MARY</v>
      </c>
      <c r="I891" t="str">
        <f>"45082 WEAVER CIRCLE"</f>
        <v>45082 WEAVER CIRCLE</v>
      </c>
      <c r="J891" t="str">
        <f t="shared" si="281"/>
        <v>CALLAHAN FL 32011</v>
      </c>
      <c r="K891" t="str">
        <f>"45775 PICKETT ST"</f>
        <v>45775 PICKETT ST</v>
      </c>
      <c r="L891" t="str">
        <f t="shared" si="273"/>
        <v>CALLAHAN FL 32011</v>
      </c>
      <c r="M891" t="str">
        <f>"PT OF LOT 10 &amp; LOTS 13 &amp; 14 IN OR 2016/3 PICKETT ESTATES PB 2/27"</f>
        <v>PT OF LOT 10 &amp; LOTS 13 &amp; 14 IN OR 2016/3 PICKETT ESTATES PB 2/27</v>
      </c>
      <c r="N891" t="str">
        <f>""</f>
        <v/>
      </c>
      <c r="O891" t="str">
        <f>"56423"</f>
        <v>56423</v>
      </c>
      <c r="P891" t="str">
        <f t="shared" si="265"/>
        <v>2017</v>
      </c>
      <c r="Q891" t="str">
        <f>""</f>
        <v/>
      </c>
      <c r="R891" t="str">
        <f>"N"</f>
        <v>N</v>
      </c>
      <c r="S891" t="str">
        <f>"2.87"</f>
        <v>2.87</v>
      </c>
      <c r="T891" t="str">
        <f>"838.29"</f>
        <v>838.29</v>
      </c>
      <c r="U891" t="str">
        <f>"53979.00"</f>
        <v>53979.00</v>
      </c>
      <c r="V891" t="str">
        <f>"53979.00"</f>
        <v>53979.00</v>
      </c>
      <c r="W891" t="str">
        <f t="shared" si="266"/>
        <v>2017</v>
      </c>
      <c r="X891" t="str">
        <f>""</f>
        <v/>
      </c>
      <c r="Y891" t="str">
        <f>"895.44"</f>
        <v>895.44</v>
      </c>
      <c r="Z891" t="str">
        <f>""</f>
        <v/>
      </c>
      <c r="AA891" t="str">
        <f>"57179.00"</f>
        <v>57179.00</v>
      </c>
      <c r="AB891" t="str">
        <f t="shared" si="279"/>
        <v>Residential</v>
      </c>
      <c r="AC891" t="str">
        <f t="shared" si="274"/>
        <v>0</v>
      </c>
      <c r="AD891" t="str">
        <f>"4"</f>
        <v>4</v>
      </c>
      <c r="AE891" t="str">
        <f>"WOOD (INCLUDE STEEL STUDS)"</f>
        <v>WOOD (INCLUDE STEEL STUDS)</v>
      </c>
      <c r="AF891" t="str">
        <f>"002"</f>
        <v>002</v>
      </c>
      <c r="AG891" t="str">
        <f t="shared" si="280"/>
        <v>FL</v>
      </c>
      <c r="AH891" t="str">
        <f>"125017.00"</f>
        <v>125017.00</v>
      </c>
      <c r="AI891" t="str">
        <f>"34440.00"</f>
        <v>34440.00</v>
      </c>
      <c r="AJ891" t="str">
        <f>"C55-001-080-5210-1"</f>
        <v>C55-001-080-5210-1</v>
      </c>
      <c r="AK891" t="str">
        <f>"13771"</f>
        <v>13771</v>
      </c>
      <c r="AL891">
        <v>4</v>
      </c>
      <c r="AM891">
        <v>1031</v>
      </c>
      <c r="AN891">
        <v>938.61</v>
      </c>
      <c r="AQ891" t="s">
        <v>9278</v>
      </c>
      <c r="AR891" t="s">
        <v>9278</v>
      </c>
      <c r="AS891" t="s">
        <v>9278</v>
      </c>
      <c r="AU891" t="s">
        <v>396</v>
      </c>
      <c r="AV891">
        <v>2017</v>
      </c>
      <c r="AW891" t="str">
        <f>"32-2N-25-4020-0010-0020 "</f>
        <v xml:space="preserve">32-2N-25-4020-0010-0020 </v>
      </c>
      <c r="AX891">
        <v>45775</v>
      </c>
      <c r="AZ891" t="s">
        <v>9198</v>
      </c>
      <c r="BA891" t="s">
        <v>1942</v>
      </c>
      <c r="BD891" t="s">
        <v>2785</v>
      </c>
      <c r="BE891" t="s">
        <v>393</v>
      </c>
      <c r="BF891">
        <v>32011</v>
      </c>
      <c r="BG891" t="s">
        <v>9279</v>
      </c>
      <c r="BH891" t="s">
        <v>2787</v>
      </c>
      <c r="BI891">
        <v>-81.825792871153396</v>
      </c>
      <c r="BJ891">
        <v>30.548343280918701</v>
      </c>
      <c r="BK891" t="s">
        <v>9280</v>
      </c>
      <c r="BL891" t="s">
        <v>9281</v>
      </c>
      <c r="BM891" t="s">
        <v>9282</v>
      </c>
      <c r="BN891" t="s">
        <v>928</v>
      </c>
      <c r="BO891">
        <v>32011</v>
      </c>
      <c r="BP891" t="s">
        <v>404</v>
      </c>
      <c r="BQ891">
        <v>200</v>
      </c>
      <c r="BR891" t="s">
        <v>405</v>
      </c>
      <c r="BS891">
        <v>1006</v>
      </c>
      <c r="BT891" t="s">
        <v>406</v>
      </c>
      <c r="BW891">
        <v>125017</v>
      </c>
      <c r="BX891" t="s">
        <v>407</v>
      </c>
      <c r="BZ891">
        <v>4</v>
      </c>
      <c r="CA891">
        <v>1992</v>
      </c>
      <c r="CB891">
        <v>1</v>
      </c>
      <c r="CC891">
        <v>1</v>
      </c>
      <c r="CD891">
        <v>2017</v>
      </c>
      <c r="CE891">
        <v>34440</v>
      </c>
      <c r="CF891">
        <v>22739</v>
      </c>
      <c r="CG891">
        <v>57179</v>
      </c>
      <c r="CH891">
        <v>2017</v>
      </c>
      <c r="CI891">
        <v>34440</v>
      </c>
      <c r="CJ891">
        <v>22739</v>
      </c>
      <c r="CK891">
        <v>57179</v>
      </c>
      <c r="CL891">
        <v>2017</v>
      </c>
      <c r="CM891">
        <v>838.29</v>
      </c>
      <c r="CN891" s="1">
        <v>42325</v>
      </c>
      <c r="CZ891" s="1">
        <v>42325</v>
      </c>
      <c r="DD891" t="s">
        <v>2785</v>
      </c>
      <c r="DG891">
        <v>32</v>
      </c>
      <c r="DL891">
        <v>50503</v>
      </c>
      <c r="DM891" t="s">
        <v>9136</v>
      </c>
      <c r="DO891" t="s">
        <v>9283</v>
      </c>
      <c r="DP891">
        <v>0</v>
      </c>
      <c r="DQ891">
        <v>0</v>
      </c>
      <c r="DR891" t="s">
        <v>411</v>
      </c>
    </row>
    <row r="892" spans="1:272" x14ac:dyDescent="0.25">
      <c r="A892">
        <v>16485899</v>
      </c>
      <c r="B892">
        <v>891</v>
      </c>
      <c r="C892" t="s">
        <v>393</v>
      </c>
      <c r="D892" t="s">
        <v>394</v>
      </c>
      <c r="F892" t="str">
        <f>"32-2N-25-5750-0008-0000"</f>
        <v>32-2N-25-5750-0008-0000</v>
      </c>
      <c r="H892" t="str">
        <f>"ARNOLD KEITH &amp; TERESA"</f>
        <v>ARNOLD KEITH &amp; TERESA</v>
      </c>
      <c r="I892" t="str">
        <f>"PO BOX 84"</f>
        <v>PO BOX 84</v>
      </c>
      <c r="J892" t="str">
        <f t="shared" si="281"/>
        <v>CALLAHAN FL 32011</v>
      </c>
      <c r="K892" t="str">
        <f>"LUCKY LN"</f>
        <v>LUCKY LN</v>
      </c>
      <c r="L892" t="str">
        <f t="shared" si="273"/>
        <v>CALLAHAN FL 32011</v>
      </c>
      <c r="M892" t="str">
        <f>"LOT 8 IN OR 979/1958 RAILROAD ESTATES PB 6/118-119"</f>
        <v>LOT 8 IN OR 979/1958 RAILROAD ESTATES PB 6/118-119</v>
      </c>
      <c r="N892" t="str">
        <f>""</f>
        <v/>
      </c>
      <c r="O892" t="str">
        <f>"40343"</f>
        <v>40343</v>
      </c>
      <c r="P892" t="str">
        <f t="shared" si="265"/>
        <v>2017</v>
      </c>
      <c r="Q892" t="str">
        <f>""</f>
        <v/>
      </c>
      <c r="R892" t="str">
        <f>"N"</f>
        <v>N</v>
      </c>
      <c r="S892" t="str">
        <f>"2.10"</f>
        <v>2.10</v>
      </c>
      <c r="T892" t="str">
        <f>"381.50"</f>
        <v>381.50</v>
      </c>
      <c r="U892" t="str">
        <f>"25200.00"</f>
        <v>25200.00</v>
      </c>
      <c r="V892" t="str">
        <f>"25200.00"</f>
        <v>25200.00</v>
      </c>
      <c r="W892" t="str">
        <f t="shared" si="266"/>
        <v>2017</v>
      </c>
      <c r="X892" t="str">
        <f>"16.25"</f>
        <v>16.25</v>
      </c>
      <c r="Y892" t="str">
        <f>"424.95"</f>
        <v>424.95</v>
      </c>
      <c r="Z892" t="str">
        <f>""</f>
        <v/>
      </c>
      <c r="AA892" t="str">
        <f>"25200.00"</f>
        <v>25200.00</v>
      </c>
      <c r="AB892" t="str">
        <f t="shared" si="279"/>
        <v>Residential</v>
      </c>
      <c r="AC892" t="str">
        <f t="shared" si="274"/>
        <v>0</v>
      </c>
      <c r="AD892" t="str">
        <f>""</f>
        <v/>
      </c>
      <c r="AE892" t="str">
        <f>""</f>
        <v/>
      </c>
      <c r="AF892" t="str">
        <f>"000"</f>
        <v>000</v>
      </c>
      <c r="AG892" t="str">
        <f t="shared" si="280"/>
        <v>FL</v>
      </c>
      <c r="AH892" t="str">
        <f>"91476.00"</f>
        <v>91476.00</v>
      </c>
      <c r="AI892" t="str">
        <f>"25200.00"</f>
        <v>25200.00</v>
      </c>
      <c r="AJ892" t="str">
        <f>"C55-000-587-6848-2"</f>
        <v>C55-000-587-6848-2</v>
      </c>
      <c r="AK892" t="str">
        <f>"13802"</f>
        <v>13802</v>
      </c>
      <c r="AL892">
        <v>4</v>
      </c>
      <c r="AM892">
        <v>1032</v>
      </c>
      <c r="AN892">
        <v>444.6</v>
      </c>
      <c r="AQ892" t="s">
        <v>9284</v>
      </c>
      <c r="AR892" t="s">
        <v>9284</v>
      </c>
      <c r="AS892" t="s">
        <v>9284</v>
      </c>
      <c r="AU892" t="s">
        <v>396</v>
      </c>
      <c r="AV892">
        <v>2017</v>
      </c>
      <c r="AW892" t="str">
        <f>"32-2N-25-5750-0008-0000 "</f>
        <v xml:space="preserve">32-2N-25-5750-0008-0000 </v>
      </c>
      <c r="AZ892" t="s">
        <v>9285</v>
      </c>
      <c r="BA892" t="s">
        <v>653</v>
      </c>
      <c r="BD892" t="s">
        <v>2785</v>
      </c>
      <c r="BE892" t="s">
        <v>393</v>
      </c>
      <c r="BF892">
        <v>32011</v>
      </c>
      <c r="BG892" t="s">
        <v>9286</v>
      </c>
      <c r="BH892" t="s">
        <v>2787</v>
      </c>
      <c r="BI892">
        <v>-81.823846410387702</v>
      </c>
      <c r="BJ892">
        <v>30.540270744985801</v>
      </c>
      <c r="BK892" t="s">
        <v>9287</v>
      </c>
      <c r="BL892" t="s">
        <v>9288</v>
      </c>
      <c r="BM892" t="s">
        <v>9289</v>
      </c>
      <c r="BN892" t="s">
        <v>928</v>
      </c>
      <c r="BO892">
        <v>32011</v>
      </c>
      <c r="BP892" t="s">
        <v>404</v>
      </c>
      <c r="BQ892">
        <v>0</v>
      </c>
      <c r="BR892" t="s">
        <v>491</v>
      </c>
      <c r="BS892">
        <v>8001</v>
      </c>
      <c r="BT892" t="s">
        <v>492</v>
      </c>
      <c r="BW892">
        <v>91476</v>
      </c>
      <c r="BX892" t="s">
        <v>407</v>
      </c>
      <c r="CD892">
        <v>2017</v>
      </c>
      <c r="CE892">
        <v>25200</v>
      </c>
      <c r="CG892">
        <v>25200</v>
      </c>
      <c r="CH892">
        <v>2017</v>
      </c>
      <c r="CI892">
        <v>25200</v>
      </c>
      <c r="CK892">
        <v>25200</v>
      </c>
      <c r="CL892">
        <v>2017</v>
      </c>
      <c r="CM892">
        <v>381.5</v>
      </c>
      <c r="CN892" s="1">
        <v>36990</v>
      </c>
      <c r="CO892">
        <v>24000</v>
      </c>
      <c r="CV892">
        <v>24000</v>
      </c>
      <c r="CX892" t="s">
        <v>707</v>
      </c>
      <c r="CZ892" s="1">
        <v>36990</v>
      </c>
      <c r="DA892">
        <v>0</v>
      </c>
      <c r="DD892" t="s">
        <v>2785</v>
      </c>
      <c r="DF892">
        <v>8</v>
      </c>
      <c r="DG892">
        <v>32</v>
      </c>
      <c r="DJ892" t="s">
        <v>9290</v>
      </c>
      <c r="DL892">
        <v>50503</v>
      </c>
      <c r="DM892" t="s">
        <v>9136</v>
      </c>
      <c r="DO892" t="s">
        <v>9291</v>
      </c>
      <c r="DP892">
        <v>0</v>
      </c>
      <c r="DQ892">
        <v>0</v>
      </c>
      <c r="DR892" t="s">
        <v>411</v>
      </c>
      <c r="DS892" t="s">
        <v>695</v>
      </c>
      <c r="EJ892">
        <v>0</v>
      </c>
      <c r="EK892">
        <v>0</v>
      </c>
      <c r="EP892" t="s">
        <v>421</v>
      </c>
      <c r="EQ892" t="s">
        <v>422</v>
      </c>
      <c r="ER892">
        <v>0</v>
      </c>
      <c r="ES892">
        <v>5</v>
      </c>
      <c r="ET892">
        <v>0</v>
      </c>
      <c r="EU892">
        <v>0</v>
      </c>
      <c r="EV892">
        <v>0</v>
      </c>
      <c r="EW892" s="2">
        <v>43222</v>
      </c>
      <c r="EX892" s="1">
        <v>42151</v>
      </c>
      <c r="EY892">
        <v>2014</v>
      </c>
      <c r="EZ892">
        <v>452.7</v>
      </c>
      <c r="FA892" t="s">
        <v>9292</v>
      </c>
      <c r="FB892">
        <v>4.75</v>
      </c>
      <c r="FC892" t="s">
        <v>424</v>
      </c>
      <c r="FD892" t="s">
        <v>425</v>
      </c>
      <c r="FE892" s="1">
        <v>42460</v>
      </c>
      <c r="FF892">
        <v>10</v>
      </c>
      <c r="FG892">
        <v>4975593</v>
      </c>
      <c r="FH892" t="s">
        <v>505</v>
      </c>
      <c r="FJ892" s="1">
        <v>41787</v>
      </c>
      <c r="FK892">
        <v>2013</v>
      </c>
      <c r="FL892">
        <v>412.68</v>
      </c>
      <c r="FM892" t="s">
        <v>9293</v>
      </c>
      <c r="FN892">
        <v>6.75</v>
      </c>
      <c r="FO892" t="s">
        <v>424</v>
      </c>
      <c r="FP892" t="s">
        <v>425</v>
      </c>
      <c r="FQ892" s="1">
        <v>42216</v>
      </c>
      <c r="FR892">
        <v>14</v>
      </c>
      <c r="FS892">
        <v>2035919</v>
      </c>
      <c r="FT892" t="s">
        <v>507</v>
      </c>
      <c r="FV892" s="1">
        <v>41423</v>
      </c>
      <c r="FW892">
        <v>2012</v>
      </c>
      <c r="FX892">
        <v>416.7</v>
      </c>
      <c r="FY892" t="s">
        <v>9294</v>
      </c>
      <c r="FZ892">
        <v>3.25</v>
      </c>
      <c r="GA892" t="s">
        <v>424</v>
      </c>
      <c r="GB892" t="s">
        <v>425</v>
      </c>
      <c r="GC892" s="1">
        <v>42061</v>
      </c>
      <c r="GD892">
        <v>21</v>
      </c>
      <c r="GE892">
        <v>62</v>
      </c>
      <c r="GF892" t="s">
        <v>463</v>
      </c>
      <c r="GH892" s="1">
        <v>41052</v>
      </c>
      <c r="GI892">
        <v>2011</v>
      </c>
      <c r="GJ892">
        <v>460.24</v>
      </c>
      <c r="GK892" t="s">
        <v>9295</v>
      </c>
      <c r="GL892">
        <v>4.5</v>
      </c>
      <c r="GM892" t="s">
        <v>424</v>
      </c>
      <c r="GN892" t="s">
        <v>425</v>
      </c>
      <c r="GO892" s="1">
        <v>41698</v>
      </c>
      <c r="GP892">
        <v>21</v>
      </c>
      <c r="GQ892">
        <v>10125</v>
      </c>
      <c r="GR892" t="s">
        <v>440</v>
      </c>
      <c r="GT892" s="1">
        <v>40688</v>
      </c>
      <c r="GU892">
        <v>2010</v>
      </c>
      <c r="GV892">
        <v>461.69</v>
      </c>
      <c r="GW892" t="s">
        <v>9296</v>
      </c>
      <c r="GX892">
        <v>7.75</v>
      </c>
      <c r="GY892" t="s">
        <v>424</v>
      </c>
      <c r="GZ892" t="s">
        <v>425</v>
      </c>
      <c r="HA892" s="1">
        <v>41325</v>
      </c>
      <c r="HB892">
        <v>21</v>
      </c>
      <c r="HC892">
        <v>11064</v>
      </c>
      <c r="HD892" t="s">
        <v>6946</v>
      </c>
    </row>
    <row r="893" spans="1:272" x14ac:dyDescent="0.25">
      <c r="A893">
        <v>16485900</v>
      </c>
      <c r="B893">
        <v>892</v>
      </c>
      <c r="C893" t="s">
        <v>393</v>
      </c>
      <c r="D893" t="s">
        <v>394</v>
      </c>
      <c r="F893" t="str">
        <f>"32-2N-25-5750-0009-0000"</f>
        <v>32-2N-25-5750-0009-0000</v>
      </c>
      <c r="H893" t="str">
        <f>"ARNOLD KEITH"</f>
        <v>ARNOLD KEITH</v>
      </c>
      <c r="I893" t="str">
        <f>"P O BOX 84"</f>
        <v>P O BOX 84</v>
      </c>
      <c r="J893" t="str">
        <f t="shared" si="281"/>
        <v>CALLAHAN FL 32011</v>
      </c>
      <c r="K893" t="str">
        <f>"44156 LUCKY LN"</f>
        <v>44156 LUCKY LN</v>
      </c>
      <c r="L893" t="str">
        <f t="shared" si="273"/>
        <v>CALLAHAN FL 32011</v>
      </c>
      <c r="M893" t="str">
        <f>"LOT 9 IN OR 850/996 R787657 &amp; R787658 RAILROAD ESTATES PB 6/118-119"</f>
        <v>LOT 9 IN OR 850/996 R787657 &amp; R787658 RAILROAD ESTATES PB 6/118-119</v>
      </c>
      <c r="N893" t="str">
        <f>""</f>
        <v/>
      </c>
      <c r="O893" t="str">
        <f>"40344"</f>
        <v>40344</v>
      </c>
      <c r="P893" t="str">
        <f t="shared" si="265"/>
        <v>2017</v>
      </c>
      <c r="Q893" t="str">
        <f>""</f>
        <v/>
      </c>
      <c r="R893" t="str">
        <f>"Y"</f>
        <v>Y</v>
      </c>
      <c r="S893" t="str">
        <f>"2.33"</f>
        <v>2.33</v>
      </c>
      <c r="T893" t="str">
        <f>"480.35"</f>
        <v>480.35</v>
      </c>
      <c r="U893" t="str">
        <f>"63963.00"</f>
        <v>63963.00</v>
      </c>
      <c r="V893" t="str">
        <f>"63963.00"</f>
        <v>63963.00</v>
      </c>
      <c r="W893" t="str">
        <f t="shared" si="266"/>
        <v>2017</v>
      </c>
      <c r="X893" t="str">
        <f>"15.75"</f>
        <v>15.75</v>
      </c>
      <c r="Y893" t="str">
        <f>"526.76"</f>
        <v>526.76</v>
      </c>
      <c r="Z893" t="str">
        <f>"25000.00"</f>
        <v>25000.00</v>
      </c>
      <c r="AA893" t="str">
        <f>"38963.00"</f>
        <v>38963.00</v>
      </c>
      <c r="AB893" t="str">
        <f t="shared" si="279"/>
        <v>Residential</v>
      </c>
      <c r="AC893" t="str">
        <f t="shared" si="274"/>
        <v>0</v>
      </c>
      <c r="AD893" t="str">
        <f>"4"</f>
        <v>4</v>
      </c>
      <c r="AE893" t="str">
        <f>"WOOD (INCLUDE STEEL STUDS)"</f>
        <v>WOOD (INCLUDE STEEL STUDS)</v>
      </c>
      <c r="AF893" t="str">
        <f>"002"</f>
        <v>002</v>
      </c>
      <c r="AG893" t="str">
        <f t="shared" si="280"/>
        <v>FL</v>
      </c>
      <c r="AH893" t="str">
        <f>"101494.00"</f>
        <v>101494.00</v>
      </c>
      <c r="AI893" t="str">
        <f>"27960.00"</f>
        <v>27960.00</v>
      </c>
      <c r="AJ893" t="str">
        <f>"C55-000-587-6849-0"</f>
        <v>C55-000-587-6849-0</v>
      </c>
      <c r="AK893" t="str">
        <f>"13803"</f>
        <v>13803</v>
      </c>
      <c r="AL893">
        <v>4</v>
      </c>
      <c r="AM893">
        <v>1033</v>
      </c>
      <c r="AN893">
        <v>551.5</v>
      </c>
      <c r="AQ893" t="s">
        <v>9297</v>
      </c>
      <c r="AR893" t="s">
        <v>9297</v>
      </c>
      <c r="AS893" t="s">
        <v>9297</v>
      </c>
      <c r="AU893" t="s">
        <v>396</v>
      </c>
      <c r="AV893">
        <v>2017</v>
      </c>
      <c r="AW893" t="str">
        <f>"32-2N-25-5750-0009-0000 "</f>
        <v xml:space="preserve">32-2N-25-5750-0009-0000 </v>
      </c>
      <c r="AX893">
        <v>44156</v>
      </c>
      <c r="AZ893" t="s">
        <v>9285</v>
      </c>
      <c r="BA893" t="s">
        <v>653</v>
      </c>
      <c r="BD893" t="s">
        <v>2785</v>
      </c>
      <c r="BE893" t="s">
        <v>393</v>
      </c>
      <c r="BF893">
        <v>32011</v>
      </c>
      <c r="BG893" t="s">
        <v>9298</v>
      </c>
      <c r="BH893" t="s">
        <v>2787</v>
      </c>
      <c r="BI893">
        <v>-81.823224360287895</v>
      </c>
      <c r="BJ893">
        <v>30.5403755190131</v>
      </c>
      <c r="BK893" t="s">
        <v>9287</v>
      </c>
      <c r="BM893" t="s">
        <v>9289</v>
      </c>
      <c r="BN893" t="s">
        <v>928</v>
      </c>
      <c r="BO893">
        <v>32011</v>
      </c>
      <c r="BP893" t="s">
        <v>404</v>
      </c>
      <c r="BQ893">
        <v>200</v>
      </c>
      <c r="BR893" t="s">
        <v>405</v>
      </c>
      <c r="BS893">
        <v>1006</v>
      </c>
      <c r="BT893" t="s">
        <v>406</v>
      </c>
      <c r="BW893">
        <v>101494</v>
      </c>
      <c r="BX893" t="s">
        <v>407</v>
      </c>
      <c r="BZ893">
        <v>4</v>
      </c>
      <c r="CA893">
        <v>1999</v>
      </c>
      <c r="CB893">
        <v>1</v>
      </c>
      <c r="CC893">
        <v>1</v>
      </c>
      <c r="CD893">
        <v>2017</v>
      </c>
      <c r="CG893">
        <v>63963</v>
      </c>
      <c r="CH893">
        <v>2017</v>
      </c>
      <c r="CI893">
        <v>27960</v>
      </c>
      <c r="CJ893">
        <v>44746</v>
      </c>
      <c r="CK893">
        <v>72706</v>
      </c>
      <c r="CL893">
        <v>2017</v>
      </c>
      <c r="CM893">
        <v>480.35</v>
      </c>
      <c r="CN893" s="1">
        <v>36067</v>
      </c>
      <c r="CO893">
        <v>25000</v>
      </c>
      <c r="CZ893" s="1">
        <v>36067</v>
      </c>
      <c r="DD893" t="s">
        <v>2785</v>
      </c>
      <c r="DF893">
        <v>9</v>
      </c>
      <c r="DG893">
        <v>32</v>
      </c>
      <c r="DL893">
        <v>50503</v>
      </c>
      <c r="DM893" t="s">
        <v>9136</v>
      </c>
      <c r="DO893" t="s">
        <v>9299</v>
      </c>
      <c r="DP893">
        <v>0</v>
      </c>
      <c r="DQ893">
        <v>0</v>
      </c>
      <c r="DR893" t="s">
        <v>411</v>
      </c>
      <c r="DS893" t="b">
        <v>1</v>
      </c>
      <c r="DT893" t="s">
        <v>396</v>
      </c>
      <c r="DV893" t="s">
        <v>446</v>
      </c>
      <c r="DX893">
        <v>-9999</v>
      </c>
      <c r="DZ893" t="s">
        <v>447</v>
      </c>
      <c r="EA893" t="s">
        <v>448</v>
      </c>
      <c r="EB893" t="s">
        <v>6573</v>
      </c>
      <c r="EC893">
        <v>20101217</v>
      </c>
      <c r="ED893" t="s">
        <v>450</v>
      </c>
      <c r="EE893">
        <v>15.8</v>
      </c>
      <c r="EF893">
        <v>0</v>
      </c>
      <c r="EG893">
        <v>0</v>
      </c>
      <c r="EH893" t="s">
        <v>451</v>
      </c>
      <c r="EI893">
        <v>20140731</v>
      </c>
      <c r="EJ893">
        <v>0</v>
      </c>
      <c r="EK893">
        <v>0</v>
      </c>
      <c r="EP893" t="s">
        <v>421</v>
      </c>
      <c r="EQ893" t="s">
        <v>422</v>
      </c>
      <c r="ER893">
        <v>0</v>
      </c>
      <c r="ES893">
        <v>6</v>
      </c>
      <c r="ET893">
        <v>0</v>
      </c>
      <c r="EU893">
        <v>0</v>
      </c>
      <c r="EV893">
        <v>0</v>
      </c>
      <c r="EW893" s="2">
        <v>43222</v>
      </c>
      <c r="EX893" s="1">
        <v>42151</v>
      </c>
      <c r="EY893">
        <v>2014</v>
      </c>
      <c r="EZ893">
        <v>556.15</v>
      </c>
      <c r="FA893" t="s">
        <v>9300</v>
      </c>
      <c r="FB893">
        <v>0.25</v>
      </c>
      <c r="FC893" t="s">
        <v>424</v>
      </c>
      <c r="FD893" t="s">
        <v>425</v>
      </c>
      <c r="FE893" s="1">
        <v>42311</v>
      </c>
      <c r="FF893">
        <v>6</v>
      </c>
      <c r="FG893">
        <v>2851116</v>
      </c>
      <c r="FH893" t="s">
        <v>480</v>
      </c>
      <c r="FJ893" s="1">
        <v>42151</v>
      </c>
      <c r="FK893">
        <v>2014</v>
      </c>
      <c r="FL893">
        <v>556.15</v>
      </c>
      <c r="FM893" t="s">
        <v>9300</v>
      </c>
      <c r="FN893">
        <v>0.25</v>
      </c>
      <c r="FO893" t="s">
        <v>424</v>
      </c>
      <c r="FP893" t="s">
        <v>425</v>
      </c>
      <c r="FR893">
        <v>22</v>
      </c>
      <c r="FS893">
        <v>4915548</v>
      </c>
      <c r="FT893" t="s">
        <v>9301</v>
      </c>
      <c r="FV893" s="1">
        <v>41787</v>
      </c>
      <c r="FW893">
        <v>2013</v>
      </c>
      <c r="FX893">
        <v>582.22</v>
      </c>
      <c r="FY893" t="s">
        <v>9302</v>
      </c>
      <c r="FZ893">
        <v>0.25</v>
      </c>
      <c r="GA893" t="s">
        <v>424</v>
      </c>
      <c r="GB893" t="s">
        <v>425</v>
      </c>
      <c r="GC893" s="1">
        <v>42216</v>
      </c>
      <c r="GD893">
        <v>14</v>
      </c>
      <c r="GE893">
        <v>2407503</v>
      </c>
      <c r="GF893" t="s">
        <v>461</v>
      </c>
      <c r="GH893" s="1">
        <v>41423</v>
      </c>
      <c r="GI893">
        <v>2012</v>
      </c>
      <c r="GJ893">
        <v>601.67999999999995</v>
      </c>
      <c r="GK893" t="s">
        <v>9303</v>
      </c>
      <c r="GL893">
        <v>3</v>
      </c>
      <c r="GM893" t="s">
        <v>424</v>
      </c>
      <c r="GN893" t="s">
        <v>425</v>
      </c>
      <c r="GO893" s="1">
        <v>42061</v>
      </c>
      <c r="GP893">
        <v>21</v>
      </c>
      <c r="GQ893">
        <v>15399</v>
      </c>
      <c r="GR893" t="s">
        <v>485</v>
      </c>
      <c r="GT893" s="1">
        <v>41052</v>
      </c>
      <c r="GU893">
        <v>2011</v>
      </c>
      <c r="GV893">
        <v>620.73</v>
      </c>
      <c r="GW893" t="s">
        <v>9304</v>
      </c>
      <c r="GX893">
        <v>5.75</v>
      </c>
      <c r="GY893" t="s">
        <v>424</v>
      </c>
      <c r="GZ893" t="s">
        <v>425</v>
      </c>
      <c r="HA893" s="1">
        <v>41698</v>
      </c>
      <c r="HB893">
        <v>21</v>
      </c>
      <c r="HC893">
        <v>10125</v>
      </c>
      <c r="HD893" t="s">
        <v>440</v>
      </c>
      <c r="HF893" s="1">
        <v>40688</v>
      </c>
      <c r="HG893">
        <v>2010</v>
      </c>
      <c r="HH893">
        <v>626.89</v>
      </c>
      <c r="HI893" t="s">
        <v>9305</v>
      </c>
      <c r="HJ893">
        <v>7.75</v>
      </c>
      <c r="HK893" t="s">
        <v>424</v>
      </c>
      <c r="HL893" t="s">
        <v>425</v>
      </c>
      <c r="HM893" s="1">
        <v>41327</v>
      </c>
      <c r="HN893">
        <v>21</v>
      </c>
      <c r="HO893">
        <v>305</v>
      </c>
      <c r="HP893" t="s">
        <v>1078</v>
      </c>
    </row>
    <row r="894" spans="1:272" x14ac:dyDescent="0.25">
      <c r="A894">
        <v>16485901</v>
      </c>
      <c r="B894">
        <v>893</v>
      </c>
      <c r="C894" t="s">
        <v>393</v>
      </c>
      <c r="D894" t="s">
        <v>394</v>
      </c>
      <c r="F894" t="str">
        <f>"33-2N-25-0000-0002-0000"</f>
        <v>33-2N-25-0000-0002-0000</v>
      </c>
      <c r="H894" t="str">
        <f>"SCOTT JEANNE H"</f>
        <v>SCOTT JEANNE H</v>
      </c>
      <c r="I894" t="str">
        <f>"P O BOX 1199"</f>
        <v>P O BOX 1199</v>
      </c>
      <c r="J894" t="str">
        <f>"HILLIARD FL 32046"</f>
        <v>HILLIARD FL 32046</v>
      </c>
      <c r="K894" t="str">
        <f>"541692 LEM TURNER RD"</f>
        <v>541692 LEM TURNER RD</v>
      </c>
      <c r="L894" t="str">
        <f t="shared" si="273"/>
        <v>CALLAHAN FL 32011</v>
      </c>
      <c r="M894" t="str">
        <f>"IN OR 851 PG 795 R787964 R787965 &amp; 92 DEST SW"</f>
        <v>IN OR 851 PG 795 R787964 R787965 &amp; 92 DEST SW</v>
      </c>
      <c r="N894" t="str">
        <f>""</f>
        <v/>
      </c>
      <c r="O894" t="str">
        <f>"40904"</f>
        <v>40904</v>
      </c>
      <c r="P894" t="str">
        <f t="shared" si="265"/>
        <v>2017</v>
      </c>
      <c r="Q894" t="str">
        <f>""</f>
        <v/>
      </c>
      <c r="R894" t="str">
        <f>"N"</f>
        <v>N</v>
      </c>
      <c r="S894" t="str">
        <f>"3.44"</f>
        <v>3.44</v>
      </c>
      <c r="T894" t="str">
        <f>"1863.01"</f>
        <v>1863.01</v>
      </c>
      <c r="U894" t="str">
        <f>"123062.00"</f>
        <v>123062.00</v>
      </c>
      <c r="V894" t="str">
        <f>"123062.00"</f>
        <v>123062.00</v>
      </c>
      <c r="W894" t="str">
        <f t="shared" si="266"/>
        <v>2017</v>
      </c>
      <c r="X894" t="str">
        <f>"22.00"</f>
        <v>22.00</v>
      </c>
      <c r="Y894" t="str">
        <f>"1950.90"</f>
        <v>1950.90</v>
      </c>
      <c r="Z894" t="str">
        <f>""</f>
        <v/>
      </c>
      <c r="AA894" t="str">
        <f>"123062.00"</f>
        <v>123062.00</v>
      </c>
      <c r="AB894" t="str">
        <f>"Commercial"</f>
        <v>Commercial</v>
      </c>
      <c r="AC894" t="str">
        <f t="shared" si="274"/>
        <v>0</v>
      </c>
      <c r="AD894" t="str">
        <f>"4"</f>
        <v>4</v>
      </c>
      <c r="AE894" t="str">
        <f>"WOOD (INCLUDE STEEL STUDS)"</f>
        <v>WOOD (INCLUDE STEEL STUDS)</v>
      </c>
      <c r="AF894" t="str">
        <f>"028"</f>
        <v>028</v>
      </c>
      <c r="AG894" t="str">
        <f t="shared" si="280"/>
        <v>FL</v>
      </c>
      <c r="AH894" t="str">
        <f>"149846.00"</f>
        <v>149846.00</v>
      </c>
      <c r="AI894" t="str">
        <f>"38700.00"</f>
        <v>38700.00</v>
      </c>
      <c r="AJ894" t="str">
        <f>"C55-000-587-7291-4"</f>
        <v>C55-000-587-7291-4</v>
      </c>
      <c r="AK894" t="str">
        <f>"13836"</f>
        <v>13836</v>
      </c>
      <c r="AL894">
        <v>4</v>
      </c>
      <c r="AM894">
        <v>1034</v>
      </c>
      <c r="AN894">
        <v>2046.85</v>
      </c>
      <c r="AQ894" t="s">
        <v>9306</v>
      </c>
      <c r="AR894" t="s">
        <v>9306</v>
      </c>
      <c r="AS894" t="s">
        <v>9306</v>
      </c>
      <c r="AU894" t="s">
        <v>396</v>
      </c>
      <c r="AV894">
        <v>2017</v>
      </c>
      <c r="AW894" t="str">
        <f>"33-2N-25-0000-0002-0000 "</f>
        <v xml:space="preserve">33-2N-25-0000-0002-0000 </v>
      </c>
      <c r="AX894">
        <v>541692</v>
      </c>
      <c r="AZ894" t="s">
        <v>7417</v>
      </c>
      <c r="BA894" t="s">
        <v>496</v>
      </c>
      <c r="BD894" t="s">
        <v>2785</v>
      </c>
      <c r="BE894" t="s">
        <v>393</v>
      </c>
      <c r="BF894">
        <v>32011</v>
      </c>
      <c r="BG894" t="s">
        <v>9307</v>
      </c>
      <c r="BH894" t="s">
        <v>2787</v>
      </c>
      <c r="BI894">
        <v>-81.800035463854599</v>
      </c>
      <c r="BJ894">
        <v>30.5524272663795</v>
      </c>
      <c r="BK894" t="s">
        <v>5969</v>
      </c>
      <c r="BM894" t="s">
        <v>5615</v>
      </c>
      <c r="BN894" t="s">
        <v>403</v>
      </c>
      <c r="BO894">
        <v>32046</v>
      </c>
      <c r="BP894" t="s">
        <v>404</v>
      </c>
      <c r="BQ894">
        <v>2800</v>
      </c>
      <c r="BR894" t="s">
        <v>4802</v>
      </c>
      <c r="BS894">
        <v>1109</v>
      </c>
      <c r="BT894" t="s">
        <v>4803</v>
      </c>
      <c r="BW894">
        <v>149846</v>
      </c>
      <c r="BX894" t="s">
        <v>407</v>
      </c>
      <c r="BY894" t="s">
        <v>408</v>
      </c>
      <c r="BZ894">
        <v>4</v>
      </c>
      <c r="CA894">
        <v>1940</v>
      </c>
      <c r="CB894">
        <v>1</v>
      </c>
      <c r="CC894">
        <v>4</v>
      </c>
      <c r="CD894">
        <v>2017</v>
      </c>
      <c r="CE894">
        <v>38700</v>
      </c>
      <c r="CF894">
        <v>84362</v>
      </c>
      <c r="CG894">
        <v>123062</v>
      </c>
      <c r="CH894">
        <v>2017</v>
      </c>
      <c r="CI894">
        <v>38700</v>
      </c>
      <c r="CJ894">
        <v>84362</v>
      </c>
      <c r="CK894">
        <v>123062</v>
      </c>
      <c r="CL894">
        <v>2017</v>
      </c>
      <c r="CM894">
        <v>1863.01</v>
      </c>
      <c r="CN894" s="1">
        <v>41858</v>
      </c>
      <c r="CO894">
        <v>44200</v>
      </c>
      <c r="CV894">
        <v>0</v>
      </c>
      <c r="CZ894" s="1">
        <v>41858</v>
      </c>
      <c r="DA894">
        <v>0</v>
      </c>
      <c r="DD894" t="s">
        <v>2785</v>
      </c>
      <c r="DG894">
        <v>33</v>
      </c>
      <c r="DL894">
        <v>50502</v>
      </c>
      <c r="DM894" t="s">
        <v>9308</v>
      </c>
      <c r="DO894" t="s">
        <v>9309</v>
      </c>
      <c r="DP894">
        <v>0</v>
      </c>
      <c r="DQ894">
        <v>0</v>
      </c>
      <c r="DR894" t="s">
        <v>411</v>
      </c>
      <c r="DS894" t="b">
        <v>1</v>
      </c>
      <c r="DT894" t="s">
        <v>470</v>
      </c>
      <c r="DU894" t="s">
        <v>471</v>
      </c>
      <c r="DV894" t="s">
        <v>472</v>
      </c>
      <c r="DX894">
        <v>-9999</v>
      </c>
      <c r="DZ894" t="s">
        <v>447</v>
      </c>
      <c r="EA894" t="s">
        <v>448</v>
      </c>
      <c r="EB894" t="s">
        <v>742</v>
      </c>
      <c r="EC894">
        <v>20101217</v>
      </c>
      <c r="ED894" t="s">
        <v>474</v>
      </c>
      <c r="EF894">
        <v>1584.7</v>
      </c>
      <c r="EG894">
        <v>1584.7</v>
      </c>
      <c r="EI894">
        <v>20160407</v>
      </c>
      <c r="EJ894">
        <v>0</v>
      </c>
      <c r="EK894">
        <v>0</v>
      </c>
      <c r="EP894" t="s">
        <v>421</v>
      </c>
      <c r="EQ894" t="s">
        <v>422</v>
      </c>
      <c r="ER894">
        <v>0</v>
      </c>
      <c r="ES894">
        <v>2</v>
      </c>
      <c r="ET894">
        <v>0</v>
      </c>
      <c r="EU894">
        <v>0</v>
      </c>
      <c r="EV894">
        <v>0</v>
      </c>
      <c r="EW894" s="2">
        <v>43222</v>
      </c>
      <c r="EX894" s="1">
        <v>42515</v>
      </c>
      <c r="EY894">
        <v>2015</v>
      </c>
      <c r="EZ894">
        <v>2088.64</v>
      </c>
      <c r="FA894" t="s">
        <v>9310</v>
      </c>
      <c r="FB894">
        <v>0.25</v>
      </c>
      <c r="FC894" t="s">
        <v>424</v>
      </c>
      <c r="FD894" t="s">
        <v>425</v>
      </c>
      <c r="FE894" s="1">
        <v>43188</v>
      </c>
      <c r="FF894">
        <v>22</v>
      </c>
      <c r="FG894">
        <v>11289</v>
      </c>
      <c r="FH894" t="s">
        <v>787</v>
      </c>
      <c r="FJ894" s="1">
        <v>42515</v>
      </c>
      <c r="FK894">
        <v>2015</v>
      </c>
      <c r="FL894">
        <v>2088.64</v>
      </c>
      <c r="FM894" t="s">
        <v>9310</v>
      </c>
      <c r="FN894">
        <v>0.25</v>
      </c>
      <c r="FO894" t="s">
        <v>424</v>
      </c>
      <c r="FP894" t="s">
        <v>425</v>
      </c>
      <c r="FR894">
        <v>22</v>
      </c>
      <c r="FS894">
        <v>7155193</v>
      </c>
      <c r="FT894" t="s">
        <v>9311</v>
      </c>
    </row>
    <row r="895" spans="1:272" x14ac:dyDescent="0.25">
      <c r="A895">
        <v>16485902</v>
      </c>
      <c r="B895">
        <v>894</v>
      </c>
      <c r="C895" t="s">
        <v>393</v>
      </c>
      <c r="D895" t="s">
        <v>394</v>
      </c>
      <c r="F895" t="str">
        <f>"33-2N-25-0000-0015-0190"</f>
        <v>33-2N-25-0000-0015-0190</v>
      </c>
      <c r="H895" t="str">
        <f>"AGUILAR JOSE LUIS"</f>
        <v>AGUILAR JOSE LUIS</v>
      </c>
      <c r="I895" t="str">
        <f>"541801 LEM TURNER RD"</f>
        <v>541801 LEM TURNER RD</v>
      </c>
      <c r="J895" t="str">
        <f>"CALLAHAN FL 32011"</f>
        <v>CALLAHAN FL 32011</v>
      </c>
      <c r="K895" t="str">
        <f>"44208 REBECCA LN"</f>
        <v>44208 REBECCA LN</v>
      </c>
      <c r="L895" t="str">
        <f t="shared" si="273"/>
        <v>CALLAHAN FL 32011</v>
      </c>
      <c r="M895" t="str">
        <f>"PT E1/2 OF SEC 33-2N-25E &amp; PT SE1/4 OF SEC 32-2N-25E IN OR 2008/1128 BEING PARCELS 1 2 &amp; 3 {R787687}"</f>
        <v>PT E1/2 OF SEC 33-2N-25E &amp; PT SE1/4 OF SEC 32-2N-25E IN OR 2008/1128 BEING PARCELS 1 2 &amp; 3 {R787687}</v>
      </c>
      <c r="N895" t="str">
        <f>""</f>
        <v/>
      </c>
      <c r="O895" t="str">
        <f>"40943"</f>
        <v>40943</v>
      </c>
      <c r="P895" t="str">
        <f t="shared" si="265"/>
        <v>2017</v>
      </c>
      <c r="Q895" t="str">
        <f>""</f>
        <v/>
      </c>
      <c r="R895" t="str">
        <f>"N"</f>
        <v>N</v>
      </c>
      <c r="S895" t="str">
        <f>"12.64"</f>
        <v>12.64</v>
      </c>
      <c r="T895" t="str">
        <f>"2098.23"</f>
        <v>2098.23</v>
      </c>
      <c r="U895" t="str">
        <f>"138599.00"</f>
        <v>138599.00</v>
      </c>
      <c r="V895" t="str">
        <f>"138599.00"</f>
        <v>138599.00</v>
      </c>
      <c r="W895" t="str">
        <f t="shared" si="266"/>
        <v>2017</v>
      </c>
      <c r="X895" t="str">
        <f>"1.00"</f>
        <v>1.00</v>
      </c>
      <c r="Y895" t="str">
        <f>"2193.18"</f>
        <v>2193.18</v>
      </c>
      <c r="Z895" t="str">
        <f>""</f>
        <v/>
      </c>
      <c r="AA895" t="str">
        <f>"138599.00"</f>
        <v>138599.00</v>
      </c>
      <c r="AB895" t="str">
        <f>"Residential"</f>
        <v>Residential</v>
      </c>
      <c r="AC895" t="str">
        <f t="shared" si="274"/>
        <v>0</v>
      </c>
      <c r="AD895" t="str">
        <f>"4"</f>
        <v>4</v>
      </c>
      <c r="AE895" t="str">
        <f>"WOOD (INCLUDE STEEL STUDS)"</f>
        <v>WOOD (INCLUDE STEEL STUDS)</v>
      </c>
      <c r="AF895" t="str">
        <f>"002"</f>
        <v>002</v>
      </c>
      <c r="AG895" t="str">
        <f t="shared" si="280"/>
        <v>FL</v>
      </c>
      <c r="AH895" t="str">
        <f>"550598.00"</f>
        <v>550598.00</v>
      </c>
      <c r="AI895" t="str">
        <f>"57487.00"</f>
        <v>57487.00</v>
      </c>
      <c r="AJ895" t="str">
        <f>"C55-000-587-7320-1"</f>
        <v>C55-000-587-7320-1</v>
      </c>
      <c r="AK895" t="str">
        <f>"13871"</f>
        <v>13871</v>
      </c>
      <c r="AL895">
        <v>4</v>
      </c>
      <c r="AM895">
        <v>1035</v>
      </c>
      <c r="AN895">
        <v>2301.2399999999998</v>
      </c>
      <c r="AQ895" t="s">
        <v>9312</v>
      </c>
      <c r="AR895" t="s">
        <v>9312</v>
      </c>
      <c r="AS895" t="s">
        <v>9312</v>
      </c>
      <c r="AU895" t="s">
        <v>396</v>
      </c>
      <c r="AV895">
        <v>2017</v>
      </c>
      <c r="AW895" t="str">
        <f>"33-2N-25-0000-0015-0190 "</f>
        <v xml:space="preserve">33-2N-25-0000-0015-0190 </v>
      </c>
      <c r="AX895">
        <v>44208</v>
      </c>
      <c r="AZ895" t="s">
        <v>9313</v>
      </c>
      <c r="BA895" t="s">
        <v>653</v>
      </c>
      <c r="BD895" t="s">
        <v>2785</v>
      </c>
      <c r="BE895" t="s">
        <v>393</v>
      </c>
      <c r="BF895">
        <v>32011</v>
      </c>
      <c r="BG895" t="s">
        <v>9314</v>
      </c>
      <c r="BH895" t="s">
        <v>2787</v>
      </c>
      <c r="BI895">
        <v>-81.814570223335807</v>
      </c>
      <c r="BJ895">
        <v>30.547502164228099</v>
      </c>
      <c r="BK895" t="s">
        <v>9315</v>
      </c>
      <c r="BM895" t="s">
        <v>9316</v>
      </c>
      <c r="BN895" t="s">
        <v>928</v>
      </c>
      <c r="BO895">
        <v>32011</v>
      </c>
      <c r="BP895" t="s">
        <v>404</v>
      </c>
      <c r="BQ895">
        <v>200</v>
      </c>
      <c r="BR895" t="s">
        <v>405</v>
      </c>
      <c r="BS895">
        <v>1006</v>
      </c>
      <c r="BT895" t="s">
        <v>406</v>
      </c>
      <c r="BW895">
        <v>550598</v>
      </c>
      <c r="BX895" t="s">
        <v>407</v>
      </c>
      <c r="BY895" t="s">
        <v>408</v>
      </c>
      <c r="BZ895">
        <v>4</v>
      </c>
      <c r="CA895">
        <v>1992</v>
      </c>
      <c r="CB895">
        <v>1</v>
      </c>
      <c r="CC895">
        <v>3</v>
      </c>
      <c r="CD895">
        <v>2017</v>
      </c>
      <c r="CE895">
        <v>57487</v>
      </c>
      <c r="CF895">
        <v>81112</v>
      </c>
      <c r="CG895">
        <v>138599</v>
      </c>
      <c r="CH895">
        <v>2017</v>
      </c>
      <c r="CI895">
        <v>57487</v>
      </c>
      <c r="CJ895">
        <v>81112</v>
      </c>
      <c r="CK895">
        <v>138599</v>
      </c>
      <c r="CL895">
        <v>2017</v>
      </c>
      <c r="CM895">
        <v>2098.23</v>
      </c>
      <c r="CN895" s="1">
        <v>42290</v>
      </c>
      <c r="CO895">
        <v>185000</v>
      </c>
      <c r="CV895">
        <v>150000</v>
      </c>
      <c r="CX895" t="s">
        <v>707</v>
      </c>
      <c r="CZ895" s="1">
        <v>42290</v>
      </c>
      <c r="DA895">
        <v>0</v>
      </c>
      <c r="DD895" t="s">
        <v>2785</v>
      </c>
      <c r="DG895">
        <v>33</v>
      </c>
      <c r="DL895">
        <v>50503</v>
      </c>
      <c r="DM895" t="s">
        <v>9308</v>
      </c>
      <c r="DO895" t="s">
        <v>9317</v>
      </c>
      <c r="DP895">
        <v>0</v>
      </c>
      <c r="DQ895">
        <v>0</v>
      </c>
      <c r="DR895" t="s">
        <v>411</v>
      </c>
      <c r="EP895" t="s">
        <v>421</v>
      </c>
      <c r="EQ895" t="s">
        <v>422</v>
      </c>
      <c r="ER895">
        <v>0</v>
      </c>
      <c r="ES895">
        <v>2</v>
      </c>
      <c r="ET895">
        <v>0</v>
      </c>
      <c r="EU895">
        <v>0</v>
      </c>
      <c r="EV895">
        <v>0</v>
      </c>
      <c r="EW895" s="2">
        <v>43222</v>
      </c>
      <c r="EX895" s="1">
        <v>42879</v>
      </c>
      <c r="EY895">
        <v>2016</v>
      </c>
      <c r="EZ895">
        <v>2166.2199999999998</v>
      </c>
      <c r="FA895" t="s">
        <v>9318</v>
      </c>
      <c r="FB895">
        <v>0.25</v>
      </c>
      <c r="FC895" t="s">
        <v>424</v>
      </c>
      <c r="FD895" t="s">
        <v>425</v>
      </c>
      <c r="FE895" s="1">
        <v>42907</v>
      </c>
      <c r="FF895">
        <v>1</v>
      </c>
      <c r="FG895">
        <v>11289</v>
      </c>
      <c r="FH895" t="s">
        <v>787</v>
      </c>
      <c r="FJ895" s="1">
        <v>42879</v>
      </c>
      <c r="FK895">
        <v>2016</v>
      </c>
      <c r="FL895">
        <v>2166.2199999999998</v>
      </c>
      <c r="FM895" t="s">
        <v>9318</v>
      </c>
      <c r="FN895">
        <v>0.25</v>
      </c>
      <c r="FO895" t="s">
        <v>424</v>
      </c>
      <c r="FP895" t="s">
        <v>425</v>
      </c>
      <c r="FR895">
        <v>22</v>
      </c>
      <c r="FS895">
        <v>7321128</v>
      </c>
      <c r="FT895" t="s">
        <v>9319</v>
      </c>
    </row>
    <row r="896" spans="1:272" x14ac:dyDescent="0.25">
      <c r="A896">
        <v>16485903</v>
      </c>
      <c r="B896">
        <v>895</v>
      </c>
      <c r="C896" t="s">
        <v>393</v>
      </c>
      <c r="D896" t="s">
        <v>394</v>
      </c>
      <c r="F896" t="str">
        <f>"33-2N-25-0000-0015-0200"</f>
        <v>33-2N-25-0000-0015-0200</v>
      </c>
      <c r="H896" t="str">
        <f>"DON CARTER PLUMBING INC"</f>
        <v>DON CARTER PLUMBING INC</v>
      </c>
      <c r="I896" t="str">
        <f>"PO BOX 735"</f>
        <v>PO BOX 735</v>
      </c>
      <c r="J896" t="str">
        <f>"CALLAHAN FL 32011"</f>
        <v>CALLAHAN FL 32011</v>
      </c>
      <c r="K896" t="str">
        <f>"US HWY 1"</f>
        <v>US HWY 1</v>
      </c>
      <c r="L896" t="str">
        <f t="shared" si="273"/>
        <v>CALLAHAN FL 32011</v>
      </c>
      <c r="M896" t="str">
        <f>"PT SW1/4 OF SEC 33-2N-25E IN OR 2012/1524 BEING EXHIBIT C"</f>
        <v>PT SW1/4 OF SEC 33-2N-25E IN OR 2012/1524 BEING EXHIBIT C</v>
      </c>
      <c r="N896" t="str">
        <f>""</f>
        <v/>
      </c>
      <c r="O896" t="str">
        <f>"40944"</f>
        <v>40944</v>
      </c>
      <c r="P896" t="str">
        <f t="shared" si="265"/>
        <v>2017</v>
      </c>
      <c r="Q896" t="str">
        <f>""</f>
        <v/>
      </c>
      <c r="R896" t="str">
        <f>"N"</f>
        <v>N</v>
      </c>
      <c r="S896" t="str">
        <f>""</f>
        <v/>
      </c>
      <c r="T896" t="str">
        <f>"1015.55"</f>
        <v>1015.55</v>
      </c>
      <c r="U896" t="str">
        <f>"67082.00"</f>
        <v>67082.00</v>
      </c>
      <c r="V896" t="str">
        <f>"67082.00"</f>
        <v>67082.00</v>
      </c>
      <c r="W896" t="str">
        <f t="shared" si="266"/>
        <v>2017</v>
      </c>
      <c r="X896" t="str">
        <f>"17.88"</f>
        <v>17.88</v>
      </c>
      <c r="Y896" t="str">
        <f>"1078.02"</f>
        <v>1078.02</v>
      </c>
      <c r="Z896" t="str">
        <f>""</f>
        <v/>
      </c>
      <c r="AA896" t="str">
        <f>"67082.00"</f>
        <v>67082.00</v>
      </c>
      <c r="AB896" t="str">
        <f>"Commercial"</f>
        <v>Commercial</v>
      </c>
      <c r="AC896" t="str">
        <f t="shared" si="274"/>
        <v>0</v>
      </c>
      <c r="AD896" t="str">
        <f>""</f>
        <v/>
      </c>
      <c r="AE896" t="str">
        <f>""</f>
        <v/>
      </c>
      <c r="AF896" t="str">
        <f>"010"</f>
        <v>010</v>
      </c>
      <c r="AG896" t="str">
        <f t="shared" si="280"/>
        <v>FL</v>
      </c>
      <c r="AH896" t="str">
        <f>"134164.00"</f>
        <v>134164.00</v>
      </c>
      <c r="AI896" t="str">
        <f>"67082.00"</f>
        <v>67082.00</v>
      </c>
      <c r="AJ896" t="str">
        <f>"C55-000-587-7321-9"</f>
        <v>C55-000-587-7321-9</v>
      </c>
      <c r="AK896" t="str">
        <f>"13872"</f>
        <v>13872</v>
      </c>
      <c r="AL896">
        <v>4</v>
      </c>
      <c r="AM896">
        <v>1036</v>
      </c>
      <c r="AN896">
        <v>1130.32</v>
      </c>
      <c r="AQ896" t="s">
        <v>9320</v>
      </c>
      <c r="AR896" t="s">
        <v>9320</v>
      </c>
      <c r="AS896" t="s">
        <v>9320</v>
      </c>
      <c r="AU896" t="s">
        <v>396</v>
      </c>
      <c r="AV896">
        <v>2017</v>
      </c>
      <c r="AW896" t="str">
        <f>"33-2N-25-0000-0015-0200 "</f>
        <v xml:space="preserve">33-2N-25-0000-0015-0200 </v>
      </c>
      <c r="AZ896" t="s">
        <v>2386</v>
      </c>
      <c r="BD896" t="s">
        <v>2785</v>
      </c>
      <c r="BE896" t="s">
        <v>393</v>
      </c>
      <c r="BF896">
        <v>32011</v>
      </c>
      <c r="BG896" t="s">
        <v>2386</v>
      </c>
      <c r="BH896" t="s">
        <v>2787</v>
      </c>
      <c r="BI896">
        <v>-81.813014873510994</v>
      </c>
      <c r="BJ896">
        <v>30.542218901552499</v>
      </c>
      <c r="BK896" t="s">
        <v>9321</v>
      </c>
      <c r="BM896" t="s">
        <v>9322</v>
      </c>
      <c r="BN896" t="s">
        <v>928</v>
      </c>
      <c r="BO896">
        <v>32011</v>
      </c>
      <c r="BP896" t="s">
        <v>404</v>
      </c>
      <c r="BQ896">
        <v>1000</v>
      </c>
      <c r="BR896" t="s">
        <v>2391</v>
      </c>
      <c r="BS896">
        <v>8002</v>
      </c>
      <c r="BT896" t="s">
        <v>2392</v>
      </c>
      <c r="BW896">
        <v>255819</v>
      </c>
      <c r="BX896" t="s">
        <v>407</v>
      </c>
      <c r="BY896" t="s">
        <v>2221</v>
      </c>
      <c r="CD896">
        <v>2017</v>
      </c>
      <c r="CE896">
        <v>67082</v>
      </c>
      <c r="CG896">
        <v>67082</v>
      </c>
      <c r="CH896">
        <v>2017</v>
      </c>
      <c r="CI896">
        <v>67082</v>
      </c>
      <c r="CK896">
        <v>67082</v>
      </c>
      <c r="CL896">
        <v>2017</v>
      </c>
      <c r="CM896">
        <v>1015.55</v>
      </c>
      <c r="CN896" s="1">
        <v>38622</v>
      </c>
      <c r="CO896">
        <v>100000</v>
      </c>
      <c r="CV896">
        <v>90525</v>
      </c>
      <c r="CX896" t="s">
        <v>707</v>
      </c>
      <c r="CZ896" s="1">
        <v>38622</v>
      </c>
      <c r="DA896">
        <v>0</v>
      </c>
      <c r="DD896" t="s">
        <v>2785</v>
      </c>
      <c r="DG896">
        <v>33</v>
      </c>
      <c r="DL896">
        <v>50503</v>
      </c>
      <c r="DM896" t="s">
        <v>9308</v>
      </c>
      <c r="DO896" t="s">
        <v>9323</v>
      </c>
      <c r="DP896">
        <v>0</v>
      </c>
      <c r="DQ896">
        <v>0</v>
      </c>
      <c r="DR896" t="s">
        <v>411</v>
      </c>
      <c r="DS896" t="b">
        <v>1</v>
      </c>
      <c r="DT896" t="s">
        <v>396</v>
      </c>
      <c r="DV896" t="s">
        <v>446</v>
      </c>
      <c r="DX896">
        <v>-9999</v>
      </c>
      <c r="DZ896" t="s">
        <v>447</v>
      </c>
      <c r="EA896" t="s">
        <v>448</v>
      </c>
      <c r="EB896" t="s">
        <v>9324</v>
      </c>
      <c r="EC896">
        <v>20101217</v>
      </c>
      <c r="ED896" t="s">
        <v>450</v>
      </c>
      <c r="EE896">
        <v>15.8</v>
      </c>
      <c r="EF896">
        <v>0</v>
      </c>
      <c r="EG896">
        <v>0</v>
      </c>
      <c r="EI896">
        <v>20160407</v>
      </c>
      <c r="EJ896">
        <v>0</v>
      </c>
      <c r="EK896">
        <v>0</v>
      </c>
      <c r="EP896" t="s">
        <v>421</v>
      </c>
      <c r="EQ896" t="s">
        <v>422</v>
      </c>
      <c r="ER896">
        <v>0</v>
      </c>
      <c r="ES896">
        <v>8</v>
      </c>
      <c r="ET896">
        <v>0</v>
      </c>
      <c r="EU896">
        <v>0</v>
      </c>
      <c r="EV896">
        <v>0</v>
      </c>
      <c r="EW896" s="2">
        <v>43222</v>
      </c>
      <c r="EX896" s="1">
        <v>42879</v>
      </c>
      <c r="EY896">
        <v>2016</v>
      </c>
      <c r="EZ896">
        <v>1140.69</v>
      </c>
      <c r="FA896" t="s">
        <v>9325</v>
      </c>
      <c r="FB896">
        <v>0.25</v>
      </c>
      <c r="FC896" t="s">
        <v>424</v>
      </c>
      <c r="FD896" t="s">
        <v>425</v>
      </c>
      <c r="FE896" s="1">
        <v>43112</v>
      </c>
      <c r="FF896">
        <v>8</v>
      </c>
      <c r="FG896">
        <v>7336671</v>
      </c>
      <c r="FH896" t="s">
        <v>437</v>
      </c>
      <c r="FJ896" s="1">
        <v>42879</v>
      </c>
      <c r="FK896">
        <v>2016</v>
      </c>
      <c r="FL896">
        <v>1140.69</v>
      </c>
      <c r="FM896" t="s">
        <v>9325</v>
      </c>
      <c r="FN896">
        <v>0.25</v>
      </c>
      <c r="FO896" t="s">
        <v>424</v>
      </c>
      <c r="FP896" t="s">
        <v>425</v>
      </c>
      <c r="FR896">
        <v>22</v>
      </c>
      <c r="FS896">
        <v>7010512</v>
      </c>
      <c r="FT896" t="s">
        <v>9326</v>
      </c>
      <c r="FV896" s="1">
        <v>42515</v>
      </c>
      <c r="FW896">
        <v>2015</v>
      </c>
      <c r="FX896">
        <v>1162.75</v>
      </c>
      <c r="FY896" t="s">
        <v>9327</v>
      </c>
      <c r="FZ896">
        <v>4.75</v>
      </c>
      <c r="GA896" t="s">
        <v>424</v>
      </c>
      <c r="GB896" t="s">
        <v>425</v>
      </c>
      <c r="GC896" s="1">
        <v>43080</v>
      </c>
      <c r="GD896">
        <v>19</v>
      </c>
      <c r="GE896">
        <v>2035919</v>
      </c>
      <c r="GF896" t="s">
        <v>507</v>
      </c>
      <c r="GH896" s="1">
        <v>42151</v>
      </c>
      <c r="GI896">
        <v>2014</v>
      </c>
      <c r="GJ896">
        <v>1168.51</v>
      </c>
      <c r="GK896" t="s">
        <v>9328</v>
      </c>
      <c r="GL896">
        <v>4.75</v>
      </c>
      <c r="GM896" t="s">
        <v>424</v>
      </c>
      <c r="GN896" t="s">
        <v>425</v>
      </c>
      <c r="GO896" s="1">
        <v>42754</v>
      </c>
      <c r="GP896">
        <v>20</v>
      </c>
      <c r="GQ896">
        <v>4975593</v>
      </c>
      <c r="GR896" t="s">
        <v>505</v>
      </c>
      <c r="GT896" s="1">
        <v>41787</v>
      </c>
      <c r="GU896">
        <v>2013</v>
      </c>
      <c r="GV896">
        <v>1107.2</v>
      </c>
      <c r="GW896" t="s">
        <v>9329</v>
      </c>
      <c r="GX896">
        <v>6.75</v>
      </c>
      <c r="GY896" t="s">
        <v>424</v>
      </c>
      <c r="GZ896" t="s">
        <v>425</v>
      </c>
      <c r="HA896" s="1">
        <v>42401</v>
      </c>
      <c r="HB896">
        <v>21</v>
      </c>
      <c r="HC896">
        <v>2035919</v>
      </c>
      <c r="HD896" t="s">
        <v>507</v>
      </c>
      <c r="HF896" s="1">
        <v>41423</v>
      </c>
      <c r="HG896">
        <v>2012</v>
      </c>
      <c r="HH896">
        <v>2166.08</v>
      </c>
      <c r="HI896" t="s">
        <v>9330</v>
      </c>
      <c r="HJ896">
        <v>2.5</v>
      </c>
      <c r="HK896" t="s">
        <v>424</v>
      </c>
      <c r="HL896" t="s">
        <v>425</v>
      </c>
      <c r="HM896" s="1">
        <v>42037</v>
      </c>
      <c r="HN896">
        <v>21</v>
      </c>
      <c r="HO896">
        <v>10125</v>
      </c>
      <c r="HP896" t="s">
        <v>440</v>
      </c>
      <c r="HR896" s="1">
        <v>41052</v>
      </c>
      <c r="HS896">
        <v>2011</v>
      </c>
      <c r="HT896">
        <v>2195.61</v>
      </c>
      <c r="HU896" t="s">
        <v>9331</v>
      </c>
      <c r="HV896">
        <v>6</v>
      </c>
      <c r="HW896" t="s">
        <v>424</v>
      </c>
      <c r="HX896" t="s">
        <v>425</v>
      </c>
      <c r="HY896" s="1">
        <v>41701</v>
      </c>
      <c r="HZ896">
        <v>22</v>
      </c>
      <c r="IA896">
        <v>375</v>
      </c>
      <c r="IB896" t="s">
        <v>776</v>
      </c>
      <c r="ID896" s="1">
        <v>40688</v>
      </c>
      <c r="IE896">
        <v>2010</v>
      </c>
      <c r="IF896">
        <v>2195.6799999999998</v>
      </c>
      <c r="IG896" t="s">
        <v>9332</v>
      </c>
      <c r="IH896">
        <v>7.75</v>
      </c>
      <c r="II896" t="s">
        <v>424</v>
      </c>
      <c r="IJ896" t="s">
        <v>425</v>
      </c>
      <c r="IK896" s="1">
        <v>41330</v>
      </c>
      <c r="IL896">
        <v>21</v>
      </c>
      <c r="IM896">
        <v>11064</v>
      </c>
      <c r="IN896" t="s">
        <v>6946</v>
      </c>
    </row>
    <row r="897" spans="1:249" x14ac:dyDescent="0.25">
      <c r="A897">
        <v>16485904</v>
      </c>
      <c r="B897">
        <v>896</v>
      </c>
      <c r="C897" t="s">
        <v>393</v>
      </c>
      <c r="D897" t="s">
        <v>394</v>
      </c>
      <c r="F897" t="str">
        <f>"34-2N-25-0000-0001-0090"</f>
        <v>34-2N-25-0000-0001-0090</v>
      </c>
      <c r="H897" t="str">
        <f>"TURNING LEAF HOMEOWNERS ASSC (OF NASSAU COUNTY) INC"</f>
        <v>TURNING LEAF HOMEOWNERS ASSC (OF NASSAU COUNTY) INC</v>
      </c>
      <c r="I897" t="str">
        <f>"11555 CENTRAL PKWY STE 801"</f>
        <v>11555 CENTRAL PKWY STE 801</v>
      </c>
      <c r="J897" t="str">
        <f>"JACKSONVILLE FL 32224"</f>
        <v>JACKSONVILLE FL 32224</v>
      </c>
      <c r="K897" t="str">
        <f>"LEM TURNER RD"</f>
        <v>LEM TURNER RD</v>
      </c>
      <c r="L897" t="str">
        <f t="shared" si="273"/>
        <v>CALLAHAN FL 32011</v>
      </c>
      <c r="M897" t="str">
        <f>"IN OR 2040/1187 EX TURNING LEAF PB 7/275-279"</f>
        <v>IN OR 2040/1187 EX TURNING LEAF PB 7/275-279</v>
      </c>
      <c r="N897" t="str">
        <f>""</f>
        <v/>
      </c>
      <c r="O897" t="str">
        <f>"41286"</f>
        <v>41286</v>
      </c>
      <c r="P897" t="str">
        <f t="shared" si="265"/>
        <v>2017</v>
      </c>
      <c r="Q897" t="str">
        <f>""</f>
        <v/>
      </c>
      <c r="R897" t="str">
        <f>"N"</f>
        <v>N</v>
      </c>
      <c r="S897" t="str">
        <f>"0.03"</f>
        <v>0.03</v>
      </c>
      <c r="T897" t="str">
        <f>"6.81"</f>
        <v>6.81</v>
      </c>
      <c r="U897" t="str">
        <f>"450.00"</f>
        <v>450.00</v>
      </c>
      <c r="V897" t="str">
        <f>"450.00"</f>
        <v>450.00</v>
      </c>
      <c r="W897" t="str">
        <f t="shared" si="266"/>
        <v>2017</v>
      </c>
      <c r="X897" t="str">
        <f>"17.67"</f>
        <v>17.67</v>
      </c>
      <c r="Y897" t="str">
        <f>"39.01"</f>
        <v>39.01</v>
      </c>
      <c r="Z897" t="str">
        <f>""</f>
        <v/>
      </c>
      <c r="AA897" t="str">
        <f>"450.00"</f>
        <v>450.00</v>
      </c>
      <c r="AB897" t="str">
        <f t="shared" ref="AB897:AB916" si="282">"Residential"</f>
        <v>Residential</v>
      </c>
      <c r="AC897" t="str">
        <f t="shared" si="274"/>
        <v>0</v>
      </c>
      <c r="AD897" t="str">
        <f>""</f>
        <v/>
      </c>
      <c r="AE897" t="str">
        <f>""</f>
        <v/>
      </c>
      <c r="AF897" t="str">
        <f>"000"</f>
        <v>000</v>
      </c>
      <c r="AG897" t="str">
        <f t="shared" si="280"/>
        <v>FL</v>
      </c>
      <c r="AH897" t="str">
        <f>"1306.00"</f>
        <v>1306.00</v>
      </c>
      <c r="AI897" t="str">
        <f>"450.00"</f>
        <v>450.00</v>
      </c>
      <c r="AJ897" t="str">
        <f>"C55-000-969-7666-7"</f>
        <v>C55-000-969-7666-7</v>
      </c>
      <c r="AK897" t="str">
        <f>"13913"</f>
        <v>13913</v>
      </c>
      <c r="AL897">
        <v>4</v>
      </c>
      <c r="AM897">
        <v>1037</v>
      </c>
      <c r="AN897">
        <v>39.36</v>
      </c>
      <c r="AQ897" t="s">
        <v>9333</v>
      </c>
      <c r="AR897" t="s">
        <v>9333</v>
      </c>
      <c r="AS897" t="s">
        <v>9333</v>
      </c>
      <c r="AU897" t="s">
        <v>396</v>
      </c>
      <c r="AV897">
        <v>2017</v>
      </c>
      <c r="AW897" t="str">
        <f>"34-2N-25-0000-0001-0090 "</f>
        <v xml:space="preserve">34-2N-25-0000-0001-0090 </v>
      </c>
      <c r="AZ897" t="s">
        <v>7417</v>
      </c>
      <c r="BA897" t="s">
        <v>496</v>
      </c>
      <c r="BD897" t="s">
        <v>2785</v>
      </c>
      <c r="BE897" t="s">
        <v>393</v>
      </c>
      <c r="BF897">
        <v>32011</v>
      </c>
      <c r="BG897" t="s">
        <v>9334</v>
      </c>
      <c r="BH897" t="s">
        <v>2787</v>
      </c>
      <c r="BI897">
        <v>-81.799714649817702</v>
      </c>
      <c r="BJ897">
        <v>30.551086404882899</v>
      </c>
      <c r="BK897" t="s">
        <v>9335</v>
      </c>
      <c r="BM897" t="s">
        <v>9336</v>
      </c>
      <c r="BN897" t="s">
        <v>548</v>
      </c>
      <c r="BO897">
        <v>32224</v>
      </c>
      <c r="BP897" t="s">
        <v>404</v>
      </c>
      <c r="BQ897">
        <v>0</v>
      </c>
      <c r="BR897" t="s">
        <v>491</v>
      </c>
      <c r="BS897">
        <v>8001</v>
      </c>
      <c r="BT897" t="s">
        <v>492</v>
      </c>
      <c r="BW897">
        <v>1306</v>
      </c>
      <c r="BX897" t="s">
        <v>407</v>
      </c>
      <c r="BY897" t="s">
        <v>408</v>
      </c>
      <c r="CD897">
        <v>2017</v>
      </c>
      <c r="CE897">
        <v>450</v>
      </c>
      <c r="CG897">
        <v>450</v>
      </c>
      <c r="CH897">
        <v>2017</v>
      </c>
      <c r="CI897">
        <v>450</v>
      </c>
      <c r="CK897">
        <v>450</v>
      </c>
      <c r="CL897">
        <v>2017</v>
      </c>
      <c r="CM897">
        <v>6.81</v>
      </c>
      <c r="CN897" s="1">
        <v>42457</v>
      </c>
      <c r="CZ897" s="1">
        <v>42457</v>
      </c>
      <c r="DD897" t="s">
        <v>2785</v>
      </c>
      <c r="DG897">
        <v>34</v>
      </c>
      <c r="DJ897" t="s">
        <v>9337</v>
      </c>
      <c r="DL897">
        <v>50502</v>
      </c>
      <c r="DM897" t="s">
        <v>9338</v>
      </c>
      <c r="DO897" t="s">
        <v>9339</v>
      </c>
      <c r="DP897">
        <v>0</v>
      </c>
      <c r="DQ897">
        <v>0</v>
      </c>
      <c r="DR897" t="s">
        <v>411</v>
      </c>
      <c r="DS897" t="b">
        <v>1</v>
      </c>
      <c r="DT897" t="s">
        <v>470</v>
      </c>
      <c r="DU897" t="s">
        <v>471</v>
      </c>
      <c r="DV897" t="s">
        <v>472</v>
      </c>
      <c r="DX897">
        <v>-9999</v>
      </c>
      <c r="DZ897" t="s">
        <v>447</v>
      </c>
      <c r="EA897" t="s">
        <v>448</v>
      </c>
      <c r="EB897" t="s">
        <v>742</v>
      </c>
      <c r="EC897">
        <v>20101217</v>
      </c>
      <c r="ED897" t="s">
        <v>474</v>
      </c>
      <c r="EF897">
        <v>1993.3</v>
      </c>
      <c r="EG897">
        <v>1993.3</v>
      </c>
      <c r="EI897">
        <v>20160407</v>
      </c>
      <c r="EJ897">
        <v>0</v>
      </c>
      <c r="EK897">
        <v>0</v>
      </c>
      <c r="EP897" t="s">
        <v>595</v>
      </c>
      <c r="EQ897" t="s">
        <v>422</v>
      </c>
      <c r="ER897">
        <v>4</v>
      </c>
      <c r="ES897">
        <v>4</v>
      </c>
      <c r="ET897">
        <v>135.55000000000001</v>
      </c>
      <c r="EU897">
        <v>60.72</v>
      </c>
      <c r="EV897">
        <v>196.27</v>
      </c>
      <c r="EW897" s="2">
        <v>43222</v>
      </c>
      <c r="EX897" s="1">
        <v>42879</v>
      </c>
      <c r="EY897">
        <v>2016</v>
      </c>
      <c r="EZ897">
        <v>32.96</v>
      </c>
      <c r="FA897" t="s">
        <v>9340</v>
      </c>
      <c r="FB897">
        <v>18</v>
      </c>
      <c r="FC897" t="s">
        <v>603</v>
      </c>
      <c r="FD897" t="s">
        <v>454</v>
      </c>
      <c r="FF897">
        <v>12</v>
      </c>
      <c r="FG897">
        <v>9999999</v>
      </c>
      <c r="FH897" t="s">
        <v>604</v>
      </c>
      <c r="FJ897" s="1">
        <v>42879</v>
      </c>
      <c r="FK897">
        <v>2016</v>
      </c>
      <c r="FL897">
        <v>39.700000000000003</v>
      </c>
      <c r="FM897" t="s">
        <v>9340</v>
      </c>
      <c r="FN897">
        <v>18</v>
      </c>
      <c r="FO897" t="s">
        <v>424</v>
      </c>
      <c r="FP897" t="s">
        <v>454</v>
      </c>
      <c r="FR897">
        <v>12</v>
      </c>
      <c r="FS897">
        <v>7336669</v>
      </c>
      <c r="FT897" t="s">
        <v>2230</v>
      </c>
      <c r="FV897" s="1">
        <v>42515</v>
      </c>
      <c r="FW897">
        <v>2015</v>
      </c>
      <c r="FX897">
        <v>28.11</v>
      </c>
      <c r="FY897" t="s">
        <v>9341</v>
      </c>
      <c r="FZ897">
        <v>18</v>
      </c>
      <c r="GA897" t="s">
        <v>603</v>
      </c>
      <c r="GB897" t="s">
        <v>454</v>
      </c>
      <c r="GD897">
        <v>24</v>
      </c>
      <c r="GE897">
        <v>9999999</v>
      </c>
      <c r="GF897" t="s">
        <v>604</v>
      </c>
      <c r="GH897" s="1">
        <v>42515</v>
      </c>
      <c r="GI897">
        <v>2015</v>
      </c>
      <c r="GJ897">
        <v>34.78</v>
      </c>
      <c r="GK897" t="s">
        <v>9341</v>
      </c>
      <c r="GL897">
        <v>18</v>
      </c>
      <c r="GM897" t="s">
        <v>424</v>
      </c>
      <c r="GN897" t="s">
        <v>454</v>
      </c>
      <c r="GP897">
        <v>24</v>
      </c>
      <c r="GQ897">
        <v>4844951</v>
      </c>
      <c r="GR897" t="s">
        <v>697</v>
      </c>
      <c r="GT897" s="1">
        <v>41423</v>
      </c>
      <c r="GU897">
        <v>2012</v>
      </c>
      <c r="GV897">
        <v>29.37</v>
      </c>
      <c r="GW897" t="s">
        <v>9342</v>
      </c>
      <c r="GX897">
        <v>10</v>
      </c>
      <c r="GY897" t="s">
        <v>424</v>
      </c>
      <c r="GZ897" t="s">
        <v>425</v>
      </c>
      <c r="HA897" s="1">
        <v>41751</v>
      </c>
      <c r="HB897">
        <v>11</v>
      </c>
      <c r="HC897">
        <v>1109</v>
      </c>
      <c r="HD897" t="s">
        <v>852</v>
      </c>
      <c r="HF897" s="1">
        <v>41052</v>
      </c>
      <c r="HG897">
        <v>2011</v>
      </c>
      <c r="HH897">
        <v>28.42</v>
      </c>
      <c r="HI897" t="s">
        <v>9343</v>
      </c>
      <c r="HJ897">
        <v>18</v>
      </c>
      <c r="HK897" t="s">
        <v>424</v>
      </c>
      <c r="HL897" t="s">
        <v>425</v>
      </c>
      <c r="HM897" s="1">
        <v>41690</v>
      </c>
      <c r="HN897">
        <v>21</v>
      </c>
      <c r="HO897">
        <v>15163</v>
      </c>
      <c r="HP897" t="s">
        <v>5790</v>
      </c>
      <c r="HR897" s="1">
        <v>41052</v>
      </c>
      <c r="HS897">
        <v>2011</v>
      </c>
      <c r="HT897">
        <v>21.52</v>
      </c>
      <c r="HU897" t="s">
        <v>9343</v>
      </c>
      <c r="HV897">
        <v>18</v>
      </c>
      <c r="HW897" t="s">
        <v>603</v>
      </c>
      <c r="HX897" t="s">
        <v>425</v>
      </c>
      <c r="HZ897">
        <v>22</v>
      </c>
      <c r="IA897">
        <v>9999999</v>
      </c>
      <c r="IB897" t="s">
        <v>604</v>
      </c>
      <c r="ID897" s="1">
        <v>40688</v>
      </c>
      <c r="IE897">
        <v>2010</v>
      </c>
      <c r="IF897">
        <v>20.56</v>
      </c>
      <c r="IG897" t="s">
        <v>9344</v>
      </c>
      <c r="IH897">
        <v>8.75</v>
      </c>
      <c r="II897" t="s">
        <v>424</v>
      </c>
      <c r="IJ897" t="s">
        <v>425</v>
      </c>
      <c r="IK897" s="1">
        <v>41327</v>
      </c>
      <c r="IL897">
        <v>21</v>
      </c>
      <c r="IM897">
        <v>105</v>
      </c>
      <c r="IN897" t="s">
        <v>946</v>
      </c>
    </row>
    <row r="898" spans="1:249" x14ac:dyDescent="0.25">
      <c r="A898">
        <v>16485905</v>
      </c>
      <c r="B898">
        <v>897</v>
      </c>
      <c r="C898" t="s">
        <v>393</v>
      </c>
      <c r="D898" t="s">
        <v>394</v>
      </c>
      <c r="F898" t="str">
        <f>"34-2N-25-0000-0008-0030"</f>
        <v>34-2N-25-0000-0008-0030</v>
      </c>
      <c r="H898" t="str">
        <f>"POTZER CHRISTY LEE WHITLEY"</f>
        <v>POTZER CHRISTY LEE WHITLEY</v>
      </c>
      <c r="I898" t="str">
        <f>"54482 WILBUR JONES ROAD"</f>
        <v>54482 WILBUR JONES ROAD</v>
      </c>
      <c r="J898" t="str">
        <f>"CALLAHAN FL 32011"</f>
        <v>CALLAHAN FL 32011</v>
      </c>
      <c r="K898" t="str">
        <f>"54482 WILBUR JONES RD"</f>
        <v>54482 WILBUR JONES RD</v>
      </c>
      <c r="L898" t="str">
        <f t="shared" si="273"/>
        <v>CALLAHAN FL 32011</v>
      </c>
      <c r="M898" t="str">
        <f>"IN OR 1354/1965 1998 REDMAN DW/MH"</f>
        <v>IN OR 1354/1965 1998 REDMAN DW/MH</v>
      </c>
      <c r="N898" t="str">
        <f>""</f>
        <v/>
      </c>
      <c r="O898" t="str">
        <f>"41296"</f>
        <v>41296</v>
      </c>
      <c r="P898" t="str">
        <f t="shared" ref="P898:P961" si="283">"2017"</f>
        <v>2017</v>
      </c>
      <c r="Q898" t="str">
        <f>""</f>
        <v/>
      </c>
      <c r="R898" t="str">
        <f>"Y"</f>
        <v>Y</v>
      </c>
      <c r="S898" t="str">
        <f>"1.00"</f>
        <v>1.00</v>
      </c>
      <c r="T898" t="str">
        <f>"321.31"</f>
        <v>321.31</v>
      </c>
      <c r="U898" t="str">
        <f>"46225.00"</f>
        <v>46225.00</v>
      </c>
      <c r="V898" t="str">
        <f>"46225.00"</f>
        <v>46225.00</v>
      </c>
      <c r="W898" t="str">
        <f t="shared" ref="W898:W961" si="284">"2017"</f>
        <v>2017</v>
      </c>
      <c r="X898" t="str">
        <f>"17.00"</f>
        <v>17.00</v>
      </c>
      <c r="Y898" t="str">
        <f>"362.95"</f>
        <v>362.95</v>
      </c>
      <c r="Z898" t="str">
        <f>"25000.00"</f>
        <v>25000.00</v>
      </c>
      <c r="AA898" t="str">
        <f>"21225.00"</f>
        <v>21225.00</v>
      </c>
      <c r="AB898" t="str">
        <f t="shared" si="282"/>
        <v>Residential</v>
      </c>
      <c r="AC898" t="str">
        <f t="shared" si="274"/>
        <v>0</v>
      </c>
      <c r="AD898" t="str">
        <f>"4"</f>
        <v>4</v>
      </c>
      <c r="AE898" t="str">
        <f>"WOOD (INCLUDE STEEL STUDS)"</f>
        <v>WOOD (INCLUDE STEEL STUDS)</v>
      </c>
      <c r="AF898" t="str">
        <f>"002"</f>
        <v>002</v>
      </c>
      <c r="AG898" t="str">
        <f t="shared" si="280"/>
        <v>FL</v>
      </c>
      <c r="AH898" t="str">
        <f>"43560.00"</f>
        <v>43560.00</v>
      </c>
      <c r="AI898" t="str">
        <f>"15000.00"</f>
        <v>15000.00</v>
      </c>
      <c r="AJ898" t="str">
        <f>"C55-000-587-7550-3"</f>
        <v>C55-000-587-7550-3</v>
      </c>
      <c r="AK898" t="str">
        <f>"13922"</f>
        <v>13922</v>
      </c>
      <c r="AL898">
        <v>4</v>
      </c>
      <c r="AM898">
        <v>1038</v>
      </c>
      <c r="AN898">
        <v>379.5</v>
      </c>
      <c r="AQ898" t="s">
        <v>9345</v>
      </c>
      <c r="AR898" t="s">
        <v>9345</v>
      </c>
      <c r="AS898" t="s">
        <v>9345</v>
      </c>
      <c r="AU898" t="s">
        <v>396</v>
      </c>
      <c r="AV898">
        <v>2017</v>
      </c>
      <c r="AW898" t="str">
        <f>"34-2N-25-0000-0008-0030 "</f>
        <v xml:space="preserve">34-2N-25-0000-0008-0030 </v>
      </c>
      <c r="AX898">
        <v>54482</v>
      </c>
      <c r="AZ898" t="s">
        <v>9346</v>
      </c>
      <c r="BA898" t="s">
        <v>496</v>
      </c>
      <c r="BD898" t="s">
        <v>2785</v>
      </c>
      <c r="BE898" t="s">
        <v>393</v>
      </c>
      <c r="BF898">
        <v>32011</v>
      </c>
      <c r="BG898" t="s">
        <v>9347</v>
      </c>
      <c r="BH898" t="s">
        <v>2787</v>
      </c>
      <c r="BI898">
        <v>-81.7967802745857</v>
      </c>
      <c r="BJ898">
        <v>30.5471477782189</v>
      </c>
      <c r="BK898" t="s">
        <v>9348</v>
      </c>
      <c r="BM898" t="s">
        <v>9347</v>
      </c>
      <c r="BN898" t="s">
        <v>928</v>
      </c>
      <c r="BO898">
        <v>32011</v>
      </c>
      <c r="BP898" t="s">
        <v>416</v>
      </c>
      <c r="BQ898">
        <v>200</v>
      </c>
      <c r="BR898" t="s">
        <v>405</v>
      </c>
      <c r="BS898">
        <v>1006</v>
      </c>
      <c r="BT898" t="s">
        <v>406</v>
      </c>
      <c r="BW898">
        <v>43560</v>
      </c>
      <c r="BX898" t="s">
        <v>407</v>
      </c>
      <c r="BZ898">
        <v>4</v>
      </c>
      <c r="CA898">
        <v>1998</v>
      </c>
      <c r="CB898">
        <v>1</v>
      </c>
      <c r="CC898">
        <v>1</v>
      </c>
      <c r="CD898">
        <v>2017</v>
      </c>
      <c r="CG898">
        <v>46225</v>
      </c>
      <c r="CH898">
        <v>2017</v>
      </c>
      <c r="CI898">
        <v>15000</v>
      </c>
      <c r="CJ898">
        <v>40803</v>
      </c>
      <c r="CK898">
        <v>55803</v>
      </c>
      <c r="CL898">
        <v>2017</v>
      </c>
      <c r="CM898">
        <v>321.31</v>
      </c>
      <c r="CN898" s="1">
        <v>38628</v>
      </c>
      <c r="CZ898" s="1">
        <v>38628</v>
      </c>
      <c r="DD898" t="s">
        <v>2785</v>
      </c>
      <c r="DG898">
        <v>34</v>
      </c>
      <c r="DL898">
        <v>50502</v>
      </c>
      <c r="DM898" t="s">
        <v>9338</v>
      </c>
      <c r="DO898" t="s">
        <v>9349</v>
      </c>
      <c r="DP898">
        <v>0</v>
      </c>
      <c r="DQ898">
        <v>0</v>
      </c>
      <c r="DR898" t="s">
        <v>411</v>
      </c>
      <c r="EP898" t="s">
        <v>421</v>
      </c>
      <c r="EQ898" t="s">
        <v>422</v>
      </c>
      <c r="ER898">
        <v>0</v>
      </c>
      <c r="ES898">
        <v>1</v>
      </c>
      <c r="ET898">
        <v>0</v>
      </c>
      <c r="EU898">
        <v>0</v>
      </c>
      <c r="EV898">
        <v>0</v>
      </c>
      <c r="EW898" s="2">
        <v>43222</v>
      </c>
      <c r="EX898" s="1">
        <v>40688</v>
      </c>
      <c r="EY898">
        <v>2010</v>
      </c>
      <c r="EZ898">
        <v>480.6</v>
      </c>
      <c r="FA898" t="s">
        <v>9350</v>
      </c>
      <c r="FB898">
        <v>7.75</v>
      </c>
      <c r="FC898" t="s">
        <v>424</v>
      </c>
      <c r="FD898" t="s">
        <v>425</v>
      </c>
      <c r="FE898" s="1">
        <v>41025</v>
      </c>
      <c r="FF898">
        <v>11</v>
      </c>
      <c r="FG898">
        <v>305</v>
      </c>
      <c r="FH898" t="s">
        <v>1078</v>
      </c>
    </row>
    <row r="899" spans="1:249" x14ac:dyDescent="0.25">
      <c r="A899">
        <v>16485906</v>
      </c>
      <c r="B899">
        <v>898</v>
      </c>
      <c r="C899" t="s">
        <v>393</v>
      </c>
      <c r="D899" t="s">
        <v>394</v>
      </c>
      <c r="F899" t="str">
        <f>"42-2N-25-0000-0013-0010"</f>
        <v>42-2N-25-0000-0013-0010</v>
      </c>
      <c r="H899" t="str">
        <f>"G&amp;H LAND &amp; TIMBER INVESTMENTS LLC"</f>
        <v>G&amp;H LAND &amp; TIMBER INVESTMENTS LLC</v>
      </c>
      <c r="I899" t="str">
        <f>"PO BOX 1694"</f>
        <v>PO BOX 1694</v>
      </c>
      <c r="J899" t="str">
        <f>"CALLAHAN FL 32011"</f>
        <v>CALLAHAN FL 32011</v>
      </c>
      <c r="K899" t="str">
        <f>"SR 200"</f>
        <v>SR 200</v>
      </c>
      <c r="L899" t="str">
        <f t="shared" si="273"/>
        <v>CALLAHAN FL 32011</v>
      </c>
      <c r="M899" t="str">
        <f>"PT FRANCIS WOODS DONATION SEC 42-2N-25E IN OR 1959/1629"</f>
        <v>PT FRANCIS WOODS DONATION SEC 42-2N-25E IN OR 1959/1629</v>
      </c>
      <c r="N899" t="str">
        <f>""</f>
        <v/>
      </c>
      <c r="O899" t="str">
        <f>"47116"</f>
        <v>47116</v>
      </c>
      <c r="P899" t="str">
        <f t="shared" si="283"/>
        <v>2017</v>
      </c>
      <c r="Q899" t="str">
        <f>""</f>
        <v/>
      </c>
      <c r="R899" t="str">
        <f>"N"</f>
        <v>N</v>
      </c>
      <c r="S899" t="str">
        <f>"42.15"</f>
        <v>42.15</v>
      </c>
      <c r="T899" t="str">
        <f>"2233.36"</f>
        <v>2233.36</v>
      </c>
      <c r="U899" t="str">
        <f>"147525.00"</f>
        <v>147525.00</v>
      </c>
      <c r="V899" t="str">
        <f>"147525.00"</f>
        <v>147525.00</v>
      </c>
      <c r="W899" t="str">
        <f t="shared" si="284"/>
        <v>2017</v>
      </c>
      <c r="X899" t="str">
        <f>"11.00"</f>
        <v>11.00</v>
      </c>
      <c r="Y899" t="str">
        <f>"2332.36"</f>
        <v>2332.36</v>
      </c>
      <c r="Z899" t="str">
        <f>""</f>
        <v/>
      </c>
      <c r="AA899" t="str">
        <f>"147525.00"</f>
        <v>147525.00</v>
      </c>
      <c r="AB899" t="str">
        <f t="shared" si="282"/>
        <v>Residential</v>
      </c>
      <c r="AC899" t="str">
        <f t="shared" si="274"/>
        <v>0</v>
      </c>
      <c r="AD899" t="str">
        <f>""</f>
        <v/>
      </c>
      <c r="AE899" t="str">
        <f>""</f>
        <v/>
      </c>
      <c r="AF899" t="str">
        <f>"000"</f>
        <v>000</v>
      </c>
      <c r="AG899" t="str">
        <f t="shared" si="280"/>
        <v>FL</v>
      </c>
      <c r="AH899" t="str">
        <f>"1836054.00"</f>
        <v>1836054.00</v>
      </c>
      <c r="AI899" t="str">
        <f>"147525.00"</f>
        <v>147525.00</v>
      </c>
      <c r="AJ899" t="str">
        <f>"C55-001-066-4110-3"</f>
        <v>C55-001-066-4110-3</v>
      </c>
      <c r="AK899" t="str">
        <f>"14049"</f>
        <v>14049</v>
      </c>
      <c r="AL899">
        <v>4</v>
      </c>
      <c r="AM899">
        <v>1040</v>
      </c>
      <c r="AN899">
        <v>2447.38</v>
      </c>
      <c r="AQ899" t="s">
        <v>9351</v>
      </c>
      <c r="AR899" t="s">
        <v>9351</v>
      </c>
      <c r="AS899" t="s">
        <v>9351</v>
      </c>
      <c r="AU899" t="s">
        <v>396</v>
      </c>
      <c r="AV899">
        <v>2017</v>
      </c>
      <c r="AW899" t="str">
        <f>"42-2N-25-0000-0013-0010 "</f>
        <v xml:space="preserve">42-2N-25-0000-0013-0010 </v>
      </c>
      <c r="AZ899" t="s">
        <v>8071</v>
      </c>
      <c r="BD899" t="s">
        <v>2785</v>
      </c>
      <c r="BE899" t="s">
        <v>393</v>
      </c>
      <c r="BF899">
        <v>32011</v>
      </c>
      <c r="BG899" t="s">
        <v>8071</v>
      </c>
      <c r="BH899" t="s">
        <v>2787</v>
      </c>
      <c r="BI899">
        <v>-81.804875017988607</v>
      </c>
      <c r="BJ899">
        <v>30.590877114418699</v>
      </c>
      <c r="BK899" t="s">
        <v>9352</v>
      </c>
      <c r="BM899" t="s">
        <v>1631</v>
      </c>
      <c r="BN899" t="s">
        <v>928</v>
      </c>
      <c r="BO899">
        <v>32011</v>
      </c>
      <c r="BP899" t="s">
        <v>404</v>
      </c>
      <c r="BQ899">
        <v>0</v>
      </c>
      <c r="BR899" t="s">
        <v>491</v>
      </c>
      <c r="BS899">
        <v>8001</v>
      </c>
      <c r="BT899" t="s">
        <v>492</v>
      </c>
      <c r="BW899">
        <v>1836054</v>
      </c>
      <c r="BX899" t="s">
        <v>407</v>
      </c>
      <c r="BY899" t="s">
        <v>7351</v>
      </c>
      <c r="CD899">
        <v>2017</v>
      </c>
      <c r="CE899">
        <v>147525</v>
      </c>
      <c r="CG899">
        <v>147525</v>
      </c>
      <c r="CH899">
        <v>2017</v>
      </c>
      <c r="CI899">
        <v>147525</v>
      </c>
      <c r="CK899">
        <v>147525</v>
      </c>
      <c r="CL899">
        <v>2017</v>
      </c>
      <c r="CM899">
        <v>2233.36</v>
      </c>
      <c r="CN899" s="1">
        <v>42030</v>
      </c>
      <c r="CO899">
        <v>199000</v>
      </c>
      <c r="CZ899" s="1">
        <v>42030</v>
      </c>
      <c r="DD899" t="s">
        <v>2785</v>
      </c>
      <c r="DG899">
        <v>42</v>
      </c>
      <c r="DL899">
        <v>50503</v>
      </c>
      <c r="DM899" t="s">
        <v>9353</v>
      </c>
      <c r="DO899" t="s">
        <v>9354</v>
      </c>
      <c r="DP899">
        <v>0</v>
      </c>
      <c r="DQ899">
        <v>4</v>
      </c>
      <c r="DR899" t="s">
        <v>411</v>
      </c>
      <c r="DS899" t="b">
        <v>1</v>
      </c>
      <c r="DT899" t="s">
        <v>470</v>
      </c>
      <c r="DU899" t="s">
        <v>471</v>
      </c>
      <c r="DV899" t="s">
        <v>472</v>
      </c>
      <c r="DX899">
        <v>-9999</v>
      </c>
      <c r="DZ899" t="s">
        <v>447</v>
      </c>
      <c r="EA899" t="s">
        <v>448</v>
      </c>
      <c r="EB899" t="s">
        <v>742</v>
      </c>
      <c r="EC899">
        <v>20101217</v>
      </c>
      <c r="ED899" t="s">
        <v>474</v>
      </c>
      <c r="EF899">
        <v>780.4</v>
      </c>
      <c r="EG899">
        <v>780.4</v>
      </c>
      <c r="EI899">
        <v>20160407</v>
      </c>
      <c r="EJ899">
        <v>0</v>
      </c>
      <c r="EK899">
        <v>0</v>
      </c>
      <c r="EP899" t="s">
        <v>421</v>
      </c>
      <c r="EQ899" t="s">
        <v>422</v>
      </c>
      <c r="ER899">
        <v>0</v>
      </c>
      <c r="ES899">
        <v>3</v>
      </c>
      <c r="ET899">
        <v>0</v>
      </c>
      <c r="EU899">
        <v>0</v>
      </c>
      <c r="EV899">
        <v>0</v>
      </c>
      <c r="EW899" s="2">
        <v>43222</v>
      </c>
      <c r="EX899" s="1">
        <v>42879</v>
      </c>
      <c r="EY899">
        <v>2016</v>
      </c>
      <c r="EZ899">
        <v>2476.21</v>
      </c>
      <c r="FA899" t="s">
        <v>9355</v>
      </c>
      <c r="FB899">
        <v>0.25</v>
      </c>
      <c r="FC899" t="s">
        <v>424</v>
      </c>
      <c r="FD899" t="s">
        <v>425</v>
      </c>
      <c r="FE899" s="1">
        <v>43012</v>
      </c>
      <c r="FF899">
        <v>5</v>
      </c>
      <c r="FG899">
        <v>7400234</v>
      </c>
      <c r="FH899" t="s">
        <v>426</v>
      </c>
      <c r="FJ899" s="1">
        <v>42879</v>
      </c>
      <c r="FK899">
        <v>2016</v>
      </c>
      <c r="FL899">
        <v>2476.21</v>
      </c>
      <c r="FM899" t="s">
        <v>9355</v>
      </c>
      <c r="FN899">
        <v>0.25</v>
      </c>
      <c r="FO899" t="s">
        <v>424</v>
      </c>
      <c r="FP899" t="s">
        <v>425</v>
      </c>
      <c r="FR899">
        <v>22</v>
      </c>
      <c r="FS899">
        <v>7416778</v>
      </c>
      <c r="FT899" t="s">
        <v>9356</v>
      </c>
      <c r="FV899" s="1">
        <v>42515</v>
      </c>
      <c r="FW899">
        <v>2015</v>
      </c>
      <c r="FX899">
        <v>2530.69</v>
      </c>
      <c r="FY899" t="s">
        <v>9357</v>
      </c>
      <c r="FZ899">
        <v>0.25</v>
      </c>
      <c r="GA899" t="s">
        <v>424</v>
      </c>
      <c r="GB899" t="s">
        <v>425</v>
      </c>
      <c r="GC899" s="1">
        <v>43012</v>
      </c>
      <c r="GD899">
        <v>17</v>
      </c>
      <c r="GE899">
        <v>7045080</v>
      </c>
      <c r="GF899" t="s">
        <v>4195</v>
      </c>
    </row>
    <row r="900" spans="1:249" x14ac:dyDescent="0.25">
      <c r="A900">
        <v>16485907</v>
      </c>
      <c r="B900">
        <v>899</v>
      </c>
      <c r="C900" t="s">
        <v>393</v>
      </c>
      <c r="D900" t="s">
        <v>394</v>
      </c>
      <c r="F900" t="str">
        <f>"42-2N-25-0000-0013-0020"</f>
        <v>42-2N-25-0000-0013-0020</v>
      </c>
      <c r="H900" t="str">
        <f>"BENT OAK FARMS OF CALLAHAN LLC"</f>
        <v>BENT OAK FARMS OF CALLAHAN LLC</v>
      </c>
      <c r="I900" t="str">
        <f>"PO BOX 1694"</f>
        <v>PO BOX 1694</v>
      </c>
      <c r="J900" t="str">
        <f>"CALLAHAN FL 32011"</f>
        <v>CALLAHAN FL 32011</v>
      </c>
      <c r="K900" t="str">
        <f>"SR 200"</f>
        <v>SR 200</v>
      </c>
      <c r="L900" t="str">
        <f t="shared" si="273"/>
        <v>CALLAHAN FL 32011</v>
      </c>
      <c r="M900" t="str">
        <f>"PT FRANCIS WOODS DONATION SEC 42-2N-25E IN OR 1959/1632 (EX PT IN OR 2084/1982)"</f>
        <v>PT FRANCIS WOODS DONATION SEC 42-2N-25E IN OR 1959/1632 (EX PT IN OR 2084/1982)</v>
      </c>
      <c r="N900" t="str">
        <f>""</f>
        <v/>
      </c>
      <c r="O900" t="str">
        <f>"47117"</f>
        <v>47117</v>
      </c>
      <c r="P900" t="str">
        <f t="shared" si="283"/>
        <v>2017</v>
      </c>
      <c r="Q900" t="str">
        <f>""</f>
        <v/>
      </c>
      <c r="R900" t="str">
        <f>"N"</f>
        <v>N</v>
      </c>
      <c r="S900" t="str">
        <f>"31.12"</f>
        <v>31.12</v>
      </c>
      <c r="T900" t="str">
        <f>"2120.03"</f>
        <v>2120.03</v>
      </c>
      <c r="U900" t="str">
        <f>"140040.00"</f>
        <v>140040.00</v>
      </c>
      <c r="V900" t="str">
        <f>"140040.00"</f>
        <v>140040.00</v>
      </c>
      <c r="W900" t="str">
        <f t="shared" si="284"/>
        <v>2017</v>
      </c>
      <c r="X900" t="str">
        <f>"10.00"</f>
        <v>10.00</v>
      </c>
      <c r="Y900" t="str">
        <f>"2215.63"</f>
        <v>2215.63</v>
      </c>
      <c r="Z900" t="str">
        <f>""</f>
        <v/>
      </c>
      <c r="AA900" t="str">
        <f>"140040.00"</f>
        <v>140040.00</v>
      </c>
      <c r="AB900" t="str">
        <f t="shared" si="282"/>
        <v>Residential</v>
      </c>
      <c r="AC900" t="str">
        <f t="shared" si="274"/>
        <v>0</v>
      </c>
      <c r="AD900" t="str">
        <f>""</f>
        <v/>
      </c>
      <c r="AE900" t="str">
        <f>""</f>
        <v/>
      </c>
      <c r="AF900" t="str">
        <f>"000"</f>
        <v>000</v>
      </c>
      <c r="AG900" t="str">
        <f t="shared" si="280"/>
        <v>FL</v>
      </c>
      <c r="AH900" t="str">
        <f>"1355587.00"</f>
        <v>1355587.00</v>
      </c>
      <c r="AI900" t="str">
        <f>"140040.00"</f>
        <v>140040.00</v>
      </c>
      <c r="AJ900" t="str">
        <f>"C55-001-066-4111-1"</f>
        <v>C55-001-066-4111-1</v>
      </c>
      <c r="AK900" t="str">
        <f>"14050"</f>
        <v>14050</v>
      </c>
      <c r="AL900">
        <v>4</v>
      </c>
      <c r="AM900">
        <v>1041</v>
      </c>
      <c r="AN900">
        <v>2324.81</v>
      </c>
      <c r="AQ900" t="s">
        <v>9358</v>
      </c>
      <c r="AR900" t="s">
        <v>9358</v>
      </c>
      <c r="AS900" t="s">
        <v>9358</v>
      </c>
      <c r="AU900" t="s">
        <v>396</v>
      </c>
      <c r="AV900">
        <v>2017</v>
      </c>
      <c r="AW900" t="str">
        <f>"42-2N-25-0000-0013-0020 "</f>
        <v xml:space="preserve">42-2N-25-0000-0013-0020 </v>
      </c>
      <c r="AZ900" t="s">
        <v>8071</v>
      </c>
      <c r="BD900" t="s">
        <v>2785</v>
      </c>
      <c r="BE900" t="s">
        <v>393</v>
      </c>
      <c r="BF900">
        <v>32011</v>
      </c>
      <c r="BG900" t="s">
        <v>8071</v>
      </c>
      <c r="BH900" t="s">
        <v>2787</v>
      </c>
      <c r="BI900">
        <v>-81.804846828043907</v>
      </c>
      <c r="BJ900">
        <v>30.5885749457705</v>
      </c>
      <c r="BK900" t="s">
        <v>9359</v>
      </c>
      <c r="BL900" t="s">
        <v>9360</v>
      </c>
      <c r="BM900" t="s">
        <v>9361</v>
      </c>
      <c r="BN900" t="s">
        <v>928</v>
      </c>
      <c r="BO900">
        <v>32011</v>
      </c>
      <c r="BP900" t="s">
        <v>404</v>
      </c>
      <c r="BQ900">
        <v>0</v>
      </c>
      <c r="BR900" t="s">
        <v>491</v>
      </c>
      <c r="BS900">
        <v>8001</v>
      </c>
      <c r="BT900" t="s">
        <v>492</v>
      </c>
      <c r="BW900">
        <v>2662387</v>
      </c>
      <c r="BX900" t="s">
        <v>407</v>
      </c>
      <c r="BY900" t="s">
        <v>7351</v>
      </c>
      <c r="CD900">
        <v>2017</v>
      </c>
      <c r="CE900">
        <v>140040</v>
      </c>
      <c r="CG900">
        <v>140040</v>
      </c>
      <c r="CH900">
        <v>2017</v>
      </c>
      <c r="CI900">
        <v>140040</v>
      </c>
      <c r="CK900">
        <v>140040</v>
      </c>
      <c r="CL900">
        <v>2017</v>
      </c>
      <c r="CM900">
        <v>2120.0300000000002</v>
      </c>
      <c r="CN900" s="1">
        <v>43011</v>
      </c>
      <c r="CO900">
        <v>75000</v>
      </c>
      <c r="CV900">
        <v>0</v>
      </c>
      <c r="CZ900" s="1">
        <v>43011</v>
      </c>
      <c r="DA900">
        <v>0</v>
      </c>
      <c r="DD900" t="s">
        <v>2785</v>
      </c>
      <c r="DG900">
        <v>42</v>
      </c>
      <c r="DL900">
        <v>50503</v>
      </c>
      <c r="DM900" t="s">
        <v>9353</v>
      </c>
      <c r="DO900" t="s">
        <v>9362</v>
      </c>
      <c r="DP900">
        <v>0</v>
      </c>
      <c r="DQ900">
        <v>8</v>
      </c>
      <c r="DR900" t="s">
        <v>411</v>
      </c>
      <c r="DS900" t="b">
        <v>1</v>
      </c>
      <c r="DT900" t="s">
        <v>470</v>
      </c>
      <c r="DU900" t="s">
        <v>471</v>
      </c>
      <c r="DV900" t="s">
        <v>472</v>
      </c>
      <c r="DX900">
        <v>-9999</v>
      </c>
      <c r="DZ900" t="s">
        <v>447</v>
      </c>
      <c r="EA900" t="s">
        <v>448</v>
      </c>
      <c r="EB900" t="s">
        <v>742</v>
      </c>
      <c r="EC900">
        <v>20101217</v>
      </c>
      <c r="ED900" t="s">
        <v>474</v>
      </c>
      <c r="EF900">
        <v>1929.9</v>
      </c>
      <c r="EG900">
        <v>1929.9</v>
      </c>
      <c r="EI900">
        <v>20160407</v>
      </c>
      <c r="EJ900">
        <v>0</v>
      </c>
      <c r="EK900">
        <v>0</v>
      </c>
      <c r="EP900" t="s">
        <v>421</v>
      </c>
      <c r="EQ900" t="s">
        <v>422</v>
      </c>
      <c r="ER900">
        <v>0</v>
      </c>
      <c r="ES900">
        <v>4</v>
      </c>
      <c r="ET900">
        <v>0</v>
      </c>
      <c r="EU900">
        <v>0</v>
      </c>
      <c r="EV900">
        <v>0</v>
      </c>
      <c r="EW900" s="2">
        <v>43222</v>
      </c>
      <c r="EX900" s="1">
        <v>42879</v>
      </c>
      <c r="EY900">
        <v>2016</v>
      </c>
      <c r="EZ900">
        <v>3071.15</v>
      </c>
      <c r="FA900" t="s">
        <v>9363</v>
      </c>
      <c r="FB900">
        <v>0.25</v>
      </c>
      <c r="FC900" t="s">
        <v>424</v>
      </c>
      <c r="FD900" t="s">
        <v>425</v>
      </c>
      <c r="FE900" s="1">
        <v>43000</v>
      </c>
      <c r="FF900">
        <v>4</v>
      </c>
      <c r="FG900">
        <v>11289</v>
      </c>
      <c r="FH900" t="s">
        <v>787</v>
      </c>
      <c r="FJ900" s="1">
        <v>42879</v>
      </c>
      <c r="FK900">
        <v>2016</v>
      </c>
      <c r="FL900">
        <v>3071.15</v>
      </c>
      <c r="FM900" t="s">
        <v>9363</v>
      </c>
      <c r="FN900">
        <v>0.25</v>
      </c>
      <c r="FO900" t="s">
        <v>424</v>
      </c>
      <c r="FP900" t="s">
        <v>425</v>
      </c>
      <c r="FR900">
        <v>22</v>
      </c>
      <c r="FS900">
        <v>7193112</v>
      </c>
      <c r="FT900" t="s">
        <v>9364</v>
      </c>
      <c r="FV900" s="1">
        <v>42515</v>
      </c>
      <c r="FW900">
        <v>2015</v>
      </c>
      <c r="FX900">
        <v>3140.08</v>
      </c>
      <c r="FY900" t="s">
        <v>9365</v>
      </c>
      <c r="FZ900">
        <v>0.25</v>
      </c>
      <c r="GA900" t="s">
        <v>424</v>
      </c>
      <c r="GB900" t="s">
        <v>425</v>
      </c>
      <c r="GC900" s="1">
        <v>43000</v>
      </c>
      <c r="GD900">
        <v>16</v>
      </c>
      <c r="GE900">
        <v>11289</v>
      </c>
      <c r="GF900" t="s">
        <v>787</v>
      </c>
      <c r="GH900" s="1">
        <v>42515</v>
      </c>
      <c r="GI900">
        <v>2015</v>
      </c>
      <c r="GJ900">
        <v>3140.08</v>
      </c>
      <c r="GK900" t="s">
        <v>9365</v>
      </c>
      <c r="GL900">
        <v>0.25</v>
      </c>
      <c r="GM900" t="s">
        <v>424</v>
      </c>
      <c r="GN900" t="s">
        <v>425</v>
      </c>
      <c r="GP900">
        <v>22</v>
      </c>
      <c r="GQ900">
        <v>5176958</v>
      </c>
      <c r="GR900" t="s">
        <v>9366</v>
      </c>
    </row>
    <row r="901" spans="1:249" x14ac:dyDescent="0.25">
      <c r="A901">
        <v>16485908</v>
      </c>
      <c r="B901">
        <v>900</v>
      </c>
      <c r="C901" t="s">
        <v>393</v>
      </c>
      <c r="D901" t="s">
        <v>394</v>
      </c>
      <c r="F901" t="str">
        <f>"42-2N-25-0000-0015-0010"</f>
        <v>42-2N-25-0000-0015-0010</v>
      </c>
      <c r="H901" t="str">
        <f>"ARMSTRONG R H &amp; MARILYN"</f>
        <v>ARMSTRONG R H &amp; MARILYN</v>
      </c>
      <c r="I901" t="str">
        <f>"450829 SR 200"</f>
        <v>450829 SR 200</v>
      </c>
      <c r="J901" t="str">
        <f>"CALLAHAN FL 32011"</f>
        <v>CALLAHAN FL 32011</v>
      </c>
      <c r="K901" t="str">
        <f>"SR 200"</f>
        <v>SR 200</v>
      </c>
      <c r="L901" t="str">
        <f t="shared" si="273"/>
        <v>CALLAHAN FL 32011</v>
      </c>
      <c r="M901" t="str">
        <f>"PT FRANCIS WOODS DONATION SEC 42 PT OF ABDN RR R/W PT OR 511/830 (EX PT IN OR 849/390 &amp; OR 856/385)"</f>
        <v>PT FRANCIS WOODS DONATION SEC 42 PT OF ABDN RR R/W PT OR 511/830 (EX PT IN OR 849/390 &amp; OR 856/385)</v>
      </c>
      <c r="N901" t="str">
        <f>""</f>
        <v/>
      </c>
      <c r="O901" t="str">
        <f>"47125"</f>
        <v>47125</v>
      </c>
      <c r="P901" t="str">
        <f t="shared" si="283"/>
        <v>2017</v>
      </c>
      <c r="Q901" t="str">
        <f>""</f>
        <v/>
      </c>
      <c r="R901" t="str">
        <f>"N"</f>
        <v>N</v>
      </c>
      <c r="S901" t="str">
        <f>"1.21"</f>
        <v>1.21</v>
      </c>
      <c r="T901" t="str">
        <f>"25.63"</f>
        <v>25.63</v>
      </c>
      <c r="U901" t="str">
        <f>"1597.00"</f>
        <v>1597.00</v>
      </c>
      <c r="V901" t="str">
        <f>"1597.00"</f>
        <v>1597.00</v>
      </c>
      <c r="W901" t="str">
        <f t="shared" si="284"/>
        <v>2017</v>
      </c>
      <c r="X901" t="str">
        <f>"13.75"</f>
        <v>13.75</v>
      </c>
      <c r="Y901" t="str">
        <f>"58.40"</f>
        <v>58.40</v>
      </c>
      <c r="Z901" t="str">
        <f>""</f>
        <v/>
      </c>
      <c r="AA901" t="str">
        <f>"1815.00"</f>
        <v>1815.00</v>
      </c>
      <c r="AB901" t="str">
        <f t="shared" si="282"/>
        <v>Residential</v>
      </c>
      <c r="AC901" t="str">
        <f t="shared" si="274"/>
        <v>0</v>
      </c>
      <c r="AD901" t="str">
        <f>""</f>
        <v/>
      </c>
      <c r="AE901" t="str">
        <f>""</f>
        <v/>
      </c>
      <c r="AF901" t="str">
        <f>"000"</f>
        <v>000</v>
      </c>
      <c r="AG901" t="str">
        <f t="shared" si="280"/>
        <v>FL</v>
      </c>
      <c r="AH901" t="str">
        <f>"52707.00"</f>
        <v>52707.00</v>
      </c>
      <c r="AI901" t="str">
        <f>"1815.00"</f>
        <v>1815.00</v>
      </c>
      <c r="AJ901" t="str">
        <f>"C55-000-588-1395-7"</f>
        <v>C55-000-588-1395-7</v>
      </c>
      <c r="AK901" t="str">
        <f>"14058"</f>
        <v>14058</v>
      </c>
      <c r="AL901">
        <v>4</v>
      </c>
      <c r="AM901">
        <v>1042</v>
      </c>
      <c r="AN901">
        <v>59.72</v>
      </c>
      <c r="AQ901" t="s">
        <v>9367</v>
      </c>
      <c r="AR901" t="s">
        <v>9367</v>
      </c>
      <c r="AS901" t="s">
        <v>9367</v>
      </c>
      <c r="AU901" t="s">
        <v>396</v>
      </c>
      <c r="AV901">
        <v>2017</v>
      </c>
      <c r="AW901" t="str">
        <f>"42-2N-25-0000-0015-0010 "</f>
        <v xml:space="preserve">42-2N-25-0000-0015-0010 </v>
      </c>
      <c r="AZ901" t="s">
        <v>8071</v>
      </c>
      <c r="BD901" t="s">
        <v>2785</v>
      </c>
      <c r="BE901" t="s">
        <v>393</v>
      </c>
      <c r="BF901">
        <v>32011</v>
      </c>
      <c r="BG901" t="s">
        <v>8071</v>
      </c>
      <c r="BH901" t="s">
        <v>2787</v>
      </c>
      <c r="BI901">
        <v>-81.794599382828807</v>
      </c>
      <c r="BJ901">
        <v>30.589042955936598</v>
      </c>
      <c r="BK901" t="s">
        <v>9368</v>
      </c>
      <c r="BL901" t="s">
        <v>9369</v>
      </c>
      <c r="BM901" t="s">
        <v>9370</v>
      </c>
      <c r="BN901" t="s">
        <v>928</v>
      </c>
      <c r="BO901">
        <v>32011</v>
      </c>
      <c r="BP901" t="s">
        <v>404</v>
      </c>
      <c r="BQ901">
        <v>0</v>
      </c>
      <c r="BR901" t="s">
        <v>491</v>
      </c>
      <c r="BS901">
        <v>8001</v>
      </c>
      <c r="BT901" t="s">
        <v>492</v>
      </c>
      <c r="BW901">
        <v>52707</v>
      </c>
      <c r="BX901" t="s">
        <v>407</v>
      </c>
      <c r="CD901">
        <v>2017</v>
      </c>
      <c r="CE901">
        <v>1815</v>
      </c>
      <c r="CG901">
        <v>1815</v>
      </c>
      <c r="CH901">
        <v>2017</v>
      </c>
      <c r="CI901">
        <v>1815</v>
      </c>
      <c r="CK901">
        <v>1815</v>
      </c>
      <c r="CL901">
        <v>2017</v>
      </c>
      <c r="CM901">
        <v>25.63</v>
      </c>
      <c r="CN901" s="1">
        <v>31834</v>
      </c>
      <c r="CZ901" s="1">
        <v>31834</v>
      </c>
      <c r="DD901" t="s">
        <v>2785</v>
      </c>
      <c r="DG901">
        <v>42</v>
      </c>
      <c r="DL901">
        <v>50503</v>
      </c>
      <c r="DM901" t="s">
        <v>9353</v>
      </c>
      <c r="DO901" t="s">
        <v>9371</v>
      </c>
      <c r="DP901">
        <v>0</v>
      </c>
      <c r="DQ901">
        <v>1</v>
      </c>
      <c r="DR901" t="s">
        <v>1479</v>
      </c>
      <c r="EP901" t="s">
        <v>595</v>
      </c>
      <c r="EQ901" t="s">
        <v>422</v>
      </c>
      <c r="ER901">
        <v>0</v>
      </c>
      <c r="ES901">
        <v>4</v>
      </c>
      <c r="ET901">
        <v>0</v>
      </c>
      <c r="EU901">
        <v>0</v>
      </c>
      <c r="EV901">
        <v>0</v>
      </c>
      <c r="EW901" s="2">
        <v>43222</v>
      </c>
      <c r="EX901" s="1">
        <v>41787</v>
      </c>
      <c r="EY901">
        <v>2013</v>
      </c>
      <c r="EZ901">
        <v>44.5</v>
      </c>
      <c r="FA901" t="s">
        <v>9372</v>
      </c>
      <c r="FB901">
        <v>18</v>
      </c>
      <c r="FC901" t="s">
        <v>603</v>
      </c>
      <c r="FD901" t="s">
        <v>425</v>
      </c>
      <c r="FE901" s="1">
        <v>41850</v>
      </c>
      <c r="FF901">
        <v>2</v>
      </c>
      <c r="FG901">
        <v>9999999</v>
      </c>
      <c r="FH901" t="s">
        <v>604</v>
      </c>
      <c r="FJ901" s="1">
        <v>41052</v>
      </c>
      <c r="FK901">
        <v>2011</v>
      </c>
      <c r="FL901">
        <v>56.46</v>
      </c>
      <c r="FM901" t="s">
        <v>9373</v>
      </c>
      <c r="FN901">
        <v>18</v>
      </c>
      <c r="FO901" t="s">
        <v>424</v>
      </c>
      <c r="FP901" t="s">
        <v>425</v>
      </c>
      <c r="FQ901" s="1">
        <v>41344</v>
      </c>
      <c r="FR901">
        <v>10</v>
      </c>
      <c r="FS901">
        <v>15225</v>
      </c>
      <c r="FT901" t="s">
        <v>9374</v>
      </c>
      <c r="FV901" s="1">
        <v>41052</v>
      </c>
      <c r="FW901">
        <v>2011</v>
      </c>
      <c r="FX901">
        <v>44.24</v>
      </c>
      <c r="FY901" t="s">
        <v>9373</v>
      </c>
      <c r="FZ901">
        <v>18</v>
      </c>
      <c r="GA901" t="s">
        <v>603</v>
      </c>
      <c r="GB901" t="s">
        <v>425</v>
      </c>
      <c r="GD901">
        <v>22</v>
      </c>
      <c r="GE901">
        <v>9999999</v>
      </c>
      <c r="GF901" t="s">
        <v>604</v>
      </c>
      <c r="GH901" s="1">
        <v>40688</v>
      </c>
      <c r="GI901">
        <v>2010</v>
      </c>
      <c r="GJ901">
        <v>43.41</v>
      </c>
      <c r="GK901" t="s">
        <v>9375</v>
      </c>
      <c r="GL901">
        <v>8.75</v>
      </c>
      <c r="GM901" t="s">
        <v>424</v>
      </c>
      <c r="GN901" t="s">
        <v>425</v>
      </c>
      <c r="GO901" s="1">
        <v>41344</v>
      </c>
      <c r="GP901">
        <v>22</v>
      </c>
      <c r="GQ901">
        <v>105</v>
      </c>
      <c r="GR901" t="s">
        <v>946</v>
      </c>
    </row>
    <row r="902" spans="1:249" x14ac:dyDescent="0.25">
      <c r="A902">
        <v>16485909</v>
      </c>
      <c r="B902">
        <v>901</v>
      </c>
      <c r="C902" t="s">
        <v>393</v>
      </c>
      <c r="D902" t="s">
        <v>394</v>
      </c>
      <c r="F902" t="str">
        <f>"42-2N-25-0000-0019-0010"</f>
        <v>42-2N-25-0000-0019-0010</v>
      </c>
      <c r="H902" t="str">
        <f>"RICKS JOEY"</f>
        <v>RICKS JOEY</v>
      </c>
      <c r="I902" t="str">
        <f>"85535 KIRKLAND RD"</f>
        <v>85535 KIRKLAND RD</v>
      </c>
      <c r="J902" t="str">
        <f>"YULEE FL 32097"</f>
        <v>YULEE FL 32097</v>
      </c>
      <c r="K902" t="str">
        <f>"SR 200"</f>
        <v>SR 200</v>
      </c>
      <c r="L902" t="str">
        <f t="shared" si="273"/>
        <v>CALLAHAN FL 32011</v>
      </c>
      <c r="M902" t="str">
        <f>"PT FRANCIS WOODS GRANT SEC 42-2N-25E IN OR 2057/1582 (EX DOT R/W IN OR 1001/1611 &amp; OR 2026/1933)"</f>
        <v>PT FRANCIS WOODS GRANT SEC 42-2N-25E IN OR 2057/1582 (EX DOT R/W IN OR 1001/1611 &amp; OR 2026/1933)</v>
      </c>
      <c r="N902" t="str">
        <f>""</f>
        <v/>
      </c>
      <c r="O902" t="str">
        <f>"47137"</f>
        <v>47137</v>
      </c>
      <c r="P902" t="str">
        <f t="shared" si="283"/>
        <v>2017</v>
      </c>
      <c r="Q902" t="str">
        <f>""</f>
        <v/>
      </c>
      <c r="R902" t="str">
        <f>"N"</f>
        <v>N</v>
      </c>
      <c r="S902" t="str">
        <f>"1.60"</f>
        <v>1.60</v>
      </c>
      <c r="T902" t="str">
        <f>"363.34"</f>
        <v>363.34</v>
      </c>
      <c r="U902" t="str">
        <f>"24000.00"</f>
        <v>24000.00</v>
      </c>
      <c r="V902" t="str">
        <f>"24000.00"</f>
        <v>24000.00</v>
      </c>
      <c r="W902" t="str">
        <f t="shared" si="284"/>
        <v>2017</v>
      </c>
      <c r="X902" t="str">
        <f>"2.00"</f>
        <v>2.00</v>
      </c>
      <c r="Y902" t="str">
        <f>"406.24"</f>
        <v>406.24</v>
      </c>
      <c r="Z902" t="str">
        <f>""</f>
        <v/>
      </c>
      <c r="AA902" t="str">
        <f>"24000.00"</f>
        <v>24000.00</v>
      </c>
      <c r="AB902" t="str">
        <f t="shared" si="282"/>
        <v>Residential</v>
      </c>
      <c r="AC902" t="str">
        <f t="shared" si="274"/>
        <v>0</v>
      </c>
      <c r="AD902" t="str">
        <f>""</f>
        <v/>
      </c>
      <c r="AE902" t="str">
        <f>""</f>
        <v/>
      </c>
      <c r="AF902" t="str">
        <f>"000"</f>
        <v>000</v>
      </c>
      <c r="AG902" t="str">
        <f t="shared" si="280"/>
        <v>FL</v>
      </c>
      <c r="AH902" t="str">
        <f>"69696.00"</f>
        <v>69696.00</v>
      </c>
      <c r="AI902" t="str">
        <f>"24000.00"</f>
        <v>24000.00</v>
      </c>
      <c r="AJ902" t="str">
        <f>"C55-001-066-4112-9"</f>
        <v>C55-001-066-4112-9</v>
      </c>
      <c r="AK902" t="str">
        <f>"14070"</f>
        <v>14070</v>
      </c>
      <c r="AL902">
        <v>4</v>
      </c>
      <c r="AM902">
        <v>1043</v>
      </c>
      <c r="AN902">
        <v>424.95</v>
      </c>
      <c r="AQ902" t="s">
        <v>9376</v>
      </c>
      <c r="AR902" t="s">
        <v>9376</v>
      </c>
      <c r="AS902" t="s">
        <v>9376</v>
      </c>
      <c r="AU902" t="s">
        <v>396</v>
      </c>
      <c r="AV902">
        <v>2017</v>
      </c>
      <c r="AW902" t="str">
        <f>"42-2N-25-0000-0019-0010 "</f>
        <v xml:space="preserve">42-2N-25-0000-0019-0010 </v>
      </c>
      <c r="AZ902" t="s">
        <v>8071</v>
      </c>
      <c r="BD902" t="s">
        <v>2785</v>
      </c>
      <c r="BE902" t="s">
        <v>393</v>
      </c>
      <c r="BF902">
        <v>32011</v>
      </c>
      <c r="BG902" t="s">
        <v>8071</v>
      </c>
      <c r="BH902" t="s">
        <v>2787</v>
      </c>
      <c r="BI902">
        <v>-81.792916819035597</v>
      </c>
      <c r="BJ902">
        <v>30.587527995548299</v>
      </c>
      <c r="BK902" t="s">
        <v>9377</v>
      </c>
      <c r="BM902" t="s">
        <v>9378</v>
      </c>
      <c r="BN902" t="s">
        <v>1778</v>
      </c>
      <c r="BO902">
        <v>32097</v>
      </c>
      <c r="BP902" t="s">
        <v>404</v>
      </c>
      <c r="BQ902">
        <v>0</v>
      </c>
      <c r="BR902" t="s">
        <v>491</v>
      </c>
      <c r="BS902">
        <v>8001</v>
      </c>
      <c r="BT902" t="s">
        <v>492</v>
      </c>
      <c r="BW902">
        <v>69696</v>
      </c>
      <c r="BX902" t="s">
        <v>407</v>
      </c>
      <c r="CD902">
        <v>2017</v>
      </c>
      <c r="CE902">
        <v>24000</v>
      </c>
      <c r="CG902">
        <v>24000</v>
      </c>
      <c r="CH902">
        <v>2017</v>
      </c>
      <c r="CI902">
        <v>24000</v>
      </c>
      <c r="CK902">
        <v>24000</v>
      </c>
      <c r="CL902">
        <v>2017</v>
      </c>
      <c r="CM902">
        <v>363.34</v>
      </c>
      <c r="CN902" s="1">
        <v>42563</v>
      </c>
      <c r="CO902">
        <v>32900</v>
      </c>
      <c r="CV902">
        <v>0</v>
      </c>
      <c r="CZ902" s="1">
        <v>42563</v>
      </c>
      <c r="DA902">
        <v>0</v>
      </c>
      <c r="DD902" t="s">
        <v>2785</v>
      </c>
      <c r="DG902">
        <v>42</v>
      </c>
      <c r="DL902">
        <v>50502</v>
      </c>
      <c r="DM902" t="s">
        <v>9353</v>
      </c>
      <c r="DO902" t="s">
        <v>9379</v>
      </c>
      <c r="DP902">
        <v>0</v>
      </c>
      <c r="DQ902">
        <v>0</v>
      </c>
      <c r="DR902" t="s">
        <v>411</v>
      </c>
      <c r="EP902" t="s">
        <v>421</v>
      </c>
      <c r="EQ902" t="s">
        <v>422</v>
      </c>
      <c r="ER902">
        <v>0</v>
      </c>
      <c r="ES902">
        <v>1</v>
      </c>
      <c r="ET902">
        <v>0</v>
      </c>
      <c r="EU902">
        <v>0</v>
      </c>
      <c r="EV902">
        <v>0</v>
      </c>
      <c r="EW902" s="2">
        <v>43222</v>
      </c>
      <c r="EX902" s="1">
        <v>42879</v>
      </c>
      <c r="EY902">
        <v>2016</v>
      </c>
      <c r="EZ902">
        <v>345.75</v>
      </c>
      <c r="FA902" t="s">
        <v>9380</v>
      </c>
      <c r="FB902">
        <v>5</v>
      </c>
      <c r="FC902" t="s">
        <v>424</v>
      </c>
      <c r="FD902" t="s">
        <v>425</v>
      </c>
      <c r="FE902" s="1">
        <v>42944</v>
      </c>
      <c r="FF902">
        <v>2</v>
      </c>
      <c r="FG902">
        <v>7336143</v>
      </c>
      <c r="FH902" t="s">
        <v>539</v>
      </c>
    </row>
    <row r="903" spans="1:249" x14ac:dyDescent="0.25">
      <c r="A903">
        <v>16485910</v>
      </c>
      <c r="B903">
        <v>902</v>
      </c>
      <c r="C903" t="s">
        <v>393</v>
      </c>
      <c r="D903" t="s">
        <v>394</v>
      </c>
      <c r="F903" t="str">
        <f>"42-2N-25-0000-0019-0030"</f>
        <v>42-2N-25-0000-0019-0030</v>
      </c>
      <c r="H903" t="str">
        <f>"PHILLIPS CLINT"</f>
        <v>PHILLIPS CLINT</v>
      </c>
      <c r="I903" t="str">
        <f>"23880 FLORA PARKE BLVD"</f>
        <v>23880 FLORA PARKE BLVD</v>
      </c>
      <c r="J903" t="str">
        <f>"FERNANDINA BEACH FL 32034"</f>
        <v>FERNANDINA BEACH FL 32034</v>
      </c>
      <c r="K903" t="str">
        <f>"450584 SR 200"</f>
        <v>450584 SR 200</v>
      </c>
      <c r="L903" t="str">
        <f t="shared" si="273"/>
        <v>CALLAHAN FL 32011</v>
      </c>
      <c r="M903" t="str">
        <f>"PT FRANCIS WOODS GRANT SEC 42-2N-25E IN OR 2039/1004"</f>
        <v>PT FRANCIS WOODS GRANT SEC 42-2N-25E IN OR 2039/1004</v>
      </c>
      <c r="N903" t="str">
        <f>""</f>
        <v/>
      </c>
      <c r="O903" t="str">
        <f>"56676"</f>
        <v>56676</v>
      </c>
      <c r="P903" t="str">
        <f t="shared" si="283"/>
        <v>2017</v>
      </c>
      <c r="Q903" t="str">
        <f>""</f>
        <v/>
      </c>
      <c r="R903" t="str">
        <f>"N"</f>
        <v>N</v>
      </c>
      <c r="S903" t="str">
        <f>"1.60"</f>
        <v>1.60</v>
      </c>
      <c r="T903" t="str">
        <f>"1860.44"</f>
        <v>1860.44</v>
      </c>
      <c r="U903" t="str">
        <f>"122892.00"</f>
        <v>122892.00</v>
      </c>
      <c r="V903" t="str">
        <f>"122892.00"</f>
        <v>122892.00</v>
      </c>
      <c r="W903" t="str">
        <f t="shared" si="284"/>
        <v>2017</v>
      </c>
      <c r="X903" t="str">
        <f>""</f>
        <v/>
      </c>
      <c r="Y903" t="str">
        <f>"1948.25"</f>
        <v>1948.25</v>
      </c>
      <c r="Z903" t="str">
        <f>""</f>
        <v/>
      </c>
      <c r="AA903" t="str">
        <f>"122892.00"</f>
        <v>122892.00</v>
      </c>
      <c r="AB903" t="str">
        <f t="shared" si="282"/>
        <v>Residential</v>
      </c>
      <c r="AC903" t="str">
        <f t="shared" si="274"/>
        <v>0</v>
      </c>
      <c r="AD903" t="str">
        <f>"4"</f>
        <v>4</v>
      </c>
      <c r="AE903" t="str">
        <f>"WOOD (INCLUDE STEEL STUDS)"</f>
        <v>WOOD (INCLUDE STEEL STUDS)</v>
      </c>
      <c r="AF903" t="str">
        <f>"002"</f>
        <v>002</v>
      </c>
      <c r="AG903" t="str">
        <f t="shared" si="280"/>
        <v>FL</v>
      </c>
      <c r="AH903" t="str">
        <f>"69696.00"</f>
        <v>69696.00</v>
      </c>
      <c r="AI903" t="str">
        <f>"24000.00"</f>
        <v>24000.00</v>
      </c>
      <c r="AJ903" t="str">
        <f>"C55-001-080-5452-9"</f>
        <v>C55-001-080-5452-9</v>
      </c>
      <c r="AK903" t="str">
        <f>"14072"</f>
        <v>14072</v>
      </c>
      <c r="AL903">
        <v>4</v>
      </c>
      <c r="AM903">
        <v>1044</v>
      </c>
      <c r="AN903">
        <v>2044.06</v>
      </c>
      <c r="AQ903" t="s">
        <v>9381</v>
      </c>
      <c r="AR903" t="s">
        <v>9381</v>
      </c>
      <c r="AS903" t="s">
        <v>9381</v>
      </c>
      <c r="AU903" t="s">
        <v>396</v>
      </c>
      <c r="AV903">
        <v>2017</v>
      </c>
      <c r="AW903" t="str">
        <f>"42-2N-25-0000-0019-0030 "</f>
        <v xml:space="preserve">42-2N-25-0000-0019-0030 </v>
      </c>
      <c r="AX903">
        <v>450584</v>
      </c>
      <c r="AZ903" t="s">
        <v>8071</v>
      </c>
      <c r="BD903" t="s">
        <v>2785</v>
      </c>
      <c r="BE903" t="s">
        <v>393</v>
      </c>
      <c r="BF903">
        <v>32011</v>
      </c>
      <c r="BG903" t="s">
        <v>9382</v>
      </c>
      <c r="BH903" t="s">
        <v>2787</v>
      </c>
      <c r="BI903">
        <v>-81.793704057400902</v>
      </c>
      <c r="BJ903">
        <v>30.587207391713601</v>
      </c>
      <c r="BK903" t="s">
        <v>9383</v>
      </c>
      <c r="BM903" t="s">
        <v>9384</v>
      </c>
      <c r="BN903" t="s">
        <v>3983</v>
      </c>
      <c r="BO903">
        <v>32034</v>
      </c>
      <c r="BP903" t="s">
        <v>404</v>
      </c>
      <c r="BQ903">
        <v>200</v>
      </c>
      <c r="BR903" t="s">
        <v>405</v>
      </c>
      <c r="BS903">
        <v>1006</v>
      </c>
      <c r="BT903" t="s">
        <v>406</v>
      </c>
      <c r="BW903">
        <v>69696</v>
      </c>
      <c r="BX903" t="s">
        <v>407</v>
      </c>
      <c r="BZ903">
        <v>4</v>
      </c>
      <c r="CA903">
        <v>2016</v>
      </c>
      <c r="CC903">
        <v>1</v>
      </c>
      <c r="CD903">
        <v>2017</v>
      </c>
      <c r="CE903">
        <v>24000</v>
      </c>
      <c r="CF903">
        <v>98892</v>
      </c>
      <c r="CG903">
        <v>122892</v>
      </c>
      <c r="CH903">
        <v>2017</v>
      </c>
      <c r="CI903">
        <v>24000</v>
      </c>
      <c r="CJ903">
        <v>98892</v>
      </c>
      <c r="CK903">
        <v>122892</v>
      </c>
      <c r="CL903">
        <v>2017</v>
      </c>
      <c r="CM903">
        <v>1860.44</v>
      </c>
      <c r="CN903" s="1">
        <v>42472</v>
      </c>
      <c r="CZ903" s="1">
        <v>42472</v>
      </c>
      <c r="DD903" t="s">
        <v>2785</v>
      </c>
      <c r="DG903">
        <v>42</v>
      </c>
      <c r="DL903">
        <v>50502</v>
      </c>
      <c r="DM903" t="s">
        <v>9353</v>
      </c>
      <c r="DO903" t="s">
        <v>9385</v>
      </c>
      <c r="DP903">
        <v>0</v>
      </c>
      <c r="DQ903">
        <v>0</v>
      </c>
      <c r="DR903" t="s">
        <v>411</v>
      </c>
    </row>
    <row r="904" spans="1:249" x14ac:dyDescent="0.25">
      <c r="A904">
        <v>16485911</v>
      </c>
      <c r="B904">
        <v>903</v>
      </c>
      <c r="C904" t="s">
        <v>393</v>
      </c>
      <c r="D904" t="s">
        <v>394</v>
      </c>
      <c r="F904" t="str">
        <f>"42-2N-25-0000-0021-0000"</f>
        <v>42-2N-25-0000-0021-0000</v>
      </c>
      <c r="H904" t="str">
        <f>"HARTLEY JOSEPHINE M EST"</f>
        <v>HARTLEY JOSEPHINE M EST</v>
      </c>
      <c r="I904" t="str">
        <f>"55060 ZWEIFEL ROAD"</f>
        <v>55060 ZWEIFEL ROAD</v>
      </c>
      <c r="J904" t="str">
        <f>"CALLAHAN FL 32011"</f>
        <v>CALLAHAN FL 32011</v>
      </c>
      <c r="K904" t="str">
        <f>"55060 ZWEIFEL RD"</f>
        <v>55060 ZWEIFEL RD</v>
      </c>
      <c r="L904" t="str">
        <f t="shared" si="273"/>
        <v>CALLAHAN FL 32011</v>
      </c>
      <c r="M904" t="str">
        <f>"S260 FT OF E223 FT R787334 &amp; R787335 IN OR 844 PG 1480"</f>
        <v>S260 FT OF E223 FT R787334 &amp; R787335 IN OR 844 PG 1480</v>
      </c>
      <c r="N904" t="str">
        <f>""</f>
        <v/>
      </c>
      <c r="O904" t="str">
        <f>"47140"</f>
        <v>47140</v>
      </c>
      <c r="P904" t="str">
        <f t="shared" si="283"/>
        <v>2017</v>
      </c>
      <c r="Q904" t="str">
        <f>""</f>
        <v/>
      </c>
      <c r="R904" t="str">
        <f>"Y"</f>
        <v>Y</v>
      </c>
      <c r="S904" t="str">
        <f>"1.45"</f>
        <v>1.45</v>
      </c>
      <c r="T904" t="str">
        <f>"381.04"</f>
        <v>381.04</v>
      </c>
      <c r="U904" t="str">
        <f>"50169.00"</f>
        <v>50169.00</v>
      </c>
      <c r="V904" t="str">
        <f>"50169.00"</f>
        <v>50169.00</v>
      </c>
      <c r="W904" t="str">
        <f t="shared" si="284"/>
        <v>2017</v>
      </c>
      <c r="X904" t="str">
        <f>""</f>
        <v/>
      </c>
      <c r="Y904" t="str">
        <f>"424.47"</f>
        <v>424.47</v>
      </c>
      <c r="Z904" t="str">
        <f>"25000.00"</f>
        <v>25000.00</v>
      </c>
      <c r="AA904" t="str">
        <f>"25169.00"</f>
        <v>25169.00</v>
      </c>
      <c r="AB904" t="str">
        <f t="shared" si="282"/>
        <v>Residential</v>
      </c>
      <c r="AC904" t="str">
        <f t="shared" si="274"/>
        <v>0</v>
      </c>
      <c r="AD904" t="str">
        <f>"4"</f>
        <v>4</v>
      </c>
      <c r="AE904" t="str">
        <f>"WOOD (INCLUDE STEEL STUDS)"</f>
        <v>WOOD (INCLUDE STEEL STUDS)</v>
      </c>
      <c r="AF904" t="str">
        <f>"002"</f>
        <v>002</v>
      </c>
      <c r="AG904" t="str">
        <f t="shared" si="280"/>
        <v>FL</v>
      </c>
      <c r="AH904" t="str">
        <f>"63162.00"</f>
        <v>63162.00</v>
      </c>
      <c r="AI904" t="str">
        <f>"21750.00"</f>
        <v>21750.00</v>
      </c>
      <c r="AJ904" t="str">
        <f>"C55-000-588-1407-0"</f>
        <v>C55-000-588-1407-0</v>
      </c>
      <c r="AK904" t="str">
        <f>"14075"</f>
        <v>14075</v>
      </c>
      <c r="AL904">
        <v>4</v>
      </c>
      <c r="AM904">
        <v>1045</v>
      </c>
      <c r="AN904">
        <v>444.09</v>
      </c>
      <c r="AQ904" t="s">
        <v>9386</v>
      </c>
      <c r="AR904" t="s">
        <v>9386</v>
      </c>
      <c r="AS904" t="s">
        <v>9386</v>
      </c>
      <c r="AU904" t="s">
        <v>396</v>
      </c>
      <c r="AV904">
        <v>2017</v>
      </c>
      <c r="AW904" t="str">
        <f>"42-2N-25-0000-0021-0000 "</f>
        <v xml:space="preserve">42-2N-25-0000-0021-0000 </v>
      </c>
      <c r="AX904">
        <v>55060</v>
      </c>
      <c r="AZ904" t="s">
        <v>9387</v>
      </c>
      <c r="BA904" t="s">
        <v>496</v>
      </c>
      <c r="BD904" t="s">
        <v>2785</v>
      </c>
      <c r="BE904" t="s">
        <v>393</v>
      </c>
      <c r="BF904">
        <v>32011</v>
      </c>
      <c r="BG904" t="s">
        <v>9388</v>
      </c>
      <c r="BH904" t="s">
        <v>2787</v>
      </c>
      <c r="BI904">
        <v>-81.791738484568995</v>
      </c>
      <c r="BJ904">
        <v>30.585683144097601</v>
      </c>
      <c r="BK904" t="s">
        <v>9389</v>
      </c>
      <c r="BM904" t="s">
        <v>9390</v>
      </c>
      <c r="BN904" t="s">
        <v>928</v>
      </c>
      <c r="BO904">
        <v>32011</v>
      </c>
      <c r="BP904" t="s">
        <v>416</v>
      </c>
      <c r="BQ904">
        <v>200</v>
      </c>
      <c r="BR904" t="s">
        <v>405</v>
      </c>
      <c r="BS904">
        <v>1006</v>
      </c>
      <c r="BT904" t="s">
        <v>406</v>
      </c>
      <c r="BW904">
        <v>63162</v>
      </c>
      <c r="BX904" t="s">
        <v>407</v>
      </c>
      <c r="BY904" t="s">
        <v>408</v>
      </c>
      <c r="BZ904">
        <v>4</v>
      </c>
      <c r="CA904">
        <v>1996</v>
      </c>
      <c r="CB904">
        <v>1</v>
      </c>
      <c r="CC904">
        <v>1</v>
      </c>
      <c r="CD904">
        <v>2017</v>
      </c>
      <c r="CG904">
        <v>50169</v>
      </c>
      <c r="CH904">
        <v>2017</v>
      </c>
      <c r="CI904">
        <v>21750</v>
      </c>
      <c r="CJ904">
        <v>43766</v>
      </c>
      <c r="CK904">
        <v>65516</v>
      </c>
      <c r="CL904">
        <v>2017</v>
      </c>
      <c r="CM904">
        <v>381.04</v>
      </c>
      <c r="CN904" s="1">
        <v>36020</v>
      </c>
      <c r="CO904">
        <v>8000</v>
      </c>
      <c r="CZ904" s="1">
        <v>36020</v>
      </c>
      <c r="DD904" t="s">
        <v>2785</v>
      </c>
      <c r="DG904">
        <v>42</v>
      </c>
      <c r="DL904">
        <v>50502</v>
      </c>
      <c r="DM904" t="s">
        <v>9353</v>
      </c>
      <c r="DO904" t="s">
        <v>9391</v>
      </c>
      <c r="DP904">
        <v>0</v>
      </c>
      <c r="DQ904">
        <v>0</v>
      </c>
      <c r="DR904" t="s">
        <v>411</v>
      </c>
    </row>
    <row r="905" spans="1:249" x14ac:dyDescent="0.25">
      <c r="A905">
        <v>16485912</v>
      </c>
      <c r="B905">
        <v>904</v>
      </c>
      <c r="C905" t="s">
        <v>393</v>
      </c>
      <c r="D905" t="s">
        <v>394</v>
      </c>
      <c r="F905" t="str">
        <f>"46-2N-25-0000-0002-0030"</f>
        <v>46-2N-25-0000-0002-0030</v>
      </c>
      <c r="H905" t="str">
        <f>"HUNT GRACE DIANE"</f>
        <v>HUNT GRACE DIANE</v>
      </c>
      <c r="I905" t="str">
        <f>"45958 BISMARK ROAD"</f>
        <v>45958 BISMARK ROAD</v>
      </c>
      <c r="J905" t="str">
        <f>"CALLAHAN FL 32011"</f>
        <v>CALLAHAN FL 32011</v>
      </c>
      <c r="K905" t="str">
        <f>"45958 BISMARK RD"</f>
        <v>45958 BISMARK RD</v>
      </c>
      <c r="L905" t="str">
        <f t="shared" si="273"/>
        <v>CALLAHAN FL 32011</v>
      </c>
      <c r="M905" t="str">
        <f>"IN OR 1035/834 1994 HOME DW"</f>
        <v>IN OR 1035/834 1994 HOME DW</v>
      </c>
      <c r="N905" t="str">
        <f>""</f>
        <v/>
      </c>
      <c r="O905" t="str">
        <f>"52220"</f>
        <v>52220</v>
      </c>
      <c r="P905" t="str">
        <f t="shared" si="283"/>
        <v>2017</v>
      </c>
      <c r="Q905" t="str">
        <f>""</f>
        <v/>
      </c>
      <c r="R905" t="str">
        <f>"Y"</f>
        <v>Y</v>
      </c>
      <c r="S905" t="str">
        <f>"5.06"</f>
        <v>5.06</v>
      </c>
      <c r="T905" t="str">
        <f>"537.79"</f>
        <v>537.79</v>
      </c>
      <c r="U905" t="str">
        <f>"74145.00"</f>
        <v>74145.00</v>
      </c>
      <c r="V905" t="str">
        <f>"74145.00"</f>
        <v>74145.00</v>
      </c>
      <c r="W905" t="str">
        <f t="shared" si="284"/>
        <v>2017</v>
      </c>
      <c r="X905" t="str">
        <f>"18.80"</f>
        <v>18.80</v>
      </c>
      <c r="Y905" t="str">
        <f>"585.92"</f>
        <v>585.92</v>
      </c>
      <c r="Z905" t="str">
        <f>"25000.00"</f>
        <v>25000.00</v>
      </c>
      <c r="AA905" t="str">
        <f>"49145.00"</f>
        <v>49145.00</v>
      </c>
      <c r="AB905" t="str">
        <f t="shared" si="282"/>
        <v>Residential</v>
      </c>
      <c r="AC905" t="str">
        <f t="shared" si="274"/>
        <v>0</v>
      </c>
      <c r="AD905" t="str">
        <f>"4"</f>
        <v>4</v>
      </c>
      <c r="AE905" t="str">
        <f>"WOOD (INCLUDE STEEL STUDS)"</f>
        <v>WOOD (INCLUDE STEEL STUDS)</v>
      </c>
      <c r="AF905" t="str">
        <f>"002"</f>
        <v>002</v>
      </c>
      <c r="AG905" t="str">
        <f t="shared" si="280"/>
        <v>FL</v>
      </c>
      <c r="AH905" t="str">
        <f>"220413.00"</f>
        <v>220413.00</v>
      </c>
      <c r="AI905" t="str">
        <f>"40480.00"</f>
        <v>40480.00</v>
      </c>
      <c r="AJ905" t="str">
        <f>"C55-000-588-5193-2"</f>
        <v>C55-000-588-5193-2</v>
      </c>
      <c r="AK905" t="str">
        <f>"14091"</f>
        <v>14091</v>
      </c>
      <c r="AL905">
        <v>4</v>
      </c>
      <c r="AM905">
        <v>1046</v>
      </c>
      <c r="AN905">
        <v>613.62</v>
      </c>
      <c r="AQ905" t="s">
        <v>9392</v>
      </c>
      <c r="AR905" t="s">
        <v>9392</v>
      </c>
      <c r="AS905" t="s">
        <v>9392</v>
      </c>
      <c r="AU905" t="s">
        <v>396</v>
      </c>
      <c r="AV905">
        <v>2017</v>
      </c>
      <c r="AW905" t="str">
        <f>"46-2N-25-0000-0002-0030 "</f>
        <v xml:space="preserve">46-2N-25-0000-0002-0030 </v>
      </c>
      <c r="AX905">
        <v>45958</v>
      </c>
      <c r="AZ905" t="s">
        <v>8725</v>
      </c>
      <c r="BA905" t="s">
        <v>496</v>
      </c>
      <c r="BD905" t="s">
        <v>2785</v>
      </c>
      <c r="BE905" t="s">
        <v>393</v>
      </c>
      <c r="BF905">
        <v>32011</v>
      </c>
      <c r="BG905" t="s">
        <v>9393</v>
      </c>
      <c r="BH905" t="s">
        <v>2787</v>
      </c>
      <c r="BI905">
        <v>-81.756279790994697</v>
      </c>
      <c r="BJ905">
        <v>30.5684245568766</v>
      </c>
      <c r="BK905" t="s">
        <v>9394</v>
      </c>
      <c r="BM905" t="s">
        <v>9393</v>
      </c>
      <c r="BN905" t="s">
        <v>928</v>
      </c>
      <c r="BO905">
        <v>32011</v>
      </c>
      <c r="BP905" t="s">
        <v>416</v>
      </c>
      <c r="BQ905">
        <v>200</v>
      </c>
      <c r="BR905" t="s">
        <v>405</v>
      </c>
      <c r="BS905">
        <v>1006</v>
      </c>
      <c r="BT905" t="s">
        <v>406</v>
      </c>
      <c r="BW905">
        <v>220413</v>
      </c>
      <c r="BX905" t="s">
        <v>407</v>
      </c>
      <c r="BY905" t="s">
        <v>408</v>
      </c>
      <c r="BZ905">
        <v>4</v>
      </c>
      <c r="CA905">
        <v>1994</v>
      </c>
      <c r="CB905">
        <v>1</v>
      </c>
      <c r="CC905">
        <v>1</v>
      </c>
      <c r="CD905">
        <v>2017</v>
      </c>
      <c r="CG905">
        <v>74145</v>
      </c>
      <c r="CH905">
        <v>2017</v>
      </c>
      <c r="CI905">
        <v>40480</v>
      </c>
      <c r="CJ905">
        <v>45155</v>
      </c>
      <c r="CK905">
        <v>85635</v>
      </c>
      <c r="CL905">
        <v>2017</v>
      </c>
      <c r="CM905">
        <v>537.79</v>
      </c>
      <c r="CN905" s="1">
        <v>37293</v>
      </c>
      <c r="CZ905" s="1">
        <v>37293</v>
      </c>
      <c r="DD905" t="s">
        <v>2785</v>
      </c>
      <c r="DG905">
        <v>46</v>
      </c>
      <c r="DL905">
        <v>50502</v>
      </c>
      <c r="DM905" t="s">
        <v>9395</v>
      </c>
      <c r="DO905" t="s">
        <v>9396</v>
      </c>
      <c r="DP905">
        <v>0</v>
      </c>
      <c r="DQ905">
        <v>0</v>
      </c>
      <c r="DR905" t="s">
        <v>411</v>
      </c>
      <c r="EP905" t="s">
        <v>421</v>
      </c>
      <c r="EQ905" t="s">
        <v>422</v>
      </c>
      <c r="ER905">
        <v>2</v>
      </c>
      <c r="ES905">
        <v>4</v>
      </c>
      <c r="ET905">
        <v>1216.52</v>
      </c>
      <c r="EU905">
        <v>73.33</v>
      </c>
      <c r="EV905">
        <v>1289.8499999999999</v>
      </c>
      <c r="EW905" s="2">
        <v>43222</v>
      </c>
      <c r="EX905" s="1">
        <v>42879</v>
      </c>
      <c r="EY905">
        <v>2016</v>
      </c>
      <c r="EZ905">
        <v>608.26</v>
      </c>
      <c r="FA905" t="s">
        <v>9397</v>
      </c>
      <c r="FB905">
        <v>0.25</v>
      </c>
      <c r="FC905" t="s">
        <v>424</v>
      </c>
      <c r="FD905" t="s">
        <v>454</v>
      </c>
      <c r="FF905">
        <v>12</v>
      </c>
      <c r="FG905">
        <v>2851116</v>
      </c>
      <c r="FH905" t="s">
        <v>480</v>
      </c>
      <c r="FJ905" s="1">
        <v>42879</v>
      </c>
      <c r="FK905">
        <v>2016</v>
      </c>
      <c r="FL905">
        <v>608.26</v>
      </c>
      <c r="FM905" t="s">
        <v>9397</v>
      </c>
      <c r="FN905">
        <v>0.25</v>
      </c>
      <c r="FO905" t="s">
        <v>424</v>
      </c>
      <c r="FP905" t="s">
        <v>454</v>
      </c>
      <c r="FR905">
        <v>12</v>
      </c>
      <c r="FS905">
        <v>5005793</v>
      </c>
      <c r="FT905" t="s">
        <v>9398</v>
      </c>
      <c r="FV905" s="1">
        <v>41787</v>
      </c>
      <c r="FW905">
        <v>2013</v>
      </c>
      <c r="FX905">
        <v>664.45</v>
      </c>
      <c r="FY905" t="s">
        <v>9399</v>
      </c>
      <c r="FZ905">
        <v>0.25</v>
      </c>
      <c r="GA905" t="s">
        <v>424</v>
      </c>
      <c r="GB905" t="s">
        <v>425</v>
      </c>
      <c r="GC905" s="1">
        <v>41927</v>
      </c>
      <c r="GD905">
        <v>5</v>
      </c>
      <c r="GE905">
        <v>2407503</v>
      </c>
      <c r="GF905" t="s">
        <v>461</v>
      </c>
      <c r="GH905" s="1">
        <v>41423</v>
      </c>
      <c r="GI905">
        <v>2012</v>
      </c>
      <c r="GJ905">
        <v>653.76</v>
      </c>
      <c r="GK905" t="s">
        <v>9400</v>
      </c>
      <c r="GL905">
        <v>3</v>
      </c>
      <c r="GM905" t="s">
        <v>424</v>
      </c>
      <c r="GN905" t="s">
        <v>425</v>
      </c>
      <c r="GO905" s="1">
        <v>41799</v>
      </c>
      <c r="GP905">
        <v>13</v>
      </c>
      <c r="GQ905">
        <v>15399</v>
      </c>
      <c r="GR905" t="s">
        <v>485</v>
      </c>
      <c r="GT905" s="1">
        <v>41052</v>
      </c>
      <c r="GU905">
        <v>2011</v>
      </c>
      <c r="GV905">
        <v>632.51</v>
      </c>
      <c r="GW905" t="s">
        <v>9401</v>
      </c>
      <c r="GX905">
        <v>6</v>
      </c>
      <c r="GY905" t="s">
        <v>424</v>
      </c>
      <c r="GZ905" t="s">
        <v>425</v>
      </c>
      <c r="HA905" s="1">
        <v>41715</v>
      </c>
      <c r="HB905">
        <v>22</v>
      </c>
      <c r="HC905">
        <v>105</v>
      </c>
      <c r="HD905" t="s">
        <v>946</v>
      </c>
      <c r="HF905" s="1">
        <v>40688</v>
      </c>
      <c r="HG905">
        <v>2010</v>
      </c>
      <c r="HH905">
        <v>624.57000000000005</v>
      </c>
      <c r="HI905" t="s">
        <v>9402</v>
      </c>
      <c r="HJ905">
        <v>7.75</v>
      </c>
      <c r="HK905" t="s">
        <v>424</v>
      </c>
      <c r="HL905" t="s">
        <v>425</v>
      </c>
      <c r="HM905" s="1">
        <v>41332</v>
      </c>
      <c r="HN905">
        <v>21</v>
      </c>
      <c r="HO905">
        <v>305</v>
      </c>
      <c r="HP905" t="s">
        <v>1078</v>
      </c>
    </row>
    <row r="906" spans="1:249" x14ac:dyDescent="0.25">
      <c r="A906">
        <v>16485913</v>
      </c>
      <c r="B906">
        <v>905</v>
      </c>
      <c r="C906" t="s">
        <v>393</v>
      </c>
      <c r="D906" t="s">
        <v>394</v>
      </c>
      <c r="F906" t="str">
        <f>"46-2N-25-0000-0014-0030"</f>
        <v>46-2N-25-0000-0014-0030</v>
      </c>
      <c r="H906" t="str">
        <f>"CARTER BRYANT STEVEN III"</f>
        <v>CARTER BRYANT STEVEN III</v>
      </c>
      <c r="I906" t="str">
        <f>"54131 OGILVIE ROAD"</f>
        <v>54131 OGILVIE ROAD</v>
      </c>
      <c r="J906" t="str">
        <f>"CALLAHAN FL 32011"</f>
        <v>CALLAHAN FL 32011</v>
      </c>
      <c r="K906" t="str">
        <f>"54131 OGILVIE RD"</f>
        <v>54131 OGILVIE RD</v>
      </c>
      <c r="L906" t="str">
        <f t="shared" si="273"/>
        <v>CALLAHAN FL 32011</v>
      </c>
      <c r="M906" t="str">
        <f>"PT OF LOT 6 IN OR 803/1034 PARCELS 14-3 &amp; 15-6"</f>
        <v>PT OF LOT 6 IN OR 803/1034 PARCELS 14-3 &amp; 15-6</v>
      </c>
      <c r="N906" t="str">
        <f>""</f>
        <v/>
      </c>
      <c r="O906" t="str">
        <f>"52294"</f>
        <v>52294</v>
      </c>
      <c r="P906" t="str">
        <f t="shared" si="283"/>
        <v>2017</v>
      </c>
      <c r="Q906" t="str">
        <f>""</f>
        <v/>
      </c>
      <c r="R906" t="str">
        <f>"N"</f>
        <v>N</v>
      </c>
      <c r="S906" t="str">
        <f>"1.00"</f>
        <v>1.00</v>
      </c>
      <c r="T906" t="str">
        <f>"361.23"</f>
        <v>361.23</v>
      </c>
      <c r="U906" t="str">
        <f>"23861.00"</f>
        <v>23861.00</v>
      </c>
      <c r="V906" t="str">
        <f>"23861.00"</f>
        <v>23861.00</v>
      </c>
      <c r="W906" t="str">
        <f t="shared" si="284"/>
        <v>2017</v>
      </c>
      <c r="X906" t="str">
        <f>"23.92"</f>
        <v>23.92</v>
      </c>
      <c r="Y906" t="str">
        <f>"404.07"</f>
        <v>404.07</v>
      </c>
      <c r="Z906" t="str">
        <f>""</f>
        <v/>
      </c>
      <c r="AA906" t="str">
        <f>"23861.00"</f>
        <v>23861.00</v>
      </c>
      <c r="AB906" t="str">
        <f t="shared" si="282"/>
        <v>Residential</v>
      </c>
      <c r="AC906" t="str">
        <f t="shared" si="274"/>
        <v>0</v>
      </c>
      <c r="AD906" t="str">
        <f>""</f>
        <v/>
      </c>
      <c r="AE906" t="str">
        <f>""</f>
        <v/>
      </c>
      <c r="AF906" t="str">
        <f>"000"</f>
        <v>000</v>
      </c>
      <c r="AG906" t="str">
        <f t="shared" si="280"/>
        <v>FL</v>
      </c>
      <c r="AH906" t="str">
        <f>"43560.00"</f>
        <v>43560.00</v>
      </c>
      <c r="AI906" t="str">
        <f>"15000.00"</f>
        <v>15000.00</v>
      </c>
      <c r="AJ906" t="str">
        <f>"C55-000-588-5238-5"</f>
        <v>C55-000-588-5238-5</v>
      </c>
      <c r="AK906" t="str">
        <f>"14155"</f>
        <v>14155</v>
      </c>
      <c r="AL906">
        <v>4</v>
      </c>
      <c r="AM906">
        <v>1047</v>
      </c>
      <c r="AN906">
        <v>422.67</v>
      </c>
      <c r="AQ906" t="s">
        <v>9403</v>
      </c>
      <c r="AR906" t="s">
        <v>9403</v>
      </c>
      <c r="AS906" t="s">
        <v>9403</v>
      </c>
      <c r="AU906" t="s">
        <v>396</v>
      </c>
      <c r="AV906">
        <v>2017</v>
      </c>
      <c r="AW906" t="str">
        <f>"46-2N-25-0000-0014-0030 "</f>
        <v xml:space="preserve">46-2N-25-0000-0014-0030 </v>
      </c>
      <c r="AX906">
        <v>54131</v>
      </c>
      <c r="AZ906" t="s">
        <v>9404</v>
      </c>
      <c r="BA906" t="s">
        <v>496</v>
      </c>
      <c r="BD906" t="s">
        <v>2785</v>
      </c>
      <c r="BE906" t="s">
        <v>393</v>
      </c>
      <c r="BF906">
        <v>32011</v>
      </c>
      <c r="BG906" t="s">
        <v>9405</v>
      </c>
      <c r="BH906" t="s">
        <v>2787</v>
      </c>
      <c r="BI906">
        <v>-81.780465121795302</v>
      </c>
      <c r="BJ906">
        <v>30.5484697563748</v>
      </c>
      <c r="BK906" t="s">
        <v>9406</v>
      </c>
      <c r="BM906" t="s">
        <v>9405</v>
      </c>
      <c r="BN906" t="s">
        <v>928</v>
      </c>
      <c r="BO906">
        <v>32011</v>
      </c>
      <c r="BP906" t="s">
        <v>416</v>
      </c>
      <c r="BQ906">
        <v>1</v>
      </c>
      <c r="BR906" t="s">
        <v>491</v>
      </c>
      <c r="BS906">
        <v>8001</v>
      </c>
      <c r="BT906" t="s">
        <v>492</v>
      </c>
      <c r="BW906">
        <v>43560</v>
      </c>
      <c r="BX906" t="s">
        <v>407</v>
      </c>
      <c r="CD906">
        <v>2017</v>
      </c>
      <c r="CE906">
        <v>15000</v>
      </c>
      <c r="CF906">
        <v>8861</v>
      </c>
      <c r="CG906">
        <v>23861</v>
      </c>
      <c r="CH906">
        <v>2017</v>
      </c>
      <c r="CI906">
        <v>15000</v>
      </c>
      <c r="CJ906">
        <v>8861</v>
      </c>
      <c r="CK906">
        <v>23861</v>
      </c>
      <c r="CL906">
        <v>2017</v>
      </c>
      <c r="CM906">
        <v>361.23</v>
      </c>
      <c r="CN906" s="1">
        <v>35660</v>
      </c>
      <c r="CZ906" s="1">
        <v>35660</v>
      </c>
      <c r="DD906" t="s">
        <v>2785</v>
      </c>
      <c r="DF906">
        <v>6</v>
      </c>
      <c r="DG906">
        <v>46</v>
      </c>
      <c r="DL906">
        <v>50502</v>
      </c>
      <c r="DM906" t="s">
        <v>9395</v>
      </c>
      <c r="DO906" t="s">
        <v>9407</v>
      </c>
      <c r="DP906">
        <v>0</v>
      </c>
      <c r="DQ906">
        <v>0</v>
      </c>
      <c r="DR906" t="s">
        <v>411</v>
      </c>
      <c r="DS906" t="b">
        <v>1</v>
      </c>
      <c r="DT906" t="s">
        <v>470</v>
      </c>
      <c r="DU906" t="s">
        <v>471</v>
      </c>
      <c r="DV906" t="s">
        <v>472</v>
      </c>
      <c r="DX906">
        <v>-9999</v>
      </c>
      <c r="DZ906" t="s">
        <v>447</v>
      </c>
      <c r="EA906" t="s">
        <v>448</v>
      </c>
      <c r="EB906" t="s">
        <v>742</v>
      </c>
      <c r="EC906">
        <v>20101217</v>
      </c>
      <c r="ED906" t="s">
        <v>474</v>
      </c>
      <c r="EF906">
        <v>716.4</v>
      </c>
      <c r="EG906">
        <v>716.4</v>
      </c>
      <c r="EI906">
        <v>20160407</v>
      </c>
      <c r="EJ906">
        <v>0</v>
      </c>
      <c r="EK906">
        <v>0</v>
      </c>
      <c r="EP906" t="s">
        <v>595</v>
      </c>
      <c r="EQ906" t="s">
        <v>452</v>
      </c>
      <c r="ER906">
        <v>2</v>
      </c>
      <c r="ES906">
        <v>6</v>
      </c>
      <c r="ET906">
        <v>664.36</v>
      </c>
      <c r="EU906">
        <v>45.72</v>
      </c>
      <c r="EV906">
        <v>710.08</v>
      </c>
      <c r="EW906" s="2">
        <v>43222</v>
      </c>
      <c r="EX906" s="1">
        <v>42879</v>
      </c>
      <c r="EY906">
        <v>2016</v>
      </c>
      <c r="EZ906">
        <v>332.18</v>
      </c>
      <c r="FA906" t="s">
        <v>9408</v>
      </c>
      <c r="FB906">
        <v>0.25</v>
      </c>
      <c r="FC906" t="s">
        <v>424</v>
      </c>
      <c r="FD906" t="s">
        <v>454</v>
      </c>
      <c r="FF906">
        <v>12</v>
      </c>
      <c r="FG906">
        <v>7400234</v>
      </c>
      <c r="FH906" t="s">
        <v>426</v>
      </c>
      <c r="FJ906" s="1">
        <v>42879</v>
      </c>
      <c r="FK906">
        <v>2016</v>
      </c>
      <c r="FL906">
        <v>332.18</v>
      </c>
      <c r="FM906" t="s">
        <v>9408</v>
      </c>
      <c r="FN906">
        <v>0.25</v>
      </c>
      <c r="FO906" t="s">
        <v>424</v>
      </c>
      <c r="FP906" t="s">
        <v>454</v>
      </c>
      <c r="FR906">
        <v>12</v>
      </c>
      <c r="FS906">
        <v>7437362</v>
      </c>
      <c r="FT906" t="s">
        <v>9409</v>
      </c>
      <c r="FV906" s="1">
        <v>42515</v>
      </c>
      <c r="FW906">
        <v>2015</v>
      </c>
      <c r="FX906">
        <v>328.18</v>
      </c>
      <c r="FY906" t="s">
        <v>9410</v>
      </c>
      <c r="FZ906">
        <v>4.75</v>
      </c>
      <c r="GA906" t="s">
        <v>424</v>
      </c>
      <c r="GB906" t="s">
        <v>425</v>
      </c>
      <c r="GC906" s="1">
        <v>43157</v>
      </c>
      <c r="GD906">
        <v>21</v>
      </c>
      <c r="GE906">
        <v>2035919</v>
      </c>
      <c r="GF906" t="s">
        <v>507</v>
      </c>
      <c r="GH906" s="1">
        <v>42151</v>
      </c>
      <c r="GI906">
        <v>2014</v>
      </c>
      <c r="GJ906">
        <v>296.5</v>
      </c>
      <c r="GK906" t="s">
        <v>9411</v>
      </c>
      <c r="GL906">
        <v>4.75</v>
      </c>
      <c r="GM906" t="s">
        <v>424</v>
      </c>
      <c r="GN906" t="s">
        <v>425</v>
      </c>
      <c r="GO906" s="1">
        <v>42787</v>
      </c>
      <c r="GP906">
        <v>21</v>
      </c>
      <c r="GQ906">
        <v>4975593</v>
      </c>
      <c r="GR906" t="s">
        <v>505</v>
      </c>
      <c r="GT906" s="1">
        <v>41787</v>
      </c>
      <c r="GU906">
        <v>2013</v>
      </c>
      <c r="GV906">
        <v>296.67</v>
      </c>
      <c r="GW906" t="s">
        <v>9412</v>
      </c>
      <c r="GX906">
        <v>6.75</v>
      </c>
      <c r="GY906" t="s">
        <v>424</v>
      </c>
      <c r="GZ906" t="s">
        <v>425</v>
      </c>
      <c r="HA906" s="1">
        <v>42405</v>
      </c>
      <c r="HB906">
        <v>21</v>
      </c>
      <c r="HC906">
        <v>2035919</v>
      </c>
      <c r="HD906" t="s">
        <v>507</v>
      </c>
      <c r="HF906" s="1">
        <v>41423</v>
      </c>
      <c r="HG906">
        <v>2012</v>
      </c>
      <c r="HH906">
        <v>352.75</v>
      </c>
      <c r="HI906" t="s">
        <v>9413</v>
      </c>
      <c r="HJ906">
        <v>5.75</v>
      </c>
      <c r="HK906" t="s">
        <v>424</v>
      </c>
      <c r="HL906" t="s">
        <v>425</v>
      </c>
      <c r="HM906" s="1">
        <v>42061</v>
      </c>
      <c r="HN906">
        <v>21</v>
      </c>
      <c r="HO906">
        <v>10125</v>
      </c>
      <c r="HP906" t="s">
        <v>440</v>
      </c>
      <c r="HR906" s="1">
        <v>40688</v>
      </c>
      <c r="HS906">
        <v>2010</v>
      </c>
      <c r="HT906">
        <v>378.68</v>
      </c>
      <c r="HU906" t="s">
        <v>9414</v>
      </c>
      <c r="HV906">
        <v>7.5</v>
      </c>
      <c r="HW906" t="s">
        <v>424</v>
      </c>
      <c r="HX906" t="s">
        <v>425</v>
      </c>
      <c r="HY906" s="1">
        <v>41029</v>
      </c>
      <c r="HZ906">
        <v>11</v>
      </c>
      <c r="IA906">
        <v>10579</v>
      </c>
      <c r="IB906" t="s">
        <v>488</v>
      </c>
      <c r="IC906" t="s">
        <v>458</v>
      </c>
      <c r="ID906" s="1">
        <v>40688</v>
      </c>
      <c r="IE906">
        <v>2010</v>
      </c>
      <c r="IF906">
        <v>378.68</v>
      </c>
      <c r="IG906" t="s">
        <v>9414</v>
      </c>
      <c r="IH906">
        <v>7.5</v>
      </c>
      <c r="II906" t="s">
        <v>603</v>
      </c>
      <c r="IJ906" t="s">
        <v>425</v>
      </c>
      <c r="IK906" s="1">
        <v>41165</v>
      </c>
      <c r="IL906">
        <v>16</v>
      </c>
      <c r="IM906">
        <v>9999999</v>
      </c>
      <c r="IN906" t="s">
        <v>604</v>
      </c>
      <c r="IO906" t="s">
        <v>458</v>
      </c>
    </row>
    <row r="907" spans="1:249" x14ac:dyDescent="0.25">
      <c r="A907">
        <v>16485914</v>
      </c>
      <c r="B907">
        <v>906</v>
      </c>
      <c r="C907" t="s">
        <v>393</v>
      </c>
      <c r="D907" t="s">
        <v>394</v>
      </c>
      <c r="F907" t="str">
        <f>"46-2N-25-0000-0017-0010"</f>
        <v>46-2N-25-0000-0017-0010</v>
      </c>
      <c r="H907" t="str">
        <f>"STRAWN STEPHANIE C MUSGROVE"</f>
        <v>STRAWN STEPHANIE C MUSGROVE</v>
      </c>
      <c r="I907" t="str">
        <f>"25815 GIFT SHOP ROAD"</f>
        <v>25815 GIFT SHOP ROAD</v>
      </c>
      <c r="J907" t="str">
        <f>"OPP AL 36467"</f>
        <v>OPP AL 36467</v>
      </c>
      <c r="K907" t="str">
        <f>"54466 OGILVIE RD"</f>
        <v>54466 OGILVIE RD</v>
      </c>
      <c r="L907" t="str">
        <f t="shared" si="273"/>
        <v>CALLAHAN FL 32011</v>
      </c>
      <c r="M907" t="str">
        <f>"PT OF LOT 6 IN OR 800 PG 1498"</f>
        <v>PT OF LOT 6 IN OR 800 PG 1498</v>
      </c>
      <c r="N907" t="str">
        <f>""</f>
        <v/>
      </c>
      <c r="O907" t="str">
        <f>"52307"</f>
        <v>52307</v>
      </c>
      <c r="P907" t="str">
        <f t="shared" si="283"/>
        <v>2017</v>
      </c>
      <c r="Q907" t="str">
        <f>""</f>
        <v/>
      </c>
      <c r="R907" t="str">
        <f>"N"</f>
        <v>N</v>
      </c>
      <c r="S907" t="str">
        <f>"1.00"</f>
        <v>1.00</v>
      </c>
      <c r="T907" t="str">
        <f>"308.17"</f>
        <v>308.17</v>
      </c>
      <c r="U907" t="str">
        <f>"18700.00"</f>
        <v>18700.00</v>
      </c>
      <c r="V907" t="str">
        <f>"18700.00"</f>
        <v>18700.00</v>
      </c>
      <c r="W907" t="str">
        <f t="shared" si="284"/>
        <v>2017</v>
      </c>
      <c r="X907" t="str">
        <f>"2.00"</f>
        <v>2.00</v>
      </c>
      <c r="Y907" t="str">
        <f>"349.42"</f>
        <v>349.42</v>
      </c>
      <c r="Z907" t="str">
        <f>""</f>
        <v/>
      </c>
      <c r="AA907" t="str">
        <f>"22500.00"</f>
        <v>22500.00</v>
      </c>
      <c r="AB907" t="str">
        <f t="shared" si="282"/>
        <v>Residential</v>
      </c>
      <c r="AC907" t="str">
        <f t="shared" si="274"/>
        <v>0</v>
      </c>
      <c r="AD907" t="str">
        <f>""</f>
        <v/>
      </c>
      <c r="AE907" t="str">
        <f>""</f>
        <v/>
      </c>
      <c r="AF907" t="str">
        <f>"000"</f>
        <v>000</v>
      </c>
      <c r="AG907" t="str">
        <f>"AL"</f>
        <v>AL</v>
      </c>
      <c r="AH907" t="str">
        <f>"43560.00"</f>
        <v>43560.00</v>
      </c>
      <c r="AI907" t="str">
        <f>"15000.00"</f>
        <v>15000.00</v>
      </c>
      <c r="AJ907" t="str">
        <f>"C55-000-588-5250-0"</f>
        <v>C55-000-588-5250-0</v>
      </c>
      <c r="AK907" t="str">
        <f>"14166"</f>
        <v>14166</v>
      </c>
      <c r="AL907">
        <v>4</v>
      </c>
      <c r="AM907">
        <v>1048</v>
      </c>
      <c r="AN907">
        <v>365.29</v>
      </c>
      <c r="AQ907" t="s">
        <v>9415</v>
      </c>
      <c r="AR907" t="s">
        <v>9415</v>
      </c>
      <c r="AS907" t="s">
        <v>9415</v>
      </c>
      <c r="AU907" t="s">
        <v>396</v>
      </c>
      <c r="AV907">
        <v>2017</v>
      </c>
      <c r="AW907" t="str">
        <f>"46-2N-25-0000-0017-0010 "</f>
        <v xml:space="preserve">46-2N-25-0000-0017-0010 </v>
      </c>
      <c r="AX907">
        <v>54466</v>
      </c>
      <c r="AZ907" t="s">
        <v>9404</v>
      </c>
      <c r="BA907" t="s">
        <v>496</v>
      </c>
      <c r="BD907" t="s">
        <v>2785</v>
      </c>
      <c r="BE907" t="s">
        <v>393</v>
      </c>
      <c r="BF907">
        <v>32011</v>
      </c>
      <c r="BG907" t="s">
        <v>9416</v>
      </c>
      <c r="BH907" t="s">
        <v>2787</v>
      </c>
      <c r="BI907">
        <v>-81.7749294903562</v>
      </c>
      <c r="BJ907">
        <v>30.547520080664199</v>
      </c>
      <c r="BK907" t="s">
        <v>9417</v>
      </c>
      <c r="BM907" t="s">
        <v>9418</v>
      </c>
      <c r="BN907" t="s">
        <v>9419</v>
      </c>
      <c r="BO907">
        <v>36467</v>
      </c>
      <c r="BP907" t="s">
        <v>404</v>
      </c>
      <c r="BQ907">
        <v>1</v>
      </c>
      <c r="BR907" t="s">
        <v>491</v>
      </c>
      <c r="BS907">
        <v>8001</v>
      </c>
      <c r="BT907" t="s">
        <v>492</v>
      </c>
      <c r="BW907">
        <v>43560</v>
      </c>
      <c r="BX907" t="s">
        <v>407</v>
      </c>
      <c r="CD907">
        <v>2017</v>
      </c>
      <c r="CE907">
        <v>15000</v>
      </c>
      <c r="CF907">
        <v>7500</v>
      </c>
      <c r="CG907">
        <v>22500</v>
      </c>
      <c r="CH907">
        <v>2017</v>
      </c>
      <c r="CI907">
        <v>15000</v>
      </c>
      <c r="CJ907">
        <v>7500</v>
      </c>
      <c r="CK907">
        <v>22500</v>
      </c>
      <c r="CL907">
        <v>2017</v>
      </c>
      <c r="CM907">
        <v>308.17</v>
      </c>
      <c r="CN907" s="1">
        <v>35634</v>
      </c>
      <c r="CZ907" s="1">
        <v>35634</v>
      </c>
      <c r="DD907" t="s">
        <v>2785</v>
      </c>
      <c r="DF907">
        <v>6</v>
      </c>
      <c r="DG907">
        <v>46</v>
      </c>
      <c r="DL907">
        <v>50502</v>
      </c>
      <c r="DM907" t="s">
        <v>9395</v>
      </c>
      <c r="DO907" t="s">
        <v>9420</v>
      </c>
      <c r="DP907">
        <v>0</v>
      </c>
      <c r="DQ907">
        <v>0</v>
      </c>
      <c r="DR907" t="s">
        <v>411</v>
      </c>
      <c r="DS907" t="b">
        <v>1</v>
      </c>
      <c r="DT907" t="s">
        <v>470</v>
      </c>
      <c r="DU907" t="s">
        <v>471</v>
      </c>
      <c r="DV907" t="s">
        <v>472</v>
      </c>
      <c r="DX907">
        <v>-9999</v>
      </c>
      <c r="DZ907" t="s">
        <v>447</v>
      </c>
      <c r="EA907" t="s">
        <v>448</v>
      </c>
      <c r="EB907" t="s">
        <v>742</v>
      </c>
      <c r="EC907">
        <v>20101217</v>
      </c>
      <c r="ED907" t="s">
        <v>474</v>
      </c>
      <c r="EF907">
        <v>553.20000000000005</v>
      </c>
      <c r="EG907">
        <v>553.20000000000005</v>
      </c>
      <c r="EI907">
        <v>20160407</v>
      </c>
      <c r="EJ907">
        <v>0</v>
      </c>
      <c r="EK907">
        <v>0</v>
      </c>
      <c r="EP907" t="s">
        <v>421</v>
      </c>
      <c r="EQ907" t="s">
        <v>422</v>
      </c>
      <c r="ER907">
        <v>2</v>
      </c>
      <c r="ES907">
        <v>1</v>
      </c>
      <c r="ET907">
        <v>618.46</v>
      </c>
      <c r="EU907">
        <v>43.42</v>
      </c>
      <c r="EV907">
        <v>661.88</v>
      </c>
      <c r="EW907" s="2">
        <v>43222</v>
      </c>
      <c r="EX907" s="1">
        <v>42879</v>
      </c>
      <c r="EY907">
        <v>2016</v>
      </c>
      <c r="EZ907">
        <v>309.23</v>
      </c>
      <c r="FA907" t="s">
        <v>9421</v>
      </c>
      <c r="FB907">
        <v>0.25</v>
      </c>
      <c r="FC907" t="s">
        <v>424</v>
      </c>
      <c r="FD907" t="s">
        <v>454</v>
      </c>
      <c r="FF907">
        <v>12</v>
      </c>
      <c r="FG907">
        <v>7336671</v>
      </c>
      <c r="FH907" t="s">
        <v>437</v>
      </c>
      <c r="FJ907" s="1">
        <v>42879</v>
      </c>
      <c r="FK907">
        <v>2016</v>
      </c>
      <c r="FL907">
        <v>309.23</v>
      </c>
      <c r="FM907" t="s">
        <v>9421</v>
      </c>
      <c r="FN907">
        <v>0.25</v>
      </c>
      <c r="FO907" t="s">
        <v>424</v>
      </c>
      <c r="FP907" t="s">
        <v>454</v>
      </c>
      <c r="FR907">
        <v>12</v>
      </c>
      <c r="FS907">
        <v>5173220</v>
      </c>
      <c r="FT907" t="s">
        <v>9422</v>
      </c>
      <c r="FV907" s="1">
        <v>42515</v>
      </c>
      <c r="FW907">
        <v>2015</v>
      </c>
      <c r="FX907">
        <v>301.36</v>
      </c>
      <c r="FY907" t="s">
        <v>9423</v>
      </c>
      <c r="FZ907">
        <v>15.25</v>
      </c>
      <c r="GA907" t="s">
        <v>424</v>
      </c>
      <c r="GB907" t="s">
        <v>425</v>
      </c>
      <c r="GC907" s="1">
        <v>42580</v>
      </c>
      <c r="GD907">
        <v>2</v>
      </c>
      <c r="GE907">
        <v>10125</v>
      </c>
      <c r="GF907" t="s">
        <v>440</v>
      </c>
    </row>
    <row r="908" spans="1:249" x14ac:dyDescent="0.25">
      <c r="A908">
        <v>16485915</v>
      </c>
      <c r="B908">
        <v>907</v>
      </c>
      <c r="C908" t="s">
        <v>393</v>
      </c>
      <c r="D908" t="s">
        <v>394</v>
      </c>
      <c r="F908" t="str">
        <f>"46-2N-25-0000-0020-0010"</f>
        <v>46-2N-25-0000-0020-0010</v>
      </c>
      <c r="H908" t="str">
        <f>"BAKER BEVERLY J &amp; MILEY DELVIN H JR"</f>
        <v>BAKER BEVERLY J &amp; MILEY DELVIN H JR</v>
      </c>
      <c r="I908" t="str">
        <f>"54720 OGILVIE ROAD"</f>
        <v>54720 OGILVIE ROAD</v>
      </c>
      <c r="J908" t="str">
        <f>"CALLAHAN FL 32011"</f>
        <v>CALLAHAN FL 32011</v>
      </c>
      <c r="K908" t="str">
        <f>"54720 OGILVIE RD"</f>
        <v>54720 OGILVIE RD</v>
      </c>
      <c r="L908" t="str">
        <f t="shared" si="273"/>
        <v>CALLAHAN FL 32011</v>
      </c>
      <c r="M908" t="str">
        <f>"IN OR 552 PG 1071"</f>
        <v>IN OR 552 PG 1071</v>
      </c>
      <c r="N908" t="str">
        <f>""</f>
        <v/>
      </c>
      <c r="O908" t="str">
        <f>"52319"</f>
        <v>52319</v>
      </c>
      <c r="P908" t="str">
        <f t="shared" si="283"/>
        <v>2017</v>
      </c>
      <c r="Q908" t="str">
        <f>""</f>
        <v/>
      </c>
      <c r="R908" t="str">
        <f>"Y"</f>
        <v>Y</v>
      </c>
      <c r="S908" t="str">
        <f>"2.16"</f>
        <v>2.16</v>
      </c>
      <c r="T908" t="str">
        <f>"2192.28"</f>
        <v>2192.28</v>
      </c>
      <c r="U908" t="str">
        <f>"183916.00"</f>
        <v>183916.00</v>
      </c>
      <c r="V908" t="str">
        <f>"183916.00"</f>
        <v>183916.00</v>
      </c>
      <c r="W908" t="str">
        <f t="shared" si="284"/>
        <v>2017</v>
      </c>
      <c r="X908" t="str">
        <f>"6.80"</f>
        <v>6.80</v>
      </c>
      <c r="Y908" t="str">
        <f>"2290.05"</f>
        <v>2290.05</v>
      </c>
      <c r="Z908" t="str">
        <f>"25000.00"</f>
        <v>25000.00</v>
      </c>
      <c r="AA908" t="str">
        <f>"158916.00"</f>
        <v>158916.00</v>
      </c>
      <c r="AB908" t="str">
        <f t="shared" si="282"/>
        <v>Residential</v>
      </c>
      <c r="AC908" t="str">
        <f t="shared" si="274"/>
        <v>0</v>
      </c>
      <c r="AD908" t="str">
        <f t="shared" ref="AD908:AD914" si="285">"4"</f>
        <v>4</v>
      </c>
      <c r="AE908" t="str">
        <f t="shared" ref="AE908:AE914" si="286">"WOOD (INCLUDE STEEL STUDS)"</f>
        <v>WOOD (INCLUDE STEEL STUDS)</v>
      </c>
      <c r="AF908" t="str">
        <f t="shared" ref="AF908:AF914" si="287">"001"</f>
        <v>001</v>
      </c>
      <c r="AG908" t="str">
        <f t="shared" ref="AG908:AG933" si="288">"FL"</f>
        <v>FL</v>
      </c>
      <c r="AH908" t="str">
        <f>"94089.00"</f>
        <v>94089.00</v>
      </c>
      <c r="AI908" t="str">
        <f>"25920.00"</f>
        <v>25920.00</v>
      </c>
      <c r="AJ908" t="str">
        <f>"C55-000-588-5257-5"</f>
        <v>C55-000-588-5257-5</v>
      </c>
      <c r="AK908" t="str">
        <f>"14178"</f>
        <v>14178</v>
      </c>
      <c r="AL908">
        <v>4</v>
      </c>
      <c r="AM908">
        <v>1049</v>
      </c>
      <c r="AN908">
        <v>2402.9499999999998</v>
      </c>
      <c r="AQ908" t="s">
        <v>9424</v>
      </c>
      <c r="AR908" t="s">
        <v>9424</v>
      </c>
      <c r="AS908" t="s">
        <v>9424</v>
      </c>
      <c r="AU908" t="s">
        <v>396</v>
      </c>
      <c r="AV908">
        <v>2017</v>
      </c>
      <c r="AW908" t="str">
        <f>"46-2N-25-0000-0020-0010 "</f>
        <v xml:space="preserve">46-2N-25-0000-0020-0010 </v>
      </c>
      <c r="AX908">
        <v>54720</v>
      </c>
      <c r="AZ908" t="s">
        <v>9404</v>
      </c>
      <c r="BA908" t="s">
        <v>496</v>
      </c>
      <c r="BD908" t="s">
        <v>2785</v>
      </c>
      <c r="BE908" t="s">
        <v>393</v>
      </c>
      <c r="BF908">
        <v>32011</v>
      </c>
      <c r="BG908" t="s">
        <v>9425</v>
      </c>
      <c r="BH908" t="s">
        <v>2787</v>
      </c>
      <c r="BI908">
        <v>-81.773542224214097</v>
      </c>
      <c r="BJ908">
        <v>30.5452992041849</v>
      </c>
      <c r="BK908" t="s">
        <v>9426</v>
      </c>
      <c r="BL908" t="s">
        <v>9427</v>
      </c>
      <c r="BM908" t="s">
        <v>9425</v>
      </c>
      <c r="BN908" t="s">
        <v>928</v>
      </c>
      <c r="BO908">
        <v>32011</v>
      </c>
      <c r="BP908" t="s">
        <v>416</v>
      </c>
      <c r="BQ908">
        <v>100</v>
      </c>
      <c r="BR908" t="s">
        <v>514</v>
      </c>
      <c r="BS908">
        <v>1001</v>
      </c>
      <c r="BT908" t="s">
        <v>515</v>
      </c>
      <c r="BW908">
        <v>94089</v>
      </c>
      <c r="BX908" t="s">
        <v>407</v>
      </c>
      <c r="BY908" t="s">
        <v>4360</v>
      </c>
      <c r="BZ908">
        <v>4</v>
      </c>
      <c r="CA908">
        <v>1983</v>
      </c>
      <c r="CB908">
        <v>2</v>
      </c>
      <c r="CC908">
        <v>2</v>
      </c>
      <c r="CD908">
        <v>2017</v>
      </c>
      <c r="CG908">
        <v>183916</v>
      </c>
      <c r="CH908">
        <v>2017</v>
      </c>
      <c r="CI908">
        <v>25920</v>
      </c>
      <c r="CJ908">
        <v>189312</v>
      </c>
      <c r="CK908">
        <v>215232</v>
      </c>
      <c r="CL908">
        <v>2017</v>
      </c>
      <c r="CM908">
        <v>2192.2800000000002</v>
      </c>
      <c r="CN908" s="1">
        <v>32407</v>
      </c>
      <c r="CO908">
        <v>115000</v>
      </c>
      <c r="CZ908" s="1">
        <v>32407</v>
      </c>
      <c r="DD908" t="s">
        <v>2785</v>
      </c>
      <c r="DG908">
        <v>46</v>
      </c>
      <c r="DL908">
        <v>50502</v>
      </c>
      <c r="DM908" t="s">
        <v>9395</v>
      </c>
      <c r="DO908" t="s">
        <v>9428</v>
      </c>
      <c r="DP908">
        <v>0</v>
      </c>
      <c r="DQ908">
        <v>0</v>
      </c>
      <c r="DR908" t="s">
        <v>411</v>
      </c>
      <c r="DS908" t="b">
        <v>1</v>
      </c>
      <c r="DT908" t="s">
        <v>470</v>
      </c>
      <c r="DU908" t="s">
        <v>471</v>
      </c>
      <c r="DV908" t="s">
        <v>472</v>
      </c>
      <c r="DX908">
        <v>-9999</v>
      </c>
      <c r="DZ908" t="s">
        <v>447</v>
      </c>
      <c r="EA908" t="s">
        <v>448</v>
      </c>
      <c r="EB908" t="s">
        <v>742</v>
      </c>
      <c r="EC908">
        <v>20101217</v>
      </c>
      <c r="ED908" t="s">
        <v>474</v>
      </c>
      <c r="EF908">
        <v>124.3</v>
      </c>
      <c r="EG908">
        <v>124.3</v>
      </c>
      <c r="EH908" t="s">
        <v>451</v>
      </c>
      <c r="EI908">
        <v>20140731</v>
      </c>
      <c r="EJ908">
        <v>0</v>
      </c>
      <c r="EK908">
        <v>0</v>
      </c>
      <c r="EP908" t="s">
        <v>421</v>
      </c>
      <c r="EQ908" t="s">
        <v>422</v>
      </c>
      <c r="ER908">
        <v>2</v>
      </c>
      <c r="ES908">
        <v>4</v>
      </c>
      <c r="ET908">
        <v>4753.22</v>
      </c>
      <c r="EU908">
        <v>250.16</v>
      </c>
      <c r="EV908">
        <v>5003.38</v>
      </c>
      <c r="EW908" s="2">
        <v>43222</v>
      </c>
      <c r="EX908" s="1">
        <v>42879</v>
      </c>
      <c r="EY908">
        <v>2016</v>
      </c>
      <c r="EZ908">
        <v>2376.61</v>
      </c>
      <c r="FA908" t="s">
        <v>9429</v>
      </c>
      <c r="FB908">
        <v>0.25</v>
      </c>
      <c r="FC908" t="s">
        <v>424</v>
      </c>
      <c r="FD908" t="s">
        <v>454</v>
      </c>
      <c r="FF908">
        <v>12</v>
      </c>
      <c r="FG908">
        <v>5857474</v>
      </c>
      <c r="FH908" t="s">
        <v>900</v>
      </c>
      <c r="FJ908" s="1">
        <v>42879</v>
      </c>
      <c r="FK908">
        <v>2016</v>
      </c>
      <c r="FL908">
        <v>2376.61</v>
      </c>
      <c r="FM908" t="s">
        <v>9429</v>
      </c>
      <c r="FN908">
        <v>0.25</v>
      </c>
      <c r="FO908" t="s">
        <v>424</v>
      </c>
      <c r="FP908" t="s">
        <v>454</v>
      </c>
      <c r="FR908">
        <v>12</v>
      </c>
      <c r="FS908">
        <v>6247819</v>
      </c>
      <c r="FT908" t="s">
        <v>9430</v>
      </c>
      <c r="FV908" s="1">
        <v>42151</v>
      </c>
      <c r="FW908">
        <v>2014</v>
      </c>
      <c r="FX908">
        <v>2103.65</v>
      </c>
      <c r="FY908" t="s">
        <v>9431</v>
      </c>
      <c r="FZ908">
        <v>0.25</v>
      </c>
      <c r="GA908" t="s">
        <v>424</v>
      </c>
      <c r="GB908" t="s">
        <v>425</v>
      </c>
      <c r="GC908" s="1">
        <v>42471</v>
      </c>
      <c r="GD908">
        <v>11</v>
      </c>
      <c r="GE908">
        <v>2851116</v>
      </c>
      <c r="GF908" t="s">
        <v>480</v>
      </c>
      <c r="GH908" s="1">
        <v>42151</v>
      </c>
      <c r="GI908">
        <v>2014</v>
      </c>
      <c r="GJ908">
        <v>2103.65</v>
      </c>
      <c r="GK908" t="s">
        <v>9431</v>
      </c>
      <c r="GL908">
        <v>0.25</v>
      </c>
      <c r="GM908" t="s">
        <v>424</v>
      </c>
      <c r="GN908" t="s">
        <v>425</v>
      </c>
      <c r="GP908">
        <v>22</v>
      </c>
      <c r="GQ908">
        <v>4881787</v>
      </c>
      <c r="GR908" t="s">
        <v>9432</v>
      </c>
      <c r="GT908" s="1">
        <v>41787</v>
      </c>
      <c r="GU908">
        <v>2013</v>
      </c>
      <c r="GV908">
        <v>1491.03</v>
      </c>
      <c r="GW908" t="s">
        <v>9433</v>
      </c>
      <c r="GX908">
        <v>0.25</v>
      </c>
      <c r="GY908" t="s">
        <v>424</v>
      </c>
      <c r="GZ908" t="s">
        <v>425</v>
      </c>
      <c r="HA908" s="1">
        <v>42083</v>
      </c>
      <c r="HB908">
        <v>10</v>
      </c>
      <c r="HC908">
        <v>15259</v>
      </c>
      <c r="HD908" t="s">
        <v>891</v>
      </c>
      <c r="HF908" s="1">
        <v>40688</v>
      </c>
      <c r="HG908">
        <v>2010</v>
      </c>
      <c r="HH908">
        <v>1606.56</v>
      </c>
      <c r="HI908" t="s">
        <v>9434</v>
      </c>
      <c r="HJ908">
        <v>0.25</v>
      </c>
      <c r="HK908" t="s">
        <v>424</v>
      </c>
      <c r="HL908" t="s">
        <v>425</v>
      </c>
      <c r="HM908" s="1">
        <v>40697</v>
      </c>
      <c r="HN908">
        <v>1</v>
      </c>
      <c r="HO908">
        <v>11177</v>
      </c>
      <c r="HP908" t="s">
        <v>650</v>
      </c>
    </row>
    <row r="909" spans="1:249" x14ac:dyDescent="0.25">
      <c r="A909">
        <v>16485916</v>
      </c>
      <c r="B909">
        <v>908</v>
      </c>
      <c r="C909" t="s">
        <v>393</v>
      </c>
      <c r="D909" t="s">
        <v>394</v>
      </c>
      <c r="F909" t="str">
        <f>"46-2N-25-0240-0022-0000"</f>
        <v>46-2N-25-0240-0022-0000</v>
      </c>
      <c r="H909" t="str">
        <f>"GORE RICHARD R &amp; JUDY C"</f>
        <v>GORE RICHARD R &amp; JUDY C</v>
      </c>
      <c r="I909" t="str">
        <f>"14590 DUVAL PLACE W"</f>
        <v>14590 DUVAL PLACE W</v>
      </c>
      <c r="J909" t="str">
        <f>"JACKSONVILLE FL 32218"</f>
        <v>JACKSONVILLE FL 32218</v>
      </c>
      <c r="K909" t="str">
        <f>"54096 BAYLAND DR"</f>
        <v>54096 BAYLAND DR</v>
      </c>
      <c r="L909" t="str">
        <f t="shared" si="273"/>
        <v>CALLAHAN FL 32011</v>
      </c>
      <c r="M909" t="str">
        <f>"LOT 22 IN OR 2071/1441 CLEAR LAKE ESTATES 1 PB 7/346"</f>
        <v>LOT 22 IN OR 2071/1441 CLEAR LAKE ESTATES 1 PB 7/346</v>
      </c>
      <c r="N909" t="str">
        <f>""</f>
        <v/>
      </c>
      <c r="O909" t="str">
        <f>"52345"</f>
        <v>52345</v>
      </c>
      <c r="P909" t="str">
        <f t="shared" si="283"/>
        <v>2017</v>
      </c>
      <c r="Q909" t="str">
        <f>""</f>
        <v/>
      </c>
      <c r="R909" t="str">
        <f>"N"</f>
        <v>N</v>
      </c>
      <c r="S909" t="str">
        <f>""</f>
        <v/>
      </c>
      <c r="T909" t="str">
        <f>"2330.37"</f>
        <v>2330.37</v>
      </c>
      <c r="U909" t="str">
        <f>"153933.00"</f>
        <v>153933.00</v>
      </c>
      <c r="V909" t="str">
        <f>"153933.00"</f>
        <v>153933.00</v>
      </c>
      <c r="W909" t="str">
        <f t="shared" si="284"/>
        <v>2017</v>
      </c>
      <c r="X909" t="str">
        <f>""</f>
        <v/>
      </c>
      <c r="Y909" t="str">
        <f>"2432.28"</f>
        <v>2432.28</v>
      </c>
      <c r="Z909" t="str">
        <f>""</f>
        <v/>
      </c>
      <c r="AA909" t="str">
        <f>"153933.00"</f>
        <v>153933.00</v>
      </c>
      <c r="AB909" t="str">
        <f t="shared" si="282"/>
        <v>Residential</v>
      </c>
      <c r="AC909" t="str">
        <f t="shared" si="274"/>
        <v>0</v>
      </c>
      <c r="AD909" t="str">
        <f t="shared" si="285"/>
        <v>4</v>
      </c>
      <c r="AE909" t="str">
        <f t="shared" si="286"/>
        <v>WOOD (INCLUDE STEEL STUDS)</v>
      </c>
      <c r="AF909" t="str">
        <f t="shared" si="287"/>
        <v>001</v>
      </c>
      <c r="AG909" t="str">
        <f t="shared" si="288"/>
        <v>FL</v>
      </c>
      <c r="AH909" t="str">
        <f>"61419.00"</f>
        <v>61419.00</v>
      </c>
      <c r="AI909" t="str">
        <f t="shared" ref="AI909:AI916" si="289">"28000.00"</f>
        <v>28000.00</v>
      </c>
      <c r="AJ909" t="str">
        <f>"C55-001-028-2535-3"</f>
        <v>C55-001-028-2535-3</v>
      </c>
      <c r="AK909" t="str">
        <f>"14206"</f>
        <v>14206</v>
      </c>
      <c r="AL909">
        <v>4</v>
      </c>
      <c r="AM909">
        <v>1050</v>
      </c>
      <c r="AN909">
        <v>2552.29</v>
      </c>
      <c r="AQ909" t="s">
        <v>9435</v>
      </c>
      <c r="AR909" t="s">
        <v>9435</v>
      </c>
      <c r="AS909" t="s">
        <v>9435</v>
      </c>
      <c r="AU909" t="s">
        <v>396</v>
      </c>
      <c r="AV909">
        <v>2017</v>
      </c>
      <c r="AW909" t="str">
        <f>"46-2N-25-0240-0022-0000 "</f>
        <v xml:space="preserve">46-2N-25-0240-0022-0000 </v>
      </c>
      <c r="AX909">
        <v>54096</v>
      </c>
      <c r="AZ909" t="s">
        <v>9436</v>
      </c>
      <c r="BA909" t="s">
        <v>669</v>
      </c>
      <c r="BD909" t="s">
        <v>2785</v>
      </c>
      <c r="BE909" t="s">
        <v>393</v>
      </c>
      <c r="BF909">
        <v>32011</v>
      </c>
      <c r="BG909" t="s">
        <v>9437</v>
      </c>
      <c r="BH909" t="s">
        <v>2787</v>
      </c>
      <c r="BI909">
        <v>-81.7757735544767</v>
      </c>
      <c r="BJ909">
        <v>30.551348081784599</v>
      </c>
      <c r="BK909" t="s">
        <v>9438</v>
      </c>
      <c r="BL909" t="s">
        <v>9439</v>
      </c>
      <c r="BM909" t="s">
        <v>9440</v>
      </c>
      <c r="BN909" t="s">
        <v>548</v>
      </c>
      <c r="BO909">
        <v>32218</v>
      </c>
      <c r="BP909" t="s">
        <v>404</v>
      </c>
      <c r="BQ909">
        <v>100</v>
      </c>
      <c r="BR909" t="s">
        <v>514</v>
      </c>
      <c r="BS909">
        <v>1001</v>
      </c>
      <c r="BT909" t="s">
        <v>515</v>
      </c>
      <c r="BW909">
        <v>61419</v>
      </c>
      <c r="BX909" t="s">
        <v>407</v>
      </c>
      <c r="BY909" t="s">
        <v>408</v>
      </c>
      <c r="BZ909">
        <v>4</v>
      </c>
      <c r="CA909">
        <v>2016</v>
      </c>
      <c r="CC909">
        <v>1</v>
      </c>
      <c r="CD909">
        <v>2017</v>
      </c>
      <c r="CE909">
        <v>28000</v>
      </c>
      <c r="CF909">
        <v>125933</v>
      </c>
      <c r="CG909">
        <v>153933</v>
      </c>
      <c r="CH909">
        <v>2017</v>
      </c>
      <c r="CI909">
        <v>28000</v>
      </c>
      <c r="CJ909">
        <v>125933</v>
      </c>
      <c r="CK909">
        <v>153933</v>
      </c>
      <c r="CL909">
        <v>2017</v>
      </c>
      <c r="CM909">
        <v>2330.37</v>
      </c>
      <c r="CN909" s="1">
        <v>42628</v>
      </c>
      <c r="CO909">
        <v>186800</v>
      </c>
      <c r="CV909">
        <v>0</v>
      </c>
      <c r="CZ909" s="1">
        <v>42628</v>
      </c>
      <c r="DA909">
        <v>0</v>
      </c>
      <c r="DD909" t="s">
        <v>2785</v>
      </c>
      <c r="DF909">
        <v>22</v>
      </c>
      <c r="DG909">
        <v>46</v>
      </c>
      <c r="DJ909" t="s">
        <v>9441</v>
      </c>
      <c r="DL909">
        <v>50502</v>
      </c>
      <c r="DM909" t="s">
        <v>9395</v>
      </c>
      <c r="DO909" t="s">
        <v>9442</v>
      </c>
      <c r="DP909">
        <v>0</v>
      </c>
      <c r="DQ909">
        <v>0</v>
      </c>
      <c r="DR909" t="s">
        <v>411</v>
      </c>
      <c r="EP909" t="s">
        <v>421</v>
      </c>
      <c r="EQ909" t="s">
        <v>422</v>
      </c>
      <c r="ER909">
        <v>1</v>
      </c>
      <c r="ES909">
        <v>0</v>
      </c>
      <c r="ET909">
        <v>442.05</v>
      </c>
      <c r="EU909">
        <v>28.35</v>
      </c>
      <c r="EV909">
        <v>470.4</v>
      </c>
      <c r="EW909" s="2">
        <v>43222</v>
      </c>
      <c r="EX909" s="1">
        <v>42879</v>
      </c>
      <c r="EY909">
        <v>2016</v>
      </c>
      <c r="EZ909">
        <v>442.05</v>
      </c>
      <c r="FA909" t="s">
        <v>9443</v>
      </c>
      <c r="FB909">
        <v>2.75</v>
      </c>
      <c r="FC909" t="s">
        <v>424</v>
      </c>
      <c r="FD909" t="s">
        <v>454</v>
      </c>
      <c r="FF909">
        <v>12</v>
      </c>
      <c r="FG909">
        <v>7336143</v>
      </c>
      <c r="FH909" t="s">
        <v>539</v>
      </c>
    </row>
    <row r="910" spans="1:249" x14ac:dyDescent="0.25">
      <c r="A910">
        <v>16485917</v>
      </c>
      <c r="B910">
        <v>909</v>
      </c>
      <c r="C910" t="s">
        <v>393</v>
      </c>
      <c r="D910" t="s">
        <v>394</v>
      </c>
      <c r="F910" t="str">
        <f>"46-2N-25-197A-0003-0110"</f>
        <v>46-2N-25-197A-0003-0110</v>
      </c>
      <c r="H910" t="str">
        <f>"BRACKETT EDWARD C &amp; COZETTA T"</f>
        <v>BRACKETT EDWARD C &amp; COZETTA T</v>
      </c>
      <c r="I910" t="str">
        <f>"55012 DEER RUN DR"</f>
        <v>55012 DEER RUN DR</v>
      </c>
      <c r="J910" t="str">
        <f>"CALLAHAN FL 32011"</f>
        <v>CALLAHAN FL 32011</v>
      </c>
      <c r="K910" t="str">
        <f>"55012 DEER RUN RD"</f>
        <v>55012 DEER RUN RD</v>
      </c>
      <c r="L910" t="str">
        <f t="shared" si="273"/>
        <v>CALLAHAN FL 32011</v>
      </c>
      <c r="M910" t="str">
        <f>"BLOCK 3 LOT 11 IN OR 662 PG 1230 SPRING LAKE EST 1 PB 5/183"</f>
        <v>BLOCK 3 LOT 11 IN OR 662 PG 1230 SPRING LAKE EST 1 PB 5/183</v>
      </c>
      <c r="N910" t="str">
        <f>""</f>
        <v/>
      </c>
      <c r="O910" t="str">
        <f>"52445"</f>
        <v>52445</v>
      </c>
      <c r="P910" t="str">
        <f t="shared" si="283"/>
        <v>2017</v>
      </c>
      <c r="Q910" t="str">
        <f>""</f>
        <v/>
      </c>
      <c r="R910" t="str">
        <f>"Y"</f>
        <v>Y</v>
      </c>
      <c r="S910" t="str">
        <f>""</f>
        <v/>
      </c>
      <c r="T910" t="str">
        <f>"1688.19"</f>
        <v>1688.19</v>
      </c>
      <c r="U910" t="str">
        <f>"150619.00"</f>
        <v>150619.00</v>
      </c>
      <c r="V910" t="str">
        <f>"150619.00"</f>
        <v>150619.00</v>
      </c>
      <c r="W910" t="str">
        <f t="shared" si="284"/>
        <v>2017</v>
      </c>
      <c r="X910" t="str">
        <f>""</f>
        <v/>
      </c>
      <c r="Y910" t="str">
        <f>"1770.84"</f>
        <v>1770.84</v>
      </c>
      <c r="Z910" t="str">
        <f>"25000.00"</f>
        <v>25000.00</v>
      </c>
      <c r="AA910" t="str">
        <f>"125619.00"</f>
        <v>125619.00</v>
      </c>
      <c r="AB910" t="str">
        <f t="shared" si="282"/>
        <v>Residential</v>
      </c>
      <c r="AC910" t="str">
        <f t="shared" si="274"/>
        <v>0</v>
      </c>
      <c r="AD910" t="str">
        <f t="shared" si="285"/>
        <v>4</v>
      </c>
      <c r="AE910" t="str">
        <f t="shared" si="286"/>
        <v>WOOD (INCLUDE STEEL STUDS)</v>
      </c>
      <c r="AF910" t="str">
        <f t="shared" si="287"/>
        <v>001</v>
      </c>
      <c r="AG910" t="str">
        <f t="shared" si="288"/>
        <v>FL</v>
      </c>
      <c r="AH910" t="str">
        <f t="shared" ref="AH910:AH916" si="290">"-"</f>
        <v>-</v>
      </c>
      <c r="AI910" t="str">
        <f t="shared" si="289"/>
        <v>28000.00</v>
      </c>
      <c r="AJ910" t="str">
        <f>"C55-000-588-5285-6"</f>
        <v>C55-000-588-5285-6</v>
      </c>
      <c r="AK910" t="str">
        <f>"14302"</f>
        <v>14302</v>
      </c>
      <c r="AL910">
        <v>4</v>
      </c>
      <c r="AM910">
        <v>1051</v>
      </c>
      <c r="AN910">
        <v>1857.78</v>
      </c>
      <c r="AQ910" t="s">
        <v>9444</v>
      </c>
      <c r="AR910" t="s">
        <v>9444</v>
      </c>
      <c r="AS910" t="s">
        <v>9444</v>
      </c>
      <c r="AU910" t="s">
        <v>396</v>
      </c>
      <c r="AV910">
        <v>2017</v>
      </c>
      <c r="AW910" t="str">
        <f>"46-2N-25-197A-0003-0110 "</f>
        <v xml:space="preserve">46-2N-25-197A-0003-0110 </v>
      </c>
      <c r="AX910">
        <v>55012</v>
      </c>
      <c r="AZ910" t="s">
        <v>9445</v>
      </c>
      <c r="BA910" t="s">
        <v>496</v>
      </c>
      <c r="BD910" t="s">
        <v>2785</v>
      </c>
      <c r="BE910" t="s">
        <v>393</v>
      </c>
      <c r="BF910">
        <v>32011</v>
      </c>
      <c r="BG910" t="s">
        <v>9446</v>
      </c>
      <c r="BH910" t="s">
        <v>2787</v>
      </c>
      <c r="BI910">
        <v>-81.786796964416894</v>
      </c>
      <c r="BJ910">
        <v>30.557845035119101</v>
      </c>
      <c r="BK910" t="s">
        <v>9447</v>
      </c>
      <c r="BL910" t="s">
        <v>9448</v>
      </c>
      <c r="BM910" t="s">
        <v>9446</v>
      </c>
      <c r="BN910" t="s">
        <v>928</v>
      </c>
      <c r="BO910">
        <v>32011</v>
      </c>
      <c r="BP910" t="s">
        <v>416</v>
      </c>
      <c r="BQ910">
        <v>100</v>
      </c>
      <c r="BR910" t="s">
        <v>514</v>
      </c>
      <c r="BS910">
        <v>1001</v>
      </c>
      <c r="BT910" t="s">
        <v>515</v>
      </c>
      <c r="BW910">
        <v>49633</v>
      </c>
      <c r="BX910" t="s">
        <v>407</v>
      </c>
      <c r="BY910" t="s">
        <v>2729</v>
      </c>
      <c r="BZ910">
        <v>4</v>
      </c>
      <c r="CA910">
        <v>1993</v>
      </c>
      <c r="CB910">
        <v>1</v>
      </c>
      <c r="CC910">
        <v>1</v>
      </c>
      <c r="CD910">
        <v>2017</v>
      </c>
      <c r="CG910">
        <v>150619</v>
      </c>
      <c r="CH910">
        <v>2017</v>
      </c>
      <c r="CI910">
        <v>28000</v>
      </c>
      <c r="CJ910">
        <v>164229</v>
      </c>
      <c r="CK910">
        <v>192229</v>
      </c>
      <c r="CL910">
        <v>2017</v>
      </c>
      <c r="CM910">
        <v>1688.19</v>
      </c>
      <c r="CN910" s="1">
        <v>33791</v>
      </c>
      <c r="CO910">
        <v>11000</v>
      </c>
      <c r="CZ910" s="1">
        <v>33791</v>
      </c>
      <c r="DD910" t="s">
        <v>2785</v>
      </c>
      <c r="DF910">
        <v>11</v>
      </c>
      <c r="DG910">
        <v>46</v>
      </c>
      <c r="DJ910" t="s">
        <v>9449</v>
      </c>
      <c r="DL910">
        <v>50502</v>
      </c>
      <c r="DM910" t="s">
        <v>9395</v>
      </c>
      <c r="DO910" t="s">
        <v>9450</v>
      </c>
      <c r="DP910">
        <v>0</v>
      </c>
      <c r="DQ910">
        <v>0</v>
      </c>
      <c r="DR910" t="s">
        <v>411</v>
      </c>
    </row>
    <row r="911" spans="1:249" x14ac:dyDescent="0.25">
      <c r="A911">
        <v>16485918</v>
      </c>
      <c r="B911">
        <v>910</v>
      </c>
      <c r="C911" t="s">
        <v>393</v>
      </c>
      <c r="D911" t="s">
        <v>394</v>
      </c>
      <c r="F911" t="str">
        <f>"46-2N-25-197B-0005-0050"</f>
        <v>46-2N-25-197B-0005-0050</v>
      </c>
      <c r="H911" t="str">
        <f>"LARSON GARY"</f>
        <v>LARSON GARY</v>
      </c>
      <c r="I911" t="str">
        <f>"2866 DICKIE ST"</f>
        <v>2866 DICKIE ST</v>
      </c>
      <c r="J911" t="str">
        <f>"JACKSONVILLE FL 32216"</f>
        <v>JACKSONVILLE FL 32216</v>
      </c>
      <c r="K911" t="str">
        <f>"55668 YELLOW JACKET DR"</f>
        <v>55668 YELLOW JACKET DR</v>
      </c>
      <c r="L911" t="str">
        <f t="shared" si="273"/>
        <v>CALLAHAN FL 32011</v>
      </c>
      <c r="M911" t="str">
        <f>"BLOCK 5 LOT 5 IN OR 1695/1158 &amp; OR 1728/535 SPRING LAKE EST 2 PB 5/185"</f>
        <v>BLOCK 5 LOT 5 IN OR 1695/1158 &amp; OR 1728/535 SPRING LAKE EST 2 PB 5/185</v>
      </c>
      <c r="N911" t="str">
        <f>""</f>
        <v/>
      </c>
      <c r="O911" t="str">
        <f>"52481"</f>
        <v>52481</v>
      </c>
      <c r="P911" t="str">
        <f t="shared" si="283"/>
        <v>2017</v>
      </c>
      <c r="Q911" t="str">
        <f>""</f>
        <v/>
      </c>
      <c r="R911" t="str">
        <f>"N"</f>
        <v>N</v>
      </c>
      <c r="S911" t="str">
        <f>""</f>
        <v/>
      </c>
      <c r="T911" t="str">
        <f>"3767.46"</f>
        <v>3767.46</v>
      </c>
      <c r="U911" t="str">
        <f>"248861.00"</f>
        <v>248861.00</v>
      </c>
      <c r="V911" t="str">
        <f>"248861.00"</f>
        <v>248861.00</v>
      </c>
      <c r="W911" t="str">
        <f t="shared" si="284"/>
        <v>2017</v>
      </c>
      <c r="X911" t="str">
        <f>""</f>
        <v/>
      </c>
      <c r="Y911" t="str">
        <f>"3912.48"</f>
        <v>3912.48</v>
      </c>
      <c r="Z911" t="str">
        <f>""</f>
        <v/>
      </c>
      <c r="AA911" t="str">
        <f>"248861.00"</f>
        <v>248861.00</v>
      </c>
      <c r="AB911" t="str">
        <f t="shared" si="282"/>
        <v>Residential</v>
      </c>
      <c r="AC911" t="str">
        <f t="shared" si="274"/>
        <v>0</v>
      </c>
      <c r="AD911" t="str">
        <f t="shared" si="285"/>
        <v>4</v>
      </c>
      <c r="AE911" t="str">
        <f t="shared" si="286"/>
        <v>WOOD (INCLUDE STEEL STUDS)</v>
      </c>
      <c r="AF911" t="str">
        <f t="shared" si="287"/>
        <v>001</v>
      </c>
      <c r="AG911" t="str">
        <f t="shared" si="288"/>
        <v>FL</v>
      </c>
      <c r="AH911" t="str">
        <f t="shared" si="290"/>
        <v>-</v>
      </c>
      <c r="AI911" t="str">
        <f t="shared" si="289"/>
        <v>28000.00</v>
      </c>
      <c r="AJ911" t="str">
        <f>"C55-000-588-5318-5"</f>
        <v>C55-000-588-5318-5</v>
      </c>
      <c r="AK911" t="str">
        <f>"14335"</f>
        <v>14335</v>
      </c>
      <c r="AL911">
        <v>4</v>
      </c>
      <c r="AM911">
        <v>1052</v>
      </c>
      <c r="AN911">
        <v>4106.5</v>
      </c>
      <c r="AQ911" t="s">
        <v>9451</v>
      </c>
      <c r="AR911" t="s">
        <v>9451</v>
      </c>
      <c r="AS911" t="s">
        <v>9451</v>
      </c>
      <c r="AU911" t="s">
        <v>396</v>
      </c>
      <c r="AV911">
        <v>2017</v>
      </c>
      <c r="AW911" t="str">
        <f>"46-2N-25-197B-0005-0050 "</f>
        <v xml:space="preserve">46-2N-25-197B-0005-0050 </v>
      </c>
      <c r="AX911">
        <v>55668</v>
      </c>
      <c r="AZ911" t="s">
        <v>9452</v>
      </c>
      <c r="BA911" t="s">
        <v>669</v>
      </c>
      <c r="BD911" t="s">
        <v>2785</v>
      </c>
      <c r="BE911" t="s">
        <v>393</v>
      </c>
      <c r="BF911">
        <v>32011</v>
      </c>
      <c r="BG911" t="s">
        <v>9453</v>
      </c>
      <c r="BH911" t="s">
        <v>2787</v>
      </c>
      <c r="BI911">
        <v>-81.784173539702095</v>
      </c>
      <c r="BJ911">
        <v>30.557756790199999</v>
      </c>
      <c r="BK911" t="s">
        <v>9454</v>
      </c>
      <c r="BM911" t="s">
        <v>9453</v>
      </c>
      <c r="BN911" t="s">
        <v>928</v>
      </c>
      <c r="BO911">
        <v>32011</v>
      </c>
      <c r="BP911" t="s">
        <v>416</v>
      </c>
      <c r="BQ911">
        <v>100</v>
      </c>
      <c r="BR911" t="s">
        <v>514</v>
      </c>
      <c r="BS911">
        <v>1001</v>
      </c>
      <c r="BT911" t="s">
        <v>515</v>
      </c>
      <c r="BW911">
        <v>45542</v>
      </c>
      <c r="BX911" t="s">
        <v>407</v>
      </c>
      <c r="BY911" t="s">
        <v>2729</v>
      </c>
      <c r="BZ911">
        <v>4</v>
      </c>
      <c r="CA911">
        <v>1998</v>
      </c>
      <c r="CB911">
        <v>1</v>
      </c>
      <c r="CC911">
        <v>2</v>
      </c>
      <c r="CD911">
        <v>2017</v>
      </c>
      <c r="CE911">
        <v>28000</v>
      </c>
      <c r="CF911">
        <v>220861</v>
      </c>
      <c r="CG911">
        <v>248861</v>
      </c>
      <c r="CH911">
        <v>2017</v>
      </c>
      <c r="CI911">
        <v>28000</v>
      </c>
      <c r="CJ911">
        <v>220861</v>
      </c>
      <c r="CK911">
        <v>248861</v>
      </c>
      <c r="CL911">
        <v>2017</v>
      </c>
      <c r="CM911">
        <v>3767.46</v>
      </c>
      <c r="CN911" s="1">
        <v>40609</v>
      </c>
      <c r="CZ911" s="1">
        <v>40609</v>
      </c>
      <c r="DD911" t="s">
        <v>2785</v>
      </c>
      <c r="DF911">
        <v>5</v>
      </c>
      <c r="DG911">
        <v>46</v>
      </c>
      <c r="DL911">
        <v>50502</v>
      </c>
      <c r="DM911" t="s">
        <v>9395</v>
      </c>
      <c r="DO911" t="s">
        <v>9455</v>
      </c>
      <c r="DP911">
        <v>0</v>
      </c>
      <c r="DQ911">
        <v>0</v>
      </c>
      <c r="DR911" t="s">
        <v>411</v>
      </c>
    </row>
    <row r="912" spans="1:249" x14ac:dyDescent="0.25">
      <c r="A912">
        <v>16485919</v>
      </c>
      <c r="B912">
        <v>911</v>
      </c>
      <c r="C912" t="s">
        <v>393</v>
      </c>
      <c r="D912" t="s">
        <v>394</v>
      </c>
      <c r="F912" t="str">
        <f>"46-2N-25-197B-0005-0060"</f>
        <v>46-2N-25-197B-0005-0060</v>
      </c>
      <c r="H912" t="str">
        <f>"GREEN FERLANDIS F &amp; CHARLENE Y"</f>
        <v>GREEN FERLANDIS F &amp; CHARLENE Y</v>
      </c>
      <c r="I912" t="str">
        <f>"55690 YELLOW JACKET DRIVE"</f>
        <v>55690 YELLOW JACKET DRIVE</v>
      </c>
      <c r="J912" t="str">
        <f>"CALLAHAN FL 32011"</f>
        <v>CALLAHAN FL 32011</v>
      </c>
      <c r="K912" t="str">
        <f>"55690 YELLOW JACKET DR"</f>
        <v>55690 YELLOW JACKET DR</v>
      </c>
      <c r="L912" t="str">
        <f t="shared" si="273"/>
        <v>CALLAHAN FL 32011</v>
      </c>
      <c r="M912" t="str">
        <f>"BLOCK 5 LOT 6 IN OR 1836/306 SPRING LAKE EST 2 PB 5/185"</f>
        <v>BLOCK 5 LOT 6 IN OR 1836/306 SPRING LAKE EST 2 PB 5/185</v>
      </c>
      <c r="N912" t="str">
        <f>""</f>
        <v/>
      </c>
      <c r="O912" t="str">
        <f>"52482"</f>
        <v>52482</v>
      </c>
      <c r="P912" t="str">
        <f t="shared" si="283"/>
        <v>2017</v>
      </c>
      <c r="Q912" t="str">
        <f>""</f>
        <v/>
      </c>
      <c r="R912" t="str">
        <f>"Y"</f>
        <v>Y</v>
      </c>
      <c r="S912" t="str">
        <f>""</f>
        <v/>
      </c>
      <c r="T912" t="str">
        <f>"2623.50"</f>
        <v>2623.50</v>
      </c>
      <c r="U912" t="str">
        <f>"212900.00"</f>
        <v>212900.00</v>
      </c>
      <c r="V912" t="str">
        <f>"212900.00"</f>
        <v>212900.00</v>
      </c>
      <c r="W912" t="str">
        <f t="shared" si="284"/>
        <v>2017</v>
      </c>
      <c r="X912" t="str">
        <f>"15.33"</f>
        <v>15.33</v>
      </c>
      <c r="Y912" t="str">
        <f>"2734.21"</f>
        <v>2734.21</v>
      </c>
      <c r="Z912" t="str">
        <f>"25500.00"</f>
        <v>25500.00</v>
      </c>
      <c r="AA912" t="str">
        <f>"187400.00"</f>
        <v>187400.00</v>
      </c>
      <c r="AB912" t="str">
        <f t="shared" si="282"/>
        <v>Residential</v>
      </c>
      <c r="AC912" t="str">
        <f t="shared" si="274"/>
        <v>0</v>
      </c>
      <c r="AD912" t="str">
        <f t="shared" si="285"/>
        <v>4</v>
      </c>
      <c r="AE912" t="str">
        <f t="shared" si="286"/>
        <v>WOOD (INCLUDE STEEL STUDS)</v>
      </c>
      <c r="AF912" t="str">
        <f t="shared" si="287"/>
        <v>001</v>
      </c>
      <c r="AG912" t="str">
        <f t="shared" si="288"/>
        <v>FL</v>
      </c>
      <c r="AH912" t="str">
        <f t="shared" si="290"/>
        <v>-</v>
      </c>
      <c r="AI912" t="str">
        <f t="shared" si="289"/>
        <v>28000.00</v>
      </c>
      <c r="AJ912" t="str">
        <f>"C55-000-588-5319-3"</f>
        <v>C55-000-588-5319-3</v>
      </c>
      <c r="AK912" t="str">
        <f>"14336"</f>
        <v>14336</v>
      </c>
      <c r="AL912">
        <v>4</v>
      </c>
      <c r="AM912">
        <v>1053</v>
      </c>
      <c r="AN912">
        <v>2869.32</v>
      </c>
      <c r="AQ912" t="s">
        <v>9456</v>
      </c>
      <c r="AR912" t="s">
        <v>9456</v>
      </c>
      <c r="AS912" t="s">
        <v>9456</v>
      </c>
      <c r="AU912" t="s">
        <v>396</v>
      </c>
      <c r="AV912">
        <v>2017</v>
      </c>
      <c r="AW912" t="str">
        <f>"46-2N-25-197B-0005-0060 "</f>
        <v xml:space="preserve">46-2N-25-197B-0005-0060 </v>
      </c>
      <c r="AX912">
        <v>55690</v>
      </c>
      <c r="AZ912" t="s">
        <v>9452</v>
      </c>
      <c r="BA912" t="s">
        <v>669</v>
      </c>
      <c r="BD912" t="s">
        <v>2785</v>
      </c>
      <c r="BE912" t="s">
        <v>393</v>
      </c>
      <c r="BF912">
        <v>32011</v>
      </c>
      <c r="BG912" t="s">
        <v>9457</v>
      </c>
      <c r="BH912" t="s">
        <v>2787</v>
      </c>
      <c r="BI912">
        <v>-81.783584103706005</v>
      </c>
      <c r="BJ912">
        <v>30.557759589357001</v>
      </c>
      <c r="BK912" t="s">
        <v>9458</v>
      </c>
      <c r="BL912" t="s">
        <v>9459</v>
      </c>
      <c r="BM912" t="s">
        <v>9457</v>
      </c>
      <c r="BN912" t="s">
        <v>928</v>
      </c>
      <c r="BO912">
        <v>32011</v>
      </c>
      <c r="BP912" t="s">
        <v>416</v>
      </c>
      <c r="BQ912">
        <v>100</v>
      </c>
      <c r="BR912" t="s">
        <v>514</v>
      </c>
      <c r="BS912">
        <v>1001</v>
      </c>
      <c r="BT912" t="s">
        <v>515</v>
      </c>
      <c r="BW912">
        <v>43559</v>
      </c>
      <c r="BX912" t="s">
        <v>407</v>
      </c>
      <c r="BY912" t="s">
        <v>2729</v>
      </c>
      <c r="BZ912">
        <v>4</v>
      </c>
      <c r="CA912">
        <v>1993</v>
      </c>
      <c r="CB912">
        <v>1.5</v>
      </c>
      <c r="CC912">
        <v>1</v>
      </c>
      <c r="CD912">
        <v>2017</v>
      </c>
      <c r="CG912">
        <v>212900</v>
      </c>
      <c r="CH912">
        <v>2017</v>
      </c>
      <c r="CI912">
        <v>28000</v>
      </c>
      <c r="CJ912">
        <v>219566</v>
      </c>
      <c r="CK912">
        <v>247566</v>
      </c>
      <c r="CL912">
        <v>2017</v>
      </c>
      <c r="CM912">
        <v>2623.5</v>
      </c>
      <c r="CN912" s="1">
        <v>41292</v>
      </c>
      <c r="CO912">
        <v>243500</v>
      </c>
      <c r="CV912">
        <v>0</v>
      </c>
      <c r="CZ912" s="1">
        <v>41292</v>
      </c>
      <c r="DA912">
        <v>0</v>
      </c>
      <c r="DD912" t="s">
        <v>2785</v>
      </c>
      <c r="DF912">
        <v>6</v>
      </c>
      <c r="DG912">
        <v>46</v>
      </c>
      <c r="DJ912" t="s">
        <v>9460</v>
      </c>
      <c r="DL912">
        <v>50502</v>
      </c>
      <c r="DM912" t="s">
        <v>9395</v>
      </c>
      <c r="DO912" t="s">
        <v>9461</v>
      </c>
      <c r="DP912">
        <v>0</v>
      </c>
      <c r="DQ912">
        <v>0</v>
      </c>
      <c r="DR912" t="s">
        <v>411</v>
      </c>
      <c r="DS912" t="b">
        <v>1</v>
      </c>
      <c r="DT912" t="s">
        <v>470</v>
      </c>
      <c r="DU912" t="s">
        <v>471</v>
      </c>
      <c r="DV912" t="s">
        <v>472</v>
      </c>
      <c r="DX912">
        <v>-9999</v>
      </c>
      <c r="DZ912" t="s">
        <v>447</v>
      </c>
      <c r="EA912" t="s">
        <v>448</v>
      </c>
      <c r="EB912" t="s">
        <v>742</v>
      </c>
      <c r="EC912">
        <v>20101217</v>
      </c>
      <c r="ED912" t="s">
        <v>474</v>
      </c>
      <c r="EF912">
        <v>4274</v>
      </c>
      <c r="EG912">
        <v>4274</v>
      </c>
      <c r="EI912">
        <v>20160407</v>
      </c>
      <c r="EJ912">
        <v>0</v>
      </c>
      <c r="EK912">
        <v>0</v>
      </c>
      <c r="EP912" t="s">
        <v>421</v>
      </c>
      <c r="EQ912" t="s">
        <v>422</v>
      </c>
      <c r="ER912">
        <v>0</v>
      </c>
      <c r="ES912">
        <v>5</v>
      </c>
      <c r="ET912">
        <v>0</v>
      </c>
      <c r="EU912">
        <v>0</v>
      </c>
      <c r="EV912">
        <v>0</v>
      </c>
      <c r="EW912" s="2">
        <v>43222</v>
      </c>
      <c r="EX912" s="1">
        <v>42879</v>
      </c>
      <c r="EY912">
        <v>2016</v>
      </c>
      <c r="EZ912">
        <v>2834.16</v>
      </c>
      <c r="FA912" t="s">
        <v>9462</v>
      </c>
      <c r="FB912">
        <v>0.25</v>
      </c>
      <c r="FC912" t="s">
        <v>424</v>
      </c>
      <c r="FD912" t="s">
        <v>425</v>
      </c>
      <c r="FE912" s="1">
        <v>43192</v>
      </c>
      <c r="FF912">
        <v>11</v>
      </c>
      <c r="FG912">
        <v>11289</v>
      </c>
      <c r="FH912" t="s">
        <v>787</v>
      </c>
      <c r="FJ912" s="1">
        <v>42879</v>
      </c>
      <c r="FK912">
        <v>2016</v>
      </c>
      <c r="FL912">
        <v>2834.16</v>
      </c>
      <c r="FM912" t="s">
        <v>9462</v>
      </c>
      <c r="FN912">
        <v>0.25</v>
      </c>
      <c r="FO912" t="s">
        <v>424</v>
      </c>
      <c r="FP912" t="s">
        <v>425</v>
      </c>
      <c r="FR912">
        <v>22</v>
      </c>
      <c r="FS912">
        <v>7159730</v>
      </c>
      <c r="FT912" t="s">
        <v>9463</v>
      </c>
      <c r="FV912" s="1">
        <v>42515</v>
      </c>
      <c r="FW912">
        <v>2015</v>
      </c>
      <c r="FX912">
        <v>2937.89</v>
      </c>
      <c r="FY912" t="s">
        <v>9464</v>
      </c>
      <c r="FZ912">
        <v>0.25</v>
      </c>
      <c r="GA912" t="s">
        <v>424</v>
      </c>
      <c r="GB912" t="s">
        <v>425</v>
      </c>
      <c r="GC912" s="1">
        <v>42891</v>
      </c>
      <c r="GD912">
        <v>13</v>
      </c>
      <c r="GE912">
        <v>11289</v>
      </c>
      <c r="GF912" t="s">
        <v>787</v>
      </c>
      <c r="GH912" s="1">
        <v>42515</v>
      </c>
      <c r="GI912">
        <v>2015</v>
      </c>
      <c r="GJ912">
        <v>2937.89</v>
      </c>
      <c r="GK912" t="s">
        <v>9464</v>
      </c>
      <c r="GL912">
        <v>0.25</v>
      </c>
      <c r="GM912" t="s">
        <v>424</v>
      </c>
      <c r="GN912" t="s">
        <v>425</v>
      </c>
      <c r="GP912">
        <v>22</v>
      </c>
      <c r="GQ912">
        <v>5119460</v>
      </c>
      <c r="GR912" t="s">
        <v>9465</v>
      </c>
      <c r="GT912" s="1">
        <v>41787</v>
      </c>
      <c r="GU912">
        <v>2013</v>
      </c>
      <c r="GV912">
        <v>2132.7199999999998</v>
      </c>
      <c r="GW912" t="s">
        <v>9466</v>
      </c>
      <c r="GX912">
        <v>0.25</v>
      </c>
      <c r="GY912" t="s">
        <v>424</v>
      </c>
      <c r="GZ912" t="s">
        <v>425</v>
      </c>
      <c r="HA912" s="1">
        <v>42453</v>
      </c>
      <c r="HB912">
        <v>22</v>
      </c>
      <c r="HC912">
        <v>2719956</v>
      </c>
      <c r="HD912" t="s">
        <v>5473</v>
      </c>
    </row>
    <row r="913" spans="1:260" x14ac:dyDescent="0.25">
      <c r="A913">
        <v>16485920</v>
      </c>
      <c r="B913">
        <v>912</v>
      </c>
      <c r="C913" t="s">
        <v>393</v>
      </c>
      <c r="D913" t="s">
        <v>394</v>
      </c>
      <c r="F913" t="str">
        <f>"46-2N-25-197D-0013-0020"</f>
        <v>46-2N-25-197D-0013-0020</v>
      </c>
      <c r="H913" t="str">
        <f>"FORD THOMAS H JR &amp; MICHELE B"</f>
        <v>FORD THOMAS H JR &amp; MICHELE B</v>
      </c>
      <c r="I913" t="str">
        <f>"54651 SPRING LAKE DRIVE"</f>
        <v>54651 SPRING LAKE DRIVE</v>
      </c>
      <c r="J913" t="str">
        <f>"CALLAHAN FL 32011"</f>
        <v>CALLAHAN FL 32011</v>
      </c>
      <c r="K913" t="str">
        <f>"54651 SPRING LAKE DR"</f>
        <v>54651 SPRING LAKE DR</v>
      </c>
      <c r="L913" t="str">
        <f t="shared" si="273"/>
        <v>CALLAHAN FL 32011</v>
      </c>
      <c r="M913" t="str">
        <f>"BLOCK 13 LOT 2 IN OR 1443/1267 CONSERV ESMT PT OR 929/824 SPRING LAKE EST 4 REPLAT PB 6/177"</f>
        <v>BLOCK 13 LOT 2 IN OR 1443/1267 CONSERV ESMT PT OR 929/824 SPRING LAKE EST 4 REPLAT PB 6/177</v>
      </c>
      <c r="N913" t="str">
        <f>""</f>
        <v/>
      </c>
      <c r="O913" t="str">
        <f>"52582"</f>
        <v>52582</v>
      </c>
      <c r="P913" t="str">
        <f t="shared" si="283"/>
        <v>2017</v>
      </c>
      <c r="Q913" t="str">
        <f>""</f>
        <v/>
      </c>
      <c r="R913" t="str">
        <f>"Y"</f>
        <v>Y</v>
      </c>
      <c r="S913" t="str">
        <f>""</f>
        <v/>
      </c>
      <c r="T913" t="str">
        <f>"1986.09"</f>
        <v>1986.09</v>
      </c>
      <c r="U913" t="str">
        <f>"170296.00"</f>
        <v>170296.00</v>
      </c>
      <c r="V913" t="str">
        <f>"170296.00"</f>
        <v>170296.00</v>
      </c>
      <c r="W913" t="str">
        <f t="shared" si="284"/>
        <v>2017</v>
      </c>
      <c r="X913" t="str">
        <f>""</f>
        <v/>
      </c>
      <c r="Y913" t="str">
        <f>"2077.67"</f>
        <v>2077.67</v>
      </c>
      <c r="Z913" t="str">
        <f>"25000.00"</f>
        <v>25000.00</v>
      </c>
      <c r="AA913" t="str">
        <f>"145296.00"</f>
        <v>145296.00</v>
      </c>
      <c r="AB913" t="str">
        <f t="shared" si="282"/>
        <v>Residential</v>
      </c>
      <c r="AC913" t="str">
        <f t="shared" si="274"/>
        <v>0</v>
      </c>
      <c r="AD913" t="str">
        <f t="shared" si="285"/>
        <v>4</v>
      </c>
      <c r="AE913" t="str">
        <f t="shared" si="286"/>
        <v>WOOD (INCLUDE STEEL STUDS)</v>
      </c>
      <c r="AF913" t="str">
        <f t="shared" si="287"/>
        <v>001</v>
      </c>
      <c r="AG913" t="str">
        <f t="shared" si="288"/>
        <v>FL</v>
      </c>
      <c r="AH913" t="str">
        <f t="shared" si="290"/>
        <v>-</v>
      </c>
      <c r="AI913" t="str">
        <f t="shared" si="289"/>
        <v>28000.00</v>
      </c>
      <c r="AJ913" t="str">
        <f>"C55-000-588-5418-3"</f>
        <v>C55-000-588-5418-3</v>
      </c>
      <c r="AK913" t="str">
        <f>"14433"</f>
        <v>14433</v>
      </c>
      <c r="AL913">
        <v>4</v>
      </c>
      <c r="AM913">
        <v>1054</v>
      </c>
      <c r="AN913">
        <v>2179.9499999999998</v>
      </c>
      <c r="AQ913" t="s">
        <v>9467</v>
      </c>
      <c r="AR913" t="s">
        <v>9467</v>
      </c>
      <c r="AS913" t="s">
        <v>9467</v>
      </c>
      <c r="AU913" t="s">
        <v>396</v>
      </c>
      <c r="AV913">
        <v>2017</v>
      </c>
      <c r="AW913" t="str">
        <f>"46-2N-25-197D-0013-0020 "</f>
        <v xml:space="preserve">46-2N-25-197D-0013-0020 </v>
      </c>
      <c r="AX913">
        <v>54651</v>
      </c>
      <c r="AZ913" t="s">
        <v>9468</v>
      </c>
      <c r="BA913" t="s">
        <v>669</v>
      </c>
      <c r="BD913" t="s">
        <v>2785</v>
      </c>
      <c r="BE913" t="s">
        <v>393</v>
      </c>
      <c r="BF913">
        <v>32011</v>
      </c>
      <c r="BG913" t="s">
        <v>9469</v>
      </c>
      <c r="BH913" t="s">
        <v>2787</v>
      </c>
      <c r="BI913">
        <v>-81.782443563391695</v>
      </c>
      <c r="BJ913">
        <v>30.561952021879399</v>
      </c>
      <c r="BK913" t="s">
        <v>9470</v>
      </c>
      <c r="BL913" t="s">
        <v>9471</v>
      </c>
      <c r="BM913" t="s">
        <v>9469</v>
      </c>
      <c r="BN913" t="s">
        <v>928</v>
      </c>
      <c r="BO913">
        <v>32011</v>
      </c>
      <c r="BP913" t="s">
        <v>416</v>
      </c>
      <c r="BQ913">
        <v>100</v>
      </c>
      <c r="BR913" t="s">
        <v>514</v>
      </c>
      <c r="BS913">
        <v>1001</v>
      </c>
      <c r="BT913" t="s">
        <v>515</v>
      </c>
      <c r="BW913">
        <v>43480</v>
      </c>
      <c r="BX913" t="s">
        <v>407</v>
      </c>
      <c r="BZ913">
        <v>4</v>
      </c>
      <c r="CA913">
        <v>2006</v>
      </c>
      <c r="CB913">
        <v>1</v>
      </c>
      <c r="CC913">
        <v>1</v>
      </c>
      <c r="CD913">
        <v>2017</v>
      </c>
      <c r="CG913">
        <v>170296</v>
      </c>
      <c r="CH913">
        <v>2017</v>
      </c>
      <c r="CI913">
        <v>28000</v>
      </c>
      <c r="CJ913">
        <v>179057</v>
      </c>
      <c r="CK913">
        <v>207057</v>
      </c>
      <c r="CL913">
        <v>2017</v>
      </c>
      <c r="CM913">
        <v>1986.09</v>
      </c>
      <c r="CN913" s="1">
        <v>43019</v>
      </c>
      <c r="CO913">
        <v>278700</v>
      </c>
      <c r="CV913">
        <v>0</v>
      </c>
      <c r="CZ913" s="1">
        <v>43019</v>
      </c>
      <c r="DA913">
        <v>0</v>
      </c>
      <c r="DD913" t="s">
        <v>2785</v>
      </c>
      <c r="DF913">
        <v>2</v>
      </c>
      <c r="DG913">
        <v>46</v>
      </c>
      <c r="DL913">
        <v>50502</v>
      </c>
      <c r="DM913" t="s">
        <v>9395</v>
      </c>
      <c r="DO913" t="s">
        <v>9472</v>
      </c>
      <c r="DP913">
        <v>0</v>
      </c>
      <c r="DQ913">
        <v>0</v>
      </c>
      <c r="DR913" t="s">
        <v>411</v>
      </c>
    </row>
    <row r="914" spans="1:260" x14ac:dyDescent="0.25">
      <c r="A914">
        <v>16485921</v>
      </c>
      <c r="B914">
        <v>913</v>
      </c>
      <c r="C914" t="s">
        <v>393</v>
      </c>
      <c r="D914" t="s">
        <v>394</v>
      </c>
      <c r="F914" t="str">
        <f>"46-2N-25-197D-0014-0170"</f>
        <v>46-2N-25-197D-0014-0170</v>
      </c>
      <c r="H914" t="str">
        <f>"WILLIAMS KATHALEEN D"</f>
        <v>WILLIAMS KATHALEEN D</v>
      </c>
      <c r="I914" t="str">
        <f>"P O BOX 451878"</f>
        <v>P O BOX 451878</v>
      </c>
      <c r="J914" t="str">
        <f>"KISSIMMEE FL 34745"</f>
        <v>KISSIMMEE FL 34745</v>
      </c>
      <c r="K914" t="str">
        <f>"55016 BEAR RUN RD"</f>
        <v>55016 BEAR RUN RD</v>
      </c>
      <c r="L914" t="str">
        <f t="shared" ref="L914:L977" si="291">"CALLAHAN FL 32011"</f>
        <v>CALLAHAN FL 32011</v>
      </c>
      <c r="M914" t="str">
        <f>"BLOCK 14 LOT 17 IN OR 1460/1800 CONSERV ESMT PT OR 929/824 SPRING LAKE EST 4 REPLAT PB 6/177"</f>
        <v>BLOCK 14 LOT 17 IN OR 1460/1800 CONSERV ESMT PT OR 929/824 SPRING LAKE EST 4 REPLAT PB 6/177</v>
      </c>
      <c r="N914" t="str">
        <f>""</f>
        <v/>
      </c>
      <c r="O914" t="str">
        <f>"52638"</f>
        <v>52638</v>
      </c>
      <c r="P914" t="str">
        <f t="shared" si="283"/>
        <v>2017</v>
      </c>
      <c r="Q914" t="str">
        <f>""</f>
        <v/>
      </c>
      <c r="R914" t="str">
        <f>"N"</f>
        <v>N</v>
      </c>
      <c r="S914" t="str">
        <f>""</f>
        <v/>
      </c>
      <c r="T914" t="str">
        <f>"3014.80"</f>
        <v>3014.80</v>
      </c>
      <c r="U914" t="str">
        <f>"191726.00"</f>
        <v>191726.00</v>
      </c>
      <c r="V914" t="str">
        <f>"191726.00"</f>
        <v>191726.00</v>
      </c>
      <c r="W914" t="str">
        <f t="shared" si="284"/>
        <v>2017</v>
      </c>
      <c r="X914" t="str">
        <f>"1.00"</f>
        <v>1.00</v>
      </c>
      <c r="Y914" t="str">
        <f>"3137.24"</f>
        <v>3137.24</v>
      </c>
      <c r="Z914" t="str">
        <f>""</f>
        <v/>
      </c>
      <c r="AA914" t="str">
        <f>"208745.00"</f>
        <v>208745.00</v>
      </c>
      <c r="AB914" t="str">
        <f t="shared" si="282"/>
        <v>Residential</v>
      </c>
      <c r="AC914" t="str">
        <f t="shared" si="274"/>
        <v>0</v>
      </c>
      <c r="AD914" t="str">
        <f t="shared" si="285"/>
        <v>4</v>
      </c>
      <c r="AE914" t="str">
        <f t="shared" si="286"/>
        <v>WOOD (INCLUDE STEEL STUDS)</v>
      </c>
      <c r="AF914" t="str">
        <f t="shared" si="287"/>
        <v>001</v>
      </c>
      <c r="AG914" t="str">
        <f t="shared" si="288"/>
        <v>FL</v>
      </c>
      <c r="AH914" t="str">
        <f t="shared" si="290"/>
        <v>-</v>
      </c>
      <c r="AI914" t="str">
        <f t="shared" si="289"/>
        <v>28000.00</v>
      </c>
      <c r="AJ914" t="str">
        <f>"C55-000-588-5471-2"</f>
        <v>C55-000-588-5471-2</v>
      </c>
      <c r="AK914" t="str">
        <f>"14486"</f>
        <v>14486</v>
      </c>
      <c r="AL914">
        <v>4</v>
      </c>
      <c r="AM914">
        <v>1055</v>
      </c>
      <c r="AN914">
        <v>3292.5</v>
      </c>
      <c r="AQ914" t="s">
        <v>9473</v>
      </c>
      <c r="AR914" t="s">
        <v>9473</v>
      </c>
      <c r="AS914" t="s">
        <v>9473</v>
      </c>
      <c r="AU914" t="s">
        <v>396</v>
      </c>
      <c r="AV914">
        <v>2017</v>
      </c>
      <c r="AW914" t="str">
        <f>"46-2N-25-197D-0014-0170 "</f>
        <v xml:space="preserve">46-2N-25-197D-0014-0170 </v>
      </c>
      <c r="AX914">
        <v>55016</v>
      </c>
      <c r="AZ914" t="s">
        <v>8732</v>
      </c>
      <c r="BA914" t="s">
        <v>496</v>
      </c>
      <c r="BD914" t="s">
        <v>2785</v>
      </c>
      <c r="BE914" t="s">
        <v>393</v>
      </c>
      <c r="BF914">
        <v>32011</v>
      </c>
      <c r="BG914" t="s">
        <v>9474</v>
      </c>
      <c r="BH914" t="s">
        <v>2787</v>
      </c>
      <c r="BI914">
        <v>-81.776735641077593</v>
      </c>
      <c r="BJ914">
        <v>30.556078886136699</v>
      </c>
      <c r="BK914" t="s">
        <v>9475</v>
      </c>
      <c r="BL914" t="s">
        <v>9476</v>
      </c>
      <c r="BM914" t="s">
        <v>9477</v>
      </c>
      <c r="BN914" t="s">
        <v>548</v>
      </c>
      <c r="BO914">
        <v>32224</v>
      </c>
      <c r="BP914" t="s">
        <v>404</v>
      </c>
      <c r="BQ914">
        <v>100</v>
      </c>
      <c r="BR914" t="s">
        <v>514</v>
      </c>
      <c r="BS914">
        <v>1001</v>
      </c>
      <c r="BT914" t="s">
        <v>515</v>
      </c>
      <c r="BW914">
        <v>112228</v>
      </c>
      <c r="BX914" t="s">
        <v>407</v>
      </c>
      <c r="BZ914">
        <v>4</v>
      </c>
      <c r="CA914">
        <v>2008</v>
      </c>
      <c r="CB914">
        <v>1</v>
      </c>
      <c r="CC914">
        <v>1</v>
      </c>
      <c r="CD914">
        <v>2017</v>
      </c>
      <c r="CE914">
        <v>28000</v>
      </c>
      <c r="CF914">
        <v>180745</v>
      </c>
      <c r="CG914">
        <v>208745</v>
      </c>
      <c r="CH914">
        <v>2017</v>
      </c>
      <c r="CI914">
        <v>28000</v>
      </c>
      <c r="CJ914">
        <v>180745</v>
      </c>
      <c r="CK914">
        <v>208745</v>
      </c>
      <c r="CL914">
        <v>2017</v>
      </c>
      <c r="CM914">
        <v>3014.8</v>
      </c>
      <c r="CN914" s="1">
        <v>43096</v>
      </c>
      <c r="CO914">
        <v>193600</v>
      </c>
      <c r="CV914">
        <v>0</v>
      </c>
      <c r="CZ914" s="1">
        <v>43096</v>
      </c>
      <c r="DA914">
        <v>0</v>
      </c>
      <c r="DD914" t="s">
        <v>2785</v>
      </c>
      <c r="DF914">
        <v>17</v>
      </c>
      <c r="DG914">
        <v>46</v>
      </c>
      <c r="DL914">
        <v>50502</v>
      </c>
      <c r="DM914" t="s">
        <v>9395</v>
      </c>
      <c r="DO914" t="s">
        <v>9478</v>
      </c>
      <c r="DP914">
        <v>0</v>
      </c>
      <c r="DQ914">
        <v>0</v>
      </c>
      <c r="DR914" t="s">
        <v>411</v>
      </c>
    </row>
    <row r="915" spans="1:260" x14ac:dyDescent="0.25">
      <c r="A915">
        <v>16485922</v>
      </c>
      <c r="B915">
        <v>914</v>
      </c>
      <c r="C915" t="s">
        <v>393</v>
      </c>
      <c r="D915" t="s">
        <v>394</v>
      </c>
      <c r="F915" t="str">
        <f>"46-2N-25-197D-0014-0330"</f>
        <v>46-2N-25-197D-0014-0330</v>
      </c>
      <c r="H915" t="str">
        <f>"WASHINGTON GEORGE III &amp;CHELSEY"</f>
        <v>WASHINGTON GEORGE III &amp;CHELSEY</v>
      </c>
      <c r="I915" t="str">
        <f>"2124 FAIRFAX STREET"</f>
        <v>2124 FAIRFAX STREET</v>
      </c>
      <c r="J915" t="str">
        <f>"JACKSONVILLE FL 32209"</f>
        <v>JACKSONVILLE FL 32209</v>
      </c>
      <c r="K915" t="str">
        <f>"55025 CUB CT"</f>
        <v>55025 CUB CT</v>
      </c>
      <c r="L915" t="str">
        <f t="shared" si="291"/>
        <v>CALLAHAN FL 32011</v>
      </c>
      <c r="M915" t="str">
        <f>"BLOCK 14 LOT 33 PT OR 940/146 SPRING LAKE EST 4 REPLAT PB 6/177"</f>
        <v>BLOCK 14 LOT 33 PT OR 940/146 SPRING LAKE EST 4 REPLAT PB 6/177</v>
      </c>
      <c r="N915" t="str">
        <f>""</f>
        <v/>
      </c>
      <c r="O915" t="str">
        <f>"52654"</f>
        <v>52654</v>
      </c>
      <c r="P915" t="str">
        <f t="shared" si="283"/>
        <v>2017</v>
      </c>
      <c r="Q915" t="str">
        <f>""</f>
        <v/>
      </c>
      <c r="R915" t="str">
        <f>"N"</f>
        <v>N</v>
      </c>
      <c r="S915" t="str">
        <f>""</f>
        <v/>
      </c>
      <c r="T915" t="str">
        <f>"419.61"</f>
        <v>419.61</v>
      </c>
      <c r="U915" t="str">
        <f>"27500.00"</f>
        <v>27500.00</v>
      </c>
      <c r="V915" t="str">
        <f>"27500.00"</f>
        <v>27500.00</v>
      </c>
      <c r="W915" t="str">
        <f t="shared" si="284"/>
        <v>2017</v>
      </c>
      <c r="X915" t="str">
        <f>"15.29"</f>
        <v>15.29</v>
      </c>
      <c r="Y915" t="str">
        <f>"464.20"</f>
        <v>464.20</v>
      </c>
      <c r="Z915" t="str">
        <f>""</f>
        <v/>
      </c>
      <c r="AA915" t="str">
        <f>"28000.00"</f>
        <v>28000.00</v>
      </c>
      <c r="AB915" t="str">
        <f t="shared" si="282"/>
        <v>Residential</v>
      </c>
      <c r="AC915" t="str">
        <f t="shared" si="274"/>
        <v>0</v>
      </c>
      <c r="AD915" t="str">
        <f>""</f>
        <v/>
      </c>
      <c r="AE915" t="str">
        <f>""</f>
        <v/>
      </c>
      <c r="AF915" t="str">
        <f>"000"</f>
        <v>000</v>
      </c>
      <c r="AG915" t="str">
        <f t="shared" si="288"/>
        <v>FL</v>
      </c>
      <c r="AH915" t="str">
        <f t="shared" si="290"/>
        <v>-</v>
      </c>
      <c r="AI915" t="str">
        <f t="shared" si="289"/>
        <v>28000.00</v>
      </c>
      <c r="AJ915" t="str">
        <f>"C55-000-588-5487-8"</f>
        <v>C55-000-588-5487-8</v>
      </c>
      <c r="AK915" t="str">
        <f>"14502"</f>
        <v>14502</v>
      </c>
      <c r="AL915">
        <v>4</v>
      </c>
      <c r="AM915">
        <v>1056</v>
      </c>
      <c r="AN915">
        <v>485.81</v>
      </c>
      <c r="AQ915" t="s">
        <v>9479</v>
      </c>
      <c r="AR915" t="s">
        <v>9479</v>
      </c>
      <c r="AS915" t="s">
        <v>9479</v>
      </c>
      <c r="AU915" t="s">
        <v>396</v>
      </c>
      <c r="AV915">
        <v>2017</v>
      </c>
      <c r="AW915" t="str">
        <f>"46-2N-25-197D-0014-0330 "</f>
        <v xml:space="preserve">46-2N-25-197D-0014-0330 </v>
      </c>
      <c r="AX915">
        <v>55025</v>
      </c>
      <c r="AZ915" t="s">
        <v>9480</v>
      </c>
      <c r="BA915" t="s">
        <v>3181</v>
      </c>
      <c r="BD915" t="s">
        <v>2785</v>
      </c>
      <c r="BE915" t="s">
        <v>393</v>
      </c>
      <c r="BF915">
        <v>32011</v>
      </c>
      <c r="BG915" t="s">
        <v>9481</v>
      </c>
      <c r="BH915" t="s">
        <v>2787</v>
      </c>
      <c r="BI915">
        <v>-81.775433649213696</v>
      </c>
      <c r="BJ915">
        <v>30.5617599178848</v>
      </c>
      <c r="BK915" t="s">
        <v>9482</v>
      </c>
      <c r="BL915" t="s">
        <v>9483</v>
      </c>
      <c r="BM915" t="s">
        <v>9484</v>
      </c>
      <c r="BN915" t="s">
        <v>548</v>
      </c>
      <c r="BO915">
        <v>32209</v>
      </c>
      <c r="BP915" t="s">
        <v>404</v>
      </c>
      <c r="BQ915">
        <v>0</v>
      </c>
      <c r="BR915" t="s">
        <v>491</v>
      </c>
      <c r="BS915">
        <v>8001</v>
      </c>
      <c r="BT915" t="s">
        <v>492</v>
      </c>
      <c r="BW915">
        <v>43337</v>
      </c>
      <c r="BX915" t="s">
        <v>407</v>
      </c>
      <c r="CD915">
        <v>2017</v>
      </c>
      <c r="CE915">
        <v>28000</v>
      </c>
      <c r="CG915">
        <v>28000</v>
      </c>
      <c r="CH915">
        <v>2017</v>
      </c>
      <c r="CI915">
        <v>28000</v>
      </c>
      <c r="CK915">
        <v>28000</v>
      </c>
      <c r="CL915">
        <v>2017</v>
      </c>
      <c r="CM915">
        <v>419.61</v>
      </c>
      <c r="CN915" s="1">
        <v>36718</v>
      </c>
      <c r="CO915">
        <v>60000</v>
      </c>
      <c r="CZ915" s="1">
        <v>36718</v>
      </c>
      <c r="DD915" t="s">
        <v>2785</v>
      </c>
      <c r="DF915">
        <v>33</v>
      </c>
      <c r="DG915">
        <v>46</v>
      </c>
      <c r="DL915">
        <v>50502</v>
      </c>
      <c r="DM915" t="s">
        <v>9395</v>
      </c>
      <c r="DO915" t="s">
        <v>9485</v>
      </c>
      <c r="DP915">
        <v>0</v>
      </c>
      <c r="DQ915">
        <v>0</v>
      </c>
      <c r="DR915" t="s">
        <v>411</v>
      </c>
      <c r="DS915" t="b">
        <v>1</v>
      </c>
      <c r="DT915" t="s">
        <v>470</v>
      </c>
      <c r="DU915" t="s">
        <v>471</v>
      </c>
      <c r="DV915" t="s">
        <v>472</v>
      </c>
      <c r="DX915">
        <v>-9999</v>
      </c>
      <c r="DZ915" t="s">
        <v>447</v>
      </c>
      <c r="EA915" t="s">
        <v>448</v>
      </c>
      <c r="EB915" t="s">
        <v>742</v>
      </c>
      <c r="EC915">
        <v>20101217</v>
      </c>
      <c r="ED915" t="s">
        <v>474</v>
      </c>
      <c r="EF915">
        <v>4389.1000000000004</v>
      </c>
      <c r="EG915">
        <v>4389.1000000000004</v>
      </c>
      <c r="EI915">
        <v>20160407</v>
      </c>
      <c r="EJ915">
        <v>0</v>
      </c>
      <c r="EK915">
        <v>0</v>
      </c>
      <c r="EP915" t="s">
        <v>421</v>
      </c>
      <c r="EQ915" t="s">
        <v>422</v>
      </c>
      <c r="ER915">
        <v>1</v>
      </c>
      <c r="ES915">
        <v>5</v>
      </c>
      <c r="ET915">
        <v>442.05</v>
      </c>
      <c r="EU915">
        <v>34.979999999999997</v>
      </c>
      <c r="EV915">
        <v>477.03</v>
      </c>
      <c r="EW915" s="2">
        <v>43222</v>
      </c>
      <c r="EX915" s="1">
        <v>42879</v>
      </c>
      <c r="EY915">
        <v>2016</v>
      </c>
      <c r="EZ915">
        <v>442.05</v>
      </c>
      <c r="FA915" t="s">
        <v>9486</v>
      </c>
      <c r="FB915">
        <v>6.5</v>
      </c>
      <c r="FC915" t="s">
        <v>424</v>
      </c>
      <c r="FD915" t="s">
        <v>454</v>
      </c>
      <c r="FF915">
        <v>12</v>
      </c>
      <c r="FG915">
        <v>10125</v>
      </c>
      <c r="FH915" t="s">
        <v>440</v>
      </c>
      <c r="FJ915" s="1">
        <v>42515</v>
      </c>
      <c r="FK915">
        <v>2015</v>
      </c>
      <c r="FL915">
        <v>447.15</v>
      </c>
      <c r="FM915" t="s">
        <v>9487</v>
      </c>
      <c r="FN915">
        <v>15.25</v>
      </c>
      <c r="FO915" t="s">
        <v>424</v>
      </c>
      <c r="FP915" t="s">
        <v>425</v>
      </c>
      <c r="FQ915" s="1">
        <v>43187</v>
      </c>
      <c r="FR915">
        <v>22</v>
      </c>
      <c r="FS915">
        <v>7336143</v>
      </c>
      <c r="FT915" t="s">
        <v>539</v>
      </c>
      <c r="FV915" s="1">
        <v>42151</v>
      </c>
      <c r="FW915">
        <v>2014</v>
      </c>
      <c r="FX915">
        <v>348.18</v>
      </c>
      <c r="FY915" t="s">
        <v>9488</v>
      </c>
      <c r="FZ915">
        <v>4.25</v>
      </c>
      <c r="GA915" t="s">
        <v>424</v>
      </c>
      <c r="GB915" t="s">
        <v>425</v>
      </c>
      <c r="GC915" s="1">
        <v>42794</v>
      </c>
      <c r="GD915">
        <v>21</v>
      </c>
      <c r="GE915">
        <v>10013</v>
      </c>
      <c r="GF915" t="s">
        <v>8707</v>
      </c>
      <c r="GH915" s="1">
        <v>41423</v>
      </c>
      <c r="GI915">
        <v>2012</v>
      </c>
      <c r="GJ915">
        <v>431.5</v>
      </c>
      <c r="GK915" t="s">
        <v>9489</v>
      </c>
      <c r="GL915">
        <v>4.75</v>
      </c>
      <c r="GM915" t="s">
        <v>424</v>
      </c>
      <c r="GN915" t="s">
        <v>425</v>
      </c>
      <c r="GO915" s="1">
        <v>41610</v>
      </c>
      <c r="GP915">
        <v>7</v>
      </c>
      <c r="GQ915">
        <v>1625515</v>
      </c>
      <c r="GR915" t="s">
        <v>487</v>
      </c>
      <c r="GT915" s="1">
        <v>41052</v>
      </c>
      <c r="GU915">
        <v>2011</v>
      </c>
      <c r="GV915">
        <v>597.34</v>
      </c>
      <c r="GW915" t="s">
        <v>9490</v>
      </c>
      <c r="GX915">
        <v>4.75</v>
      </c>
      <c r="GY915" t="s">
        <v>424</v>
      </c>
      <c r="GZ915" t="s">
        <v>425</v>
      </c>
      <c r="HA915" s="1">
        <v>41117</v>
      </c>
      <c r="HB915">
        <v>2</v>
      </c>
      <c r="HC915">
        <v>10579</v>
      </c>
      <c r="HD915" t="s">
        <v>488</v>
      </c>
      <c r="HF915" s="1">
        <v>40688</v>
      </c>
      <c r="HG915">
        <v>2010</v>
      </c>
      <c r="HH915">
        <v>599.52</v>
      </c>
      <c r="HI915" t="s">
        <v>9491</v>
      </c>
      <c r="HJ915">
        <v>7.75</v>
      </c>
      <c r="HK915" t="s">
        <v>424</v>
      </c>
      <c r="HL915" t="s">
        <v>425</v>
      </c>
      <c r="HM915" s="1">
        <v>41117</v>
      </c>
      <c r="HN915">
        <v>14</v>
      </c>
      <c r="HO915">
        <v>11064</v>
      </c>
      <c r="HP915" t="s">
        <v>6946</v>
      </c>
    </row>
    <row r="916" spans="1:260" x14ac:dyDescent="0.25">
      <c r="A916">
        <v>16485923</v>
      </c>
      <c r="B916">
        <v>915</v>
      </c>
      <c r="C916" t="s">
        <v>393</v>
      </c>
      <c r="D916" t="s">
        <v>394</v>
      </c>
      <c r="F916" t="str">
        <f>"46-2N-25-197D-0014-0340"</f>
        <v>46-2N-25-197D-0014-0340</v>
      </c>
      <c r="H916" t="str">
        <f>"WASHINGTON GEORGE III &amp;CHELSEY"</f>
        <v>WASHINGTON GEORGE III &amp;CHELSEY</v>
      </c>
      <c r="I916" t="str">
        <f>"2124 FAIRFAX STREET"</f>
        <v>2124 FAIRFAX STREET</v>
      </c>
      <c r="J916" t="str">
        <f>"JACKSONVILLE FL 32209"</f>
        <v>JACKSONVILLE FL 32209</v>
      </c>
      <c r="K916" t="str">
        <f>"55073 CUB CT"</f>
        <v>55073 CUB CT</v>
      </c>
      <c r="L916" t="str">
        <f t="shared" si="291"/>
        <v>CALLAHAN FL 32011</v>
      </c>
      <c r="M916" t="str">
        <f>"BLOCK 14 LOT 34 PT OR 940/146 SPRING LAKE EST 4 REPLAT PB 6/177"</f>
        <v>BLOCK 14 LOT 34 PT OR 940/146 SPRING LAKE EST 4 REPLAT PB 6/177</v>
      </c>
      <c r="N916" t="str">
        <f>""</f>
        <v/>
      </c>
      <c r="O916" t="str">
        <f>"52655"</f>
        <v>52655</v>
      </c>
      <c r="P916" t="str">
        <f t="shared" si="283"/>
        <v>2017</v>
      </c>
      <c r="Q916" t="str">
        <f>""</f>
        <v/>
      </c>
      <c r="R916" t="str">
        <f>"N"</f>
        <v>N</v>
      </c>
      <c r="S916" t="str">
        <f>""</f>
        <v/>
      </c>
      <c r="T916" t="str">
        <f>"419.61"</f>
        <v>419.61</v>
      </c>
      <c r="U916" t="str">
        <f>"27500.00"</f>
        <v>27500.00</v>
      </c>
      <c r="V916" t="str">
        <f>"27500.00"</f>
        <v>27500.00</v>
      </c>
      <c r="W916" t="str">
        <f t="shared" si="284"/>
        <v>2017</v>
      </c>
      <c r="X916" t="str">
        <f>"15.29"</f>
        <v>15.29</v>
      </c>
      <c r="Y916" t="str">
        <f>"464.20"</f>
        <v>464.20</v>
      </c>
      <c r="Z916" t="str">
        <f>""</f>
        <v/>
      </c>
      <c r="AA916" t="str">
        <f>"28000.00"</f>
        <v>28000.00</v>
      </c>
      <c r="AB916" t="str">
        <f t="shared" si="282"/>
        <v>Residential</v>
      </c>
      <c r="AC916" t="str">
        <f t="shared" si="274"/>
        <v>0</v>
      </c>
      <c r="AD916" t="str">
        <f>""</f>
        <v/>
      </c>
      <c r="AE916" t="str">
        <f>""</f>
        <v/>
      </c>
      <c r="AF916" t="str">
        <f>"000"</f>
        <v>000</v>
      </c>
      <c r="AG916" t="str">
        <f t="shared" si="288"/>
        <v>FL</v>
      </c>
      <c r="AH916" t="str">
        <f t="shared" si="290"/>
        <v>-</v>
      </c>
      <c r="AI916" t="str">
        <f t="shared" si="289"/>
        <v>28000.00</v>
      </c>
      <c r="AJ916" t="str">
        <f>"C55-000-588-5488-6"</f>
        <v>C55-000-588-5488-6</v>
      </c>
      <c r="AK916" t="str">
        <f>"14503"</f>
        <v>14503</v>
      </c>
      <c r="AL916">
        <v>4</v>
      </c>
      <c r="AM916">
        <v>1057</v>
      </c>
      <c r="AN916">
        <v>485.81</v>
      </c>
      <c r="AQ916" t="s">
        <v>9492</v>
      </c>
      <c r="AR916" t="s">
        <v>9492</v>
      </c>
      <c r="AS916" t="s">
        <v>9492</v>
      </c>
      <c r="AU916" t="s">
        <v>396</v>
      </c>
      <c r="AV916">
        <v>2017</v>
      </c>
      <c r="AW916" t="str">
        <f>"46-2N-25-197D-0014-0340 "</f>
        <v xml:space="preserve">46-2N-25-197D-0014-0340 </v>
      </c>
      <c r="AX916">
        <v>55073</v>
      </c>
      <c r="AZ916" t="s">
        <v>9480</v>
      </c>
      <c r="BA916" t="s">
        <v>3181</v>
      </c>
      <c r="BD916" t="s">
        <v>2785</v>
      </c>
      <c r="BE916" t="s">
        <v>393</v>
      </c>
      <c r="BF916">
        <v>32011</v>
      </c>
      <c r="BG916" t="s">
        <v>9493</v>
      </c>
      <c r="BH916" t="s">
        <v>2787</v>
      </c>
      <c r="BI916">
        <v>-81.774950512293003</v>
      </c>
      <c r="BJ916">
        <v>30.561620542833602</v>
      </c>
      <c r="BK916" t="s">
        <v>9482</v>
      </c>
      <c r="BL916" t="s">
        <v>9483</v>
      </c>
      <c r="BM916" t="s">
        <v>9484</v>
      </c>
      <c r="BN916" t="s">
        <v>548</v>
      </c>
      <c r="BO916">
        <v>32209</v>
      </c>
      <c r="BP916" t="s">
        <v>404</v>
      </c>
      <c r="BQ916">
        <v>0</v>
      </c>
      <c r="BR916" t="s">
        <v>491</v>
      </c>
      <c r="BS916">
        <v>8001</v>
      </c>
      <c r="BT916" t="s">
        <v>492</v>
      </c>
      <c r="BW916">
        <v>48072</v>
      </c>
      <c r="BX916" t="s">
        <v>407</v>
      </c>
      <c r="CD916">
        <v>2017</v>
      </c>
      <c r="CE916">
        <v>28000</v>
      </c>
      <c r="CG916">
        <v>28000</v>
      </c>
      <c r="CH916">
        <v>2017</v>
      </c>
      <c r="CI916">
        <v>28000</v>
      </c>
      <c r="CK916">
        <v>28000</v>
      </c>
      <c r="CL916">
        <v>2017</v>
      </c>
      <c r="CM916">
        <v>419.61</v>
      </c>
      <c r="CN916" s="1">
        <v>36718</v>
      </c>
      <c r="CO916">
        <v>60000</v>
      </c>
      <c r="CZ916" s="1">
        <v>36718</v>
      </c>
      <c r="DD916" t="s">
        <v>2785</v>
      </c>
      <c r="DF916">
        <v>34</v>
      </c>
      <c r="DG916">
        <v>46</v>
      </c>
      <c r="DL916">
        <v>50502</v>
      </c>
      <c r="DM916" t="s">
        <v>9395</v>
      </c>
      <c r="DO916" t="s">
        <v>9494</v>
      </c>
      <c r="DP916">
        <v>0</v>
      </c>
      <c r="DQ916">
        <v>0</v>
      </c>
      <c r="DR916" t="s">
        <v>411</v>
      </c>
      <c r="DS916" t="b">
        <v>1</v>
      </c>
      <c r="DT916" t="s">
        <v>470</v>
      </c>
      <c r="DU916" t="s">
        <v>471</v>
      </c>
      <c r="DV916" t="s">
        <v>472</v>
      </c>
      <c r="DX916">
        <v>-9999</v>
      </c>
      <c r="DZ916" t="s">
        <v>447</v>
      </c>
      <c r="EA916" t="s">
        <v>448</v>
      </c>
      <c r="EB916" t="s">
        <v>742</v>
      </c>
      <c r="EC916">
        <v>20101217</v>
      </c>
      <c r="ED916" t="s">
        <v>474</v>
      </c>
      <c r="EF916">
        <v>4324.5</v>
      </c>
      <c r="EG916">
        <v>4324.5</v>
      </c>
      <c r="EI916">
        <v>20160407</v>
      </c>
      <c r="EJ916">
        <v>0</v>
      </c>
      <c r="EK916">
        <v>0</v>
      </c>
      <c r="EP916" t="s">
        <v>421</v>
      </c>
      <c r="EQ916" t="s">
        <v>422</v>
      </c>
      <c r="ER916">
        <v>1</v>
      </c>
      <c r="ES916">
        <v>5</v>
      </c>
      <c r="ET916">
        <v>442.05</v>
      </c>
      <c r="EU916">
        <v>34.979999999999997</v>
      </c>
      <c r="EV916">
        <v>477.03</v>
      </c>
      <c r="EW916" s="2">
        <v>43222</v>
      </c>
      <c r="EX916" s="1">
        <v>42879</v>
      </c>
      <c r="EY916">
        <v>2016</v>
      </c>
      <c r="EZ916">
        <v>442.05</v>
      </c>
      <c r="FA916" t="s">
        <v>9495</v>
      </c>
      <c r="FB916">
        <v>6.5</v>
      </c>
      <c r="FC916" t="s">
        <v>424</v>
      </c>
      <c r="FD916" t="s">
        <v>454</v>
      </c>
      <c r="FF916">
        <v>12</v>
      </c>
      <c r="FG916">
        <v>10125</v>
      </c>
      <c r="FH916" t="s">
        <v>440</v>
      </c>
      <c r="FJ916" s="1">
        <v>42515</v>
      </c>
      <c r="FK916">
        <v>2015</v>
      </c>
      <c r="FL916">
        <v>447.15</v>
      </c>
      <c r="FM916" t="s">
        <v>9496</v>
      </c>
      <c r="FN916">
        <v>15.25</v>
      </c>
      <c r="FO916" t="s">
        <v>424</v>
      </c>
      <c r="FP916" t="s">
        <v>425</v>
      </c>
      <c r="FQ916" s="1">
        <v>43187</v>
      </c>
      <c r="FR916">
        <v>22</v>
      </c>
      <c r="FS916">
        <v>7336143</v>
      </c>
      <c r="FT916" t="s">
        <v>539</v>
      </c>
      <c r="FV916" s="1">
        <v>42151</v>
      </c>
      <c r="FW916">
        <v>2014</v>
      </c>
      <c r="FX916">
        <v>348.18</v>
      </c>
      <c r="FY916" t="s">
        <v>9497</v>
      </c>
      <c r="FZ916">
        <v>4.25</v>
      </c>
      <c r="GA916" t="s">
        <v>424</v>
      </c>
      <c r="GB916" t="s">
        <v>425</v>
      </c>
      <c r="GC916" s="1">
        <v>42794</v>
      </c>
      <c r="GD916">
        <v>21</v>
      </c>
      <c r="GE916">
        <v>10013</v>
      </c>
      <c r="GF916" t="s">
        <v>8707</v>
      </c>
      <c r="GH916" s="1">
        <v>41423</v>
      </c>
      <c r="GI916">
        <v>2012</v>
      </c>
      <c r="GJ916">
        <v>431.5</v>
      </c>
      <c r="GK916" t="s">
        <v>9498</v>
      </c>
      <c r="GL916">
        <v>4.75</v>
      </c>
      <c r="GM916" t="s">
        <v>424</v>
      </c>
      <c r="GN916" t="s">
        <v>425</v>
      </c>
      <c r="GO916" s="1">
        <v>41610</v>
      </c>
      <c r="GP916">
        <v>7</v>
      </c>
      <c r="GQ916">
        <v>1625515</v>
      </c>
      <c r="GR916" t="s">
        <v>487</v>
      </c>
      <c r="GT916" s="1">
        <v>41052</v>
      </c>
      <c r="GU916">
        <v>2011</v>
      </c>
      <c r="GV916">
        <v>597.34</v>
      </c>
      <c r="GW916" t="s">
        <v>9499</v>
      </c>
      <c r="GX916">
        <v>4.75</v>
      </c>
      <c r="GY916" t="s">
        <v>424</v>
      </c>
      <c r="GZ916" t="s">
        <v>425</v>
      </c>
      <c r="HA916" s="1">
        <v>41117</v>
      </c>
      <c r="HB916">
        <v>2</v>
      </c>
      <c r="HC916">
        <v>10579</v>
      </c>
      <c r="HD916" t="s">
        <v>488</v>
      </c>
      <c r="HF916" s="1">
        <v>40688</v>
      </c>
      <c r="HG916">
        <v>2010</v>
      </c>
      <c r="HH916">
        <v>599.52</v>
      </c>
      <c r="HI916" t="s">
        <v>9500</v>
      </c>
      <c r="HJ916">
        <v>7.75</v>
      </c>
      <c r="HK916" t="s">
        <v>424</v>
      </c>
      <c r="HL916" t="s">
        <v>425</v>
      </c>
      <c r="HM916" s="1">
        <v>41117</v>
      </c>
      <c r="HN916">
        <v>14</v>
      </c>
      <c r="HO916">
        <v>11064</v>
      </c>
      <c r="HP916" t="s">
        <v>6946</v>
      </c>
    </row>
    <row r="917" spans="1:260" x14ac:dyDescent="0.25">
      <c r="A917">
        <v>16485924</v>
      </c>
      <c r="B917">
        <v>916</v>
      </c>
      <c r="C917" t="s">
        <v>393</v>
      </c>
      <c r="D917" t="s">
        <v>394</v>
      </c>
      <c r="F917" t="str">
        <f>"47-2N-25-0000-0004-0060"</f>
        <v>47-2N-25-0000-0004-0060</v>
      </c>
      <c r="H917" t="str">
        <f>"U Y PROPERTIES LLC"</f>
        <v>U Y PROPERTIES LLC</v>
      </c>
      <c r="I917" t="str">
        <f>"45176 AMERICAN DREAM DRIVE"</f>
        <v>45176 AMERICAN DREAM DRIVE</v>
      </c>
      <c r="J917" t="str">
        <f>"CALLAHAN FL 32011"</f>
        <v>CALLAHAN FL 32011</v>
      </c>
      <c r="K917" t="str">
        <f>"45215 SEMINOLE TRL"</f>
        <v>45215 SEMINOLE TRL</v>
      </c>
      <c r="L917" t="str">
        <f t="shared" si="291"/>
        <v>CALLAHAN FL 32011</v>
      </c>
      <c r="M917" t="str">
        <f>"PARCELS 4-6 &amp; S-2 OF LOT 3 OF SHADY GROVE PB 6/13-14 PT OR 1634/724 EX PAR 4-7 4-11 &amp; 4-14"</f>
        <v>PARCELS 4-6 &amp; S-2 OF LOT 3 OF SHADY GROVE PB 6/13-14 PT OR 1634/724 EX PAR 4-7 4-11 &amp; 4-14</v>
      </c>
      <c r="N917" t="str">
        <f>""</f>
        <v/>
      </c>
      <c r="O917" t="str">
        <f>"53448"</f>
        <v>53448</v>
      </c>
      <c r="P917" t="str">
        <f t="shared" si="283"/>
        <v>2017</v>
      </c>
      <c r="Q917" t="str">
        <f>""</f>
        <v/>
      </c>
      <c r="R917" t="str">
        <f>"N"</f>
        <v>N</v>
      </c>
      <c r="S917" t="str">
        <f>"4.15"</f>
        <v>4.15</v>
      </c>
      <c r="T917" t="str">
        <f>"146.36"</f>
        <v>146.36</v>
      </c>
      <c r="U917" t="str">
        <f>"8919.00"</f>
        <v>8919.00</v>
      </c>
      <c r="V917" t="str">
        <f>"8919.00"</f>
        <v>8919.00</v>
      </c>
      <c r="W917" t="str">
        <f t="shared" si="284"/>
        <v>2017</v>
      </c>
      <c r="X917" t="str">
        <f>"7.33"</f>
        <v>7.33</v>
      </c>
      <c r="Y917" t="str">
        <f>"182.75"</f>
        <v>182.75</v>
      </c>
      <c r="Z917" t="str">
        <f>""</f>
        <v/>
      </c>
      <c r="AA917" t="str">
        <f>"10636.00"</f>
        <v>10636.00</v>
      </c>
      <c r="AB917" t="str">
        <f>"Agricultural"</f>
        <v>Agricultural</v>
      </c>
      <c r="AC917" t="str">
        <f t="shared" si="274"/>
        <v>0</v>
      </c>
      <c r="AD917" t="str">
        <f>""</f>
        <v/>
      </c>
      <c r="AE917" t="str">
        <f>""</f>
        <v/>
      </c>
      <c r="AF917" t="str">
        <f>"050"</f>
        <v>050</v>
      </c>
      <c r="AG917" t="str">
        <f t="shared" si="288"/>
        <v>FL</v>
      </c>
      <c r="AH917" t="str">
        <f>"180774.00"</f>
        <v>180774.00</v>
      </c>
      <c r="AI917" t="str">
        <f>"1472.00"</f>
        <v>1472.00</v>
      </c>
      <c r="AJ917" t="str">
        <f>"C55-000-588-6088-3"</f>
        <v>C55-000-588-6088-3</v>
      </c>
      <c r="AK917" t="str">
        <f>"14539"</f>
        <v>14539</v>
      </c>
      <c r="AL917">
        <v>4</v>
      </c>
      <c r="AM917">
        <v>1058</v>
      </c>
      <c r="AN917">
        <v>190.29</v>
      </c>
      <c r="AQ917" t="s">
        <v>9501</v>
      </c>
      <c r="AR917" t="s">
        <v>9501</v>
      </c>
      <c r="AS917" t="s">
        <v>9501</v>
      </c>
      <c r="AU917" t="s">
        <v>396</v>
      </c>
      <c r="AV917">
        <v>2017</v>
      </c>
      <c r="AW917" t="str">
        <f>"47-2N-25-0000-0004-0060 "</f>
        <v xml:space="preserve">47-2N-25-0000-0004-0060 </v>
      </c>
      <c r="AX917">
        <v>45215</v>
      </c>
      <c r="AZ917" t="s">
        <v>9502</v>
      </c>
      <c r="BA917" t="s">
        <v>2497</v>
      </c>
      <c r="BD917" t="s">
        <v>2785</v>
      </c>
      <c r="BE917" t="s">
        <v>393</v>
      </c>
      <c r="BF917">
        <v>32011</v>
      </c>
      <c r="BG917" t="s">
        <v>9503</v>
      </c>
      <c r="BH917" t="s">
        <v>2787</v>
      </c>
      <c r="BI917">
        <v>-81.802910318628307</v>
      </c>
      <c r="BJ917">
        <v>30.572821878608401</v>
      </c>
      <c r="BK917" t="s">
        <v>8704</v>
      </c>
      <c r="BM917" t="s">
        <v>8697</v>
      </c>
      <c r="BN917" t="s">
        <v>928</v>
      </c>
      <c r="BO917">
        <v>32011</v>
      </c>
      <c r="BP917" t="s">
        <v>404</v>
      </c>
      <c r="BQ917">
        <v>5000</v>
      </c>
      <c r="BR917" t="s">
        <v>664</v>
      </c>
      <c r="BS917">
        <v>7000</v>
      </c>
      <c r="BT917" t="s">
        <v>665</v>
      </c>
      <c r="BW917">
        <v>180774</v>
      </c>
      <c r="BX917" t="s">
        <v>407</v>
      </c>
      <c r="BY917" t="s">
        <v>408</v>
      </c>
      <c r="CD917">
        <v>2017</v>
      </c>
      <c r="CG917">
        <v>10636</v>
      </c>
      <c r="CH917">
        <v>2017</v>
      </c>
      <c r="CI917">
        <v>1472</v>
      </c>
      <c r="CJ917">
        <v>40892</v>
      </c>
      <c r="CK917">
        <v>42364</v>
      </c>
      <c r="CL917">
        <v>2017</v>
      </c>
      <c r="CM917">
        <v>146.36000000000001</v>
      </c>
      <c r="CN917" s="1">
        <v>39532</v>
      </c>
      <c r="CO917">
        <v>125000</v>
      </c>
      <c r="CV917">
        <v>0</v>
      </c>
      <c r="CZ917" s="1">
        <v>39532</v>
      </c>
      <c r="DA917">
        <v>0</v>
      </c>
      <c r="DD917" t="s">
        <v>2785</v>
      </c>
      <c r="DF917">
        <v>3</v>
      </c>
      <c r="DG917">
        <v>47</v>
      </c>
      <c r="DJ917" t="s">
        <v>9504</v>
      </c>
      <c r="DL917">
        <v>50502</v>
      </c>
      <c r="DM917" t="s">
        <v>8871</v>
      </c>
      <c r="DO917" t="s">
        <v>9505</v>
      </c>
      <c r="DP917">
        <v>0</v>
      </c>
      <c r="DQ917">
        <v>0</v>
      </c>
      <c r="DR917" t="s">
        <v>411</v>
      </c>
      <c r="EP917" t="s">
        <v>421</v>
      </c>
      <c r="EQ917" t="s">
        <v>422</v>
      </c>
      <c r="ER917">
        <v>0</v>
      </c>
      <c r="ES917">
        <v>1</v>
      </c>
      <c r="ET917">
        <v>0</v>
      </c>
      <c r="EU917">
        <v>0</v>
      </c>
      <c r="EV917">
        <v>0</v>
      </c>
      <c r="EW917" s="2">
        <v>43222</v>
      </c>
      <c r="EX917" s="1">
        <v>41787</v>
      </c>
      <c r="EY917">
        <v>2013</v>
      </c>
      <c r="EZ917">
        <v>707.87</v>
      </c>
      <c r="FA917" t="s">
        <v>9506</v>
      </c>
      <c r="FB917">
        <v>0.25</v>
      </c>
      <c r="FC917" t="s">
        <v>424</v>
      </c>
      <c r="FD917" t="s">
        <v>425</v>
      </c>
      <c r="FE917" s="1">
        <v>42041</v>
      </c>
      <c r="FF917">
        <v>9</v>
      </c>
      <c r="FG917">
        <v>11340</v>
      </c>
      <c r="FH917" t="s">
        <v>1230</v>
      </c>
    </row>
    <row r="918" spans="1:260" x14ac:dyDescent="0.25">
      <c r="A918">
        <v>16485925</v>
      </c>
      <c r="B918">
        <v>917</v>
      </c>
      <c r="C918" t="s">
        <v>393</v>
      </c>
      <c r="D918" t="s">
        <v>394</v>
      </c>
      <c r="F918" t="str">
        <f>"47-2N-25-0000-0005-0010"</f>
        <v>47-2N-25-0000-0005-0010</v>
      </c>
      <c r="H918" t="str">
        <f>"WYNDAM MARISSA &amp; SMITH RUTH BYRD ETAL"</f>
        <v>WYNDAM MARISSA &amp; SMITH RUTH BYRD ETAL</v>
      </c>
      <c r="I918" t="str">
        <f>"PO BOX 493"</f>
        <v>PO BOX 493</v>
      </c>
      <c r="J918" t="str">
        <f>"CALLAHAN FL 32011"</f>
        <v>CALLAHAN FL 32011</v>
      </c>
      <c r="K918" t="str">
        <f>"BENRAY LN"</f>
        <v>BENRAY LN</v>
      </c>
      <c r="L918" t="str">
        <f t="shared" si="291"/>
        <v>CALLAHAN FL 32011</v>
      </c>
      <c r="M918" t="str">
        <f>"PT OR 946/1954"</f>
        <v>PT OR 946/1954</v>
      </c>
      <c r="N918" t="str">
        <f>""</f>
        <v/>
      </c>
      <c r="O918" t="str">
        <f>"53454"</f>
        <v>53454</v>
      </c>
      <c r="P918" t="str">
        <f t="shared" si="283"/>
        <v>2017</v>
      </c>
      <c r="Q918" t="str">
        <f>""</f>
        <v/>
      </c>
      <c r="R918" t="str">
        <f>"N"</f>
        <v>N</v>
      </c>
      <c r="S918" t="str">
        <f>"1.27"</f>
        <v>1.27</v>
      </c>
      <c r="T918" t="str">
        <f>"268.88"</f>
        <v>268.88</v>
      </c>
      <c r="U918" t="str">
        <f>"16764.00"</f>
        <v>16764.00</v>
      </c>
      <c r="V918" t="str">
        <f>"16764.00"</f>
        <v>16764.00</v>
      </c>
      <c r="W918" t="str">
        <f t="shared" si="284"/>
        <v>2017</v>
      </c>
      <c r="X918" t="str">
        <f>"24.00"</f>
        <v>24.00</v>
      </c>
      <c r="Y918" t="str">
        <f>"308.95"</f>
        <v>308.95</v>
      </c>
      <c r="Z918" t="str">
        <f>""</f>
        <v/>
      </c>
      <c r="AA918" t="str">
        <f>"19050.00"</f>
        <v>19050.00</v>
      </c>
      <c r="AB918" t="str">
        <f>"Residential"</f>
        <v>Residential</v>
      </c>
      <c r="AC918" t="str">
        <f t="shared" si="274"/>
        <v>0</v>
      </c>
      <c r="AD918" t="str">
        <f>""</f>
        <v/>
      </c>
      <c r="AE918" t="str">
        <f>""</f>
        <v/>
      </c>
      <c r="AF918" t="str">
        <f>"000"</f>
        <v>000</v>
      </c>
      <c r="AG918" t="str">
        <f t="shared" si="288"/>
        <v>FL</v>
      </c>
      <c r="AH918" t="str">
        <f>"55321.00"</f>
        <v>55321.00</v>
      </c>
      <c r="AI918" t="str">
        <f>"19050.00"</f>
        <v>19050.00</v>
      </c>
      <c r="AJ918" t="str">
        <f>"C55-000-588-6092-5"</f>
        <v>C55-000-588-6092-5</v>
      </c>
      <c r="AK918" t="str">
        <f>"14543"</f>
        <v>14543</v>
      </c>
      <c r="AL918">
        <v>4</v>
      </c>
      <c r="AM918">
        <v>1059</v>
      </c>
      <c r="AN918">
        <v>322.8</v>
      </c>
      <c r="AQ918" t="s">
        <v>9507</v>
      </c>
      <c r="AR918" t="s">
        <v>9507</v>
      </c>
      <c r="AS918" t="s">
        <v>9507</v>
      </c>
      <c r="AU918" t="s">
        <v>396</v>
      </c>
      <c r="AV918">
        <v>2017</v>
      </c>
      <c r="AW918" t="str">
        <f>"47-2N-25-0000-0005-0010 "</f>
        <v xml:space="preserve">47-2N-25-0000-0005-0010 </v>
      </c>
      <c r="AZ918" t="s">
        <v>8657</v>
      </c>
      <c r="BA918" t="s">
        <v>653</v>
      </c>
      <c r="BD918" t="s">
        <v>2785</v>
      </c>
      <c r="BE918" t="s">
        <v>393</v>
      </c>
      <c r="BF918">
        <v>32011</v>
      </c>
      <c r="BG918" t="s">
        <v>8658</v>
      </c>
      <c r="BH918" t="s">
        <v>2787</v>
      </c>
      <c r="BI918">
        <v>-81.817001669378598</v>
      </c>
      <c r="BJ918">
        <v>30.581505769323702</v>
      </c>
      <c r="BK918" t="s">
        <v>8672</v>
      </c>
      <c r="BL918" t="s">
        <v>8660</v>
      </c>
      <c r="BM918" t="s">
        <v>9508</v>
      </c>
      <c r="BN918" t="s">
        <v>928</v>
      </c>
      <c r="BO918">
        <v>32011</v>
      </c>
      <c r="BP918" t="s">
        <v>404</v>
      </c>
      <c r="BQ918">
        <v>0</v>
      </c>
      <c r="BR918" t="s">
        <v>491</v>
      </c>
      <c r="BS918">
        <v>8001</v>
      </c>
      <c r="BT918" t="s">
        <v>492</v>
      </c>
      <c r="BW918">
        <v>55321</v>
      </c>
      <c r="BX918" t="s">
        <v>407</v>
      </c>
      <c r="BY918" t="s">
        <v>408</v>
      </c>
      <c r="CD918">
        <v>2017</v>
      </c>
      <c r="CE918">
        <v>19050</v>
      </c>
      <c r="CG918">
        <v>19050</v>
      </c>
      <c r="CH918">
        <v>2017</v>
      </c>
      <c r="CI918">
        <v>19050</v>
      </c>
      <c r="CK918">
        <v>19050</v>
      </c>
      <c r="CL918">
        <v>2017</v>
      </c>
      <c r="CM918">
        <v>268.88</v>
      </c>
      <c r="DD918" t="s">
        <v>2785</v>
      </c>
      <c r="DG918">
        <v>47</v>
      </c>
      <c r="DL918">
        <v>50503</v>
      </c>
      <c r="DM918" t="s">
        <v>8871</v>
      </c>
      <c r="DO918" t="s">
        <v>8673</v>
      </c>
      <c r="DP918">
        <v>0</v>
      </c>
      <c r="DQ918">
        <v>0</v>
      </c>
      <c r="DR918" t="s">
        <v>411</v>
      </c>
      <c r="DS918" t="s">
        <v>695</v>
      </c>
      <c r="EJ918">
        <v>0</v>
      </c>
      <c r="EK918">
        <v>0</v>
      </c>
      <c r="EP918" t="s">
        <v>421</v>
      </c>
      <c r="EQ918" t="s">
        <v>452</v>
      </c>
      <c r="ER918">
        <v>1</v>
      </c>
      <c r="ES918">
        <v>4</v>
      </c>
      <c r="ET918">
        <v>280.02999999999997</v>
      </c>
      <c r="EU918">
        <v>30.05</v>
      </c>
      <c r="EV918">
        <v>310.08</v>
      </c>
      <c r="EW918" s="2">
        <v>43222</v>
      </c>
      <c r="EX918" s="1">
        <v>42879</v>
      </c>
      <c r="EY918">
        <v>2016</v>
      </c>
      <c r="EZ918">
        <v>280.02999999999997</v>
      </c>
      <c r="FA918" t="s">
        <v>9509</v>
      </c>
      <c r="FB918">
        <v>8.5</v>
      </c>
      <c r="FC918" t="s">
        <v>424</v>
      </c>
      <c r="FD918" t="s">
        <v>454</v>
      </c>
      <c r="FF918">
        <v>12</v>
      </c>
      <c r="FG918">
        <v>10125</v>
      </c>
      <c r="FH918" t="s">
        <v>440</v>
      </c>
      <c r="FJ918" s="1">
        <v>42151</v>
      </c>
      <c r="FK918">
        <v>2014</v>
      </c>
      <c r="FL918">
        <v>282.48</v>
      </c>
      <c r="FM918" t="s">
        <v>9510</v>
      </c>
      <c r="FN918">
        <v>5</v>
      </c>
      <c r="FO918" t="s">
        <v>424</v>
      </c>
      <c r="FP918" t="s">
        <v>425</v>
      </c>
      <c r="FQ918" s="1">
        <v>42375</v>
      </c>
      <c r="FR918">
        <v>8</v>
      </c>
      <c r="FS918">
        <v>10125</v>
      </c>
      <c r="FT918" t="s">
        <v>440</v>
      </c>
      <c r="FU918" t="s">
        <v>458</v>
      </c>
      <c r="FV918" s="1">
        <v>41787</v>
      </c>
      <c r="FW918">
        <v>2013</v>
      </c>
      <c r="FX918">
        <v>258.26</v>
      </c>
      <c r="FY918" t="s">
        <v>9511</v>
      </c>
      <c r="FZ918">
        <v>15.75</v>
      </c>
      <c r="GA918" t="s">
        <v>424</v>
      </c>
      <c r="GB918" t="s">
        <v>425</v>
      </c>
      <c r="GC918" s="1">
        <v>42375</v>
      </c>
      <c r="GD918">
        <v>20</v>
      </c>
      <c r="GE918">
        <v>10125</v>
      </c>
      <c r="GF918" t="s">
        <v>440</v>
      </c>
      <c r="GG918" t="s">
        <v>458</v>
      </c>
      <c r="GH918" s="1">
        <v>41423</v>
      </c>
      <c r="GI918">
        <v>2012</v>
      </c>
      <c r="GJ918">
        <v>287.20999999999998</v>
      </c>
      <c r="GK918" t="s">
        <v>9512</v>
      </c>
      <c r="GL918">
        <v>5.75</v>
      </c>
      <c r="GM918" t="s">
        <v>424</v>
      </c>
      <c r="GN918" t="s">
        <v>425</v>
      </c>
      <c r="GP918">
        <v>22</v>
      </c>
      <c r="GQ918">
        <v>2101381</v>
      </c>
      <c r="GR918" t="s">
        <v>605</v>
      </c>
      <c r="GS918" t="s">
        <v>458</v>
      </c>
      <c r="GT918" s="1">
        <v>41052</v>
      </c>
      <c r="GU918">
        <v>2011</v>
      </c>
      <c r="GV918">
        <v>283.86</v>
      </c>
      <c r="GW918" t="s">
        <v>9513</v>
      </c>
      <c r="GX918">
        <v>6</v>
      </c>
      <c r="GY918" t="s">
        <v>424</v>
      </c>
      <c r="GZ918" t="s">
        <v>425</v>
      </c>
      <c r="HA918" s="1">
        <v>42375</v>
      </c>
      <c r="HB918">
        <v>44</v>
      </c>
      <c r="HC918">
        <v>1109</v>
      </c>
      <c r="HD918" t="s">
        <v>852</v>
      </c>
      <c r="HE918" t="s">
        <v>458</v>
      </c>
    </row>
    <row r="919" spans="1:260" x14ac:dyDescent="0.25">
      <c r="A919">
        <v>16485926</v>
      </c>
      <c r="B919">
        <v>918</v>
      </c>
      <c r="C919" t="s">
        <v>393</v>
      </c>
      <c r="D919" t="s">
        <v>394</v>
      </c>
      <c r="F919" t="str">
        <f>"47-2N-25-0000-0006-0010"</f>
        <v>47-2N-25-0000-0006-0010</v>
      </c>
      <c r="H919" t="str">
        <f>"PETREE FAMILY TRUST LYNDA F PETREE TRUSTEE ET AL"</f>
        <v>PETREE FAMILY TRUST LYNDA F PETREE TRUSTEE ET AL</v>
      </c>
      <c r="I919" t="str">
        <f>"45217 PETREE RD"</f>
        <v>45217 PETREE RD</v>
      </c>
      <c r="J919" t="str">
        <f>"CALLAHAN FL 32011"</f>
        <v>CALLAHAN FL 32011</v>
      </c>
      <c r="K919" t="str">
        <f>"45217 PETREE RD"</f>
        <v>45217 PETREE RD</v>
      </c>
      <c r="L919" t="str">
        <f t="shared" si="291"/>
        <v>CALLAHAN FL 32011</v>
      </c>
      <c r="M919" t="str">
        <f>"PT OF PEDRO PONS GRANT IN SEC 47-2N-25E IN OR 2093/1044"</f>
        <v>PT OF PEDRO PONS GRANT IN SEC 47-2N-25E IN OR 2093/1044</v>
      </c>
      <c r="N919" t="str">
        <f>""</f>
        <v/>
      </c>
      <c r="O919" t="str">
        <f>"53456"</f>
        <v>53456</v>
      </c>
      <c r="P919" t="str">
        <f t="shared" si="283"/>
        <v>2017</v>
      </c>
      <c r="Q919" t="str">
        <f>""</f>
        <v/>
      </c>
      <c r="R919" t="str">
        <f>"Y"</f>
        <v>Y</v>
      </c>
      <c r="S919" t="str">
        <f>"4.11"</f>
        <v>4.11</v>
      </c>
      <c r="T919" t="str">
        <f>"1507.65"</f>
        <v>1507.65</v>
      </c>
      <c r="U919" t="str">
        <f>"139193.00"</f>
        <v>139193.00</v>
      </c>
      <c r="V919" t="str">
        <f>"139193.00"</f>
        <v>139193.00</v>
      </c>
      <c r="W919" t="str">
        <f t="shared" si="284"/>
        <v>2017</v>
      </c>
      <c r="X919" t="str">
        <f>""</f>
        <v/>
      </c>
      <c r="Y919" t="str">
        <f>"425.42"</f>
        <v>425.42</v>
      </c>
      <c r="Z919" t="str">
        <f>"25500.00"</f>
        <v>25500.00</v>
      </c>
      <c r="AA919" t="str">
        <f>"113693.00"</f>
        <v>113693.00</v>
      </c>
      <c r="AB919" t="str">
        <f>"Residential"</f>
        <v>Residential</v>
      </c>
      <c r="AC919" t="str">
        <f t="shared" si="274"/>
        <v>0</v>
      </c>
      <c r="AD919" t="str">
        <f t="shared" ref="AD919:AD924" si="292">"4"</f>
        <v>4</v>
      </c>
      <c r="AE919" t="str">
        <f t="shared" ref="AE919:AE924" si="293">"WOOD (INCLUDE STEEL STUDS)"</f>
        <v>WOOD (INCLUDE STEEL STUDS)</v>
      </c>
      <c r="AF919" t="str">
        <f>"001"</f>
        <v>001</v>
      </c>
      <c r="AG919" t="str">
        <f t="shared" si="288"/>
        <v>FL</v>
      </c>
      <c r="AH919" t="str">
        <f>"179031.00"</f>
        <v>179031.00</v>
      </c>
      <c r="AI919" t="str">
        <f>"32880.00"</f>
        <v>32880.00</v>
      </c>
      <c r="AJ919" t="str">
        <f>"C55-000-588-6094-1"</f>
        <v>C55-000-588-6094-1</v>
      </c>
      <c r="AK919" t="str">
        <f>"14545"</f>
        <v>14545</v>
      </c>
      <c r="AL919">
        <v>4</v>
      </c>
      <c r="AM919">
        <v>1060</v>
      </c>
      <c r="AN919">
        <v>445.09</v>
      </c>
      <c r="AQ919" t="s">
        <v>9514</v>
      </c>
      <c r="AR919" t="s">
        <v>9514</v>
      </c>
      <c r="AS919" t="s">
        <v>9514</v>
      </c>
      <c r="AU919" t="s">
        <v>396</v>
      </c>
      <c r="AV919">
        <v>2017</v>
      </c>
      <c r="AW919" t="str">
        <f>"47-2N-25-0000-0006-0010 "</f>
        <v xml:space="preserve">47-2N-25-0000-0006-0010 </v>
      </c>
      <c r="AX919">
        <v>45217</v>
      </c>
      <c r="AZ919" t="s">
        <v>9515</v>
      </c>
      <c r="BA919" t="s">
        <v>496</v>
      </c>
      <c r="BD919" t="s">
        <v>2785</v>
      </c>
      <c r="BE919" t="s">
        <v>393</v>
      </c>
      <c r="BF919">
        <v>32011</v>
      </c>
      <c r="BG919" t="s">
        <v>9516</v>
      </c>
      <c r="BH919" t="s">
        <v>2787</v>
      </c>
      <c r="BI919">
        <v>-81.819900362769701</v>
      </c>
      <c r="BJ919">
        <v>30.580868625488201</v>
      </c>
      <c r="BK919" t="s">
        <v>9517</v>
      </c>
      <c r="BL919" t="s">
        <v>9518</v>
      </c>
      <c r="BM919" t="s">
        <v>9516</v>
      </c>
      <c r="BN919" t="s">
        <v>928</v>
      </c>
      <c r="BO919">
        <v>32011</v>
      </c>
      <c r="BP919" t="s">
        <v>416</v>
      </c>
      <c r="BQ919">
        <v>100</v>
      </c>
      <c r="BR919" t="s">
        <v>514</v>
      </c>
      <c r="BS919">
        <v>1001</v>
      </c>
      <c r="BT919" t="s">
        <v>515</v>
      </c>
      <c r="BW919">
        <v>255261</v>
      </c>
      <c r="BX919" t="s">
        <v>407</v>
      </c>
      <c r="BY919" t="s">
        <v>408</v>
      </c>
      <c r="BZ919">
        <v>4</v>
      </c>
      <c r="CA919">
        <v>1990</v>
      </c>
      <c r="CB919">
        <v>1</v>
      </c>
      <c r="CC919">
        <v>1</v>
      </c>
      <c r="CD919">
        <v>2017</v>
      </c>
      <c r="CG919">
        <v>139193</v>
      </c>
      <c r="CH919">
        <v>2017</v>
      </c>
      <c r="CI919">
        <v>32880</v>
      </c>
      <c r="CJ919">
        <v>109165</v>
      </c>
      <c r="CK919">
        <v>142045</v>
      </c>
      <c r="CL919">
        <v>2017</v>
      </c>
      <c r="CM919">
        <v>1507.65</v>
      </c>
      <c r="CN919" s="1">
        <v>38831</v>
      </c>
      <c r="CZ919" s="1">
        <v>38831</v>
      </c>
      <c r="DD919" t="s">
        <v>2785</v>
      </c>
      <c r="DG919">
        <v>47</v>
      </c>
      <c r="DL919">
        <v>50503</v>
      </c>
      <c r="DM919" t="s">
        <v>8871</v>
      </c>
      <c r="DO919" t="s">
        <v>9519</v>
      </c>
      <c r="DP919">
        <v>0</v>
      </c>
      <c r="DQ919">
        <v>0</v>
      </c>
      <c r="DR919" t="s">
        <v>411</v>
      </c>
    </row>
    <row r="920" spans="1:260" x14ac:dyDescent="0.25">
      <c r="A920">
        <v>16485927</v>
      </c>
      <c r="B920">
        <v>919</v>
      </c>
      <c r="C920" t="s">
        <v>393</v>
      </c>
      <c r="D920" t="s">
        <v>394</v>
      </c>
      <c r="F920" t="str">
        <f>"47-2N-25-4080-0008-0010"</f>
        <v>47-2N-25-4080-0008-0010</v>
      </c>
      <c r="H920" t="str">
        <f>"MILLIGAN RONALD G &amp; JEANNE SCOTT (H&amp;W)"</f>
        <v>MILLIGAN RONALD G &amp; JEANNE SCOTT (H&amp;W)</v>
      </c>
      <c r="I920" t="str">
        <f>"P O BOX 1199"</f>
        <v>P O BOX 1199</v>
      </c>
      <c r="J920" t="str">
        <f>"HILLIARD FL 32046"</f>
        <v>HILLIARD FL 32046</v>
      </c>
      <c r="K920" t="str">
        <f>"450279 SR 200"</f>
        <v>450279 SR 200</v>
      </c>
      <c r="L920" t="str">
        <f t="shared" si="291"/>
        <v>CALLAHAN FL 32011</v>
      </c>
      <c r="M920" t="str">
        <f>"LOT 8 R497874 IN OR 888/216 EX R/W OR 1031/451 BUNKER HILL SUB PB 0/17"</f>
        <v>LOT 8 R497874 IN OR 888/216 EX R/W OR 1031/451 BUNKER HILL SUB PB 0/17</v>
      </c>
      <c r="N920" t="str">
        <f>""</f>
        <v/>
      </c>
      <c r="O920" t="str">
        <f>"53498"</f>
        <v>53498</v>
      </c>
      <c r="P920" t="str">
        <f t="shared" si="283"/>
        <v>2017</v>
      </c>
      <c r="Q920" t="str">
        <f>""</f>
        <v/>
      </c>
      <c r="R920" t="str">
        <f t="shared" ref="R920:R951" si="294">"N"</f>
        <v>N</v>
      </c>
      <c r="S920" t="str">
        <f>"4.38"</f>
        <v>4.38</v>
      </c>
      <c r="T920" t="str">
        <f>"1802.31"</f>
        <v>1802.31</v>
      </c>
      <c r="U920" t="str">
        <f>"119052.00"</f>
        <v>119052.00</v>
      </c>
      <c r="V920" t="str">
        <f>"119052.00"</f>
        <v>119052.00</v>
      </c>
      <c r="W920" t="str">
        <f t="shared" si="284"/>
        <v>2017</v>
      </c>
      <c r="X920" t="str">
        <f>"16.50"</f>
        <v>16.50</v>
      </c>
      <c r="Y920" t="str">
        <f>"1888.38"</f>
        <v>1888.38</v>
      </c>
      <c r="Z920" t="str">
        <f>""</f>
        <v/>
      </c>
      <c r="AA920" t="str">
        <f>"119052.00"</f>
        <v>119052.00</v>
      </c>
      <c r="AB920" t="str">
        <f>"Residential"</f>
        <v>Residential</v>
      </c>
      <c r="AC920" t="str">
        <f t="shared" ref="AC920:AC983" si="295">"0"</f>
        <v>0</v>
      </c>
      <c r="AD920" t="str">
        <f t="shared" si="292"/>
        <v>4</v>
      </c>
      <c r="AE920" t="str">
        <f t="shared" si="293"/>
        <v>WOOD (INCLUDE STEEL STUDS)</v>
      </c>
      <c r="AF920" t="str">
        <f>"001"</f>
        <v>001</v>
      </c>
      <c r="AG920" t="str">
        <f t="shared" si="288"/>
        <v>FL</v>
      </c>
      <c r="AH920" t="str">
        <f>"190792.00"</f>
        <v>190792.00</v>
      </c>
      <c r="AI920" t="str">
        <f>"35040.00"</f>
        <v>35040.00</v>
      </c>
      <c r="AJ920" t="str">
        <f>"C55-000-588-6133-7"</f>
        <v>C55-000-588-6133-7</v>
      </c>
      <c r="AK920" t="str">
        <f>"14586"</f>
        <v>14586</v>
      </c>
      <c r="AL920">
        <v>4</v>
      </c>
      <c r="AM920">
        <v>1061</v>
      </c>
      <c r="AN920">
        <v>1981.2</v>
      </c>
      <c r="AQ920" t="s">
        <v>9520</v>
      </c>
      <c r="AR920" t="s">
        <v>9520</v>
      </c>
      <c r="AS920" t="s">
        <v>9520</v>
      </c>
      <c r="AU920" t="s">
        <v>396</v>
      </c>
      <c r="AV920">
        <v>2017</v>
      </c>
      <c r="AW920" t="str">
        <f>"47-2N-25-4080-0008-0010 "</f>
        <v xml:space="preserve">47-2N-25-4080-0008-0010 </v>
      </c>
      <c r="AX920">
        <v>450279</v>
      </c>
      <c r="AZ920" t="s">
        <v>8071</v>
      </c>
      <c r="BD920" t="s">
        <v>2785</v>
      </c>
      <c r="BE920" t="s">
        <v>393</v>
      </c>
      <c r="BF920">
        <v>32011</v>
      </c>
      <c r="BG920" t="s">
        <v>9521</v>
      </c>
      <c r="BH920" t="s">
        <v>2787</v>
      </c>
      <c r="BI920">
        <v>-81.816933879932506</v>
      </c>
      <c r="BJ920">
        <v>30.580013070359801</v>
      </c>
      <c r="BK920" t="s">
        <v>9522</v>
      </c>
      <c r="BL920" t="s">
        <v>9523</v>
      </c>
      <c r="BM920" t="s">
        <v>5615</v>
      </c>
      <c r="BN920" t="s">
        <v>403</v>
      </c>
      <c r="BO920">
        <v>32046</v>
      </c>
      <c r="BP920" t="s">
        <v>404</v>
      </c>
      <c r="BQ920">
        <v>100</v>
      </c>
      <c r="BR920" t="s">
        <v>514</v>
      </c>
      <c r="BS920">
        <v>1001</v>
      </c>
      <c r="BT920" t="s">
        <v>515</v>
      </c>
      <c r="BW920">
        <v>190792</v>
      </c>
      <c r="BX920" t="s">
        <v>407</v>
      </c>
      <c r="BY920" t="s">
        <v>408</v>
      </c>
      <c r="BZ920">
        <v>4</v>
      </c>
      <c r="CA920">
        <v>1956</v>
      </c>
      <c r="CB920">
        <v>1</v>
      </c>
      <c r="CC920">
        <v>3</v>
      </c>
      <c r="CD920">
        <v>2017</v>
      </c>
      <c r="CE920">
        <v>35040</v>
      </c>
      <c r="CF920">
        <v>84012</v>
      </c>
      <c r="CG920">
        <v>119052</v>
      </c>
      <c r="CH920">
        <v>2017</v>
      </c>
      <c r="CI920">
        <v>35040</v>
      </c>
      <c r="CJ920">
        <v>84012</v>
      </c>
      <c r="CK920">
        <v>119052</v>
      </c>
      <c r="CL920">
        <v>2017</v>
      </c>
      <c r="CM920">
        <v>1802.31</v>
      </c>
      <c r="CN920" s="1">
        <v>36333</v>
      </c>
      <c r="CO920">
        <v>100000</v>
      </c>
      <c r="CZ920" s="1">
        <v>36333</v>
      </c>
      <c r="DD920" t="s">
        <v>2785</v>
      </c>
      <c r="DF920">
        <v>8</v>
      </c>
      <c r="DG920">
        <v>47</v>
      </c>
      <c r="DL920">
        <v>50503</v>
      </c>
      <c r="DM920" t="s">
        <v>8871</v>
      </c>
      <c r="DO920" t="s">
        <v>9524</v>
      </c>
      <c r="DP920">
        <v>0</v>
      </c>
      <c r="DQ920">
        <v>0</v>
      </c>
      <c r="DR920" t="s">
        <v>411</v>
      </c>
      <c r="DS920" t="b">
        <v>1</v>
      </c>
      <c r="DT920" t="s">
        <v>470</v>
      </c>
      <c r="DU920" t="s">
        <v>471</v>
      </c>
      <c r="DV920" t="s">
        <v>472</v>
      </c>
      <c r="DX920">
        <v>-9999</v>
      </c>
      <c r="DZ920" t="s">
        <v>447</v>
      </c>
      <c r="EA920" t="s">
        <v>448</v>
      </c>
      <c r="EB920" t="s">
        <v>742</v>
      </c>
      <c r="EC920">
        <v>20101217</v>
      </c>
      <c r="ED920" t="s">
        <v>474</v>
      </c>
      <c r="EF920">
        <v>652.20000000000005</v>
      </c>
      <c r="EG920">
        <v>652.20000000000005</v>
      </c>
      <c r="EI920">
        <v>20160407</v>
      </c>
      <c r="EJ920">
        <v>0</v>
      </c>
      <c r="EK920">
        <v>0</v>
      </c>
      <c r="EP920" t="s">
        <v>421</v>
      </c>
      <c r="EQ920" t="s">
        <v>422</v>
      </c>
      <c r="ER920">
        <v>0</v>
      </c>
      <c r="ES920">
        <v>3</v>
      </c>
      <c r="ET920">
        <v>0</v>
      </c>
      <c r="EU920">
        <v>0</v>
      </c>
      <c r="EV920">
        <v>0</v>
      </c>
      <c r="EW920" s="2">
        <v>43222</v>
      </c>
      <c r="EX920" s="1">
        <v>42515</v>
      </c>
      <c r="EY920">
        <v>2015</v>
      </c>
      <c r="EZ920">
        <v>2064.48</v>
      </c>
      <c r="FA920" t="s">
        <v>9525</v>
      </c>
      <c r="FB920">
        <v>0.25</v>
      </c>
      <c r="FC920" t="s">
        <v>424</v>
      </c>
      <c r="FD920" t="s">
        <v>425</v>
      </c>
      <c r="FE920" s="1">
        <v>43188</v>
      </c>
      <c r="FF920">
        <v>22</v>
      </c>
      <c r="FG920">
        <v>2851116</v>
      </c>
      <c r="FH920" t="s">
        <v>480</v>
      </c>
      <c r="FJ920" s="1">
        <v>42515</v>
      </c>
      <c r="FK920">
        <v>2015</v>
      </c>
      <c r="FL920">
        <v>2064.48</v>
      </c>
      <c r="FM920" t="s">
        <v>9525</v>
      </c>
      <c r="FN920">
        <v>0.25</v>
      </c>
      <c r="FO920" t="s">
        <v>424</v>
      </c>
      <c r="FP920" t="s">
        <v>425</v>
      </c>
      <c r="FR920">
        <v>22</v>
      </c>
      <c r="FS920">
        <v>5564948</v>
      </c>
      <c r="FT920" t="s">
        <v>9526</v>
      </c>
      <c r="FV920" s="1">
        <v>41787</v>
      </c>
      <c r="FW920">
        <v>2013</v>
      </c>
      <c r="FX920">
        <v>1904.38</v>
      </c>
      <c r="FY920" t="s">
        <v>9527</v>
      </c>
      <c r="FZ920">
        <v>0.25</v>
      </c>
      <c r="GA920" t="s">
        <v>424</v>
      </c>
      <c r="GB920" t="s">
        <v>425</v>
      </c>
      <c r="GC920" s="1">
        <v>42116</v>
      </c>
      <c r="GD920">
        <v>11</v>
      </c>
      <c r="GE920">
        <v>2851116</v>
      </c>
      <c r="GF920" t="s">
        <v>480</v>
      </c>
    </row>
    <row r="921" spans="1:260" x14ac:dyDescent="0.25">
      <c r="A921">
        <v>16485928</v>
      </c>
      <c r="B921">
        <v>920</v>
      </c>
      <c r="C921" t="s">
        <v>393</v>
      </c>
      <c r="D921" t="s">
        <v>394</v>
      </c>
      <c r="F921" t="str">
        <f>"47-2N-25-4080-0011-0040"</f>
        <v>47-2N-25-4080-0011-0040</v>
      </c>
      <c r="H921" t="str">
        <f>"HUTSON JULIE WILDES"</f>
        <v>HUTSON JULIE WILDES</v>
      </c>
      <c r="I921" t="str">
        <f>"45249 MEADOWBROOK LN"</f>
        <v>45249 MEADOWBROOK LN</v>
      </c>
      <c r="J921" t="str">
        <f>"CALLAHAN FL 32011"</f>
        <v>CALLAHAN FL 32011</v>
      </c>
      <c r="K921" t="str">
        <f>"450322 SR 200"</f>
        <v>450322 SR 200</v>
      </c>
      <c r="L921" t="str">
        <f t="shared" si="291"/>
        <v>CALLAHAN FL 32011</v>
      </c>
      <c r="M921" t="str">
        <f>"PT OF LOTS 9 11 12 13 20 &amp; 25 &amp; ALL OF LOTS 21 THRU 24 EX R/W OR 1064/1538 EX DRAINAGE R/W &amp; ESMT CASE 2012-CP-19 OR 1799/1759 EX CASE 03-64-CA BUNKER HILL SUB PB 0/17"</f>
        <v>PT OF LOTS 9 11 12 13 20 &amp; 25 &amp; ALL OF LOTS 21 THRU 24 EX R/W OR 1064/1538 EX DRAINAGE R/W &amp; ESMT CASE 2012-CP-19 OR 1799/1759 EX CASE 03-64-CA BUNKER HILL SUB PB 0/17</v>
      </c>
      <c r="N921" t="str">
        <f>""</f>
        <v/>
      </c>
      <c r="O921" t="str">
        <f>"53503"</f>
        <v>53503</v>
      </c>
      <c r="P921" t="str">
        <f t="shared" si="283"/>
        <v>2017</v>
      </c>
      <c r="Q921" t="str">
        <f>""</f>
        <v/>
      </c>
      <c r="R921" t="str">
        <f t="shared" si="294"/>
        <v>N</v>
      </c>
      <c r="S921" t="str">
        <f>"73.35"</f>
        <v>73.35</v>
      </c>
      <c r="T921" t="str">
        <f>"2416.20"</f>
        <v>2416.20</v>
      </c>
      <c r="U921" t="str">
        <f>"159602.00"</f>
        <v>159602.00</v>
      </c>
      <c r="V921" t="str">
        <f>"159602.00"</f>
        <v>159602.00</v>
      </c>
      <c r="W921" t="str">
        <f t="shared" si="284"/>
        <v>2017</v>
      </c>
      <c r="X921" t="str">
        <f>"19.75"</f>
        <v>19.75</v>
      </c>
      <c r="Y921" t="str">
        <f>"2520.69"</f>
        <v>2520.69</v>
      </c>
      <c r="Z921" t="str">
        <f>""</f>
        <v/>
      </c>
      <c r="AA921" t="str">
        <f>"159602.00"</f>
        <v>159602.00</v>
      </c>
      <c r="AB921" t="str">
        <f>"Agricultural"</f>
        <v>Agricultural</v>
      </c>
      <c r="AC921" t="str">
        <f t="shared" si="295"/>
        <v>0</v>
      </c>
      <c r="AD921" t="str">
        <f t="shared" si="292"/>
        <v>4</v>
      </c>
      <c r="AE921" t="str">
        <f t="shared" si="293"/>
        <v>WOOD (INCLUDE STEEL STUDS)</v>
      </c>
      <c r="AF921" t="str">
        <f>"055"</f>
        <v>055</v>
      </c>
      <c r="AG921" t="str">
        <f t="shared" si="288"/>
        <v>FL</v>
      </c>
      <c r="AH921" t="str">
        <f>"3195126.00"</f>
        <v>3195126.00</v>
      </c>
      <c r="AI921" t="str">
        <f>"57039.00"</f>
        <v>57039.00</v>
      </c>
      <c r="AJ921" t="str">
        <f>"C55-000-588-6137-8"</f>
        <v>C55-000-588-6137-8</v>
      </c>
      <c r="AK921" t="str">
        <f>"14591"</f>
        <v>14591</v>
      </c>
      <c r="AL921">
        <v>4</v>
      </c>
      <c r="AM921">
        <v>1062</v>
      </c>
      <c r="AN921">
        <v>2645.12</v>
      </c>
      <c r="AQ921" t="s">
        <v>9528</v>
      </c>
      <c r="AR921" t="s">
        <v>9528</v>
      </c>
      <c r="AS921" t="s">
        <v>9528</v>
      </c>
      <c r="AU921" t="s">
        <v>396</v>
      </c>
      <c r="AV921">
        <v>2017</v>
      </c>
      <c r="AW921" t="str">
        <f>"47-2N-25-4080-0011-0040 "</f>
        <v xml:space="preserve">47-2N-25-4080-0011-0040 </v>
      </c>
      <c r="AX921">
        <v>450322</v>
      </c>
      <c r="AZ921" t="s">
        <v>8071</v>
      </c>
      <c r="BD921" t="s">
        <v>2785</v>
      </c>
      <c r="BE921" t="s">
        <v>393</v>
      </c>
      <c r="BF921">
        <v>32011</v>
      </c>
      <c r="BG921" t="s">
        <v>9529</v>
      </c>
      <c r="BH921" t="s">
        <v>2787</v>
      </c>
      <c r="BI921">
        <v>-81.811071215364194</v>
      </c>
      <c r="BJ921">
        <v>30.578085998104399</v>
      </c>
      <c r="BK921" t="s">
        <v>9530</v>
      </c>
      <c r="BM921" t="s">
        <v>9531</v>
      </c>
      <c r="BN921" t="s">
        <v>928</v>
      </c>
      <c r="BO921">
        <v>32011</v>
      </c>
      <c r="BP921" t="s">
        <v>404</v>
      </c>
      <c r="BQ921">
        <v>5501</v>
      </c>
      <c r="BR921" t="s">
        <v>1353</v>
      </c>
      <c r="BS921">
        <v>7009</v>
      </c>
      <c r="BT921" t="s">
        <v>418</v>
      </c>
      <c r="BW921">
        <v>3195126</v>
      </c>
      <c r="BX921" t="s">
        <v>407</v>
      </c>
      <c r="BY921" t="s">
        <v>408</v>
      </c>
      <c r="BZ921">
        <v>4</v>
      </c>
      <c r="CA921">
        <v>1945</v>
      </c>
      <c r="CB921">
        <v>1</v>
      </c>
      <c r="CC921">
        <v>2</v>
      </c>
      <c r="CD921">
        <v>2017</v>
      </c>
      <c r="CG921">
        <v>159602</v>
      </c>
      <c r="CH921">
        <v>2017</v>
      </c>
      <c r="CI921">
        <v>57039</v>
      </c>
      <c r="CJ921">
        <v>289574</v>
      </c>
      <c r="CK921">
        <v>346613</v>
      </c>
      <c r="CL921">
        <v>2017</v>
      </c>
      <c r="CM921">
        <v>2416.1999999999998</v>
      </c>
      <c r="CN921" s="1">
        <v>39510</v>
      </c>
      <c r="CV921">
        <v>0</v>
      </c>
      <c r="CZ921" s="1">
        <v>39510</v>
      </c>
      <c r="DA921">
        <v>0</v>
      </c>
      <c r="DD921" t="s">
        <v>2785</v>
      </c>
      <c r="DG921">
        <v>47</v>
      </c>
      <c r="DL921">
        <v>50502</v>
      </c>
      <c r="DM921" t="s">
        <v>8871</v>
      </c>
      <c r="DO921" t="s">
        <v>9532</v>
      </c>
      <c r="DP921">
        <v>0</v>
      </c>
      <c r="DQ921">
        <v>0</v>
      </c>
      <c r="DR921" t="s">
        <v>411</v>
      </c>
      <c r="DS921" t="b">
        <v>1</v>
      </c>
      <c r="DT921" t="s">
        <v>396</v>
      </c>
      <c r="DV921" t="s">
        <v>446</v>
      </c>
      <c r="DX921">
        <v>-9999</v>
      </c>
      <c r="DZ921" t="s">
        <v>447</v>
      </c>
      <c r="EA921" t="s">
        <v>448</v>
      </c>
      <c r="EB921" t="s">
        <v>2792</v>
      </c>
      <c r="EC921">
        <v>20101217</v>
      </c>
      <c r="ED921" t="s">
        <v>450</v>
      </c>
      <c r="EE921">
        <v>13.1</v>
      </c>
      <c r="EF921">
        <v>0</v>
      </c>
      <c r="EG921">
        <v>0</v>
      </c>
      <c r="EI921">
        <v>20160407</v>
      </c>
      <c r="EJ921">
        <v>0</v>
      </c>
      <c r="EK921">
        <v>1</v>
      </c>
      <c r="EP921" t="s">
        <v>421</v>
      </c>
      <c r="EQ921" t="s">
        <v>452</v>
      </c>
      <c r="ER921">
        <v>0</v>
      </c>
      <c r="ES921">
        <v>6</v>
      </c>
      <c r="ET921">
        <v>0</v>
      </c>
      <c r="EU921">
        <v>0</v>
      </c>
      <c r="EV921">
        <v>0</v>
      </c>
      <c r="EW921" s="2">
        <v>43222</v>
      </c>
      <c r="EX921" s="1">
        <v>42515</v>
      </c>
      <c r="EY921">
        <v>2015</v>
      </c>
      <c r="EZ921">
        <v>2611.75</v>
      </c>
      <c r="FA921" t="s">
        <v>9533</v>
      </c>
      <c r="FB921">
        <v>0.25</v>
      </c>
      <c r="FC921" t="s">
        <v>424</v>
      </c>
      <c r="FD921" t="s">
        <v>425</v>
      </c>
      <c r="FE921" s="1">
        <v>42852</v>
      </c>
      <c r="FF921">
        <v>11</v>
      </c>
      <c r="FG921">
        <v>7045074</v>
      </c>
      <c r="FH921" t="s">
        <v>580</v>
      </c>
      <c r="FI921" t="s">
        <v>458</v>
      </c>
      <c r="FJ921" s="1">
        <v>42515</v>
      </c>
      <c r="FK921">
        <v>2015</v>
      </c>
      <c r="FL921">
        <v>2611.75</v>
      </c>
      <c r="FM921" t="s">
        <v>9533</v>
      </c>
      <c r="FN921">
        <v>0.25</v>
      </c>
      <c r="FO921" t="s">
        <v>424</v>
      </c>
      <c r="FP921" t="s">
        <v>425</v>
      </c>
      <c r="FR921">
        <v>22</v>
      </c>
      <c r="FS921">
        <v>6297942</v>
      </c>
      <c r="FT921" t="s">
        <v>9534</v>
      </c>
      <c r="FU921" t="s">
        <v>458</v>
      </c>
      <c r="FV921" s="1">
        <v>42151</v>
      </c>
      <c r="FW921">
        <v>2014</v>
      </c>
      <c r="FX921">
        <v>2441.7800000000002</v>
      </c>
      <c r="FY921" t="s">
        <v>9535</v>
      </c>
      <c r="FZ921">
        <v>4.75</v>
      </c>
      <c r="GA921" t="s">
        <v>424</v>
      </c>
      <c r="GB921" t="s">
        <v>425</v>
      </c>
      <c r="GD921">
        <v>22</v>
      </c>
      <c r="GE921">
        <v>4975593</v>
      </c>
      <c r="GF921" t="s">
        <v>505</v>
      </c>
      <c r="GG921" t="s">
        <v>458</v>
      </c>
      <c r="GH921" s="1">
        <v>41787</v>
      </c>
      <c r="GI921">
        <v>2013</v>
      </c>
      <c r="GJ921">
        <v>2177.44</v>
      </c>
      <c r="GK921" t="s">
        <v>9536</v>
      </c>
      <c r="GL921">
        <v>0.25</v>
      </c>
      <c r="GM921" t="s">
        <v>424</v>
      </c>
      <c r="GN921" t="s">
        <v>425</v>
      </c>
      <c r="GP921">
        <v>22</v>
      </c>
      <c r="GQ921">
        <v>11289</v>
      </c>
      <c r="GR921" t="s">
        <v>787</v>
      </c>
      <c r="GT921" s="1">
        <v>41787</v>
      </c>
      <c r="GU921">
        <v>2013</v>
      </c>
      <c r="GV921">
        <v>2177.44</v>
      </c>
      <c r="GW921" t="s">
        <v>9536</v>
      </c>
      <c r="GX921">
        <v>0.25</v>
      </c>
      <c r="GY921" t="s">
        <v>424</v>
      </c>
      <c r="GZ921" t="s">
        <v>425</v>
      </c>
      <c r="HA921" s="1">
        <v>42424</v>
      </c>
      <c r="HB921">
        <v>21</v>
      </c>
      <c r="HC921">
        <v>4844954</v>
      </c>
      <c r="HD921" t="s">
        <v>1719</v>
      </c>
      <c r="HF921" s="1">
        <v>41423</v>
      </c>
      <c r="HG921">
        <v>2012</v>
      </c>
      <c r="HH921">
        <v>2039.66</v>
      </c>
      <c r="HI921" t="s">
        <v>9537</v>
      </c>
      <c r="HJ921">
        <v>0.25</v>
      </c>
      <c r="HK921" t="s">
        <v>424</v>
      </c>
      <c r="HL921" t="s">
        <v>425</v>
      </c>
      <c r="HM921" s="1">
        <v>42150</v>
      </c>
      <c r="HN921">
        <v>24</v>
      </c>
      <c r="HO921">
        <v>436</v>
      </c>
      <c r="HP921" t="s">
        <v>1607</v>
      </c>
    </row>
    <row r="922" spans="1:260" x14ac:dyDescent="0.25">
      <c r="A922">
        <v>16485929</v>
      </c>
      <c r="B922">
        <v>921</v>
      </c>
      <c r="C922" t="s">
        <v>393</v>
      </c>
      <c r="D922" t="s">
        <v>394</v>
      </c>
      <c r="F922" t="str">
        <f>"47-2N-25-4080-0014-0030"</f>
        <v>47-2N-25-4080-0014-0030</v>
      </c>
      <c r="H922" t="str">
        <f>"THOMAS LILLIAN EST"</f>
        <v>THOMAS LILLIAN EST</v>
      </c>
      <c r="I922" t="str">
        <f>"P.O. BOX 1537"</f>
        <v>P.O. BOX 1537</v>
      </c>
      <c r="J922" t="str">
        <f>"CALLAHAN FL 32011"</f>
        <v>CALLAHAN FL 32011</v>
      </c>
      <c r="K922" t="str">
        <f>"450348 SR 200"</f>
        <v>450348 SR 200</v>
      </c>
      <c r="L922" t="str">
        <f t="shared" si="291"/>
        <v>CALLAHAN FL 32011</v>
      </c>
      <c r="M922" t="str">
        <f>"PT OF LOT 14 &amp; LOT 15 (S-2 OF LOT 14 &amp; S-3 OF LOT 14 &amp; S-3 OF LOT 15) IN DB 248/125 &amp; OR 24/460 IN OR 106/301 &amp; OR 115/692 EX R/W OR 1078/1745 BUNKER HILL SUB PB 0/17"</f>
        <v>PT OF LOT 14 &amp; LOT 15 (S-2 OF LOT 14 &amp; S-3 OF LOT 14 &amp; S-3 OF LOT 15) IN DB 248/125 &amp; OR 24/460 IN OR 106/301 &amp; OR 115/692 EX R/W OR 1078/1745 BUNKER HILL SUB PB 0/17</v>
      </c>
      <c r="N922" t="str">
        <f>""</f>
        <v/>
      </c>
      <c r="O922" t="str">
        <f>"53505"</f>
        <v>53505</v>
      </c>
      <c r="P922" t="str">
        <f t="shared" si="283"/>
        <v>2017</v>
      </c>
      <c r="Q922" t="str">
        <f>""</f>
        <v/>
      </c>
      <c r="R922" t="str">
        <f t="shared" si="294"/>
        <v>N</v>
      </c>
      <c r="S922" t="str">
        <f>"2.32"</f>
        <v>2.32</v>
      </c>
      <c r="T922" t="str">
        <f>"923.48"</f>
        <v>923.48</v>
      </c>
      <c r="U922" t="str">
        <f>"61001.00"</f>
        <v>61001.00</v>
      </c>
      <c r="V922" t="str">
        <f>"61001.00"</f>
        <v>61001.00</v>
      </c>
      <c r="W922" t="str">
        <f t="shared" si="284"/>
        <v>2017</v>
      </c>
      <c r="X922" t="str">
        <f>"18.44"</f>
        <v>18.44</v>
      </c>
      <c r="Y922" t="str">
        <f>"983.18"</f>
        <v>983.18</v>
      </c>
      <c r="Z922" t="str">
        <f>""</f>
        <v/>
      </c>
      <c r="AA922" t="str">
        <f>"61001.00"</f>
        <v>61001.00</v>
      </c>
      <c r="AB922" t="str">
        <f>"Residential"</f>
        <v>Residential</v>
      </c>
      <c r="AC922" t="str">
        <f t="shared" si="295"/>
        <v>0</v>
      </c>
      <c r="AD922" t="str">
        <f t="shared" si="292"/>
        <v>4</v>
      </c>
      <c r="AE922" t="str">
        <f t="shared" si="293"/>
        <v>WOOD (INCLUDE STEEL STUDS)</v>
      </c>
      <c r="AF922" t="str">
        <f>"001"</f>
        <v>001</v>
      </c>
      <c r="AG922" t="str">
        <f t="shared" si="288"/>
        <v>FL</v>
      </c>
      <c r="AH922" t="str">
        <f>"101059.00"</f>
        <v>101059.00</v>
      </c>
      <c r="AI922" t="str">
        <f>"27840.00"</f>
        <v>27840.00</v>
      </c>
      <c r="AJ922" t="str">
        <f>"C55-000-588-6139-4"</f>
        <v>C55-000-588-6139-4</v>
      </c>
      <c r="AK922" t="str">
        <f>"14593"</f>
        <v>14593</v>
      </c>
      <c r="AL922">
        <v>4</v>
      </c>
      <c r="AM922">
        <v>1063</v>
      </c>
      <c r="AN922">
        <v>1030.74</v>
      </c>
      <c r="AQ922" t="s">
        <v>9538</v>
      </c>
      <c r="AR922" t="s">
        <v>9538</v>
      </c>
      <c r="AS922" t="s">
        <v>9538</v>
      </c>
      <c r="AU922" t="s">
        <v>396</v>
      </c>
      <c r="AV922">
        <v>2017</v>
      </c>
      <c r="AW922" t="str">
        <f>"47-2N-25-4080-0014-0030 "</f>
        <v xml:space="preserve">47-2N-25-4080-0014-0030 </v>
      </c>
      <c r="AX922">
        <v>450348</v>
      </c>
      <c r="AZ922" t="s">
        <v>8071</v>
      </c>
      <c r="BD922" t="s">
        <v>2785</v>
      </c>
      <c r="BE922" t="s">
        <v>393</v>
      </c>
      <c r="BF922">
        <v>32011</v>
      </c>
      <c r="BG922" t="s">
        <v>9539</v>
      </c>
      <c r="BH922" t="s">
        <v>2787</v>
      </c>
      <c r="BI922">
        <v>-81.811281402758695</v>
      </c>
      <c r="BJ922">
        <v>30.5809161856961</v>
      </c>
      <c r="BK922" t="s">
        <v>9540</v>
      </c>
      <c r="BL922" t="s">
        <v>9541</v>
      </c>
      <c r="BM922" t="s">
        <v>9531</v>
      </c>
      <c r="BN922" t="s">
        <v>928</v>
      </c>
      <c r="BO922">
        <v>32011</v>
      </c>
      <c r="BP922" t="s">
        <v>404</v>
      </c>
      <c r="BQ922">
        <v>100</v>
      </c>
      <c r="BR922" t="s">
        <v>514</v>
      </c>
      <c r="BS922">
        <v>1001</v>
      </c>
      <c r="BT922" t="s">
        <v>515</v>
      </c>
      <c r="BW922">
        <v>101059</v>
      </c>
      <c r="BX922" t="s">
        <v>407</v>
      </c>
      <c r="BY922" t="s">
        <v>408</v>
      </c>
      <c r="BZ922">
        <v>4</v>
      </c>
      <c r="CA922">
        <v>1940</v>
      </c>
      <c r="CB922">
        <v>1</v>
      </c>
      <c r="CC922">
        <v>1</v>
      </c>
      <c r="CD922">
        <v>2017</v>
      </c>
      <c r="CE922">
        <v>27840</v>
      </c>
      <c r="CF922">
        <v>33161</v>
      </c>
      <c r="CG922">
        <v>61001</v>
      </c>
      <c r="CH922">
        <v>2017</v>
      </c>
      <c r="CI922">
        <v>27840</v>
      </c>
      <c r="CJ922">
        <v>33161</v>
      </c>
      <c r="CK922">
        <v>61001</v>
      </c>
      <c r="CL922">
        <v>2017</v>
      </c>
      <c r="CM922">
        <v>923.48</v>
      </c>
      <c r="DD922" t="s">
        <v>2785</v>
      </c>
      <c r="DF922">
        <v>14</v>
      </c>
      <c r="DG922">
        <v>47</v>
      </c>
      <c r="DL922">
        <v>50502</v>
      </c>
      <c r="DM922" t="s">
        <v>8871</v>
      </c>
      <c r="DO922" t="s">
        <v>9542</v>
      </c>
      <c r="DP922">
        <v>0</v>
      </c>
      <c r="DQ922">
        <v>0</v>
      </c>
      <c r="DR922" t="s">
        <v>411</v>
      </c>
      <c r="DS922" t="b">
        <v>1</v>
      </c>
      <c r="DT922" t="s">
        <v>470</v>
      </c>
      <c r="DU922" t="s">
        <v>471</v>
      </c>
      <c r="DV922" t="s">
        <v>472</v>
      </c>
      <c r="DX922">
        <v>-9999</v>
      </c>
      <c r="DZ922" t="s">
        <v>447</v>
      </c>
      <c r="EA922" t="s">
        <v>448</v>
      </c>
      <c r="EB922" t="s">
        <v>742</v>
      </c>
      <c r="EC922">
        <v>20101217</v>
      </c>
      <c r="ED922" t="s">
        <v>474</v>
      </c>
      <c r="EF922">
        <v>661.9</v>
      </c>
      <c r="EG922">
        <v>661.9</v>
      </c>
      <c r="EH922" t="s">
        <v>451</v>
      </c>
      <c r="EI922">
        <v>20140731</v>
      </c>
      <c r="EJ922">
        <v>0</v>
      </c>
      <c r="EK922">
        <v>0</v>
      </c>
      <c r="EP922" t="s">
        <v>421</v>
      </c>
      <c r="EQ922" t="s">
        <v>422</v>
      </c>
      <c r="ER922">
        <v>0</v>
      </c>
      <c r="ES922">
        <v>7</v>
      </c>
      <c r="ET922">
        <v>0</v>
      </c>
      <c r="EU922">
        <v>0</v>
      </c>
      <c r="EV922">
        <v>0</v>
      </c>
      <c r="EW922" s="2">
        <v>43222</v>
      </c>
      <c r="EX922" s="1">
        <v>42151</v>
      </c>
      <c r="EY922">
        <v>2014</v>
      </c>
      <c r="EZ922">
        <v>1008.31</v>
      </c>
      <c r="FA922" t="s">
        <v>9543</v>
      </c>
      <c r="FB922">
        <v>0.25</v>
      </c>
      <c r="FC922" t="s">
        <v>424</v>
      </c>
      <c r="FD922" t="s">
        <v>425</v>
      </c>
      <c r="FE922" s="1">
        <v>42422</v>
      </c>
      <c r="FF922">
        <v>9</v>
      </c>
      <c r="FG922">
        <v>2101382</v>
      </c>
      <c r="FH922" t="s">
        <v>993</v>
      </c>
      <c r="FJ922" s="1">
        <v>42151</v>
      </c>
      <c r="FK922">
        <v>2014</v>
      </c>
      <c r="FL922">
        <v>1008.31</v>
      </c>
      <c r="FM922" t="s">
        <v>9543</v>
      </c>
      <c r="FN922">
        <v>0.25</v>
      </c>
      <c r="FO922" t="s">
        <v>424</v>
      </c>
      <c r="FP922" t="s">
        <v>425</v>
      </c>
      <c r="FR922">
        <v>22</v>
      </c>
      <c r="FS922">
        <v>5611366</v>
      </c>
      <c r="FT922" t="s">
        <v>9544</v>
      </c>
      <c r="FV922" s="1">
        <v>41787</v>
      </c>
      <c r="FW922">
        <v>2013</v>
      </c>
      <c r="FX922">
        <v>1141.8800000000001</v>
      </c>
      <c r="FY922" t="s">
        <v>9545</v>
      </c>
      <c r="FZ922">
        <v>0.25</v>
      </c>
      <c r="GA922" t="s">
        <v>424</v>
      </c>
      <c r="GB922" t="s">
        <v>425</v>
      </c>
      <c r="GC922" s="1">
        <v>42089</v>
      </c>
      <c r="GD922">
        <v>10</v>
      </c>
      <c r="GE922">
        <v>2851116</v>
      </c>
      <c r="GF922" t="s">
        <v>480</v>
      </c>
      <c r="GH922" s="1">
        <v>41423</v>
      </c>
      <c r="GI922">
        <v>2012</v>
      </c>
      <c r="GJ922">
        <v>1177.05</v>
      </c>
      <c r="GK922" t="s">
        <v>9546</v>
      </c>
      <c r="GL922">
        <v>0.25</v>
      </c>
      <c r="GM922" t="s">
        <v>424</v>
      </c>
      <c r="GN922" t="s">
        <v>425</v>
      </c>
      <c r="GO922" s="1">
        <v>42061</v>
      </c>
      <c r="GP922">
        <v>21</v>
      </c>
      <c r="GQ922">
        <v>606981</v>
      </c>
      <c r="GR922" t="s">
        <v>792</v>
      </c>
      <c r="GT922" s="1">
        <v>41052</v>
      </c>
      <c r="GU922">
        <v>2011</v>
      </c>
      <c r="GV922">
        <v>1500.82</v>
      </c>
      <c r="GW922" t="s">
        <v>9547</v>
      </c>
      <c r="GX922">
        <v>0.25</v>
      </c>
      <c r="GY922" t="s">
        <v>424</v>
      </c>
      <c r="GZ922" t="s">
        <v>425</v>
      </c>
      <c r="HA922" s="1">
        <v>41677</v>
      </c>
      <c r="HB922">
        <v>21</v>
      </c>
      <c r="HC922">
        <v>13104</v>
      </c>
      <c r="HD922" t="s">
        <v>888</v>
      </c>
      <c r="HF922" s="1">
        <v>41052</v>
      </c>
      <c r="HG922">
        <v>2011</v>
      </c>
      <c r="HH922">
        <v>1500.82</v>
      </c>
      <c r="HI922" t="s">
        <v>9547</v>
      </c>
      <c r="HJ922">
        <v>0.25</v>
      </c>
      <c r="HK922" t="s">
        <v>424</v>
      </c>
      <c r="HL922" t="s">
        <v>425</v>
      </c>
      <c r="HN922">
        <v>22</v>
      </c>
      <c r="HO922">
        <v>13657</v>
      </c>
      <c r="HP922" t="s">
        <v>9548</v>
      </c>
      <c r="HR922" s="1">
        <v>40688</v>
      </c>
      <c r="HS922">
        <v>2010</v>
      </c>
      <c r="HT922">
        <v>1639.66</v>
      </c>
      <c r="HU922" t="s">
        <v>9549</v>
      </c>
      <c r="HV922">
        <v>4</v>
      </c>
      <c r="HW922" t="s">
        <v>424</v>
      </c>
      <c r="HX922" t="s">
        <v>425</v>
      </c>
      <c r="HY922" s="1">
        <v>41333</v>
      </c>
      <c r="HZ922">
        <v>21</v>
      </c>
      <c r="IA922">
        <v>11141</v>
      </c>
      <c r="IB922" t="s">
        <v>1723</v>
      </c>
    </row>
    <row r="923" spans="1:260" x14ac:dyDescent="0.25">
      <c r="A923">
        <v>16485930</v>
      </c>
      <c r="B923">
        <v>922</v>
      </c>
      <c r="C923" t="s">
        <v>393</v>
      </c>
      <c r="D923" t="s">
        <v>394</v>
      </c>
      <c r="F923" t="str">
        <f>"47-2N-25-720S-0005-0000"</f>
        <v>47-2N-25-720S-0005-0000</v>
      </c>
      <c r="H923" t="str">
        <f>"VICTORY VISION INC"</f>
        <v>VICTORY VISION INC</v>
      </c>
      <c r="I923" t="str">
        <f>"PO BOX 1459"</f>
        <v>PO BOX 1459</v>
      </c>
      <c r="J923" t="str">
        <f>"CALLAHAN FL 32011"</f>
        <v>CALLAHAN FL 32011</v>
      </c>
      <c r="K923" t="str">
        <f>"45500 STRATTON RD"</f>
        <v>45500 STRATTON RD</v>
      </c>
      <c r="L923" t="str">
        <f t="shared" si="291"/>
        <v>CALLAHAN FL 32011</v>
      </c>
      <c r="M923" t="str">
        <f>"PT OF LOTS 3 4 &amp; 5 OF SHADY GROVE S/D PBK 6/13 &amp; TRACT A OF TRAILS 2 S/D PBK 7/47 IN IN OR 1318/958 &amp; OR 1653/861"</f>
        <v>PT OF LOTS 3 4 &amp; 5 OF SHADY GROVE S/D PBK 6/13 &amp; TRACT A OF TRAILS 2 S/D PBK 7/47 IN IN OR 1318/958 &amp; OR 1653/861</v>
      </c>
      <c r="N923" t="str">
        <f>""</f>
        <v/>
      </c>
      <c r="O923" t="str">
        <f>"53555"</f>
        <v>53555</v>
      </c>
      <c r="P923" t="str">
        <f t="shared" si="283"/>
        <v>2017</v>
      </c>
      <c r="Q923" t="str">
        <f>""</f>
        <v/>
      </c>
      <c r="R923" t="str">
        <f t="shared" si="294"/>
        <v>N</v>
      </c>
      <c r="S923" t="str">
        <f>"96.59"</f>
        <v>96.59</v>
      </c>
      <c r="T923" t="str">
        <f>"13473.04"</f>
        <v>13473.04</v>
      </c>
      <c r="U923" t="str">
        <f>"889967.00"</f>
        <v>889967.00</v>
      </c>
      <c r="V923" t="str">
        <f>"889967.00"</f>
        <v>889967.00</v>
      </c>
      <c r="W923" t="str">
        <f t="shared" si="284"/>
        <v>2017</v>
      </c>
      <c r="X923" t="str">
        <f>"14.20"</f>
        <v>14.20</v>
      </c>
      <c r="Y923" t="str">
        <f>"13909.23"</f>
        <v>13909.23</v>
      </c>
      <c r="Z923" t="str">
        <f>""</f>
        <v/>
      </c>
      <c r="AA923" t="str">
        <f>"889967.00"</f>
        <v>889967.00</v>
      </c>
      <c r="AB923" t="str">
        <f>"Agricultural"</f>
        <v>Agricultural</v>
      </c>
      <c r="AC923" t="str">
        <f t="shared" si="295"/>
        <v>0</v>
      </c>
      <c r="AD923" t="str">
        <f t="shared" si="292"/>
        <v>4</v>
      </c>
      <c r="AE923" t="str">
        <f t="shared" si="293"/>
        <v>WOOD (INCLUDE STEEL STUDS)</v>
      </c>
      <c r="AF923" t="str">
        <f>"060"</f>
        <v>060</v>
      </c>
      <c r="AG923" t="str">
        <f t="shared" si="288"/>
        <v>FL</v>
      </c>
      <c r="AH923" t="str">
        <f>"4207460.00"</f>
        <v>4207460.00</v>
      </c>
      <c r="AI923" t="str">
        <f>"55614.00"</f>
        <v>55614.00</v>
      </c>
      <c r="AJ923" t="str">
        <f>"C55-000-588-6180-8"</f>
        <v>C55-000-588-6180-8</v>
      </c>
      <c r="AK923" t="str">
        <f>"14635"</f>
        <v>14635</v>
      </c>
      <c r="AL923">
        <v>4</v>
      </c>
      <c r="AM923">
        <v>1065</v>
      </c>
      <c r="AN923">
        <v>14603.09</v>
      </c>
      <c r="AQ923" t="s">
        <v>9550</v>
      </c>
      <c r="AR923" t="s">
        <v>9550</v>
      </c>
      <c r="AS923" t="s">
        <v>9550</v>
      </c>
      <c r="AU923" t="s">
        <v>396</v>
      </c>
      <c r="AV923">
        <v>2017</v>
      </c>
      <c r="AW923" t="str">
        <f>"47-2N-25-720S-0005-0000 "</f>
        <v xml:space="preserve">47-2N-25-720S-0005-0000 </v>
      </c>
      <c r="AX923">
        <v>45500</v>
      </c>
      <c r="AZ923" t="s">
        <v>8867</v>
      </c>
      <c r="BA923" t="s">
        <v>496</v>
      </c>
      <c r="BD923" t="s">
        <v>2785</v>
      </c>
      <c r="BE923" t="s">
        <v>393</v>
      </c>
      <c r="BF923">
        <v>32011</v>
      </c>
      <c r="BG923" t="s">
        <v>9551</v>
      </c>
      <c r="BH923" t="s">
        <v>2787</v>
      </c>
      <c r="BI923">
        <v>-81.797816663043093</v>
      </c>
      <c r="BJ923">
        <v>30.568408293432199</v>
      </c>
      <c r="BK923" t="s">
        <v>9552</v>
      </c>
      <c r="BM923" t="s">
        <v>9553</v>
      </c>
      <c r="BN923" t="s">
        <v>928</v>
      </c>
      <c r="BO923">
        <v>32011</v>
      </c>
      <c r="BP923" t="s">
        <v>404</v>
      </c>
      <c r="BQ923">
        <v>6000</v>
      </c>
      <c r="BR923" t="s">
        <v>433</v>
      </c>
      <c r="BS923">
        <v>7003</v>
      </c>
      <c r="BT923" t="s">
        <v>434</v>
      </c>
      <c r="BW923">
        <v>4207460</v>
      </c>
      <c r="BX923" t="s">
        <v>407</v>
      </c>
      <c r="BZ923">
        <v>4</v>
      </c>
      <c r="CA923">
        <v>2008</v>
      </c>
      <c r="CB923">
        <v>2</v>
      </c>
      <c r="CC923">
        <v>1</v>
      </c>
      <c r="CD923">
        <v>2017</v>
      </c>
      <c r="CG923">
        <v>889967</v>
      </c>
      <c r="CH923">
        <v>2017</v>
      </c>
      <c r="CI923">
        <v>55614</v>
      </c>
      <c r="CJ923">
        <v>1106129</v>
      </c>
      <c r="CK923">
        <v>1161743</v>
      </c>
      <c r="CL923">
        <v>2017</v>
      </c>
      <c r="CM923">
        <v>13473.04</v>
      </c>
      <c r="CN923" s="1">
        <v>37931</v>
      </c>
      <c r="CO923">
        <v>30000</v>
      </c>
      <c r="CV923">
        <v>0</v>
      </c>
      <c r="CZ923" s="1">
        <v>37931</v>
      </c>
      <c r="DA923">
        <v>0</v>
      </c>
      <c r="DD923" t="s">
        <v>2785</v>
      </c>
      <c r="DG923">
        <v>27</v>
      </c>
      <c r="DM923" t="s">
        <v>8871</v>
      </c>
      <c r="DO923" t="s">
        <v>9554</v>
      </c>
      <c r="DP923">
        <v>0</v>
      </c>
      <c r="DQ923">
        <v>0</v>
      </c>
      <c r="DR923" t="s">
        <v>411</v>
      </c>
      <c r="DS923" t="s">
        <v>695</v>
      </c>
      <c r="EJ923">
        <v>0</v>
      </c>
      <c r="EK923">
        <v>0</v>
      </c>
      <c r="EP923" t="s">
        <v>421</v>
      </c>
      <c r="EQ923" t="s">
        <v>422</v>
      </c>
      <c r="ER923">
        <v>0</v>
      </c>
      <c r="ES923">
        <v>7</v>
      </c>
      <c r="ET923">
        <v>0</v>
      </c>
      <c r="EU923">
        <v>0</v>
      </c>
      <c r="EV923">
        <v>0</v>
      </c>
      <c r="EW923" s="2">
        <v>43222</v>
      </c>
      <c r="EX923" s="1">
        <v>42879</v>
      </c>
      <c r="EY923">
        <v>2016</v>
      </c>
      <c r="EZ923">
        <v>25462.959999999999</v>
      </c>
      <c r="FA923" t="s">
        <v>9555</v>
      </c>
      <c r="FB923">
        <v>0.25</v>
      </c>
      <c r="FC923" t="s">
        <v>424</v>
      </c>
      <c r="FD923" t="s">
        <v>425</v>
      </c>
      <c r="FE923" s="1">
        <v>43146</v>
      </c>
      <c r="FF923">
        <v>9</v>
      </c>
      <c r="FG923">
        <v>5856195</v>
      </c>
      <c r="FH923" t="s">
        <v>1060</v>
      </c>
      <c r="FJ923" s="1">
        <v>42879</v>
      </c>
      <c r="FK923">
        <v>2016</v>
      </c>
      <c r="FL923">
        <v>25462.959999999999</v>
      </c>
      <c r="FM923" t="s">
        <v>9555</v>
      </c>
      <c r="FN923">
        <v>0.25</v>
      </c>
      <c r="FO923" t="s">
        <v>424</v>
      </c>
      <c r="FP923" t="s">
        <v>425</v>
      </c>
      <c r="FR923">
        <v>22</v>
      </c>
      <c r="FS923">
        <v>6006531</v>
      </c>
      <c r="FT923" t="s">
        <v>9556</v>
      </c>
      <c r="FV923" s="1">
        <v>42151</v>
      </c>
      <c r="FW923">
        <v>2014</v>
      </c>
      <c r="FX923">
        <v>23998.080000000002</v>
      </c>
      <c r="FY923" t="s">
        <v>9557</v>
      </c>
      <c r="FZ923">
        <v>0.25</v>
      </c>
      <c r="GA923" t="s">
        <v>424</v>
      </c>
      <c r="GB923" t="s">
        <v>425</v>
      </c>
      <c r="GC923" s="1">
        <v>42450</v>
      </c>
      <c r="GD923">
        <v>10</v>
      </c>
      <c r="GE923">
        <v>4975594</v>
      </c>
      <c r="GF923" t="s">
        <v>457</v>
      </c>
      <c r="GH923" s="1">
        <v>42151</v>
      </c>
      <c r="GI923">
        <v>2014</v>
      </c>
      <c r="GJ923">
        <v>23998.080000000002</v>
      </c>
      <c r="GK923" t="s">
        <v>9557</v>
      </c>
      <c r="GL923">
        <v>0.25</v>
      </c>
      <c r="GM923" t="s">
        <v>424</v>
      </c>
      <c r="GN923" t="s">
        <v>425</v>
      </c>
      <c r="GP923">
        <v>22</v>
      </c>
      <c r="GQ923">
        <v>6307016</v>
      </c>
      <c r="GR923" t="s">
        <v>9558</v>
      </c>
      <c r="GT923" s="1">
        <v>41787</v>
      </c>
      <c r="GU923">
        <v>2013</v>
      </c>
      <c r="GV923">
        <v>15831.22</v>
      </c>
      <c r="GW923" t="s">
        <v>9559</v>
      </c>
      <c r="GX923">
        <v>0.25</v>
      </c>
      <c r="GY923" t="s">
        <v>424</v>
      </c>
      <c r="GZ923" t="s">
        <v>425</v>
      </c>
      <c r="HB923">
        <v>22</v>
      </c>
      <c r="HC923">
        <v>11289</v>
      </c>
      <c r="HD923" t="s">
        <v>787</v>
      </c>
      <c r="HF923" s="1">
        <v>41787</v>
      </c>
      <c r="HG923">
        <v>2013</v>
      </c>
      <c r="HH923">
        <v>15831.22</v>
      </c>
      <c r="HI923" t="s">
        <v>9559</v>
      </c>
      <c r="HJ923">
        <v>0.25</v>
      </c>
      <c r="HK923" t="s">
        <v>424</v>
      </c>
      <c r="HL923" t="s">
        <v>425</v>
      </c>
      <c r="HM923" s="1">
        <v>42429</v>
      </c>
      <c r="HN923">
        <v>21</v>
      </c>
      <c r="HO923">
        <v>4844954</v>
      </c>
      <c r="HP923" t="s">
        <v>1719</v>
      </c>
      <c r="HR923" s="1">
        <v>41423</v>
      </c>
      <c r="HS923">
        <v>2012</v>
      </c>
      <c r="HT923">
        <v>16512.12</v>
      </c>
      <c r="HU923" t="s">
        <v>9560</v>
      </c>
      <c r="HV923">
        <v>0.25</v>
      </c>
      <c r="HW923" t="s">
        <v>424</v>
      </c>
      <c r="HX923" t="s">
        <v>425</v>
      </c>
      <c r="HY923" s="1">
        <v>42041</v>
      </c>
      <c r="HZ923">
        <v>21</v>
      </c>
      <c r="IA923">
        <v>15972</v>
      </c>
      <c r="IB923" t="s">
        <v>2572</v>
      </c>
    </row>
    <row r="924" spans="1:260" x14ac:dyDescent="0.25">
      <c r="A924">
        <v>16485931</v>
      </c>
      <c r="B924">
        <v>923</v>
      </c>
      <c r="C924" t="s">
        <v>393</v>
      </c>
      <c r="D924" t="s">
        <v>394</v>
      </c>
      <c r="F924" t="str">
        <f>"49-2N-25-4100-0003-0010"</f>
        <v>49-2N-25-4100-0003-0010</v>
      </c>
      <c r="H924" t="str">
        <f>"HIGGINBOTHAM MARY ANN HIGGINBOTHAM DAVID A (JT/RS)"</f>
        <v>HIGGINBOTHAM MARY ANN HIGGINBOTHAM DAVID A (JT/RS)</v>
      </c>
      <c r="I924" t="str">
        <f>"45366 5TH AVE"</f>
        <v>45366 5TH AVE</v>
      </c>
      <c r="J924" t="str">
        <f>"CALLAHAN FL 32011"</f>
        <v>CALLAHAN FL 32011</v>
      </c>
      <c r="K924" t="str">
        <f>"45366 FIFTH AVE"</f>
        <v>45366 FIFTH AVE</v>
      </c>
      <c r="L924" t="str">
        <f t="shared" si="291"/>
        <v>CALLAHAN FL 32011</v>
      </c>
      <c r="M924" t="str">
        <f>"PT OF LOT 3 IN OR 1054/1860 EX S-4 S-7 &amp; S-8 EX DB 268/260 &amp; DB 258/66 SUB SEC 49 PB 2/15"</f>
        <v>PT OF LOT 3 IN OR 1054/1860 EX S-4 S-7 &amp; S-8 EX DB 268/260 &amp; DB 258/66 SUB SEC 49 PB 2/15</v>
      </c>
      <c r="N924" t="str">
        <f>""</f>
        <v/>
      </c>
      <c r="O924" t="str">
        <f>"53883"</f>
        <v>53883</v>
      </c>
      <c r="P924" t="str">
        <f t="shared" si="283"/>
        <v>2017</v>
      </c>
      <c r="Q924" t="str">
        <f>""</f>
        <v/>
      </c>
      <c r="R924" t="str">
        <f t="shared" si="294"/>
        <v>N</v>
      </c>
      <c r="S924" t="str">
        <f>""</f>
        <v/>
      </c>
      <c r="T924" t="str">
        <f>"1572.43"</f>
        <v>1572.43</v>
      </c>
      <c r="U924" t="str">
        <f>"95281.00"</f>
        <v>95281.00</v>
      </c>
      <c r="V924" t="str">
        <f>"95281.00"</f>
        <v>95281.00</v>
      </c>
      <c r="W924" t="str">
        <f t="shared" si="284"/>
        <v>2017</v>
      </c>
      <c r="X924" t="str">
        <f>"14.60"</f>
        <v>14.60</v>
      </c>
      <c r="Y924" t="str">
        <f>"1651.60"</f>
        <v>1651.60</v>
      </c>
      <c r="Z924" t="str">
        <f>""</f>
        <v/>
      </c>
      <c r="AA924" t="str">
        <f>"95281.00"</f>
        <v>95281.00</v>
      </c>
      <c r="AB924" t="str">
        <f t="shared" ref="AB924:AB945" si="296">"Residential"</f>
        <v>Residential</v>
      </c>
      <c r="AC924" t="str">
        <f t="shared" si="295"/>
        <v>0</v>
      </c>
      <c r="AD924" t="str">
        <f t="shared" si="292"/>
        <v>4</v>
      </c>
      <c r="AE924" t="str">
        <f t="shared" si="293"/>
        <v>WOOD (INCLUDE STEEL STUDS)</v>
      </c>
      <c r="AF924" t="str">
        <f>"001"</f>
        <v>001</v>
      </c>
      <c r="AG924" t="str">
        <f t="shared" si="288"/>
        <v>FL</v>
      </c>
      <c r="AH924" t="str">
        <f>"34030.00"</f>
        <v>34030.00</v>
      </c>
      <c r="AI924" t="str">
        <f>"36951.00"</f>
        <v>36951.00</v>
      </c>
      <c r="AJ924" t="str">
        <f>"C55-000-588-6482-8"</f>
        <v>C55-000-588-6482-8</v>
      </c>
      <c r="AK924" t="str">
        <f>"14666"</f>
        <v>14666</v>
      </c>
      <c r="AL924">
        <v>4</v>
      </c>
      <c r="AM924">
        <v>1066</v>
      </c>
      <c r="AN924">
        <v>1732.58</v>
      </c>
      <c r="AQ924" t="s">
        <v>9561</v>
      </c>
      <c r="AR924" t="s">
        <v>9561</v>
      </c>
      <c r="AS924" t="s">
        <v>9561</v>
      </c>
      <c r="AU924" t="s">
        <v>396</v>
      </c>
      <c r="AV924">
        <v>2017</v>
      </c>
      <c r="AW924" t="str">
        <f>"49-2N-25-4100-0003-0010 "</f>
        <v xml:space="preserve">49-2N-25-4100-0003-0010 </v>
      </c>
      <c r="AX924">
        <v>45366</v>
      </c>
      <c r="AZ924" t="s">
        <v>4660</v>
      </c>
      <c r="BA924" t="s">
        <v>1112</v>
      </c>
      <c r="BD924" t="s">
        <v>2785</v>
      </c>
      <c r="BE924" t="s">
        <v>393</v>
      </c>
      <c r="BF924">
        <v>32011</v>
      </c>
      <c r="BG924" t="s">
        <v>9562</v>
      </c>
      <c r="BH924" t="s">
        <v>2787</v>
      </c>
      <c r="BI924">
        <v>-81.826616680247</v>
      </c>
      <c r="BJ924">
        <v>30.5577843072221</v>
      </c>
      <c r="BK924" t="s">
        <v>7380</v>
      </c>
      <c r="BM924" t="s">
        <v>9562</v>
      </c>
      <c r="BN924" t="s">
        <v>928</v>
      </c>
      <c r="BO924">
        <v>32011</v>
      </c>
      <c r="BP924" t="s">
        <v>416</v>
      </c>
      <c r="BQ924">
        <v>100</v>
      </c>
      <c r="BR924" t="s">
        <v>514</v>
      </c>
      <c r="BS924">
        <v>1001</v>
      </c>
      <c r="BT924" t="s">
        <v>515</v>
      </c>
      <c r="BU924">
        <v>2050</v>
      </c>
      <c r="BV924">
        <v>1660</v>
      </c>
      <c r="BW924">
        <v>35097</v>
      </c>
      <c r="BX924" t="s">
        <v>407</v>
      </c>
      <c r="BY924" t="s">
        <v>408</v>
      </c>
      <c r="BZ924">
        <v>4</v>
      </c>
      <c r="CA924">
        <v>1956</v>
      </c>
      <c r="CB924">
        <v>1</v>
      </c>
      <c r="CC924">
        <v>1</v>
      </c>
      <c r="CD924">
        <v>2017</v>
      </c>
      <c r="CE924">
        <v>36951</v>
      </c>
      <c r="CF924">
        <v>58330</v>
      </c>
      <c r="CG924">
        <v>95281</v>
      </c>
      <c r="CH924">
        <v>2017</v>
      </c>
      <c r="CI924">
        <v>36951</v>
      </c>
      <c r="CJ924">
        <v>58330</v>
      </c>
      <c r="CK924">
        <v>95281</v>
      </c>
      <c r="CL924">
        <v>2017</v>
      </c>
      <c r="CM924">
        <v>1572.43</v>
      </c>
      <c r="CN924" s="1">
        <v>37873</v>
      </c>
      <c r="CO924">
        <v>13400</v>
      </c>
      <c r="CV924">
        <v>0</v>
      </c>
      <c r="CZ924" s="1">
        <v>37873</v>
      </c>
      <c r="DA924">
        <v>0</v>
      </c>
      <c r="DD924" t="s">
        <v>2785</v>
      </c>
      <c r="DF924">
        <v>3</v>
      </c>
      <c r="DG924">
        <v>49</v>
      </c>
      <c r="DL924">
        <v>50503</v>
      </c>
      <c r="DM924" t="s">
        <v>9563</v>
      </c>
      <c r="DO924" t="s">
        <v>9564</v>
      </c>
      <c r="DP924">
        <v>0</v>
      </c>
      <c r="DQ924">
        <v>0</v>
      </c>
      <c r="DR924" t="s">
        <v>411</v>
      </c>
      <c r="DS924" t="b">
        <v>1</v>
      </c>
      <c r="DT924" t="s">
        <v>470</v>
      </c>
      <c r="DU924" t="s">
        <v>471</v>
      </c>
      <c r="DV924" t="s">
        <v>472</v>
      </c>
      <c r="DX924">
        <v>-9999</v>
      </c>
      <c r="DZ924" t="s">
        <v>447</v>
      </c>
      <c r="EA924" t="s">
        <v>448</v>
      </c>
      <c r="EB924" t="s">
        <v>742</v>
      </c>
      <c r="EC924">
        <v>20101217</v>
      </c>
      <c r="ED924" t="s">
        <v>474</v>
      </c>
      <c r="EF924">
        <v>1071.2</v>
      </c>
      <c r="EG924">
        <v>1071.2</v>
      </c>
      <c r="EI924">
        <v>20160407</v>
      </c>
      <c r="EJ924">
        <v>0</v>
      </c>
      <c r="EK924">
        <v>0</v>
      </c>
      <c r="EP924" t="s">
        <v>421</v>
      </c>
      <c r="EQ924" t="s">
        <v>452</v>
      </c>
      <c r="ER924">
        <v>0</v>
      </c>
      <c r="ES924">
        <v>8</v>
      </c>
      <c r="ET924">
        <v>0</v>
      </c>
      <c r="EU924">
        <v>0</v>
      </c>
      <c r="EV924">
        <v>0</v>
      </c>
      <c r="EW924" s="2">
        <v>43222</v>
      </c>
      <c r="EX924" s="1">
        <v>42515</v>
      </c>
      <c r="EY924">
        <v>2015</v>
      </c>
      <c r="EZ924">
        <v>1773.53</v>
      </c>
      <c r="FA924" t="s">
        <v>9565</v>
      </c>
      <c r="FB924">
        <v>0.25</v>
      </c>
      <c r="FC924" t="s">
        <v>424</v>
      </c>
      <c r="FD924" t="s">
        <v>425</v>
      </c>
      <c r="FE924" s="1">
        <v>42843</v>
      </c>
      <c r="FF924">
        <v>11</v>
      </c>
      <c r="FG924">
        <v>7336671</v>
      </c>
      <c r="FH924" t="s">
        <v>437</v>
      </c>
      <c r="FI924" t="s">
        <v>458</v>
      </c>
      <c r="FJ924" s="1">
        <v>42515</v>
      </c>
      <c r="FK924">
        <v>2015</v>
      </c>
      <c r="FL924">
        <v>1773.53</v>
      </c>
      <c r="FM924" t="s">
        <v>9565</v>
      </c>
      <c r="FN924">
        <v>0.25</v>
      </c>
      <c r="FO924" t="s">
        <v>424</v>
      </c>
      <c r="FP924" t="s">
        <v>425</v>
      </c>
      <c r="FR924">
        <v>22</v>
      </c>
      <c r="FS924">
        <v>6731509</v>
      </c>
      <c r="FT924" t="s">
        <v>9566</v>
      </c>
      <c r="FU924" t="s">
        <v>458</v>
      </c>
      <c r="FV924" s="1">
        <v>42151</v>
      </c>
      <c r="FW924">
        <v>2014</v>
      </c>
      <c r="FX924">
        <v>1862.34</v>
      </c>
      <c r="FY924" t="s">
        <v>9567</v>
      </c>
      <c r="FZ924">
        <v>0.25</v>
      </c>
      <c r="GA924" t="s">
        <v>424</v>
      </c>
      <c r="GB924" t="s">
        <v>425</v>
      </c>
      <c r="GD924">
        <v>22</v>
      </c>
      <c r="GE924">
        <v>11289</v>
      </c>
      <c r="GF924" t="s">
        <v>787</v>
      </c>
      <c r="GG924" t="s">
        <v>458</v>
      </c>
      <c r="GH924" s="1">
        <v>42151</v>
      </c>
      <c r="GI924">
        <v>2014</v>
      </c>
      <c r="GJ924">
        <v>1862.34</v>
      </c>
      <c r="GK924" t="s">
        <v>9567</v>
      </c>
      <c r="GL924">
        <v>0.25</v>
      </c>
      <c r="GM924" t="s">
        <v>424</v>
      </c>
      <c r="GN924" t="s">
        <v>425</v>
      </c>
      <c r="GP924">
        <v>22</v>
      </c>
      <c r="GQ924">
        <v>5207413</v>
      </c>
      <c r="GR924" t="s">
        <v>9568</v>
      </c>
      <c r="GS924" t="s">
        <v>458</v>
      </c>
      <c r="GT924" s="1">
        <v>42151</v>
      </c>
      <c r="GU924">
        <v>2014</v>
      </c>
      <c r="GV924">
        <v>1862.34</v>
      </c>
      <c r="GW924" t="s">
        <v>9567</v>
      </c>
      <c r="GX924">
        <v>0.25</v>
      </c>
      <c r="GY924" t="s">
        <v>424</v>
      </c>
      <c r="GZ924" t="s">
        <v>425</v>
      </c>
      <c r="HB924">
        <v>22</v>
      </c>
      <c r="HC924">
        <v>7045059</v>
      </c>
      <c r="HD924" t="s">
        <v>5073</v>
      </c>
      <c r="HE924" t="s">
        <v>458</v>
      </c>
      <c r="HF924" s="1">
        <v>41787</v>
      </c>
      <c r="HG924">
        <v>2013</v>
      </c>
      <c r="HH924">
        <v>644.26</v>
      </c>
      <c r="HI924" t="s">
        <v>9569</v>
      </c>
      <c r="HJ924">
        <v>0.25</v>
      </c>
      <c r="HK924" t="s">
        <v>424</v>
      </c>
      <c r="HL924" t="s">
        <v>425</v>
      </c>
      <c r="HM924" s="1">
        <v>42055</v>
      </c>
      <c r="HN924">
        <v>9</v>
      </c>
      <c r="HO924">
        <v>2757457</v>
      </c>
      <c r="HP924" t="s">
        <v>648</v>
      </c>
      <c r="HR924" s="1">
        <v>41052</v>
      </c>
      <c r="HS924">
        <v>2011</v>
      </c>
      <c r="HT924">
        <v>627.61</v>
      </c>
      <c r="HU924" t="s">
        <v>9570</v>
      </c>
      <c r="HV924">
        <v>0.25</v>
      </c>
      <c r="HW924" t="s">
        <v>424</v>
      </c>
      <c r="HX924" t="s">
        <v>425</v>
      </c>
      <c r="HY924" s="1">
        <v>41324</v>
      </c>
      <c r="HZ924">
        <v>9</v>
      </c>
      <c r="IA924">
        <v>13746</v>
      </c>
      <c r="IB924" t="s">
        <v>2084</v>
      </c>
      <c r="ID924" s="1">
        <v>40688</v>
      </c>
      <c r="IE924">
        <v>2010</v>
      </c>
      <c r="IF924">
        <v>617.92999999999995</v>
      </c>
      <c r="IG924" t="s">
        <v>9571</v>
      </c>
      <c r="IH924">
        <v>0.25</v>
      </c>
      <c r="II924" t="s">
        <v>424</v>
      </c>
      <c r="IJ924" t="s">
        <v>425</v>
      </c>
      <c r="IK924" s="1">
        <v>41324</v>
      </c>
      <c r="IL924">
        <v>21</v>
      </c>
      <c r="IM924">
        <v>11177</v>
      </c>
      <c r="IN924" t="s">
        <v>650</v>
      </c>
    </row>
    <row r="925" spans="1:260" x14ac:dyDescent="0.25">
      <c r="A925">
        <v>16485932</v>
      </c>
      <c r="B925">
        <v>924</v>
      </c>
      <c r="C925" t="s">
        <v>393</v>
      </c>
      <c r="D925" t="s">
        <v>394</v>
      </c>
      <c r="F925" t="str">
        <f>"49-2N-25-4100-0003-0050"</f>
        <v>49-2N-25-4100-0003-0050</v>
      </c>
      <c r="H925" t="str">
        <f>"BROOKINS FRANK R"</f>
        <v>BROOKINS FRANK R</v>
      </c>
      <c r="I925" t="str">
        <f>"PO BOX 1836"</f>
        <v>PO BOX 1836</v>
      </c>
      <c r="J925" t="str">
        <f>"CALLAHAN FL 32011"</f>
        <v>CALLAHAN FL 32011</v>
      </c>
      <c r="K925" t="str">
        <f>"PICKETT AV"</f>
        <v>PICKETT AV</v>
      </c>
      <c r="L925" t="str">
        <f t="shared" si="291"/>
        <v>CALLAHAN FL 32011</v>
      </c>
      <c r="M925" t="str">
        <f>"PT OF LOT 3 (EX S-6) IN OR 530 PG 1055 SUB OF 49 PB 2/15"</f>
        <v>PT OF LOT 3 (EX S-6) IN OR 530 PG 1055 SUB OF 49 PB 2/15</v>
      </c>
      <c r="N925" t="str">
        <f>""</f>
        <v/>
      </c>
      <c r="O925" t="str">
        <f>"53886"</f>
        <v>53886</v>
      </c>
      <c r="P925" t="str">
        <f t="shared" si="283"/>
        <v>2017</v>
      </c>
      <c r="Q925" t="str">
        <f>""</f>
        <v/>
      </c>
      <c r="R925" t="str">
        <f t="shared" si="294"/>
        <v>N</v>
      </c>
      <c r="S925" t="str">
        <f>""</f>
        <v/>
      </c>
      <c r="T925" t="str">
        <f>"8.66"</f>
        <v>8.66</v>
      </c>
      <c r="U925" t="str">
        <f>"525.00"</f>
        <v>525.00</v>
      </c>
      <c r="V925" t="str">
        <f>"525.00"</f>
        <v>525.00</v>
      </c>
      <c r="W925" t="str">
        <f t="shared" si="284"/>
        <v>2017</v>
      </c>
      <c r="X925" t="str">
        <f>""</f>
        <v/>
      </c>
      <c r="Y925" t="str">
        <f>"40.92"</f>
        <v>40.92</v>
      </c>
      <c r="Z925" t="str">
        <f>""</f>
        <v/>
      </c>
      <c r="AA925" t="str">
        <f>"525.00"</f>
        <v>525.00</v>
      </c>
      <c r="AB925" t="str">
        <f t="shared" si="296"/>
        <v>Residential</v>
      </c>
      <c r="AC925" t="str">
        <f t="shared" si="295"/>
        <v>0</v>
      </c>
      <c r="AD925" t="str">
        <f>""</f>
        <v/>
      </c>
      <c r="AE925" t="str">
        <f>""</f>
        <v/>
      </c>
      <c r="AF925" t="str">
        <f>"000"</f>
        <v>000</v>
      </c>
      <c r="AG925" t="str">
        <f t="shared" si="288"/>
        <v>FL</v>
      </c>
      <c r="AH925" t="str">
        <f>"396.00"</f>
        <v>396.00</v>
      </c>
      <c r="AI925" t="str">
        <f>"525.00"</f>
        <v>525.00</v>
      </c>
      <c r="AJ925" t="str">
        <f>"C55-000-588-6485-1"</f>
        <v>C55-000-588-6485-1</v>
      </c>
      <c r="AK925" t="str">
        <f>"14669"</f>
        <v>14669</v>
      </c>
      <c r="AL925">
        <v>4</v>
      </c>
      <c r="AM925">
        <v>1067</v>
      </c>
      <c r="AN925">
        <v>41.37</v>
      </c>
      <c r="AQ925" t="s">
        <v>9572</v>
      </c>
      <c r="AR925" t="s">
        <v>9572</v>
      </c>
      <c r="AS925" t="s">
        <v>9572</v>
      </c>
      <c r="AU925" t="s">
        <v>396</v>
      </c>
      <c r="AV925">
        <v>2017</v>
      </c>
      <c r="AW925" t="str">
        <f>"49-2N-25-4100-0003-0050 "</f>
        <v xml:space="preserve">49-2N-25-4100-0003-0050 </v>
      </c>
      <c r="AZ925" t="s">
        <v>9198</v>
      </c>
      <c r="BA925" t="s">
        <v>1122</v>
      </c>
      <c r="BD925" t="s">
        <v>2785</v>
      </c>
      <c r="BE925" t="s">
        <v>393</v>
      </c>
      <c r="BF925">
        <v>32011</v>
      </c>
      <c r="BG925" t="s">
        <v>9573</v>
      </c>
      <c r="BH925" t="s">
        <v>2787</v>
      </c>
      <c r="BI925">
        <v>-81.826112685171097</v>
      </c>
      <c r="BJ925">
        <v>30.558127863248199</v>
      </c>
      <c r="BK925" t="s">
        <v>9574</v>
      </c>
      <c r="BM925" t="s">
        <v>9575</v>
      </c>
      <c r="BN925" t="s">
        <v>928</v>
      </c>
      <c r="BO925">
        <v>32011</v>
      </c>
      <c r="BP925" t="s">
        <v>404</v>
      </c>
      <c r="BQ925">
        <v>0</v>
      </c>
      <c r="BR925" t="s">
        <v>491</v>
      </c>
      <c r="BS925">
        <v>8001</v>
      </c>
      <c r="BT925" t="s">
        <v>492</v>
      </c>
      <c r="BU925">
        <v>30</v>
      </c>
      <c r="BV925">
        <v>1320</v>
      </c>
      <c r="BW925">
        <v>290</v>
      </c>
      <c r="BX925" t="s">
        <v>407</v>
      </c>
      <c r="CD925">
        <v>2017</v>
      </c>
      <c r="CE925">
        <v>525</v>
      </c>
      <c r="CG925">
        <v>525</v>
      </c>
      <c r="CH925">
        <v>2017</v>
      </c>
      <c r="CI925">
        <v>525</v>
      </c>
      <c r="CK925">
        <v>525</v>
      </c>
      <c r="CL925">
        <v>2017</v>
      </c>
      <c r="CM925">
        <v>8.66</v>
      </c>
      <c r="CN925" s="1">
        <v>32091</v>
      </c>
      <c r="CZ925" s="1">
        <v>32091</v>
      </c>
      <c r="DD925" t="s">
        <v>2785</v>
      </c>
      <c r="DF925">
        <v>3</v>
      </c>
      <c r="DG925">
        <v>49</v>
      </c>
      <c r="DJ925" t="s">
        <v>9576</v>
      </c>
      <c r="DL925">
        <v>50503</v>
      </c>
      <c r="DM925" t="s">
        <v>9563</v>
      </c>
      <c r="DO925" t="s">
        <v>9577</v>
      </c>
      <c r="DP925">
        <v>0</v>
      </c>
      <c r="DQ925">
        <v>0</v>
      </c>
      <c r="DR925" t="s">
        <v>411</v>
      </c>
      <c r="DS925" t="b">
        <v>1</v>
      </c>
      <c r="DT925" t="s">
        <v>470</v>
      </c>
      <c r="DU925" t="s">
        <v>471</v>
      </c>
      <c r="DV925" t="s">
        <v>472</v>
      </c>
      <c r="DX925">
        <v>-9999</v>
      </c>
      <c r="DZ925" t="s">
        <v>447</v>
      </c>
      <c r="EA925" t="s">
        <v>448</v>
      </c>
      <c r="EB925" t="s">
        <v>742</v>
      </c>
      <c r="EC925">
        <v>20101217</v>
      </c>
      <c r="ED925" t="s">
        <v>474</v>
      </c>
      <c r="EF925">
        <v>1067.0999999999999</v>
      </c>
      <c r="EG925">
        <v>1067.0999999999999</v>
      </c>
      <c r="EI925">
        <v>20160407</v>
      </c>
      <c r="EJ925">
        <v>0</v>
      </c>
      <c r="EK925">
        <v>0</v>
      </c>
      <c r="EP925" t="s">
        <v>595</v>
      </c>
      <c r="EQ925" t="s">
        <v>422</v>
      </c>
      <c r="ER925">
        <v>9</v>
      </c>
      <c r="ES925">
        <v>0</v>
      </c>
      <c r="ET925">
        <v>281.12</v>
      </c>
      <c r="EU925">
        <v>279.58</v>
      </c>
      <c r="EV925">
        <v>560.70000000000005</v>
      </c>
      <c r="EW925" s="2">
        <v>43222</v>
      </c>
      <c r="EX925" s="1">
        <v>42879</v>
      </c>
      <c r="EY925">
        <v>2016</v>
      </c>
      <c r="EZ925">
        <v>36.58</v>
      </c>
      <c r="FA925" t="s">
        <v>9578</v>
      </c>
      <c r="FB925">
        <v>18</v>
      </c>
      <c r="FC925" t="s">
        <v>424</v>
      </c>
      <c r="FD925" t="s">
        <v>454</v>
      </c>
      <c r="FF925">
        <v>12</v>
      </c>
      <c r="FG925">
        <v>6516843</v>
      </c>
      <c r="FH925" t="s">
        <v>601</v>
      </c>
      <c r="FJ925" s="1">
        <v>42515</v>
      </c>
      <c r="FK925">
        <v>2015</v>
      </c>
      <c r="FL925">
        <v>31.82</v>
      </c>
      <c r="FM925" t="s">
        <v>9579</v>
      </c>
      <c r="FN925">
        <v>18</v>
      </c>
      <c r="FO925" t="s">
        <v>603</v>
      </c>
      <c r="FP925" t="s">
        <v>454</v>
      </c>
      <c r="FR925">
        <v>24</v>
      </c>
      <c r="FS925">
        <v>9999999</v>
      </c>
      <c r="FT925" t="s">
        <v>604</v>
      </c>
      <c r="FV925" s="1">
        <v>42151</v>
      </c>
      <c r="FW925">
        <v>2014</v>
      </c>
      <c r="FX925">
        <v>31.95</v>
      </c>
      <c r="FY925" t="s">
        <v>9580</v>
      </c>
      <c r="FZ925">
        <v>18</v>
      </c>
      <c r="GA925" t="s">
        <v>424</v>
      </c>
      <c r="GB925" t="s">
        <v>454</v>
      </c>
      <c r="GD925">
        <v>36</v>
      </c>
      <c r="GE925">
        <v>6516843</v>
      </c>
      <c r="GF925" t="s">
        <v>601</v>
      </c>
      <c r="GH925" s="1">
        <v>41787</v>
      </c>
      <c r="GI925">
        <v>2013</v>
      </c>
      <c r="GJ925">
        <v>31.49</v>
      </c>
      <c r="GK925" t="s">
        <v>9581</v>
      </c>
      <c r="GL925">
        <v>18</v>
      </c>
      <c r="GM925" t="s">
        <v>603</v>
      </c>
      <c r="GN925" t="s">
        <v>454</v>
      </c>
      <c r="GP925">
        <v>48</v>
      </c>
      <c r="GQ925">
        <v>9999999</v>
      </c>
      <c r="GR925" t="s">
        <v>604</v>
      </c>
      <c r="GT925" s="1">
        <v>41423</v>
      </c>
      <c r="GU925">
        <v>2012</v>
      </c>
      <c r="GV925">
        <v>31.6</v>
      </c>
      <c r="GW925" t="s">
        <v>9582</v>
      </c>
      <c r="GX925">
        <v>17</v>
      </c>
      <c r="GY925" t="s">
        <v>424</v>
      </c>
      <c r="GZ925" t="s">
        <v>454</v>
      </c>
      <c r="HB925">
        <v>60</v>
      </c>
      <c r="HC925">
        <v>10125</v>
      </c>
      <c r="HD925" t="s">
        <v>440</v>
      </c>
      <c r="HF925" s="1">
        <v>41052</v>
      </c>
      <c r="HG925">
        <v>2011</v>
      </c>
      <c r="HH925">
        <v>30.63</v>
      </c>
      <c r="HI925" t="s">
        <v>9583</v>
      </c>
      <c r="HJ925">
        <v>18</v>
      </c>
      <c r="HK925" t="s">
        <v>424</v>
      </c>
      <c r="HL925" t="s">
        <v>454</v>
      </c>
      <c r="HN925">
        <v>72</v>
      </c>
      <c r="HO925">
        <v>15163</v>
      </c>
      <c r="HP925" t="s">
        <v>5790</v>
      </c>
      <c r="HR925" s="1">
        <v>41052</v>
      </c>
      <c r="HS925">
        <v>2011</v>
      </c>
      <c r="HT925">
        <v>23.67</v>
      </c>
      <c r="HU925" t="s">
        <v>9583</v>
      </c>
      <c r="HV925">
        <v>18</v>
      </c>
      <c r="HW925" t="s">
        <v>603</v>
      </c>
      <c r="HX925" t="s">
        <v>454</v>
      </c>
      <c r="HZ925">
        <v>72</v>
      </c>
      <c r="IA925">
        <v>9999999</v>
      </c>
      <c r="IB925" t="s">
        <v>604</v>
      </c>
      <c r="ID925" s="1">
        <v>40688</v>
      </c>
      <c r="IE925">
        <v>2010</v>
      </c>
      <c r="IF925">
        <v>36.619999999999997</v>
      </c>
      <c r="IG925" t="s">
        <v>9584</v>
      </c>
      <c r="IH925">
        <v>18</v>
      </c>
      <c r="II925" t="s">
        <v>424</v>
      </c>
      <c r="IJ925" t="s">
        <v>454</v>
      </c>
      <c r="IL925">
        <v>84</v>
      </c>
      <c r="IM925">
        <v>12071</v>
      </c>
      <c r="IN925" t="s">
        <v>2936</v>
      </c>
      <c r="IP925" s="1">
        <v>40688</v>
      </c>
      <c r="IQ925">
        <v>2010</v>
      </c>
      <c r="IR925">
        <v>26.76</v>
      </c>
      <c r="IS925" t="s">
        <v>9584</v>
      </c>
      <c r="IT925">
        <v>18</v>
      </c>
      <c r="IU925" t="s">
        <v>603</v>
      </c>
      <c r="IV925" t="s">
        <v>454</v>
      </c>
      <c r="IX925">
        <v>84</v>
      </c>
      <c r="IY925">
        <v>9999999</v>
      </c>
      <c r="IZ925" t="s">
        <v>604</v>
      </c>
    </row>
    <row r="926" spans="1:260" x14ac:dyDescent="0.25">
      <c r="A926">
        <v>16485933</v>
      </c>
      <c r="B926">
        <v>925</v>
      </c>
      <c r="C926" t="s">
        <v>393</v>
      </c>
      <c r="D926" t="s">
        <v>394</v>
      </c>
      <c r="F926" t="str">
        <f>"49-2N-25-4100-0008-0010"</f>
        <v>49-2N-25-4100-0008-0010</v>
      </c>
      <c r="H926" t="str">
        <f>"UNKNOWN"</f>
        <v>UNKNOWN</v>
      </c>
      <c r="I926" t="str">
        <f>""</f>
        <v/>
      </c>
      <c r="J926" t="str">
        <f>"FL"</f>
        <v>FL</v>
      </c>
      <c r="K926" t="str">
        <f>"ROBINWOOD CIR"</f>
        <v>ROBINWOOD CIR</v>
      </c>
      <c r="L926" t="str">
        <f t="shared" si="291"/>
        <v>CALLAHAN FL 32011</v>
      </c>
      <c r="M926" t="str">
        <f>"PT OF LOTS 8 &amp; 12 BEING A FRACL RESIDUE THEREOF SUB SEC 49 PBK 2/15"</f>
        <v>PT OF LOTS 8 &amp; 12 BEING A FRACL RESIDUE THEREOF SUB SEC 49 PBK 2/15</v>
      </c>
      <c r="N926" t="str">
        <f>""</f>
        <v/>
      </c>
      <c r="O926" t="str">
        <f>"53890"</f>
        <v>53890</v>
      </c>
      <c r="P926" t="str">
        <f t="shared" si="283"/>
        <v>2017</v>
      </c>
      <c r="Q926" t="str">
        <f>""</f>
        <v/>
      </c>
      <c r="R926" t="str">
        <f t="shared" si="294"/>
        <v>N</v>
      </c>
      <c r="S926" t="str">
        <f>"2.15"</f>
        <v>2.15</v>
      </c>
      <c r="T926" t="str">
        <f>"156.23"</f>
        <v>156.23</v>
      </c>
      <c r="U926" t="str">
        <f>"10320.00"</f>
        <v>10320.00</v>
      </c>
      <c r="V926" t="str">
        <f>"10320.00"</f>
        <v>10320.00</v>
      </c>
      <c r="W926" t="str">
        <f t="shared" si="284"/>
        <v>2017</v>
      </c>
      <c r="X926" t="str">
        <f>"17.00"</f>
        <v>17.00</v>
      </c>
      <c r="Y926" t="str">
        <f>"192.92"</f>
        <v>192.92</v>
      </c>
      <c r="Z926" t="str">
        <f>""</f>
        <v/>
      </c>
      <c r="AA926" t="str">
        <f>"10320.00"</f>
        <v>10320.00</v>
      </c>
      <c r="AB926" t="str">
        <f t="shared" si="296"/>
        <v>Residential</v>
      </c>
      <c r="AC926" t="str">
        <f t="shared" si="295"/>
        <v>0</v>
      </c>
      <c r="AD926" t="str">
        <f>""</f>
        <v/>
      </c>
      <c r="AE926" t="str">
        <f>""</f>
        <v/>
      </c>
      <c r="AF926" t="str">
        <f>"000"</f>
        <v>000</v>
      </c>
      <c r="AG926" t="str">
        <f t="shared" si="288"/>
        <v>FL</v>
      </c>
      <c r="AH926" t="str">
        <f>"93654.00"</f>
        <v>93654.00</v>
      </c>
      <c r="AI926" t="str">
        <f>"10320.00"</f>
        <v>10320.00</v>
      </c>
      <c r="AJ926" t="str">
        <f>"C55-000-988-2778-5"</f>
        <v>C55-000-988-2778-5</v>
      </c>
      <c r="AK926" t="str">
        <f>"14673"</f>
        <v>14673</v>
      </c>
      <c r="AL926">
        <v>4</v>
      </c>
      <c r="AM926">
        <v>1068</v>
      </c>
      <c r="AN926">
        <v>200.97</v>
      </c>
      <c r="AQ926" t="s">
        <v>9585</v>
      </c>
      <c r="AR926" t="s">
        <v>9585</v>
      </c>
      <c r="AS926" t="s">
        <v>9585</v>
      </c>
      <c r="AU926" t="s">
        <v>396</v>
      </c>
      <c r="AV926">
        <v>2017</v>
      </c>
      <c r="AW926" t="str">
        <f>"49-2N-25-4100-0008-0010 "</f>
        <v xml:space="preserve">49-2N-25-4100-0008-0010 </v>
      </c>
      <c r="AZ926" t="s">
        <v>9183</v>
      </c>
      <c r="BA926" t="s">
        <v>1799</v>
      </c>
      <c r="BD926" t="s">
        <v>2785</v>
      </c>
      <c r="BE926" t="s">
        <v>393</v>
      </c>
      <c r="BF926">
        <v>32011</v>
      </c>
      <c r="BG926" t="s">
        <v>9586</v>
      </c>
      <c r="BH926" t="s">
        <v>2787</v>
      </c>
      <c r="BI926">
        <v>-81.828384733035307</v>
      </c>
      <c r="BJ926">
        <v>30.553452154017101</v>
      </c>
      <c r="BK926" t="s">
        <v>9587</v>
      </c>
      <c r="BN926" t="s">
        <v>9588</v>
      </c>
      <c r="BP926" t="s">
        <v>404</v>
      </c>
      <c r="BQ926">
        <v>0</v>
      </c>
      <c r="BR926" t="s">
        <v>491</v>
      </c>
      <c r="BS926">
        <v>8001</v>
      </c>
      <c r="BT926" t="s">
        <v>492</v>
      </c>
      <c r="BW926">
        <v>93654</v>
      </c>
      <c r="BX926" t="s">
        <v>407</v>
      </c>
      <c r="CD926">
        <v>2017</v>
      </c>
      <c r="CE926">
        <v>10320</v>
      </c>
      <c r="CG926">
        <v>10320</v>
      </c>
      <c r="CH926">
        <v>2017</v>
      </c>
      <c r="CI926">
        <v>10320</v>
      </c>
      <c r="CK926">
        <v>10320</v>
      </c>
      <c r="CL926">
        <v>2017</v>
      </c>
      <c r="CM926">
        <v>156.22999999999999</v>
      </c>
      <c r="DD926" t="s">
        <v>2785</v>
      </c>
      <c r="DG926">
        <v>49</v>
      </c>
      <c r="DJ926" t="s">
        <v>9589</v>
      </c>
      <c r="DL926">
        <v>50503</v>
      </c>
      <c r="DM926" t="s">
        <v>9563</v>
      </c>
      <c r="DO926" t="s">
        <v>9590</v>
      </c>
      <c r="DP926">
        <v>0</v>
      </c>
      <c r="DQ926">
        <v>0</v>
      </c>
      <c r="DR926" t="s">
        <v>411</v>
      </c>
      <c r="DS926" t="b">
        <v>1</v>
      </c>
      <c r="DT926" t="s">
        <v>470</v>
      </c>
      <c r="DU926" t="s">
        <v>471</v>
      </c>
      <c r="DV926" t="s">
        <v>472</v>
      </c>
      <c r="DX926">
        <v>-9999</v>
      </c>
      <c r="DZ926" t="s">
        <v>447</v>
      </c>
      <c r="EA926" t="s">
        <v>448</v>
      </c>
      <c r="EB926" t="s">
        <v>9591</v>
      </c>
      <c r="EC926">
        <v>20101217</v>
      </c>
      <c r="ED926" t="s">
        <v>474</v>
      </c>
      <c r="EF926">
        <v>10.9</v>
      </c>
      <c r="EG926">
        <v>10.9</v>
      </c>
      <c r="EI926">
        <v>20160407</v>
      </c>
      <c r="EJ926">
        <v>0</v>
      </c>
      <c r="EK926">
        <v>0</v>
      </c>
      <c r="EP926" t="s">
        <v>421</v>
      </c>
      <c r="EQ926" t="s">
        <v>422</v>
      </c>
      <c r="ER926">
        <v>0</v>
      </c>
      <c r="ES926">
        <v>6</v>
      </c>
      <c r="ET926">
        <v>0</v>
      </c>
      <c r="EU926">
        <v>0</v>
      </c>
      <c r="EV926">
        <v>0</v>
      </c>
      <c r="EW926" s="2">
        <v>43222</v>
      </c>
      <c r="EX926" s="1">
        <v>42515</v>
      </c>
      <c r="EY926">
        <v>2015</v>
      </c>
      <c r="EZ926">
        <v>197.5</v>
      </c>
      <c r="FA926" t="s">
        <v>9592</v>
      </c>
      <c r="FB926">
        <v>16.25</v>
      </c>
      <c r="FC926" t="s">
        <v>424</v>
      </c>
      <c r="FD926" t="s">
        <v>425</v>
      </c>
      <c r="FE926" s="1">
        <v>42871</v>
      </c>
      <c r="FF926">
        <v>12</v>
      </c>
      <c r="FG926">
        <v>10125</v>
      </c>
      <c r="FH926" t="s">
        <v>440</v>
      </c>
      <c r="FJ926" s="1">
        <v>42151</v>
      </c>
      <c r="FK926">
        <v>2014</v>
      </c>
      <c r="FL926">
        <v>193.14</v>
      </c>
      <c r="FM926" t="s">
        <v>9593</v>
      </c>
      <c r="FN926">
        <v>5</v>
      </c>
      <c r="FO926" t="s">
        <v>424</v>
      </c>
      <c r="FP926" t="s">
        <v>425</v>
      </c>
      <c r="FQ926" s="1">
        <v>42734</v>
      </c>
      <c r="FR926">
        <v>19</v>
      </c>
      <c r="FS926">
        <v>10125</v>
      </c>
      <c r="FT926" t="s">
        <v>440</v>
      </c>
      <c r="FV926" s="1">
        <v>41787</v>
      </c>
      <c r="FW926">
        <v>2013</v>
      </c>
      <c r="FX926">
        <v>173.6</v>
      </c>
      <c r="FY926" t="s">
        <v>9594</v>
      </c>
      <c r="FZ926">
        <v>15.75</v>
      </c>
      <c r="GA926" t="s">
        <v>424</v>
      </c>
      <c r="GB926" t="s">
        <v>425</v>
      </c>
      <c r="GC926" s="1">
        <v>42459</v>
      </c>
      <c r="GD926">
        <v>22</v>
      </c>
      <c r="GE926">
        <v>10125</v>
      </c>
      <c r="GF926" t="s">
        <v>440</v>
      </c>
      <c r="GH926" s="1">
        <v>41423</v>
      </c>
      <c r="GI926">
        <v>2012</v>
      </c>
      <c r="GJ926">
        <v>154.06</v>
      </c>
      <c r="GK926" t="s">
        <v>9595</v>
      </c>
      <c r="GL926">
        <v>7.5</v>
      </c>
      <c r="GM926" t="s">
        <v>424</v>
      </c>
      <c r="GN926" t="s">
        <v>425</v>
      </c>
      <c r="GO926" s="1">
        <v>41701</v>
      </c>
      <c r="GP926">
        <v>10</v>
      </c>
      <c r="GQ926">
        <v>1127</v>
      </c>
      <c r="GR926" t="s">
        <v>1379</v>
      </c>
      <c r="GT926" s="1">
        <v>41423</v>
      </c>
      <c r="GU926">
        <v>2012</v>
      </c>
      <c r="GV926">
        <v>154.06</v>
      </c>
      <c r="GW926" t="s">
        <v>9595</v>
      </c>
      <c r="GX926">
        <v>7.5</v>
      </c>
      <c r="GY926" t="s">
        <v>424</v>
      </c>
      <c r="GZ926" t="s">
        <v>425</v>
      </c>
      <c r="HB926">
        <v>22</v>
      </c>
      <c r="HC926">
        <v>2035919</v>
      </c>
      <c r="HD926" t="s">
        <v>507</v>
      </c>
      <c r="HF926" s="1">
        <v>41052</v>
      </c>
      <c r="HG926">
        <v>2011</v>
      </c>
      <c r="HH926">
        <v>148.37</v>
      </c>
      <c r="HI926" t="s">
        <v>9596</v>
      </c>
      <c r="HJ926">
        <v>16.5</v>
      </c>
      <c r="HK926" t="s">
        <v>424</v>
      </c>
      <c r="HL926" t="s">
        <v>425</v>
      </c>
      <c r="HM926" s="1">
        <v>41701</v>
      </c>
      <c r="HN926">
        <v>22</v>
      </c>
      <c r="HO926">
        <v>619</v>
      </c>
      <c r="HP926" t="s">
        <v>2768</v>
      </c>
    </row>
    <row r="927" spans="1:260" x14ac:dyDescent="0.25">
      <c r="A927">
        <v>16485934</v>
      </c>
      <c r="B927">
        <v>926</v>
      </c>
      <c r="C927" t="s">
        <v>393</v>
      </c>
      <c r="D927" t="s">
        <v>394</v>
      </c>
      <c r="F927" t="str">
        <f>"49-2N-25-4100-0013-0010"</f>
        <v>49-2N-25-4100-0013-0010</v>
      </c>
      <c r="H927" t="str">
        <f>"MEDSKER TEDDY"</f>
        <v>MEDSKER TEDDY</v>
      </c>
      <c r="I927" t="str">
        <f>"45944 PICKETT STREET"</f>
        <v>45944 PICKETT STREET</v>
      </c>
      <c r="J927" t="str">
        <f t="shared" ref="J927:J933" si="297">"CALLAHAN FL 32011"</f>
        <v>CALLAHAN FL 32011</v>
      </c>
      <c r="K927" t="str">
        <f>"45944 PICKETT ST"</f>
        <v>45944 PICKETT ST</v>
      </c>
      <c r="L927" t="str">
        <f t="shared" si="291"/>
        <v>CALLAHAN FL 32011</v>
      </c>
      <c r="M927" t="str">
        <f>"PT OF LOT 13 IN OR 1193/284 EX R/W IN OR 205/504 SUB OF SEC 49 PB 2/15"</f>
        <v>PT OF LOT 13 IN OR 1193/284 EX R/W IN OR 205/504 SUB OF SEC 49 PB 2/15</v>
      </c>
      <c r="N927" t="str">
        <f>""</f>
        <v/>
      </c>
      <c r="O927" t="str">
        <f>"53905"</f>
        <v>53905</v>
      </c>
      <c r="P927" t="str">
        <f t="shared" si="283"/>
        <v>2017</v>
      </c>
      <c r="Q927" t="str">
        <f>""</f>
        <v/>
      </c>
      <c r="R927" t="str">
        <f t="shared" si="294"/>
        <v>N</v>
      </c>
      <c r="S927" t="str">
        <f>"1.00"</f>
        <v>1.00</v>
      </c>
      <c r="T927" t="str">
        <f>"1569.64"</f>
        <v>1569.64</v>
      </c>
      <c r="U927" t="str">
        <f>"103683.00"</f>
        <v>103683.00</v>
      </c>
      <c r="V927" t="str">
        <f>"103683.00"</f>
        <v>103683.00</v>
      </c>
      <c r="W927" t="str">
        <f t="shared" si="284"/>
        <v>2017</v>
      </c>
      <c r="X927" t="str">
        <f>"16.63"</f>
        <v>16.63</v>
      </c>
      <c r="Y927" t="str">
        <f>"1648.73"</f>
        <v>1648.73</v>
      </c>
      <c r="Z927" t="str">
        <f>""</f>
        <v/>
      </c>
      <c r="AA927" t="str">
        <f>"103683.00"</f>
        <v>103683.00</v>
      </c>
      <c r="AB927" t="str">
        <f t="shared" si="296"/>
        <v>Residential</v>
      </c>
      <c r="AC927" t="str">
        <f t="shared" si="295"/>
        <v>0</v>
      </c>
      <c r="AD927" t="str">
        <f>"4"</f>
        <v>4</v>
      </c>
      <c r="AE927" t="str">
        <f>"WOOD (INCLUDE STEEL STUDS)"</f>
        <v>WOOD (INCLUDE STEEL STUDS)</v>
      </c>
      <c r="AF927" t="str">
        <f>"001"</f>
        <v>001</v>
      </c>
      <c r="AG927" t="str">
        <f t="shared" si="288"/>
        <v>FL</v>
      </c>
      <c r="AH927" t="str">
        <f>"43560.00"</f>
        <v>43560.00</v>
      </c>
      <c r="AI927" t="str">
        <f>"15000.00"</f>
        <v>15000.00</v>
      </c>
      <c r="AJ927" t="str">
        <f>"C55-000-588-6499-2"</f>
        <v>C55-000-588-6499-2</v>
      </c>
      <c r="AK927" t="str">
        <f>"14685"</f>
        <v>14685</v>
      </c>
      <c r="AL927">
        <v>4</v>
      </c>
      <c r="AM927">
        <v>1069</v>
      </c>
      <c r="AN927">
        <v>1729.57</v>
      </c>
      <c r="AQ927" t="s">
        <v>9597</v>
      </c>
      <c r="AR927" t="s">
        <v>9597</v>
      </c>
      <c r="AS927" t="s">
        <v>9597</v>
      </c>
      <c r="AU927" t="s">
        <v>396</v>
      </c>
      <c r="AV927">
        <v>2017</v>
      </c>
      <c r="AW927" t="str">
        <f>"49-2N-25-4100-0013-0010 "</f>
        <v xml:space="preserve">49-2N-25-4100-0013-0010 </v>
      </c>
      <c r="AX927">
        <v>45944</v>
      </c>
      <c r="AZ927" t="s">
        <v>9198</v>
      </c>
      <c r="BA927" t="s">
        <v>1942</v>
      </c>
      <c r="BD927" t="s">
        <v>2785</v>
      </c>
      <c r="BE927" t="s">
        <v>393</v>
      </c>
      <c r="BF927">
        <v>32011</v>
      </c>
      <c r="BG927" t="s">
        <v>9598</v>
      </c>
      <c r="BH927" t="s">
        <v>2787</v>
      </c>
      <c r="BI927">
        <v>-81.821858288846002</v>
      </c>
      <c r="BJ927">
        <v>30.551787348867201</v>
      </c>
      <c r="BK927" t="s">
        <v>9599</v>
      </c>
      <c r="BM927" t="s">
        <v>9598</v>
      </c>
      <c r="BN927" t="s">
        <v>928</v>
      </c>
      <c r="BO927">
        <v>32011</v>
      </c>
      <c r="BP927" t="s">
        <v>416</v>
      </c>
      <c r="BQ927">
        <v>100</v>
      </c>
      <c r="BR927" t="s">
        <v>514</v>
      </c>
      <c r="BS927">
        <v>1001</v>
      </c>
      <c r="BT927" t="s">
        <v>515</v>
      </c>
      <c r="BW927">
        <v>43560</v>
      </c>
      <c r="BX927" t="s">
        <v>407</v>
      </c>
      <c r="BY927" t="s">
        <v>408</v>
      </c>
      <c r="BZ927">
        <v>4</v>
      </c>
      <c r="CA927">
        <v>1995</v>
      </c>
      <c r="CB927">
        <v>1</v>
      </c>
      <c r="CC927">
        <v>1</v>
      </c>
      <c r="CD927">
        <v>2017</v>
      </c>
      <c r="CE927">
        <v>15000</v>
      </c>
      <c r="CF927">
        <v>88683</v>
      </c>
      <c r="CG927">
        <v>103683</v>
      </c>
      <c r="CH927">
        <v>2017</v>
      </c>
      <c r="CI927">
        <v>15000</v>
      </c>
      <c r="CJ927">
        <v>88683</v>
      </c>
      <c r="CK927">
        <v>103683</v>
      </c>
      <c r="CL927">
        <v>2017</v>
      </c>
      <c r="CM927">
        <v>1569.64</v>
      </c>
      <c r="CN927" s="1">
        <v>37959</v>
      </c>
      <c r="CO927">
        <v>130000</v>
      </c>
      <c r="CZ927" s="1">
        <v>37959</v>
      </c>
      <c r="DD927" t="s">
        <v>2785</v>
      </c>
      <c r="DF927">
        <v>13</v>
      </c>
      <c r="DG927">
        <v>49</v>
      </c>
      <c r="DL927">
        <v>50503</v>
      </c>
      <c r="DM927" t="s">
        <v>9563</v>
      </c>
      <c r="DO927" t="s">
        <v>9600</v>
      </c>
      <c r="DP927">
        <v>0</v>
      </c>
      <c r="DQ927">
        <v>3</v>
      </c>
      <c r="DR927" t="s">
        <v>1479</v>
      </c>
      <c r="DS927" t="b">
        <v>1</v>
      </c>
      <c r="DT927" t="s">
        <v>470</v>
      </c>
      <c r="DU927" t="s">
        <v>471</v>
      </c>
      <c r="DV927" t="s">
        <v>472</v>
      </c>
      <c r="DX927">
        <v>-9999</v>
      </c>
      <c r="DZ927" t="s">
        <v>447</v>
      </c>
      <c r="EA927" t="s">
        <v>448</v>
      </c>
      <c r="EB927" t="s">
        <v>742</v>
      </c>
      <c r="EC927">
        <v>20101217</v>
      </c>
      <c r="ED927" t="s">
        <v>474</v>
      </c>
      <c r="EF927">
        <v>397.1</v>
      </c>
      <c r="EG927">
        <v>397.1</v>
      </c>
      <c r="EI927">
        <v>20160407</v>
      </c>
      <c r="EJ927">
        <v>0</v>
      </c>
      <c r="EK927">
        <v>0</v>
      </c>
      <c r="EP927" t="s">
        <v>421</v>
      </c>
      <c r="EQ927" t="s">
        <v>422</v>
      </c>
      <c r="ER927">
        <v>2</v>
      </c>
      <c r="ES927">
        <v>6</v>
      </c>
      <c r="ET927">
        <v>3355.68</v>
      </c>
      <c r="EU927">
        <v>180.28</v>
      </c>
      <c r="EV927">
        <v>3535.96</v>
      </c>
      <c r="EW927" s="2">
        <v>43222</v>
      </c>
      <c r="EX927" s="1">
        <v>42879</v>
      </c>
      <c r="EY927">
        <v>2016</v>
      </c>
      <c r="EZ927">
        <v>1677.84</v>
      </c>
      <c r="FA927" t="s">
        <v>9601</v>
      </c>
      <c r="FB927">
        <v>0.25</v>
      </c>
      <c r="FC927" t="s">
        <v>424</v>
      </c>
      <c r="FD927" t="s">
        <v>454</v>
      </c>
      <c r="FF927">
        <v>12</v>
      </c>
      <c r="FG927">
        <v>5856194</v>
      </c>
      <c r="FH927" t="s">
        <v>2685</v>
      </c>
      <c r="FJ927" s="1">
        <v>42879</v>
      </c>
      <c r="FK927">
        <v>2016</v>
      </c>
      <c r="FL927">
        <v>1677.84</v>
      </c>
      <c r="FM927" t="s">
        <v>9601</v>
      </c>
      <c r="FN927">
        <v>0.25</v>
      </c>
      <c r="FO927" t="s">
        <v>424</v>
      </c>
      <c r="FP927" t="s">
        <v>454</v>
      </c>
      <c r="FR927">
        <v>12</v>
      </c>
      <c r="FS927">
        <v>6234544</v>
      </c>
      <c r="FT927" t="s">
        <v>9602</v>
      </c>
      <c r="FV927" s="1">
        <v>42515</v>
      </c>
      <c r="FW927">
        <v>2015</v>
      </c>
      <c r="FX927">
        <v>1728.75</v>
      </c>
      <c r="FY927" t="s">
        <v>9603</v>
      </c>
      <c r="FZ927">
        <v>0.25</v>
      </c>
      <c r="GA927" t="s">
        <v>424</v>
      </c>
      <c r="GB927" t="s">
        <v>425</v>
      </c>
      <c r="GC927" s="1">
        <v>42852</v>
      </c>
      <c r="GD927">
        <v>11</v>
      </c>
      <c r="GE927">
        <v>2851116</v>
      </c>
      <c r="GF927" t="s">
        <v>480</v>
      </c>
      <c r="GH927" s="1">
        <v>42515</v>
      </c>
      <c r="GI927">
        <v>2015</v>
      </c>
      <c r="GJ927">
        <v>1728.75</v>
      </c>
      <c r="GK927" t="s">
        <v>9603</v>
      </c>
      <c r="GL927">
        <v>0.25</v>
      </c>
      <c r="GM927" t="s">
        <v>424</v>
      </c>
      <c r="GN927" t="s">
        <v>425</v>
      </c>
      <c r="GP927">
        <v>22</v>
      </c>
      <c r="GQ927">
        <v>5672658</v>
      </c>
      <c r="GR927" t="s">
        <v>9604</v>
      </c>
      <c r="GT927" s="1">
        <v>41787</v>
      </c>
      <c r="GU927">
        <v>2013</v>
      </c>
      <c r="GV927">
        <v>962.33</v>
      </c>
      <c r="GW927" t="s">
        <v>9605</v>
      </c>
      <c r="GX927">
        <v>0.25</v>
      </c>
      <c r="GY927" t="s">
        <v>424</v>
      </c>
      <c r="GZ927" t="s">
        <v>425</v>
      </c>
      <c r="HA927" s="1">
        <v>42348</v>
      </c>
      <c r="HB927">
        <v>19</v>
      </c>
      <c r="HC927">
        <v>2101382</v>
      </c>
      <c r="HD927" t="s">
        <v>993</v>
      </c>
      <c r="HF927" s="1">
        <v>41423</v>
      </c>
      <c r="HG927">
        <v>2012</v>
      </c>
      <c r="HH927">
        <v>1048.3900000000001</v>
      </c>
      <c r="HI927" t="s">
        <v>9606</v>
      </c>
      <c r="HJ927">
        <v>0.25</v>
      </c>
      <c r="HK927" t="s">
        <v>424</v>
      </c>
      <c r="HL927" t="s">
        <v>425</v>
      </c>
      <c r="HM927" s="1">
        <v>41505</v>
      </c>
      <c r="HN927">
        <v>3</v>
      </c>
      <c r="HO927">
        <v>11289</v>
      </c>
      <c r="HP927" t="s">
        <v>787</v>
      </c>
      <c r="HR927" s="1">
        <v>41052</v>
      </c>
      <c r="HS927">
        <v>2011</v>
      </c>
      <c r="HT927">
        <v>1076.95</v>
      </c>
      <c r="HU927" t="s">
        <v>9607</v>
      </c>
      <c r="HV927">
        <v>0.25</v>
      </c>
      <c r="HW927" t="s">
        <v>424</v>
      </c>
      <c r="HX927" t="s">
        <v>425</v>
      </c>
      <c r="HY927" s="1">
        <v>41505</v>
      </c>
      <c r="HZ927">
        <v>15</v>
      </c>
      <c r="IA927">
        <v>11287</v>
      </c>
      <c r="IB927" t="s">
        <v>511</v>
      </c>
      <c r="ID927" s="1">
        <v>40688</v>
      </c>
      <c r="IE927">
        <v>2010</v>
      </c>
      <c r="IF927">
        <v>1095.46</v>
      </c>
      <c r="IG927" t="s">
        <v>9608</v>
      </c>
      <c r="IH927">
        <v>0.25</v>
      </c>
      <c r="II927" t="s">
        <v>424</v>
      </c>
      <c r="IJ927" t="s">
        <v>425</v>
      </c>
      <c r="IK927" s="1">
        <v>41505</v>
      </c>
      <c r="IL927">
        <v>27</v>
      </c>
      <c r="IM927">
        <v>11141</v>
      </c>
      <c r="IN927" t="s">
        <v>1723</v>
      </c>
    </row>
    <row r="928" spans="1:260" x14ac:dyDescent="0.25">
      <c r="A928">
        <v>16485935</v>
      </c>
      <c r="B928">
        <v>927</v>
      </c>
      <c r="C928" t="s">
        <v>393</v>
      </c>
      <c r="D928" t="s">
        <v>394</v>
      </c>
      <c r="F928" t="str">
        <f>"49-2N-25-4120-0007-0000"</f>
        <v>49-2N-25-4120-0007-0000</v>
      </c>
      <c r="H928" t="str">
        <f>"HACK SHANNON"</f>
        <v>HACK SHANNON</v>
      </c>
      <c r="I928" t="str">
        <f>"PO BOX 1151"</f>
        <v>PO BOX 1151</v>
      </c>
      <c r="J928" t="str">
        <f t="shared" si="297"/>
        <v>CALLAHAN FL 32011</v>
      </c>
      <c r="K928" t="str">
        <f>"45084 MICKLER ST"</f>
        <v>45084 MICKLER ST</v>
      </c>
      <c r="L928" t="str">
        <f t="shared" si="291"/>
        <v>CALLAHAN FL 32011</v>
      </c>
      <c r="M928" t="str">
        <f>"LOT 7 IN OR 1232/1281 PINEY POINT SUB PB 3/62"</f>
        <v>LOT 7 IN OR 1232/1281 PINEY POINT SUB PB 3/62</v>
      </c>
      <c r="N928" t="str">
        <f>""</f>
        <v/>
      </c>
      <c r="O928" t="str">
        <f>"53924"</f>
        <v>53924</v>
      </c>
      <c r="P928" t="str">
        <f t="shared" si="283"/>
        <v>2017</v>
      </c>
      <c r="Q928" t="str">
        <f>""</f>
        <v/>
      </c>
      <c r="R928" t="str">
        <f t="shared" si="294"/>
        <v>N</v>
      </c>
      <c r="S928" t="str">
        <f>""</f>
        <v/>
      </c>
      <c r="T928" t="str">
        <f>"1168.51"</f>
        <v>1168.51</v>
      </c>
      <c r="U928" t="str">
        <f>"66873.00"</f>
        <v>66873.00</v>
      </c>
      <c r="V928" t="str">
        <f>"66873.00"</f>
        <v>66873.00</v>
      </c>
      <c r="W928" t="str">
        <f t="shared" si="284"/>
        <v>2017</v>
      </c>
      <c r="X928" t="str">
        <f>"16.00"</f>
        <v>16.00</v>
      </c>
      <c r="Y928" t="str">
        <f>"1235.57"</f>
        <v>1235.57</v>
      </c>
      <c r="Z928" t="str">
        <f>""</f>
        <v/>
      </c>
      <c r="AA928" t="str">
        <f>"76709.00"</f>
        <v>76709.00</v>
      </c>
      <c r="AB928" t="str">
        <f t="shared" si="296"/>
        <v>Residential</v>
      </c>
      <c r="AC928" t="str">
        <f t="shared" si="295"/>
        <v>0</v>
      </c>
      <c r="AD928" t="str">
        <f>"4"</f>
        <v>4</v>
      </c>
      <c r="AE928" t="str">
        <f>"WOOD (INCLUDE STEEL STUDS)"</f>
        <v>WOOD (INCLUDE STEEL STUDS)</v>
      </c>
      <c r="AF928" t="str">
        <f>"001"</f>
        <v>001</v>
      </c>
      <c r="AG928" t="str">
        <f t="shared" si="288"/>
        <v>FL</v>
      </c>
      <c r="AH928" t="str">
        <f>"8480.00"</f>
        <v>8480.00</v>
      </c>
      <c r="AI928" t="str">
        <f>"11130.00"</f>
        <v>11130.00</v>
      </c>
      <c r="AJ928" t="str">
        <f>"C55-000-588-6517-1"</f>
        <v>C55-000-588-6517-1</v>
      </c>
      <c r="AK928" t="str">
        <f>"14702"</f>
        <v>14702</v>
      </c>
      <c r="AL928">
        <v>4</v>
      </c>
      <c r="AM928">
        <v>1070</v>
      </c>
      <c r="AN928">
        <v>1295.75</v>
      </c>
      <c r="AQ928" t="s">
        <v>9609</v>
      </c>
      <c r="AR928" t="s">
        <v>9609</v>
      </c>
      <c r="AS928" t="s">
        <v>9609</v>
      </c>
      <c r="AU928" t="s">
        <v>396</v>
      </c>
      <c r="AV928">
        <v>2017</v>
      </c>
      <c r="AW928" t="str">
        <f>"49-2N-25-4120-0007-0000 "</f>
        <v xml:space="preserve">49-2N-25-4120-0007-0000 </v>
      </c>
      <c r="AX928">
        <v>45084</v>
      </c>
      <c r="AZ928" t="s">
        <v>8974</v>
      </c>
      <c r="BA928" t="s">
        <v>1942</v>
      </c>
      <c r="BD928" t="s">
        <v>2785</v>
      </c>
      <c r="BE928" t="s">
        <v>393</v>
      </c>
      <c r="BF928">
        <v>32011</v>
      </c>
      <c r="BG928" t="s">
        <v>9610</v>
      </c>
      <c r="BH928" t="s">
        <v>2787</v>
      </c>
      <c r="BI928">
        <v>-81.825954015983299</v>
      </c>
      <c r="BJ928">
        <v>30.556759292551099</v>
      </c>
      <c r="BK928" t="s">
        <v>9611</v>
      </c>
      <c r="BM928" t="s">
        <v>2846</v>
      </c>
      <c r="BN928" t="s">
        <v>928</v>
      </c>
      <c r="BO928">
        <v>32011</v>
      </c>
      <c r="BP928" t="s">
        <v>404</v>
      </c>
      <c r="BQ928">
        <v>100</v>
      </c>
      <c r="BR928" t="s">
        <v>514</v>
      </c>
      <c r="BS928">
        <v>1001</v>
      </c>
      <c r="BT928" t="s">
        <v>515</v>
      </c>
      <c r="BU928">
        <v>1060</v>
      </c>
      <c r="BV928">
        <v>0</v>
      </c>
      <c r="BW928">
        <v>6562</v>
      </c>
      <c r="BX928" t="s">
        <v>407</v>
      </c>
      <c r="BZ928">
        <v>4</v>
      </c>
      <c r="CA928">
        <v>2007</v>
      </c>
      <c r="CC928">
        <v>1</v>
      </c>
      <c r="CD928">
        <v>2017</v>
      </c>
      <c r="CE928">
        <v>11130</v>
      </c>
      <c r="CF928">
        <v>65579</v>
      </c>
      <c r="CG928">
        <v>76709</v>
      </c>
      <c r="CH928">
        <v>2017</v>
      </c>
      <c r="CI928">
        <v>11130</v>
      </c>
      <c r="CJ928">
        <v>65579</v>
      </c>
      <c r="CK928">
        <v>76709</v>
      </c>
      <c r="CL928">
        <v>2017</v>
      </c>
      <c r="CM928">
        <v>1168.51</v>
      </c>
      <c r="CN928" s="1">
        <v>38131</v>
      </c>
      <c r="CZ928" s="1">
        <v>38131</v>
      </c>
      <c r="DD928" t="s">
        <v>2785</v>
      </c>
      <c r="DF928">
        <v>7</v>
      </c>
      <c r="DG928">
        <v>49</v>
      </c>
      <c r="DJ928" t="s">
        <v>9612</v>
      </c>
      <c r="DL928">
        <v>50503</v>
      </c>
      <c r="DM928" t="s">
        <v>9563</v>
      </c>
      <c r="DO928" t="s">
        <v>9613</v>
      </c>
      <c r="DP928">
        <v>0</v>
      </c>
      <c r="DQ928">
        <v>0</v>
      </c>
      <c r="DR928" t="s">
        <v>411</v>
      </c>
      <c r="DS928" t="b">
        <v>1</v>
      </c>
      <c r="DT928" t="s">
        <v>470</v>
      </c>
      <c r="DU928" t="s">
        <v>471</v>
      </c>
      <c r="DV928" t="s">
        <v>472</v>
      </c>
      <c r="DX928">
        <v>-9999</v>
      </c>
      <c r="DZ928" t="s">
        <v>447</v>
      </c>
      <c r="EA928" t="s">
        <v>448</v>
      </c>
      <c r="EB928" t="s">
        <v>742</v>
      </c>
      <c r="EC928">
        <v>20101217</v>
      </c>
      <c r="ED928" t="s">
        <v>474</v>
      </c>
      <c r="EF928">
        <v>654.1</v>
      </c>
      <c r="EG928">
        <v>654.1</v>
      </c>
      <c r="EH928" t="s">
        <v>451</v>
      </c>
      <c r="EI928">
        <v>20140731</v>
      </c>
      <c r="EJ928">
        <v>0</v>
      </c>
      <c r="EK928">
        <v>0</v>
      </c>
      <c r="EP928" t="s">
        <v>421</v>
      </c>
      <c r="EQ928" t="s">
        <v>452</v>
      </c>
      <c r="ER928">
        <v>2</v>
      </c>
      <c r="ES928">
        <v>7</v>
      </c>
      <c r="ET928">
        <v>2460.86</v>
      </c>
      <c r="EU928">
        <v>135.54</v>
      </c>
      <c r="EV928">
        <v>2596.4</v>
      </c>
      <c r="EW928" s="2">
        <v>43222</v>
      </c>
      <c r="EX928" s="1">
        <v>42879</v>
      </c>
      <c r="EY928">
        <v>2016</v>
      </c>
      <c r="EZ928">
        <v>1230.43</v>
      </c>
      <c r="FA928" t="s">
        <v>9614</v>
      </c>
      <c r="FB928">
        <v>0.25</v>
      </c>
      <c r="FC928" t="s">
        <v>424</v>
      </c>
      <c r="FD928" t="s">
        <v>454</v>
      </c>
      <c r="FF928">
        <v>12</v>
      </c>
      <c r="FG928">
        <v>2851116</v>
      </c>
      <c r="FH928" t="s">
        <v>480</v>
      </c>
      <c r="FJ928" s="1">
        <v>42879</v>
      </c>
      <c r="FK928">
        <v>2016</v>
      </c>
      <c r="FL928">
        <v>1230.43</v>
      </c>
      <c r="FM928" t="s">
        <v>9614</v>
      </c>
      <c r="FN928">
        <v>0.25</v>
      </c>
      <c r="FO928" t="s">
        <v>424</v>
      </c>
      <c r="FP928" t="s">
        <v>454</v>
      </c>
      <c r="FR928">
        <v>12</v>
      </c>
      <c r="FS928">
        <v>5265622</v>
      </c>
      <c r="FT928" t="s">
        <v>9615</v>
      </c>
      <c r="FV928" s="1">
        <v>42151</v>
      </c>
      <c r="FW928">
        <v>2014</v>
      </c>
      <c r="FX928">
        <v>1113.71</v>
      </c>
      <c r="FY928" t="s">
        <v>9616</v>
      </c>
      <c r="FZ928">
        <v>0.25</v>
      </c>
      <c r="GA928" t="s">
        <v>424</v>
      </c>
      <c r="GB928" t="s">
        <v>425</v>
      </c>
      <c r="GC928" s="1">
        <v>42475</v>
      </c>
      <c r="GD928">
        <v>11</v>
      </c>
      <c r="GE928">
        <v>2851116</v>
      </c>
      <c r="GF928" t="s">
        <v>480</v>
      </c>
      <c r="GG928" t="s">
        <v>458</v>
      </c>
      <c r="GH928" s="1">
        <v>42151</v>
      </c>
      <c r="GI928">
        <v>2014</v>
      </c>
      <c r="GJ928">
        <v>1113.71</v>
      </c>
      <c r="GK928" t="s">
        <v>9616</v>
      </c>
      <c r="GL928">
        <v>0.25</v>
      </c>
      <c r="GM928" t="s">
        <v>424</v>
      </c>
      <c r="GN928" t="s">
        <v>425</v>
      </c>
      <c r="GP928">
        <v>22</v>
      </c>
      <c r="GQ928">
        <v>4965655</v>
      </c>
      <c r="GR928" t="s">
        <v>9617</v>
      </c>
      <c r="GS928" t="s">
        <v>458</v>
      </c>
      <c r="GT928" s="1">
        <v>41787</v>
      </c>
      <c r="GU928">
        <v>2013</v>
      </c>
      <c r="GV928">
        <v>994.1</v>
      </c>
      <c r="GW928" t="s">
        <v>9618</v>
      </c>
      <c r="GX928">
        <v>0.25</v>
      </c>
      <c r="GY928" t="s">
        <v>424</v>
      </c>
      <c r="GZ928" t="s">
        <v>425</v>
      </c>
      <c r="HB928">
        <v>22</v>
      </c>
      <c r="HC928">
        <v>2407503</v>
      </c>
      <c r="HD928" t="s">
        <v>461</v>
      </c>
      <c r="HE928" t="s">
        <v>458</v>
      </c>
      <c r="HF928" s="1">
        <v>41423</v>
      </c>
      <c r="HG928">
        <v>2012</v>
      </c>
      <c r="HH928">
        <v>967.24</v>
      </c>
      <c r="HI928" t="s">
        <v>9619</v>
      </c>
      <c r="HJ928">
        <v>0.25</v>
      </c>
      <c r="HK928" t="s">
        <v>424</v>
      </c>
      <c r="HL928" t="s">
        <v>425</v>
      </c>
      <c r="HM928" s="1">
        <v>42093</v>
      </c>
      <c r="HN928">
        <v>22</v>
      </c>
      <c r="HO928">
        <v>15970</v>
      </c>
      <c r="HP928" t="s">
        <v>1435</v>
      </c>
      <c r="HR928" s="1">
        <v>41052</v>
      </c>
      <c r="HS928">
        <v>2011</v>
      </c>
      <c r="HT928">
        <v>935.76</v>
      </c>
      <c r="HU928" t="s">
        <v>9620</v>
      </c>
      <c r="HV928">
        <v>4.75</v>
      </c>
      <c r="HW928" t="s">
        <v>424</v>
      </c>
      <c r="HX928" t="s">
        <v>425</v>
      </c>
      <c r="HY928" s="1">
        <v>41725</v>
      </c>
      <c r="HZ928">
        <v>22</v>
      </c>
      <c r="IA928">
        <v>1625515</v>
      </c>
      <c r="IB928" t="s">
        <v>487</v>
      </c>
      <c r="ID928" s="1">
        <v>41052</v>
      </c>
      <c r="IE928">
        <v>2011</v>
      </c>
      <c r="IF928">
        <v>935.76</v>
      </c>
      <c r="IG928" t="s">
        <v>9620</v>
      </c>
      <c r="IH928">
        <v>4.75</v>
      </c>
      <c r="II928" t="s">
        <v>424</v>
      </c>
      <c r="IJ928" t="s">
        <v>425</v>
      </c>
      <c r="IL928">
        <v>22</v>
      </c>
      <c r="IM928">
        <v>10579</v>
      </c>
      <c r="IN928" t="s">
        <v>488</v>
      </c>
      <c r="IP928" s="1">
        <v>40688</v>
      </c>
      <c r="IQ928">
        <v>2010</v>
      </c>
      <c r="IR928">
        <v>934.93</v>
      </c>
      <c r="IS928" t="s">
        <v>9621</v>
      </c>
      <c r="IT928">
        <v>4</v>
      </c>
      <c r="IU928" t="s">
        <v>424</v>
      </c>
      <c r="IV928" t="s">
        <v>425</v>
      </c>
      <c r="IW928" s="1">
        <v>41313</v>
      </c>
      <c r="IX928">
        <v>21</v>
      </c>
      <c r="IY928">
        <v>11244</v>
      </c>
      <c r="IZ928" t="s">
        <v>3585</v>
      </c>
    </row>
    <row r="929" spans="1:249" x14ac:dyDescent="0.25">
      <c r="A929">
        <v>16485936</v>
      </c>
      <c r="B929">
        <v>928</v>
      </c>
      <c r="C929" t="s">
        <v>393</v>
      </c>
      <c r="D929" t="s">
        <v>394</v>
      </c>
      <c r="F929" t="str">
        <f>"49-2N-25-4140-0007-0000"</f>
        <v>49-2N-25-4140-0007-0000</v>
      </c>
      <c r="H929" t="str">
        <f>"JAN INVESTMENT INC"</f>
        <v>JAN INVESTMENT INC</v>
      </c>
      <c r="I929" t="str">
        <f>"PO BOX 455"</f>
        <v>PO BOX 455</v>
      </c>
      <c r="J929" t="str">
        <f t="shared" si="297"/>
        <v>CALLAHAN FL 32011</v>
      </c>
      <c r="K929" t="str">
        <f>"45097 MICKLER ST"</f>
        <v>45097 MICKLER ST</v>
      </c>
      <c r="L929" t="str">
        <f t="shared" si="291"/>
        <v>CALLAHAN FL 32011</v>
      </c>
      <c r="M929" t="str">
        <f>"LOT 7 PT OR 1101/1820 MCARTHURS SUB PB 3/16"</f>
        <v>LOT 7 PT OR 1101/1820 MCARTHURS SUB PB 3/16</v>
      </c>
      <c r="N929" t="str">
        <f>""</f>
        <v/>
      </c>
      <c r="O929" t="str">
        <f>"53943"</f>
        <v>53943</v>
      </c>
      <c r="P929" t="str">
        <f t="shared" si="283"/>
        <v>2017</v>
      </c>
      <c r="Q929" t="str">
        <f>""</f>
        <v/>
      </c>
      <c r="R929" t="str">
        <f t="shared" si="294"/>
        <v>N</v>
      </c>
      <c r="S929" t="str">
        <f>""</f>
        <v/>
      </c>
      <c r="T929" t="str">
        <f>"729.65"</f>
        <v>729.65</v>
      </c>
      <c r="U929" t="str">
        <f>"44213.00"</f>
        <v>44213.00</v>
      </c>
      <c r="V929" t="str">
        <f>"44213.00"</f>
        <v>44213.00</v>
      </c>
      <c r="W929" t="str">
        <f t="shared" si="284"/>
        <v>2017</v>
      </c>
      <c r="X929" t="str">
        <f>"13.75"</f>
        <v>13.75</v>
      </c>
      <c r="Y929" t="str">
        <f>"783.54"</f>
        <v>783.54</v>
      </c>
      <c r="Z929" t="str">
        <f>""</f>
        <v/>
      </c>
      <c r="AA929" t="str">
        <f>"44213.00"</f>
        <v>44213.00</v>
      </c>
      <c r="AB929" t="str">
        <f t="shared" si="296"/>
        <v>Residential</v>
      </c>
      <c r="AC929" t="str">
        <f t="shared" si="295"/>
        <v>0</v>
      </c>
      <c r="AD929" t="str">
        <f>"4"</f>
        <v>4</v>
      </c>
      <c r="AE929" t="str">
        <f>"WOOD (INCLUDE STEEL STUDS)"</f>
        <v>WOOD (INCLUDE STEEL STUDS)</v>
      </c>
      <c r="AF929" t="str">
        <f>"001"</f>
        <v>001</v>
      </c>
      <c r="AG929" t="str">
        <f t="shared" si="288"/>
        <v>FL</v>
      </c>
      <c r="AH929" t="str">
        <f>"14364.00"</f>
        <v>14364.00</v>
      </c>
      <c r="AI929" t="str">
        <f>"15141.00"</f>
        <v>15141.00</v>
      </c>
      <c r="AJ929" t="str">
        <f>"C55-000-588-6533-8"</f>
        <v>C55-000-588-6533-8</v>
      </c>
      <c r="AK929" t="str">
        <f>"14719"</f>
        <v>14719</v>
      </c>
      <c r="AL929">
        <v>4</v>
      </c>
      <c r="AM929">
        <v>1071</v>
      </c>
      <c r="AN929">
        <v>821.12</v>
      </c>
      <c r="AQ929" t="s">
        <v>9622</v>
      </c>
      <c r="AR929" t="s">
        <v>9622</v>
      </c>
      <c r="AS929" t="s">
        <v>9622</v>
      </c>
      <c r="AU929" t="s">
        <v>396</v>
      </c>
      <c r="AV929">
        <v>2017</v>
      </c>
      <c r="AW929" t="str">
        <f>"49-2N-25-4140-0007-0000 "</f>
        <v xml:space="preserve">49-2N-25-4140-0007-0000 </v>
      </c>
      <c r="AX929">
        <v>45097</v>
      </c>
      <c r="AZ929" t="s">
        <v>8974</v>
      </c>
      <c r="BA929" t="s">
        <v>1942</v>
      </c>
      <c r="BD929" t="s">
        <v>2785</v>
      </c>
      <c r="BE929" t="s">
        <v>393</v>
      </c>
      <c r="BF929">
        <v>32011</v>
      </c>
      <c r="BG929" t="s">
        <v>9623</v>
      </c>
      <c r="BH929" t="s">
        <v>2787</v>
      </c>
      <c r="BI929">
        <v>-81.826566329881999</v>
      </c>
      <c r="BJ929">
        <v>30.556646024182399</v>
      </c>
      <c r="BK929" t="s">
        <v>9624</v>
      </c>
      <c r="BM929" t="s">
        <v>1372</v>
      </c>
      <c r="BN929" t="s">
        <v>928</v>
      </c>
      <c r="BO929">
        <v>32011</v>
      </c>
      <c r="BP929" t="s">
        <v>404</v>
      </c>
      <c r="BQ929">
        <v>100</v>
      </c>
      <c r="BR929" t="s">
        <v>514</v>
      </c>
      <c r="BS929">
        <v>1001</v>
      </c>
      <c r="BT929" t="s">
        <v>515</v>
      </c>
      <c r="BU929">
        <v>840</v>
      </c>
      <c r="BV929">
        <v>1710</v>
      </c>
      <c r="BW929">
        <v>13081</v>
      </c>
      <c r="BX929" t="s">
        <v>407</v>
      </c>
      <c r="BZ929">
        <v>4</v>
      </c>
      <c r="CA929">
        <v>1940</v>
      </c>
      <c r="CB929">
        <v>1</v>
      </c>
      <c r="CC929">
        <v>1</v>
      </c>
      <c r="CD929">
        <v>2017</v>
      </c>
      <c r="CE929">
        <v>15141</v>
      </c>
      <c r="CF929">
        <v>29072</v>
      </c>
      <c r="CG929">
        <v>44213</v>
      </c>
      <c r="CH929">
        <v>2017</v>
      </c>
      <c r="CI929">
        <v>15141</v>
      </c>
      <c r="CJ929">
        <v>29072</v>
      </c>
      <c r="CK929">
        <v>44213</v>
      </c>
      <c r="CL929">
        <v>2017</v>
      </c>
      <c r="CM929">
        <v>729.65</v>
      </c>
      <c r="CN929" s="1">
        <v>37309</v>
      </c>
      <c r="CO929">
        <v>75000</v>
      </c>
      <c r="CV929">
        <v>70000</v>
      </c>
      <c r="CX929" t="s">
        <v>707</v>
      </c>
      <c r="CZ929" s="1">
        <v>37309</v>
      </c>
      <c r="DA929">
        <v>0</v>
      </c>
      <c r="DD929" t="s">
        <v>2785</v>
      </c>
      <c r="DF929">
        <v>7</v>
      </c>
      <c r="DG929">
        <v>49</v>
      </c>
      <c r="DJ929" t="s">
        <v>9625</v>
      </c>
      <c r="DL929">
        <v>50503</v>
      </c>
      <c r="DM929" t="s">
        <v>9563</v>
      </c>
      <c r="DO929" t="s">
        <v>9626</v>
      </c>
      <c r="DP929">
        <v>0</v>
      </c>
      <c r="DQ929">
        <v>0</v>
      </c>
      <c r="DR929" t="s">
        <v>411</v>
      </c>
      <c r="EP929" t="s">
        <v>421</v>
      </c>
      <c r="EQ929" t="s">
        <v>422</v>
      </c>
      <c r="ER929">
        <v>2</v>
      </c>
      <c r="ES929">
        <v>4</v>
      </c>
      <c r="ET929">
        <v>1617.24</v>
      </c>
      <c r="EU929">
        <v>93.36</v>
      </c>
      <c r="EV929">
        <v>1710.6</v>
      </c>
      <c r="EW929" s="2">
        <v>43222</v>
      </c>
      <c r="EX929" s="1">
        <v>42879</v>
      </c>
      <c r="EY929">
        <v>2016</v>
      </c>
      <c r="EZ929">
        <v>808.62</v>
      </c>
      <c r="FA929" t="s">
        <v>9627</v>
      </c>
      <c r="FB929">
        <v>0.25</v>
      </c>
      <c r="FC929" t="s">
        <v>424</v>
      </c>
      <c r="FD929" t="s">
        <v>454</v>
      </c>
      <c r="FF929">
        <v>12</v>
      </c>
      <c r="FG929">
        <v>11289</v>
      </c>
      <c r="FH929" t="s">
        <v>787</v>
      </c>
      <c r="FJ929" s="1">
        <v>42879</v>
      </c>
      <c r="FK929">
        <v>2016</v>
      </c>
      <c r="FL929">
        <v>808.62</v>
      </c>
      <c r="FM929" t="s">
        <v>9627</v>
      </c>
      <c r="FN929">
        <v>0.25</v>
      </c>
      <c r="FO929" t="s">
        <v>424</v>
      </c>
      <c r="FP929" t="s">
        <v>454</v>
      </c>
      <c r="FR929">
        <v>12</v>
      </c>
      <c r="FS929">
        <v>7139119</v>
      </c>
      <c r="FT929" t="s">
        <v>9628</v>
      </c>
      <c r="FV929" s="1">
        <v>41787</v>
      </c>
      <c r="FW929">
        <v>2013</v>
      </c>
      <c r="FX929">
        <v>741.96</v>
      </c>
      <c r="FY929" t="s">
        <v>9629</v>
      </c>
      <c r="FZ929">
        <v>0.25</v>
      </c>
      <c r="GA929" t="s">
        <v>424</v>
      </c>
      <c r="GB929" t="s">
        <v>425</v>
      </c>
      <c r="GC929" s="1">
        <v>42202</v>
      </c>
      <c r="GD929">
        <v>14</v>
      </c>
      <c r="GE929">
        <v>15259</v>
      </c>
      <c r="GF929" t="s">
        <v>891</v>
      </c>
      <c r="GH929" s="1">
        <v>41423</v>
      </c>
      <c r="GI929">
        <v>2012</v>
      </c>
      <c r="GJ929">
        <v>673.26</v>
      </c>
      <c r="GK929" t="s">
        <v>9630</v>
      </c>
      <c r="GL929">
        <v>0.25</v>
      </c>
      <c r="GM929" t="s">
        <v>424</v>
      </c>
      <c r="GN929" t="s">
        <v>425</v>
      </c>
      <c r="GO929" s="1">
        <v>41541</v>
      </c>
      <c r="GP929">
        <v>4</v>
      </c>
      <c r="GQ929">
        <v>15399</v>
      </c>
      <c r="GR929" t="s">
        <v>485</v>
      </c>
      <c r="GT929" s="1">
        <v>41052</v>
      </c>
      <c r="GU929">
        <v>2011</v>
      </c>
      <c r="GV929">
        <v>671.08</v>
      </c>
      <c r="GW929" t="s">
        <v>9631</v>
      </c>
      <c r="GX929">
        <v>4.75</v>
      </c>
      <c r="GY929" t="s">
        <v>424</v>
      </c>
      <c r="GZ929" t="s">
        <v>425</v>
      </c>
      <c r="HA929" s="1">
        <v>41541</v>
      </c>
      <c r="HB929">
        <v>16</v>
      </c>
      <c r="HC929">
        <v>1625515</v>
      </c>
      <c r="HD929" t="s">
        <v>487</v>
      </c>
      <c r="HF929" s="1">
        <v>41052</v>
      </c>
      <c r="HG929">
        <v>2011</v>
      </c>
      <c r="HH929">
        <v>671.08</v>
      </c>
      <c r="HI929" t="s">
        <v>9631</v>
      </c>
      <c r="HJ929">
        <v>4.75</v>
      </c>
      <c r="HK929" t="s">
        <v>424</v>
      </c>
      <c r="HL929" t="s">
        <v>425</v>
      </c>
      <c r="HN929">
        <v>22</v>
      </c>
      <c r="HO929">
        <v>10579</v>
      </c>
      <c r="HP929" t="s">
        <v>488</v>
      </c>
    </row>
    <row r="930" spans="1:249" x14ac:dyDescent="0.25">
      <c r="A930">
        <v>16485937</v>
      </c>
      <c r="B930">
        <v>929</v>
      </c>
      <c r="C930" t="s">
        <v>393</v>
      </c>
      <c r="D930" t="s">
        <v>394</v>
      </c>
      <c r="F930" t="str">
        <f>"49-2N-25-4140-0008-0000"</f>
        <v>49-2N-25-4140-0008-0000</v>
      </c>
      <c r="H930" t="str">
        <f>"JAN INVESTMENT INC"</f>
        <v>JAN INVESTMENT INC</v>
      </c>
      <c r="I930" t="str">
        <f>"PO BOX 455"</f>
        <v>PO BOX 455</v>
      </c>
      <c r="J930" t="str">
        <f t="shared" si="297"/>
        <v>CALLAHAN FL 32011</v>
      </c>
      <c r="K930" t="str">
        <f>"45105 MICKLER ST"</f>
        <v>45105 MICKLER ST</v>
      </c>
      <c r="L930" t="str">
        <f t="shared" si="291"/>
        <v>CALLAHAN FL 32011</v>
      </c>
      <c r="M930" t="str">
        <f>"LOT 8 PT OR 1101/1820 R106876 &amp; R106877 MCARTHURS SUB PB 3/16"</f>
        <v>LOT 8 PT OR 1101/1820 R106876 &amp; R106877 MCARTHURS SUB PB 3/16</v>
      </c>
      <c r="N930" t="str">
        <f>""</f>
        <v/>
      </c>
      <c r="O930" t="str">
        <f>"53944"</f>
        <v>53944</v>
      </c>
      <c r="P930" t="str">
        <f t="shared" si="283"/>
        <v>2017</v>
      </c>
      <c r="Q930" t="str">
        <f>""</f>
        <v/>
      </c>
      <c r="R930" t="str">
        <f t="shared" si="294"/>
        <v>N</v>
      </c>
      <c r="S930" t="str">
        <f>""</f>
        <v/>
      </c>
      <c r="T930" t="str">
        <f>"518.04"</f>
        <v>518.04</v>
      </c>
      <c r="U930" t="str">
        <f>"31391.00"</f>
        <v>31391.00</v>
      </c>
      <c r="V930" t="str">
        <f>"31391.00"</f>
        <v>31391.00</v>
      </c>
      <c r="W930" t="str">
        <f t="shared" si="284"/>
        <v>2017</v>
      </c>
      <c r="X930" t="str">
        <f>"13.75"</f>
        <v>13.75</v>
      </c>
      <c r="Y930" t="str">
        <f>"565.58"</f>
        <v>565.58</v>
      </c>
      <c r="Z930" t="str">
        <f>""</f>
        <v/>
      </c>
      <c r="AA930" t="str">
        <f>"31391.00"</f>
        <v>31391.00</v>
      </c>
      <c r="AB930" t="str">
        <f t="shared" si="296"/>
        <v>Residential</v>
      </c>
      <c r="AC930" t="str">
        <f t="shared" si="295"/>
        <v>0</v>
      </c>
      <c r="AD930" t="str">
        <f>"4"</f>
        <v>4</v>
      </c>
      <c r="AE930" t="str">
        <f>"WOOD (INCLUDE STEEL STUDS)"</f>
        <v>WOOD (INCLUDE STEEL STUDS)</v>
      </c>
      <c r="AF930" t="str">
        <f>"002"</f>
        <v>002</v>
      </c>
      <c r="AG930" t="str">
        <f t="shared" si="288"/>
        <v>FL</v>
      </c>
      <c r="AH930" t="str">
        <f>"17100.00"</f>
        <v>17100.00</v>
      </c>
      <c r="AI930" t="str">
        <f>"18025.00"</f>
        <v>18025.00</v>
      </c>
      <c r="AJ930" t="str">
        <f>"C55-000-588-6534-6"</f>
        <v>C55-000-588-6534-6</v>
      </c>
      <c r="AK930" t="str">
        <f>"14720"</f>
        <v>14720</v>
      </c>
      <c r="AL930">
        <v>4</v>
      </c>
      <c r="AM930">
        <v>1072</v>
      </c>
      <c r="AN930">
        <v>592.26</v>
      </c>
      <c r="AQ930" t="s">
        <v>9632</v>
      </c>
      <c r="AR930" t="s">
        <v>9632</v>
      </c>
      <c r="AS930" t="s">
        <v>9632</v>
      </c>
      <c r="AU930" t="s">
        <v>396</v>
      </c>
      <c r="AV930">
        <v>2017</v>
      </c>
      <c r="AW930" t="str">
        <f>"49-2N-25-4140-0008-0000 "</f>
        <v xml:space="preserve">49-2N-25-4140-0008-0000 </v>
      </c>
      <c r="AX930">
        <v>45105</v>
      </c>
      <c r="AZ930" t="s">
        <v>8974</v>
      </c>
      <c r="BA930" t="s">
        <v>1942</v>
      </c>
      <c r="BD930" t="s">
        <v>2785</v>
      </c>
      <c r="BE930" t="s">
        <v>393</v>
      </c>
      <c r="BF930">
        <v>32011</v>
      </c>
      <c r="BG930" t="s">
        <v>9633</v>
      </c>
      <c r="BH930" t="s">
        <v>2787</v>
      </c>
      <c r="BI930">
        <v>-81.826805044912206</v>
      </c>
      <c r="BJ930">
        <v>30.5567910075379</v>
      </c>
      <c r="BK930" t="s">
        <v>9624</v>
      </c>
      <c r="BM930" t="s">
        <v>1372</v>
      </c>
      <c r="BN930" t="s">
        <v>928</v>
      </c>
      <c r="BO930">
        <v>32011</v>
      </c>
      <c r="BP930" t="s">
        <v>404</v>
      </c>
      <c r="BQ930">
        <v>200</v>
      </c>
      <c r="BR930" t="s">
        <v>405</v>
      </c>
      <c r="BS930">
        <v>1006</v>
      </c>
      <c r="BT930" t="s">
        <v>406</v>
      </c>
      <c r="BU930">
        <v>1000</v>
      </c>
      <c r="BV930">
        <v>1710</v>
      </c>
      <c r="BW930">
        <v>15648</v>
      </c>
      <c r="BX930" t="s">
        <v>407</v>
      </c>
      <c r="BZ930">
        <v>4</v>
      </c>
      <c r="CA930">
        <v>1972</v>
      </c>
      <c r="CB930">
        <v>1</v>
      </c>
      <c r="CC930">
        <v>1</v>
      </c>
      <c r="CD930">
        <v>2017</v>
      </c>
      <c r="CE930">
        <v>18025</v>
      </c>
      <c r="CF930">
        <v>13366</v>
      </c>
      <c r="CG930">
        <v>31391</v>
      </c>
      <c r="CH930">
        <v>2017</v>
      </c>
      <c r="CI930">
        <v>18025</v>
      </c>
      <c r="CJ930">
        <v>13366</v>
      </c>
      <c r="CK930">
        <v>31391</v>
      </c>
      <c r="CL930">
        <v>2017</v>
      </c>
      <c r="CM930">
        <v>518.04</v>
      </c>
      <c r="CN930" s="1">
        <v>37608</v>
      </c>
      <c r="CZ930" s="1">
        <v>37608</v>
      </c>
      <c r="DD930" t="s">
        <v>2785</v>
      </c>
      <c r="DF930">
        <v>8</v>
      </c>
      <c r="DG930">
        <v>49</v>
      </c>
      <c r="DL930">
        <v>50503</v>
      </c>
      <c r="DM930" t="s">
        <v>9563</v>
      </c>
      <c r="DO930" t="s">
        <v>9634</v>
      </c>
      <c r="DP930">
        <v>0</v>
      </c>
      <c r="DQ930">
        <v>0</v>
      </c>
      <c r="DR930" t="s">
        <v>411</v>
      </c>
      <c r="EP930" t="s">
        <v>421</v>
      </c>
      <c r="EQ930" t="s">
        <v>422</v>
      </c>
      <c r="ER930">
        <v>2</v>
      </c>
      <c r="ES930">
        <v>3</v>
      </c>
      <c r="ET930">
        <v>1178.32</v>
      </c>
      <c r="EU930">
        <v>71.42</v>
      </c>
      <c r="EV930">
        <v>1249.74</v>
      </c>
      <c r="EW930" s="2">
        <v>43222</v>
      </c>
      <c r="EX930" s="1">
        <v>42879</v>
      </c>
      <c r="EY930">
        <v>2016</v>
      </c>
      <c r="EZ930">
        <v>589.16</v>
      </c>
      <c r="FA930" t="s">
        <v>9635</v>
      </c>
      <c r="FB930">
        <v>0.25</v>
      </c>
      <c r="FC930" t="s">
        <v>424</v>
      </c>
      <c r="FD930" t="s">
        <v>454</v>
      </c>
      <c r="FF930">
        <v>12</v>
      </c>
      <c r="FG930">
        <v>2851116</v>
      </c>
      <c r="FH930" t="s">
        <v>480</v>
      </c>
      <c r="FJ930" s="1">
        <v>42879</v>
      </c>
      <c r="FK930">
        <v>2016</v>
      </c>
      <c r="FL930">
        <v>589.16</v>
      </c>
      <c r="FM930" t="s">
        <v>9635</v>
      </c>
      <c r="FN930">
        <v>0.25</v>
      </c>
      <c r="FO930" t="s">
        <v>424</v>
      </c>
      <c r="FP930" t="s">
        <v>454</v>
      </c>
      <c r="FR930">
        <v>12</v>
      </c>
      <c r="FS930">
        <v>4880848</v>
      </c>
      <c r="FT930" t="s">
        <v>9636</v>
      </c>
      <c r="FV930" s="1">
        <v>41787</v>
      </c>
      <c r="FW930">
        <v>2013</v>
      </c>
      <c r="FX930">
        <v>624.26</v>
      </c>
      <c r="FY930" t="s">
        <v>9637</v>
      </c>
      <c r="FZ930">
        <v>0.25</v>
      </c>
      <c r="GA930" t="s">
        <v>424</v>
      </c>
      <c r="GB930" t="s">
        <v>425</v>
      </c>
      <c r="GC930" s="1">
        <v>42202</v>
      </c>
      <c r="GD930">
        <v>14</v>
      </c>
      <c r="GE930">
        <v>13026</v>
      </c>
      <c r="GF930" t="s">
        <v>2129</v>
      </c>
      <c r="GH930" s="1">
        <v>41423</v>
      </c>
      <c r="GI930">
        <v>2012</v>
      </c>
      <c r="GJ930">
        <v>632.91</v>
      </c>
      <c r="GK930" t="s">
        <v>9638</v>
      </c>
      <c r="GL930">
        <v>0.25</v>
      </c>
      <c r="GM930" t="s">
        <v>424</v>
      </c>
      <c r="GN930" t="s">
        <v>425</v>
      </c>
      <c r="GO930" s="1">
        <v>41541</v>
      </c>
      <c r="GP930">
        <v>4</v>
      </c>
      <c r="GQ930">
        <v>62</v>
      </c>
      <c r="GR930" t="s">
        <v>463</v>
      </c>
      <c r="GT930" s="1">
        <v>41052</v>
      </c>
      <c r="GU930">
        <v>2011</v>
      </c>
      <c r="GV930">
        <v>676.61</v>
      </c>
      <c r="GW930" t="s">
        <v>9639</v>
      </c>
      <c r="GX930">
        <v>5</v>
      </c>
      <c r="GY930" t="s">
        <v>424</v>
      </c>
      <c r="GZ930" t="s">
        <v>425</v>
      </c>
      <c r="HA930" s="1">
        <v>41541</v>
      </c>
      <c r="HB930">
        <v>16</v>
      </c>
      <c r="HC930">
        <v>62</v>
      </c>
      <c r="HD930" t="s">
        <v>463</v>
      </c>
    </row>
    <row r="931" spans="1:249" x14ac:dyDescent="0.25">
      <c r="A931">
        <v>16485938</v>
      </c>
      <c r="B931">
        <v>930</v>
      </c>
      <c r="C931" t="s">
        <v>393</v>
      </c>
      <c r="D931" t="s">
        <v>394</v>
      </c>
      <c r="F931" t="str">
        <f>"49-2N-25-4140-0017-0000"</f>
        <v>49-2N-25-4140-0017-0000</v>
      </c>
      <c r="H931" t="str">
        <f>"MURPHY RONALD JASON &amp; MURPHY SHARON A (JT/RS)"</f>
        <v>MURPHY RONALD JASON &amp; MURPHY SHARON A (JT/RS)</v>
      </c>
      <c r="I931" t="str">
        <f>"54040 VONTZ CIRCLE"</f>
        <v>54040 VONTZ CIRCLE</v>
      </c>
      <c r="J931" t="str">
        <f t="shared" si="297"/>
        <v>CALLAHAN FL 32011</v>
      </c>
      <c r="K931" t="str">
        <f>"45138 BROWN ST"</f>
        <v>45138 BROWN ST</v>
      </c>
      <c r="L931" t="str">
        <f t="shared" si="291"/>
        <v>CALLAHAN FL 32011</v>
      </c>
      <c r="M931" t="str">
        <f>"LOT 17 PT OR 1943/1510 MCARTHUR SUB PB 3/16"</f>
        <v>LOT 17 PT OR 1943/1510 MCARTHUR SUB PB 3/16</v>
      </c>
      <c r="N931" t="str">
        <f>""</f>
        <v/>
      </c>
      <c r="O931" t="str">
        <f>"57881"</f>
        <v>57881</v>
      </c>
      <c r="P931" t="str">
        <f t="shared" si="283"/>
        <v>2017</v>
      </c>
      <c r="Q931" t="str">
        <f>""</f>
        <v/>
      </c>
      <c r="R931" t="str">
        <f t="shared" si="294"/>
        <v>N</v>
      </c>
      <c r="S931" t="str">
        <f>""</f>
        <v/>
      </c>
      <c r="T931" t="str">
        <f>"300.36"</f>
        <v>300.36</v>
      </c>
      <c r="U931" t="str">
        <f>"18200.00"</f>
        <v>18200.00</v>
      </c>
      <c r="V931" t="str">
        <f>"18200.00"</f>
        <v>18200.00</v>
      </c>
      <c r="W931" t="str">
        <f t="shared" si="284"/>
        <v>2017</v>
      </c>
      <c r="X931" t="str">
        <f>""</f>
        <v/>
      </c>
      <c r="Y931" t="str">
        <f>"341.37"</f>
        <v>341.37</v>
      </c>
      <c r="Z931" t="str">
        <f>""</f>
        <v/>
      </c>
      <c r="AA931" t="str">
        <f>"18200.00"</f>
        <v>18200.00</v>
      </c>
      <c r="AB931" t="str">
        <f t="shared" si="296"/>
        <v>Residential</v>
      </c>
      <c r="AC931" t="str">
        <f t="shared" si="295"/>
        <v>0</v>
      </c>
      <c r="AD931" t="str">
        <f>""</f>
        <v/>
      </c>
      <c r="AE931" t="str">
        <f>""</f>
        <v/>
      </c>
      <c r="AF931" t="str">
        <f>"000"</f>
        <v>000</v>
      </c>
      <c r="AG931" t="str">
        <f t="shared" si="288"/>
        <v>FL</v>
      </c>
      <c r="AH931" t="str">
        <f>"17100.00"</f>
        <v>17100.00</v>
      </c>
      <c r="AI931" t="str">
        <f>"18200.00"</f>
        <v>18200.00</v>
      </c>
      <c r="AJ931" t="str">
        <f>"C55-001-092-8425-7"</f>
        <v>C55-001-092-8425-7</v>
      </c>
      <c r="AK931" t="str">
        <f>"14729"</f>
        <v>14729</v>
      </c>
      <c r="AL931">
        <v>4</v>
      </c>
      <c r="AM931">
        <v>1075</v>
      </c>
      <c r="AN931">
        <v>356.84</v>
      </c>
      <c r="AQ931" t="s">
        <v>9640</v>
      </c>
      <c r="AR931" t="s">
        <v>9640</v>
      </c>
      <c r="AS931" t="s">
        <v>9640</v>
      </c>
      <c r="AU931" t="s">
        <v>396</v>
      </c>
      <c r="AV931">
        <v>2017</v>
      </c>
      <c r="AW931" t="str">
        <f>"49-2N-25-4140-0017-0000 "</f>
        <v xml:space="preserve">49-2N-25-4140-0017-0000 </v>
      </c>
      <c r="AX931">
        <v>45138</v>
      </c>
      <c r="AZ931" t="s">
        <v>9641</v>
      </c>
      <c r="BA931" t="s">
        <v>1942</v>
      </c>
      <c r="BD931" t="s">
        <v>2785</v>
      </c>
      <c r="BE931" t="s">
        <v>393</v>
      </c>
      <c r="BF931">
        <v>32011</v>
      </c>
      <c r="BG931" t="s">
        <v>9642</v>
      </c>
      <c r="BH931" t="s">
        <v>2787</v>
      </c>
      <c r="BK931" t="s">
        <v>9643</v>
      </c>
      <c r="BM931" t="s">
        <v>9644</v>
      </c>
      <c r="BN931" t="s">
        <v>928</v>
      </c>
      <c r="BO931">
        <v>32011</v>
      </c>
      <c r="BQ931">
        <v>0</v>
      </c>
      <c r="BR931" t="s">
        <v>491</v>
      </c>
      <c r="BS931">
        <v>8001</v>
      </c>
      <c r="BT931" t="s">
        <v>492</v>
      </c>
      <c r="BW931">
        <v>17100</v>
      </c>
      <c r="BX931" t="s">
        <v>407</v>
      </c>
      <c r="CD931">
        <v>2017</v>
      </c>
      <c r="CE931">
        <v>18200</v>
      </c>
      <c r="CG931">
        <v>18200</v>
      </c>
      <c r="CH931">
        <v>2017</v>
      </c>
      <c r="CI931">
        <v>18200</v>
      </c>
      <c r="CK931">
        <v>18200</v>
      </c>
      <c r="CL931">
        <v>2017</v>
      </c>
      <c r="CM931">
        <v>300.36</v>
      </c>
      <c r="DD931" t="s">
        <v>2785</v>
      </c>
      <c r="DM931" t="s">
        <v>9563</v>
      </c>
      <c r="DO931" t="s">
        <v>9645</v>
      </c>
    </row>
    <row r="932" spans="1:249" x14ac:dyDescent="0.25">
      <c r="A932">
        <v>16485939</v>
      </c>
      <c r="B932">
        <v>931</v>
      </c>
      <c r="C932" t="s">
        <v>393</v>
      </c>
      <c r="D932" t="s">
        <v>394</v>
      </c>
      <c r="F932" t="str">
        <f>"49-2N-25-4140-0019-0000"</f>
        <v>49-2N-25-4140-0019-0000</v>
      </c>
      <c r="H932" t="str">
        <f>"TANNER KENNETH EDEE JR"</f>
        <v>TANNER KENNETH EDEE JR</v>
      </c>
      <c r="I932" t="str">
        <f>"45102 BROWN ST"</f>
        <v>45102 BROWN ST</v>
      </c>
      <c r="J932" t="str">
        <f t="shared" si="297"/>
        <v>CALLAHAN FL 32011</v>
      </c>
      <c r="K932" t="str">
        <f>"45102 BROWN ST"</f>
        <v>45102 BROWN ST</v>
      </c>
      <c r="L932" t="str">
        <f t="shared" si="291"/>
        <v>CALLAHAN FL 32011</v>
      </c>
      <c r="M932" t="str">
        <f>"LOTS 19 &amp; 20 IN OR 1048/1262 2007 KING DW/MH MCARTHUR SUB PB 3/16"</f>
        <v>LOTS 19 &amp; 20 IN OR 1048/1262 2007 KING DW/MH MCARTHUR SUB PB 3/16</v>
      </c>
      <c r="N932" t="str">
        <f>""</f>
        <v/>
      </c>
      <c r="O932" t="str">
        <f>"53953"</f>
        <v>53953</v>
      </c>
      <c r="P932" t="str">
        <f t="shared" si="283"/>
        <v>2017</v>
      </c>
      <c r="Q932" t="str">
        <f>""</f>
        <v/>
      </c>
      <c r="R932" t="str">
        <f t="shared" si="294"/>
        <v>N</v>
      </c>
      <c r="S932" t="str">
        <f>""</f>
        <v/>
      </c>
      <c r="T932" t="str">
        <f>"1498.07"</f>
        <v>1498.07</v>
      </c>
      <c r="U932" t="str">
        <f>"90775.00"</f>
        <v>90775.00</v>
      </c>
      <c r="V932" t="str">
        <f>"90775.00"</f>
        <v>90775.00</v>
      </c>
      <c r="W932" t="str">
        <f t="shared" si="284"/>
        <v>2017</v>
      </c>
      <c r="X932" t="str">
        <f>"21.33"</f>
        <v>21.33</v>
      </c>
      <c r="Y932" t="str">
        <f>"811.53"</f>
        <v>811.53</v>
      </c>
      <c r="Z932" t="str">
        <f>""</f>
        <v/>
      </c>
      <c r="AA932" t="str">
        <f>"90775.00"</f>
        <v>90775.00</v>
      </c>
      <c r="AB932" t="str">
        <f t="shared" si="296"/>
        <v>Residential</v>
      </c>
      <c r="AC932" t="str">
        <f t="shared" si="295"/>
        <v>0</v>
      </c>
      <c r="AD932" t="str">
        <f>"4"</f>
        <v>4</v>
      </c>
      <c r="AE932" t="str">
        <f>"WOOD (INCLUDE STEEL STUDS)"</f>
        <v>WOOD (INCLUDE STEEL STUDS)</v>
      </c>
      <c r="AF932" t="str">
        <f>"002"</f>
        <v>002</v>
      </c>
      <c r="AG932" t="str">
        <f t="shared" si="288"/>
        <v>FL</v>
      </c>
      <c r="AH932" t="str">
        <f>"31464.00"</f>
        <v>31464.00</v>
      </c>
      <c r="AI932" t="str">
        <f>"33488.00"</f>
        <v>33488.00</v>
      </c>
      <c r="AJ932" t="str">
        <f>"C55-000-588-6541-1"</f>
        <v>C55-000-588-6541-1</v>
      </c>
      <c r="AK932" t="str">
        <f>"14731"</f>
        <v>14731</v>
      </c>
      <c r="AL932">
        <v>4</v>
      </c>
      <c r="AM932">
        <v>1076</v>
      </c>
      <c r="AN932">
        <v>850.51</v>
      </c>
      <c r="AQ932" t="s">
        <v>9646</v>
      </c>
      <c r="AR932" t="s">
        <v>9646</v>
      </c>
      <c r="AS932" t="s">
        <v>9646</v>
      </c>
      <c r="AU932" t="s">
        <v>396</v>
      </c>
      <c r="AV932">
        <v>2017</v>
      </c>
      <c r="AW932" t="str">
        <f>"49-2N-25-4140-0019-0000 "</f>
        <v xml:space="preserve">49-2N-25-4140-0019-0000 </v>
      </c>
      <c r="AX932">
        <v>45102</v>
      </c>
      <c r="AZ932" t="s">
        <v>9641</v>
      </c>
      <c r="BA932" t="s">
        <v>1942</v>
      </c>
      <c r="BD932" t="s">
        <v>2785</v>
      </c>
      <c r="BE932" t="s">
        <v>393</v>
      </c>
      <c r="BF932">
        <v>32011</v>
      </c>
      <c r="BG932" t="s">
        <v>9647</v>
      </c>
      <c r="BH932" t="s">
        <v>2787</v>
      </c>
      <c r="BI932">
        <v>-81.826598558106895</v>
      </c>
      <c r="BJ932">
        <v>30.556140013449099</v>
      </c>
      <c r="BK932" t="s">
        <v>9648</v>
      </c>
      <c r="BM932" t="s">
        <v>9647</v>
      </c>
      <c r="BN932" t="s">
        <v>928</v>
      </c>
      <c r="BO932">
        <v>32011</v>
      </c>
      <c r="BP932" t="s">
        <v>416</v>
      </c>
      <c r="BQ932">
        <v>200</v>
      </c>
      <c r="BR932" t="s">
        <v>405</v>
      </c>
      <c r="BS932">
        <v>1006</v>
      </c>
      <c r="BT932" t="s">
        <v>406</v>
      </c>
      <c r="BU932">
        <v>1840</v>
      </c>
      <c r="BV932">
        <v>1710</v>
      </c>
      <c r="BW932">
        <v>28730</v>
      </c>
      <c r="BX932" t="s">
        <v>407</v>
      </c>
      <c r="BZ932">
        <v>4</v>
      </c>
      <c r="CA932">
        <v>2008</v>
      </c>
      <c r="CC932">
        <v>1</v>
      </c>
      <c r="CD932">
        <v>2017</v>
      </c>
      <c r="CE932">
        <v>33488</v>
      </c>
      <c r="CF932">
        <v>57287</v>
      </c>
      <c r="CG932">
        <v>90775</v>
      </c>
      <c r="CH932">
        <v>2017</v>
      </c>
      <c r="CI932">
        <v>33488</v>
      </c>
      <c r="CJ932">
        <v>57287</v>
      </c>
      <c r="CK932">
        <v>90775</v>
      </c>
      <c r="CL932">
        <v>2017</v>
      </c>
      <c r="CM932">
        <v>1498.07</v>
      </c>
      <c r="CN932" s="1">
        <v>37354</v>
      </c>
      <c r="CZ932" s="1">
        <v>37354</v>
      </c>
      <c r="DD932" t="s">
        <v>2785</v>
      </c>
      <c r="DG932">
        <v>49</v>
      </c>
      <c r="DL932">
        <v>50503</v>
      </c>
      <c r="DM932" t="s">
        <v>9563</v>
      </c>
      <c r="DO932" t="s">
        <v>9649</v>
      </c>
      <c r="DP932">
        <v>0</v>
      </c>
      <c r="DQ932">
        <v>0</v>
      </c>
      <c r="DR932" t="s">
        <v>411</v>
      </c>
      <c r="DS932" t="b">
        <v>1</v>
      </c>
      <c r="DT932" t="s">
        <v>470</v>
      </c>
      <c r="DU932" t="s">
        <v>471</v>
      </c>
      <c r="DV932" t="s">
        <v>472</v>
      </c>
      <c r="DX932">
        <v>-9999</v>
      </c>
      <c r="DZ932" t="s">
        <v>447</v>
      </c>
      <c r="EA932" t="s">
        <v>448</v>
      </c>
      <c r="EB932" t="s">
        <v>742</v>
      </c>
      <c r="EC932">
        <v>20101217</v>
      </c>
      <c r="ED932" t="s">
        <v>474</v>
      </c>
      <c r="EF932">
        <v>531.20000000000005</v>
      </c>
      <c r="EG932">
        <v>531.20000000000005</v>
      </c>
      <c r="EI932">
        <v>20160407</v>
      </c>
      <c r="EJ932">
        <v>0</v>
      </c>
      <c r="EK932">
        <v>0</v>
      </c>
      <c r="EP932" t="s">
        <v>421</v>
      </c>
      <c r="EQ932" t="s">
        <v>422</v>
      </c>
      <c r="ER932">
        <v>2</v>
      </c>
      <c r="ES932">
        <v>4</v>
      </c>
      <c r="ET932">
        <v>3409.14</v>
      </c>
      <c r="EU932">
        <v>182.96</v>
      </c>
      <c r="EV932">
        <v>3592.1</v>
      </c>
      <c r="EW932" s="2">
        <v>43222</v>
      </c>
      <c r="EX932" s="1">
        <v>42515</v>
      </c>
      <c r="EY932">
        <v>2015</v>
      </c>
      <c r="EZ932">
        <v>1704.57</v>
      </c>
      <c r="FA932" t="s">
        <v>9650</v>
      </c>
      <c r="FB932">
        <v>0.25</v>
      </c>
      <c r="FC932" t="s">
        <v>424</v>
      </c>
      <c r="FD932" t="s">
        <v>454</v>
      </c>
      <c r="FF932">
        <v>24</v>
      </c>
      <c r="FG932">
        <v>2851116</v>
      </c>
      <c r="FH932" t="s">
        <v>480</v>
      </c>
      <c r="FJ932" s="1">
        <v>42515</v>
      </c>
      <c r="FK932">
        <v>2015</v>
      </c>
      <c r="FL932">
        <v>1704.57</v>
      </c>
      <c r="FM932" t="s">
        <v>9650</v>
      </c>
      <c r="FN932">
        <v>0.25</v>
      </c>
      <c r="FO932" t="s">
        <v>424</v>
      </c>
      <c r="FP932" t="s">
        <v>454</v>
      </c>
      <c r="FR932">
        <v>24</v>
      </c>
      <c r="FS932">
        <v>5087496</v>
      </c>
      <c r="FT932" t="s">
        <v>9651</v>
      </c>
      <c r="FV932" s="1">
        <v>42151</v>
      </c>
      <c r="FW932">
        <v>2014</v>
      </c>
      <c r="FX932">
        <v>895.45</v>
      </c>
      <c r="FY932" t="s">
        <v>9652</v>
      </c>
      <c r="FZ932">
        <v>0.25</v>
      </c>
      <c r="GA932" t="s">
        <v>424</v>
      </c>
      <c r="GB932" t="s">
        <v>425</v>
      </c>
      <c r="GC932" s="1">
        <v>42825</v>
      </c>
      <c r="GD932">
        <v>22</v>
      </c>
      <c r="GE932">
        <v>4975594</v>
      </c>
      <c r="GF932" t="s">
        <v>457</v>
      </c>
      <c r="GH932" s="1">
        <v>42151</v>
      </c>
      <c r="GI932">
        <v>2014</v>
      </c>
      <c r="GJ932">
        <v>895.45</v>
      </c>
      <c r="GK932" t="s">
        <v>9652</v>
      </c>
      <c r="GL932">
        <v>0.25</v>
      </c>
      <c r="GM932" t="s">
        <v>424</v>
      </c>
      <c r="GN932" t="s">
        <v>425</v>
      </c>
      <c r="GP932">
        <v>22</v>
      </c>
      <c r="GQ932">
        <v>6560121</v>
      </c>
      <c r="GR932" t="s">
        <v>9653</v>
      </c>
      <c r="GT932" s="1">
        <v>41787</v>
      </c>
      <c r="GU932">
        <v>2013</v>
      </c>
      <c r="GV932">
        <v>902.03</v>
      </c>
      <c r="GW932" t="s">
        <v>9654</v>
      </c>
      <c r="GX932">
        <v>0.25</v>
      </c>
      <c r="GY932" t="s">
        <v>424</v>
      </c>
      <c r="GZ932" t="s">
        <v>425</v>
      </c>
      <c r="HA932" s="1">
        <v>42401</v>
      </c>
      <c r="HB932">
        <v>21</v>
      </c>
      <c r="HC932">
        <v>2407503</v>
      </c>
      <c r="HD932" t="s">
        <v>461</v>
      </c>
      <c r="HF932" s="1">
        <v>41423</v>
      </c>
      <c r="HG932">
        <v>2012</v>
      </c>
      <c r="HH932">
        <v>932.02</v>
      </c>
      <c r="HI932" t="s">
        <v>9655</v>
      </c>
      <c r="HJ932">
        <v>0.25</v>
      </c>
      <c r="HK932" t="s">
        <v>424</v>
      </c>
      <c r="HL932" t="s">
        <v>425</v>
      </c>
      <c r="HM932" s="1">
        <v>42062</v>
      </c>
      <c r="HN932">
        <v>21</v>
      </c>
      <c r="HO932">
        <v>15399</v>
      </c>
      <c r="HP932" t="s">
        <v>485</v>
      </c>
    </row>
    <row r="933" spans="1:249" x14ac:dyDescent="0.25">
      <c r="A933">
        <v>16485940</v>
      </c>
      <c r="B933">
        <v>932</v>
      </c>
      <c r="C933" t="s">
        <v>393</v>
      </c>
      <c r="D933" t="s">
        <v>394</v>
      </c>
      <c r="F933" t="str">
        <f>"49-2N-25-4150-000B-0011"</f>
        <v>49-2N-25-4150-000B-0011</v>
      </c>
      <c r="H933" t="str">
        <f>"SIKES J F &amp; A N"</f>
        <v>SIKES J F &amp; A N</v>
      </c>
      <c r="I933" t="str">
        <f>"45290 ROBINWOOD CIRCLE"</f>
        <v>45290 ROBINWOOD CIRCLE</v>
      </c>
      <c r="J933" t="str">
        <f t="shared" si="297"/>
        <v>CALLAHAN FL 32011</v>
      </c>
      <c r="K933" t="str">
        <f t="shared" ref="K933:K939" si="298">"ROBINWOOD CIR"</f>
        <v>ROBINWOOD CIR</v>
      </c>
      <c r="L933" t="str">
        <f t="shared" si="291"/>
        <v>CALLAHAN FL 32011</v>
      </c>
      <c r="M933" t="str">
        <f>"BLOCK B PT OF LOTS 1 &amp; 3 IN OR 929/313 ROBINWOOD ESTATES PB 5/333"</f>
        <v>BLOCK B PT OF LOTS 1 &amp; 3 IN OR 929/313 ROBINWOOD ESTATES PB 5/333</v>
      </c>
      <c r="N933" t="str">
        <f>""</f>
        <v/>
      </c>
      <c r="O933" t="str">
        <f>"53980"</f>
        <v>53980</v>
      </c>
      <c r="P933" t="str">
        <f t="shared" si="283"/>
        <v>2017</v>
      </c>
      <c r="Q933" t="str">
        <f>""</f>
        <v/>
      </c>
      <c r="R933" t="str">
        <f t="shared" si="294"/>
        <v>N</v>
      </c>
      <c r="S933" t="str">
        <f>""</f>
        <v/>
      </c>
      <c r="T933" t="str">
        <f>"24.76"</f>
        <v>24.76</v>
      </c>
      <c r="U933" t="str">
        <f>"1500.00"</f>
        <v>1500.00</v>
      </c>
      <c r="V933" t="str">
        <f>"1500.00"</f>
        <v>1500.00</v>
      </c>
      <c r="W933" t="str">
        <f t="shared" si="284"/>
        <v>2017</v>
      </c>
      <c r="X933" t="str">
        <f>""</f>
        <v/>
      </c>
      <c r="Y933" t="str">
        <f>"57.50"</f>
        <v>57.50</v>
      </c>
      <c r="Z933" t="str">
        <f>""</f>
        <v/>
      </c>
      <c r="AA933" t="str">
        <f>"1500.00"</f>
        <v>1500.00</v>
      </c>
      <c r="AB933" t="str">
        <f t="shared" si="296"/>
        <v>Residential</v>
      </c>
      <c r="AC933" t="str">
        <f t="shared" si="295"/>
        <v>0</v>
      </c>
      <c r="AD933" t="str">
        <f>""</f>
        <v/>
      </c>
      <c r="AE933" t="str">
        <f>""</f>
        <v/>
      </c>
      <c r="AF933" t="str">
        <f t="shared" ref="AF933:AF945" si="299">"000"</f>
        <v>000</v>
      </c>
      <c r="AG933" t="str">
        <f t="shared" si="288"/>
        <v>FL</v>
      </c>
      <c r="AH933" t="str">
        <f>"-"</f>
        <v>-</v>
      </c>
      <c r="AI933" t="str">
        <f>"1500.00"</f>
        <v>1500.00</v>
      </c>
      <c r="AJ933" t="str">
        <f>"C55-000-588-6565-0"</f>
        <v>C55-000-588-6565-0</v>
      </c>
      <c r="AK933" t="str">
        <f>"14755"</f>
        <v>14755</v>
      </c>
      <c r="AL933">
        <v>4</v>
      </c>
      <c r="AM933">
        <v>1078</v>
      </c>
      <c r="AN933">
        <v>58.78</v>
      </c>
      <c r="AQ933" t="s">
        <v>9656</v>
      </c>
      <c r="AR933" t="s">
        <v>9656</v>
      </c>
      <c r="AS933" t="s">
        <v>9656</v>
      </c>
      <c r="AU933" t="s">
        <v>396</v>
      </c>
      <c r="AV933">
        <v>2017</v>
      </c>
      <c r="AW933" t="str">
        <f>"49-2N-25-4150-000B-0011 "</f>
        <v xml:space="preserve">49-2N-25-4150-000B-0011 </v>
      </c>
      <c r="AZ933" t="s">
        <v>9183</v>
      </c>
      <c r="BA933" t="s">
        <v>1799</v>
      </c>
      <c r="BD933" t="s">
        <v>2785</v>
      </c>
      <c r="BE933" t="s">
        <v>393</v>
      </c>
      <c r="BF933">
        <v>32011</v>
      </c>
      <c r="BG933" t="s">
        <v>9586</v>
      </c>
      <c r="BH933" t="s">
        <v>2787</v>
      </c>
      <c r="BI933">
        <v>-81.825783689476793</v>
      </c>
      <c r="BJ933">
        <v>30.5549661457685</v>
      </c>
      <c r="BK933" t="s">
        <v>9657</v>
      </c>
      <c r="BL933" t="s">
        <v>9658</v>
      </c>
      <c r="BM933" t="s">
        <v>9659</v>
      </c>
      <c r="BN933" t="s">
        <v>928</v>
      </c>
      <c r="BO933">
        <v>32011</v>
      </c>
      <c r="BP933" t="s">
        <v>404</v>
      </c>
      <c r="BQ933">
        <v>0</v>
      </c>
      <c r="BR933" t="s">
        <v>491</v>
      </c>
      <c r="BS933">
        <v>8001</v>
      </c>
      <c r="BT933" t="s">
        <v>492</v>
      </c>
      <c r="BW933">
        <v>3637</v>
      </c>
      <c r="BX933" t="s">
        <v>407</v>
      </c>
      <c r="CD933">
        <v>2017</v>
      </c>
      <c r="CE933">
        <v>1500</v>
      </c>
      <c r="CG933">
        <v>1500</v>
      </c>
      <c r="CH933">
        <v>2017</v>
      </c>
      <c r="CI933">
        <v>1500</v>
      </c>
      <c r="CK933">
        <v>1500</v>
      </c>
      <c r="CL933">
        <v>2017</v>
      </c>
      <c r="CM933">
        <v>24.76</v>
      </c>
      <c r="CN933" s="1">
        <v>36635</v>
      </c>
      <c r="CZ933" s="1">
        <v>36635</v>
      </c>
      <c r="DD933" t="s">
        <v>2785</v>
      </c>
      <c r="DG933">
        <v>49</v>
      </c>
      <c r="DJ933" t="s">
        <v>9660</v>
      </c>
      <c r="DL933">
        <v>50503</v>
      </c>
      <c r="DM933" t="s">
        <v>9563</v>
      </c>
      <c r="DO933" t="s">
        <v>9661</v>
      </c>
      <c r="DP933">
        <v>0</v>
      </c>
      <c r="DQ933">
        <v>0</v>
      </c>
      <c r="DR933" t="s">
        <v>411</v>
      </c>
      <c r="DS933" t="b">
        <v>1</v>
      </c>
      <c r="DT933" t="s">
        <v>470</v>
      </c>
      <c r="DU933" t="s">
        <v>471</v>
      </c>
      <c r="DV933" t="s">
        <v>472</v>
      </c>
      <c r="DX933">
        <v>-9999</v>
      </c>
      <c r="DZ933" t="s">
        <v>447</v>
      </c>
      <c r="EA933" t="s">
        <v>448</v>
      </c>
      <c r="EB933" t="s">
        <v>742</v>
      </c>
      <c r="EC933">
        <v>20101217</v>
      </c>
      <c r="ED933" t="s">
        <v>474</v>
      </c>
      <c r="EF933">
        <v>63.5</v>
      </c>
      <c r="EG933">
        <v>63.5</v>
      </c>
      <c r="EI933">
        <v>20160407</v>
      </c>
      <c r="EJ933">
        <v>0</v>
      </c>
      <c r="EK933">
        <v>0</v>
      </c>
      <c r="EP933" t="s">
        <v>595</v>
      </c>
      <c r="EQ933" t="s">
        <v>422</v>
      </c>
      <c r="ER933">
        <v>3</v>
      </c>
      <c r="ES933">
        <v>0</v>
      </c>
      <c r="ET933">
        <v>161.33000000000001</v>
      </c>
      <c r="EU933">
        <v>67.05</v>
      </c>
      <c r="EV933">
        <v>228.38</v>
      </c>
      <c r="EW933" s="2">
        <v>43222</v>
      </c>
      <c r="EX933" s="1">
        <v>42879</v>
      </c>
      <c r="EY933">
        <v>2016</v>
      </c>
      <c r="EZ933">
        <v>54.31</v>
      </c>
      <c r="FA933" t="s">
        <v>9662</v>
      </c>
      <c r="FB933">
        <v>18</v>
      </c>
      <c r="FC933" t="s">
        <v>424</v>
      </c>
      <c r="FD933" t="s">
        <v>454</v>
      </c>
      <c r="FF933">
        <v>12</v>
      </c>
      <c r="FG933">
        <v>7045081</v>
      </c>
      <c r="FH933" t="s">
        <v>4351</v>
      </c>
      <c r="FJ933" s="1">
        <v>42515</v>
      </c>
      <c r="FK933">
        <v>2015</v>
      </c>
      <c r="FL933">
        <v>50.01</v>
      </c>
      <c r="FM933" t="s">
        <v>9663</v>
      </c>
      <c r="FN933">
        <v>18</v>
      </c>
      <c r="FO933" t="s">
        <v>603</v>
      </c>
      <c r="FP933" t="s">
        <v>454</v>
      </c>
      <c r="FR933">
        <v>24</v>
      </c>
      <c r="FS933">
        <v>9999999</v>
      </c>
      <c r="FT933" t="s">
        <v>604</v>
      </c>
      <c r="FV933" s="1">
        <v>42515</v>
      </c>
      <c r="FW933">
        <v>2015</v>
      </c>
      <c r="FX933">
        <v>57.01</v>
      </c>
      <c r="FY933" t="s">
        <v>9663</v>
      </c>
      <c r="FZ933">
        <v>18</v>
      </c>
      <c r="GA933" t="s">
        <v>424</v>
      </c>
      <c r="GB933" t="s">
        <v>454</v>
      </c>
      <c r="GD933">
        <v>24</v>
      </c>
      <c r="GE933">
        <v>7045081</v>
      </c>
      <c r="GF933" t="s">
        <v>4351</v>
      </c>
    </row>
    <row r="934" spans="1:249" x14ac:dyDescent="0.25">
      <c r="A934">
        <v>16485941</v>
      </c>
      <c r="B934">
        <v>933</v>
      </c>
      <c r="C934" t="s">
        <v>393</v>
      </c>
      <c r="D934" t="s">
        <v>394</v>
      </c>
      <c r="F934" t="str">
        <f>"49-2N-25-4150-000B-0140"</f>
        <v>49-2N-25-4150-000B-0140</v>
      </c>
      <c r="H934" t="str">
        <f t="shared" ref="H934:H939" si="300">"5T WEALTH PARTNERS LP DEPARTMENT 6200"</f>
        <v>5T WEALTH PARTNERS LP DEPARTMENT 6200</v>
      </c>
      <c r="I934" t="str">
        <f t="shared" ref="I934:I939" si="301">"PO BOX 830539"</f>
        <v>PO BOX 830539</v>
      </c>
      <c r="J934" t="str">
        <f t="shared" ref="J934:J939" si="302">"BIRMINGHAM AL 35283"</f>
        <v>BIRMINGHAM AL 35283</v>
      </c>
      <c r="K934" t="str">
        <f t="shared" si="298"/>
        <v>ROBINWOOD CIR</v>
      </c>
      <c r="L934" t="str">
        <f t="shared" si="291"/>
        <v>CALLAHAN FL 32011</v>
      </c>
      <c r="M934" t="str">
        <f>"BLOCK B LOT 14 CONSERVATION ESMT PT 699/529 IN OR 2085/1557 ROBINWOOD ESTATES PB 5/333"</f>
        <v>BLOCK B LOT 14 CONSERVATION ESMT PT 699/529 IN OR 2085/1557 ROBINWOOD ESTATES PB 5/333</v>
      </c>
      <c r="N934" t="str">
        <f>""</f>
        <v/>
      </c>
      <c r="O934" t="str">
        <f>"53993"</f>
        <v>53993</v>
      </c>
      <c r="P934" t="str">
        <f t="shared" si="283"/>
        <v>2017</v>
      </c>
      <c r="Q934" t="str">
        <f>""</f>
        <v/>
      </c>
      <c r="R934" t="str">
        <f t="shared" si="294"/>
        <v>N</v>
      </c>
      <c r="S934" t="str">
        <f>""</f>
        <v/>
      </c>
      <c r="T934" t="str">
        <f>"123.77"</f>
        <v>123.77</v>
      </c>
      <c r="U934" t="str">
        <f t="shared" ref="U934:V936" si="303">"7500.00"</f>
        <v>7500.00</v>
      </c>
      <c r="V934" t="str">
        <f t="shared" si="303"/>
        <v>7500.00</v>
      </c>
      <c r="W934" t="str">
        <f t="shared" si="284"/>
        <v>2017</v>
      </c>
      <c r="X934" t="str">
        <f t="shared" ref="X934:X939" si="304">"25.00"</f>
        <v>25.00</v>
      </c>
      <c r="Y934" t="str">
        <f>"159.48"</f>
        <v>159.48</v>
      </c>
      <c r="Z934" t="str">
        <f>""</f>
        <v/>
      </c>
      <c r="AA934" t="str">
        <f>"7500.00"</f>
        <v>7500.00</v>
      </c>
      <c r="AB934" t="str">
        <f t="shared" si="296"/>
        <v>Residential</v>
      </c>
      <c r="AC934" t="str">
        <f t="shared" si="295"/>
        <v>0</v>
      </c>
      <c r="AD934" t="str">
        <f>""</f>
        <v/>
      </c>
      <c r="AE934" t="str">
        <f>""</f>
        <v/>
      </c>
      <c r="AF934" t="str">
        <f t="shared" si="299"/>
        <v>000</v>
      </c>
      <c r="AG934" t="str">
        <f t="shared" ref="AG934:AG939" si="305">"AL"</f>
        <v>AL</v>
      </c>
      <c r="AH934" t="str">
        <f>"10400.00"</f>
        <v>10400.00</v>
      </c>
      <c r="AI934" t="str">
        <f>"7500.00"</f>
        <v>7500.00</v>
      </c>
      <c r="AJ934" t="str">
        <f>"C55-000-588-6576-7"</f>
        <v>C55-000-588-6576-7</v>
      </c>
      <c r="AK934" t="str">
        <f>"14765"</f>
        <v>14765</v>
      </c>
      <c r="AL934">
        <v>4</v>
      </c>
      <c r="AM934">
        <v>1079</v>
      </c>
      <c r="AN934">
        <v>165.85</v>
      </c>
      <c r="AQ934" t="s">
        <v>9664</v>
      </c>
      <c r="AR934" t="s">
        <v>9664</v>
      </c>
      <c r="AS934" t="s">
        <v>9664</v>
      </c>
      <c r="AU934" t="s">
        <v>396</v>
      </c>
      <c r="AV934">
        <v>2017</v>
      </c>
      <c r="AW934" t="str">
        <f>"49-2N-25-4150-000B-0140 "</f>
        <v xml:space="preserve">49-2N-25-4150-000B-0140 </v>
      </c>
      <c r="AZ934" t="s">
        <v>9183</v>
      </c>
      <c r="BA934" t="s">
        <v>1799</v>
      </c>
      <c r="BD934" t="s">
        <v>2785</v>
      </c>
      <c r="BE934" t="s">
        <v>393</v>
      </c>
      <c r="BF934">
        <v>32011</v>
      </c>
      <c r="BG934" t="s">
        <v>9586</v>
      </c>
      <c r="BH934" t="s">
        <v>2787</v>
      </c>
      <c r="BI934">
        <v>-81.827679179599301</v>
      </c>
      <c r="BJ934">
        <v>30.553574941117802</v>
      </c>
      <c r="BK934" t="s">
        <v>2102</v>
      </c>
      <c r="BM934" t="s">
        <v>9665</v>
      </c>
      <c r="BN934" t="s">
        <v>9666</v>
      </c>
      <c r="BO934">
        <v>35283</v>
      </c>
      <c r="BP934" t="s">
        <v>404</v>
      </c>
      <c r="BQ934">
        <v>0</v>
      </c>
      <c r="BR934" t="s">
        <v>491</v>
      </c>
      <c r="BS934">
        <v>8001</v>
      </c>
      <c r="BT934" t="s">
        <v>492</v>
      </c>
      <c r="BW934">
        <v>10751</v>
      </c>
      <c r="BX934" t="s">
        <v>407</v>
      </c>
      <c r="BY934" t="s">
        <v>408</v>
      </c>
      <c r="CD934">
        <v>2017</v>
      </c>
      <c r="CE934">
        <v>7500</v>
      </c>
      <c r="CG934">
        <v>7500</v>
      </c>
      <c r="CH934">
        <v>2017</v>
      </c>
      <c r="CI934">
        <v>7500</v>
      </c>
      <c r="CK934">
        <v>7500</v>
      </c>
      <c r="CL934">
        <v>2017</v>
      </c>
      <c r="CM934">
        <v>123.77</v>
      </c>
      <c r="CN934" s="1">
        <v>38940</v>
      </c>
      <c r="CZ934" s="1">
        <v>38940</v>
      </c>
      <c r="DD934" t="s">
        <v>2785</v>
      </c>
      <c r="DF934">
        <v>14</v>
      </c>
      <c r="DG934">
        <v>49</v>
      </c>
      <c r="DL934">
        <v>50503</v>
      </c>
      <c r="DM934" t="s">
        <v>9563</v>
      </c>
      <c r="DO934" t="s">
        <v>9667</v>
      </c>
      <c r="DP934">
        <v>0</v>
      </c>
      <c r="DQ934">
        <v>0</v>
      </c>
      <c r="DR934" t="s">
        <v>411</v>
      </c>
      <c r="DS934" t="b">
        <v>1</v>
      </c>
      <c r="DT934" t="s">
        <v>396</v>
      </c>
      <c r="DV934" t="s">
        <v>446</v>
      </c>
      <c r="DX934">
        <v>-9999</v>
      </c>
      <c r="DZ934" t="s">
        <v>447</v>
      </c>
      <c r="EA934" t="s">
        <v>448</v>
      </c>
      <c r="EB934" t="s">
        <v>9668</v>
      </c>
      <c r="EC934">
        <v>20101217</v>
      </c>
      <c r="ED934" t="s">
        <v>450</v>
      </c>
      <c r="EE934">
        <v>16.600000000000001</v>
      </c>
      <c r="EF934">
        <v>0</v>
      </c>
      <c r="EG934">
        <v>0</v>
      </c>
      <c r="EI934">
        <v>20160407</v>
      </c>
      <c r="EJ934">
        <v>0</v>
      </c>
      <c r="EK934">
        <v>0</v>
      </c>
      <c r="EP934" t="s">
        <v>421</v>
      </c>
      <c r="EQ934" t="s">
        <v>452</v>
      </c>
      <c r="ER934">
        <v>1</v>
      </c>
      <c r="ES934">
        <v>7</v>
      </c>
      <c r="ET934">
        <v>84.04</v>
      </c>
      <c r="EU934">
        <v>21.38</v>
      </c>
      <c r="EV934">
        <v>105.42</v>
      </c>
      <c r="EW934" s="2">
        <v>43222</v>
      </c>
      <c r="EX934" s="1">
        <v>42879</v>
      </c>
      <c r="EY934">
        <v>2016</v>
      </c>
      <c r="EZ934">
        <v>84.04</v>
      </c>
      <c r="FA934" t="s">
        <v>9669</v>
      </c>
      <c r="FB934">
        <v>18</v>
      </c>
      <c r="FC934" t="s">
        <v>424</v>
      </c>
      <c r="FD934" t="s">
        <v>454</v>
      </c>
      <c r="FF934">
        <v>12</v>
      </c>
      <c r="FG934">
        <v>7336670</v>
      </c>
      <c r="FH934" t="s">
        <v>2102</v>
      </c>
      <c r="FJ934" s="1">
        <v>42515</v>
      </c>
      <c r="FK934">
        <v>2015</v>
      </c>
      <c r="FL934">
        <v>81.78</v>
      </c>
      <c r="FM934" t="s">
        <v>9670</v>
      </c>
      <c r="FN934">
        <v>18</v>
      </c>
      <c r="FO934" t="s">
        <v>424</v>
      </c>
      <c r="FP934" t="s">
        <v>425</v>
      </c>
      <c r="FR934">
        <v>22</v>
      </c>
      <c r="FS934">
        <v>7336670</v>
      </c>
      <c r="FT934" t="s">
        <v>2102</v>
      </c>
      <c r="FU934" t="s">
        <v>458</v>
      </c>
      <c r="FV934" s="1">
        <v>42151</v>
      </c>
      <c r="FW934">
        <v>2014</v>
      </c>
      <c r="FX934">
        <v>140.68</v>
      </c>
      <c r="FY934" t="s">
        <v>9671</v>
      </c>
      <c r="FZ934">
        <v>18</v>
      </c>
      <c r="GA934" t="s">
        <v>424</v>
      </c>
      <c r="GB934" t="s">
        <v>425</v>
      </c>
      <c r="GC934" s="1">
        <v>42551</v>
      </c>
      <c r="GD934">
        <v>13</v>
      </c>
      <c r="GE934">
        <v>10125</v>
      </c>
      <c r="GF934" t="s">
        <v>440</v>
      </c>
      <c r="GG934" t="s">
        <v>458</v>
      </c>
      <c r="GH934" s="1">
        <v>41787</v>
      </c>
      <c r="GI934">
        <v>2013</v>
      </c>
      <c r="GJ934">
        <v>142.71</v>
      </c>
      <c r="GK934" t="s">
        <v>9672</v>
      </c>
      <c r="GL934">
        <v>6.75</v>
      </c>
      <c r="GM934" t="s">
        <v>424</v>
      </c>
      <c r="GN934" t="s">
        <v>425</v>
      </c>
      <c r="GP934">
        <v>22</v>
      </c>
      <c r="GQ934">
        <v>2035919</v>
      </c>
      <c r="GR934" t="s">
        <v>507</v>
      </c>
      <c r="GS934" t="s">
        <v>458</v>
      </c>
      <c r="GT934" s="1">
        <v>41787</v>
      </c>
      <c r="GU934">
        <v>2013</v>
      </c>
      <c r="GV934">
        <v>142.71</v>
      </c>
      <c r="GW934" t="s">
        <v>9672</v>
      </c>
      <c r="GX934">
        <v>6.75</v>
      </c>
      <c r="GY934" t="s">
        <v>424</v>
      </c>
      <c r="GZ934" t="s">
        <v>425</v>
      </c>
      <c r="HB934">
        <v>22</v>
      </c>
      <c r="HC934">
        <v>7336670</v>
      </c>
      <c r="HD934" t="s">
        <v>2102</v>
      </c>
      <c r="HE934" t="s">
        <v>458</v>
      </c>
      <c r="HF934" s="1">
        <v>41423</v>
      </c>
      <c r="HG934">
        <v>2012</v>
      </c>
      <c r="HH934">
        <v>145.59</v>
      </c>
      <c r="HI934" t="s">
        <v>9673</v>
      </c>
      <c r="HJ934">
        <v>10</v>
      </c>
      <c r="HK934" t="s">
        <v>424</v>
      </c>
      <c r="HL934" t="s">
        <v>425</v>
      </c>
      <c r="HM934" s="1">
        <v>42551</v>
      </c>
      <c r="HN934">
        <v>37</v>
      </c>
      <c r="HO934">
        <v>375</v>
      </c>
      <c r="HP934" t="s">
        <v>776</v>
      </c>
      <c r="HQ934" t="s">
        <v>458</v>
      </c>
      <c r="HR934" s="1">
        <v>41423</v>
      </c>
      <c r="HS934">
        <v>2012</v>
      </c>
      <c r="HT934">
        <v>145.59</v>
      </c>
      <c r="HU934" t="s">
        <v>9673</v>
      </c>
      <c r="HV934">
        <v>10</v>
      </c>
      <c r="HW934" t="s">
        <v>424</v>
      </c>
      <c r="HX934" t="s">
        <v>425</v>
      </c>
      <c r="HZ934">
        <v>22</v>
      </c>
      <c r="IA934">
        <v>1109</v>
      </c>
      <c r="IB934" t="s">
        <v>852</v>
      </c>
      <c r="IC934" t="s">
        <v>458</v>
      </c>
      <c r="ID934" s="1">
        <v>41052</v>
      </c>
      <c r="IE934">
        <v>2011</v>
      </c>
      <c r="IF934">
        <v>205.09</v>
      </c>
      <c r="IG934" t="s">
        <v>9674</v>
      </c>
      <c r="IH934">
        <v>15</v>
      </c>
      <c r="II934" t="s">
        <v>424</v>
      </c>
      <c r="IJ934" t="s">
        <v>425</v>
      </c>
      <c r="IK934" s="1">
        <v>42551</v>
      </c>
      <c r="IL934">
        <v>49</v>
      </c>
      <c r="IM934">
        <v>62</v>
      </c>
      <c r="IN934" t="s">
        <v>463</v>
      </c>
      <c r="IO934" t="s">
        <v>458</v>
      </c>
    </row>
    <row r="935" spans="1:249" x14ac:dyDescent="0.25">
      <c r="A935">
        <v>16485942</v>
      </c>
      <c r="B935">
        <v>934</v>
      </c>
      <c r="C935" t="s">
        <v>393</v>
      </c>
      <c r="D935" t="s">
        <v>394</v>
      </c>
      <c r="F935" t="str">
        <f>"49-2N-25-4150-000B-0150"</f>
        <v>49-2N-25-4150-000B-0150</v>
      </c>
      <c r="H935" t="str">
        <f t="shared" si="300"/>
        <v>5T WEALTH PARTNERS LP DEPARTMENT 6200</v>
      </c>
      <c r="I935" t="str">
        <f t="shared" si="301"/>
        <v>PO BOX 830539</v>
      </c>
      <c r="J935" t="str">
        <f t="shared" si="302"/>
        <v>BIRMINGHAM AL 35283</v>
      </c>
      <c r="K935" t="str">
        <f t="shared" si="298"/>
        <v>ROBINWOOD CIR</v>
      </c>
      <c r="L935" t="str">
        <f t="shared" si="291"/>
        <v>CALLAHAN FL 32011</v>
      </c>
      <c r="M935" t="str">
        <f>"BLOCK B LOT 15 CONSERVATION ESMT PT 699/529 IN OR 2085/1555 ROBINWOOD ESTATES PB 5/333"</f>
        <v>BLOCK B LOT 15 CONSERVATION ESMT PT 699/529 IN OR 2085/1555 ROBINWOOD ESTATES PB 5/333</v>
      </c>
      <c r="N935" t="str">
        <f>""</f>
        <v/>
      </c>
      <c r="O935" t="str">
        <f>"53994"</f>
        <v>53994</v>
      </c>
      <c r="P935" t="str">
        <f t="shared" si="283"/>
        <v>2017</v>
      </c>
      <c r="Q935" t="str">
        <f>""</f>
        <v/>
      </c>
      <c r="R935" t="str">
        <f t="shared" si="294"/>
        <v>N</v>
      </c>
      <c r="S935" t="str">
        <f>""</f>
        <v/>
      </c>
      <c r="T935" t="str">
        <f>"123.77"</f>
        <v>123.77</v>
      </c>
      <c r="U935" t="str">
        <f t="shared" si="303"/>
        <v>7500.00</v>
      </c>
      <c r="V935" t="str">
        <f t="shared" si="303"/>
        <v>7500.00</v>
      </c>
      <c r="W935" t="str">
        <f t="shared" si="284"/>
        <v>2017</v>
      </c>
      <c r="X935" t="str">
        <f t="shared" si="304"/>
        <v>25.00</v>
      </c>
      <c r="Y935" t="str">
        <f>"159.48"</f>
        <v>159.48</v>
      </c>
      <c r="Z935" t="str">
        <f>""</f>
        <v/>
      </c>
      <c r="AA935" t="str">
        <f>"7500.00"</f>
        <v>7500.00</v>
      </c>
      <c r="AB935" t="str">
        <f t="shared" si="296"/>
        <v>Residential</v>
      </c>
      <c r="AC935" t="str">
        <f t="shared" si="295"/>
        <v>0</v>
      </c>
      <c r="AD935" t="str">
        <f>""</f>
        <v/>
      </c>
      <c r="AE935" t="str">
        <f>""</f>
        <v/>
      </c>
      <c r="AF935" t="str">
        <f t="shared" si="299"/>
        <v>000</v>
      </c>
      <c r="AG935" t="str">
        <f t="shared" si="305"/>
        <v>AL</v>
      </c>
      <c r="AH935" t="str">
        <f>"7500.00"</f>
        <v>7500.00</v>
      </c>
      <c r="AI935" t="str">
        <f>"7500.00"</f>
        <v>7500.00</v>
      </c>
      <c r="AJ935" t="str">
        <f>"C55-000-588-6577-5"</f>
        <v>C55-000-588-6577-5</v>
      </c>
      <c r="AK935" t="str">
        <f>"14766"</f>
        <v>14766</v>
      </c>
      <c r="AL935">
        <v>4</v>
      </c>
      <c r="AM935">
        <v>1080</v>
      </c>
      <c r="AN935">
        <v>165.85</v>
      </c>
      <c r="AQ935" t="s">
        <v>9675</v>
      </c>
      <c r="AR935" t="s">
        <v>9675</v>
      </c>
      <c r="AS935" t="s">
        <v>9675</v>
      </c>
      <c r="AU935" t="s">
        <v>396</v>
      </c>
      <c r="AV935">
        <v>2017</v>
      </c>
      <c r="AW935" t="str">
        <f>"49-2N-25-4150-000B-0150 "</f>
        <v xml:space="preserve">49-2N-25-4150-000B-0150 </v>
      </c>
      <c r="AZ935" t="s">
        <v>9183</v>
      </c>
      <c r="BA935" t="s">
        <v>1799</v>
      </c>
      <c r="BD935" t="s">
        <v>2785</v>
      </c>
      <c r="BE935" t="s">
        <v>393</v>
      </c>
      <c r="BF935">
        <v>32011</v>
      </c>
      <c r="BG935" t="s">
        <v>9586</v>
      </c>
      <c r="BH935" t="s">
        <v>2787</v>
      </c>
      <c r="BI935">
        <v>-81.827847143826205</v>
      </c>
      <c r="BJ935">
        <v>30.5537254092491</v>
      </c>
      <c r="BK935" t="s">
        <v>2102</v>
      </c>
      <c r="BM935" t="s">
        <v>9665</v>
      </c>
      <c r="BN935" t="s">
        <v>9666</v>
      </c>
      <c r="BO935">
        <v>35283</v>
      </c>
      <c r="BP935" t="s">
        <v>404</v>
      </c>
      <c r="BQ935">
        <v>0</v>
      </c>
      <c r="BR935" t="s">
        <v>491</v>
      </c>
      <c r="BS935">
        <v>8001</v>
      </c>
      <c r="BT935" t="s">
        <v>492</v>
      </c>
      <c r="BW935">
        <v>8014</v>
      </c>
      <c r="BX935" t="s">
        <v>407</v>
      </c>
      <c r="BY935" t="s">
        <v>408</v>
      </c>
      <c r="CD935">
        <v>2017</v>
      </c>
      <c r="CE935">
        <v>7500</v>
      </c>
      <c r="CG935">
        <v>7500</v>
      </c>
      <c r="CH935">
        <v>2017</v>
      </c>
      <c r="CI935">
        <v>7500</v>
      </c>
      <c r="CK935">
        <v>7500</v>
      </c>
      <c r="CL935">
        <v>2017</v>
      </c>
      <c r="CM935">
        <v>123.77</v>
      </c>
      <c r="CN935" s="1">
        <v>38940</v>
      </c>
      <c r="CZ935" s="1">
        <v>38940</v>
      </c>
      <c r="DD935" t="s">
        <v>2785</v>
      </c>
      <c r="DF935">
        <v>15</v>
      </c>
      <c r="DG935">
        <v>49</v>
      </c>
      <c r="DL935">
        <v>50503</v>
      </c>
      <c r="DM935" t="s">
        <v>9563</v>
      </c>
      <c r="DO935" t="s">
        <v>9676</v>
      </c>
      <c r="DP935">
        <v>0</v>
      </c>
      <c r="DQ935">
        <v>0</v>
      </c>
      <c r="DR935" t="s">
        <v>411</v>
      </c>
      <c r="DS935" t="b">
        <v>1</v>
      </c>
      <c r="DT935" t="s">
        <v>396</v>
      </c>
      <c r="DV935" t="s">
        <v>446</v>
      </c>
      <c r="DX935">
        <v>-9999</v>
      </c>
      <c r="DZ935" t="s">
        <v>447</v>
      </c>
      <c r="EA935" t="s">
        <v>448</v>
      </c>
      <c r="EB935" t="s">
        <v>9668</v>
      </c>
      <c r="EC935">
        <v>20101217</v>
      </c>
      <c r="ED935" t="s">
        <v>450</v>
      </c>
      <c r="EE935">
        <v>16.600000000000001</v>
      </c>
      <c r="EF935">
        <v>0</v>
      </c>
      <c r="EG935">
        <v>0</v>
      </c>
      <c r="EI935">
        <v>20160407</v>
      </c>
      <c r="EJ935">
        <v>0</v>
      </c>
      <c r="EK935">
        <v>0</v>
      </c>
      <c r="EP935" t="s">
        <v>421</v>
      </c>
      <c r="EQ935" t="s">
        <v>452</v>
      </c>
      <c r="ER935">
        <v>1</v>
      </c>
      <c r="ES935">
        <v>7</v>
      </c>
      <c r="ET935">
        <v>84.04</v>
      </c>
      <c r="EU935">
        <v>21.38</v>
      </c>
      <c r="EV935">
        <v>105.42</v>
      </c>
      <c r="EW935" s="2">
        <v>43222</v>
      </c>
      <c r="EX935" s="1">
        <v>42879</v>
      </c>
      <c r="EY935">
        <v>2016</v>
      </c>
      <c r="EZ935">
        <v>84.04</v>
      </c>
      <c r="FA935" t="s">
        <v>9677</v>
      </c>
      <c r="FB935">
        <v>18</v>
      </c>
      <c r="FC935" t="s">
        <v>424</v>
      </c>
      <c r="FD935" t="s">
        <v>454</v>
      </c>
      <c r="FF935">
        <v>12</v>
      </c>
      <c r="FG935">
        <v>7336670</v>
      </c>
      <c r="FH935" t="s">
        <v>2102</v>
      </c>
      <c r="FJ935" s="1">
        <v>42515</v>
      </c>
      <c r="FK935">
        <v>2015</v>
      </c>
      <c r="FL935">
        <v>81.78</v>
      </c>
      <c r="FM935" t="s">
        <v>9678</v>
      </c>
      <c r="FN935">
        <v>18</v>
      </c>
      <c r="FO935" t="s">
        <v>424</v>
      </c>
      <c r="FP935" t="s">
        <v>425</v>
      </c>
      <c r="FR935">
        <v>22</v>
      </c>
      <c r="FS935">
        <v>7336670</v>
      </c>
      <c r="FT935" t="s">
        <v>2102</v>
      </c>
      <c r="FU935" t="s">
        <v>458</v>
      </c>
      <c r="FV935" s="1">
        <v>42151</v>
      </c>
      <c r="FW935">
        <v>2014</v>
      </c>
      <c r="FX935">
        <v>140.68</v>
      </c>
      <c r="FY935" t="s">
        <v>9679</v>
      </c>
      <c r="FZ935">
        <v>18</v>
      </c>
      <c r="GA935" t="s">
        <v>424</v>
      </c>
      <c r="GB935" t="s">
        <v>425</v>
      </c>
      <c r="GC935" s="1">
        <v>42551</v>
      </c>
      <c r="GD935">
        <v>13</v>
      </c>
      <c r="GE935">
        <v>10125</v>
      </c>
      <c r="GF935" t="s">
        <v>440</v>
      </c>
      <c r="GG935" t="s">
        <v>458</v>
      </c>
      <c r="GH935" s="1">
        <v>41787</v>
      </c>
      <c r="GI935">
        <v>2013</v>
      </c>
      <c r="GJ935">
        <v>142.71</v>
      </c>
      <c r="GK935" t="s">
        <v>9680</v>
      </c>
      <c r="GL935">
        <v>6.75</v>
      </c>
      <c r="GM935" t="s">
        <v>424</v>
      </c>
      <c r="GN935" t="s">
        <v>425</v>
      </c>
      <c r="GP935">
        <v>22</v>
      </c>
      <c r="GQ935">
        <v>2035919</v>
      </c>
      <c r="GR935" t="s">
        <v>507</v>
      </c>
      <c r="GS935" t="s">
        <v>458</v>
      </c>
      <c r="GT935" s="1">
        <v>41787</v>
      </c>
      <c r="GU935">
        <v>2013</v>
      </c>
      <c r="GV935">
        <v>142.71</v>
      </c>
      <c r="GW935" t="s">
        <v>9680</v>
      </c>
      <c r="GX935">
        <v>6.75</v>
      </c>
      <c r="GY935" t="s">
        <v>424</v>
      </c>
      <c r="GZ935" t="s">
        <v>425</v>
      </c>
      <c r="HB935">
        <v>22</v>
      </c>
      <c r="HC935">
        <v>7336670</v>
      </c>
      <c r="HD935" t="s">
        <v>2102</v>
      </c>
      <c r="HE935" t="s">
        <v>458</v>
      </c>
      <c r="HF935" s="1">
        <v>41423</v>
      </c>
      <c r="HG935">
        <v>2012</v>
      </c>
      <c r="HH935">
        <v>145.59</v>
      </c>
      <c r="HI935" t="s">
        <v>9681</v>
      </c>
      <c r="HJ935">
        <v>10</v>
      </c>
      <c r="HK935" t="s">
        <v>424</v>
      </c>
      <c r="HL935" t="s">
        <v>425</v>
      </c>
      <c r="HM935" s="1">
        <v>42551</v>
      </c>
      <c r="HN935">
        <v>37</v>
      </c>
      <c r="HO935">
        <v>375</v>
      </c>
      <c r="HP935" t="s">
        <v>776</v>
      </c>
      <c r="HQ935" t="s">
        <v>458</v>
      </c>
      <c r="HR935" s="1">
        <v>41423</v>
      </c>
      <c r="HS935">
        <v>2012</v>
      </c>
      <c r="HT935">
        <v>145.59</v>
      </c>
      <c r="HU935" t="s">
        <v>9681</v>
      </c>
      <c r="HV935">
        <v>10</v>
      </c>
      <c r="HW935" t="s">
        <v>424</v>
      </c>
      <c r="HX935" t="s">
        <v>425</v>
      </c>
      <c r="HZ935">
        <v>22</v>
      </c>
      <c r="IA935">
        <v>105</v>
      </c>
      <c r="IB935" t="s">
        <v>946</v>
      </c>
      <c r="IC935" t="s">
        <v>458</v>
      </c>
      <c r="ID935" s="1">
        <v>41052</v>
      </c>
      <c r="IE935">
        <v>2011</v>
      </c>
      <c r="IF935">
        <v>205.09</v>
      </c>
      <c r="IG935" t="s">
        <v>9682</v>
      </c>
      <c r="IH935">
        <v>16.5</v>
      </c>
      <c r="II935" t="s">
        <v>424</v>
      </c>
      <c r="IJ935" t="s">
        <v>425</v>
      </c>
      <c r="IK935" s="1">
        <v>42551</v>
      </c>
      <c r="IL935">
        <v>49</v>
      </c>
      <c r="IM935">
        <v>619</v>
      </c>
      <c r="IN935" t="s">
        <v>2768</v>
      </c>
      <c r="IO935" t="s">
        <v>458</v>
      </c>
    </row>
    <row r="936" spans="1:249" x14ac:dyDescent="0.25">
      <c r="A936">
        <v>16485943</v>
      </c>
      <c r="B936">
        <v>935</v>
      </c>
      <c r="C936" t="s">
        <v>393</v>
      </c>
      <c r="D936" t="s">
        <v>394</v>
      </c>
      <c r="F936" t="str">
        <f>"49-2N-25-4150-000B-0160"</f>
        <v>49-2N-25-4150-000B-0160</v>
      </c>
      <c r="H936" t="str">
        <f t="shared" si="300"/>
        <v>5T WEALTH PARTNERS LP DEPARTMENT 6200</v>
      </c>
      <c r="I936" t="str">
        <f t="shared" si="301"/>
        <v>PO BOX 830539</v>
      </c>
      <c r="J936" t="str">
        <f t="shared" si="302"/>
        <v>BIRMINGHAM AL 35283</v>
      </c>
      <c r="K936" t="str">
        <f t="shared" si="298"/>
        <v>ROBINWOOD CIR</v>
      </c>
      <c r="L936" t="str">
        <f t="shared" si="291"/>
        <v>CALLAHAN FL 32011</v>
      </c>
      <c r="M936" t="str">
        <f>"BLOCK B LOT 16 CONSERVATION ESMT PT 699/529 IN OR 2087/1026 ROBINWOOD ESTATES PB 5/333"</f>
        <v>BLOCK B LOT 16 CONSERVATION ESMT PT 699/529 IN OR 2087/1026 ROBINWOOD ESTATES PB 5/333</v>
      </c>
      <c r="N936" t="str">
        <f>""</f>
        <v/>
      </c>
      <c r="O936" t="str">
        <f>"53995"</f>
        <v>53995</v>
      </c>
      <c r="P936" t="str">
        <f t="shared" si="283"/>
        <v>2017</v>
      </c>
      <c r="Q936" t="str">
        <f>""</f>
        <v/>
      </c>
      <c r="R936" t="str">
        <f t="shared" si="294"/>
        <v>N</v>
      </c>
      <c r="S936" t="str">
        <f>""</f>
        <v/>
      </c>
      <c r="T936" t="str">
        <f>"123.77"</f>
        <v>123.77</v>
      </c>
      <c r="U936" t="str">
        <f t="shared" si="303"/>
        <v>7500.00</v>
      </c>
      <c r="V936" t="str">
        <f t="shared" si="303"/>
        <v>7500.00</v>
      </c>
      <c r="W936" t="str">
        <f t="shared" si="284"/>
        <v>2017</v>
      </c>
      <c r="X936" t="str">
        <f t="shared" si="304"/>
        <v>25.00</v>
      </c>
      <c r="Y936" t="str">
        <f>"159.48"</f>
        <v>159.48</v>
      </c>
      <c r="Z936" t="str">
        <f>""</f>
        <v/>
      </c>
      <c r="AA936" t="str">
        <f>"7500.00"</f>
        <v>7500.00</v>
      </c>
      <c r="AB936" t="str">
        <f t="shared" si="296"/>
        <v>Residential</v>
      </c>
      <c r="AC936" t="str">
        <f t="shared" si="295"/>
        <v>0</v>
      </c>
      <c r="AD936" t="str">
        <f>""</f>
        <v/>
      </c>
      <c r="AE936" t="str">
        <f>""</f>
        <v/>
      </c>
      <c r="AF936" t="str">
        <f t="shared" si="299"/>
        <v>000</v>
      </c>
      <c r="AG936" t="str">
        <f t="shared" si="305"/>
        <v>AL</v>
      </c>
      <c r="AH936" t="str">
        <f>"7500.00"</f>
        <v>7500.00</v>
      </c>
      <c r="AI936" t="str">
        <f>"7500.00"</f>
        <v>7500.00</v>
      </c>
      <c r="AJ936" t="str">
        <f>"C55-000-588-6578-3"</f>
        <v>C55-000-588-6578-3</v>
      </c>
      <c r="AK936" t="str">
        <f>"14767"</f>
        <v>14767</v>
      </c>
      <c r="AL936">
        <v>4</v>
      </c>
      <c r="AM936">
        <v>1081</v>
      </c>
      <c r="AN936">
        <v>165.85</v>
      </c>
      <c r="AQ936" t="s">
        <v>9683</v>
      </c>
      <c r="AR936" t="s">
        <v>9683</v>
      </c>
      <c r="AS936" t="s">
        <v>9683</v>
      </c>
      <c r="AU936" t="s">
        <v>396</v>
      </c>
      <c r="AV936">
        <v>2017</v>
      </c>
      <c r="AW936" t="str">
        <f>"49-2N-25-4150-000B-0160 "</f>
        <v xml:space="preserve">49-2N-25-4150-000B-0160 </v>
      </c>
      <c r="AZ936" t="s">
        <v>9183</v>
      </c>
      <c r="BA936" t="s">
        <v>1799</v>
      </c>
      <c r="BD936" t="s">
        <v>2785</v>
      </c>
      <c r="BE936" t="s">
        <v>393</v>
      </c>
      <c r="BF936">
        <v>32011</v>
      </c>
      <c r="BG936" t="s">
        <v>9586</v>
      </c>
      <c r="BH936" t="s">
        <v>2787</v>
      </c>
      <c r="BI936">
        <v>-81.827959754686702</v>
      </c>
      <c r="BJ936">
        <v>30.5539180757767</v>
      </c>
      <c r="BK936" t="s">
        <v>2102</v>
      </c>
      <c r="BM936" t="s">
        <v>9665</v>
      </c>
      <c r="BN936" t="s">
        <v>9666</v>
      </c>
      <c r="BO936">
        <v>35283</v>
      </c>
      <c r="BP936" t="s">
        <v>404</v>
      </c>
      <c r="BQ936">
        <v>0</v>
      </c>
      <c r="BR936" t="s">
        <v>491</v>
      </c>
      <c r="BS936">
        <v>8001</v>
      </c>
      <c r="BT936" t="s">
        <v>492</v>
      </c>
      <c r="BW936">
        <v>7500</v>
      </c>
      <c r="BX936" t="s">
        <v>407</v>
      </c>
      <c r="BY936" t="s">
        <v>408</v>
      </c>
      <c r="CD936">
        <v>2017</v>
      </c>
      <c r="CE936">
        <v>7500</v>
      </c>
      <c r="CG936">
        <v>7500</v>
      </c>
      <c r="CH936">
        <v>2017</v>
      </c>
      <c r="CI936">
        <v>7500</v>
      </c>
      <c r="CK936">
        <v>7500</v>
      </c>
      <c r="CL936">
        <v>2017</v>
      </c>
      <c r="CM936">
        <v>123.77</v>
      </c>
      <c r="CN936" s="1">
        <v>38940</v>
      </c>
      <c r="CZ936" s="1">
        <v>38940</v>
      </c>
      <c r="DD936" t="s">
        <v>2785</v>
      </c>
      <c r="DF936">
        <v>16</v>
      </c>
      <c r="DG936">
        <v>49</v>
      </c>
      <c r="DL936">
        <v>50503</v>
      </c>
      <c r="DM936" t="s">
        <v>9563</v>
      </c>
      <c r="DO936" t="s">
        <v>9684</v>
      </c>
      <c r="DP936">
        <v>0</v>
      </c>
      <c r="DQ936">
        <v>0</v>
      </c>
      <c r="DR936" t="s">
        <v>411</v>
      </c>
      <c r="DS936" t="b">
        <v>1</v>
      </c>
      <c r="DT936" t="s">
        <v>396</v>
      </c>
      <c r="DV936" t="s">
        <v>446</v>
      </c>
      <c r="DX936">
        <v>-9999</v>
      </c>
      <c r="DZ936" t="s">
        <v>447</v>
      </c>
      <c r="EA936" t="s">
        <v>448</v>
      </c>
      <c r="EB936" t="s">
        <v>9668</v>
      </c>
      <c r="EC936">
        <v>20101217</v>
      </c>
      <c r="ED936" t="s">
        <v>450</v>
      </c>
      <c r="EE936">
        <v>16.600000000000001</v>
      </c>
      <c r="EF936">
        <v>0</v>
      </c>
      <c r="EG936">
        <v>0</v>
      </c>
      <c r="EI936">
        <v>20160407</v>
      </c>
      <c r="EJ936">
        <v>0</v>
      </c>
      <c r="EK936">
        <v>0</v>
      </c>
      <c r="EP936" t="s">
        <v>421</v>
      </c>
      <c r="EQ936" t="s">
        <v>452</v>
      </c>
      <c r="ER936">
        <v>1</v>
      </c>
      <c r="ES936">
        <v>6</v>
      </c>
      <c r="ET936">
        <v>84.04</v>
      </c>
      <c r="EU936">
        <v>21.38</v>
      </c>
      <c r="EV936">
        <v>105.42</v>
      </c>
      <c r="EW936" s="2">
        <v>43222</v>
      </c>
      <c r="EX936" s="1">
        <v>42879</v>
      </c>
      <c r="EY936">
        <v>2016</v>
      </c>
      <c r="EZ936">
        <v>84.04</v>
      </c>
      <c r="FA936" t="s">
        <v>9685</v>
      </c>
      <c r="FB936">
        <v>18</v>
      </c>
      <c r="FC936" t="s">
        <v>424</v>
      </c>
      <c r="FD936" t="s">
        <v>454</v>
      </c>
      <c r="FF936">
        <v>12</v>
      </c>
      <c r="FG936">
        <v>7336670</v>
      </c>
      <c r="FH936" t="s">
        <v>2102</v>
      </c>
      <c r="FJ936" s="1">
        <v>42515</v>
      </c>
      <c r="FK936">
        <v>2015</v>
      </c>
      <c r="FL936">
        <v>81.78</v>
      </c>
      <c r="FM936" t="s">
        <v>9686</v>
      </c>
      <c r="FN936">
        <v>18</v>
      </c>
      <c r="FO936" t="s">
        <v>424</v>
      </c>
      <c r="FP936" t="s">
        <v>425</v>
      </c>
      <c r="FR936">
        <v>22</v>
      </c>
      <c r="FS936">
        <v>7336670</v>
      </c>
      <c r="FT936" t="s">
        <v>2102</v>
      </c>
      <c r="FU936" t="s">
        <v>458</v>
      </c>
      <c r="FV936" s="1">
        <v>42151</v>
      </c>
      <c r="FW936">
        <v>2014</v>
      </c>
      <c r="FX936">
        <v>140.68</v>
      </c>
      <c r="FY936" t="s">
        <v>9687</v>
      </c>
      <c r="FZ936">
        <v>18</v>
      </c>
      <c r="GA936" t="s">
        <v>424</v>
      </c>
      <c r="GB936" t="s">
        <v>425</v>
      </c>
      <c r="GC936" s="1">
        <v>42551</v>
      </c>
      <c r="GD936">
        <v>13</v>
      </c>
      <c r="GE936">
        <v>10125</v>
      </c>
      <c r="GF936" t="s">
        <v>440</v>
      </c>
      <c r="GG936" t="s">
        <v>458</v>
      </c>
      <c r="GH936" s="1">
        <v>41787</v>
      </c>
      <c r="GI936">
        <v>2013</v>
      </c>
      <c r="GJ936">
        <v>142.71</v>
      </c>
      <c r="GK936" t="s">
        <v>9688</v>
      </c>
      <c r="GL936">
        <v>6.75</v>
      </c>
      <c r="GM936" t="s">
        <v>424</v>
      </c>
      <c r="GN936" t="s">
        <v>425</v>
      </c>
      <c r="GP936">
        <v>22</v>
      </c>
      <c r="GQ936">
        <v>2035919</v>
      </c>
      <c r="GR936" t="s">
        <v>507</v>
      </c>
      <c r="GS936" t="s">
        <v>458</v>
      </c>
      <c r="GT936" s="1">
        <v>41787</v>
      </c>
      <c r="GU936">
        <v>2013</v>
      </c>
      <c r="GV936">
        <v>142.71</v>
      </c>
      <c r="GW936" t="s">
        <v>9688</v>
      </c>
      <c r="GX936">
        <v>6.75</v>
      </c>
      <c r="GY936" t="s">
        <v>424</v>
      </c>
      <c r="GZ936" t="s">
        <v>425</v>
      </c>
      <c r="HB936">
        <v>22</v>
      </c>
      <c r="HC936">
        <v>7336670</v>
      </c>
      <c r="HD936" t="s">
        <v>2102</v>
      </c>
      <c r="HE936" t="s">
        <v>458</v>
      </c>
      <c r="HF936" s="1">
        <v>41423</v>
      </c>
      <c r="HG936">
        <v>2012</v>
      </c>
      <c r="HH936">
        <v>145.59</v>
      </c>
      <c r="HI936" t="s">
        <v>9689</v>
      </c>
      <c r="HJ936">
        <v>10</v>
      </c>
      <c r="HK936" t="s">
        <v>424</v>
      </c>
      <c r="HL936" t="s">
        <v>425</v>
      </c>
      <c r="HM936" s="1">
        <v>42551</v>
      </c>
      <c r="HN936">
        <v>37</v>
      </c>
      <c r="HO936">
        <v>375</v>
      </c>
      <c r="HP936" t="s">
        <v>776</v>
      </c>
      <c r="HQ936" t="s">
        <v>458</v>
      </c>
      <c r="HR936" s="1">
        <v>41052</v>
      </c>
      <c r="HS936">
        <v>2011</v>
      </c>
      <c r="HT936">
        <v>205.09</v>
      </c>
      <c r="HU936" t="s">
        <v>9690</v>
      </c>
      <c r="HV936">
        <v>16.5</v>
      </c>
      <c r="HW936" t="s">
        <v>424</v>
      </c>
      <c r="HX936" t="s">
        <v>425</v>
      </c>
      <c r="HY936" s="1">
        <v>42551</v>
      </c>
      <c r="HZ936">
        <v>49</v>
      </c>
      <c r="IA936">
        <v>619</v>
      </c>
      <c r="IB936" t="s">
        <v>2768</v>
      </c>
      <c r="IC936" t="s">
        <v>458</v>
      </c>
    </row>
    <row r="937" spans="1:249" x14ac:dyDescent="0.25">
      <c r="A937">
        <v>16485944</v>
      </c>
      <c r="B937">
        <v>936</v>
      </c>
      <c r="C937" t="s">
        <v>393</v>
      </c>
      <c r="D937" t="s">
        <v>394</v>
      </c>
      <c r="F937" t="str">
        <f>"49-2N-25-4150-000B-0170"</f>
        <v>49-2N-25-4150-000B-0170</v>
      </c>
      <c r="H937" t="str">
        <f t="shared" si="300"/>
        <v>5T WEALTH PARTNERS LP DEPARTMENT 6200</v>
      </c>
      <c r="I937" t="str">
        <f t="shared" si="301"/>
        <v>PO BOX 830539</v>
      </c>
      <c r="J937" t="str">
        <f t="shared" si="302"/>
        <v>BIRMINGHAM AL 35283</v>
      </c>
      <c r="K937" t="str">
        <f t="shared" si="298"/>
        <v>ROBINWOOD CIR</v>
      </c>
      <c r="L937" t="str">
        <f t="shared" si="291"/>
        <v>CALLAHAN FL 32011</v>
      </c>
      <c r="M937" t="str">
        <f>"BLOCK B LOT 17 CONSERVATION ESMT PT 699/529 IN OR 2087/1032 ROBINWOOD ESTATES PB 5/333"</f>
        <v>BLOCK B LOT 17 CONSERVATION ESMT PT 699/529 IN OR 2087/1032 ROBINWOOD ESTATES PB 5/333</v>
      </c>
      <c r="N937" t="str">
        <f>""</f>
        <v/>
      </c>
      <c r="O937" t="str">
        <f>"53996"</f>
        <v>53996</v>
      </c>
      <c r="P937" t="str">
        <f t="shared" si="283"/>
        <v>2017</v>
      </c>
      <c r="Q937" t="str">
        <f>""</f>
        <v/>
      </c>
      <c r="R937" t="str">
        <f t="shared" si="294"/>
        <v>N</v>
      </c>
      <c r="S937" t="str">
        <f>""</f>
        <v/>
      </c>
      <c r="T937" t="str">
        <f>"247.56"</f>
        <v>247.56</v>
      </c>
      <c r="U937" t="str">
        <f>"15000.00"</f>
        <v>15000.00</v>
      </c>
      <c r="V937" t="str">
        <f>"15000.00"</f>
        <v>15000.00</v>
      </c>
      <c r="W937" t="str">
        <f t="shared" si="284"/>
        <v>2017</v>
      </c>
      <c r="X937" t="str">
        <f t="shared" si="304"/>
        <v>25.00</v>
      </c>
      <c r="Y937" t="str">
        <f>"286.99"</f>
        <v>286.99</v>
      </c>
      <c r="Z937" t="str">
        <f>""</f>
        <v/>
      </c>
      <c r="AA937" t="str">
        <f>"15000.00"</f>
        <v>15000.00</v>
      </c>
      <c r="AB937" t="str">
        <f t="shared" si="296"/>
        <v>Residential</v>
      </c>
      <c r="AC937" t="str">
        <f t="shared" si="295"/>
        <v>0</v>
      </c>
      <c r="AD937" t="str">
        <f>""</f>
        <v/>
      </c>
      <c r="AE937" t="str">
        <f>""</f>
        <v/>
      </c>
      <c r="AF937" t="str">
        <f t="shared" si="299"/>
        <v>000</v>
      </c>
      <c r="AG937" t="str">
        <f t="shared" si="305"/>
        <v>AL</v>
      </c>
      <c r="AH937" t="str">
        <f>"7500.00"</f>
        <v>7500.00</v>
      </c>
      <c r="AI937" t="str">
        <f>"15000.00"</f>
        <v>15000.00</v>
      </c>
      <c r="AJ937" t="str">
        <f>"C55-000-588-6579-1"</f>
        <v>C55-000-588-6579-1</v>
      </c>
      <c r="AK937" t="str">
        <f>"14768"</f>
        <v>14768</v>
      </c>
      <c r="AL937">
        <v>4</v>
      </c>
      <c r="AM937">
        <v>1082</v>
      </c>
      <c r="AN937">
        <v>299.74</v>
      </c>
      <c r="AQ937" t="s">
        <v>9691</v>
      </c>
      <c r="AR937" t="s">
        <v>9691</v>
      </c>
      <c r="AS937" t="s">
        <v>9691</v>
      </c>
      <c r="AU937" t="s">
        <v>396</v>
      </c>
      <c r="AV937">
        <v>2017</v>
      </c>
      <c r="AW937" t="str">
        <f>"49-2N-25-4150-000B-0170 "</f>
        <v xml:space="preserve">49-2N-25-4150-000B-0170 </v>
      </c>
      <c r="AZ937" t="s">
        <v>9183</v>
      </c>
      <c r="BA937" t="s">
        <v>1799</v>
      </c>
      <c r="BD937" t="s">
        <v>2785</v>
      </c>
      <c r="BE937" t="s">
        <v>393</v>
      </c>
      <c r="BF937">
        <v>32011</v>
      </c>
      <c r="BG937" t="s">
        <v>9586</v>
      </c>
      <c r="BH937" t="s">
        <v>2787</v>
      </c>
      <c r="BI937">
        <v>-81.828080691656794</v>
      </c>
      <c r="BJ937">
        <v>30.554095479442399</v>
      </c>
      <c r="BK937" t="s">
        <v>2102</v>
      </c>
      <c r="BM937" t="s">
        <v>9665</v>
      </c>
      <c r="BN937" t="s">
        <v>9666</v>
      </c>
      <c r="BO937">
        <v>35283</v>
      </c>
      <c r="BP937" t="s">
        <v>404</v>
      </c>
      <c r="BQ937">
        <v>0</v>
      </c>
      <c r="BR937" t="s">
        <v>491</v>
      </c>
      <c r="BS937">
        <v>8001</v>
      </c>
      <c r="BT937" t="s">
        <v>492</v>
      </c>
      <c r="BW937">
        <v>7485</v>
      </c>
      <c r="BX937" t="s">
        <v>407</v>
      </c>
      <c r="BY937" t="s">
        <v>408</v>
      </c>
      <c r="CD937">
        <v>2017</v>
      </c>
      <c r="CE937">
        <v>15000</v>
      </c>
      <c r="CG937">
        <v>15000</v>
      </c>
      <c r="CH937">
        <v>2017</v>
      </c>
      <c r="CI937">
        <v>15000</v>
      </c>
      <c r="CK937">
        <v>15000</v>
      </c>
      <c r="CL937">
        <v>2017</v>
      </c>
      <c r="CM937">
        <v>247.56</v>
      </c>
      <c r="CN937" s="1">
        <v>38940</v>
      </c>
      <c r="CZ937" s="1">
        <v>38940</v>
      </c>
      <c r="DD937" t="s">
        <v>2785</v>
      </c>
      <c r="DF937">
        <v>17</v>
      </c>
      <c r="DG937">
        <v>49</v>
      </c>
      <c r="DL937">
        <v>50503</v>
      </c>
      <c r="DM937" t="s">
        <v>9563</v>
      </c>
      <c r="DO937" t="s">
        <v>9692</v>
      </c>
      <c r="DP937">
        <v>0</v>
      </c>
      <c r="DQ937">
        <v>0</v>
      </c>
      <c r="DR937" t="s">
        <v>411</v>
      </c>
      <c r="DS937" t="b">
        <v>1</v>
      </c>
      <c r="DT937" t="s">
        <v>396</v>
      </c>
      <c r="DV937" t="s">
        <v>446</v>
      </c>
      <c r="DX937">
        <v>-9999</v>
      </c>
      <c r="DZ937" t="s">
        <v>447</v>
      </c>
      <c r="EA937" t="s">
        <v>448</v>
      </c>
      <c r="EB937" t="s">
        <v>9668</v>
      </c>
      <c r="EC937">
        <v>20101217</v>
      </c>
      <c r="ED937" t="s">
        <v>450</v>
      </c>
      <c r="EE937">
        <v>16.7</v>
      </c>
      <c r="EF937">
        <v>0</v>
      </c>
      <c r="EG937">
        <v>0</v>
      </c>
      <c r="EI937">
        <v>20160407</v>
      </c>
      <c r="EJ937">
        <v>0</v>
      </c>
      <c r="EK937">
        <v>0</v>
      </c>
      <c r="EP937" t="s">
        <v>421</v>
      </c>
      <c r="EQ937" t="s">
        <v>452</v>
      </c>
      <c r="ER937">
        <v>1</v>
      </c>
      <c r="ES937">
        <v>7</v>
      </c>
      <c r="ET937">
        <v>139.13999999999999</v>
      </c>
      <c r="EU937">
        <v>29.9</v>
      </c>
      <c r="EV937">
        <v>169.04</v>
      </c>
      <c r="EW937" s="2">
        <v>43222</v>
      </c>
      <c r="EX937" s="1">
        <v>42879</v>
      </c>
      <c r="EY937">
        <v>2016</v>
      </c>
      <c r="EZ937">
        <v>139.13999999999999</v>
      </c>
      <c r="FA937" t="s">
        <v>9693</v>
      </c>
      <c r="FB937">
        <v>17</v>
      </c>
      <c r="FC937" t="s">
        <v>424</v>
      </c>
      <c r="FD937" t="s">
        <v>454</v>
      </c>
      <c r="FF937">
        <v>12</v>
      </c>
      <c r="FG937">
        <v>7336670</v>
      </c>
      <c r="FH937" t="s">
        <v>2102</v>
      </c>
      <c r="FJ937" s="1">
        <v>42515</v>
      </c>
      <c r="FK937">
        <v>2015</v>
      </c>
      <c r="FL937">
        <v>139.80000000000001</v>
      </c>
      <c r="FM937" t="s">
        <v>9694</v>
      </c>
      <c r="FN937">
        <v>18</v>
      </c>
      <c r="FO937" t="s">
        <v>424</v>
      </c>
      <c r="FP937" t="s">
        <v>425</v>
      </c>
      <c r="FR937">
        <v>22</v>
      </c>
      <c r="FS937">
        <v>7336670</v>
      </c>
      <c r="FT937" t="s">
        <v>2102</v>
      </c>
      <c r="FU937" t="s">
        <v>458</v>
      </c>
      <c r="FV937" s="1">
        <v>42151</v>
      </c>
      <c r="FW937">
        <v>2014</v>
      </c>
      <c r="FX937">
        <v>140.68</v>
      </c>
      <c r="FY937" t="s">
        <v>9695</v>
      </c>
      <c r="FZ937">
        <v>18</v>
      </c>
      <c r="GA937" t="s">
        <v>424</v>
      </c>
      <c r="GB937" t="s">
        <v>425</v>
      </c>
      <c r="GC937" s="1">
        <v>42551</v>
      </c>
      <c r="GD937">
        <v>13</v>
      </c>
      <c r="GE937">
        <v>10125</v>
      </c>
      <c r="GF937" t="s">
        <v>440</v>
      </c>
      <c r="GG937" t="s">
        <v>458</v>
      </c>
      <c r="GH937" s="1">
        <v>41787</v>
      </c>
      <c r="GI937">
        <v>2013</v>
      </c>
      <c r="GJ937">
        <v>142.71</v>
      </c>
      <c r="GK937" t="s">
        <v>9696</v>
      </c>
      <c r="GL937">
        <v>6.75</v>
      </c>
      <c r="GM937" t="s">
        <v>424</v>
      </c>
      <c r="GN937" t="s">
        <v>425</v>
      </c>
      <c r="GP937">
        <v>22</v>
      </c>
      <c r="GQ937">
        <v>2035919</v>
      </c>
      <c r="GR937" t="s">
        <v>507</v>
      </c>
      <c r="GS937" t="s">
        <v>458</v>
      </c>
      <c r="GT937" s="1">
        <v>41787</v>
      </c>
      <c r="GU937">
        <v>2013</v>
      </c>
      <c r="GV937">
        <v>142.71</v>
      </c>
      <c r="GW937" t="s">
        <v>9696</v>
      </c>
      <c r="GX937">
        <v>6.75</v>
      </c>
      <c r="GY937" t="s">
        <v>424</v>
      </c>
      <c r="GZ937" t="s">
        <v>425</v>
      </c>
      <c r="HB937">
        <v>22</v>
      </c>
      <c r="HC937">
        <v>7336670</v>
      </c>
      <c r="HD937" t="s">
        <v>2102</v>
      </c>
      <c r="HE937" t="s">
        <v>458</v>
      </c>
      <c r="HF937" s="1">
        <v>41423</v>
      </c>
      <c r="HG937">
        <v>2012</v>
      </c>
      <c r="HH937">
        <v>145.59</v>
      </c>
      <c r="HI937" t="s">
        <v>9697</v>
      </c>
      <c r="HJ937">
        <v>10</v>
      </c>
      <c r="HK937" t="s">
        <v>424</v>
      </c>
      <c r="HL937" t="s">
        <v>425</v>
      </c>
      <c r="HM937" s="1">
        <v>42551</v>
      </c>
      <c r="HN937">
        <v>37</v>
      </c>
      <c r="HO937">
        <v>375</v>
      </c>
      <c r="HP937" t="s">
        <v>776</v>
      </c>
      <c r="HQ937" t="s">
        <v>458</v>
      </c>
      <c r="HR937" s="1">
        <v>41423</v>
      </c>
      <c r="HS937">
        <v>2012</v>
      </c>
      <c r="HT937">
        <v>145.59</v>
      </c>
      <c r="HU937" t="s">
        <v>9697</v>
      </c>
      <c r="HV937">
        <v>10</v>
      </c>
      <c r="HW937" t="s">
        <v>424</v>
      </c>
      <c r="HX937" t="s">
        <v>425</v>
      </c>
      <c r="HZ937">
        <v>22</v>
      </c>
      <c r="IA937">
        <v>105</v>
      </c>
      <c r="IB937" t="s">
        <v>946</v>
      </c>
      <c r="IC937" t="s">
        <v>458</v>
      </c>
      <c r="ID937" s="1">
        <v>41052</v>
      </c>
      <c r="IE937">
        <v>2011</v>
      </c>
      <c r="IF937">
        <v>205.09</v>
      </c>
      <c r="IG937" t="s">
        <v>9698</v>
      </c>
      <c r="IH937">
        <v>16.5</v>
      </c>
      <c r="II937" t="s">
        <v>424</v>
      </c>
      <c r="IJ937" t="s">
        <v>425</v>
      </c>
      <c r="IK937" s="1">
        <v>42551</v>
      </c>
      <c r="IL937">
        <v>49</v>
      </c>
      <c r="IM937">
        <v>619</v>
      </c>
      <c r="IN937" t="s">
        <v>2768</v>
      </c>
      <c r="IO937" t="s">
        <v>458</v>
      </c>
    </row>
    <row r="938" spans="1:249" x14ac:dyDescent="0.25">
      <c r="A938">
        <v>16485945</v>
      </c>
      <c r="B938">
        <v>937</v>
      </c>
      <c r="C938" t="s">
        <v>393</v>
      </c>
      <c r="D938" t="s">
        <v>394</v>
      </c>
      <c r="F938" t="str">
        <f>"49-2N-25-4150-000B-0180"</f>
        <v>49-2N-25-4150-000B-0180</v>
      </c>
      <c r="H938" t="str">
        <f t="shared" si="300"/>
        <v>5T WEALTH PARTNERS LP DEPARTMENT 6200</v>
      </c>
      <c r="I938" t="str">
        <f t="shared" si="301"/>
        <v>PO BOX 830539</v>
      </c>
      <c r="J938" t="str">
        <f t="shared" si="302"/>
        <v>BIRMINGHAM AL 35283</v>
      </c>
      <c r="K938" t="str">
        <f t="shared" si="298"/>
        <v>ROBINWOOD CIR</v>
      </c>
      <c r="L938" t="str">
        <f t="shared" si="291"/>
        <v>CALLAHAN FL 32011</v>
      </c>
      <c r="M938" t="str">
        <f>"BLOCK B LOT 18 CONSERVATION ESMT PT 699/529 IN OR 2087/1041 ROBINWOOD ESTATES PB 5/333"</f>
        <v>BLOCK B LOT 18 CONSERVATION ESMT PT 699/529 IN OR 2087/1041 ROBINWOOD ESTATES PB 5/333</v>
      </c>
      <c r="N938" t="str">
        <f>""</f>
        <v/>
      </c>
      <c r="O938" t="str">
        <f>"53997"</f>
        <v>53997</v>
      </c>
      <c r="P938" t="str">
        <f t="shared" si="283"/>
        <v>2017</v>
      </c>
      <c r="Q938" t="str">
        <f>""</f>
        <v/>
      </c>
      <c r="R938" t="str">
        <f t="shared" si="294"/>
        <v>N</v>
      </c>
      <c r="S938" t="str">
        <f>""</f>
        <v/>
      </c>
      <c r="T938" t="str">
        <f>"123.77"</f>
        <v>123.77</v>
      </c>
      <c r="U938" t="str">
        <f>"7500.00"</f>
        <v>7500.00</v>
      </c>
      <c r="V938" t="str">
        <f>"7500.00"</f>
        <v>7500.00</v>
      </c>
      <c r="W938" t="str">
        <f t="shared" si="284"/>
        <v>2017</v>
      </c>
      <c r="X938" t="str">
        <f t="shared" si="304"/>
        <v>25.00</v>
      </c>
      <c r="Y938" t="str">
        <f>"159.48"</f>
        <v>159.48</v>
      </c>
      <c r="Z938" t="str">
        <f>""</f>
        <v/>
      </c>
      <c r="AA938" t="str">
        <f>"7500.00"</f>
        <v>7500.00</v>
      </c>
      <c r="AB938" t="str">
        <f t="shared" si="296"/>
        <v>Residential</v>
      </c>
      <c r="AC938" t="str">
        <f t="shared" si="295"/>
        <v>0</v>
      </c>
      <c r="AD938" t="str">
        <f>""</f>
        <v/>
      </c>
      <c r="AE938" t="str">
        <f>""</f>
        <v/>
      </c>
      <c r="AF938" t="str">
        <f t="shared" si="299"/>
        <v>000</v>
      </c>
      <c r="AG938" t="str">
        <f t="shared" si="305"/>
        <v>AL</v>
      </c>
      <c r="AH938" t="str">
        <f>"7500.00"</f>
        <v>7500.00</v>
      </c>
      <c r="AI938" t="str">
        <f>"7500.00"</f>
        <v>7500.00</v>
      </c>
      <c r="AJ938" t="str">
        <f>"C55-000-588-6580-9"</f>
        <v>C55-000-588-6580-9</v>
      </c>
      <c r="AK938" t="str">
        <f>"14769"</f>
        <v>14769</v>
      </c>
      <c r="AL938">
        <v>4</v>
      </c>
      <c r="AM938">
        <v>1083</v>
      </c>
      <c r="AN938">
        <v>165.85</v>
      </c>
      <c r="AQ938" t="s">
        <v>9699</v>
      </c>
      <c r="AR938" t="s">
        <v>9699</v>
      </c>
      <c r="AS938" t="s">
        <v>9699</v>
      </c>
      <c r="AU938" t="s">
        <v>396</v>
      </c>
      <c r="AV938">
        <v>2017</v>
      </c>
      <c r="AW938" t="str">
        <f>"49-2N-25-4150-000B-0180 "</f>
        <v xml:space="preserve">49-2N-25-4150-000B-0180 </v>
      </c>
      <c r="AZ938" t="s">
        <v>9183</v>
      </c>
      <c r="BA938" t="s">
        <v>1799</v>
      </c>
      <c r="BD938" t="s">
        <v>2785</v>
      </c>
      <c r="BE938" t="s">
        <v>393</v>
      </c>
      <c r="BF938">
        <v>32011</v>
      </c>
      <c r="BG938" t="s">
        <v>9586</v>
      </c>
      <c r="BH938" t="s">
        <v>2787</v>
      </c>
      <c r="BI938">
        <v>-81.828221044068499</v>
      </c>
      <c r="BJ938">
        <v>30.554273441602898</v>
      </c>
      <c r="BK938" t="s">
        <v>9700</v>
      </c>
      <c r="BM938" t="s">
        <v>9665</v>
      </c>
      <c r="BN938" t="s">
        <v>9666</v>
      </c>
      <c r="BO938">
        <v>35283</v>
      </c>
      <c r="BP938" t="s">
        <v>404</v>
      </c>
      <c r="BQ938">
        <v>0</v>
      </c>
      <c r="BR938" t="s">
        <v>491</v>
      </c>
      <c r="BS938">
        <v>8001</v>
      </c>
      <c r="BT938" t="s">
        <v>492</v>
      </c>
      <c r="BW938">
        <v>7967</v>
      </c>
      <c r="BX938" t="s">
        <v>407</v>
      </c>
      <c r="CD938">
        <v>2017</v>
      </c>
      <c r="CE938">
        <v>7500</v>
      </c>
      <c r="CG938">
        <v>7500</v>
      </c>
      <c r="CH938">
        <v>2017</v>
      </c>
      <c r="CI938">
        <v>7500</v>
      </c>
      <c r="CK938">
        <v>7500</v>
      </c>
      <c r="CL938">
        <v>2017</v>
      </c>
      <c r="CM938">
        <v>123.77</v>
      </c>
      <c r="CN938" s="1">
        <v>38940</v>
      </c>
      <c r="CZ938" s="1">
        <v>38940</v>
      </c>
      <c r="DD938" t="s">
        <v>2785</v>
      </c>
      <c r="DF938">
        <v>18</v>
      </c>
      <c r="DG938">
        <v>49</v>
      </c>
      <c r="DL938">
        <v>50503</v>
      </c>
      <c r="DM938" t="s">
        <v>9563</v>
      </c>
      <c r="DO938" t="s">
        <v>9701</v>
      </c>
      <c r="DP938">
        <v>0</v>
      </c>
      <c r="DQ938">
        <v>0</v>
      </c>
      <c r="DR938" t="s">
        <v>411</v>
      </c>
      <c r="DS938" t="b">
        <v>1</v>
      </c>
      <c r="DT938" t="s">
        <v>396</v>
      </c>
      <c r="DV938" t="s">
        <v>446</v>
      </c>
      <c r="DX938">
        <v>-9999</v>
      </c>
      <c r="DZ938" t="s">
        <v>447</v>
      </c>
      <c r="EA938" t="s">
        <v>448</v>
      </c>
      <c r="EB938" t="s">
        <v>9668</v>
      </c>
      <c r="EC938">
        <v>20101217</v>
      </c>
      <c r="ED938" t="s">
        <v>450</v>
      </c>
      <c r="EE938">
        <v>16.7</v>
      </c>
      <c r="EF938">
        <v>0</v>
      </c>
      <c r="EG938">
        <v>0</v>
      </c>
      <c r="EI938">
        <v>20160407</v>
      </c>
      <c r="EJ938">
        <v>0</v>
      </c>
      <c r="EK938">
        <v>0</v>
      </c>
      <c r="EP938" t="s">
        <v>421</v>
      </c>
      <c r="EQ938" t="s">
        <v>452</v>
      </c>
      <c r="ER938">
        <v>1</v>
      </c>
      <c r="ES938">
        <v>6</v>
      </c>
      <c r="ET938">
        <v>84.04</v>
      </c>
      <c r="EU938">
        <v>21.38</v>
      </c>
      <c r="EV938">
        <v>105.42</v>
      </c>
      <c r="EW938" s="2">
        <v>43222</v>
      </c>
      <c r="EX938" s="1">
        <v>42879</v>
      </c>
      <c r="EY938">
        <v>2016</v>
      </c>
      <c r="EZ938">
        <v>84.04</v>
      </c>
      <c r="FA938" t="s">
        <v>9702</v>
      </c>
      <c r="FB938">
        <v>18</v>
      </c>
      <c r="FC938" t="s">
        <v>424</v>
      </c>
      <c r="FD938" t="s">
        <v>454</v>
      </c>
      <c r="FF938">
        <v>12</v>
      </c>
      <c r="FG938">
        <v>7336670</v>
      </c>
      <c r="FH938" t="s">
        <v>2102</v>
      </c>
      <c r="FJ938" s="1">
        <v>42515</v>
      </c>
      <c r="FK938">
        <v>2015</v>
      </c>
      <c r="FL938">
        <v>81.78</v>
      </c>
      <c r="FM938" t="s">
        <v>9703</v>
      </c>
      <c r="FN938">
        <v>18</v>
      </c>
      <c r="FO938" t="s">
        <v>424</v>
      </c>
      <c r="FP938" t="s">
        <v>425</v>
      </c>
      <c r="FR938">
        <v>22</v>
      </c>
      <c r="FS938">
        <v>7336670</v>
      </c>
      <c r="FT938" t="s">
        <v>2102</v>
      </c>
      <c r="FU938" t="s">
        <v>458</v>
      </c>
      <c r="FV938" s="1">
        <v>42151</v>
      </c>
      <c r="FW938">
        <v>2014</v>
      </c>
      <c r="FX938">
        <v>140.68</v>
      </c>
      <c r="FY938" t="s">
        <v>9704</v>
      </c>
      <c r="FZ938">
        <v>18</v>
      </c>
      <c r="GA938" t="s">
        <v>424</v>
      </c>
      <c r="GB938" t="s">
        <v>425</v>
      </c>
      <c r="GC938" s="1">
        <v>42551</v>
      </c>
      <c r="GD938">
        <v>13</v>
      </c>
      <c r="GE938">
        <v>10125</v>
      </c>
      <c r="GF938" t="s">
        <v>440</v>
      </c>
      <c r="GG938" t="s">
        <v>458</v>
      </c>
      <c r="GH938" s="1">
        <v>41787</v>
      </c>
      <c r="GI938">
        <v>2013</v>
      </c>
      <c r="GJ938">
        <v>142.71</v>
      </c>
      <c r="GK938" t="s">
        <v>9705</v>
      </c>
      <c r="GL938">
        <v>6.75</v>
      </c>
      <c r="GM938" t="s">
        <v>424</v>
      </c>
      <c r="GN938" t="s">
        <v>425</v>
      </c>
      <c r="GP938">
        <v>22</v>
      </c>
      <c r="GQ938">
        <v>2035919</v>
      </c>
      <c r="GR938" t="s">
        <v>507</v>
      </c>
      <c r="GS938" t="s">
        <v>458</v>
      </c>
      <c r="GT938" s="1">
        <v>41787</v>
      </c>
      <c r="GU938">
        <v>2013</v>
      </c>
      <c r="GV938">
        <v>142.71</v>
      </c>
      <c r="GW938" t="s">
        <v>9705</v>
      </c>
      <c r="GX938">
        <v>6.75</v>
      </c>
      <c r="GY938" t="s">
        <v>424</v>
      </c>
      <c r="GZ938" t="s">
        <v>425</v>
      </c>
      <c r="HB938">
        <v>22</v>
      </c>
      <c r="HC938">
        <v>7336670</v>
      </c>
      <c r="HD938" t="s">
        <v>2102</v>
      </c>
      <c r="HE938" t="s">
        <v>458</v>
      </c>
      <c r="HF938" s="1">
        <v>41423</v>
      </c>
      <c r="HG938">
        <v>2012</v>
      </c>
      <c r="HH938">
        <v>145.59</v>
      </c>
      <c r="HI938" t="s">
        <v>9706</v>
      </c>
      <c r="HJ938">
        <v>10</v>
      </c>
      <c r="HK938" t="s">
        <v>424</v>
      </c>
      <c r="HL938" t="s">
        <v>425</v>
      </c>
      <c r="HM938" s="1">
        <v>42551</v>
      </c>
      <c r="HN938">
        <v>37</v>
      </c>
      <c r="HO938">
        <v>375</v>
      </c>
      <c r="HP938" t="s">
        <v>776</v>
      </c>
      <c r="HQ938" t="s">
        <v>458</v>
      </c>
      <c r="HR938" s="1">
        <v>41052</v>
      </c>
      <c r="HS938">
        <v>2011</v>
      </c>
      <c r="HT938">
        <v>205.09</v>
      </c>
      <c r="HU938" t="s">
        <v>9707</v>
      </c>
      <c r="HV938">
        <v>16.5</v>
      </c>
      <c r="HW938" t="s">
        <v>424</v>
      </c>
      <c r="HX938" t="s">
        <v>425</v>
      </c>
      <c r="HY938" s="1">
        <v>42551</v>
      </c>
      <c r="HZ938">
        <v>49</v>
      </c>
      <c r="IA938">
        <v>619</v>
      </c>
      <c r="IB938" t="s">
        <v>2768</v>
      </c>
      <c r="IC938" t="s">
        <v>458</v>
      </c>
    </row>
    <row r="939" spans="1:249" x14ac:dyDescent="0.25">
      <c r="A939">
        <v>16485946</v>
      </c>
      <c r="B939">
        <v>938</v>
      </c>
      <c r="C939" t="s">
        <v>393</v>
      </c>
      <c r="D939" t="s">
        <v>394</v>
      </c>
      <c r="F939" t="str">
        <f>"49-2N-25-4150-000B-0190"</f>
        <v>49-2N-25-4150-000B-0190</v>
      </c>
      <c r="H939" t="str">
        <f t="shared" si="300"/>
        <v>5T WEALTH PARTNERS LP DEPARTMENT 6200</v>
      </c>
      <c r="I939" t="str">
        <f t="shared" si="301"/>
        <v>PO BOX 830539</v>
      </c>
      <c r="J939" t="str">
        <f t="shared" si="302"/>
        <v>BIRMINGHAM AL 35283</v>
      </c>
      <c r="K939" t="str">
        <f t="shared" si="298"/>
        <v>ROBINWOOD CIR</v>
      </c>
      <c r="L939" t="str">
        <f t="shared" si="291"/>
        <v>CALLAHAN FL 32011</v>
      </c>
      <c r="M939" t="str">
        <f>"BLOCK B LOT 19 CONSERVATION ESMT PT 699/529 IN OR 2088/1073 ROBINWOOD ESTATES PB 5/333"</f>
        <v>BLOCK B LOT 19 CONSERVATION ESMT PT 699/529 IN OR 2088/1073 ROBINWOOD ESTATES PB 5/333</v>
      </c>
      <c r="N939" t="str">
        <f>""</f>
        <v/>
      </c>
      <c r="O939" t="str">
        <f>"53998"</f>
        <v>53998</v>
      </c>
      <c r="P939" t="str">
        <f t="shared" si="283"/>
        <v>2017</v>
      </c>
      <c r="Q939" t="str">
        <f>""</f>
        <v/>
      </c>
      <c r="R939" t="str">
        <f t="shared" si="294"/>
        <v>N</v>
      </c>
      <c r="S939" t="str">
        <f>""</f>
        <v/>
      </c>
      <c r="T939" t="str">
        <f>"123.77"</f>
        <v>123.77</v>
      </c>
      <c r="U939" t="str">
        <f>"7500.00"</f>
        <v>7500.00</v>
      </c>
      <c r="V939" t="str">
        <f>"7500.00"</f>
        <v>7500.00</v>
      </c>
      <c r="W939" t="str">
        <f t="shared" si="284"/>
        <v>2017</v>
      </c>
      <c r="X939" t="str">
        <f t="shared" si="304"/>
        <v>25.00</v>
      </c>
      <c r="Y939" t="str">
        <f>"159.48"</f>
        <v>159.48</v>
      </c>
      <c r="Z939" t="str">
        <f>""</f>
        <v/>
      </c>
      <c r="AA939" t="str">
        <f>"7500.00"</f>
        <v>7500.00</v>
      </c>
      <c r="AB939" t="str">
        <f t="shared" si="296"/>
        <v>Residential</v>
      </c>
      <c r="AC939" t="str">
        <f t="shared" si="295"/>
        <v>0</v>
      </c>
      <c r="AD939" t="str">
        <f>""</f>
        <v/>
      </c>
      <c r="AE939" t="str">
        <f>""</f>
        <v/>
      </c>
      <c r="AF939" t="str">
        <f t="shared" si="299"/>
        <v>000</v>
      </c>
      <c r="AG939" t="str">
        <f t="shared" si="305"/>
        <v>AL</v>
      </c>
      <c r="AH939" t="str">
        <f>"10400.00"</f>
        <v>10400.00</v>
      </c>
      <c r="AI939" t="str">
        <f>"7500.00"</f>
        <v>7500.00</v>
      </c>
      <c r="AJ939" t="str">
        <f>"C55-000-588-6581-7"</f>
        <v>C55-000-588-6581-7</v>
      </c>
      <c r="AK939" t="str">
        <f>"14770"</f>
        <v>14770</v>
      </c>
      <c r="AL939">
        <v>4</v>
      </c>
      <c r="AM939">
        <v>1084</v>
      </c>
      <c r="AN939">
        <v>165.85</v>
      </c>
      <c r="AQ939" t="s">
        <v>9708</v>
      </c>
      <c r="AR939" t="s">
        <v>9708</v>
      </c>
      <c r="AS939" t="s">
        <v>9708</v>
      </c>
      <c r="AU939" t="s">
        <v>396</v>
      </c>
      <c r="AV939">
        <v>2017</v>
      </c>
      <c r="AW939" t="str">
        <f>"49-2N-25-4150-000B-0190 "</f>
        <v xml:space="preserve">49-2N-25-4150-000B-0190 </v>
      </c>
      <c r="AZ939" t="s">
        <v>9183</v>
      </c>
      <c r="BA939" t="s">
        <v>1799</v>
      </c>
      <c r="BD939" t="s">
        <v>2785</v>
      </c>
      <c r="BE939" t="s">
        <v>393</v>
      </c>
      <c r="BF939">
        <v>32011</v>
      </c>
      <c r="BG939" t="s">
        <v>9586</v>
      </c>
      <c r="BH939" t="s">
        <v>2787</v>
      </c>
      <c r="BI939">
        <v>-81.828290991269597</v>
      </c>
      <c r="BJ939">
        <v>30.554473748156799</v>
      </c>
      <c r="BK939" t="s">
        <v>2102</v>
      </c>
      <c r="BM939" t="s">
        <v>9665</v>
      </c>
      <c r="BN939" t="s">
        <v>9666</v>
      </c>
      <c r="BO939">
        <v>35283</v>
      </c>
      <c r="BP939" t="s">
        <v>404</v>
      </c>
      <c r="BQ939">
        <v>0</v>
      </c>
      <c r="BR939" t="s">
        <v>491</v>
      </c>
      <c r="BS939">
        <v>8001</v>
      </c>
      <c r="BT939" t="s">
        <v>492</v>
      </c>
      <c r="BW939">
        <v>10815</v>
      </c>
      <c r="BX939" t="s">
        <v>407</v>
      </c>
      <c r="CD939">
        <v>2017</v>
      </c>
      <c r="CE939">
        <v>7500</v>
      </c>
      <c r="CG939">
        <v>7500</v>
      </c>
      <c r="CH939">
        <v>2017</v>
      </c>
      <c r="CI939">
        <v>7500</v>
      </c>
      <c r="CK939">
        <v>7500</v>
      </c>
      <c r="CL939">
        <v>2017</v>
      </c>
      <c r="CM939">
        <v>123.77</v>
      </c>
      <c r="CN939" s="1">
        <v>38940</v>
      </c>
      <c r="CZ939" s="1">
        <v>38940</v>
      </c>
      <c r="DD939" t="s">
        <v>2785</v>
      </c>
      <c r="DF939">
        <v>19</v>
      </c>
      <c r="DG939">
        <v>49</v>
      </c>
      <c r="DL939">
        <v>50503</v>
      </c>
      <c r="DM939" t="s">
        <v>9563</v>
      </c>
      <c r="DO939" t="s">
        <v>9709</v>
      </c>
      <c r="DP939">
        <v>0</v>
      </c>
      <c r="DQ939">
        <v>0</v>
      </c>
      <c r="DR939" t="s">
        <v>411</v>
      </c>
      <c r="DS939" t="b">
        <v>1</v>
      </c>
      <c r="DT939" t="s">
        <v>396</v>
      </c>
      <c r="DV939" t="s">
        <v>446</v>
      </c>
      <c r="DX939">
        <v>-9999</v>
      </c>
      <c r="DZ939" t="s">
        <v>447</v>
      </c>
      <c r="EA939" t="s">
        <v>448</v>
      </c>
      <c r="EB939" t="s">
        <v>9668</v>
      </c>
      <c r="EC939">
        <v>20101217</v>
      </c>
      <c r="ED939" t="s">
        <v>450</v>
      </c>
      <c r="EE939">
        <v>16.7</v>
      </c>
      <c r="EF939">
        <v>0</v>
      </c>
      <c r="EG939">
        <v>0</v>
      </c>
      <c r="EI939">
        <v>20160407</v>
      </c>
      <c r="EJ939">
        <v>0</v>
      </c>
      <c r="EK939">
        <v>0</v>
      </c>
      <c r="EP939" t="s">
        <v>421</v>
      </c>
      <c r="EQ939" t="s">
        <v>452</v>
      </c>
      <c r="ER939">
        <v>1</v>
      </c>
      <c r="ES939">
        <v>6</v>
      </c>
      <c r="ET939">
        <v>84.04</v>
      </c>
      <c r="EU939">
        <v>21.38</v>
      </c>
      <c r="EV939">
        <v>105.42</v>
      </c>
      <c r="EW939" s="2">
        <v>43222</v>
      </c>
      <c r="EX939" s="1">
        <v>42879</v>
      </c>
      <c r="EY939">
        <v>2016</v>
      </c>
      <c r="EZ939">
        <v>84.04</v>
      </c>
      <c r="FA939" t="s">
        <v>9710</v>
      </c>
      <c r="FB939">
        <v>18</v>
      </c>
      <c r="FC939" t="s">
        <v>424</v>
      </c>
      <c r="FD939" t="s">
        <v>454</v>
      </c>
      <c r="FF939">
        <v>12</v>
      </c>
      <c r="FG939">
        <v>7336670</v>
      </c>
      <c r="FH939" t="s">
        <v>2102</v>
      </c>
      <c r="FJ939" s="1">
        <v>42515</v>
      </c>
      <c r="FK939">
        <v>2015</v>
      </c>
      <c r="FL939">
        <v>81.78</v>
      </c>
      <c r="FM939" t="s">
        <v>9711</v>
      </c>
      <c r="FN939">
        <v>18</v>
      </c>
      <c r="FO939" t="s">
        <v>424</v>
      </c>
      <c r="FP939" t="s">
        <v>425</v>
      </c>
      <c r="FR939">
        <v>22</v>
      </c>
      <c r="FS939">
        <v>7336670</v>
      </c>
      <c r="FT939" t="s">
        <v>2102</v>
      </c>
      <c r="FU939" t="s">
        <v>458</v>
      </c>
      <c r="FV939" s="1">
        <v>42151</v>
      </c>
      <c r="FW939">
        <v>2014</v>
      </c>
      <c r="FX939">
        <v>140.68</v>
      </c>
      <c r="FY939" t="s">
        <v>9712</v>
      </c>
      <c r="FZ939">
        <v>18</v>
      </c>
      <c r="GA939" t="s">
        <v>424</v>
      </c>
      <c r="GB939" t="s">
        <v>425</v>
      </c>
      <c r="GC939" s="1">
        <v>42551</v>
      </c>
      <c r="GD939">
        <v>13</v>
      </c>
      <c r="GE939">
        <v>10125</v>
      </c>
      <c r="GF939" t="s">
        <v>440</v>
      </c>
      <c r="GG939" t="s">
        <v>458</v>
      </c>
      <c r="GH939" s="1">
        <v>41787</v>
      </c>
      <c r="GI939">
        <v>2013</v>
      </c>
      <c r="GJ939">
        <v>142.71</v>
      </c>
      <c r="GK939" t="s">
        <v>9713</v>
      </c>
      <c r="GL939">
        <v>6.75</v>
      </c>
      <c r="GM939" t="s">
        <v>424</v>
      </c>
      <c r="GN939" t="s">
        <v>425</v>
      </c>
      <c r="GP939">
        <v>22</v>
      </c>
      <c r="GQ939">
        <v>2035919</v>
      </c>
      <c r="GR939" t="s">
        <v>507</v>
      </c>
      <c r="GS939" t="s">
        <v>458</v>
      </c>
      <c r="GT939" s="1">
        <v>41787</v>
      </c>
      <c r="GU939">
        <v>2013</v>
      </c>
      <c r="GV939">
        <v>142.71</v>
      </c>
      <c r="GW939" t="s">
        <v>9713</v>
      </c>
      <c r="GX939">
        <v>6.75</v>
      </c>
      <c r="GY939" t="s">
        <v>424</v>
      </c>
      <c r="GZ939" t="s">
        <v>425</v>
      </c>
      <c r="HB939">
        <v>22</v>
      </c>
      <c r="HC939">
        <v>7336670</v>
      </c>
      <c r="HD939" t="s">
        <v>2102</v>
      </c>
      <c r="HE939" t="s">
        <v>458</v>
      </c>
      <c r="HF939" s="1">
        <v>41423</v>
      </c>
      <c r="HG939">
        <v>2012</v>
      </c>
      <c r="HH939">
        <v>145.59</v>
      </c>
      <c r="HI939" t="s">
        <v>9714</v>
      </c>
      <c r="HJ939">
        <v>10</v>
      </c>
      <c r="HK939" t="s">
        <v>424</v>
      </c>
      <c r="HL939" t="s">
        <v>425</v>
      </c>
      <c r="HM939" s="1">
        <v>42551</v>
      </c>
      <c r="HN939">
        <v>37</v>
      </c>
      <c r="HO939">
        <v>375</v>
      </c>
      <c r="HP939" t="s">
        <v>776</v>
      </c>
      <c r="HQ939" t="s">
        <v>458</v>
      </c>
      <c r="HR939" s="1">
        <v>41052</v>
      </c>
      <c r="HS939">
        <v>2011</v>
      </c>
      <c r="HT939">
        <v>205.09</v>
      </c>
      <c r="HU939" t="s">
        <v>9715</v>
      </c>
      <c r="HV939">
        <v>16.5</v>
      </c>
      <c r="HW939" t="s">
        <v>424</v>
      </c>
      <c r="HX939" t="s">
        <v>425</v>
      </c>
      <c r="HY939" s="1">
        <v>42551</v>
      </c>
      <c r="HZ939">
        <v>49</v>
      </c>
      <c r="IA939">
        <v>619</v>
      </c>
      <c r="IB939" t="s">
        <v>2768</v>
      </c>
      <c r="IC939" t="s">
        <v>458</v>
      </c>
    </row>
    <row r="940" spans="1:249" x14ac:dyDescent="0.25">
      <c r="A940">
        <v>16485947</v>
      </c>
      <c r="B940">
        <v>939</v>
      </c>
      <c r="C940" t="s">
        <v>393</v>
      </c>
      <c r="D940" t="s">
        <v>394</v>
      </c>
      <c r="F940" t="str">
        <f>"49-2N-25-4160-0003-0010"</f>
        <v>49-2N-25-4160-0003-0010</v>
      </c>
      <c r="H940" t="str">
        <f>"ROHE ERIN PA"</f>
        <v>ROHE ERIN PA</v>
      </c>
      <c r="I940" t="str">
        <f>"103 S 10TH ST"</f>
        <v>103 S 10TH ST</v>
      </c>
      <c r="J940" t="str">
        <f>"FERNANDINA BEACH FL 32034"</f>
        <v>FERNANDINA BEACH FL 32034</v>
      </c>
      <c r="K940" t="str">
        <f>"PICKETT ST"</f>
        <v>PICKETT ST</v>
      </c>
      <c r="L940" t="str">
        <f t="shared" si="291"/>
        <v>CALLAHAN FL 32011</v>
      </c>
      <c r="M940" t="str">
        <f>"PT OF LOT 3 IN OR 1815/129 ANTHONY BRYANT LAND SUB DBK 169/496"</f>
        <v>PT OF LOT 3 IN OR 1815/129 ANTHONY BRYANT LAND SUB DBK 169/496</v>
      </c>
      <c r="N940" t="str">
        <f>""</f>
        <v/>
      </c>
      <c r="O940" t="str">
        <f>"54013"</f>
        <v>54013</v>
      </c>
      <c r="P940" t="str">
        <f t="shared" si="283"/>
        <v>2017</v>
      </c>
      <c r="Q940" t="str">
        <f>""</f>
        <v/>
      </c>
      <c r="R940" t="str">
        <f t="shared" si="294"/>
        <v>N</v>
      </c>
      <c r="S940" t="str">
        <f>"2.39"</f>
        <v>2.39</v>
      </c>
      <c r="T940" t="str">
        <f>"236.66"</f>
        <v>236.66</v>
      </c>
      <c r="U940" t="str">
        <f>"14340.00"</f>
        <v>14340.00</v>
      </c>
      <c r="V940" t="str">
        <f>"14340.00"</f>
        <v>14340.00</v>
      </c>
      <c r="W940" t="str">
        <f t="shared" si="284"/>
        <v>2017</v>
      </c>
      <c r="X940" t="str">
        <f>"21.86"</f>
        <v>21.86</v>
      </c>
      <c r="Y940" t="str">
        <f>"275.76"</f>
        <v>275.76</v>
      </c>
      <c r="Z940" t="str">
        <f>""</f>
        <v/>
      </c>
      <c r="AA940" t="str">
        <f>"14340.00"</f>
        <v>14340.00</v>
      </c>
      <c r="AB940" t="str">
        <f t="shared" si="296"/>
        <v>Residential</v>
      </c>
      <c r="AC940" t="str">
        <f t="shared" si="295"/>
        <v>0</v>
      </c>
      <c r="AD940" t="str">
        <f>""</f>
        <v/>
      </c>
      <c r="AE940" t="str">
        <f>""</f>
        <v/>
      </c>
      <c r="AF940" t="str">
        <f t="shared" si="299"/>
        <v>000</v>
      </c>
      <c r="AG940" t="str">
        <f t="shared" ref="AG940:AG959" si="306">"FL"</f>
        <v>FL</v>
      </c>
      <c r="AH940" t="str">
        <f>"104108.00"</f>
        <v>104108.00</v>
      </c>
      <c r="AI940" t="str">
        <f>"14340.00"</f>
        <v>14340.00</v>
      </c>
      <c r="AJ940" t="str">
        <f>"C55-000-588-6595-7"</f>
        <v>C55-000-588-6595-7</v>
      </c>
      <c r="AK940" t="str">
        <f>"14784"</f>
        <v>14784</v>
      </c>
      <c r="AL940">
        <v>4</v>
      </c>
      <c r="AM940">
        <v>1085</v>
      </c>
      <c r="AN940">
        <v>287.95</v>
      </c>
      <c r="AQ940" t="s">
        <v>9716</v>
      </c>
      <c r="AR940" t="s">
        <v>9716</v>
      </c>
      <c r="AS940" t="s">
        <v>9716</v>
      </c>
      <c r="AU940" t="s">
        <v>396</v>
      </c>
      <c r="AV940">
        <v>2017</v>
      </c>
      <c r="AW940" t="str">
        <f>"49-2N-25-4160-0003-0010 "</f>
        <v xml:space="preserve">49-2N-25-4160-0003-0010 </v>
      </c>
      <c r="AZ940" t="s">
        <v>9198</v>
      </c>
      <c r="BA940" t="s">
        <v>1942</v>
      </c>
      <c r="BD940" t="s">
        <v>2785</v>
      </c>
      <c r="BE940" t="s">
        <v>393</v>
      </c>
      <c r="BF940">
        <v>32011</v>
      </c>
      <c r="BG940" t="s">
        <v>9199</v>
      </c>
      <c r="BH940" t="s">
        <v>2787</v>
      </c>
      <c r="BI940">
        <v>-81.832832055124101</v>
      </c>
      <c r="BJ940">
        <v>30.554640671344199</v>
      </c>
      <c r="BK940" t="s">
        <v>9717</v>
      </c>
      <c r="BM940" t="s">
        <v>9718</v>
      </c>
      <c r="BN940" t="s">
        <v>3983</v>
      </c>
      <c r="BO940">
        <v>32034</v>
      </c>
      <c r="BP940" t="s">
        <v>404</v>
      </c>
      <c r="BQ940">
        <v>0</v>
      </c>
      <c r="BR940" t="s">
        <v>491</v>
      </c>
      <c r="BS940">
        <v>8001</v>
      </c>
      <c r="BT940" t="s">
        <v>492</v>
      </c>
      <c r="BW940">
        <v>104108</v>
      </c>
      <c r="BX940" t="s">
        <v>407</v>
      </c>
      <c r="CD940">
        <v>2017</v>
      </c>
      <c r="CE940">
        <v>14340</v>
      </c>
      <c r="CG940">
        <v>14340</v>
      </c>
      <c r="CH940">
        <v>2017</v>
      </c>
      <c r="CI940">
        <v>14340</v>
      </c>
      <c r="CK940">
        <v>14340</v>
      </c>
      <c r="CL940">
        <v>2017</v>
      </c>
      <c r="CM940">
        <v>236.66</v>
      </c>
      <c r="CN940" s="1">
        <v>38569</v>
      </c>
      <c r="CO940">
        <v>125000</v>
      </c>
      <c r="CV940">
        <v>0</v>
      </c>
      <c r="CZ940" s="1">
        <v>38569</v>
      </c>
      <c r="DA940">
        <v>0</v>
      </c>
      <c r="DD940" t="s">
        <v>2785</v>
      </c>
      <c r="DF940">
        <v>3</v>
      </c>
      <c r="DG940">
        <v>49</v>
      </c>
      <c r="DJ940" t="s">
        <v>9276</v>
      </c>
      <c r="DL940">
        <v>50503</v>
      </c>
      <c r="DM940" t="s">
        <v>9563</v>
      </c>
      <c r="DO940" t="s">
        <v>9719</v>
      </c>
      <c r="DP940">
        <v>0</v>
      </c>
      <c r="DQ940">
        <v>0</v>
      </c>
      <c r="DR940" t="s">
        <v>411</v>
      </c>
      <c r="DS940" t="b">
        <v>1</v>
      </c>
      <c r="DT940" t="s">
        <v>396</v>
      </c>
      <c r="DV940" t="s">
        <v>446</v>
      </c>
      <c r="DX940">
        <v>-9999</v>
      </c>
      <c r="DZ940" t="s">
        <v>447</v>
      </c>
      <c r="EA940" t="s">
        <v>448</v>
      </c>
      <c r="EB940" t="s">
        <v>9668</v>
      </c>
      <c r="EC940">
        <v>20101217</v>
      </c>
      <c r="ED940" t="s">
        <v>450</v>
      </c>
      <c r="EE940">
        <v>17.100000000000001</v>
      </c>
      <c r="EF940">
        <v>0</v>
      </c>
      <c r="EG940">
        <v>0</v>
      </c>
      <c r="EI940">
        <v>20160407</v>
      </c>
      <c r="EJ940">
        <v>0</v>
      </c>
      <c r="EK940">
        <v>0</v>
      </c>
      <c r="EP940" t="s">
        <v>421</v>
      </c>
      <c r="EQ940" t="s">
        <v>422</v>
      </c>
      <c r="ER940">
        <v>1</v>
      </c>
      <c r="ES940">
        <v>7</v>
      </c>
      <c r="ET940">
        <v>288.12</v>
      </c>
      <c r="EU940">
        <v>30.74</v>
      </c>
      <c r="EV940">
        <v>318.86</v>
      </c>
      <c r="EW940" s="2">
        <v>43222</v>
      </c>
      <c r="EX940" s="1">
        <v>42879</v>
      </c>
      <c r="EY940">
        <v>2016</v>
      </c>
      <c r="EZ940">
        <v>288.12</v>
      </c>
      <c r="FA940" t="s">
        <v>9720</v>
      </c>
      <c r="FB940">
        <v>8.5</v>
      </c>
      <c r="FC940" t="s">
        <v>424</v>
      </c>
      <c r="FD940" t="s">
        <v>454</v>
      </c>
      <c r="FF940">
        <v>12</v>
      </c>
      <c r="FG940">
        <v>10125</v>
      </c>
      <c r="FH940" t="s">
        <v>440</v>
      </c>
      <c r="FJ940" s="1">
        <v>42515</v>
      </c>
      <c r="FK940">
        <v>2015</v>
      </c>
      <c r="FL940">
        <v>289.82</v>
      </c>
      <c r="FM940" t="s">
        <v>9721</v>
      </c>
      <c r="FN940">
        <v>14.75</v>
      </c>
      <c r="FO940" t="s">
        <v>424</v>
      </c>
      <c r="FP940" t="s">
        <v>425</v>
      </c>
      <c r="FQ940" s="1">
        <v>43189</v>
      </c>
      <c r="FR940">
        <v>22</v>
      </c>
      <c r="FS940">
        <v>7336143</v>
      </c>
      <c r="FT940" t="s">
        <v>539</v>
      </c>
      <c r="FV940" s="1">
        <v>42151</v>
      </c>
      <c r="FW940">
        <v>2014</v>
      </c>
      <c r="FX940">
        <v>293.55</v>
      </c>
      <c r="FY940" t="s">
        <v>9722</v>
      </c>
      <c r="FZ940">
        <v>4.75</v>
      </c>
      <c r="GA940" t="s">
        <v>424</v>
      </c>
      <c r="GB940" t="s">
        <v>425</v>
      </c>
      <c r="GC940" s="1">
        <v>42824</v>
      </c>
      <c r="GD940">
        <v>22</v>
      </c>
      <c r="GE940">
        <v>4975593</v>
      </c>
      <c r="GF940" t="s">
        <v>505</v>
      </c>
      <c r="GH940" s="1">
        <v>41787</v>
      </c>
      <c r="GI940">
        <v>2013</v>
      </c>
      <c r="GJ940">
        <v>270.45999999999998</v>
      </c>
      <c r="GK940" t="s">
        <v>9723</v>
      </c>
      <c r="GL940">
        <v>6.75</v>
      </c>
      <c r="GM940" t="s">
        <v>424</v>
      </c>
      <c r="GN940" t="s">
        <v>425</v>
      </c>
      <c r="GO940" s="1">
        <v>42459</v>
      </c>
      <c r="GP940">
        <v>22</v>
      </c>
      <c r="GQ940">
        <v>2035919</v>
      </c>
      <c r="GR940" t="s">
        <v>507</v>
      </c>
      <c r="GT940" s="1">
        <v>41423</v>
      </c>
      <c r="GU940">
        <v>2012</v>
      </c>
      <c r="GV940">
        <v>251.43</v>
      </c>
      <c r="GW940" t="s">
        <v>9724</v>
      </c>
      <c r="GX940">
        <v>6</v>
      </c>
      <c r="GY940" t="s">
        <v>424</v>
      </c>
      <c r="GZ940" t="s">
        <v>425</v>
      </c>
      <c r="HA940" s="1">
        <v>42094</v>
      </c>
      <c r="HB940">
        <v>22</v>
      </c>
      <c r="HC940">
        <v>375</v>
      </c>
      <c r="HD940" t="s">
        <v>776</v>
      </c>
      <c r="HF940" s="1">
        <v>41423</v>
      </c>
      <c r="HG940">
        <v>2012</v>
      </c>
      <c r="HH940">
        <v>251.43</v>
      </c>
      <c r="HI940" t="s">
        <v>9724</v>
      </c>
      <c r="HJ940">
        <v>6</v>
      </c>
      <c r="HK940" t="s">
        <v>424</v>
      </c>
      <c r="HL940" t="s">
        <v>425</v>
      </c>
      <c r="HN940">
        <v>22</v>
      </c>
      <c r="HO940">
        <v>1109</v>
      </c>
      <c r="HP940" t="s">
        <v>852</v>
      </c>
      <c r="HR940" s="1">
        <v>41052</v>
      </c>
      <c r="HS940">
        <v>2011</v>
      </c>
      <c r="HT940">
        <v>245.05</v>
      </c>
      <c r="HU940" t="s">
        <v>9725</v>
      </c>
      <c r="HV940">
        <v>18</v>
      </c>
      <c r="HW940" t="s">
        <v>424</v>
      </c>
      <c r="HX940" t="s">
        <v>425</v>
      </c>
      <c r="HY940" s="1">
        <v>41729</v>
      </c>
      <c r="HZ940">
        <v>22</v>
      </c>
      <c r="IA940">
        <v>619</v>
      </c>
      <c r="IB940" t="s">
        <v>2768</v>
      </c>
      <c r="ID940" s="1">
        <v>40688</v>
      </c>
      <c r="IE940">
        <v>2010</v>
      </c>
      <c r="IF940">
        <v>244.03</v>
      </c>
      <c r="IG940" t="s">
        <v>9726</v>
      </c>
      <c r="IH940">
        <v>8.75</v>
      </c>
      <c r="II940" t="s">
        <v>424</v>
      </c>
      <c r="IJ940" t="s">
        <v>425</v>
      </c>
      <c r="IK940" s="1">
        <v>41359</v>
      </c>
      <c r="IL940">
        <v>22</v>
      </c>
      <c r="IM940">
        <v>105</v>
      </c>
      <c r="IN940" t="s">
        <v>946</v>
      </c>
    </row>
    <row r="941" spans="1:249" x14ac:dyDescent="0.25">
      <c r="A941">
        <v>16485948</v>
      </c>
      <c r="B941">
        <v>940</v>
      </c>
      <c r="C941" t="s">
        <v>393</v>
      </c>
      <c r="D941" t="s">
        <v>394</v>
      </c>
      <c r="F941" t="str">
        <f>"49-2N-25-4160-0003-0020"</f>
        <v>49-2N-25-4160-0003-0020</v>
      </c>
      <c r="H941" t="str">
        <f>"ROHE ERIN PA"</f>
        <v>ROHE ERIN PA</v>
      </c>
      <c r="I941" t="str">
        <f>"103 S 10TH ST"</f>
        <v>103 S 10TH ST</v>
      </c>
      <c r="J941" t="str">
        <f>"FERNANDINA BEACH FL 32034"</f>
        <v>FERNANDINA BEACH FL 32034</v>
      </c>
      <c r="K941" t="str">
        <f>"PICKETT ST"</f>
        <v>PICKETT ST</v>
      </c>
      <c r="L941" t="str">
        <f t="shared" si="291"/>
        <v>CALLAHAN FL 32011</v>
      </c>
      <c r="M941" t="str">
        <f>"PT OF LOT 3 IN OR 1815/130 ANTHONY BRYANT LAND SUB DBK 169/496"</f>
        <v>PT OF LOT 3 IN OR 1815/130 ANTHONY BRYANT LAND SUB DBK 169/496</v>
      </c>
      <c r="N941" t="str">
        <f>""</f>
        <v/>
      </c>
      <c r="O941" t="str">
        <f>"54014"</f>
        <v>54014</v>
      </c>
      <c r="P941" t="str">
        <f t="shared" si="283"/>
        <v>2017</v>
      </c>
      <c r="Q941" t="str">
        <f>""</f>
        <v/>
      </c>
      <c r="R941" t="str">
        <f t="shared" si="294"/>
        <v>N</v>
      </c>
      <c r="S941" t="str">
        <f>"1.64"</f>
        <v>1.64</v>
      </c>
      <c r="T941" t="str">
        <f>"188.38"</f>
        <v>188.38</v>
      </c>
      <c r="U941" t="str">
        <f>"10824.00"</f>
        <v>10824.00</v>
      </c>
      <c r="V941" t="str">
        <f>"10824.00"</f>
        <v>10824.00</v>
      </c>
      <c r="W941" t="str">
        <f t="shared" si="284"/>
        <v>2017</v>
      </c>
      <c r="X941" t="str">
        <f>"21.86"</f>
        <v>21.86</v>
      </c>
      <c r="Y941" t="str">
        <f>"226.03"</f>
        <v>226.03</v>
      </c>
      <c r="Z941" t="str">
        <f>""</f>
        <v/>
      </c>
      <c r="AA941" t="str">
        <f>"12300.00"</f>
        <v>12300.00</v>
      </c>
      <c r="AB941" t="str">
        <f t="shared" si="296"/>
        <v>Residential</v>
      </c>
      <c r="AC941" t="str">
        <f t="shared" si="295"/>
        <v>0</v>
      </c>
      <c r="AD941" t="str">
        <f>""</f>
        <v/>
      </c>
      <c r="AE941" t="str">
        <f>""</f>
        <v/>
      </c>
      <c r="AF941" t="str">
        <f t="shared" si="299"/>
        <v>000</v>
      </c>
      <c r="AG941" t="str">
        <f t="shared" si="306"/>
        <v>FL</v>
      </c>
      <c r="AH941" t="str">
        <f>"71438.00"</f>
        <v>71438.00</v>
      </c>
      <c r="AI941" t="str">
        <f>"12300.00"</f>
        <v>12300.00</v>
      </c>
      <c r="AJ941" t="str">
        <f>"C55-000-588-6596-5"</f>
        <v>C55-000-588-6596-5</v>
      </c>
      <c r="AK941" t="str">
        <f>"14785"</f>
        <v>14785</v>
      </c>
      <c r="AL941">
        <v>4</v>
      </c>
      <c r="AM941">
        <v>1086</v>
      </c>
      <c r="AN941">
        <v>235.73</v>
      </c>
      <c r="AQ941" t="s">
        <v>9727</v>
      </c>
      <c r="AR941" t="s">
        <v>9727</v>
      </c>
      <c r="AS941" t="s">
        <v>9727</v>
      </c>
      <c r="AU941" t="s">
        <v>396</v>
      </c>
      <c r="AV941">
        <v>2017</v>
      </c>
      <c r="AW941" t="str">
        <f>"49-2N-25-4160-0003-0020 "</f>
        <v xml:space="preserve">49-2N-25-4160-0003-0020 </v>
      </c>
      <c r="AZ941" t="s">
        <v>9198</v>
      </c>
      <c r="BA941" t="s">
        <v>1942</v>
      </c>
      <c r="BD941" t="s">
        <v>2785</v>
      </c>
      <c r="BE941" t="s">
        <v>393</v>
      </c>
      <c r="BF941">
        <v>32011</v>
      </c>
      <c r="BG941" t="s">
        <v>9199</v>
      </c>
      <c r="BH941" t="s">
        <v>2787</v>
      </c>
      <c r="BI941">
        <v>-81.8325675783192</v>
      </c>
      <c r="BJ941">
        <v>30.553887769640099</v>
      </c>
      <c r="BK941" t="s">
        <v>9717</v>
      </c>
      <c r="BM941" t="s">
        <v>9718</v>
      </c>
      <c r="BN941" t="s">
        <v>3983</v>
      </c>
      <c r="BO941">
        <v>32034</v>
      </c>
      <c r="BP941" t="s">
        <v>404</v>
      </c>
      <c r="BQ941">
        <v>0</v>
      </c>
      <c r="BR941" t="s">
        <v>491</v>
      </c>
      <c r="BS941">
        <v>8001</v>
      </c>
      <c r="BT941" t="s">
        <v>492</v>
      </c>
      <c r="BW941">
        <v>71438</v>
      </c>
      <c r="BX941" t="s">
        <v>407</v>
      </c>
      <c r="BY941" t="s">
        <v>408</v>
      </c>
      <c r="CD941">
        <v>2017</v>
      </c>
      <c r="CE941">
        <v>12300</v>
      </c>
      <c r="CG941">
        <v>12300</v>
      </c>
      <c r="CH941">
        <v>2017</v>
      </c>
      <c r="CI941">
        <v>12300</v>
      </c>
      <c r="CK941">
        <v>12300</v>
      </c>
      <c r="CL941">
        <v>2017</v>
      </c>
      <c r="CM941">
        <v>188.38</v>
      </c>
      <c r="CN941" s="1">
        <v>40026</v>
      </c>
      <c r="CZ941" s="1">
        <v>40026</v>
      </c>
      <c r="DD941" t="s">
        <v>2785</v>
      </c>
      <c r="DF941">
        <v>3</v>
      </c>
      <c r="DG941">
        <v>49</v>
      </c>
      <c r="DJ941" t="s">
        <v>9276</v>
      </c>
      <c r="DL941">
        <v>50503</v>
      </c>
      <c r="DM941" t="s">
        <v>9563</v>
      </c>
      <c r="DO941" t="s">
        <v>9728</v>
      </c>
      <c r="DP941">
        <v>0</v>
      </c>
      <c r="DQ941">
        <v>0</v>
      </c>
      <c r="DR941" t="s">
        <v>411</v>
      </c>
      <c r="DS941" t="b">
        <v>1</v>
      </c>
      <c r="DT941" t="s">
        <v>396</v>
      </c>
      <c r="DV941" t="s">
        <v>446</v>
      </c>
      <c r="DX941">
        <v>-9999</v>
      </c>
      <c r="DZ941" t="s">
        <v>447</v>
      </c>
      <c r="EA941" t="s">
        <v>448</v>
      </c>
      <c r="EB941" t="s">
        <v>9668</v>
      </c>
      <c r="EC941">
        <v>20101217</v>
      </c>
      <c r="ED941" t="s">
        <v>450</v>
      </c>
      <c r="EE941">
        <v>17.100000000000001</v>
      </c>
      <c r="EF941">
        <v>0</v>
      </c>
      <c r="EG941">
        <v>0</v>
      </c>
      <c r="EI941">
        <v>20160407</v>
      </c>
      <c r="EJ941">
        <v>0</v>
      </c>
      <c r="EK941">
        <v>0</v>
      </c>
      <c r="EP941" t="s">
        <v>421</v>
      </c>
      <c r="EQ941" t="s">
        <v>422</v>
      </c>
      <c r="ER941">
        <v>1</v>
      </c>
      <c r="ES941">
        <v>7</v>
      </c>
      <c r="ET941">
        <v>206.19</v>
      </c>
      <c r="EU941">
        <v>23.78</v>
      </c>
      <c r="EV941">
        <v>229.97</v>
      </c>
      <c r="EW941" s="2">
        <v>43222</v>
      </c>
      <c r="EX941" s="1">
        <v>42879</v>
      </c>
      <c r="EY941">
        <v>2016</v>
      </c>
      <c r="EZ941">
        <v>206.19</v>
      </c>
      <c r="FA941" t="s">
        <v>9729</v>
      </c>
      <c r="FB941">
        <v>8.5</v>
      </c>
      <c r="FC941" t="s">
        <v>424</v>
      </c>
      <c r="FD941" t="s">
        <v>454</v>
      </c>
      <c r="FF941">
        <v>12</v>
      </c>
      <c r="FG941">
        <v>10125</v>
      </c>
      <c r="FH941" t="s">
        <v>440</v>
      </c>
      <c r="FJ941" s="1">
        <v>42515</v>
      </c>
      <c r="FK941">
        <v>2015</v>
      </c>
      <c r="FL941">
        <v>205.78</v>
      </c>
      <c r="FM941" t="s">
        <v>9730</v>
      </c>
      <c r="FN941">
        <v>15.25</v>
      </c>
      <c r="FO941" t="s">
        <v>424</v>
      </c>
      <c r="FP941" t="s">
        <v>425</v>
      </c>
      <c r="FQ941" s="1">
        <v>43189</v>
      </c>
      <c r="FR941">
        <v>22</v>
      </c>
      <c r="FS941">
        <v>10125</v>
      </c>
      <c r="FT941" t="s">
        <v>440</v>
      </c>
      <c r="FV941" s="1">
        <v>42151</v>
      </c>
      <c r="FW941">
        <v>2014</v>
      </c>
      <c r="FX941">
        <v>208.34</v>
      </c>
      <c r="FY941" t="s">
        <v>9731</v>
      </c>
      <c r="FZ941">
        <v>15.5</v>
      </c>
      <c r="GA941" t="s">
        <v>424</v>
      </c>
      <c r="GB941" t="s">
        <v>425</v>
      </c>
      <c r="GC941" s="1">
        <v>42824</v>
      </c>
      <c r="GD941">
        <v>22</v>
      </c>
      <c r="GE941">
        <v>10125</v>
      </c>
      <c r="GF941" t="s">
        <v>440</v>
      </c>
      <c r="GH941" s="1">
        <v>41787</v>
      </c>
      <c r="GI941">
        <v>2013</v>
      </c>
      <c r="GJ941">
        <v>192.52</v>
      </c>
      <c r="GK941" t="s">
        <v>9732</v>
      </c>
      <c r="GL941">
        <v>12</v>
      </c>
      <c r="GM941" t="s">
        <v>424</v>
      </c>
      <c r="GN941" t="s">
        <v>425</v>
      </c>
      <c r="GO941" s="1">
        <v>42459</v>
      </c>
      <c r="GP941">
        <v>22</v>
      </c>
      <c r="GQ941">
        <v>10125</v>
      </c>
      <c r="GR941" t="s">
        <v>440</v>
      </c>
      <c r="GT941" s="1">
        <v>41423</v>
      </c>
      <c r="GU941">
        <v>2012</v>
      </c>
      <c r="GV941">
        <v>163.02000000000001</v>
      </c>
      <c r="GW941" t="s">
        <v>9733</v>
      </c>
      <c r="GX941">
        <v>7.5</v>
      </c>
      <c r="GY941" t="s">
        <v>424</v>
      </c>
      <c r="GZ941" t="s">
        <v>425</v>
      </c>
      <c r="HA941" s="1">
        <v>42094</v>
      </c>
      <c r="HB941">
        <v>22</v>
      </c>
      <c r="HC941">
        <v>1127</v>
      </c>
      <c r="HD941" t="s">
        <v>1379</v>
      </c>
      <c r="HF941" s="1">
        <v>41423</v>
      </c>
      <c r="HG941">
        <v>2012</v>
      </c>
      <c r="HH941">
        <v>163.02000000000001</v>
      </c>
      <c r="HI941" t="s">
        <v>9733</v>
      </c>
      <c r="HJ941">
        <v>7.5</v>
      </c>
      <c r="HK941" t="s">
        <v>424</v>
      </c>
      <c r="HL941" t="s">
        <v>425</v>
      </c>
      <c r="HN941">
        <v>22</v>
      </c>
      <c r="HO941">
        <v>2035919</v>
      </c>
      <c r="HP941" t="s">
        <v>507</v>
      </c>
      <c r="HR941" s="1">
        <v>41052</v>
      </c>
      <c r="HS941">
        <v>2011</v>
      </c>
      <c r="HT941">
        <v>157.47999999999999</v>
      </c>
      <c r="HU941" t="s">
        <v>9734</v>
      </c>
      <c r="HV941">
        <v>18</v>
      </c>
      <c r="HW941" t="s">
        <v>424</v>
      </c>
      <c r="HX941" t="s">
        <v>425</v>
      </c>
      <c r="HY941" s="1">
        <v>41729</v>
      </c>
      <c r="HZ941">
        <v>22</v>
      </c>
      <c r="IA941">
        <v>619</v>
      </c>
      <c r="IB941" t="s">
        <v>2768</v>
      </c>
      <c r="ID941" s="1">
        <v>40688</v>
      </c>
      <c r="IE941">
        <v>2010</v>
      </c>
      <c r="IF941">
        <v>157.28</v>
      </c>
      <c r="IG941" t="s">
        <v>9735</v>
      </c>
      <c r="IH941">
        <v>8.75</v>
      </c>
      <c r="II941" t="s">
        <v>424</v>
      </c>
      <c r="IJ941" t="s">
        <v>425</v>
      </c>
      <c r="IK941" s="1">
        <v>41359</v>
      </c>
      <c r="IL941">
        <v>22</v>
      </c>
      <c r="IM941">
        <v>375</v>
      </c>
      <c r="IN941" t="s">
        <v>776</v>
      </c>
    </row>
    <row r="942" spans="1:249" x14ac:dyDescent="0.25">
      <c r="A942">
        <v>16485949</v>
      </c>
      <c r="B942">
        <v>941</v>
      </c>
      <c r="C942" t="s">
        <v>393</v>
      </c>
      <c r="D942" t="s">
        <v>394</v>
      </c>
      <c r="F942" t="str">
        <f>"49-2N-25-4160-0004-0010"</f>
        <v>49-2N-25-4160-0004-0010</v>
      </c>
      <c r="H942" t="str">
        <f>"ROHE ERIN PA"</f>
        <v>ROHE ERIN PA</v>
      </c>
      <c r="I942" t="str">
        <f>"103 S 10TH ST"</f>
        <v>103 S 10TH ST</v>
      </c>
      <c r="J942" t="str">
        <f>"FERNANDINA BEACH FL 32034"</f>
        <v>FERNANDINA BEACH FL 32034</v>
      </c>
      <c r="K942" t="str">
        <f>"FIFTH AV"</f>
        <v>FIFTH AV</v>
      </c>
      <c r="L942" t="str">
        <f t="shared" si="291"/>
        <v>CALLAHAN FL 32011</v>
      </c>
      <c r="M942" t="str">
        <f>"PT OF LOTS 4 &amp; 5 &amp; PT OF UNNUMBERED LOT IN NE/CORNER IN OR 1815/127 ANTHONY BRYANT LAND SUB DBK 169/496"</f>
        <v>PT OF LOTS 4 &amp; 5 &amp; PT OF UNNUMBERED LOT IN NE/CORNER IN OR 1815/127 ANTHONY BRYANT LAND SUB DBK 169/496</v>
      </c>
      <c r="N942" t="str">
        <f>""</f>
        <v/>
      </c>
      <c r="O942" t="str">
        <f>"54015"</f>
        <v>54015</v>
      </c>
      <c r="P942" t="str">
        <f t="shared" si="283"/>
        <v>2017</v>
      </c>
      <c r="Q942" t="str">
        <f>""</f>
        <v/>
      </c>
      <c r="R942" t="str">
        <f t="shared" si="294"/>
        <v>N</v>
      </c>
      <c r="S942" t="str">
        <f>"7.18"</f>
        <v>7.18</v>
      </c>
      <c r="T942" t="str">
        <f>"710.96"</f>
        <v>710.96</v>
      </c>
      <c r="U942" t="str">
        <f>"43080.00"</f>
        <v>43080.00</v>
      </c>
      <c r="V942" t="str">
        <f>"43080.00"</f>
        <v>43080.00</v>
      </c>
      <c r="W942" t="str">
        <f t="shared" si="284"/>
        <v>2017</v>
      </c>
      <c r="X942" t="str">
        <f>"21.86"</f>
        <v>21.86</v>
      </c>
      <c r="Y942" t="str">
        <f>"764.29"</f>
        <v>764.29</v>
      </c>
      <c r="Z942" t="str">
        <f>""</f>
        <v/>
      </c>
      <c r="AA942" t="str">
        <f>"43080.00"</f>
        <v>43080.00</v>
      </c>
      <c r="AB942" t="str">
        <f t="shared" si="296"/>
        <v>Residential</v>
      </c>
      <c r="AC942" t="str">
        <f t="shared" si="295"/>
        <v>0</v>
      </c>
      <c r="AD942" t="str">
        <f>""</f>
        <v/>
      </c>
      <c r="AE942" t="str">
        <f>""</f>
        <v/>
      </c>
      <c r="AF942" t="str">
        <f t="shared" si="299"/>
        <v>000</v>
      </c>
      <c r="AG942" t="str">
        <f t="shared" si="306"/>
        <v>FL</v>
      </c>
      <c r="AH942" t="str">
        <f>"312760.00"</f>
        <v>312760.00</v>
      </c>
      <c r="AI942" t="str">
        <f>"43080.00"</f>
        <v>43080.00</v>
      </c>
      <c r="AJ942" t="str">
        <f>"C55-000-588-6597-3"</f>
        <v>C55-000-588-6597-3</v>
      </c>
      <c r="AK942" t="str">
        <f>"14786"</f>
        <v>14786</v>
      </c>
      <c r="AL942">
        <v>4</v>
      </c>
      <c r="AM942">
        <v>1087</v>
      </c>
      <c r="AN942">
        <v>800.9</v>
      </c>
      <c r="AQ942" t="s">
        <v>9736</v>
      </c>
      <c r="AR942" t="s">
        <v>9736</v>
      </c>
      <c r="AS942" t="s">
        <v>9736</v>
      </c>
      <c r="AU942" t="s">
        <v>396</v>
      </c>
      <c r="AV942">
        <v>2017</v>
      </c>
      <c r="AW942" t="str">
        <f>"49-2N-25-4160-0004-0010 "</f>
        <v xml:space="preserve">49-2N-25-4160-0004-0010 </v>
      </c>
      <c r="AZ942" t="s">
        <v>4660</v>
      </c>
      <c r="BA942" t="s">
        <v>1122</v>
      </c>
      <c r="BD942" t="s">
        <v>2785</v>
      </c>
      <c r="BE942" t="s">
        <v>393</v>
      </c>
      <c r="BF942">
        <v>32011</v>
      </c>
      <c r="BG942" t="s">
        <v>4829</v>
      </c>
      <c r="BH942" t="s">
        <v>2787</v>
      </c>
      <c r="BI942">
        <v>-81.829628884421595</v>
      </c>
      <c r="BJ942">
        <v>30.555073329620601</v>
      </c>
      <c r="BK942" t="s">
        <v>9717</v>
      </c>
      <c r="BM942" t="s">
        <v>9718</v>
      </c>
      <c r="BN942" t="s">
        <v>3983</v>
      </c>
      <c r="BO942">
        <v>32034</v>
      </c>
      <c r="BP942" t="s">
        <v>404</v>
      </c>
      <c r="BQ942">
        <v>0</v>
      </c>
      <c r="BR942" t="s">
        <v>491</v>
      </c>
      <c r="BS942">
        <v>8001</v>
      </c>
      <c r="BT942" t="s">
        <v>492</v>
      </c>
      <c r="BW942">
        <v>312760</v>
      </c>
      <c r="BX942" t="s">
        <v>407</v>
      </c>
      <c r="CD942">
        <v>2017</v>
      </c>
      <c r="CE942">
        <v>43080</v>
      </c>
      <c r="CG942">
        <v>43080</v>
      </c>
      <c r="CH942">
        <v>2017</v>
      </c>
      <c r="CI942">
        <v>43080</v>
      </c>
      <c r="CK942">
        <v>43080</v>
      </c>
      <c r="CL942">
        <v>2017</v>
      </c>
      <c r="CM942">
        <v>710.96</v>
      </c>
      <c r="CN942" s="1">
        <v>40026</v>
      </c>
      <c r="CZ942" s="1">
        <v>40026</v>
      </c>
      <c r="DD942" t="s">
        <v>2785</v>
      </c>
      <c r="DG942">
        <v>49</v>
      </c>
      <c r="DL942">
        <v>50503</v>
      </c>
      <c r="DM942" t="s">
        <v>9563</v>
      </c>
      <c r="DO942" t="s">
        <v>9737</v>
      </c>
      <c r="DP942">
        <v>0</v>
      </c>
      <c r="DQ942">
        <v>0</v>
      </c>
      <c r="DR942" t="s">
        <v>411</v>
      </c>
      <c r="DS942" t="b">
        <v>1</v>
      </c>
      <c r="DT942" t="s">
        <v>470</v>
      </c>
      <c r="DU942" t="s">
        <v>471</v>
      </c>
      <c r="DV942" t="s">
        <v>472</v>
      </c>
      <c r="DX942">
        <v>-9999</v>
      </c>
      <c r="DZ942" t="s">
        <v>447</v>
      </c>
      <c r="EA942" t="s">
        <v>448</v>
      </c>
      <c r="EB942" t="s">
        <v>742</v>
      </c>
      <c r="EC942">
        <v>20101217</v>
      </c>
      <c r="ED942" t="s">
        <v>474</v>
      </c>
      <c r="EF942">
        <v>162.4</v>
      </c>
      <c r="EG942">
        <v>162.4</v>
      </c>
      <c r="EI942">
        <v>20160407</v>
      </c>
      <c r="EJ942">
        <v>0</v>
      </c>
      <c r="EK942">
        <v>0</v>
      </c>
      <c r="EP942" t="s">
        <v>421</v>
      </c>
      <c r="EQ942" t="s">
        <v>422</v>
      </c>
      <c r="ER942">
        <v>1</v>
      </c>
      <c r="ES942">
        <v>7</v>
      </c>
      <c r="ET942">
        <v>811.49</v>
      </c>
      <c r="EU942">
        <v>46.82</v>
      </c>
      <c r="EV942">
        <v>858.31</v>
      </c>
      <c r="EW942" s="2">
        <v>43222</v>
      </c>
      <c r="EX942" s="1">
        <v>42879</v>
      </c>
      <c r="EY942">
        <v>2016</v>
      </c>
      <c r="EZ942">
        <v>811.49</v>
      </c>
      <c r="FA942" t="s">
        <v>9738</v>
      </c>
      <c r="FB942">
        <v>4.75</v>
      </c>
      <c r="FC942" t="s">
        <v>424</v>
      </c>
      <c r="FD942" t="s">
        <v>454</v>
      </c>
      <c r="FF942">
        <v>12</v>
      </c>
      <c r="FG942">
        <v>7336745</v>
      </c>
      <c r="FH942" t="s">
        <v>502</v>
      </c>
      <c r="FJ942" s="1">
        <v>42515</v>
      </c>
      <c r="FK942">
        <v>2015</v>
      </c>
      <c r="FL942">
        <v>826.62</v>
      </c>
      <c r="FM942" t="s">
        <v>9739</v>
      </c>
      <c r="FN942">
        <v>4.75</v>
      </c>
      <c r="FO942" t="s">
        <v>424</v>
      </c>
      <c r="FP942" t="s">
        <v>425</v>
      </c>
      <c r="FQ942" s="1">
        <v>43190</v>
      </c>
      <c r="FR942">
        <v>22</v>
      </c>
      <c r="FS942">
        <v>2035919</v>
      </c>
      <c r="FT942" t="s">
        <v>507</v>
      </c>
      <c r="FV942" s="1">
        <v>42151</v>
      </c>
      <c r="FW942">
        <v>2014</v>
      </c>
      <c r="FX942">
        <v>837.8</v>
      </c>
      <c r="FY942" t="s">
        <v>9740</v>
      </c>
      <c r="FZ942">
        <v>4.75</v>
      </c>
      <c r="GA942" t="s">
        <v>424</v>
      </c>
      <c r="GB942" t="s">
        <v>425</v>
      </c>
      <c r="GC942" s="1">
        <v>42824</v>
      </c>
      <c r="GD942">
        <v>22</v>
      </c>
      <c r="GE942">
        <v>4975593</v>
      </c>
      <c r="GF942" t="s">
        <v>505</v>
      </c>
      <c r="GH942" s="1">
        <v>41787</v>
      </c>
      <c r="GI942">
        <v>2013</v>
      </c>
      <c r="GJ942">
        <v>813.16</v>
      </c>
      <c r="GK942" t="s">
        <v>9741</v>
      </c>
      <c r="GL942">
        <v>6.75</v>
      </c>
      <c r="GM942" t="s">
        <v>424</v>
      </c>
      <c r="GN942" t="s">
        <v>425</v>
      </c>
      <c r="GO942" s="1">
        <v>42459</v>
      </c>
      <c r="GP942">
        <v>22</v>
      </c>
      <c r="GQ942">
        <v>2035919</v>
      </c>
      <c r="GR942" t="s">
        <v>507</v>
      </c>
      <c r="GT942" s="1">
        <v>41423</v>
      </c>
      <c r="GU942">
        <v>2012</v>
      </c>
      <c r="GV942">
        <v>711.29</v>
      </c>
      <c r="GW942" t="s">
        <v>9742</v>
      </c>
      <c r="GX942">
        <v>4</v>
      </c>
      <c r="GY942" t="s">
        <v>424</v>
      </c>
      <c r="GZ942" t="s">
        <v>425</v>
      </c>
      <c r="HA942" s="1">
        <v>42094</v>
      </c>
      <c r="HB942">
        <v>22</v>
      </c>
      <c r="HC942">
        <v>1625515</v>
      </c>
      <c r="HD942" t="s">
        <v>487</v>
      </c>
      <c r="HF942" s="1">
        <v>41052</v>
      </c>
      <c r="HG942">
        <v>2011</v>
      </c>
      <c r="HH942">
        <v>708.13</v>
      </c>
      <c r="HI942" t="s">
        <v>9743</v>
      </c>
      <c r="HJ942">
        <v>5.75</v>
      </c>
      <c r="HK942" t="s">
        <v>424</v>
      </c>
      <c r="HL942" t="s">
        <v>425</v>
      </c>
      <c r="HM942" s="1">
        <v>41729</v>
      </c>
      <c r="HN942">
        <v>22</v>
      </c>
      <c r="HO942">
        <v>1625515</v>
      </c>
      <c r="HP942" t="s">
        <v>487</v>
      </c>
      <c r="HR942" s="1">
        <v>41052</v>
      </c>
      <c r="HS942">
        <v>2011</v>
      </c>
      <c r="HT942">
        <v>708.13</v>
      </c>
      <c r="HU942" t="s">
        <v>9743</v>
      </c>
      <c r="HV942">
        <v>5.75</v>
      </c>
      <c r="HW942" t="s">
        <v>424</v>
      </c>
      <c r="HX942" t="s">
        <v>425</v>
      </c>
      <c r="HZ942">
        <v>22</v>
      </c>
      <c r="IA942">
        <v>10579</v>
      </c>
      <c r="IB942" t="s">
        <v>488</v>
      </c>
      <c r="ID942" s="1">
        <v>40688</v>
      </c>
      <c r="IE942">
        <v>2010</v>
      </c>
      <c r="IF942">
        <v>707.07</v>
      </c>
      <c r="IG942" t="s">
        <v>9744</v>
      </c>
      <c r="IH942">
        <v>7.75</v>
      </c>
      <c r="II942" t="s">
        <v>424</v>
      </c>
      <c r="IJ942" t="s">
        <v>425</v>
      </c>
      <c r="IK942" s="1">
        <v>41359</v>
      </c>
      <c r="IL942">
        <v>22</v>
      </c>
      <c r="IM942">
        <v>11064</v>
      </c>
      <c r="IN942" t="s">
        <v>6946</v>
      </c>
    </row>
    <row r="943" spans="1:249" x14ac:dyDescent="0.25">
      <c r="A943">
        <v>16485950</v>
      </c>
      <c r="B943">
        <v>942</v>
      </c>
      <c r="C943" t="s">
        <v>393</v>
      </c>
      <c r="D943" t="s">
        <v>394</v>
      </c>
      <c r="F943" t="str">
        <f>"49-2N-25-4160-0004-0020"</f>
        <v>49-2N-25-4160-0004-0020</v>
      </c>
      <c r="H943" t="str">
        <f>"ROHE ERIN PA"</f>
        <v>ROHE ERIN PA</v>
      </c>
      <c r="I943" t="str">
        <f>"103 S 10TH ST"</f>
        <v>103 S 10TH ST</v>
      </c>
      <c r="J943" t="str">
        <f>"FERNANDINA BEACH FL 32034"</f>
        <v>FERNANDINA BEACH FL 32034</v>
      </c>
      <c r="K943" t="str">
        <f>"PICKETT ST"</f>
        <v>PICKETT ST</v>
      </c>
      <c r="L943" t="str">
        <f t="shared" si="291"/>
        <v>CALLAHAN FL 32011</v>
      </c>
      <c r="M943" t="str">
        <f>"LOT 6 &amp; PT LOTS 4 5 8 &amp; PT OF UNDEVELOPED 35 FT R/W STRIP IN OR 1815/128 ANTHONY BRYANT LAND SUB DBK 169/496"</f>
        <v>LOT 6 &amp; PT LOTS 4 5 8 &amp; PT OF UNDEVELOPED 35 FT R/W STRIP IN OR 1815/128 ANTHONY BRYANT LAND SUB DBK 169/496</v>
      </c>
      <c r="N943" t="str">
        <f>""</f>
        <v/>
      </c>
      <c r="O943" t="str">
        <f>"54016"</f>
        <v>54016</v>
      </c>
      <c r="P943" t="str">
        <f t="shared" si="283"/>
        <v>2017</v>
      </c>
      <c r="Q943" t="str">
        <f>""</f>
        <v/>
      </c>
      <c r="R943" t="str">
        <f t="shared" si="294"/>
        <v>N</v>
      </c>
      <c r="S943" t="str">
        <f>"8.60"</f>
        <v>8.60</v>
      </c>
      <c r="T943" t="str">
        <f>"851.57"</f>
        <v>851.57</v>
      </c>
      <c r="U943" t="str">
        <f>"51600.00"</f>
        <v>51600.00</v>
      </c>
      <c r="V943" t="str">
        <f>"51600.00"</f>
        <v>51600.00</v>
      </c>
      <c r="W943" t="str">
        <f t="shared" si="284"/>
        <v>2017</v>
      </c>
      <c r="X943" t="str">
        <f>"21.86"</f>
        <v>21.86</v>
      </c>
      <c r="Y943" t="str">
        <f>"909.12"</f>
        <v>909.12</v>
      </c>
      <c r="Z943" t="str">
        <f>""</f>
        <v/>
      </c>
      <c r="AA943" t="str">
        <f>"51600.00"</f>
        <v>51600.00</v>
      </c>
      <c r="AB943" t="str">
        <f t="shared" si="296"/>
        <v>Residential</v>
      </c>
      <c r="AC943" t="str">
        <f t="shared" si="295"/>
        <v>0</v>
      </c>
      <c r="AD943" t="str">
        <f>""</f>
        <v/>
      </c>
      <c r="AE943" t="str">
        <f>""</f>
        <v/>
      </c>
      <c r="AF943" t="str">
        <f t="shared" si="299"/>
        <v>000</v>
      </c>
      <c r="AG943" t="str">
        <f t="shared" si="306"/>
        <v>FL</v>
      </c>
      <c r="AH943" t="str">
        <f>"374616.00"</f>
        <v>374616.00</v>
      </c>
      <c r="AI943" t="str">
        <f>"51600.00"</f>
        <v>51600.00</v>
      </c>
      <c r="AJ943" t="str">
        <f>"C55-000-588-6598-1"</f>
        <v>C55-000-588-6598-1</v>
      </c>
      <c r="AK943" t="str">
        <f>"14787"</f>
        <v>14787</v>
      </c>
      <c r="AL943">
        <v>4</v>
      </c>
      <c r="AM943">
        <v>1088</v>
      </c>
      <c r="AN943">
        <v>952.98</v>
      </c>
      <c r="AQ943" t="s">
        <v>9745</v>
      </c>
      <c r="AR943" t="s">
        <v>9745</v>
      </c>
      <c r="AS943" t="s">
        <v>9745</v>
      </c>
      <c r="AU943" t="s">
        <v>396</v>
      </c>
      <c r="AV943">
        <v>2017</v>
      </c>
      <c r="AW943" t="str">
        <f>"49-2N-25-4160-0004-0020 "</f>
        <v xml:space="preserve">49-2N-25-4160-0004-0020 </v>
      </c>
      <c r="AZ943" t="s">
        <v>9198</v>
      </c>
      <c r="BA943" t="s">
        <v>1942</v>
      </c>
      <c r="BD943" t="s">
        <v>2785</v>
      </c>
      <c r="BE943" t="s">
        <v>393</v>
      </c>
      <c r="BF943">
        <v>32011</v>
      </c>
      <c r="BG943" t="s">
        <v>9199</v>
      </c>
      <c r="BH943" t="s">
        <v>2787</v>
      </c>
      <c r="BI943">
        <v>-81.829739151357401</v>
      </c>
      <c r="BJ943">
        <v>30.553569245282201</v>
      </c>
      <c r="BK943" t="s">
        <v>9717</v>
      </c>
      <c r="BM943" t="s">
        <v>9718</v>
      </c>
      <c r="BN943" t="s">
        <v>3983</v>
      </c>
      <c r="BO943">
        <v>32034</v>
      </c>
      <c r="BP943" t="s">
        <v>404</v>
      </c>
      <c r="BQ943">
        <v>0</v>
      </c>
      <c r="BR943" t="s">
        <v>491</v>
      </c>
      <c r="BS943">
        <v>8001</v>
      </c>
      <c r="BT943" t="s">
        <v>492</v>
      </c>
      <c r="BW943">
        <v>374616</v>
      </c>
      <c r="BX943" t="s">
        <v>407</v>
      </c>
      <c r="BY943" t="s">
        <v>408</v>
      </c>
      <c r="CD943">
        <v>2017</v>
      </c>
      <c r="CE943">
        <v>51600</v>
      </c>
      <c r="CG943">
        <v>51600</v>
      </c>
      <c r="CH943">
        <v>2017</v>
      </c>
      <c r="CI943">
        <v>51600</v>
      </c>
      <c r="CK943">
        <v>51600</v>
      </c>
      <c r="CL943">
        <v>2017</v>
      </c>
      <c r="CM943">
        <v>851.57</v>
      </c>
      <c r="CN943" s="1">
        <v>40026</v>
      </c>
      <c r="CZ943" s="1">
        <v>40026</v>
      </c>
      <c r="DD943" t="s">
        <v>2785</v>
      </c>
      <c r="DF943">
        <v>6</v>
      </c>
      <c r="DG943">
        <v>49</v>
      </c>
      <c r="DL943">
        <v>50503</v>
      </c>
      <c r="DM943" t="s">
        <v>9563</v>
      </c>
      <c r="DO943" t="s">
        <v>9746</v>
      </c>
      <c r="DP943">
        <v>0</v>
      </c>
      <c r="DQ943">
        <v>0</v>
      </c>
      <c r="DR943" t="s">
        <v>411</v>
      </c>
      <c r="DS943" t="b">
        <v>1</v>
      </c>
      <c r="DT943" t="s">
        <v>396</v>
      </c>
      <c r="DV943" t="s">
        <v>446</v>
      </c>
      <c r="DX943">
        <v>-9999</v>
      </c>
      <c r="DZ943" t="s">
        <v>447</v>
      </c>
      <c r="EA943" t="s">
        <v>448</v>
      </c>
      <c r="EB943" t="s">
        <v>9668</v>
      </c>
      <c r="EC943">
        <v>20101217</v>
      </c>
      <c r="ED943" t="s">
        <v>450</v>
      </c>
      <c r="EE943">
        <v>16.8</v>
      </c>
      <c r="EF943">
        <v>0</v>
      </c>
      <c r="EG943">
        <v>0</v>
      </c>
      <c r="EI943">
        <v>20160407</v>
      </c>
      <c r="EJ943">
        <v>0</v>
      </c>
      <c r="EK943">
        <v>0</v>
      </c>
      <c r="EP943" t="s">
        <v>421</v>
      </c>
      <c r="EQ943" t="s">
        <v>422</v>
      </c>
      <c r="ER943">
        <v>1</v>
      </c>
      <c r="ES943">
        <v>6</v>
      </c>
      <c r="ET943">
        <v>966.62</v>
      </c>
      <c r="EU943">
        <v>54.58</v>
      </c>
      <c r="EV943">
        <v>1021.2</v>
      </c>
      <c r="EW943" s="2">
        <v>43222</v>
      </c>
      <c r="EX943" s="1">
        <v>42879</v>
      </c>
      <c r="EY943">
        <v>2016</v>
      </c>
      <c r="EZ943">
        <v>966.62</v>
      </c>
      <c r="FA943" t="s">
        <v>9747</v>
      </c>
      <c r="FB943">
        <v>0.25</v>
      </c>
      <c r="FC943" t="s">
        <v>424</v>
      </c>
      <c r="FD943" t="s">
        <v>454</v>
      </c>
      <c r="FF943">
        <v>12</v>
      </c>
      <c r="FG943">
        <v>2035919</v>
      </c>
      <c r="FH943" t="s">
        <v>507</v>
      </c>
      <c r="FJ943" s="1">
        <v>42515</v>
      </c>
      <c r="FK943">
        <v>2015</v>
      </c>
      <c r="FL943">
        <v>985.73</v>
      </c>
      <c r="FM943" t="s">
        <v>9748</v>
      </c>
      <c r="FN943">
        <v>4.75</v>
      </c>
      <c r="FO943" t="s">
        <v>424</v>
      </c>
      <c r="FP943" t="s">
        <v>425</v>
      </c>
      <c r="FQ943" s="1">
        <v>43189</v>
      </c>
      <c r="FR943">
        <v>22</v>
      </c>
      <c r="FS943">
        <v>2035919</v>
      </c>
      <c r="FT943" t="s">
        <v>507</v>
      </c>
      <c r="FV943" s="1">
        <v>42151</v>
      </c>
      <c r="FW943">
        <v>2014</v>
      </c>
      <c r="FX943">
        <v>999.14</v>
      </c>
      <c r="FY943" t="s">
        <v>9749</v>
      </c>
      <c r="FZ943">
        <v>4.75</v>
      </c>
      <c r="GA943" t="s">
        <v>424</v>
      </c>
      <c r="GB943" t="s">
        <v>425</v>
      </c>
      <c r="GC943" s="1">
        <v>42824</v>
      </c>
      <c r="GD943">
        <v>22</v>
      </c>
      <c r="GE943">
        <v>4975593</v>
      </c>
      <c r="GF943" t="s">
        <v>505</v>
      </c>
      <c r="GH943" s="1">
        <v>41787</v>
      </c>
      <c r="GI943">
        <v>2013</v>
      </c>
      <c r="GJ943">
        <v>969.61</v>
      </c>
      <c r="GK943" t="s">
        <v>9750</v>
      </c>
      <c r="GL943">
        <v>6.75</v>
      </c>
      <c r="GM943" t="s">
        <v>424</v>
      </c>
      <c r="GN943" t="s">
        <v>425</v>
      </c>
      <c r="GO943" s="1">
        <v>42459</v>
      </c>
      <c r="GP943">
        <v>22</v>
      </c>
      <c r="GQ943">
        <v>2035919</v>
      </c>
      <c r="GR943" t="s">
        <v>507</v>
      </c>
      <c r="GT943" s="1">
        <v>41423</v>
      </c>
      <c r="GU943">
        <v>2012</v>
      </c>
      <c r="GV943">
        <v>761.54</v>
      </c>
      <c r="GW943" t="s">
        <v>9751</v>
      </c>
      <c r="GX943">
        <v>4.5</v>
      </c>
      <c r="GY943" t="s">
        <v>424</v>
      </c>
      <c r="GZ943" t="s">
        <v>425</v>
      </c>
      <c r="HA943" s="1">
        <v>42094</v>
      </c>
      <c r="HB943">
        <v>22</v>
      </c>
      <c r="HC943">
        <v>11340</v>
      </c>
      <c r="HD943" t="s">
        <v>1230</v>
      </c>
      <c r="HF943" s="1">
        <v>41052</v>
      </c>
      <c r="HG943">
        <v>2011</v>
      </c>
      <c r="HH943">
        <v>766.47</v>
      </c>
      <c r="HI943" t="s">
        <v>9752</v>
      </c>
      <c r="HJ943">
        <v>5.75</v>
      </c>
      <c r="HK943" t="s">
        <v>424</v>
      </c>
      <c r="HL943" t="s">
        <v>425</v>
      </c>
      <c r="HM943" s="1">
        <v>41729</v>
      </c>
      <c r="HN943">
        <v>22</v>
      </c>
      <c r="HO943">
        <v>62</v>
      </c>
      <c r="HP943" t="s">
        <v>463</v>
      </c>
      <c r="HR943" s="1">
        <v>40688</v>
      </c>
      <c r="HS943">
        <v>2010</v>
      </c>
      <c r="HT943">
        <v>769.6</v>
      </c>
      <c r="HU943" t="s">
        <v>9753</v>
      </c>
      <c r="HV943">
        <v>7.75</v>
      </c>
      <c r="HW943" t="s">
        <v>424</v>
      </c>
      <c r="HX943" t="s">
        <v>425</v>
      </c>
      <c r="HY943" s="1">
        <v>41359</v>
      </c>
      <c r="HZ943">
        <v>22</v>
      </c>
      <c r="IA943">
        <v>11064</v>
      </c>
      <c r="IB943" t="s">
        <v>6946</v>
      </c>
    </row>
    <row r="944" spans="1:249" x14ac:dyDescent="0.25">
      <c r="A944">
        <v>16485951</v>
      </c>
      <c r="B944">
        <v>943</v>
      </c>
      <c r="C944" t="s">
        <v>393</v>
      </c>
      <c r="D944" t="s">
        <v>394</v>
      </c>
      <c r="F944" t="str">
        <f>"51-2N-25-0000-0001-0010"</f>
        <v>51-2N-25-0000-0001-0010</v>
      </c>
      <c r="H944" t="str">
        <f>"GRIFFIN GERALD R JR"</f>
        <v>GRIFFIN GERALD R JR</v>
      </c>
      <c r="I944" t="str">
        <f>"54613 MARLEE RD"</f>
        <v>54613 MARLEE RD</v>
      </c>
      <c r="J944" t="str">
        <f>"CALLAHAN FL 32011"</f>
        <v>CALLAHAN FL 32011</v>
      </c>
      <c r="K944" t="str">
        <f>"SR 200"</f>
        <v>SR 200</v>
      </c>
      <c r="L944" t="str">
        <f t="shared" si="291"/>
        <v>CALLAHAN FL 32011</v>
      </c>
      <c r="M944" t="str">
        <f>"PT OR 1883/289 EX R/W CASE 01-417-CA"</f>
        <v>PT OR 1883/289 EX R/W CASE 01-417-CA</v>
      </c>
      <c r="N944" t="str">
        <f>""</f>
        <v/>
      </c>
      <c r="O944" t="str">
        <f>"54577"</f>
        <v>54577</v>
      </c>
      <c r="P944" t="str">
        <f t="shared" si="283"/>
        <v>2017</v>
      </c>
      <c r="Q944" t="str">
        <f>""</f>
        <v/>
      </c>
      <c r="R944" t="str">
        <f t="shared" si="294"/>
        <v>N</v>
      </c>
      <c r="S944" t="str">
        <f>"16.75"</f>
        <v>16.75</v>
      </c>
      <c r="T944" t="str">
        <f>"456.43"</f>
        <v>456.43</v>
      </c>
      <c r="U944" t="str">
        <f>"30150.00"</f>
        <v>30150.00</v>
      </c>
      <c r="V944" t="str">
        <f>"30150.00"</f>
        <v>30150.00</v>
      </c>
      <c r="W944" t="str">
        <f t="shared" si="284"/>
        <v>2017</v>
      </c>
      <c r="X944" t="str">
        <f>"19.14"</f>
        <v>19.14</v>
      </c>
      <c r="Y944" t="str">
        <f>"502.12"</f>
        <v>502.12</v>
      </c>
      <c r="Z944" t="str">
        <f>""</f>
        <v/>
      </c>
      <c r="AA944" t="str">
        <f>"30150.00"</f>
        <v>30150.00</v>
      </c>
      <c r="AB944" t="str">
        <f t="shared" si="296"/>
        <v>Residential</v>
      </c>
      <c r="AC944" t="str">
        <f t="shared" si="295"/>
        <v>0</v>
      </c>
      <c r="AD944" t="str">
        <f>""</f>
        <v/>
      </c>
      <c r="AE944" t="str">
        <f>""</f>
        <v/>
      </c>
      <c r="AF944" t="str">
        <f t="shared" si="299"/>
        <v>000</v>
      </c>
      <c r="AG944" t="str">
        <f t="shared" si="306"/>
        <v>FL</v>
      </c>
      <c r="AH944" t="str">
        <f>"729630.00"</f>
        <v>729630.00</v>
      </c>
      <c r="AI944" t="str">
        <f>"30150.00"</f>
        <v>30150.00</v>
      </c>
      <c r="AJ944" t="str">
        <f>"C55-000-588-7067-6"</f>
        <v>C55-000-588-7067-6</v>
      </c>
      <c r="AK944" t="str">
        <f>"14800"</f>
        <v>14800</v>
      </c>
      <c r="AL944">
        <v>4</v>
      </c>
      <c r="AM944">
        <v>1090</v>
      </c>
      <c r="AN944">
        <v>525.63</v>
      </c>
      <c r="AQ944" t="s">
        <v>9754</v>
      </c>
      <c r="AR944" t="s">
        <v>9754</v>
      </c>
      <c r="AS944" t="s">
        <v>9754</v>
      </c>
      <c r="AU944" t="s">
        <v>396</v>
      </c>
      <c r="AV944">
        <v>2017</v>
      </c>
      <c r="AW944" t="str">
        <f>"51-2N-25-0000-0001-0010 "</f>
        <v xml:space="preserve">51-2N-25-0000-0001-0010 </v>
      </c>
      <c r="AZ944" t="s">
        <v>8071</v>
      </c>
      <c r="BD944" t="s">
        <v>2785</v>
      </c>
      <c r="BE944" t="s">
        <v>393</v>
      </c>
      <c r="BF944">
        <v>32011</v>
      </c>
      <c r="BG944" t="s">
        <v>8071</v>
      </c>
      <c r="BH944" t="s">
        <v>2787</v>
      </c>
      <c r="BI944">
        <v>-81.822891815418203</v>
      </c>
      <c r="BJ944">
        <v>30.574875136330899</v>
      </c>
      <c r="BK944" t="s">
        <v>7540</v>
      </c>
      <c r="BM944" t="s">
        <v>7539</v>
      </c>
      <c r="BN944" t="s">
        <v>928</v>
      </c>
      <c r="BO944">
        <v>32011</v>
      </c>
      <c r="BP944" t="s">
        <v>404</v>
      </c>
      <c r="BQ944">
        <v>0</v>
      </c>
      <c r="BR944" t="s">
        <v>491</v>
      </c>
      <c r="BS944">
        <v>8001</v>
      </c>
      <c r="BT944" t="s">
        <v>492</v>
      </c>
      <c r="BW944">
        <v>729630</v>
      </c>
      <c r="BX944" t="s">
        <v>407</v>
      </c>
      <c r="BY944" t="s">
        <v>4360</v>
      </c>
      <c r="CD944">
        <v>2017</v>
      </c>
      <c r="CE944">
        <v>30150</v>
      </c>
      <c r="CG944">
        <v>30150</v>
      </c>
      <c r="CH944">
        <v>2017</v>
      </c>
      <c r="CI944">
        <v>30150</v>
      </c>
      <c r="CK944">
        <v>30150</v>
      </c>
      <c r="CL944">
        <v>2017</v>
      </c>
      <c r="CM944">
        <v>456.43</v>
      </c>
      <c r="CN944" s="1">
        <v>41478</v>
      </c>
      <c r="CZ944" s="1">
        <v>41478</v>
      </c>
      <c r="DD944" t="s">
        <v>2785</v>
      </c>
      <c r="DG944">
        <v>51</v>
      </c>
      <c r="DM944" t="s">
        <v>9755</v>
      </c>
      <c r="DO944" t="s">
        <v>9756</v>
      </c>
      <c r="DP944">
        <v>0</v>
      </c>
      <c r="DQ944">
        <v>0</v>
      </c>
      <c r="DR944" t="s">
        <v>411</v>
      </c>
      <c r="DS944" t="b">
        <v>1</v>
      </c>
      <c r="DT944" t="s">
        <v>396</v>
      </c>
      <c r="DV944" t="s">
        <v>446</v>
      </c>
      <c r="DX944">
        <v>-9999</v>
      </c>
      <c r="DZ944" t="s">
        <v>447</v>
      </c>
      <c r="EA944" t="s">
        <v>448</v>
      </c>
      <c r="EB944" t="s">
        <v>9757</v>
      </c>
      <c r="EC944">
        <v>20101217</v>
      </c>
      <c r="ED944" t="s">
        <v>450</v>
      </c>
      <c r="EE944">
        <v>14</v>
      </c>
      <c r="EF944">
        <v>0</v>
      </c>
      <c r="EG944">
        <v>0</v>
      </c>
      <c r="EI944">
        <v>20160407</v>
      </c>
      <c r="EJ944">
        <v>0</v>
      </c>
      <c r="EK944">
        <v>0</v>
      </c>
      <c r="EP944" t="s">
        <v>421</v>
      </c>
      <c r="EQ944" t="s">
        <v>422</v>
      </c>
      <c r="ER944">
        <v>1</v>
      </c>
      <c r="ES944">
        <v>6</v>
      </c>
      <c r="ET944">
        <v>527.54999999999995</v>
      </c>
      <c r="EU944">
        <v>32.630000000000003</v>
      </c>
      <c r="EV944">
        <v>560.17999999999995</v>
      </c>
      <c r="EW944" s="2">
        <v>43222</v>
      </c>
      <c r="EX944" s="1">
        <v>42879</v>
      </c>
      <c r="EY944">
        <v>2016</v>
      </c>
      <c r="EZ944">
        <v>527.54999999999995</v>
      </c>
      <c r="FA944" t="s">
        <v>9758</v>
      </c>
      <c r="FB944">
        <v>0.25</v>
      </c>
      <c r="FC944" t="s">
        <v>424</v>
      </c>
      <c r="FD944" t="s">
        <v>454</v>
      </c>
      <c r="FF944">
        <v>12</v>
      </c>
      <c r="FG944">
        <v>7336669</v>
      </c>
      <c r="FH944" t="s">
        <v>2230</v>
      </c>
      <c r="FJ944" s="1">
        <v>42515</v>
      </c>
      <c r="FK944">
        <v>2015</v>
      </c>
      <c r="FL944">
        <v>534.69000000000005</v>
      </c>
      <c r="FM944" t="s">
        <v>9759</v>
      </c>
      <c r="FN944">
        <v>0.25</v>
      </c>
      <c r="FO944" t="s">
        <v>424</v>
      </c>
      <c r="FP944" t="s">
        <v>425</v>
      </c>
      <c r="FQ944" s="1">
        <v>43076</v>
      </c>
      <c r="FR944">
        <v>19</v>
      </c>
      <c r="FS944">
        <v>7336669</v>
      </c>
      <c r="FT944" t="s">
        <v>2230</v>
      </c>
      <c r="FV944" s="1">
        <v>42151</v>
      </c>
      <c r="FW944">
        <v>2014</v>
      </c>
      <c r="FX944">
        <v>537.29999999999995</v>
      </c>
      <c r="FY944" t="s">
        <v>9760</v>
      </c>
      <c r="FZ944">
        <v>4.75</v>
      </c>
      <c r="GA944" t="s">
        <v>424</v>
      </c>
      <c r="GB944" t="s">
        <v>425</v>
      </c>
      <c r="GC944" s="1">
        <v>42674</v>
      </c>
      <c r="GD944">
        <v>17</v>
      </c>
      <c r="GE944">
        <v>4975593</v>
      </c>
      <c r="GF944" t="s">
        <v>505</v>
      </c>
      <c r="GH944" s="1">
        <v>41787</v>
      </c>
      <c r="GI944">
        <v>2013</v>
      </c>
      <c r="GJ944">
        <v>489.09</v>
      </c>
      <c r="GK944" t="s">
        <v>9761</v>
      </c>
      <c r="GL944">
        <v>6.75</v>
      </c>
      <c r="GM944" t="s">
        <v>424</v>
      </c>
      <c r="GN944" t="s">
        <v>425</v>
      </c>
      <c r="GO944" s="1">
        <v>42391</v>
      </c>
      <c r="GP944">
        <v>20</v>
      </c>
      <c r="GQ944">
        <v>2035919</v>
      </c>
      <c r="GR944" t="s">
        <v>507</v>
      </c>
      <c r="GT944" s="1">
        <v>41423</v>
      </c>
      <c r="GU944">
        <v>2012</v>
      </c>
      <c r="GV944">
        <v>433.53</v>
      </c>
      <c r="GW944" t="s">
        <v>9762</v>
      </c>
      <c r="GX944">
        <v>5</v>
      </c>
      <c r="GY944" t="s">
        <v>424</v>
      </c>
      <c r="GZ944" t="s">
        <v>425</v>
      </c>
      <c r="HA944" s="1">
        <v>41992</v>
      </c>
      <c r="HB944">
        <v>19</v>
      </c>
      <c r="HC944">
        <v>2101381</v>
      </c>
      <c r="HD944" t="s">
        <v>605</v>
      </c>
      <c r="HF944" s="1">
        <v>41052</v>
      </c>
      <c r="HG944">
        <v>2011</v>
      </c>
      <c r="HH944">
        <v>432.73</v>
      </c>
      <c r="HI944" t="s">
        <v>9763</v>
      </c>
      <c r="HJ944">
        <v>5.75</v>
      </c>
      <c r="HK944" t="s">
        <v>424</v>
      </c>
      <c r="HL944" t="s">
        <v>425</v>
      </c>
      <c r="HM944" s="1">
        <v>41696</v>
      </c>
      <c r="HN944">
        <v>21</v>
      </c>
      <c r="HO944">
        <v>62</v>
      </c>
      <c r="HP944" t="s">
        <v>463</v>
      </c>
      <c r="HR944" s="1">
        <v>40688</v>
      </c>
      <c r="HS944">
        <v>2010</v>
      </c>
      <c r="HT944">
        <v>434.03</v>
      </c>
      <c r="HU944" t="s">
        <v>9764</v>
      </c>
      <c r="HV944">
        <v>7.75</v>
      </c>
      <c r="HW944" t="s">
        <v>424</v>
      </c>
      <c r="HX944" t="s">
        <v>425</v>
      </c>
      <c r="HY944" s="1">
        <v>41262</v>
      </c>
      <c r="HZ944">
        <v>19</v>
      </c>
      <c r="IA944">
        <v>11064</v>
      </c>
      <c r="IB944" t="s">
        <v>6946</v>
      </c>
    </row>
    <row r="945" spans="1:284" x14ac:dyDescent="0.25">
      <c r="A945">
        <v>16485952</v>
      </c>
      <c r="B945">
        <v>944</v>
      </c>
      <c r="C945" t="s">
        <v>393</v>
      </c>
      <c r="D945" t="s">
        <v>394</v>
      </c>
      <c r="F945" t="str">
        <f>"51-2N-25-0000-0011-0000"</f>
        <v>51-2N-25-0000-0011-0000</v>
      </c>
      <c r="H945" t="str">
        <f>"COLSON JOE L &amp; COLSON JANETTE J &amp; DELOURS &amp; JONES LAURA COLSON"</f>
        <v>COLSON JOE L &amp; COLSON JANETTE J &amp; DELOURS &amp; JONES LAURA COLSON</v>
      </c>
      <c r="I945" t="str">
        <f>""</f>
        <v/>
      </c>
      <c r="J945" t="str">
        <f>"CALLAHAN FL 32011"</f>
        <v>CALLAHAN FL 32011</v>
      </c>
      <c r="K945" t="str">
        <f>"45064 COLSON RD"</f>
        <v>45064 COLSON RD</v>
      </c>
      <c r="L945" t="str">
        <f t="shared" si="291"/>
        <v>CALLAHAN FL 32011</v>
      </c>
      <c r="M945" t="str">
        <f>"IN OR 106/266 1/4 INT HX"</f>
        <v>IN OR 106/266 1/4 INT HX</v>
      </c>
      <c r="N945" t="str">
        <f>""</f>
        <v/>
      </c>
      <c r="O945" t="str">
        <f>"54587"</f>
        <v>54587</v>
      </c>
      <c r="P945" t="str">
        <f t="shared" si="283"/>
        <v>2017</v>
      </c>
      <c r="Q945" t="str">
        <f>""</f>
        <v/>
      </c>
      <c r="R945" t="str">
        <f t="shared" si="294"/>
        <v>N</v>
      </c>
      <c r="S945" t="str">
        <f>""</f>
        <v/>
      </c>
      <c r="T945" t="str">
        <f>"590.41"</f>
        <v>590.41</v>
      </c>
      <c r="U945" t="str">
        <f>"39000.00"</f>
        <v>39000.00</v>
      </c>
      <c r="V945" t="str">
        <f>"39000.00"</f>
        <v>39000.00</v>
      </c>
      <c r="W945" t="str">
        <f t="shared" si="284"/>
        <v>2017</v>
      </c>
      <c r="X945" t="str">
        <f>"13.00"</f>
        <v>13.00</v>
      </c>
      <c r="Y945" t="str">
        <f>"640.12"</f>
        <v>640.12</v>
      </c>
      <c r="Z945" t="str">
        <f>""</f>
        <v/>
      </c>
      <c r="AA945" t="str">
        <f>"39000.00"</f>
        <v>39000.00</v>
      </c>
      <c r="AB945" t="str">
        <f t="shared" si="296"/>
        <v>Residential</v>
      </c>
      <c r="AC945" t="str">
        <f t="shared" si="295"/>
        <v>0</v>
      </c>
      <c r="AD945" t="str">
        <f>""</f>
        <v/>
      </c>
      <c r="AE945" t="str">
        <f>""</f>
        <v/>
      </c>
      <c r="AF945" t="str">
        <f t="shared" si="299"/>
        <v>000</v>
      </c>
      <c r="AG945" t="str">
        <f t="shared" si="306"/>
        <v>FL</v>
      </c>
      <c r="AH945" t="str">
        <f>"11375.00"</f>
        <v>11375.00</v>
      </c>
      <c r="AI945" t="str">
        <f>"39000.00"</f>
        <v>39000.00</v>
      </c>
      <c r="AJ945" t="str">
        <f>"C55-000-588-7077-5"</f>
        <v>C55-000-588-7077-5</v>
      </c>
      <c r="AK945" t="str">
        <f>"14810"</f>
        <v>14810</v>
      </c>
      <c r="AL945">
        <v>4</v>
      </c>
      <c r="AM945">
        <v>1091</v>
      </c>
      <c r="AN945">
        <v>670.53</v>
      </c>
      <c r="AQ945" t="s">
        <v>9765</v>
      </c>
      <c r="AR945" t="s">
        <v>9765</v>
      </c>
      <c r="AS945" t="s">
        <v>9765</v>
      </c>
      <c r="AU945" t="s">
        <v>396</v>
      </c>
      <c r="AV945">
        <v>2017</v>
      </c>
      <c r="AW945" t="str">
        <f>"51-2N-25-0000-0011-0000 "</f>
        <v xml:space="preserve">51-2N-25-0000-0011-0000 </v>
      </c>
      <c r="AX945">
        <v>45064</v>
      </c>
      <c r="AZ945" t="s">
        <v>8452</v>
      </c>
      <c r="BA945" t="s">
        <v>496</v>
      </c>
      <c r="BD945" t="s">
        <v>2785</v>
      </c>
      <c r="BE945" t="s">
        <v>393</v>
      </c>
      <c r="BF945">
        <v>32011</v>
      </c>
      <c r="BG945" t="s">
        <v>8453</v>
      </c>
      <c r="BH945" t="s">
        <v>2787</v>
      </c>
      <c r="BI945">
        <v>-81.835469131351402</v>
      </c>
      <c r="BJ945">
        <v>30.573424998076799</v>
      </c>
      <c r="BK945" t="s">
        <v>9766</v>
      </c>
      <c r="BM945" t="s">
        <v>9767</v>
      </c>
      <c r="BN945" t="s">
        <v>928</v>
      </c>
      <c r="BO945">
        <v>32011</v>
      </c>
      <c r="BP945" t="s">
        <v>404</v>
      </c>
      <c r="BQ945">
        <v>0</v>
      </c>
      <c r="BR945" t="s">
        <v>491</v>
      </c>
      <c r="BS945">
        <v>8001</v>
      </c>
      <c r="BT945" t="s">
        <v>492</v>
      </c>
      <c r="BU945">
        <v>650</v>
      </c>
      <c r="BV945">
        <v>1750</v>
      </c>
      <c r="BW945">
        <v>13661</v>
      </c>
      <c r="BX945" t="s">
        <v>407</v>
      </c>
      <c r="BY945" t="s">
        <v>4413</v>
      </c>
      <c r="CD945">
        <v>2017</v>
      </c>
      <c r="CE945">
        <v>39000</v>
      </c>
      <c r="CG945">
        <v>39000</v>
      </c>
      <c r="CH945">
        <v>2017</v>
      </c>
      <c r="CI945">
        <v>39000</v>
      </c>
      <c r="CK945">
        <v>39000</v>
      </c>
      <c r="CL945">
        <v>2017</v>
      </c>
      <c r="CM945">
        <v>590.41</v>
      </c>
      <c r="DD945" t="s">
        <v>2785</v>
      </c>
      <c r="DG945">
        <v>51</v>
      </c>
      <c r="DL945">
        <v>50503</v>
      </c>
      <c r="DM945" t="s">
        <v>9755</v>
      </c>
      <c r="DO945" t="s">
        <v>9768</v>
      </c>
      <c r="DP945">
        <v>0</v>
      </c>
      <c r="DQ945">
        <v>4</v>
      </c>
      <c r="DR945" t="s">
        <v>1479</v>
      </c>
      <c r="DS945" t="b">
        <v>1</v>
      </c>
      <c r="DT945" t="s">
        <v>470</v>
      </c>
      <c r="DU945" t="s">
        <v>471</v>
      </c>
      <c r="DV945" t="s">
        <v>472</v>
      </c>
      <c r="DX945">
        <v>-9999</v>
      </c>
      <c r="DZ945" t="s">
        <v>447</v>
      </c>
      <c r="EA945" t="s">
        <v>448</v>
      </c>
      <c r="EB945" t="s">
        <v>742</v>
      </c>
      <c r="EC945">
        <v>20101217</v>
      </c>
      <c r="ED945" t="s">
        <v>474</v>
      </c>
      <c r="EF945">
        <v>609</v>
      </c>
      <c r="EG945">
        <v>609</v>
      </c>
      <c r="EI945">
        <v>20160407</v>
      </c>
      <c r="EJ945">
        <v>0</v>
      </c>
      <c r="EK945">
        <v>0</v>
      </c>
      <c r="EP945" t="s">
        <v>421</v>
      </c>
      <c r="EQ945" t="s">
        <v>422</v>
      </c>
      <c r="ER945">
        <v>0</v>
      </c>
      <c r="ES945">
        <v>2</v>
      </c>
      <c r="ET945">
        <v>0</v>
      </c>
      <c r="EU945">
        <v>0</v>
      </c>
      <c r="EV945">
        <v>0</v>
      </c>
      <c r="EW945" s="2">
        <v>43222</v>
      </c>
      <c r="EX945" s="1">
        <v>42515</v>
      </c>
      <c r="EY945">
        <v>2015</v>
      </c>
      <c r="EZ945">
        <v>685.21</v>
      </c>
      <c r="FA945" t="s">
        <v>9769</v>
      </c>
      <c r="FB945">
        <v>14.75</v>
      </c>
      <c r="FC945" t="s">
        <v>424</v>
      </c>
      <c r="FD945" t="s">
        <v>425</v>
      </c>
      <c r="FE945" s="1">
        <v>42845</v>
      </c>
      <c r="FF945">
        <v>11</v>
      </c>
      <c r="FG945">
        <v>2035919</v>
      </c>
      <c r="FH945" t="s">
        <v>507</v>
      </c>
      <c r="FJ945" s="1">
        <v>42151</v>
      </c>
      <c r="FK945">
        <v>2014</v>
      </c>
      <c r="FL945">
        <v>688.56</v>
      </c>
      <c r="FM945" t="s">
        <v>9770</v>
      </c>
      <c r="FN945">
        <v>4.75</v>
      </c>
      <c r="FO945" t="s">
        <v>424</v>
      </c>
      <c r="FP945" t="s">
        <v>425</v>
      </c>
      <c r="FQ945" s="1">
        <v>42845</v>
      </c>
      <c r="FR945">
        <v>23</v>
      </c>
      <c r="FS945">
        <v>4975593</v>
      </c>
      <c r="FT945" t="s">
        <v>505</v>
      </c>
    </row>
    <row r="946" spans="1:284" x14ac:dyDescent="0.25">
      <c r="A946">
        <v>16485953</v>
      </c>
      <c r="B946">
        <v>945</v>
      </c>
      <c r="C946" t="s">
        <v>393</v>
      </c>
      <c r="D946" t="s">
        <v>394</v>
      </c>
      <c r="F946" t="str">
        <f>"51-2N-25-0000-0012-0000"</f>
        <v>51-2N-25-0000-0012-0000</v>
      </c>
      <c r="H946" t="str">
        <f>"GRIFFIN ANDREW &amp; CONNIE"</f>
        <v>GRIFFIN ANDREW &amp; CONNIE</v>
      </c>
      <c r="I946" t="str">
        <f>"56209 GRIFFIN FARM RD"</f>
        <v>56209 GRIFFIN FARM RD</v>
      </c>
      <c r="J946" t="str">
        <f>"CALLAHAN FL 32011"</f>
        <v>CALLAHAN FL 32011</v>
      </c>
      <c r="K946" t="str">
        <f>"45050 HISTORICAL LN"</f>
        <v>45050 HISTORICAL LN</v>
      </c>
      <c r="L946" t="str">
        <f t="shared" si="291"/>
        <v>CALLAHAN FL 32011</v>
      </c>
      <c r="M946" t="str">
        <f>"IN OR 1281/427"</f>
        <v>IN OR 1281/427</v>
      </c>
      <c r="N946" t="str">
        <f>""</f>
        <v/>
      </c>
      <c r="O946" t="str">
        <f>"54588"</f>
        <v>54588</v>
      </c>
      <c r="P946" t="str">
        <f t="shared" si="283"/>
        <v>2017</v>
      </c>
      <c r="Q946" t="str">
        <f>""</f>
        <v/>
      </c>
      <c r="R946" t="str">
        <f t="shared" si="294"/>
        <v>N</v>
      </c>
      <c r="S946" t="str">
        <f>""</f>
        <v/>
      </c>
      <c r="T946" t="str">
        <f>"1811.40"</f>
        <v>1811.40</v>
      </c>
      <c r="U946" t="str">
        <f>"119653.00"</f>
        <v>119653.00</v>
      </c>
      <c r="V946" t="str">
        <f>"119653.00"</f>
        <v>119653.00</v>
      </c>
      <c r="W946" t="str">
        <f t="shared" si="284"/>
        <v>2017</v>
      </c>
      <c r="X946" t="str">
        <f>"18.00"</f>
        <v>18.00</v>
      </c>
      <c r="Y946" t="str">
        <f>"1897.74"</f>
        <v>1897.74</v>
      </c>
      <c r="Z946" t="str">
        <f>""</f>
        <v/>
      </c>
      <c r="AA946" t="str">
        <f>"119653.00"</f>
        <v>119653.00</v>
      </c>
      <c r="AB946" t="str">
        <f>"Commercial"</f>
        <v>Commercial</v>
      </c>
      <c r="AC946" t="str">
        <f t="shared" si="295"/>
        <v>0</v>
      </c>
      <c r="AD946" t="str">
        <f>"3"</f>
        <v>3</v>
      </c>
      <c r="AE946" t="str">
        <f>"MASONRY"</f>
        <v>MASONRY</v>
      </c>
      <c r="AF946" t="str">
        <f>"027"</f>
        <v>027</v>
      </c>
      <c r="AG946" t="str">
        <f t="shared" si="306"/>
        <v>FL</v>
      </c>
      <c r="AH946" t="str">
        <f>"48469.00"</f>
        <v>48469.00</v>
      </c>
      <c r="AI946" t="str">
        <f>"96937.00"</f>
        <v>96937.00</v>
      </c>
      <c r="AJ946" t="str">
        <f>"C55-000-588-7078-3"</f>
        <v>C55-000-588-7078-3</v>
      </c>
      <c r="AK946" t="str">
        <f>"14811"</f>
        <v>14811</v>
      </c>
      <c r="AL946">
        <v>4</v>
      </c>
      <c r="AM946">
        <v>1092</v>
      </c>
      <c r="AN946">
        <v>1991.03</v>
      </c>
      <c r="AQ946" t="s">
        <v>9771</v>
      </c>
      <c r="AR946" t="s">
        <v>9771</v>
      </c>
      <c r="AS946" t="s">
        <v>9771</v>
      </c>
      <c r="AU946" t="s">
        <v>396</v>
      </c>
      <c r="AV946">
        <v>2017</v>
      </c>
      <c r="AW946" t="str">
        <f>"51-2N-25-0000-0012-0000 "</f>
        <v xml:space="preserve">51-2N-25-0000-0012-0000 </v>
      </c>
      <c r="AX946">
        <v>45050</v>
      </c>
      <c r="AZ946" t="s">
        <v>9772</v>
      </c>
      <c r="BA946" t="s">
        <v>653</v>
      </c>
      <c r="BD946" t="s">
        <v>2785</v>
      </c>
      <c r="BE946" t="s">
        <v>393</v>
      </c>
      <c r="BF946">
        <v>32011</v>
      </c>
      <c r="BG946" t="s">
        <v>9773</v>
      </c>
      <c r="BH946" t="s">
        <v>2787</v>
      </c>
      <c r="BI946">
        <v>-81.835743320785696</v>
      </c>
      <c r="BJ946">
        <v>30.5730030680831</v>
      </c>
      <c r="BK946" t="s">
        <v>9774</v>
      </c>
      <c r="BL946" t="s">
        <v>9775</v>
      </c>
      <c r="BM946" t="s">
        <v>9776</v>
      </c>
      <c r="BN946" t="s">
        <v>928</v>
      </c>
      <c r="BO946">
        <v>32011</v>
      </c>
      <c r="BP946" t="s">
        <v>404</v>
      </c>
      <c r="BQ946">
        <v>2700</v>
      </c>
      <c r="BR946" t="s">
        <v>4567</v>
      </c>
      <c r="BS946">
        <v>2023</v>
      </c>
      <c r="BT946" t="s">
        <v>4568</v>
      </c>
      <c r="BW946">
        <v>46448</v>
      </c>
      <c r="BX946" t="s">
        <v>407</v>
      </c>
      <c r="BY946" t="s">
        <v>4413</v>
      </c>
      <c r="BZ946">
        <v>3</v>
      </c>
      <c r="CA946">
        <v>1948</v>
      </c>
      <c r="CB946">
        <v>1</v>
      </c>
      <c r="CD946">
        <v>2017</v>
      </c>
      <c r="CE946">
        <v>96937</v>
      </c>
      <c r="CF946">
        <v>22716</v>
      </c>
      <c r="CG946">
        <v>119653</v>
      </c>
      <c r="CH946">
        <v>2017</v>
      </c>
      <c r="CI946">
        <v>96937</v>
      </c>
      <c r="CJ946">
        <v>22716</v>
      </c>
      <c r="CK946">
        <v>119653</v>
      </c>
      <c r="CL946">
        <v>2017</v>
      </c>
      <c r="CM946">
        <v>1811.4</v>
      </c>
      <c r="CN946" s="1">
        <v>38336</v>
      </c>
      <c r="CO946">
        <v>75000</v>
      </c>
      <c r="CV946">
        <v>75000</v>
      </c>
      <c r="CX946" t="s">
        <v>707</v>
      </c>
      <c r="CZ946" s="1">
        <v>38336</v>
      </c>
      <c r="DA946">
        <v>0</v>
      </c>
      <c r="DD946" t="s">
        <v>2785</v>
      </c>
      <c r="DG946">
        <v>51</v>
      </c>
      <c r="DL946">
        <v>50503</v>
      </c>
      <c r="DM946" t="s">
        <v>9755</v>
      </c>
      <c r="DO946" t="s">
        <v>9777</v>
      </c>
      <c r="DP946">
        <v>0</v>
      </c>
      <c r="DQ946">
        <v>4</v>
      </c>
      <c r="DR946" t="s">
        <v>1479</v>
      </c>
      <c r="DS946" t="b">
        <v>1</v>
      </c>
      <c r="DT946" t="s">
        <v>470</v>
      </c>
      <c r="DU946" t="s">
        <v>471</v>
      </c>
      <c r="DV946" t="s">
        <v>472</v>
      </c>
      <c r="DX946">
        <v>-9999</v>
      </c>
      <c r="DZ946" t="s">
        <v>447</v>
      </c>
      <c r="EA946" t="s">
        <v>448</v>
      </c>
      <c r="EB946" t="s">
        <v>742</v>
      </c>
      <c r="EC946">
        <v>20101217</v>
      </c>
      <c r="ED946" t="s">
        <v>474</v>
      </c>
      <c r="EF946">
        <v>555.5</v>
      </c>
      <c r="EG946">
        <v>555.5</v>
      </c>
      <c r="EI946">
        <v>20160407</v>
      </c>
      <c r="EJ946">
        <v>0</v>
      </c>
      <c r="EK946">
        <v>0</v>
      </c>
      <c r="EP946" t="s">
        <v>421</v>
      </c>
      <c r="EQ946" t="s">
        <v>422</v>
      </c>
      <c r="ER946">
        <v>2</v>
      </c>
      <c r="ES946">
        <v>9</v>
      </c>
      <c r="ET946">
        <v>4033.9</v>
      </c>
      <c r="EU946">
        <v>214.2</v>
      </c>
      <c r="EV946">
        <v>4248.1000000000004</v>
      </c>
      <c r="EW946" s="2">
        <v>43222</v>
      </c>
      <c r="EX946" s="1">
        <v>42879</v>
      </c>
      <c r="EY946">
        <v>2016</v>
      </c>
      <c r="EZ946">
        <v>2016.95</v>
      </c>
      <c r="FA946" t="s">
        <v>9778</v>
      </c>
      <c r="FB946">
        <v>0.25</v>
      </c>
      <c r="FC946" t="s">
        <v>424</v>
      </c>
      <c r="FD946" t="s">
        <v>454</v>
      </c>
      <c r="FF946">
        <v>12</v>
      </c>
      <c r="FG946">
        <v>2851116</v>
      </c>
      <c r="FH946" t="s">
        <v>480</v>
      </c>
      <c r="FJ946" s="1">
        <v>42879</v>
      </c>
      <c r="FK946">
        <v>2016</v>
      </c>
      <c r="FL946">
        <v>2016.95</v>
      </c>
      <c r="FM946" t="s">
        <v>9778</v>
      </c>
      <c r="FN946">
        <v>0.25</v>
      </c>
      <c r="FO946" t="s">
        <v>424</v>
      </c>
      <c r="FP946" t="s">
        <v>454</v>
      </c>
      <c r="FR946">
        <v>12</v>
      </c>
      <c r="FS946">
        <v>5014598</v>
      </c>
      <c r="FT946" t="s">
        <v>9779</v>
      </c>
      <c r="FV946" s="1">
        <v>42515</v>
      </c>
      <c r="FW946">
        <v>2015</v>
      </c>
      <c r="FX946">
        <v>2064.7600000000002</v>
      </c>
      <c r="FY946" t="s">
        <v>9780</v>
      </c>
      <c r="FZ946">
        <v>0.25</v>
      </c>
      <c r="GA946" t="s">
        <v>424</v>
      </c>
      <c r="GB946" t="s">
        <v>425</v>
      </c>
      <c r="GC946" s="1">
        <v>43110</v>
      </c>
      <c r="GD946">
        <v>20</v>
      </c>
      <c r="GE946">
        <v>2851116</v>
      </c>
      <c r="GF946" t="s">
        <v>480</v>
      </c>
      <c r="GH946" s="1">
        <v>42515</v>
      </c>
      <c r="GI946">
        <v>2015</v>
      </c>
      <c r="GJ946">
        <v>2064.7600000000002</v>
      </c>
      <c r="GK946" t="s">
        <v>9780</v>
      </c>
      <c r="GL946">
        <v>0.25</v>
      </c>
      <c r="GM946" t="s">
        <v>424</v>
      </c>
      <c r="GN946" t="s">
        <v>425</v>
      </c>
      <c r="GP946">
        <v>22</v>
      </c>
      <c r="GQ946">
        <v>5400843</v>
      </c>
      <c r="GR946" t="s">
        <v>9781</v>
      </c>
      <c r="GT946" s="1">
        <v>42151</v>
      </c>
      <c r="GU946">
        <v>2014</v>
      </c>
      <c r="GV946">
        <v>1973.27</v>
      </c>
      <c r="GW946" t="s">
        <v>9782</v>
      </c>
      <c r="GX946">
        <v>0.25</v>
      </c>
      <c r="GY946" t="s">
        <v>424</v>
      </c>
      <c r="GZ946" t="s">
        <v>425</v>
      </c>
      <c r="HA946" s="1">
        <v>42776</v>
      </c>
      <c r="HB946">
        <v>21</v>
      </c>
      <c r="HC946">
        <v>2851116</v>
      </c>
      <c r="HD946" t="s">
        <v>480</v>
      </c>
      <c r="HF946" s="1">
        <v>42151</v>
      </c>
      <c r="HG946">
        <v>2014</v>
      </c>
      <c r="HH946">
        <v>1973.27</v>
      </c>
      <c r="HI946" t="s">
        <v>9782</v>
      </c>
      <c r="HJ946">
        <v>0.25</v>
      </c>
      <c r="HK946" t="s">
        <v>424</v>
      </c>
      <c r="HL946" t="s">
        <v>425</v>
      </c>
      <c r="HN946">
        <v>22</v>
      </c>
      <c r="HO946">
        <v>4963444</v>
      </c>
      <c r="HP946" t="s">
        <v>9783</v>
      </c>
      <c r="HR946" s="1">
        <v>41787</v>
      </c>
      <c r="HS946">
        <v>2013</v>
      </c>
      <c r="HT946">
        <v>1870.6</v>
      </c>
      <c r="HU946" t="s">
        <v>9784</v>
      </c>
      <c r="HV946">
        <v>0.25</v>
      </c>
      <c r="HW946" t="s">
        <v>424</v>
      </c>
      <c r="HX946" t="s">
        <v>425</v>
      </c>
      <c r="HY946" s="1">
        <v>42411</v>
      </c>
      <c r="HZ946">
        <v>21</v>
      </c>
      <c r="IA946">
        <v>2851116</v>
      </c>
      <c r="IB946" t="s">
        <v>480</v>
      </c>
      <c r="ID946" s="1">
        <v>41423</v>
      </c>
      <c r="IE946">
        <v>2012</v>
      </c>
      <c r="IF946">
        <v>1895.38</v>
      </c>
      <c r="IG946" t="s">
        <v>9785</v>
      </c>
      <c r="IH946">
        <v>0.25</v>
      </c>
      <c r="II946" t="s">
        <v>424</v>
      </c>
      <c r="IJ946" t="s">
        <v>425</v>
      </c>
      <c r="IK946" s="1">
        <v>42090</v>
      </c>
      <c r="IL946">
        <v>22</v>
      </c>
      <c r="IM946">
        <v>1625549</v>
      </c>
      <c r="IN946" t="s">
        <v>7607</v>
      </c>
      <c r="IP946" s="1">
        <v>41052</v>
      </c>
      <c r="IQ946">
        <v>2011</v>
      </c>
      <c r="IR946">
        <v>2073.6799999999998</v>
      </c>
      <c r="IS946" t="s">
        <v>9786</v>
      </c>
      <c r="IT946">
        <v>4.75</v>
      </c>
      <c r="IU946" t="s">
        <v>424</v>
      </c>
      <c r="IV946" t="s">
        <v>425</v>
      </c>
      <c r="IW946" s="1">
        <v>41486</v>
      </c>
      <c r="IX946">
        <v>14</v>
      </c>
      <c r="IY946">
        <v>1625515</v>
      </c>
      <c r="IZ946" t="s">
        <v>487</v>
      </c>
      <c r="JB946" s="1">
        <v>41052</v>
      </c>
      <c r="JC946">
        <v>2011</v>
      </c>
      <c r="JD946">
        <v>2073.6799999999998</v>
      </c>
      <c r="JE946" t="s">
        <v>9786</v>
      </c>
      <c r="JF946">
        <v>4.75</v>
      </c>
      <c r="JG946" t="s">
        <v>424</v>
      </c>
      <c r="JH946" t="s">
        <v>425</v>
      </c>
      <c r="JJ946">
        <v>22</v>
      </c>
      <c r="JK946">
        <v>10579</v>
      </c>
      <c r="JL946" t="s">
        <v>488</v>
      </c>
      <c r="JN946" s="1">
        <v>40688</v>
      </c>
      <c r="JO946">
        <v>2010</v>
      </c>
      <c r="JP946">
        <v>2085.16</v>
      </c>
      <c r="JQ946" t="s">
        <v>9787</v>
      </c>
      <c r="JR946">
        <v>6</v>
      </c>
      <c r="JS946" t="s">
        <v>424</v>
      </c>
      <c r="JT946" t="s">
        <v>425</v>
      </c>
      <c r="JU946" s="1">
        <v>41415</v>
      </c>
      <c r="JV946">
        <v>24</v>
      </c>
      <c r="JW946">
        <v>10579</v>
      </c>
      <c r="JX946" t="s">
        <v>488</v>
      </c>
    </row>
    <row r="947" spans="1:284" x14ac:dyDescent="0.25">
      <c r="A947">
        <v>16485954</v>
      </c>
      <c r="B947">
        <v>946</v>
      </c>
      <c r="C947" t="s">
        <v>393</v>
      </c>
      <c r="D947" t="s">
        <v>394</v>
      </c>
      <c r="F947" t="str">
        <f>"51-2N-25-0000-0015-0000"</f>
        <v>51-2N-25-0000-0015-0000</v>
      </c>
      <c r="H947" t="str">
        <f>"JONES ROBERT ESTATE C/O ELVA JONES"</f>
        <v>JONES ROBERT ESTATE C/O ELVA JONES</v>
      </c>
      <c r="I947" t="str">
        <f>"P O BOX 405"</f>
        <v>P O BOX 405</v>
      </c>
      <c r="J947" t="str">
        <f>"CALLAHAN FL 32011"</f>
        <v>CALLAHAN FL 32011</v>
      </c>
      <c r="K947" t="str">
        <f>"US HWY 1"</f>
        <v>US HWY 1</v>
      </c>
      <c r="L947" t="str">
        <f t="shared" si="291"/>
        <v>CALLAHAN FL 32011</v>
      </c>
      <c r="M947" t="str">
        <f>"PT F P SANCHEZ GRANT SEC 51-2N-25E BEING ONLY PT LYING E OF DBK 109/269 &amp; S OF DBK 199/125 &amp; N OF OR 704/1917 (EX PT IN US HY 301 &amp; EX ESMT IN OR 493/473)"</f>
        <v>PT F P SANCHEZ GRANT SEC 51-2N-25E BEING ONLY PT LYING E OF DBK 109/269 &amp; S OF DBK 199/125 &amp; N OF OR 704/1917 (EX PT IN US HY 301 &amp; EX ESMT IN OR 493/473)</v>
      </c>
      <c r="N947" t="str">
        <f>""</f>
        <v/>
      </c>
      <c r="O947" t="str">
        <f>"54591"</f>
        <v>54591</v>
      </c>
      <c r="P947" t="str">
        <f t="shared" si="283"/>
        <v>2017</v>
      </c>
      <c r="Q947" t="str">
        <f>""</f>
        <v/>
      </c>
      <c r="R947" t="str">
        <f t="shared" si="294"/>
        <v>N</v>
      </c>
      <c r="S947" t="str">
        <f>""</f>
        <v/>
      </c>
      <c r="T947" t="str">
        <f>"456.68"</f>
        <v>456.68</v>
      </c>
      <c r="U947" t="str">
        <f>"30166.00"</f>
        <v>30166.00</v>
      </c>
      <c r="V947" t="str">
        <f>"30166.00"</f>
        <v>30166.00</v>
      </c>
      <c r="W947" t="str">
        <f t="shared" si="284"/>
        <v>2017</v>
      </c>
      <c r="X947" t="str">
        <f>"24.88"</f>
        <v>24.88</v>
      </c>
      <c r="Y947" t="str">
        <f>"502.38"</f>
        <v>502.38</v>
      </c>
      <c r="Z947" t="str">
        <f>""</f>
        <v/>
      </c>
      <c r="AA947" t="str">
        <f>"30166.00"</f>
        <v>30166.00</v>
      </c>
      <c r="AB947" t="str">
        <f>"Commercial"</f>
        <v>Commercial</v>
      </c>
      <c r="AC947" t="str">
        <f t="shared" si="295"/>
        <v>0</v>
      </c>
      <c r="AD947" t="str">
        <f>""</f>
        <v/>
      </c>
      <c r="AE947" t="str">
        <f>""</f>
        <v/>
      </c>
      <c r="AF947" t="str">
        <f>"010"</f>
        <v>010</v>
      </c>
      <c r="AG947" t="str">
        <f t="shared" si="306"/>
        <v>FL</v>
      </c>
      <c r="AH947" t="str">
        <f>"10056.00"</f>
        <v>10056.00</v>
      </c>
      <c r="AI947" t="str">
        <f>"30166.00"</f>
        <v>30166.00</v>
      </c>
      <c r="AJ947" t="str">
        <f>"C55-000-588-7081-7"</f>
        <v>C55-000-588-7081-7</v>
      </c>
      <c r="AK947" t="str">
        <f>"14814"</f>
        <v>14814</v>
      </c>
      <c r="AL947">
        <v>4</v>
      </c>
      <c r="AM947">
        <v>1093</v>
      </c>
      <c r="AN947">
        <v>525.9</v>
      </c>
      <c r="AQ947" t="s">
        <v>9788</v>
      </c>
      <c r="AR947" t="s">
        <v>9788</v>
      </c>
      <c r="AS947" t="s">
        <v>9788</v>
      </c>
      <c r="AU947" t="s">
        <v>396</v>
      </c>
      <c r="AV947">
        <v>2017</v>
      </c>
      <c r="AW947" t="str">
        <f>"51-2N-25-0000-0015-0000 "</f>
        <v xml:space="preserve">51-2N-25-0000-0015-0000 </v>
      </c>
      <c r="AZ947" t="s">
        <v>2386</v>
      </c>
      <c r="BD947" t="s">
        <v>2785</v>
      </c>
      <c r="BE947" t="s">
        <v>393</v>
      </c>
      <c r="BF947">
        <v>32011</v>
      </c>
      <c r="BG947" t="s">
        <v>2386</v>
      </c>
      <c r="BH947" t="s">
        <v>2787</v>
      </c>
      <c r="BI947">
        <v>-81.835739887542005</v>
      </c>
      <c r="BJ947">
        <v>30.572107428299802</v>
      </c>
      <c r="BK947" t="s">
        <v>9789</v>
      </c>
      <c r="BM947" t="s">
        <v>9790</v>
      </c>
      <c r="BN947" t="s">
        <v>928</v>
      </c>
      <c r="BO947">
        <v>32011</v>
      </c>
      <c r="BP947" t="s">
        <v>404</v>
      </c>
      <c r="BQ947">
        <v>1000</v>
      </c>
      <c r="BR947" t="s">
        <v>2391</v>
      </c>
      <c r="BS947">
        <v>8002</v>
      </c>
      <c r="BT947" t="s">
        <v>2392</v>
      </c>
      <c r="BW947">
        <v>10062</v>
      </c>
      <c r="BX947" t="s">
        <v>407</v>
      </c>
      <c r="BY947" t="s">
        <v>4413</v>
      </c>
      <c r="CD947">
        <v>2017</v>
      </c>
      <c r="CE947">
        <v>30166</v>
      </c>
      <c r="CG947">
        <v>30166</v>
      </c>
      <c r="CH947">
        <v>2017</v>
      </c>
      <c r="CI947">
        <v>30166</v>
      </c>
      <c r="CK947">
        <v>30166</v>
      </c>
      <c r="CL947">
        <v>2017</v>
      </c>
      <c r="CM947">
        <v>456.68</v>
      </c>
      <c r="CN947" s="1">
        <v>33693</v>
      </c>
      <c r="CZ947" s="1">
        <v>33693</v>
      </c>
      <c r="DD947" t="s">
        <v>2785</v>
      </c>
      <c r="DG947">
        <v>51</v>
      </c>
      <c r="DM947" t="s">
        <v>9755</v>
      </c>
      <c r="DO947" t="s">
        <v>9791</v>
      </c>
      <c r="DP947">
        <v>0</v>
      </c>
      <c r="DQ947">
        <v>5</v>
      </c>
      <c r="DR947" t="s">
        <v>1479</v>
      </c>
      <c r="DS947" t="b">
        <v>1</v>
      </c>
      <c r="DT947" t="s">
        <v>470</v>
      </c>
      <c r="DU947" t="s">
        <v>471</v>
      </c>
      <c r="DV947" t="s">
        <v>472</v>
      </c>
      <c r="DX947">
        <v>-9999</v>
      </c>
      <c r="DZ947" t="s">
        <v>447</v>
      </c>
      <c r="EA947" t="s">
        <v>448</v>
      </c>
      <c r="EB947" t="s">
        <v>742</v>
      </c>
      <c r="EC947">
        <v>20101217</v>
      </c>
      <c r="ED947" t="s">
        <v>474</v>
      </c>
      <c r="EF947">
        <v>374.3</v>
      </c>
      <c r="EG947">
        <v>374.3</v>
      </c>
      <c r="EI947">
        <v>20160407</v>
      </c>
      <c r="EJ947">
        <v>0</v>
      </c>
      <c r="EK947">
        <v>0</v>
      </c>
      <c r="EP947" t="s">
        <v>421</v>
      </c>
      <c r="EQ947" t="s">
        <v>452</v>
      </c>
      <c r="ER947">
        <v>0</v>
      </c>
      <c r="ES947">
        <v>8</v>
      </c>
      <c r="ET947">
        <v>0</v>
      </c>
      <c r="EU947">
        <v>0</v>
      </c>
      <c r="EV947">
        <v>0</v>
      </c>
      <c r="EW947" s="2">
        <v>43222</v>
      </c>
      <c r="EX947" s="1">
        <v>42879</v>
      </c>
      <c r="EY947">
        <v>2016</v>
      </c>
      <c r="EZ947">
        <v>527.82000000000005</v>
      </c>
      <c r="FA947" t="s">
        <v>9792</v>
      </c>
      <c r="FB947">
        <v>5.5</v>
      </c>
      <c r="FC947" t="s">
        <v>424</v>
      </c>
      <c r="FD947" t="s">
        <v>425</v>
      </c>
      <c r="FE947" s="1">
        <v>42893</v>
      </c>
      <c r="FF947">
        <v>1</v>
      </c>
      <c r="FG947">
        <v>7336745</v>
      </c>
      <c r="FH947" t="s">
        <v>502</v>
      </c>
      <c r="FJ947" s="1">
        <v>42515</v>
      </c>
      <c r="FK947">
        <v>2015</v>
      </c>
      <c r="FL947">
        <v>534.99</v>
      </c>
      <c r="FM947" t="s">
        <v>9793</v>
      </c>
      <c r="FN947">
        <v>18</v>
      </c>
      <c r="FO947" t="s">
        <v>424</v>
      </c>
      <c r="FP947" t="s">
        <v>425</v>
      </c>
      <c r="FR947">
        <v>22</v>
      </c>
      <c r="FS947">
        <v>7336670</v>
      </c>
      <c r="FT947" t="s">
        <v>2102</v>
      </c>
      <c r="FU947" t="s">
        <v>458</v>
      </c>
      <c r="FV947" s="1">
        <v>42151</v>
      </c>
      <c r="FW947">
        <v>2014</v>
      </c>
      <c r="FX947">
        <v>537.57000000000005</v>
      </c>
      <c r="FY947" t="s">
        <v>9794</v>
      </c>
      <c r="FZ947">
        <v>18</v>
      </c>
      <c r="GA947" t="s">
        <v>424</v>
      </c>
      <c r="GB947" t="s">
        <v>425</v>
      </c>
      <c r="GC947" s="1">
        <v>42551</v>
      </c>
      <c r="GD947">
        <v>13</v>
      </c>
      <c r="GE947">
        <v>10125</v>
      </c>
      <c r="GF947" t="s">
        <v>440</v>
      </c>
      <c r="GG947" t="s">
        <v>458</v>
      </c>
      <c r="GH947" s="1">
        <v>41787</v>
      </c>
      <c r="GI947">
        <v>2013</v>
      </c>
      <c r="GJ947">
        <v>510.01</v>
      </c>
      <c r="GK947" t="s">
        <v>9795</v>
      </c>
      <c r="GL947">
        <v>6.75</v>
      </c>
      <c r="GM947" t="s">
        <v>424</v>
      </c>
      <c r="GN947" t="s">
        <v>425</v>
      </c>
      <c r="GP947">
        <v>22</v>
      </c>
      <c r="GQ947">
        <v>2035919</v>
      </c>
      <c r="GR947" t="s">
        <v>507</v>
      </c>
      <c r="GS947" t="s">
        <v>458</v>
      </c>
      <c r="GT947" s="1">
        <v>41787</v>
      </c>
      <c r="GU947">
        <v>2013</v>
      </c>
      <c r="GV947">
        <v>510.01</v>
      </c>
      <c r="GW947" t="s">
        <v>9795</v>
      </c>
      <c r="GX947">
        <v>6.75</v>
      </c>
      <c r="GY947" t="s">
        <v>424</v>
      </c>
      <c r="GZ947" t="s">
        <v>425</v>
      </c>
      <c r="HB947">
        <v>22</v>
      </c>
      <c r="HC947">
        <v>7336670</v>
      </c>
      <c r="HD947" t="s">
        <v>2102</v>
      </c>
      <c r="HE947" t="s">
        <v>458</v>
      </c>
      <c r="HF947" s="1">
        <v>41423</v>
      </c>
      <c r="HG947">
        <v>2012</v>
      </c>
      <c r="HH947">
        <v>516.1</v>
      </c>
      <c r="HI947" t="s">
        <v>9796</v>
      </c>
      <c r="HJ947">
        <v>5.75</v>
      </c>
      <c r="HK947" t="s">
        <v>424</v>
      </c>
      <c r="HL947" t="s">
        <v>425</v>
      </c>
      <c r="HM947" s="1">
        <v>42551</v>
      </c>
      <c r="HN947">
        <v>37</v>
      </c>
      <c r="HO947">
        <v>10125</v>
      </c>
      <c r="HP947" t="s">
        <v>440</v>
      </c>
      <c r="HQ947" t="s">
        <v>458</v>
      </c>
      <c r="HR947" s="1">
        <v>41052</v>
      </c>
      <c r="HS947">
        <v>2011</v>
      </c>
      <c r="HT947">
        <v>516.75</v>
      </c>
      <c r="HU947" t="s">
        <v>9797</v>
      </c>
      <c r="HV947">
        <v>5</v>
      </c>
      <c r="HW947" t="s">
        <v>424</v>
      </c>
      <c r="HX947" t="s">
        <v>425</v>
      </c>
      <c r="HY947" s="1">
        <v>42551</v>
      </c>
      <c r="HZ947">
        <v>49</v>
      </c>
      <c r="IA947">
        <v>62</v>
      </c>
      <c r="IB947" t="s">
        <v>463</v>
      </c>
      <c r="IC947" t="s">
        <v>458</v>
      </c>
      <c r="ID947" s="1">
        <v>40688</v>
      </c>
      <c r="IE947">
        <v>2010</v>
      </c>
      <c r="IF947">
        <v>516.01</v>
      </c>
      <c r="IG947" t="s">
        <v>9798</v>
      </c>
      <c r="IH947">
        <v>7.75</v>
      </c>
      <c r="II947" t="s">
        <v>424</v>
      </c>
      <c r="IJ947" t="s">
        <v>425</v>
      </c>
      <c r="IK947" s="1">
        <v>42551</v>
      </c>
      <c r="IL947">
        <v>61</v>
      </c>
      <c r="IM947">
        <v>11064</v>
      </c>
      <c r="IN947" t="s">
        <v>6946</v>
      </c>
      <c r="IO947" t="s">
        <v>458</v>
      </c>
    </row>
    <row r="948" spans="1:284" x14ac:dyDescent="0.25">
      <c r="A948">
        <v>16485955</v>
      </c>
      <c r="B948">
        <v>947</v>
      </c>
      <c r="C948" t="s">
        <v>393</v>
      </c>
      <c r="D948" t="s">
        <v>394</v>
      </c>
      <c r="F948" t="str">
        <f>"51-2N-25-0000-0016-0000"</f>
        <v>51-2N-25-0000-0016-0000</v>
      </c>
      <c r="H948" t="str">
        <f>"WEST NASSAU CHARITIES LLC"</f>
        <v>WEST NASSAU CHARITIES LLC</v>
      </c>
      <c r="I948" t="str">
        <f>"542830 US HWY 1"</f>
        <v>542830 US HWY 1</v>
      </c>
      <c r="J948" t="str">
        <f>"CALLAHAN FL 32011"</f>
        <v>CALLAHAN FL 32011</v>
      </c>
      <c r="K948" t="str">
        <f>"542834 US HWY 1"</f>
        <v>542834 US HWY 1</v>
      </c>
      <c r="L948" t="str">
        <f t="shared" si="291"/>
        <v>CALLAHAN FL 32011</v>
      </c>
      <c r="M948" t="str">
        <f>"IN OR 2098/394 EX RW IN OR 92/296"</f>
        <v>IN OR 2098/394 EX RW IN OR 92/296</v>
      </c>
      <c r="N948" t="str">
        <f>""</f>
        <v/>
      </c>
      <c r="O948" t="str">
        <f>"54593"</f>
        <v>54593</v>
      </c>
      <c r="P948" t="str">
        <f t="shared" si="283"/>
        <v>2017</v>
      </c>
      <c r="Q948" t="str">
        <f>""</f>
        <v/>
      </c>
      <c r="R948" t="str">
        <f t="shared" si="294"/>
        <v>N</v>
      </c>
      <c r="S948" t="str">
        <f>"15.00"</f>
        <v>15.00</v>
      </c>
      <c r="T948" t="str">
        <f>"6596.83"</f>
        <v>6596.83</v>
      </c>
      <c r="U948" t="str">
        <f>"435757.00"</f>
        <v>435757.00</v>
      </c>
      <c r="V948" t="str">
        <f>"435757.00"</f>
        <v>435757.00</v>
      </c>
      <c r="W948" t="str">
        <f t="shared" si="284"/>
        <v>2017</v>
      </c>
      <c r="X948" t="str">
        <f>""</f>
        <v/>
      </c>
      <c r="Y948" t="str">
        <f>"6826.73"</f>
        <v>6826.73</v>
      </c>
      <c r="Z948" t="str">
        <f>""</f>
        <v/>
      </c>
      <c r="AA948" t="str">
        <f>"435757.00"</f>
        <v>435757.00</v>
      </c>
      <c r="AB948" t="str">
        <f>"Institutional"</f>
        <v>Institutional</v>
      </c>
      <c r="AC948" t="str">
        <f t="shared" si="295"/>
        <v>0</v>
      </c>
      <c r="AD948" t="str">
        <f>"4"</f>
        <v>4</v>
      </c>
      <c r="AE948" t="str">
        <f>"WOOD (INCLUDE STEEL STUDS)"</f>
        <v>WOOD (INCLUDE STEEL STUDS)</v>
      </c>
      <c r="AF948" t="str">
        <f>"077"</f>
        <v>077</v>
      </c>
      <c r="AG948" t="str">
        <f t="shared" si="306"/>
        <v>FL</v>
      </c>
      <c r="AH948" t="str">
        <f>"653400.00"</f>
        <v>653400.00</v>
      </c>
      <c r="AI948" t="str">
        <f>"82500.00"</f>
        <v>82500.00</v>
      </c>
      <c r="AJ948" t="str">
        <f>"C55-000-588-7083-3"</f>
        <v>C55-000-588-7083-3</v>
      </c>
      <c r="AK948" t="str">
        <f>"14816"</f>
        <v>14816</v>
      </c>
      <c r="AL948">
        <v>4</v>
      </c>
      <c r="AM948">
        <v>1094</v>
      </c>
      <c r="AN948">
        <v>7166.47</v>
      </c>
      <c r="AQ948" t="s">
        <v>9799</v>
      </c>
      <c r="AR948" t="s">
        <v>9799</v>
      </c>
      <c r="AS948" t="s">
        <v>9799</v>
      </c>
      <c r="AU948" t="s">
        <v>396</v>
      </c>
      <c r="AV948">
        <v>2017</v>
      </c>
      <c r="AW948" t="str">
        <f>"51-2N-25-0000-0016-0000 "</f>
        <v xml:space="preserve">51-2N-25-0000-0016-0000 </v>
      </c>
      <c r="AX948">
        <v>542834</v>
      </c>
      <c r="AZ948" t="s">
        <v>2386</v>
      </c>
      <c r="BD948" t="s">
        <v>2785</v>
      </c>
      <c r="BE948" t="s">
        <v>393</v>
      </c>
      <c r="BF948">
        <v>32011</v>
      </c>
      <c r="BG948" t="s">
        <v>9800</v>
      </c>
      <c r="BH948" t="s">
        <v>2787</v>
      </c>
      <c r="BI948">
        <v>-81.831777591460295</v>
      </c>
      <c r="BJ948">
        <v>30.5758559453595</v>
      </c>
      <c r="BK948" t="s">
        <v>9801</v>
      </c>
      <c r="BM948" t="s">
        <v>9802</v>
      </c>
      <c r="BN948" t="s">
        <v>928</v>
      </c>
      <c r="BO948">
        <v>32011</v>
      </c>
      <c r="BP948" t="s">
        <v>404</v>
      </c>
      <c r="BQ948">
        <v>7700</v>
      </c>
      <c r="BR948" t="s">
        <v>9803</v>
      </c>
      <c r="BS948">
        <v>4007</v>
      </c>
      <c r="BT948" t="s">
        <v>9804</v>
      </c>
      <c r="BW948">
        <v>653400</v>
      </c>
      <c r="BX948" t="s">
        <v>407</v>
      </c>
      <c r="BY948" t="s">
        <v>4413</v>
      </c>
      <c r="BZ948">
        <v>4</v>
      </c>
      <c r="CA948">
        <v>1969</v>
      </c>
      <c r="CB948">
        <v>1</v>
      </c>
      <c r="CD948">
        <v>2017</v>
      </c>
      <c r="CE948">
        <v>82500</v>
      </c>
      <c r="CF948">
        <v>353257</v>
      </c>
      <c r="CG948">
        <v>435757</v>
      </c>
      <c r="CH948">
        <v>2017</v>
      </c>
      <c r="CI948">
        <v>82500</v>
      </c>
      <c r="CJ948">
        <v>353257</v>
      </c>
      <c r="CK948">
        <v>435757</v>
      </c>
      <c r="CL948">
        <v>2017</v>
      </c>
      <c r="CM948">
        <v>6596.83</v>
      </c>
      <c r="CN948" s="1">
        <v>38189</v>
      </c>
      <c r="CO948">
        <v>300000</v>
      </c>
      <c r="CV948">
        <v>303725</v>
      </c>
      <c r="CX948" t="s">
        <v>693</v>
      </c>
      <c r="CZ948" s="1">
        <v>38189</v>
      </c>
      <c r="DA948">
        <v>0</v>
      </c>
      <c r="DD948" t="s">
        <v>2785</v>
      </c>
      <c r="DG948">
        <v>51</v>
      </c>
      <c r="DL948">
        <v>50503</v>
      </c>
      <c r="DM948" t="s">
        <v>9755</v>
      </c>
      <c r="DO948" t="s">
        <v>9805</v>
      </c>
      <c r="DP948">
        <v>0</v>
      </c>
      <c r="DQ948">
        <v>3</v>
      </c>
      <c r="DR948" t="s">
        <v>411</v>
      </c>
    </row>
    <row r="949" spans="1:284" x14ac:dyDescent="0.25">
      <c r="A949">
        <v>16485956</v>
      </c>
      <c r="B949">
        <v>948</v>
      </c>
      <c r="C949" t="s">
        <v>393</v>
      </c>
      <c r="D949" t="s">
        <v>394</v>
      </c>
      <c r="F949" t="str">
        <f>"51-2N-25-0000-0021-0000"</f>
        <v>51-2N-25-0000-0021-0000</v>
      </c>
      <c r="H949" t="str">
        <f>"MILLIGAN RONALD G &amp; JEANNE H SCOTT (H&amp;W)"</f>
        <v>MILLIGAN RONALD G &amp; JEANNE H SCOTT (H&amp;W)</v>
      </c>
      <c r="I949" t="str">
        <f>"392306 PROSPECT LANDING RD"</f>
        <v>392306 PROSPECT LANDING RD</v>
      </c>
      <c r="J949" t="str">
        <f>"HILLIARD FL 32046"</f>
        <v>HILLIARD FL 32046</v>
      </c>
      <c r="K949" t="str">
        <f>"542766 US HWY 1"</f>
        <v>542766 US HWY 1</v>
      </c>
      <c r="L949" t="str">
        <f t="shared" si="291"/>
        <v>CALLAHAN FL 32011</v>
      </c>
      <c r="M949" t="str">
        <f>"IN OR 879/305"</f>
        <v>IN OR 879/305</v>
      </c>
      <c r="N949" t="str">
        <f>""</f>
        <v/>
      </c>
      <c r="O949" t="str">
        <f>"54598"</f>
        <v>54598</v>
      </c>
      <c r="P949" t="str">
        <f t="shared" si="283"/>
        <v>2017</v>
      </c>
      <c r="Q949" t="str">
        <f>""</f>
        <v/>
      </c>
      <c r="R949" t="str">
        <f t="shared" si="294"/>
        <v>N</v>
      </c>
      <c r="S949" t="str">
        <f>"2.10"</f>
        <v>2.10</v>
      </c>
      <c r="T949" t="str">
        <f>"1371.67"</f>
        <v>1371.67</v>
      </c>
      <c r="U949" t="str">
        <f>"90606.00"</f>
        <v>90606.00</v>
      </c>
      <c r="V949" t="str">
        <f>"90606.00"</f>
        <v>90606.00</v>
      </c>
      <c r="W949" t="str">
        <f t="shared" si="284"/>
        <v>2017</v>
      </c>
      <c r="X949" t="str">
        <f>"22.00"</f>
        <v>22.00</v>
      </c>
      <c r="Y949" t="str">
        <f>"1444.82"</f>
        <v>1444.82</v>
      </c>
      <c r="Z949" t="str">
        <f>""</f>
        <v/>
      </c>
      <c r="AA949" t="str">
        <f>"90606.00"</f>
        <v>90606.00</v>
      </c>
      <c r="AB949" t="str">
        <f>"Commercial"</f>
        <v>Commercial</v>
      </c>
      <c r="AC949" t="str">
        <f t="shared" si="295"/>
        <v>0</v>
      </c>
      <c r="AD949" t="str">
        <f>"4"</f>
        <v>4</v>
      </c>
      <c r="AE949" t="str">
        <f>"WOOD (INCLUDE STEEL STUDS)"</f>
        <v>WOOD (INCLUDE STEEL STUDS)</v>
      </c>
      <c r="AF949" t="str">
        <f>"011"</f>
        <v>011</v>
      </c>
      <c r="AG949" t="str">
        <f t="shared" si="306"/>
        <v>FL</v>
      </c>
      <c r="AH949" t="str">
        <f>"91476.00"</f>
        <v>91476.00</v>
      </c>
      <c r="AI949" t="str">
        <f>"56700.00"</f>
        <v>56700.00</v>
      </c>
      <c r="AJ949" t="str">
        <f>"C55-000-588-7088-2"</f>
        <v>C55-000-588-7088-2</v>
      </c>
      <c r="AK949" t="str">
        <f>"14821"</f>
        <v>14821</v>
      </c>
      <c r="AL949">
        <v>4</v>
      </c>
      <c r="AM949">
        <v>1095</v>
      </c>
      <c r="AN949">
        <v>1515.46</v>
      </c>
      <c r="AQ949" t="s">
        <v>9806</v>
      </c>
      <c r="AR949" t="s">
        <v>9806</v>
      </c>
      <c r="AS949" t="s">
        <v>9806</v>
      </c>
      <c r="AU949" t="s">
        <v>396</v>
      </c>
      <c r="AV949">
        <v>2017</v>
      </c>
      <c r="AW949" t="str">
        <f>"51-2N-25-0000-0021-0000 "</f>
        <v xml:space="preserve">51-2N-25-0000-0021-0000 </v>
      </c>
      <c r="AX949">
        <v>542766</v>
      </c>
      <c r="AZ949" t="s">
        <v>2386</v>
      </c>
      <c r="BD949" t="s">
        <v>2785</v>
      </c>
      <c r="BE949" t="s">
        <v>393</v>
      </c>
      <c r="BF949">
        <v>32011</v>
      </c>
      <c r="BG949" t="s">
        <v>9807</v>
      </c>
      <c r="BH949" t="s">
        <v>2787</v>
      </c>
      <c r="BI949">
        <v>-81.833917734209393</v>
      </c>
      <c r="BJ949">
        <v>30.574099565092599</v>
      </c>
      <c r="BK949" t="s">
        <v>5970</v>
      </c>
      <c r="BL949" t="s">
        <v>4547</v>
      </c>
      <c r="BM949" t="s">
        <v>9808</v>
      </c>
      <c r="BN949" t="s">
        <v>403</v>
      </c>
      <c r="BO949">
        <v>32046</v>
      </c>
      <c r="BP949" t="s">
        <v>404</v>
      </c>
      <c r="BQ949">
        <v>1100</v>
      </c>
      <c r="BR949" t="s">
        <v>4474</v>
      </c>
      <c r="BS949">
        <v>2000</v>
      </c>
      <c r="BT949" t="s">
        <v>4475</v>
      </c>
      <c r="BW949">
        <v>91476</v>
      </c>
      <c r="BX949" t="s">
        <v>407</v>
      </c>
      <c r="BY949" t="s">
        <v>4413</v>
      </c>
      <c r="BZ949">
        <v>4</v>
      </c>
      <c r="CA949">
        <v>1944</v>
      </c>
      <c r="CB949">
        <v>1</v>
      </c>
      <c r="CD949">
        <v>2017</v>
      </c>
      <c r="CE949">
        <v>56700</v>
      </c>
      <c r="CF949">
        <v>33906</v>
      </c>
      <c r="CG949">
        <v>90606</v>
      </c>
      <c r="CH949">
        <v>2017</v>
      </c>
      <c r="CI949">
        <v>56700</v>
      </c>
      <c r="CJ949">
        <v>33906</v>
      </c>
      <c r="CK949">
        <v>90606</v>
      </c>
      <c r="CL949">
        <v>2017</v>
      </c>
      <c r="CM949">
        <v>1371.67</v>
      </c>
      <c r="CN949" s="1">
        <v>36266</v>
      </c>
      <c r="CO949">
        <v>84900</v>
      </c>
      <c r="CZ949" s="1">
        <v>36266</v>
      </c>
      <c r="DD949" t="s">
        <v>2785</v>
      </c>
      <c r="DG949">
        <v>51</v>
      </c>
      <c r="DL949">
        <v>50503</v>
      </c>
      <c r="DM949" t="s">
        <v>9755</v>
      </c>
      <c r="DO949" t="s">
        <v>9809</v>
      </c>
      <c r="DP949">
        <v>0</v>
      </c>
      <c r="DQ949">
        <v>4</v>
      </c>
      <c r="DR949" t="s">
        <v>1479</v>
      </c>
      <c r="DS949" t="b">
        <v>1</v>
      </c>
      <c r="DT949" t="s">
        <v>470</v>
      </c>
      <c r="DU949" t="s">
        <v>471</v>
      </c>
      <c r="DV949" t="s">
        <v>472</v>
      </c>
      <c r="DX949">
        <v>-9999</v>
      </c>
      <c r="DZ949" t="s">
        <v>447</v>
      </c>
      <c r="EA949" t="s">
        <v>448</v>
      </c>
      <c r="EB949" t="s">
        <v>742</v>
      </c>
      <c r="EC949">
        <v>20101217</v>
      </c>
      <c r="ED949" t="s">
        <v>474</v>
      </c>
      <c r="EF949">
        <v>179.8</v>
      </c>
      <c r="EG949">
        <v>179.8</v>
      </c>
      <c r="EI949">
        <v>20160407</v>
      </c>
      <c r="EJ949">
        <v>0</v>
      </c>
      <c r="EK949">
        <v>0</v>
      </c>
      <c r="EP949" t="s">
        <v>421</v>
      </c>
      <c r="EQ949" t="s">
        <v>422</v>
      </c>
      <c r="ER949">
        <v>0</v>
      </c>
      <c r="ES949">
        <v>2</v>
      </c>
      <c r="ET949">
        <v>0</v>
      </c>
      <c r="EU949">
        <v>0</v>
      </c>
      <c r="EV949">
        <v>0</v>
      </c>
      <c r="EW949" s="2">
        <v>43222</v>
      </c>
      <c r="EX949" s="1">
        <v>42515</v>
      </c>
      <c r="EY949">
        <v>2015</v>
      </c>
      <c r="EZ949">
        <v>1302.8699999999999</v>
      </c>
      <c r="FA949" t="s">
        <v>9810</v>
      </c>
      <c r="FB949">
        <v>0.25</v>
      </c>
      <c r="FC949" t="s">
        <v>424</v>
      </c>
      <c r="FD949" t="s">
        <v>425</v>
      </c>
      <c r="FE949" s="1">
        <v>43188</v>
      </c>
      <c r="FF949">
        <v>22</v>
      </c>
      <c r="FG949">
        <v>2851116</v>
      </c>
      <c r="FH949" t="s">
        <v>480</v>
      </c>
      <c r="FJ949" s="1">
        <v>42515</v>
      </c>
      <c r="FK949">
        <v>2015</v>
      </c>
      <c r="FL949">
        <v>1302.8699999999999</v>
      </c>
      <c r="FM949" t="s">
        <v>9810</v>
      </c>
      <c r="FN949">
        <v>0.25</v>
      </c>
      <c r="FO949" t="s">
        <v>424</v>
      </c>
      <c r="FP949" t="s">
        <v>425</v>
      </c>
      <c r="FR949">
        <v>22</v>
      </c>
      <c r="FS949">
        <v>4853908</v>
      </c>
      <c r="FT949" t="s">
        <v>9811</v>
      </c>
    </row>
    <row r="950" spans="1:284" x14ac:dyDescent="0.25">
      <c r="A950">
        <v>16485957</v>
      </c>
      <c r="B950">
        <v>949</v>
      </c>
      <c r="C950" t="s">
        <v>393</v>
      </c>
      <c r="D950" t="s">
        <v>394</v>
      </c>
      <c r="F950" t="str">
        <f>"51-2N-25-0000-0024-0000"</f>
        <v>51-2N-25-0000-0024-0000</v>
      </c>
      <c r="H950" t="str">
        <f>"BELL RONALD WAYNE &amp; BELL DONALD GARY"</f>
        <v>BELL RONALD WAYNE &amp; BELL DONALD GARY</v>
      </c>
      <c r="I950" t="str">
        <f>"45219 MICKLER ST"</f>
        <v>45219 MICKLER ST</v>
      </c>
      <c r="J950" t="str">
        <f>"CALLAHAN FL 32011"</f>
        <v>CALLAHAN FL 32011</v>
      </c>
      <c r="K950" t="str">
        <f>"542738 US HWY 1"</f>
        <v>542738 US HWY 1</v>
      </c>
      <c r="L950" t="str">
        <f t="shared" si="291"/>
        <v>CALLAHAN FL 32011</v>
      </c>
      <c r="M950" t="str">
        <f>"PT OR 1028/1690 EX OR 99/94"</f>
        <v>PT OR 1028/1690 EX OR 99/94</v>
      </c>
      <c r="N950" t="str">
        <f>""</f>
        <v/>
      </c>
      <c r="O950" t="str">
        <f>"54602"</f>
        <v>54602</v>
      </c>
      <c r="P950" t="str">
        <f t="shared" si="283"/>
        <v>2017</v>
      </c>
      <c r="Q950" t="str">
        <f>""</f>
        <v/>
      </c>
      <c r="R950" t="str">
        <f t="shared" si="294"/>
        <v>N</v>
      </c>
      <c r="S950" t="str">
        <f>"7.33"</f>
        <v>7.33</v>
      </c>
      <c r="T950" t="str">
        <f>"3208.52"</f>
        <v>3208.52</v>
      </c>
      <c r="U950" t="str">
        <f>"211941.00"</f>
        <v>211941.00</v>
      </c>
      <c r="V950" t="str">
        <f>"211941.00"</f>
        <v>211941.00</v>
      </c>
      <c r="W950" t="str">
        <f t="shared" si="284"/>
        <v>2017</v>
      </c>
      <c r="X950" t="str">
        <f>"21.25"</f>
        <v>21.25</v>
      </c>
      <c r="Y950" t="str">
        <f>"3336.78"</f>
        <v>3336.78</v>
      </c>
      <c r="Z950" t="str">
        <f>""</f>
        <v/>
      </c>
      <c r="AA950" t="str">
        <f>"211941.00"</f>
        <v>211941.00</v>
      </c>
      <c r="AB950" t="str">
        <f>"Commercial"</f>
        <v>Commercial</v>
      </c>
      <c r="AC950" t="str">
        <f t="shared" si="295"/>
        <v>0</v>
      </c>
      <c r="AD950" t="str">
        <f>"3"</f>
        <v>3</v>
      </c>
      <c r="AE950" t="str">
        <f>"MASONRY"</f>
        <v>MASONRY</v>
      </c>
      <c r="AF950" t="str">
        <f>"012"</f>
        <v>012</v>
      </c>
      <c r="AG950" t="str">
        <f t="shared" si="306"/>
        <v>FL</v>
      </c>
      <c r="AH950" t="str">
        <f>"319294.00"</f>
        <v>319294.00</v>
      </c>
      <c r="AI950" t="str">
        <f>"142935.00"</f>
        <v>142935.00</v>
      </c>
      <c r="AJ950" t="str">
        <f>"C55-000-588-7090-8"</f>
        <v>C55-000-588-7090-8</v>
      </c>
      <c r="AK950" t="str">
        <f>"14824"</f>
        <v>14824</v>
      </c>
      <c r="AL950">
        <v>4</v>
      </c>
      <c r="AM950">
        <v>1097</v>
      </c>
      <c r="AN950">
        <v>3502.02</v>
      </c>
      <c r="AQ950" t="s">
        <v>9812</v>
      </c>
      <c r="AR950" t="s">
        <v>9812</v>
      </c>
      <c r="AS950" t="s">
        <v>9812</v>
      </c>
      <c r="AU950" t="s">
        <v>396</v>
      </c>
      <c r="AV950">
        <v>2017</v>
      </c>
      <c r="AW950" t="str">
        <f>"51-2N-25-0000-0024-0000 "</f>
        <v xml:space="preserve">51-2N-25-0000-0024-0000 </v>
      </c>
      <c r="AX950">
        <v>542738</v>
      </c>
      <c r="AZ950" t="s">
        <v>2386</v>
      </c>
      <c r="BD950" t="s">
        <v>2785</v>
      </c>
      <c r="BE950" t="s">
        <v>393</v>
      </c>
      <c r="BF950">
        <v>32011</v>
      </c>
      <c r="BG950" t="s">
        <v>9813</v>
      </c>
      <c r="BH950" t="s">
        <v>2787</v>
      </c>
      <c r="BI950">
        <v>-81.833428415113005</v>
      </c>
      <c r="BJ950">
        <v>30.5727699358875</v>
      </c>
      <c r="BK950" t="s">
        <v>8975</v>
      </c>
      <c r="BL950" t="s">
        <v>9814</v>
      </c>
      <c r="BM950" t="s">
        <v>5182</v>
      </c>
      <c r="BN950" t="s">
        <v>928</v>
      </c>
      <c r="BO950">
        <v>32011</v>
      </c>
      <c r="BP950" t="s">
        <v>404</v>
      </c>
      <c r="BQ950">
        <v>1200</v>
      </c>
      <c r="BR950" t="s">
        <v>5393</v>
      </c>
      <c r="BS950">
        <v>2003</v>
      </c>
      <c r="BT950" t="s">
        <v>5394</v>
      </c>
      <c r="BW950">
        <v>319294</v>
      </c>
      <c r="BX950" t="s">
        <v>407</v>
      </c>
      <c r="BY950" t="s">
        <v>4413</v>
      </c>
      <c r="BZ950">
        <v>3</v>
      </c>
      <c r="CA950">
        <v>1950</v>
      </c>
      <c r="CB950">
        <v>1</v>
      </c>
      <c r="CC950">
        <v>1</v>
      </c>
      <c r="CD950">
        <v>2017</v>
      </c>
      <c r="CE950">
        <v>142935</v>
      </c>
      <c r="CF950">
        <v>69006</v>
      </c>
      <c r="CG950">
        <v>211941</v>
      </c>
      <c r="CH950">
        <v>2017</v>
      </c>
      <c r="CI950">
        <v>142935</v>
      </c>
      <c r="CJ950">
        <v>69006</v>
      </c>
      <c r="CK950">
        <v>211941</v>
      </c>
      <c r="CL950">
        <v>2017</v>
      </c>
      <c r="CM950">
        <v>3208.52</v>
      </c>
      <c r="CN950" s="1">
        <v>37260</v>
      </c>
      <c r="CZ950" s="1">
        <v>37260</v>
      </c>
      <c r="DD950" t="s">
        <v>2785</v>
      </c>
      <c r="DG950">
        <v>51</v>
      </c>
      <c r="DL950">
        <v>50503</v>
      </c>
      <c r="DM950" t="s">
        <v>9755</v>
      </c>
      <c r="DO950" t="s">
        <v>9815</v>
      </c>
      <c r="DP950">
        <v>0</v>
      </c>
      <c r="DQ950">
        <v>5</v>
      </c>
      <c r="DR950" t="s">
        <v>411</v>
      </c>
      <c r="DS950" t="b">
        <v>1</v>
      </c>
      <c r="DT950" t="s">
        <v>396</v>
      </c>
      <c r="DV950" t="s">
        <v>446</v>
      </c>
      <c r="DX950">
        <v>-9999</v>
      </c>
      <c r="DZ950" t="s">
        <v>447</v>
      </c>
      <c r="EA950" t="s">
        <v>448</v>
      </c>
      <c r="EB950" t="s">
        <v>9757</v>
      </c>
      <c r="EC950">
        <v>20101217</v>
      </c>
      <c r="ED950" t="s">
        <v>450</v>
      </c>
      <c r="EE950">
        <v>14.8</v>
      </c>
      <c r="EF950">
        <v>0</v>
      </c>
      <c r="EG950">
        <v>0</v>
      </c>
      <c r="EI950">
        <v>20160407</v>
      </c>
      <c r="EJ950">
        <v>0</v>
      </c>
      <c r="EK950">
        <v>0</v>
      </c>
      <c r="EP950" t="s">
        <v>421</v>
      </c>
      <c r="EQ950" t="s">
        <v>422</v>
      </c>
      <c r="ER950">
        <v>2</v>
      </c>
      <c r="ES950">
        <v>6</v>
      </c>
      <c r="ET950">
        <v>7103.2</v>
      </c>
      <c r="EU950">
        <v>367.66</v>
      </c>
      <c r="EV950">
        <v>7470.86</v>
      </c>
      <c r="EW950" s="2">
        <v>43222</v>
      </c>
      <c r="EX950" s="1">
        <v>42879</v>
      </c>
      <c r="EY950">
        <v>2016</v>
      </c>
      <c r="EZ950">
        <v>3551.6</v>
      </c>
      <c r="FA950" t="s">
        <v>9816</v>
      </c>
      <c r="FB950">
        <v>0.25</v>
      </c>
      <c r="FC950" t="s">
        <v>424</v>
      </c>
      <c r="FD950" t="s">
        <v>454</v>
      </c>
      <c r="FF950">
        <v>12</v>
      </c>
      <c r="FG950">
        <v>5857474</v>
      </c>
      <c r="FH950" t="s">
        <v>900</v>
      </c>
      <c r="FJ950" s="1">
        <v>42879</v>
      </c>
      <c r="FK950">
        <v>2016</v>
      </c>
      <c r="FL950">
        <v>3551.6</v>
      </c>
      <c r="FM950" t="s">
        <v>9816</v>
      </c>
      <c r="FN950">
        <v>0.25</v>
      </c>
      <c r="FO950" t="s">
        <v>424</v>
      </c>
      <c r="FP950" t="s">
        <v>454</v>
      </c>
      <c r="FR950">
        <v>12</v>
      </c>
      <c r="FS950">
        <v>6450282</v>
      </c>
      <c r="FT950" t="s">
        <v>9817</v>
      </c>
      <c r="FV950" s="1">
        <v>42515</v>
      </c>
      <c r="FW950">
        <v>2015</v>
      </c>
      <c r="FX950">
        <v>3636.25</v>
      </c>
      <c r="FY950" t="s">
        <v>9818</v>
      </c>
      <c r="FZ950">
        <v>0.25</v>
      </c>
      <c r="GA950" t="s">
        <v>424</v>
      </c>
      <c r="GB950" t="s">
        <v>425</v>
      </c>
      <c r="GC950" s="1">
        <v>43157</v>
      </c>
      <c r="GD950">
        <v>21</v>
      </c>
      <c r="GE950">
        <v>2851116</v>
      </c>
      <c r="GF950" t="s">
        <v>480</v>
      </c>
      <c r="GH950" s="1">
        <v>42515</v>
      </c>
      <c r="GI950">
        <v>2015</v>
      </c>
      <c r="GJ950">
        <v>3636.25</v>
      </c>
      <c r="GK950" t="s">
        <v>9818</v>
      </c>
      <c r="GL950">
        <v>0.25</v>
      </c>
      <c r="GM950" t="s">
        <v>424</v>
      </c>
      <c r="GN950" t="s">
        <v>425</v>
      </c>
      <c r="GP950">
        <v>22</v>
      </c>
      <c r="GQ950">
        <v>5014720</v>
      </c>
      <c r="GR950" t="s">
        <v>9819</v>
      </c>
      <c r="GT950" s="1">
        <v>42151</v>
      </c>
      <c r="GU950">
        <v>2014</v>
      </c>
      <c r="GV950">
        <v>3769.52</v>
      </c>
      <c r="GW950" t="s">
        <v>9820</v>
      </c>
      <c r="GX950">
        <v>0.25</v>
      </c>
      <c r="GY950" t="s">
        <v>424</v>
      </c>
      <c r="GZ950" t="s">
        <v>425</v>
      </c>
      <c r="HA950" s="1">
        <v>42794</v>
      </c>
      <c r="HB950">
        <v>21</v>
      </c>
      <c r="HC950">
        <v>4975594</v>
      </c>
      <c r="HD950" t="s">
        <v>457</v>
      </c>
      <c r="HF950" s="1">
        <v>42151</v>
      </c>
      <c r="HG950">
        <v>2014</v>
      </c>
      <c r="HH950">
        <v>3769.52</v>
      </c>
      <c r="HI950" t="s">
        <v>9820</v>
      </c>
      <c r="HJ950">
        <v>0.25</v>
      </c>
      <c r="HK950" t="s">
        <v>424</v>
      </c>
      <c r="HL950" t="s">
        <v>425</v>
      </c>
      <c r="HN950">
        <v>22</v>
      </c>
      <c r="HO950">
        <v>6429789</v>
      </c>
      <c r="HP950" t="s">
        <v>9821</v>
      </c>
      <c r="HR950" s="1">
        <v>41787</v>
      </c>
      <c r="HS950">
        <v>2013</v>
      </c>
      <c r="HT950">
        <v>3495.68</v>
      </c>
      <c r="HU950" t="s">
        <v>9822</v>
      </c>
      <c r="HV950">
        <v>0.25</v>
      </c>
      <c r="HW950" t="s">
        <v>424</v>
      </c>
      <c r="HX950" t="s">
        <v>425</v>
      </c>
      <c r="HY950" s="1">
        <v>42459</v>
      </c>
      <c r="HZ950">
        <v>22</v>
      </c>
      <c r="IA950">
        <v>2757457</v>
      </c>
      <c r="IB950" t="s">
        <v>648</v>
      </c>
      <c r="ID950" s="1">
        <v>41423</v>
      </c>
      <c r="IE950">
        <v>2012</v>
      </c>
      <c r="IF950">
        <v>3488.64</v>
      </c>
      <c r="IG950" t="s">
        <v>9823</v>
      </c>
      <c r="IH950">
        <v>0.25</v>
      </c>
      <c r="II950" t="s">
        <v>424</v>
      </c>
      <c r="IJ950" t="s">
        <v>425</v>
      </c>
      <c r="IK950" s="1">
        <v>42060</v>
      </c>
      <c r="IL950">
        <v>21</v>
      </c>
      <c r="IM950">
        <v>15398</v>
      </c>
      <c r="IN950" t="s">
        <v>1180</v>
      </c>
    </row>
    <row r="951" spans="1:284" x14ac:dyDescent="0.25">
      <c r="A951">
        <v>16485958</v>
      </c>
      <c r="B951">
        <v>950</v>
      </c>
      <c r="C951" t="s">
        <v>393</v>
      </c>
      <c r="D951" t="s">
        <v>394</v>
      </c>
      <c r="F951" t="str">
        <f>"51-2N-25-0000-0027-0000"</f>
        <v>51-2N-25-0000-0027-0000</v>
      </c>
      <c r="H951" t="str">
        <f>"WILLIAMS ROBERT L ESTATE C/O IVEY BLOODSWORTH"</f>
        <v>WILLIAMS ROBERT L ESTATE C/O IVEY BLOODSWORTH</v>
      </c>
      <c r="I951" t="str">
        <f>"542696 US HWY 1"</f>
        <v>542696 US HWY 1</v>
      </c>
      <c r="J951" t="str">
        <f>"CALLAHAN FL 32011"</f>
        <v>CALLAHAN FL 32011</v>
      </c>
      <c r="K951" t="str">
        <f>"45035 TAYLOR RD"</f>
        <v>45035 TAYLOR RD</v>
      </c>
      <c r="L951" t="str">
        <f t="shared" si="291"/>
        <v>CALLAHAN FL 32011</v>
      </c>
      <c r="M951" t="str">
        <f>"IN DB 220 PG 62"</f>
        <v>IN DB 220 PG 62</v>
      </c>
      <c r="N951" t="str">
        <f>""</f>
        <v/>
      </c>
      <c r="O951" t="str">
        <f>"54604"</f>
        <v>54604</v>
      </c>
      <c r="P951" t="str">
        <f t="shared" si="283"/>
        <v>2017</v>
      </c>
      <c r="Q951" t="str">
        <f>""</f>
        <v/>
      </c>
      <c r="R951" t="str">
        <f t="shared" si="294"/>
        <v>N</v>
      </c>
      <c r="S951" t="str">
        <f>""</f>
        <v/>
      </c>
      <c r="T951" t="str">
        <f>"213.40"</f>
        <v>213.40</v>
      </c>
      <c r="U951" t="str">
        <f>"14097.00"</f>
        <v>14097.00</v>
      </c>
      <c r="V951" t="str">
        <f>"14097.00"</f>
        <v>14097.00</v>
      </c>
      <c r="W951" t="str">
        <f t="shared" si="284"/>
        <v>2017</v>
      </c>
      <c r="X951" t="str">
        <f>"21.25"</f>
        <v>21.25</v>
      </c>
      <c r="Y951" t="str">
        <f>"251.80"</f>
        <v>251.80</v>
      </c>
      <c r="Z951" t="str">
        <f>""</f>
        <v/>
      </c>
      <c r="AA951" t="str">
        <f>"14097.00"</f>
        <v>14097.00</v>
      </c>
      <c r="AB951" t="str">
        <f t="shared" ref="AB951:AB986" si="307">"Residential"</f>
        <v>Residential</v>
      </c>
      <c r="AC951" t="str">
        <f t="shared" si="295"/>
        <v>0</v>
      </c>
      <c r="AD951" t="str">
        <f>""</f>
        <v/>
      </c>
      <c r="AE951" t="str">
        <f>""</f>
        <v/>
      </c>
      <c r="AF951" t="str">
        <f>"000"</f>
        <v>000</v>
      </c>
      <c r="AG951" t="str">
        <f t="shared" si="306"/>
        <v>FL</v>
      </c>
      <c r="AH951" t="str">
        <f>"10500.00"</f>
        <v>10500.00</v>
      </c>
      <c r="AI951" t="str">
        <f>"13597.00"</f>
        <v>13597.00</v>
      </c>
      <c r="AJ951" t="str">
        <f>"C55-000-588-7092-4"</f>
        <v>C55-000-588-7092-4</v>
      </c>
      <c r="AK951" t="str">
        <f>"14826"</f>
        <v>14826</v>
      </c>
      <c r="AL951">
        <v>4</v>
      </c>
      <c r="AM951">
        <v>1098</v>
      </c>
      <c r="AN951">
        <v>262.79000000000002</v>
      </c>
      <c r="AQ951" t="s">
        <v>9824</v>
      </c>
      <c r="AR951" t="s">
        <v>9824</v>
      </c>
      <c r="AS951" t="s">
        <v>9824</v>
      </c>
      <c r="AU951" t="s">
        <v>396</v>
      </c>
      <c r="AV951">
        <v>2017</v>
      </c>
      <c r="AW951" t="str">
        <f>"51-2N-25-0000-0027-0000 "</f>
        <v xml:space="preserve">51-2N-25-0000-0027-0000 </v>
      </c>
      <c r="AX951">
        <v>45035</v>
      </c>
      <c r="AZ951" t="s">
        <v>9825</v>
      </c>
      <c r="BA951" t="s">
        <v>496</v>
      </c>
      <c r="BD951" t="s">
        <v>2785</v>
      </c>
      <c r="BE951" t="s">
        <v>393</v>
      </c>
      <c r="BF951">
        <v>32011</v>
      </c>
      <c r="BG951" t="s">
        <v>9826</v>
      </c>
      <c r="BH951" t="s">
        <v>2787</v>
      </c>
      <c r="BI951">
        <v>-81.834692665523207</v>
      </c>
      <c r="BJ951">
        <v>30.5720818875992</v>
      </c>
      <c r="BK951" t="s">
        <v>9827</v>
      </c>
      <c r="BM951" t="s">
        <v>9828</v>
      </c>
      <c r="BN951" t="s">
        <v>928</v>
      </c>
      <c r="BO951">
        <v>32011</v>
      </c>
      <c r="BP951" t="s">
        <v>404</v>
      </c>
      <c r="BQ951">
        <v>1</v>
      </c>
      <c r="BR951" t="s">
        <v>491</v>
      </c>
      <c r="BS951">
        <v>8001</v>
      </c>
      <c r="BT951" t="s">
        <v>492</v>
      </c>
      <c r="BU951">
        <v>1050</v>
      </c>
      <c r="BV951">
        <v>1000</v>
      </c>
      <c r="BW951">
        <v>12339</v>
      </c>
      <c r="BX951" t="s">
        <v>407</v>
      </c>
      <c r="BY951" t="s">
        <v>4413</v>
      </c>
      <c r="CD951">
        <v>2017</v>
      </c>
      <c r="CE951">
        <v>13597</v>
      </c>
      <c r="CF951">
        <v>500</v>
      </c>
      <c r="CG951">
        <v>14097</v>
      </c>
      <c r="CH951">
        <v>2017</v>
      </c>
      <c r="CI951">
        <v>13597</v>
      </c>
      <c r="CJ951">
        <v>500</v>
      </c>
      <c r="CK951">
        <v>14097</v>
      </c>
      <c r="CL951">
        <v>2017</v>
      </c>
      <c r="CM951">
        <v>213.4</v>
      </c>
      <c r="DD951" t="s">
        <v>2785</v>
      </c>
      <c r="DG951">
        <v>51</v>
      </c>
      <c r="DL951">
        <v>50503</v>
      </c>
      <c r="DM951" t="s">
        <v>9755</v>
      </c>
      <c r="DO951" t="s">
        <v>9829</v>
      </c>
      <c r="DP951">
        <v>0</v>
      </c>
      <c r="DQ951">
        <v>4</v>
      </c>
      <c r="DR951" t="s">
        <v>1479</v>
      </c>
      <c r="DS951" t="b">
        <v>1</v>
      </c>
      <c r="DT951" t="s">
        <v>470</v>
      </c>
      <c r="DU951" t="s">
        <v>471</v>
      </c>
      <c r="DV951" t="s">
        <v>472</v>
      </c>
      <c r="DX951">
        <v>-9999</v>
      </c>
      <c r="DZ951" t="s">
        <v>447</v>
      </c>
      <c r="EA951" t="s">
        <v>448</v>
      </c>
      <c r="EB951" t="s">
        <v>742</v>
      </c>
      <c r="EC951">
        <v>20101217</v>
      </c>
      <c r="ED951" t="s">
        <v>474</v>
      </c>
      <c r="EF951">
        <v>75</v>
      </c>
      <c r="EG951">
        <v>75</v>
      </c>
      <c r="EI951">
        <v>20160407</v>
      </c>
      <c r="EJ951">
        <v>0</v>
      </c>
      <c r="EK951">
        <v>0</v>
      </c>
      <c r="EP951" t="s">
        <v>421</v>
      </c>
      <c r="EQ951" t="s">
        <v>422</v>
      </c>
      <c r="ER951">
        <v>0</v>
      </c>
      <c r="ES951">
        <v>6</v>
      </c>
      <c r="ET951">
        <v>0</v>
      </c>
      <c r="EU951">
        <v>0</v>
      </c>
      <c r="EV951">
        <v>0</v>
      </c>
      <c r="EW951" s="2">
        <v>43222</v>
      </c>
      <c r="EX951" s="1">
        <v>42515</v>
      </c>
      <c r="EY951">
        <v>2015</v>
      </c>
      <c r="EZ951">
        <v>261.72000000000003</v>
      </c>
      <c r="FA951" t="s">
        <v>9830</v>
      </c>
      <c r="FB951">
        <v>18</v>
      </c>
      <c r="FC951" t="s">
        <v>424</v>
      </c>
      <c r="FD951" t="s">
        <v>425</v>
      </c>
      <c r="FE951" s="1">
        <v>42877</v>
      </c>
      <c r="FF951">
        <v>12</v>
      </c>
      <c r="FG951">
        <v>7336677</v>
      </c>
      <c r="FH951" t="s">
        <v>5826</v>
      </c>
      <c r="FJ951" s="1">
        <v>42151</v>
      </c>
      <c r="FK951">
        <v>2014</v>
      </c>
      <c r="FL951">
        <v>251.32</v>
      </c>
      <c r="FM951" t="s">
        <v>9831</v>
      </c>
      <c r="FN951">
        <v>4.75</v>
      </c>
      <c r="FO951" t="s">
        <v>424</v>
      </c>
      <c r="FP951" t="s">
        <v>425</v>
      </c>
      <c r="FQ951" s="1">
        <v>42789</v>
      </c>
      <c r="FR951">
        <v>21</v>
      </c>
      <c r="FS951">
        <v>4975593</v>
      </c>
      <c r="FT951" t="s">
        <v>505</v>
      </c>
      <c r="FV951" s="1">
        <v>41787</v>
      </c>
      <c r="FW951">
        <v>2013</v>
      </c>
      <c r="FX951">
        <v>228.05</v>
      </c>
      <c r="FY951" t="s">
        <v>9832</v>
      </c>
      <c r="FZ951">
        <v>7</v>
      </c>
      <c r="GA951" t="s">
        <v>424</v>
      </c>
      <c r="GB951" t="s">
        <v>425</v>
      </c>
      <c r="GC951" s="1">
        <v>42789</v>
      </c>
      <c r="GD951">
        <v>33</v>
      </c>
      <c r="GE951">
        <v>10003</v>
      </c>
      <c r="GF951" t="s">
        <v>4341</v>
      </c>
      <c r="GH951" s="1">
        <v>41423</v>
      </c>
      <c r="GI951">
        <v>2012</v>
      </c>
      <c r="GJ951">
        <v>409.39</v>
      </c>
      <c r="GK951" t="s">
        <v>9833</v>
      </c>
      <c r="GL951">
        <v>3.5</v>
      </c>
      <c r="GM951" t="s">
        <v>424</v>
      </c>
      <c r="GN951" t="s">
        <v>425</v>
      </c>
      <c r="GO951" s="1">
        <v>42060</v>
      </c>
      <c r="GP951">
        <v>21</v>
      </c>
      <c r="GQ951">
        <v>15399</v>
      </c>
      <c r="GR951" t="s">
        <v>485</v>
      </c>
      <c r="GT951" s="1">
        <v>41052</v>
      </c>
      <c r="GU951">
        <v>2011</v>
      </c>
      <c r="GV951">
        <v>408.16</v>
      </c>
      <c r="GW951" t="s">
        <v>9834</v>
      </c>
      <c r="GX951">
        <v>4.75</v>
      </c>
      <c r="GY951" t="s">
        <v>424</v>
      </c>
      <c r="GZ951" t="s">
        <v>425</v>
      </c>
      <c r="HA951" s="1">
        <v>41698</v>
      </c>
      <c r="HB951">
        <v>21</v>
      </c>
      <c r="HC951">
        <v>1625515</v>
      </c>
      <c r="HD951" t="s">
        <v>487</v>
      </c>
      <c r="HF951" s="1">
        <v>41052</v>
      </c>
      <c r="HG951">
        <v>2011</v>
      </c>
      <c r="HH951">
        <v>408.16</v>
      </c>
      <c r="HI951" t="s">
        <v>9834</v>
      </c>
      <c r="HJ951">
        <v>4.75</v>
      </c>
      <c r="HK951" t="s">
        <v>424</v>
      </c>
      <c r="HL951" t="s">
        <v>425</v>
      </c>
      <c r="HN951">
        <v>22</v>
      </c>
      <c r="HO951">
        <v>10579</v>
      </c>
      <c r="HP951" t="s">
        <v>488</v>
      </c>
    </row>
    <row r="952" spans="1:284" x14ac:dyDescent="0.25">
      <c r="A952">
        <v>16485959</v>
      </c>
      <c r="B952">
        <v>951</v>
      </c>
      <c r="C952" t="s">
        <v>393</v>
      </c>
      <c r="D952" t="s">
        <v>394</v>
      </c>
      <c r="F952" t="str">
        <f>"51-2N-25-0000-0033-0020"</f>
        <v>51-2N-25-0000-0033-0020</v>
      </c>
      <c r="H952" t="str">
        <f>"NELSON MARTHA EST C/O ROOSEVELT NELSON"</f>
        <v>NELSON MARTHA EST C/O ROOSEVELT NELSON</v>
      </c>
      <c r="I952" t="str">
        <f>"45101 HOLLOWAY LN"</f>
        <v>45101 HOLLOWAY LN</v>
      </c>
      <c r="J952" t="str">
        <f>"CALLAHAN FL 32011"</f>
        <v>CALLAHAN FL 32011</v>
      </c>
      <c r="K952" t="str">
        <f>"45101 HOLLOWAY LN"</f>
        <v>45101 HOLLOWAY LN</v>
      </c>
      <c r="L952" t="str">
        <f t="shared" si="291"/>
        <v>CALLAHAN FL 32011</v>
      </c>
      <c r="M952" t="str">
        <f>"IN OR 19 PG 86"</f>
        <v>IN OR 19 PG 86</v>
      </c>
      <c r="N952" t="str">
        <f>""</f>
        <v/>
      </c>
      <c r="O952" t="str">
        <f>"54614"</f>
        <v>54614</v>
      </c>
      <c r="P952" t="str">
        <f t="shared" si="283"/>
        <v>2017</v>
      </c>
      <c r="Q952" t="str">
        <f>""</f>
        <v/>
      </c>
      <c r="R952" t="str">
        <f>"Y"</f>
        <v>Y</v>
      </c>
      <c r="S952" t="str">
        <f>"1.00"</f>
        <v>1.00</v>
      </c>
      <c r="T952" t="str">
        <f>"681.00"</f>
        <v>681.00</v>
      </c>
      <c r="U952" t="str">
        <f>"51077.00"</f>
        <v>51077.00</v>
      </c>
      <c r="V952" t="str">
        <f>"51077.00"</f>
        <v>51077.00</v>
      </c>
      <c r="W952" t="str">
        <f t="shared" si="284"/>
        <v>2017</v>
      </c>
      <c r="X952" t="str">
        <f>"9.33"</f>
        <v>9.33</v>
      </c>
      <c r="Y952" t="str">
        <f>"733.43"</f>
        <v>733.43</v>
      </c>
      <c r="Z952" t="str">
        <f>"6093.00"</f>
        <v>6093.00</v>
      </c>
      <c r="AA952" t="str">
        <f>"44984.00"</f>
        <v>44984.00</v>
      </c>
      <c r="AB952" t="str">
        <f t="shared" si="307"/>
        <v>Residential</v>
      </c>
      <c r="AC952" t="str">
        <f t="shared" si="295"/>
        <v>0</v>
      </c>
      <c r="AD952" t="str">
        <f>"4"</f>
        <v>4</v>
      </c>
      <c r="AE952" t="str">
        <f>"WOOD (INCLUDE STEEL STUDS)"</f>
        <v>WOOD (INCLUDE STEEL STUDS)</v>
      </c>
      <c r="AF952" t="str">
        <f>"001"</f>
        <v>001</v>
      </c>
      <c r="AG952" t="str">
        <f t="shared" si="306"/>
        <v>FL</v>
      </c>
      <c r="AH952" t="str">
        <f>"9996.00"</f>
        <v>9996.00</v>
      </c>
      <c r="AI952" t="str">
        <f>"9750.00"</f>
        <v>9750.00</v>
      </c>
      <c r="AJ952" t="str">
        <f>"C55-000-588-7102-1"</f>
        <v>C55-000-588-7102-1</v>
      </c>
      <c r="AK952" t="str">
        <f>"14836"</f>
        <v>14836</v>
      </c>
      <c r="AL952">
        <v>4</v>
      </c>
      <c r="AM952">
        <v>1099</v>
      </c>
      <c r="AN952">
        <v>768.5</v>
      </c>
      <c r="AQ952" t="s">
        <v>9835</v>
      </c>
      <c r="AR952" t="s">
        <v>9835</v>
      </c>
      <c r="AS952" t="s">
        <v>9835</v>
      </c>
      <c r="AU952" t="s">
        <v>396</v>
      </c>
      <c r="AV952">
        <v>2017</v>
      </c>
      <c r="AW952" t="str">
        <f>"51-2N-25-0000-0033-0020 "</f>
        <v xml:space="preserve">51-2N-25-0000-0033-0020 </v>
      </c>
      <c r="AX952">
        <v>45101</v>
      </c>
      <c r="AZ952" t="s">
        <v>9836</v>
      </c>
      <c r="BA952" t="s">
        <v>653</v>
      </c>
      <c r="BD952" t="s">
        <v>2785</v>
      </c>
      <c r="BE952" t="s">
        <v>393</v>
      </c>
      <c r="BF952">
        <v>32011</v>
      </c>
      <c r="BG952" t="s">
        <v>9837</v>
      </c>
      <c r="BH952" t="s">
        <v>2787</v>
      </c>
      <c r="BI952">
        <v>-81.828694464936206</v>
      </c>
      <c r="BJ952">
        <v>30.572586519624199</v>
      </c>
      <c r="BK952" t="s">
        <v>9838</v>
      </c>
      <c r="BM952" t="s">
        <v>9837</v>
      </c>
      <c r="BN952" t="s">
        <v>928</v>
      </c>
      <c r="BO952">
        <v>32011</v>
      </c>
      <c r="BP952" t="s">
        <v>416</v>
      </c>
      <c r="BQ952">
        <v>100</v>
      </c>
      <c r="BR952" t="s">
        <v>514</v>
      </c>
      <c r="BS952">
        <v>1001</v>
      </c>
      <c r="BT952" t="s">
        <v>515</v>
      </c>
      <c r="BW952">
        <v>9996</v>
      </c>
      <c r="BX952" t="s">
        <v>407</v>
      </c>
      <c r="BY952" t="s">
        <v>4360</v>
      </c>
      <c r="BZ952">
        <v>4</v>
      </c>
      <c r="CA952">
        <v>2005</v>
      </c>
      <c r="CB952">
        <v>1</v>
      </c>
      <c r="CC952">
        <v>1</v>
      </c>
      <c r="CD952">
        <v>2017</v>
      </c>
      <c r="CG952">
        <v>51077</v>
      </c>
      <c r="CH952">
        <v>2017</v>
      </c>
      <c r="CI952">
        <v>9750</v>
      </c>
      <c r="CJ952">
        <v>41955</v>
      </c>
      <c r="CK952">
        <v>51705</v>
      </c>
      <c r="CL952">
        <v>2017</v>
      </c>
      <c r="CM952">
        <v>681</v>
      </c>
      <c r="CN952" s="1">
        <v>19059</v>
      </c>
      <c r="CZ952" s="1">
        <v>19059</v>
      </c>
      <c r="DD952" t="s">
        <v>2785</v>
      </c>
      <c r="DG952">
        <v>51</v>
      </c>
      <c r="DL952">
        <v>50503</v>
      </c>
      <c r="DM952" t="s">
        <v>9755</v>
      </c>
      <c r="DO952" t="s">
        <v>9839</v>
      </c>
      <c r="DP952">
        <v>0</v>
      </c>
      <c r="DQ952">
        <v>0</v>
      </c>
      <c r="DR952" t="s">
        <v>411</v>
      </c>
      <c r="DS952" t="b">
        <v>1</v>
      </c>
      <c r="DT952" t="s">
        <v>470</v>
      </c>
      <c r="DU952" t="s">
        <v>471</v>
      </c>
      <c r="DV952" t="s">
        <v>472</v>
      </c>
      <c r="DX952">
        <v>-9999</v>
      </c>
      <c r="DZ952" t="s">
        <v>447</v>
      </c>
      <c r="EA952" t="s">
        <v>448</v>
      </c>
      <c r="EB952" t="s">
        <v>742</v>
      </c>
      <c r="EC952">
        <v>20101217</v>
      </c>
      <c r="ED952" t="s">
        <v>474</v>
      </c>
      <c r="EF952">
        <v>391.3</v>
      </c>
      <c r="EG952">
        <v>391.3</v>
      </c>
      <c r="EI952">
        <v>20160407</v>
      </c>
      <c r="EJ952">
        <v>0</v>
      </c>
      <c r="EK952">
        <v>0</v>
      </c>
      <c r="EP952" t="s">
        <v>421</v>
      </c>
      <c r="EQ952" t="s">
        <v>422</v>
      </c>
      <c r="ER952">
        <v>2</v>
      </c>
      <c r="ES952">
        <v>6</v>
      </c>
      <c r="ET952">
        <v>1498.36</v>
      </c>
      <c r="EU952">
        <v>87.42</v>
      </c>
      <c r="EV952">
        <v>1585.78</v>
      </c>
      <c r="EW952" s="2">
        <v>43222</v>
      </c>
      <c r="EX952" s="1">
        <v>42879</v>
      </c>
      <c r="EY952">
        <v>2016</v>
      </c>
      <c r="EZ952">
        <v>749.18</v>
      </c>
      <c r="FA952" t="s">
        <v>9840</v>
      </c>
      <c r="FB952">
        <v>0.25</v>
      </c>
      <c r="FC952" t="s">
        <v>424</v>
      </c>
      <c r="FD952" t="s">
        <v>454</v>
      </c>
      <c r="FF952">
        <v>12</v>
      </c>
      <c r="FG952">
        <v>11289</v>
      </c>
      <c r="FH952" t="s">
        <v>787</v>
      </c>
      <c r="FJ952" s="1">
        <v>42879</v>
      </c>
      <c r="FK952">
        <v>2016</v>
      </c>
      <c r="FL952">
        <v>749.18</v>
      </c>
      <c r="FM952" t="s">
        <v>9840</v>
      </c>
      <c r="FN952">
        <v>0.25</v>
      </c>
      <c r="FO952" t="s">
        <v>424</v>
      </c>
      <c r="FP952" t="s">
        <v>454</v>
      </c>
      <c r="FR952">
        <v>12</v>
      </c>
      <c r="FS952">
        <v>7156870</v>
      </c>
      <c r="FT952" t="s">
        <v>9841</v>
      </c>
      <c r="FV952" s="1">
        <v>42515</v>
      </c>
      <c r="FW952">
        <v>2015</v>
      </c>
      <c r="FX952">
        <v>759.25</v>
      </c>
      <c r="FY952" t="s">
        <v>9842</v>
      </c>
      <c r="FZ952">
        <v>0.25</v>
      </c>
      <c r="GA952" t="s">
        <v>424</v>
      </c>
      <c r="GB952" t="s">
        <v>425</v>
      </c>
      <c r="GC952" s="1">
        <v>42978</v>
      </c>
      <c r="GD952">
        <v>15</v>
      </c>
      <c r="GE952">
        <v>7045074</v>
      </c>
      <c r="GF952" t="s">
        <v>580</v>
      </c>
      <c r="GH952" s="1">
        <v>42515</v>
      </c>
      <c r="GI952">
        <v>2015</v>
      </c>
      <c r="GJ952">
        <v>759.25</v>
      </c>
      <c r="GK952" t="s">
        <v>9842</v>
      </c>
      <c r="GL952">
        <v>0.25</v>
      </c>
      <c r="GM952" t="s">
        <v>424</v>
      </c>
      <c r="GN952" t="s">
        <v>425</v>
      </c>
      <c r="GP952">
        <v>22</v>
      </c>
      <c r="GQ952">
        <v>6292381</v>
      </c>
      <c r="GR952" t="s">
        <v>9843</v>
      </c>
      <c r="GT952" s="1">
        <v>42151</v>
      </c>
      <c r="GU952">
        <v>2014</v>
      </c>
      <c r="GV952">
        <v>694.43</v>
      </c>
      <c r="GW952" t="s">
        <v>9844</v>
      </c>
      <c r="GX952">
        <v>0.25</v>
      </c>
      <c r="GY952" t="s">
        <v>424</v>
      </c>
      <c r="GZ952" t="s">
        <v>425</v>
      </c>
      <c r="HA952" s="1">
        <v>42465</v>
      </c>
      <c r="HB952">
        <v>11</v>
      </c>
      <c r="HC952">
        <v>4975594</v>
      </c>
      <c r="HD952" t="s">
        <v>457</v>
      </c>
      <c r="HF952" s="1">
        <v>42151</v>
      </c>
      <c r="HG952">
        <v>2014</v>
      </c>
      <c r="HH952">
        <v>694.43</v>
      </c>
      <c r="HI952" t="s">
        <v>9844</v>
      </c>
      <c r="HJ952">
        <v>0.25</v>
      </c>
      <c r="HK952" t="s">
        <v>424</v>
      </c>
      <c r="HL952" t="s">
        <v>425</v>
      </c>
      <c r="HN952">
        <v>22</v>
      </c>
      <c r="HO952">
        <v>6590550</v>
      </c>
      <c r="HP952" t="s">
        <v>9845</v>
      </c>
      <c r="HR952" s="1">
        <v>41423</v>
      </c>
      <c r="HS952">
        <v>2012</v>
      </c>
      <c r="HT952">
        <v>288.01</v>
      </c>
      <c r="HU952" t="s">
        <v>9846</v>
      </c>
      <c r="HV952">
        <v>0.25</v>
      </c>
      <c r="HW952" t="s">
        <v>424</v>
      </c>
      <c r="HX952" t="s">
        <v>425</v>
      </c>
      <c r="HY952" s="1">
        <v>41437</v>
      </c>
      <c r="HZ952">
        <v>1</v>
      </c>
      <c r="IA952">
        <v>15407</v>
      </c>
      <c r="IB952" t="s">
        <v>1134</v>
      </c>
      <c r="ID952" s="1">
        <v>41052</v>
      </c>
      <c r="IE952">
        <v>2011</v>
      </c>
      <c r="IF952">
        <v>264.39</v>
      </c>
      <c r="IG952" t="s">
        <v>9847</v>
      </c>
      <c r="IH952">
        <v>5.75</v>
      </c>
      <c r="II952" t="s">
        <v>424</v>
      </c>
      <c r="IJ952" t="s">
        <v>425</v>
      </c>
      <c r="IK952" s="1">
        <v>41281</v>
      </c>
      <c r="IL952">
        <v>8</v>
      </c>
      <c r="IM952">
        <v>13027</v>
      </c>
      <c r="IN952" t="s">
        <v>826</v>
      </c>
    </row>
    <row r="953" spans="1:284" x14ac:dyDescent="0.25">
      <c r="A953">
        <v>16485960</v>
      </c>
      <c r="B953">
        <v>952</v>
      </c>
      <c r="C953" t="s">
        <v>393</v>
      </c>
      <c r="D953" t="s">
        <v>394</v>
      </c>
      <c r="F953" t="str">
        <f>"51-2N-25-0000-0042-0000"</f>
        <v>51-2N-25-0000-0042-0000</v>
      </c>
      <c r="H953" t="str">
        <f>"LALLAMANT STEVEN R"</f>
        <v>LALLAMANT STEVEN R</v>
      </c>
      <c r="I953" t="str">
        <f>"PO BOX 13023"</f>
        <v>PO BOX 13023</v>
      </c>
      <c r="J953" t="str">
        <f>"ST PETERSBURG FL 33733"</f>
        <v>ST PETERSBURG FL 33733</v>
      </c>
      <c r="K953" t="str">
        <f>"DR MARTIN LUTHER KING JR AV"</f>
        <v>DR MARTIN LUTHER KING JR AV</v>
      </c>
      <c r="L953" t="str">
        <f t="shared" si="291"/>
        <v>CALLAHAN FL 32011</v>
      </c>
      <c r="M953" t="str">
        <f>"PT F P SANCHEZ GRANT SEC 51-2N-28E IN OR 1402/1032 BEING PARCEL 3"</f>
        <v>PT F P SANCHEZ GRANT SEC 51-2N-28E IN OR 1402/1032 BEING PARCEL 3</v>
      </c>
      <c r="N953" t="str">
        <f>""</f>
        <v/>
      </c>
      <c r="O953" t="str">
        <f>"54626"</f>
        <v>54626</v>
      </c>
      <c r="P953" t="str">
        <f t="shared" si="283"/>
        <v>2017</v>
      </c>
      <c r="Q953" t="str">
        <f>""</f>
        <v/>
      </c>
      <c r="R953" t="str">
        <f>"N"</f>
        <v>N</v>
      </c>
      <c r="S953" t="str">
        <f>"1.00"</f>
        <v>1.00</v>
      </c>
      <c r="T953" t="str">
        <f>"211.71"</f>
        <v>211.71</v>
      </c>
      <c r="U953" t="str">
        <f>"13200.00"</f>
        <v>13200.00</v>
      </c>
      <c r="V953" t="str">
        <f>"13200.00"</f>
        <v>13200.00</v>
      </c>
      <c r="W953" t="str">
        <f t="shared" si="284"/>
        <v>2017</v>
      </c>
      <c r="X953" t="str">
        <f>"16.33"</f>
        <v>16.33</v>
      </c>
      <c r="Y953" t="str">
        <f>"250.06"</f>
        <v>250.06</v>
      </c>
      <c r="Z953" t="str">
        <f>""</f>
        <v/>
      </c>
      <c r="AA953" t="str">
        <f>"15000.00"</f>
        <v>15000.00</v>
      </c>
      <c r="AB953" t="str">
        <f t="shared" si="307"/>
        <v>Residential</v>
      </c>
      <c r="AC953" t="str">
        <f t="shared" si="295"/>
        <v>0</v>
      </c>
      <c r="AD953" t="str">
        <f>""</f>
        <v/>
      </c>
      <c r="AE953" t="str">
        <f>""</f>
        <v/>
      </c>
      <c r="AF953" t="str">
        <f>"000"</f>
        <v>000</v>
      </c>
      <c r="AG953" t="str">
        <f t="shared" si="306"/>
        <v>FL</v>
      </c>
      <c r="AH953" t="str">
        <f>"43560.00"</f>
        <v>43560.00</v>
      </c>
      <c r="AI953" t="str">
        <f>"15000.00"</f>
        <v>15000.00</v>
      </c>
      <c r="AJ953" t="str">
        <f>"C55-000-588-7114-6"</f>
        <v>C55-000-588-7114-6</v>
      </c>
      <c r="AK953" t="str">
        <f>"14848"</f>
        <v>14848</v>
      </c>
      <c r="AL953">
        <v>4</v>
      </c>
      <c r="AM953">
        <v>1100</v>
      </c>
      <c r="AN953">
        <v>260.95999999999998</v>
      </c>
      <c r="AQ953" t="s">
        <v>9848</v>
      </c>
      <c r="AR953" t="s">
        <v>9848</v>
      </c>
      <c r="AS953" t="s">
        <v>9848</v>
      </c>
      <c r="AU953" t="s">
        <v>396</v>
      </c>
      <c r="AV953">
        <v>2017</v>
      </c>
      <c r="AW953" t="str">
        <f>"51-2N-25-0000-0042-0000 "</f>
        <v xml:space="preserve">51-2N-25-0000-0042-0000 </v>
      </c>
      <c r="AZ953" t="s">
        <v>8913</v>
      </c>
      <c r="BA953" t="s">
        <v>1122</v>
      </c>
      <c r="BD953" t="s">
        <v>2785</v>
      </c>
      <c r="BE953" t="s">
        <v>393</v>
      </c>
      <c r="BF953">
        <v>32011</v>
      </c>
      <c r="BG953" t="s">
        <v>9849</v>
      </c>
      <c r="BH953" t="s">
        <v>2787</v>
      </c>
      <c r="BI953">
        <v>-81.827778196558796</v>
      </c>
      <c r="BJ953">
        <v>30.571860878698001</v>
      </c>
      <c r="BK953" t="s">
        <v>9850</v>
      </c>
      <c r="BM953" t="s">
        <v>9851</v>
      </c>
      <c r="BN953" t="s">
        <v>9852</v>
      </c>
      <c r="BO953">
        <v>33733</v>
      </c>
      <c r="BP953" t="s">
        <v>404</v>
      </c>
      <c r="BQ953">
        <v>0</v>
      </c>
      <c r="BR953" t="s">
        <v>491</v>
      </c>
      <c r="BS953">
        <v>8001</v>
      </c>
      <c r="BT953" t="s">
        <v>492</v>
      </c>
      <c r="BW953">
        <v>43560</v>
      </c>
      <c r="BX953" t="s">
        <v>407</v>
      </c>
      <c r="BY953" t="s">
        <v>4360</v>
      </c>
      <c r="CD953">
        <v>2017</v>
      </c>
      <c r="CE953">
        <v>15000</v>
      </c>
      <c r="CG953">
        <v>15000</v>
      </c>
      <c r="CH953">
        <v>2017</v>
      </c>
      <c r="CI953">
        <v>15000</v>
      </c>
      <c r="CK953">
        <v>15000</v>
      </c>
      <c r="CL953">
        <v>2017</v>
      </c>
      <c r="CM953">
        <v>211.71</v>
      </c>
      <c r="CN953" s="1">
        <v>38814</v>
      </c>
      <c r="CZ953" s="1">
        <v>38814</v>
      </c>
      <c r="DD953" t="s">
        <v>2785</v>
      </c>
      <c r="DG953">
        <v>51</v>
      </c>
      <c r="DL953">
        <v>50503</v>
      </c>
      <c r="DM953" t="s">
        <v>9755</v>
      </c>
      <c r="DO953" t="s">
        <v>9853</v>
      </c>
      <c r="DP953">
        <v>0</v>
      </c>
      <c r="DQ953">
        <v>0</v>
      </c>
      <c r="DR953" t="s">
        <v>411</v>
      </c>
      <c r="DS953" t="s">
        <v>695</v>
      </c>
      <c r="EJ953">
        <v>0</v>
      </c>
      <c r="EK953">
        <v>0</v>
      </c>
      <c r="EP953" t="s">
        <v>421</v>
      </c>
      <c r="EQ953" t="s">
        <v>452</v>
      </c>
      <c r="ER953">
        <v>0</v>
      </c>
      <c r="ES953">
        <v>7</v>
      </c>
      <c r="ET953">
        <v>0</v>
      </c>
      <c r="EU953">
        <v>0</v>
      </c>
      <c r="EV953">
        <v>0</v>
      </c>
      <c r="EW953" s="2">
        <v>43222</v>
      </c>
      <c r="EX953" s="1">
        <v>42151</v>
      </c>
      <c r="EY953">
        <v>2014</v>
      </c>
      <c r="EZ953">
        <v>227.1</v>
      </c>
      <c r="FA953" t="s">
        <v>9854</v>
      </c>
      <c r="FB953">
        <v>4.75</v>
      </c>
      <c r="FC953" t="s">
        <v>424</v>
      </c>
      <c r="FD953" t="s">
        <v>425</v>
      </c>
      <c r="FE953" s="1">
        <v>42338</v>
      </c>
      <c r="FF953">
        <v>6</v>
      </c>
      <c r="FG953">
        <v>4975593</v>
      </c>
      <c r="FH953" t="s">
        <v>505</v>
      </c>
      <c r="FI953" t="s">
        <v>458</v>
      </c>
      <c r="FJ953" s="1">
        <v>41787</v>
      </c>
      <c r="FK953">
        <v>2013</v>
      </c>
      <c r="FL953">
        <v>208.05</v>
      </c>
      <c r="FM953" t="s">
        <v>9855</v>
      </c>
      <c r="FN953">
        <v>6.75</v>
      </c>
      <c r="FO953" t="s">
        <v>424</v>
      </c>
      <c r="FP953" t="s">
        <v>425</v>
      </c>
      <c r="FQ953" s="1">
        <v>42338</v>
      </c>
      <c r="FR953">
        <v>18</v>
      </c>
      <c r="FS953">
        <v>2035919</v>
      </c>
      <c r="FT953" t="s">
        <v>507</v>
      </c>
      <c r="FU953" t="s">
        <v>458</v>
      </c>
      <c r="FV953" s="1">
        <v>41423</v>
      </c>
      <c r="FW953">
        <v>2012</v>
      </c>
      <c r="FX953">
        <v>267.70999999999998</v>
      </c>
      <c r="FY953" t="s">
        <v>9856</v>
      </c>
      <c r="FZ953">
        <v>5.75</v>
      </c>
      <c r="GA953" t="s">
        <v>424</v>
      </c>
      <c r="GB953" t="s">
        <v>425</v>
      </c>
      <c r="GD953">
        <v>22</v>
      </c>
      <c r="GE953">
        <v>2101381</v>
      </c>
      <c r="GF953" t="s">
        <v>605</v>
      </c>
      <c r="GG953" t="s">
        <v>458</v>
      </c>
      <c r="GH953" s="1">
        <v>41052</v>
      </c>
      <c r="GI953">
        <v>2011</v>
      </c>
      <c r="GJ953">
        <v>264.02</v>
      </c>
      <c r="GK953" t="s">
        <v>9857</v>
      </c>
      <c r="GL953">
        <v>6</v>
      </c>
      <c r="GM953" t="s">
        <v>424</v>
      </c>
      <c r="GN953" t="s">
        <v>425</v>
      </c>
      <c r="GO953" s="1">
        <v>41775</v>
      </c>
      <c r="GP953">
        <v>24</v>
      </c>
      <c r="GQ953">
        <v>375</v>
      </c>
      <c r="GR953" t="s">
        <v>776</v>
      </c>
      <c r="GT953" s="1">
        <v>41052</v>
      </c>
      <c r="GU953">
        <v>2011</v>
      </c>
      <c r="GV953">
        <v>264.02</v>
      </c>
      <c r="GW953" t="s">
        <v>9857</v>
      </c>
      <c r="GX953">
        <v>6</v>
      </c>
      <c r="GY953" t="s">
        <v>424</v>
      </c>
      <c r="GZ953" t="s">
        <v>425</v>
      </c>
      <c r="HB953">
        <v>22</v>
      </c>
      <c r="HC953">
        <v>105</v>
      </c>
      <c r="HD953" t="s">
        <v>946</v>
      </c>
      <c r="HF953" s="1">
        <v>40688</v>
      </c>
      <c r="HG953">
        <v>2010</v>
      </c>
      <c r="HH953">
        <v>264.37</v>
      </c>
      <c r="HI953" t="s">
        <v>9858</v>
      </c>
      <c r="HJ953">
        <v>8.25</v>
      </c>
      <c r="HK953" t="s">
        <v>424</v>
      </c>
      <c r="HL953" t="s">
        <v>425</v>
      </c>
      <c r="HM953" s="1">
        <v>41337</v>
      </c>
      <c r="HN953">
        <v>22</v>
      </c>
      <c r="HO953">
        <v>15175</v>
      </c>
      <c r="HP953" t="s">
        <v>588</v>
      </c>
      <c r="HR953" s="1">
        <v>40688</v>
      </c>
      <c r="HS953">
        <v>2010</v>
      </c>
      <c r="HT953">
        <v>264.37</v>
      </c>
      <c r="HU953" t="s">
        <v>9858</v>
      </c>
      <c r="HV953">
        <v>8.25</v>
      </c>
      <c r="HW953" t="s">
        <v>424</v>
      </c>
      <c r="HX953" t="s">
        <v>425</v>
      </c>
      <c r="HZ953">
        <v>22</v>
      </c>
      <c r="IA953">
        <v>10548</v>
      </c>
      <c r="IB953" t="s">
        <v>589</v>
      </c>
    </row>
    <row r="954" spans="1:284" x14ac:dyDescent="0.25">
      <c r="A954">
        <v>16485961</v>
      </c>
      <c r="B954">
        <v>953</v>
      </c>
      <c r="C954" t="s">
        <v>393</v>
      </c>
      <c r="D954" t="s">
        <v>394</v>
      </c>
      <c r="F954" t="str">
        <f>"51-2N-25-0000-0044-0010"</f>
        <v>51-2N-25-0000-0044-0010</v>
      </c>
      <c r="H954" t="str">
        <f>"LALLAMANT STEVEN R"</f>
        <v>LALLAMANT STEVEN R</v>
      </c>
      <c r="I954" t="str">
        <f>"PO BOX 13023"</f>
        <v>PO BOX 13023</v>
      </c>
      <c r="J954" t="str">
        <f>"ST PETERSBURG FL 33733"</f>
        <v>ST PETERSBURG FL 33733</v>
      </c>
      <c r="K954" t="str">
        <f>"HOLLOWAY LN"</f>
        <v>HOLLOWAY LN</v>
      </c>
      <c r="L954" t="str">
        <f t="shared" si="291"/>
        <v>CALLAHAN FL 32011</v>
      </c>
      <c r="M954" t="str">
        <f>"PT F P SANCHEZ GRANT SEC 51-2N-28E IN OR 1402/1032 BEING PARCEL 2"</f>
        <v>PT F P SANCHEZ GRANT SEC 51-2N-28E IN OR 1402/1032 BEING PARCEL 2</v>
      </c>
      <c r="N954" t="str">
        <f>""</f>
        <v/>
      </c>
      <c r="O954" t="str">
        <f>"54629"</f>
        <v>54629</v>
      </c>
      <c r="P954" t="str">
        <f t="shared" si="283"/>
        <v>2017</v>
      </c>
      <c r="Q954" t="str">
        <f>""</f>
        <v/>
      </c>
      <c r="R954" t="str">
        <f>"N"</f>
        <v>N</v>
      </c>
      <c r="S954" t="str">
        <f>"1.00"</f>
        <v>1.00</v>
      </c>
      <c r="T954" t="str">
        <f>"78.36"</f>
        <v>78.36</v>
      </c>
      <c r="U954" t="str">
        <f>"4538.00"</f>
        <v>4538.00</v>
      </c>
      <c r="V954" t="str">
        <f>"4538.00"</f>
        <v>4538.00</v>
      </c>
      <c r="W954" t="str">
        <f t="shared" si="284"/>
        <v>2017</v>
      </c>
      <c r="X954" t="str">
        <f>"21.67"</f>
        <v>21.67</v>
      </c>
      <c r="Y954" t="str">
        <f>"112.71"</f>
        <v>112.71</v>
      </c>
      <c r="Z954" t="str">
        <f>""</f>
        <v/>
      </c>
      <c r="AA954" t="str">
        <f>"6000.00"</f>
        <v>6000.00</v>
      </c>
      <c r="AB954" t="str">
        <f t="shared" si="307"/>
        <v>Residential</v>
      </c>
      <c r="AC954" t="str">
        <f t="shared" si="295"/>
        <v>0</v>
      </c>
      <c r="AD954" t="str">
        <f>""</f>
        <v/>
      </c>
      <c r="AE954" t="str">
        <f>""</f>
        <v/>
      </c>
      <c r="AF954" t="str">
        <f>"000"</f>
        <v>000</v>
      </c>
      <c r="AG954" t="str">
        <f t="shared" si="306"/>
        <v>FL</v>
      </c>
      <c r="AH954" t="str">
        <f>"3800.00"</f>
        <v>3800.00</v>
      </c>
      <c r="AI954" t="str">
        <f>"6000.00"</f>
        <v>6000.00</v>
      </c>
      <c r="AJ954" t="str">
        <f>"C55-000-588-7117-9"</f>
        <v>C55-000-588-7117-9</v>
      </c>
      <c r="AK954" t="str">
        <f>"14850"</f>
        <v>14850</v>
      </c>
      <c r="AL954">
        <v>4</v>
      </c>
      <c r="AM954">
        <v>1101</v>
      </c>
      <c r="AN954">
        <v>116.75</v>
      </c>
      <c r="AQ954" t="s">
        <v>9859</v>
      </c>
      <c r="AR954" t="s">
        <v>9859</v>
      </c>
      <c r="AS954" t="s">
        <v>9859</v>
      </c>
      <c r="AU954" t="s">
        <v>396</v>
      </c>
      <c r="AV954">
        <v>2017</v>
      </c>
      <c r="AW954" t="str">
        <f>"51-2N-25-0000-0044-0010 "</f>
        <v xml:space="preserve">51-2N-25-0000-0044-0010 </v>
      </c>
      <c r="AZ954" t="s">
        <v>9836</v>
      </c>
      <c r="BA954" t="s">
        <v>653</v>
      </c>
      <c r="BD954" t="s">
        <v>2785</v>
      </c>
      <c r="BE954" t="s">
        <v>393</v>
      </c>
      <c r="BF954">
        <v>32011</v>
      </c>
      <c r="BG954" t="s">
        <v>9860</v>
      </c>
      <c r="BH954" t="s">
        <v>2787</v>
      </c>
      <c r="BI954">
        <v>-81.828702389126903</v>
      </c>
      <c r="BJ954">
        <v>30.572252743363901</v>
      </c>
      <c r="BK954" t="s">
        <v>9850</v>
      </c>
      <c r="BM954" t="s">
        <v>9851</v>
      </c>
      <c r="BN954" t="s">
        <v>9852</v>
      </c>
      <c r="BO954">
        <v>33733</v>
      </c>
      <c r="BP954" t="s">
        <v>404</v>
      </c>
      <c r="BQ954">
        <v>0</v>
      </c>
      <c r="BR954" t="s">
        <v>491</v>
      </c>
      <c r="BS954">
        <v>8001</v>
      </c>
      <c r="BT954" t="s">
        <v>492</v>
      </c>
      <c r="BW954">
        <v>3800</v>
      </c>
      <c r="BX954" t="s">
        <v>407</v>
      </c>
      <c r="BY954" t="s">
        <v>4360</v>
      </c>
      <c r="CD954">
        <v>2017</v>
      </c>
      <c r="CE954">
        <v>6000</v>
      </c>
      <c r="CG954">
        <v>6000</v>
      </c>
      <c r="CH954">
        <v>2017</v>
      </c>
      <c r="CI954">
        <v>6000</v>
      </c>
      <c r="CK954">
        <v>6000</v>
      </c>
      <c r="CL954">
        <v>2017</v>
      </c>
      <c r="CM954">
        <v>78.36</v>
      </c>
      <c r="CN954" s="1">
        <v>38814</v>
      </c>
      <c r="CZ954" s="1">
        <v>38814</v>
      </c>
      <c r="DD954" t="s">
        <v>2785</v>
      </c>
      <c r="DG954">
        <v>51</v>
      </c>
      <c r="DL954">
        <v>50503</v>
      </c>
      <c r="DM954" t="s">
        <v>9755</v>
      </c>
      <c r="DO954" t="s">
        <v>9861</v>
      </c>
      <c r="DP954">
        <v>0</v>
      </c>
      <c r="DQ954">
        <v>0</v>
      </c>
      <c r="DR954" t="s">
        <v>411</v>
      </c>
      <c r="DS954" t="s">
        <v>695</v>
      </c>
      <c r="EJ954">
        <v>0</v>
      </c>
      <c r="EK954">
        <v>0</v>
      </c>
      <c r="EP954" t="s">
        <v>595</v>
      </c>
      <c r="EQ954" t="s">
        <v>422</v>
      </c>
      <c r="ER954">
        <v>0</v>
      </c>
      <c r="ES954">
        <v>7</v>
      </c>
      <c r="ET954">
        <v>0</v>
      </c>
      <c r="EU954">
        <v>0</v>
      </c>
      <c r="EV954">
        <v>0</v>
      </c>
      <c r="EW954" s="2">
        <v>43222</v>
      </c>
      <c r="EX954" s="1">
        <v>42151</v>
      </c>
      <c r="EY954">
        <v>2014</v>
      </c>
      <c r="EZ954">
        <v>86.11</v>
      </c>
      <c r="FA954" t="s">
        <v>9862</v>
      </c>
      <c r="FB954">
        <v>18</v>
      </c>
      <c r="FC954" t="s">
        <v>424</v>
      </c>
      <c r="FD954" t="s">
        <v>425</v>
      </c>
      <c r="FE954" s="1">
        <v>42410</v>
      </c>
      <c r="FF954">
        <v>9</v>
      </c>
      <c r="FG954">
        <v>10125</v>
      </c>
      <c r="FH954" t="s">
        <v>440</v>
      </c>
      <c r="FJ954" s="1">
        <v>41787</v>
      </c>
      <c r="FK954">
        <v>2013</v>
      </c>
      <c r="FL954">
        <v>82.67</v>
      </c>
      <c r="FM954" t="s">
        <v>9863</v>
      </c>
      <c r="FN954">
        <v>18</v>
      </c>
      <c r="FO954" t="s">
        <v>603</v>
      </c>
      <c r="FP954" t="s">
        <v>425</v>
      </c>
      <c r="FR954">
        <v>22</v>
      </c>
      <c r="FS954">
        <v>9999999</v>
      </c>
      <c r="FT954" t="s">
        <v>604</v>
      </c>
      <c r="FV954" s="1">
        <v>41787</v>
      </c>
      <c r="FW954">
        <v>2013</v>
      </c>
      <c r="FX954">
        <v>97.6</v>
      </c>
      <c r="FY954" t="s">
        <v>9863</v>
      </c>
      <c r="FZ954">
        <v>18</v>
      </c>
      <c r="GA954" t="s">
        <v>424</v>
      </c>
      <c r="GB954" t="s">
        <v>425</v>
      </c>
      <c r="GC954" s="1">
        <v>42410</v>
      </c>
      <c r="GD954">
        <v>21</v>
      </c>
      <c r="GE954">
        <v>4844958</v>
      </c>
      <c r="GF954" t="s">
        <v>9864</v>
      </c>
      <c r="GH954" s="1">
        <v>41423</v>
      </c>
      <c r="GI954">
        <v>2012</v>
      </c>
      <c r="GJ954">
        <v>83.43</v>
      </c>
      <c r="GK954" t="s">
        <v>9865</v>
      </c>
      <c r="GL954">
        <v>9.75</v>
      </c>
      <c r="GM954" t="s">
        <v>424</v>
      </c>
      <c r="GN954" t="s">
        <v>425</v>
      </c>
      <c r="GO954" s="1">
        <v>42410</v>
      </c>
      <c r="GP954">
        <v>33</v>
      </c>
      <c r="GQ954">
        <v>2101381</v>
      </c>
      <c r="GR954" t="s">
        <v>605</v>
      </c>
      <c r="GT954" s="1">
        <v>41052</v>
      </c>
      <c r="GU954">
        <v>2011</v>
      </c>
      <c r="GV954">
        <v>85.05</v>
      </c>
      <c r="GW954" t="s">
        <v>9866</v>
      </c>
      <c r="GX954">
        <v>18</v>
      </c>
      <c r="GY954" t="s">
        <v>424</v>
      </c>
      <c r="GZ954" t="s">
        <v>425</v>
      </c>
      <c r="HA954" s="1">
        <v>41775</v>
      </c>
      <c r="HB954">
        <v>24</v>
      </c>
      <c r="HC954">
        <v>14813</v>
      </c>
      <c r="HD954" t="s">
        <v>6283</v>
      </c>
      <c r="HF954" s="1">
        <v>41052</v>
      </c>
      <c r="HG954">
        <v>2011</v>
      </c>
      <c r="HH954">
        <v>76.5</v>
      </c>
      <c r="HI954" t="s">
        <v>9866</v>
      </c>
      <c r="HJ954">
        <v>18</v>
      </c>
      <c r="HK954" t="s">
        <v>603</v>
      </c>
      <c r="HL954" t="s">
        <v>425</v>
      </c>
      <c r="HN954">
        <v>22</v>
      </c>
      <c r="HO954">
        <v>9999999</v>
      </c>
      <c r="HP954" t="s">
        <v>604</v>
      </c>
      <c r="HR954" s="1">
        <v>40688</v>
      </c>
      <c r="HS954">
        <v>2010</v>
      </c>
      <c r="HT954">
        <v>75.84</v>
      </c>
      <c r="HU954" t="s">
        <v>9867</v>
      </c>
      <c r="HV954">
        <v>8.75</v>
      </c>
      <c r="HW954" t="s">
        <v>424</v>
      </c>
      <c r="HX954" t="s">
        <v>425</v>
      </c>
      <c r="HY954" s="1">
        <v>41337</v>
      </c>
      <c r="HZ954">
        <v>22</v>
      </c>
      <c r="IA954">
        <v>105</v>
      </c>
      <c r="IB954" t="s">
        <v>946</v>
      </c>
    </row>
    <row r="955" spans="1:284" x14ac:dyDescent="0.25">
      <c r="A955">
        <v>16485962</v>
      </c>
      <c r="B955">
        <v>954</v>
      </c>
      <c r="C955" t="s">
        <v>393</v>
      </c>
      <c r="D955" t="s">
        <v>394</v>
      </c>
      <c r="F955" t="str">
        <f>"51-2N-25-0000-0045-0000"</f>
        <v>51-2N-25-0000-0045-0000</v>
      </c>
      <c r="H955" t="str">
        <f>"LALLAMANT STEVEN R"</f>
        <v>LALLAMANT STEVEN R</v>
      </c>
      <c r="I955" t="str">
        <f>"PO BOX 13023"</f>
        <v>PO BOX 13023</v>
      </c>
      <c r="J955" t="str">
        <f>"ST PETERSBURG FL 33733"</f>
        <v>ST PETERSBURG FL 33733</v>
      </c>
      <c r="K955" t="str">
        <f>"HOLLOWAY LN"</f>
        <v>HOLLOWAY LN</v>
      </c>
      <c r="L955" t="str">
        <f t="shared" si="291"/>
        <v>CALLAHAN FL 32011</v>
      </c>
      <c r="M955" t="str">
        <f>"PT F P SANCHEZ GRANT SEC 51-2N-28E IN OR 1402/1032 BEING PARCEL 1"</f>
        <v>PT F P SANCHEZ GRANT SEC 51-2N-28E IN OR 1402/1032 BEING PARCEL 1</v>
      </c>
      <c r="N955" t="str">
        <f>""</f>
        <v/>
      </c>
      <c r="O955" t="str">
        <f>"54632"</f>
        <v>54632</v>
      </c>
      <c r="P955" t="str">
        <f t="shared" si="283"/>
        <v>2017</v>
      </c>
      <c r="Q955" t="str">
        <f>""</f>
        <v/>
      </c>
      <c r="R955" t="str">
        <f>"N"</f>
        <v>N</v>
      </c>
      <c r="S955" t="str">
        <f>"1.00"</f>
        <v>1.00</v>
      </c>
      <c r="T955" t="str">
        <f>"137.60"</f>
        <v>137.60</v>
      </c>
      <c r="U955" t="str">
        <f>"8580.00"</f>
        <v>8580.00</v>
      </c>
      <c r="V955" t="str">
        <f>"8580.00"</f>
        <v>8580.00</v>
      </c>
      <c r="W955" t="str">
        <f t="shared" si="284"/>
        <v>2017</v>
      </c>
      <c r="X955" t="str">
        <f>"21.67"</f>
        <v>21.67</v>
      </c>
      <c r="Y955" t="str">
        <f>"173.73"</f>
        <v>173.73</v>
      </c>
      <c r="Z955" t="str">
        <f>""</f>
        <v/>
      </c>
      <c r="AA955" t="str">
        <f>"9750.00"</f>
        <v>9750.00</v>
      </c>
      <c r="AB955" t="str">
        <f t="shared" si="307"/>
        <v>Residential</v>
      </c>
      <c r="AC955" t="str">
        <f t="shared" si="295"/>
        <v>0</v>
      </c>
      <c r="AD955" t="str">
        <f>""</f>
        <v/>
      </c>
      <c r="AE955" t="str">
        <f>""</f>
        <v/>
      </c>
      <c r="AF955" t="str">
        <f>"000"</f>
        <v>000</v>
      </c>
      <c r="AG955" t="str">
        <f t="shared" si="306"/>
        <v>FL</v>
      </c>
      <c r="AH955" t="str">
        <f>"5427.00"</f>
        <v>5427.00</v>
      </c>
      <c r="AI955" t="str">
        <f>"9750.00"</f>
        <v>9750.00</v>
      </c>
      <c r="AJ955" t="str">
        <f>"C55-000-588-7120-3"</f>
        <v>C55-000-588-7120-3</v>
      </c>
      <c r="AK955" t="str">
        <f>"14851"</f>
        <v>14851</v>
      </c>
      <c r="AL955">
        <v>4</v>
      </c>
      <c r="AM955">
        <v>1102</v>
      </c>
      <c r="AN955">
        <v>180.82</v>
      </c>
      <c r="AQ955" t="s">
        <v>9868</v>
      </c>
      <c r="AR955" t="s">
        <v>9868</v>
      </c>
      <c r="AS955" t="s">
        <v>9868</v>
      </c>
      <c r="AU955" t="s">
        <v>396</v>
      </c>
      <c r="AV955">
        <v>2017</v>
      </c>
      <c r="AW955" t="str">
        <f>"51-2N-25-0000-0045-0000 "</f>
        <v xml:space="preserve">51-2N-25-0000-0045-0000 </v>
      </c>
      <c r="AZ955" t="s">
        <v>9836</v>
      </c>
      <c r="BA955" t="s">
        <v>653</v>
      </c>
      <c r="BD955" t="s">
        <v>2785</v>
      </c>
      <c r="BE955" t="s">
        <v>393</v>
      </c>
      <c r="BF955">
        <v>32011</v>
      </c>
      <c r="BG955" t="s">
        <v>9860</v>
      </c>
      <c r="BH955" t="s">
        <v>2787</v>
      </c>
      <c r="BI955">
        <v>-81.828559729929793</v>
      </c>
      <c r="BJ955">
        <v>30.572077771773799</v>
      </c>
      <c r="BK955" t="s">
        <v>9850</v>
      </c>
      <c r="BM955" t="s">
        <v>9851</v>
      </c>
      <c r="BN955" t="s">
        <v>9852</v>
      </c>
      <c r="BO955">
        <v>33733</v>
      </c>
      <c r="BP955" t="s">
        <v>404</v>
      </c>
      <c r="BQ955">
        <v>0</v>
      </c>
      <c r="BR955" t="s">
        <v>491</v>
      </c>
      <c r="BS955">
        <v>8001</v>
      </c>
      <c r="BT955" t="s">
        <v>492</v>
      </c>
      <c r="BW955">
        <v>5427</v>
      </c>
      <c r="BX955" t="s">
        <v>407</v>
      </c>
      <c r="BY955" t="s">
        <v>4360</v>
      </c>
      <c r="CD955">
        <v>2017</v>
      </c>
      <c r="CE955">
        <v>9750</v>
      </c>
      <c r="CG955">
        <v>9750</v>
      </c>
      <c r="CH955">
        <v>2017</v>
      </c>
      <c r="CI955">
        <v>9750</v>
      </c>
      <c r="CK955">
        <v>9750</v>
      </c>
      <c r="CL955">
        <v>2017</v>
      </c>
      <c r="CM955">
        <v>137.6</v>
      </c>
      <c r="CN955" s="1">
        <v>38814</v>
      </c>
      <c r="CZ955" s="1">
        <v>38814</v>
      </c>
      <c r="DD955" t="s">
        <v>2785</v>
      </c>
      <c r="DG955">
        <v>51</v>
      </c>
      <c r="DL955">
        <v>50503</v>
      </c>
      <c r="DM955" t="s">
        <v>9755</v>
      </c>
      <c r="DO955" t="s">
        <v>9869</v>
      </c>
      <c r="DP955">
        <v>0</v>
      </c>
      <c r="DQ955">
        <v>0</v>
      </c>
      <c r="DR955" t="s">
        <v>411</v>
      </c>
      <c r="DS955" t="s">
        <v>695</v>
      </c>
      <c r="EJ955">
        <v>0</v>
      </c>
      <c r="EK955">
        <v>0</v>
      </c>
      <c r="EP955" t="s">
        <v>421</v>
      </c>
      <c r="EQ955" t="s">
        <v>422</v>
      </c>
      <c r="ER955">
        <v>0</v>
      </c>
      <c r="ES955">
        <v>6</v>
      </c>
      <c r="ET955">
        <v>0</v>
      </c>
      <c r="EU955">
        <v>0</v>
      </c>
      <c r="EV955">
        <v>0</v>
      </c>
      <c r="EW955" s="2">
        <v>43222</v>
      </c>
      <c r="EX955" s="1">
        <v>42151</v>
      </c>
      <c r="EY955">
        <v>2014</v>
      </c>
      <c r="EZ955">
        <v>214.29</v>
      </c>
      <c r="FA955" t="s">
        <v>9870</v>
      </c>
      <c r="FB955">
        <v>4.75</v>
      </c>
      <c r="FC955" t="s">
        <v>424</v>
      </c>
      <c r="FD955" t="s">
        <v>425</v>
      </c>
      <c r="FE955" s="1">
        <v>42410</v>
      </c>
      <c r="FF955">
        <v>9</v>
      </c>
      <c r="FG955">
        <v>4975593</v>
      </c>
      <c r="FH955" t="s">
        <v>505</v>
      </c>
      <c r="FJ955" s="1">
        <v>41787</v>
      </c>
      <c r="FK955">
        <v>2013</v>
      </c>
      <c r="FL955">
        <v>204</v>
      </c>
      <c r="FM955" t="s">
        <v>9871</v>
      </c>
      <c r="FN955">
        <v>6.75</v>
      </c>
      <c r="FO955" t="s">
        <v>424</v>
      </c>
      <c r="FP955" t="s">
        <v>425</v>
      </c>
      <c r="FQ955" s="1">
        <v>42410</v>
      </c>
      <c r="FR955">
        <v>21</v>
      </c>
      <c r="FS955">
        <v>2035919</v>
      </c>
      <c r="FT955" t="s">
        <v>507</v>
      </c>
      <c r="FV955" s="1">
        <v>41423</v>
      </c>
      <c r="FW955">
        <v>2012</v>
      </c>
      <c r="FX955">
        <v>206.28</v>
      </c>
      <c r="FY955" t="s">
        <v>9872</v>
      </c>
      <c r="FZ955">
        <v>6</v>
      </c>
      <c r="GA955" t="s">
        <v>424</v>
      </c>
      <c r="GB955" t="s">
        <v>425</v>
      </c>
      <c r="GC955" s="1">
        <v>42410</v>
      </c>
      <c r="GD955">
        <v>33</v>
      </c>
      <c r="GE955">
        <v>375</v>
      </c>
      <c r="GF955" t="s">
        <v>776</v>
      </c>
      <c r="GH955" s="1">
        <v>41423</v>
      </c>
      <c r="GI955">
        <v>2012</v>
      </c>
      <c r="GJ955">
        <v>206.28</v>
      </c>
      <c r="GK955" t="s">
        <v>9872</v>
      </c>
      <c r="GL955">
        <v>6</v>
      </c>
      <c r="GM955" t="s">
        <v>424</v>
      </c>
      <c r="GN955" t="s">
        <v>425</v>
      </c>
      <c r="GP955">
        <v>22</v>
      </c>
      <c r="GQ955">
        <v>105</v>
      </c>
      <c r="GR955" t="s">
        <v>946</v>
      </c>
      <c r="GT955" s="1">
        <v>41052</v>
      </c>
      <c r="GU955">
        <v>2011</v>
      </c>
      <c r="GV955">
        <v>201.5</v>
      </c>
      <c r="GW955" t="s">
        <v>9873</v>
      </c>
      <c r="GX955">
        <v>16.75</v>
      </c>
      <c r="GY955" t="s">
        <v>424</v>
      </c>
      <c r="GZ955" t="s">
        <v>425</v>
      </c>
      <c r="HA955" s="1">
        <v>41775</v>
      </c>
      <c r="HB955">
        <v>24</v>
      </c>
      <c r="HC955">
        <v>619</v>
      </c>
      <c r="HD955" t="s">
        <v>2768</v>
      </c>
      <c r="HF955" s="1">
        <v>40688</v>
      </c>
      <c r="HG955">
        <v>2010</v>
      </c>
      <c r="HH955">
        <v>201.53</v>
      </c>
      <c r="HI955" t="s">
        <v>9874</v>
      </c>
      <c r="HJ955">
        <v>8.75</v>
      </c>
      <c r="HK955" t="s">
        <v>424</v>
      </c>
      <c r="HL955" t="s">
        <v>425</v>
      </c>
      <c r="HM955" s="1">
        <v>41337</v>
      </c>
      <c r="HN955">
        <v>22</v>
      </c>
      <c r="HO955">
        <v>105</v>
      </c>
      <c r="HP955" t="s">
        <v>946</v>
      </c>
    </row>
    <row r="956" spans="1:284" x14ac:dyDescent="0.25">
      <c r="A956">
        <v>16485963</v>
      </c>
      <c r="B956">
        <v>955</v>
      </c>
      <c r="C956" t="s">
        <v>393</v>
      </c>
      <c r="D956" t="s">
        <v>394</v>
      </c>
      <c r="F956" t="str">
        <f>"51-2N-25-0000-0046-0000"</f>
        <v>51-2N-25-0000-0046-0000</v>
      </c>
      <c r="H956" t="str">
        <f>"ADAMS RICHARD D"</f>
        <v>ADAMS RICHARD D</v>
      </c>
      <c r="I956" t="str">
        <f>"3260 SUNNYBROOK AVENUE N"</f>
        <v>3260 SUNNYBROOK AVENUE N</v>
      </c>
      <c r="J956" t="str">
        <f>"JACKSONVILLE FL 32254"</f>
        <v>JACKSONVILLE FL 32254</v>
      </c>
      <c r="K956" t="str">
        <f>"HOLLOWAY LN"</f>
        <v>HOLLOWAY LN</v>
      </c>
      <c r="L956" t="str">
        <f t="shared" si="291"/>
        <v>CALLAHAN FL 32011</v>
      </c>
      <c r="M956" t="str">
        <f>"IN OR 2082/1989"</f>
        <v>IN OR 2082/1989</v>
      </c>
      <c r="N956" t="str">
        <f>""</f>
        <v/>
      </c>
      <c r="O956" t="str">
        <f>"54633"</f>
        <v>54633</v>
      </c>
      <c r="P956" t="str">
        <f t="shared" si="283"/>
        <v>2017</v>
      </c>
      <c r="Q956" t="str">
        <f>""</f>
        <v/>
      </c>
      <c r="R956" t="str">
        <f>"N"</f>
        <v>N</v>
      </c>
      <c r="S956" t="str">
        <f>"1.00"</f>
        <v>1.00</v>
      </c>
      <c r="T956" t="str">
        <f>"207.41"</f>
        <v>207.41</v>
      </c>
      <c r="U956" t="str">
        <f>"13700.00"</f>
        <v>13700.00</v>
      </c>
      <c r="V956" t="str">
        <f>"13700.00"</f>
        <v>13700.00</v>
      </c>
      <c r="W956" t="str">
        <f t="shared" si="284"/>
        <v>2017</v>
      </c>
      <c r="X956" t="str">
        <f>"4.00"</f>
        <v>4.00</v>
      </c>
      <c r="Y956" t="str">
        <f>"245.63"</f>
        <v>245.63</v>
      </c>
      <c r="Z956" t="str">
        <f>""</f>
        <v/>
      </c>
      <c r="AA956" t="str">
        <f>"13700.00"</f>
        <v>13700.00</v>
      </c>
      <c r="AB956" t="str">
        <f t="shared" si="307"/>
        <v>Residential</v>
      </c>
      <c r="AC956" t="str">
        <f t="shared" si="295"/>
        <v>0</v>
      </c>
      <c r="AD956" t="str">
        <f>""</f>
        <v/>
      </c>
      <c r="AE956" t="str">
        <f>""</f>
        <v/>
      </c>
      <c r="AF956" t="str">
        <f>"000"</f>
        <v>000</v>
      </c>
      <c r="AG956" t="str">
        <f t="shared" si="306"/>
        <v>FL</v>
      </c>
      <c r="AH956" t="str">
        <f>"14006.00"</f>
        <v>14006.00</v>
      </c>
      <c r="AI956" t="str">
        <f>"13500.00"</f>
        <v>13500.00</v>
      </c>
      <c r="AJ956" t="str">
        <f>"C55-000-588-7121-1"</f>
        <v>C55-000-588-7121-1</v>
      </c>
      <c r="AK956" t="str">
        <f>"14852"</f>
        <v>14852</v>
      </c>
      <c r="AL956">
        <v>4</v>
      </c>
      <c r="AM956">
        <v>1103</v>
      </c>
      <c r="AN956">
        <v>256.31</v>
      </c>
      <c r="AQ956" t="s">
        <v>9875</v>
      </c>
      <c r="AR956" t="s">
        <v>9875</v>
      </c>
      <c r="AS956" t="s">
        <v>9875</v>
      </c>
      <c r="AU956" t="s">
        <v>396</v>
      </c>
      <c r="AV956">
        <v>2017</v>
      </c>
      <c r="AW956" t="str">
        <f>"51-2N-25-0000-0046-0000 "</f>
        <v xml:space="preserve">51-2N-25-0000-0046-0000 </v>
      </c>
      <c r="AZ956" t="s">
        <v>9836</v>
      </c>
      <c r="BA956" t="s">
        <v>653</v>
      </c>
      <c r="BD956" t="s">
        <v>2785</v>
      </c>
      <c r="BE956" t="s">
        <v>393</v>
      </c>
      <c r="BF956">
        <v>32011</v>
      </c>
      <c r="BG956" t="s">
        <v>9860</v>
      </c>
      <c r="BH956" t="s">
        <v>2787</v>
      </c>
      <c r="BI956">
        <v>-81.828334883766203</v>
      </c>
      <c r="BJ956">
        <v>30.572055461086599</v>
      </c>
      <c r="BK956" t="s">
        <v>9876</v>
      </c>
      <c r="BM956" t="s">
        <v>9877</v>
      </c>
      <c r="BN956" t="s">
        <v>548</v>
      </c>
      <c r="BO956">
        <v>32254</v>
      </c>
      <c r="BP956" t="s">
        <v>404</v>
      </c>
      <c r="BQ956">
        <v>1</v>
      </c>
      <c r="BR956" t="s">
        <v>491</v>
      </c>
      <c r="BS956">
        <v>8001</v>
      </c>
      <c r="BT956" t="s">
        <v>492</v>
      </c>
      <c r="BW956">
        <v>14006</v>
      </c>
      <c r="BX956" t="s">
        <v>407</v>
      </c>
      <c r="BY956" t="s">
        <v>4360</v>
      </c>
      <c r="CD956">
        <v>2017</v>
      </c>
      <c r="CE956">
        <v>13500</v>
      </c>
      <c r="CF956">
        <v>200</v>
      </c>
      <c r="CG956">
        <v>13700</v>
      </c>
      <c r="CH956">
        <v>2017</v>
      </c>
      <c r="CI956">
        <v>13500</v>
      </c>
      <c r="CJ956">
        <v>200</v>
      </c>
      <c r="CK956">
        <v>13700</v>
      </c>
      <c r="CL956">
        <v>2017</v>
      </c>
      <c r="CM956">
        <v>207.41</v>
      </c>
      <c r="CN956" s="1">
        <v>34666</v>
      </c>
      <c r="CO956">
        <v>500</v>
      </c>
      <c r="CZ956" s="1">
        <v>34666</v>
      </c>
      <c r="DD956" t="s">
        <v>2785</v>
      </c>
      <c r="DG956">
        <v>51</v>
      </c>
      <c r="DL956">
        <v>50503</v>
      </c>
      <c r="DM956" t="s">
        <v>9755</v>
      </c>
      <c r="DO956" t="s">
        <v>9878</v>
      </c>
      <c r="DP956">
        <v>0</v>
      </c>
      <c r="DQ956">
        <v>0</v>
      </c>
      <c r="DR956" t="s">
        <v>411</v>
      </c>
      <c r="DS956" t="b">
        <v>1</v>
      </c>
      <c r="DT956" t="s">
        <v>470</v>
      </c>
      <c r="DU956" t="s">
        <v>471</v>
      </c>
      <c r="DV956" t="s">
        <v>472</v>
      </c>
      <c r="DX956">
        <v>-9999</v>
      </c>
      <c r="DZ956" t="s">
        <v>447</v>
      </c>
      <c r="EA956" t="s">
        <v>448</v>
      </c>
      <c r="EB956" t="s">
        <v>742</v>
      </c>
      <c r="EC956">
        <v>20101217</v>
      </c>
      <c r="ED956" t="s">
        <v>474</v>
      </c>
      <c r="EF956">
        <v>563.20000000000005</v>
      </c>
      <c r="EG956">
        <v>563.20000000000005</v>
      </c>
      <c r="EI956">
        <v>20160407</v>
      </c>
      <c r="EJ956">
        <v>0</v>
      </c>
      <c r="EK956">
        <v>0</v>
      </c>
      <c r="EP956" t="s">
        <v>421</v>
      </c>
      <c r="EQ956" t="s">
        <v>422</v>
      </c>
      <c r="ER956">
        <v>0</v>
      </c>
      <c r="ES956">
        <v>1</v>
      </c>
      <c r="ET956">
        <v>0</v>
      </c>
      <c r="EU956">
        <v>0</v>
      </c>
      <c r="EV956">
        <v>0</v>
      </c>
      <c r="EW956" s="2">
        <v>43222</v>
      </c>
      <c r="EX956" s="1">
        <v>42515</v>
      </c>
      <c r="EY956">
        <v>2015</v>
      </c>
      <c r="EZ956">
        <v>229.48</v>
      </c>
      <c r="FA956" t="s">
        <v>9879</v>
      </c>
      <c r="FB956">
        <v>15.75</v>
      </c>
      <c r="FC956" t="s">
        <v>424</v>
      </c>
      <c r="FD956" t="s">
        <v>425</v>
      </c>
      <c r="FE956" s="1">
        <v>42636</v>
      </c>
      <c r="FF956">
        <v>4</v>
      </c>
      <c r="FG956">
        <v>7336677</v>
      </c>
      <c r="FH956" t="s">
        <v>5826</v>
      </c>
    </row>
    <row r="957" spans="1:284" x14ac:dyDescent="0.25">
      <c r="A957">
        <v>16485964</v>
      </c>
      <c r="B957">
        <v>956</v>
      </c>
      <c r="C957" t="s">
        <v>393</v>
      </c>
      <c r="D957" t="s">
        <v>394</v>
      </c>
      <c r="F957" t="str">
        <f>"51-2N-25-0000-0051-0000"</f>
        <v>51-2N-25-0000-0051-0000</v>
      </c>
      <c r="H957" t="str">
        <f>"MCGRIFF ROBERT"</f>
        <v>MCGRIFF ROBERT</v>
      </c>
      <c r="I957" t="str">
        <f>"1107 TURTLE CREEK DR. N"</f>
        <v>1107 TURTLE CREEK DR. N</v>
      </c>
      <c r="J957" t="str">
        <f>"JACKSONVILLE FL 32218"</f>
        <v>JACKSONVILLE FL 32218</v>
      </c>
      <c r="K957" t="str">
        <f>"DR MARTIN LUTHER KING JR AV"</f>
        <v>DR MARTIN LUTHER KING JR AV</v>
      </c>
      <c r="L957" t="str">
        <f t="shared" si="291"/>
        <v>CALLAHAN FL 32011</v>
      </c>
      <c r="M957" t="str">
        <f>"CASE 86-732-CA"</f>
        <v>CASE 86-732-CA</v>
      </c>
      <c r="N957" t="str">
        <f>""</f>
        <v/>
      </c>
      <c r="O957" t="str">
        <f>"54642"</f>
        <v>54642</v>
      </c>
      <c r="P957" t="str">
        <f t="shared" si="283"/>
        <v>2017</v>
      </c>
      <c r="Q957" t="str">
        <f>""</f>
        <v/>
      </c>
      <c r="R957" t="str">
        <f>"N"</f>
        <v>N</v>
      </c>
      <c r="S957" t="str">
        <f>"2.00"</f>
        <v>2.00</v>
      </c>
      <c r="T957" t="str">
        <f>"364.95"</f>
        <v>364.95</v>
      </c>
      <c r="U957" t="str">
        <f>"24107.00"</f>
        <v>24107.00</v>
      </c>
      <c r="V957" t="str">
        <f>"24107.00"</f>
        <v>24107.00</v>
      </c>
      <c r="W957" t="str">
        <f t="shared" si="284"/>
        <v>2017</v>
      </c>
      <c r="X957" t="str">
        <f>"21.00"</f>
        <v>21.00</v>
      </c>
      <c r="Y957" t="str">
        <f>"407.90"</f>
        <v>407.90</v>
      </c>
      <c r="Z957" t="str">
        <f>""</f>
        <v/>
      </c>
      <c r="AA957" t="str">
        <f>"24107.00"</f>
        <v>24107.00</v>
      </c>
      <c r="AB957" t="str">
        <f t="shared" si="307"/>
        <v>Residential</v>
      </c>
      <c r="AC957" t="str">
        <f t="shared" si="295"/>
        <v>0</v>
      </c>
      <c r="AD957" t="str">
        <f>""</f>
        <v/>
      </c>
      <c r="AE957" t="str">
        <f>""</f>
        <v/>
      </c>
      <c r="AF957" t="str">
        <f>"000"</f>
        <v>000</v>
      </c>
      <c r="AG957" t="str">
        <f t="shared" si="306"/>
        <v>FL</v>
      </c>
      <c r="AH957" t="str">
        <f>"87120.00"</f>
        <v>87120.00</v>
      </c>
      <c r="AI957" t="str">
        <f>"24000.00"</f>
        <v>24000.00</v>
      </c>
      <c r="AJ957" t="str">
        <f>"C55-000-588-7129-4"</f>
        <v>C55-000-588-7129-4</v>
      </c>
      <c r="AK957" t="str">
        <f>"14860"</f>
        <v>14860</v>
      </c>
      <c r="AL957">
        <v>4</v>
      </c>
      <c r="AM957">
        <v>1104</v>
      </c>
      <c r="AN957">
        <v>426.7</v>
      </c>
      <c r="AQ957" t="s">
        <v>9880</v>
      </c>
      <c r="AR957" t="s">
        <v>9880</v>
      </c>
      <c r="AS957" t="s">
        <v>9880</v>
      </c>
      <c r="AU957" t="s">
        <v>396</v>
      </c>
      <c r="AV957">
        <v>2017</v>
      </c>
      <c r="AW957" t="str">
        <f>"51-2N-25-0000-0051-0000 "</f>
        <v xml:space="preserve">51-2N-25-0000-0051-0000 </v>
      </c>
      <c r="AZ957" t="s">
        <v>8913</v>
      </c>
      <c r="BA957" t="s">
        <v>1122</v>
      </c>
      <c r="BD957" t="s">
        <v>2785</v>
      </c>
      <c r="BE957" t="s">
        <v>393</v>
      </c>
      <c r="BF957">
        <v>32011</v>
      </c>
      <c r="BG957" t="s">
        <v>9849</v>
      </c>
      <c r="BH957" t="s">
        <v>2787</v>
      </c>
      <c r="BI957">
        <v>-81.825056697462401</v>
      </c>
      <c r="BJ957">
        <v>30.573584677020801</v>
      </c>
      <c r="BK957" t="s">
        <v>9881</v>
      </c>
      <c r="BM957" t="s">
        <v>9882</v>
      </c>
      <c r="BN957" t="s">
        <v>928</v>
      </c>
      <c r="BO957">
        <v>32011</v>
      </c>
      <c r="BP957" t="s">
        <v>404</v>
      </c>
      <c r="BQ957">
        <v>1</v>
      </c>
      <c r="BR957" t="s">
        <v>491</v>
      </c>
      <c r="BS957">
        <v>8001</v>
      </c>
      <c r="BT957" t="s">
        <v>492</v>
      </c>
      <c r="BW957">
        <v>87120</v>
      </c>
      <c r="BX957" t="s">
        <v>407</v>
      </c>
      <c r="BY957" t="s">
        <v>4360</v>
      </c>
      <c r="CD957">
        <v>2017</v>
      </c>
      <c r="CE957">
        <v>24000</v>
      </c>
      <c r="CF957">
        <v>107</v>
      </c>
      <c r="CG957">
        <v>24107</v>
      </c>
      <c r="CH957">
        <v>2017</v>
      </c>
      <c r="CI957">
        <v>24000</v>
      </c>
      <c r="CJ957">
        <v>107</v>
      </c>
      <c r="CK957">
        <v>24107</v>
      </c>
      <c r="CL957">
        <v>2017</v>
      </c>
      <c r="CM957">
        <v>364.95</v>
      </c>
      <c r="CN957" s="1">
        <v>30286</v>
      </c>
      <c r="CO957">
        <v>1000</v>
      </c>
      <c r="CZ957" s="1">
        <v>30286</v>
      </c>
      <c r="DD957" t="s">
        <v>2785</v>
      </c>
      <c r="DG957">
        <v>51</v>
      </c>
      <c r="DL957">
        <v>50503</v>
      </c>
      <c r="DM957" t="s">
        <v>9755</v>
      </c>
      <c r="DO957" t="s">
        <v>9883</v>
      </c>
      <c r="DP957">
        <v>0</v>
      </c>
      <c r="DQ957">
        <v>0</v>
      </c>
      <c r="DR957" t="s">
        <v>411</v>
      </c>
      <c r="EP957" t="s">
        <v>421</v>
      </c>
      <c r="EQ957" t="s">
        <v>422</v>
      </c>
      <c r="ER957">
        <v>0</v>
      </c>
      <c r="ES957">
        <v>1</v>
      </c>
      <c r="ET957">
        <v>0</v>
      </c>
      <c r="EU957">
        <v>0</v>
      </c>
      <c r="EV957">
        <v>0</v>
      </c>
      <c r="EW957" s="2">
        <v>43222</v>
      </c>
      <c r="EX957" s="1">
        <v>41787</v>
      </c>
      <c r="EY957">
        <v>2013</v>
      </c>
      <c r="EZ957">
        <v>395.81</v>
      </c>
      <c r="FA957" t="s">
        <v>9884</v>
      </c>
      <c r="FB957">
        <v>15.25</v>
      </c>
      <c r="FC957" t="s">
        <v>424</v>
      </c>
      <c r="FD957" t="s">
        <v>425</v>
      </c>
      <c r="FE957" s="1">
        <v>42426</v>
      </c>
      <c r="FF957">
        <v>21</v>
      </c>
      <c r="FG957">
        <v>10125</v>
      </c>
      <c r="FH957" t="s">
        <v>440</v>
      </c>
    </row>
    <row r="958" spans="1:284" x14ac:dyDescent="0.25">
      <c r="A958">
        <v>16485965</v>
      </c>
      <c r="B958">
        <v>957</v>
      </c>
      <c r="C958" t="s">
        <v>393</v>
      </c>
      <c r="D958" t="s">
        <v>394</v>
      </c>
      <c r="F958" t="str">
        <f>"51-2N-25-0000-0052-0000"</f>
        <v>51-2N-25-0000-0052-0000</v>
      </c>
      <c r="H958" t="str">
        <f>"BROOKS MYRTLE H EST C/O GERTRUDE BROOKS"</f>
        <v>BROOKS MYRTLE H EST C/O GERTRUDE BROOKS</v>
      </c>
      <c r="I958" t="str">
        <f>"P O BOX 452"</f>
        <v>P O BOX 452</v>
      </c>
      <c r="J958" t="str">
        <f>"CALLAHAN FL 32011"</f>
        <v>CALLAHAN FL 32011</v>
      </c>
      <c r="K958" t="str">
        <f>"618620 DR MARTIN LUTHER KING JR AVE"</f>
        <v>618620 DR MARTIN LUTHER KING JR AVE</v>
      </c>
      <c r="L958" t="str">
        <f t="shared" si="291"/>
        <v>CALLAHAN FL 32011</v>
      </c>
      <c r="M958" t="str">
        <f>"IN OR 6 PG 461 ESMTS IN OR 640/177 &amp; 178 1/5 HX INT"</f>
        <v>IN OR 6 PG 461 ESMTS IN OR 640/177 &amp; 178 1/5 HX INT</v>
      </c>
      <c r="N958" t="str">
        <f>""</f>
        <v/>
      </c>
      <c r="O958" t="str">
        <f>"54643"</f>
        <v>54643</v>
      </c>
      <c r="P958" t="str">
        <f t="shared" si="283"/>
        <v>2017</v>
      </c>
      <c r="Q958" t="str">
        <f>""</f>
        <v/>
      </c>
      <c r="R958" t="str">
        <f>"Y"</f>
        <v>Y</v>
      </c>
      <c r="S958" t="str">
        <f>"1.00"</f>
        <v>1.00</v>
      </c>
      <c r="T958" t="str">
        <f>"289.63"</f>
        <v>289.63</v>
      </c>
      <c r="U958" t="str">
        <f>"23659.00"</f>
        <v>23659.00</v>
      </c>
      <c r="V958" t="str">
        <f>"23659.00"</f>
        <v>23659.00</v>
      </c>
      <c r="W958" t="str">
        <f t="shared" si="284"/>
        <v>2017</v>
      </c>
      <c r="X958" t="str">
        <f>"6.00"</f>
        <v>6.00</v>
      </c>
      <c r="Y958" t="str">
        <f>"330.32"</f>
        <v>330.32</v>
      </c>
      <c r="Z958" t="str">
        <f>"4527.00"</f>
        <v>4527.00</v>
      </c>
      <c r="AA958" t="str">
        <f>"19132.00"</f>
        <v>19132.00</v>
      </c>
      <c r="AB958" t="str">
        <f t="shared" si="307"/>
        <v>Residential</v>
      </c>
      <c r="AC958" t="str">
        <f t="shared" si="295"/>
        <v>0</v>
      </c>
      <c r="AD958" t="str">
        <f>"4"</f>
        <v>4</v>
      </c>
      <c r="AE958" t="str">
        <f>"WOOD (INCLUDE STEEL STUDS)"</f>
        <v>WOOD (INCLUDE STEEL STUDS)</v>
      </c>
      <c r="AF958" t="str">
        <f>"001"</f>
        <v>001</v>
      </c>
      <c r="AG958" t="str">
        <f t="shared" si="306"/>
        <v>FL</v>
      </c>
      <c r="AH958" t="str">
        <f>"11025.00"</f>
        <v>11025.00</v>
      </c>
      <c r="AI958" t="str">
        <f>"13500.00"</f>
        <v>13500.00</v>
      </c>
      <c r="AJ958" t="str">
        <f>"C55-000-588-7130-2"</f>
        <v>C55-000-588-7130-2</v>
      </c>
      <c r="AK958" t="str">
        <f>"14861"</f>
        <v>14861</v>
      </c>
      <c r="AL958">
        <v>4</v>
      </c>
      <c r="AM958">
        <v>1105</v>
      </c>
      <c r="AN958">
        <v>345.24</v>
      </c>
      <c r="AQ958" t="s">
        <v>9885</v>
      </c>
      <c r="AR958" t="s">
        <v>9885</v>
      </c>
      <c r="AS958" t="s">
        <v>9885</v>
      </c>
      <c r="AU958" t="s">
        <v>396</v>
      </c>
      <c r="AV958">
        <v>2017</v>
      </c>
      <c r="AW958" t="str">
        <f>"51-2N-25-0000-0052-0000 "</f>
        <v xml:space="preserve">51-2N-25-0000-0052-0000 </v>
      </c>
      <c r="AX958">
        <v>618620</v>
      </c>
      <c r="AZ958" t="s">
        <v>8913</v>
      </c>
      <c r="BA958" t="s">
        <v>1112</v>
      </c>
      <c r="BD958" t="s">
        <v>2785</v>
      </c>
      <c r="BE958" t="s">
        <v>393</v>
      </c>
      <c r="BF958">
        <v>32011</v>
      </c>
      <c r="BG958" t="s">
        <v>9886</v>
      </c>
      <c r="BH958" t="s">
        <v>2787</v>
      </c>
      <c r="BI958">
        <v>-81.824745023446795</v>
      </c>
      <c r="BJ958">
        <v>30.573216425513198</v>
      </c>
      <c r="BK958" t="s">
        <v>9887</v>
      </c>
      <c r="BM958" t="s">
        <v>9888</v>
      </c>
      <c r="BN958" t="s">
        <v>928</v>
      </c>
      <c r="BO958">
        <v>32011</v>
      </c>
      <c r="BP958" t="s">
        <v>404</v>
      </c>
      <c r="BQ958">
        <v>100</v>
      </c>
      <c r="BR958" t="s">
        <v>514</v>
      </c>
      <c r="BS958">
        <v>1001</v>
      </c>
      <c r="BT958" t="s">
        <v>515</v>
      </c>
      <c r="BW958">
        <v>11025</v>
      </c>
      <c r="BX958" t="s">
        <v>407</v>
      </c>
      <c r="BY958" t="s">
        <v>4360</v>
      </c>
      <c r="BZ958">
        <v>4</v>
      </c>
      <c r="CA958">
        <v>1960</v>
      </c>
      <c r="CB958">
        <v>1</v>
      </c>
      <c r="CC958">
        <v>1</v>
      </c>
      <c r="CD958">
        <v>2017</v>
      </c>
      <c r="CG958">
        <v>23659</v>
      </c>
      <c r="CH958">
        <v>2017</v>
      </c>
      <c r="CI958">
        <v>13500</v>
      </c>
      <c r="CJ958">
        <v>10415</v>
      </c>
      <c r="CK958">
        <v>23915</v>
      </c>
      <c r="CL958">
        <v>2017</v>
      </c>
      <c r="CM958">
        <v>289.63</v>
      </c>
      <c r="DD958" t="s">
        <v>2785</v>
      </c>
      <c r="DG958">
        <v>51</v>
      </c>
      <c r="DL958">
        <v>50503</v>
      </c>
      <c r="DM958" t="s">
        <v>9755</v>
      </c>
      <c r="DO958" t="s">
        <v>9889</v>
      </c>
      <c r="DP958">
        <v>0</v>
      </c>
      <c r="DQ958">
        <v>0</v>
      </c>
      <c r="DR958" t="s">
        <v>411</v>
      </c>
      <c r="DS958" t="b">
        <v>1</v>
      </c>
      <c r="DT958" t="s">
        <v>470</v>
      </c>
      <c r="DU958" t="s">
        <v>471</v>
      </c>
      <c r="DV958" t="s">
        <v>472</v>
      </c>
      <c r="DX958">
        <v>-9999</v>
      </c>
      <c r="DZ958" t="s">
        <v>447</v>
      </c>
      <c r="EA958" t="s">
        <v>448</v>
      </c>
      <c r="EB958" t="s">
        <v>742</v>
      </c>
      <c r="EC958">
        <v>20101217</v>
      </c>
      <c r="ED958" t="s">
        <v>474</v>
      </c>
      <c r="EF958">
        <v>78.900000000000006</v>
      </c>
      <c r="EG958">
        <v>78.900000000000006</v>
      </c>
      <c r="EI958">
        <v>20160407</v>
      </c>
      <c r="EJ958">
        <v>0</v>
      </c>
      <c r="EK958">
        <v>0</v>
      </c>
      <c r="EP958" t="s">
        <v>421</v>
      </c>
      <c r="EQ958" t="s">
        <v>422</v>
      </c>
      <c r="ER958">
        <v>0</v>
      </c>
      <c r="ES958">
        <v>1</v>
      </c>
      <c r="ET958">
        <v>0</v>
      </c>
      <c r="EU958">
        <v>0</v>
      </c>
      <c r="EV958">
        <v>0</v>
      </c>
      <c r="EW958" s="2">
        <v>43222</v>
      </c>
      <c r="EX958" s="1">
        <v>42515</v>
      </c>
      <c r="EY958">
        <v>2015</v>
      </c>
      <c r="EZ958">
        <v>371.69</v>
      </c>
      <c r="FA958" t="s">
        <v>9890</v>
      </c>
      <c r="FB958">
        <v>14.75</v>
      </c>
      <c r="FC958" t="s">
        <v>424</v>
      </c>
      <c r="FD958" t="s">
        <v>425</v>
      </c>
      <c r="FE958" s="1">
        <v>42677</v>
      </c>
      <c r="FF958">
        <v>6</v>
      </c>
      <c r="FG958">
        <v>2035919</v>
      </c>
      <c r="FH958" t="s">
        <v>507</v>
      </c>
    </row>
    <row r="959" spans="1:284" x14ac:dyDescent="0.25">
      <c r="A959">
        <v>16485966</v>
      </c>
      <c r="B959">
        <v>958</v>
      </c>
      <c r="C959" t="s">
        <v>393</v>
      </c>
      <c r="D959" t="s">
        <v>394</v>
      </c>
      <c r="F959" t="str">
        <f>"51-2N-25-0000-0053-0000"</f>
        <v>51-2N-25-0000-0053-0000</v>
      </c>
      <c r="H959" t="str">
        <f>"HUNTER DON &amp; SYLVESTER &amp; HUNTER CLIFTON EST &amp; RAINEY GERALDINE"</f>
        <v>HUNTER DON &amp; SYLVESTER &amp; HUNTER CLIFTON EST &amp; RAINEY GERALDINE</v>
      </c>
      <c r="I959" t="str">
        <f>""</f>
        <v/>
      </c>
      <c r="J959" t="str">
        <f>"CALLAHAN FL 32011"</f>
        <v>CALLAHAN FL 32011</v>
      </c>
      <c r="K959" t="str">
        <f>"DR MARTIN LUTHER KING JR AV"</f>
        <v>DR MARTIN LUTHER KING JR AV</v>
      </c>
      <c r="L959" t="str">
        <f t="shared" si="291"/>
        <v>CALLAHAN FL 32011</v>
      </c>
      <c r="M959" t="str">
        <f>"IN OR 640 PG 179 EX OR 6/461 PAR 53 &amp; 54"</f>
        <v>IN OR 640 PG 179 EX OR 6/461 PAR 53 &amp; 54</v>
      </c>
      <c r="N959" t="str">
        <f>""</f>
        <v/>
      </c>
      <c r="O959" t="str">
        <f>"54644"</f>
        <v>54644</v>
      </c>
      <c r="P959" t="str">
        <f t="shared" si="283"/>
        <v>2017</v>
      </c>
      <c r="Q959" t="str">
        <f>""</f>
        <v/>
      </c>
      <c r="R959" t="str">
        <f t="shared" ref="R959:R966" si="308">"N"</f>
        <v>N</v>
      </c>
      <c r="S959" t="str">
        <f>"2.00"</f>
        <v>2.00</v>
      </c>
      <c r="T959" t="str">
        <f>"181.66"</f>
        <v>181.66</v>
      </c>
      <c r="U959" t="str">
        <f>"12000.00"</f>
        <v>12000.00</v>
      </c>
      <c r="V959" t="str">
        <f>"12000.00"</f>
        <v>12000.00</v>
      </c>
      <c r="W959" t="str">
        <f t="shared" si="284"/>
        <v>2017</v>
      </c>
      <c r="X959" t="str">
        <f>"9.00"</f>
        <v>9.00</v>
      </c>
      <c r="Y959" t="str">
        <f>"219.11"</f>
        <v>219.11</v>
      </c>
      <c r="Z959" t="str">
        <f>""</f>
        <v/>
      </c>
      <c r="AA959" t="str">
        <f>"12000.00"</f>
        <v>12000.00</v>
      </c>
      <c r="AB959" t="str">
        <f t="shared" si="307"/>
        <v>Residential</v>
      </c>
      <c r="AC959" t="str">
        <f t="shared" si="295"/>
        <v>0</v>
      </c>
      <c r="AD959" t="str">
        <f>""</f>
        <v/>
      </c>
      <c r="AE959" t="str">
        <f>""</f>
        <v/>
      </c>
      <c r="AF959" t="str">
        <f t="shared" ref="AF959:AF965" si="309">"000"</f>
        <v>000</v>
      </c>
      <c r="AG959" t="str">
        <f t="shared" si="306"/>
        <v>FL</v>
      </c>
      <c r="AH959" t="str">
        <f>"87120.00"</f>
        <v>87120.00</v>
      </c>
      <c r="AI959" t="str">
        <f>"12000.00"</f>
        <v>12000.00</v>
      </c>
      <c r="AJ959" t="str">
        <f>"C55-000-588-7131-0"</f>
        <v>C55-000-588-7131-0</v>
      </c>
      <c r="AK959" t="str">
        <f>"14862"</f>
        <v>14862</v>
      </c>
      <c r="AL959">
        <v>4</v>
      </c>
      <c r="AM959">
        <v>1106</v>
      </c>
      <c r="AN959">
        <v>228.47</v>
      </c>
      <c r="AQ959" t="s">
        <v>9891</v>
      </c>
      <c r="AR959" t="s">
        <v>9891</v>
      </c>
      <c r="AS959" t="s">
        <v>9891</v>
      </c>
      <c r="AU959" t="s">
        <v>396</v>
      </c>
      <c r="AV959">
        <v>2017</v>
      </c>
      <c r="AW959" t="str">
        <f>"51-2N-25-0000-0053-0000 "</f>
        <v xml:space="preserve">51-2N-25-0000-0053-0000 </v>
      </c>
      <c r="AZ959" t="s">
        <v>8913</v>
      </c>
      <c r="BA959" t="s">
        <v>1122</v>
      </c>
      <c r="BD959" t="s">
        <v>2785</v>
      </c>
      <c r="BE959" t="s">
        <v>393</v>
      </c>
      <c r="BF959">
        <v>32011</v>
      </c>
      <c r="BG959" t="s">
        <v>9849</v>
      </c>
      <c r="BH959" t="s">
        <v>2787</v>
      </c>
      <c r="BI959">
        <v>-81.824616357113698</v>
      </c>
      <c r="BJ959">
        <v>30.573373391061999</v>
      </c>
      <c r="BK959" t="s">
        <v>9892</v>
      </c>
      <c r="BM959" t="s">
        <v>9888</v>
      </c>
      <c r="BN959" t="s">
        <v>928</v>
      </c>
      <c r="BO959">
        <v>32011</v>
      </c>
      <c r="BP959" t="s">
        <v>404</v>
      </c>
      <c r="BQ959">
        <v>0</v>
      </c>
      <c r="BR959" t="s">
        <v>491</v>
      </c>
      <c r="BS959">
        <v>8001</v>
      </c>
      <c r="BT959" t="s">
        <v>492</v>
      </c>
      <c r="BW959">
        <v>33074</v>
      </c>
      <c r="BX959" t="s">
        <v>407</v>
      </c>
      <c r="BY959" t="s">
        <v>4360</v>
      </c>
      <c r="CD959">
        <v>2017</v>
      </c>
      <c r="CE959">
        <v>12000</v>
      </c>
      <c r="CG959">
        <v>12000</v>
      </c>
      <c r="CH959">
        <v>2017</v>
      </c>
      <c r="CI959">
        <v>12000</v>
      </c>
      <c r="CK959">
        <v>12000</v>
      </c>
      <c r="CL959">
        <v>2017</v>
      </c>
      <c r="CM959">
        <v>181.66</v>
      </c>
      <c r="CN959" s="1">
        <v>33542</v>
      </c>
      <c r="CZ959" s="1">
        <v>33542</v>
      </c>
      <c r="DD959" t="s">
        <v>2785</v>
      </c>
      <c r="DG959">
        <v>51</v>
      </c>
      <c r="DL959">
        <v>50503</v>
      </c>
      <c r="DM959" t="s">
        <v>9755</v>
      </c>
      <c r="DO959" t="s">
        <v>9893</v>
      </c>
      <c r="DP959">
        <v>0</v>
      </c>
      <c r="DQ959">
        <v>0</v>
      </c>
      <c r="DR959" t="s">
        <v>411</v>
      </c>
      <c r="DS959" t="s">
        <v>695</v>
      </c>
      <c r="EJ959">
        <v>0</v>
      </c>
      <c r="EK959">
        <v>0</v>
      </c>
      <c r="EP959" t="s">
        <v>421</v>
      </c>
      <c r="EQ959" t="s">
        <v>422</v>
      </c>
      <c r="ER959">
        <v>0</v>
      </c>
      <c r="ES959">
        <v>1</v>
      </c>
      <c r="ET959">
        <v>0</v>
      </c>
      <c r="EU959">
        <v>0</v>
      </c>
      <c r="EV959">
        <v>0</v>
      </c>
      <c r="EW959" s="2">
        <v>43222</v>
      </c>
      <c r="EX959" s="1">
        <v>42151</v>
      </c>
      <c r="EY959">
        <v>2014</v>
      </c>
      <c r="EZ959">
        <v>252.74</v>
      </c>
      <c r="FA959" t="s">
        <v>9894</v>
      </c>
      <c r="FB959">
        <v>5.5</v>
      </c>
      <c r="FC959" t="s">
        <v>424</v>
      </c>
      <c r="FD959" t="s">
        <v>425</v>
      </c>
      <c r="FE959" s="1">
        <v>42409</v>
      </c>
      <c r="FF959">
        <v>9</v>
      </c>
      <c r="FG959">
        <v>10125</v>
      </c>
      <c r="FH959" t="s">
        <v>440</v>
      </c>
    </row>
    <row r="960" spans="1:284" x14ac:dyDescent="0.25">
      <c r="A960">
        <v>16485967</v>
      </c>
      <c r="B960">
        <v>959</v>
      </c>
      <c r="C960" t="s">
        <v>393</v>
      </c>
      <c r="D960" t="s">
        <v>394</v>
      </c>
      <c r="F960" t="str">
        <f>"51-2N-25-0000-0059-0000"</f>
        <v>51-2N-25-0000-0059-0000</v>
      </c>
      <c r="H960" t="str">
        <f>"OLIVER JETROE M C/O MARY DAVIS"</f>
        <v>OLIVER JETROE M C/O MARY DAVIS</v>
      </c>
      <c r="I960" t="str">
        <f>"22 BEECHWOOD STREET 302"</f>
        <v>22 BEECHWOOD STREET 302</v>
      </c>
      <c r="J960" t="str">
        <f>"DORCHESTER MA 02121"</f>
        <v>DORCHESTER MA 02121</v>
      </c>
      <c r="K960" t="str">
        <f>"DR MARTIN LUTHER KING JR AV"</f>
        <v>DR MARTIN LUTHER KING JR AV</v>
      </c>
      <c r="L960" t="str">
        <f t="shared" si="291"/>
        <v>CALLAHAN FL 32011</v>
      </c>
      <c r="M960" t="str">
        <f>"IN DB 60 PG 86"</f>
        <v>IN DB 60 PG 86</v>
      </c>
      <c r="N960" t="str">
        <f>""</f>
        <v/>
      </c>
      <c r="O960" t="str">
        <f>"54654"</f>
        <v>54654</v>
      </c>
      <c r="P960" t="str">
        <f t="shared" si="283"/>
        <v>2017</v>
      </c>
      <c r="Q960" t="str">
        <f>""</f>
        <v/>
      </c>
      <c r="R960" t="str">
        <f t="shared" si="308"/>
        <v>N</v>
      </c>
      <c r="S960" t="str">
        <f>"1.00"</f>
        <v>1.00</v>
      </c>
      <c r="T960" t="str">
        <f>"211.71"</f>
        <v>211.71</v>
      </c>
      <c r="U960" t="str">
        <f>"13200.00"</f>
        <v>13200.00</v>
      </c>
      <c r="V960" t="str">
        <f>"13200.00"</f>
        <v>13200.00</v>
      </c>
      <c r="W960" t="str">
        <f t="shared" si="284"/>
        <v>2017</v>
      </c>
      <c r="X960" t="str">
        <f>""</f>
        <v/>
      </c>
      <c r="Y960" t="str">
        <f>"250.06"</f>
        <v>250.06</v>
      </c>
      <c r="Z960" t="str">
        <f>""</f>
        <v/>
      </c>
      <c r="AA960" t="str">
        <f>"15000.00"</f>
        <v>15000.00</v>
      </c>
      <c r="AB960" t="str">
        <f t="shared" si="307"/>
        <v>Residential</v>
      </c>
      <c r="AC960" t="str">
        <f t="shared" si="295"/>
        <v>0</v>
      </c>
      <c r="AD960" t="str">
        <f>""</f>
        <v/>
      </c>
      <c r="AE960" t="str">
        <f>""</f>
        <v/>
      </c>
      <c r="AF960" t="str">
        <f t="shared" si="309"/>
        <v>000</v>
      </c>
      <c r="AG960" t="str">
        <f>"MA"</f>
        <v>MA</v>
      </c>
      <c r="AH960" t="str">
        <f>"43560.00"</f>
        <v>43560.00</v>
      </c>
      <c r="AI960" t="str">
        <f>"15000.00"</f>
        <v>15000.00</v>
      </c>
      <c r="AJ960" t="str">
        <f>"C55-000-588-7141-9"</f>
        <v>C55-000-588-7141-9</v>
      </c>
      <c r="AK960" t="str">
        <f>"14869"</f>
        <v>14869</v>
      </c>
      <c r="AL960">
        <v>4</v>
      </c>
      <c r="AM960">
        <v>1107</v>
      </c>
      <c r="AN960">
        <v>260.95999999999998</v>
      </c>
      <c r="AQ960" t="s">
        <v>9895</v>
      </c>
      <c r="AR960" t="s">
        <v>9895</v>
      </c>
      <c r="AS960" t="s">
        <v>9895</v>
      </c>
      <c r="AU960" t="s">
        <v>396</v>
      </c>
      <c r="AV960">
        <v>2017</v>
      </c>
      <c r="AW960" t="str">
        <f>"51-2N-25-0000-0059-0000 "</f>
        <v xml:space="preserve">51-2N-25-0000-0059-0000 </v>
      </c>
      <c r="AZ960" t="s">
        <v>8913</v>
      </c>
      <c r="BA960" t="s">
        <v>1122</v>
      </c>
      <c r="BD960" t="s">
        <v>2785</v>
      </c>
      <c r="BE960" t="s">
        <v>393</v>
      </c>
      <c r="BF960">
        <v>32011</v>
      </c>
      <c r="BG960" t="s">
        <v>9849</v>
      </c>
      <c r="BH960" t="s">
        <v>2787</v>
      </c>
      <c r="BI960">
        <v>-81.825635750455504</v>
      </c>
      <c r="BJ960">
        <v>30.572878303156202</v>
      </c>
      <c r="BK960" t="s">
        <v>9896</v>
      </c>
      <c r="BM960" t="s">
        <v>9897</v>
      </c>
      <c r="BN960" t="s">
        <v>9898</v>
      </c>
      <c r="BO960">
        <v>2121</v>
      </c>
      <c r="BP960" t="s">
        <v>404</v>
      </c>
      <c r="BQ960">
        <v>0</v>
      </c>
      <c r="BR960" t="s">
        <v>491</v>
      </c>
      <c r="BS960">
        <v>8001</v>
      </c>
      <c r="BT960" t="s">
        <v>492</v>
      </c>
      <c r="BW960">
        <v>43560</v>
      </c>
      <c r="BX960" t="s">
        <v>407</v>
      </c>
      <c r="BY960" t="s">
        <v>4360</v>
      </c>
      <c r="CD960">
        <v>2017</v>
      </c>
      <c r="CE960">
        <v>15000</v>
      </c>
      <c r="CG960">
        <v>15000</v>
      </c>
      <c r="CH960">
        <v>2017</v>
      </c>
      <c r="CI960">
        <v>15000</v>
      </c>
      <c r="CK960">
        <v>15000</v>
      </c>
      <c r="CL960">
        <v>2017</v>
      </c>
      <c r="CM960">
        <v>211.71</v>
      </c>
      <c r="DD960" t="s">
        <v>2785</v>
      </c>
      <c r="DG960">
        <v>51</v>
      </c>
      <c r="DL960">
        <v>50503</v>
      </c>
      <c r="DM960" t="s">
        <v>9755</v>
      </c>
      <c r="DO960" t="s">
        <v>9899</v>
      </c>
      <c r="DP960">
        <v>0</v>
      </c>
      <c r="DQ960">
        <v>0</v>
      </c>
      <c r="DR960" t="s">
        <v>411</v>
      </c>
      <c r="DS960" t="b">
        <v>1</v>
      </c>
      <c r="DT960" t="s">
        <v>470</v>
      </c>
      <c r="DU960" t="s">
        <v>471</v>
      </c>
      <c r="DV960" t="s">
        <v>472</v>
      </c>
      <c r="DX960">
        <v>-9999</v>
      </c>
      <c r="DZ960" t="s">
        <v>447</v>
      </c>
      <c r="EA960" t="s">
        <v>448</v>
      </c>
      <c r="EB960" t="s">
        <v>742</v>
      </c>
      <c r="EC960">
        <v>20101217</v>
      </c>
      <c r="ED960" t="s">
        <v>474</v>
      </c>
      <c r="EF960">
        <v>241</v>
      </c>
      <c r="EG960">
        <v>241</v>
      </c>
      <c r="EI960">
        <v>20160407</v>
      </c>
      <c r="EJ960">
        <v>0</v>
      </c>
      <c r="EK960">
        <v>0</v>
      </c>
      <c r="EP960" t="s">
        <v>421</v>
      </c>
      <c r="EQ960" t="s">
        <v>422</v>
      </c>
      <c r="ER960">
        <v>7</v>
      </c>
      <c r="ES960">
        <v>0</v>
      </c>
      <c r="ET960">
        <v>1683.53</v>
      </c>
      <c r="EU960">
        <v>1123.55</v>
      </c>
      <c r="EV960">
        <v>2807.08</v>
      </c>
      <c r="EW960" s="2">
        <v>43222</v>
      </c>
      <c r="EX960" s="1">
        <v>42879</v>
      </c>
      <c r="EY960">
        <v>2016</v>
      </c>
      <c r="EZ960">
        <v>226.22</v>
      </c>
      <c r="FA960" t="s">
        <v>9900</v>
      </c>
      <c r="FB960">
        <v>18</v>
      </c>
      <c r="FC960" t="s">
        <v>424</v>
      </c>
      <c r="FD960" t="s">
        <v>454</v>
      </c>
      <c r="FF960">
        <v>12</v>
      </c>
      <c r="FG960">
        <v>10125</v>
      </c>
      <c r="FH960" t="s">
        <v>440</v>
      </c>
      <c r="FJ960" s="1">
        <v>42515</v>
      </c>
      <c r="FK960">
        <v>2015</v>
      </c>
      <c r="FL960">
        <v>226.06</v>
      </c>
      <c r="FM960" t="s">
        <v>9901</v>
      </c>
      <c r="FN960">
        <v>18</v>
      </c>
      <c r="FO960" t="s">
        <v>424</v>
      </c>
      <c r="FP960" t="s">
        <v>454</v>
      </c>
      <c r="FR960">
        <v>24</v>
      </c>
      <c r="FS960">
        <v>10125</v>
      </c>
      <c r="FT960" t="s">
        <v>440</v>
      </c>
      <c r="FV960" s="1">
        <v>42151</v>
      </c>
      <c r="FW960">
        <v>2014</v>
      </c>
      <c r="FX960">
        <v>227.1</v>
      </c>
      <c r="FY960" t="s">
        <v>9902</v>
      </c>
      <c r="FZ960">
        <v>18</v>
      </c>
      <c r="GA960" t="s">
        <v>424</v>
      </c>
      <c r="GB960" t="s">
        <v>454</v>
      </c>
      <c r="GD960">
        <v>36</v>
      </c>
      <c r="GE960">
        <v>10125</v>
      </c>
      <c r="GF960" t="s">
        <v>440</v>
      </c>
      <c r="GH960" s="1">
        <v>41787</v>
      </c>
      <c r="GI960">
        <v>2013</v>
      </c>
      <c r="GJ960">
        <v>208.05</v>
      </c>
      <c r="GK960" t="s">
        <v>9903</v>
      </c>
      <c r="GL960">
        <v>16.5</v>
      </c>
      <c r="GM960" t="s">
        <v>424</v>
      </c>
      <c r="GN960" t="s">
        <v>454</v>
      </c>
      <c r="GP960">
        <v>48</v>
      </c>
      <c r="GQ960">
        <v>10125</v>
      </c>
      <c r="GR960" t="s">
        <v>440</v>
      </c>
      <c r="GT960" s="1">
        <v>41423</v>
      </c>
      <c r="GU960">
        <v>2012</v>
      </c>
      <c r="GV960">
        <v>267.70999999999998</v>
      </c>
      <c r="GW960" t="s">
        <v>9904</v>
      </c>
      <c r="GX960">
        <v>17</v>
      </c>
      <c r="GY960" t="s">
        <v>424</v>
      </c>
      <c r="GZ960" t="s">
        <v>454</v>
      </c>
      <c r="HB960">
        <v>60</v>
      </c>
      <c r="HC960">
        <v>10628</v>
      </c>
      <c r="HD960" t="s">
        <v>943</v>
      </c>
      <c r="HF960" s="1">
        <v>41052</v>
      </c>
      <c r="HG960">
        <v>2011</v>
      </c>
      <c r="HH960">
        <v>264.02</v>
      </c>
      <c r="HI960" t="s">
        <v>9905</v>
      </c>
      <c r="HJ960">
        <v>18</v>
      </c>
      <c r="HK960" t="s">
        <v>424</v>
      </c>
      <c r="HL960" t="s">
        <v>454</v>
      </c>
      <c r="HN960">
        <v>72</v>
      </c>
      <c r="HO960">
        <v>13103</v>
      </c>
      <c r="HP960" t="s">
        <v>2203</v>
      </c>
      <c r="HR960" s="1">
        <v>40688</v>
      </c>
      <c r="HS960">
        <v>2010</v>
      </c>
      <c r="HT960">
        <v>264.37</v>
      </c>
      <c r="HU960" t="s">
        <v>9906</v>
      </c>
      <c r="HV960">
        <v>10</v>
      </c>
      <c r="HW960" t="s">
        <v>424</v>
      </c>
      <c r="HX960" t="s">
        <v>454</v>
      </c>
      <c r="HZ960">
        <v>84</v>
      </c>
      <c r="IA960">
        <v>10125</v>
      </c>
      <c r="IB960" t="s">
        <v>440</v>
      </c>
    </row>
    <row r="961" spans="1:308" x14ac:dyDescent="0.25">
      <c r="A961">
        <v>16485968</v>
      </c>
      <c r="B961">
        <v>960</v>
      </c>
      <c r="C961" t="s">
        <v>393</v>
      </c>
      <c r="D961" t="s">
        <v>394</v>
      </c>
      <c r="F961" t="str">
        <f>"51-2N-25-0000-0060-0010"</f>
        <v>51-2N-25-0000-0060-0010</v>
      </c>
      <c r="H961" t="str">
        <f>"MCCOLLUM EDWARD"</f>
        <v>MCCOLLUM EDWARD</v>
      </c>
      <c r="I961" t="str">
        <f>"86014 BRITT LYNN LN"</f>
        <v>86014 BRITT LYNN LN</v>
      </c>
      <c r="J961" t="str">
        <f>"YULEE FL 32097"</f>
        <v>YULEE FL 32097</v>
      </c>
      <c r="K961" t="str">
        <f>"DR MARTIN LUTHER KING JR AV"</f>
        <v>DR MARTIN LUTHER KING JR AV</v>
      </c>
      <c r="L961" t="str">
        <f t="shared" si="291"/>
        <v>CALLAHAN FL 32011</v>
      </c>
      <c r="M961" t="str">
        <f>"PT SEC 51-2N-25E IN OR 2083/185"</f>
        <v>PT SEC 51-2N-25E IN OR 2083/185</v>
      </c>
      <c r="N961" t="str">
        <f>""</f>
        <v/>
      </c>
      <c r="O961" t="str">
        <f>"56750"</f>
        <v>56750</v>
      </c>
      <c r="P961" t="str">
        <f t="shared" si="283"/>
        <v>2017</v>
      </c>
      <c r="Q961" t="str">
        <f>""</f>
        <v/>
      </c>
      <c r="R961" t="str">
        <f t="shared" si="308"/>
        <v>N</v>
      </c>
      <c r="S961" t="str">
        <f>"0.75"</f>
        <v>0.75</v>
      </c>
      <c r="T961" t="str">
        <f>"212.89"</f>
        <v>212.89</v>
      </c>
      <c r="U961" t="str">
        <f>"14062.00"</f>
        <v>14062.00</v>
      </c>
      <c r="V961" t="str">
        <f>"14062.00"</f>
        <v>14062.00</v>
      </c>
      <c r="W961" t="str">
        <f t="shared" si="284"/>
        <v>2017</v>
      </c>
      <c r="X961" t="str">
        <f>""</f>
        <v/>
      </c>
      <c r="Y961" t="str">
        <f>"251.28"</f>
        <v>251.28</v>
      </c>
      <c r="Z961" t="str">
        <f>""</f>
        <v/>
      </c>
      <c r="AA961" t="str">
        <f>"14062.00"</f>
        <v>14062.00</v>
      </c>
      <c r="AB961" t="str">
        <f t="shared" si="307"/>
        <v>Residential</v>
      </c>
      <c r="AC961" t="str">
        <f t="shared" si="295"/>
        <v>0</v>
      </c>
      <c r="AD961" t="str">
        <f>""</f>
        <v/>
      </c>
      <c r="AE961" t="str">
        <f>""</f>
        <v/>
      </c>
      <c r="AF961" t="str">
        <f t="shared" si="309"/>
        <v>000</v>
      </c>
      <c r="AG961" t="str">
        <f>"FL"</f>
        <v>FL</v>
      </c>
      <c r="AH961" t="str">
        <f>"32670.00"</f>
        <v>32670.00</v>
      </c>
      <c r="AI961" t="str">
        <f>"14062.00"</f>
        <v>14062.00</v>
      </c>
      <c r="AJ961" t="str">
        <f>"C55-001-082-2743-0"</f>
        <v>C55-001-082-2743-0</v>
      </c>
      <c r="AK961" t="str">
        <f>"14871"</f>
        <v>14871</v>
      </c>
      <c r="AL961">
        <v>4</v>
      </c>
      <c r="AM961">
        <v>1108</v>
      </c>
      <c r="AN961">
        <v>262.24</v>
      </c>
      <c r="AQ961" t="s">
        <v>9907</v>
      </c>
      <c r="AR961" t="s">
        <v>9907</v>
      </c>
      <c r="AS961" t="s">
        <v>9907</v>
      </c>
      <c r="AU961" t="s">
        <v>396</v>
      </c>
      <c r="AV961">
        <v>2017</v>
      </c>
      <c r="AW961" t="str">
        <f>"51-2N-25-0000-0060-0010 "</f>
        <v xml:space="preserve">51-2N-25-0000-0060-0010 </v>
      </c>
      <c r="AZ961" t="s">
        <v>8913</v>
      </c>
      <c r="BA961" t="s">
        <v>1122</v>
      </c>
      <c r="BD961" t="s">
        <v>2785</v>
      </c>
      <c r="BE961" t="s">
        <v>393</v>
      </c>
      <c r="BF961">
        <v>32011</v>
      </c>
      <c r="BG961" t="s">
        <v>9849</v>
      </c>
      <c r="BH961" t="s">
        <v>2787</v>
      </c>
      <c r="BI961">
        <v>-81.826580913807604</v>
      </c>
      <c r="BJ961">
        <v>30.571882534019299</v>
      </c>
      <c r="BK961" t="s">
        <v>9908</v>
      </c>
      <c r="BM961" t="s">
        <v>9909</v>
      </c>
      <c r="BN961" t="s">
        <v>1778</v>
      </c>
      <c r="BO961">
        <v>32097</v>
      </c>
      <c r="BP961" t="s">
        <v>404</v>
      </c>
      <c r="BQ961">
        <v>0</v>
      </c>
      <c r="BR961" t="s">
        <v>491</v>
      </c>
      <c r="BS961">
        <v>8001</v>
      </c>
      <c r="BT961" t="s">
        <v>492</v>
      </c>
      <c r="BW961">
        <v>32670</v>
      </c>
      <c r="BX961" t="s">
        <v>407</v>
      </c>
      <c r="CD961">
        <v>2017</v>
      </c>
      <c r="CE961">
        <v>14062</v>
      </c>
      <c r="CG961">
        <v>14062</v>
      </c>
      <c r="CH961">
        <v>2017</v>
      </c>
      <c r="CI961">
        <v>14062</v>
      </c>
      <c r="CK961">
        <v>14062</v>
      </c>
      <c r="CL961">
        <v>2017</v>
      </c>
      <c r="CM961">
        <v>212.89</v>
      </c>
      <c r="CN961" s="1">
        <v>42684</v>
      </c>
      <c r="CO961">
        <v>18000</v>
      </c>
      <c r="CV961">
        <v>0</v>
      </c>
      <c r="CZ961" s="1">
        <v>42684</v>
      </c>
      <c r="DA961">
        <v>0</v>
      </c>
      <c r="DD961" t="s">
        <v>2785</v>
      </c>
      <c r="DG961">
        <v>51</v>
      </c>
      <c r="DL961">
        <v>50503</v>
      </c>
      <c r="DM961" t="s">
        <v>9755</v>
      </c>
      <c r="DO961" t="s">
        <v>9910</v>
      </c>
      <c r="DP961">
        <v>0</v>
      </c>
      <c r="DQ961">
        <v>0</v>
      </c>
      <c r="DR961" t="s">
        <v>411</v>
      </c>
    </row>
    <row r="962" spans="1:308" x14ac:dyDescent="0.25">
      <c r="A962">
        <v>16485969</v>
      </c>
      <c r="B962">
        <v>961</v>
      </c>
      <c r="C962" t="s">
        <v>393</v>
      </c>
      <c r="D962" t="s">
        <v>394</v>
      </c>
      <c r="F962" t="str">
        <f>"51-2N-25-0000-0062-0000"</f>
        <v>51-2N-25-0000-0062-0000</v>
      </c>
      <c r="H962" t="str">
        <f>"AJP PROPERTIES LLC"</f>
        <v>AJP PROPERTIES LLC</v>
      </c>
      <c r="I962" t="str">
        <f>"10562 NEW KINGS ROAD"</f>
        <v>10562 NEW KINGS ROAD</v>
      </c>
      <c r="J962" t="str">
        <f>"JACKSONVILLE FL 32219"</f>
        <v>JACKSONVILLE FL 32219</v>
      </c>
      <c r="K962" t="str">
        <f>"DR MARTIN LUTHER KING JR AV"</f>
        <v>DR MARTIN LUTHER KING JR AV</v>
      </c>
      <c r="L962" t="str">
        <f t="shared" si="291"/>
        <v>CALLAHAN FL 32011</v>
      </c>
      <c r="M962" t="str">
        <f>"PT F P SANCHEZ GRANT IN OR 1680/1995 (EX R/W OR 907/1659) ESMT OR 1886/1113"</f>
        <v>PT F P SANCHEZ GRANT IN OR 1680/1995 (EX R/W OR 907/1659) ESMT OR 1886/1113</v>
      </c>
      <c r="N962" t="str">
        <f>""</f>
        <v/>
      </c>
      <c r="O962" t="str">
        <f>"54657"</f>
        <v>54657</v>
      </c>
      <c r="P962" t="str">
        <f t="shared" ref="P962:P1025" si="310">"2017"</f>
        <v>2017</v>
      </c>
      <c r="Q962" t="str">
        <f>""</f>
        <v/>
      </c>
      <c r="R962" t="str">
        <f t="shared" si="308"/>
        <v>N</v>
      </c>
      <c r="S962" t="str">
        <f>"10.07"</f>
        <v>10.07</v>
      </c>
      <c r="T962" t="str">
        <f>"997.12"</f>
        <v>997.12</v>
      </c>
      <c r="U962" t="str">
        <f>"60420.00"</f>
        <v>60420.00</v>
      </c>
      <c r="V962" t="str">
        <f>"60420.00"</f>
        <v>60420.00</v>
      </c>
      <c r="W962" t="str">
        <f t="shared" ref="W962:W1025" si="311">"2017"</f>
        <v>2017</v>
      </c>
      <c r="X962" t="str">
        <f>"2.50"</f>
        <v>2.50</v>
      </c>
      <c r="Y962" t="str">
        <f>"1059.03"</f>
        <v>1059.03</v>
      </c>
      <c r="Z962" t="str">
        <f>""</f>
        <v/>
      </c>
      <c r="AA962" t="str">
        <f>"60420.00"</f>
        <v>60420.00</v>
      </c>
      <c r="AB962" t="str">
        <f t="shared" si="307"/>
        <v>Residential</v>
      </c>
      <c r="AC962" t="str">
        <f t="shared" si="295"/>
        <v>0</v>
      </c>
      <c r="AD962" t="str">
        <f>""</f>
        <v/>
      </c>
      <c r="AE962" t="str">
        <f>""</f>
        <v/>
      </c>
      <c r="AF962" t="str">
        <f t="shared" si="309"/>
        <v>000</v>
      </c>
      <c r="AG962" t="str">
        <f>"FL"</f>
        <v>FL</v>
      </c>
      <c r="AH962" t="str">
        <f>"438649.00"</f>
        <v>438649.00</v>
      </c>
      <c r="AI962" t="str">
        <f>"60420.00"</f>
        <v>60420.00</v>
      </c>
      <c r="AJ962" t="str">
        <f>"C55-000-588-7144-3"</f>
        <v>C55-000-588-7144-3</v>
      </c>
      <c r="AK962" t="str">
        <f>"14873"</f>
        <v>14873</v>
      </c>
      <c r="AL962">
        <v>4</v>
      </c>
      <c r="AM962">
        <v>1109</v>
      </c>
      <c r="AN962">
        <v>1110.3800000000001</v>
      </c>
      <c r="AQ962" t="s">
        <v>9911</v>
      </c>
      <c r="AR962" t="s">
        <v>9911</v>
      </c>
      <c r="AS962" t="s">
        <v>9911</v>
      </c>
      <c r="AU962" t="s">
        <v>396</v>
      </c>
      <c r="AV962">
        <v>2017</v>
      </c>
      <c r="AW962" t="str">
        <f>"51-2N-25-0000-0062-0000 "</f>
        <v xml:space="preserve">51-2N-25-0000-0062-0000 </v>
      </c>
      <c r="AZ962" t="s">
        <v>8913</v>
      </c>
      <c r="BA962" t="s">
        <v>1122</v>
      </c>
      <c r="BD962" t="s">
        <v>2785</v>
      </c>
      <c r="BE962" t="s">
        <v>393</v>
      </c>
      <c r="BF962">
        <v>32011</v>
      </c>
      <c r="BG962" t="s">
        <v>9849</v>
      </c>
      <c r="BH962" t="s">
        <v>2787</v>
      </c>
      <c r="BI962">
        <v>-81.827000855752999</v>
      </c>
      <c r="BJ962">
        <v>30.570048046756799</v>
      </c>
      <c r="BK962" t="s">
        <v>9912</v>
      </c>
      <c r="BM962" t="s">
        <v>8896</v>
      </c>
      <c r="BN962" t="s">
        <v>548</v>
      </c>
      <c r="BO962">
        <v>32219</v>
      </c>
      <c r="BP962" t="s">
        <v>404</v>
      </c>
      <c r="BQ962">
        <v>0</v>
      </c>
      <c r="BR962" t="s">
        <v>491</v>
      </c>
      <c r="BS962">
        <v>8001</v>
      </c>
      <c r="BT962" t="s">
        <v>492</v>
      </c>
      <c r="BW962">
        <v>438649</v>
      </c>
      <c r="BX962" t="s">
        <v>407</v>
      </c>
      <c r="BY962" t="s">
        <v>4360</v>
      </c>
      <c r="CD962">
        <v>2017</v>
      </c>
      <c r="CE962">
        <v>60420</v>
      </c>
      <c r="CG962">
        <v>60420</v>
      </c>
      <c r="CH962">
        <v>2017</v>
      </c>
      <c r="CI962">
        <v>60420</v>
      </c>
      <c r="CK962">
        <v>60420</v>
      </c>
      <c r="CL962">
        <v>2017</v>
      </c>
      <c r="CM962">
        <v>997.12</v>
      </c>
      <c r="CN962" s="1">
        <v>41571</v>
      </c>
      <c r="CO962">
        <v>100000</v>
      </c>
      <c r="CV962">
        <v>0</v>
      </c>
      <c r="CZ962" s="1">
        <v>41571</v>
      </c>
      <c r="DA962">
        <v>0</v>
      </c>
      <c r="DD962" t="s">
        <v>2785</v>
      </c>
      <c r="DG962">
        <v>51</v>
      </c>
      <c r="DL962">
        <v>50503</v>
      </c>
      <c r="DM962" t="s">
        <v>9755</v>
      </c>
      <c r="DO962" t="s">
        <v>9913</v>
      </c>
      <c r="DP962">
        <v>0</v>
      </c>
      <c r="DQ962">
        <v>3</v>
      </c>
      <c r="DR962" t="s">
        <v>411</v>
      </c>
    </row>
    <row r="963" spans="1:308" x14ac:dyDescent="0.25">
      <c r="A963">
        <v>16485970</v>
      </c>
      <c r="B963">
        <v>962</v>
      </c>
      <c r="C963" t="s">
        <v>393</v>
      </c>
      <c r="D963" t="s">
        <v>394</v>
      </c>
      <c r="F963" t="str">
        <f>"51-2N-25-0000-0068-0000"</f>
        <v>51-2N-25-0000-0068-0000</v>
      </c>
      <c r="H963" t="str">
        <f>"HENDRICKS DANIEL R"</f>
        <v>HENDRICKS DANIEL R</v>
      </c>
      <c r="I963" t="str">
        <f>"44500 CATIES WAY"</f>
        <v>44500 CATIES WAY</v>
      </c>
      <c r="J963" t="str">
        <f>"CALLAHAN FL 32011"</f>
        <v>CALLAHAN FL 32011</v>
      </c>
      <c r="K963" t="str">
        <f>"DR MARTIN LUTHER KING JR AV"</f>
        <v>DR MARTIN LUTHER KING JR AV</v>
      </c>
      <c r="L963" t="str">
        <f t="shared" si="291"/>
        <v>CALLAHAN FL 32011</v>
      </c>
      <c r="M963" t="str">
        <f>"IN OR 1519/664"</f>
        <v>IN OR 1519/664</v>
      </c>
      <c r="N963" t="str">
        <f>""</f>
        <v/>
      </c>
      <c r="O963" t="str">
        <f>"54661"</f>
        <v>54661</v>
      </c>
      <c r="P963" t="str">
        <f t="shared" si="310"/>
        <v>2017</v>
      </c>
      <c r="Q963" t="str">
        <f>""</f>
        <v/>
      </c>
      <c r="R963" t="str">
        <f t="shared" si="308"/>
        <v>N</v>
      </c>
      <c r="S963" t="str">
        <f>"1.00"</f>
        <v>1.00</v>
      </c>
      <c r="T963" t="str">
        <f>"84.68"</f>
        <v>84.68</v>
      </c>
      <c r="U963" t="str">
        <f>"5280.00"</f>
        <v>5280.00</v>
      </c>
      <c r="V963" t="str">
        <f>"5280.00"</f>
        <v>5280.00</v>
      </c>
      <c r="W963" t="str">
        <f t="shared" si="311"/>
        <v>2017</v>
      </c>
      <c r="X963" t="str">
        <f>"31.64"</f>
        <v>31.64</v>
      </c>
      <c r="Y963" t="str">
        <f>"119.22"</f>
        <v>119.22</v>
      </c>
      <c r="Z963" t="str">
        <f>""</f>
        <v/>
      </c>
      <c r="AA963" t="str">
        <f>"6000.00"</f>
        <v>6000.00</v>
      </c>
      <c r="AB963" t="str">
        <f t="shared" si="307"/>
        <v>Residential</v>
      </c>
      <c r="AC963" t="str">
        <f t="shared" si="295"/>
        <v>0</v>
      </c>
      <c r="AD963" t="str">
        <f>""</f>
        <v/>
      </c>
      <c r="AE963" t="str">
        <f>""</f>
        <v/>
      </c>
      <c r="AF963" t="str">
        <f t="shared" si="309"/>
        <v>000</v>
      </c>
      <c r="AG963" t="str">
        <f>"FL"</f>
        <v>FL</v>
      </c>
      <c r="AH963" t="str">
        <f>"43560.00"</f>
        <v>43560.00</v>
      </c>
      <c r="AI963" t="str">
        <f>"6000.00"</f>
        <v>6000.00</v>
      </c>
      <c r="AJ963" t="str">
        <f>"C55-000-588-7148-4"</f>
        <v>C55-000-588-7148-4</v>
      </c>
      <c r="AK963" t="str">
        <f>"14877"</f>
        <v>14877</v>
      </c>
      <c r="AL963">
        <v>4</v>
      </c>
      <c r="AM963">
        <v>1110</v>
      </c>
      <c r="AN963">
        <v>123.58</v>
      </c>
      <c r="AQ963" t="s">
        <v>9914</v>
      </c>
      <c r="AR963" t="s">
        <v>9914</v>
      </c>
      <c r="AS963" t="s">
        <v>9914</v>
      </c>
      <c r="AU963" t="s">
        <v>396</v>
      </c>
      <c r="AV963">
        <v>2017</v>
      </c>
      <c r="AW963" t="str">
        <f>"51-2N-25-0000-0068-0000 "</f>
        <v xml:space="preserve">51-2N-25-0000-0068-0000 </v>
      </c>
      <c r="AZ963" t="s">
        <v>8913</v>
      </c>
      <c r="BA963" t="s">
        <v>1122</v>
      </c>
      <c r="BD963" t="s">
        <v>2785</v>
      </c>
      <c r="BE963" t="s">
        <v>393</v>
      </c>
      <c r="BF963">
        <v>32011</v>
      </c>
      <c r="BG963" t="s">
        <v>9849</v>
      </c>
      <c r="BH963" t="s">
        <v>2787</v>
      </c>
      <c r="BI963">
        <v>-81.824477624010299</v>
      </c>
      <c r="BJ963">
        <v>30.5742910508419</v>
      </c>
      <c r="BK963" t="s">
        <v>3145</v>
      </c>
      <c r="BM963" t="s">
        <v>3149</v>
      </c>
      <c r="BN963" t="s">
        <v>928</v>
      </c>
      <c r="BO963">
        <v>32011</v>
      </c>
      <c r="BP963" t="s">
        <v>404</v>
      </c>
      <c r="BQ963">
        <v>0</v>
      </c>
      <c r="BR963" t="s">
        <v>491</v>
      </c>
      <c r="BS963">
        <v>8001</v>
      </c>
      <c r="BT963" t="s">
        <v>492</v>
      </c>
      <c r="BW963">
        <v>43560</v>
      </c>
      <c r="BX963" t="s">
        <v>407</v>
      </c>
      <c r="BY963" t="s">
        <v>4360</v>
      </c>
      <c r="CD963">
        <v>2017</v>
      </c>
      <c r="CE963">
        <v>6000</v>
      </c>
      <c r="CG963">
        <v>6000</v>
      </c>
      <c r="CH963">
        <v>2017</v>
      </c>
      <c r="CI963">
        <v>6000</v>
      </c>
      <c r="CK963">
        <v>6000</v>
      </c>
      <c r="CL963">
        <v>2017</v>
      </c>
      <c r="CM963">
        <v>84.68</v>
      </c>
      <c r="CN963" s="1">
        <v>39309</v>
      </c>
      <c r="CO963">
        <v>1900</v>
      </c>
      <c r="CZ963" s="1">
        <v>39309</v>
      </c>
      <c r="DD963" t="s">
        <v>2785</v>
      </c>
      <c r="DG963">
        <v>51</v>
      </c>
      <c r="DL963">
        <v>50503</v>
      </c>
      <c r="DM963" t="s">
        <v>9755</v>
      </c>
      <c r="DO963" t="s">
        <v>9915</v>
      </c>
      <c r="DP963">
        <v>0</v>
      </c>
      <c r="DQ963">
        <v>0</v>
      </c>
      <c r="DR963" t="s">
        <v>411</v>
      </c>
      <c r="DS963" t="b">
        <v>1</v>
      </c>
      <c r="DT963" t="s">
        <v>396</v>
      </c>
      <c r="DV963" t="s">
        <v>446</v>
      </c>
      <c r="DX963">
        <v>-9999</v>
      </c>
      <c r="DZ963" t="s">
        <v>447</v>
      </c>
      <c r="EA963" t="s">
        <v>448</v>
      </c>
      <c r="EB963" t="s">
        <v>9757</v>
      </c>
      <c r="EC963">
        <v>20101217</v>
      </c>
      <c r="ED963" t="s">
        <v>450</v>
      </c>
      <c r="EE963">
        <v>14.1</v>
      </c>
      <c r="EF963">
        <v>0</v>
      </c>
      <c r="EG963">
        <v>0</v>
      </c>
      <c r="EI963">
        <v>20160407</v>
      </c>
      <c r="EJ963">
        <v>0</v>
      </c>
      <c r="EK963">
        <v>0</v>
      </c>
      <c r="EP963" t="s">
        <v>595</v>
      </c>
      <c r="EQ963" t="s">
        <v>422</v>
      </c>
      <c r="ER963">
        <v>0</v>
      </c>
      <c r="ES963">
        <v>7</v>
      </c>
      <c r="ET963">
        <v>0</v>
      </c>
      <c r="EU963">
        <v>0</v>
      </c>
      <c r="EV963">
        <v>0</v>
      </c>
      <c r="EW963" s="2">
        <v>43222</v>
      </c>
      <c r="EX963" s="1">
        <v>42515</v>
      </c>
      <c r="EY963">
        <v>2015</v>
      </c>
      <c r="EZ963">
        <v>103.61</v>
      </c>
      <c r="FA963" t="s">
        <v>9916</v>
      </c>
      <c r="FB963">
        <v>18</v>
      </c>
      <c r="FC963" t="s">
        <v>424</v>
      </c>
      <c r="FD963" t="s">
        <v>425</v>
      </c>
      <c r="FE963" s="1">
        <v>42779</v>
      </c>
      <c r="FF963">
        <v>9</v>
      </c>
      <c r="FG963">
        <v>10125</v>
      </c>
      <c r="FH963" t="s">
        <v>440</v>
      </c>
      <c r="FJ963" s="1">
        <v>42151</v>
      </c>
      <c r="FK963">
        <v>2014</v>
      </c>
      <c r="FL963">
        <v>101.62</v>
      </c>
      <c r="FM963" t="s">
        <v>9917</v>
      </c>
      <c r="FN963">
        <v>18</v>
      </c>
      <c r="FO963" t="s">
        <v>424</v>
      </c>
      <c r="FP963" t="s">
        <v>425</v>
      </c>
      <c r="FQ963" s="1">
        <v>42779</v>
      </c>
      <c r="FR963">
        <v>21</v>
      </c>
      <c r="FS963">
        <v>10125</v>
      </c>
      <c r="FT963" t="s">
        <v>440</v>
      </c>
      <c r="FV963" s="1">
        <v>41423</v>
      </c>
      <c r="FW963">
        <v>2012</v>
      </c>
      <c r="FX963">
        <v>83.43</v>
      </c>
      <c r="FY963" t="s">
        <v>9918</v>
      </c>
      <c r="FZ963">
        <v>17</v>
      </c>
      <c r="GA963" t="s">
        <v>424</v>
      </c>
      <c r="GB963" t="s">
        <v>425</v>
      </c>
      <c r="GC963" s="1">
        <v>41722</v>
      </c>
      <c r="GD963">
        <v>10</v>
      </c>
      <c r="GE963">
        <v>10125</v>
      </c>
      <c r="GF963" t="s">
        <v>440</v>
      </c>
      <c r="GH963" s="1">
        <v>41052</v>
      </c>
      <c r="GI963">
        <v>2011</v>
      </c>
      <c r="GJ963">
        <v>85.05</v>
      </c>
      <c r="GK963" t="s">
        <v>9919</v>
      </c>
      <c r="GL963">
        <v>18</v>
      </c>
      <c r="GM963" t="s">
        <v>424</v>
      </c>
      <c r="GN963" t="s">
        <v>425</v>
      </c>
      <c r="GO963" s="1">
        <v>41722</v>
      </c>
      <c r="GP963">
        <v>22</v>
      </c>
      <c r="GQ963">
        <v>14813</v>
      </c>
      <c r="GR963" t="s">
        <v>6283</v>
      </c>
      <c r="GT963" s="1">
        <v>41052</v>
      </c>
      <c r="GU963">
        <v>2011</v>
      </c>
      <c r="GV963">
        <v>76.5</v>
      </c>
      <c r="GW963" t="s">
        <v>9919</v>
      </c>
      <c r="GX963">
        <v>18</v>
      </c>
      <c r="GY963" t="s">
        <v>603</v>
      </c>
      <c r="GZ963" t="s">
        <v>425</v>
      </c>
      <c r="HB963">
        <v>22</v>
      </c>
      <c r="HC963">
        <v>9999999</v>
      </c>
      <c r="HD963" t="s">
        <v>604</v>
      </c>
      <c r="HF963" s="1">
        <v>40688</v>
      </c>
      <c r="HG963">
        <v>2010</v>
      </c>
      <c r="HH963">
        <v>75.84</v>
      </c>
      <c r="HI963" t="s">
        <v>9920</v>
      </c>
      <c r="HJ963">
        <v>8.75</v>
      </c>
      <c r="HK963" t="s">
        <v>424</v>
      </c>
      <c r="HL963" t="s">
        <v>425</v>
      </c>
      <c r="HM963" s="1">
        <v>41722</v>
      </c>
      <c r="HN963">
        <v>34</v>
      </c>
      <c r="HO963">
        <v>375</v>
      </c>
      <c r="HP963" t="s">
        <v>776</v>
      </c>
      <c r="HR963" s="1">
        <v>40688</v>
      </c>
      <c r="HS963">
        <v>2010</v>
      </c>
      <c r="HT963">
        <v>75.84</v>
      </c>
      <c r="HU963" t="s">
        <v>9920</v>
      </c>
      <c r="HV963">
        <v>8.75</v>
      </c>
      <c r="HW963" t="s">
        <v>424</v>
      </c>
      <c r="HX963" t="s">
        <v>425</v>
      </c>
      <c r="HZ963">
        <v>22</v>
      </c>
      <c r="IA963">
        <v>105</v>
      </c>
      <c r="IB963" t="s">
        <v>946</v>
      </c>
    </row>
    <row r="964" spans="1:308" x14ac:dyDescent="0.25">
      <c r="A964">
        <v>16485971</v>
      </c>
      <c r="B964">
        <v>963</v>
      </c>
      <c r="C964" t="s">
        <v>393</v>
      </c>
      <c r="D964" t="s">
        <v>394</v>
      </c>
      <c r="F964" t="str">
        <f>"51-2N-25-4170-0006-0000"</f>
        <v>51-2N-25-4170-0006-0000</v>
      </c>
      <c r="H964" t="str">
        <f>"PATRICK ADRIAN LEE III"</f>
        <v>PATRICK ADRIAN LEE III</v>
      </c>
      <c r="I964" t="str">
        <f>"PO BOX 813"</f>
        <v>PO BOX 813</v>
      </c>
      <c r="J964" t="str">
        <f>"CALLAHAN FL 32011"</f>
        <v>CALLAHAN FL 32011</v>
      </c>
      <c r="K964" t="str">
        <f>"450145 SR 200"</f>
        <v>450145 SR 200</v>
      </c>
      <c r="L964" t="str">
        <f t="shared" si="291"/>
        <v>CALLAHAN FL 32011</v>
      </c>
      <c r="M964" t="str">
        <f>"LOTS 6 &amp; 7 R567918 IN OR 1805/1737 EX R/W OR 1004/993 J P PAGE SUB PB 3/20"</f>
        <v>LOTS 6 &amp; 7 R567918 IN OR 1805/1737 EX R/W OR 1004/993 J P PAGE SUB PB 3/20</v>
      </c>
      <c r="N964" t="str">
        <f>""</f>
        <v/>
      </c>
      <c r="O964" t="str">
        <f>"54812"</f>
        <v>54812</v>
      </c>
      <c r="P964" t="str">
        <f t="shared" si="310"/>
        <v>2017</v>
      </c>
      <c r="Q964" t="str">
        <f>""</f>
        <v/>
      </c>
      <c r="R964" t="str">
        <f t="shared" si="308"/>
        <v>N</v>
      </c>
      <c r="S964" t="str">
        <f>""</f>
        <v/>
      </c>
      <c r="T964" t="str">
        <f>"136.24"</f>
        <v>136.24</v>
      </c>
      <c r="U964" t="str">
        <f>"9000.00"</f>
        <v>9000.00</v>
      </c>
      <c r="V964" t="str">
        <f>"9000.00"</f>
        <v>9000.00</v>
      </c>
      <c r="W964" t="str">
        <f t="shared" si="311"/>
        <v>2017</v>
      </c>
      <c r="X964" t="str">
        <f>"1.00"</f>
        <v>1.00</v>
      </c>
      <c r="Y964" t="str">
        <f>"172.33"</f>
        <v>172.33</v>
      </c>
      <c r="Z964" t="str">
        <f>""</f>
        <v/>
      </c>
      <c r="AA964" t="str">
        <f>"9000.00"</f>
        <v>9000.00</v>
      </c>
      <c r="AB964" t="str">
        <f t="shared" si="307"/>
        <v>Residential</v>
      </c>
      <c r="AC964" t="str">
        <f t="shared" si="295"/>
        <v>0</v>
      </c>
      <c r="AD964" t="str">
        <f>""</f>
        <v/>
      </c>
      <c r="AE964" t="str">
        <f>""</f>
        <v/>
      </c>
      <c r="AF964" t="str">
        <f t="shared" si="309"/>
        <v>000</v>
      </c>
      <c r="AG964" t="str">
        <f>"FL"</f>
        <v>FL</v>
      </c>
      <c r="AH964" t="str">
        <f t="shared" ref="AH964:AH986" si="312">"-"</f>
        <v>-</v>
      </c>
      <c r="AI964" t="str">
        <f>"9000.00"</f>
        <v>9000.00</v>
      </c>
      <c r="AJ964" t="str">
        <f>"C55-000-588-7150-0"</f>
        <v>C55-000-588-7150-0</v>
      </c>
      <c r="AK964" t="str">
        <f>"15026"</f>
        <v>15026</v>
      </c>
      <c r="AL964">
        <v>4</v>
      </c>
      <c r="AM964">
        <v>1111</v>
      </c>
      <c r="AN964">
        <v>179.35</v>
      </c>
      <c r="AQ964" t="s">
        <v>9921</v>
      </c>
      <c r="AR964" t="s">
        <v>9921</v>
      </c>
      <c r="AS964" t="s">
        <v>9921</v>
      </c>
      <c r="AU964" t="s">
        <v>396</v>
      </c>
      <c r="AV964">
        <v>2017</v>
      </c>
      <c r="AW964" t="str">
        <f>"51-2N-25-4170-0006-0000 "</f>
        <v xml:space="preserve">51-2N-25-4170-0006-0000 </v>
      </c>
      <c r="AX964">
        <v>450145</v>
      </c>
      <c r="AZ964" t="s">
        <v>8071</v>
      </c>
      <c r="BD964" t="s">
        <v>2785</v>
      </c>
      <c r="BE964" t="s">
        <v>393</v>
      </c>
      <c r="BF964">
        <v>32011</v>
      </c>
      <c r="BG964" t="s">
        <v>9922</v>
      </c>
      <c r="BH964" t="s">
        <v>2787</v>
      </c>
      <c r="BI964">
        <v>-81.823193094301004</v>
      </c>
      <c r="BJ964">
        <v>30.571804382377099</v>
      </c>
      <c r="BK964" t="s">
        <v>9923</v>
      </c>
      <c r="BM964" t="s">
        <v>9924</v>
      </c>
      <c r="BN964" t="s">
        <v>928</v>
      </c>
      <c r="BO964">
        <v>32011</v>
      </c>
      <c r="BP964" t="s">
        <v>404</v>
      </c>
      <c r="BQ964">
        <v>0</v>
      </c>
      <c r="BR964" t="s">
        <v>491</v>
      </c>
      <c r="BS964">
        <v>8001</v>
      </c>
      <c r="BT964" t="s">
        <v>492</v>
      </c>
      <c r="BW964">
        <v>15000</v>
      </c>
      <c r="BX964" t="s">
        <v>407</v>
      </c>
      <c r="BY964" t="s">
        <v>4360</v>
      </c>
      <c r="CB964">
        <v>1</v>
      </c>
      <c r="CD964">
        <v>2017</v>
      </c>
      <c r="CE964">
        <v>9000</v>
      </c>
      <c r="CG964">
        <v>9000</v>
      </c>
      <c r="CH964">
        <v>2017</v>
      </c>
      <c r="CI964">
        <v>9000</v>
      </c>
      <c r="CK964">
        <v>9000</v>
      </c>
      <c r="CL964">
        <v>2017</v>
      </c>
      <c r="CM964">
        <v>136.24</v>
      </c>
      <c r="CN964" s="1">
        <v>41124</v>
      </c>
      <c r="CO964">
        <v>11000</v>
      </c>
      <c r="CV964">
        <v>0</v>
      </c>
      <c r="CZ964" s="1">
        <v>41124</v>
      </c>
      <c r="DA964">
        <v>0</v>
      </c>
      <c r="DD964" t="s">
        <v>2785</v>
      </c>
      <c r="DG964">
        <v>51</v>
      </c>
      <c r="DL964">
        <v>50503</v>
      </c>
      <c r="DM964" t="s">
        <v>9755</v>
      </c>
      <c r="DO964" t="s">
        <v>9925</v>
      </c>
      <c r="DP964">
        <v>0</v>
      </c>
      <c r="DQ964">
        <v>0</v>
      </c>
      <c r="DR964" t="s">
        <v>411</v>
      </c>
      <c r="EP964" t="s">
        <v>421</v>
      </c>
      <c r="EQ964" t="s">
        <v>422</v>
      </c>
      <c r="ER964">
        <v>0</v>
      </c>
      <c r="ES964">
        <v>2</v>
      </c>
      <c r="ET964">
        <v>0</v>
      </c>
      <c r="EU964">
        <v>0</v>
      </c>
      <c r="EV964">
        <v>0</v>
      </c>
      <c r="EW964" s="2">
        <v>43222</v>
      </c>
      <c r="EX964" s="1">
        <v>42879</v>
      </c>
      <c r="EY964">
        <v>2016</v>
      </c>
      <c r="EZ964">
        <v>176.4</v>
      </c>
      <c r="FA964" t="s">
        <v>9926</v>
      </c>
      <c r="FB964">
        <v>16.25</v>
      </c>
      <c r="FC964" t="s">
        <v>424</v>
      </c>
      <c r="FD964" t="s">
        <v>425</v>
      </c>
      <c r="FE964" s="1">
        <v>42898</v>
      </c>
      <c r="FF964">
        <v>1</v>
      </c>
      <c r="FG964">
        <v>10021</v>
      </c>
      <c r="FH964" t="s">
        <v>597</v>
      </c>
      <c r="FJ964" s="1">
        <v>41787</v>
      </c>
      <c r="FK964">
        <v>2013</v>
      </c>
      <c r="FL964">
        <v>414.27</v>
      </c>
      <c r="FM964" t="s">
        <v>9927</v>
      </c>
      <c r="FN964">
        <v>2.25</v>
      </c>
      <c r="FO964" t="s">
        <v>424</v>
      </c>
      <c r="FP964" t="s">
        <v>425</v>
      </c>
      <c r="FQ964" s="1">
        <v>41803</v>
      </c>
      <c r="FR964">
        <v>1</v>
      </c>
      <c r="FS964">
        <v>15399</v>
      </c>
      <c r="FT964" t="s">
        <v>485</v>
      </c>
    </row>
    <row r="965" spans="1:308" x14ac:dyDescent="0.25">
      <c r="A965">
        <v>16485972</v>
      </c>
      <c r="B965">
        <v>964</v>
      </c>
      <c r="C965" t="s">
        <v>393</v>
      </c>
      <c r="D965" t="s">
        <v>394</v>
      </c>
      <c r="F965" t="str">
        <f>"51-2N-25-4170-0008-0000"</f>
        <v>51-2N-25-4170-0008-0000</v>
      </c>
      <c r="H965" t="str">
        <f>"PATRICK ADRIAN LEE III"</f>
        <v>PATRICK ADRIAN LEE III</v>
      </c>
      <c r="I965" t="str">
        <f>"PO BOX 813"</f>
        <v>PO BOX 813</v>
      </c>
      <c r="J965" t="str">
        <f>"CALLAHAN FL 32011"</f>
        <v>CALLAHAN FL 32011</v>
      </c>
      <c r="K965" t="str">
        <f>"5185 SR 200"</f>
        <v>5185 SR 200</v>
      </c>
      <c r="L965" t="str">
        <f t="shared" si="291"/>
        <v>CALLAHAN FL 32011</v>
      </c>
      <c r="M965" t="str">
        <f>"LOT 8 PT OR 1838/1805 EX R/W CASE 01-417-CA J P PAGE SUB PB 3/20"</f>
        <v>LOT 8 PT OR 1838/1805 EX R/W CASE 01-417-CA J P PAGE SUB PB 3/20</v>
      </c>
      <c r="N965" t="str">
        <f>""</f>
        <v/>
      </c>
      <c r="O965" t="str">
        <f>"54813"</f>
        <v>54813</v>
      </c>
      <c r="P965" t="str">
        <f t="shared" si="310"/>
        <v>2017</v>
      </c>
      <c r="Q965" t="str">
        <f>""</f>
        <v/>
      </c>
      <c r="R965" t="str">
        <f t="shared" si="308"/>
        <v>N</v>
      </c>
      <c r="S965" t="str">
        <f>""</f>
        <v/>
      </c>
      <c r="T965" t="str">
        <f>"90.83"</f>
        <v>90.83</v>
      </c>
      <c r="U965" t="str">
        <f>"6000.00"</f>
        <v>6000.00</v>
      </c>
      <c r="V965" t="str">
        <f>"6000.00"</f>
        <v>6000.00</v>
      </c>
      <c r="W965" t="str">
        <f t="shared" si="311"/>
        <v>2017</v>
      </c>
      <c r="X965" t="str">
        <f>"5.00"</f>
        <v>5.00</v>
      </c>
      <c r="Y965" t="str">
        <f>"125.55"</f>
        <v>125.55</v>
      </c>
      <c r="Z965" t="str">
        <f>""</f>
        <v/>
      </c>
      <c r="AA965" t="str">
        <f>"6000.00"</f>
        <v>6000.00</v>
      </c>
      <c r="AB965" t="str">
        <f t="shared" si="307"/>
        <v>Residential</v>
      </c>
      <c r="AC965" t="str">
        <f t="shared" si="295"/>
        <v>0</v>
      </c>
      <c r="AD965" t="str">
        <f>""</f>
        <v/>
      </c>
      <c r="AE965" t="str">
        <f>""</f>
        <v/>
      </c>
      <c r="AF965" t="str">
        <f t="shared" si="309"/>
        <v>000</v>
      </c>
      <c r="AG965" t="str">
        <f>"FL"</f>
        <v>FL</v>
      </c>
      <c r="AH965" t="str">
        <f t="shared" si="312"/>
        <v>-</v>
      </c>
      <c r="AI965" t="str">
        <f>"6000.00"</f>
        <v>6000.00</v>
      </c>
      <c r="AJ965" t="str">
        <f>"C55-000-588-7151-8"</f>
        <v>C55-000-588-7151-8</v>
      </c>
      <c r="AK965" t="str">
        <f>"15027"</f>
        <v>15027</v>
      </c>
      <c r="AL965">
        <v>4</v>
      </c>
      <c r="AM965">
        <v>1112</v>
      </c>
      <c r="AN965">
        <v>130.22999999999999</v>
      </c>
      <c r="AQ965" t="s">
        <v>9928</v>
      </c>
      <c r="AR965" t="s">
        <v>9928</v>
      </c>
      <c r="AS965" t="s">
        <v>9928</v>
      </c>
      <c r="AU965" t="s">
        <v>396</v>
      </c>
      <c r="AV965">
        <v>2017</v>
      </c>
      <c r="AW965" t="str">
        <f>"51-2N-25-4170-0008-0000 "</f>
        <v xml:space="preserve">51-2N-25-4170-0008-0000 </v>
      </c>
      <c r="AX965">
        <v>5185</v>
      </c>
      <c r="AZ965" t="s">
        <v>8071</v>
      </c>
      <c r="BD965" t="s">
        <v>2785</v>
      </c>
      <c r="BE965" t="s">
        <v>393</v>
      </c>
      <c r="BF965">
        <v>32011</v>
      </c>
      <c r="BG965" t="s">
        <v>9929</v>
      </c>
      <c r="BH965" t="s">
        <v>2787</v>
      </c>
      <c r="BI965">
        <v>-81.823533172732098</v>
      </c>
      <c r="BJ965">
        <v>30.5714610934088</v>
      </c>
      <c r="BK965" t="s">
        <v>9923</v>
      </c>
      <c r="BM965" t="s">
        <v>9924</v>
      </c>
      <c r="BN965" t="s">
        <v>928</v>
      </c>
      <c r="BO965">
        <v>32011</v>
      </c>
      <c r="BP965" t="s">
        <v>404</v>
      </c>
      <c r="BQ965">
        <v>0</v>
      </c>
      <c r="BR965" t="s">
        <v>491</v>
      </c>
      <c r="BS965">
        <v>8001</v>
      </c>
      <c r="BT965" t="s">
        <v>492</v>
      </c>
      <c r="BW965">
        <v>5477</v>
      </c>
      <c r="BX965" t="s">
        <v>407</v>
      </c>
      <c r="BY965" t="s">
        <v>5128</v>
      </c>
      <c r="CD965">
        <v>2017</v>
      </c>
      <c r="CE965">
        <v>6000</v>
      </c>
      <c r="CG965">
        <v>6000</v>
      </c>
      <c r="CH965">
        <v>2017</v>
      </c>
      <c r="CI965">
        <v>6000</v>
      </c>
      <c r="CK965">
        <v>6000</v>
      </c>
      <c r="CL965">
        <v>2017</v>
      </c>
      <c r="CM965">
        <v>90.83</v>
      </c>
      <c r="CN965" s="1">
        <v>40465</v>
      </c>
      <c r="CO965">
        <v>55000</v>
      </c>
      <c r="CV965">
        <v>0</v>
      </c>
      <c r="CZ965" s="1">
        <v>40465</v>
      </c>
      <c r="DA965">
        <v>0</v>
      </c>
      <c r="DD965" t="s">
        <v>2785</v>
      </c>
      <c r="DF965">
        <v>8</v>
      </c>
      <c r="DG965">
        <v>51</v>
      </c>
      <c r="DL965">
        <v>50503</v>
      </c>
      <c r="DM965" t="s">
        <v>9755</v>
      </c>
      <c r="DO965" t="s">
        <v>9930</v>
      </c>
      <c r="DP965">
        <v>0</v>
      </c>
      <c r="DQ965">
        <v>0</v>
      </c>
      <c r="DR965" t="s">
        <v>411</v>
      </c>
      <c r="EP965" t="s">
        <v>421</v>
      </c>
      <c r="EQ965" t="s">
        <v>422</v>
      </c>
      <c r="ER965">
        <v>0</v>
      </c>
      <c r="ES965">
        <v>2</v>
      </c>
      <c r="ET965">
        <v>0</v>
      </c>
      <c r="EU965">
        <v>0</v>
      </c>
      <c r="EV965">
        <v>0</v>
      </c>
      <c r="EW965" s="2">
        <v>43222</v>
      </c>
      <c r="EX965" s="1">
        <v>42879</v>
      </c>
      <c r="EY965">
        <v>2016</v>
      </c>
      <c r="EZ965">
        <v>126.61</v>
      </c>
      <c r="FA965" t="s">
        <v>9931</v>
      </c>
      <c r="FB965">
        <v>16.25</v>
      </c>
      <c r="FC965" t="s">
        <v>424</v>
      </c>
      <c r="FD965" t="s">
        <v>425</v>
      </c>
      <c r="FE965" s="1">
        <v>42898</v>
      </c>
      <c r="FF965">
        <v>1</v>
      </c>
      <c r="FG965">
        <v>10021</v>
      </c>
      <c r="FH965" t="s">
        <v>597</v>
      </c>
      <c r="FJ965" s="1">
        <v>41787</v>
      </c>
      <c r="FK965">
        <v>2013</v>
      </c>
      <c r="FL965">
        <v>119.07</v>
      </c>
      <c r="FM965" t="s">
        <v>9932</v>
      </c>
      <c r="FN965">
        <v>6.75</v>
      </c>
      <c r="FO965" t="s">
        <v>424</v>
      </c>
      <c r="FP965" t="s">
        <v>425</v>
      </c>
      <c r="FQ965" s="1">
        <v>42038</v>
      </c>
      <c r="FR965">
        <v>9</v>
      </c>
      <c r="FS965">
        <v>2035919</v>
      </c>
      <c r="FT965" t="s">
        <v>507</v>
      </c>
    </row>
    <row r="966" spans="1:308" x14ac:dyDescent="0.25">
      <c r="A966">
        <v>16485973</v>
      </c>
      <c r="B966">
        <v>965</v>
      </c>
      <c r="C966" t="s">
        <v>393</v>
      </c>
      <c r="D966" t="s">
        <v>394</v>
      </c>
      <c r="F966" t="str">
        <f>"51-2N-25-4170-0009-0000"</f>
        <v>51-2N-25-4170-0009-0000</v>
      </c>
      <c r="H966" t="str">
        <f>"HOWELL MYRA GAIL"</f>
        <v>HOWELL MYRA GAIL</v>
      </c>
      <c r="I966" t="str">
        <f>"1459 STATE ROUTE 46 S"</f>
        <v>1459 STATE ROUTE 46 S</v>
      </c>
      <c r="J966" t="str">
        <f>"JEFFERSON OH 44047"</f>
        <v>JEFFERSON OH 44047</v>
      </c>
      <c r="K966" t="str">
        <f>"450135 SR 200"</f>
        <v>450135 SR 200</v>
      </c>
      <c r="L966" t="str">
        <f t="shared" si="291"/>
        <v>CALLAHAN FL 32011</v>
      </c>
      <c r="M966" t="str">
        <f>"LOT 9 (EX R/W OR 909/1233) PT OR 237/539 &amp; OR 443/539 J P PAGE SUB PB 3/20"</f>
        <v>LOT 9 (EX R/W OR 909/1233) PT OR 237/539 &amp; OR 443/539 J P PAGE SUB PB 3/20</v>
      </c>
      <c r="N966" t="str">
        <f>""</f>
        <v/>
      </c>
      <c r="O966" t="str">
        <f>"54814"</f>
        <v>54814</v>
      </c>
      <c r="P966" t="str">
        <f t="shared" si="310"/>
        <v>2017</v>
      </c>
      <c r="Q966" t="str">
        <f>""</f>
        <v/>
      </c>
      <c r="R966" t="str">
        <f t="shared" si="308"/>
        <v>N</v>
      </c>
      <c r="S966" t="str">
        <f>""</f>
        <v/>
      </c>
      <c r="T966" t="str">
        <f>"210.43"</f>
        <v>210.43</v>
      </c>
      <c r="U966" t="str">
        <f>"13900.00"</f>
        <v>13900.00</v>
      </c>
      <c r="V966" t="str">
        <f>"13900.00"</f>
        <v>13900.00</v>
      </c>
      <c r="W966" t="str">
        <f t="shared" si="311"/>
        <v>2017</v>
      </c>
      <c r="X966" t="str">
        <f>"29.31"</f>
        <v>29.31</v>
      </c>
      <c r="Y966" t="str">
        <f>"248.74"</f>
        <v>248.74</v>
      </c>
      <c r="Z966" t="str">
        <f>""</f>
        <v/>
      </c>
      <c r="AA966" t="str">
        <f>"13900.00"</f>
        <v>13900.00</v>
      </c>
      <c r="AB966" t="str">
        <f t="shared" si="307"/>
        <v>Residential</v>
      </c>
      <c r="AC966" t="str">
        <f t="shared" si="295"/>
        <v>0</v>
      </c>
      <c r="AD966" t="str">
        <f t="shared" ref="AD966:AD971" si="313">"4"</f>
        <v>4</v>
      </c>
      <c r="AE966" t="str">
        <f t="shared" ref="AE966:AE971" si="314">"WOOD (INCLUDE STEEL STUDS)"</f>
        <v>WOOD (INCLUDE STEEL STUDS)</v>
      </c>
      <c r="AF966" t="str">
        <f>"002"</f>
        <v>002</v>
      </c>
      <c r="AG966" t="str">
        <f>"OH"</f>
        <v>OH</v>
      </c>
      <c r="AH966" t="str">
        <f t="shared" si="312"/>
        <v>-</v>
      </c>
      <c r="AI966" t="str">
        <f>"6000.00"</f>
        <v>6000.00</v>
      </c>
      <c r="AJ966" t="str">
        <f>"C55-000-588-7152-6"</f>
        <v>C55-000-588-7152-6</v>
      </c>
      <c r="AK966" t="str">
        <f>"15028"</f>
        <v>15028</v>
      </c>
      <c r="AL966">
        <v>4</v>
      </c>
      <c r="AM966">
        <v>1113</v>
      </c>
      <c r="AN966">
        <v>259.58</v>
      </c>
      <c r="AQ966" t="s">
        <v>9933</v>
      </c>
      <c r="AR966" t="s">
        <v>9933</v>
      </c>
      <c r="AS966" t="s">
        <v>9933</v>
      </c>
      <c r="AU966" t="s">
        <v>396</v>
      </c>
      <c r="AV966">
        <v>2017</v>
      </c>
      <c r="AW966" t="str">
        <f>"51-2N-25-4170-0009-0000 "</f>
        <v xml:space="preserve">51-2N-25-4170-0009-0000 </v>
      </c>
      <c r="AX966">
        <v>450135</v>
      </c>
      <c r="AZ966" t="s">
        <v>8071</v>
      </c>
      <c r="BD966" t="s">
        <v>2785</v>
      </c>
      <c r="BE966" t="s">
        <v>393</v>
      </c>
      <c r="BF966">
        <v>32011</v>
      </c>
      <c r="BG966" t="s">
        <v>9934</v>
      </c>
      <c r="BH966" t="s">
        <v>2787</v>
      </c>
      <c r="BI966">
        <v>-81.823636628994606</v>
      </c>
      <c r="BJ966">
        <v>30.571276113350699</v>
      </c>
      <c r="BK966" t="s">
        <v>9935</v>
      </c>
      <c r="BM966" t="s">
        <v>9936</v>
      </c>
      <c r="BN966" t="s">
        <v>9937</v>
      </c>
      <c r="BO966">
        <v>44047</v>
      </c>
      <c r="BP966" t="s">
        <v>404</v>
      </c>
      <c r="BQ966">
        <v>200</v>
      </c>
      <c r="BR966" t="s">
        <v>405</v>
      </c>
      <c r="BS966">
        <v>1006</v>
      </c>
      <c r="BT966" t="s">
        <v>406</v>
      </c>
      <c r="BW966">
        <v>7499</v>
      </c>
      <c r="BX966" t="s">
        <v>407</v>
      </c>
      <c r="BY966" t="s">
        <v>4360</v>
      </c>
      <c r="BZ966">
        <v>4</v>
      </c>
      <c r="CA966">
        <v>1983</v>
      </c>
      <c r="CC966">
        <v>1</v>
      </c>
      <c r="CD966">
        <v>2017</v>
      </c>
      <c r="CE966">
        <v>6000</v>
      </c>
      <c r="CF966">
        <v>7900</v>
      </c>
      <c r="CG966">
        <v>13900</v>
      </c>
      <c r="CH966">
        <v>2017</v>
      </c>
      <c r="CI966">
        <v>6000</v>
      </c>
      <c r="CJ966">
        <v>7900</v>
      </c>
      <c r="CK966">
        <v>13900</v>
      </c>
      <c r="CL966">
        <v>2017</v>
      </c>
      <c r="CM966">
        <v>210.43</v>
      </c>
      <c r="CN966" s="1">
        <v>36494</v>
      </c>
      <c r="CO966">
        <v>1300</v>
      </c>
      <c r="CZ966" s="1">
        <v>36494</v>
      </c>
      <c r="DD966" t="s">
        <v>2785</v>
      </c>
      <c r="DF966">
        <v>9</v>
      </c>
      <c r="DG966">
        <v>51</v>
      </c>
      <c r="DL966">
        <v>50503</v>
      </c>
      <c r="DM966" t="s">
        <v>9755</v>
      </c>
      <c r="DO966" t="s">
        <v>9938</v>
      </c>
      <c r="DP966">
        <v>0</v>
      </c>
      <c r="DQ966">
        <v>1</v>
      </c>
      <c r="DR966" t="s">
        <v>411</v>
      </c>
      <c r="DS966" t="b">
        <v>1</v>
      </c>
      <c r="DT966" t="s">
        <v>470</v>
      </c>
      <c r="DU966" t="s">
        <v>471</v>
      </c>
      <c r="DV966" t="s">
        <v>472</v>
      </c>
      <c r="DX966">
        <v>-9999</v>
      </c>
      <c r="DZ966" t="s">
        <v>447</v>
      </c>
      <c r="EA966" t="s">
        <v>448</v>
      </c>
      <c r="EB966" t="s">
        <v>742</v>
      </c>
      <c r="EC966">
        <v>20101217</v>
      </c>
      <c r="ED966" t="s">
        <v>474</v>
      </c>
      <c r="EF966">
        <v>146.69999999999999</v>
      </c>
      <c r="EG966">
        <v>146.69999999999999</v>
      </c>
      <c r="EI966">
        <v>20160407</v>
      </c>
      <c r="EJ966">
        <v>0</v>
      </c>
      <c r="EK966">
        <v>0</v>
      </c>
      <c r="EP966" t="s">
        <v>595</v>
      </c>
      <c r="EQ966" t="s">
        <v>452</v>
      </c>
      <c r="ER966">
        <v>1</v>
      </c>
      <c r="ES966">
        <v>12</v>
      </c>
      <c r="ET966">
        <v>257.88</v>
      </c>
      <c r="EU966">
        <v>42.35</v>
      </c>
      <c r="EV966">
        <v>300.23</v>
      </c>
      <c r="EW966" s="2">
        <v>43222</v>
      </c>
      <c r="EX966" s="1">
        <v>42879</v>
      </c>
      <c r="EY966">
        <v>2016</v>
      </c>
      <c r="EZ966">
        <v>257.88</v>
      </c>
      <c r="FA966" t="s">
        <v>9939</v>
      </c>
      <c r="FB966">
        <v>14</v>
      </c>
      <c r="FC966" t="s">
        <v>424</v>
      </c>
      <c r="FD966" t="s">
        <v>454</v>
      </c>
      <c r="FF966">
        <v>12</v>
      </c>
      <c r="FG966">
        <v>10021</v>
      </c>
      <c r="FH966" t="s">
        <v>597</v>
      </c>
      <c r="FJ966" s="1">
        <v>42515</v>
      </c>
      <c r="FK966">
        <v>2015</v>
      </c>
      <c r="FL966">
        <v>247.68</v>
      </c>
      <c r="FM966" t="s">
        <v>9940</v>
      </c>
      <c r="FN966">
        <v>18</v>
      </c>
      <c r="FO966" t="s">
        <v>603</v>
      </c>
      <c r="FP966" t="s">
        <v>425</v>
      </c>
      <c r="FQ966" s="1">
        <v>42640</v>
      </c>
      <c r="FR966">
        <v>4</v>
      </c>
      <c r="FS966">
        <v>9999999</v>
      </c>
      <c r="FT966" t="s">
        <v>604</v>
      </c>
      <c r="FU966" t="s">
        <v>458</v>
      </c>
      <c r="FV966" s="1">
        <v>42151</v>
      </c>
      <c r="FW966">
        <v>2014</v>
      </c>
      <c r="FX966">
        <v>219.82</v>
      </c>
      <c r="FY966" t="s">
        <v>9941</v>
      </c>
      <c r="FZ966">
        <v>18</v>
      </c>
      <c r="GA966" t="s">
        <v>424</v>
      </c>
      <c r="GB966" t="s">
        <v>425</v>
      </c>
      <c r="GC966" s="1">
        <v>42640</v>
      </c>
      <c r="GD966">
        <v>16</v>
      </c>
      <c r="GE966">
        <v>10125</v>
      </c>
      <c r="GF966" t="s">
        <v>440</v>
      </c>
      <c r="GG966" t="s">
        <v>458</v>
      </c>
      <c r="GH966" s="1">
        <v>41787</v>
      </c>
      <c r="GI966">
        <v>2013</v>
      </c>
      <c r="GJ966">
        <v>266.70999999999998</v>
      </c>
      <c r="GK966" t="s">
        <v>9942</v>
      </c>
      <c r="GL966">
        <v>2.25</v>
      </c>
      <c r="GM966" t="s">
        <v>424</v>
      </c>
      <c r="GN966" t="s">
        <v>425</v>
      </c>
      <c r="GP966">
        <v>22</v>
      </c>
      <c r="GQ966">
        <v>15399</v>
      </c>
      <c r="GR966" t="s">
        <v>485</v>
      </c>
      <c r="GS966" t="s">
        <v>458</v>
      </c>
      <c r="GT966" s="1">
        <v>41787</v>
      </c>
      <c r="GU966">
        <v>2013</v>
      </c>
      <c r="GV966">
        <v>266.70999999999998</v>
      </c>
      <c r="GW966" t="s">
        <v>9942</v>
      </c>
      <c r="GX966">
        <v>2.25</v>
      </c>
      <c r="GY966" t="s">
        <v>424</v>
      </c>
      <c r="GZ966" t="s">
        <v>425</v>
      </c>
      <c r="HB966">
        <v>22</v>
      </c>
      <c r="HC966">
        <v>7336692</v>
      </c>
      <c r="HD966" t="s">
        <v>822</v>
      </c>
      <c r="HE966" t="s">
        <v>458</v>
      </c>
      <c r="HF966" s="1">
        <v>41787</v>
      </c>
      <c r="HG966">
        <v>2013</v>
      </c>
      <c r="HH966">
        <v>266.70999999999998</v>
      </c>
      <c r="HI966" t="s">
        <v>9942</v>
      </c>
      <c r="HJ966">
        <v>2.25</v>
      </c>
      <c r="HK966" t="s">
        <v>424</v>
      </c>
      <c r="HL966" t="s">
        <v>425</v>
      </c>
      <c r="HN966">
        <v>22</v>
      </c>
      <c r="HO966">
        <v>7336698</v>
      </c>
      <c r="HP966" t="s">
        <v>823</v>
      </c>
      <c r="HQ966" t="s">
        <v>458</v>
      </c>
      <c r="HR966" s="1">
        <v>41423</v>
      </c>
      <c r="HS966">
        <v>2012</v>
      </c>
      <c r="HT966">
        <v>283.66000000000003</v>
      </c>
      <c r="HU966" t="s">
        <v>9943</v>
      </c>
      <c r="HV966">
        <v>4.5</v>
      </c>
      <c r="HW966" t="s">
        <v>424</v>
      </c>
      <c r="HX966" t="s">
        <v>425</v>
      </c>
      <c r="HZ966">
        <v>22</v>
      </c>
      <c r="IA966">
        <v>15399</v>
      </c>
      <c r="IB966" t="s">
        <v>485</v>
      </c>
      <c r="IC966" t="s">
        <v>458</v>
      </c>
      <c r="ID966" s="1">
        <v>41423</v>
      </c>
      <c r="IE966">
        <v>2012</v>
      </c>
      <c r="IF966">
        <v>283.66000000000003</v>
      </c>
      <c r="IG966" t="s">
        <v>9943</v>
      </c>
      <c r="IH966">
        <v>4.5</v>
      </c>
      <c r="II966" t="s">
        <v>424</v>
      </c>
      <c r="IJ966" t="s">
        <v>425</v>
      </c>
      <c r="IL966">
        <v>22</v>
      </c>
      <c r="IM966">
        <v>13027</v>
      </c>
      <c r="IN966" t="s">
        <v>826</v>
      </c>
      <c r="IO966" t="s">
        <v>458</v>
      </c>
      <c r="IP966" s="1">
        <v>41423</v>
      </c>
      <c r="IQ966">
        <v>2012</v>
      </c>
      <c r="IR966">
        <v>283.66000000000003</v>
      </c>
      <c r="IS966" t="s">
        <v>9943</v>
      </c>
      <c r="IT966">
        <v>4.5</v>
      </c>
      <c r="IU966" t="s">
        <v>424</v>
      </c>
      <c r="IV966" t="s">
        <v>425</v>
      </c>
      <c r="IX966">
        <v>22</v>
      </c>
      <c r="IY966">
        <v>7336692</v>
      </c>
      <c r="IZ966" t="s">
        <v>822</v>
      </c>
      <c r="JA966" t="s">
        <v>458</v>
      </c>
      <c r="JB966" s="1">
        <v>41423</v>
      </c>
      <c r="JC966">
        <v>2012</v>
      </c>
      <c r="JD966">
        <v>283.66000000000003</v>
      </c>
      <c r="JE966" t="s">
        <v>9943</v>
      </c>
      <c r="JF966">
        <v>4.5</v>
      </c>
      <c r="JG966" t="s">
        <v>424</v>
      </c>
      <c r="JH966" t="s">
        <v>425</v>
      </c>
      <c r="JJ966">
        <v>22</v>
      </c>
      <c r="JK966">
        <v>7336698</v>
      </c>
      <c r="JL966" t="s">
        <v>823</v>
      </c>
      <c r="JM966" t="s">
        <v>458</v>
      </c>
      <c r="JN966" s="1">
        <v>41052</v>
      </c>
      <c r="JO966">
        <v>2011</v>
      </c>
      <c r="JP966">
        <v>322.31</v>
      </c>
      <c r="JQ966" t="s">
        <v>9944</v>
      </c>
      <c r="JR966">
        <v>5.75</v>
      </c>
      <c r="JS966" t="s">
        <v>424</v>
      </c>
      <c r="JT966" t="s">
        <v>425</v>
      </c>
      <c r="JU966" s="1">
        <v>41729</v>
      </c>
      <c r="JV966">
        <v>22</v>
      </c>
      <c r="JW966">
        <v>62</v>
      </c>
      <c r="JX966" t="s">
        <v>463</v>
      </c>
      <c r="JZ966" s="1">
        <v>40688</v>
      </c>
      <c r="KA966">
        <v>2010</v>
      </c>
      <c r="KB966">
        <v>332.32</v>
      </c>
      <c r="KC966" t="s">
        <v>9945</v>
      </c>
      <c r="KD966">
        <v>8</v>
      </c>
      <c r="KE966" t="s">
        <v>424</v>
      </c>
      <c r="KF966" t="s">
        <v>425</v>
      </c>
      <c r="KG966" s="1">
        <v>41330</v>
      </c>
      <c r="KH966">
        <v>21</v>
      </c>
      <c r="KI966">
        <v>15175</v>
      </c>
      <c r="KJ966" t="s">
        <v>588</v>
      </c>
      <c r="KL966" s="1">
        <v>40688</v>
      </c>
      <c r="KM966">
        <v>2010</v>
      </c>
      <c r="KN966">
        <v>332.32</v>
      </c>
      <c r="KO966" t="s">
        <v>9945</v>
      </c>
      <c r="KP966">
        <v>8</v>
      </c>
      <c r="KQ966" t="s">
        <v>424</v>
      </c>
      <c r="KR966" t="s">
        <v>425</v>
      </c>
      <c r="KT966">
        <v>22</v>
      </c>
      <c r="KU966">
        <v>10548</v>
      </c>
      <c r="KV966" t="s">
        <v>589</v>
      </c>
    </row>
    <row r="967" spans="1:308" x14ac:dyDescent="0.25">
      <c r="A967">
        <v>16485974</v>
      </c>
      <c r="B967">
        <v>966</v>
      </c>
      <c r="C967" t="s">
        <v>393</v>
      </c>
      <c r="D967" t="s">
        <v>394</v>
      </c>
      <c r="F967" t="str">
        <f>"51-2N-25-4170-0019-0000"</f>
        <v>51-2N-25-4170-0019-0000</v>
      </c>
      <c r="H967" t="str">
        <f>"ONEAL LORIE"</f>
        <v>ONEAL LORIE</v>
      </c>
      <c r="I967" t="str">
        <f>"45040 JAMES ST"</f>
        <v>45040 JAMES ST</v>
      </c>
      <c r="J967" t="str">
        <f t="shared" ref="J967:J972" si="315">"CALLAHAN FL 32011"</f>
        <v>CALLAHAN FL 32011</v>
      </c>
      <c r="K967" t="str">
        <f>"45040 JAMES ST"</f>
        <v>45040 JAMES ST</v>
      </c>
      <c r="L967" t="str">
        <f t="shared" si="291"/>
        <v>CALLAHAN FL 32011</v>
      </c>
      <c r="M967" t="str">
        <f>"LOT 19 2002 FTWD TWMH IN OR 923/705 J P PAGE SUB PB 3/20"</f>
        <v>LOT 19 2002 FTWD TWMH IN OR 923/705 J P PAGE SUB PB 3/20</v>
      </c>
      <c r="N967" t="str">
        <f>""</f>
        <v/>
      </c>
      <c r="O967" t="str">
        <f>"54823"</f>
        <v>54823</v>
      </c>
      <c r="P967" t="str">
        <f t="shared" si="310"/>
        <v>2017</v>
      </c>
      <c r="Q967" t="str">
        <f>""</f>
        <v/>
      </c>
      <c r="R967" t="str">
        <f>"Y"</f>
        <v>Y</v>
      </c>
      <c r="S967" t="str">
        <f>""</f>
        <v/>
      </c>
      <c r="T967" t="str">
        <f>"399.38"</f>
        <v>399.38</v>
      </c>
      <c r="U967" t="str">
        <f>"53167.00"</f>
        <v>53167.00</v>
      </c>
      <c r="V967" t="str">
        <f>"53167.00"</f>
        <v>53167.00</v>
      </c>
      <c r="W967" t="str">
        <f t="shared" si="311"/>
        <v>2017</v>
      </c>
      <c r="X967" t="str">
        <f>"21.00"</f>
        <v>21.00</v>
      </c>
      <c r="Y967" t="str">
        <f>"443.36"</f>
        <v>443.36</v>
      </c>
      <c r="Z967" t="str">
        <f>"25000.00"</f>
        <v>25000.00</v>
      </c>
      <c r="AA967" t="str">
        <f>"28167.00"</f>
        <v>28167.00</v>
      </c>
      <c r="AB967" t="str">
        <f t="shared" si="307"/>
        <v>Residential</v>
      </c>
      <c r="AC967" t="str">
        <f t="shared" si="295"/>
        <v>0</v>
      </c>
      <c r="AD967" t="str">
        <f t="shared" si="313"/>
        <v>4</v>
      </c>
      <c r="AE967" t="str">
        <f t="shared" si="314"/>
        <v>WOOD (INCLUDE STEEL STUDS)</v>
      </c>
      <c r="AF967" t="str">
        <f>"002"</f>
        <v>002</v>
      </c>
      <c r="AG967" t="str">
        <f t="shared" ref="AG967:AG972" si="316">"FL"</f>
        <v>FL</v>
      </c>
      <c r="AH967" t="str">
        <f t="shared" si="312"/>
        <v>-</v>
      </c>
      <c r="AI967" t="str">
        <f t="shared" ref="AI967:AI973" si="317">"7500.00"</f>
        <v>7500.00</v>
      </c>
      <c r="AJ967" t="str">
        <f>"C55-000-588-7161-7"</f>
        <v>C55-000-588-7161-7</v>
      </c>
      <c r="AK967" t="str">
        <f>"15037"</f>
        <v>15037</v>
      </c>
      <c r="AL967">
        <v>4</v>
      </c>
      <c r="AM967">
        <v>1114</v>
      </c>
      <c r="AN967">
        <v>463.93</v>
      </c>
      <c r="AQ967" t="s">
        <v>9946</v>
      </c>
      <c r="AR967" t="s">
        <v>9946</v>
      </c>
      <c r="AS967" t="s">
        <v>9946</v>
      </c>
      <c r="AU967" t="s">
        <v>396</v>
      </c>
      <c r="AV967">
        <v>2017</v>
      </c>
      <c r="AW967" t="str">
        <f>"51-2N-25-4170-0019-0000 "</f>
        <v xml:space="preserve">51-2N-25-4170-0019-0000 </v>
      </c>
      <c r="AX967">
        <v>45040</v>
      </c>
      <c r="AZ967" t="s">
        <v>9947</v>
      </c>
      <c r="BA967" t="s">
        <v>1942</v>
      </c>
      <c r="BD967" t="s">
        <v>2785</v>
      </c>
      <c r="BE967" t="s">
        <v>393</v>
      </c>
      <c r="BF967">
        <v>32011</v>
      </c>
      <c r="BG967" t="s">
        <v>9948</v>
      </c>
      <c r="BH967" t="s">
        <v>2787</v>
      </c>
      <c r="BI967">
        <v>-81.824687385244005</v>
      </c>
      <c r="BJ967">
        <v>30.570492401252299</v>
      </c>
      <c r="BK967" t="s">
        <v>9949</v>
      </c>
      <c r="BM967" t="s">
        <v>9948</v>
      </c>
      <c r="BN967" t="s">
        <v>928</v>
      </c>
      <c r="BO967">
        <v>32011</v>
      </c>
      <c r="BP967" t="s">
        <v>416</v>
      </c>
      <c r="BQ967">
        <v>200</v>
      </c>
      <c r="BR967" t="s">
        <v>405</v>
      </c>
      <c r="BS967">
        <v>1006</v>
      </c>
      <c r="BT967" t="s">
        <v>406</v>
      </c>
      <c r="BW967">
        <v>7500</v>
      </c>
      <c r="BX967" t="s">
        <v>407</v>
      </c>
      <c r="BY967" t="s">
        <v>4360</v>
      </c>
      <c r="BZ967">
        <v>4</v>
      </c>
      <c r="CA967">
        <v>2002</v>
      </c>
      <c r="CB967">
        <v>1</v>
      </c>
      <c r="CC967">
        <v>1</v>
      </c>
      <c r="CD967">
        <v>2017</v>
      </c>
      <c r="CG967">
        <v>53167</v>
      </c>
      <c r="CH967">
        <v>2017</v>
      </c>
      <c r="CI967">
        <v>7500</v>
      </c>
      <c r="CJ967">
        <v>58372</v>
      </c>
      <c r="CK967">
        <v>65872</v>
      </c>
      <c r="CL967">
        <v>2017</v>
      </c>
      <c r="CM967">
        <v>399.38</v>
      </c>
      <c r="CN967" s="1">
        <v>36593</v>
      </c>
      <c r="CZ967" s="1">
        <v>36593</v>
      </c>
      <c r="DD967" t="s">
        <v>2785</v>
      </c>
      <c r="DF967">
        <v>19</v>
      </c>
      <c r="DG967">
        <v>51</v>
      </c>
      <c r="DJ967" t="s">
        <v>9950</v>
      </c>
      <c r="DL967">
        <v>50503</v>
      </c>
      <c r="DM967" t="s">
        <v>9755</v>
      </c>
      <c r="DO967" t="s">
        <v>9951</v>
      </c>
      <c r="DP967">
        <v>0</v>
      </c>
      <c r="DQ967">
        <v>1</v>
      </c>
      <c r="DR967" t="s">
        <v>1479</v>
      </c>
      <c r="DS967" t="b">
        <v>1</v>
      </c>
      <c r="DT967" t="s">
        <v>470</v>
      </c>
      <c r="DU967" t="s">
        <v>471</v>
      </c>
      <c r="DV967" t="s">
        <v>472</v>
      </c>
      <c r="DX967">
        <v>-9999</v>
      </c>
      <c r="DZ967" t="s">
        <v>447</v>
      </c>
      <c r="EA967" t="s">
        <v>448</v>
      </c>
      <c r="EB967" t="s">
        <v>742</v>
      </c>
      <c r="EC967">
        <v>20101217</v>
      </c>
      <c r="ED967" t="s">
        <v>474</v>
      </c>
      <c r="EF967">
        <v>459.6</v>
      </c>
      <c r="EG967">
        <v>459.6</v>
      </c>
      <c r="EI967">
        <v>20160407</v>
      </c>
      <c r="EJ967">
        <v>0</v>
      </c>
      <c r="EK967">
        <v>0</v>
      </c>
      <c r="EP967" t="s">
        <v>421</v>
      </c>
      <c r="EQ967" t="s">
        <v>422</v>
      </c>
      <c r="ER967">
        <v>2</v>
      </c>
      <c r="ES967">
        <v>8</v>
      </c>
      <c r="ET967">
        <v>914.58</v>
      </c>
      <c r="EU967">
        <v>58.23</v>
      </c>
      <c r="EV967">
        <v>972.81</v>
      </c>
      <c r="EW967" s="2">
        <v>43222</v>
      </c>
      <c r="EX967" s="1">
        <v>42879</v>
      </c>
      <c r="EY967">
        <v>2016</v>
      </c>
      <c r="EZ967">
        <v>457.29</v>
      </c>
      <c r="FA967" t="s">
        <v>9952</v>
      </c>
      <c r="FB967">
        <v>0.25</v>
      </c>
      <c r="FC967" t="s">
        <v>424</v>
      </c>
      <c r="FD967" t="s">
        <v>454</v>
      </c>
      <c r="FF967">
        <v>12</v>
      </c>
      <c r="FG967">
        <v>2851116</v>
      </c>
      <c r="FH967" t="s">
        <v>480</v>
      </c>
      <c r="FJ967" s="1">
        <v>42879</v>
      </c>
      <c r="FK967">
        <v>2016</v>
      </c>
      <c r="FL967">
        <v>457.29</v>
      </c>
      <c r="FM967" t="s">
        <v>9952</v>
      </c>
      <c r="FN967">
        <v>0.25</v>
      </c>
      <c r="FO967" t="s">
        <v>424</v>
      </c>
      <c r="FP967" t="s">
        <v>454</v>
      </c>
      <c r="FR967">
        <v>12</v>
      </c>
      <c r="FS967">
        <v>5331687</v>
      </c>
      <c r="FT967" t="s">
        <v>9953</v>
      </c>
      <c r="FV967" s="1">
        <v>42515</v>
      </c>
      <c r="FW967">
        <v>2015</v>
      </c>
      <c r="FX967">
        <v>496.87</v>
      </c>
      <c r="FY967" t="s">
        <v>9954</v>
      </c>
      <c r="FZ967">
        <v>0.25</v>
      </c>
      <c r="GA967" t="s">
        <v>424</v>
      </c>
      <c r="GB967" t="s">
        <v>425</v>
      </c>
      <c r="GC967" s="1">
        <v>43147</v>
      </c>
      <c r="GD967">
        <v>21</v>
      </c>
      <c r="GE967">
        <v>7336671</v>
      </c>
      <c r="GF967" t="s">
        <v>437</v>
      </c>
      <c r="GH967" s="1">
        <v>42515</v>
      </c>
      <c r="GI967">
        <v>2015</v>
      </c>
      <c r="GJ967">
        <v>496.87</v>
      </c>
      <c r="GK967" t="s">
        <v>9954</v>
      </c>
      <c r="GL967">
        <v>0.25</v>
      </c>
      <c r="GM967" t="s">
        <v>424</v>
      </c>
      <c r="GN967" t="s">
        <v>425</v>
      </c>
      <c r="GP967">
        <v>22</v>
      </c>
      <c r="GQ967">
        <v>6849756</v>
      </c>
      <c r="GR967" t="s">
        <v>9955</v>
      </c>
      <c r="GT967" s="1">
        <v>42151</v>
      </c>
      <c r="GU967">
        <v>2014</v>
      </c>
      <c r="GV967">
        <v>536.65</v>
      </c>
      <c r="GW967" t="s">
        <v>9956</v>
      </c>
      <c r="GX967">
        <v>0.25</v>
      </c>
      <c r="GY967" t="s">
        <v>424</v>
      </c>
      <c r="GZ967" t="s">
        <v>425</v>
      </c>
      <c r="HA967" s="1">
        <v>42794</v>
      </c>
      <c r="HB967">
        <v>21</v>
      </c>
      <c r="HC967">
        <v>2851116</v>
      </c>
      <c r="HD967" t="s">
        <v>480</v>
      </c>
      <c r="HF967" s="1">
        <v>42151</v>
      </c>
      <c r="HG967">
        <v>2014</v>
      </c>
      <c r="HH967">
        <v>536.65</v>
      </c>
      <c r="HI967" t="s">
        <v>9956</v>
      </c>
      <c r="HJ967">
        <v>0.25</v>
      </c>
      <c r="HK967" t="s">
        <v>424</v>
      </c>
      <c r="HL967" t="s">
        <v>425</v>
      </c>
      <c r="HN967">
        <v>22</v>
      </c>
      <c r="HO967">
        <v>5345110</v>
      </c>
      <c r="HP967" t="s">
        <v>9957</v>
      </c>
      <c r="HR967" s="1">
        <v>41787</v>
      </c>
      <c r="HS967">
        <v>2013</v>
      </c>
      <c r="HT967">
        <v>534.41999999999996</v>
      </c>
      <c r="HU967" t="s">
        <v>9958</v>
      </c>
      <c r="HV967">
        <v>0.25</v>
      </c>
      <c r="HW967" t="s">
        <v>424</v>
      </c>
      <c r="HX967" t="s">
        <v>425</v>
      </c>
      <c r="HY967" s="1">
        <v>42429</v>
      </c>
      <c r="HZ967">
        <v>21</v>
      </c>
      <c r="IA967">
        <v>2407503</v>
      </c>
      <c r="IB967" t="s">
        <v>461</v>
      </c>
      <c r="ID967" s="1">
        <v>41423</v>
      </c>
      <c r="IE967">
        <v>2012</v>
      </c>
      <c r="IF967">
        <v>537.54999999999995</v>
      </c>
      <c r="IG967" t="s">
        <v>9959</v>
      </c>
      <c r="IH967">
        <v>2.75</v>
      </c>
      <c r="II967" t="s">
        <v>424</v>
      </c>
      <c r="IJ967" t="s">
        <v>425</v>
      </c>
      <c r="IK967" s="1">
        <v>42052</v>
      </c>
      <c r="IL967">
        <v>21</v>
      </c>
      <c r="IM967">
        <v>15399</v>
      </c>
      <c r="IN967" t="s">
        <v>485</v>
      </c>
      <c r="IP967" s="1">
        <v>41052</v>
      </c>
      <c r="IQ967">
        <v>2011</v>
      </c>
      <c r="IR967">
        <v>905.5</v>
      </c>
      <c r="IS967" t="s">
        <v>9960</v>
      </c>
      <c r="IT967">
        <v>6</v>
      </c>
      <c r="IU967" t="s">
        <v>424</v>
      </c>
      <c r="IV967" t="s">
        <v>425</v>
      </c>
      <c r="IW967" s="1">
        <v>41695</v>
      </c>
      <c r="IX967">
        <v>21</v>
      </c>
      <c r="IY967">
        <v>1109</v>
      </c>
      <c r="IZ967" t="s">
        <v>852</v>
      </c>
      <c r="JB967" s="1">
        <v>40688</v>
      </c>
      <c r="JC967">
        <v>2010</v>
      </c>
      <c r="JD967">
        <v>903.96</v>
      </c>
      <c r="JE967" t="s">
        <v>9961</v>
      </c>
      <c r="JF967">
        <v>7.75</v>
      </c>
      <c r="JG967" t="s">
        <v>424</v>
      </c>
      <c r="JH967" t="s">
        <v>425</v>
      </c>
      <c r="JI967" s="1">
        <v>41330</v>
      </c>
      <c r="JJ967">
        <v>21</v>
      </c>
      <c r="JK967">
        <v>305</v>
      </c>
      <c r="JL967" t="s">
        <v>1078</v>
      </c>
    </row>
    <row r="968" spans="1:308" x14ac:dyDescent="0.25">
      <c r="A968">
        <v>16485975</v>
      </c>
      <c r="B968">
        <v>967</v>
      </c>
      <c r="C968" t="s">
        <v>393</v>
      </c>
      <c r="D968" t="s">
        <v>394</v>
      </c>
      <c r="F968" t="str">
        <f>"51-2N-25-4170-0025-0000"</f>
        <v>51-2N-25-4170-0025-0000</v>
      </c>
      <c r="H968" t="str">
        <f>"PATRICK ADRIAN LEE III"</f>
        <v>PATRICK ADRIAN LEE III</v>
      </c>
      <c r="I968" t="str">
        <f>"PO BOX 813"</f>
        <v>PO BOX 813</v>
      </c>
      <c r="J968" t="str">
        <f t="shared" si="315"/>
        <v>CALLAHAN FL 32011</v>
      </c>
      <c r="K968" t="str">
        <f>"45039 EVELYN ST"</f>
        <v>45039 EVELYN ST</v>
      </c>
      <c r="L968" t="str">
        <f t="shared" si="291"/>
        <v>CALLAHAN FL 32011</v>
      </c>
      <c r="M968" t="str">
        <f>"LOT 25 R567520 PT OR 1838/1805 J P PAGE SUB PB 3/20"</f>
        <v>LOT 25 R567520 PT OR 1838/1805 J P PAGE SUB PB 3/20</v>
      </c>
      <c r="N968" t="str">
        <f>""</f>
        <v/>
      </c>
      <c r="O968" t="str">
        <f>"54827"</f>
        <v>54827</v>
      </c>
      <c r="P968" t="str">
        <f t="shared" si="310"/>
        <v>2017</v>
      </c>
      <c r="Q968" t="str">
        <f>""</f>
        <v/>
      </c>
      <c r="R968" t="str">
        <f>"N"</f>
        <v>N</v>
      </c>
      <c r="S968" t="str">
        <f>""</f>
        <v/>
      </c>
      <c r="T968" t="str">
        <f>"427.62"</f>
        <v>427.62</v>
      </c>
      <c r="U968" t="str">
        <f>"28247.00"</f>
        <v>28247.00</v>
      </c>
      <c r="V968" t="str">
        <f>"28247.00"</f>
        <v>28247.00</v>
      </c>
      <c r="W968" t="str">
        <f t="shared" si="311"/>
        <v>2017</v>
      </c>
      <c r="X968" t="str">
        <f>"1.00"</f>
        <v>1.00</v>
      </c>
      <c r="Y968" t="str">
        <f>"472.45"</f>
        <v>472.45</v>
      </c>
      <c r="Z968" t="str">
        <f>""</f>
        <v/>
      </c>
      <c r="AA968" t="str">
        <f>"28247.00"</f>
        <v>28247.00</v>
      </c>
      <c r="AB968" t="str">
        <f t="shared" si="307"/>
        <v>Residential</v>
      </c>
      <c r="AC968" t="str">
        <f t="shared" si="295"/>
        <v>0</v>
      </c>
      <c r="AD968" t="str">
        <f t="shared" si="313"/>
        <v>4</v>
      </c>
      <c r="AE968" t="str">
        <f t="shared" si="314"/>
        <v>WOOD (INCLUDE STEEL STUDS)</v>
      </c>
      <c r="AF968" t="str">
        <f>"002"</f>
        <v>002</v>
      </c>
      <c r="AG968" t="str">
        <f t="shared" si="316"/>
        <v>FL</v>
      </c>
      <c r="AH968" t="str">
        <f t="shared" si="312"/>
        <v>-</v>
      </c>
      <c r="AI968" t="str">
        <f t="shared" si="317"/>
        <v>7500.00</v>
      </c>
      <c r="AJ968" t="str">
        <f>"C55-000-588-7165-8"</f>
        <v>C55-000-588-7165-8</v>
      </c>
      <c r="AK968" t="str">
        <f>"15041"</f>
        <v>15041</v>
      </c>
      <c r="AL968">
        <v>4</v>
      </c>
      <c r="AM968">
        <v>1115</v>
      </c>
      <c r="AN968">
        <v>494.47</v>
      </c>
      <c r="AQ968" t="s">
        <v>9962</v>
      </c>
      <c r="AR968" t="s">
        <v>9962</v>
      </c>
      <c r="AS968" t="s">
        <v>9962</v>
      </c>
      <c r="AU968" t="s">
        <v>396</v>
      </c>
      <c r="AV968">
        <v>2017</v>
      </c>
      <c r="AW968" t="str">
        <f>"51-2N-25-4170-0025-0000 "</f>
        <v xml:space="preserve">51-2N-25-4170-0025-0000 </v>
      </c>
      <c r="AX968">
        <v>45039</v>
      </c>
      <c r="AZ968" t="s">
        <v>9963</v>
      </c>
      <c r="BA968" t="s">
        <v>1942</v>
      </c>
      <c r="BD968" t="s">
        <v>2785</v>
      </c>
      <c r="BE968" t="s">
        <v>393</v>
      </c>
      <c r="BF968">
        <v>32011</v>
      </c>
      <c r="BG968" t="s">
        <v>9964</v>
      </c>
      <c r="BH968" t="s">
        <v>2787</v>
      </c>
      <c r="BI968">
        <v>-81.823753615485202</v>
      </c>
      <c r="BJ968">
        <v>30.571604529983698</v>
      </c>
      <c r="BK968" t="s">
        <v>9923</v>
      </c>
      <c r="BM968" t="s">
        <v>9924</v>
      </c>
      <c r="BN968" t="s">
        <v>928</v>
      </c>
      <c r="BO968">
        <v>32011</v>
      </c>
      <c r="BP968" t="s">
        <v>404</v>
      </c>
      <c r="BQ968">
        <v>200</v>
      </c>
      <c r="BR968" t="s">
        <v>405</v>
      </c>
      <c r="BS968">
        <v>1006</v>
      </c>
      <c r="BT968" t="s">
        <v>406</v>
      </c>
      <c r="BW968">
        <v>7500</v>
      </c>
      <c r="BX968" t="s">
        <v>407</v>
      </c>
      <c r="BY968" t="s">
        <v>4360</v>
      </c>
      <c r="BZ968">
        <v>4</v>
      </c>
      <c r="CA968">
        <v>1965</v>
      </c>
      <c r="CB968">
        <v>1</v>
      </c>
      <c r="CC968">
        <v>1</v>
      </c>
      <c r="CD968">
        <v>2017</v>
      </c>
      <c r="CE968">
        <v>7500</v>
      </c>
      <c r="CF968">
        <v>20747</v>
      </c>
      <c r="CG968">
        <v>28247</v>
      </c>
      <c r="CH968">
        <v>2017</v>
      </c>
      <c r="CI968">
        <v>7500</v>
      </c>
      <c r="CJ968">
        <v>20747</v>
      </c>
      <c r="CK968">
        <v>28247</v>
      </c>
      <c r="CL968">
        <v>2017</v>
      </c>
      <c r="CM968">
        <v>427.62</v>
      </c>
      <c r="CN968" s="1">
        <v>40465</v>
      </c>
      <c r="CO968">
        <v>55000</v>
      </c>
      <c r="CV968">
        <v>0</v>
      </c>
      <c r="CZ968" s="1">
        <v>40465</v>
      </c>
      <c r="DA968">
        <v>0</v>
      </c>
      <c r="DD968" t="s">
        <v>2785</v>
      </c>
      <c r="DF968">
        <v>25</v>
      </c>
      <c r="DG968">
        <v>51</v>
      </c>
      <c r="DJ968" t="s">
        <v>9950</v>
      </c>
      <c r="DL968">
        <v>50503</v>
      </c>
      <c r="DM968" t="s">
        <v>9755</v>
      </c>
      <c r="DO968" t="s">
        <v>9965</v>
      </c>
      <c r="DP968">
        <v>0</v>
      </c>
      <c r="DQ968">
        <v>0</v>
      </c>
      <c r="DR968" t="s">
        <v>411</v>
      </c>
      <c r="EP968" t="s">
        <v>421</v>
      </c>
      <c r="EQ968" t="s">
        <v>422</v>
      </c>
      <c r="ER968">
        <v>0</v>
      </c>
      <c r="ES968">
        <v>2</v>
      </c>
      <c r="ET968">
        <v>0</v>
      </c>
      <c r="EU968">
        <v>0</v>
      </c>
      <c r="EV968">
        <v>0</v>
      </c>
      <c r="EW968" s="2">
        <v>43222</v>
      </c>
      <c r="EX968" s="1">
        <v>42879</v>
      </c>
      <c r="EY968">
        <v>2016</v>
      </c>
      <c r="EZ968">
        <v>502.19</v>
      </c>
      <c r="FA968" t="s">
        <v>9966</v>
      </c>
      <c r="FB968">
        <v>0.25</v>
      </c>
      <c r="FC968" t="s">
        <v>424</v>
      </c>
      <c r="FD968" t="s">
        <v>425</v>
      </c>
      <c r="FE968" s="1">
        <v>42898</v>
      </c>
      <c r="FF968">
        <v>1</v>
      </c>
      <c r="FG968">
        <v>7336745</v>
      </c>
      <c r="FH968" t="s">
        <v>502</v>
      </c>
      <c r="FJ968" s="1">
        <v>41787</v>
      </c>
      <c r="FK968">
        <v>2013</v>
      </c>
      <c r="FL968">
        <v>499.13</v>
      </c>
      <c r="FM968" t="s">
        <v>9967</v>
      </c>
      <c r="FN968">
        <v>2.25</v>
      </c>
      <c r="FO968" t="s">
        <v>424</v>
      </c>
      <c r="FP968" t="s">
        <v>425</v>
      </c>
      <c r="FQ968" s="1">
        <v>41803</v>
      </c>
      <c r="FR968">
        <v>1</v>
      </c>
      <c r="FS968">
        <v>15399</v>
      </c>
      <c r="FT968" t="s">
        <v>485</v>
      </c>
    </row>
    <row r="969" spans="1:308" x14ac:dyDescent="0.25">
      <c r="A969">
        <v>16485976</v>
      </c>
      <c r="B969">
        <v>968</v>
      </c>
      <c r="C969" t="s">
        <v>393</v>
      </c>
      <c r="D969" t="s">
        <v>394</v>
      </c>
      <c r="F969" t="str">
        <f>"51-2N-25-4170-0026-0000"</f>
        <v>51-2N-25-4170-0026-0000</v>
      </c>
      <c r="H969" t="str">
        <f>"PATRICK ADRIAN LEE III"</f>
        <v>PATRICK ADRIAN LEE III</v>
      </c>
      <c r="I969" t="str">
        <f>"PO BOX 813"</f>
        <v>PO BOX 813</v>
      </c>
      <c r="J969" t="str">
        <f t="shared" si="315"/>
        <v>CALLAHAN FL 32011</v>
      </c>
      <c r="K969" t="str">
        <f>"45042 EVELYN ST"</f>
        <v>45042 EVELYN ST</v>
      </c>
      <c r="L969" t="str">
        <f t="shared" si="291"/>
        <v>CALLAHAN FL 32011</v>
      </c>
      <c r="M969" t="str">
        <f>"LOT 26 PT OR 1838/1805 J P PAGE SUB PB 3/20"</f>
        <v>LOT 26 PT OR 1838/1805 J P PAGE SUB PB 3/20</v>
      </c>
      <c r="N969" t="str">
        <f>""</f>
        <v/>
      </c>
      <c r="O969" t="str">
        <f>"54828"</f>
        <v>54828</v>
      </c>
      <c r="P969" t="str">
        <f t="shared" si="310"/>
        <v>2017</v>
      </c>
      <c r="Q969" t="str">
        <f>""</f>
        <v/>
      </c>
      <c r="R969" t="str">
        <f>"N"</f>
        <v>N</v>
      </c>
      <c r="S969" t="str">
        <f>""</f>
        <v/>
      </c>
      <c r="T969" t="str">
        <f>"673.16"</f>
        <v>673.16</v>
      </c>
      <c r="U969" t="str">
        <f>"44466.00"</f>
        <v>44466.00</v>
      </c>
      <c r="V969" t="str">
        <f>"44466.00"</f>
        <v>44466.00</v>
      </c>
      <c r="W969" t="str">
        <f t="shared" si="311"/>
        <v>2017</v>
      </c>
      <c r="X969" t="str">
        <f>"1.00"</f>
        <v>1.00</v>
      </c>
      <c r="Y969" t="str">
        <f>"725.35"</f>
        <v>725.35</v>
      </c>
      <c r="Z969" t="str">
        <f>""</f>
        <v/>
      </c>
      <c r="AA969" t="str">
        <f>"44466.00"</f>
        <v>44466.00</v>
      </c>
      <c r="AB969" t="str">
        <f t="shared" si="307"/>
        <v>Residential</v>
      </c>
      <c r="AC969" t="str">
        <f t="shared" si="295"/>
        <v>0</v>
      </c>
      <c r="AD969" t="str">
        <f t="shared" si="313"/>
        <v>4</v>
      </c>
      <c r="AE969" t="str">
        <f t="shared" si="314"/>
        <v>WOOD (INCLUDE STEEL STUDS)</v>
      </c>
      <c r="AF969" t="str">
        <f>"001"</f>
        <v>001</v>
      </c>
      <c r="AG969" t="str">
        <f t="shared" si="316"/>
        <v>FL</v>
      </c>
      <c r="AH969" t="str">
        <f t="shared" si="312"/>
        <v>-</v>
      </c>
      <c r="AI969" t="str">
        <f t="shared" si="317"/>
        <v>7500.00</v>
      </c>
      <c r="AJ969" t="str">
        <f>"C55-000-588-7166-6"</f>
        <v>C55-000-588-7166-6</v>
      </c>
      <c r="AK969" t="str">
        <f>"15042"</f>
        <v>15042</v>
      </c>
      <c r="AL969">
        <v>4</v>
      </c>
      <c r="AM969">
        <v>1116</v>
      </c>
      <c r="AN969">
        <v>760.02</v>
      </c>
      <c r="AQ969" t="s">
        <v>9968</v>
      </c>
      <c r="AR969" t="s">
        <v>9968</v>
      </c>
      <c r="AS969" t="s">
        <v>9968</v>
      </c>
      <c r="AU969" t="s">
        <v>396</v>
      </c>
      <c r="AV969">
        <v>2017</v>
      </c>
      <c r="AW969" t="str">
        <f>"51-2N-25-4170-0026-0000 "</f>
        <v xml:space="preserve">51-2N-25-4170-0026-0000 </v>
      </c>
      <c r="AX969">
        <v>45042</v>
      </c>
      <c r="AZ969" t="s">
        <v>9963</v>
      </c>
      <c r="BA969" t="s">
        <v>1942</v>
      </c>
      <c r="BD969" t="s">
        <v>2785</v>
      </c>
      <c r="BE969" t="s">
        <v>393</v>
      </c>
      <c r="BF969">
        <v>32011</v>
      </c>
      <c r="BG969" t="s">
        <v>9969</v>
      </c>
      <c r="BH969" t="s">
        <v>2787</v>
      </c>
      <c r="BI969">
        <v>-81.823520169945496</v>
      </c>
      <c r="BJ969">
        <v>30.5718825689355</v>
      </c>
      <c r="BK969" t="s">
        <v>9923</v>
      </c>
      <c r="BM969" t="s">
        <v>9924</v>
      </c>
      <c r="BN969" t="s">
        <v>928</v>
      </c>
      <c r="BO969">
        <v>32011</v>
      </c>
      <c r="BP969" t="s">
        <v>404</v>
      </c>
      <c r="BQ969">
        <v>100</v>
      </c>
      <c r="BR969" t="s">
        <v>514</v>
      </c>
      <c r="BS969">
        <v>1001</v>
      </c>
      <c r="BT969" t="s">
        <v>515</v>
      </c>
      <c r="BW969">
        <v>7500</v>
      </c>
      <c r="BX969" t="s">
        <v>407</v>
      </c>
      <c r="BY969" t="s">
        <v>4360</v>
      </c>
      <c r="BZ969">
        <v>4</v>
      </c>
      <c r="CA969">
        <v>1960</v>
      </c>
      <c r="CB969">
        <v>1</v>
      </c>
      <c r="CC969">
        <v>1</v>
      </c>
      <c r="CD969">
        <v>2017</v>
      </c>
      <c r="CE969">
        <v>7500</v>
      </c>
      <c r="CF969">
        <v>36966</v>
      </c>
      <c r="CG969">
        <v>44466</v>
      </c>
      <c r="CH969">
        <v>2017</v>
      </c>
      <c r="CI969">
        <v>7500</v>
      </c>
      <c r="CJ969">
        <v>36966</v>
      </c>
      <c r="CK969">
        <v>44466</v>
      </c>
      <c r="CL969">
        <v>2017</v>
      </c>
      <c r="CM969">
        <v>673.16</v>
      </c>
      <c r="CN969" s="1">
        <v>39058</v>
      </c>
      <c r="CO969">
        <v>7000</v>
      </c>
      <c r="CV969">
        <v>0</v>
      </c>
      <c r="CZ969" s="1">
        <v>39058</v>
      </c>
      <c r="DA969">
        <v>0</v>
      </c>
      <c r="DD969" t="s">
        <v>2785</v>
      </c>
      <c r="DF969">
        <v>26</v>
      </c>
      <c r="DG969">
        <v>51</v>
      </c>
      <c r="DJ969" t="s">
        <v>9950</v>
      </c>
      <c r="DL969">
        <v>50503</v>
      </c>
      <c r="DM969" t="s">
        <v>9755</v>
      </c>
      <c r="DO969" t="s">
        <v>9970</v>
      </c>
      <c r="DP969">
        <v>0</v>
      </c>
      <c r="DQ969">
        <v>0</v>
      </c>
      <c r="DR969" t="s">
        <v>411</v>
      </c>
      <c r="EP969" t="s">
        <v>421</v>
      </c>
      <c r="EQ969" t="s">
        <v>422</v>
      </c>
      <c r="ER969">
        <v>0</v>
      </c>
      <c r="ES969">
        <v>3</v>
      </c>
      <c r="ET969">
        <v>0</v>
      </c>
      <c r="EU969">
        <v>0</v>
      </c>
      <c r="EV969">
        <v>0</v>
      </c>
      <c r="EW969" s="2">
        <v>43222</v>
      </c>
      <c r="EX969" s="1">
        <v>42879</v>
      </c>
      <c r="EY969">
        <v>2016</v>
      </c>
      <c r="EZ969">
        <v>769.76</v>
      </c>
      <c r="FA969" t="s">
        <v>9971</v>
      </c>
      <c r="FB969">
        <v>0.25</v>
      </c>
      <c r="FC969" t="s">
        <v>424</v>
      </c>
      <c r="FD969" t="s">
        <v>425</v>
      </c>
      <c r="FE969" s="1">
        <v>42898</v>
      </c>
      <c r="FF969">
        <v>1</v>
      </c>
      <c r="FG969">
        <v>11289</v>
      </c>
      <c r="FH969" t="s">
        <v>787</v>
      </c>
      <c r="FJ969" s="1">
        <v>42879</v>
      </c>
      <c r="FK969">
        <v>2016</v>
      </c>
      <c r="FL969">
        <v>769.76</v>
      </c>
      <c r="FM969" t="s">
        <v>9971</v>
      </c>
      <c r="FN969">
        <v>0.25</v>
      </c>
      <c r="FO969" t="s">
        <v>424</v>
      </c>
      <c r="FP969" t="s">
        <v>425</v>
      </c>
      <c r="FR969">
        <v>22</v>
      </c>
      <c r="FS969">
        <v>7184168</v>
      </c>
      <c r="FT969" t="s">
        <v>9972</v>
      </c>
      <c r="FV969" s="1">
        <v>41787</v>
      </c>
      <c r="FW969">
        <v>2013</v>
      </c>
      <c r="FX969">
        <v>658.48</v>
      </c>
      <c r="FY969" t="s">
        <v>9973</v>
      </c>
      <c r="FZ969">
        <v>0.25</v>
      </c>
      <c r="GA969" t="s">
        <v>424</v>
      </c>
      <c r="GB969" t="s">
        <v>425</v>
      </c>
      <c r="GC969" s="1">
        <v>41803</v>
      </c>
      <c r="GD969">
        <v>1</v>
      </c>
      <c r="GE969">
        <v>2407503</v>
      </c>
      <c r="GF969" t="s">
        <v>461</v>
      </c>
    </row>
    <row r="970" spans="1:308" x14ac:dyDescent="0.25">
      <c r="A970">
        <v>16485977</v>
      </c>
      <c r="B970">
        <v>969</v>
      </c>
      <c r="C970" t="s">
        <v>393</v>
      </c>
      <c r="D970" t="s">
        <v>394</v>
      </c>
      <c r="F970" t="str">
        <f>"51-2N-25-4170-0027-0000"</f>
        <v>51-2N-25-4170-0027-0000</v>
      </c>
      <c r="H970" t="str">
        <f>"MADDOX TROY ALEX EST"</f>
        <v>MADDOX TROY ALEX EST</v>
      </c>
      <c r="I970" t="str">
        <f>"45168 JAMES ST"</f>
        <v>45168 JAMES ST</v>
      </c>
      <c r="J970" t="str">
        <f t="shared" si="315"/>
        <v>CALLAHAN FL 32011</v>
      </c>
      <c r="K970" t="str">
        <f>"45168 JAMES ST"</f>
        <v>45168 JAMES ST</v>
      </c>
      <c r="L970" t="str">
        <f t="shared" si="291"/>
        <v>CALLAHAN FL 32011</v>
      </c>
      <c r="M970" t="str">
        <f>"LOT 27 IN OR 100 PG 302 J P PAGE SUB PB 3/20"</f>
        <v>LOT 27 IN OR 100 PG 302 J P PAGE SUB PB 3/20</v>
      </c>
      <c r="N970" t="str">
        <f>""</f>
        <v/>
      </c>
      <c r="O970" t="str">
        <f>"54829"</f>
        <v>54829</v>
      </c>
      <c r="P970" t="str">
        <f t="shared" si="310"/>
        <v>2017</v>
      </c>
      <c r="Q970" t="str">
        <f>""</f>
        <v/>
      </c>
      <c r="R970" t="str">
        <f>"N"</f>
        <v>N</v>
      </c>
      <c r="S970" t="str">
        <f>""</f>
        <v/>
      </c>
      <c r="T970" t="str">
        <f>"651.29"</f>
        <v>651.29</v>
      </c>
      <c r="U970" t="str">
        <f>"43021.00"</f>
        <v>43021.00</v>
      </c>
      <c r="V970" t="str">
        <f>"43021.00"</f>
        <v>43021.00</v>
      </c>
      <c r="W970" t="str">
        <f t="shared" si="311"/>
        <v>2017</v>
      </c>
      <c r="X970" t="str">
        <f>"16.00"</f>
        <v>16.00</v>
      </c>
      <c r="Y970" t="str">
        <f>"702.83"</f>
        <v>702.83</v>
      </c>
      <c r="Z970" t="str">
        <f>""</f>
        <v/>
      </c>
      <c r="AA970" t="str">
        <f>"43021.00"</f>
        <v>43021.00</v>
      </c>
      <c r="AB970" t="str">
        <f t="shared" si="307"/>
        <v>Residential</v>
      </c>
      <c r="AC970" t="str">
        <f t="shared" si="295"/>
        <v>0</v>
      </c>
      <c r="AD970" t="str">
        <f t="shared" si="313"/>
        <v>4</v>
      </c>
      <c r="AE970" t="str">
        <f t="shared" si="314"/>
        <v>WOOD (INCLUDE STEEL STUDS)</v>
      </c>
      <c r="AF970" t="str">
        <f>"001"</f>
        <v>001</v>
      </c>
      <c r="AG970" t="str">
        <f t="shared" si="316"/>
        <v>FL</v>
      </c>
      <c r="AH970" t="str">
        <f t="shared" si="312"/>
        <v>-</v>
      </c>
      <c r="AI970" t="str">
        <f t="shared" si="317"/>
        <v>7500.00</v>
      </c>
      <c r="AJ970" t="str">
        <f>"C55-000-588-7167-4"</f>
        <v>C55-000-588-7167-4</v>
      </c>
      <c r="AK970" t="str">
        <f>"15043"</f>
        <v>15043</v>
      </c>
      <c r="AL970">
        <v>4</v>
      </c>
      <c r="AM970">
        <v>1117</v>
      </c>
      <c r="AN970">
        <v>736.37</v>
      </c>
      <c r="AQ970" t="s">
        <v>9974</v>
      </c>
      <c r="AR970" t="s">
        <v>9974</v>
      </c>
      <c r="AS970" t="s">
        <v>9974</v>
      </c>
      <c r="AU970" t="s">
        <v>396</v>
      </c>
      <c r="AV970">
        <v>2017</v>
      </c>
      <c r="AW970" t="str">
        <f>"51-2N-25-4170-0027-0000 "</f>
        <v xml:space="preserve">51-2N-25-4170-0027-0000 </v>
      </c>
      <c r="AX970">
        <v>45168</v>
      </c>
      <c r="AZ970" t="s">
        <v>9947</v>
      </c>
      <c r="BA970" t="s">
        <v>1942</v>
      </c>
      <c r="BD970" t="s">
        <v>2785</v>
      </c>
      <c r="BE970" t="s">
        <v>393</v>
      </c>
      <c r="BF970">
        <v>32011</v>
      </c>
      <c r="BG970" t="s">
        <v>9975</v>
      </c>
      <c r="BH970" t="s">
        <v>2787</v>
      </c>
      <c r="BI970">
        <v>-81.823380103583702</v>
      </c>
      <c r="BJ970">
        <v>30.572049383785799</v>
      </c>
      <c r="BK970" t="s">
        <v>9976</v>
      </c>
      <c r="BM970" t="s">
        <v>9975</v>
      </c>
      <c r="BN970" t="s">
        <v>928</v>
      </c>
      <c r="BO970">
        <v>32011</v>
      </c>
      <c r="BP970" t="s">
        <v>416</v>
      </c>
      <c r="BQ970">
        <v>100</v>
      </c>
      <c r="BR970" t="s">
        <v>514</v>
      </c>
      <c r="BS970">
        <v>1001</v>
      </c>
      <c r="BT970" t="s">
        <v>515</v>
      </c>
      <c r="BW970">
        <v>7500</v>
      </c>
      <c r="BX970" t="s">
        <v>407</v>
      </c>
      <c r="BY970" t="s">
        <v>4360</v>
      </c>
      <c r="BZ970">
        <v>4</v>
      </c>
      <c r="CA970">
        <v>1960</v>
      </c>
      <c r="CB970">
        <v>1</v>
      </c>
      <c r="CC970">
        <v>1</v>
      </c>
      <c r="CD970">
        <v>2017</v>
      </c>
      <c r="CE970">
        <v>7500</v>
      </c>
      <c r="CF970">
        <v>35521</v>
      </c>
      <c r="CG970">
        <v>43021</v>
      </c>
      <c r="CH970">
        <v>2017</v>
      </c>
      <c r="CI970">
        <v>7500</v>
      </c>
      <c r="CJ970">
        <v>35521</v>
      </c>
      <c r="CK970">
        <v>43021</v>
      </c>
      <c r="CL970">
        <v>2017</v>
      </c>
      <c r="CM970">
        <v>651.29</v>
      </c>
      <c r="DD970" t="s">
        <v>2785</v>
      </c>
      <c r="DF970">
        <v>27</v>
      </c>
      <c r="DG970">
        <v>51</v>
      </c>
      <c r="DL970">
        <v>50503</v>
      </c>
      <c r="DM970" t="s">
        <v>9755</v>
      </c>
      <c r="DO970" t="s">
        <v>9977</v>
      </c>
      <c r="DP970">
        <v>0</v>
      </c>
      <c r="DQ970">
        <v>0</v>
      </c>
      <c r="DR970" t="s">
        <v>411</v>
      </c>
      <c r="DS970" t="b">
        <v>1</v>
      </c>
      <c r="DT970" t="s">
        <v>470</v>
      </c>
      <c r="DU970" t="s">
        <v>471</v>
      </c>
      <c r="DV970" t="s">
        <v>472</v>
      </c>
      <c r="DX970">
        <v>-9999</v>
      </c>
      <c r="DZ970" t="s">
        <v>447</v>
      </c>
      <c r="EA970" t="s">
        <v>448</v>
      </c>
      <c r="EB970" t="s">
        <v>742</v>
      </c>
      <c r="EC970">
        <v>20101217</v>
      </c>
      <c r="ED970" t="s">
        <v>474</v>
      </c>
      <c r="EF970">
        <v>234.9</v>
      </c>
      <c r="EG970">
        <v>234.9</v>
      </c>
      <c r="EI970">
        <v>20160407</v>
      </c>
      <c r="EJ970">
        <v>0</v>
      </c>
      <c r="EK970">
        <v>0</v>
      </c>
      <c r="EP970" t="s">
        <v>421</v>
      </c>
      <c r="EQ970" t="s">
        <v>422</v>
      </c>
      <c r="ER970">
        <v>2</v>
      </c>
      <c r="ES970">
        <v>9</v>
      </c>
      <c r="ET970">
        <v>1491.56</v>
      </c>
      <c r="EU970">
        <v>87.08</v>
      </c>
      <c r="EV970">
        <v>1578.64</v>
      </c>
      <c r="EW970" s="2">
        <v>43222</v>
      </c>
      <c r="EX970" s="1">
        <v>42879</v>
      </c>
      <c r="EY970">
        <v>2016</v>
      </c>
      <c r="EZ970">
        <v>745.78</v>
      </c>
      <c r="FA970" t="s">
        <v>9978</v>
      </c>
      <c r="FB970">
        <v>0.25</v>
      </c>
      <c r="FC970" t="s">
        <v>424</v>
      </c>
      <c r="FD970" t="s">
        <v>454</v>
      </c>
      <c r="FF970">
        <v>12</v>
      </c>
      <c r="FG970">
        <v>7336753</v>
      </c>
      <c r="FH970" t="s">
        <v>1731</v>
      </c>
      <c r="FJ970" s="1">
        <v>42879</v>
      </c>
      <c r="FK970">
        <v>2016</v>
      </c>
      <c r="FL970">
        <v>745.78</v>
      </c>
      <c r="FM970" t="s">
        <v>9978</v>
      </c>
      <c r="FN970">
        <v>0.25</v>
      </c>
      <c r="FO970" t="s">
        <v>424</v>
      </c>
      <c r="FP970" t="s">
        <v>454</v>
      </c>
      <c r="FR970">
        <v>12</v>
      </c>
      <c r="FS970">
        <v>7359534</v>
      </c>
      <c r="FT970" t="s">
        <v>9979</v>
      </c>
      <c r="FV970" s="1">
        <v>42515</v>
      </c>
      <c r="FW970">
        <v>2015</v>
      </c>
      <c r="FX970">
        <v>762.72</v>
      </c>
      <c r="FY970" t="s">
        <v>9980</v>
      </c>
      <c r="FZ970">
        <v>0.25</v>
      </c>
      <c r="GA970" t="s">
        <v>424</v>
      </c>
      <c r="GB970" t="s">
        <v>425</v>
      </c>
      <c r="GC970" s="1">
        <v>43138</v>
      </c>
      <c r="GD970">
        <v>21</v>
      </c>
      <c r="GE970">
        <v>2851116</v>
      </c>
      <c r="GF970" t="s">
        <v>480</v>
      </c>
      <c r="GH970" s="1">
        <v>42515</v>
      </c>
      <c r="GI970">
        <v>2015</v>
      </c>
      <c r="GJ970">
        <v>762.72</v>
      </c>
      <c r="GK970" t="s">
        <v>9980</v>
      </c>
      <c r="GL970">
        <v>0.25</v>
      </c>
      <c r="GM970" t="s">
        <v>424</v>
      </c>
      <c r="GN970" t="s">
        <v>425</v>
      </c>
      <c r="GP970">
        <v>22</v>
      </c>
      <c r="GQ970">
        <v>5421774</v>
      </c>
      <c r="GR970" t="s">
        <v>9981</v>
      </c>
      <c r="GT970" s="1">
        <v>42151</v>
      </c>
      <c r="GU970">
        <v>2014</v>
      </c>
      <c r="GV970">
        <v>710.35</v>
      </c>
      <c r="GW970" t="s">
        <v>9982</v>
      </c>
      <c r="GX970">
        <v>0.25</v>
      </c>
      <c r="GY970" t="s">
        <v>424</v>
      </c>
      <c r="GZ970" t="s">
        <v>425</v>
      </c>
      <c r="HA970" s="1">
        <v>42779</v>
      </c>
      <c r="HB970">
        <v>21</v>
      </c>
      <c r="HC970">
        <v>2851116</v>
      </c>
      <c r="HD970" t="s">
        <v>480</v>
      </c>
      <c r="HF970" s="1">
        <v>42151</v>
      </c>
      <c r="HG970">
        <v>2014</v>
      </c>
      <c r="HH970">
        <v>710.35</v>
      </c>
      <c r="HI970" t="s">
        <v>9982</v>
      </c>
      <c r="HJ970">
        <v>0.25</v>
      </c>
      <c r="HK970" t="s">
        <v>424</v>
      </c>
      <c r="HL970" t="s">
        <v>425</v>
      </c>
      <c r="HN970">
        <v>22</v>
      </c>
      <c r="HO970">
        <v>5010212</v>
      </c>
      <c r="HP970" t="s">
        <v>9983</v>
      </c>
      <c r="HR970" s="1">
        <v>41787</v>
      </c>
      <c r="HS970">
        <v>2013</v>
      </c>
      <c r="HT970">
        <v>636.87</v>
      </c>
      <c r="HU970" t="s">
        <v>9984</v>
      </c>
      <c r="HV970">
        <v>0.25</v>
      </c>
      <c r="HW970" t="s">
        <v>424</v>
      </c>
      <c r="HX970" t="s">
        <v>425</v>
      </c>
      <c r="HY970" s="1">
        <v>42411</v>
      </c>
      <c r="HZ970">
        <v>21</v>
      </c>
      <c r="IA970">
        <v>2407503</v>
      </c>
      <c r="IB970" t="s">
        <v>461</v>
      </c>
      <c r="ID970" s="1">
        <v>41423</v>
      </c>
      <c r="IE970">
        <v>2012</v>
      </c>
      <c r="IF970">
        <v>631.14</v>
      </c>
      <c r="IG970" t="s">
        <v>9985</v>
      </c>
      <c r="IH970">
        <v>0.25</v>
      </c>
      <c r="II970" t="s">
        <v>424</v>
      </c>
      <c r="IJ970" t="s">
        <v>425</v>
      </c>
      <c r="IK970" s="1">
        <v>42052</v>
      </c>
      <c r="IL970">
        <v>21</v>
      </c>
      <c r="IM970">
        <v>15399</v>
      </c>
      <c r="IN970" t="s">
        <v>485</v>
      </c>
      <c r="IP970" s="1">
        <v>41052</v>
      </c>
      <c r="IQ970">
        <v>2011</v>
      </c>
      <c r="IR970">
        <v>653.79999999999995</v>
      </c>
      <c r="IS970" t="s">
        <v>9986</v>
      </c>
      <c r="IT970">
        <v>4.75</v>
      </c>
      <c r="IU970" t="s">
        <v>424</v>
      </c>
      <c r="IV970" t="s">
        <v>425</v>
      </c>
      <c r="IW970" s="1">
        <v>41682</v>
      </c>
      <c r="IX970">
        <v>21</v>
      </c>
      <c r="IY970">
        <v>1625515</v>
      </c>
      <c r="IZ970" t="s">
        <v>487</v>
      </c>
      <c r="JB970" s="1">
        <v>41052</v>
      </c>
      <c r="JC970">
        <v>2011</v>
      </c>
      <c r="JD970">
        <v>653.79999999999995</v>
      </c>
      <c r="JE970" t="s">
        <v>9986</v>
      </c>
      <c r="JF970">
        <v>4.75</v>
      </c>
      <c r="JG970" t="s">
        <v>424</v>
      </c>
      <c r="JH970" t="s">
        <v>425</v>
      </c>
      <c r="JJ970">
        <v>22</v>
      </c>
      <c r="JK970">
        <v>10579</v>
      </c>
      <c r="JL970" t="s">
        <v>488</v>
      </c>
      <c r="JN970" s="1">
        <v>40688</v>
      </c>
      <c r="JO970">
        <v>2010</v>
      </c>
      <c r="JP970">
        <v>668.01</v>
      </c>
      <c r="JQ970" t="s">
        <v>9987</v>
      </c>
      <c r="JR970">
        <v>6.5</v>
      </c>
      <c r="JS970" t="s">
        <v>424</v>
      </c>
      <c r="JT970" t="s">
        <v>425</v>
      </c>
      <c r="JU970" s="1">
        <v>40996</v>
      </c>
      <c r="JV970">
        <v>10</v>
      </c>
      <c r="JW970">
        <v>10579</v>
      </c>
      <c r="JX970" t="s">
        <v>488</v>
      </c>
    </row>
    <row r="971" spans="1:308" x14ac:dyDescent="0.25">
      <c r="A971">
        <v>16485978</v>
      </c>
      <c r="B971">
        <v>970</v>
      </c>
      <c r="C971" t="s">
        <v>393</v>
      </c>
      <c r="D971" t="s">
        <v>394</v>
      </c>
      <c r="F971" t="str">
        <f>"51-2N-25-4170-0036-0000"</f>
        <v>51-2N-25-4170-0036-0000</v>
      </c>
      <c r="H971" t="str">
        <f>"FLAKE LARRY N &amp; CLEO H"</f>
        <v>FLAKE LARRY N &amp; CLEO H</v>
      </c>
      <c r="I971" t="str">
        <f>"45089 JAMES STREET"</f>
        <v>45089 JAMES STREET</v>
      </c>
      <c r="J971" t="str">
        <f t="shared" si="315"/>
        <v>CALLAHAN FL 32011</v>
      </c>
      <c r="K971" t="str">
        <f>"45089 JAMES ST"</f>
        <v>45089 JAMES ST</v>
      </c>
      <c r="L971" t="str">
        <f t="shared" si="291"/>
        <v>CALLAHAN FL 32011</v>
      </c>
      <c r="M971" t="str">
        <f>"LOT 36 IN OR 1558/1311 J P PAGE SUB PB 3/20"</f>
        <v>LOT 36 IN OR 1558/1311 J P PAGE SUB PB 3/20</v>
      </c>
      <c r="N971" t="str">
        <f>""</f>
        <v/>
      </c>
      <c r="O971" t="str">
        <f>"54832"</f>
        <v>54832</v>
      </c>
      <c r="P971" t="str">
        <f t="shared" si="310"/>
        <v>2017</v>
      </c>
      <c r="Q971" t="str">
        <f>""</f>
        <v/>
      </c>
      <c r="R971" t="str">
        <f>"Y"</f>
        <v>Y</v>
      </c>
      <c r="S971" t="str">
        <f>""</f>
        <v/>
      </c>
      <c r="T971" t="str">
        <f>"257.99"</f>
        <v>257.99</v>
      </c>
      <c r="U971" t="str">
        <f>"42041.00"</f>
        <v>42041.00</v>
      </c>
      <c r="V971" t="str">
        <f>"42041.00"</f>
        <v>42041.00</v>
      </c>
      <c r="W971" t="str">
        <f t="shared" si="311"/>
        <v>2017</v>
      </c>
      <c r="X971" t="str">
        <f>"14.86"</f>
        <v>14.86</v>
      </c>
      <c r="Y971" t="str">
        <f>"297.73"</f>
        <v>297.73</v>
      </c>
      <c r="Z971" t="str">
        <f>"25000.00"</f>
        <v>25000.00</v>
      </c>
      <c r="AA971" t="str">
        <f>"17041.00"</f>
        <v>17041.00</v>
      </c>
      <c r="AB971" t="str">
        <f t="shared" si="307"/>
        <v>Residential</v>
      </c>
      <c r="AC971" t="str">
        <f t="shared" si="295"/>
        <v>0</v>
      </c>
      <c r="AD971" t="str">
        <f t="shared" si="313"/>
        <v>4</v>
      </c>
      <c r="AE971" t="str">
        <f t="shared" si="314"/>
        <v>WOOD (INCLUDE STEEL STUDS)</v>
      </c>
      <c r="AF971" t="str">
        <f>"001"</f>
        <v>001</v>
      </c>
      <c r="AG971" t="str">
        <f t="shared" si="316"/>
        <v>FL</v>
      </c>
      <c r="AH971" t="str">
        <f t="shared" si="312"/>
        <v>-</v>
      </c>
      <c r="AI971" t="str">
        <f t="shared" si="317"/>
        <v>7500.00</v>
      </c>
      <c r="AJ971" t="str">
        <f>"C55-000-588-7170-8"</f>
        <v>C55-000-588-7170-8</v>
      </c>
      <c r="AK971" t="str">
        <f>"15046"</f>
        <v>15046</v>
      </c>
      <c r="AL971">
        <v>4</v>
      </c>
      <c r="AM971">
        <v>1118</v>
      </c>
      <c r="AN971">
        <v>311.02</v>
      </c>
      <c r="AQ971" t="s">
        <v>9988</v>
      </c>
      <c r="AR971" t="s">
        <v>9988</v>
      </c>
      <c r="AS971" t="s">
        <v>9988</v>
      </c>
      <c r="AU971" t="s">
        <v>396</v>
      </c>
      <c r="AV971">
        <v>2017</v>
      </c>
      <c r="AW971" t="str">
        <f>"51-2N-25-4170-0036-0000 "</f>
        <v xml:space="preserve">51-2N-25-4170-0036-0000 </v>
      </c>
      <c r="AX971">
        <v>45089</v>
      </c>
      <c r="AZ971" t="s">
        <v>9947</v>
      </c>
      <c r="BA971" t="s">
        <v>1942</v>
      </c>
      <c r="BD971" t="s">
        <v>2785</v>
      </c>
      <c r="BE971" t="s">
        <v>393</v>
      </c>
      <c r="BF971">
        <v>32011</v>
      </c>
      <c r="BG971" t="s">
        <v>9989</v>
      </c>
      <c r="BH971" t="s">
        <v>2787</v>
      </c>
      <c r="BI971">
        <v>-81.824559407677896</v>
      </c>
      <c r="BJ971">
        <v>30.5713464574944</v>
      </c>
      <c r="BK971" t="s">
        <v>9990</v>
      </c>
      <c r="BL971" t="s">
        <v>9991</v>
      </c>
      <c r="BM971" t="s">
        <v>9989</v>
      </c>
      <c r="BN971" t="s">
        <v>928</v>
      </c>
      <c r="BO971">
        <v>32011</v>
      </c>
      <c r="BP971" t="s">
        <v>416</v>
      </c>
      <c r="BQ971">
        <v>100</v>
      </c>
      <c r="BR971" t="s">
        <v>514</v>
      </c>
      <c r="BS971">
        <v>1001</v>
      </c>
      <c r="BT971" t="s">
        <v>515</v>
      </c>
      <c r="BW971">
        <v>7500</v>
      </c>
      <c r="BX971" t="s">
        <v>407</v>
      </c>
      <c r="BY971" t="s">
        <v>4360</v>
      </c>
      <c r="BZ971">
        <v>4</v>
      </c>
      <c r="CA971">
        <v>1977</v>
      </c>
      <c r="CB971">
        <v>1</v>
      </c>
      <c r="CC971">
        <v>1</v>
      </c>
      <c r="CD971">
        <v>2017</v>
      </c>
      <c r="CG971">
        <v>42041</v>
      </c>
      <c r="CH971">
        <v>2017</v>
      </c>
      <c r="CI971">
        <v>7500</v>
      </c>
      <c r="CJ971">
        <v>37053</v>
      </c>
      <c r="CK971">
        <v>44553</v>
      </c>
      <c r="CL971">
        <v>2017</v>
      </c>
      <c r="CM971">
        <v>257.99</v>
      </c>
      <c r="CN971" s="1">
        <v>39539</v>
      </c>
      <c r="CO971">
        <v>52000</v>
      </c>
      <c r="CV971">
        <v>52000</v>
      </c>
      <c r="CX971" t="s">
        <v>707</v>
      </c>
      <c r="CZ971" s="1">
        <v>39539</v>
      </c>
      <c r="DA971">
        <v>0</v>
      </c>
      <c r="DD971" t="s">
        <v>2785</v>
      </c>
      <c r="DF971">
        <v>36</v>
      </c>
      <c r="DG971">
        <v>51</v>
      </c>
      <c r="DJ971" t="s">
        <v>9950</v>
      </c>
      <c r="DL971">
        <v>50503</v>
      </c>
      <c r="DM971" t="s">
        <v>9755</v>
      </c>
      <c r="DO971" t="s">
        <v>9992</v>
      </c>
      <c r="DP971">
        <v>0</v>
      </c>
      <c r="DQ971">
        <v>0</v>
      </c>
      <c r="DR971" t="s">
        <v>411</v>
      </c>
      <c r="DS971" t="b">
        <v>1</v>
      </c>
      <c r="DT971" t="s">
        <v>470</v>
      </c>
      <c r="DU971" t="s">
        <v>471</v>
      </c>
      <c r="DV971" t="s">
        <v>472</v>
      </c>
      <c r="DX971">
        <v>-9999</v>
      </c>
      <c r="DZ971" t="s">
        <v>447</v>
      </c>
      <c r="EA971" t="s">
        <v>448</v>
      </c>
      <c r="EB971" t="s">
        <v>742</v>
      </c>
      <c r="EC971">
        <v>20101217</v>
      </c>
      <c r="ED971" t="s">
        <v>474</v>
      </c>
      <c r="EF971">
        <v>423.5</v>
      </c>
      <c r="EG971">
        <v>423.5</v>
      </c>
      <c r="EI971">
        <v>20160407</v>
      </c>
      <c r="EJ971">
        <v>0</v>
      </c>
      <c r="EK971">
        <v>0</v>
      </c>
      <c r="EP971" t="s">
        <v>421</v>
      </c>
      <c r="EQ971" t="s">
        <v>422</v>
      </c>
      <c r="ER971">
        <v>0</v>
      </c>
      <c r="ES971">
        <v>8</v>
      </c>
      <c r="ET971">
        <v>0</v>
      </c>
      <c r="EU971">
        <v>0</v>
      </c>
      <c r="EV971">
        <v>0</v>
      </c>
      <c r="EW971" s="2">
        <v>43222</v>
      </c>
      <c r="EX971" s="1">
        <v>42515</v>
      </c>
      <c r="EY971">
        <v>2015</v>
      </c>
      <c r="EZ971">
        <v>292.22000000000003</v>
      </c>
      <c r="FA971" t="s">
        <v>9993</v>
      </c>
      <c r="FB971">
        <v>0.25</v>
      </c>
      <c r="FC971" t="s">
        <v>424</v>
      </c>
      <c r="FD971" t="s">
        <v>425</v>
      </c>
      <c r="FE971" s="1">
        <v>42824</v>
      </c>
      <c r="FF971">
        <v>10</v>
      </c>
      <c r="FG971">
        <v>2851116</v>
      </c>
      <c r="FH971" t="s">
        <v>480</v>
      </c>
      <c r="FJ971" s="1">
        <v>42515</v>
      </c>
      <c r="FK971">
        <v>2015</v>
      </c>
      <c r="FL971">
        <v>292.22000000000003</v>
      </c>
      <c r="FM971" t="s">
        <v>9993</v>
      </c>
      <c r="FN971">
        <v>0.25</v>
      </c>
      <c r="FO971" t="s">
        <v>424</v>
      </c>
      <c r="FP971" t="s">
        <v>425</v>
      </c>
      <c r="FR971">
        <v>22</v>
      </c>
      <c r="FS971">
        <v>5518732</v>
      </c>
      <c r="FT971" t="s">
        <v>9994</v>
      </c>
      <c r="FV971" s="1">
        <v>42151</v>
      </c>
      <c r="FW971">
        <v>2014</v>
      </c>
      <c r="FX971">
        <v>288.02</v>
      </c>
      <c r="FY971" t="s">
        <v>9995</v>
      </c>
      <c r="FZ971">
        <v>0.25</v>
      </c>
      <c r="GA971" t="s">
        <v>424</v>
      </c>
      <c r="GB971" t="s">
        <v>425</v>
      </c>
      <c r="GC971" s="1">
        <v>42522</v>
      </c>
      <c r="GD971">
        <v>13</v>
      </c>
      <c r="GE971">
        <v>2851116</v>
      </c>
      <c r="GF971" t="s">
        <v>480</v>
      </c>
      <c r="GH971" s="1">
        <v>42151</v>
      </c>
      <c r="GI971">
        <v>2014</v>
      </c>
      <c r="GJ971">
        <v>288.02</v>
      </c>
      <c r="GK971" t="s">
        <v>9995</v>
      </c>
      <c r="GL971">
        <v>0.25</v>
      </c>
      <c r="GM971" t="s">
        <v>424</v>
      </c>
      <c r="GN971" t="s">
        <v>425</v>
      </c>
      <c r="GP971">
        <v>22</v>
      </c>
      <c r="GQ971">
        <v>5361421</v>
      </c>
      <c r="GR971" t="s">
        <v>9996</v>
      </c>
      <c r="GT971" s="1">
        <v>41787</v>
      </c>
      <c r="GU971">
        <v>2013</v>
      </c>
      <c r="GV971">
        <v>264.12</v>
      </c>
      <c r="GW971" t="s">
        <v>9997</v>
      </c>
      <c r="GX971">
        <v>0.25</v>
      </c>
      <c r="GY971" t="s">
        <v>424</v>
      </c>
      <c r="GZ971" t="s">
        <v>425</v>
      </c>
      <c r="HB971">
        <v>22</v>
      </c>
      <c r="HC971">
        <v>15259</v>
      </c>
      <c r="HD971" t="s">
        <v>891</v>
      </c>
      <c r="HF971" s="1">
        <v>41787</v>
      </c>
      <c r="HG971">
        <v>2013</v>
      </c>
      <c r="HH971">
        <v>264.12</v>
      </c>
      <c r="HI971" t="s">
        <v>9997</v>
      </c>
      <c r="HJ971">
        <v>0.25</v>
      </c>
      <c r="HK971" t="s">
        <v>424</v>
      </c>
      <c r="HL971" t="s">
        <v>425</v>
      </c>
      <c r="HM971" s="1">
        <v>42460</v>
      </c>
      <c r="HN971">
        <v>22</v>
      </c>
      <c r="HO971">
        <v>7045049</v>
      </c>
      <c r="HP971" t="s">
        <v>1335</v>
      </c>
      <c r="HR971" s="1">
        <v>41423</v>
      </c>
      <c r="HS971">
        <v>2012</v>
      </c>
      <c r="HT971">
        <v>256.2</v>
      </c>
      <c r="HU971" t="s">
        <v>9998</v>
      </c>
      <c r="HV971">
        <v>0.25</v>
      </c>
      <c r="HW971" t="s">
        <v>424</v>
      </c>
      <c r="HX971" t="s">
        <v>425</v>
      </c>
      <c r="HY971" s="1">
        <v>42046</v>
      </c>
      <c r="HZ971">
        <v>21</v>
      </c>
      <c r="IA971">
        <v>15407</v>
      </c>
      <c r="IB971" t="s">
        <v>1134</v>
      </c>
      <c r="ID971" s="1">
        <v>40688</v>
      </c>
      <c r="IE971">
        <v>2010</v>
      </c>
      <c r="IF971">
        <v>291.70999999999998</v>
      </c>
      <c r="IG971" t="s">
        <v>9999</v>
      </c>
      <c r="IH971">
        <v>7.75</v>
      </c>
      <c r="II971" t="s">
        <v>424</v>
      </c>
      <c r="IJ971" t="s">
        <v>425</v>
      </c>
      <c r="IK971" s="1">
        <v>41010</v>
      </c>
      <c r="IL971">
        <v>11</v>
      </c>
      <c r="IM971">
        <v>305</v>
      </c>
      <c r="IN971" t="s">
        <v>1078</v>
      </c>
    </row>
    <row r="972" spans="1:308" x14ac:dyDescent="0.25">
      <c r="A972">
        <v>16485979</v>
      </c>
      <c r="B972">
        <v>971</v>
      </c>
      <c r="C972" t="s">
        <v>393</v>
      </c>
      <c r="D972" t="s">
        <v>394</v>
      </c>
      <c r="F972" t="str">
        <f>"51-2N-25-4170-0038-0000"</f>
        <v>51-2N-25-4170-0038-0000</v>
      </c>
      <c r="H972" t="str">
        <f>"HENDRICKS DANIEL R"</f>
        <v>HENDRICKS DANIEL R</v>
      </c>
      <c r="I972" t="str">
        <f>"44500 CATIES WAY"</f>
        <v>44500 CATIES WAY</v>
      </c>
      <c r="J972" t="str">
        <f t="shared" si="315"/>
        <v>CALLAHAN FL 32011</v>
      </c>
      <c r="K972" t="str">
        <f>"45063 ANNIE LAURA ST"</f>
        <v>45063 ANNIE LAURA ST</v>
      </c>
      <c r="L972" t="str">
        <f t="shared" si="291"/>
        <v>CALLAHAN FL 32011</v>
      </c>
      <c r="M972" t="str">
        <f>"LOT 38 IN OR 1574/1502 J P PAGE SUB PB 3/20"</f>
        <v>LOT 38 IN OR 1574/1502 J P PAGE SUB PB 3/20</v>
      </c>
      <c r="N972" t="str">
        <f>""</f>
        <v/>
      </c>
      <c r="O972" t="str">
        <f>"54834"</f>
        <v>54834</v>
      </c>
      <c r="P972" t="str">
        <f t="shared" si="310"/>
        <v>2017</v>
      </c>
      <c r="Q972" t="str">
        <f>""</f>
        <v/>
      </c>
      <c r="R972" t="str">
        <f>"N"</f>
        <v>N</v>
      </c>
      <c r="S972" t="str">
        <f>""</f>
        <v/>
      </c>
      <c r="T972" t="str">
        <f>"113.54"</f>
        <v>113.54</v>
      </c>
      <c r="U972" t="str">
        <f>"7500.00"</f>
        <v>7500.00</v>
      </c>
      <c r="V972" t="str">
        <f>"7500.00"</f>
        <v>7500.00</v>
      </c>
      <c r="W972" t="str">
        <f t="shared" si="311"/>
        <v>2017</v>
      </c>
      <c r="X972" t="str">
        <f>"48.33"</f>
        <v>48.33</v>
      </c>
      <c r="Y972" t="str">
        <f>"148.95"</f>
        <v>148.95</v>
      </c>
      <c r="Z972" t="str">
        <f>""</f>
        <v/>
      </c>
      <c r="AA972" t="str">
        <f>"7500.00"</f>
        <v>7500.00</v>
      </c>
      <c r="AB972" t="str">
        <f t="shared" si="307"/>
        <v>Residential</v>
      </c>
      <c r="AC972" t="str">
        <f t="shared" si="295"/>
        <v>0</v>
      </c>
      <c r="AD972" t="str">
        <f>""</f>
        <v/>
      </c>
      <c r="AE972" t="str">
        <f>""</f>
        <v/>
      </c>
      <c r="AF972" t="str">
        <f>"000"</f>
        <v>000</v>
      </c>
      <c r="AG972" t="str">
        <f t="shared" si="316"/>
        <v>FL</v>
      </c>
      <c r="AH972" t="str">
        <f t="shared" si="312"/>
        <v>-</v>
      </c>
      <c r="AI972" t="str">
        <f t="shared" si="317"/>
        <v>7500.00</v>
      </c>
      <c r="AJ972" t="str">
        <f>"C55-000-588-7172-4"</f>
        <v>C55-000-588-7172-4</v>
      </c>
      <c r="AK972" t="str">
        <f>"15048"</f>
        <v>15048</v>
      </c>
      <c r="AL972">
        <v>4</v>
      </c>
      <c r="AM972">
        <v>1119</v>
      </c>
      <c r="AN972">
        <v>154.80000000000001</v>
      </c>
      <c r="AQ972" t="s">
        <v>10000</v>
      </c>
      <c r="AR972" t="s">
        <v>10000</v>
      </c>
      <c r="AS972" t="s">
        <v>10000</v>
      </c>
      <c r="AU972" t="s">
        <v>396</v>
      </c>
      <c r="AV972">
        <v>2017</v>
      </c>
      <c r="AW972" t="str">
        <f>"51-2N-25-4170-0038-0000 "</f>
        <v xml:space="preserve">51-2N-25-4170-0038-0000 </v>
      </c>
      <c r="AX972">
        <v>45063</v>
      </c>
      <c r="AZ972" t="s">
        <v>10001</v>
      </c>
      <c r="BA972" t="s">
        <v>1942</v>
      </c>
      <c r="BD972" t="s">
        <v>2785</v>
      </c>
      <c r="BE972" t="s">
        <v>393</v>
      </c>
      <c r="BF972">
        <v>32011</v>
      </c>
      <c r="BG972" t="s">
        <v>10002</v>
      </c>
      <c r="BH972" t="s">
        <v>2787</v>
      </c>
      <c r="BI972">
        <v>-81.824932899023395</v>
      </c>
      <c r="BJ972">
        <v>30.5709016041566</v>
      </c>
      <c r="BK972" t="s">
        <v>10003</v>
      </c>
      <c r="BM972" t="s">
        <v>10004</v>
      </c>
      <c r="BN972" t="s">
        <v>928</v>
      </c>
      <c r="BO972">
        <v>32011</v>
      </c>
      <c r="BP972" t="s">
        <v>404</v>
      </c>
      <c r="BQ972">
        <v>0</v>
      </c>
      <c r="BR972" t="s">
        <v>491</v>
      </c>
      <c r="BS972">
        <v>8001</v>
      </c>
      <c r="BT972" t="s">
        <v>492</v>
      </c>
      <c r="BW972">
        <v>7500</v>
      </c>
      <c r="BX972" t="s">
        <v>407</v>
      </c>
      <c r="BY972" t="s">
        <v>4360</v>
      </c>
      <c r="CD972">
        <v>2017</v>
      </c>
      <c r="CE972">
        <v>7500</v>
      </c>
      <c r="CG972">
        <v>7500</v>
      </c>
      <c r="CH972">
        <v>2017</v>
      </c>
      <c r="CI972">
        <v>7500</v>
      </c>
      <c r="CK972">
        <v>7500</v>
      </c>
      <c r="CL972">
        <v>2017</v>
      </c>
      <c r="CM972">
        <v>113.54</v>
      </c>
      <c r="CN972" s="1">
        <v>39631</v>
      </c>
      <c r="CO972">
        <v>6400</v>
      </c>
      <c r="CZ972" s="1">
        <v>39631</v>
      </c>
      <c r="DD972" t="s">
        <v>2785</v>
      </c>
      <c r="DF972">
        <v>38</v>
      </c>
      <c r="DG972">
        <v>51</v>
      </c>
      <c r="DJ972" t="s">
        <v>9950</v>
      </c>
      <c r="DL972">
        <v>50503</v>
      </c>
      <c r="DM972" t="s">
        <v>9755</v>
      </c>
      <c r="DO972" t="s">
        <v>10005</v>
      </c>
      <c r="DP972">
        <v>0</v>
      </c>
      <c r="DQ972">
        <v>0</v>
      </c>
      <c r="DR972" t="s">
        <v>411</v>
      </c>
      <c r="DS972" t="b">
        <v>1</v>
      </c>
      <c r="DT972" t="s">
        <v>470</v>
      </c>
      <c r="DU972" t="s">
        <v>471</v>
      </c>
      <c r="DV972" t="s">
        <v>472</v>
      </c>
      <c r="DX972">
        <v>-9999</v>
      </c>
      <c r="DZ972" t="s">
        <v>447</v>
      </c>
      <c r="EA972" t="s">
        <v>448</v>
      </c>
      <c r="EB972" t="s">
        <v>742</v>
      </c>
      <c r="EC972">
        <v>20101217</v>
      </c>
      <c r="ED972" t="s">
        <v>474</v>
      </c>
      <c r="EF972">
        <v>512.6</v>
      </c>
      <c r="EG972">
        <v>512.6</v>
      </c>
      <c r="EI972">
        <v>20160407</v>
      </c>
      <c r="EJ972">
        <v>0</v>
      </c>
      <c r="EK972">
        <v>0</v>
      </c>
      <c r="EP972" t="s">
        <v>595</v>
      </c>
      <c r="EQ972" t="s">
        <v>422</v>
      </c>
      <c r="ER972">
        <v>6</v>
      </c>
      <c r="ES972">
        <v>4</v>
      </c>
      <c r="ET972">
        <v>963.11</v>
      </c>
      <c r="EU972">
        <v>394.71</v>
      </c>
      <c r="EV972">
        <v>1357.82</v>
      </c>
      <c r="EW972" s="2">
        <v>43222</v>
      </c>
      <c r="EX972" s="1">
        <v>42879</v>
      </c>
      <c r="EY972">
        <v>2016</v>
      </c>
      <c r="EZ972">
        <v>151.51</v>
      </c>
      <c r="FA972" t="s">
        <v>10006</v>
      </c>
      <c r="FB972">
        <v>18</v>
      </c>
      <c r="FC972" t="s">
        <v>603</v>
      </c>
      <c r="FD972" t="s">
        <v>454</v>
      </c>
      <c r="FF972">
        <v>12</v>
      </c>
      <c r="FG972">
        <v>9999999</v>
      </c>
      <c r="FH972" t="s">
        <v>604</v>
      </c>
      <c r="FJ972" s="1">
        <v>42879</v>
      </c>
      <c r="FK972">
        <v>2016</v>
      </c>
      <c r="FL972">
        <v>182.76</v>
      </c>
      <c r="FM972" t="s">
        <v>10006</v>
      </c>
      <c r="FN972">
        <v>18</v>
      </c>
      <c r="FO972" t="s">
        <v>424</v>
      </c>
      <c r="FP972" t="s">
        <v>454</v>
      </c>
      <c r="FR972">
        <v>12</v>
      </c>
      <c r="FS972">
        <v>2101381</v>
      </c>
      <c r="FT972" t="s">
        <v>605</v>
      </c>
      <c r="FV972" s="1">
        <v>42515</v>
      </c>
      <c r="FW972">
        <v>2015</v>
      </c>
      <c r="FX972">
        <v>150.9</v>
      </c>
      <c r="FY972" t="s">
        <v>10007</v>
      </c>
      <c r="FZ972">
        <v>18</v>
      </c>
      <c r="GA972" t="s">
        <v>603</v>
      </c>
      <c r="GB972" t="s">
        <v>454</v>
      </c>
      <c r="GD972">
        <v>24</v>
      </c>
      <c r="GE972">
        <v>9999999</v>
      </c>
      <c r="GF972" t="s">
        <v>604</v>
      </c>
      <c r="GH972" s="1">
        <v>42515</v>
      </c>
      <c r="GI972">
        <v>2015</v>
      </c>
      <c r="GJ972">
        <v>182.05</v>
      </c>
      <c r="GK972" t="s">
        <v>10007</v>
      </c>
      <c r="GL972">
        <v>18</v>
      </c>
      <c r="GM972" t="s">
        <v>424</v>
      </c>
      <c r="GN972" t="s">
        <v>454</v>
      </c>
      <c r="GP972">
        <v>24</v>
      </c>
      <c r="GQ972">
        <v>7336740</v>
      </c>
      <c r="GR972" t="s">
        <v>10008</v>
      </c>
      <c r="GT972" s="1">
        <v>42151</v>
      </c>
      <c r="GU972">
        <v>2014</v>
      </c>
      <c r="GV972">
        <v>150.88999999999999</v>
      </c>
      <c r="GW972" t="s">
        <v>10009</v>
      </c>
      <c r="GX972">
        <v>18</v>
      </c>
      <c r="GY972" t="s">
        <v>424</v>
      </c>
      <c r="GZ972" t="s">
        <v>454</v>
      </c>
      <c r="HB972">
        <v>36</v>
      </c>
      <c r="HC972">
        <v>10125</v>
      </c>
      <c r="HD972" t="s">
        <v>440</v>
      </c>
      <c r="HF972" s="1">
        <v>41787</v>
      </c>
      <c r="HG972">
        <v>2013</v>
      </c>
      <c r="HH972">
        <v>145</v>
      </c>
      <c r="HI972" t="s">
        <v>10010</v>
      </c>
      <c r="HJ972">
        <v>16.5</v>
      </c>
      <c r="HK972" t="s">
        <v>424</v>
      </c>
      <c r="HL972" t="s">
        <v>454</v>
      </c>
      <c r="HN972">
        <v>48</v>
      </c>
      <c r="HO972">
        <v>10125</v>
      </c>
      <c r="HP972" t="s">
        <v>440</v>
      </c>
      <c r="HR972" s="1">
        <v>41423</v>
      </c>
      <c r="HS972">
        <v>2012</v>
      </c>
      <c r="HT972">
        <v>146.71</v>
      </c>
      <c r="HU972" t="s">
        <v>10011</v>
      </c>
      <c r="HV972">
        <v>17</v>
      </c>
      <c r="HW972" t="s">
        <v>424</v>
      </c>
      <c r="HX972" t="s">
        <v>425</v>
      </c>
      <c r="HY972" s="1">
        <v>43104</v>
      </c>
      <c r="HZ972">
        <v>56</v>
      </c>
      <c r="IA972">
        <v>10628</v>
      </c>
      <c r="IB972" t="s">
        <v>943</v>
      </c>
      <c r="ID972" s="1">
        <v>41052</v>
      </c>
      <c r="IE972">
        <v>2011</v>
      </c>
      <c r="IF972">
        <v>157.56</v>
      </c>
      <c r="IG972" t="s">
        <v>10012</v>
      </c>
      <c r="IH972">
        <v>18</v>
      </c>
      <c r="II972" t="s">
        <v>424</v>
      </c>
      <c r="IJ972" t="s">
        <v>425</v>
      </c>
      <c r="IK972" s="1">
        <v>43104</v>
      </c>
      <c r="IL972">
        <v>68</v>
      </c>
      <c r="IM972">
        <v>619</v>
      </c>
      <c r="IN972" t="s">
        <v>2768</v>
      </c>
      <c r="IP972" s="1">
        <v>40688</v>
      </c>
      <c r="IQ972">
        <v>2010</v>
      </c>
      <c r="IR972">
        <v>390.65</v>
      </c>
      <c r="IS972" t="s">
        <v>10013</v>
      </c>
      <c r="IT972">
        <v>8.75</v>
      </c>
      <c r="IU972" t="s">
        <v>424</v>
      </c>
      <c r="IV972" t="s">
        <v>425</v>
      </c>
      <c r="IW972" s="1">
        <v>43012</v>
      </c>
      <c r="IX972">
        <v>77</v>
      </c>
      <c r="IY972">
        <v>375</v>
      </c>
      <c r="IZ972" t="s">
        <v>776</v>
      </c>
      <c r="JB972" s="1">
        <v>40688</v>
      </c>
      <c r="JC972">
        <v>2010</v>
      </c>
      <c r="JD972">
        <v>390.65</v>
      </c>
      <c r="JE972" t="s">
        <v>10013</v>
      </c>
      <c r="JF972">
        <v>8.75</v>
      </c>
      <c r="JG972" t="s">
        <v>424</v>
      </c>
      <c r="JH972" t="s">
        <v>425</v>
      </c>
      <c r="JJ972">
        <v>22</v>
      </c>
      <c r="JK972">
        <v>105</v>
      </c>
      <c r="JL972" t="s">
        <v>946</v>
      </c>
    </row>
    <row r="973" spans="1:308" x14ac:dyDescent="0.25">
      <c r="A973">
        <v>16485980</v>
      </c>
      <c r="B973">
        <v>972</v>
      </c>
      <c r="C973" t="s">
        <v>393</v>
      </c>
      <c r="D973" t="s">
        <v>394</v>
      </c>
      <c r="F973" t="str">
        <f>"51-2N-25-4170-0039-0000"</f>
        <v>51-2N-25-4170-0039-0000</v>
      </c>
      <c r="H973" t="str">
        <f>"5T WEALTH PARTNERS LP PO BOX 830539"</f>
        <v>5T WEALTH PARTNERS LP PO BOX 830539</v>
      </c>
      <c r="I973" t="str">
        <f>"DEPT 6200"</f>
        <v>DEPT 6200</v>
      </c>
      <c r="J973" t="str">
        <f>"BIRMINGHAM AL 35283"</f>
        <v>BIRMINGHAM AL 35283</v>
      </c>
      <c r="K973" t="str">
        <f>"45035 JAMES ST"</f>
        <v>45035 JAMES ST</v>
      </c>
      <c r="L973" t="str">
        <f t="shared" si="291"/>
        <v>CALLAHAN FL 32011</v>
      </c>
      <c r="M973" t="str">
        <f>"LOT 39 IN OR 2083/1551 J P PAGE SUB PB 3/20"</f>
        <v>LOT 39 IN OR 2083/1551 J P PAGE SUB PB 3/20</v>
      </c>
      <c r="N973" t="str">
        <f>""</f>
        <v/>
      </c>
      <c r="O973" t="str">
        <f>"54835"</f>
        <v>54835</v>
      </c>
      <c r="P973" t="str">
        <f t="shared" si="310"/>
        <v>2017</v>
      </c>
      <c r="Q973" t="str">
        <f>""</f>
        <v/>
      </c>
      <c r="R973" t="str">
        <f>"N"</f>
        <v>N</v>
      </c>
      <c r="S973" t="str">
        <f>""</f>
        <v/>
      </c>
      <c r="T973" t="str">
        <f>"138.58"</f>
        <v>138.58</v>
      </c>
      <c r="U973" t="str">
        <f>"9155.00"</f>
        <v>9155.00</v>
      </c>
      <c r="V973" t="str">
        <f>"9155.00"</f>
        <v>9155.00</v>
      </c>
      <c r="W973" t="str">
        <f t="shared" si="311"/>
        <v>2017</v>
      </c>
      <c r="X973" t="str">
        <f>"28.50"</f>
        <v>28.50</v>
      </c>
      <c r="Y973" t="str">
        <f>"174.74"</f>
        <v>174.74</v>
      </c>
      <c r="Z973" t="str">
        <f>""</f>
        <v/>
      </c>
      <c r="AA973" t="str">
        <f>"9155.00"</f>
        <v>9155.00</v>
      </c>
      <c r="AB973" t="str">
        <f t="shared" si="307"/>
        <v>Residential</v>
      </c>
      <c r="AC973" t="str">
        <f t="shared" si="295"/>
        <v>0</v>
      </c>
      <c r="AD973" t="str">
        <f>""</f>
        <v/>
      </c>
      <c r="AE973" t="str">
        <f>""</f>
        <v/>
      </c>
      <c r="AF973" t="str">
        <f>"000"</f>
        <v>000</v>
      </c>
      <c r="AG973" t="str">
        <f>"AL"</f>
        <v>AL</v>
      </c>
      <c r="AH973" t="str">
        <f t="shared" si="312"/>
        <v>-</v>
      </c>
      <c r="AI973" t="str">
        <f t="shared" si="317"/>
        <v>7500.00</v>
      </c>
      <c r="AJ973" t="str">
        <f>"C55-000-588-7173-2"</f>
        <v>C55-000-588-7173-2</v>
      </c>
      <c r="AK973" t="str">
        <f>"15049"</f>
        <v>15049</v>
      </c>
      <c r="AL973">
        <v>4</v>
      </c>
      <c r="AM973">
        <v>1120</v>
      </c>
      <c r="AN973">
        <v>181.88</v>
      </c>
      <c r="AQ973" t="s">
        <v>10014</v>
      </c>
      <c r="AR973" t="s">
        <v>10014</v>
      </c>
      <c r="AS973" t="s">
        <v>10014</v>
      </c>
      <c r="AU973" t="s">
        <v>396</v>
      </c>
      <c r="AV973">
        <v>2017</v>
      </c>
      <c r="AW973" t="str">
        <f>"51-2N-25-4170-0039-0000 "</f>
        <v xml:space="preserve">51-2N-25-4170-0039-0000 </v>
      </c>
      <c r="AX973">
        <v>45035</v>
      </c>
      <c r="AZ973" t="s">
        <v>9947</v>
      </c>
      <c r="BA973" t="s">
        <v>1942</v>
      </c>
      <c r="BD973" t="s">
        <v>2785</v>
      </c>
      <c r="BE973" t="s">
        <v>393</v>
      </c>
      <c r="BF973">
        <v>32011</v>
      </c>
      <c r="BG973" t="s">
        <v>10015</v>
      </c>
      <c r="BH973" t="s">
        <v>2787</v>
      </c>
      <c r="BI973">
        <v>-81.825072977296102</v>
      </c>
      <c r="BJ973">
        <v>30.570734787882401</v>
      </c>
      <c r="BK973" t="s">
        <v>2102</v>
      </c>
      <c r="BM973" t="s">
        <v>9665</v>
      </c>
      <c r="BN973" t="s">
        <v>9666</v>
      </c>
      <c r="BO973">
        <v>35283</v>
      </c>
      <c r="BP973" t="s">
        <v>404</v>
      </c>
      <c r="BQ973">
        <v>1</v>
      </c>
      <c r="BR973" t="s">
        <v>491</v>
      </c>
      <c r="BS973">
        <v>8001</v>
      </c>
      <c r="BT973" t="s">
        <v>492</v>
      </c>
      <c r="BW973">
        <v>7500</v>
      </c>
      <c r="BX973" t="s">
        <v>407</v>
      </c>
      <c r="BY973" t="s">
        <v>4360</v>
      </c>
      <c r="CD973">
        <v>2017</v>
      </c>
      <c r="CE973">
        <v>7500</v>
      </c>
      <c r="CF973">
        <v>1655</v>
      </c>
      <c r="CG973">
        <v>9155</v>
      </c>
      <c r="CH973">
        <v>2017</v>
      </c>
      <c r="CI973">
        <v>7500</v>
      </c>
      <c r="CJ973">
        <v>1655</v>
      </c>
      <c r="CK973">
        <v>9155</v>
      </c>
      <c r="CL973">
        <v>2017</v>
      </c>
      <c r="CM973">
        <v>138.58000000000001</v>
      </c>
      <c r="DD973" t="s">
        <v>2785</v>
      </c>
      <c r="DF973">
        <v>39</v>
      </c>
      <c r="DG973">
        <v>51</v>
      </c>
      <c r="DJ973" t="s">
        <v>9950</v>
      </c>
      <c r="DL973">
        <v>50503</v>
      </c>
      <c r="DM973" t="s">
        <v>9755</v>
      </c>
      <c r="DO973" t="s">
        <v>10016</v>
      </c>
      <c r="DP973">
        <v>0</v>
      </c>
      <c r="DQ973">
        <v>0</v>
      </c>
      <c r="DR973" t="s">
        <v>411</v>
      </c>
      <c r="DS973" t="b">
        <v>1</v>
      </c>
      <c r="DT973" t="s">
        <v>470</v>
      </c>
      <c r="DU973" t="s">
        <v>471</v>
      </c>
      <c r="DV973" t="s">
        <v>472</v>
      </c>
      <c r="DX973">
        <v>-9999</v>
      </c>
      <c r="DZ973" t="s">
        <v>447</v>
      </c>
      <c r="EA973" t="s">
        <v>448</v>
      </c>
      <c r="EB973" t="s">
        <v>742</v>
      </c>
      <c r="EC973">
        <v>20101217</v>
      </c>
      <c r="ED973" t="s">
        <v>474</v>
      </c>
      <c r="EF973">
        <v>559.79999999999995</v>
      </c>
      <c r="EG973">
        <v>559.79999999999995</v>
      </c>
      <c r="EI973">
        <v>20160407</v>
      </c>
      <c r="EJ973">
        <v>0</v>
      </c>
      <c r="EK973">
        <v>0</v>
      </c>
      <c r="EP973" t="s">
        <v>421</v>
      </c>
      <c r="EQ973" t="s">
        <v>452</v>
      </c>
      <c r="ER973">
        <v>1</v>
      </c>
      <c r="ES973">
        <v>7</v>
      </c>
      <c r="ET973">
        <v>179.44</v>
      </c>
      <c r="EU973">
        <v>23.75</v>
      </c>
      <c r="EV973">
        <v>203.19</v>
      </c>
      <c r="EW973" s="2">
        <v>43222</v>
      </c>
      <c r="EX973" s="1">
        <v>42879</v>
      </c>
      <c r="EY973">
        <v>2016</v>
      </c>
      <c r="EZ973">
        <v>179.44</v>
      </c>
      <c r="FA973" t="s">
        <v>10017</v>
      </c>
      <c r="FB973">
        <v>9.75</v>
      </c>
      <c r="FC973" t="s">
        <v>424</v>
      </c>
      <c r="FD973" t="s">
        <v>454</v>
      </c>
      <c r="FF973">
        <v>12</v>
      </c>
      <c r="FG973">
        <v>10021</v>
      </c>
      <c r="FH973" t="s">
        <v>597</v>
      </c>
      <c r="FJ973" s="1">
        <v>42515</v>
      </c>
      <c r="FK973">
        <v>2015</v>
      </c>
      <c r="FL973">
        <v>178.51</v>
      </c>
      <c r="FM973" t="s">
        <v>10018</v>
      </c>
      <c r="FN973">
        <v>18</v>
      </c>
      <c r="FO973" t="s">
        <v>424</v>
      </c>
      <c r="FP973" t="s">
        <v>425</v>
      </c>
      <c r="FR973">
        <v>22</v>
      </c>
      <c r="FS973">
        <v>7336670</v>
      </c>
      <c r="FT973" t="s">
        <v>2102</v>
      </c>
      <c r="FU973" t="s">
        <v>458</v>
      </c>
      <c r="FV973" s="1">
        <v>42151</v>
      </c>
      <c r="FW973">
        <v>2014</v>
      </c>
      <c r="FX973">
        <v>179.69</v>
      </c>
      <c r="FY973" t="s">
        <v>10019</v>
      </c>
      <c r="FZ973">
        <v>18</v>
      </c>
      <c r="GA973" t="s">
        <v>424</v>
      </c>
      <c r="GB973" t="s">
        <v>425</v>
      </c>
      <c r="GC973" s="1">
        <v>42551</v>
      </c>
      <c r="GD973">
        <v>13</v>
      </c>
      <c r="GE973">
        <v>10125</v>
      </c>
      <c r="GF973" t="s">
        <v>440</v>
      </c>
      <c r="GG973" t="s">
        <v>458</v>
      </c>
      <c r="GH973" s="1">
        <v>41787</v>
      </c>
      <c r="GI973">
        <v>2013</v>
      </c>
      <c r="GJ973">
        <v>171.6</v>
      </c>
      <c r="GK973" t="s">
        <v>10020</v>
      </c>
      <c r="GL973">
        <v>6.75</v>
      </c>
      <c r="GM973" t="s">
        <v>424</v>
      </c>
      <c r="GN973" t="s">
        <v>425</v>
      </c>
      <c r="GP973">
        <v>22</v>
      </c>
      <c r="GQ973">
        <v>2035919</v>
      </c>
      <c r="GR973" t="s">
        <v>507</v>
      </c>
      <c r="GS973" t="s">
        <v>458</v>
      </c>
      <c r="GT973" s="1">
        <v>41787</v>
      </c>
      <c r="GU973">
        <v>2013</v>
      </c>
      <c r="GV973">
        <v>171.6</v>
      </c>
      <c r="GW973" t="s">
        <v>10020</v>
      </c>
      <c r="GX973">
        <v>6.75</v>
      </c>
      <c r="GY973" t="s">
        <v>424</v>
      </c>
      <c r="GZ973" t="s">
        <v>425</v>
      </c>
      <c r="HB973">
        <v>22</v>
      </c>
      <c r="HC973">
        <v>7336670</v>
      </c>
      <c r="HD973" t="s">
        <v>2102</v>
      </c>
      <c r="HE973" t="s">
        <v>458</v>
      </c>
      <c r="HF973" s="1">
        <v>41423</v>
      </c>
      <c r="HG973">
        <v>2012</v>
      </c>
      <c r="HH973">
        <v>173.85</v>
      </c>
      <c r="HI973" t="s">
        <v>10021</v>
      </c>
      <c r="HJ973">
        <v>6.25</v>
      </c>
      <c r="HK973" t="s">
        <v>424</v>
      </c>
      <c r="HL973" t="s">
        <v>425</v>
      </c>
      <c r="HM973" s="1">
        <v>42551</v>
      </c>
      <c r="HN973">
        <v>37</v>
      </c>
      <c r="HO973">
        <v>2101381</v>
      </c>
      <c r="HP973" t="s">
        <v>605</v>
      </c>
      <c r="HQ973" t="s">
        <v>458</v>
      </c>
      <c r="HR973" s="1">
        <v>41052</v>
      </c>
      <c r="HS973">
        <v>2011</v>
      </c>
      <c r="HT973">
        <v>185.54</v>
      </c>
      <c r="HU973" t="s">
        <v>10022</v>
      </c>
      <c r="HV973">
        <v>18</v>
      </c>
      <c r="HW973" t="s">
        <v>424</v>
      </c>
      <c r="HX973" t="s">
        <v>425</v>
      </c>
      <c r="HY973" s="1">
        <v>42551</v>
      </c>
      <c r="HZ973">
        <v>49</v>
      </c>
      <c r="IA973">
        <v>619</v>
      </c>
      <c r="IB973" t="s">
        <v>2768</v>
      </c>
      <c r="IC973" t="s">
        <v>458</v>
      </c>
      <c r="ID973" s="1">
        <v>40688</v>
      </c>
      <c r="IE973">
        <v>2010</v>
      </c>
      <c r="IF973">
        <v>194.02</v>
      </c>
      <c r="IG973" t="s">
        <v>10023</v>
      </c>
      <c r="IH973">
        <v>0.25</v>
      </c>
      <c r="II973" t="s">
        <v>424</v>
      </c>
      <c r="IJ973" t="s">
        <v>425</v>
      </c>
      <c r="IK973" s="1">
        <v>42551</v>
      </c>
      <c r="IL973">
        <v>61</v>
      </c>
      <c r="IM973">
        <v>389</v>
      </c>
      <c r="IN973" t="s">
        <v>609</v>
      </c>
      <c r="IO973" t="s">
        <v>458</v>
      </c>
    </row>
    <row r="974" spans="1:308" x14ac:dyDescent="0.25">
      <c r="A974">
        <v>16485981</v>
      </c>
      <c r="B974">
        <v>973</v>
      </c>
      <c r="C974" t="s">
        <v>393</v>
      </c>
      <c r="D974" t="s">
        <v>394</v>
      </c>
      <c r="F974" t="str">
        <f>"51-2N-25-4170-0045-0000"</f>
        <v>51-2N-25-4170-0045-0000</v>
      </c>
      <c r="H974" t="str">
        <f>"HENDRICKS DANIEL R"</f>
        <v>HENDRICKS DANIEL R</v>
      </c>
      <c r="I974" t="str">
        <f>"44500 CATIES WAY"</f>
        <v>44500 CATIES WAY</v>
      </c>
      <c r="J974" t="str">
        <f>"CALLAHAN FL 32011"</f>
        <v>CALLAHAN FL 32011</v>
      </c>
      <c r="K974" t="str">
        <f>"45052 LUTHER ST"</f>
        <v>45052 LUTHER ST</v>
      </c>
      <c r="L974" t="str">
        <f t="shared" si="291"/>
        <v>CALLAHAN FL 32011</v>
      </c>
      <c r="M974" t="str">
        <f>"LOTS 45 46 &amp; 47 IN OR 1522/199 J P PAGE SUB PB 3/20"</f>
        <v>LOTS 45 46 &amp; 47 IN OR 1522/199 J P PAGE SUB PB 3/20</v>
      </c>
      <c r="N974" t="str">
        <f>""</f>
        <v/>
      </c>
      <c r="O974" t="str">
        <f>"54839"</f>
        <v>54839</v>
      </c>
      <c r="P974" t="str">
        <f t="shared" si="310"/>
        <v>2017</v>
      </c>
      <c r="Q974" t="str">
        <f>""</f>
        <v/>
      </c>
      <c r="R974" t="str">
        <f>"N"</f>
        <v>N</v>
      </c>
      <c r="S974" t="str">
        <f>""</f>
        <v/>
      </c>
      <c r="T974" t="str">
        <f>"204.38"</f>
        <v>204.38</v>
      </c>
      <c r="U974" t="str">
        <f>"13500.00"</f>
        <v>13500.00</v>
      </c>
      <c r="V974" t="str">
        <f>"13500.00"</f>
        <v>13500.00</v>
      </c>
      <c r="W974" t="str">
        <f t="shared" si="311"/>
        <v>2017</v>
      </c>
      <c r="X974" t="str">
        <f>"29.63"</f>
        <v>29.63</v>
      </c>
      <c r="Y974" t="str">
        <f>"242.51"</f>
        <v>242.51</v>
      </c>
      <c r="Z974" t="str">
        <f>""</f>
        <v/>
      </c>
      <c r="AA974" t="str">
        <f>"13500.00"</f>
        <v>13500.00</v>
      </c>
      <c r="AB974" t="str">
        <f t="shared" si="307"/>
        <v>Residential</v>
      </c>
      <c r="AC974" t="str">
        <f t="shared" si="295"/>
        <v>0</v>
      </c>
      <c r="AD974" t="str">
        <f>""</f>
        <v/>
      </c>
      <c r="AE974" t="str">
        <f>""</f>
        <v/>
      </c>
      <c r="AF974" t="str">
        <f>"000"</f>
        <v>000</v>
      </c>
      <c r="AG974" t="str">
        <f t="shared" ref="AG974:AG981" si="318">"FL"</f>
        <v>FL</v>
      </c>
      <c r="AH974" t="str">
        <f t="shared" si="312"/>
        <v>-</v>
      </c>
      <c r="AI974" t="str">
        <f>"13500.00"</f>
        <v>13500.00</v>
      </c>
      <c r="AJ974" t="str">
        <f>"C55-000-588-7176-5"</f>
        <v>C55-000-588-7176-5</v>
      </c>
      <c r="AK974" t="str">
        <f>"15052"</f>
        <v>15052</v>
      </c>
      <c r="AL974">
        <v>4</v>
      </c>
      <c r="AM974">
        <v>1121</v>
      </c>
      <c r="AN974">
        <v>253.04</v>
      </c>
      <c r="AQ974" t="s">
        <v>10024</v>
      </c>
      <c r="AR974" t="s">
        <v>10024</v>
      </c>
      <c r="AS974" t="s">
        <v>10024</v>
      </c>
      <c r="AU974" t="s">
        <v>396</v>
      </c>
      <c r="AV974">
        <v>2017</v>
      </c>
      <c r="AW974" t="str">
        <f>"51-2N-25-4170-0045-0000 "</f>
        <v xml:space="preserve">51-2N-25-4170-0045-0000 </v>
      </c>
      <c r="AX974">
        <v>45052</v>
      </c>
      <c r="AZ974" t="s">
        <v>10025</v>
      </c>
      <c r="BA974" t="s">
        <v>1942</v>
      </c>
      <c r="BD974" t="s">
        <v>2785</v>
      </c>
      <c r="BE974" t="s">
        <v>393</v>
      </c>
      <c r="BF974">
        <v>32011</v>
      </c>
      <c r="BG974" t="s">
        <v>10026</v>
      </c>
      <c r="BH974" t="s">
        <v>2787</v>
      </c>
      <c r="BI974">
        <v>-81.825330009714705</v>
      </c>
      <c r="BJ974">
        <v>30.570896378973</v>
      </c>
      <c r="BK974" t="s">
        <v>10027</v>
      </c>
      <c r="BM974" t="s">
        <v>10028</v>
      </c>
      <c r="BN974" t="s">
        <v>928</v>
      </c>
      <c r="BO974">
        <v>32011</v>
      </c>
      <c r="BP974" t="s">
        <v>404</v>
      </c>
      <c r="BQ974">
        <v>0</v>
      </c>
      <c r="BR974" t="s">
        <v>491</v>
      </c>
      <c r="BS974">
        <v>8001</v>
      </c>
      <c r="BT974" t="s">
        <v>492</v>
      </c>
      <c r="BW974">
        <v>22500</v>
      </c>
      <c r="BX974" t="s">
        <v>407</v>
      </c>
      <c r="BY974" t="s">
        <v>4360</v>
      </c>
      <c r="CD974">
        <v>2017</v>
      </c>
      <c r="CE974">
        <v>13500</v>
      </c>
      <c r="CG974">
        <v>13500</v>
      </c>
      <c r="CH974">
        <v>2017</v>
      </c>
      <c r="CI974">
        <v>13500</v>
      </c>
      <c r="CK974">
        <v>13500</v>
      </c>
      <c r="CL974">
        <v>2017</v>
      </c>
      <c r="CM974">
        <v>204.38</v>
      </c>
      <c r="CN974" s="1">
        <v>39323</v>
      </c>
      <c r="CO974">
        <v>9700</v>
      </c>
      <c r="CZ974" s="1">
        <v>39323</v>
      </c>
      <c r="DD974" t="s">
        <v>2785</v>
      </c>
      <c r="DG974">
        <v>51</v>
      </c>
      <c r="DJ974" t="s">
        <v>9950</v>
      </c>
      <c r="DL974">
        <v>50503</v>
      </c>
      <c r="DM974" t="s">
        <v>9755</v>
      </c>
      <c r="DO974" t="s">
        <v>10029</v>
      </c>
      <c r="DP974">
        <v>0</v>
      </c>
      <c r="DQ974">
        <v>0</v>
      </c>
      <c r="DR974" t="s">
        <v>411</v>
      </c>
      <c r="DS974" t="b">
        <v>1</v>
      </c>
      <c r="DT974" t="s">
        <v>470</v>
      </c>
      <c r="DU974" t="s">
        <v>471</v>
      </c>
      <c r="DV974" t="s">
        <v>472</v>
      </c>
      <c r="DX974">
        <v>-9999</v>
      </c>
      <c r="DZ974" t="s">
        <v>447</v>
      </c>
      <c r="EA974" t="s">
        <v>448</v>
      </c>
      <c r="EB974" t="s">
        <v>742</v>
      </c>
      <c r="EC974">
        <v>20101217</v>
      </c>
      <c r="ED974" t="s">
        <v>474</v>
      </c>
      <c r="EF974">
        <v>637.6</v>
      </c>
      <c r="EG974">
        <v>637.6</v>
      </c>
      <c r="EI974">
        <v>20160407</v>
      </c>
      <c r="EJ974">
        <v>0</v>
      </c>
      <c r="EK974">
        <v>0</v>
      </c>
      <c r="EP974" t="s">
        <v>421</v>
      </c>
      <c r="EQ974" t="s">
        <v>452</v>
      </c>
      <c r="ER974">
        <v>2</v>
      </c>
      <c r="ES974">
        <v>5</v>
      </c>
      <c r="ET974">
        <v>502.69</v>
      </c>
      <c r="EU974">
        <v>138.22</v>
      </c>
      <c r="EV974">
        <v>640.91</v>
      </c>
      <c r="EW974" s="2">
        <v>43222</v>
      </c>
      <c r="EX974" s="1">
        <v>42879</v>
      </c>
      <c r="EY974">
        <v>2016</v>
      </c>
      <c r="EZ974">
        <v>251.12</v>
      </c>
      <c r="FA974" t="s">
        <v>10030</v>
      </c>
      <c r="FB974">
        <v>14</v>
      </c>
      <c r="FC974" t="s">
        <v>424</v>
      </c>
      <c r="FD974" t="s">
        <v>454</v>
      </c>
      <c r="FF974">
        <v>12</v>
      </c>
      <c r="FG974">
        <v>7685283</v>
      </c>
      <c r="FH974" t="s">
        <v>6726</v>
      </c>
      <c r="FJ974" s="1">
        <v>42515</v>
      </c>
      <c r="FK974">
        <v>2015</v>
      </c>
      <c r="FL974">
        <v>251.57</v>
      </c>
      <c r="FM974" t="s">
        <v>10031</v>
      </c>
      <c r="FN974">
        <v>18</v>
      </c>
      <c r="FO974" t="s">
        <v>424</v>
      </c>
      <c r="FP974" t="s">
        <v>454</v>
      </c>
      <c r="FR974">
        <v>24</v>
      </c>
      <c r="FS974">
        <v>7336677</v>
      </c>
      <c r="FT974" t="s">
        <v>5826</v>
      </c>
      <c r="FV974" s="1">
        <v>42151</v>
      </c>
      <c r="FW974">
        <v>2014</v>
      </c>
      <c r="FX974">
        <v>252.74</v>
      </c>
      <c r="FY974" t="s">
        <v>10032</v>
      </c>
      <c r="FZ974">
        <v>5.5</v>
      </c>
      <c r="GA974" t="s">
        <v>424</v>
      </c>
      <c r="GB974" t="s">
        <v>425</v>
      </c>
      <c r="GC974" s="1">
        <v>43012</v>
      </c>
      <c r="GD974">
        <v>29</v>
      </c>
      <c r="GE974">
        <v>10125</v>
      </c>
      <c r="GF974" t="s">
        <v>440</v>
      </c>
      <c r="GH974" s="1">
        <v>41423</v>
      </c>
      <c r="GI974">
        <v>2012</v>
      </c>
      <c r="GJ974">
        <v>243.12</v>
      </c>
      <c r="GK974" t="s">
        <v>10033</v>
      </c>
      <c r="GL974">
        <v>7.5</v>
      </c>
      <c r="GM974" t="s">
        <v>424</v>
      </c>
      <c r="GN974" t="s">
        <v>425</v>
      </c>
      <c r="GO974" s="1">
        <v>41526</v>
      </c>
      <c r="GP974">
        <v>4</v>
      </c>
      <c r="GQ974">
        <v>2035919</v>
      </c>
      <c r="GR974" t="s">
        <v>507</v>
      </c>
      <c r="GS974" t="s">
        <v>458</v>
      </c>
      <c r="GT974" s="1">
        <v>41052</v>
      </c>
      <c r="GU974">
        <v>2011</v>
      </c>
      <c r="GV974">
        <v>268.99</v>
      </c>
      <c r="GW974" t="s">
        <v>10034</v>
      </c>
      <c r="GX974">
        <v>16.75</v>
      </c>
      <c r="GY974" t="s">
        <v>424</v>
      </c>
      <c r="GZ974" t="s">
        <v>425</v>
      </c>
      <c r="HA974" s="1">
        <v>41526</v>
      </c>
      <c r="HB974">
        <v>16</v>
      </c>
      <c r="HC974">
        <v>619</v>
      </c>
      <c r="HD974" t="s">
        <v>2768</v>
      </c>
      <c r="HE974" t="s">
        <v>458</v>
      </c>
      <c r="HF974" s="1">
        <v>40688</v>
      </c>
      <c r="HG974">
        <v>2010</v>
      </c>
      <c r="HH974">
        <v>284.48</v>
      </c>
      <c r="HI974" t="s">
        <v>10035</v>
      </c>
      <c r="HJ974">
        <v>8.25</v>
      </c>
      <c r="HK974" t="s">
        <v>424</v>
      </c>
      <c r="HL974" t="s">
        <v>425</v>
      </c>
      <c r="HN974">
        <v>22</v>
      </c>
      <c r="HO974">
        <v>15175</v>
      </c>
      <c r="HP974" t="s">
        <v>588</v>
      </c>
      <c r="HQ974" t="s">
        <v>458</v>
      </c>
      <c r="HR974" s="1">
        <v>40688</v>
      </c>
      <c r="HS974">
        <v>2010</v>
      </c>
      <c r="HT974">
        <v>284.48</v>
      </c>
      <c r="HU974" t="s">
        <v>10035</v>
      </c>
      <c r="HV974">
        <v>8.25</v>
      </c>
      <c r="HW974" t="s">
        <v>424</v>
      </c>
      <c r="HX974" t="s">
        <v>425</v>
      </c>
      <c r="HZ974">
        <v>22</v>
      </c>
      <c r="IA974">
        <v>10548</v>
      </c>
      <c r="IB974" t="s">
        <v>589</v>
      </c>
      <c r="IC974" t="s">
        <v>458</v>
      </c>
    </row>
    <row r="975" spans="1:308" x14ac:dyDescent="0.25">
      <c r="A975">
        <v>16485982</v>
      </c>
      <c r="B975">
        <v>974</v>
      </c>
      <c r="C975" t="s">
        <v>393</v>
      </c>
      <c r="D975" t="s">
        <v>394</v>
      </c>
      <c r="F975" t="str">
        <f>"51-2N-25-4170-0049-0000"</f>
        <v>51-2N-25-4170-0049-0000</v>
      </c>
      <c r="H975" t="str">
        <f>"TIMMONS LEONARD JR"</f>
        <v>TIMMONS LEONARD JR</v>
      </c>
      <c r="I975" t="str">
        <f>"PO BOX 205"</f>
        <v>PO BOX 205</v>
      </c>
      <c r="J975" t="str">
        <f>"CALLAHAN FL 32011"</f>
        <v>CALLAHAN FL 32011</v>
      </c>
      <c r="K975" t="str">
        <f>"45108 LUTHER ST"</f>
        <v>45108 LUTHER ST</v>
      </c>
      <c r="L975" t="str">
        <f t="shared" si="291"/>
        <v>CALLAHAN FL 32011</v>
      </c>
      <c r="M975" t="str">
        <f>"LOTS 49 &amp; 50 IN OR 855/219 R674070 &amp; R674071 J P PAGE SUB PB 3/20"</f>
        <v>LOTS 49 &amp; 50 IN OR 855/219 R674070 &amp; R674071 J P PAGE SUB PB 3/20</v>
      </c>
      <c r="N975" t="str">
        <f>""</f>
        <v/>
      </c>
      <c r="O975" t="str">
        <f>"54841"</f>
        <v>54841</v>
      </c>
      <c r="P975" t="str">
        <f t="shared" si="310"/>
        <v>2017</v>
      </c>
      <c r="Q975" t="str">
        <f>""</f>
        <v/>
      </c>
      <c r="R975" t="str">
        <f>"Y"</f>
        <v>Y</v>
      </c>
      <c r="S975" t="str">
        <f>""</f>
        <v/>
      </c>
      <c r="T975" t="str">
        <f>"248.86"</f>
        <v>248.86</v>
      </c>
      <c r="U975" t="str">
        <f>"41439.00"</f>
        <v>41439.00</v>
      </c>
      <c r="V975" t="str">
        <f>"41439.00"</f>
        <v>41439.00</v>
      </c>
      <c r="W975" t="str">
        <f t="shared" si="311"/>
        <v>2017</v>
      </c>
      <c r="X975" t="str">
        <f>"15.13"</f>
        <v>15.13</v>
      </c>
      <c r="Y975" t="str">
        <f>"288.33"</f>
        <v>288.33</v>
      </c>
      <c r="Z975" t="str">
        <f>"25000.00"</f>
        <v>25000.00</v>
      </c>
      <c r="AA975" t="str">
        <f>"16439.00"</f>
        <v>16439.00</v>
      </c>
      <c r="AB975" t="str">
        <f t="shared" si="307"/>
        <v>Residential</v>
      </c>
      <c r="AC975" t="str">
        <f t="shared" si="295"/>
        <v>0</v>
      </c>
      <c r="AD975" t="str">
        <f>"4"</f>
        <v>4</v>
      </c>
      <c r="AE975" t="str">
        <f>"WOOD (INCLUDE STEEL STUDS)"</f>
        <v>WOOD (INCLUDE STEEL STUDS)</v>
      </c>
      <c r="AF975" t="str">
        <f>"002"</f>
        <v>002</v>
      </c>
      <c r="AG975" t="str">
        <f t="shared" si="318"/>
        <v>FL</v>
      </c>
      <c r="AH975" t="str">
        <f t="shared" si="312"/>
        <v>-</v>
      </c>
      <c r="AI975" t="str">
        <f>"15000.00"</f>
        <v>15000.00</v>
      </c>
      <c r="AJ975" t="str">
        <f>"C55-000-588-7178-1"</f>
        <v>C55-000-588-7178-1</v>
      </c>
      <c r="AK975" t="str">
        <f>"15054"</f>
        <v>15054</v>
      </c>
      <c r="AL975">
        <v>4</v>
      </c>
      <c r="AM975">
        <v>1122</v>
      </c>
      <c r="AN975">
        <v>301.14999999999998</v>
      </c>
      <c r="AQ975" t="s">
        <v>10036</v>
      </c>
      <c r="AR975" t="s">
        <v>10036</v>
      </c>
      <c r="AS975" t="s">
        <v>10036</v>
      </c>
      <c r="AU975" t="s">
        <v>396</v>
      </c>
      <c r="AV975">
        <v>2017</v>
      </c>
      <c r="AW975" t="str">
        <f>"51-2N-25-4170-0049-0000 "</f>
        <v xml:space="preserve">51-2N-25-4170-0049-0000 </v>
      </c>
      <c r="AX975">
        <v>45108</v>
      </c>
      <c r="AZ975" t="s">
        <v>10025</v>
      </c>
      <c r="BA975" t="s">
        <v>1942</v>
      </c>
      <c r="BD975" t="s">
        <v>2785</v>
      </c>
      <c r="BE975" t="s">
        <v>393</v>
      </c>
      <c r="BF975">
        <v>32011</v>
      </c>
      <c r="BG975" t="s">
        <v>10037</v>
      </c>
      <c r="BH975" t="s">
        <v>2787</v>
      </c>
      <c r="BI975">
        <v>-81.824746425379402</v>
      </c>
      <c r="BJ975">
        <v>30.571591462504902</v>
      </c>
      <c r="BK975" t="s">
        <v>10038</v>
      </c>
      <c r="BM975" t="s">
        <v>10039</v>
      </c>
      <c r="BN975" t="s">
        <v>928</v>
      </c>
      <c r="BO975">
        <v>32011</v>
      </c>
      <c r="BP975" t="s">
        <v>404</v>
      </c>
      <c r="BQ975">
        <v>200</v>
      </c>
      <c r="BR975" t="s">
        <v>405</v>
      </c>
      <c r="BS975">
        <v>1006</v>
      </c>
      <c r="BT975" t="s">
        <v>406</v>
      </c>
      <c r="BW975">
        <v>15000</v>
      </c>
      <c r="BX975" t="s">
        <v>407</v>
      </c>
      <c r="BY975" t="s">
        <v>4360</v>
      </c>
      <c r="BZ975">
        <v>4</v>
      </c>
      <c r="CA975">
        <v>1999</v>
      </c>
      <c r="CB975">
        <v>1</v>
      </c>
      <c r="CC975">
        <v>1</v>
      </c>
      <c r="CD975">
        <v>2017</v>
      </c>
      <c r="CG975">
        <v>41439</v>
      </c>
      <c r="CH975">
        <v>2017</v>
      </c>
      <c r="CI975">
        <v>15000</v>
      </c>
      <c r="CJ975">
        <v>39038</v>
      </c>
      <c r="CK975">
        <v>54038</v>
      </c>
      <c r="CL975">
        <v>2017</v>
      </c>
      <c r="CM975">
        <v>248.86</v>
      </c>
      <c r="CN975" s="1">
        <v>36108</v>
      </c>
      <c r="CO975">
        <v>16000</v>
      </c>
      <c r="CZ975" s="1">
        <v>36108</v>
      </c>
      <c r="DD975" t="s">
        <v>2785</v>
      </c>
      <c r="DG975">
        <v>51</v>
      </c>
      <c r="DL975">
        <v>50503</v>
      </c>
      <c r="DM975" t="s">
        <v>9755</v>
      </c>
      <c r="DO975" t="s">
        <v>10040</v>
      </c>
      <c r="DP975">
        <v>0</v>
      </c>
      <c r="DQ975">
        <v>0</v>
      </c>
      <c r="DR975" t="s">
        <v>411</v>
      </c>
      <c r="DS975" t="b">
        <v>1</v>
      </c>
      <c r="DT975" t="s">
        <v>470</v>
      </c>
      <c r="DU975" t="s">
        <v>471</v>
      </c>
      <c r="DV975" t="s">
        <v>472</v>
      </c>
      <c r="DX975">
        <v>-9999</v>
      </c>
      <c r="DZ975" t="s">
        <v>447</v>
      </c>
      <c r="EA975" t="s">
        <v>448</v>
      </c>
      <c r="EB975" t="s">
        <v>742</v>
      </c>
      <c r="EC975">
        <v>20101217</v>
      </c>
      <c r="ED975" t="s">
        <v>474</v>
      </c>
      <c r="EF975">
        <v>512.29999999999995</v>
      </c>
      <c r="EG975">
        <v>512.29999999999995</v>
      </c>
      <c r="EI975">
        <v>20160407</v>
      </c>
      <c r="EJ975">
        <v>0</v>
      </c>
      <c r="EK975">
        <v>0</v>
      </c>
      <c r="EP975" t="s">
        <v>421</v>
      </c>
      <c r="EQ975" t="s">
        <v>422</v>
      </c>
      <c r="ER975">
        <v>0</v>
      </c>
      <c r="ES975">
        <v>6</v>
      </c>
      <c r="ET975">
        <v>0</v>
      </c>
      <c r="EU975">
        <v>0</v>
      </c>
      <c r="EV975">
        <v>0</v>
      </c>
      <c r="EW975" s="2">
        <v>43222</v>
      </c>
      <c r="EX975" s="1">
        <v>42515</v>
      </c>
      <c r="EY975">
        <v>2015</v>
      </c>
      <c r="EZ975">
        <v>282.27</v>
      </c>
      <c r="FA975" t="s">
        <v>10041</v>
      </c>
      <c r="FB975">
        <v>0.25</v>
      </c>
      <c r="FC975" t="s">
        <v>424</v>
      </c>
      <c r="FD975" t="s">
        <v>425</v>
      </c>
      <c r="FE975" s="1">
        <v>42817</v>
      </c>
      <c r="FF975">
        <v>10</v>
      </c>
      <c r="FG975">
        <v>7336671</v>
      </c>
      <c r="FH975" t="s">
        <v>437</v>
      </c>
      <c r="FJ975" s="1">
        <v>42515</v>
      </c>
      <c r="FK975">
        <v>2015</v>
      </c>
      <c r="FL975">
        <v>282.27</v>
      </c>
      <c r="FM975" t="s">
        <v>10041</v>
      </c>
      <c r="FN975">
        <v>0.25</v>
      </c>
      <c r="FO975" t="s">
        <v>424</v>
      </c>
      <c r="FP975" t="s">
        <v>425</v>
      </c>
      <c r="FR975">
        <v>22</v>
      </c>
      <c r="FS975">
        <v>6877733</v>
      </c>
      <c r="FT975" t="s">
        <v>10042</v>
      </c>
      <c r="FV975" s="1">
        <v>41787</v>
      </c>
      <c r="FW975">
        <v>2013</v>
      </c>
      <c r="FX975">
        <v>373.03</v>
      </c>
      <c r="FY975" t="s">
        <v>10043</v>
      </c>
      <c r="FZ975">
        <v>2.25</v>
      </c>
      <c r="GA975" t="s">
        <v>424</v>
      </c>
      <c r="GB975" t="s">
        <v>425</v>
      </c>
      <c r="GC975" s="1">
        <v>42054</v>
      </c>
      <c r="GD975">
        <v>9</v>
      </c>
      <c r="GE975">
        <v>15399</v>
      </c>
      <c r="GF975" t="s">
        <v>485</v>
      </c>
      <c r="GH975" s="1">
        <v>41423</v>
      </c>
      <c r="GI975">
        <v>2012</v>
      </c>
      <c r="GJ975">
        <v>416.3</v>
      </c>
      <c r="GK975" t="s">
        <v>10044</v>
      </c>
      <c r="GL975">
        <v>3</v>
      </c>
      <c r="GM975" t="s">
        <v>424</v>
      </c>
      <c r="GN975" t="s">
        <v>425</v>
      </c>
      <c r="GO975" s="1">
        <v>42053</v>
      </c>
      <c r="GP975">
        <v>21</v>
      </c>
      <c r="GQ975">
        <v>15399</v>
      </c>
      <c r="GR975" t="s">
        <v>485</v>
      </c>
      <c r="GT975" s="1">
        <v>41052</v>
      </c>
      <c r="GU975">
        <v>2011</v>
      </c>
      <c r="GV975">
        <v>425.72</v>
      </c>
      <c r="GW975" t="s">
        <v>10045</v>
      </c>
      <c r="GX975">
        <v>6</v>
      </c>
      <c r="GY975" t="s">
        <v>424</v>
      </c>
      <c r="GZ975" t="s">
        <v>425</v>
      </c>
      <c r="HA975" s="1">
        <v>41684</v>
      </c>
      <c r="HB975">
        <v>21</v>
      </c>
      <c r="HC975">
        <v>105</v>
      </c>
      <c r="HD975" t="s">
        <v>946</v>
      </c>
      <c r="HF975" s="1">
        <v>40688</v>
      </c>
      <c r="HG975">
        <v>2010</v>
      </c>
      <c r="HH975">
        <v>438.55</v>
      </c>
      <c r="HI975" t="s">
        <v>10046</v>
      </c>
      <c r="HJ975">
        <v>7.75</v>
      </c>
      <c r="HK975" t="s">
        <v>424</v>
      </c>
      <c r="HL975" t="s">
        <v>425</v>
      </c>
      <c r="HM975" s="1">
        <v>41324</v>
      </c>
      <c r="HN975">
        <v>21</v>
      </c>
      <c r="HO975">
        <v>305</v>
      </c>
      <c r="HP975" t="s">
        <v>1078</v>
      </c>
    </row>
    <row r="976" spans="1:308" x14ac:dyDescent="0.25">
      <c r="A976">
        <v>16485983</v>
      </c>
      <c r="B976">
        <v>975</v>
      </c>
      <c r="C976" t="s">
        <v>393</v>
      </c>
      <c r="D976" t="s">
        <v>394</v>
      </c>
      <c r="F976" t="str">
        <f>"51-2N-25-4170-0057-0000"</f>
        <v>51-2N-25-4170-0057-0000</v>
      </c>
      <c r="H976" t="str">
        <f>"HAM KAROLINE"</f>
        <v>HAM KAROLINE</v>
      </c>
      <c r="I976" t="str">
        <f>"14464 AMELIA COVE DR"</f>
        <v>14464 AMELIA COVE DR</v>
      </c>
      <c r="J976" t="str">
        <f>"JACKSONVILLE FL 32226"</f>
        <v>JACKSONVILLE FL 32226</v>
      </c>
      <c r="K976" t="str">
        <f>"45099 LUTHER ST"</f>
        <v>45099 LUTHER ST</v>
      </c>
      <c r="L976" t="str">
        <f t="shared" si="291"/>
        <v>CALLAHAN FL 32011</v>
      </c>
      <c r="M976" t="str">
        <f>"LOT 57 IN OR 2133/214 J P PAGE SUB PB 3/20"</f>
        <v>LOT 57 IN OR 2133/214 J P PAGE SUB PB 3/20</v>
      </c>
      <c r="N976" t="str">
        <f>""</f>
        <v/>
      </c>
      <c r="O976" t="str">
        <f>"54846"</f>
        <v>54846</v>
      </c>
      <c r="P976" t="str">
        <f t="shared" si="310"/>
        <v>2017</v>
      </c>
      <c r="Q976" t="str">
        <f>""</f>
        <v/>
      </c>
      <c r="R976" t="str">
        <f>"N"</f>
        <v>N</v>
      </c>
      <c r="S976" t="str">
        <f>""</f>
        <v/>
      </c>
      <c r="T976" t="str">
        <f>"113.54"</f>
        <v>113.54</v>
      </c>
      <c r="U976" t="str">
        <f>"7500.00"</f>
        <v>7500.00</v>
      </c>
      <c r="V976" t="str">
        <f>"7500.00"</f>
        <v>7500.00</v>
      </c>
      <c r="W976" t="str">
        <f t="shared" si="311"/>
        <v>2017</v>
      </c>
      <c r="X976" t="str">
        <f>"9.00"</f>
        <v>9.00</v>
      </c>
      <c r="Y976" t="str">
        <f>"148.95"</f>
        <v>148.95</v>
      </c>
      <c r="Z976" t="str">
        <f>""</f>
        <v/>
      </c>
      <c r="AA976" t="str">
        <f>"7500.00"</f>
        <v>7500.00</v>
      </c>
      <c r="AB976" t="str">
        <f t="shared" si="307"/>
        <v>Residential</v>
      </c>
      <c r="AC976" t="str">
        <f t="shared" si="295"/>
        <v>0</v>
      </c>
      <c r="AD976" t="str">
        <f>""</f>
        <v/>
      </c>
      <c r="AE976" t="str">
        <f>""</f>
        <v/>
      </c>
      <c r="AF976" t="str">
        <f>"000"</f>
        <v>000</v>
      </c>
      <c r="AG976" t="str">
        <f t="shared" si="318"/>
        <v>FL</v>
      </c>
      <c r="AH976" t="str">
        <f t="shared" si="312"/>
        <v>-</v>
      </c>
      <c r="AI976" t="str">
        <f>"7500.00"</f>
        <v>7500.00</v>
      </c>
      <c r="AJ976" t="str">
        <f>"C55-000-588-7183-1"</f>
        <v>C55-000-588-7183-1</v>
      </c>
      <c r="AK976" t="str">
        <f>"15059"</f>
        <v>15059</v>
      </c>
      <c r="AL976">
        <v>4</v>
      </c>
      <c r="AM976">
        <v>1123</v>
      </c>
      <c r="AN976">
        <v>154.80000000000001</v>
      </c>
      <c r="AQ976" t="s">
        <v>10047</v>
      </c>
      <c r="AR976" t="s">
        <v>10047</v>
      </c>
      <c r="AS976" t="s">
        <v>10047</v>
      </c>
      <c r="AU976" t="s">
        <v>396</v>
      </c>
      <c r="AV976">
        <v>2017</v>
      </c>
      <c r="AW976" t="str">
        <f>"51-2N-25-4170-0057-0000 "</f>
        <v xml:space="preserve">51-2N-25-4170-0057-0000 </v>
      </c>
      <c r="AX976">
        <v>45099</v>
      </c>
      <c r="AZ976" t="s">
        <v>10025</v>
      </c>
      <c r="BA976" t="s">
        <v>1942</v>
      </c>
      <c r="BD976" t="s">
        <v>2785</v>
      </c>
      <c r="BE976" t="s">
        <v>393</v>
      </c>
      <c r="BF976">
        <v>32011</v>
      </c>
      <c r="BG976" t="s">
        <v>10048</v>
      </c>
      <c r="BH976" t="s">
        <v>2787</v>
      </c>
      <c r="BI976">
        <v>-81.825178704410405</v>
      </c>
      <c r="BJ976">
        <v>30.571778245130702</v>
      </c>
      <c r="BK976" t="s">
        <v>10049</v>
      </c>
      <c r="BM976" t="s">
        <v>10050</v>
      </c>
      <c r="BN976" t="s">
        <v>548</v>
      </c>
      <c r="BO976">
        <v>32226</v>
      </c>
      <c r="BP976" t="s">
        <v>404</v>
      </c>
      <c r="BQ976">
        <v>0</v>
      </c>
      <c r="BR976" t="s">
        <v>491</v>
      </c>
      <c r="BS976">
        <v>8001</v>
      </c>
      <c r="BT976" t="s">
        <v>492</v>
      </c>
      <c r="BW976">
        <v>5000</v>
      </c>
      <c r="BX976" t="s">
        <v>407</v>
      </c>
      <c r="BY976" t="s">
        <v>4360</v>
      </c>
      <c r="CD976">
        <v>2017</v>
      </c>
      <c r="CE976">
        <v>7500</v>
      </c>
      <c r="CG976">
        <v>7500</v>
      </c>
      <c r="CH976">
        <v>2017</v>
      </c>
      <c r="CI976">
        <v>7500</v>
      </c>
      <c r="CK976">
        <v>7500</v>
      </c>
      <c r="CL976">
        <v>2017</v>
      </c>
      <c r="CM976">
        <v>113.54</v>
      </c>
      <c r="CN976" s="1">
        <v>42929</v>
      </c>
      <c r="CO976">
        <v>6500</v>
      </c>
      <c r="CV976">
        <v>0</v>
      </c>
      <c r="CZ976" s="1">
        <v>42929</v>
      </c>
      <c r="DA976">
        <v>0</v>
      </c>
      <c r="DD976" t="s">
        <v>2785</v>
      </c>
      <c r="DF976">
        <v>57</v>
      </c>
      <c r="DG976">
        <v>51</v>
      </c>
      <c r="DJ976" t="s">
        <v>9950</v>
      </c>
      <c r="DL976">
        <v>50503</v>
      </c>
      <c r="DM976" t="s">
        <v>9755</v>
      </c>
      <c r="DO976" t="s">
        <v>10051</v>
      </c>
      <c r="DP976">
        <v>0</v>
      </c>
      <c r="DQ976">
        <v>0</v>
      </c>
      <c r="DR976" t="s">
        <v>411</v>
      </c>
      <c r="DS976" t="b">
        <v>1</v>
      </c>
      <c r="DT976" t="s">
        <v>470</v>
      </c>
      <c r="DU976" t="s">
        <v>471</v>
      </c>
      <c r="DV976" t="s">
        <v>472</v>
      </c>
      <c r="DX976">
        <v>-9999</v>
      </c>
      <c r="DZ976" t="s">
        <v>447</v>
      </c>
      <c r="EA976" t="s">
        <v>448</v>
      </c>
      <c r="EB976" t="s">
        <v>742</v>
      </c>
      <c r="EC976">
        <v>20101217</v>
      </c>
      <c r="ED976" t="s">
        <v>474</v>
      </c>
      <c r="EF976">
        <v>583.20000000000005</v>
      </c>
      <c r="EG976">
        <v>583.20000000000005</v>
      </c>
      <c r="EI976">
        <v>20160407</v>
      </c>
      <c r="EJ976">
        <v>0</v>
      </c>
      <c r="EK976">
        <v>0</v>
      </c>
      <c r="EP976" t="s">
        <v>421</v>
      </c>
      <c r="EQ976" t="s">
        <v>422</v>
      </c>
      <c r="ER976">
        <v>0</v>
      </c>
      <c r="ES976">
        <v>1</v>
      </c>
      <c r="ET976">
        <v>0</v>
      </c>
      <c r="EU976">
        <v>0</v>
      </c>
      <c r="EV976">
        <v>0</v>
      </c>
      <c r="EW976" s="2">
        <v>43222</v>
      </c>
      <c r="EX976" s="1">
        <v>42515</v>
      </c>
      <c r="EY976">
        <v>2015</v>
      </c>
      <c r="EZ976">
        <v>149.54</v>
      </c>
      <c r="FA976" t="s">
        <v>10052</v>
      </c>
      <c r="FB976">
        <v>18</v>
      </c>
      <c r="FC976" t="s">
        <v>424</v>
      </c>
      <c r="FD976" t="s">
        <v>425</v>
      </c>
      <c r="FE976" s="1">
        <v>42787</v>
      </c>
      <c r="FF976">
        <v>9</v>
      </c>
      <c r="FG976">
        <v>3039821</v>
      </c>
      <c r="FH976" t="s">
        <v>721</v>
      </c>
    </row>
    <row r="977" spans="1:285" x14ac:dyDescent="0.25">
      <c r="A977">
        <v>16485984</v>
      </c>
      <c r="B977">
        <v>976</v>
      </c>
      <c r="C977" t="s">
        <v>393</v>
      </c>
      <c r="D977" t="s">
        <v>394</v>
      </c>
      <c r="F977" t="str">
        <f>"51-2N-25-4170-0060-0000"</f>
        <v>51-2N-25-4170-0060-0000</v>
      </c>
      <c r="H977" t="str">
        <f>"WAPN FOR TC 13 SUBSIDIARY LLC"</f>
        <v>WAPN FOR TC 13 SUBSIDIARY LLC</v>
      </c>
      <c r="I977" t="str">
        <f>"PO BOX 173017"</f>
        <v>PO BOX 173017</v>
      </c>
      <c r="J977" t="str">
        <f>"TAMPA FL 33672"</f>
        <v>TAMPA FL 33672</v>
      </c>
      <c r="K977" t="str">
        <f>"45055 LUTHER ST"</f>
        <v>45055 LUTHER ST</v>
      </c>
      <c r="L977" t="str">
        <f t="shared" si="291"/>
        <v>CALLAHAN FL 32011</v>
      </c>
      <c r="M977" t="str">
        <f>"LOT 60 IN OR 2041/61 J P PAGE SUB PB 3/20"</f>
        <v>LOT 60 IN OR 2041/61 J P PAGE SUB PB 3/20</v>
      </c>
      <c r="N977" t="str">
        <f>""</f>
        <v/>
      </c>
      <c r="O977" t="str">
        <f>"54849"</f>
        <v>54849</v>
      </c>
      <c r="P977" t="str">
        <f t="shared" si="310"/>
        <v>2017</v>
      </c>
      <c r="Q977" t="str">
        <f>""</f>
        <v/>
      </c>
      <c r="R977" t="str">
        <f>"N"</f>
        <v>N</v>
      </c>
      <c r="S977" t="str">
        <f>""</f>
        <v/>
      </c>
      <c r="T977" t="str">
        <f>"320.34"</f>
        <v>320.34</v>
      </c>
      <c r="U977" t="str">
        <f>"21160.00"</f>
        <v>21160.00</v>
      </c>
      <c r="V977" t="str">
        <f>"21160.00"</f>
        <v>21160.00</v>
      </c>
      <c r="W977" t="str">
        <f t="shared" si="311"/>
        <v>2017</v>
      </c>
      <c r="X977" t="str">
        <f>"27.56"</f>
        <v>27.56</v>
      </c>
      <c r="Y977" t="str">
        <f>"361.95"</f>
        <v>361.95</v>
      </c>
      <c r="Z977" t="str">
        <f>""</f>
        <v/>
      </c>
      <c r="AA977" t="str">
        <f>"21160.00"</f>
        <v>21160.00</v>
      </c>
      <c r="AB977" t="str">
        <f t="shared" si="307"/>
        <v>Residential</v>
      </c>
      <c r="AC977" t="str">
        <f t="shared" si="295"/>
        <v>0</v>
      </c>
      <c r="AD977" t="str">
        <f>"4"</f>
        <v>4</v>
      </c>
      <c r="AE977" t="str">
        <f>"WOOD (INCLUDE STEEL STUDS)"</f>
        <v>WOOD (INCLUDE STEEL STUDS)</v>
      </c>
      <c r="AF977" t="str">
        <f>"002"</f>
        <v>002</v>
      </c>
      <c r="AG977" t="str">
        <f t="shared" si="318"/>
        <v>FL</v>
      </c>
      <c r="AH977" t="str">
        <f t="shared" si="312"/>
        <v>-</v>
      </c>
      <c r="AI977" t="str">
        <f>"7500.00"</f>
        <v>7500.00</v>
      </c>
      <c r="AJ977" t="str">
        <f>"C55-000-588-7185-6"</f>
        <v>C55-000-588-7185-6</v>
      </c>
      <c r="AK977" t="str">
        <f>"15062"</f>
        <v>15062</v>
      </c>
      <c r="AL977">
        <v>4</v>
      </c>
      <c r="AM977">
        <v>1124</v>
      </c>
      <c r="AN977">
        <v>378.45</v>
      </c>
      <c r="AQ977" t="s">
        <v>10053</v>
      </c>
      <c r="AR977" t="s">
        <v>10053</v>
      </c>
      <c r="AS977" t="s">
        <v>10053</v>
      </c>
      <c r="AU977" t="s">
        <v>396</v>
      </c>
      <c r="AV977">
        <v>2017</v>
      </c>
      <c r="AW977" t="str">
        <f>"51-2N-25-4170-0060-0000 "</f>
        <v xml:space="preserve">51-2N-25-4170-0060-0000 </v>
      </c>
      <c r="AX977">
        <v>45055</v>
      </c>
      <c r="AZ977" t="s">
        <v>10025</v>
      </c>
      <c r="BA977" t="s">
        <v>1942</v>
      </c>
      <c r="BD977" t="s">
        <v>2785</v>
      </c>
      <c r="BE977" t="s">
        <v>393</v>
      </c>
      <c r="BF977">
        <v>32011</v>
      </c>
      <c r="BG977" t="s">
        <v>10054</v>
      </c>
      <c r="BH977" t="s">
        <v>2787</v>
      </c>
      <c r="BI977">
        <v>-81.825552199984102</v>
      </c>
      <c r="BJ977">
        <v>30.571333378193899</v>
      </c>
      <c r="BK977" t="s">
        <v>10055</v>
      </c>
      <c r="BL977" t="s">
        <v>10056</v>
      </c>
      <c r="BM977" t="s">
        <v>10057</v>
      </c>
      <c r="BN977" t="s">
        <v>1971</v>
      </c>
      <c r="BO977">
        <v>33672</v>
      </c>
      <c r="BP977" t="s">
        <v>404</v>
      </c>
      <c r="BQ977">
        <v>200</v>
      </c>
      <c r="BR977" t="s">
        <v>405</v>
      </c>
      <c r="BS977">
        <v>1006</v>
      </c>
      <c r="BT977" t="s">
        <v>406</v>
      </c>
      <c r="BW977">
        <v>5000</v>
      </c>
      <c r="BX977" t="s">
        <v>407</v>
      </c>
      <c r="BY977" t="s">
        <v>4360</v>
      </c>
      <c r="BZ977">
        <v>4</v>
      </c>
      <c r="CA977">
        <v>1988</v>
      </c>
      <c r="CC977">
        <v>1</v>
      </c>
      <c r="CD977">
        <v>2017</v>
      </c>
      <c r="CE977">
        <v>7500</v>
      </c>
      <c r="CF977">
        <v>13660</v>
      </c>
      <c r="CG977">
        <v>21160</v>
      </c>
      <c r="CH977">
        <v>2017</v>
      </c>
      <c r="CI977">
        <v>7500</v>
      </c>
      <c r="CJ977">
        <v>13660</v>
      </c>
      <c r="CK977">
        <v>21160</v>
      </c>
      <c r="CL977">
        <v>2017</v>
      </c>
      <c r="CM977">
        <v>320.33999999999997</v>
      </c>
      <c r="CN977" s="1">
        <v>42479</v>
      </c>
      <c r="CO977">
        <v>3600</v>
      </c>
      <c r="CZ977" s="1">
        <v>42479</v>
      </c>
      <c r="DD977" t="s">
        <v>2785</v>
      </c>
      <c r="DG977">
        <v>51</v>
      </c>
      <c r="DL977">
        <v>50503</v>
      </c>
      <c r="DM977" t="s">
        <v>9755</v>
      </c>
      <c r="DO977" t="s">
        <v>10058</v>
      </c>
      <c r="DP977">
        <v>0</v>
      </c>
      <c r="DQ977">
        <v>0</v>
      </c>
      <c r="DR977" t="s">
        <v>411</v>
      </c>
      <c r="DS977" t="b">
        <v>1</v>
      </c>
      <c r="DT977" t="s">
        <v>470</v>
      </c>
      <c r="DU977" t="s">
        <v>471</v>
      </c>
      <c r="DV977" t="s">
        <v>472</v>
      </c>
      <c r="DX977">
        <v>-9999</v>
      </c>
      <c r="DZ977" t="s">
        <v>447</v>
      </c>
      <c r="EA977" t="s">
        <v>448</v>
      </c>
      <c r="EB977" t="s">
        <v>742</v>
      </c>
      <c r="EC977">
        <v>20101217</v>
      </c>
      <c r="ED977" t="s">
        <v>474</v>
      </c>
      <c r="EF977">
        <v>723.6</v>
      </c>
      <c r="EG977">
        <v>723.6</v>
      </c>
      <c r="EI977">
        <v>20160407</v>
      </c>
      <c r="EJ977">
        <v>0</v>
      </c>
      <c r="EK977">
        <v>0</v>
      </c>
      <c r="EP977" t="s">
        <v>595</v>
      </c>
      <c r="EQ977" t="s">
        <v>452</v>
      </c>
      <c r="ER977">
        <v>1</v>
      </c>
      <c r="ES977">
        <v>10</v>
      </c>
      <c r="ET977">
        <v>287.58999999999997</v>
      </c>
      <c r="EU977">
        <v>46.51</v>
      </c>
      <c r="EV977">
        <v>334.1</v>
      </c>
      <c r="EW977" s="2">
        <v>43222</v>
      </c>
      <c r="EX977" s="1">
        <v>42879</v>
      </c>
      <c r="EY977">
        <v>2016</v>
      </c>
      <c r="EZ977">
        <v>287.58999999999997</v>
      </c>
      <c r="FA977" t="s">
        <v>10059</v>
      </c>
      <c r="FB977">
        <v>14</v>
      </c>
      <c r="FC977" t="s">
        <v>424</v>
      </c>
      <c r="FD977" t="s">
        <v>454</v>
      </c>
      <c r="FF977">
        <v>12</v>
      </c>
      <c r="FG977">
        <v>10021</v>
      </c>
      <c r="FH977" t="s">
        <v>597</v>
      </c>
      <c r="FJ977" s="1">
        <v>42515</v>
      </c>
      <c r="FK977">
        <v>2015</v>
      </c>
      <c r="FL977">
        <v>324.10000000000002</v>
      </c>
      <c r="FM977" t="s">
        <v>10060</v>
      </c>
      <c r="FN977">
        <v>18</v>
      </c>
      <c r="FO977" t="s">
        <v>603</v>
      </c>
      <c r="FP977" t="s">
        <v>425</v>
      </c>
      <c r="FR977">
        <v>22</v>
      </c>
      <c r="FS977">
        <v>9999999</v>
      </c>
      <c r="FT977" t="s">
        <v>604</v>
      </c>
      <c r="FV977" s="1">
        <v>42515</v>
      </c>
      <c r="FW977">
        <v>2015</v>
      </c>
      <c r="FX977">
        <v>335.21</v>
      </c>
      <c r="FY977" t="s">
        <v>10060</v>
      </c>
      <c r="FZ977">
        <v>18</v>
      </c>
      <c r="GA977" t="s">
        <v>424</v>
      </c>
      <c r="GB977" t="s">
        <v>425</v>
      </c>
      <c r="GC977" s="1">
        <v>43140</v>
      </c>
      <c r="GD977">
        <v>21</v>
      </c>
      <c r="GE977">
        <v>4844964</v>
      </c>
      <c r="GF977" t="s">
        <v>1788</v>
      </c>
      <c r="GH977" s="1">
        <v>42151</v>
      </c>
      <c r="GI977">
        <v>2014</v>
      </c>
      <c r="GJ977">
        <v>275.27</v>
      </c>
      <c r="GK977" t="s">
        <v>10061</v>
      </c>
      <c r="GL977">
        <v>18</v>
      </c>
      <c r="GM977" t="s">
        <v>424</v>
      </c>
      <c r="GN977" t="s">
        <v>425</v>
      </c>
      <c r="GO977" s="1">
        <v>42299</v>
      </c>
      <c r="GP977">
        <v>5</v>
      </c>
      <c r="GQ977">
        <v>10125</v>
      </c>
      <c r="GR977" t="s">
        <v>440</v>
      </c>
      <c r="GS977" t="s">
        <v>458</v>
      </c>
      <c r="GT977" s="1">
        <v>41787</v>
      </c>
      <c r="GU977">
        <v>2013</v>
      </c>
      <c r="GV977">
        <v>376.15</v>
      </c>
      <c r="GW977" t="s">
        <v>10062</v>
      </c>
      <c r="GX977">
        <v>6.75</v>
      </c>
      <c r="GY977" t="s">
        <v>424</v>
      </c>
      <c r="GZ977" t="s">
        <v>425</v>
      </c>
      <c r="HA977" s="1">
        <v>42299</v>
      </c>
      <c r="HB977">
        <v>17</v>
      </c>
      <c r="HC977">
        <v>2035919</v>
      </c>
      <c r="HD977" t="s">
        <v>507</v>
      </c>
      <c r="HE977" t="s">
        <v>458</v>
      </c>
      <c r="HF977" s="1">
        <v>41423</v>
      </c>
      <c r="HG977">
        <v>2012</v>
      </c>
      <c r="HH977">
        <v>384.57</v>
      </c>
      <c r="HI977" t="s">
        <v>10063</v>
      </c>
      <c r="HJ977">
        <v>4.5</v>
      </c>
      <c r="HK977" t="s">
        <v>424</v>
      </c>
      <c r="HL977" t="s">
        <v>425</v>
      </c>
      <c r="HN977">
        <v>22</v>
      </c>
      <c r="HO977">
        <v>15407</v>
      </c>
      <c r="HP977" t="s">
        <v>1134</v>
      </c>
      <c r="HQ977" t="s">
        <v>458</v>
      </c>
      <c r="HR977" s="1">
        <v>41052</v>
      </c>
      <c r="HS977">
        <v>2011</v>
      </c>
      <c r="HT977">
        <v>428.86</v>
      </c>
      <c r="HU977" t="s">
        <v>10064</v>
      </c>
      <c r="HV977">
        <v>6</v>
      </c>
      <c r="HW977" t="s">
        <v>424</v>
      </c>
      <c r="HX977" t="s">
        <v>425</v>
      </c>
      <c r="HY977" s="1">
        <v>42299</v>
      </c>
      <c r="HZ977">
        <v>41</v>
      </c>
      <c r="IA977">
        <v>375</v>
      </c>
      <c r="IB977" t="s">
        <v>776</v>
      </c>
      <c r="IC977" t="s">
        <v>458</v>
      </c>
      <c r="ID977" s="1">
        <v>40688</v>
      </c>
      <c r="IE977">
        <v>2010</v>
      </c>
      <c r="IF977">
        <v>438.51</v>
      </c>
      <c r="IG977" t="s">
        <v>10065</v>
      </c>
      <c r="IH977">
        <v>8.75</v>
      </c>
      <c r="II977" t="s">
        <v>424</v>
      </c>
      <c r="IJ977" t="s">
        <v>425</v>
      </c>
      <c r="IK977" s="1">
        <v>42299</v>
      </c>
      <c r="IL977">
        <v>53</v>
      </c>
      <c r="IM977">
        <v>1127</v>
      </c>
      <c r="IN977" t="s">
        <v>1379</v>
      </c>
      <c r="IO977" t="s">
        <v>458</v>
      </c>
      <c r="IP977" s="1">
        <v>40688</v>
      </c>
      <c r="IQ977">
        <v>2010</v>
      </c>
      <c r="IR977">
        <v>438.51</v>
      </c>
      <c r="IS977" t="s">
        <v>10065</v>
      </c>
      <c r="IT977">
        <v>8.75</v>
      </c>
      <c r="IU977" t="s">
        <v>424</v>
      </c>
      <c r="IV977" t="s">
        <v>425</v>
      </c>
      <c r="IX977">
        <v>22</v>
      </c>
      <c r="IY977">
        <v>11302</v>
      </c>
      <c r="IZ977" t="s">
        <v>3940</v>
      </c>
      <c r="JA977" t="s">
        <v>458</v>
      </c>
      <c r="JB977" s="1">
        <v>40688</v>
      </c>
      <c r="JC977">
        <v>2010</v>
      </c>
      <c r="JD977">
        <v>438.51</v>
      </c>
      <c r="JE977" t="s">
        <v>10065</v>
      </c>
      <c r="JF977">
        <v>8.75</v>
      </c>
      <c r="JG977" t="s">
        <v>424</v>
      </c>
      <c r="JH977" t="s">
        <v>425</v>
      </c>
      <c r="JJ977">
        <v>22</v>
      </c>
      <c r="JK977">
        <v>1123</v>
      </c>
      <c r="JL977" t="s">
        <v>10066</v>
      </c>
      <c r="JM977" t="s">
        <v>458</v>
      </c>
      <c r="JN977" s="1">
        <v>40688</v>
      </c>
      <c r="JO977">
        <v>2010</v>
      </c>
      <c r="JP977">
        <v>438.51</v>
      </c>
      <c r="JQ977" t="s">
        <v>10065</v>
      </c>
      <c r="JR977">
        <v>8.75</v>
      </c>
      <c r="JS977" t="s">
        <v>424</v>
      </c>
      <c r="JT977" t="s">
        <v>425</v>
      </c>
      <c r="JV977">
        <v>22</v>
      </c>
      <c r="JW977">
        <v>1123</v>
      </c>
      <c r="JX977" t="s">
        <v>10066</v>
      </c>
      <c r="JY977" t="s">
        <v>458</v>
      </c>
    </row>
    <row r="978" spans="1:285" x14ac:dyDescent="0.25">
      <c r="A978">
        <v>16485985</v>
      </c>
      <c r="B978">
        <v>977</v>
      </c>
      <c r="C978" t="s">
        <v>393</v>
      </c>
      <c r="D978" t="s">
        <v>394</v>
      </c>
      <c r="F978" t="str">
        <f>"51-2N-25-4170-0061-0000"</f>
        <v>51-2N-25-4170-0061-0000</v>
      </c>
      <c r="H978" t="str">
        <f>"DAVIS L C EST C/O DORA LEE DAVIS WHITE EST"</f>
        <v>DAVIS L C EST C/O DORA LEE DAVIS WHITE EST</v>
      </c>
      <c r="I978" t="str">
        <f>"45053 LUTHER ST"</f>
        <v>45053 LUTHER ST</v>
      </c>
      <c r="J978" t="str">
        <f>"CALLAHAN FL 32011"</f>
        <v>CALLAHAN FL 32011</v>
      </c>
      <c r="K978" t="str">
        <f>"45053 LUTHER ST"</f>
        <v>45053 LUTHER ST</v>
      </c>
      <c r="L978" t="str">
        <f t="shared" ref="L978:L993" si="319">"CALLAHAN FL 32011"</f>
        <v>CALLAHAN FL 32011</v>
      </c>
      <c r="M978" t="str">
        <f>"LOT 61 J P PAGE SUB PB 3/20"</f>
        <v>LOT 61 J P PAGE SUB PB 3/20</v>
      </c>
      <c r="N978" t="str">
        <f>""</f>
        <v/>
      </c>
      <c r="O978" t="str">
        <f>"54850"</f>
        <v>54850</v>
      </c>
      <c r="P978" t="str">
        <f t="shared" si="310"/>
        <v>2017</v>
      </c>
      <c r="Q978" t="str">
        <f>""</f>
        <v/>
      </c>
      <c r="R978" t="str">
        <f>"N"</f>
        <v>N</v>
      </c>
      <c r="S978" t="str">
        <f>""</f>
        <v/>
      </c>
      <c r="T978" t="str">
        <f>"113.54"</f>
        <v>113.54</v>
      </c>
      <c r="U978" t="str">
        <f>"7500.00"</f>
        <v>7500.00</v>
      </c>
      <c r="V978" t="str">
        <f>"7500.00"</f>
        <v>7500.00</v>
      </c>
      <c r="W978" t="str">
        <f t="shared" si="311"/>
        <v>2017</v>
      </c>
      <c r="X978" t="str">
        <f>"23.33"</f>
        <v>23.33</v>
      </c>
      <c r="Y978" t="str">
        <f>"148.95"</f>
        <v>148.95</v>
      </c>
      <c r="Z978" t="str">
        <f>""</f>
        <v/>
      </c>
      <c r="AA978" t="str">
        <f>"7500.00"</f>
        <v>7500.00</v>
      </c>
      <c r="AB978" t="str">
        <f t="shared" si="307"/>
        <v>Residential</v>
      </c>
      <c r="AC978" t="str">
        <f t="shared" si="295"/>
        <v>0</v>
      </c>
      <c r="AD978" t="str">
        <f>""</f>
        <v/>
      </c>
      <c r="AE978" t="str">
        <f>""</f>
        <v/>
      </c>
      <c r="AF978" t="str">
        <f>"000"</f>
        <v>000</v>
      </c>
      <c r="AG978" t="str">
        <f t="shared" si="318"/>
        <v>FL</v>
      </c>
      <c r="AH978" t="str">
        <f t="shared" si="312"/>
        <v>-</v>
      </c>
      <c r="AI978" t="str">
        <f>"7500.00"</f>
        <v>7500.00</v>
      </c>
      <c r="AJ978" t="str">
        <f>"C55-000-588-7186-4"</f>
        <v>C55-000-588-7186-4</v>
      </c>
      <c r="AK978" t="str">
        <f>"15063"</f>
        <v>15063</v>
      </c>
      <c r="AL978">
        <v>4</v>
      </c>
      <c r="AM978">
        <v>1125</v>
      </c>
      <c r="AN978">
        <v>154.80000000000001</v>
      </c>
      <c r="AQ978" t="s">
        <v>10067</v>
      </c>
      <c r="AR978" t="s">
        <v>10067</v>
      </c>
      <c r="AS978" t="s">
        <v>10067</v>
      </c>
      <c r="AU978" t="s">
        <v>396</v>
      </c>
      <c r="AV978">
        <v>2017</v>
      </c>
      <c r="AW978" t="str">
        <f>"51-2N-25-4170-0061-0000 "</f>
        <v xml:space="preserve">51-2N-25-4170-0061-0000 </v>
      </c>
      <c r="AX978">
        <v>45053</v>
      </c>
      <c r="AZ978" t="s">
        <v>10025</v>
      </c>
      <c r="BA978" t="s">
        <v>1942</v>
      </c>
      <c r="BD978" t="s">
        <v>2785</v>
      </c>
      <c r="BE978" t="s">
        <v>393</v>
      </c>
      <c r="BF978">
        <v>32011</v>
      </c>
      <c r="BG978" t="s">
        <v>10068</v>
      </c>
      <c r="BH978" t="s">
        <v>2787</v>
      </c>
      <c r="BI978">
        <v>-81.825645586227495</v>
      </c>
      <c r="BJ978">
        <v>30.571222169839199</v>
      </c>
      <c r="BK978" t="s">
        <v>10069</v>
      </c>
      <c r="BM978" t="s">
        <v>10068</v>
      </c>
      <c r="BN978" t="s">
        <v>928</v>
      </c>
      <c r="BO978">
        <v>32011</v>
      </c>
      <c r="BP978" t="s">
        <v>404</v>
      </c>
      <c r="BQ978">
        <v>0</v>
      </c>
      <c r="BR978" t="s">
        <v>491</v>
      </c>
      <c r="BS978">
        <v>8001</v>
      </c>
      <c r="BT978" t="s">
        <v>492</v>
      </c>
      <c r="BW978">
        <v>5000</v>
      </c>
      <c r="BX978" t="s">
        <v>407</v>
      </c>
      <c r="BY978" t="s">
        <v>4360</v>
      </c>
      <c r="CD978">
        <v>2017</v>
      </c>
      <c r="CE978">
        <v>7500</v>
      </c>
      <c r="CG978">
        <v>7500</v>
      </c>
      <c r="CH978">
        <v>2017</v>
      </c>
      <c r="CI978">
        <v>7500</v>
      </c>
      <c r="CK978">
        <v>7500</v>
      </c>
      <c r="CL978">
        <v>2017</v>
      </c>
      <c r="CM978">
        <v>113.54</v>
      </c>
      <c r="DD978" t="s">
        <v>2785</v>
      </c>
      <c r="DF978">
        <v>61</v>
      </c>
      <c r="DG978">
        <v>51</v>
      </c>
      <c r="DL978">
        <v>50503</v>
      </c>
      <c r="DM978" t="s">
        <v>9755</v>
      </c>
      <c r="DO978" t="s">
        <v>10070</v>
      </c>
      <c r="DP978">
        <v>0</v>
      </c>
      <c r="DQ978">
        <v>0</v>
      </c>
      <c r="DR978" t="s">
        <v>411</v>
      </c>
      <c r="DS978" t="b">
        <v>1</v>
      </c>
      <c r="DT978" t="s">
        <v>470</v>
      </c>
      <c r="DU978" t="s">
        <v>471</v>
      </c>
      <c r="DV978" t="s">
        <v>472</v>
      </c>
      <c r="DX978">
        <v>-9999</v>
      </c>
      <c r="DZ978" t="s">
        <v>447</v>
      </c>
      <c r="EA978" t="s">
        <v>448</v>
      </c>
      <c r="EB978" t="s">
        <v>742</v>
      </c>
      <c r="EC978">
        <v>20101217</v>
      </c>
      <c r="ED978" t="s">
        <v>474</v>
      </c>
      <c r="EF978">
        <v>745.8</v>
      </c>
      <c r="EG978">
        <v>745.8</v>
      </c>
      <c r="EI978">
        <v>20160407</v>
      </c>
      <c r="EJ978">
        <v>0</v>
      </c>
      <c r="EK978">
        <v>0</v>
      </c>
      <c r="EP978" t="s">
        <v>595</v>
      </c>
      <c r="EQ978" t="s">
        <v>422</v>
      </c>
      <c r="ER978">
        <v>0</v>
      </c>
      <c r="ES978">
        <v>7</v>
      </c>
      <c r="ET978">
        <v>0</v>
      </c>
      <c r="EU978">
        <v>0</v>
      </c>
      <c r="EV978">
        <v>0</v>
      </c>
      <c r="EW978" s="2">
        <v>43222</v>
      </c>
      <c r="EX978" s="1">
        <v>42515</v>
      </c>
      <c r="EY978">
        <v>2015</v>
      </c>
      <c r="EZ978">
        <v>149.54</v>
      </c>
      <c r="FA978" t="s">
        <v>10071</v>
      </c>
      <c r="FB978">
        <v>18</v>
      </c>
      <c r="FC978" t="s">
        <v>603</v>
      </c>
      <c r="FD978" t="s">
        <v>425</v>
      </c>
      <c r="FE978" s="1">
        <v>42590</v>
      </c>
      <c r="FF978">
        <v>3</v>
      </c>
      <c r="FG978">
        <v>9999999</v>
      </c>
      <c r="FH978" t="s">
        <v>604</v>
      </c>
      <c r="FJ978" s="1">
        <v>42151</v>
      </c>
      <c r="FK978">
        <v>2014</v>
      </c>
      <c r="FL978">
        <v>150.18</v>
      </c>
      <c r="FM978" t="s">
        <v>10072</v>
      </c>
      <c r="FN978">
        <v>18</v>
      </c>
      <c r="FO978" t="s">
        <v>424</v>
      </c>
      <c r="FP978" t="s">
        <v>425</v>
      </c>
      <c r="FQ978" s="1">
        <v>42590</v>
      </c>
      <c r="FR978">
        <v>15</v>
      </c>
      <c r="FS978">
        <v>10125</v>
      </c>
      <c r="FT978" t="s">
        <v>440</v>
      </c>
      <c r="FV978" s="1">
        <v>41787</v>
      </c>
      <c r="FW978">
        <v>2013</v>
      </c>
      <c r="FX978">
        <v>143.33000000000001</v>
      </c>
      <c r="FY978" t="s">
        <v>10073</v>
      </c>
      <c r="FZ978">
        <v>6.75</v>
      </c>
      <c r="GA978" t="s">
        <v>424</v>
      </c>
      <c r="GB978" t="s">
        <v>425</v>
      </c>
      <c r="GC978" s="1">
        <v>42447</v>
      </c>
      <c r="GD978">
        <v>22</v>
      </c>
      <c r="GE978">
        <v>2035919</v>
      </c>
      <c r="GF978" t="s">
        <v>507</v>
      </c>
      <c r="GH978" s="1">
        <v>41423</v>
      </c>
      <c r="GI978">
        <v>2012</v>
      </c>
      <c r="GJ978">
        <v>144.84</v>
      </c>
      <c r="GK978" t="s">
        <v>10074</v>
      </c>
      <c r="GL978">
        <v>9.75</v>
      </c>
      <c r="GM978" t="s">
        <v>424</v>
      </c>
      <c r="GN978" t="s">
        <v>425</v>
      </c>
      <c r="GO978" s="1">
        <v>42447</v>
      </c>
      <c r="GP978">
        <v>34</v>
      </c>
      <c r="GQ978">
        <v>10021</v>
      </c>
      <c r="GR978" t="s">
        <v>597</v>
      </c>
      <c r="GT978" s="1">
        <v>41052</v>
      </c>
      <c r="GU978">
        <v>2011</v>
      </c>
      <c r="GV978">
        <v>155.66</v>
      </c>
      <c r="GW978" t="s">
        <v>10075</v>
      </c>
      <c r="GX978">
        <v>18</v>
      </c>
      <c r="GY978" t="s">
        <v>424</v>
      </c>
      <c r="GZ978" t="s">
        <v>425</v>
      </c>
      <c r="HA978" s="1">
        <v>42447</v>
      </c>
      <c r="HB978">
        <v>46</v>
      </c>
      <c r="HC978">
        <v>619</v>
      </c>
      <c r="HD978" t="s">
        <v>2768</v>
      </c>
      <c r="HF978" s="1">
        <v>40688</v>
      </c>
      <c r="HG978">
        <v>2010</v>
      </c>
      <c r="HH978">
        <v>163.80000000000001</v>
      </c>
      <c r="HI978" t="s">
        <v>10076</v>
      </c>
      <c r="HJ978">
        <v>8.25</v>
      </c>
      <c r="HK978" t="s">
        <v>424</v>
      </c>
      <c r="HL978" t="s">
        <v>425</v>
      </c>
      <c r="HM978" s="1">
        <v>41514</v>
      </c>
      <c r="HN978">
        <v>27</v>
      </c>
      <c r="HO978">
        <v>15175</v>
      </c>
      <c r="HP978" t="s">
        <v>588</v>
      </c>
      <c r="HR978" s="1">
        <v>40688</v>
      </c>
      <c r="HS978">
        <v>2010</v>
      </c>
      <c r="HT978">
        <v>163.80000000000001</v>
      </c>
      <c r="HU978" t="s">
        <v>10076</v>
      </c>
      <c r="HV978">
        <v>8.25</v>
      </c>
      <c r="HW978" t="s">
        <v>424</v>
      </c>
      <c r="HX978" t="s">
        <v>425</v>
      </c>
      <c r="HZ978">
        <v>22</v>
      </c>
      <c r="IA978">
        <v>10548</v>
      </c>
      <c r="IB978" t="s">
        <v>589</v>
      </c>
    </row>
    <row r="979" spans="1:285" x14ac:dyDescent="0.25">
      <c r="A979">
        <v>16485986</v>
      </c>
      <c r="B979">
        <v>978</v>
      </c>
      <c r="C979" t="s">
        <v>393</v>
      </c>
      <c r="D979" t="s">
        <v>394</v>
      </c>
      <c r="F979" t="str">
        <f>"51-2N-25-4170-0062-0000"</f>
        <v>51-2N-25-4170-0062-0000</v>
      </c>
      <c r="H979" t="str">
        <f>"MELTON GEORGE L"</f>
        <v>MELTON GEORGE L</v>
      </c>
      <c r="I979" t="str">
        <f>"45023 LUTHER ST"</f>
        <v>45023 LUTHER ST</v>
      </c>
      <c r="J979" t="str">
        <f>"CALLAHAN FL 32011"</f>
        <v>CALLAHAN FL 32011</v>
      </c>
      <c r="K979" t="str">
        <f>"45023 LUTHER ST"</f>
        <v>45023 LUTHER ST</v>
      </c>
      <c r="L979" t="str">
        <f t="shared" si="319"/>
        <v>CALLAHAN FL 32011</v>
      </c>
      <c r="M979" t="str">
        <f>"LOTS 62 &amp; 63 R673301 R673302 IN OR 437 PG 186 J P PAGE SUB PB 3/20"</f>
        <v>LOTS 62 &amp; 63 R673301 R673302 IN OR 437 PG 186 J P PAGE SUB PB 3/20</v>
      </c>
      <c r="N979" t="str">
        <f>""</f>
        <v/>
      </c>
      <c r="O979" t="str">
        <f>"54851"</f>
        <v>54851</v>
      </c>
      <c r="P979" t="str">
        <f t="shared" si="310"/>
        <v>2017</v>
      </c>
      <c r="Q979" t="str">
        <f>""</f>
        <v/>
      </c>
      <c r="R979" t="str">
        <f>"Y"</f>
        <v>Y</v>
      </c>
      <c r="S979" t="str">
        <f>""</f>
        <v/>
      </c>
      <c r="T979" t="str">
        <f>"272.84"</f>
        <v>272.84</v>
      </c>
      <c r="U979" t="str">
        <f>"43022.00"</f>
        <v>43022.00</v>
      </c>
      <c r="V979" t="str">
        <f>"43022.00"</f>
        <v>43022.00</v>
      </c>
      <c r="W979" t="str">
        <f t="shared" si="311"/>
        <v>2017</v>
      </c>
      <c r="X979" t="str">
        <f>"2.00"</f>
        <v>2.00</v>
      </c>
      <c r="Y979" t="str">
        <f>"313.03"</f>
        <v>313.03</v>
      </c>
      <c r="Z979" t="str">
        <f>"25000.00"</f>
        <v>25000.00</v>
      </c>
      <c r="AA979" t="str">
        <f>"18022.00"</f>
        <v>18022.00</v>
      </c>
      <c r="AB979" t="str">
        <f t="shared" si="307"/>
        <v>Residential</v>
      </c>
      <c r="AC979" t="str">
        <f t="shared" si="295"/>
        <v>0</v>
      </c>
      <c r="AD979" t="str">
        <f>"4"</f>
        <v>4</v>
      </c>
      <c r="AE979" t="str">
        <f>"WOOD (INCLUDE STEEL STUDS)"</f>
        <v>WOOD (INCLUDE STEEL STUDS)</v>
      </c>
      <c r="AF979" t="str">
        <f>"002"</f>
        <v>002</v>
      </c>
      <c r="AG979" t="str">
        <f t="shared" si="318"/>
        <v>FL</v>
      </c>
      <c r="AH979" t="str">
        <f t="shared" si="312"/>
        <v>-</v>
      </c>
      <c r="AI979" t="str">
        <f>"9000.00"</f>
        <v>9000.00</v>
      </c>
      <c r="AJ979" t="str">
        <f>"C55-000-588-7187-2"</f>
        <v>C55-000-588-7187-2</v>
      </c>
      <c r="AK979" t="str">
        <f>"15064"</f>
        <v>15064</v>
      </c>
      <c r="AL979">
        <v>4</v>
      </c>
      <c r="AM979">
        <v>1126</v>
      </c>
      <c r="AN979">
        <v>327.08</v>
      </c>
      <c r="AQ979" t="s">
        <v>10077</v>
      </c>
      <c r="AR979" t="s">
        <v>10077</v>
      </c>
      <c r="AS979" t="s">
        <v>10077</v>
      </c>
      <c r="AU979" t="s">
        <v>396</v>
      </c>
      <c r="AV979">
        <v>2017</v>
      </c>
      <c r="AW979" t="str">
        <f>"51-2N-25-4170-0062-0000 "</f>
        <v xml:space="preserve">51-2N-25-4170-0062-0000 </v>
      </c>
      <c r="AX979">
        <v>45023</v>
      </c>
      <c r="AZ979" t="s">
        <v>10025</v>
      </c>
      <c r="BA979" t="s">
        <v>1942</v>
      </c>
      <c r="BD979" t="s">
        <v>2785</v>
      </c>
      <c r="BE979" t="s">
        <v>393</v>
      </c>
      <c r="BF979">
        <v>32011</v>
      </c>
      <c r="BG979" t="s">
        <v>10078</v>
      </c>
      <c r="BH979" t="s">
        <v>2787</v>
      </c>
      <c r="BI979">
        <v>-81.825785644301305</v>
      </c>
      <c r="BJ979">
        <v>30.571055345848301</v>
      </c>
      <c r="BK979" t="s">
        <v>10079</v>
      </c>
      <c r="BM979" t="s">
        <v>10078</v>
      </c>
      <c r="BN979" t="s">
        <v>928</v>
      </c>
      <c r="BO979">
        <v>32011</v>
      </c>
      <c r="BP979" t="s">
        <v>416</v>
      </c>
      <c r="BQ979">
        <v>200</v>
      </c>
      <c r="BR979" t="s">
        <v>405</v>
      </c>
      <c r="BS979">
        <v>1006</v>
      </c>
      <c r="BT979" t="s">
        <v>406</v>
      </c>
      <c r="BW979">
        <v>10000</v>
      </c>
      <c r="BX979" t="s">
        <v>407</v>
      </c>
      <c r="BY979" t="s">
        <v>4360</v>
      </c>
      <c r="BZ979">
        <v>4</v>
      </c>
      <c r="CA979">
        <v>1997</v>
      </c>
      <c r="CB979">
        <v>1</v>
      </c>
      <c r="CC979">
        <v>1</v>
      </c>
      <c r="CD979">
        <v>2017</v>
      </c>
      <c r="CG979">
        <v>43022</v>
      </c>
      <c r="CH979">
        <v>2017</v>
      </c>
      <c r="CI979">
        <v>9000</v>
      </c>
      <c r="CJ979">
        <v>42818</v>
      </c>
      <c r="CK979">
        <v>51818</v>
      </c>
      <c r="CL979">
        <v>2017</v>
      </c>
      <c r="CM979">
        <v>272.83999999999997</v>
      </c>
      <c r="CN979" s="1">
        <v>30956</v>
      </c>
      <c r="CO979">
        <v>560</v>
      </c>
      <c r="CZ979" s="1">
        <v>30956</v>
      </c>
      <c r="DD979" t="s">
        <v>2785</v>
      </c>
      <c r="DG979">
        <v>51</v>
      </c>
      <c r="DL979">
        <v>50503</v>
      </c>
      <c r="DM979" t="s">
        <v>9755</v>
      </c>
      <c r="DO979" t="s">
        <v>10080</v>
      </c>
      <c r="DP979">
        <v>0</v>
      </c>
      <c r="DQ979">
        <v>0</v>
      </c>
      <c r="DR979" t="s">
        <v>411</v>
      </c>
    </row>
    <row r="980" spans="1:285" x14ac:dyDescent="0.25">
      <c r="A980">
        <v>16485987</v>
      </c>
      <c r="B980">
        <v>979</v>
      </c>
      <c r="C980" t="s">
        <v>393</v>
      </c>
      <c r="D980" t="s">
        <v>394</v>
      </c>
      <c r="F980" t="str">
        <f>"51-2N-25-4170-0065-0000"</f>
        <v>51-2N-25-4170-0065-0000</v>
      </c>
      <c r="H980" t="str">
        <f>"WOODS RUTH EST"</f>
        <v>WOODS RUTH EST</v>
      </c>
      <c r="I980" t="str">
        <f>"PO BOX 442"</f>
        <v>PO BOX 442</v>
      </c>
      <c r="J980" t="str">
        <f>"CALLAHAN FL 32011"</f>
        <v>CALLAHAN FL 32011</v>
      </c>
      <c r="K980" t="str">
        <f>"LUTHER ST"</f>
        <v>LUTHER ST</v>
      </c>
      <c r="L980" t="str">
        <f t="shared" si="319"/>
        <v>CALLAHAN FL 32011</v>
      </c>
      <c r="M980" t="str">
        <f>"LOT 65 IN OR 888/665 J P PAGE SUB PB 3/20"</f>
        <v>LOT 65 IN OR 888/665 J P PAGE SUB PB 3/20</v>
      </c>
      <c r="N980" t="str">
        <f>""</f>
        <v/>
      </c>
      <c r="O980" t="str">
        <f>"54853"</f>
        <v>54853</v>
      </c>
      <c r="P980" t="str">
        <f t="shared" si="310"/>
        <v>2017</v>
      </c>
      <c r="Q980" t="str">
        <f>""</f>
        <v/>
      </c>
      <c r="R980" t="str">
        <f t="shared" ref="R980:R985" si="320">"N"</f>
        <v>N</v>
      </c>
      <c r="S980" t="str">
        <f>""</f>
        <v/>
      </c>
      <c r="T980" t="str">
        <f>"113.54"</f>
        <v>113.54</v>
      </c>
      <c r="U980" t="str">
        <f>"7500.00"</f>
        <v>7500.00</v>
      </c>
      <c r="V980" t="str">
        <f>"7500.00"</f>
        <v>7500.00</v>
      </c>
      <c r="W980" t="str">
        <f t="shared" si="311"/>
        <v>2017</v>
      </c>
      <c r="X980" t="str">
        <f>"31.29"</f>
        <v>31.29</v>
      </c>
      <c r="Y980" t="str">
        <f>"148.95"</f>
        <v>148.95</v>
      </c>
      <c r="Z980" t="str">
        <f>""</f>
        <v/>
      </c>
      <c r="AA980" t="str">
        <f>"7500.00"</f>
        <v>7500.00</v>
      </c>
      <c r="AB980" t="str">
        <f t="shared" si="307"/>
        <v>Residential</v>
      </c>
      <c r="AC980" t="str">
        <f t="shared" si="295"/>
        <v>0</v>
      </c>
      <c r="AD980" t="str">
        <f>""</f>
        <v/>
      </c>
      <c r="AE980" t="str">
        <f>""</f>
        <v/>
      </c>
      <c r="AF980" t="str">
        <f>"000"</f>
        <v>000</v>
      </c>
      <c r="AG980" t="str">
        <f t="shared" si="318"/>
        <v>FL</v>
      </c>
      <c r="AH980" t="str">
        <f t="shared" si="312"/>
        <v>-</v>
      </c>
      <c r="AI980" t="str">
        <f>"7500.00"</f>
        <v>7500.00</v>
      </c>
      <c r="AJ980" t="str">
        <f>"C55-000-588-7189-8"</f>
        <v>C55-000-588-7189-8</v>
      </c>
      <c r="AK980" t="str">
        <f>"15066"</f>
        <v>15066</v>
      </c>
      <c r="AL980">
        <v>4</v>
      </c>
      <c r="AM980">
        <v>1127</v>
      </c>
      <c r="AN980">
        <v>154.80000000000001</v>
      </c>
      <c r="AQ980" t="s">
        <v>10081</v>
      </c>
      <c r="AR980" t="s">
        <v>10081</v>
      </c>
      <c r="AS980" t="s">
        <v>10081</v>
      </c>
      <c r="AU980" t="s">
        <v>396</v>
      </c>
      <c r="AV980">
        <v>2017</v>
      </c>
      <c r="AW980" t="str">
        <f>"51-2N-25-4170-0065-0000 "</f>
        <v xml:space="preserve">51-2N-25-4170-0065-0000 </v>
      </c>
      <c r="AZ980" t="s">
        <v>10025</v>
      </c>
      <c r="BA980" t="s">
        <v>1942</v>
      </c>
      <c r="BD980" t="s">
        <v>2785</v>
      </c>
      <c r="BE980" t="s">
        <v>393</v>
      </c>
      <c r="BF980">
        <v>32011</v>
      </c>
      <c r="BG980" t="s">
        <v>10082</v>
      </c>
      <c r="BH980" t="s">
        <v>2787</v>
      </c>
      <c r="BI980">
        <v>-81.826019080324897</v>
      </c>
      <c r="BJ980">
        <v>30.570777305041599</v>
      </c>
      <c r="BK980" t="s">
        <v>10083</v>
      </c>
      <c r="BM980" t="s">
        <v>10084</v>
      </c>
      <c r="BN980" t="s">
        <v>928</v>
      </c>
      <c r="BO980">
        <v>32011</v>
      </c>
      <c r="BP980" t="s">
        <v>404</v>
      </c>
      <c r="BQ980">
        <v>0</v>
      </c>
      <c r="BR980" t="s">
        <v>491</v>
      </c>
      <c r="BS980">
        <v>8001</v>
      </c>
      <c r="BT980" t="s">
        <v>492</v>
      </c>
      <c r="BW980">
        <v>5001</v>
      </c>
      <c r="BX980" t="s">
        <v>407</v>
      </c>
      <c r="BY980" t="s">
        <v>4360</v>
      </c>
      <c r="CD980">
        <v>2017</v>
      </c>
      <c r="CE980">
        <v>7500</v>
      </c>
      <c r="CG980">
        <v>7500</v>
      </c>
      <c r="CH980">
        <v>2017</v>
      </c>
      <c r="CI980">
        <v>7500</v>
      </c>
      <c r="CK980">
        <v>7500</v>
      </c>
      <c r="CL980">
        <v>2017</v>
      </c>
      <c r="CM980">
        <v>113.54</v>
      </c>
      <c r="CN980" s="1">
        <v>36334</v>
      </c>
      <c r="CZ980" s="1">
        <v>36334</v>
      </c>
      <c r="DD980" t="s">
        <v>2785</v>
      </c>
      <c r="DF980">
        <v>65</v>
      </c>
      <c r="DG980">
        <v>51</v>
      </c>
      <c r="DJ980" t="s">
        <v>9950</v>
      </c>
      <c r="DL980">
        <v>50503</v>
      </c>
      <c r="DM980" t="s">
        <v>9755</v>
      </c>
      <c r="DO980" t="s">
        <v>10085</v>
      </c>
      <c r="DP980">
        <v>0</v>
      </c>
      <c r="DQ980">
        <v>0</v>
      </c>
      <c r="DR980" t="s">
        <v>411</v>
      </c>
      <c r="DS980" t="b">
        <v>1</v>
      </c>
      <c r="DT980" t="s">
        <v>470</v>
      </c>
      <c r="DU980" t="s">
        <v>471</v>
      </c>
      <c r="DV980" t="s">
        <v>472</v>
      </c>
      <c r="DX980">
        <v>-9999</v>
      </c>
      <c r="DZ980" t="s">
        <v>447</v>
      </c>
      <c r="EA980" t="s">
        <v>448</v>
      </c>
      <c r="EB980" t="s">
        <v>742</v>
      </c>
      <c r="EC980">
        <v>20101217</v>
      </c>
      <c r="ED980" t="s">
        <v>474</v>
      </c>
      <c r="EF980">
        <v>855.6</v>
      </c>
      <c r="EG980">
        <v>855.6</v>
      </c>
      <c r="EI980">
        <v>20160407</v>
      </c>
      <c r="EJ980">
        <v>0</v>
      </c>
      <c r="EK980">
        <v>0</v>
      </c>
      <c r="EP980" t="s">
        <v>421</v>
      </c>
      <c r="EQ980" t="s">
        <v>452</v>
      </c>
      <c r="ER980">
        <v>1</v>
      </c>
      <c r="ES980">
        <v>7</v>
      </c>
      <c r="ET980">
        <v>151.51</v>
      </c>
      <c r="EU980">
        <v>21.02</v>
      </c>
      <c r="EV980">
        <v>172.53</v>
      </c>
      <c r="EW980" s="2">
        <v>43222</v>
      </c>
      <c r="EX980" s="1">
        <v>42879</v>
      </c>
      <c r="EY980">
        <v>2016</v>
      </c>
      <c r="EZ980">
        <v>151.51</v>
      </c>
      <c r="FA980" t="s">
        <v>10086</v>
      </c>
      <c r="FB980">
        <v>9.75</v>
      </c>
      <c r="FC980" t="s">
        <v>424</v>
      </c>
      <c r="FD980" t="s">
        <v>454</v>
      </c>
      <c r="FF980">
        <v>12</v>
      </c>
      <c r="FG980">
        <v>10021</v>
      </c>
      <c r="FH980" t="s">
        <v>597</v>
      </c>
      <c r="FJ980" s="1">
        <v>42515</v>
      </c>
      <c r="FK980">
        <v>2015</v>
      </c>
      <c r="FL980">
        <v>149.54</v>
      </c>
      <c r="FM980" t="s">
        <v>10087</v>
      </c>
      <c r="FN980">
        <v>18</v>
      </c>
      <c r="FO980" t="s">
        <v>424</v>
      </c>
      <c r="FP980" t="s">
        <v>425</v>
      </c>
      <c r="FR980">
        <v>22</v>
      </c>
      <c r="FS980">
        <v>7336670</v>
      </c>
      <c r="FT980" t="s">
        <v>2102</v>
      </c>
      <c r="FU980" t="s">
        <v>458</v>
      </c>
      <c r="FV980" s="1">
        <v>42151</v>
      </c>
      <c r="FW980">
        <v>2014</v>
      </c>
      <c r="FX980">
        <v>150.18</v>
      </c>
      <c r="FY980" t="s">
        <v>10088</v>
      </c>
      <c r="FZ980">
        <v>18</v>
      </c>
      <c r="GA980" t="s">
        <v>424</v>
      </c>
      <c r="GB980" t="s">
        <v>425</v>
      </c>
      <c r="GC980" s="1">
        <v>42551</v>
      </c>
      <c r="GD980">
        <v>13</v>
      </c>
      <c r="GE980">
        <v>10125</v>
      </c>
      <c r="GF980" t="s">
        <v>440</v>
      </c>
      <c r="GG980" t="s">
        <v>458</v>
      </c>
      <c r="GH980" s="1">
        <v>41787</v>
      </c>
      <c r="GI980">
        <v>2013</v>
      </c>
      <c r="GJ980">
        <v>143.33000000000001</v>
      </c>
      <c r="GK980" t="s">
        <v>10089</v>
      </c>
      <c r="GL980">
        <v>6.75</v>
      </c>
      <c r="GM980" t="s">
        <v>424</v>
      </c>
      <c r="GN980" t="s">
        <v>425</v>
      </c>
      <c r="GP980">
        <v>22</v>
      </c>
      <c r="GQ980">
        <v>2035919</v>
      </c>
      <c r="GR980" t="s">
        <v>507</v>
      </c>
      <c r="GS980" t="s">
        <v>458</v>
      </c>
      <c r="GT980" s="1">
        <v>41787</v>
      </c>
      <c r="GU980">
        <v>2013</v>
      </c>
      <c r="GV980">
        <v>143.33000000000001</v>
      </c>
      <c r="GW980" t="s">
        <v>10089</v>
      </c>
      <c r="GX980">
        <v>6.75</v>
      </c>
      <c r="GY980" t="s">
        <v>424</v>
      </c>
      <c r="GZ980" t="s">
        <v>425</v>
      </c>
      <c r="HB980">
        <v>22</v>
      </c>
      <c r="HC980">
        <v>7336670</v>
      </c>
      <c r="HD980" t="s">
        <v>2102</v>
      </c>
      <c r="HE980" t="s">
        <v>458</v>
      </c>
      <c r="HF980" s="1">
        <v>41423</v>
      </c>
      <c r="HG980">
        <v>2012</v>
      </c>
      <c r="HH980">
        <v>144.84</v>
      </c>
      <c r="HI980" t="s">
        <v>10090</v>
      </c>
      <c r="HJ980">
        <v>9.75</v>
      </c>
      <c r="HK980" t="s">
        <v>424</v>
      </c>
      <c r="HL980" t="s">
        <v>425</v>
      </c>
      <c r="HM980" s="1">
        <v>42551</v>
      </c>
      <c r="HN980">
        <v>37</v>
      </c>
      <c r="HO980">
        <v>10021</v>
      </c>
      <c r="HP980" t="s">
        <v>597</v>
      </c>
      <c r="HQ980" t="s">
        <v>458</v>
      </c>
      <c r="HR980" s="1">
        <v>40688</v>
      </c>
      <c r="HS980">
        <v>2010</v>
      </c>
      <c r="HT980">
        <v>163.80000000000001</v>
      </c>
      <c r="HU980" t="s">
        <v>10091</v>
      </c>
      <c r="HV980">
        <v>8.75</v>
      </c>
      <c r="HW980" t="s">
        <v>424</v>
      </c>
      <c r="HX980" t="s">
        <v>425</v>
      </c>
      <c r="HY980" s="1">
        <v>42551</v>
      </c>
      <c r="HZ980">
        <v>61</v>
      </c>
      <c r="IA980">
        <v>375</v>
      </c>
      <c r="IB980" t="s">
        <v>776</v>
      </c>
      <c r="IC980" t="s">
        <v>458</v>
      </c>
      <c r="ID980" s="1">
        <v>40688</v>
      </c>
      <c r="IE980">
        <v>2010</v>
      </c>
      <c r="IF980">
        <v>163.80000000000001</v>
      </c>
      <c r="IG980" t="s">
        <v>10091</v>
      </c>
      <c r="IH980">
        <v>8.75</v>
      </c>
      <c r="II980" t="s">
        <v>424</v>
      </c>
      <c r="IJ980" t="s">
        <v>425</v>
      </c>
      <c r="IL980">
        <v>22</v>
      </c>
      <c r="IM980">
        <v>105</v>
      </c>
      <c r="IN980" t="s">
        <v>946</v>
      </c>
      <c r="IO980" t="s">
        <v>458</v>
      </c>
    </row>
    <row r="981" spans="1:285" x14ac:dyDescent="0.25">
      <c r="A981">
        <v>16485988</v>
      </c>
      <c r="B981">
        <v>980</v>
      </c>
      <c r="C981" t="s">
        <v>393</v>
      </c>
      <c r="D981" t="s">
        <v>394</v>
      </c>
      <c r="F981" t="str">
        <f>"51-2N-25-4170-0066-0000"</f>
        <v>51-2N-25-4170-0066-0000</v>
      </c>
      <c r="H981" t="str">
        <f>"WOODS JOHN R &amp; RUTH"</f>
        <v>WOODS JOHN R &amp; RUTH</v>
      </c>
      <c r="I981" t="str">
        <f>"P O BOX 442"</f>
        <v>P O BOX 442</v>
      </c>
      <c r="J981" t="str">
        <f>"CALLAHAN FL 32011"</f>
        <v>CALLAHAN FL 32011</v>
      </c>
      <c r="K981" t="str">
        <f>"45001 LUTHER ST"</f>
        <v>45001 LUTHER ST</v>
      </c>
      <c r="L981" t="str">
        <f t="shared" si="319"/>
        <v>CALLAHAN FL 32011</v>
      </c>
      <c r="M981" t="str">
        <f>"LOT 66 J P PAGE SUB PB 3/20"</f>
        <v>LOT 66 J P PAGE SUB PB 3/20</v>
      </c>
      <c r="N981" t="str">
        <f>""</f>
        <v/>
      </c>
      <c r="O981" t="str">
        <f>"54854"</f>
        <v>54854</v>
      </c>
      <c r="P981" t="str">
        <f t="shared" si="310"/>
        <v>2017</v>
      </c>
      <c r="Q981" t="str">
        <f>""</f>
        <v/>
      </c>
      <c r="R981" t="str">
        <f t="shared" si="320"/>
        <v>N</v>
      </c>
      <c r="S981" t="str">
        <f>""</f>
        <v/>
      </c>
      <c r="T981" t="str">
        <f>"216.41"</f>
        <v>216.41</v>
      </c>
      <c r="U981" t="str">
        <f>"13750.00"</f>
        <v>13750.00</v>
      </c>
      <c r="V981" t="str">
        <f>"13750.00"</f>
        <v>13750.00</v>
      </c>
      <c r="W981" t="str">
        <f t="shared" si="311"/>
        <v>2017</v>
      </c>
      <c r="X981" t="str">
        <f>"9.00"</f>
        <v>9.00</v>
      </c>
      <c r="Y981" t="str">
        <f>"254.90"</f>
        <v>254.90</v>
      </c>
      <c r="Z981" t="str">
        <f>""</f>
        <v/>
      </c>
      <c r="AA981" t="str">
        <f>"15000.00"</f>
        <v>15000.00</v>
      </c>
      <c r="AB981" t="str">
        <f t="shared" si="307"/>
        <v>Residential</v>
      </c>
      <c r="AC981" t="str">
        <f t="shared" si="295"/>
        <v>0</v>
      </c>
      <c r="AD981" t="str">
        <f>""</f>
        <v/>
      </c>
      <c r="AE981" t="str">
        <f>""</f>
        <v/>
      </c>
      <c r="AF981" t="str">
        <f>"000"</f>
        <v>000</v>
      </c>
      <c r="AG981" t="str">
        <f t="shared" si="318"/>
        <v>FL</v>
      </c>
      <c r="AH981" t="str">
        <f t="shared" si="312"/>
        <v>-</v>
      </c>
      <c r="AI981" t="str">
        <f>"7500.00"</f>
        <v>7500.00</v>
      </c>
      <c r="AJ981" t="str">
        <f>"C55-000-588-7190-6"</f>
        <v>C55-000-588-7190-6</v>
      </c>
      <c r="AK981" t="str">
        <f>"15067"</f>
        <v>15067</v>
      </c>
      <c r="AL981">
        <v>4</v>
      </c>
      <c r="AM981">
        <v>1128</v>
      </c>
      <c r="AN981">
        <v>266.05</v>
      </c>
      <c r="AQ981" t="s">
        <v>10092</v>
      </c>
      <c r="AR981" t="s">
        <v>10092</v>
      </c>
      <c r="AS981" t="s">
        <v>10092</v>
      </c>
      <c r="AU981" t="s">
        <v>396</v>
      </c>
      <c r="AV981">
        <v>2017</v>
      </c>
      <c r="AW981" t="str">
        <f>"51-2N-25-4170-0066-0000 "</f>
        <v xml:space="preserve">51-2N-25-4170-0066-0000 </v>
      </c>
      <c r="AX981">
        <v>45001</v>
      </c>
      <c r="AZ981" t="s">
        <v>10025</v>
      </c>
      <c r="BA981" t="s">
        <v>1942</v>
      </c>
      <c r="BD981" t="s">
        <v>2785</v>
      </c>
      <c r="BE981" t="s">
        <v>393</v>
      </c>
      <c r="BF981">
        <v>32011</v>
      </c>
      <c r="BG981" t="s">
        <v>10093</v>
      </c>
      <c r="BH981" t="s">
        <v>2787</v>
      </c>
      <c r="BI981">
        <v>-81.826134735746393</v>
      </c>
      <c r="BJ981">
        <v>30.570646697995802</v>
      </c>
      <c r="BK981" t="s">
        <v>10094</v>
      </c>
      <c r="BL981" t="s">
        <v>10083</v>
      </c>
      <c r="BM981" t="s">
        <v>10084</v>
      </c>
      <c r="BN981" t="s">
        <v>928</v>
      </c>
      <c r="BO981">
        <v>32011</v>
      </c>
      <c r="BP981" t="s">
        <v>404</v>
      </c>
      <c r="BQ981">
        <v>1</v>
      </c>
      <c r="BR981" t="s">
        <v>491</v>
      </c>
      <c r="BS981">
        <v>8001</v>
      </c>
      <c r="BT981" t="s">
        <v>492</v>
      </c>
      <c r="BW981">
        <v>6945</v>
      </c>
      <c r="BX981" t="s">
        <v>407</v>
      </c>
      <c r="BY981" t="s">
        <v>4360</v>
      </c>
      <c r="CD981">
        <v>2017</v>
      </c>
      <c r="CE981">
        <v>7500</v>
      </c>
      <c r="CF981">
        <v>7500</v>
      </c>
      <c r="CG981">
        <v>15000</v>
      </c>
      <c r="CH981">
        <v>2017</v>
      </c>
      <c r="CI981">
        <v>7500</v>
      </c>
      <c r="CJ981">
        <v>7500</v>
      </c>
      <c r="CK981">
        <v>15000</v>
      </c>
      <c r="CL981">
        <v>2017</v>
      </c>
      <c r="CM981">
        <v>216.41</v>
      </c>
      <c r="DD981" t="s">
        <v>2785</v>
      </c>
      <c r="DF981">
        <v>66</v>
      </c>
      <c r="DG981">
        <v>51</v>
      </c>
      <c r="DL981">
        <v>50503</v>
      </c>
      <c r="DM981" t="s">
        <v>9755</v>
      </c>
      <c r="DO981" t="s">
        <v>10095</v>
      </c>
      <c r="DP981">
        <v>0</v>
      </c>
      <c r="DQ981">
        <v>0</v>
      </c>
      <c r="DR981" t="s">
        <v>411</v>
      </c>
      <c r="DS981" t="b">
        <v>1</v>
      </c>
      <c r="DT981" t="s">
        <v>470</v>
      </c>
      <c r="DU981" t="s">
        <v>471</v>
      </c>
      <c r="DV981" t="s">
        <v>472</v>
      </c>
      <c r="DX981">
        <v>-9999</v>
      </c>
      <c r="DZ981" t="s">
        <v>447</v>
      </c>
      <c r="EA981" t="s">
        <v>448</v>
      </c>
      <c r="EB981" t="s">
        <v>742</v>
      </c>
      <c r="EC981">
        <v>20101217</v>
      </c>
      <c r="ED981" t="s">
        <v>474</v>
      </c>
      <c r="EF981">
        <v>895.5</v>
      </c>
      <c r="EG981">
        <v>895.5</v>
      </c>
      <c r="EI981">
        <v>20160407</v>
      </c>
      <c r="EJ981">
        <v>0</v>
      </c>
      <c r="EK981">
        <v>0</v>
      </c>
      <c r="EP981" t="s">
        <v>595</v>
      </c>
      <c r="EQ981" t="s">
        <v>422</v>
      </c>
      <c r="ER981">
        <v>11</v>
      </c>
      <c r="ES981">
        <v>0</v>
      </c>
      <c r="ET981">
        <v>2704.1</v>
      </c>
      <c r="EU981">
        <v>1164.27</v>
      </c>
      <c r="EV981">
        <v>3868.37</v>
      </c>
      <c r="EW981" s="2">
        <v>43222</v>
      </c>
      <c r="EX981" s="1">
        <v>42879</v>
      </c>
      <c r="EY981">
        <v>2016</v>
      </c>
      <c r="EZ981">
        <v>234.54</v>
      </c>
      <c r="FA981" t="s">
        <v>10096</v>
      </c>
      <c r="FB981">
        <v>18</v>
      </c>
      <c r="FC981" t="s">
        <v>603</v>
      </c>
      <c r="FD981" t="s">
        <v>454</v>
      </c>
      <c r="FF981">
        <v>12</v>
      </c>
      <c r="FG981">
        <v>9999999</v>
      </c>
      <c r="FH981" t="s">
        <v>604</v>
      </c>
      <c r="FJ981" s="1">
        <v>42879</v>
      </c>
      <c r="FK981">
        <v>2016</v>
      </c>
      <c r="FL981">
        <v>283.01</v>
      </c>
      <c r="FM981" t="s">
        <v>10096</v>
      </c>
      <c r="FN981">
        <v>18</v>
      </c>
      <c r="FO981" t="s">
        <v>424</v>
      </c>
      <c r="FP981" t="s">
        <v>454</v>
      </c>
      <c r="FR981">
        <v>12</v>
      </c>
      <c r="FS981">
        <v>7685319</v>
      </c>
      <c r="FT981" t="s">
        <v>10097</v>
      </c>
      <c r="FV981" s="1">
        <v>42515</v>
      </c>
      <c r="FW981">
        <v>2015</v>
      </c>
      <c r="FX981">
        <v>234.57</v>
      </c>
      <c r="FY981" t="s">
        <v>10098</v>
      </c>
      <c r="FZ981">
        <v>18</v>
      </c>
      <c r="GA981" t="s">
        <v>603</v>
      </c>
      <c r="GB981" t="s">
        <v>454</v>
      </c>
      <c r="GD981">
        <v>24</v>
      </c>
      <c r="GE981">
        <v>9999999</v>
      </c>
      <c r="GF981" t="s">
        <v>604</v>
      </c>
      <c r="GH981" s="1">
        <v>42515</v>
      </c>
      <c r="GI981">
        <v>2015</v>
      </c>
      <c r="GJ981">
        <v>325.27</v>
      </c>
      <c r="GK981" t="s">
        <v>10098</v>
      </c>
      <c r="GL981">
        <v>18</v>
      </c>
      <c r="GM981" t="s">
        <v>424</v>
      </c>
      <c r="GN981" t="s">
        <v>454</v>
      </c>
      <c r="GP981">
        <v>24</v>
      </c>
      <c r="GQ981">
        <v>7685319</v>
      </c>
      <c r="GR981" t="s">
        <v>10097</v>
      </c>
      <c r="GT981" s="1">
        <v>42151</v>
      </c>
      <c r="GU981">
        <v>2014</v>
      </c>
      <c r="GV981">
        <v>235.65</v>
      </c>
      <c r="GW981" t="s">
        <v>10099</v>
      </c>
      <c r="GX981">
        <v>18</v>
      </c>
      <c r="GY981" t="s">
        <v>424</v>
      </c>
      <c r="GZ981" t="s">
        <v>454</v>
      </c>
      <c r="HB981">
        <v>36</v>
      </c>
      <c r="HC981">
        <v>10125</v>
      </c>
      <c r="HD981" t="s">
        <v>440</v>
      </c>
      <c r="HF981" s="1">
        <v>41787</v>
      </c>
      <c r="HG981">
        <v>2013</v>
      </c>
      <c r="HH981">
        <v>224.22</v>
      </c>
      <c r="HI981" t="s">
        <v>10100</v>
      </c>
      <c r="HJ981">
        <v>16.5</v>
      </c>
      <c r="HK981" t="s">
        <v>424</v>
      </c>
      <c r="HL981" t="s">
        <v>454</v>
      </c>
      <c r="HN981">
        <v>48</v>
      </c>
      <c r="HO981">
        <v>10125</v>
      </c>
      <c r="HP981" t="s">
        <v>440</v>
      </c>
      <c r="HR981" s="1">
        <v>41423</v>
      </c>
      <c r="HS981">
        <v>2012</v>
      </c>
      <c r="HT981">
        <v>226.75</v>
      </c>
      <c r="HU981" t="s">
        <v>10101</v>
      </c>
      <c r="HV981">
        <v>7.5</v>
      </c>
      <c r="HW981" t="s">
        <v>424</v>
      </c>
      <c r="HX981" t="s">
        <v>454</v>
      </c>
      <c r="HZ981">
        <v>60</v>
      </c>
      <c r="IA981">
        <v>1127</v>
      </c>
      <c r="IB981" t="s">
        <v>1379</v>
      </c>
      <c r="ID981" s="1">
        <v>41423</v>
      </c>
      <c r="IE981">
        <v>2012</v>
      </c>
      <c r="IF981">
        <v>226.75</v>
      </c>
      <c r="IG981" t="s">
        <v>10101</v>
      </c>
      <c r="IH981">
        <v>7.5</v>
      </c>
      <c r="II981" t="s">
        <v>424</v>
      </c>
      <c r="IJ981" t="s">
        <v>454</v>
      </c>
      <c r="IL981">
        <v>60</v>
      </c>
      <c r="IM981">
        <v>2035919</v>
      </c>
      <c r="IN981" t="s">
        <v>507</v>
      </c>
      <c r="IP981" s="1">
        <v>41423</v>
      </c>
      <c r="IQ981">
        <v>2012</v>
      </c>
      <c r="IR981">
        <v>226.75</v>
      </c>
      <c r="IS981" t="s">
        <v>10101</v>
      </c>
      <c r="IT981">
        <v>7.5</v>
      </c>
      <c r="IU981" t="s">
        <v>424</v>
      </c>
      <c r="IV981" t="s">
        <v>454</v>
      </c>
      <c r="IX981">
        <v>60</v>
      </c>
      <c r="IY981">
        <v>7336670</v>
      </c>
      <c r="IZ981" t="s">
        <v>2102</v>
      </c>
      <c r="JB981" s="1">
        <v>41052</v>
      </c>
      <c r="JC981">
        <v>2011</v>
      </c>
      <c r="JD981">
        <v>238.99</v>
      </c>
      <c r="JE981" t="s">
        <v>10102</v>
      </c>
      <c r="JF981">
        <v>18</v>
      </c>
      <c r="JG981" t="s">
        <v>424</v>
      </c>
      <c r="JH981" t="s">
        <v>454</v>
      </c>
      <c r="JJ981">
        <v>72</v>
      </c>
      <c r="JK981">
        <v>619</v>
      </c>
      <c r="JL981" t="s">
        <v>2768</v>
      </c>
      <c r="JN981" s="1">
        <v>40688</v>
      </c>
      <c r="JO981">
        <v>2010</v>
      </c>
      <c r="JP981">
        <v>247.6</v>
      </c>
      <c r="JQ981" t="s">
        <v>10103</v>
      </c>
      <c r="JR981">
        <v>0.25</v>
      </c>
      <c r="JS981" t="s">
        <v>424</v>
      </c>
      <c r="JT981" t="s">
        <v>454</v>
      </c>
      <c r="JV981">
        <v>84</v>
      </c>
      <c r="JW981">
        <v>389</v>
      </c>
      <c r="JX981" t="s">
        <v>609</v>
      </c>
    </row>
    <row r="982" spans="1:285" x14ac:dyDescent="0.25">
      <c r="A982">
        <v>16485989</v>
      </c>
      <c r="B982">
        <v>981</v>
      </c>
      <c r="C982" t="s">
        <v>393</v>
      </c>
      <c r="D982" t="s">
        <v>394</v>
      </c>
      <c r="F982" t="str">
        <f>"51-2N-25-4170-0070-0000"</f>
        <v>51-2N-25-4170-0070-0000</v>
      </c>
      <c r="H982" t="str">
        <f>"JOURNEY INVESTMENTS LLC"</f>
        <v>JOURNEY INVESTMENTS LLC</v>
      </c>
      <c r="I982" t="str">
        <f>"8454 E TIMROD STREET"</f>
        <v>8454 E TIMROD STREET</v>
      </c>
      <c r="J982" t="str">
        <f>"TUSCON AZ 85710"</f>
        <v>TUSCON AZ 85710</v>
      </c>
      <c r="K982" t="str">
        <f>"45038 MARVIN ST"</f>
        <v>45038 MARVIN ST</v>
      </c>
      <c r="L982" t="str">
        <f t="shared" si="319"/>
        <v>CALLAHAN FL 32011</v>
      </c>
      <c r="M982" t="str">
        <f>"LOTS 70 &amp; 71 IN OR 2135/1767 2006 FLEET DW/MH J P PAGE SUB PB 3/20"</f>
        <v>LOTS 70 &amp; 71 IN OR 2135/1767 2006 FLEET DW/MH J P PAGE SUB PB 3/20</v>
      </c>
      <c r="N982" t="str">
        <f>""</f>
        <v/>
      </c>
      <c r="O982" t="str">
        <f>"54858"</f>
        <v>54858</v>
      </c>
      <c r="P982" t="str">
        <f t="shared" si="310"/>
        <v>2017</v>
      </c>
      <c r="Q982" t="str">
        <f>""</f>
        <v/>
      </c>
      <c r="R982" t="str">
        <f t="shared" si="320"/>
        <v>N</v>
      </c>
      <c r="S982" t="str">
        <f>""</f>
        <v/>
      </c>
      <c r="T982" t="str">
        <f>"825.18"</f>
        <v>825.18</v>
      </c>
      <c r="U982" t="str">
        <f>"54508.00"</f>
        <v>54508.00</v>
      </c>
      <c r="V982" t="str">
        <f>"54508.00"</f>
        <v>54508.00</v>
      </c>
      <c r="W982" t="str">
        <f t="shared" si="311"/>
        <v>2017</v>
      </c>
      <c r="X982" t="str">
        <f>""</f>
        <v/>
      </c>
      <c r="Y982" t="str">
        <f>"881.94"</f>
        <v>881.94</v>
      </c>
      <c r="Z982" t="str">
        <f>""</f>
        <v/>
      </c>
      <c r="AA982" t="str">
        <f>"54508.00"</f>
        <v>54508.00</v>
      </c>
      <c r="AB982" t="str">
        <f t="shared" si="307"/>
        <v>Residential</v>
      </c>
      <c r="AC982" t="str">
        <f t="shared" si="295"/>
        <v>0</v>
      </c>
      <c r="AD982" t="str">
        <f>"4"</f>
        <v>4</v>
      </c>
      <c r="AE982" t="str">
        <f>"WOOD (INCLUDE STEEL STUDS)"</f>
        <v>WOOD (INCLUDE STEEL STUDS)</v>
      </c>
      <c r="AF982" t="str">
        <f>"002"</f>
        <v>002</v>
      </c>
      <c r="AG982" t="str">
        <f>"AZ"</f>
        <v>AZ</v>
      </c>
      <c r="AH982" t="str">
        <f t="shared" si="312"/>
        <v>-</v>
      </c>
      <c r="AI982" t="str">
        <f>"9000.00"</f>
        <v>9000.00</v>
      </c>
      <c r="AJ982" t="str">
        <f>"C55-000-588-7194-8"</f>
        <v>C55-000-588-7194-8</v>
      </c>
      <c r="AK982" t="str">
        <f>"15071"</f>
        <v>15071</v>
      </c>
      <c r="AL982">
        <v>4</v>
      </c>
      <c r="AM982">
        <v>1129</v>
      </c>
      <c r="AN982">
        <v>924.44</v>
      </c>
      <c r="AQ982" t="s">
        <v>10104</v>
      </c>
      <c r="AR982" t="s">
        <v>10104</v>
      </c>
      <c r="AS982" t="s">
        <v>10104</v>
      </c>
      <c r="AU982" t="s">
        <v>396</v>
      </c>
      <c r="AV982">
        <v>2017</v>
      </c>
      <c r="AW982" t="str">
        <f>"51-2N-25-4170-0070-0000 "</f>
        <v xml:space="preserve">51-2N-25-4170-0070-0000 </v>
      </c>
      <c r="AX982">
        <v>45038</v>
      </c>
      <c r="AZ982" t="s">
        <v>10105</v>
      </c>
      <c r="BA982" t="s">
        <v>1942</v>
      </c>
      <c r="BD982" t="s">
        <v>2785</v>
      </c>
      <c r="BE982" t="s">
        <v>393</v>
      </c>
      <c r="BF982">
        <v>32011</v>
      </c>
      <c r="BG982" t="s">
        <v>10106</v>
      </c>
      <c r="BH982" t="s">
        <v>2787</v>
      </c>
      <c r="BI982">
        <v>-81.826042697070804</v>
      </c>
      <c r="BJ982">
        <v>30.5712169329401</v>
      </c>
      <c r="BK982" t="s">
        <v>10107</v>
      </c>
      <c r="BM982" t="s">
        <v>10108</v>
      </c>
      <c r="BN982" t="s">
        <v>9202</v>
      </c>
      <c r="BO982">
        <v>85710</v>
      </c>
      <c r="BP982" t="s">
        <v>404</v>
      </c>
      <c r="BQ982">
        <v>200</v>
      </c>
      <c r="BR982" t="s">
        <v>405</v>
      </c>
      <c r="BS982">
        <v>1006</v>
      </c>
      <c r="BT982" t="s">
        <v>406</v>
      </c>
      <c r="BW982">
        <v>10001</v>
      </c>
      <c r="BX982" t="s">
        <v>407</v>
      </c>
      <c r="BY982" t="s">
        <v>4360</v>
      </c>
      <c r="BZ982">
        <v>4</v>
      </c>
      <c r="CA982">
        <v>2006</v>
      </c>
      <c r="CC982">
        <v>1</v>
      </c>
      <c r="CD982">
        <v>2017</v>
      </c>
      <c r="CE982">
        <v>9000</v>
      </c>
      <c r="CF982">
        <v>45508</v>
      </c>
      <c r="CG982">
        <v>54508</v>
      </c>
      <c r="CH982">
        <v>2017</v>
      </c>
      <c r="CI982">
        <v>9000</v>
      </c>
      <c r="CJ982">
        <v>45508</v>
      </c>
      <c r="CK982">
        <v>54508</v>
      </c>
      <c r="CL982">
        <v>2017</v>
      </c>
      <c r="CM982">
        <v>825.18</v>
      </c>
      <c r="CN982" s="1">
        <v>42942</v>
      </c>
      <c r="CO982">
        <v>47700</v>
      </c>
      <c r="CV982">
        <v>0</v>
      </c>
      <c r="CZ982" s="1">
        <v>42942</v>
      </c>
      <c r="DA982">
        <v>0</v>
      </c>
      <c r="DD982" t="s">
        <v>2785</v>
      </c>
      <c r="DG982">
        <v>51</v>
      </c>
      <c r="DL982">
        <v>50503</v>
      </c>
      <c r="DM982" t="s">
        <v>9755</v>
      </c>
      <c r="DO982" t="s">
        <v>10109</v>
      </c>
      <c r="DP982">
        <v>0</v>
      </c>
      <c r="DQ982">
        <v>0</v>
      </c>
      <c r="DR982" t="s">
        <v>411</v>
      </c>
    </row>
    <row r="983" spans="1:285" x14ac:dyDescent="0.25">
      <c r="A983">
        <v>16485990</v>
      </c>
      <c r="B983">
        <v>982</v>
      </c>
      <c r="C983" t="s">
        <v>393</v>
      </c>
      <c r="D983" t="s">
        <v>394</v>
      </c>
      <c r="F983" t="str">
        <f>"51-2N-25-4170-0077-0000"</f>
        <v>51-2N-25-4170-0077-0000</v>
      </c>
      <c r="H983" t="str">
        <f>"MELTON ALLEN EST C/O BETTY MELTON-WILLIAMS"</f>
        <v>MELTON ALLEN EST C/O BETTY MELTON-WILLIAMS</v>
      </c>
      <c r="I983" t="str">
        <f>"PO BOX 1232"</f>
        <v>PO BOX 1232</v>
      </c>
      <c r="J983" t="str">
        <f t="shared" ref="J983:J988" si="321">"CALLAHAN FL 32011"</f>
        <v>CALLAHAN FL 32011</v>
      </c>
      <c r="K983" t="str">
        <f>"45057 MARVIN ST"</f>
        <v>45057 MARVIN ST</v>
      </c>
      <c r="L983" t="str">
        <f t="shared" si="319"/>
        <v>CALLAHAN FL 32011</v>
      </c>
      <c r="M983" t="str">
        <f>"LOT 77 J P PAGE SUB PB 3/20"</f>
        <v>LOT 77 J P PAGE SUB PB 3/20</v>
      </c>
      <c r="N983" t="str">
        <f>""</f>
        <v/>
      </c>
      <c r="O983" t="str">
        <f>"54863"</f>
        <v>54863</v>
      </c>
      <c r="P983" t="str">
        <f t="shared" si="310"/>
        <v>2017</v>
      </c>
      <c r="Q983" t="str">
        <f>""</f>
        <v/>
      </c>
      <c r="R983" t="str">
        <f t="shared" si="320"/>
        <v>N</v>
      </c>
      <c r="S983" t="str">
        <f>""</f>
        <v/>
      </c>
      <c r="T983" t="str">
        <f>"419.34"</f>
        <v>419.34</v>
      </c>
      <c r="U983" t="str">
        <f>"27699.00"</f>
        <v>27699.00</v>
      </c>
      <c r="V983" t="str">
        <f>"27699.00"</f>
        <v>27699.00</v>
      </c>
      <c r="W983" t="str">
        <f t="shared" si="311"/>
        <v>2017</v>
      </c>
      <c r="X983" t="str">
        <f>"14.25"</f>
        <v>14.25</v>
      </c>
      <c r="Y983" t="str">
        <f>"463.92"</f>
        <v>463.92</v>
      </c>
      <c r="Z983" t="str">
        <f>""</f>
        <v/>
      </c>
      <c r="AA983" t="str">
        <f>"27699.00"</f>
        <v>27699.00</v>
      </c>
      <c r="AB983" t="str">
        <f t="shared" si="307"/>
        <v>Residential</v>
      </c>
      <c r="AC983" t="str">
        <f t="shared" si="295"/>
        <v>0</v>
      </c>
      <c r="AD983" t="str">
        <f>"4"</f>
        <v>4</v>
      </c>
      <c r="AE983" t="str">
        <f>"WOOD (INCLUDE STEEL STUDS)"</f>
        <v>WOOD (INCLUDE STEEL STUDS)</v>
      </c>
      <c r="AF983" t="str">
        <f>"001"</f>
        <v>001</v>
      </c>
      <c r="AG983" t="str">
        <f t="shared" ref="AG983:AG998" si="322">"FL"</f>
        <v>FL</v>
      </c>
      <c r="AH983" t="str">
        <f t="shared" si="312"/>
        <v>-</v>
      </c>
      <c r="AI983" t="str">
        <f>"4500.00"</f>
        <v>4500.00</v>
      </c>
      <c r="AJ983" t="str">
        <f>"C55-000-588-7199-7"</f>
        <v>C55-000-588-7199-7</v>
      </c>
      <c r="AK983" t="str">
        <f>"15076"</f>
        <v>15076</v>
      </c>
      <c r="AL983">
        <v>4</v>
      </c>
      <c r="AM983">
        <v>1130</v>
      </c>
      <c r="AN983">
        <v>485.52</v>
      </c>
      <c r="AQ983" t="s">
        <v>10110</v>
      </c>
      <c r="AR983" t="s">
        <v>10110</v>
      </c>
      <c r="AS983" t="s">
        <v>10110</v>
      </c>
      <c r="AU983" t="s">
        <v>396</v>
      </c>
      <c r="AV983">
        <v>2017</v>
      </c>
      <c r="AW983" t="str">
        <f>"51-2N-25-4170-0077-0000 "</f>
        <v xml:space="preserve">51-2N-25-4170-0077-0000 </v>
      </c>
      <c r="AX983">
        <v>45057</v>
      </c>
      <c r="AZ983" t="s">
        <v>10105</v>
      </c>
      <c r="BA983" t="s">
        <v>1942</v>
      </c>
      <c r="BD983" t="s">
        <v>2785</v>
      </c>
      <c r="BE983" t="s">
        <v>393</v>
      </c>
      <c r="BF983">
        <v>32011</v>
      </c>
      <c r="BG983" t="s">
        <v>10111</v>
      </c>
      <c r="BH983" t="s">
        <v>2787</v>
      </c>
      <c r="BI983">
        <v>-81.8261239640116</v>
      </c>
      <c r="BJ983">
        <v>30.571737525149601</v>
      </c>
      <c r="BK983" t="s">
        <v>10112</v>
      </c>
      <c r="BM983" t="s">
        <v>10113</v>
      </c>
      <c r="BN983" t="s">
        <v>928</v>
      </c>
      <c r="BO983">
        <v>32011</v>
      </c>
      <c r="BP983" t="s">
        <v>404</v>
      </c>
      <c r="BQ983">
        <v>100</v>
      </c>
      <c r="BR983" t="s">
        <v>514</v>
      </c>
      <c r="BS983">
        <v>1001</v>
      </c>
      <c r="BT983" t="s">
        <v>515</v>
      </c>
      <c r="BW983">
        <v>5477</v>
      </c>
      <c r="BX983" t="s">
        <v>407</v>
      </c>
      <c r="BY983" t="s">
        <v>4360</v>
      </c>
      <c r="BZ983">
        <v>4</v>
      </c>
      <c r="CA983">
        <v>1961</v>
      </c>
      <c r="CB983">
        <v>1</v>
      </c>
      <c r="CC983">
        <v>1</v>
      </c>
      <c r="CD983">
        <v>2017</v>
      </c>
      <c r="CE983">
        <v>4500</v>
      </c>
      <c r="CF983">
        <v>23199</v>
      </c>
      <c r="CG983">
        <v>27699</v>
      </c>
      <c r="CH983">
        <v>2017</v>
      </c>
      <c r="CI983">
        <v>4500</v>
      </c>
      <c r="CJ983">
        <v>23199</v>
      </c>
      <c r="CK983">
        <v>27699</v>
      </c>
      <c r="CL983">
        <v>2017</v>
      </c>
      <c r="CM983">
        <v>419.34</v>
      </c>
      <c r="DD983" t="s">
        <v>2785</v>
      </c>
      <c r="DF983">
        <v>77</v>
      </c>
      <c r="DG983">
        <v>51</v>
      </c>
      <c r="DL983">
        <v>50503</v>
      </c>
      <c r="DM983" t="s">
        <v>9755</v>
      </c>
      <c r="DO983" t="s">
        <v>10114</v>
      </c>
      <c r="DP983">
        <v>0</v>
      </c>
      <c r="DQ983">
        <v>0</v>
      </c>
      <c r="DR983" t="s">
        <v>411</v>
      </c>
      <c r="DS983" t="b">
        <v>1</v>
      </c>
      <c r="DT983" t="s">
        <v>470</v>
      </c>
      <c r="DU983" t="s">
        <v>471</v>
      </c>
      <c r="DV983" t="s">
        <v>472</v>
      </c>
      <c r="DX983">
        <v>-9999</v>
      </c>
      <c r="DZ983" t="s">
        <v>447</v>
      </c>
      <c r="EA983" t="s">
        <v>448</v>
      </c>
      <c r="EB983" t="s">
        <v>742</v>
      </c>
      <c r="EC983">
        <v>20101217</v>
      </c>
      <c r="ED983" t="s">
        <v>474</v>
      </c>
      <c r="EF983">
        <v>673.8</v>
      </c>
      <c r="EG983">
        <v>673.8</v>
      </c>
      <c r="EI983">
        <v>20160407</v>
      </c>
      <c r="EJ983">
        <v>0</v>
      </c>
      <c r="EK983">
        <v>0</v>
      </c>
      <c r="EP983" t="s">
        <v>421</v>
      </c>
      <c r="EQ983" t="s">
        <v>422</v>
      </c>
      <c r="ER983">
        <v>0</v>
      </c>
      <c r="ES983">
        <v>5</v>
      </c>
      <c r="ET983">
        <v>0</v>
      </c>
      <c r="EU983">
        <v>0</v>
      </c>
      <c r="EV983">
        <v>0</v>
      </c>
      <c r="EW983" s="2">
        <v>43222</v>
      </c>
      <c r="EX983" s="1">
        <v>42879</v>
      </c>
      <c r="EY983">
        <v>2016</v>
      </c>
      <c r="EZ983">
        <v>486.87</v>
      </c>
      <c r="FA983" t="s">
        <v>10115</v>
      </c>
      <c r="FB983">
        <v>0.25</v>
      </c>
      <c r="FC983" t="s">
        <v>424</v>
      </c>
      <c r="FD983" t="s">
        <v>425</v>
      </c>
      <c r="FE983" s="1">
        <v>43220</v>
      </c>
      <c r="FF983">
        <v>11</v>
      </c>
      <c r="FG983">
        <v>7400234</v>
      </c>
      <c r="FH983" t="s">
        <v>426</v>
      </c>
      <c r="FJ983" s="1">
        <v>42879</v>
      </c>
      <c r="FK983">
        <v>2016</v>
      </c>
      <c r="FL983">
        <v>486.87</v>
      </c>
      <c r="FM983" t="s">
        <v>10115</v>
      </c>
      <c r="FN983">
        <v>0.25</v>
      </c>
      <c r="FO983" t="s">
        <v>424</v>
      </c>
      <c r="FP983" t="s">
        <v>425</v>
      </c>
      <c r="FR983">
        <v>22</v>
      </c>
      <c r="FS983">
        <v>7510158</v>
      </c>
      <c r="FT983" t="s">
        <v>10116</v>
      </c>
      <c r="FV983" s="1">
        <v>42515</v>
      </c>
      <c r="FW983">
        <v>2015</v>
      </c>
      <c r="FX983">
        <v>493.03</v>
      </c>
      <c r="FY983" t="s">
        <v>10117</v>
      </c>
      <c r="FZ983">
        <v>6.75</v>
      </c>
      <c r="GA983" t="s">
        <v>424</v>
      </c>
      <c r="GB983" t="s">
        <v>425</v>
      </c>
      <c r="GC983" s="1">
        <v>42772</v>
      </c>
      <c r="GD983">
        <v>9</v>
      </c>
      <c r="GE983">
        <v>2035919</v>
      </c>
      <c r="GF983" t="s">
        <v>507</v>
      </c>
      <c r="GH983" s="1">
        <v>42151</v>
      </c>
      <c r="GI983">
        <v>2014</v>
      </c>
      <c r="GJ983">
        <v>455.76</v>
      </c>
      <c r="GK983" t="s">
        <v>10118</v>
      </c>
      <c r="GL983">
        <v>4.75</v>
      </c>
      <c r="GM983" t="s">
        <v>424</v>
      </c>
      <c r="GN983" t="s">
        <v>425</v>
      </c>
      <c r="GO983" s="1">
        <v>42772</v>
      </c>
      <c r="GP983">
        <v>21</v>
      </c>
      <c r="GQ983">
        <v>4975593</v>
      </c>
      <c r="GR983" t="s">
        <v>505</v>
      </c>
      <c r="GT983" s="1">
        <v>41787</v>
      </c>
      <c r="GU983">
        <v>2013</v>
      </c>
      <c r="GV983">
        <v>434.61</v>
      </c>
      <c r="GW983" t="s">
        <v>10119</v>
      </c>
      <c r="GX983">
        <v>0.25</v>
      </c>
      <c r="GY983" t="s">
        <v>424</v>
      </c>
      <c r="GZ983" t="s">
        <v>425</v>
      </c>
      <c r="HA983" s="1">
        <v>42255</v>
      </c>
      <c r="HB983">
        <v>16</v>
      </c>
      <c r="HC983">
        <v>13026</v>
      </c>
      <c r="HD983" t="s">
        <v>2129</v>
      </c>
    </row>
    <row r="984" spans="1:285" x14ac:dyDescent="0.25">
      <c r="A984">
        <v>16485991</v>
      </c>
      <c r="B984">
        <v>983</v>
      </c>
      <c r="C984" t="s">
        <v>393</v>
      </c>
      <c r="D984" t="s">
        <v>394</v>
      </c>
      <c r="F984" t="str">
        <f>"51-2N-25-4170-0079-0000"</f>
        <v>51-2N-25-4170-0079-0000</v>
      </c>
      <c r="H984" t="str">
        <f>"WILLIAMS WILLIE C JR EST"</f>
        <v>WILLIAMS WILLIE C JR EST</v>
      </c>
      <c r="I984" t="str">
        <f>"45041 MARVIN ST"</f>
        <v>45041 MARVIN ST</v>
      </c>
      <c r="J984" t="str">
        <f t="shared" si="321"/>
        <v>CALLAHAN FL 32011</v>
      </c>
      <c r="K984" t="str">
        <f>"45041 MARVIN ST"</f>
        <v>45041 MARVIN ST</v>
      </c>
      <c r="L984" t="str">
        <f t="shared" si="319"/>
        <v>CALLAHAN FL 32011</v>
      </c>
      <c r="M984" t="str">
        <f>"LOT 79 IN OR 612 PG 456 J P PAGE SUB PB 3/20"</f>
        <v>LOT 79 IN OR 612 PG 456 J P PAGE SUB PB 3/20</v>
      </c>
      <c r="N984" t="str">
        <f>""</f>
        <v/>
      </c>
      <c r="O984" t="str">
        <f>"54865"</f>
        <v>54865</v>
      </c>
      <c r="P984" t="str">
        <f t="shared" si="310"/>
        <v>2017</v>
      </c>
      <c r="Q984" t="str">
        <f>""</f>
        <v/>
      </c>
      <c r="R984" t="str">
        <f t="shared" si="320"/>
        <v>N</v>
      </c>
      <c r="S984" t="str">
        <f>""</f>
        <v/>
      </c>
      <c r="T984" t="str">
        <f>"309.02"</f>
        <v>309.02</v>
      </c>
      <c r="U984" t="str">
        <f>"20412.00"</f>
        <v>20412.00</v>
      </c>
      <c r="V984" t="str">
        <f>"20412.00"</f>
        <v>20412.00</v>
      </c>
      <c r="W984" t="str">
        <f t="shared" si="311"/>
        <v>2017</v>
      </c>
      <c r="X984" t="str">
        <f>"15.00"</f>
        <v>15.00</v>
      </c>
      <c r="Y984" t="str">
        <f>"350.29"</f>
        <v>350.29</v>
      </c>
      <c r="Z984" t="str">
        <f>""</f>
        <v/>
      </c>
      <c r="AA984" t="str">
        <f>"20412.00"</f>
        <v>20412.00</v>
      </c>
      <c r="AB984" t="str">
        <f t="shared" si="307"/>
        <v>Residential</v>
      </c>
      <c r="AC984" t="str">
        <f t="shared" ref="AC984:AC1047" si="323">"0"</f>
        <v>0</v>
      </c>
      <c r="AD984" t="str">
        <f>"4"</f>
        <v>4</v>
      </c>
      <c r="AE984" t="str">
        <f>"WOOD (INCLUDE STEEL STUDS)"</f>
        <v>WOOD (INCLUDE STEEL STUDS)</v>
      </c>
      <c r="AF984" t="str">
        <f>"001"</f>
        <v>001</v>
      </c>
      <c r="AG984" t="str">
        <f t="shared" si="322"/>
        <v>FL</v>
      </c>
      <c r="AH984" t="str">
        <f t="shared" si="312"/>
        <v>-</v>
      </c>
      <c r="AI984" t="str">
        <f>"7500.00"</f>
        <v>7500.00</v>
      </c>
      <c r="AJ984" t="str">
        <f>"C55-000-588-7201-1"</f>
        <v>C55-000-588-7201-1</v>
      </c>
      <c r="AK984" t="str">
        <f>"15078"</f>
        <v>15078</v>
      </c>
      <c r="AL984">
        <v>4</v>
      </c>
      <c r="AM984">
        <v>1131</v>
      </c>
      <c r="AN984">
        <v>366.2</v>
      </c>
      <c r="AQ984" t="s">
        <v>10120</v>
      </c>
      <c r="AR984" t="s">
        <v>10120</v>
      </c>
      <c r="AS984" t="s">
        <v>10120</v>
      </c>
      <c r="AU984" t="s">
        <v>396</v>
      </c>
      <c r="AV984">
        <v>2017</v>
      </c>
      <c r="AW984" t="str">
        <f>"51-2N-25-4170-0079-0000 "</f>
        <v xml:space="preserve">51-2N-25-4170-0079-0000 </v>
      </c>
      <c r="AX984">
        <v>45041</v>
      </c>
      <c r="AZ984" t="s">
        <v>10105</v>
      </c>
      <c r="BA984" t="s">
        <v>1942</v>
      </c>
      <c r="BD984" t="s">
        <v>2785</v>
      </c>
      <c r="BE984" t="s">
        <v>393</v>
      </c>
      <c r="BF984">
        <v>32011</v>
      </c>
      <c r="BG984" t="s">
        <v>10121</v>
      </c>
      <c r="BH984" t="s">
        <v>2787</v>
      </c>
      <c r="BI984">
        <v>-81.8264514611366</v>
      </c>
      <c r="BJ984">
        <v>30.571555203534899</v>
      </c>
      <c r="BK984" t="s">
        <v>10122</v>
      </c>
      <c r="BM984" t="s">
        <v>10121</v>
      </c>
      <c r="BN984" t="s">
        <v>928</v>
      </c>
      <c r="BO984">
        <v>32011</v>
      </c>
      <c r="BP984" t="s">
        <v>416</v>
      </c>
      <c r="BQ984">
        <v>100</v>
      </c>
      <c r="BR984" t="s">
        <v>514</v>
      </c>
      <c r="BS984">
        <v>1001</v>
      </c>
      <c r="BT984" t="s">
        <v>515</v>
      </c>
      <c r="BW984">
        <v>7599</v>
      </c>
      <c r="BX984" t="s">
        <v>407</v>
      </c>
      <c r="BY984" t="s">
        <v>4360</v>
      </c>
      <c r="BZ984">
        <v>4</v>
      </c>
      <c r="CA984">
        <v>1961</v>
      </c>
      <c r="CB984">
        <v>1</v>
      </c>
      <c r="CC984">
        <v>1</v>
      </c>
      <c r="CD984">
        <v>2017</v>
      </c>
      <c r="CE984">
        <v>7500</v>
      </c>
      <c r="CF984">
        <v>12912</v>
      </c>
      <c r="CG984">
        <v>20412</v>
      </c>
      <c r="CH984">
        <v>2017</v>
      </c>
      <c r="CI984">
        <v>7500</v>
      </c>
      <c r="CJ984">
        <v>12912</v>
      </c>
      <c r="CK984">
        <v>20412</v>
      </c>
      <c r="CL984">
        <v>2017</v>
      </c>
      <c r="CM984">
        <v>309.02</v>
      </c>
      <c r="CN984" s="1">
        <v>33192</v>
      </c>
      <c r="CO984">
        <v>1600</v>
      </c>
      <c r="CZ984" s="1">
        <v>33192</v>
      </c>
      <c r="DD984" t="s">
        <v>2785</v>
      </c>
      <c r="DF984">
        <v>79</v>
      </c>
      <c r="DG984">
        <v>51</v>
      </c>
      <c r="DL984">
        <v>50503</v>
      </c>
      <c r="DM984" t="s">
        <v>9755</v>
      </c>
      <c r="DO984" t="s">
        <v>10123</v>
      </c>
      <c r="DP984">
        <v>0</v>
      </c>
      <c r="DQ984">
        <v>0</v>
      </c>
      <c r="DR984" t="s">
        <v>411</v>
      </c>
      <c r="DS984" t="b">
        <v>1</v>
      </c>
      <c r="DT984" t="s">
        <v>470</v>
      </c>
      <c r="DU984" t="s">
        <v>471</v>
      </c>
      <c r="DV984" t="s">
        <v>472</v>
      </c>
      <c r="DX984">
        <v>-9999</v>
      </c>
      <c r="DZ984" t="s">
        <v>447</v>
      </c>
      <c r="EA984" t="s">
        <v>448</v>
      </c>
      <c r="EB984" t="s">
        <v>742</v>
      </c>
      <c r="EC984">
        <v>20101217</v>
      </c>
      <c r="ED984" t="s">
        <v>474</v>
      </c>
      <c r="EF984">
        <v>818.7</v>
      </c>
      <c r="EG984">
        <v>818.7</v>
      </c>
      <c r="EH984" t="s">
        <v>451</v>
      </c>
      <c r="EI984">
        <v>20140731</v>
      </c>
      <c r="EJ984">
        <v>0</v>
      </c>
      <c r="EK984">
        <v>0</v>
      </c>
      <c r="EP984" t="s">
        <v>421</v>
      </c>
      <c r="EQ984" t="s">
        <v>422</v>
      </c>
      <c r="ER984">
        <v>0</v>
      </c>
      <c r="ES984">
        <v>2</v>
      </c>
      <c r="ET984">
        <v>0</v>
      </c>
      <c r="EU984">
        <v>0</v>
      </c>
      <c r="EV984">
        <v>0</v>
      </c>
      <c r="EW984" s="2">
        <v>43222</v>
      </c>
      <c r="EX984" s="1">
        <v>42151</v>
      </c>
      <c r="EY984">
        <v>2014</v>
      </c>
      <c r="EZ984">
        <v>334.29</v>
      </c>
      <c r="FA984" t="s">
        <v>10124</v>
      </c>
      <c r="FB984">
        <v>4.75</v>
      </c>
      <c r="FC984" t="s">
        <v>424</v>
      </c>
      <c r="FD984" t="s">
        <v>425</v>
      </c>
      <c r="FE984" s="1">
        <v>42187</v>
      </c>
      <c r="FF984">
        <v>2</v>
      </c>
      <c r="FG984">
        <v>4975593</v>
      </c>
      <c r="FH984" t="s">
        <v>505</v>
      </c>
      <c r="FJ984" s="1">
        <v>41787</v>
      </c>
      <c r="FK984">
        <v>2013</v>
      </c>
      <c r="FL984">
        <v>280.2</v>
      </c>
      <c r="FM984" t="s">
        <v>10125</v>
      </c>
      <c r="FN984">
        <v>0.25</v>
      </c>
      <c r="FO984" t="s">
        <v>424</v>
      </c>
      <c r="FP984" t="s">
        <v>425</v>
      </c>
      <c r="FQ984" s="1">
        <v>42457</v>
      </c>
      <c r="FR984">
        <v>22</v>
      </c>
      <c r="FS984">
        <v>13026</v>
      </c>
      <c r="FT984" t="s">
        <v>2129</v>
      </c>
    </row>
    <row r="985" spans="1:285" x14ac:dyDescent="0.25">
      <c r="A985">
        <v>16485992</v>
      </c>
      <c r="B985">
        <v>984</v>
      </c>
      <c r="C985" t="s">
        <v>393</v>
      </c>
      <c r="D985" t="s">
        <v>394</v>
      </c>
      <c r="F985" t="str">
        <f>"51-2N-25-4170-0080-0000"</f>
        <v>51-2N-25-4170-0080-0000</v>
      </c>
      <c r="H985" t="str">
        <f>"MELTON PATRICIA ANN &amp; MELTON JAMES R LEE EST (S&amp;B)"</f>
        <v>MELTON PATRICIA ANN &amp; MELTON JAMES R LEE EST (S&amp;B)</v>
      </c>
      <c r="I985" t="str">
        <f>"PO BOX 474"</f>
        <v>PO BOX 474</v>
      </c>
      <c r="J985" t="str">
        <f t="shared" si="321"/>
        <v>CALLAHAN FL 32011</v>
      </c>
      <c r="K985" t="str">
        <f>"45029 MARVIN ST"</f>
        <v>45029 MARVIN ST</v>
      </c>
      <c r="L985" t="str">
        <f t="shared" si="319"/>
        <v>CALLAHAN FL 32011</v>
      </c>
      <c r="M985" t="str">
        <f>"LOT 80 PT OR 1559/350 J P PAGE SUB PB 3/20"</f>
        <v>LOT 80 PT OR 1559/350 J P PAGE SUB PB 3/20</v>
      </c>
      <c r="N985" t="str">
        <f>""</f>
        <v/>
      </c>
      <c r="O985" t="str">
        <f>"54866"</f>
        <v>54866</v>
      </c>
      <c r="P985" t="str">
        <f t="shared" si="310"/>
        <v>2017</v>
      </c>
      <c r="Q985" t="str">
        <f>""</f>
        <v/>
      </c>
      <c r="R985" t="str">
        <f t="shared" si="320"/>
        <v>N</v>
      </c>
      <c r="S985" t="str">
        <f>""</f>
        <v/>
      </c>
      <c r="T985" t="str">
        <f>"350.98"</f>
        <v>350.98</v>
      </c>
      <c r="U985" t="str">
        <f>"23184.00"</f>
        <v>23184.00</v>
      </c>
      <c r="V985" t="str">
        <f>"23184.00"</f>
        <v>23184.00</v>
      </c>
      <c r="W985" t="str">
        <f t="shared" si="311"/>
        <v>2017</v>
      </c>
      <c r="X985" t="str">
        <f>"19.80"</f>
        <v>19.80</v>
      </c>
      <c r="Y985" t="str">
        <f>"393.51"</f>
        <v>393.51</v>
      </c>
      <c r="Z985" t="str">
        <f>""</f>
        <v/>
      </c>
      <c r="AA985" t="str">
        <f>"23184.00"</f>
        <v>23184.00</v>
      </c>
      <c r="AB985" t="str">
        <f t="shared" si="307"/>
        <v>Residential</v>
      </c>
      <c r="AC985" t="str">
        <f t="shared" si="323"/>
        <v>0</v>
      </c>
      <c r="AD985" t="str">
        <f>"4"</f>
        <v>4</v>
      </c>
      <c r="AE985" t="str">
        <f>"WOOD (INCLUDE STEEL STUDS)"</f>
        <v>WOOD (INCLUDE STEEL STUDS)</v>
      </c>
      <c r="AF985" t="str">
        <f>"001"</f>
        <v>001</v>
      </c>
      <c r="AG985" t="str">
        <f t="shared" si="322"/>
        <v>FL</v>
      </c>
      <c r="AH985" t="str">
        <f t="shared" si="312"/>
        <v>-</v>
      </c>
      <c r="AI985" t="str">
        <f>"7500.00"</f>
        <v>7500.00</v>
      </c>
      <c r="AJ985" t="str">
        <f>"C55-000-588-7202-9"</f>
        <v>C55-000-588-7202-9</v>
      </c>
      <c r="AK985" t="str">
        <f>"15079"</f>
        <v>15079</v>
      </c>
      <c r="AL985">
        <v>4</v>
      </c>
      <c r="AM985">
        <v>1132</v>
      </c>
      <c r="AN985">
        <v>411.59</v>
      </c>
      <c r="AQ985" t="s">
        <v>10126</v>
      </c>
      <c r="AR985" t="s">
        <v>10126</v>
      </c>
      <c r="AS985" t="s">
        <v>10126</v>
      </c>
      <c r="AU985" t="s">
        <v>396</v>
      </c>
      <c r="AV985">
        <v>2017</v>
      </c>
      <c r="AW985" t="str">
        <f>"51-2N-25-4170-0080-0000 "</f>
        <v xml:space="preserve">51-2N-25-4170-0080-0000 </v>
      </c>
      <c r="AX985">
        <v>45029</v>
      </c>
      <c r="AZ985" t="s">
        <v>10105</v>
      </c>
      <c r="BA985" t="s">
        <v>1942</v>
      </c>
      <c r="BD985" t="s">
        <v>2785</v>
      </c>
      <c r="BE985" t="s">
        <v>393</v>
      </c>
      <c r="BF985">
        <v>32011</v>
      </c>
      <c r="BG985" t="s">
        <v>10127</v>
      </c>
      <c r="BH985" t="s">
        <v>2787</v>
      </c>
      <c r="BI985">
        <v>-81.826539706202396</v>
      </c>
      <c r="BJ985">
        <v>30.571460073398299</v>
      </c>
      <c r="BK985" t="s">
        <v>10128</v>
      </c>
      <c r="BL985" t="s">
        <v>10129</v>
      </c>
      <c r="BM985" t="s">
        <v>10130</v>
      </c>
      <c r="BN985" t="s">
        <v>928</v>
      </c>
      <c r="BO985">
        <v>32011</v>
      </c>
      <c r="BP985" t="s">
        <v>404</v>
      </c>
      <c r="BQ985">
        <v>100</v>
      </c>
      <c r="BR985" t="s">
        <v>514</v>
      </c>
      <c r="BS985">
        <v>1001</v>
      </c>
      <c r="BT985" t="s">
        <v>515</v>
      </c>
      <c r="BW985">
        <v>6703</v>
      </c>
      <c r="BX985" t="s">
        <v>407</v>
      </c>
      <c r="BY985" t="s">
        <v>4360</v>
      </c>
      <c r="BZ985">
        <v>4</v>
      </c>
      <c r="CA985">
        <v>1962</v>
      </c>
      <c r="CB985">
        <v>1</v>
      </c>
      <c r="CC985">
        <v>1</v>
      </c>
      <c r="CD985">
        <v>2017</v>
      </c>
      <c r="CE985">
        <v>7500</v>
      </c>
      <c r="CF985">
        <v>15684</v>
      </c>
      <c r="CG985">
        <v>23184</v>
      </c>
      <c r="CH985">
        <v>2017</v>
      </c>
      <c r="CI985">
        <v>7500</v>
      </c>
      <c r="CJ985">
        <v>15684</v>
      </c>
      <c r="CK985">
        <v>23184</v>
      </c>
      <c r="CL985">
        <v>2017</v>
      </c>
      <c r="CM985">
        <v>350.98</v>
      </c>
      <c r="CN985" s="1">
        <v>39540</v>
      </c>
      <c r="CZ985" s="1">
        <v>39540</v>
      </c>
      <c r="DD985" t="s">
        <v>2785</v>
      </c>
      <c r="DF985">
        <v>80</v>
      </c>
      <c r="DG985">
        <v>51</v>
      </c>
      <c r="DJ985" t="s">
        <v>9950</v>
      </c>
      <c r="DL985">
        <v>50503</v>
      </c>
      <c r="DM985" t="s">
        <v>9755</v>
      </c>
      <c r="DO985" t="s">
        <v>10131</v>
      </c>
      <c r="DP985">
        <v>0</v>
      </c>
      <c r="DQ985">
        <v>0</v>
      </c>
      <c r="DR985" t="s">
        <v>411</v>
      </c>
      <c r="DS985" t="b">
        <v>1</v>
      </c>
      <c r="DT985" t="s">
        <v>470</v>
      </c>
      <c r="DU985" t="s">
        <v>471</v>
      </c>
      <c r="DV985" t="s">
        <v>472</v>
      </c>
      <c r="DX985">
        <v>-9999</v>
      </c>
      <c r="DZ985" t="s">
        <v>447</v>
      </c>
      <c r="EA985" t="s">
        <v>448</v>
      </c>
      <c r="EB985" t="s">
        <v>742</v>
      </c>
      <c r="EC985">
        <v>20101217</v>
      </c>
      <c r="ED985" t="s">
        <v>474</v>
      </c>
      <c r="EF985">
        <v>826.6</v>
      </c>
      <c r="EG985">
        <v>826.6</v>
      </c>
      <c r="EI985">
        <v>20160407</v>
      </c>
      <c r="EJ985">
        <v>0</v>
      </c>
      <c r="EK985">
        <v>0</v>
      </c>
      <c r="EP985" t="s">
        <v>421</v>
      </c>
      <c r="EQ985" t="s">
        <v>422</v>
      </c>
      <c r="ER985">
        <v>2</v>
      </c>
      <c r="ES985">
        <v>4</v>
      </c>
      <c r="ET985">
        <v>834.22</v>
      </c>
      <c r="EU985">
        <v>161.4</v>
      </c>
      <c r="EV985">
        <v>995.62</v>
      </c>
      <c r="EW985" s="2">
        <v>43222</v>
      </c>
      <c r="EX985" s="1">
        <v>42879</v>
      </c>
      <c r="EY985">
        <v>2016</v>
      </c>
      <c r="EZ985">
        <v>413.89</v>
      </c>
      <c r="FA985" t="s">
        <v>10132</v>
      </c>
      <c r="FB985">
        <v>4.75</v>
      </c>
      <c r="FC985" t="s">
        <v>424</v>
      </c>
      <c r="FD985" t="s">
        <v>454</v>
      </c>
      <c r="FF985">
        <v>12</v>
      </c>
      <c r="FG985">
        <v>2035919</v>
      </c>
      <c r="FH985" t="s">
        <v>507</v>
      </c>
      <c r="FJ985" s="1">
        <v>42515</v>
      </c>
      <c r="FK985">
        <v>2015</v>
      </c>
      <c r="FL985">
        <v>420.33</v>
      </c>
      <c r="FM985" t="s">
        <v>10133</v>
      </c>
      <c r="FN985">
        <v>15.25</v>
      </c>
      <c r="FO985" t="s">
        <v>424</v>
      </c>
      <c r="FP985" t="s">
        <v>454</v>
      </c>
      <c r="FR985">
        <v>24</v>
      </c>
      <c r="FS985">
        <v>10003</v>
      </c>
      <c r="FT985" t="s">
        <v>4341</v>
      </c>
      <c r="FV985" s="1">
        <v>42151</v>
      </c>
      <c r="FW985">
        <v>2014</v>
      </c>
      <c r="FX985">
        <v>396.96</v>
      </c>
      <c r="FY985" t="s">
        <v>10134</v>
      </c>
      <c r="FZ985">
        <v>3.75</v>
      </c>
      <c r="GA985" t="s">
        <v>424</v>
      </c>
      <c r="GB985" t="s">
        <v>425</v>
      </c>
      <c r="GC985" s="1">
        <v>42842</v>
      </c>
      <c r="GD985">
        <v>23</v>
      </c>
      <c r="GE985">
        <v>4975593</v>
      </c>
      <c r="GF985" t="s">
        <v>505</v>
      </c>
      <c r="GH985" s="1">
        <v>41787</v>
      </c>
      <c r="GI985">
        <v>2013</v>
      </c>
      <c r="GJ985">
        <v>360.36</v>
      </c>
      <c r="GK985" t="s">
        <v>10135</v>
      </c>
      <c r="GL985">
        <v>2.25</v>
      </c>
      <c r="GM985" t="s">
        <v>424</v>
      </c>
      <c r="GN985" t="s">
        <v>425</v>
      </c>
      <c r="GO985" s="1">
        <v>42115</v>
      </c>
      <c r="GP985">
        <v>11</v>
      </c>
      <c r="GQ985">
        <v>15399</v>
      </c>
      <c r="GR985" t="s">
        <v>485</v>
      </c>
      <c r="GT985" s="1">
        <v>41423</v>
      </c>
      <c r="GU985">
        <v>2012</v>
      </c>
      <c r="GV985">
        <v>366.21</v>
      </c>
      <c r="GW985" t="s">
        <v>10136</v>
      </c>
      <c r="GX985">
        <v>3.5</v>
      </c>
      <c r="GY985" t="s">
        <v>424</v>
      </c>
      <c r="GZ985" t="s">
        <v>425</v>
      </c>
      <c r="HA985" s="1">
        <v>42061</v>
      </c>
      <c r="HB985">
        <v>21</v>
      </c>
      <c r="HC985">
        <v>15399</v>
      </c>
      <c r="HD985" t="s">
        <v>485</v>
      </c>
      <c r="HF985" s="1">
        <v>41052</v>
      </c>
      <c r="HG985">
        <v>2011</v>
      </c>
      <c r="HH985">
        <v>382.56</v>
      </c>
      <c r="HI985" t="s">
        <v>10137</v>
      </c>
      <c r="HJ985">
        <v>5.75</v>
      </c>
      <c r="HK985" t="s">
        <v>424</v>
      </c>
      <c r="HL985" t="s">
        <v>425</v>
      </c>
      <c r="HM985" s="1">
        <v>41697</v>
      </c>
      <c r="HN985">
        <v>21</v>
      </c>
      <c r="HO985">
        <v>62</v>
      </c>
      <c r="HP985" t="s">
        <v>463</v>
      </c>
    </row>
    <row r="986" spans="1:285" x14ac:dyDescent="0.25">
      <c r="A986">
        <v>16485993</v>
      </c>
      <c r="B986">
        <v>985</v>
      </c>
      <c r="C986" t="s">
        <v>393</v>
      </c>
      <c r="D986" t="s">
        <v>394</v>
      </c>
      <c r="F986" t="str">
        <f>"51-2N-25-4170-0081-0000"</f>
        <v>51-2N-25-4170-0081-0000</v>
      </c>
      <c r="H986" t="str">
        <f>"MELTON PATRICIA ANN &amp; MELTON JAMES R LEE EST (S&amp;B)"</f>
        <v>MELTON PATRICIA ANN &amp; MELTON JAMES R LEE EST (S&amp;B)</v>
      </c>
      <c r="I986" t="str">
        <f>"PO BOX 162"</f>
        <v>PO BOX 162</v>
      </c>
      <c r="J986" t="str">
        <f t="shared" si="321"/>
        <v>CALLAHAN FL 32011</v>
      </c>
      <c r="K986" t="str">
        <f>"45021 MARVIN ST"</f>
        <v>45021 MARVIN ST</v>
      </c>
      <c r="L986" t="str">
        <f t="shared" si="319"/>
        <v>CALLAHAN FL 32011</v>
      </c>
      <c r="M986" t="str">
        <f>"LOT 81 PT OR 1559/350 2006 NOBI DW/MH J P PAGE SUB PB 3/20"</f>
        <v>LOT 81 PT OR 1559/350 2006 NOBI DW/MH J P PAGE SUB PB 3/20</v>
      </c>
      <c r="N986" t="str">
        <f>""</f>
        <v/>
      </c>
      <c r="O986" t="str">
        <f>"54867"</f>
        <v>54867</v>
      </c>
      <c r="P986" t="str">
        <f t="shared" si="310"/>
        <v>2017</v>
      </c>
      <c r="Q986" t="str">
        <f>""</f>
        <v/>
      </c>
      <c r="R986" t="str">
        <f>"Y"</f>
        <v>Y</v>
      </c>
      <c r="S986" t="str">
        <f>""</f>
        <v/>
      </c>
      <c r="T986" t="str">
        <f>"275.63"</f>
        <v>275.63</v>
      </c>
      <c r="U986" t="str">
        <f>"36372.00"</f>
        <v>36372.00</v>
      </c>
      <c r="V986" t="str">
        <f>"36372.00"</f>
        <v>36372.00</v>
      </c>
      <c r="W986" t="str">
        <f t="shared" si="311"/>
        <v>2017</v>
      </c>
      <c r="X986" t="str">
        <f>"25.50"</f>
        <v>25.50</v>
      </c>
      <c r="Y986" t="str">
        <f>"315.90"</f>
        <v>315.90</v>
      </c>
      <c r="Z986" t="str">
        <f>"18165.00"</f>
        <v>18165.00</v>
      </c>
      <c r="AA986" t="str">
        <f>"18207.00"</f>
        <v>18207.00</v>
      </c>
      <c r="AB986" t="str">
        <f t="shared" si="307"/>
        <v>Residential</v>
      </c>
      <c r="AC986" t="str">
        <f t="shared" si="323"/>
        <v>0</v>
      </c>
      <c r="AD986" t="str">
        <f>"4"</f>
        <v>4</v>
      </c>
      <c r="AE986" t="str">
        <f>"WOOD (INCLUDE STEEL STUDS)"</f>
        <v>WOOD (INCLUDE STEEL STUDS)</v>
      </c>
      <c r="AF986" t="str">
        <f>"002"</f>
        <v>002</v>
      </c>
      <c r="AG986" t="str">
        <f t="shared" si="322"/>
        <v>FL</v>
      </c>
      <c r="AH986" t="str">
        <f t="shared" si="312"/>
        <v>-</v>
      </c>
      <c r="AI986" t="str">
        <f>"7500.00"</f>
        <v>7500.00</v>
      </c>
      <c r="AJ986" t="str">
        <f>"C55-001-024-9419-2"</f>
        <v>C55-001-024-9419-2</v>
      </c>
      <c r="AK986" t="str">
        <f>"15080"</f>
        <v>15080</v>
      </c>
      <c r="AL986">
        <v>4</v>
      </c>
      <c r="AM986">
        <v>1133</v>
      </c>
      <c r="AN986">
        <v>330.1</v>
      </c>
      <c r="AQ986" t="s">
        <v>10138</v>
      </c>
      <c r="AR986" t="s">
        <v>10138</v>
      </c>
      <c r="AS986" t="s">
        <v>10138</v>
      </c>
      <c r="AU986" t="s">
        <v>396</v>
      </c>
      <c r="AV986">
        <v>2017</v>
      </c>
      <c r="AW986" t="str">
        <f>"51-2N-25-4170-0081-0000 "</f>
        <v xml:space="preserve">51-2N-25-4170-0081-0000 </v>
      </c>
      <c r="AX986">
        <v>45021</v>
      </c>
      <c r="AZ986" t="s">
        <v>10105</v>
      </c>
      <c r="BA986" t="s">
        <v>1942</v>
      </c>
      <c r="BD986" t="s">
        <v>2785</v>
      </c>
      <c r="BE986" t="s">
        <v>393</v>
      </c>
      <c r="BF986">
        <v>32011</v>
      </c>
      <c r="BG986" t="s">
        <v>10139</v>
      </c>
      <c r="BH986" t="s">
        <v>2787</v>
      </c>
      <c r="BI986">
        <v>-81.826576976893705</v>
      </c>
      <c r="BJ986">
        <v>30.571292616597301</v>
      </c>
      <c r="BK986" t="s">
        <v>10140</v>
      </c>
      <c r="BM986" t="s">
        <v>10141</v>
      </c>
      <c r="BN986" t="s">
        <v>928</v>
      </c>
      <c r="BO986">
        <v>32011</v>
      </c>
      <c r="BP986" t="s">
        <v>404</v>
      </c>
      <c r="BQ986">
        <v>200</v>
      </c>
      <c r="BR986" t="s">
        <v>405</v>
      </c>
      <c r="BS986">
        <v>1006</v>
      </c>
      <c r="BT986" t="s">
        <v>406</v>
      </c>
      <c r="BW986">
        <v>5163</v>
      </c>
      <c r="BX986" t="s">
        <v>407</v>
      </c>
      <c r="BY986" t="s">
        <v>4360</v>
      </c>
      <c r="BZ986">
        <v>4</v>
      </c>
      <c r="CA986">
        <v>2006</v>
      </c>
      <c r="CC986">
        <v>1</v>
      </c>
      <c r="CD986">
        <v>2017</v>
      </c>
      <c r="CG986">
        <v>36372</v>
      </c>
      <c r="CH986">
        <v>2017</v>
      </c>
      <c r="CI986">
        <v>7500</v>
      </c>
      <c r="CJ986">
        <v>28914</v>
      </c>
      <c r="CK986">
        <v>36414</v>
      </c>
      <c r="CL986">
        <v>2017</v>
      </c>
      <c r="CM986">
        <v>275.63</v>
      </c>
      <c r="CN986" s="1">
        <v>39540</v>
      </c>
      <c r="CZ986" s="1">
        <v>39540</v>
      </c>
      <c r="DD986" t="s">
        <v>2785</v>
      </c>
      <c r="DF986">
        <v>81</v>
      </c>
      <c r="DG986">
        <v>51</v>
      </c>
      <c r="DL986">
        <v>50503</v>
      </c>
      <c r="DM986" t="s">
        <v>9755</v>
      </c>
      <c r="DO986" t="s">
        <v>10142</v>
      </c>
      <c r="DP986">
        <v>0</v>
      </c>
      <c r="DQ986">
        <v>0</v>
      </c>
      <c r="DR986" t="s">
        <v>411</v>
      </c>
      <c r="DS986" t="b">
        <v>1</v>
      </c>
      <c r="DT986" t="s">
        <v>470</v>
      </c>
      <c r="DU986" t="s">
        <v>471</v>
      </c>
      <c r="DV986" t="s">
        <v>472</v>
      </c>
      <c r="DX986">
        <v>-9999</v>
      </c>
      <c r="DZ986" t="s">
        <v>447</v>
      </c>
      <c r="EA986" t="s">
        <v>448</v>
      </c>
      <c r="EB986" t="s">
        <v>742</v>
      </c>
      <c r="EC986">
        <v>20101217</v>
      </c>
      <c r="ED986" t="s">
        <v>474</v>
      </c>
      <c r="EF986">
        <v>884.6</v>
      </c>
      <c r="EG986">
        <v>884.6</v>
      </c>
      <c r="EI986">
        <v>20160407</v>
      </c>
      <c r="EJ986">
        <v>0</v>
      </c>
      <c r="EK986">
        <v>0</v>
      </c>
      <c r="EP986" t="s">
        <v>421</v>
      </c>
      <c r="EQ986" t="s">
        <v>452</v>
      </c>
      <c r="ER986">
        <v>2</v>
      </c>
      <c r="ES986">
        <v>8</v>
      </c>
      <c r="ET986">
        <v>645.22</v>
      </c>
      <c r="EU986">
        <v>44.76</v>
      </c>
      <c r="EV986">
        <v>689.98</v>
      </c>
      <c r="EW986" s="2">
        <v>43222</v>
      </c>
      <c r="EX986" s="1">
        <v>42879</v>
      </c>
      <c r="EY986">
        <v>2016</v>
      </c>
      <c r="EZ986">
        <v>322.61</v>
      </c>
      <c r="FA986" t="s">
        <v>10143</v>
      </c>
      <c r="FB986">
        <v>0.25</v>
      </c>
      <c r="FC986" t="s">
        <v>424</v>
      </c>
      <c r="FD986" t="s">
        <v>454</v>
      </c>
      <c r="FF986">
        <v>12</v>
      </c>
      <c r="FG986">
        <v>2851116</v>
      </c>
      <c r="FH986" t="s">
        <v>480</v>
      </c>
      <c r="FJ986" s="1">
        <v>42879</v>
      </c>
      <c r="FK986">
        <v>2016</v>
      </c>
      <c r="FL986">
        <v>322.61</v>
      </c>
      <c r="FM986" t="s">
        <v>10143</v>
      </c>
      <c r="FN986">
        <v>0.25</v>
      </c>
      <c r="FO986" t="s">
        <v>424</v>
      </c>
      <c r="FP986" t="s">
        <v>454</v>
      </c>
      <c r="FR986">
        <v>12</v>
      </c>
      <c r="FS986">
        <v>4936827</v>
      </c>
      <c r="FT986" t="s">
        <v>10144</v>
      </c>
      <c r="FV986" s="1">
        <v>42515</v>
      </c>
      <c r="FW986">
        <v>2015</v>
      </c>
      <c r="FX986">
        <v>341.85</v>
      </c>
      <c r="FY986" t="s">
        <v>10145</v>
      </c>
      <c r="FZ986">
        <v>14.75</v>
      </c>
      <c r="GA986" t="s">
        <v>424</v>
      </c>
      <c r="GB986" t="s">
        <v>425</v>
      </c>
      <c r="GD986">
        <v>22</v>
      </c>
      <c r="GE986">
        <v>7336670</v>
      </c>
      <c r="GF986" t="s">
        <v>2102</v>
      </c>
      <c r="GG986" t="s">
        <v>458</v>
      </c>
      <c r="GH986" s="1">
        <v>42151</v>
      </c>
      <c r="GI986">
        <v>2014</v>
      </c>
      <c r="GJ986">
        <v>321.54000000000002</v>
      </c>
      <c r="GK986" t="s">
        <v>10146</v>
      </c>
      <c r="GL986">
        <v>18</v>
      </c>
      <c r="GM986" t="s">
        <v>424</v>
      </c>
      <c r="GN986" t="s">
        <v>425</v>
      </c>
      <c r="GO986" s="1">
        <v>42551</v>
      </c>
      <c r="GP986">
        <v>13</v>
      </c>
      <c r="GQ986">
        <v>10125</v>
      </c>
      <c r="GR986" t="s">
        <v>440</v>
      </c>
      <c r="GS986" t="s">
        <v>458</v>
      </c>
      <c r="GT986" s="1">
        <v>41787</v>
      </c>
      <c r="GU986">
        <v>2013</v>
      </c>
      <c r="GV986">
        <v>317.25</v>
      </c>
      <c r="GW986" t="s">
        <v>10147</v>
      </c>
      <c r="GX986">
        <v>6</v>
      </c>
      <c r="GY986" t="s">
        <v>424</v>
      </c>
      <c r="GZ986" t="s">
        <v>425</v>
      </c>
      <c r="HB986">
        <v>22</v>
      </c>
      <c r="HC986">
        <v>2035919</v>
      </c>
      <c r="HD986" t="s">
        <v>507</v>
      </c>
      <c r="HE986" t="s">
        <v>458</v>
      </c>
      <c r="HF986" s="1">
        <v>41787</v>
      </c>
      <c r="HG986">
        <v>2013</v>
      </c>
      <c r="HH986">
        <v>317.25</v>
      </c>
      <c r="HI986" t="s">
        <v>10147</v>
      </c>
      <c r="HJ986">
        <v>6</v>
      </c>
      <c r="HK986" t="s">
        <v>424</v>
      </c>
      <c r="HL986" t="s">
        <v>425</v>
      </c>
      <c r="HN986">
        <v>22</v>
      </c>
      <c r="HO986">
        <v>7336670</v>
      </c>
      <c r="HP986" t="s">
        <v>2102</v>
      </c>
      <c r="HQ986" t="s">
        <v>458</v>
      </c>
      <c r="HR986" s="1">
        <v>41423</v>
      </c>
      <c r="HS986">
        <v>2012</v>
      </c>
      <c r="HT986">
        <v>338.3</v>
      </c>
      <c r="HU986" t="s">
        <v>10148</v>
      </c>
      <c r="HV986">
        <v>3</v>
      </c>
      <c r="HW986" t="s">
        <v>424</v>
      </c>
      <c r="HX986" t="s">
        <v>425</v>
      </c>
      <c r="HZ986">
        <v>22</v>
      </c>
      <c r="IA986">
        <v>15399</v>
      </c>
      <c r="IB986" t="s">
        <v>485</v>
      </c>
      <c r="ID986" s="1">
        <v>41423</v>
      </c>
      <c r="IE986">
        <v>2012</v>
      </c>
      <c r="IF986">
        <v>338.3</v>
      </c>
      <c r="IG986" t="s">
        <v>10148</v>
      </c>
      <c r="IH986">
        <v>3</v>
      </c>
      <c r="II986" t="s">
        <v>424</v>
      </c>
      <c r="IJ986" t="s">
        <v>425</v>
      </c>
      <c r="IK986" s="1">
        <v>42429</v>
      </c>
      <c r="IL986">
        <v>33</v>
      </c>
      <c r="IM986">
        <v>13027</v>
      </c>
      <c r="IN986" t="s">
        <v>826</v>
      </c>
      <c r="IP986" s="1">
        <v>41052</v>
      </c>
      <c r="IQ986">
        <v>2011</v>
      </c>
      <c r="IR986">
        <v>404.54</v>
      </c>
      <c r="IS986" t="s">
        <v>10149</v>
      </c>
      <c r="IT986">
        <v>6</v>
      </c>
      <c r="IU986" t="s">
        <v>424</v>
      </c>
      <c r="IV986" t="s">
        <v>425</v>
      </c>
      <c r="IW986" s="1">
        <v>42551</v>
      </c>
      <c r="IX986">
        <v>49</v>
      </c>
      <c r="IY986">
        <v>1109</v>
      </c>
      <c r="IZ986" t="s">
        <v>852</v>
      </c>
      <c r="JA986" t="s">
        <v>458</v>
      </c>
      <c r="JB986" s="1">
        <v>40688</v>
      </c>
      <c r="JC986">
        <v>2010</v>
      </c>
      <c r="JD986">
        <v>411.19</v>
      </c>
      <c r="JE986" t="s">
        <v>10150</v>
      </c>
      <c r="JF986">
        <v>7.75</v>
      </c>
      <c r="JG986" t="s">
        <v>424</v>
      </c>
      <c r="JH986" t="s">
        <v>425</v>
      </c>
      <c r="JI986" s="1">
        <v>42551</v>
      </c>
      <c r="JJ986">
        <v>61</v>
      </c>
      <c r="JK986">
        <v>305</v>
      </c>
      <c r="JL986" t="s">
        <v>1078</v>
      </c>
      <c r="JM986" t="s">
        <v>458</v>
      </c>
    </row>
    <row r="987" spans="1:285" x14ac:dyDescent="0.25">
      <c r="A987">
        <v>16485994</v>
      </c>
      <c r="B987">
        <v>986</v>
      </c>
      <c r="C987" t="s">
        <v>393</v>
      </c>
      <c r="D987" t="s">
        <v>394</v>
      </c>
      <c r="F987" t="str">
        <f>"51-2N-25-4180-0009-0000"</f>
        <v>51-2N-25-4180-0009-0000</v>
      </c>
      <c r="H987" t="str">
        <f>"PICKETT RYAN &amp; PICKETT AUBREY ET AL"</f>
        <v>PICKETT RYAN &amp; PICKETT AUBREY ET AL</v>
      </c>
      <c r="I987" t="str">
        <f>"542588 US HWY 1"</f>
        <v>542588 US HWY 1</v>
      </c>
      <c r="J987" t="str">
        <f t="shared" si="321"/>
        <v>CALLAHAN FL 32011</v>
      </c>
      <c r="K987" t="str">
        <f>"542588 US HWY 1"</f>
        <v>542588 US HWY 1</v>
      </c>
      <c r="L987" t="str">
        <f t="shared" si="319"/>
        <v>CALLAHAN FL 32011</v>
      </c>
      <c r="M987" t="str">
        <f>"LOTS 9 10 &amp; 11 IN OR 2126/1177 EX R/W IN OR 88 PG 23 R498165 BRANDIES ADD TO CALLAHAN 1 PB 2/23"</f>
        <v>LOTS 9 10 &amp; 11 IN OR 2126/1177 EX R/W IN OR 88 PG 23 R498165 BRANDIES ADD TO CALLAHAN 1 PB 2/23</v>
      </c>
      <c r="N987" t="str">
        <f>""</f>
        <v/>
      </c>
      <c r="O987" t="str">
        <f>"54874"</f>
        <v>54874</v>
      </c>
      <c r="P987" t="str">
        <f t="shared" si="310"/>
        <v>2017</v>
      </c>
      <c r="Q987" t="str">
        <f>""</f>
        <v/>
      </c>
      <c r="R987" t="str">
        <f>"N"</f>
        <v>N</v>
      </c>
      <c r="S987" t="str">
        <f>""</f>
        <v/>
      </c>
      <c r="T987" t="str">
        <f>"2567.79"</f>
        <v>2567.79</v>
      </c>
      <c r="U987" t="str">
        <f>"169617.00"</f>
        <v>169617.00</v>
      </c>
      <c r="V987" t="str">
        <f>"169617.00"</f>
        <v>169617.00</v>
      </c>
      <c r="W987" t="str">
        <f t="shared" si="311"/>
        <v>2017</v>
      </c>
      <c r="X987" t="str">
        <f>"14.14"</f>
        <v>14.14</v>
      </c>
      <c r="Y987" t="str">
        <f>"2676.82"</f>
        <v>2676.82</v>
      </c>
      <c r="Z987" t="str">
        <f>""</f>
        <v/>
      </c>
      <c r="AA987" t="str">
        <f>"169617.00"</f>
        <v>169617.00</v>
      </c>
      <c r="AB987" t="str">
        <f>"Commercial"</f>
        <v>Commercial</v>
      </c>
      <c r="AC987" t="str">
        <f t="shared" si="323"/>
        <v>0</v>
      </c>
      <c r="AD987" t="str">
        <f>"3"</f>
        <v>3</v>
      </c>
      <c r="AE987" t="str">
        <f>"MASONRY"</f>
        <v>MASONRY</v>
      </c>
      <c r="AF987" t="str">
        <f>"012"</f>
        <v>012</v>
      </c>
      <c r="AG987" t="str">
        <f t="shared" si="322"/>
        <v>FL</v>
      </c>
      <c r="AH987" t="str">
        <f>"12159.00"</f>
        <v>12159.00</v>
      </c>
      <c r="AI987" t="str">
        <f>"36477.00"</f>
        <v>36477.00</v>
      </c>
      <c r="AJ987" t="str">
        <f>"C55-000-588-7208-6"</f>
        <v>C55-000-588-7208-6</v>
      </c>
      <c r="AK987" t="str">
        <f>"15086"</f>
        <v>15086</v>
      </c>
      <c r="AL987">
        <v>4</v>
      </c>
      <c r="AM987">
        <v>1134</v>
      </c>
      <c r="AN987">
        <v>2809.06</v>
      </c>
      <c r="AQ987" t="s">
        <v>10151</v>
      </c>
      <c r="AR987" t="s">
        <v>10151</v>
      </c>
      <c r="AS987" t="s">
        <v>10151</v>
      </c>
      <c r="AU987" t="s">
        <v>396</v>
      </c>
      <c r="AV987">
        <v>2017</v>
      </c>
      <c r="AW987" t="str">
        <f>"51-2N-25-4180-0009-0000 "</f>
        <v xml:space="preserve">51-2N-25-4180-0009-0000 </v>
      </c>
      <c r="AX987">
        <v>542588</v>
      </c>
      <c r="AZ987" t="s">
        <v>2386</v>
      </c>
      <c r="BD987" t="s">
        <v>2785</v>
      </c>
      <c r="BE987" t="s">
        <v>393</v>
      </c>
      <c r="BF987">
        <v>32011</v>
      </c>
      <c r="BG987" t="s">
        <v>10152</v>
      </c>
      <c r="BH987" t="s">
        <v>2787</v>
      </c>
      <c r="BI987">
        <v>-81.834842353494295</v>
      </c>
      <c r="BJ987">
        <v>30.5691446477333</v>
      </c>
      <c r="BK987" t="s">
        <v>2894</v>
      </c>
      <c r="BM987" t="s">
        <v>10153</v>
      </c>
      <c r="BN987" t="s">
        <v>928</v>
      </c>
      <c r="BO987">
        <v>32011</v>
      </c>
      <c r="BP987" t="s">
        <v>404</v>
      </c>
      <c r="BQ987">
        <v>1200</v>
      </c>
      <c r="BR987" t="s">
        <v>5393</v>
      </c>
      <c r="BS987">
        <v>2003</v>
      </c>
      <c r="BT987" t="s">
        <v>5394</v>
      </c>
      <c r="BW987">
        <v>12463</v>
      </c>
      <c r="BX987" t="s">
        <v>407</v>
      </c>
      <c r="BY987" t="s">
        <v>4413</v>
      </c>
      <c r="BZ987">
        <v>3</v>
      </c>
      <c r="CA987">
        <v>1953</v>
      </c>
      <c r="CB987">
        <v>1.5</v>
      </c>
      <c r="CC987">
        <v>2</v>
      </c>
      <c r="CD987">
        <v>2017</v>
      </c>
      <c r="CE987">
        <v>36477</v>
      </c>
      <c r="CF987">
        <v>133140</v>
      </c>
      <c r="CG987">
        <v>169617</v>
      </c>
      <c r="CH987">
        <v>2017</v>
      </c>
      <c r="CI987">
        <v>36477</v>
      </c>
      <c r="CJ987">
        <v>133140</v>
      </c>
      <c r="CK987">
        <v>169617</v>
      </c>
      <c r="CL987">
        <v>2017</v>
      </c>
      <c r="CM987">
        <v>2567.79</v>
      </c>
      <c r="CN987" s="1">
        <v>34323</v>
      </c>
      <c r="CZ987" s="1">
        <v>34323</v>
      </c>
      <c r="DD987" t="s">
        <v>2785</v>
      </c>
      <c r="DG987">
        <v>51</v>
      </c>
      <c r="DL987">
        <v>50503</v>
      </c>
      <c r="DM987" t="s">
        <v>9755</v>
      </c>
      <c r="DO987" t="s">
        <v>10154</v>
      </c>
      <c r="DP987">
        <v>0</v>
      </c>
      <c r="DQ987">
        <v>2</v>
      </c>
      <c r="DR987" t="s">
        <v>1479</v>
      </c>
      <c r="DS987" t="b">
        <v>1</v>
      </c>
      <c r="DT987" t="s">
        <v>470</v>
      </c>
      <c r="DU987" t="s">
        <v>471</v>
      </c>
      <c r="DV987" t="s">
        <v>472</v>
      </c>
      <c r="DX987">
        <v>-9999</v>
      </c>
      <c r="DZ987" t="s">
        <v>447</v>
      </c>
      <c r="EA987" t="s">
        <v>448</v>
      </c>
      <c r="EB987" t="s">
        <v>742</v>
      </c>
      <c r="EC987">
        <v>20101217</v>
      </c>
      <c r="ED987" t="s">
        <v>474</v>
      </c>
      <c r="EF987">
        <v>49.8</v>
      </c>
      <c r="EG987">
        <v>49.8</v>
      </c>
      <c r="EI987">
        <v>20160407</v>
      </c>
      <c r="EJ987">
        <v>0</v>
      </c>
      <c r="EK987">
        <v>0</v>
      </c>
      <c r="EP987" t="s">
        <v>421</v>
      </c>
      <c r="EQ987" t="s">
        <v>422</v>
      </c>
      <c r="ER987">
        <v>2</v>
      </c>
      <c r="ES987">
        <v>8</v>
      </c>
      <c r="ET987">
        <v>5584.32</v>
      </c>
      <c r="EU987">
        <v>291.72000000000003</v>
      </c>
      <c r="EV987">
        <v>5876.04</v>
      </c>
      <c r="EW987" s="2">
        <v>43222</v>
      </c>
      <c r="EX987" s="1">
        <v>42879</v>
      </c>
      <c r="EY987">
        <v>2016</v>
      </c>
      <c r="EZ987">
        <v>2792.16</v>
      </c>
      <c r="FA987" t="s">
        <v>10155</v>
      </c>
      <c r="FB987">
        <v>0.25</v>
      </c>
      <c r="FC987" t="s">
        <v>424</v>
      </c>
      <c r="FD987" t="s">
        <v>454</v>
      </c>
      <c r="FF987">
        <v>12</v>
      </c>
      <c r="FG987">
        <v>7336671</v>
      </c>
      <c r="FH987" t="s">
        <v>437</v>
      </c>
      <c r="FJ987" s="1">
        <v>42879</v>
      </c>
      <c r="FK987">
        <v>2016</v>
      </c>
      <c r="FL987">
        <v>2792.16</v>
      </c>
      <c r="FM987" t="s">
        <v>10155</v>
      </c>
      <c r="FN987">
        <v>0.25</v>
      </c>
      <c r="FO987" t="s">
        <v>424</v>
      </c>
      <c r="FP987" t="s">
        <v>454</v>
      </c>
      <c r="FR987">
        <v>12</v>
      </c>
      <c r="FS987">
        <v>6721824</v>
      </c>
      <c r="FT987" t="s">
        <v>10156</v>
      </c>
      <c r="FV987" s="1">
        <v>42515</v>
      </c>
      <c r="FW987">
        <v>2015</v>
      </c>
      <c r="FX987">
        <v>2529.36</v>
      </c>
      <c r="FY987" t="s">
        <v>10157</v>
      </c>
      <c r="FZ987">
        <v>0.25</v>
      </c>
      <c r="GA987" t="s">
        <v>424</v>
      </c>
      <c r="GB987" t="s">
        <v>425</v>
      </c>
      <c r="GC987" s="1">
        <v>42955</v>
      </c>
      <c r="GD987">
        <v>15</v>
      </c>
      <c r="GE987">
        <v>2851116</v>
      </c>
      <c r="GF987" t="s">
        <v>480</v>
      </c>
      <c r="GH987" s="1">
        <v>42515</v>
      </c>
      <c r="GI987">
        <v>2015</v>
      </c>
      <c r="GJ987">
        <v>2529.36</v>
      </c>
      <c r="GK987" t="s">
        <v>10157</v>
      </c>
      <c r="GL987">
        <v>0.25</v>
      </c>
      <c r="GM987" t="s">
        <v>424</v>
      </c>
      <c r="GN987" t="s">
        <v>425</v>
      </c>
      <c r="GP987">
        <v>22</v>
      </c>
      <c r="GQ987">
        <v>5614745</v>
      </c>
      <c r="GR987" t="s">
        <v>10158</v>
      </c>
      <c r="GT987" s="1">
        <v>42151</v>
      </c>
      <c r="GU987">
        <v>2014</v>
      </c>
      <c r="GV987">
        <v>2805.38</v>
      </c>
      <c r="GW987" t="s">
        <v>10159</v>
      </c>
      <c r="GX987">
        <v>0.25</v>
      </c>
      <c r="GY987" t="s">
        <v>424</v>
      </c>
      <c r="GZ987" t="s">
        <v>425</v>
      </c>
      <c r="HA987" s="1">
        <v>42760</v>
      </c>
      <c r="HB987">
        <v>20</v>
      </c>
      <c r="HC987">
        <v>4975594</v>
      </c>
      <c r="HD987" t="s">
        <v>457</v>
      </c>
      <c r="HF987" s="1">
        <v>42151</v>
      </c>
      <c r="HG987">
        <v>2014</v>
      </c>
      <c r="HH987">
        <v>2805.38</v>
      </c>
      <c r="HI987" t="s">
        <v>10159</v>
      </c>
      <c r="HJ987">
        <v>0.25</v>
      </c>
      <c r="HK987" t="s">
        <v>424</v>
      </c>
      <c r="HL987" t="s">
        <v>425</v>
      </c>
      <c r="HN987">
        <v>22</v>
      </c>
      <c r="HO987">
        <v>6439719</v>
      </c>
      <c r="HP987" t="s">
        <v>10160</v>
      </c>
      <c r="HR987" s="1">
        <v>41787</v>
      </c>
      <c r="HS987">
        <v>2013</v>
      </c>
      <c r="HT987">
        <v>2636.49</v>
      </c>
      <c r="HU987" t="s">
        <v>10161</v>
      </c>
      <c r="HV987">
        <v>0.25</v>
      </c>
      <c r="HW987" t="s">
        <v>424</v>
      </c>
      <c r="HX987" t="s">
        <v>425</v>
      </c>
      <c r="HY987" s="1">
        <v>42404</v>
      </c>
      <c r="HZ987">
        <v>21</v>
      </c>
      <c r="IA987">
        <v>2851116</v>
      </c>
      <c r="IB987" t="s">
        <v>480</v>
      </c>
      <c r="ID987" s="1">
        <v>41423</v>
      </c>
      <c r="IE987">
        <v>2012</v>
      </c>
      <c r="IF987">
        <v>2681.82</v>
      </c>
      <c r="IG987" t="s">
        <v>10162</v>
      </c>
      <c r="IH987">
        <v>0.25</v>
      </c>
      <c r="II987" t="s">
        <v>424</v>
      </c>
      <c r="IJ987" t="s">
        <v>425</v>
      </c>
      <c r="IK987" s="1">
        <v>42061</v>
      </c>
      <c r="IL987">
        <v>21</v>
      </c>
      <c r="IM987">
        <v>2101382</v>
      </c>
      <c r="IN987" t="s">
        <v>993</v>
      </c>
      <c r="IP987" s="1">
        <v>41052</v>
      </c>
      <c r="IQ987">
        <v>2011</v>
      </c>
      <c r="IR987">
        <v>3030.29</v>
      </c>
      <c r="IS987" t="s">
        <v>10163</v>
      </c>
      <c r="IT987">
        <v>3.25</v>
      </c>
      <c r="IU987" t="s">
        <v>424</v>
      </c>
      <c r="IV987" t="s">
        <v>425</v>
      </c>
      <c r="IW987" s="1">
        <v>41422</v>
      </c>
      <c r="IX987">
        <v>12</v>
      </c>
      <c r="IY987">
        <v>13286</v>
      </c>
      <c r="IZ987" t="s">
        <v>10164</v>
      </c>
      <c r="JB987" s="1">
        <v>40688</v>
      </c>
      <c r="JC987">
        <v>2010</v>
      </c>
      <c r="JD987">
        <v>3058.63</v>
      </c>
      <c r="JE987" t="s">
        <v>10165</v>
      </c>
      <c r="JF987">
        <v>3.75</v>
      </c>
      <c r="JG987" t="s">
        <v>424</v>
      </c>
      <c r="JH987" t="s">
        <v>425</v>
      </c>
      <c r="JI987" s="1">
        <v>40844</v>
      </c>
      <c r="JJ987">
        <v>5</v>
      </c>
      <c r="JK987">
        <v>11177</v>
      </c>
      <c r="JL987" t="s">
        <v>650</v>
      </c>
    </row>
    <row r="988" spans="1:285" x14ac:dyDescent="0.25">
      <c r="A988">
        <v>16485995</v>
      </c>
      <c r="B988">
        <v>987</v>
      </c>
      <c r="C988" t="s">
        <v>393</v>
      </c>
      <c r="D988" t="s">
        <v>394</v>
      </c>
      <c r="F988" t="str">
        <f>"51-2N-25-4180-0012-0000"</f>
        <v>51-2N-25-4180-0012-0000</v>
      </c>
      <c r="H988" t="str">
        <f>"PICKETT CHARLES A JR EST"</f>
        <v>PICKETT CHARLES A JR EST</v>
      </c>
      <c r="I988" t="str">
        <f>"542588 US HIGHWAY 1"</f>
        <v>542588 US HIGHWAY 1</v>
      </c>
      <c r="J988" t="str">
        <f t="shared" si="321"/>
        <v>CALLAHAN FL 32011</v>
      </c>
      <c r="K988" t="str">
        <f>"45056 RHODEN LN"</f>
        <v>45056 RHODEN LN</v>
      </c>
      <c r="L988" t="str">
        <f t="shared" si="319"/>
        <v>CALLAHAN FL 32011</v>
      </c>
      <c r="M988" t="str">
        <f>"LOTS 12 &amp; 13 R108157 IN OR 1039/968 BRANDIES ADD TO CALLAHAN PB 2/23"</f>
        <v>LOTS 12 &amp; 13 R108157 IN OR 1039/968 BRANDIES ADD TO CALLAHAN PB 2/23</v>
      </c>
      <c r="N988" t="str">
        <f>""</f>
        <v/>
      </c>
      <c r="O988" t="str">
        <f>"54875"</f>
        <v>54875</v>
      </c>
      <c r="P988" t="str">
        <f t="shared" si="310"/>
        <v>2017</v>
      </c>
      <c r="Q988" t="str">
        <f>""</f>
        <v/>
      </c>
      <c r="R988" t="str">
        <f>"N"</f>
        <v>N</v>
      </c>
      <c r="S988" t="str">
        <f>""</f>
        <v/>
      </c>
      <c r="T988" t="str">
        <f>"518.09"</f>
        <v>518.09</v>
      </c>
      <c r="U988" t="str">
        <f>"34222.00"</f>
        <v>34222.00</v>
      </c>
      <c r="V988" t="str">
        <f>"34222.00"</f>
        <v>34222.00</v>
      </c>
      <c r="W988" t="str">
        <f t="shared" si="311"/>
        <v>2017</v>
      </c>
      <c r="X988" t="str">
        <f>"18.29"</f>
        <v>18.29</v>
      </c>
      <c r="Y988" t="str">
        <f>"565.63"</f>
        <v>565.63</v>
      </c>
      <c r="Z988" t="str">
        <f>""</f>
        <v/>
      </c>
      <c r="AA988" t="str">
        <f>"34222.00"</f>
        <v>34222.00</v>
      </c>
      <c r="AB988" t="str">
        <f>"Residential"</f>
        <v>Residential</v>
      </c>
      <c r="AC988" t="str">
        <f t="shared" si="323"/>
        <v>0</v>
      </c>
      <c r="AD988" t="str">
        <f>"4"</f>
        <v>4</v>
      </c>
      <c r="AE988" t="str">
        <f>"WOOD (INCLUDE STEEL STUDS)"</f>
        <v>WOOD (INCLUDE STEEL STUDS)</v>
      </c>
      <c r="AF988" t="str">
        <f>"002"</f>
        <v>002</v>
      </c>
      <c r="AG988" t="str">
        <f t="shared" si="322"/>
        <v>FL</v>
      </c>
      <c r="AH988" t="str">
        <f>"24000.00"</f>
        <v>24000.00</v>
      </c>
      <c r="AI988" t="str">
        <f>"24412.00"</f>
        <v>24412.00</v>
      </c>
      <c r="AJ988" t="str">
        <f>"C55-000-588-7209-4"</f>
        <v>C55-000-588-7209-4</v>
      </c>
      <c r="AK988" t="str">
        <f>"15087"</f>
        <v>15087</v>
      </c>
      <c r="AL988">
        <v>4</v>
      </c>
      <c r="AM988">
        <v>1135</v>
      </c>
      <c r="AN988">
        <v>592.30999999999995</v>
      </c>
      <c r="AQ988" t="s">
        <v>10166</v>
      </c>
      <c r="AR988" t="s">
        <v>10166</v>
      </c>
      <c r="AS988" t="s">
        <v>10166</v>
      </c>
      <c r="AU988" t="s">
        <v>396</v>
      </c>
      <c r="AV988">
        <v>2017</v>
      </c>
      <c r="AW988" t="str">
        <f>"51-2N-25-4180-0012-0000 "</f>
        <v xml:space="preserve">51-2N-25-4180-0012-0000 </v>
      </c>
      <c r="AX988">
        <v>45056</v>
      </c>
      <c r="AZ988" t="s">
        <v>10167</v>
      </c>
      <c r="BA988" t="s">
        <v>653</v>
      </c>
      <c r="BD988" t="s">
        <v>2785</v>
      </c>
      <c r="BE988" t="s">
        <v>393</v>
      </c>
      <c r="BF988">
        <v>32011</v>
      </c>
      <c r="BG988" t="s">
        <v>10168</v>
      </c>
      <c r="BH988" t="s">
        <v>2787</v>
      </c>
      <c r="BI988">
        <v>-81.834468660463699</v>
      </c>
      <c r="BJ988">
        <v>30.569164673403101</v>
      </c>
      <c r="BK988" t="s">
        <v>2894</v>
      </c>
      <c r="BM988" t="s">
        <v>10153</v>
      </c>
      <c r="BN988" t="s">
        <v>928</v>
      </c>
      <c r="BO988">
        <v>32011</v>
      </c>
      <c r="BP988" t="s">
        <v>404</v>
      </c>
      <c r="BQ988">
        <v>200</v>
      </c>
      <c r="BR988" t="s">
        <v>405</v>
      </c>
      <c r="BS988">
        <v>1006</v>
      </c>
      <c r="BT988" t="s">
        <v>406</v>
      </c>
      <c r="BU988">
        <v>1500</v>
      </c>
      <c r="BV988">
        <v>1600</v>
      </c>
      <c r="BW988">
        <v>24973</v>
      </c>
      <c r="BX988" t="s">
        <v>407</v>
      </c>
      <c r="BY988" t="s">
        <v>4413</v>
      </c>
      <c r="BZ988">
        <v>4</v>
      </c>
      <c r="CA988">
        <v>1983</v>
      </c>
      <c r="CB988">
        <v>1</v>
      </c>
      <c r="CC988">
        <v>1</v>
      </c>
      <c r="CD988">
        <v>2017</v>
      </c>
      <c r="CE988">
        <v>24412</v>
      </c>
      <c r="CF988">
        <v>9810</v>
      </c>
      <c r="CG988">
        <v>34222</v>
      </c>
      <c r="CH988">
        <v>2017</v>
      </c>
      <c r="CI988">
        <v>24412</v>
      </c>
      <c r="CJ988">
        <v>9810</v>
      </c>
      <c r="CK988">
        <v>34222</v>
      </c>
      <c r="CL988">
        <v>2017</v>
      </c>
      <c r="CM988">
        <v>518.09</v>
      </c>
      <c r="CN988" s="1">
        <v>37312</v>
      </c>
      <c r="CV988">
        <v>0</v>
      </c>
      <c r="CZ988" s="1">
        <v>37312</v>
      </c>
      <c r="DA988">
        <v>0</v>
      </c>
      <c r="DD988" t="s">
        <v>2785</v>
      </c>
      <c r="DG988">
        <v>51</v>
      </c>
      <c r="DL988">
        <v>50503</v>
      </c>
      <c r="DM988" t="s">
        <v>9755</v>
      </c>
      <c r="DO988" t="s">
        <v>10169</v>
      </c>
      <c r="DP988">
        <v>0</v>
      </c>
      <c r="DQ988">
        <v>2</v>
      </c>
      <c r="DR988" t="s">
        <v>1479</v>
      </c>
      <c r="DS988" t="b">
        <v>1</v>
      </c>
      <c r="DT988" t="s">
        <v>396</v>
      </c>
      <c r="DV988" t="s">
        <v>446</v>
      </c>
      <c r="DX988">
        <v>-9999</v>
      </c>
      <c r="DZ988" t="s">
        <v>447</v>
      </c>
      <c r="EA988" t="s">
        <v>448</v>
      </c>
      <c r="EB988" t="s">
        <v>9757</v>
      </c>
      <c r="EC988">
        <v>20101217</v>
      </c>
      <c r="ED988" t="s">
        <v>450</v>
      </c>
      <c r="EE988">
        <v>15.6</v>
      </c>
      <c r="EF988">
        <v>0</v>
      </c>
      <c r="EG988">
        <v>0</v>
      </c>
      <c r="EI988">
        <v>20160407</v>
      </c>
      <c r="EJ988">
        <v>0</v>
      </c>
      <c r="EK988">
        <v>0</v>
      </c>
      <c r="EP988" t="s">
        <v>421</v>
      </c>
      <c r="EQ988" t="s">
        <v>422</v>
      </c>
      <c r="ER988">
        <v>2</v>
      </c>
      <c r="ES988">
        <v>8</v>
      </c>
      <c r="ET988">
        <v>1191.6400000000001</v>
      </c>
      <c r="EU988">
        <v>72.08</v>
      </c>
      <c r="EV988">
        <v>1263.72</v>
      </c>
      <c r="EW988" s="2">
        <v>43222</v>
      </c>
      <c r="EX988" s="1">
        <v>42879</v>
      </c>
      <c r="EY988">
        <v>2016</v>
      </c>
      <c r="EZ988">
        <v>595.82000000000005</v>
      </c>
      <c r="FA988" t="s">
        <v>10170</v>
      </c>
      <c r="FB988">
        <v>0.25</v>
      </c>
      <c r="FC988" t="s">
        <v>424</v>
      </c>
      <c r="FD988" t="s">
        <v>454</v>
      </c>
      <c r="FF988">
        <v>12</v>
      </c>
      <c r="FG988">
        <v>2851116</v>
      </c>
      <c r="FH988" t="s">
        <v>480</v>
      </c>
      <c r="FJ988" s="1">
        <v>42879</v>
      </c>
      <c r="FK988">
        <v>2016</v>
      </c>
      <c r="FL988">
        <v>595.82000000000005</v>
      </c>
      <c r="FM988" t="s">
        <v>10170</v>
      </c>
      <c r="FN988">
        <v>0.25</v>
      </c>
      <c r="FO988" t="s">
        <v>424</v>
      </c>
      <c r="FP988" t="s">
        <v>454</v>
      </c>
      <c r="FR988">
        <v>12</v>
      </c>
      <c r="FS988">
        <v>5693530</v>
      </c>
      <c r="FT988" t="s">
        <v>10171</v>
      </c>
      <c r="FV988" s="1">
        <v>42515</v>
      </c>
      <c r="FW988">
        <v>2015</v>
      </c>
      <c r="FX988">
        <v>595.17999999999995</v>
      </c>
      <c r="FY988" t="s">
        <v>10172</v>
      </c>
      <c r="FZ988">
        <v>0.25</v>
      </c>
      <c r="GA988" t="s">
        <v>424</v>
      </c>
      <c r="GB988" t="s">
        <v>425</v>
      </c>
      <c r="GC988" s="1">
        <v>43161</v>
      </c>
      <c r="GD988">
        <v>22</v>
      </c>
      <c r="GE988">
        <v>2851116</v>
      </c>
      <c r="GF988" t="s">
        <v>480</v>
      </c>
      <c r="GH988" s="1">
        <v>42515</v>
      </c>
      <c r="GI988">
        <v>2015</v>
      </c>
      <c r="GJ988">
        <v>595.17999999999995</v>
      </c>
      <c r="GK988" t="s">
        <v>10172</v>
      </c>
      <c r="GL988">
        <v>0.25</v>
      </c>
      <c r="GM988" t="s">
        <v>424</v>
      </c>
      <c r="GN988" t="s">
        <v>425</v>
      </c>
      <c r="GP988">
        <v>22</v>
      </c>
      <c r="GQ988">
        <v>5241495</v>
      </c>
      <c r="GR988" t="s">
        <v>10173</v>
      </c>
      <c r="GT988" s="1">
        <v>42151</v>
      </c>
      <c r="GU988">
        <v>2014</v>
      </c>
      <c r="GV988">
        <v>537.99</v>
      </c>
      <c r="GW988" t="s">
        <v>10174</v>
      </c>
      <c r="GX988">
        <v>0.25</v>
      </c>
      <c r="GY988" t="s">
        <v>424</v>
      </c>
      <c r="GZ988" t="s">
        <v>425</v>
      </c>
      <c r="HA988" s="1">
        <v>42794</v>
      </c>
      <c r="HB988">
        <v>21</v>
      </c>
      <c r="HC988">
        <v>2851116</v>
      </c>
      <c r="HD988" t="s">
        <v>480</v>
      </c>
      <c r="HF988" s="1">
        <v>42151</v>
      </c>
      <c r="HG988">
        <v>2014</v>
      </c>
      <c r="HH988">
        <v>537.99</v>
      </c>
      <c r="HI988" t="s">
        <v>10174</v>
      </c>
      <c r="HJ988">
        <v>0.25</v>
      </c>
      <c r="HK988" t="s">
        <v>424</v>
      </c>
      <c r="HL988" t="s">
        <v>425</v>
      </c>
      <c r="HN988">
        <v>22</v>
      </c>
      <c r="HO988">
        <v>5020020</v>
      </c>
      <c r="HP988" t="s">
        <v>10175</v>
      </c>
      <c r="HR988" s="1">
        <v>41787</v>
      </c>
      <c r="HS988">
        <v>2013</v>
      </c>
      <c r="HT988">
        <v>561.9</v>
      </c>
      <c r="HU988" t="s">
        <v>10176</v>
      </c>
      <c r="HV988">
        <v>6</v>
      </c>
      <c r="HW988" t="s">
        <v>424</v>
      </c>
      <c r="HX988" t="s">
        <v>425</v>
      </c>
      <c r="HY988" s="1">
        <v>42404</v>
      </c>
      <c r="HZ988">
        <v>21</v>
      </c>
      <c r="IA988">
        <v>2035919</v>
      </c>
      <c r="IB988" t="s">
        <v>507</v>
      </c>
      <c r="ID988" s="1">
        <v>41423</v>
      </c>
      <c r="IE988">
        <v>2012</v>
      </c>
      <c r="IF988">
        <v>625.54</v>
      </c>
      <c r="IG988" t="s">
        <v>10177</v>
      </c>
      <c r="IH988">
        <v>3</v>
      </c>
      <c r="II988" t="s">
        <v>424</v>
      </c>
      <c r="IJ988" t="s">
        <v>425</v>
      </c>
      <c r="IK988" s="1">
        <v>42061</v>
      </c>
      <c r="IL988">
        <v>21</v>
      </c>
      <c r="IM988">
        <v>15399</v>
      </c>
      <c r="IN988" t="s">
        <v>485</v>
      </c>
      <c r="IP988" s="1">
        <v>41052</v>
      </c>
      <c r="IQ988">
        <v>2011</v>
      </c>
      <c r="IR988">
        <v>652.42999999999995</v>
      </c>
      <c r="IS988" t="s">
        <v>10178</v>
      </c>
      <c r="IT988">
        <v>5</v>
      </c>
      <c r="IU988" t="s">
        <v>424</v>
      </c>
      <c r="IV988" t="s">
        <v>425</v>
      </c>
      <c r="IW988" s="1">
        <v>41695</v>
      </c>
      <c r="IX988">
        <v>21</v>
      </c>
      <c r="IY988">
        <v>62</v>
      </c>
      <c r="IZ988" t="s">
        <v>463</v>
      </c>
      <c r="JB988" s="1">
        <v>40688</v>
      </c>
      <c r="JC988">
        <v>2010</v>
      </c>
      <c r="JD988">
        <v>831.82</v>
      </c>
      <c r="JE988" t="s">
        <v>10179</v>
      </c>
      <c r="JF988">
        <v>7.5</v>
      </c>
      <c r="JG988" t="s">
        <v>424</v>
      </c>
      <c r="JH988" t="s">
        <v>425</v>
      </c>
      <c r="JI988" s="1">
        <v>40844</v>
      </c>
      <c r="JJ988">
        <v>5</v>
      </c>
      <c r="JK988">
        <v>10579</v>
      </c>
      <c r="JL988" t="s">
        <v>488</v>
      </c>
    </row>
    <row r="989" spans="1:285" x14ac:dyDescent="0.25">
      <c r="A989">
        <v>16485996</v>
      </c>
      <c r="B989">
        <v>988</v>
      </c>
      <c r="C989" t="s">
        <v>393</v>
      </c>
      <c r="D989" t="s">
        <v>394</v>
      </c>
      <c r="F989" t="str">
        <f>"51-2N-25-4190-0001-0000"</f>
        <v>51-2N-25-4190-0001-0000</v>
      </c>
      <c r="H989" t="str">
        <f>"JOSEPH WILLIAM G"</f>
        <v>JOSEPH WILLIAM G</v>
      </c>
      <c r="I989" t="str">
        <f>"3930 VILLA SAN JOSE DRIVE"</f>
        <v>3930 VILLA SAN JOSE DRIVE</v>
      </c>
      <c r="J989" t="str">
        <f>"JACKSONVILLE FL 32217"</f>
        <v>JACKSONVILLE FL 32217</v>
      </c>
      <c r="K989" t="str">
        <f>"542616 US HWY 1"</f>
        <v>542616 US HWY 1</v>
      </c>
      <c r="L989" t="str">
        <f t="shared" si="319"/>
        <v>CALLAHAN FL 32011</v>
      </c>
      <c r="M989" t="str">
        <f>"LOTS 1 &amp; 3 THRU 6 IN OR 1619/1393 BRANDIES 2ND ADD TO CALLAHAN"</f>
        <v>LOTS 1 &amp; 3 THRU 6 IN OR 1619/1393 BRANDIES 2ND ADD TO CALLAHAN</v>
      </c>
      <c r="N989" t="str">
        <f>""</f>
        <v/>
      </c>
      <c r="O989" t="str">
        <f>"54878"</f>
        <v>54878</v>
      </c>
      <c r="P989" t="str">
        <f t="shared" si="310"/>
        <v>2017</v>
      </c>
      <c r="Q989" t="str">
        <f>""</f>
        <v/>
      </c>
      <c r="R989" t="str">
        <f>"N"</f>
        <v>N</v>
      </c>
      <c r="S989" t="str">
        <f>""</f>
        <v/>
      </c>
      <c r="T989" t="str">
        <f>"2392.87"</f>
        <v>2392.87</v>
      </c>
      <c r="U989" t="str">
        <f>"158061.00"</f>
        <v>158061.00</v>
      </c>
      <c r="V989" t="str">
        <f>"158061.00"</f>
        <v>158061.00</v>
      </c>
      <c r="W989" t="str">
        <f t="shared" si="311"/>
        <v>2017</v>
      </c>
      <c r="X989" t="str">
        <f>"17.00"</f>
        <v>17.00</v>
      </c>
      <c r="Y989" t="str">
        <f>"2496.66"</f>
        <v>2496.66</v>
      </c>
      <c r="Z989" t="str">
        <f>""</f>
        <v/>
      </c>
      <c r="AA989" t="str">
        <f>"158061.00"</f>
        <v>158061.00</v>
      </c>
      <c r="AB989" t="str">
        <f>"Commercial"</f>
        <v>Commercial</v>
      </c>
      <c r="AC989" t="str">
        <f t="shared" si="323"/>
        <v>0</v>
      </c>
      <c r="AD989" t="str">
        <f>"3"</f>
        <v>3</v>
      </c>
      <c r="AE989" t="str">
        <f>"MASONRY"</f>
        <v>MASONRY</v>
      </c>
      <c r="AF989" t="str">
        <f>"014"</f>
        <v>014</v>
      </c>
      <c r="AG989" t="str">
        <f t="shared" si="322"/>
        <v>FL</v>
      </c>
      <c r="AH989" t="str">
        <f>"91684.00"</f>
        <v>91684.00</v>
      </c>
      <c r="AI989" t="str">
        <f>"91684.00"</f>
        <v>91684.00</v>
      </c>
      <c r="AJ989" t="str">
        <f>"C55-000-588-7211-0"</f>
        <v>C55-000-588-7211-0</v>
      </c>
      <c r="AK989" t="str">
        <f>"15089"</f>
        <v>15089</v>
      </c>
      <c r="AL989">
        <v>4</v>
      </c>
      <c r="AM989">
        <v>1136</v>
      </c>
      <c r="AN989">
        <v>2619.89</v>
      </c>
      <c r="AQ989" t="s">
        <v>10180</v>
      </c>
      <c r="AR989" t="s">
        <v>10180</v>
      </c>
      <c r="AS989" t="s">
        <v>10180</v>
      </c>
      <c r="AU989" t="s">
        <v>396</v>
      </c>
      <c r="AV989">
        <v>2017</v>
      </c>
      <c r="AW989" t="str">
        <f>"51-2N-25-4190-0001-0000 "</f>
        <v xml:space="preserve">51-2N-25-4190-0001-0000 </v>
      </c>
      <c r="AX989">
        <v>542616</v>
      </c>
      <c r="AZ989" t="s">
        <v>2386</v>
      </c>
      <c r="BD989" t="s">
        <v>2785</v>
      </c>
      <c r="BE989" t="s">
        <v>393</v>
      </c>
      <c r="BF989">
        <v>32011</v>
      </c>
      <c r="BG989" t="s">
        <v>10181</v>
      </c>
      <c r="BH989" t="s">
        <v>2787</v>
      </c>
      <c r="BI989">
        <v>-81.834203085801803</v>
      </c>
      <c r="BJ989">
        <v>30.570284337696801</v>
      </c>
      <c r="BK989" t="s">
        <v>10182</v>
      </c>
      <c r="BM989" t="s">
        <v>10183</v>
      </c>
      <c r="BN989" t="s">
        <v>548</v>
      </c>
      <c r="BO989">
        <v>32217</v>
      </c>
      <c r="BP989" t="s">
        <v>404</v>
      </c>
      <c r="BQ989">
        <v>1410</v>
      </c>
      <c r="BR989" t="s">
        <v>4534</v>
      </c>
      <c r="BS989">
        <v>2006</v>
      </c>
      <c r="BT989" t="s">
        <v>4535</v>
      </c>
      <c r="BW989">
        <v>91681</v>
      </c>
      <c r="BX989" t="s">
        <v>407</v>
      </c>
      <c r="BY989" t="s">
        <v>4413</v>
      </c>
      <c r="BZ989">
        <v>3</v>
      </c>
      <c r="CA989">
        <v>1966</v>
      </c>
      <c r="CB989">
        <v>1</v>
      </c>
      <c r="CD989">
        <v>2017</v>
      </c>
      <c r="CE989">
        <v>91684</v>
      </c>
      <c r="CF989">
        <v>66377</v>
      </c>
      <c r="CG989">
        <v>158061</v>
      </c>
      <c r="CH989">
        <v>2017</v>
      </c>
      <c r="CI989">
        <v>91684</v>
      </c>
      <c r="CJ989">
        <v>66377</v>
      </c>
      <c r="CK989">
        <v>158061</v>
      </c>
      <c r="CL989">
        <v>2017</v>
      </c>
      <c r="CM989">
        <v>2392.87</v>
      </c>
      <c r="CN989" s="1">
        <v>39948</v>
      </c>
      <c r="CV989">
        <v>0</v>
      </c>
      <c r="CZ989" s="1">
        <v>39948</v>
      </c>
      <c r="DA989">
        <v>0</v>
      </c>
      <c r="DD989" t="s">
        <v>2785</v>
      </c>
      <c r="DG989">
        <v>51</v>
      </c>
      <c r="DL989">
        <v>50503</v>
      </c>
      <c r="DM989" t="s">
        <v>9755</v>
      </c>
      <c r="DO989" t="s">
        <v>10184</v>
      </c>
      <c r="DP989">
        <v>0</v>
      </c>
      <c r="DQ989">
        <v>5</v>
      </c>
      <c r="DR989" t="s">
        <v>1479</v>
      </c>
      <c r="DS989" t="b">
        <v>1</v>
      </c>
      <c r="DT989" t="s">
        <v>470</v>
      </c>
      <c r="DU989" t="s">
        <v>471</v>
      </c>
      <c r="DV989" t="s">
        <v>472</v>
      </c>
      <c r="DX989">
        <v>-9999</v>
      </c>
      <c r="DZ989" t="s">
        <v>447</v>
      </c>
      <c r="EA989" t="s">
        <v>448</v>
      </c>
      <c r="EB989" t="s">
        <v>742</v>
      </c>
      <c r="EC989">
        <v>20101217</v>
      </c>
      <c r="ED989" t="s">
        <v>474</v>
      </c>
      <c r="EF989">
        <v>6</v>
      </c>
      <c r="EG989">
        <v>6</v>
      </c>
      <c r="EH989" t="s">
        <v>451</v>
      </c>
      <c r="EI989">
        <v>20140731</v>
      </c>
      <c r="EJ989">
        <v>0</v>
      </c>
      <c r="EK989">
        <v>0</v>
      </c>
      <c r="EP989" t="s">
        <v>421</v>
      </c>
      <c r="EQ989" t="s">
        <v>452</v>
      </c>
      <c r="ER989">
        <v>0</v>
      </c>
      <c r="ES989">
        <v>6</v>
      </c>
      <c r="ET989">
        <v>0</v>
      </c>
      <c r="EU989">
        <v>0</v>
      </c>
      <c r="EV989">
        <v>0</v>
      </c>
      <c r="EW989" s="2">
        <v>43222</v>
      </c>
      <c r="EX989" s="1">
        <v>42151</v>
      </c>
      <c r="EY989">
        <v>2014</v>
      </c>
      <c r="EZ989">
        <v>3122.98</v>
      </c>
      <c r="FA989" t="s">
        <v>10185</v>
      </c>
      <c r="FB989">
        <v>0.25</v>
      </c>
      <c r="FC989" t="s">
        <v>424</v>
      </c>
      <c r="FD989" t="s">
        <v>425</v>
      </c>
      <c r="FF989">
        <v>22</v>
      </c>
      <c r="FG989">
        <v>15259</v>
      </c>
      <c r="FH989" t="s">
        <v>891</v>
      </c>
      <c r="FJ989" s="1">
        <v>42151</v>
      </c>
      <c r="FK989">
        <v>2014</v>
      </c>
      <c r="FL989">
        <v>3122.98</v>
      </c>
      <c r="FM989" t="s">
        <v>10185</v>
      </c>
      <c r="FN989">
        <v>0.25</v>
      </c>
      <c r="FO989" t="s">
        <v>424</v>
      </c>
      <c r="FP989" t="s">
        <v>425</v>
      </c>
      <c r="FR989">
        <v>22</v>
      </c>
      <c r="FS989">
        <v>6737992</v>
      </c>
      <c r="FT989" t="s">
        <v>10186</v>
      </c>
      <c r="FV989" s="1">
        <v>42151</v>
      </c>
      <c r="FW989">
        <v>2014</v>
      </c>
      <c r="FX989">
        <v>3122.98</v>
      </c>
      <c r="FY989" t="s">
        <v>10185</v>
      </c>
      <c r="FZ989">
        <v>0.25</v>
      </c>
      <c r="GA989" t="s">
        <v>424</v>
      </c>
      <c r="GB989" t="s">
        <v>425</v>
      </c>
      <c r="GC989" s="1">
        <v>42803</v>
      </c>
      <c r="GD989">
        <v>22</v>
      </c>
      <c r="GE989">
        <v>7045049</v>
      </c>
      <c r="GF989" t="s">
        <v>1335</v>
      </c>
      <c r="GH989" s="1">
        <v>41423</v>
      </c>
      <c r="GI989">
        <v>2012</v>
      </c>
      <c r="GJ989">
        <v>3079.29</v>
      </c>
      <c r="GK989" t="s">
        <v>10187</v>
      </c>
      <c r="GL989">
        <v>0.25</v>
      </c>
      <c r="GM989" t="s">
        <v>424</v>
      </c>
      <c r="GN989" t="s">
        <v>425</v>
      </c>
      <c r="GO989" s="1">
        <v>41760</v>
      </c>
      <c r="GP989">
        <v>12</v>
      </c>
      <c r="GQ989">
        <v>11303</v>
      </c>
      <c r="GR989" t="s">
        <v>918</v>
      </c>
      <c r="GS989" t="s">
        <v>458</v>
      </c>
      <c r="GT989" s="1">
        <v>41052</v>
      </c>
      <c r="GU989">
        <v>2011</v>
      </c>
      <c r="GV989">
        <v>3050.82</v>
      </c>
      <c r="GW989" t="s">
        <v>10188</v>
      </c>
      <c r="GX989">
        <v>0.25</v>
      </c>
      <c r="GY989" t="s">
        <v>424</v>
      </c>
      <c r="GZ989" t="s">
        <v>425</v>
      </c>
      <c r="HB989">
        <v>22</v>
      </c>
      <c r="HC989">
        <v>12092</v>
      </c>
      <c r="HD989" t="s">
        <v>483</v>
      </c>
      <c r="HE989" t="s">
        <v>458</v>
      </c>
      <c r="HF989" s="1">
        <v>41052</v>
      </c>
      <c r="HG989">
        <v>2011</v>
      </c>
      <c r="HH989">
        <v>3050.82</v>
      </c>
      <c r="HI989" t="s">
        <v>10188</v>
      </c>
      <c r="HJ989">
        <v>0.25</v>
      </c>
      <c r="HK989" t="s">
        <v>424</v>
      </c>
      <c r="HL989" t="s">
        <v>425</v>
      </c>
      <c r="HN989">
        <v>22</v>
      </c>
      <c r="HO989">
        <v>13256</v>
      </c>
      <c r="HP989" t="s">
        <v>10189</v>
      </c>
      <c r="HQ989" t="s">
        <v>458</v>
      </c>
    </row>
    <row r="990" spans="1:285" x14ac:dyDescent="0.25">
      <c r="A990">
        <v>16485997</v>
      </c>
      <c r="B990">
        <v>989</v>
      </c>
      <c r="C990" t="s">
        <v>393</v>
      </c>
      <c r="D990" t="s">
        <v>394</v>
      </c>
      <c r="F990" t="str">
        <f>"51-2N-25-4240-0001-0000"</f>
        <v>51-2N-25-4240-0001-0000</v>
      </c>
      <c r="H990" t="str">
        <f>"MCNIGHT RODNEY OHARA"</f>
        <v>MCNIGHT RODNEY OHARA</v>
      </c>
      <c r="I990" t="str">
        <f>"45168 PAGE ST"</f>
        <v>45168 PAGE ST</v>
      </c>
      <c r="J990" t="str">
        <f>"CALLAHAN FL 32011"</f>
        <v>CALLAHAN FL 32011</v>
      </c>
      <c r="K990" t="str">
        <f>"45168 PAGE ST"</f>
        <v>45168 PAGE ST</v>
      </c>
      <c r="L990" t="str">
        <f t="shared" si="319"/>
        <v>CALLAHAN FL 32011</v>
      </c>
      <c r="M990" t="str">
        <f>"LOTS 1 2 &amp; 7 (EX PAR 7-1) IN OR 1513/689-694 &amp; CASE 45-2011-DR-116 OR 1777/921 ARTHUR JONES SURVEY OR 75/281"</f>
        <v>LOTS 1 2 &amp; 7 (EX PAR 7-1) IN OR 1513/689-694 &amp; CASE 45-2011-DR-116 OR 1777/921 ARTHUR JONES SURVEY OR 75/281</v>
      </c>
      <c r="N990" t="str">
        <f>""</f>
        <v/>
      </c>
      <c r="O990" t="str">
        <f>"54889"</f>
        <v>54889</v>
      </c>
      <c r="P990" t="str">
        <f t="shared" si="310"/>
        <v>2017</v>
      </c>
      <c r="Q990" t="str">
        <f>""</f>
        <v/>
      </c>
      <c r="R990" t="str">
        <f>"Y"</f>
        <v>Y</v>
      </c>
      <c r="S990" t="str">
        <f>""</f>
        <v/>
      </c>
      <c r="T990" t="str">
        <f>"492.61"</f>
        <v>492.61</v>
      </c>
      <c r="U990" t="str">
        <f>"54849.00"</f>
        <v>54849.00</v>
      </c>
      <c r="V990" t="str">
        <f>"54849.00"</f>
        <v>54849.00</v>
      </c>
      <c r="W990" t="str">
        <f t="shared" si="311"/>
        <v>2017</v>
      </c>
      <c r="X990" t="str">
        <f>"21.33"</f>
        <v>21.33</v>
      </c>
      <c r="Y990" t="str">
        <f>"539.39"</f>
        <v>539.39</v>
      </c>
      <c r="Z990" t="str">
        <f>"25000.00"</f>
        <v>25000.00</v>
      </c>
      <c r="AA990" t="str">
        <f>"29849.00"</f>
        <v>29849.00</v>
      </c>
      <c r="AB990" t="str">
        <f>"Residential"</f>
        <v>Residential</v>
      </c>
      <c r="AC990" t="str">
        <f t="shared" si="323"/>
        <v>0</v>
      </c>
      <c r="AD990" t="str">
        <f>"4"</f>
        <v>4</v>
      </c>
      <c r="AE990" t="str">
        <f>"WOOD (INCLUDE STEEL STUDS)"</f>
        <v>WOOD (INCLUDE STEEL STUDS)</v>
      </c>
      <c r="AF990" t="str">
        <f>"001"</f>
        <v>001</v>
      </c>
      <c r="AG990" t="str">
        <f t="shared" si="322"/>
        <v>FL</v>
      </c>
      <c r="AH990" t="str">
        <f>"-"</f>
        <v>-</v>
      </c>
      <c r="AI990" t="str">
        <f>"19500.00"</f>
        <v>19500.00</v>
      </c>
      <c r="AJ990" t="str">
        <f>"C55-000-588-7221-9"</f>
        <v>C55-000-588-7221-9</v>
      </c>
      <c r="AK990" t="str">
        <f>"15098"</f>
        <v>15098</v>
      </c>
      <c r="AL990">
        <v>4</v>
      </c>
      <c r="AM990">
        <v>1137</v>
      </c>
      <c r="AN990">
        <v>564.76</v>
      </c>
      <c r="AQ990" t="s">
        <v>10190</v>
      </c>
      <c r="AR990" t="s">
        <v>10190</v>
      </c>
      <c r="AS990" t="s">
        <v>10190</v>
      </c>
      <c r="AU990" t="s">
        <v>396</v>
      </c>
      <c r="AV990">
        <v>2017</v>
      </c>
      <c r="AW990" t="str">
        <f>"51-2N-25-4240-0001-0000 "</f>
        <v xml:space="preserve">51-2N-25-4240-0001-0000 </v>
      </c>
      <c r="AX990">
        <v>45168</v>
      </c>
      <c r="AZ990" t="s">
        <v>10191</v>
      </c>
      <c r="BA990" t="s">
        <v>1942</v>
      </c>
      <c r="BD990" t="s">
        <v>2785</v>
      </c>
      <c r="BE990" t="s">
        <v>393</v>
      </c>
      <c r="BF990">
        <v>32011</v>
      </c>
      <c r="BG990" t="s">
        <v>10192</v>
      </c>
      <c r="BH990" t="s">
        <v>2787</v>
      </c>
      <c r="BI990">
        <v>-81.828707478284102</v>
      </c>
      <c r="BJ990">
        <v>30.568946118605499</v>
      </c>
      <c r="BK990" t="s">
        <v>10193</v>
      </c>
      <c r="BM990" t="s">
        <v>10192</v>
      </c>
      <c r="BN990" t="s">
        <v>928</v>
      </c>
      <c r="BO990">
        <v>32011</v>
      </c>
      <c r="BP990" t="s">
        <v>416</v>
      </c>
      <c r="BQ990">
        <v>100</v>
      </c>
      <c r="BR990" t="s">
        <v>514</v>
      </c>
      <c r="BS990">
        <v>1001</v>
      </c>
      <c r="BT990" t="s">
        <v>515</v>
      </c>
      <c r="BW990">
        <v>22381</v>
      </c>
      <c r="BX990" t="s">
        <v>407</v>
      </c>
      <c r="BZ990">
        <v>4</v>
      </c>
      <c r="CA990">
        <v>1930</v>
      </c>
      <c r="CB990">
        <v>1</v>
      </c>
      <c r="CC990">
        <v>2</v>
      </c>
      <c r="CD990">
        <v>2017</v>
      </c>
      <c r="CG990">
        <v>54849</v>
      </c>
      <c r="CH990">
        <v>2017</v>
      </c>
      <c r="CI990">
        <v>19500</v>
      </c>
      <c r="CJ990">
        <v>49270</v>
      </c>
      <c r="CK990">
        <v>68770</v>
      </c>
      <c r="CL990">
        <v>2017</v>
      </c>
      <c r="CM990">
        <v>492.61</v>
      </c>
      <c r="CN990" s="1">
        <v>39281</v>
      </c>
      <c r="CZ990" s="1">
        <v>39281</v>
      </c>
      <c r="DD990" t="s">
        <v>2785</v>
      </c>
      <c r="DG990">
        <v>51</v>
      </c>
      <c r="DL990">
        <v>50503</v>
      </c>
      <c r="DM990" t="s">
        <v>9755</v>
      </c>
      <c r="DO990" t="s">
        <v>10194</v>
      </c>
      <c r="DP990">
        <v>0</v>
      </c>
      <c r="DQ990">
        <v>0</v>
      </c>
      <c r="DR990" t="s">
        <v>411</v>
      </c>
      <c r="DS990" t="b">
        <v>1</v>
      </c>
      <c r="DT990" t="s">
        <v>470</v>
      </c>
      <c r="DU990" t="s">
        <v>471</v>
      </c>
      <c r="DV990" t="s">
        <v>472</v>
      </c>
      <c r="DX990">
        <v>-9999</v>
      </c>
      <c r="DZ990" t="s">
        <v>447</v>
      </c>
      <c r="EA990" t="s">
        <v>448</v>
      </c>
      <c r="EB990" t="s">
        <v>742</v>
      </c>
      <c r="EC990">
        <v>20101217</v>
      </c>
      <c r="ED990" t="s">
        <v>474</v>
      </c>
      <c r="EF990">
        <v>641.9</v>
      </c>
      <c r="EG990">
        <v>641.9</v>
      </c>
      <c r="EI990">
        <v>20160407</v>
      </c>
      <c r="EJ990">
        <v>0</v>
      </c>
      <c r="EK990">
        <v>0</v>
      </c>
      <c r="EP990" t="s">
        <v>421</v>
      </c>
      <c r="EQ990" t="s">
        <v>422</v>
      </c>
      <c r="ER990">
        <v>2</v>
      </c>
      <c r="ES990">
        <v>8</v>
      </c>
      <c r="ET990">
        <v>1083.74</v>
      </c>
      <c r="EU990">
        <v>66.69</v>
      </c>
      <c r="EV990">
        <v>1150.43</v>
      </c>
      <c r="EW990" s="2">
        <v>43222</v>
      </c>
      <c r="EX990" s="1">
        <v>42879</v>
      </c>
      <c r="EY990">
        <v>2016</v>
      </c>
      <c r="EZ990">
        <v>541.87</v>
      </c>
      <c r="FA990" t="s">
        <v>10195</v>
      </c>
      <c r="FB990">
        <v>0.25</v>
      </c>
      <c r="FC990" t="s">
        <v>424</v>
      </c>
      <c r="FD990" t="s">
        <v>454</v>
      </c>
      <c r="FF990">
        <v>12</v>
      </c>
      <c r="FG990">
        <v>2851116</v>
      </c>
      <c r="FH990" t="s">
        <v>480</v>
      </c>
      <c r="FJ990" s="1">
        <v>42879</v>
      </c>
      <c r="FK990">
        <v>2016</v>
      </c>
      <c r="FL990">
        <v>541.87</v>
      </c>
      <c r="FM990" t="s">
        <v>10195</v>
      </c>
      <c r="FN990">
        <v>0.25</v>
      </c>
      <c r="FO990" t="s">
        <v>424</v>
      </c>
      <c r="FP990" t="s">
        <v>454</v>
      </c>
      <c r="FR990">
        <v>12</v>
      </c>
      <c r="FS990">
        <v>5756883</v>
      </c>
      <c r="FT990" t="s">
        <v>10196</v>
      </c>
      <c r="FV990" s="1">
        <v>42515</v>
      </c>
      <c r="FW990">
        <v>2015</v>
      </c>
      <c r="FX990">
        <v>548.08000000000004</v>
      </c>
      <c r="FY990" t="s">
        <v>10197</v>
      </c>
      <c r="FZ990">
        <v>0.25</v>
      </c>
      <c r="GA990" t="s">
        <v>424</v>
      </c>
      <c r="GB990" t="s">
        <v>425</v>
      </c>
      <c r="GC990" s="1">
        <v>43159</v>
      </c>
      <c r="GD990">
        <v>21</v>
      </c>
      <c r="GE990">
        <v>7045074</v>
      </c>
      <c r="GF990" t="s">
        <v>580</v>
      </c>
      <c r="GH990" s="1">
        <v>42515</v>
      </c>
      <c r="GI990">
        <v>2015</v>
      </c>
      <c r="GJ990">
        <v>548.08000000000004</v>
      </c>
      <c r="GK990" t="s">
        <v>10197</v>
      </c>
      <c r="GL990">
        <v>0.25</v>
      </c>
      <c r="GM990" t="s">
        <v>424</v>
      </c>
      <c r="GN990" t="s">
        <v>425</v>
      </c>
      <c r="GP990">
        <v>22</v>
      </c>
      <c r="GQ990">
        <v>6392627</v>
      </c>
      <c r="GR990" t="s">
        <v>10198</v>
      </c>
      <c r="GT990" s="1">
        <v>42151</v>
      </c>
      <c r="GU990">
        <v>2014</v>
      </c>
      <c r="GV990">
        <v>522.41</v>
      </c>
      <c r="GW990" t="s">
        <v>10199</v>
      </c>
      <c r="GX990">
        <v>0.25</v>
      </c>
      <c r="GY990" t="s">
        <v>424</v>
      </c>
      <c r="GZ990" t="s">
        <v>425</v>
      </c>
      <c r="HA990" s="1">
        <v>42790</v>
      </c>
      <c r="HB990">
        <v>21</v>
      </c>
      <c r="HC990">
        <v>2851116</v>
      </c>
      <c r="HD990" t="s">
        <v>480</v>
      </c>
      <c r="HF990" s="1">
        <v>42151</v>
      </c>
      <c r="HG990">
        <v>2014</v>
      </c>
      <c r="HH990">
        <v>522.41</v>
      </c>
      <c r="HI990" t="s">
        <v>10199</v>
      </c>
      <c r="HJ990">
        <v>0.25</v>
      </c>
      <c r="HK990" t="s">
        <v>424</v>
      </c>
      <c r="HL990" t="s">
        <v>425</v>
      </c>
      <c r="HN990">
        <v>22</v>
      </c>
      <c r="HO990">
        <v>5027579</v>
      </c>
      <c r="HP990" t="s">
        <v>10200</v>
      </c>
      <c r="HR990" s="1">
        <v>41787</v>
      </c>
      <c r="HS990">
        <v>2013</v>
      </c>
      <c r="HT990">
        <v>471.97</v>
      </c>
      <c r="HU990" t="s">
        <v>10201</v>
      </c>
      <c r="HV990">
        <v>0.25</v>
      </c>
      <c r="HW990" t="s">
        <v>424</v>
      </c>
      <c r="HX990" t="s">
        <v>425</v>
      </c>
      <c r="HY990" s="1">
        <v>42410</v>
      </c>
      <c r="HZ990">
        <v>21</v>
      </c>
      <c r="IA990">
        <v>2101382</v>
      </c>
      <c r="IB990" t="s">
        <v>993</v>
      </c>
      <c r="ID990" s="1">
        <v>41423</v>
      </c>
      <c r="IE990">
        <v>2012</v>
      </c>
      <c r="IF990">
        <v>430.59</v>
      </c>
      <c r="IG990" t="s">
        <v>10202</v>
      </c>
      <c r="IH990">
        <v>0.25</v>
      </c>
      <c r="II990" t="s">
        <v>424</v>
      </c>
      <c r="IJ990" t="s">
        <v>425</v>
      </c>
      <c r="IK990" s="1">
        <v>42044</v>
      </c>
      <c r="IL990">
        <v>21</v>
      </c>
      <c r="IM990">
        <v>15407</v>
      </c>
      <c r="IN990" t="s">
        <v>1134</v>
      </c>
      <c r="IP990" s="1">
        <v>41052</v>
      </c>
      <c r="IQ990">
        <v>2011</v>
      </c>
      <c r="IR990">
        <v>609.97</v>
      </c>
      <c r="IS990" t="s">
        <v>10203</v>
      </c>
      <c r="IT990">
        <v>4.75</v>
      </c>
      <c r="IU990" t="s">
        <v>424</v>
      </c>
      <c r="IV990" t="s">
        <v>425</v>
      </c>
      <c r="IW990" s="1">
        <v>41688</v>
      </c>
      <c r="IX990">
        <v>21</v>
      </c>
      <c r="IY990">
        <v>11141</v>
      </c>
      <c r="IZ990" t="s">
        <v>1723</v>
      </c>
      <c r="JB990" s="1">
        <v>40688</v>
      </c>
      <c r="JC990">
        <v>2010</v>
      </c>
      <c r="JD990">
        <v>613.84</v>
      </c>
      <c r="JE990" t="s">
        <v>10204</v>
      </c>
      <c r="JF990">
        <v>0.25</v>
      </c>
      <c r="JG990" t="s">
        <v>424</v>
      </c>
      <c r="JH990" t="s">
        <v>425</v>
      </c>
      <c r="JI990" s="1">
        <v>41320</v>
      </c>
      <c r="JJ990">
        <v>21</v>
      </c>
      <c r="JK990">
        <v>11141</v>
      </c>
      <c r="JL990" t="s">
        <v>1723</v>
      </c>
    </row>
    <row r="991" spans="1:285" x14ac:dyDescent="0.25">
      <c r="A991">
        <v>16485998</v>
      </c>
      <c r="B991">
        <v>990</v>
      </c>
      <c r="C991" t="s">
        <v>393</v>
      </c>
      <c r="D991" t="s">
        <v>394</v>
      </c>
      <c r="F991" t="str">
        <f>"51-2N-25-4240-0011-0000"</f>
        <v>51-2N-25-4240-0011-0000</v>
      </c>
      <c r="H991" t="str">
        <f>"HADDOCK TIMBER INC"</f>
        <v>HADDOCK TIMBER INC</v>
      </c>
      <c r="I991" t="str">
        <f>"27359 GEIGER RD"</f>
        <v>27359 GEIGER RD</v>
      </c>
      <c r="J991" t="str">
        <f>"JACKSONVILLE FL 32218"</f>
        <v>JACKSONVILLE FL 32218</v>
      </c>
      <c r="K991" t="str">
        <f>"DIXIE AV"</f>
        <v>DIXIE AV</v>
      </c>
      <c r="L991" t="str">
        <f t="shared" si="319"/>
        <v>CALLAHAN FL 32011</v>
      </c>
      <c r="M991" t="str">
        <f>"LOT 11 IN OR 1502/460 ARTHUR JONES SURVEY OR 75/281"</f>
        <v>LOT 11 IN OR 1502/460 ARTHUR JONES SURVEY OR 75/281</v>
      </c>
      <c r="N991" t="str">
        <f>""</f>
        <v/>
      </c>
      <c r="O991" t="str">
        <f>"54896"</f>
        <v>54896</v>
      </c>
      <c r="P991" t="str">
        <f t="shared" si="310"/>
        <v>2017</v>
      </c>
      <c r="Q991" t="str">
        <f>""</f>
        <v/>
      </c>
      <c r="R991" t="str">
        <f>"N"</f>
        <v>N</v>
      </c>
      <c r="S991" t="str">
        <f>""</f>
        <v/>
      </c>
      <c r="T991" t="str">
        <f>"151.38"</f>
        <v>151.38</v>
      </c>
      <c r="U991" t="str">
        <f>"10000.00"</f>
        <v>10000.00</v>
      </c>
      <c r="V991" t="str">
        <f>"10000.00"</f>
        <v>10000.00</v>
      </c>
      <c r="W991" t="str">
        <f t="shared" si="311"/>
        <v>2017</v>
      </c>
      <c r="X991" t="str">
        <f>""</f>
        <v/>
      </c>
      <c r="Y991" t="str">
        <f>"187.92"</f>
        <v>187.92</v>
      </c>
      <c r="Z991" t="str">
        <f>""</f>
        <v/>
      </c>
      <c r="AA991" t="str">
        <f>"10000.00"</f>
        <v>10000.00</v>
      </c>
      <c r="AB991" t="str">
        <f>"Residential"</f>
        <v>Residential</v>
      </c>
      <c r="AC991" t="str">
        <f t="shared" si="323"/>
        <v>0</v>
      </c>
      <c r="AD991" t="str">
        <f>""</f>
        <v/>
      </c>
      <c r="AE991" t="str">
        <f>""</f>
        <v/>
      </c>
      <c r="AF991" t="str">
        <f>"000"</f>
        <v>000</v>
      </c>
      <c r="AG991" t="str">
        <f t="shared" si="322"/>
        <v>FL</v>
      </c>
      <c r="AH991" t="str">
        <f>"-"</f>
        <v>-</v>
      </c>
      <c r="AI991" t="str">
        <f>"10000.00"</f>
        <v>10000.00</v>
      </c>
      <c r="AJ991" t="str">
        <f>"C55-000-588-7227-6"</f>
        <v>C55-000-588-7227-6</v>
      </c>
      <c r="AK991" t="str">
        <f>"15104"</f>
        <v>15104</v>
      </c>
      <c r="AL991">
        <v>4</v>
      </c>
      <c r="AM991">
        <v>1138</v>
      </c>
      <c r="AN991">
        <v>195.72</v>
      </c>
      <c r="AQ991" t="s">
        <v>10205</v>
      </c>
      <c r="AR991" t="s">
        <v>10205</v>
      </c>
      <c r="AS991" t="s">
        <v>10205</v>
      </c>
      <c r="AU991" t="s">
        <v>396</v>
      </c>
      <c r="AV991">
        <v>2017</v>
      </c>
      <c r="AW991" t="str">
        <f>"51-2N-25-4240-0011-0000 "</f>
        <v xml:space="preserve">51-2N-25-4240-0011-0000 </v>
      </c>
      <c r="AZ991" t="s">
        <v>8644</v>
      </c>
      <c r="BA991" t="s">
        <v>1122</v>
      </c>
      <c r="BD991" t="s">
        <v>2785</v>
      </c>
      <c r="BE991" t="s">
        <v>393</v>
      </c>
      <c r="BF991">
        <v>32011</v>
      </c>
      <c r="BG991" t="s">
        <v>10206</v>
      </c>
      <c r="BH991" t="s">
        <v>2787</v>
      </c>
      <c r="BI991">
        <v>-81.828224633753706</v>
      </c>
      <c r="BJ991">
        <v>30.569282865887899</v>
      </c>
      <c r="BK991" t="s">
        <v>10207</v>
      </c>
      <c r="BM991" t="s">
        <v>10208</v>
      </c>
      <c r="BN991" t="s">
        <v>548</v>
      </c>
      <c r="BO991">
        <v>32218</v>
      </c>
      <c r="BP991" t="s">
        <v>404</v>
      </c>
      <c r="BQ991">
        <v>0</v>
      </c>
      <c r="BR991" t="s">
        <v>491</v>
      </c>
      <c r="BS991">
        <v>8001</v>
      </c>
      <c r="BT991" t="s">
        <v>492</v>
      </c>
      <c r="BW991">
        <v>4006</v>
      </c>
      <c r="BX991" t="s">
        <v>407</v>
      </c>
      <c r="BY991" t="s">
        <v>4360</v>
      </c>
      <c r="CD991">
        <v>2017</v>
      </c>
      <c r="CE991">
        <v>10000</v>
      </c>
      <c r="CG991">
        <v>10000</v>
      </c>
      <c r="CH991">
        <v>2017</v>
      </c>
      <c r="CI991">
        <v>10000</v>
      </c>
      <c r="CK991">
        <v>10000</v>
      </c>
      <c r="CL991">
        <v>2017</v>
      </c>
      <c r="CM991">
        <v>151.38</v>
      </c>
      <c r="CN991" s="1">
        <v>39232</v>
      </c>
      <c r="CO991">
        <v>4200</v>
      </c>
      <c r="CZ991" s="1">
        <v>39232</v>
      </c>
      <c r="DD991" t="s">
        <v>2785</v>
      </c>
      <c r="DF991">
        <v>11</v>
      </c>
      <c r="DG991">
        <v>51</v>
      </c>
      <c r="DJ991" t="s">
        <v>10209</v>
      </c>
      <c r="DL991">
        <v>50503</v>
      </c>
      <c r="DM991" t="s">
        <v>9755</v>
      </c>
      <c r="DO991" t="s">
        <v>10210</v>
      </c>
      <c r="DP991">
        <v>0</v>
      </c>
      <c r="DQ991">
        <v>0</v>
      </c>
      <c r="DR991" t="s">
        <v>411</v>
      </c>
      <c r="DS991" t="b">
        <v>1</v>
      </c>
      <c r="DT991" t="s">
        <v>470</v>
      </c>
      <c r="DU991" t="s">
        <v>471</v>
      </c>
      <c r="DV991" t="s">
        <v>472</v>
      </c>
      <c r="DX991">
        <v>-9999</v>
      </c>
      <c r="DZ991" t="s">
        <v>447</v>
      </c>
      <c r="EA991" t="s">
        <v>448</v>
      </c>
      <c r="EB991" t="s">
        <v>742</v>
      </c>
      <c r="EC991">
        <v>20101217</v>
      </c>
      <c r="ED991" t="s">
        <v>474</v>
      </c>
      <c r="EF991">
        <v>629.20000000000005</v>
      </c>
      <c r="EG991">
        <v>629.20000000000005</v>
      </c>
      <c r="EI991">
        <v>20160407</v>
      </c>
      <c r="EJ991">
        <v>0</v>
      </c>
      <c r="EK991">
        <v>0</v>
      </c>
      <c r="EP991" t="s">
        <v>595</v>
      </c>
      <c r="EQ991" t="s">
        <v>422</v>
      </c>
      <c r="ER991">
        <v>10</v>
      </c>
      <c r="ES991">
        <v>0</v>
      </c>
      <c r="ET991">
        <v>1957.58</v>
      </c>
      <c r="EU991">
        <v>1161.1600000000001</v>
      </c>
      <c r="EV991">
        <v>3118.74</v>
      </c>
      <c r="EW991" s="2">
        <v>43222</v>
      </c>
      <c r="EX991" s="1">
        <v>42879</v>
      </c>
      <c r="EY991">
        <v>2016</v>
      </c>
      <c r="EZ991">
        <v>193.03</v>
      </c>
      <c r="FA991" t="s">
        <v>10211</v>
      </c>
      <c r="FB991">
        <v>18</v>
      </c>
      <c r="FC991" t="s">
        <v>603</v>
      </c>
      <c r="FD991" t="s">
        <v>454</v>
      </c>
      <c r="FF991">
        <v>12</v>
      </c>
      <c r="FG991">
        <v>9999999</v>
      </c>
      <c r="FH991" t="s">
        <v>604</v>
      </c>
      <c r="FJ991" s="1">
        <v>42879</v>
      </c>
      <c r="FK991">
        <v>2016</v>
      </c>
      <c r="FL991">
        <v>228.23</v>
      </c>
      <c r="FM991" t="s">
        <v>10211</v>
      </c>
      <c r="FN991">
        <v>18</v>
      </c>
      <c r="FO991" t="s">
        <v>424</v>
      </c>
      <c r="FP991" t="s">
        <v>454</v>
      </c>
      <c r="FR991">
        <v>12</v>
      </c>
      <c r="FS991">
        <v>7685307</v>
      </c>
      <c r="FT991" t="s">
        <v>10212</v>
      </c>
      <c r="FV991" s="1">
        <v>42879</v>
      </c>
      <c r="FW991">
        <v>2016</v>
      </c>
      <c r="FX991">
        <v>228.23</v>
      </c>
      <c r="FY991" t="s">
        <v>10211</v>
      </c>
      <c r="FZ991">
        <v>18</v>
      </c>
      <c r="GA991" t="s">
        <v>424</v>
      </c>
      <c r="GB991" t="s">
        <v>454</v>
      </c>
      <c r="GD991">
        <v>12</v>
      </c>
      <c r="GE991">
        <v>7685307</v>
      </c>
      <c r="GF991" t="s">
        <v>10212</v>
      </c>
      <c r="GH991" s="1">
        <v>42515</v>
      </c>
      <c r="GI991">
        <v>2015</v>
      </c>
      <c r="GJ991">
        <v>192.05</v>
      </c>
      <c r="GK991" t="s">
        <v>10213</v>
      </c>
      <c r="GL991">
        <v>18</v>
      </c>
      <c r="GM991" t="s">
        <v>603</v>
      </c>
      <c r="GN991" t="s">
        <v>454</v>
      </c>
      <c r="GP991">
        <v>24</v>
      </c>
      <c r="GQ991">
        <v>9999999</v>
      </c>
      <c r="GR991" t="s">
        <v>604</v>
      </c>
      <c r="GT991" s="1">
        <v>42151</v>
      </c>
      <c r="GU991">
        <v>2014</v>
      </c>
      <c r="GV991">
        <v>192.91</v>
      </c>
      <c r="GW991" t="s">
        <v>10214</v>
      </c>
      <c r="GX991">
        <v>18</v>
      </c>
      <c r="GY991" t="s">
        <v>424</v>
      </c>
      <c r="GZ991" t="s">
        <v>454</v>
      </c>
      <c r="HB991">
        <v>36</v>
      </c>
      <c r="HC991">
        <v>10125</v>
      </c>
      <c r="HD991" t="s">
        <v>440</v>
      </c>
      <c r="HF991" s="1">
        <v>41787</v>
      </c>
      <c r="HG991">
        <v>2013</v>
      </c>
      <c r="HH991">
        <v>183.77</v>
      </c>
      <c r="HI991" t="s">
        <v>10215</v>
      </c>
      <c r="HJ991">
        <v>16.5</v>
      </c>
      <c r="HK991" t="s">
        <v>424</v>
      </c>
      <c r="HL991" t="s">
        <v>454</v>
      </c>
      <c r="HN991">
        <v>48</v>
      </c>
      <c r="HO991">
        <v>10125</v>
      </c>
      <c r="HP991" t="s">
        <v>440</v>
      </c>
      <c r="HR991" s="1">
        <v>41423</v>
      </c>
      <c r="HS991">
        <v>2012</v>
      </c>
      <c r="HT991">
        <v>185.79</v>
      </c>
      <c r="HU991" t="s">
        <v>10216</v>
      </c>
      <c r="HV991">
        <v>17</v>
      </c>
      <c r="HW991" t="s">
        <v>424</v>
      </c>
      <c r="HX991" t="s">
        <v>454</v>
      </c>
      <c r="HZ991">
        <v>60</v>
      </c>
      <c r="IA991">
        <v>10125</v>
      </c>
      <c r="IB991" t="s">
        <v>440</v>
      </c>
      <c r="ID991" s="1">
        <v>41052</v>
      </c>
      <c r="IE991">
        <v>2011</v>
      </c>
      <c r="IF991">
        <v>192.33</v>
      </c>
      <c r="IG991" t="s">
        <v>10217</v>
      </c>
      <c r="IH991">
        <v>18</v>
      </c>
      <c r="II991" t="s">
        <v>424</v>
      </c>
      <c r="IJ991" t="s">
        <v>454</v>
      </c>
      <c r="IL991">
        <v>72</v>
      </c>
      <c r="IM991">
        <v>10125</v>
      </c>
      <c r="IN991" t="s">
        <v>440</v>
      </c>
      <c r="IP991" s="1">
        <v>41052</v>
      </c>
      <c r="IQ991">
        <v>2011</v>
      </c>
      <c r="IR991">
        <v>180.66</v>
      </c>
      <c r="IS991" t="s">
        <v>10217</v>
      </c>
      <c r="IT991">
        <v>18</v>
      </c>
      <c r="IU991" t="s">
        <v>603</v>
      </c>
      <c r="IV991" t="s">
        <v>454</v>
      </c>
      <c r="IX991">
        <v>72</v>
      </c>
      <c r="IY991">
        <v>9999999</v>
      </c>
      <c r="IZ991" t="s">
        <v>604</v>
      </c>
      <c r="JB991" s="1">
        <v>40688</v>
      </c>
      <c r="JC991">
        <v>2010</v>
      </c>
      <c r="JD991">
        <v>180.58</v>
      </c>
      <c r="JE991" t="s">
        <v>10218</v>
      </c>
      <c r="JF991">
        <v>10</v>
      </c>
      <c r="JG991" t="s">
        <v>424</v>
      </c>
      <c r="JH991" t="s">
        <v>454</v>
      </c>
      <c r="JJ991">
        <v>84</v>
      </c>
      <c r="JK991">
        <v>10125</v>
      </c>
      <c r="JL991" t="s">
        <v>440</v>
      </c>
    </row>
    <row r="992" spans="1:285" x14ac:dyDescent="0.25">
      <c r="A992">
        <v>16485999</v>
      </c>
      <c r="B992">
        <v>991</v>
      </c>
      <c r="C992" t="s">
        <v>393</v>
      </c>
      <c r="D992" t="s">
        <v>394</v>
      </c>
      <c r="F992" t="str">
        <f>"51-2N-25-4240-0014-0000"</f>
        <v>51-2N-25-4240-0014-0000</v>
      </c>
      <c r="H992" t="str">
        <f>"GRIMAGE RUFUS EST C/O CATHERINE GRIMMAGE"</f>
        <v>GRIMAGE RUFUS EST C/O CATHERINE GRIMMAGE</v>
      </c>
      <c r="I992" t="str">
        <f>"10857 NATALIE DR E"</f>
        <v>10857 NATALIE DR E</v>
      </c>
      <c r="J992" t="str">
        <f>"JACKSONVILLE FL 32218"</f>
        <v>JACKSONVILLE FL 32218</v>
      </c>
      <c r="K992" t="str">
        <f>"45826 DIXIE AVE"</f>
        <v>45826 DIXIE AVE</v>
      </c>
      <c r="L992" t="str">
        <f t="shared" si="319"/>
        <v>CALLAHAN FL 32011</v>
      </c>
      <c r="M992" t="str">
        <f>"LOT 14 IN OR 1467/15 ARTHUR JONES SURVEY OR 75/281"</f>
        <v>LOT 14 IN OR 1467/15 ARTHUR JONES SURVEY OR 75/281</v>
      </c>
      <c r="N992" t="str">
        <f>""</f>
        <v/>
      </c>
      <c r="O992" t="str">
        <f>"54898"</f>
        <v>54898</v>
      </c>
      <c r="P992" t="str">
        <f t="shared" si="310"/>
        <v>2017</v>
      </c>
      <c r="Q992" t="str">
        <f>""</f>
        <v/>
      </c>
      <c r="R992" t="str">
        <f>"N"</f>
        <v>N</v>
      </c>
      <c r="S992" t="str">
        <f>""</f>
        <v/>
      </c>
      <c r="T992" t="str">
        <f>"291.19"</f>
        <v>291.19</v>
      </c>
      <c r="U992" t="str">
        <f>"19234.00"</f>
        <v>19234.00</v>
      </c>
      <c r="V992" t="str">
        <f>"19234.00"</f>
        <v>19234.00</v>
      </c>
      <c r="W992" t="str">
        <f t="shared" si="311"/>
        <v>2017</v>
      </c>
      <c r="X992" t="str">
        <f>"20.50"</f>
        <v>20.50</v>
      </c>
      <c r="Y992" t="str">
        <f>"331.93"</f>
        <v>331.93</v>
      </c>
      <c r="Z992" t="str">
        <f>""</f>
        <v/>
      </c>
      <c r="AA992" t="str">
        <f>"19234.00"</f>
        <v>19234.00</v>
      </c>
      <c r="AB992" t="str">
        <f>"Residential"</f>
        <v>Residential</v>
      </c>
      <c r="AC992" t="str">
        <f t="shared" si="323"/>
        <v>0</v>
      </c>
      <c r="AD992" t="str">
        <f>"4"</f>
        <v>4</v>
      </c>
      <c r="AE992" t="str">
        <f>"WOOD (INCLUDE STEEL STUDS)"</f>
        <v>WOOD (INCLUDE STEEL STUDS)</v>
      </c>
      <c r="AF992" t="str">
        <f>"001"</f>
        <v>001</v>
      </c>
      <c r="AG992" t="str">
        <f t="shared" si="322"/>
        <v>FL</v>
      </c>
      <c r="AH992" t="str">
        <f>"-"</f>
        <v>-</v>
      </c>
      <c r="AI992" t="str">
        <f>"10000.00"</f>
        <v>10000.00</v>
      </c>
      <c r="AJ992" t="str">
        <f>"C55-000-588-7229-2"</f>
        <v>C55-000-588-7229-2</v>
      </c>
      <c r="AK992" t="str">
        <f>"15106"</f>
        <v>15106</v>
      </c>
      <c r="AL992">
        <v>4</v>
      </c>
      <c r="AM992">
        <v>1139</v>
      </c>
      <c r="AN992">
        <v>346.93</v>
      </c>
      <c r="AQ992" t="s">
        <v>10219</v>
      </c>
      <c r="AR992" t="s">
        <v>10219</v>
      </c>
      <c r="AS992" t="s">
        <v>10219</v>
      </c>
      <c r="AU992" t="s">
        <v>396</v>
      </c>
      <c r="AV992">
        <v>2017</v>
      </c>
      <c r="AW992" t="str">
        <f>"51-2N-25-4240-0014-0000 "</f>
        <v xml:space="preserve">51-2N-25-4240-0014-0000 </v>
      </c>
      <c r="AX992">
        <v>45826</v>
      </c>
      <c r="AZ992" t="s">
        <v>8644</v>
      </c>
      <c r="BA992" t="s">
        <v>1112</v>
      </c>
      <c r="BD992" t="s">
        <v>2785</v>
      </c>
      <c r="BE992" t="s">
        <v>393</v>
      </c>
      <c r="BF992">
        <v>32011</v>
      </c>
      <c r="BG992" t="s">
        <v>10220</v>
      </c>
      <c r="BH992" t="s">
        <v>2787</v>
      </c>
      <c r="BI992">
        <v>-81.828613539918194</v>
      </c>
      <c r="BJ992">
        <v>30.5695774934882</v>
      </c>
      <c r="BK992" t="s">
        <v>10221</v>
      </c>
      <c r="BL992" t="s">
        <v>10222</v>
      </c>
      <c r="BM992" t="s">
        <v>10223</v>
      </c>
      <c r="BN992" t="s">
        <v>548</v>
      </c>
      <c r="BO992">
        <v>32218</v>
      </c>
      <c r="BP992" t="s">
        <v>404</v>
      </c>
      <c r="BQ992">
        <v>100</v>
      </c>
      <c r="BR992" t="s">
        <v>514</v>
      </c>
      <c r="BS992">
        <v>1001</v>
      </c>
      <c r="BT992" t="s">
        <v>515</v>
      </c>
      <c r="BW992">
        <v>4586</v>
      </c>
      <c r="BX992" t="s">
        <v>407</v>
      </c>
      <c r="BY992" t="s">
        <v>4360</v>
      </c>
      <c r="BZ992">
        <v>4</v>
      </c>
      <c r="CA992">
        <v>1940</v>
      </c>
      <c r="CB992">
        <v>1</v>
      </c>
      <c r="CC992">
        <v>1</v>
      </c>
      <c r="CD992">
        <v>2017</v>
      </c>
      <c r="CE992">
        <v>10000</v>
      </c>
      <c r="CF992">
        <v>9234</v>
      </c>
      <c r="CG992">
        <v>19234</v>
      </c>
      <c r="CH992">
        <v>2017</v>
      </c>
      <c r="CI992">
        <v>10000</v>
      </c>
      <c r="CJ992">
        <v>9234</v>
      </c>
      <c r="CK992">
        <v>19234</v>
      </c>
      <c r="CL992">
        <v>2017</v>
      </c>
      <c r="CM992">
        <v>291.19</v>
      </c>
      <c r="CN992" s="1">
        <v>39072</v>
      </c>
      <c r="CZ992" s="1">
        <v>39072</v>
      </c>
      <c r="DD992" t="s">
        <v>2785</v>
      </c>
      <c r="DF992">
        <v>14</v>
      </c>
      <c r="DG992">
        <v>51</v>
      </c>
      <c r="DJ992" t="s">
        <v>10209</v>
      </c>
      <c r="DL992">
        <v>50503</v>
      </c>
      <c r="DM992" t="s">
        <v>9755</v>
      </c>
      <c r="DO992" t="s">
        <v>10224</v>
      </c>
      <c r="DP992">
        <v>0</v>
      </c>
      <c r="DQ992">
        <v>0</v>
      </c>
      <c r="DR992" t="s">
        <v>411</v>
      </c>
      <c r="DS992" t="b">
        <v>1</v>
      </c>
      <c r="DT992" t="s">
        <v>470</v>
      </c>
      <c r="DU992" t="s">
        <v>471</v>
      </c>
      <c r="DV992" t="s">
        <v>472</v>
      </c>
      <c r="DX992">
        <v>-9999</v>
      </c>
      <c r="DZ992" t="s">
        <v>447</v>
      </c>
      <c r="EA992" t="s">
        <v>448</v>
      </c>
      <c r="EB992" t="s">
        <v>742</v>
      </c>
      <c r="EC992">
        <v>20101217</v>
      </c>
      <c r="ED992" t="s">
        <v>474</v>
      </c>
      <c r="EF992">
        <v>467.3</v>
      </c>
      <c r="EG992">
        <v>467.3</v>
      </c>
      <c r="EI992">
        <v>20160407</v>
      </c>
      <c r="EJ992">
        <v>0</v>
      </c>
      <c r="EK992">
        <v>0</v>
      </c>
      <c r="EP992" t="s">
        <v>421</v>
      </c>
      <c r="EQ992" t="s">
        <v>422</v>
      </c>
      <c r="ER992">
        <v>1</v>
      </c>
      <c r="ES992">
        <v>7</v>
      </c>
      <c r="ET992">
        <v>346.33</v>
      </c>
      <c r="EU992">
        <v>23.57</v>
      </c>
      <c r="EV992">
        <v>369.9</v>
      </c>
      <c r="EW992" s="2">
        <v>43222</v>
      </c>
      <c r="EX992" s="1">
        <v>42879</v>
      </c>
      <c r="EY992">
        <v>2016</v>
      </c>
      <c r="EZ992">
        <v>346.33</v>
      </c>
      <c r="FA992" t="s">
        <v>10225</v>
      </c>
      <c r="FB992">
        <v>4.75</v>
      </c>
      <c r="FC992" t="s">
        <v>424</v>
      </c>
      <c r="FD992" t="s">
        <v>454</v>
      </c>
      <c r="FF992">
        <v>12</v>
      </c>
      <c r="FG992">
        <v>10021</v>
      </c>
      <c r="FH992" t="s">
        <v>597</v>
      </c>
      <c r="FJ992" s="1">
        <v>42515</v>
      </c>
      <c r="FK992">
        <v>2015</v>
      </c>
      <c r="FL992">
        <v>349.08</v>
      </c>
      <c r="FM992" t="s">
        <v>10226</v>
      </c>
      <c r="FN992">
        <v>15.25</v>
      </c>
      <c r="FO992" t="s">
        <v>424</v>
      </c>
      <c r="FP992" t="s">
        <v>425</v>
      </c>
      <c r="FQ992" s="1">
        <v>43130</v>
      </c>
      <c r="FR992">
        <v>20</v>
      </c>
      <c r="FS992">
        <v>2035919</v>
      </c>
      <c r="FT992" t="s">
        <v>507</v>
      </c>
      <c r="FV992" s="1">
        <v>42151</v>
      </c>
      <c r="FW992">
        <v>2014</v>
      </c>
      <c r="FX992">
        <v>335.17</v>
      </c>
      <c r="FY992" t="s">
        <v>10227</v>
      </c>
      <c r="FZ992">
        <v>9</v>
      </c>
      <c r="GA992" t="s">
        <v>424</v>
      </c>
      <c r="GB992" t="s">
        <v>425</v>
      </c>
      <c r="GC992" s="1">
        <v>42822</v>
      </c>
      <c r="GD992">
        <v>22</v>
      </c>
      <c r="GE992">
        <v>10125</v>
      </c>
      <c r="GF992" t="s">
        <v>440</v>
      </c>
      <c r="GH992" s="1">
        <v>41787</v>
      </c>
      <c r="GI992">
        <v>2013</v>
      </c>
      <c r="GJ992">
        <v>652.04999999999995</v>
      </c>
      <c r="GK992" t="s">
        <v>10228</v>
      </c>
      <c r="GL992">
        <v>2.25</v>
      </c>
      <c r="GM992" t="s">
        <v>424</v>
      </c>
      <c r="GN992" t="s">
        <v>425</v>
      </c>
      <c r="GO992" s="1">
        <v>42419</v>
      </c>
      <c r="GP992">
        <v>21</v>
      </c>
      <c r="GQ992">
        <v>15399</v>
      </c>
      <c r="GR992" t="s">
        <v>485</v>
      </c>
      <c r="GT992" s="1">
        <v>41423</v>
      </c>
      <c r="GU992">
        <v>2012</v>
      </c>
      <c r="GV992">
        <v>661.47</v>
      </c>
      <c r="GW992" t="s">
        <v>10229</v>
      </c>
      <c r="GX992">
        <v>3.5</v>
      </c>
      <c r="GY992" t="s">
        <v>424</v>
      </c>
      <c r="GZ992" t="s">
        <v>425</v>
      </c>
      <c r="HA992" s="1">
        <v>42031</v>
      </c>
      <c r="HB992">
        <v>20</v>
      </c>
      <c r="HC992">
        <v>1625515</v>
      </c>
      <c r="HD992" t="s">
        <v>487</v>
      </c>
      <c r="HF992" s="1">
        <v>41052</v>
      </c>
      <c r="HG992">
        <v>2011</v>
      </c>
      <c r="HH992">
        <v>666.23</v>
      </c>
      <c r="HI992" t="s">
        <v>10230</v>
      </c>
      <c r="HJ992">
        <v>4.75</v>
      </c>
      <c r="HK992" t="s">
        <v>424</v>
      </c>
      <c r="HL992" t="s">
        <v>425</v>
      </c>
      <c r="HM992" s="1">
        <v>41694</v>
      </c>
      <c r="HN992">
        <v>21</v>
      </c>
      <c r="HO992">
        <v>1625515</v>
      </c>
      <c r="HP992" t="s">
        <v>487</v>
      </c>
      <c r="HR992" s="1">
        <v>41052</v>
      </c>
      <c r="HS992">
        <v>2011</v>
      </c>
      <c r="HT992">
        <v>666.23</v>
      </c>
      <c r="HU992" t="s">
        <v>10230</v>
      </c>
      <c r="HV992">
        <v>4.75</v>
      </c>
      <c r="HW992" t="s">
        <v>424</v>
      </c>
      <c r="HX992" t="s">
        <v>425</v>
      </c>
      <c r="HZ992">
        <v>22</v>
      </c>
      <c r="IA992">
        <v>10579</v>
      </c>
      <c r="IB992" t="s">
        <v>488</v>
      </c>
      <c r="ID992" s="1">
        <v>40688</v>
      </c>
      <c r="IE992">
        <v>2010</v>
      </c>
      <c r="IF992">
        <v>670.39</v>
      </c>
      <c r="IG992" t="s">
        <v>10231</v>
      </c>
      <c r="IH992">
        <v>6.75</v>
      </c>
      <c r="II992" t="s">
        <v>424</v>
      </c>
      <c r="IJ992" t="s">
        <v>425</v>
      </c>
      <c r="IK992" s="1">
        <v>41261</v>
      </c>
      <c r="IL992">
        <v>19</v>
      </c>
      <c r="IM992">
        <v>375</v>
      </c>
      <c r="IN992" t="s">
        <v>776</v>
      </c>
    </row>
    <row r="993" spans="1:272" x14ac:dyDescent="0.25">
      <c r="A993">
        <v>16486000</v>
      </c>
      <c r="B993">
        <v>992</v>
      </c>
      <c r="C993" t="s">
        <v>393</v>
      </c>
      <c r="D993" t="s">
        <v>394</v>
      </c>
      <c r="F993" t="str">
        <f>"51-2N-25-4240-0015-0000"</f>
        <v>51-2N-25-4240-0015-0000</v>
      </c>
      <c r="H993" t="str">
        <f>"GRIMMAGE RUFUS EST GRIMMAGE MAGGIE EST C/O CATHERINE GRIMMAGE"</f>
        <v>GRIMMAGE RUFUS EST GRIMMAGE MAGGIE EST C/O CATHERINE GRIMMAGE</v>
      </c>
      <c r="I993" t="str">
        <f>""</f>
        <v/>
      </c>
      <c r="J993" t="str">
        <f>"JACKSONVILLE FL 32218"</f>
        <v>JACKSONVILLE FL 32218</v>
      </c>
      <c r="K993" t="str">
        <f>"DR MARTIN LUTHER KING JR AV"</f>
        <v>DR MARTIN LUTHER KING JR AV</v>
      </c>
      <c r="L993" t="str">
        <f t="shared" si="319"/>
        <v>CALLAHAN FL 32011</v>
      </c>
      <c r="M993" t="str">
        <f>"LOT 15 IN OR 206 PG 34 (M &amp; S) ARTHUR JONES SURVEY OR 75/281"</f>
        <v>LOT 15 IN OR 206 PG 34 (M &amp; S) ARTHUR JONES SURVEY OR 75/281</v>
      </c>
      <c r="N993" t="str">
        <f>""</f>
        <v/>
      </c>
      <c r="O993" t="str">
        <f>"54899"</f>
        <v>54899</v>
      </c>
      <c r="P993" t="str">
        <f t="shared" si="310"/>
        <v>2017</v>
      </c>
      <c r="Q993" t="str">
        <f>""</f>
        <v/>
      </c>
      <c r="R993" t="str">
        <f>"N"</f>
        <v>N</v>
      </c>
      <c r="S993" t="str">
        <f>""</f>
        <v/>
      </c>
      <c r="T993" t="str">
        <f>"151.38"</f>
        <v>151.38</v>
      </c>
      <c r="U993" t="str">
        <f>"10000.00"</f>
        <v>10000.00</v>
      </c>
      <c r="V993" t="str">
        <f>"10000.00"</f>
        <v>10000.00</v>
      </c>
      <c r="W993" t="str">
        <f t="shared" si="311"/>
        <v>2017</v>
      </c>
      <c r="X993" t="str">
        <f>"20.50"</f>
        <v>20.50</v>
      </c>
      <c r="Y993" t="str">
        <f>"187.92"</f>
        <v>187.92</v>
      </c>
      <c r="Z993" t="str">
        <f>""</f>
        <v/>
      </c>
      <c r="AA993" t="str">
        <f>"10000.00"</f>
        <v>10000.00</v>
      </c>
      <c r="AB993" t="str">
        <f>"Residential"</f>
        <v>Residential</v>
      </c>
      <c r="AC993" t="str">
        <f t="shared" si="323"/>
        <v>0</v>
      </c>
      <c r="AD993" t="str">
        <f>""</f>
        <v/>
      </c>
      <c r="AE993" t="str">
        <f>""</f>
        <v/>
      </c>
      <c r="AF993" t="str">
        <f>"000"</f>
        <v>000</v>
      </c>
      <c r="AG993" t="str">
        <f t="shared" si="322"/>
        <v>FL</v>
      </c>
      <c r="AH993" t="str">
        <f>"-"</f>
        <v>-</v>
      </c>
      <c r="AI993" t="str">
        <f>"10000.00"</f>
        <v>10000.00</v>
      </c>
      <c r="AJ993" t="str">
        <f>"C55-000-588-7230-0"</f>
        <v>C55-000-588-7230-0</v>
      </c>
      <c r="AK993" t="str">
        <f>"15107"</f>
        <v>15107</v>
      </c>
      <c r="AL993">
        <v>4</v>
      </c>
      <c r="AM993">
        <v>1140</v>
      </c>
      <c r="AN993">
        <v>195.72</v>
      </c>
      <c r="AQ993" t="s">
        <v>10232</v>
      </c>
      <c r="AR993" t="s">
        <v>10232</v>
      </c>
      <c r="AS993" t="s">
        <v>10232</v>
      </c>
      <c r="AU993" t="s">
        <v>396</v>
      </c>
      <c r="AV993">
        <v>2017</v>
      </c>
      <c r="AW993" t="str">
        <f>"51-2N-25-4240-0015-0000 "</f>
        <v xml:space="preserve">51-2N-25-4240-0015-0000 </v>
      </c>
      <c r="AZ993" t="s">
        <v>8913</v>
      </c>
      <c r="BA993" t="s">
        <v>1122</v>
      </c>
      <c r="BD993" t="s">
        <v>2785</v>
      </c>
      <c r="BE993" t="s">
        <v>393</v>
      </c>
      <c r="BF993">
        <v>32011</v>
      </c>
      <c r="BG993" t="s">
        <v>9849</v>
      </c>
      <c r="BH993" t="s">
        <v>2787</v>
      </c>
      <c r="BI993">
        <v>-81.828709551406703</v>
      </c>
      <c r="BJ993">
        <v>30.569460690225799</v>
      </c>
      <c r="BK993" t="s">
        <v>10233</v>
      </c>
      <c r="BM993" t="s">
        <v>10223</v>
      </c>
      <c r="BN993" t="s">
        <v>548</v>
      </c>
      <c r="BO993">
        <v>32218</v>
      </c>
      <c r="BP993" t="s">
        <v>404</v>
      </c>
      <c r="BQ993">
        <v>0</v>
      </c>
      <c r="BR993" t="s">
        <v>491</v>
      </c>
      <c r="BS993">
        <v>8001</v>
      </c>
      <c r="BT993" t="s">
        <v>492</v>
      </c>
      <c r="BW993">
        <v>5925</v>
      </c>
      <c r="BX993" t="s">
        <v>407</v>
      </c>
      <c r="BY993" t="s">
        <v>4360</v>
      </c>
      <c r="CD993">
        <v>2017</v>
      </c>
      <c r="CE993">
        <v>10000</v>
      </c>
      <c r="CG993">
        <v>10000</v>
      </c>
      <c r="CH993">
        <v>2017</v>
      </c>
      <c r="CI993">
        <v>10000</v>
      </c>
      <c r="CK993">
        <v>10000</v>
      </c>
      <c r="CL993">
        <v>2017</v>
      </c>
      <c r="CM993">
        <v>151.38</v>
      </c>
      <c r="DD993" t="s">
        <v>2785</v>
      </c>
      <c r="DF993">
        <v>15</v>
      </c>
      <c r="DG993">
        <v>51</v>
      </c>
      <c r="DJ993" t="s">
        <v>10209</v>
      </c>
      <c r="DL993">
        <v>50503</v>
      </c>
      <c r="DM993" t="s">
        <v>9755</v>
      </c>
      <c r="DO993" t="s">
        <v>10234</v>
      </c>
      <c r="DP993">
        <v>0</v>
      </c>
      <c r="DQ993">
        <v>0</v>
      </c>
      <c r="DR993" t="s">
        <v>411</v>
      </c>
      <c r="DS993" t="b">
        <v>1</v>
      </c>
      <c r="DT993" t="s">
        <v>470</v>
      </c>
      <c r="DU993" t="s">
        <v>471</v>
      </c>
      <c r="DV993" t="s">
        <v>472</v>
      </c>
      <c r="DX993">
        <v>-9999</v>
      </c>
      <c r="DZ993" t="s">
        <v>447</v>
      </c>
      <c r="EA993" t="s">
        <v>448</v>
      </c>
      <c r="EB993" t="s">
        <v>742</v>
      </c>
      <c r="EC993">
        <v>20101217</v>
      </c>
      <c r="ED993" t="s">
        <v>474</v>
      </c>
      <c r="EF993">
        <v>481</v>
      </c>
      <c r="EG993">
        <v>481</v>
      </c>
      <c r="EI993">
        <v>20160407</v>
      </c>
      <c r="EJ993">
        <v>0</v>
      </c>
      <c r="EK993">
        <v>0</v>
      </c>
      <c r="EP993" t="s">
        <v>421</v>
      </c>
      <c r="EQ993" t="s">
        <v>422</v>
      </c>
      <c r="ER993">
        <v>1</v>
      </c>
      <c r="ES993">
        <v>7</v>
      </c>
      <c r="ET993">
        <v>193.03</v>
      </c>
      <c r="EU993">
        <v>25.07</v>
      </c>
      <c r="EV993">
        <v>218.1</v>
      </c>
      <c r="EW993" s="2">
        <v>43222</v>
      </c>
      <c r="EX993" s="1">
        <v>42879</v>
      </c>
      <c r="EY993">
        <v>2016</v>
      </c>
      <c r="EZ993">
        <v>193.03</v>
      </c>
      <c r="FA993" t="s">
        <v>10235</v>
      </c>
      <c r="FB993">
        <v>9.75</v>
      </c>
      <c r="FC993" t="s">
        <v>424</v>
      </c>
      <c r="FD993" t="s">
        <v>454</v>
      </c>
      <c r="FF993">
        <v>12</v>
      </c>
      <c r="FG993">
        <v>10021</v>
      </c>
      <c r="FH993" t="s">
        <v>597</v>
      </c>
      <c r="FJ993" s="1">
        <v>42515</v>
      </c>
      <c r="FK993">
        <v>2015</v>
      </c>
      <c r="FL993">
        <v>192.05</v>
      </c>
      <c r="FM993" t="s">
        <v>10236</v>
      </c>
      <c r="FN993">
        <v>16.25</v>
      </c>
      <c r="FO993" t="s">
        <v>424</v>
      </c>
      <c r="FP993" t="s">
        <v>425</v>
      </c>
      <c r="FQ993" s="1">
        <v>43130</v>
      </c>
      <c r="FR993">
        <v>20</v>
      </c>
      <c r="FS993">
        <v>10364</v>
      </c>
      <c r="FT993" t="s">
        <v>4653</v>
      </c>
      <c r="FV993" s="1">
        <v>42515</v>
      </c>
      <c r="FW993">
        <v>2015</v>
      </c>
      <c r="FX993">
        <v>192.05</v>
      </c>
      <c r="FY993" t="s">
        <v>10236</v>
      </c>
      <c r="FZ993">
        <v>16.25</v>
      </c>
      <c r="GA993" t="s">
        <v>424</v>
      </c>
      <c r="GB993" t="s">
        <v>425</v>
      </c>
      <c r="GD993">
        <v>22</v>
      </c>
      <c r="GE993">
        <v>5433081</v>
      </c>
      <c r="GF993" t="s">
        <v>10237</v>
      </c>
      <c r="GH993" s="1">
        <v>42151</v>
      </c>
      <c r="GI993">
        <v>2014</v>
      </c>
      <c r="GJ993">
        <v>192.91</v>
      </c>
      <c r="GK993" t="s">
        <v>10238</v>
      </c>
      <c r="GL993">
        <v>4.75</v>
      </c>
      <c r="GM993" t="s">
        <v>424</v>
      </c>
      <c r="GN993" t="s">
        <v>425</v>
      </c>
      <c r="GO993" s="1">
        <v>42822</v>
      </c>
      <c r="GP993">
        <v>22</v>
      </c>
      <c r="GQ993">
        <v>4975593</v>
      </c>
      <c r="GR993" t="s">
        <v>505</v>
      </c>
      <c r="GT993" s="1">
        <v>41787</v>
      </c>
      <c r="GU993">
        <v>2013</v>
      </c>
      <c r="GV993">
        <v>183.77</v>
      </c>
      <c r="GW993" t="s">
        <v>10239</v>
      </c>
      <c r="GX993">
        <v>5.75</v>
      </c>
      <c r="GY993" t="s">
        <v>424</v>
      </c>
      <c r="GZ993" t="s">
        <v>425</v>
      </c>
      <c r="HA993" s="1">
        <v>42419</v>
      </c>
      <c r="HB993">
        <v>21</v>
      </c>
      <c r="HC993">
        <v>2035919</v>
      </c>
      <c r="HD993" t="s">
        <v>507</v>
      </c>
      <c r="HF993" s="1">
        <v>41423</v>
      </c>
      <c r="HG993">
        <v>2012</v>
      </c>
      <c r="HH993">
        <v>185.79</v>
      </c>
      <c r="HI993" t="s">
        <v>10240</v>
      </c>
      <c r="HJ993">
        <v>6.25</v>
      </c>
      <c r="HK993" t="s">
        <v>424</v>
      </c>
      <c r="HL993" t="s">
        <v>425</v>
      </c>
      <c r="HM993" s="1">
        <v>42031</v>
      </c>
      <c r="HN993">
        <v>20</v>
      </c>
      <c r="HO993">
        <v>2101381</v>
      </c>
      <c r="HP993" t="s">
        <v>605</v>
      </c>
      <c r="HR993" s="1">
        <v>41052</v>
      </c>
      <c r="HS993">
        <v>2011</v>
      </c>
      <c r="HT993">
        <v>180.66</v>
      </c>
      <c r="HU993" t="s">
        <v>10241</v>
      </c>
      <c r="HV993">
        <v>18</v>
      </c>
      <c r="HW993" t="s">
        <v>424</v>
      </c>
      <c r="HX993" t="s">
        <v>425</v>
      </c>
      <c r="HY993" s="1">
        <v>41694</v>
      </c>
      <c r="HZ993">
        <v>21</v>
      </c>
      <c r="IA993">
        <v>619</v>
      </c>
      <c r="IB993" t="s">
        <v>2768</v>
      </c>
      <c r="ID993" s="1">
        <v>40688</v>
      </c>
      <c r="IE993">
        <v>2010</v>
      </c>
      <c r="IF993">
        <v>180.58</v>
      </c>
      <c r="IG993" t="s">
        <v>10242</v>
      </c>
      <c r="IH993">
        <v>6.75</v>
      </c>
      <c r="II993" t="s">
        <v>424</v>
      </c>
      <c r="IJ993" t="s">
        <v>425</v>
      </c>
      <c r="IK993" s="1">
        <v>41261</v>
      </c>
      <c r="IL993">
        <v>19</v>
      </c>
      <c r="IM993">
        <v>105</v>
      </c>
      <c r="IN993" t="s">
        <v>946</v>
      </c>
    </row>
    <row r="994" spans="1:272" x14ac:dyDescent="0.25">
      <c r="A994">
        <v>16486001</v>
      </c>
      <c r="B994">
        <v>993</v>
      </c>
      <c r="C994" t="s">
        <v>393</v>
      </c>
      <c r="D994" t="s">
        <v>394</v>
      </c>
      <c r="F994" t="str">
        <f>"05-3N-25-0000-0001-0090"</f>
        <v>05-3N-25-0000-0001-0090</v>
      </c>
      <c r="H994" t="str">
        <f>"JACKSON LARRY GENE JR &amp; JACKSON SHERI"</f>
        <v>JACKSON LARRY GENE JR &amp; JACKSON SHERI</v>
      </c>
      <c r="I994" t="str">
        <f>"47450 JACKSON COVE RD"</f>
        <v>47450 JACKSON COVE RD</v>
      </c>
      <c r="J994" t="str">
        <f>"HILLIARD FL 32046"</f>
        <v>HILLIARD FL 32046</v>
      </c>
      <c r="K994" t="str">
        <f>"47450 JACKSON COVE RD"</f>
        <v>47450 JACKSON COVE RD</v>
      </c>
      <c r="L994" t="str">
        <f>"HILLIARD FL 32046"</f>
        <v>HILLIARD FL 32046</v>
      </c>
      <c r="M994" t="str">
        <f>"IN OR 686 PG 125 R498207 &amp; R498208"</f>
        <v>IN OR 686 PG 125 R498207 &amp; R498208</v>
      </c>
      <c r="N994" t="str">
        <f>""</f>
        <v/>
      </c>
      <c r="O994" t="str">
        <f>"21570"</f>
        <v>21570</v>
      </c>
      <c r="P994" t="str">
        <f t="shared" si="310"/>
        <v>2017</v>
      </c>
      <c r="Q994" t="str">
        <f>""</f>
        <v/>
      </c>
      <c r="R994" t="str">
        <f>"Y"</f>
        <v>Y</v>
      </c>
      <c r="S994" t="str">
        <f>"1.50"</f>
        <v>1.50</v>
      </c>
      <c r="T994" t="str">
        <f>"244.34"</f>
        <v>244.34</v>
      </c>
      <c r="U994" t="str">
        <f>"41140.00"</f>
        <v>41140.00</v>
      </c>
      <c r="V994" t="str">
        <f>"41140.00"</f>
        <v>41140.00</v>
      </c>
      <c r="W994" t="str">
        <f t="shared" si="311"/>
        <v>2017</v>
      </c>
      <c r="X994" t="str">
        <f>"13.25"</f>
        <v>13.25</v>
      </c>
      <c r="Y994" t="str">
        <f>"283.67"</f>
        <v>283.67</v>
      </c>
      <c r="Z994" t="str">
        <f>"25000.00"</f>
        <v>25000.00</v>
      </c>
      <c r="AA994" t="str">
        <f>"16140.00"</f>
        <v>16140.00</v>
      </c>
      <c r="AB994" t="str">
        <f>"Residential"</f>
        <v>Residential</v>
      </c>
      <c r="AC994" t="str">
        <f t="shared" si="323"/>
        <v>0</v>
      </c>
      <c r="AD994" t="str">
        <f>"4"</f>
        <v>4</v>
      </c>
      <c r="AE994" t="str">
        <f>"WOOD (INCLUDE STEEL STUDS)"</f>
        <v>WOOD (INCLUDE STEEL STUDS)</v>
      </c>
      <c r="AF994" t="str">
        <f>"002"</f>
        <v>002</v>
      </c>
      <c r="AG994" t="str">
        <f t="shared" si="322"/>
        <v>FL</v>
      </c>
      <c r="AH994" t="str">
        <f>"65340.00"</f>
        <v>65340.00</v>
      </c>
      <c r="AI994" t="str">
        <f>"23625.00"</f>
        <v>23625.00</v>
      </c>
      <c r="AJ994" t="str">
        <f>"C55-000-586-6353-5"</f>
        <v>C55-000-586-6353-5</v>
      </c>
      <c r="AK994" t="str">
        <f>"15151"</f>
        <v>15151</v>
      </c>
      <c r="AL994">
        <v>4</v>
      </c>
      <c r="AM994">
        <v>1141</v>
      </c>
      <c r="AN994">
        <v>296.25</v>
      </c>
      <c r="AQ994" t="s">
        <v>10243</v>
      </c>
      <c r="AR994" t="s">
        <v>10243</v>
      </c>
      <c r="AS994" t="s">
        <v>10243</v>
      </c>
      <c r="AU994" t="s">
        <v>396</v>
      </c>
      <c r="AV994">
        <v>2017</v>
      </c>
      <c r="AW994" t="str">
        <f>"05-3N-25-0000-0001-0090 "</f>
        <v xml:space="preserve">05-3N-25-0000-0001-0090 </v>
      </c>
      <c r="AX994">
        <v>47450</v>
      </c>
      <c r="AZ994" t="s">
        <v>10244</v>
      </c>
      <c r="BA994" t="s">
        <v>496</v>
      </c>
      <c r="BD994" t="s">
        <v>398</v>
      </c>
      <c r="BE994" t="s">
        <v>393</v>
      </c>
      <c r="BF994">
        <v>32046</v>
      </c>
      <c r="BG994" t="s">
        <v>10245</v>
      </c>
      <c r="BH994" t="s">
        <v>400</v>
      </c>
      <c r="BI994">
        <v>-81.823554116089994</v>
      </c>
      <c r="BJ994">
        <v>30.7083166555033</v>
      </c>
      <c r="BK994" t="s">
        <v>10246</v>
      </c>
      <c r="BM994" t="s">
        <v>10245</v>
      </c>
      <c r="BN994" t="s">
        <v>403</v>
      </c>
      <c r="BO994">
        <v>32046</v>
      </c>
      <c r="BP994" t="s">
        <v>416</v>
      </c>
      <c r="BQ994">
        <v>200</v>
      </c>
      <c r="BR994" t="s">
        <v>405</v>
      </c>
      <c r="BS994">
        <v>1006</v>
      </c>
      <c r="BT994" t="s">
        <v>406</v>
      </c>
      <c r="BW994">
        <v>65340</v>
      </c>
      <c r="BX994" t="s">
        <v>407</v>
      </c>
      <c r="BY994" t="s">
        <v>408</v>
      </c>
      <c r="BZ994">
        <v>4</v>
      </c>
      <c r="CA994">
        <v>1987</v>
      </c>
      <c r="CC994">
        <v>1</v>
      </c>
      <c r="CD994">
        <v>2017</v>
      </c>
      <c r="CG994">
        <v>41140</v>
      </c>
      <c r="CH994">
        <v>2017</v>
      </c>
      <c r="CI994">
        <v>23625</v>
      </c>
      <c r="CJ994">
        <v>37267</v>
      </c>
      <c r="CK994">
        <v>60892</v>
      </c>
      <c r="CL994">
        <v>2017</v>
      </c>
      <c r="CM994">
        <v>244.34</v>
      </c>
      <c r="CN994" s="1">
        <v>34185</v>
      </c>
      <c r="CZ994" s="1">
        <v>34185</v>
      </c>
      <c r="DD994" t="s">
        <v>398</v>
      </c>
      <c r="DG994">
        <v>5</v>
      </c>
      <c r="DL994">
        <v>50400</v>
      </c>
      <c r="DM994" t="s">
        <v>10247</v>
      </c>
      <c r="DO994" t="s">
        <v>10248</v>
      </c>
      <c r="DP994">
        <v>0</v>
      </c>
      <c r="DQ994">
        <v>0</v>
      </c>
      <c r="DR994" t="s">
        <v>411</v>
      </c>
      <c r="DS994" t="b">
        <v>1</v>
      </c>
      <c r="DT994" t="s">
        <v>470</v>
      </c>
      <c r="DU994" t="s">
        <v>10249</v>
      </c>
      <c r="DV994" t="s">
        <v>472</v>
      </c>
      <c r="DX994">
        <v>-9999</v>
      </c>
      <c r="DZ994" t="s">
        <v>447</v>
      </c>
      <c r="EA994" t="s">
        <v>448</v>
      </c>
      <c r="EB994" t="s">
        <v>10250</v>
      </c>
      <c r="EC994">
        <v>20101217</v>
      </c>
      <c r="ED994" t="s">
        <v>10251</v>
      </c>
      <c r="EE994">
        <v>8.4</v>
      </c>
      <c r="EF994">
        <v>655.6</v>
      </c>
      <c r="EG994">
        <v>0</v>
      </c>
      <c r="EI994">
        <v>20160407</v>
      </c>
      <c r="EJ994">
        <v>0</v>
      </c>
      <c r="EK994">
        <v>0</v>
      </c>
      <c r="EP994" t="s">
        <v>421</v>
      </c>
      <c r="EQ994" t="s">
        <v>452</v>
      </c>
      <c r="ER994">
        <v>0</v>
      </c>
      <c r="ES994">
        <v>10</v>
      </c>
      <c r="ET994">
        <v>0</v>
      </c>
      <c r="EU994">
        <v>0</v>
      </c>
      <c r="EV994">
        <v>0</v>
      </c>
      <c r="EW994" s="2">
        <v>43222</v>
      </c>
      <c r="EX994" s="1">
        <v>42879</v>
      </c>
      <c r="EY994">
        <v>2016</v>
      </c>
      <c r="EZ994">
        <v>280.91000000000003</v>
      </c>
      <c r="FA994" t="s">
        <v>10252</v>
      </c>
      <c r="FB994">
        <v>0.25</v>
      </c>
      <c r="FC994" t="s">
        <v>424</v>
      </c>
      <c r="FD994" t="s">
        <v>425</v>
      </c>
      <c r="FE994" s="1">
        <v>42946</v>
      </c>
      <c r="FF994">
        <v>2</v>
      </c>
      <c r="FG994">
        <v>7400234</v>
      </c>
      <c r="FH994" t="s">
        <v>426</v>
      </c>
      <c r="FI994" t="s">
        <v>458</v>
      </c>
      <c r="FJ994" s="1">
        <v>42879</v>
      </c>
      <c r="FK994">
        <v>2016</v>
      </c>
      <c r="FL994">
        <v>280.91000000000003</v>
      </c>
      <c r="FM994" t="s">
        <v>10252</v>
      </c>
      <c r="FN994">
        <v>0.25</v>
      </c>
      <c r="FO994" t="s">
        <v>424</v>
      </c>
      <c r="FP994" t="s">
        <v>425</v>
      </c>
      <c r="FR994">
        <v>22</v>
      </c>
      <c r="FS994">
        <v>7459082</v>
      </c>
      <c r="FT994" t="s">
        <v>10253</v>
      </c>
      <c r="FU994" t="s">
        <v>458</v>
      </c>
      <c r="FV994" s="1">
        <v>42515</v>
      </c>
      <c r="FW994">
        <v>2015</v>
      </c>
      <c r="FX994">
        <v>277.32</v>
      </c>
      <c r="FY994" t="s">
        <v>10254</v>
      </c>
      <c r="FZ994">
        <v>0.25</v>
      </c>
      <c r="GA994" t="s">
        <v>424</v>
      </c>
      <c r="GB994" t="s">
        <v>425</v>
      </c>
      <c r="GD994">
        <v>22</v>
      </c>
      <c r="GE994">
        <v>2851116</v>
      </c>
      <c r="GF994" t="s">
        <v>480</v>
      </c>
      <c r="GG994" t="s">
        <v>458</v>
      </c>
      <c r="GH994" s="1">
        <v>42515</v>
      </c>
      <c r="GI994">
        <v>2015</v>
      </c>
      <c r="GJ994">
        <v>277.32</v>
      </c>
      <c r="GK994" t="s">
        <v>10254</v>
      </c>
      <c r="GL994">
        <v>0.25</v>
      </c>
      <c r="GM994" t="s">
        <v>424</v>
      </c>
      <c r="GN994" t="s">
        <v>425</v>
      </c>
      <c r="GP994">
        <v>22</v>
      </c>
      <c r="GQ994">
        <v>5479906</v>
      </c>
      <c r="GR994" t="s">
        <v>10255</v>
      </c>
      <c r="GS994" t="s">
        <v>458</v>
      </c>
      <c r="GT994" s="1">
        <v>42151</v>
      </c>
      <c r="GU994">
        <v>2014</v>
      </c>
      <c r="GV994">
        <v>273.18</v>
      </c>
      <c r="GW994" t="s">
        <v>10256</v>
      </c>
      <c r="GX994">
        <v>0.25</v>
      </c>
      <c r="GY994" t="s">
        <v>424</v>
      </c>
      <c r="GZ994" t="s">
        <v>425</v>
      </c>
      <c r="HB994">
        <v>22</v>
      </c>
      <c r="HC994">
        <v>2851116</v>
      </c>
      <c r="HD994" t="s">
        <v>480</v>
      </c>
      <c r="HE994" t="s">
        <v>458</v>
      </c>
      <c r="HF994" s="1">
        <v>42151</v>
      </c>
      <c r="HG994">
        <v>2014</v>
      </c>
      <c r="HH994">
        <v>273.18</v>
      </c>
      <c r="HI994" t="s">
        <v>10256</v>
      </c>
      <c r="HJ994">
        <v>0.25</v>
      </c>
      <c r="HK994" t="s">
        <v>424</v>
      </c>
      <c r="HL994" t="s">
        <v>425</v>
      </c>
      <c r="HN994">
        <v>22</v>
      </c>
      <c r="HO994">
        <v>4913732</v>
      </c>
      <c r="HP994" t="s">
        <v>10257</v>
      </c>
      <c r="HQ994" t="s">
        <v>458</v>
      </c>
      <c r="HR994" s="1">
        <v>41787</v>
      </c>
      <c r="HS994">
        <v>2013</v>
      </c>
      <c r="HT994">
        <v>482.66</v>
      </c>
      <c r="HU994" t="s">
        <v>10258</v>
      </c>
      <c r="HV994">
        <v>0.25</v>
      </c>
      <c r="HW994" t="s">
        <v>424</v>
      </c>
      <c r="HX994" t="s">
        <v>425</v>
      </c>
      <c r="HY994" s="1">
        <v>42439</v>
      </c>
      <c r="HZ994">
        <v>22</v>
      </c>
      <c r="IA994">
        <v>13026</v>
      </c>
      <c r="IB994" t="s">
        <v>2129</v>
      </c>
      <c r="ID994" s="1">
        <v>41423</v>
      </c>
      <c r="IE994">
        <v>2012</v>
      </c>
      <c r="IF994">
        <v>530.30999999999995</v>
      </c>
      <c r="IG994" t="s">
        <v>10259</v>
      </c>
      <c r="IH994">
        <v>3</v>
      </c>
      <c r="II994" t="s">
        <v>424</v>
      </c>
      <c r="IJ994" t="s">
        <v>425</v>
      </c>
      <c r="IK994" s="1">
        <v>41697</v>
      </c>
      <c r="IL994">
        <v>9</v>
      </c>
      <c r="IM994">
        <v>15399</v>
      </c>
      <c r="IN994" t="s">
        <v>485</v>
      </c>
      <c r="IP994" s="1">
        <v>41052</v>
      </c>
      <c r="IQ994">
        <v>2011</v>
      </c>
      <c r="IR994">
        <v>517.66</v>
      </c>
      <c r="IS994" t="s">
        <v>10260</v>
      </c>
      <c r="IT994">
        <v>6.25</v>
      </c>
      <c r="IU994" t="s">
        <v>424</v>
      </c>
      <c r="IV994" t="s">
        <v>425</v>
      </c>
      <c r="IW994" s="1">
        <v>41359</v>
      </c>
      <c r="IX994">
        <v>10</v>
      </c>
      <c r="IY994">
        <v>1109</v>
      </c>
      <c r="IZ994" t="s">
        <v>852</v>
      </c>
      <c r="JB994" s="1">
        <v>40688</v>
      </c>
      <c r="JC994">
        <v>2010</v>
      </c>
      <c r="JD994">
        <v>511.44</v>
      </c>
      <c r="JE994" t="s">
        <v>10261</v>
      </c>
      <c r="JF994">
        <v>6.75</v>
      </c>
      <c r="JG994" t="s">
        <v>424</v>
      </c>
      <c r="JH994" t="s">
        <v>425</v>
      </c>
      <c r="JI994" s="1">
        <v>41032</v>
      </c>
      <c r="JJ994">
        <v>12</v>
      </c>
      <c r="JK994">
        <v>105</v>
      </c>
      <c r="JL994" t="s">
        <v>946</v>
      </c>
    </row>
    <row r="995" spans="1:272" x14ac:dyDescent="0.25">
      <c r="A995">
        <v>16486002</v>
      </c>
      <c r="B995">
        <v>994</v>
      </c>
      <c r="C995" t="s">
        <v>393</v>
      </c>
      <c r="D995" t="s">
        <v>394</v>
      </c>
      <c r="F995" t="str">
        <f>"08-3N-25-0000-0003-0000"</f>
        <v>08-3N-25-0000-0003-0000</v>
      </c>
      <c r="H995" t="str">
        <f>"SHEPHERD ALAN D"</f>
        <v>SHEPHERD ALAN D</v>
      </c>
      <c r="I995" t="str">
        <f>"8008 NEWTON ROAD"</f>
        <v>8008 NEWTON ROAD</v>
      </c>
      <c r="J995" t="str">
        <f>"JACKSONVILLE FL 32216"</f>
        <v>JACKSONVILLE FL 32216</v>
      </c>
      <c r="K995" t="str">
        <f>"CR 108"</f>
        <v>CR 108</v>
      </c>
      <c r="L995" t="str">
        <f>"HILLIARD FL 32046"</f>
        <v>HILLIARD FL 32046</v>
      </c>
      <c r="M995" t="str">
        <f>"SW1/4 OF NE1/4 NW1/4 OF SE1/4 IN OR 1298/1130 EX 3-1 3-2 3-3 3-5 &amp; 3-6"</f>
        <v>SW1/4 OF NE1/4 NW1/4 OF SE1/4 IN OR 1298/1130 EX 3-1 3-2 3-3 3-5 &amp; 3-6</v>
      </c>
      <c r="N995" t="str">
        <f>""</f>
        <v/>
      </c>
      <c r="O995" t="str">
        <f>"24315"</f>
        <v>24315</v>
      </c>
      <c r="P995" t="str">
        <f t="shared" si="310"/>
        <v>2017</v>
      </c>
      <c r="Q995" t="str">
        <f>""</f>
        <v/>
      </c>
      <c r="R995" t="str">
        <f>"N"</f>
        <v>N</v>
      </c>
      <c r="S995" t="str">
        <f>"68.16"</f>
        <v>68.16</v>
      </c>
      <c r="T995" t="str">
        <f>"307.04"</f>
        <v>307.04</v>
      </c>
      <c r="U995" t="str">
        <f>"20282.00"</f>
        <v>20282.00</v>
      </c>
      <c r="V995" t="str">
        <f>"20282.00"</f>
        <v>20282.00</v>
      </c>
      <c r="W995" t="str">
        <f t="shared" si="311"/>
        <v>2017</v>
      </c>
      <c r="X995" t="str">
        <f>"7.67"</f>
        <v>7.67</v>
      </c>
      <c r="Y995" t="str">
        <f>"348.25"</f>
        <v>348.25</v>
      </c>
      <c r="Z995" t="str">
        <f>""</f>
        <v/>
      </c>
      <c r="AA995" t="str">
        <f>"20282.00"</f>
        <v>20282.00</v>
      </c>
      <c r="AB995" t="str">
        <f>"Agricultural"</f>
        <v>Agricultural</v>
      </c>
      <c r="AC995" t="str">
        <f t="shared" si="323"/>
        <v>0</v>
      </c>
      <c r="AD995" t="str">
        <f>""</f>
        <v/>
      </c>
      <c r="AE995" t="str">
        <f>""</f>
        <v/>
      </c>
      <c r="AF995" t="str">
        <f>"056"</f>
        <v>056</v>
      </c>
      <c r="AG995" t="str">
        <f t="shared" si="322"/>
        <v>FL</v>
      </c>
      <c r="AH995" t="str">
        <f>"2969049.00"</f>
        <v>2969049.00</v>
      </c>
      <c r="AI995" t="str">
        <f>"20282.00"</f>
        <v>20282.00</v>
      </c>
      <c r="AJ995" t="str">
        <f>"C55-000-586-8201-4"</f>
        <v>C55-000-586-8201-4</v>
      </c>
      <c r="AK995" t="str">
        <f>"15172"</f>
        <v>15172</v>
      </c>
      <c r="AL995">
        <v>4</v>
      </c>
      <c r="AM995">
        <v>1142</v>
      </c>
      <c r="AN995">
        <v>364.06</v>
      </c>
      <c r="AQ995" t="s">
        <v>10262</v>
      </c>
      <c r="AR995" t="s">
        <v>10262</v>
      </c>
      <c r="AS995" t="s">
        <v>10262</v>
      </c>
      <c r="AU995" t="s">
        <v>396</v>
      </c>
      <c r="AV995">
        <v>2017</v>
      </c>
      <c r="AW995" t="str">
        <f>"08-3N-25-0000-0003-0000 "</f>
        <v xml:space="preserve">08-3N-25-0000-0003-0000 </v>
      </c>
      <c r="AZ995" t="s">
        <v>1206</v>
      </c>
      <c r="BD995" t="s">
        <v>398</v>
      </c>
      <c r="BE995" t="s">
        <v>393</v>
      </c>
      <c r="BF995">
        <v>32046</v>
      </c>
      <c r="BG995" t="s">
        <v>1206</v>
      </c>
      <c r="BH995" t="s">
        <v>400</v>
      </c>
      <c r="BI995">
        <v>-81.8260836108403</v>
      </c>
      <c r="BJ995">
        <v>30.693145772993599</v>
      </c>
      <c r="BK995" t="s">
        <v>10263</v>
      </c>
      <c r="BM995" t="s">
        <v>10264</v>
      </c>
      <c r="BN995" t="s">
        <v>548</v>
      </c>
      <c r="BO995">
        <v>32216</v>
      </c>
      <c r="BP995" t="s">
        <v>404</v>
      </c>
      <c r="BQ995">
        <v>5600</v>
      </c>
      <c r="BR995" t="s">
        <v>417</v>
      </c>
      <c r="BS995">
        <v>7009</v>
      </c>
      <c r="BT995" t="s">
        <v>418</v>
      </c>
      <c r="BW995">
        <v>2969049</v>
      </c>
      <c r="BX995" t="s">
        <v>407</v>
      </c>
      <c r="CD995">
        <v>2017</v>
      </c>
      <c r="CG995">
        <v>20282</v>
      </c>
      <c r="CH995">
        <v>2017</v>
      </c>
      <c r="CI995">
        <v>20282</v>
      </c>
      <c r="CJ995">
        <v>194422</v>
      </c>
      <c r="CK995">
        <v>214704</v>
      </c>
      <c r="CL995">
        <v>2017</v>
      </c>
      <c r="CM995">
        <v>307.04000000000002</v>
      </c>
      <c r="CN995" s="1">
        <v>38411</v>
      </c>
      <c r="CO995">
        <v>20000</v>
      </c>
      <c r="CV995">
        <v>0</v>
      </c>
      <c r="CZ995" s="1">
        <v>38411</v>
      </c>
      <c r="DA995">
        <v>0</v>
      </c>
      <c r="DD995" t="s">
        <v>398</v>
      </c>
      <c r="DG995">
        <v>8</v>
      </c>
      <c r="DM995" t="s">
        <v>10265</v>
      </c>
      <c r="DO995" t="s">
        <v>10266</v>
      </c>
      <c r="DP995">
        <v>0</v>
      </c>
      <c r="DQ995">
        <v>0</v>
      </c>
      <c r="DR995" t="s">
        <v>411</v>
      </c>
      <c r="DS995" t="b">
        <v>1</v>
      </c>
      <c r="DT995" t="s">
        <v>470</v>
      </c>
      <c r="DU995" t="s">
        <v>471</v>
      </c>
      <c r="DV995" t="s">
        <v>472</v>
      </c>
      <c r="DX995">
        <v>-9999</v>
      </c>
      <c r="DZ995" t="s">
        <v>447</v>
      </c>
      <c r="EA995" t="s">
        <v>448</v>
      </c>
      <c r="EB995" t="s">
        <v>742</v>
      </c>
      <c r="EC995">
        <v>20101217</v>
      </c>
      <c r="ED995" t="s">
        <v>474</v>
      </c>
      <c r="EF995">
        <v>2202.3000000000002</v>
      </c>
      <c r="EG995">
        <v>1297.2</v>
      </c>
      <c r="EI995">
        <v>20160407</v>
      </c>
      <c r="EJ995">
        <v>0</v>
      </c>
      <c r="EK995">
        <v>0</v>
      </c>
      <c r="EP995" t="s">
        <v>421</v>
      </c>
      <c r="EQ995" t="s">
        <v>422</v>
      </c>
      <c r="ER995">
        <v>0</v>
      </c>
      <c r="ES995">
        <v>1</v>
      </c>
      <c r="ET995">
        <v>0</v>
      </c>
      <c r="EU995">
        <v>0</v>
      </c>
      <c r="EV995">
        <v>0</v>
      </c>
      <c r="EW995" s="2">
        <v>43222</v>
      </c>
      <c r="EX995" s="1">
        <v>42515</v>
      </c>
      <c r="EY995">
        <v>2015</v>
      </c>
      <c r="EZ995">
        <v>314.85000000000002</v>
      </c>
      <c r="FA995" t="s">
        <v>10267</v>
      </c>
      <c r="FB995">
        <v>6</v>
      </c>
      <c r="FC995" t="s">
        <v>424</v>
      </c>
      <c r="FD995" t="s">
        <v>425</v>
      </c>
      <c r="FE995" s="1">
        <v>42734</v>
      </c>
      <c r="FF995">
        <v>7</v>
      </c>
      <c r="FG995">
        <v>2035919</v>
      </c>
      <c r="FH995" t="s">
        <v>507</v>
      </c>
    </row>
    <row r="996" spans="1:272" x14ac:dyDescent="0.25">
      <c r="A996">
        <v>16486003</v>
      </c>
      <c r="B996">
        <v>995</v>
      </c>
      <c r="C996" t="s">
        <v>393</v>
      </c>
      <c r="D996" t="s">
        <v>394</v>
      </c>
      <c r="F996" t="str">
        <f>"08-3N-25-0000-0003-0030"</f>
        <v>08-3N-25-0000-0003-0030</v>
      </c>
      <c r="H996" t="str">
        <f>"BRANTLEY SANDRA ELAINE DRAKE"</f>
        <v>BRANTLEY SANDRA ELAINE DRAKE</v>
      </c>
      <c r="I996" t="str">
        <f>"151495 COUNTY ROAD 108"</f>
        <v>151495 COUNTY ROAD 108</v>
      </c>
      <c r="J996" t="str">
        <f>"HILLIARD FL 32046"</f>
        <v>HILLIARD FL 32046</v>
      </c>
      <c r="K996" t="str">
        <f>"151495 CR 108"</f>
        <v>151495 CR 108</v>
      </c>
      <c r="L996" t="str">
        <f>"HILLIARD FL 32046"</f>
        <v>HILLIARD FL 32046</v>
      </c>
      <c r="M996" t="str">
        <f>"IN OR 702 PG 1723"</f>
        <v>IN OR 702 PG 1723</v>
      </c>
      <c r="N996" t="str">
        <f>""</f>
        <v/>
      </c>
      <c r="O996" t="str">
        <f>"24318"</f>
        <v>24318</v>
      </c>
      <c r="P996" t="str">
        <f t="shared" si="310"/>
        <v>2017</v>
      </c>
      <c r="Q996" t="str">
        <f>""</f>
        <v/>
      </c>
      <c r="R996" t="str">
        <f>"Y"</f>
        <v>Y</v>
      </c>
      <c r="S996" t="str">
        <f>"5.00"</f>
        <v>5.00</v>
      </c>
      <c r="T996" t="str">
        <f>"450.12"</f>
        <v>450.12</v>
      </c>
      <c r="U996" t="str">
        <f>"60857.00"</f>
        <v>60857.00</v>
      </c>
      <c r="V996" t="str">
        <f>"60857.00"</f>
        <v>60857.00</v>
      </c>
      <c r="W996" t="str">
        <f t="shared" si="311"/>
        <v>2017</v>
      </c>
      <c r="X996" t="str">
        <f>"17.13"</f>
        <v>17.13</v>
      </c>
      <c r="Y996" t="str">
        <f>"495.62"</f>
        <v>495.62</v>
      </c>
      <c r="Z996" t="str">
        <f>"25000.00"</f>
        <v>25000.00</v>
      </c>
      <c r="AA996" t="str">
        <f>"35857.00"</f>
        <v>35857.00</v>
      </c>
      <c r="AB996" t="str">
        <f>"Residential"</f>
        <v>Residential</v>
      </c>
      <c r="AC996" t="str">
        <f t="shared" si="323"/>
        <v>0</v>
      </c>
      <c r="AD996" t="str">
        <f>"4"</f>
        <v>4</v>
      </c>
      <c r="AE996" t="str">
        <f>"WOOD (INCLUDE STEEL STUDS)"</f>
        <v>WOOD (INCLUDE STEEL STUDS)</v>
      </c>
      <c r="AF996" t="str">
        <f>"001"</f>
        <v>001</v>
      </c>
      <c r="AG996" t="str">
        <f t="shared" si="322"/>
        <v>FL</v>
      </c>
      <c r="AH996" t="str">
        <f>"217800.00"</f>
        <v>217800.00</v>
      </c>
      <c r="AI996" t="str">
        <f>"42000.00"</f>
        <v>42000.00</v>
      </c>
      <c r="AJ996" t="str">
        <f>"C55-000-586-8204-8"</f>
        <v>C55-000-586-8204-8</v>
      </c>
      <c r="AK996" t="str">
        <f>"15175"</f>
        <v>15175</v>
      </c>
      <c r="AL996">
        <v>4</v>
      </c>
      <c r="AM996">
        <v>1143</v>
      </c>
      <c r="AN996">
        <v>518.79999999999995</v>
      </c>
      <c r="AQ996" t="s">
        <v>10268</v>
      </c>
      <c r="AR996" t="s">
        <v>10268</v>
      </c>
      <c r="AS996" t="s">
        <v>10268</v>
      </c>
      <c r="AU996" t="s">
        <v>396</v>
      </c>
      <c r="AV996">
        <v>2017</v>
      </c>
      <c r="AW996" t="str">
        <f>"08-3N-25-0000-0003-0030 "</f>
        <v xml:space="preserve">08-3N-25-0000-0003-0030 </v>
      </c>
      <c r="AX996">
        <v>151495</v>
      </c>
      <c r="AZ996" t="s">
        <v>1206</v>
      </c>
      <c r="BD996" t="s">
        <v>398</v>
      </c>
      <c r="BE996" t="s">
        <v>393</v>
      </c>
      <c r="BF996">
        <v>32046</v>
      </c>
      <c r="BG996" t="s">
        <v>10269</v>
      </c>
      <c r="BH996" t="s">
        <v>400</v>
      </c>
      <c r="BI996">
        <v>-81.825265187854896</v>
      </c>
      <c r="BJ996">
        <v>30.693189357483298</v>
      </c>
      <c r="BK996" t="s">
        <v>10270</v>
      </c>
      <c r="BM996" t="s">
        <v>10271</v>
      </c>
      <c r="BN996" t="s">
        <v>403</v>
      </c>
      <c r="BO996">
        <v>32046</v>
      </c>
      <c r="BP996" t="s">
        <v>416</v>
      </c>
      <c r="BQ996">
        <v>100</v>
      </c>
      <c r="BR996" t="s">
        <v>514</v>
      </c>
      <c r="BS996">
        <v>1001</v>
      </c>
      <c r="BT996" t="s">
        <v>515</v>
      </c>
      <c r="BW996">
        <v>217800</v>
      </c>
      <c r="BX996" t="s">
        <v>407</v>
      </c>
      <c r="BY996" t="s">
        <v>408</v>
      </c>
      <c r="BZ996">
        <v>4</v>
      </c>
      <c r="CA996">
        <v>1955</v>
      </c>
      <c r="CB996">
        <v>1</v>
      </c>
      <c r="CC996">
        <v>1</v>
      </c>
      <c r="CD996">
        <v>2017</v>
      </c>
      <c r="CG996">
        <v>60857</v>
      </c>
      <c r="CH996">
        <v>2017</v>
      </c>
      <c r="CI996">
        <v>42000</v>
      </c>
      <c r="CJ996">
        <v>40862</v>
      </c>
      <c r="CK996">
        <v>82862</v>
      </c>
      <c r="CL996">
        <v>2017</v>
      </c>
      <c r="CM996">
        <v>450.12</v>
      </c>
      <c r="CN996" s="1">
        <v>34445</v>
      </c>
      <c r="CZ996" s="1">
        <v>34445</v>
      </c>
      <c r="DD996" t="s">
        <v>398</v>
      </c>
      <c r="DG996">
        <v>8</v>
      </c>
      <c r="DL996">
        <v>50400</v>
      </c>
      <c r="DM996" t="s">
        <v>10265</v>
      </c>
      <c r="DO996" t="s">
        <v>10272</v>
      </c>
      <c r="DP996">
        <v>0</v>
      </c>
      <c r="DQ996">
        <v>0</v>
      </c>
      <c r="DR996" t="s">
        <v>411</v>
      </c>
      <c r="DS996" t="b">
        <v>1</v>
      </c>
      <c r="DT996" t="s">
        <v>470</v>
      </c>
      <c r="DU996" t="s">
        <v>471</v>
      </c>
      <c r="DV996" t="s">
        <v>472</v>
      </c>
      <c r="DX996">
        <v>-9999</v>
      </c>
      <c r="DZ996" t="s">
        <v>447</v>
      </c>
      <c r="EA996" t="s">
        <v>448</v>
      </c>
      <c r="EB996" t="s">
        <v>742</v>
      </c>
      <c r="EC996">
        <v>20101217</v>
      </c>
      <c r="ED996" t="s">
        <v>474</v>
      </c>
      <c r="EF996">
        <v>2140.9</v>
      </c>
      <c r="EG996">
        <v>1290.9000000000001</v>
      </c>
      <c r="EI996">
        <v>20160407</v>
      </c>
      <c r="EJ996">
        <v>0</v>
      </c>
      <c r="EK996">
        <v>0</v>
      </c>
      <c r="EP996" t="s">
        <v>421</v>
      </c>
      <c r="EQ996" t="s">
        <v>422</v>
      </c>
      <c r="ER996">
        <v>2</v>
      </c>
      <c r="ES996">
        <v>6</v>
      </c>
      <c r="ET996">
        <v>1025.26</v>
      </c>
      <c r="EU996">
        <v>63.76</v>
      </c>
      <c r="EV996">
        <v>1089.02</v>
      </c>
      <c r="EW996" s="2">
        <v>43222</v>
      </c>
      <c r="EX996" s="1">
        <v>42879</v>
      </c>
      <c r="EY996">
        <v>2016</v>
      </c>
      <c r="EZ996">
        <v>512.63</v>
      </c>
      <c r="FA996" t="s">
        <v>10273</v>
      </c>
      <c r="FB996">
        <v>0.25</v>
      </c>
      <c r="FC996" t="s">
        <v>424</v>
      </c>
      <c r="FD996" t="s">
        <v>454</v>
      </c>
      <c r="FF996">
        <v>12</v>
      </c>
      <c r="FG996">
        <v>2851116</v>
      </c>
      <c r="FH996" t="s">
        <v>480</v>
      </c>
      <c r="FJ996" s="1">
        <v>42879</v>
      </c>
      <c r="FK996">
        <v>2016</v>
      </c>
      <c r="FL996">
        <v>512.63</v>
      </c>
      <c r="FM996" t="s">
        <v>10273</v>
      </c>
      <c r="FN996">
        <v>0.25</v>
      </c>
      <c r="FO996" t="s">
        <v>424</v>
      </c>
      <c r="FP996" t="s">
        <v>454</v>
      </c>
      <c r="FR996">
        <v>12</v>
      </c>
      <c r="FS996">
        <v>5712313</v>
      </c>
      <c r="FT996" t="s">
        <v>10274</v>
      </c>
      <c r="FV996" s="1">
        <v>42515</v>
      </c>
      <c r="FW996">
        <v>2015</v>
      </c>
      <c r="FX996">
        <v>518.25</v>
      </c>
      <c r="FY996" t="s">
        <v>10275</v>
      </c>
      <c r="FZ996">
        <v>0.25</v>
      </c>
      <c r="GA996" t="s">
        <v>424</v>
      </c>
      <c r="GB996" t="s">
        <v>425</v>
      </c>
      <c r="GC996" s="1">
        <v>43124</v>
      </c>
      <c r="GD996">
        <v>20</v>
      </c>
      <c r="GE996">
        <v>2851116</v>
      </c>
      <c r="GF996" t="s">
        <v>480</v>
      </c>
      <c r="GH996" s="1">
        <v>42515</v>
      </c>
      <c r="GI996">
        <v>2015</v>
      </c>
      <c r="GJ996">
        <v>518.25</v>
      </c>
      <c r="GK996" t="s">
        <v>10275</v>
      </c>
      <c r="GL996">
        <v>0.25</v>
      </c>
      <c r="GM996" t="s">
        <v>424</v>
      </c>
      <c r="GN996" t="s">
        <v>425</v>
      </c>
      <c r="GP996">
        <v>22</v>
      </c>
      <c r="GQ996">
        <v>5648249</v>
      </c>
      <c r="GR996" t="s">
        <v>10276</v>
      </c>
      <c r="GT996" s="1">
        <v>41787</v>
      </c>
      <c r="GU996">
        <v>2013</v>
      </c>
      <c r="GV996">
        <v>488.95</v>
      </c>
      <c r="GW996" t="s">
        <v>10277</v>
      </c>
      <c r="GX996">
        <v>0.25</v>
      </c>
      <c r="GY996" t="s">
        <v>424</v>
      </c>
      <c r="GZ996" t="s">
        <v>425</v>
      </c>
      <c r="HA996" s="1">
        <v>42458</v>
      </c>
      <c r="HB996">
        <v>22</v>
      </c>
      <c r="HC996">
        <v>2101382</v>
      </c>
      <c r="HD996" t="s">
        <v>993</v>
      </c>
      <c r="HF996" s="1">
        <v>41423</v>
      </c>
      <c r="HG996">
        <v>2012</v>
      </c>
      <c r="HH996">
        <v>487.68</v>
      </c>
      <c r="HI996" t="s">
        <v>10278</v>
      </c>
      <c r="HJ996">
        <v>0.25</v>
      </c>
      <c r="HK996" t="s">
        <v>424</v>
      </c>
      <c r="HL996" t="s">
        <v>425</v>
      </c>
      <c r="HM996" s="1">
        <v>42066</v>
      </c>
      <c r="HN996">
        <v>22</v>
      </c>
      <c r="HO996">
        <v>15972</v>
      </c>
      <c r="HP996" t="s">
        <v>2572</v>
      </c>
      <c r="HR996" s="1">
        <v>41052</v>
      </c>
      <c r="HS996">
        <v>2011</v>
      </c>
      <c r="HT996">
        <v>474.81</v>
      </c>
      <c r="HU996" t="s">
        <v>10279</v>
      </c>
      <c r="HV996">
        <v>4.75</v>
      </c>
      <c r="HW996" t="s">
        <v>424</v>
      </c>
      <c r="HX996" t="s">
        <v>425</v>
      </c>
      <c r="HY996" s="1">
        <v>41107</v>
      </c>
      <c r="HZ996">
        <v>2</v>
      </c>
      <c r="IA996">
        <v>11141</v>
      </c>
      <c r="IB996" t="s">
        <v>1723</v>
      </c>
      <c r="ID996" s="1">
        <v>40688</v>
      </c>
      <c r="IE996">
        <v>2010</v>
      </c>
      <c r="IF996">
        <v>469.2</v>
      </c>
      <c r="IG996" t="s">
        <v>10280</v>
      </c>
      <c r="IH996">
        <v>3.75</v>
      </c>
      <c r="II996" t="s">
        <v>424</v>
      </c>
      <c r="IJ996" t="s">
        <v>425</v>
      </c>
      <c r="IK996" s="1">
        <v>41107</v>
      </c>
      <c r="IL996">
        <v>14</v>
      </c>
      <c r="IM996">
        <v>11141</v>
      </c>
      <c r="IN996" t="s">
        <v>1723</v>
      </c>
    </row>
    <row r="997" spans="1:272" x14ac:dyDescent="0.25">
      <c r="A997">
        <v>16486004</v>
      </c>
      <c r="B997">
        <v>996</v>
      </c>
      <c r="C997" t="s">
        <v>393</v>
      </c>
      <c r="D997" t="s">
        <v>394</v>
      </c>
      <c r="F997" t="str">
        <f>"09-3N-25-0000-0002-0010"</f>
        <v>09-3N-25-0000-0002-0010</v>
      </c>
      <c r="H997" t="str">
        <f>"DELOACH ROBERT E JR &amp; TINA K"</f>
        <v>DELOACH ROBERT E JR &amp; TINA K</v>
      </c>
      <c r="I997" t="str">
        <f>"47225 MIDDLE ROAD"</f>
        <v>47225 MIDDLE ROAD</v>
      </c>
      <c r="J997" t="str">
        <f>"HILLIARD FL 32046"</f>
        <v>HILLIARD FL 32046</v>
      </c>
      <c r="K997" t="str">
        <f>"MIDDLE RD"</f>
        <v>MIDDLE RD</v>
      </c>
      <c r="L997" t="str">
        <f>"HILLIARD FL 32046"</f>
        <v>HILLIARD FL 32046</v>
      </c>
      <c r="M997" t="str">
        <f>"PT GOVT LOT 2 OF SEC 9-3N-25E IN OR 1569/259 (EX ROAD R/W)"</f>
        <v>PT GOVT LOT 2 OF SEC 9-3N-25E IN OR 1569/259 (EX ROAD R/W)</v>
      </c>
      <c r="N997" t="str">
        <f>""</f>
        <v/>
      </c>
      <c r="O997" t="str">
        <f>"25267"</f>
        <v>25267</v>
      </c>
      <c r="P997" t="str">
        <f t="shared" si="310"/>
        <v>2017</v>
      </c>
      <c r="Q997" t="str">
        <f>""</f>
        <v/>
      </c>
      <c r="R997" t="str">
        <f>"N"</f>
        <v>N</v>
      </c>
      <c r="S997" t="str">
        <f>"21.00"</f>
        <v>21.00</v>
      </c>
      <c r="T997" t="str">
        <f>"575.40"</f>
        <v>575.40</v>
      </c>
      <c r="U997" t="str">
        <f>"37496.00"</f>
        <v>37496.00</v>
      </c>
      <c r="V997" t="str">
        <f>"37496.00"</f>
        <v>37496.00</v>
      </c>
      <c r="W997" t="str">
        <f t="shared" si="311"/>
        <v>2017</v>
      </c>
      <c r="X997" t="str">
        <f>""</f>
        <v/>
      </c>
      <c r="Y997" t="str">
        <f>"624.66"</f>
        <v>624.66</v>
      </c>
      <c r="Z997" t="str">
        <f>""</f>
        <v/>
      </c>
      <c r="AA997" t="str">
        <f>"38671.00"</f>
        <v>38671.00</v>
      </c>
      <c r="AB997" t="str">
        <f>"Agricultural"</f>
        <v>Agricultural</v>
      </c>
      <c r="AC997" t="str">
        <f t="shared" si="323"/>
        <v>0</v>
      </c>
      <c r="AD997" t="str">
        <f>""</f>
        <v/>
      </c>
      <c r="AE997" t="str">
        <f>""</f>
        <v/>
      </c>
      <c r="AF997" t="str">
        <f>"050"</f>
        <v>050</v>
      </c>
      <c r="AG997" t="str">
        <f t="shared" si="322"/>
        <v>FL</v>
      </c>
      <c r="AH997" t="str">
        <f>"914760.00"</f>
        <v>914760.00</v>
      </c>
      <c r="AI997" t="str">
        <f>"30796.00"</f>
        <v>30796.00</v>
      </c>
      <c r="AJ997" t="str">
        <f>"C55-000-586-8536-3"</f>
        <v>C55-000-586-8536-3</v>
      </c>
      <c r="AK997" t="str">
        <f>"15182"</f>
        <v>15182</v>
      </c>
      <c r="AL997">
        <v>4</v>
      </c>
      <c r="AM997">
        <v>1144</v>
      </c>
      <c r="AN997">
        <v>654.29</v>
      </c>
      <c r="AQ997" t="s">
        <v>10281</v>
      </c>
      <c r="AR997" t="s">
        <v>10281</v>
      </c>
      <c r="AS997" t="s">
        <v>10281</v>
      </c>
      <c r="AU997" t="s">
        <v>396</v>
      </c>
      <c r="AV997">
        <v>2017</v>
      </c>
      <c r="AW997" t="str">
        <f>"09-3N-25-0000-0002-0010 "</f>
        <v xml:space="preserve">09-3N-25-0000-0002-0010 </v>
      </c>
      <c r="AZ997" t="s">
        <v>1825</v>
      </c>
      <c r="BA997" t="s">
        <v>496</v>
      </c>
      <c r="BD997" t="s">
        <v>398</v>
      </c>
      <c r="BE997" t="s">
        <v>393</v>
      </c>
      <c r="BF997">
        <v>32046</v>
      </c>
      <c r="BG997" t="s">
        <v>10282</v>
      </c>
      <c r="BH997" t="s">
        <v>400</v>
      </c>
      <c r="BI997">
        <v>-81.809378194570499</v>
      </c>
      <c r="BJ997">
        <v>30.699883163876802</v>
      </c>
      <c r="BK997" t="s">
        <v>10283</v>
      </c>
      <c r="BL997" t="s">
        <v>10284</v>
      </c>
      <c r="BM997" t="s">
        <v>10285</v>
      </c>
      <c r="BN997" t="s">
        <v>403</v>
      </c>
      <c r="BO997">
        <v>32046</v>
      </c>
      <c r="BP997" t="s">
        <v>404</v>
      </c>
      <c r="BQ997">
        <v>5000</v>
      </c>
      <c r="BR997" t="s">
        <v>664</v>
      </c>
      <c r="BS997">
        <v>7000</v>
      </c>
      <c r="BT997" t="s">
        <v>665</v>
      </c>
      <c r="BW997">
        <v>914760</v>
      </c>
      <c r="BX997" t="s">
        <v>407</v>
      </c>
      <c r="BY997" t="s">
        <v>408</v>
      </c>
      <c r="CD997">
        <v>2017</v>
      </c>
      <c r="CG997">
        <v>38671</v>
      </c>
      <c r="CH997">
        <v>2017</v>
      </c>
      <c r="CI997">
        <v>30796</v>
      </c>
      <c r="CJ997">
        <v>101504</v>
      </c>
      <c r="CK997">
        <v>132300</v>
      </c>
      <c r="CL997">
        <v>2017</v>
      </c>
      <c r="CM997">
        <v>575.4</v>
      </c>
      <c r="CN997" s="1">
        <v>39598</v>
      </c>
      <c r="CO997">
        <v>30000</v>
      </c>
      <c r="CZ997" s="1">
        <v>39598</v>
      </c>
      <c r="DD997" t="s">
        <v>398</v>
      </c>
      <c r="DF997">
        <v>2</v>
      </c>
      <c r="DG997">
        <v>9</v>
      </c>
      <c r="DL997">
        <v>50301</v>
      </c>
      <c r="DM997" t="s">
        <v>10286</v>
      </c>
      <c r="DO997" t="s">
        <v>10287</v>
      </c>
      <c r="DP997">
        <v>0</v>
      </c>
      <c r="DQ997">
        <v>0</v>
      </c>
      <c r="DR997" t="s">
        <v>411</v>
      </c>
      <c r="DS997" t="b">
        <v>1</v>
      </c>
      <c r="DT997" t="s">
        <v>470</v>
      </c>
      <c r="DU997" t="s">
        <v>10249</v>
      </c>
      <c r="DV997" t="s">
        <v>472</v>
      </c>
      <c r="DX997">
        <v>-9999</v>
      </c>
      <c r="DZ997" t="s">
        <v>447</v>
      </c>
      <c r="EA997" t="s">
        <v>448</v>
      </c>
      <c r="EB997" t="s">
        <v>10250</v>
      </c>
      <c r="EC997">
        <v>20101217</v>
      </c>
      <c r="ED997" t="s">
        <v>10251</v>
      </c>
      <c r="EE997">
        <v>7.9</v>
      </c>
      <c r="EF997">
        <v>105.5</v>
      </c>
      <c r="EG997">
        <v>0</v>
      </c>
      <c r="EI997">
        <v>20160407</v>
      </c>
      <c r="EJ997">
        <v>0</v>
      </c>
      <c r="EK997">
        <v>0</v>
      </c>
    </row>
    <row r="998" spans="1:272" x14ac:dyDescent="0.25">
      <c r="A998">
        <v>16486005</v>
      </c>
      <c r="B998">
        <v>997</v>
      </c>
      <c r="C998" t="s">
        <v>393</v>
      </c>
      <c r="D998" t="s">
        <v>394</v>
      </c>
      <c r="F998" t="str">
        <f>"09-3N-25-0000-0002-0030"</f>
        <v>09-3N-25-0000-0002-0030</v>
      </c>
      <c r="H998" t="str">
        <f>"DELOACH ROBERT E JR &amp; TINA K"</f>
        <v>DELOACH ROBERT E JR &amp; TINA K</v>
      </c>
      <c r="I998" t="str">
        <f>"47225 MIDDLE RD"</f>
        <v>47225 MIDDLE RD</v>
      </c>
      <c r="J998" t="str">
        <f>"HILLIARD FL 32046"</f>
        <v>HILLIARD FL 32046</v>
      </c>
      <c r="K998" t="str">
        <f>"47225 MIDDLE RD"</f>
        <v>47225 MIDDLE RD</v>
      </c>
      <c r="L998" t="str">
        <f>"HILLIARD FL 32046"</f>
        <v>HILLIARD FL 32046</v>
      </c>
      <c r="M998" t="str">
        <f>"PT GOVT LOT 2 OF SEC 9-3N-25E IN OR 643/741 (EX ROAD R/W)"</f>
        <v>PT GOVT LOT 2 OF SEC 9-3N-25E IN OR 643/741 (EX ROAD R/W)</v>
      </c>
      <c r="N998" t="str">
        <f>""</f>
        <v/>
      </c>
      <c r="O998" t="str">
        <f>"25269"</f>
        <v>25269</v>
      </c>
      <c r="P998" t="str">
        <f t="shared" si="310"/>
        <v>2017</v>
      </c>
      <c r="Q998" t="str">
        <f>""</f>
        <v/>
      </c>
      <c r="R998" t="str">
        <f>"Y"</f>
        <v>Y</v>
      </c>
      <c r="S998" t="str">
        <f>"1.00"</f>
        <v>1.00</v>
      </c>
      <c r="T998" t="str">
        <f>"501.08"</f>
        <v>501.08</v>
      </c>
      <c r="U998" t="str">
        <f>"68582.00"</f>
        <v>68582.00</v>
      </c>
      <c r="V998" t="str">
        <f>"68582.00"</f>
        <v>68582.00</v>
      </c>
      <c r="W998" t="str">
        <f t="shared" si="311"/>
        <v>2017</v>
      </c>
      <c r="X998" t="str">
        <f>""</f>
        <v/>
      </c>
      <c r="Y998" t="str">
        <f>"548.11"</f>
        <v>548.11</v>
      </c>
      <c r="Z998" t="str">
        <f>"25000.00"</f>
        <v>25000.00</v>
      </c>
      <c r="AA998" t="str">
        <f>"43582.00"</f>
        <v>43582.00</v>
      </c>
      <c r="AB998" t="str">
        <f>"Residential"</f>
        <v>Residential</v>
      </c>
      <c r="AC998" t="str">
        <f t="shared" si="323"/>
        <v>0</v>
      </c>
      <c r="AD998" t="str">
        <f>"4"</f>
        <v>4</v>
      </c>
      <c r="AE998" t="str">
        <f>"WOOD (INCLUDE STEEL STUDS)"</f>
        <v>WOOD (INCLUDE STEEL STUDS)</v>
      </c>
      <c r="AF998" t="str">
        <f>"001"</f>
        <v>001</v>
      </c>
      <c r="AG998" t="str">
        <f t="shared" si="322"/>
        <v>FL</v>
      </c>
      <c r="AH998" t="str">
        <f>"43560.00"</f>
        <v>43560.00</v>
      </c>
      <c r="AI998" t="str">
        <f>"15750.00"</f>
        <v>15750.00</v>
      </c>
      <c r="AJ998" t="str">
        <f>"C55-000-586-8538-9"</f>
        <v>C55-000-586-8538-9</v>
      </c>
      <c r="AK998" t="str">
        <f>"15184"</f>
        <v>15184</v>
      </c>
      <c r="AL998">
        <v>4</v>
      </c>
      <c r="AM998">
        <v>1145</v>
      </c>
      <c r="AN998">
        <v>573.91999999999996</v>
      </c>
      <c r="AQ998" t="s">
        <v>10288</v>
      </c>
      <c r="AR998" t="s">
        <v>10288</v>
      </c>
      <c r="AS998" t="s">
        <v>10288</v>
      </c>
      <c r="AU998" t="s">
        <v>396</v>
      </c>
      <c r="AV998">
        <v>2017</v>
      </c>
      <c r="AW998" t="str">
        <f>"09-3N-25-0000-0002-0030 "</f>
        <v xml:space="preserve">09-3N-25-0000-0002-0030 </v>
      </c>
      <c r="AX998">
        <v>47225</v>
      </c>
      <c r="AZ998" t="s">
        <v>1825</v>
      </c>
      <c r="BA998" t="s">
        <v>496</v>
      </c>
      <c r="BD998" t="s">
        <v>398</v>
      </c>
      <c r="BE998" t="s">
        <v>393</v>
      </c>
      <c r="BF998">
        <v>32046</v>
      </c>
      <c r="BG998" t="s">
        <v>10285</v>
      </c>
      <c r="BH998" t="s">
        <v>400</v>
      </c>
      <c r="BI998">
        <v>-81.808915670545403</v>
      </c>
      <c r="BJ998">
        <v>30.698414480778101</v>
      </c>
      <c r="BK998" t="s">
        <v>10283</v>
      </c>
      <c r="BL998" t="s">
        <v>10284</v>
      </c>
      <c r="BM998" t="s">
        <v>10285</v>
      </c>
      <c r="BN998" t="s">
        <v>403</v>
      </c>
      <c r="BO998">
        <v>32046</v>
      </c>
      <c r="BP998" t="s">
        <v>416</v>
      </c>
      <c r="BQ998">
        <v>100</v>
      </c>
      <c r="BR998" t="s">
        <v>514</v>
      </c>
      <c r="BS998">
        <v>1001</v>
      </c>
      <c r="BT998" t="s">
        <v>515</v>
      </c>
      <c r="BW998">
        <v>43560</v>
      </c>
      <c r="BX998" t="s">
        <v>407</v>
      </c>
      <c r="BY998" t="s">
        <v>408</v>
      </c>
      <c r="BZ998">
        <v>4</v>
      </c>
      <c r="CA998">
        <v>1972</v>
      </c>
      <c r="CB998">
        <v>1</v>
      </c>
      <c r="CC998">
        <v>1</v>
      </c>
      <c r="CD998">
        <v>2017</v>
      </c>
      <c r="CG998">
        <v>68582</v>
      </c>
      <c r="CH998">
        <v>2017</v>
      </c>
      <c r="CI998">
        <v>15750</v>
      </c>
      <c r="CJ998">
        <v>73223</v>
      </c>
      <c r="CK998">
        <v>88973</v>
      </c>
      <c r="CL998">
        <v>2017</v>
      </c>
      <c r="CM998">
        <v>501.08</v>
      </c>
      <c r="CN998" s="1">
        <v>33578</v>
      </c>
      <c r="CZ998" s="1">
        <v>33578</v>
      </c>
      <c r="DD998" t="s">
        <v>398</v>
      </c>
      <c r="DF998">
        <v>2</v>
      </c>
      <c r="DG998">
        <v>9</v>
      </c>
      <c r="DL998">
        <v>50301</v>
      </c>
      <c r="DM998" t="s">
        <v>10286</v>
      </c>
      <c r="DO998" t="s">
        <v>10289</v>
      </c>
      <c r="DP998">
        <v>0</v>
      </c>
      <c r="DQ998">
        <v>0</v>
      </c>
      <c r="DR998" t="s">
        <v>411</v>
      </c>
      <c r="DS998" t="b">
        <v>1</v>
      </c>
      <c r="DT998" t="s">
        <v>470</v>
      </c>
      <c r="DU998" t="s">
        <v>471</v>
      </c>
      <c r="DV998" t="s">
        <v>472</v>
      </c>
      <c r="DX998">
        <v>-9999</v>
      </c>
      <c r="DZ998" t="s">
        <v>447</v>
      </c>
      <c r="EA998" t="s">
        <v>448</v>
      </c>
      <c r="EB998" t="s">
        <v>742</v>
      </c>
      <c r="EC998">
        <v>20101217</v>
      </c>
      <c r="ED998" t="s">
        <v>474</v>
      </c>
      <c r="EF998">
        <v>656.8</v>
      </c>
      <c r="EG998">
        <v>350.7</v>
      </c>
      <c r="EI998">
        <v>20160407</v>
      </c>
      <c r="EJ998">
        <v>0</v>
      </c>
      <c r="EK998">
        <v>0</v>
      </c>
    </row>
    <row r="999" spans="1:272" x14ac:dyDescent="0.25">
      <c r="A999">
        <v>16486006</v>
      </c>
      <c r="B999">
        <v>998</v>
      </c>
      <c r="C999" t="s">
        <v>393</v>
      </c>
      <c r="D999" t="s">
        <v>394</v>
      </c>
      <c r="F999" t="str">
        <f>"12-3N-25-0000-0001-0010"</f>
        <v>12-3N-25-0000-0001-0010</v>
      </c>
      <c r="H999" t="str">
        <f>"CAMS DEMOLITION &amp; DISPOSAL INC"</f>
        <v>CAMS DEMOLITION &amp; DISPOSAL INC</v>
      </c>
      <c r="I999" t="str">
        <f>"8 JEWEL DR"</f>
        <v>8 JEWEL DR</v>
      </c>
      <c r="J999" t="str">
        <f>"WILMINGTON MA 01887"</f>
        <v>WILMINGTON MA 01887</v>
      </c>
      <c r="K999" t="str">
        <f>"152985 CR 108"</f>
        <v>152985 CR 108</v>
      </c>
      <c r="L999" t="str">
        <f>"YULEE FL 32097"</f>
        <v>YULEE FL 32097</v>
      </c>
      <c r="M999" t="str">
        <f>"PT GOVT LOT 6 OF SEC 12-3N-25E IN OR 1830/909"</f>
        <v>PT GOVT LOT 6 OF SEC 12-3N-25E IN OR 1830/909</v>
      </c>
      <c r="N999" t="str">
        <f>""</f>
        <v/>
      </c>
      <c r="O999" t="str">
        <f>"28942"</f>
        <v>28942</v>
      </c>
      <c r="P999" t="str">
        <f t="shared" si="310"/>
        <v>2017</v>
      </c>
      <c r="Q999" t="str">
        <f>""</f>
        <v/>
      </c>
      <c r="R999" t="str">
        <f>"N"</f>
        <v>N</v>
      </c>
      <c r="S999" t="str">
        <f>"1.00"</f>
        <v>1.00</v>
      </c>
      <c r="T999" t="str">
        <f>"394.04"</f>
        <v>394.04</v>
      </c>
      <c r="U999" t="str">
        <f>"25155.00"</f>
        <v>25155.00</v>
      </c>
      <c r="V999" t="str">
        <f>"25155.00"</f>
        <v>25155.00</v>
      </c>
      <c r="W999" t="str">
        <f t="shared" si="311"/>
        <v>2017</v>
      </c>
      <c r="X999" t="str">
        <f>"16.75"</f>
        <v>16.75</v>
      </c>
      <c r="Y999" t="str">
        <f>"437.86"</f>
        <v>437.86</v>
      </c>
      <c r="Z999" t="str">
        <f>""</f>
        <v/>
      </c>
      <c r="AA999" t="str">
        <f>"27161.00"</f>
        <v>27161.00</v>
      </c>
      <c r="AB999" t="str">
        <f>"Residential"</f>
        <v>Residential</v>
      </c>
      <c r="AC999" t="str">
        <f t="shared" si="323"/>
        <v>0</v>
      </c>
      <c r="AD999" t="str">
        <f>"4"</f>
        <v>4</v>
      </c>
      <c r="AE999" t="str">
        <f>"WOOD (INCLUDE STEEL STUDS)"</f>
        <v>WOOD (INCLUDE STEEL STUDS)</v>
      </c>
      <c r="AF999" t="str">
        <f>"001"</f>
        <v>001</v>
      </c>
      <c r="AG999" t="str">
        <f>"MA"</f>
        <v>MA</v>
      </c>
      <c r="AH999" t="str">
        <f>"43560.00"</f>
        <v>43560.00</v>
      </c>
      <c r="AI999" t="str">
        <f>"15750.00"</f>
        <v>15750.00</v>
      </c>
      <c r="AJ999" t="str">
        <f>"C55-000-586-9817-6"</f>
        <v>C55-000-586-9817-6</v>
      </c>
      <c r="AK999" t="str">
        <f>"15194"</f>
        <v>15194</v>
      </c>
      <c r="AL999">
        <v>4</v>
      </c>
      <c r="AM999">
        <v>1146</v>
      </c>
      <c r="AN999">
        <v>458.15</v>
      </c>
      <c r="AQ999" t="s">
        <v>10290</v>
      </c>
      <c r="AR999" t="s">
        <v>10290</v>
      </c>
      <c r="AS999" t="s">
        <v>10290</v>
      </c>
      <c r="AU999" t="s">
        <v>396</v>
      </c>
      <c r="AV999">
        <v>2017</v>
      </c>
      <c r="AW999" t="str">
        <f>"12-3N-25-0000-0001-0010 "</f>
        <v xml:space="preserve">12-3N-25-0000-0001-0010 </v>
      </c>
      <c r="AX999">
        <v>152985</v>
      </c>
      <c r="AZ999" t="s">
        <v>1206</v>
      </c>
      <c r="BD999" t="s">
        <v>2387</v>
      </c>
      <c r="BE999" t="s">
        <v>393</v>
      </c>
      <c r="BF999">
        <v>32097</v>
      </c>
      <c r="BG999" t="s">
        <v>10291</v>
      </c>
      <c r="BH999" t="s">
        <v>2388</v>
      </c>
      <c r="BI999">
        <v>-81.751944454210104</v>
      </c>
      <c r="BJ999">
        <v>30.700751417622602</v>
      </c>
      <c r="BK999" t="s">
        <v>10292</v>
      </c>
      <c r="BM999" t="s">
        <v>10293</v>
      </c>
      <c r="BN999" t="s">
        <v>10294</v>
      </c>
      <c r="BO999">
        <v>1887</v>
      </c>
      <c r="BP999" t="s">
        <v>404</v>
      </c>
      <c r="BQ999">
        <v>100</v>
      </c>
      <c r="BR999" t="s">
        <v>514</v>
      </c>
      <c r="BS999">
        <v>1001</v>
      </c>
      <c r="BT999" t="s">
        <v>515</v>
      </c>
      <c r="BW999">
        <v>43560</v>
      </c>
      <c r="BX999" t="s">
        <v>407</v>
      </c>
      <c r="BY999" t="s">
        <v>408</v>
      </c>
      <c r="BZ999">
        <v>4</v>
      </c>
      <c r="CA999">
        <v>1972</v>
      </c>
      <c r="CB999">
        <v>1</v>
      </c>
      <c r="CC999">
        <v>1</v>
      </c>
      <c r="CD999">
        <v>2017</v>
      </c>
      <c r="CE999">
        <v>15750</v>
      </c>
      <c r="CF999">
        <v>11411</v>
      </c>
      <c r="CG999">
        <v>27161</v>
      </c>
      <c r="CH999">
        <v>2017</v>
      </c>
      <c r="CI999">
        <v>15750</v>
      </c>
      <c r="CJ999">
        <v>11411</v>
      </c>
      <c r="CK999">
        <v>27161</v>
      </c>
      <c r="CL999">
        <v>2017</v>
      </c>
      <c r="CM999">
        <v>394.04</v>
      </c>
      <c r="CN999" s="1">
        <v>41261</v>
      </c>
      <c r="CO999">
        <v>4900</v>
      </c>
      <c r="CZ999" s="1">
        <v>41261</v>
      </c>
      <c r="DD999" t="s">
        <v>2387</v>
      </c>
      <c r="DF999">
        <v>6</v>
      </c>
      <c r="DG999">
        <v>12</v>
      </c>
      <c r="DL999">
        <v>50301</v>
      </c>
      <c r="DM999" t="s">
        <v>10295</v>
      </c>
      <c r="DO999" t="s">
        <v>10296</v>
      </c>
      <c r="DP999">
        <v>0</v>
      </c>
      <c r="DQ999">
        <v>0</v>
      </c>
      <c r="DR999" t="s">
        <v>411</v>
      </c>
      <c r="DS999" t="b">
        <v>1</v>
      </c>
      <c r="DT999" t="s">
        <v>470</v>
      </c>
      <c r="DU999" t="s">
        <v>10249</v>
      </c>
      <c r="DV999" t="s">
        <v>472</v>
      </c>
      <c r="DX999">
        <v>-9999</v>
      </c>
      <c r="DZ999" t="s">
        <v>447</v>
      </c>
      <c r="EA999" t="s">
        <v>448</v>
      </c>
      <c r="EB999" t="s">
        <v>10250</v>
      </c>
      <c r="EC999">
        <v>20101217</v>
      </c>
      <c r="ED999" t="s">
        <v>10251</v>
      </c>
      <c r="EE999">
        <v>6.8</v>
      </c>
      <c r="EF999">
        <v>210.5</v>
      </c>
      <c r="EG999">
        <v>0</v>
      </c>
      <c r="EI999">
        <v>20160407</v>
      </c>
      <c r="EJ999">
        <v>0</v>
      </c>
      <c r="EK999">
        <v>0</v>
      </c>
      <c r="EP999" t="s">
        <v>421</v>
      </c>
      <c r="EQ999" t="s">
        <v>452</v>
      </c>
      <c r="ER999">
        <v>7</v>
      </c>
      <c r="ES999">
        <v>2</v>
      </c>
      <c r="ET999">
        <v>3352.89</v>
      </c>
      <c r="EU999">
        <v>649.58000000000004</v>
      </c>
      <c r="EV999">
        <v>4002.47</v>
      </c>
      <c r="EW999" s="2">
        <v>43222</v>
      </c>
      <c r="EX999" s="1">
        <v>42879</v>
      </c>
      <c r="EY999">
        <v>2016</v>
      </c>
      <c r="EZ999">
        <v>406.65</v>
      </c>
      <c r="FA999" t="s">
        <v>10297</v>
      </c>
      <c r="FB999">
        <v>9.75</v>
      </c>
      <c r="FC999" t="s">
        <v>424</v>
      </c>
      <c r="FD999" t="s">
        <v>454</v>
      </c>
      <c r="FF999">
        <v>12</v>
      </c>
      <c r="FG999">
        <v>10125</v>
      </c>
      <c r="FH999" t="s">
        <v>440</v>
      </c>
      <c r="FJ999" s="1">
        <v>42515</v>
      </c>
      <c r="FK999">
        <v>2015</v>
      </c>
      <c r="FL999">
        <v>407.74</v>
      </c>
      <c r="FM999" t="s">
        <v>10298</v>
      </c>
      <c r="FN999">
        <v>18</v>
      </c>
      <c r="FO999" t="s">
        <v>424</v>
      </c>
      <c r="FP999" t="s">
        <v>454</v>
      </c>
      <c r="FR999">
        <v>24</v>
      </c>
      <c r="FS999">
        <v>10125</v>
      </c>
      <c r="FT999" t="s">
        <v>440</v>
      </c>
      <c r="FV999" s="1">
        <v>42151</v>
      </c>
      <c r="FW999">
        <v>2014</v>
      </c>
      <c r="FX999">
        <v>382.21</v>
      </c>
      <c r="FY999" t="s">
        <v>10299</v>
      </c>
      <c r="FZ999">
        <v>4.75</v>
      </c>
      <c r="GA999" t="s">
        <v>424</v>
      </c>
      <c r="GB999" t="s">
        <v>454</v>
      </c>
      <c r="GD999">
        <v>36</v>
      </c>
      <c r="GE999">
        <v>4975593</v>
      </c>
      <c r="GF999" t="s">
        <v>505</v>
      </c>
      <c r="GH999" s="1">
        <v>42151</v>
      </c>
      <c r="GI999">
        <v>2014</v>
      </c>
      <c r="GJ999">
        <v>382.21</v>
      </c>
      <c r="GK999" t="s">
        <v>10299</v>
      </c>
      <c r="GL999">
        <v>4.75</v>
      </c>
      <c r="GM999" t="s">
        <v>424</v>
      </c>
      <c r="GN999" t="s">
        <v>454</v>
      </c>
      <c r="GP999">
        <v>36</v>
      </c>
      <c r="GQ999">
        <v>7045068</v>
      </c>
      <c r="GR999" t="s">
        <v>4968</v>
      </c>
      <c r="GT999" s="1">
        <v>41423</v>
      </c>
      <c r="GU999">
        <v>2012</v>
      </c>
      <c r="GV999">
        <v>591.36</v>
      </c>
      <c r="GW999" t="s">
        <v>10300</v>
      </c>
      <c r="GX999">
        <v>3.5</v>
      </c>
      <c r="GY999" t="s">
        <v>424</v>
      </c>
      <c r="GZ999" t="s">
        <v>454</v>
      </c>
      <c r="HB999">
        <v>60</v>
      </c>
      <c r="HC999">
        <v>1625515</v>
      </c>
      <c r="HD999" t="s">
        <v>487</v>
      </c>
      <c r="HF999" s="1">
        <v>41423</v>
      </c>
      <c r="HG999">
        <v>2012</v>
      </c>
      <c r="HH999">
        <v>591.36</v>
      </c>
      <c r="HI999" t="s">
        <v>10300</v>
      </c>
      <c r="HJ999">
        <v>3.5</v>
      </c>
      <c r="HK999" t="s">
        <v>424</v>
      </c>
      <c r="HL999" t="s">
        <v>454</v>
      </c>
      <c r="HN999">
        <v>60</v>
      </c>
      <c r="HO999">
        <v>12259</v>
      </c>
      <c r="HP999" t="s">
        <v>1032</v>
      </c>
      <c r="HR999" s="1">
        <v>41423</v>
      </c>
      <c r="HS999">
        <v>2012</v>
      </c>
      <c r="HT999">
        <v>591.36</v>
      </c>
      <c r="HU999" t="s">
        <v>10300</v>
      </c>
      <c r="HV999">
        <v>3.5</v>
      </c>
      <c r="HW999" t="s">
        <v>424</v>
      </c>
      <c r="HX999" t="s">
        <v>454</v>
      </c>
      <c r="HZ999">
        <v>60</v>
      </c>
      <c r="IA999">
        <v>7336670</v>
      </c>
      <c r="IB999" t="s">
        <v>2102</v>
      </c>
      <c r="ID999" s="1">
        <v>41052</v>
      </c>
      <c r="IE999">
        <v>2011</v>
      </c>
      <c r="IF999">
        <v>629.57000000000005</v>
      </c>
      <c r="IG999" t="s">
        <v>10301</v>
      </c>
      <c r="IH999">
        <v>14.75</v>
      </c>
      <c r="II999" t="s">
        <v>424</v>
      </c>
      <c r="IJ999" t="s">
        <v>425</v>
      </c>
      <c r="IK999" s="1">
        <v>41145</v>
      </c>
      <c r="IL999">
        <v>3</v>
      </c>
      <c r="IM999">
        <v>10125</v>
      </c>
      <c r="IN999" t="s">
        <v>440</v>
      </c>
      <c r="IO999" t="s">
        <v>458</v>
      </c>
      <c r="IP999" s="1">
        <v>40688</v>
      </c>
      <c r="IQ999">
        <v>2010</v>
      </c>
      <c r="IR999">
        <v>664.15</v>
      </c>
      <c r="IS999" t="s">
        <v>10302</v>
      </c>
      <c r="IT999">
        <v>7.75</v>
      </c>
      <c r="IU999" t="s">
        <v>424</v>
      </c>
      <c r="IV999" t="s">
        <v>425</v>
      </c>
      <c r="IW999" s="1">
        <v>41145</v>
      </c>
      <c r="IX999">
        <v>15</v>
      </c>
      <c r="IY999">
        <v>62</v>
      </c>
      <c r="IZ999" t="s">
        <v>463</v>
      </c>
      <c r="JA999" t="s">
        <v>458</v>
      </c>
    </row>
    <row r="1000" spans="1:272" x14ac:dyDescent="0.25">
      <c r="A1000">
        <v>16486007</v>
      </c>
      <c r="B1000">
        <v>999</v>
      </c>
      <c r="C1000" t="s">
        <v>393</v>
      </c>
      <c r="D1000" t="s">
        <v>394</v>
      </c>
      <c r="F1000" t="str">
        <f>"16-3N-25-0000-0002-0000"</f>
        <v>16-3N-25-0000-0002-0000</v>
      </c>
      <c r="H1000" t="str">
        <f>"ALESSI ANTHONY &amp; ALESSI MICHAEL (JT/RS)"</f>
        <v>ALESSI ANTHONY &amp; ALESSI MICHAEL (JT/RS)</v>
      </c>
      <c r="I1000" t="str">
        <f>"27032 WEST 5TH STREET"</f>
        <v>27032 WEST 5TH STREET</v>
      </c>
      <c r="J1000" t="str">
        <f>"HILLIARD FL 32046"</f>
        <v>HILLIARD FL 32046</v>
      </c>
      <c r="K1000" t="str">
        <f>"CR 108"</f>
        <v>CR 108</v>
      </c>
      <c r="L1000" t="str">
        <f>"HILLIARD FL 32046"</f>
        <v>HILLIARD FL 32046</v>
      </c>
      <c r="M1000" t="str">
        <f>"W1/2 OF NE1/4 OF NW1/4 IN OR 1557/785 EX ESMT OR 1516/312 ESMT PT OR 1517/1166 EX ESMT PT OR 1517/1171"</f>
        <v>W1/2 OF NE1/4 OF NW1/4 IN OR 1557/785 EX ESMT OR 1516/312 ESMT PT OR 1517/1166 EX ESMT PT OR 1517/1171</v>
      </c>
      <c r="N1000" t="str">
        <f>""</f>
        <v/>
      </c>
      <c r="O1000" t="str">
        <f>"31662"</f>
        <v>31662</v>
      </c>
      <c r="P1000" t="str">
        <f t="shared" si="310"/>
        <v>2017</v>
      </c>
      <c r="Q1000" t="str">
        <f>""</f>
        <v/>
      </c>
      <c r="R1000" t="str">
        <f>"N"</f>
        <v>N</v>
      </c>
      <c r="S1000" t="str">
        <f>"20.00"</f>
        <v>20.00</v>
      </c>
      <c r="T1000" t="str">
        <f>"1430.62"</f>
        <v>1430.62</v>
      </c>
      <c r="U1000" t="str">
        <f>"94500.00"</f>
        <v>94500.00</v>
      </c>
      <c r="V1000" t="str">
        <f>"94500.00"</f>
        <v>94500.00</v>
      </c>
      <c r="W1000" t="str">
        <f t="shared" si="311"/>
        <v>2017</v>
      </c>
      <c r="X1000" t="str">
        <f>"7.00"</f>
        <v>7.00</v>
      </c>
      <c r="Y1000" t="str">
        <f>"1505.54"</f>
        <v>1505.54</v>
      </c>
      <c r="Z1000" t="str">
        <f>""</f>
        <v/>
      </c>
      <c r="AA1000" t="str">
        <f>"94500.00"</f>
        <v>94500.00</v>
      </c>
      <c r="AB1000" t="str">
        <f>"Residential"</f>
        <v>Residential</v>
      </c>
      <c r="AC1000" t="str">
        <f t="shared" si="323"/>
        <v>0</v>
      </c>
      <c r="AD1000" t="str">
        <f>""</f>
        <v/>
      </c>
      <c r="AE1000" t="str">
        <f>""</f>
        <v/>
      </c>
      <c r="AF1000" t="str">
        <f>"000"</f>
        <v>000</v>
      </c>
      <c r="AG1000" t="str">
        <f t="shared" ref="AG1000:AG1031" si="324">"FL"</f>
        <v>FL</v>
      </c>
      <c r="AH1000" t="str">
        <f>"871200.00"</f>
        <v>871200.00</v>
      </c>
      <c r="AI1000" t="str">
        <f>"94500.00"</f>
        <v>94500.00</v>
      </c>
      <c r="AJ1000" t="str">
        <f>"C55-000-587-1325-6"</f>
        <v>C55-000-587-1325-6</v>
      </c>
      <c r="AK1000" t="str">
        <f>"15221"</f>
        <v>15221</v>
      </c>
      <c r="AL1000">
        <v>4</v>
      </c>
      <c r="AM1000">
        <v>1148</v>
      </c>
      <c r="AN1000">
        <v>1579.22</v>
      </c>
      <c r="AQ1000" t="s">
        <v>10303</v>
      </c>
      <c r="AR1000" t="s">
        <v>10303</v>
      </c>
      <c r="AS1000" t="s">
        <v>10303</v>
      </c>
      <c r="AU1000" t="s">
        <v>396</v>
      </c>
      <c r="AV1000">
        <v>2017</v>
      </c>
      <c r="AW1000" t="str">
        <f>"16-3N-25-0000-0002-0000 "</f>
        <v xml:space="preserve">16-3N-25-0000-0002-0000 </v>
      </c>
      <c r="AZ1000" t="s">
        <v>1206</v>
      </c>
      <c r="BD1000" t="s">
        <v>398</v>
      </c>
      <c r="BE1000" t="s">
        <v>393</v>
      </c>
      <c r="BF1000">
        <v>32046</v>
      </c>
      <c r="BG1000" t="s">
        <v>1206</v>
      </c>
      <c r="BH1000" t="s">
        <v>400</v>
      </c>
      <c r="BI1000">
        <v>-81.814125134287806</v>
      </c>
      <c r="BJ1000">
        <v>30.6844630180954</v>
      </c>
      <c r="BK1000" t="s">
        <v>10304</v>
      </c>
      <c r="BL1000" t="s">
        <v>5463</v>
      </c>
      <c r="BM1000" t="s">
        <v>10305</v>
      </c>
      <c r="BN1000" t="s">
        <v>403</v>
      </c>
      <c r="BO1000">
        <v>32046</v>
      </c>
      <c r="BP1000" t="s">
        <v>404</v>
      </c>
      <c r="BQ1000">
        <v>0</v>
      </c>
      <c r="BR1000" t="s">
        <v>491</v>
      </c>
      <c r="BS1000">
        <v>8001</v>
      </c>
      <c r="BT1000" t="s">
        <v>492</v>
      </c>
      <c r="BW1000">
        <v>871200</v>
      </c>
      <c r="BX1000" t="s">
        <v>407</v>
      </c>
      <c r="BY1000" t="s">
        <v>408</v>
      </c>
      <c r="CD1000">
        <v>2017</v>
      </c>
      <c r="CE1000">
        <v>94500</v>
      </c>
      <c r="CG1000">
        <v>94500</v>
      </c>
      <c r="CH1000">
        <v>2017</v>
      </c>
      <c r="CI1000">
        <v>94500</v>
      </c>
      <c r="CK1000">
        <v>94500</v>
      </c>
      <c r="CL1000">
        <v>2017</v>
      </c>
      <c r="CM1000">
        <v>1430.62</v>
      </c>
      <c r="CN1000" s="1">
        <v>39532</v>
      </c>
      <c r="CO1000">
        <v>90000</v>
      </c>
      <c r="CV1000">
        <v>0</v>
      </c>
      <c r="CZ1000" s="1">
        <v>39532</v>
      </c>
      <c r="DA1000">
        <v>0</v>
      </c>
      <c r="DD1000" t="s">
        <v>398</v>
      </c>
      <c r="DG1000">
        <v>16</v>
      </c>
      <c r="DM1000" t="s">
        <v>10306</v>
      </c>
      <c r="DO1000" t="s">
        <v>10307</v>
      </c>
      <c r="DP1000">
        <v>0</v>
      </c>
      <c r="DQ1000">
        <v>0</v>
      </c>
      <c r="DR1000" t="s">
        <v>411</v>
      </c>
      <c r="EP1000" t="s">
        <v>421</v>
      </c>
      <c r="EQ1000" t="s">
        <v>422</v>
      </c>
      <c r="ER1000">
        <v>0</v>
      </c>
      <c r="ES1000">
        <v>1</v>
      </c>
      <c r="ET1000">
        <v>0</v>
      </c>
      <c r="EU1000">
        <v>0</v>
      </c>
      <c r="EV1000">
        <v>0</v>
      </c>
      <c r="EW1000" s="2">
        <v>43222</v>
      </c>
      <c r="EX1000" s="1">
        <v>40688</v>
      </c>
      <c r="EY1000">
        <v>2010</v>
      </c>
      <c r="EZ1000">
        <v>1018.45</v>
      </c>
      <c r="FA1000" t="s">
        <v>10308</v>
      </c>
      <c r="FB1000">
        <v>6.75</v>
      </c>
      <c r="FC1000" t="s">
        <v>424</v>
      </c>
      <c r="FD1000" t="s">
        <v>425</v>
      </c>
      <c r="FE1000" s="1">
        <v>40700</v>
      </c>
      <c r="FF1000">
        <v>1</v>
      </c>
      <c r="FG1000">
        <v>375</v>
      </c>
      <c r="FH1000" t="s">
        <v>776</v>
      </c>
    </row>
    <row r="1001" spans="1:272" x14ac:dyDescent="0.25">
      <c r="A1001">
        <v>16486008</v>
      </c>
      <c r="B1001">
        <v>1000</v>
      </c>
      <c r="C1001" t="s">
        <v>393</v>
      </c>
      <c r="D1001" t="s">
        <v>394</v>
      </c>
      <c r="F1001" t="str">
        <f>"27-3N-25-0000-0003-0070"</f>
        <v>27-3N-25-0000-0003-0070</v>
      </c>
      <c r="H1001" t="str">
        <f>"HOLTON JOHN CHRISTOPHER III &amp; HOLTON ALAINA MICHELLE (H&amp;W)"</f>
        <v>HOLTON JOHN CHRISTOPHER III &amp; HOLTON ALAINA MICHELLE (H&amp;W)</v>
      </c>
      <c r="I1001" t="str">
        <f>"15223 LANDMARK CIR S"</f>
        <v>15223 LANDMARK CIR S</v>
      </c>
      <c r="J1001" t="str">
        <f>"JACKSONVILLE FL 32226"</f>
        <v>JACKSONVILLE FL 32226</v>
      </c>
      <c r="K1001" t="str">
        <f>"MIDDLE RD"</f>
        <v>MIDDLE RD</v>
      </c>
      <c r="L1001" t="str">
        <f>"CALLAHAN FL 32011"</f>
        <v>CALLAHAN FL 32011</v>
      </c>
      <c r="M1001" t="str">
        <f>"S1/2 OF NW1/4 &amp; SW1/4 OF SEC 27-3N-25E IN OR 2033/161 LYING EAST OF LANDS DESCRIBED IN OR 1949/958 &amp; OR 1936/979 (EX ESMTS IN OR 1146/1276 OR 1839/1613 OR 1855/1491 &amp; EX PT OR 1845/539 OR 1849/458 OR 1893/518 OR 1899/375 OR 1931/835 OR 1936/979 OR 1937/14"</f>
        <v>S1/2 OF NW1/4 &amp; SW1/4 OF SEC 27-3N-25E IN OR 2033/161 LYING EAST OF LANDS DESCRIBED IN OR 1949/958 &amp; OR 1936/979 (EX ESMTS IN OR 1146/1276 OR 1839/1613 OR 1855/1491 &amp; EX PT OR 1845/539 OR 1849/458 OR 1893/518 OR 1899/375 OR 1931/835 OR 1936/979 OR 1937/14</v>
      </c>
      <c r="N1001" t="str">
        <f>""</f>
        <v/>
      </c>
      <c r="O1001" t="str">
        <f>"37830"</f>
        <v>37830</v>
      </c>
      <c r="P1001" t="str">
        <f t="shared" si="310"/>
        <v>2017</v>
      </c>
      <c r="Q1001" t="str">
        <f>""</f>
        <v/>
      </c>
      <c r="R1001" t="str">
        <f>"N"</f>
        <v>N</v>
      </c>
      <c r="S1001" t="str">
        <f>"29.17"</f>
        <v>29.17</v>
      </c>
      <c r="T1001" t="str">
        <f>"2086.55"</f>
        <v>2086.55</v>
      </c>
      <c r="U1001" t="str">
        <f>"137828.00"</f>
        <v>137828.00</v>
      </c>
      <c r="V1001" t="str">
        <f>"137828.00"</f>
        <v>137828.00</v>
      </c>
      <c r="W1001" t="str">
        <f t="shared" si="311"/>
        <v>2017</v>
      </c>
      <c r="X1001" t="str">
        <f>"4.00"</f>
        <v>4.00</v>
      </c>
      <c r="Y1001" t="str">
        <f>"2181.15"</f>
        <v>2181.15</v>
      </c>
      <c r="Z1001" t="str">
        <f>""</f>
        <v/>
      </c>
      <c r="AA1001" t="str">
        <f>"137828.00"</f>
        <v>137828.00</v>
      </c>
      <c r="AB1001" t="str">
        <f>"Residential"</f>
        <v>Residential</v>
      </c>
      <c r="AC1001" t="str">
        <f t="shared" si="323"/>
        <v>0</v>
      </c>
      <c r="AD1001" t="str">
        <f>""</f>
        <v/>
      </c>
      <c r="AE1001" t="str">
        <f>""</f>
        <v/>
      </c>
      <c r="AF1001" t="str">
        <f>"000"</f>
        <v>000</v>
      </c>
      <c r="AG1001" t="str">
        <f t="shared" si="324"/>
        <v>FL</v>
      </c>
      <c r="AH1001" t="str">
        <f>"1270645.00"</f>
        <v>1270645.00</v>
      </c>
      <c r="AI1001" t="str">
        <f>"137828.00"</f>
        <v>137828.00</v>
      </c>
      <c r="AJ1001" t="str">
        <f>"C55-001-066-3903-2"</f>
        <v>C55-001-066-3903-2</v>
      </c>
      <c r="AK1001" t="str">
        <f>"15250"</f>
        <v>15250</v>
      </c>
      <c r="AL1001">
        <v>4</v>
      </c>
      <c r="AM1001">
        <v>1149</v>
      </c>
      <c r="AN1001">
        <v>2288.61</v>
      </c>
      <c r="AQ1001" t="s">
        <v>10309</v>
      </c>
      <c r="AR1001" t="s">
        <v>10309</v>
      </c>
      <c r="AS1001" t="s">
        <v>10309</v>
      </c>
      <c r="AU1001" t="s">
        <v>396</v>
      </c>
      <c r="AV1001">
        <v>2017</v>
      </c>
      <c r="AW1001" t="str">
        <f>"27-3N-25-0000-0003-0070 "</f>
        <v xml:space="preserve">27-3N-25-0000-0003-0070 </v>
      </c>
      <c r="AZ1001" t="s">
        <v>1825</v>
      </c>
      <c r="BA1001" t="s">
        <v>496</v>
      </c>
      <c r="BD1001" t="s">
        <v>2785</v>
      </c>
      <c r="BE1001" t="s">
        <v>393</v>
      </c>
      <c r="BF1001">
        <v>32011</v>
      </c>
      <c r="BG1001" t="s">
        <v>10282</v>
      </c>
      <c r="BH1001" t="s">
        <v>2787</v>
      </c>
      <c r="BI1001">
        <v>-81.7938893715327</v>
      </c>
      <c r="BJ1001">
        <v>30.650651536946398</v>
      </c>
      <c r="BK1001" t="s">
        <v>10310</v>
      </c>
      <c r="BL1001" t="s">
        <v>10311</v>
      </c>
      <c r="BM1001" t="s">
        <v>10312</v>
      </c>
      <c r="BN1001" t="s">
        <v>548</v>
      </c>
      <c r="BO1001">
        <v>32226</v>
      </c>
      <c r="BP1001" t="s">
        <v>404</v>
      </c>
      <c r="BQ1001">
        <v>0</v>
      </c>
      <c r="BR1001" t="s">
        <v>491</v>
      </c>
      <c r="BS1001">
        <v>8001</v>
      </c>
      <c r="BT1001" t="s">
        <v>492</v>
      </c>
      <c r="BW1001">
        <v>1270645</v>
      </c>
      <c r="BX1001" t="s">
        <v>407</v>
      </c>
      <c r="CD1001">
        <v>2017</v>
      </c>
      <c r="CE1001">
        <v>137828</v>
      </c>
      <c r="CG1001">
        <v>137828</v>
      </c>
      <c r="CH1001">
        <v>2017</v>
      </c>
      <c r="CI1001">
        <v>137828</v>
      </c>
      <c r="CK1001">
        <v>137828</v>
      </c>
      <c r="CL1001">
        <v>2017</v>
      </c>
      <c r="CM1001">
        <v>2086.5500000000002</v>
      </c>
      <c r="CN1001" s="1">
        <v>42438</v>
      </c>
      <c r="CO1001">
        <v>154600</v>
      </c>
      <c r="CZ1001" s="1">
        <v>42438</v>
      </c>
      <c r="DD1001" t="s">
        <v>2785</v>
      </c>
      <c r="DG1001">
        <v>27</v>
      </c>
      <c r="DL1001">
        <v>50503</v>
      </c>
      <c r="DM1001" t="s">
        <v>10313</v>
      </c>
      <c r="DO1001" t="s">
        <v>10314</v>
      </c>
      <c r="DP1001">
        <v>0</v>
      </c>
      <c r="DQ1001">
        <v>0</v>
      </c>
      <c r="DR1001" t="s">
        <v>411</v>
      </c>
      <c r="EP1001" t="s">
        <v>421</v>
      </c>
      <c r="EQ1001" t="s">
        <v>422</v>
      </c>
      <c r="ER1001">
        <v>0</v>
      </c>
      <c r="ES1001">
        <v>2</v>
      </c>
      <c r="ET1001">
        <v>0</v>
      </c>
      <c r="EU1001">
        <v>0</v>
      </c>
      <c r="EV1001">
        <v>0</v>
      </c>
      <c r="EW1001" s="2">
        <v>43222</v>
      </c>
      <c r="EX1001" s="1">
        <v>42879</v>
      </c>
      <c r="EY1001">
        <v>2016</v>
      </c>
      <c r="EZ1001">
        <v>252.08</v>
      </c>
      <c r="FA1001" t="s">
        <v>10315</v>
      </c>
      <c r="FB1001">
        <v>0.25</v>
      </c>
      <c r="FC1001" t="s">
        <v>424</v>
      </c>
      <c r="FD1001" t="s">
        <v>425</v>
      </c>
      <c r="FE1001" s="1">
        <v>42990</v>
      </c>
      <c r="FF1001">
        <v>4</v>
      </c>
      <c r="FG1001">
        <v>7400234</v>
      </c>
      <c r="FH1001" t="s">
        <v>426</v>
      </c>
      <c r="FJ1001" s="1">
        <v>42879</v>
      </c>
      <c r="FK1001">
        <v>2016</v>
      </c>
      <c r="FL1001">
        <v>252.08</v>
      </c>
      <c r="FM1001" t="s">
        <v>10315</v>
      </c>
      <c r="FN1001">
        <v>0.25</v>
      </c>
      <c r="FO1001" t="s">
        <v>424</v>
      </c>
      <c r="FP1001" t="s">
        <v>425</v>
      </c>
      <c r="FR1001">
        <v>22</v>
      </c>
      <c r="FS1001">
        <v>7427836</v>
      </c>
      <c r="FT1001" t="s">
        <v>10316</v>
      </c>
    </row>
    <row r="1002" spans="1:272" x14ac:dyDescent="0.25">
      <c r="A1002">
        <v>16486009</v>
      </c>
      <c r="B1002">
        <v>1001</v>
      </c>
      <c r="C1002" t="s">
        <v>393</v>
      </c>
      <c r="D1002" t="s">
        <v>394</v>
      </c>
      <c r="F1002" t="str">
        <f>"27-3N-25-0000-0004-0020"</f>
        <v>27-3N-25-0000-0004-0020</v>
      </c>
      <c r="H1002" t="str">
        <f>"HIGGINBOTHAM ALBERT L &amp; GRAHAM SHARI T (H&amp;W)"</f>
        <v>HIGGINBOTHAM ALBERT L &amp; GRAHAM SHARI T (H&amp;W)</v>
      </c>
      <c r="I1002" t="str">
        <f>"PO BOX 1694"</f>
        <v>PO BOX 1694</v>
      </c>
      <c r="J1002" t="str">
        <f>"CALLAHAN FL 32011"</f>
        <v>CALLAHAN FL 32011</v>
      </c>
      <c r="K1002" t="str">
        <f>"46551 MIDDLE RD"</f>
        <v>46551 MIDDLE RD</v>
      </c>
      <c r="L1002" t="str">
        <f>"CALLAHAN FL 32011"</f>
        <v>CALLAHAN FL 32011</v>
      </c>
      <c r="M1002" t="str">
        <f>"PT GOVT LOT 3 OF SEC 27-3N-25E IN OR 1558/873 &amp; ESMT IN OR 1839/1613 {2001 FTWD DW/MH}"</f>
        <v>PT GOVT LOT 3 OF SEC 27-3N-25E IN OR 1558/873 &amp; ESMT IN OR 1839/1613 {2001 FTWD DW/MH}</v>
      </c>
      <c r="N1002" t="str">
        <f>""</f>
        <v/>
      </c>
      <c r="O1002" t="str">
        <f>"37838"</f>
        <v>37838</v>
      </c>
      <c r="P1002" t="str">
        <f t="shared" si="310"/>
        <v>2017</v>
      </c>
      <c r="Q1002" t="str">
        <f>""</f>
        <v/>
      </c>
      <c r="R1002" t="str">
        <f>"N"</f>
        <v>N</v>
      </c>
      <c r="S1002" t="str">
        <f>"2.75"</f>
        <v>2.75</v>
      </c>
      <c r="T1002" t="str">
        <f>"802.89"</f>
        <v>802.89</v>
      </c>
      <c r="U1002" t="str">
        <f>"46583.00"</f>
        <v>46583.00</v>
      </c>
      <c r="V1002" t="str">
        <f>"46583.00"</f>
        <v>46583.00</v>
      </c>
      <c r="W1002" t="str">
        <f t="shared" si="311"/>
        <v>2017</v>
      </c>
      <c r="X1002" t="str">
        <f>"12.00"</f>
        <v>12.00</v>
      </c>
      <c r="Y1002" t="str">
        <f>"858.98"</f>
        <v>858.98</v>
      </c>
      <c r="Z1002" t="str">
        <f>""</f>
        <v/>
      </c>
      <c r="AA1002" t="str">
        <f>"61386.00"</f>
        <v>61386.00</v>
      </c>
      <c r="AB1002" t="str">
        <f>"Agricultural"</f>
        <v>Agricultural</v>
      </c>
      <c r="AC1002" t="str">
        <f t="shared" si="323"/>
        <v>0</v>
      </c>
      <c r="AD1002" t="str">
        <f>"4"</f>
        <v>4</v>
      </c>
      <c r="AE1002" t="str">
        <f>"WOOD (INCLUDE STEEL STUDS)"</f>
        <v>WOOD (INCLUDE STEEL STUDS)</v>
      </c>
      <c r="AF1002" t="str">
        <f>"050"</f>
        <v>050</v>
      </c>
      <c r="AG1002" t="str">
        <f t="shared" si="324"/>
        <v>FL</v>
      </c>
      <c r="AH1002" t="str">
        <f>"119790.00"</f>
        <v>119790.00</v>
      </c>
      <c r="AI1002" t="str">
        <f>"16342.00"</f>
        <v>16342.00</v>
      </c>
      <c r="AJ1002" t="str">
        <f>"C55-000-587-5070-4"</f>
        <v>C55-000-587-5070-4</v>
      </c>
      <c r="AK1002" t="str">
        <f>"15258"</f>
        <v>15258</v>
      </c>
      <c r="AL1002">
        <v>4</v>
      </c>
      <c r="AM1002">
        <v>1150</v>
      </c>
      <c r="AN1002">
        <v>900.33</v>
      </c>
      <c r="AQ1002" t="s">
        <v>10317</v>
      </c>
      <c r="AR1002" t="s">
        <v>10317</v>
      </c>
      <c r="AS1002" t="s">
        <v>10317</v>
      </c>
      <c r="AU1002" t="s">
        <v>396</v>
      </c>
      <c r="AV1002">
        <v>2017</v>
      </c>
      <c r="AW1002" t="str">
        <f>"27-3N-25-0000-0004-0020 "</f>
        <v xml:space="preserve">27-3N-25-0000-0004-0020 </v>
      </c>
      <c r="AX1002">
        <v>46551</v>
      </c>
      <c r="AZ1002" t="s">
        <v>1825</v>
      </c>
      <c r="BA1002" t="s">
        <v>496</v>
      </c>
      <c r="BD1002" t="s">
        <v>2785</v>
      </c>
      <c r="BE1002" t="s">
        <v>393</v>
      </c>
      <c r="BF1002">
        <v>32011</v>
      </c>
      <c r="BG1002" t="s">
        <v>10318</v>
      </c>
      <c r="BH1002" t="s">
        <v>2787</v>
      </c>
      <c r="BI1002">
        <v>-81.791621640043005</v>
      </c>
      <c r="BJ1002">
        <v>30.6430814291624</v>
      </c>
      <c r="BK1002" t="s">
        <v>8567</v>
      </c>
      <c r="BL1002" t="s">
        <v>3796</v>
      </c>
      <c r="BM1002" t="s">
        <v>1631</v>
      </c>
      <c r="BN1002" t="s">
        <v>928</v>
      </c>
      <c r="BO1002">
        <v>32011</v>
      </c>
      <c r="BP1002" t="s">
        <v>404</v>
      </c>
      <c r="BQ1002">
        <v>5000</v>
      </c>
      <c r="BR1002" t="s">
        <v>664</v>
      </c>
      <c r="BS1002">
        <v>7000</v>
      </c>
      <c r="BT1002" t="s">
        <v>665</v>
      </c>
      <c r="BW1002">
        <v>119790</v>
      </c>
      <c r="BX1002" t="s">
        <v>407</v>
      </c>
      <c r="BY1002" t="s">
        <v>408</v>
      </c>
      <c r="BZ1002">
        <v>4</v>
      </c>
      <c r="CA1002">
        <v>2001</v>
      </c>
      <c r="CB1002">
        <v>1</v>
      </c>
      <c r="CC1002">
        <v>1</v>
      </c>
      <c r="CD1002">
        <v>2017</v>
      </c>
      <c r="CG1002">
        <v>61386</v>
      </c>
      <c r="CH1002">
        <v>2017</v>
      </c>
      <c r="CI1002">
        <v>16342</v>
      </c>
      <c r="CJ1002">
        <v>78944</v>
      </c>
      <c r="CK1002">
        <v>95286</v>
      </c>
      <c r="CL1002">
        <v>2017</v>
      </c>
      <c r="CM1002">
        <v>802.89</v>
      </c>
      <c r="CN1002" s="1">
        <v>39538</v>
      </c>
      <c r="CO1002">
        <v>800000</v>
      </c>
      <c r="CV1002">
        <v>800000</v>
      </c>
      <c r="CX1002" t="s">
        <v>707</v>
      </c>
      <c r="CZ1002" s="1">
        <v>39538</v>
      </c>
      <c r="DA1002">
        <v>0</v>
      </c>
      <c r="DD1002" t="s">
        <v>2785</v>
      </c>
      <c r="DG1002">
        <v>27</v>
      </c>
      <c r="DL1002">
        <v>50400</v>
      </c>
      <c r="DM1002" t="s">
        <v>10313</v>
      </c>
      <c r="DO1002" t="s">
        <v>10319</v>
      </c>
      <c r="DP1002">
        <v>0</v>
      </c>
      <c r="DQ1002">
        <v>0</v>
      </c>
      <c r="DR1002" t="s">
        <v>411</v>
      </c>
      <c r="DS1002" t="b">
        <v>1</v>
      </c>
      <c r="DT1002" t="s">
        <v>470</v>
      </c>
      <c r="DU1002" t="s">
        <v>471</v>
      </c>
      <c r="DV1002" t="s">
        <v>472</v>
      </c>
      <c r="DX1002">
        <v>-9999</v>
      </c>
      <c r="DZ1002" t="s">
        <v>447</v>
      </c>
      <c r="EA1002" t="s">
        <v>448</v>
      </c>
      <c r="EB1002" t="s">
        <v>742</v>
      </c>
      <c r="EC1002">
        <v>20101217</v>
      </c>
      <c r="ED1002" t="s">
        <v>474</v>
      </c>
      <c r="EF1002">
        <v>1865.4</v>
      </c>
      <c r="EG1002">
        <v>1865.4</v>
      </c>
      <c r="EI1002">
        <v>20160407</v>
      </c>
      <c r="EJ1002">
        <v>0</v>
      </c>
      <c r="EK1002">
        <v>0</v>
      </c>
      <c r="EP1002" t="s">
        <v>421</v>
      </c>
      <c r="EQ1002" t="s">
        <v>422</v>
      </c>
      <c r="ER1002">
        <v>2</v>
      </c>
      <c r="ES1002">
        <v>3</v>
      </c>
      <c r="ET1002">
        <v>1459.38</v>
      </c>
      <c r="EU1002">
        <v>85.47</v>
      </c>
      <c r="EV1002">
        <v>1544.85</v>
      </c>
      <c r="EW1002" s="2">
        <v>43222</v>
      </c>
      <c r="EX1002" s="1">
        <v>42879</v>
      </c>
      <c r="EY1002">
        <v>2016</v>
      </c>
      <c r="EZ1002">
        <v>729.69</v>
      </c>
      <c r="FA1002" t="s">
        <v>10320</v>
      </c>
      <c r="FB1002">
        <v>0.25</v>
      </c>
      <c r="FC1002" t="s">
        <v>424</v>
      </c>
      <c r="FD1002" t="s">
        <v>454</v>
      </c>
      <c r="FF1002">
        <v>12</v>
      </c>
      <c r="FG1002">
        <v>11289</v>
      </c>
      <c r="FH1002" t="s">
        <v>787</v>
      </c>
      <c r="FJ1002" s="1">
        <v>42879</v>
      </c>
      <c r="FK1002">
        <v>2016</v>
      </c>
      <c r="FL1002">
        <v>729.69</v>
      </c>
      <c r="FM1002" t="s">
        <v>10320</v>
      </c>
      <c r="FN1002">
        <v>0.25</v>
      </c>
      <c r="FO1002" t="s">
        <v>424</v>
      </c>
      <c r="FP1002" t="s">
        <v>454</v>
      </c>
      <c r="FR1002">
        <v>12</v>
      </c>
      <c r="FS1002">
        <v>7204554</v>
      </c>
      <c r="FT1002" t="s">
        <v>10321</v>
      </c>
      <c r="FV1002" s="1">
        <v>42515</v>
      </c>
      <c r="FW1002">
        <v>2015</v>
      </c>
      <c r="FX1002">
        <v>796.4</v>
      </c>
      <c r="FY1002" t="s">
        <v>10322</v>
      </c>
      <c r="FZ1002">
        <v>0.25</v>
      </c>
      <c r="GA1002" t="s">
        <v>424</v>
      </c>
      <c r="GB1002" t="s">
        <v>425</v>
      </c>
      <c r="GC1002" s="1">
        <v>43135</v>
      </c>
      <c r="GD1002">
        <v>21</v>
      </c>
      <c r="GE1002">
        <v>11289</v>
      </c>
      <c r="GF1002" t="s">
        <v>787</v>
      </c>
      <c r="GH1002" s="1">
        <v>42515</v>
      </c>
      <c r="GI1002">
        <v>2015</v>
      </c>
      <c r="GJ1002">
        <v>796.4</v>
      </c>
      <c r="GK1002" t="s">
        <v>10322</v>
      </c>
      <c r="GL1002">
        <v>0.25</v>
      </c>
      <c r="GM1002" t="s">
        <v>424</v>
      </c>
      <c r="GN1002" t="s">
        <v>425</v>
      </c>
      <c r="GP1002">
        <v>22</v>
      </c>
      <c r="GQ1002">
        <v>5218434</v>
      </c>
      <c r="GR1002" t="s">
        <v>10323</v>
      </c>
      <c r="GT1002" s="1">
        <v>41052</v>
      </c>
      <c r="GU1002">
        <v>2011</v>
      </c>
      <c r="GV1002">
        <v>1072.6400000000001</v>
      </c>
      <c r="GW1002" t="s">
        <v>10324</v>
      </c>
      <c r="GX1002">
        <v>4.25</v>
      </c>
      <c r="GY1002" t="s">
        <v>424</v>
      </c>
      <c r="GZ1002" t="s">
        <v>425</v>
      </c>
      <c r="HA1002" s="1">
        <v>41122</v>
      </c>
      <c r="HB1002">
        <v>3</v>
      </c>
      <c r="HC1002">
        <v>10579</v>
      </c>
      <c r="HD1002" t="s">
        <v>488</v>
      </c>
    </row>
    <row r="1003" spans="1:272" x14ac:dyDescent="0.25">
      <c r="A1003">
        <v>16486010</v>
      </c>
      <c r="B1003">
        <v>1002</v>
      </c>
      <c r="C1003" t="s">
        <v>393</v>
      </c>
      <c r="D1003" t="s">
        <v>394</v>
      </c>
      <c r="F1003" t="str">
        <f>"27-3N-25-2345-0002-0000"</f>
        <v>27-3N-25-2345-0002-0000</v>
      </c>
      <c r="H1003" t="str">
        <f>"WELLS RONNIE C &amp; CLAIRE &amp; BROWN MARY C (JT/RS)"</f>
        <v>WELLS RONNIE C &amp; CLAIRE &amp; BROWN MARY C (JT/RS)</v>
      </c>
      <c r="I1003" t="str">
        <f>"46676 MIDDLE RD"</f>
        <v>46676 MIDDLE RD</v>
      </c>
      <c r="J1003" t="str">
        <f>"CALLAHAN FL 32011"</f>
        <v>CALLAHAN FL 32011</v>
      </c>
      <c r="K1003" t="str">
        <f>"46667 MIDDLE RD"</f>
        <v>46667 MIDDLE RD</v>
      </c>
      <c r="L1003" t="str">
        <f>"CALLAHAN FL 32011"</f>
        <v>CALLAHAN FL 32011</v>
      </c>
      <c r="M1003" t="str">
        <f>"LOT 2 IN OR 1033 PG 1456 2002 FTWD DW/MH WILDERNESS PLANTATION PB 6/267"</f>
        <v>LOT 2 IN OR 1033 PG 1456 2002 FTWD DW/MH WILDERNESS PLANTATION PB 6/267</v>
      </c>
      <c r="N1003" t="str">
        <f>""</f>
        <v/>
      </c>
      <c r="O1003" t="str">
        <f>"37851"</f>
        <v>37851</v>
      </c>
      <c r="P1003" t="str">
        <f t="shared" si="310"/>
        <v>2017</v>
      </c>
      <c r="Q1003" t="str">
        <f>""</f>
        <v/>
      </c>
      <c r="R1003" t="str">
        <f>"Y"</f>
        <v>Y</v>
      </c>
      <c r="S1003" t="str">
        <f>"1.50"</f>
        <v>1.50</v>
      </c>
      <c r="T1003" t="str">
        <f>"402.22"</f>
        <v>402.22</v>
      </c>
      <c r="U1003" t="str">
        <f>"53598.00"</f>
        <v>53598.00</v>
      </c>
      <c r="V1003" t="str">
        <f>"53598.00"</f>
        <v>53598.00</v>
      </c>
      <c r="W1003" t="str">
        <f t="shared" si="311"/>
        <v>2017</v>
      </c>
      <c r="X1003" t="str">
        <f>"14.67"</f>
        <v>14.67</v>
      </c>
      <c r="Y1003" t="str">
        <f>"446.29"</f>
        <v>446.29</v>
      </c>
      <c r="Z1003" t="str">
        <f>"25000.00"</f>
        <v>25000.00</v>
      </c>
      <c r="AA1003" t="str">
        <f>"28598.00"</f>
        <v>28598.00</v>
      </c>
      <c r="AB1003" t="str">
        <f>"Residential"</f>
        <v>Residential</v>
      </c>
      <c r="AC1003" t="str">
        <f t="shared" si="323"/>
        <v>0</v>
      </c>
      <c r="AD1003" t="str">
        <f>"4"</f>
        <v>4</v>
      </c>
      <c r="AE1003" t="str">
        <f>"WOOD (INCLUDE STEEL STUDS)"</f>
        <v>WOOD (INCLUDE STEEL STUDS)</v>
      </c>
      <c r="AF1003" t="str">
        <f>"002"</f>
        <v>002</v>
      </c>
      <c r="AG1003" t="str">
        <f t="shared" si="324"/>
        <v>FL</v>
      </c>
      <c r="AH1003" t="str">
        <f>"65340.00"</f>
        <v>65340.00</v>
      </c>
      <c r="AI1003" t="str">
        <f>"23625.00"</f>
        <v>23625.00</v>
      </c>
      <c r="AJ1003" t="str">
        <f>"C55-000-587-5075-3"</f>
        <v>C55-000-587-5075-3</v>
      </c>
      <c r="AK1003" t="str">
        <f>"15269"</f>
        <v>15269</v>
      </c>
      <c r="AL1003">
        <v>4</v>
      </c>
      <c r="AM1003">
        <v>1152</v>
      </c>
      <c r="AN1003">
        <v>467</v>
      </c>
      <c r="AQ1003" t="s">
        <v>10325</v>
      </c>
      <c r="AR1003" t="s">
        <v>10325</v>
      </c>
      <c r="AS1003" t="s">
        <v>10325</v>
      </c>
      <c r="AU1003" t="s">
        <v>396</v>
      </c>
      <c r="AV1003">
        <v>2017</v>
      </c>
      <c r="AW1003" t="str">
        <f>"27-3N-25-2345-0002-0000 "</f>
        <v xml:space="preserve">27-3N-25-2345-0002-0000 </v>
      </c>
      <c r="AX1003">
        <v>46667</v>
      </c>
      <c r="AZ1003" t="s">
        <v>1825</v>
      </c>
      <c r="BA1003" t="s">
        <v>496</v>
      </c>
      <c r="BD1003" t="s">
        <v>2785</v>
      </c>
      <c r="BE1003" t="s">
        <v>393</v>
      </c>
      <c r="BF1003">
        <v>32011</v>
      </c>
      <c r="BG1003" t="s">
        <v>10326</v>
      </c>
      <c r="BH1003" t="s">
        <v>2787</v>
      </c>
      <c r="BI1003">
        <v>-81.790956785197594</v>
      </c>
      <c r="BJ1003">
        <v>30.644792720566901</v>
      </c>
      <c r="BK1003" t="s">
        <v>10327</v>
      </c>
      <c r="BL1003" t="s">
        <v>10328</v>
      </c>
      <c r="BM1003" t="s">
        <v>10326</v>
      </c>
      <c r="BN1003" t="s">
        <v>928</v>
      </c>
      <c r="BO1003">
        <v>32011</v>
      </c>
      <c r="BP1003" t="s">
        <v>416</v>
      </c>
      <c r="BQ1003">
        <v>200</v>
      </c>
      <c r="BR1003" t="s">
        <v>405</v>
      </c>
      <c r="BS1003">
        <v>1006</v>
      </c>
      <c r="BT1003" t="s">
        <v>406</v>
      </c>
      <c r="BW1003">
        <v>65340</v>
      </c>
      <c r="BX1003" t="s">
        <v>407</v>
      </c>
      <c r="BY1003" t="s">
        <v>408</v>
      </c>
      <c r="BZ1003">
        <v>4</v>
      </c>
      <c r="CA1003">
        <v>2002</v>
      </c>
      <c r="CB1003">
        <v>1</v>
      </c>
      <c r="CC1003">
        <v>1</v>
      </c>
      <c r="CD1003">
        <v>2017</v>
      </c>
      <c r="CG1003">
        <v>53598</v>
      </c>
      <c r="CH1003">
        <v>2017</v>
      </c>
      <c r="CI1003">
        <v>23625</v>
      </c>
      <c r="CJ1003">
        <v>47128</v>
      </c>
      <c r="CK1003">
        <v>70753</v>
      </c>
      <c r="CL1003">
        <v>2017</v>
      </c>
      <c r="CM1003">
        <v>402.22</v>
      </c>
      <c r="CN1003" s="1">
        <v>37286</v>
      </c>
      <c r="CO1003">
        <v>33900</v>
      </c>
      <c r="CV1003">
        <v>0</v>
      </c>
      <c r="CZ1003" s="1">
        <v>37286</v>
      </c>
      <c r="DA1003">
        <v>0</v>
      </c>
      <c r="DD1003" t="s">
        <v>2785</v>
      </c>
      <c r="DF1003">
        <v>2</v>
      </c>
      <c r="DG1003">
        <v>27</v>
      </c>
      <c r="DJ1003" t="s">
        <v>10329</v>
      </c>
      <c r="DL1003">
        <v>50400</v>
      </c>
      <c r="DM1003" t="s">
        <v>10313</v>
      </c>
      <c r="DO1003" t="s">
        <v>10330</v>
      </c>
      <c r="DP1003">
        <v>0</v>
      </c>
      <c r="DQ1003">
        <v>0</v>
      </c>
      <c r="DR1003" t="s">
        <v>411</v>
      </c>
      <c r="DS1003" t="b">
        <v>1</v>
      </c>
      <c r="DT1003" t="s">
        <v>470</v>
      </c>
      <c r="DU1003" t="s">
        <v>471</v>
      </c>
      <c r="DV1003" t="s">
        <v>472</v>
      </c>
      <c r="DX1003">
        <v>-9999</v>
      </c>
      <c r="DZ1003" t="s">
        <v>447</v>
      </c>
      <c r="EA1003" t="s">
        <v>448</v>
      </c>
      <c r="EB1003" t="s">
        <v>742</v>
      </c>
      <c r="EC1003">
        <v>20101217</v>
      </c>
      <c r="ED1003" t="s">
        <v>474</v>
      </c>
      <c r="EF1003">
        <v>1522.4</v>
      </c>
      <c r="EG1003">
        <v>1522.4</v>
      </c>
      <c r="EI1003">
        <v>20160407</v>
      </c>
      <c r="EJ1003">
        <v>0</v>
      </c>
      <c r="EK1003">
        <v>0</v>
      </c>
      <c r="EP1003" t="s">
        <v>421</v>
      </c>
      <c r="EQ1003" t="s">
        <v>422</v>
      </c>
      <c r="ER1003">
        <v>2</v>
      </c>
      <c r="ES1003">
        <v>5</v>
      </c>
      <c r="ET1003">
        <v>920.8</v>
      </c>
      <c r="EU1003">
        <v>58.54</v>
      </c>
      <c r="EV1003">
        <v>979.34</v>
      </c>
      <c r="EW1003" s="2">
        <v>43222</v>
      </c>
      <c r="EX1003" s="1">
        <v>42879</v>
      </c>
      <c r="EY1003">
        <v>2016</v>
      </c>
      <c r="EZ1003">
        <v>460.4</v>
      </c>
      <c r="FA1003" t="s">
        <v>10331</v>
      </c>
      <c r="FB1003">
        <v>0.25</v>
      </c>
      <c r="FC1003" t="s">
        <v>424</v>
      </c>
      <c r="FD1003" t="s">
        <v>454</v>
      </c>
      <c r="FF1003">
        <v>12</v>
      </c>
      <c r="FG1003">
        <v>7336671</v>
      </c>
      <c r="FH1003" t="s">
        <v>437</v>
      </c>
      <c r="FJ1003" s="1">
        <v>42879</v>
      </c>
      <c r="FK1003">
        <v>2016</v>
      </c>
      <c r="FL1003">
        <v>460.4</v>
      </c>
      <c r="FM1003" t="s">
        <v>10331</v>
      </c>
      <c r="FN1003">
        <v>0.25</v>
      </c>
      <c r="FO1003" t="s">
        <v>424</v>
      </c>
      <c r="FP1003" t="s">
        <v>454</v>
      </c>
      <c r="FR1003">
        <v>12</v>
      </c>
      <c r="FS1003">
        <v>6821279</v>
      </c>
      <c r="FT1003" t="s">
        <v>10332</v>
      </c>
      <c r="FV1003" s="1">
        <v>42515</v>
      </c>
      <c r="FW1003">
        <v>2015</v>
      </c>
      <c r="FX1003">
        <v>493.02</v>
      </c>
      <c r="FY1003" t="s">
        <v>10333</v>
      </c>
      <c r="FZ1003">
        <v>0.25</v>
      </c>
      <c r="GA1003" t="s">
        <v>424</v>
      </c>
      <c r="GB1003" t="s">
        <v>425</v>
      </c>
      <c r="GC1003" s="1">
        <v>42767</v>
      </c>
      <c r="GD1003">
        <v>9</v>
      </c>
      <c r="GE1003">
        <v>7336671</v>
      </c>
      <c r="GF1003" t="s">
        <v>437</v>
      </c>
      <c r="GH1003" s="1">
        <v>42515</v>
      </c>
      <c r="GI1003">
        <v>2015</v>
      </c>
      <c r="GJ1003">
        <v>493.02</v>
      </c>
      <c r="GK1003" t="s">
        <v>10333</v>
      </c>
      <c r="GL1003">
        <v>0.25</v>
      </c>
      <c r="GM1003" t="s">
        <v>424</v>
      </c>
      <c r="GN1003" t="s">
        <v>425</v>
      </c>
      <c r="GP1003">
        <v>22</v>
      </c>
      <c r="GQ1003">
        <v>6749312</v>
      </c>
      <c r="GR1003" t="s">
        <v>10334</v>
      </c>
      <c r="GT1003" s="1">
        <v>42151</v>
      </c>
      <c r="GU1003">
        <v>2014</v>
      </c>
      <c r="GV1003">
        <v>524.86</v>
      </c>
      <c r="GW1003" t="s">
        <v>10335</v>
      </c>
      <c r="GX1003">
        <v>0.25</v>
      </c>
      <c r="GY1003" t="s">
        <v>424</v>
      </c>
      <c r="GZ1003" t="s">
        <v>425</v>
      </c>
      <c r="HA1003" s="1">
        <v>42767</v>
      </c>
      <c r="HB1003">
        <v>21</v>
      </c>
      <c r="HC1003">
        <v>4975594</v>
      </c>
      <c r="HD1003" t="s">
        <v>457</v>
      </c>
      <c r="HF1003" s="1">
        <v>42151</v>
      </c>
      <c r="HG1003">
        <v>2014</v>
      </c>
      <c r="HH1003">
        <v>524.86</v>
      </c>
      <c r="HI1003" t="s">
        <v>10335</v>
      </c>
      <c r="HJ1003">
        <v>0.25</v>
      </c>
      <c r="HK1003" t="s">
        <v>424</v>
      </c>
      <c r="HL1003" t="s">
        <v>425</v>
      </c>
      <c r="HN1003">
        <v>22</v>
      </c>
      <c r="HO1003">
        <v>6648728</v>
      </c>
      <c r="HP1003" t="s">
        <v>10336</v>
      </c>
      <c r="HR1003" s="1">
        <v>41787</v>
      </c>
      <c r="HS1003">
        <v>2013</v>
      </c>
      <c r="HT1003">
        <v>512.71</v>
      </c>
      <c r="HU1003" t="s">
        <v>10337</v>
      </c>
      <c r="HV1003">
        <v>0.25</v>
      </c>
      <c r="HW1003" t="s">
        <v>424</v>
      </c>
      <c r="HX1003" t="s">
        <v>425</v>
      </c>
      <c r="HY1003" s="1">
        <v>42207</v>
      </c>
      <c r="HZ1003">
        <v>14</v>
      </c>
      <c r="IA1003">
        <v>2407503</v>
      </c>
      <c r="IB1003" t="s">
        <v>461</v>
      </c>
    </row>
    <row r="1004" spans="1:272" x14ac:dyDescent="0.25">
      <c r="A1004">
        <v>16486011</v>
      </c>
      <c r="B1004">
        <v>1003</v>
      </c>
      <c r="C1004" t="s">
        <v>393</v>
      </c>
      <c r="D1004" t="s">
        <v>394</v>
      </c>
      <c r="F1004" t="str">
        <f>"28-3N-25-0000-0002-0010"</f>
        <v>28-3N-25-0000-0002-0010</v>
      </c>
      <c r="H1004" t="str">
        <f>"HIGGINBOTHAM ALBERT L &amp; GRAHAM SHARI T (H&amp;W)"</f>
        <v>HIGGINBOTHAM ALBERT L &amp; GRAHAM SHARI T (H&amp;W)</v>
      </c>
      <c r="I1004" t="str">
        <f>"PO BOX 1694"</f>
        <v>PO BOX 1694</v>
      </c>
      <c r="J1004" t="str">
        <f>"CALLAHAN FL 32011"</f>
        <v>CALLAHAN FL 32011</v>
      </c>
      <c r="K1004" t="str">
        <f>"MIDDLE RD"</f>
        <v>MIDDLE RD</v>
      </c>
      <c r="L1004" t="str">
        <f>"CALLAHAN FL 32011"</f>
        <v>CALLAHAN FL 32011</v>
      </c>
      <c r="M1004" t="str">
        <f>"PT OF NW1/4 OF SEC 28-3N-25E IN OR 1558/873 (EX ESMTS IN 1146/1256 OR 1839/1613 OR 1855/1494 &amp; EX PT IN 1723/1269 OR 1838/258 OR 1849/458 OR 1871/860 OR 1878/175 OR 1899/375 OR 1918/356 OR 1918/332 OR 1931/835 OR 1937/1017 OR 1937/1445 CONSV ESMT IN OR 19"</f>
        <v>PT OF NW1/4 OF SEC 28-3N-25E IN OR 1558/873 (EX ESMTS IN 1146/1256 OR 1839/1613 OR 1855/1494 &amp; EX PT IN 1723/1269 OR 1838/258 OR 1849/458 OR 1871/860 OR 1878/175 OR 1899/375 OR 1918/356 OR 1918/332 OR 1931/835 OR 1937/1017 OR 1937/1445 CONSV ESMT IN OR 19</v>
      </c>
      <c r="N1004" t="str">
        <f>""</f>
        <v/>
      </c>
      <c r="O1004" t="str">
        <f>"38265"</f>
        <v>38265</v>
      </c>
      <c r="P1004" t="str">
        <f t="shared" si="310"/>
        <v>2017</v>
      </c>
      <c r="Q1004" t="str">
        <f>""</f>
        <v/>
      </c>
      <c r="R1004" t="str">
        <f t="shared" ref="R1004:R1013" si="325">"N"</f>
        <v>N</v>
      </c>
      <c r="S1004" t="str">
        <f>"86.11"</f>
        <v>86.11</v>
      </c>
      <c r="T1004" t="str">
        <f>"578.66"</f>
        <v>578.66</v>
      </c>
      <c r="U1004" t="str">
        <f>"38224.00"</f>
        <v>38224.00</v>
      </c>
      <c r="V1004" t="str">
        <f>"38224.00"</f>
        <v>38224.00</v>
      </c>
      <c r="W1004" t="str">
        <f t="shared" si="311"/>
        <v>2017</v>
      </c>
      <c r="X1004" t="str">
        <f>"3.00"</f>
        <v>3.00</v>
      </c>
      <c r="Y1004" t="str">
        <f>"628.02"</f>
        <v>628.02</v>
      </c>
      <c r="Z1004" t="str">
        <f>""</f>
        <v/>
      </c>
      <c r="AA1004" t="str">
        <f>"38224.00"</f>
        <v>38224.00</v>
      </c>
      <c r="AB1004" t="str">
        <f>"Agricultural"</f>
        <v>Agricultural</v>
      </c>
      <c r="AC1004" t="str">
        <f t="shared" si="323"/>
        <v>0</v>
      </c>
      <c r="AD1004" t="str">
        <f>""</f>
        <v/>
      </c>
      <c r="AE1004" t="str">
        <f>""</f>
        <v/>
      </c>
      <c r="AF1004" t="str">
        <f>"054"</f>
        <v>054</v>
      </c>
      <c r="AG1004" t="str">
        <f t="shared" si="324"/>
        <v>FL</v>
      </c>
      <c r="AH1004" t="str">
        <f>"3750951.00"</f>
        <v>3750951.00</v>
      </c>
      <c r="AI1004" t="str">
        <f>"38224.00"</f>
        <v>38224.00</v>
      </c>
      <c r="AJ1004" t="str">
        <f>"C55-000-988-2111-9"</f>
        <v>C55-000-988-2111-9</v>
      </c>
      <c r="AK1004" t="str">
        <f>"15277"</f>
        <v>15277</v>
      </c>
      <c r="AL1004">
        <v>4</v>
      </c>
      <c r="AM1004">
        <v>1153</v>
      </c>
      <c r="AN1004">
        <v>657.82</v>
      </c>
      <c r="AQ1004" t="s">
        <v>10338</v>
      </c>
      <c r="AR1004" t="s">
        <v>10338</v>
      </c>
      <c r="AS1004" t="s">
        <v>10338</v>
      </c>
      <c r="AU1004" t="s">
        <v>396</v>
      </c>
      <c r="AV1004">
        <v>2017</v>
      </c>
      <c r="AW1004" t="str">
        <f>"28-3N-25-0000-0002-0010 "</f>
        <v xml:space="preserve">28-3N-25-0000-0002-0010 </v>
      </c>
      <c r="AZ1004" t="s">
        <v>1825</v>
      </c>
      <c r="BA1004" t="s">
        <v>496</v>
      </c>
      <c r="BD1004" t="s">
        <v>2785</v>
      </c>
      <c r="BE1004" t="s">
        <v>393</v>
      </c>
      <c r="BF1004">
        <v>32011</v>
      </c>
      <c r="BG1004" t="s">
        <v>10282</v>
      </c>
      <c r="BH1004" t="s">
        <v>2787</v>
      </c>
      <c r="BI1004">
        <v>-81.816594456550803</v>
      </c>
      <c r="BJ1004">
        <v>30.651992050081599</v>
      </c>
      <c r="BK1004" t="s">
        <v>8567</v>
      </c>
      <c r="BL1004" t="s">
        <v>3796</v>
      </c>
      <c r="BM1004" t="s">
        <v>1631</v>
      </c>
      <c r="BN1004" t="s">
        <v>928</v>
      </c>
      <c r="BO1004">
        <v>32011</v>
      </c>
      <c r="BP1004" t="s">
        <v>404</v>
      </c>
      <c r="BQ1004">
        <v>5400</v>
      </c>
      <c r="BR1004" t="s">
        <v>1613</v>
      </c>
      <c r="BS1004">
        <v>7009</v>
      </c>
      <c r="BT1004" t="s">
        <v>418</v>
      </c>
      <c r="BW1004">
        <v>4839951</v>
      </c>
      <c r="BX1004" t="s">
        <v>407</v>
      </c>
      <c r="BY1004" t="s">
        <v>408</v>
      </c>
      <c r="CD1004">
        <v>2017</v>
      </c>
      <c r="CG1004">
        <v>38224</v>
      </c>
      <c r="CH1004">
        <v>2017</v>
      </c>
      <c r="CI1004">
        <v>38224</v>
      </c>
      <c r="CJ1004">
        <v>233022</v>
      </c>
      <c r="CK1004">
        <v>271246</v>
      </c>
      <c r="CL1004">
        <v>2017</v>
      </c>
      <c r="CM1004">
        <v>578.66</v>
      </c>
      <c r="CN1004" s="1">
        <v>41899</v>
      </c>
      <c r="CO1004">
        <v>47500</v>
      </c>
      <c r="CV1004">
        <v>0</v>
      </c>
      <c r="CZ1004" s="1">
        <v>41899</v>
      </c>
      <c r="DA1004">
        <v>0</v>
      </c>
      <c r="DD1004" t="s">
        <v>2785</v>
      </c>
      <c r="DG1004">
        <v>28</v>
      </c>
      <c r="DM1004" t="s">
        <v>10339</v>
      </c>
      <c r="DO1004" t="s">
        <v>10340</v>
      </c>
      <c r="DP1004">
        <v>0</v>
      </c>
      <c r="DQ1004">
        <v>0</v>
      </c>
      <c r="DR1004" t="s">
        <v>411</v>
      </c>
      <c r="DS1004" t="b">
        <v>1</v>
      </c>
      <c r="DT1004" t="s">
        <v>396</v>
      </c>
      <c r="DV1004" t="s">
        <v>446</v>
      </c>
      <c r="DX1004">
        <v>-9999</v>
      </c>
      <c r="DZ1004" t="s">
        <v>447</v>
      </c>
      <c r="EA1004" t="s">
        <v>448</v>
      </c>
      <c r="EB1004" t="s">
        <v>449</v>
      </c>
      <c r="EC1004">
        <v>20101217</v>
      </c>
      <c r="ED1004" t="s">
        <v>450</v>
      </c>
      <c r="EE1004">
        <v>10.4</v>
      </c>
      <c r="EF1004">
        <v>0</v>
      </c>
      <c r="EG1004">
        <v>0</v>
      </c>
      <c r="EI1004">
        <v>20160407</v>
      </c>
      <c r="EJ1004">
        <v>0</v>
      </c>
      <c r="EK1004">
        <v>0</v>
      </c>
      <c r="EP1004" t="s">
        <v>421</v>
      </c>
      <c r="EQ1004" t="s">
        <v>422</v>
      </c>
      <c r="ER1004">
        <v>0</v>
      </c>
      <c r="ES1004">
        <v>4</v>
      </c>
      <c r="ET1004">
        <v>0</v>
      </c>
      <c r="EU1004">
        <v>0</v>
      </c>
      <c r="EV1004">
        <v>0</v>
      </c>
      <c r="EW1004" s="2">
        <v>43222</v>
      </c>
      <c r="EX1004" s="1">
        <v>42879</v>
      </c>
      <c r="EY1004">
        <v>2016</v>
      </c>
      <c r="EZ1004">
        <v>644.91</v>
      </c>
      <c r="FA1004" t="s">
        <v>10341</v>
      </c>
      <c r="FB1004">
        <v>0.25</v>
      </c>
      <c r="FC1004" t="s">
        <v>424</v>
      </c>
      <c r="FD1004" t="s">
        <v>425</v>
      </c>
      <c r="FE1004" s="1">
        <v>42914</v>
      </c>
      <c r="FF1004">
        <v>1</v>
      </c>
      <c r="FG1004">
        <v>2851116</v>
      </c>
      <c r="FH1004" t="s">
        <v>480</v>
      </c>
      <c r="FJ1004" s="1">
        <v>42879</v>
      </c>
      <c r="FK1004">
        <v>2016</v>
      </c>
      <c r="FL1004">
        <v>644.91</v>
      </c>
      <c r="FM1004" t="s">
        <v>10341</v>
      </c>
      <c r="FN1004">
        <v>0.25</v>
      </c>
      <c r="FO1004" t="s">
        <v>424</v>
      </c>
      <c r="FP1004" t="s">
        <v>425</v>
      </c>
      <c r="FR1004">
        <v>22</v>
      </c>
      <c r="FS1004">
        <v>5253481</v>
      </c>
      <c r="FT1004" t="s">
        <v>10342</v>
      </c>
      <c r="FV1004" s="1">
        <v>42515</v>
      </c>
      <c r="FW1004">
        <v>2015</v>
      </c>
      <c r="FX1004">
        <v>643.26</v>
      </c>
      <c r="FY1004" t="s">
        <v>10343</v>
      </c>
      <c r="FZ1004">
        <v>0.25</v>
      </c>
      <c r="GA1004" t="s">
        <v>424</v>
      </c>
      <c r="GB1004" t="s">
        <v>425</v>
      </c>
      <c r="GC1004" s="1">
        <v>42674</v>
      </c>
      <c r="GD1004">
        <v>5</v>
      </c>
      <c r="GE1004">
        <v>7045074</v>
      </c>
      <c r="GF1004" t="s">
        <v>580</v>
      </c>
      <c r="GH1004" s="1">
        <v>42515</v>
      </c>
      <c r="GI1004">
        <v>2015</v>
      </c>
      <c r="GJ1004">
        <v>643.26</v>
      </c>
      <c r="GK1004" t="s">
        <v>10343</v>
      </c>
      <c r="GL1004">
        <v>0.25</v>
      </c>
      <c r="GM1004" t="s">
        <v>424</v>
      </c>
      <c r="GN1004" t="s">
        <v>425</v>
      </c>
      <c r="GP1004">
        <v>22</v>
      </c>
      <c r="GQ1004">
        <v>6381460</v>
      </c>
      <c r="GR1004" t="s">
        <v>10344</v>
      </c>
    </row>
    <row r="1005" spans="1:272" x14ac:dyDescent="0.25">
      <c r="A1005">
        <v>16486012</v>
      </c>
      <c r="B1005">
        <v>1004</v>
      </c>
      <c r="C1005" t="s">
        <v>393</v>
      </c>
      <c r="D1005" t="s">
        <v>394</v>
      </c>
      <c r="F1005" t="str">
        <f>"34-3N-25-0000-0003-0020"</f>
        <v>34-3N-25-0000-0003-0020</v>
      </c>
      <c r="H1005" t="str">
        <f>"CRAWFORD ROBERT L TRUSTEE OF ROBERT L CRAWFORD REVOC TRUST"</f>
        <v>CRAWFORD ROBERT L TRUSTEE OF ROBERT L CRAWFORD REVOC TRUST</v>
      </c>
      <c r="I1005" t="str">
        <f>"56126 BOGGY TRAIL"</f>
        <v>56126 BOGGY TRAIL</v>
      </c>
      <c r="J1005" t="str">
        <f>"CALLAHAN FL 32011"</f>
        <v>CALLAHAN FL 32011</v>
      </c>
      <c r="K1005" t="str">
        <f>"56126 BOGGY TRL"</f>
        <v>56126 BOGGY TRL</v>
      </c>
      <c r="L1005" t="str">
        <f>"CALLAHAN FL 32011"</f>
        <v>CALLAHAN FL 32011</v>
      </c>
      <c r="M1005" t="str">
        <f>"L/E OR 1278/165 ESMT OR 580/80"</f>
        <v>L/E OR 1278/165 ESMT OR 580/80</v>
      </c>
      <c r="N1005" t="str">
        <f>""</f>
        <v/>
      </c>
      <c r="O1005" t="str">
        <f>"41504"</f>
        <v>41504</v>
      </c>
      <c r="P1005" t="str">
        <f t="shared" si="310"/>
        <v>2017</v>
      </c>
      <c r="Q1005" t="str">
        <f>""</f>
        <v/>
      </c>
      <c r="R1005" t="str">
        <f t="shared" si="325"/>
        <v>N</v>
      </c>
      <c r="S1005" t="str">
        <f>"6.46"</f>
        <v>6.46</v>
      </c>
      <c r="T1005" t="str">
        <f>"2238.24"</f>
        <v>2238.24</v>
      </c>
      <c r="U1005" t="str">
        <f>"145729.00"</f>
        <v>145729.00</v>
      </c>
      <c r="V1005" t="str">
        <f>"145729.00"</f>
        <v>145729.00</v>
      </c>
      <c r="W1005" t="str">
        <f t="shared" si="311"/>
        <v>2017</v>
      </c>
      <c r="X1005" t="str">
        <f>"16.00"</f>
        <v>16.00</v>
      </c>
      <c r="Y1005" t="str">
        <f>"2337.39"</f>
        <v>2337.39</v>
      </c>
      <c r="Z1005" t="str">
        <f>""</f>
        <v/>
      </c>
      <c r="AA1005" t="str">
        <f>"150590.00"</f>
        <v>150590.00</v>
      </c>
      <c r="AB1005" t="str">
        <f>"Agricultural"</f>
        <v>Agricultural</v>
      </c>
      <c r="AC1005" t="str">
        <f t="shared" si="323"/>
        <v>0</v>
      </c>
      <c r="AD1005" t="str">
        <f>"4"</f>
        <v>4</v>
      </c>
      <c r="AE1005" t="str">
        <f>"WOOD (INCLUDE STEEL STUDS)"</f>
        <v>WOOD (INCLUDE STEEL STUDS)</v>
      </c>
      <c r="AF1005" t="str">
        <f>"050"</f>
        <v>050</v>
      </c>
      <c r="AG1005" t="str">
        <f t="shared" si="324"/>
        <v>FL</v>
      </c>
      <c r="AH1005" t="str">
        <f>"281397.00"</f>
        <v>281397.00</v>
      </c>
      <c r="AI1005" t="str">
        <f>"17841.00"</f>
        <v>17841.00</v>
      </c>
      <c r="AJ1005" t="str">
        <f>"C55-000-587-7673-3"</f>
        <v>C55-000-587-7673-3</v>
      </c>
      <c r="AK1005" t="str">
        <f>"15370"</f>
        <v>15370</v>
      </c>
      <c r="AL1005">
        <v>4</v>
      </c>
      <c r="AM1005">
        <v>1155</v>
      </c>
      <c r="AN1005">
        <v>2452.66</v>
      </c>
      <c r="AQ1005" t="s">
        <v>10345</v>
      </c>
      <c r="AR1005" t="s">
        <v>10345</v>
      </c>
      <c r="AS1005" t="s">
        <v>10345</v>
      </c>
      <c r="AU1005" t="s">
        <v>396</v>
      </c>
      <c r="AV1005">
        <v>2017</v>
      </c>
      <c r="AW1005" t="str">
        <f>"34-3N-25-0000-0003-0020 "</f>
        <v xml:space="preserve">34-3N-25-0000-0003-0020 </v>
      </c>
      <c r="AX1005">
        <v>56126</v>
      </c>
      <c r="AZ1005" t="s">
        <v>10346</v>
      </c>
      <c r="BA1005" t="s">
        <v>2497</v>
      </c>
      <c r="BD1005" t="s">
        <v>2785</v>
      </c>
      <c r="BE1005" t="s">
        <v>393</v>
      </c>
      <c r="BF1005">
        <v>32011</v>
      </c>
      <c r="BG1005" t="s">
        <v>10347</v>
      </c>
      <c r="BH1005" t="s">
        <v>2787</v>
      </c>
      <c r="BI1005">
        <v>-81.793555806494993</v>
      </c>
      <c r="BJ1005">
        <v>30.639009358159601</v>
      </c>
      <c r="BK1005" t="s">
        <v>10348</v>
      </c>
      <c r="BL1005" t="s">
        <v>10349</v>
      </c>
      <c r="BM1005" t="s">
        <v>10347</v>
      </c>
      <c r="BN1005" t="s">
        <v>928</v>
      </c>
      <c r="BO1005">
        <v>32011</v>
      </c>
      <c r="BP1005" t="s">
        <v>416</v>
      </c>
      <c r="BQ1005">
        <v>5000</v>
      </c>
      <c r="BR1005" t="s">
        <v>664</v>
      </c>
      <c r="BS1005">
        <v>7000</v>
      </c>
      <c r="BT1005" t="s">
        <v>665</v>
      </c>
      <c r="BW1005">
        <v>281397</v>
      </c>
      <c r="BX1005" t="s">
        <v>407</v>
      </c>
      <c r="BY1005" t="s">
        <v>408</v>
      </c>
      <c r="BZ1005">
        <v>4</v>
      </c>
      <c r="CA1005">
        <v>1990</v>
      </c>
      <c r="CB1005">
        <v>1</v>
      </c>
      <c r="CC1005">
        <v>1</v>
      </c>
      <c r="CD1005">
        <v>2017</v>
      </c>
      <c r="CG1005">
        <v>150590</v>
      </c>
      <c r="CH1005">
        <v>2017</v>
      </c>
      <c r="CI1005">
        <v>17841</v>
      </c>
      <c r="CJ1005">
        <v>174747</v>
      </c>
      <c r="CK1005">
        <v>192588</v>
      </c>
      <c r="CL1005">
        <v>2017</v>
      </c>
      <c r="CM1005">
        <v>2238.2399999999998</v>
      </c>
      <c r="CN1005" s="1">
        <v>38324</v>
      </c>
      <c r="CZ1005" s="1">
        <v>38324</v>
      </c>
      <c r="DD1005" t="s">
        <v>2785</v>
      </c>
      <c r="DG1005">
        <v>34</v>
      </c>
      <c r="DL1005">
        <v>50400</v>
      </c>
      <c r="DM1005" t="s">
        <v>10350</v>
      </c>
      <c r="DO1005" t="s">
        <v>10351</v>
      </c>
      <c r="DP1005">
        <v>0</v>
      </c>
      <c r="DQ1005">
        <v>0</v>
      </c>
      <c r="DR1005" t="s">
        <v>411</v>
      </c>
      <c r="DS1005" t="b">
        <v>1</v>
      </c>
      <c r="DT1005" t="s">
        <v>470</v>
      </c>
      <c r="DU1005" t="s">
        <v>471</v>
      </c>
      <c r="DV1005" t="s">
        <v>472</v>
      </c>
      <c r="DX1005">
        <v>-9999</v>
      </c>
      <c r="DZ1005" t="s">
        <v>447</v>
      </c>
      <c r="EA1005" t="s">
        <v>448</v>
      </c>
      <c r="EB1005" t="s">
        <v>742</v>
      </c>
      <c r="EC1005">
        <v>20101217</v>
      </c>
      <c r="ED1005" t="s">
        <v>474</v>
      </c>
      <c r="EF1005">
        <v>254.5</v>
      </c>
      <c r="EG1005">
        <v>254.5</v>
      </c>
      <c r="EI1005">
        <v>20160407</v>
      </c>
      <c r="EJ1005">
        <v>0</v>
      </c>
      <c r="EK1005">
        <v>0</v>
      </c>
      <c r="EP1005" t="s">
        <v>421</v>
      </c>
      <c r="EQ1005" t="s">
        <v>422</v>
      </c>
      <c r="ER1005">
        <v>2</v>
      </c>
      <c r="ES1005">
        <v>6</v>
      </c>
      <c r="ET1005">
        <v>4450.46</v>
      </c>
      <c r="EU1005">
        <v>235.02</v>
      </c>
      <c r="EV1005">
        <v>4685.4799999999996</v>
      </c>
      <c r="EW1005" s="2">
        <v>43222</v>
      </c>
      <c r="EX1005" s="1">
        <v>42879</v>
      </c>
      <c r="EY1005">
        <v>2016</v>
      </c>
      <c r="EZ1005">
        <v>2225.23</v>
      </c>
      <c r="FA1005" t="s">
        <v>10352</v>
      </c>
      <c r="FB1005">
        <v>0.25</v>
      </c>
      <c r="FC1005" t="s">
        <v>424</v>
      </c>
      <c r="FD1005" t="s">
        <v>454</v>
      </c>
      <c r="FF1005">
        <v>12</v>
      </c>
      <c r="FG1005">
        <v>7400234</v>
      </c>
      <c r="FH1005" t="s">
        <v>426</v>
      </c>
      <c r="FJ1005" s="1">
        <v>42879</v>
      </c>
      <c r="FK1005">
        <v>2016</v>
      </c>
      <c r="FL1005">
        <v>2225.23</v>
      </c>
      <c r="FM1005" t="s">
        <v>10352</v>
      </c>
      <c r="FN1005">
        <v>0.25</v>
      </c>
      <c r="FO1005" t="s">
        <v>424</v>
      </c>
      <c r="FP1005" t="s">
        <v>454</v>
      </c>
      <c r="FR1005">
        <v>12</v>
      </c>
      <c r="FS1005">
        <v>7444872</v>
      </c>
      <c r="FT1005" t="s">
        <v>10353</v>
      </c>
      <c r="FV1005" s="1">
        <v>42515</v>
      </c>
      <c r="FW1005">
        <v>2015</v>
      </c>
      <c r="FX1005">
        <v>2295.06</v>
      </c>
      <c r="FY1005" t="s">
        <v>10354</v>
      </c>
      <c r="FZ1005">
        <v>0.25</v>
      </c>
      <c r="GA1005" t="s">
        <v>424</v>
      </c>
      <c r="GB1005" t="s">
        <v>425</v>
      </c>
      <c r="GC1005" s="1">
        <v>43158</v>
      </c>
      <c r="GD1005">
        <v>21</v>
      </c>
      <c r="GE1005">
        <v>5894185</v>
      </c>
      <c r="GF1005" t="s">
        <v>7135</v>
      </c>
      <c r="GH1005" s="1">
        <v>42515</v>
      </c>
      <c r="GI1005">
        <v>2015</v>
      </c>
      <c r="GJ1005">
        <v>2295.06</v>
      </c>
      <c r="GK1005" t="s">
        <v>10354</v>
      </c>
      <c r="GL1005">
        <v>0.25</v>
      </c>
      <c r="GM1005" t="s">
        <v>424</v>
      </c>
      <c r="GN1005" t="s">
        <v>425</v>
      </c>
      <c r="GP1005">
        <v>22</v>
      </c>
      <c r="GQ1005">
        <v>6109852</v>
      </c>
      <c r="GR1005" t="s">
        <v>10355</v>
      </c>
      <c r="GT1005" s="1">
        <v>41787</v>
      </c>
      <c r="GU1005">
        <v>2013</v>
      </c>
      <c r="GV1005">
        <v>1367.02</v>
      </c>
      <c r="GW1005" t="s">
        <v>10356</v>
      </c>
      <c r="GX1005">
        <v>0.25</v>
      </c>
      <c r="GY1005" t="s">
        <v>424</v>
      </c>
      <c r="GZ1005" t="s">
        <v>425</v>
      </c>
      <c r="HA1005" s="1">
        <v>42093</v>
      </c>
      <c r="HB1005">
        <v>10</v>
      </c>
      <c r="HC1005">
        <v>2903114</v>
      </c>
      <c r="HD1005" t="s">
        <v>1923</v>
      </c>
      <c r="HF1005" s="1">
        <v>41423</v>
      </c>
      <c r="HG1005">
        <v>2012</v>
      </c>
      <c r="HH1005">
        <v>1524.55</v>
      </c>
      <c r="HI1005" t="s">
        <v>10357</v>
      </c>
      <c r="HJ1005">
        <v>0.25</v>
      </c>
      <c r="HK1005" t="s">
        <v>424</v>
      </c>
      <c r="HL1005" t="s">
        <v>425</v>
      </c>
      <c r="HN1005">
        <v>22</v>
      </c>
      <c r="HO1005">
        <v>11289</v>
      </c>
      <c r="HP1005" t="s">
        <v>787</v>
      </c>
      <c r="HR1005" s="1">
        <v>41423</v>
      </c>
      <c r="HS1005">
        <v>2012</v>
      </c>
      <c r="HT1005">
        <v>1524.55</v>
      </c>
      <c r="HU1005" t="s">
        <v>10357</v>
      </c>
      <c r="HV1005">
        <v>0.25</v>
      </c>
      <c r="HW1005" t="s">
        <v>424</v>
      </c>
      <c r="HX1005" t="s">
        <v>425</v>
      </c>
      <c r="HY1005" s="1">
        <v>42093</v>
      </c>
      <c r="HZ1005">
        <v>22</v>
      </c>
      <c r="IA1005">
        <v>4844954</v>
      </c>
      <c r="IB1005" t="s">
        <v>1719</v>
      </c>
      <c r="ID1005" s="1">
        <v>40688</v>
      </c>
      <c r="IE1005">
        <v>2010</v>
      </c>
      <c r="IF1005">
        <v>1702.65</v>
      </c>
      <c r="IG1005" t="s">
        <v>10358</v>
      </c>
      <c r="IH1005">
        <v>0.25</v>
      </c>
      <c r="II1005" t="s">
        <v>424</v>
      </c>
      <c r="IJ1005" t="s">
        <v>425</v>
      </c>
      <c r="IK1005" s="1">
        <v>41001</v>
      </c>
      <c r="IL1005">
        <v>11</v>
      </c>
      <c r="IM1005">
        <v>10079</v>
      </c>
      <c r="IN1005" t="s">
        <v>3297</v>
      </c>
    </row>
    <row r="1006" spans="1:272" x14ac:dyDescent="0.25">
      <c r="A1006">
        <v>16486013</v>
      </c>
      <c r="B1006">
        <v>1005</v>
      </c>
      <c r="C1006" t="s">
        <v>393</v>
      </c>
      <c r="D1006" t="s">
        <v>394</v>
      </c>
      <c r="F1006" t="str">
        <f>"35-3N-25-1810-0006-0000"</f>
        <v>35-3N-25-1810-0006-0000</v>
      </c>
      <c r="H1006" t="str">
        <f>"TAYLOR JAMES V"</f>
        <v>TAYLOR JAMES V</v>
      </c>
      <c r="I1006" t="str">
        <f>"87543 CREEKSIDE DR"</f>
        <v>87543 CREEKSIDE DR</v>
      </c>
      <c r="J1006" t="str">
        <f>"YULEE FL 32097"</f>
        <v>YULEE FL 32097</v>
      </c>
      <c r="K1006" t="str">
        <f>"55206 BARTRAM TR"</f>
        <v>55206 BARTRAM TR</v>
      </c>
      <c r="L1006" t="str">
        <f>"CALLAHAN FL 32097"</f>
        <v>CALLAHAN FL 32097</v>
      </c>
      <c r="M1006" t="str">
        <f>"LOT 6 IN OR 2109/227 RESERVE AT DEER RUN 1 PB 8/24"</f>
        <v>LOT 6 IN OR 2109/227 RESERVE AT DEER RUN 1 PB 8/24</v>
      </c>
      <c r="N1006" t="str">
        <f>""</f>
        <v/>
      </c>
      <c r="O1006" t="str">
        <f>"41796"</f>
        <v>41796</v>
      </c>
      <c r="P1006" t="str">
        <f t="shared" si="310"/>
        <v>2017</v>
      </c>
      <c r="Q1006" t="str">
        <f>""</f>
        <v/>
      </c>
      <c r="R1006" t="str">
        <f t="shared" si="325"/>
        <v>N</v>
      </c>
      <c r="S1006" t="str">
        <f>""</f>
        <v/>
      </c>
      <c r="T1006" t="str">
        <f>"473.09"</f>
        <v>473.09</v>
      </c>
      <c r="U1006" t="str">
        <f>"31250.00"</f>
        <v>31250.00</v>
      </c>
      <c r="V1006" t="str">
        <f>"31250.00"</f>
        <v>31250.00</v>
      </c>
      <c r="W1006" t="str">
        <f t="shared" si="311"/>
        <v>2017</v>
      </c>
      <c r="X1006" t="str">
        <f>"11.25"</f>
        <v>11.25</v>
      </c>
      <c r="Y1006" t="str">
        <f>"519.28"</f>
        <v>519.28</v>
      </c>
      <c r="Z1006" t="str">
        <f>""</f>
        <v/>
      </c>
      <c r="AA1006" t="str">
        <f>"31250.00"</f>
        <v>31250.00</v>
      </c>
      <c r="AB1006" t="str">
        <f t="shared" ref="AB1006:AB1043" si="326">"Residential"</f>
        <v>Residential</v>
      </c>
      <c r="AC1006" t="str">
        <f t="shared" si="323"/>
        <v>0</v>
      </c>
      <c r="AD1006" t="str">
        <f>""</f>
        <v/>
      </c>
      <c r="AE1006" t="str">
        <f>""</f>
        <v/>
      </c>
      <c r="AF1006" t="str">
        <f>"000"</f>
        <v>000</v>
      </c>
      <c r="AG1006" t="str">
        <f t="shared" si="324"/>
        <v>FL</v>
      </c>
      <c r="AH1006" t="str">
        <f>"136286.00"</f>
        <v>136286.00</v>
      </c>
      <c r="AI1006" t="str">
        <f>"31250.00"</f>
        <v>31250.00</v>
      </c>
      <c r="AJ1006" t="str">
        <f>"C55-001-035-8265-6"</f>
        <v>C55-001-035-8265-6</v>
      </c>
      <c r="AK1006" t="str">
        <f>"15420"</f>
        <v>15420</v>
      </c>
      <c r="AL1006">
        <v>4</v>
      </c>
      <c r="AM1006">
        <v>1156</v>
      </c>
      <c r="AN1006">
        <v>543.64</v>
      </c>
      <c r="AQ1006" t="s">
        <v>10359</v>
      </c>
      <c r="AR1006" t="s">
        <v>10359</v>
      </c>
      <c r="AS1006" t="s">
        <v>10359</v>
      </c>
      <c r="AU1006" t="s">
        <v>396</v>
      </c>
      <c r="AV1006">
        <v>2017</v>
      </c>
      <c r="AW1006" t="str">
        <f>"35-3N-25-1810-0006-0000 "</f>
        <v xml:space="preserve">35-3N-25-1810-0006-0000 </v>
      </c>
      <c r="AX1006">
        <v>55206</v>
      </c>
      <c r="AZ1006" t="s">
        <v>10360</v>
      </c>
      <c r="BD1006" t="s">
        <v>2785</v>
      </c>
      <c r="BE1006" t="s">
        <v>393</v>
      </c>
      <c r="BF1006">
        <v>32097</v>
      </c>
      <c r="BG1006" t="s">
        <v>10361</v>
      </c>
      <c r="BH1006" t="s">
        <v>10362</v>
      </c>
      <c r="BI1006">
        <v>-81.772812195212495</v>
      </c>
      <c r="BJ1006">
        <v>30.637989345653299</v>
      </c>
      <c r="BK1006" t="s">
        <v>10363</v>
      </c>
      <c r="BM1006" t="s">
        <v>10364</v>
      </c>
      <c r="BN1006" t="s">
        <v>1778</v>
      </c>
      <c r="BO1006">
        <v>32097</v>
      </c>
      <c r="BP1006" t="s">
        <v>404</v>
      </c>
      <c r="BQ1006">
        <v>0</v>
      </c>
      <c r="BR1006" t="s">
        <v>491</v>
      </c>
      <c r="BS1006">
        <v>8001</v>
      </c>
      <c r="BT1006" t="s">
        <v>492</v>
      </c>
      <c r="BW1006">
        <v>136286</v>
      </c>
      <c r="BX1006" t="s">
        <v>407</v>
      </c>
      <c r="BY1006" t="s">
        <v>408</v>
      </c>
      <c r="CD1006">
        <v>2017</v>
      </c>
      <c r="CE1006">
        <v>31250</v>
      </c>
      <c r="CG1006">
        <v>31250</v>
      </c>
      <c r="CH1006">
        <v>2017</v>
      </c>
      <c r="CI1006">
        <v>31250</v>
      </c>
      <c r="CK1006">
        <v>31250</v>
      </c>
      <c r="CL1006">
        <v>2017</v>
      </c>
      <c r="CM1006">
        <v>473.09</v>
      </c>
      <c r="CN1006" s="1">
        <v>42821</v>
      </c>
      <c r="CO1006">
        <v>40000</v>
      </c>
      <c r="CV1006">
        <v>28000</v>
      </c>
      <c r="CX1006" t="s">
        <v>675</v>
      </c>
      <c r="CZ1006" s="1">
        <v>42821</v>
      </c>
      <c r="DA1006">
        <v>0</v>
      </c>
      <c r="DD1006" t="s">
        <v>2785</v>
      </c>
      <c r="DF1006">
        <v>6</v>
      </c>
      <c r="DG1006">
        <v>35</v>
      </c>
      <c r="DJ1006" t="s">
        <v>9445</v>
      </c>
      <c r="DL1006">
        <v>50301</v>
      </c>
      <c r="DM1006" t="s">
        <v>10365</v>
      </c>
      <c r="DO1006" t="s">
        <v>10366</v>
      </c>
      <c r="DP1006">
        <v>0</v>
      </c>
      <c r="DQ1006">
        <v>0</v>
      </c>
      <c r="DR1006" t="s">
        <v>411</v>
      </c>
      <c r="DS1006" t="b">
        <v>1</v>
      </c>
      <c r="DT1006" t="s">
        <v>470</v>
      </c>
      <c r="DU1006" t="s">
        <v>471</v>
      </c>
      <c r="DV1006" t="s">
        <v>472</v>
      </c>
      <c r="DX1006">
        <v>-9999</v>
      </c>
      <c r="DZ1006" t="s">
        <v>447</v>
      </c>
      <c r="EA1006" t="s">
        <v>448</v>
      </c>
      <c r="EB1006" t="s">
        <v>742</v>
      </c>
      <c r="EC1006">
        <v>20101217</v>
      </c>
      <c r="ED1006" t="s">
        <v>474</v>
      </c>
      <c r="EF1006">
        <v>2342.1</v>
      </c>
      <c r="EG1006">
        <v>2342.1</v>
      </c>
      <c r="EI1006">
        <v>20160407</v>
      </c>
      <c r="EJ1006">
        <v>0</v>
      </c>
      <c r="EK1006">
        <v>0</v>
      </c>
      <c r="EP1006" t="s">
        <v>421</v>
      </c>
      <c r="EQ1006" t="s">
        <v>422</v>
      </c>
      <c r="ER1006">
        <v>0</v>
      </c>
      <c r="ES1006">
        <v>4</v>
      </c>
      <c r="ET1006">
        <v>0</v>
      </c>
      <c r="EU1006">
        <v>0</v>
      </c>
      <c r="EV1006">
        <v>0</v>
      </c>
      <c r="EW1006" s="2">
        <v>43222</v>
      </c>
      <c r="EX1006" s="1">
        <v>42515</v>
      </c>
      <c r="EY1006">
        <v>2015</v>
      </c>
      <c r="EZ1006">
        <v>352.31</v>
      </c>
      <c r="FA1006" t="s">
        <v>10367</v>
      </c>
      <c r="FB1006">
        <v>0.25</v>
      </c>
      <c r="FC1006" t="s">
        <v>424</v>
      </c>
      <c r="FD1006" t="s">
        <v>425</v>
      </c>
      <c r="FE1006" s="1">
        <v>42597</v>
      </c>
      <c r="FF1006">
        <v>3</v>
      </c>
      <c r="FG1006">
        <v>2035919</v>
      </c>
      <c r="FH1006" t="s">
        <v>507</v>
      </c>
      <c r="FJ1006" s="1">
        <v>42151</v>
      </c>
      <c r="FK1006">
        <v>2014</v>
      </c>
      <c r="FL1006">
        <v>354</v>
      </c>
      <c r="FM1006" t="s">
        <v>10368</v>
      </c>
      <c r="FN1006">
        <v>4.75</v>
      </c>
      <c r="FO1006" t="s">
        <v>424</v>
      </c>
      <c r="FP1006" t="s">
        <v>425</v>
      </c>
      <c r="FQ1006" s="1">
        <v>42597</v>
      </c>
      <c r="FR1006">
        <v>15</v>
      </c>
      <c r="FS1006">
        <v>4975593</v>
      </c>
      <c r="FT1006" t="s">
        <v>505</v>
      </c>
      <c r="FV1006" s="1">
        <v>41787</v>
      </c>
      <c r="FW1006">
        <v>2013</v>
      </c>
      <c r="FX1006">
        <v>336.24</v>
      </c>
      <c r="FY1006" t="s">
        <v>10369</v>
      </c>
      <c r="FZ1006">
        <v>6</v>
      </c>
      <c r="GA1006" t="s">
        <v>424</v>
      </c>
      <c r="GB1006" t="s">
        <v>425</v>
      </c>
      <c r="GC1006" s="1">
        <v>42458</v>
      </c>
      <c r="GD1006">
        <v>22</v>
      </c>
      <c r="GE1006">
        <v>2035919</v>
      </c>
      <c r="GF1006" t="s">
        <v>507</v>
      </c>
      <c r="GH1006" s="1">
        <v>40688</v>
      </c>
      <c r="GI1006">
        <v>2010</v>
      </c>
      <c r="GJ1006">
        <v>452.88</v>
      </c>
      <c r="GK1006" t="s">
        <v>10370</v>
      </c>
      <c r="GL1006">
        <v>6.75</v>
      </c>
      <c r="GM1006" t="s">
        <v>424</v>
      </c>
      <c r="GN1006" t="s">
        <v>425</v>
      </c>
      <c r="GO1006" s="1">
        <v>40835</v>
      </c>
      <c r="GP1006">
        <v>5</v>
      </c>
      <c r="GQ1006">
        <v>105</v>
      </c>
      <c r="GR1006" t="s">
        <v>946</v>
      </c>
    </row>
    <row r="1007" spans="1:272" x14ac:dyDescent="0.25">
      <c r="A1007">
        <v>16486014</v>
      </c>
      <c r="B1007">
        <v>1006</v>
      </c>
      <c r="C1007" t="s">
        <v>393</v>
      </c>
      <c r="D1007" t="s">
        <v>394</v>
      </c>
      <c r="F1007" t="str">
        <f>"35-3N-25-1810-0075-0000"</f>
        <v>35-3N-25-1810-0075-0000</v>
      </c>
      <c r="H1007" t="str">
        <f>"JACKSON LARRY GENE JR &amp; TREANA"</f>
        <v>JACKSON LARRY GENE JR &amp; TREANA</v>
      </c>
      <c r="I1007" t="str">
        <f>"55127 BARTRAM TRAIL"</f>
        <v>55127 BARTRAM TRAIL</v>
      </c>
      <c r="J1007" t="str">
        <f>"CALLAHAN FL 32011"</f>
        <v>CALLAHAN FL 32011</v>
      </c>
      <c r="K1007" t="str">
        <f>"55169 BARTRAM TR"</f>
        <v>55169 BARTRAM TR</v>
      </c>
      <c r="L1007" t="str">
        <f>"CALLAHAN FL 32011"</f>
        <v>CALLAHAN FL 32011</v>
      </c>
      <c r="M1007" t="str">
        <f>"LOT 75 PT OR 2102/339 RESERVE AT DEER RUN 1 PB 8/24"</f>
        <v>LOT 75 PT OR 2102/339 RESERVE AT DEER RUN 1 PB 8/24</v>
      </c>
      <c r="N1007" t="str">
        <f>""</f>
        <v/>
      </c>
      <c r="O1007" t="str">
        <f>"41837"</f>
        <v>41837</v>
      </c>
      <c r="P1007" t="str">
        <f t="shared" si="310"/>
        <v>2017</v>
      </c>
      <c r="Q1007" t="str">
        <f>""</f>
        <v/>
      </c>
      <c r="R1007" t="str">
        <f t="shared" si="325"/>
        <v>N</v>
      </c>
      <c r="S1007" t="str">
        <f>""</f>
        <v/>
      </c>
      <c r="T1007" t="str">
        <f>"338.75"</f>
        <v>338.75</v>
      </c>
      <c r="U1007" t="str">
        <f t="shared" ref="U1007:V1010" si="327">"20350.00"</f>
        <v>20350.00</v>
      </c>
      <c r="V1007" t="str">
        <f t="shared" si="327"/>
        <v>20350.00</v>
      </c>
      <c r="W1007" t="str">
        <f t="shared" si="311"/>
        <v>2017</v>
      </c>
      <c r="X1007" t="str">
        <f>"16.67"</f>
        <v>16.67</v>
      </c>
      <c r="Y1007" t="str">
        <f>"380.91"</f>
        <v>380.91</v>
      </c>
      <c r="Z1007" t="str">
        <f>""</f>
        <v/>
      </c>
      <c r="AA1007" t="str">
        <f>"25000.00"</f>
        <v>25000.00</v>
      </c>
      <c r="AB1007" t="str">
        <f t="shared" si="326"/>
        <v>Residential</v>
      </c>
      <c r="AC1007" t="str">
        <f t="shared" si="323"/>
        <v>0</v>
      </c>
      <c r="AD1007" t="str">
        <f>""</f>
        <v/>
      </c>
      <c r="AE1007" t="str">
        <f>""</f>
        <v/>
      </c>
      <c r="AF1007" t="str">
        <f>"000"</f>
        <v>000</v>
      </c>
      <c r="AG1007" t="str">
        <f t="shared" si="324"/>
        <v>FL</v>
      </c>
      <c r="AH1007" t="str">
        <f>"59992.00"</f>
        <v>59992.00</v>
      </c>
      <c r="AI1007" t="str">
        <f>"25000.00"</f>
        <v>25000.00</v>
      </c>
      <c r="AJ1007" t="str">
        <f>"C55-001-041-0294-2"</f>
        <v>C55-001-041-0294-2</v>
      </c>
      <c r="AK1007" t="str">
        <f>"15454"</f>
        <v>15454</v>
      </c>
      <c r="AL1007">
        <v>4</v>
      </c>
      <c r="AM1007">
        <v>1157</v>
      </c>
      <c r="AN1007">
        <v>398.36</v>
      </c>
      <c r="AQ1007" t="s">
        <v>10371</v>
      </c>
      <c r="AR1007" t="s">
        <v>10371</v>
      </c>
      <c r="AS1007" t="s">
        <v>10371</v>
      </c>
      <c r="AU1007" t="s">
        <v>396</v>
      </c>
      <c r="AV1007">
        <v>2017</v>
      </c>
      <c r="AW1007" t="str">
        <f>"35-3N-25-1810-0075-0000 "</f>
        <v xml:space="preserve">35-3N-25-1810-0075-0000 </v>
      </c>
      <c r="AX1007">
        <v>55169</v>
      </c>
      <c r="AZ1007" t="s">
        <v>10360</v>
      </c>
      <c r="BD1007" t="s">
        <v>2785</v>
      </c>
      <c r="BE1007" t="s">
        <v>393</v>
      </c>
      <c r="BF1007">
        <v>32011</v>
      </c>
      <c r="BG1007" t="s">
        <v>10372</v>
      </c>
      <c r="BH1007" t="s">
        <v>2787</v>
      </c>
      <c r="BI1007">
        <v>-81.774570954116996</v>
      </c>
      <c r="BJ1007">
        <v>30.6383696388834</v>
      </c>
      <c r="BK1007" t="s">
        <v>10373</v>
      </c>
      <c r="BL1007" t="s">
        <v>10374</v>
      </c>
      <c r="BM1007" t="s">
        <v>10375</v>
      </c>
      <c r="BN1007" t="s">
        <v>928</v>
      </c>
      <c r="BO1007">
        <v>32011</v>
      </c>
      <c r="BP1007" t="s">
        <v>404</v>
      </c>
      <c r="BQ1007">
        <v>0</v>
      </c>
      <c r="BR1007" t="s">
        <v>491</v>
      </c>
      <c r="BS1007">
        <v>8001</v>
      </c>
      <c r="BT1007" t="s">
        <v>492</v>
      </c>
      <c r="BW1007">
        <v>59992</v>
      </c>
      <c r="BX1007" t="s">
        <v>407</v>
      </c>
      <c r="BY1007" t="s">
        <v>408</v>
      </c>
      <c r="CD1007">
        <v>2017</v>
      </c>
      <c r="CE1007">
        <v>25000</v>
      </c>
      <c r="CG1007">
        <v>25000</v>
      </c>
      <c r="CH1007">
        <v>2017</v>
      </c>
      <c r="CI1007">
        <v>25000</v>
      </c>
      <c r="CK1007">
        <v>25000</v>
      </c>
      <c r="CL1007">
        <v>2017</v>
      </c>
      <c r="CM1007">
        <v>338.75</v>
      </c>
      <c r="CN1007" s="1">
        <v>42787</v>
      </c>
      <c r="CO1007">
        <v>79600</v>
      </c>
      <c r="CV1007">
        <v>0</v>
      </c>
      <c r="CZ1007" s="1">
        <v>42787</v>
      </c>
      <c r="DA1007">
        <v>0</v>
      </c>
      <c r="DD1007" t="s">
        <v>2785</v>
      </c>
      <c r="DF1007">
        <v>75</v>
      </c>
      <c r="DG1007">
        <v>35</v>
      </c>
      <c r="DJ1007" t="s">
        <v>9445</v>
      </c>
      <c r="DL1007">
        <v>50301</v>
      </c>
      <c r="DM1007" t="s">
        <v>10365</v>
      </c>
      <c r="DO1007" t="s">
        <v>10376</v>
      </c>
      <c r="DP1007">
        <v>0</v>
      </c>
      <c r="DQ1007">
        <v>0</v>
      </c>
      <c r="DR1007" t="s">
        <v>411</v>
      </c>
      <c r="DS1007" t="b">
        <v>1</v>
      </c>
      <c r="DT1007" t="s">
        <v>470</v>
      </c>
      <c r="DU1007" t="s">
        <v>471</v>
      </c>
      <c r="DV1007" t="s">
        <v>472</v>
      </c>
      <c r="DX1007">
        <v>-9999</v>
      </c>
      <c r="DZ1007" t="s">
        <v>447</v>
      </c>
      <c r="EA1007" t="s">
        <v>448</v>
      </c>
      <c r="EB1007" t="s">
        <v>742</v>
      </c>
      <c r="EC1007">
        <v>20101217</v>
      </c>
      <c r="ED1007" t="s">
        <v>474</v>
      </c>
      <c r="EF1007">
        <v>2376.6</v>
      </c>
      <c r="EG1007">
        <v>2376.6</v>
      </c>
      <c r="EI1007">
        <v>20160407</v>
      </c>
      <c r="EJ1007">
        <v>0</v>
      </c>
      <c r="EK1007">
        <v>0</v>
      </c>
      <c r="EP1007" t="s">
        <v>421</v>
      </c>
      <c r="EQ1007" t="s">
        <v>422</v>
      </c>
      <c r="ER1007">
        <v>0</v>
      </c>
      <c r="ES1007">
        <v>3</v>
      </c>
      <c r="ET1007">
        <v>0</v>
      </c>
      <c r="EU1007">
        <v>0</v>
      </c>
      <c r="EV1007">
        <v>0</v>
      </c>
      <c r="EW1007" s="2">
        <v>43222</v>
      </c>
      <c r="EX1007" s="1">
        <v>42515</v>
      </c>
      <c r="EY1007">
        <v>2015</v>
      </c>
      <c r="EZ1007">
        <v>336.59</v>
      </c>
      <c r="FA1007" t="s">
        <v>10377</v>
      </c>
      <c r="FB1007">
        <v>0.25</v>
      </c>
      <c r="FC1007" t="s">
        <v>424</v>
      </c>
      <c r="FD1007" t="s">
        <v>425</v>
      </c>
      <c r="FE1007" s="1">
        <v>42788</v>
      </c>
      <c r="FF1007">
        <v>9</v>
      </c>
      <c r="FG1007">
        <v>2035919</v>
      </c>
      <c r="FH1007" t="s">
        <v>507</v>
      </c>
      <c r="FJ1007" s="1">
        <v>42151</v>
      </c>
      <c r="FK1007">
        <v>2014</v>
      </c>
      <c r="FL1007">
        <v>338.19</v>
      </c>
      <c r="FM1007" t="s">
        <v>10378</v>
      </c>
      <c r="FN1007">
        <v>4.75</v>
      </c>
      <c r="FO1007" t="s">
        <v>424</v>
      </c>
      <c r="FP1007" t="s">
        <v>425</v>
      </c>
      <c r="FQ1007" s="1">
        <v>42732</v>
      </c>
      <c r="FR1007">
        <v>19</v>
      </c>
      <c r="FS1007">
        <v>4975593</v>
      </c>
      <c r="FT1007" t="s">
        <v>505</v>
      </c>
      <c r="FV1007" s="1">
        <v>41787</v>
      </c>
      <c r="FW1007">
        <v>2013</v>
      </c>
      <c r="FX1007">
        <v>321.27</v>
      </c>
      <c r="FY1007" t="s">
        <v>10379</v>
      </c>
      <c r="FZ1007">
        <v>6</v>
      </c>
      <c r="GA1007" t="s">
        <v>424</v>
      </c>
      <c r="GB1007" t="s">
        <v>425</v>
      </c>
      <c r="GC1007" s="1">
        <v>42458</v>
      </c>
      <c r="GD1007">
        <v>22</v>
      </c>
      <c r="GE1007">
        <v>2035919</v>
      </c>
      <c r="GF1007" t="s">
        <v>507</v>
      </c>
    </row>
    <row r="1008" spans="1:272" x14ac:dyDescent="0.25">
      <c r="A1008">
        <v>16486015</v>
      </c>
      <c r="B1008">
        <v>1007</v>
      </c>
      <c r="C1008" t="s">
        <v>393</v>
      </c>
      <c r="D1008" t="s">
        <v>394</v>
      </c>
      <c r="F1008" t="str">
        <f>"35-3N-25-1810-0076-0000"</f>
        <v>35-3N-25-1810-0076-0000</v>
      </c>
      <c r="H1008" t="str">
        <f>"JACKSON LARRY GENE JR &amp; TREANA"</f>
        <v>JACKSON LARRY GENE JR &amp; TREANA</v>
      </c>
      <c r="I1008" t="str">
        <f>"55127 BARTRAM TRAIL"</f>
        <v>55127 BARTRAM TRAIL</v>
      </c>
      <c r="J1008" t="str">
        <f>"CALLAHAN FL 32011"</f>
        <v>CALLAHAN FL 32011</v>
      </c>
      <c r="K1008" t="str">
        <f>"BARTRAM TR"</f>
        <v>BARTRAM TR</v>
      </c>
      <c r="L1008" t="str">
        <f>"CALLAHAN FL 32011"</f>
        <v>CALLAHAN FL 32011</v>
      </c>
      <c r="M1008" t="str">
        <f>"LOT 76 PT OR 2102/339 RESERVE AT DEER RUN 1 PB 8/24"</f>
        <v>LOT 76 PT OR 2102/339 RESERVE AT DEER RUN 1 PB 8/24</v>
      </c>
      <c r="N1008" t="str">
        <f>""</f>
        <v/>
      </c>
      <c r="O1008" t="str">
        <f>"41838"</f>
        <v>41838</v>
      </c>
      <c r="P1008" t="str">
        <f t="shared" si="310"/>
        <v>2017</v>
      </c>
      <c r="Q1008" t="str">
        <f>""</f>
        <v/>
      </c>
      <c r="R1008" t="str">
        <f t="shared" si="325"/>
        <v>N</v>
      </c>
      <c r="S1008" t="str">
        <f>""</f>
        <v/>
      </c>
      <c r="T1008" t="str">
        <f>"338.75"</f>
        <v>338.75</v>
      </c>
      <c r="U1008" t="str">
        <f t="shared" si="327"/>
        <v>20350.00</v>
      </c>
      <c r="V1008" t="str">
        <f t="shared" si="327"/>
        <v>20350.00</v>
      </c>
      <c r="W1008" t="str">
        <f t="shared" si="311"/>
        <v>2017</v>
      </c>
      <c r="X1008" t="str">
        <f>"13.75"</f>
        <v>13.75</v>
      </c>
      <c r="Y1008" t="str">
        <f>"380.91"</f>
        <v>380.91</v>
      </c>
      <c r="Z1008" t="str">
        <f>""</f>
        <v/>
      </c>
      <c r="AA1008" t="str">
        <f>"25000.00"</f>
        <v>25000.00</v>
      </c>
      <c r="AB1008" t="str">
        <f t="shared" si="326"/>
        <v>Residential</v>
      </c>
      <c r="AC1008" t="str">
        <f t="shared" si="323"/>
        <v>0</v>
      </c>
      <c r="AD1008" t="str">
        <f>""</f>
        <v/>
      </c>
      <c r="AE1008" t="str">
        <f>""</f>
        <v/>
      </c>
      <c r="AF1008" t="str">
        <f>"000"</f>
        <v>000</v>
      </c>
      <c r="AG1008" t="str">
        <f t="shared" si="324"/>
        <v>FL</v>
      </c>
      <c r="AH1008" t="str">
        <f>"44669.00"</f>
        <v>44669.00</v>
      </c>
      <c r="AI1008" t="str">
        <f>"25000.00"</f>
        <v>25000.00</v>
      </c>
      <c r="AJ1008" t="str">
        <f>"C55-001-035-8293-8"</f>
        <v>C55-001-035-8293-8</v>
      </c>
      <c r="AK1008" t="str">
        <f>"15455"</f>
        <v>15455</v>
      </c>
      <c r="AL1008">
        <v>4</v>
      </c>
      <c r="AM1008">
        <v>1158</v>
      </c>
      <c r="AN1008">
        <v>398.36</v>
      </c>
      <c r="AQ1008" t="s">
        <v>10380</v>
      </c>
      <c r="AR1008" t="s">
        <v>10380</v>
      </c>
      <c r="AS1008" t="s">
        <v>10380</v>
      </c>
      <c r="AU1008" t="s">
        <v>396</v>
      </c>
      <c r="AV1008">
        <v>2017</v>
      </c>
      <c r="AW1008" t="str">
        <f>"35-3N-25-1810-0076-0000 "</f>
        <v xml:space="preserve">35-3N-25-1810-0076-0000 </v>
      </c>
      <c r="AZ1008" t="s">
        <v>10360</v>
      </c>
      <c r="BD1008" t="s">
        <v>2785</v>
      </c>
      <c r="BE1008" t="s">
        <v>393</v>
      </c>
      <c r="BF1008">
        <v>32011</v>
      </c>
      <c r="BG1008" t="s">
        <v>10360</v>
      </c>
      <c r="BH1008" t="s">
        <v>2787</v>
      </c>
      <c r="BI1008">
        <v>-81.774104305369306</v>
      </c>
      <c r="BJ1008">
        <v>30.639003384205498</v>
      </c>
      <c r="BK1008" t="s">
        <v>10373</v>
      </c>
      <c r="BL1008" t="s">
        <v>10374</v>
      </c>
      <c r="BM1008" t="s">
        <v>10375</v>
      </c>
      <c r="BN1008" t="s">
        <v>928</v>
      </c>
      <c r="BO1008">
        <v>32011</v>
      </c>
      <c r="BP1008" t="s">
        <v>404</v>
      </c>
      <c r="BQ1008">
        <v>0</v>
      </c>
      <c r="BR1008" t="s">
        <v>491</v>
      </c>
      <c r="BS1008">
        <v>8001</v>
      </c>
      <c r="BT1008" t="s">
        <v>492</v>
      </c>
      <c r="BW1008">
        <v>44669</v>
      </c>
      <c r="BX1008" t="s">
        <v>407</v>
      </c>
      <c r="BY1008" t="s">
        <v>408</v>
      </c>
      <c r="CD1008">
        <v>2017</v>
      </c>
      <c r="CE1008">
        <v>25000</v>
      </c>
      <c r="CG1008">
        <v>25000</v>
      </c>
      <c r="CH1008">
        <v>2017</v>
      </c>
      <c r="CI1008">
        <v>25000</v>
      </c>
      <c r="CK1008">
        <v>25000</v>
      </c>
      <c r="CL1008">
        <v>2017</v>
      </c>
      <c r="CM1008">
        <v>338.75</v>
      </c>
      <c r="CN1008" s="1">
        <v>42787</v>
      </c>
      <c r="CO1008">
        <v>79600</v>
      </c>
      <c r="CV1008">
        <v>0</v>
      </c>
      <c r="CZ1008" s="1">
        <v>42787</v>
      </c>
      <c r="DA1008">
        <v>0</v>
      </c>
      <c r="DD1008" t="s">
        <v>2785</v>
      </c>
      <c r="DF1008">
        <v>76</v>
      </c>
      <c r="DG1008">
        <v>35</v>
      </c>
      <c r="DJ1008" t="s">
        <v>9445</v>
      </c>
      <c r="DL1008">
        <v>50301</v>
      </c>
      <c r="DM1008" t="s">
        <v>10365</v>
      </c>
      <c r="DO1008" t="s">
        <v>10381</v>
      </c>
      <c r="DP1008">
        <v>0</v>
      </c>
      <c r="DQ1008">
        <v>0</v>
      </c>
      <c r="DR1008" t="s">
        <v>411</v>
      </c>
      <c r="DS1008" t="b">
        <v>1</v>
      </c>
      <c r="DT1008" t="s">
        <v>470</v>
      </c>
      <c r="DU1008" t="s">
        <v>471</v>
      </c>
      <c r="DV1008" t="s">
        <v>472</v>
      </c>
      <c r="DX1008">
        <v>-9999</v>
      </c>
      <c r="DZ1008" t="s">
        <v>447</v>
      </c>
      <c r="EA1008" t="s">
        <v>448</v>
      </c>
      <c r="EB1008" t="s">
        <v>742</v>
      </c>
      <c r="EC1008">
        <v>20101217</v>
      </c>
      <c r="ED1008" t="s">
        <v>474</v>
      </c>
      <c r="EF1008">
        <v>2106.4</v>
      </c>
      <c r="EG1008">
        <v>2106.4</v>
      </c>
      <c r="EI1008">
        <v>20160407</v>
      </c>
      <c r="EJ1008">
        <v>0</v>
      </c>
      <c r="EK1008">
        <v>0</v>
      </c>
      <c r="EP1008" t="s">
        <v>421</v>
      </c>
      <c r="EQ1008" t="s">
        <v>422</v>
      </c>
      <c r="ER1008">
        <v>0</v>
      </c>
      <c r="ES1008">
        <v>4</v>
      </c>
      <c r="ET1008">
        <v>0</v>
      </c>
      <c r="EU1008">
        <v>0</v>
      </c>
      <c r="EV1008">
        <v>0</v>
      </c>
      <c r="EW1008" s="2">
        <v>43222</v>
      </c>
      <c r="EX1008" s="1">
        <v>42515</v>
      </c>
      <c r="EY1008">
        <v>2015</v>
      </c>
      <c r="EZ1008">
        <v>336.59</v>
      </c>
      <c r="FA1008" t="s">
        <v>10382</v>
      </c>
      <c r="FB1008">
        <v>0.25</v>
      </c>
      <c r="FC1008" t="s">
        <v>424</v>
      </c>
      <c r="FD1008" t="s">
        <v>425</v>
      </c>
      <c r="FE1008" s="1">
        <v>42788</v>
      </c>
      <c r="FF1008">
        <v>9</v>
      </c>
      <c r="FG1008">
        <v>2035919</v>
      </c>
      <c r="FH1008" t="s">
        <v>507</v>
      </c>
      <c r="FJ1008" s="1">
        <v>42151</v>
      </c>
      <c r="FK1008">
        <v>2014</v>
      </c>
      <c r="FL1008">
        <v>338.19</v>
      </c>
      <c r="FM1008" t="s">
        <v>10383</v>
      </c>
      <c r="FN1008">
        <v>4.75</v>
      </c>
      <c r="FO1008" t="s">
        <v>424</v>
      </c>
      <c r="FP1008" t="s">
        <v>425</v>
      </c>
      <c r="FQ1008" s="1">
        <v>42732</v>
      </c>
      <c r="FR1008">
        <v>19</v>
      </c>
      <c r="FS1008">
        <v>4975593</v>
      </c>
      <c r="FT1008" t="s">
        <v>505</v>
      </c>
      <c r="FV1008" s="1">
        <v>41787</v>
      </c>
      <c r="FW1008">
        <v>2013</v>
      </c>
      <c r="FX1008">
        <v>321.27</v>
      </c>
      <c r="FY1008" t="s">
        <v>10384</v>
      </c>
      <c r="FZ1008">
        <v>6</v>
      </c>
      <c r="GA1008" t="s">
        <v>424</v>
      </c>
      <c r="GB1008" t="s">
        <v>425</v>
      </c>
      <c r="GC1008" s="1">
        <v>42458</v>
      </c>
      <c r="GD1008">
        <v>22</v>
      </c>
      <c r="GE1008">
        <v>2035919</v>
      </c>
      <c r="GF1008" t="s">
        <v>507</v>
      </c>
      <c r="GH1008" s="1">
        <v>40688</v>
      </c>
      <c r="GI1008">
        <v>2010</v>
      </c>
      <c r="GJ1008">
        <v>431.95</v>
      </c>
      <c r="GK1008" t="s">
        <v>10385</v>
      </c>
      <c r="GL1008">
        <v>6.75</v>
      </c>
      <c r="GM1008" t="s">
        <v>424</v>
      </c>
      <c r="GN1008" t="s">
        <v>425</v>
      </c>
      <c r="GO1008" s="1">
        <v>40835</v>
      </c>
      <c r="GP1008">
        <v>5</v>
      </c>
      <c r="GQ1008">
        <v>105</v>
      </c>
      <c r="GR1008" t="s">
        <v>946</v>
      </c>
    </row>
    <row r="1009" spans="1:272" x14ac:dyDescent="0.25">
      <c r="A1009">
        <v>16486016</v>
      </c>
      <c r="B1009">
        <v>1008</v>
      </c>
      <c r="C1009" t="s">
        <v>393</v>
      </c>
      <c r="D1009" t="s">
        <v>394</v>
      </c>
      <c r="F1009" t="str">
        <f>"35-3N-25-1810-0093-0000"</f>
        <v>35-3N-25-1810-0093-0000</v>
      </c>
      <c r="H1009" t="str">
        <f>"JACKSON LARRY GENE JR &amp; TREANA"</f>
        <v>JACKSON LARRY GENE JR &amp; TREANA</v>
      </c>
      <c r="I1009" t="str">
        <f>"55127 BARTRAM TRAIL"</f>
        <v>55127 BARTRAM TRAIL</v>
      </c>
      <c r="J1009" t="str">
        <f>"CALLAHAN FL 32011"</f>
        <v>CALLAHAN FL 32011</v>
      </c>
      <c r="K1009" t="str">
        <f>"54118 TROTTER LN"</f>
        <v>54118 TROTTER LN</v>
      </c>
      <c r="L1009" t="str">
        <f>"CALLAHAN FL 32011"</f>
        <v>CALLAHAN FL 32011</v>
      </c>
      <c r="M1009" t="str">
        <f>"LOT 93 PT OR 2102/339 RESERVE AT DEER RUN 1 PB 8/24"</f>
        <v>LOT 93 PT OR 2102/339 RESERVE AT DEER RUN 1 PB 8/24</v>
      </c>
      <c r="N1009" t="str">
        <f>""</f>
        <v/>
      </c>
      <c r="O1009" t="str">
        <f>"41851"</f>
        <v>41851</v>
      </c>
      <c r="P1009" t="str">
        <f t="shared" si="310"/>
        <v>2017</v>
      </c>
      <c r="Q1009" t="str">
        <f>""</f>
        <v/>
      </c>
      <c r="R1009" t="str">
        <f t="shared" si="325"/>
        <v>N</v>
      </c>
      <c r="S1009" t="str">
        <f>""</f>
        <v/>
      </c>
      <c r="T1009" t="str">
        <f>"338.75"</f>
        <v>338.75</v>
      </c>
      <c r="U1009" t="str">
        <f t="shared" si="327"/>
        <v>20350.00</v>
      </c>
      <c r="V1009" t="str">
        <f t="shared" si="327"/>
        <v>20350.00</v>
      </c>
      <c r="W1009" t="str">
        <f t="shared" si="311"/>
        <v>2017</v>
      </c>
      <c r="X1009" t="str">
        <f>"13.75"</f>
        <v>13.75</v>
      </c>
      <c r="Y1009" t="str">
        <f>"380.91"</f>
        <v>380.91</v>
      </c>
      <c r="Z1009" t="str">
        <f>""</f>
        <v/>
      </c>
      <c r="AA1009" t="str">
        <f>"25000.00"</f>
        <v>25000.00</v>
      </c>
      <c r="AB1009" t="str">
        <f t="shared" si="326"/>
        <v>Residential</v>
      </c>
      <c r="AC1009" t="str">
        <f t="shared" si="323"/>
        <v>0</v>
      </c>
      <c r="AD1009" t="str">
        <f>""</f>
        <v/>
      </c>
      <c r="AE1009" t="str">
        <f>""</f>
        <v/>
      </c>
      <c r="AF1009" t="str">
        <f>"000"</f>
        <v>000</v>
      </c>
      <c r="AG1009" t="str">
        <f t="shared" si="324"/>
        <v>FL</v>
      </c>
      <c r="AH1009" t="str">
        <f>"43934.00"</f>
        <v>43934.00</v>
      </c>
      <c r="AI1009" t="str">
        <f>"25000.00"</f>
        <v>25000.00</v>
      </c>
      <c r="AJ1009" t="str">
        <f>"C55-001-035-8306-8"</f>
        <v>C55-001-035-8306-8</v>
      </c>
      <c r="AK1009" t="str">
        <f>"15468"</f>
        <v>15468</v>
      </c>
      <c r="AL1009">
        <v>4</v>
      </c>
      <c r="AM1009">
        <v>1160</v>
      </c>
      <c r="AN1009">
        <v>398.36</v>
      </c>
      <c r="AQ1009" t="s">
        <v>10386</v>
      </c>
      <c r="AR1009" t="s">
        <v>10386</v>
      </c>
      <c r="AS1009" t="s">
        <v>10386</v>
      </c>
      <c r="AU1009" t="s">
        <v>396</v>
      </c>
      <c r="AV1009">
        <v>2017</v>
      </c>
      <c r="AW1009" t="str">
        <f>"35-3N-25-1810-0093-0000 "</f>
        <v xml:space="preserve">35-3N-25-1810-0093-0000 </v>
      </c>
      <c r="AX1009">
        <v>54118</v>
      </c>
      <c r="AZ1009" t="s">
        <v>10387</v>
      </c>
      <c r="BA1009" t="s">
        <v>653</v>
      </c>
      <c r="BD1009" t="s">
        <v>2785</v>
      </c>
      <c r="BE1009" t="s">
        <v>393</v>
      </c>
      <c r="BF1009">
        <v>32011</v>
      </c>
      <c r="BG1009" t="s">
        <v>10388</v>
      </c>
      <c r="BH1009" t="s">
        <v>2787</v>
      </c>
      <c r="BI1009">
        <v>-81.775084359516896</v>
      </c>
      <c r="BJ1009">
        <v>30.638554370805299</v>
      </c>
      <c r="BK1009" t="s">
        <v>10373</v>
      </c>
      <c r="BL1009" t="s">
        <v>10374</v>
      </c>
      <c r="BM1009" t="s">
        <v>10375</v>
      </c>
      <c r="BN1009" t="s">
        <v>928</v>
      </c>
      <c r="BO1009">
        <v>32011</v>
      </c>
      <c r="BP1009" t="s">
        <v>404</v>
      </c>
      <c r="BQ1009">
        <v>0</v>
      </c>
      <c r="BR1009" t="s">
        <v>491</v>
      </c>
      <c r="BS1009">
        <v>8001</v>
      </c>
      <c r="BT1009" t="s">
        <v>492</v>
      </c>
      <c r="BW1009">
        <v>43934</v>
      </c>
      <c r="BX1009" t="s">
        <v>407</v>
      </c>
      <c r="BY1009" t="s">
        <v>408</v>
      </c>
      <c r="CD1009">
        <v>2017</v>
      </c>
      <c r="CE1009">
        <v>25000</v>
      </c>
      <c r="CG1009">
        <v>25000</v>
      </c>
      <c r="CH1009">
        <v>2017</v>
      </c>
      <c r="CI1009">
        <v>25000</v>
      </c>
      <c r="CK1009">
        <v>25000</v>
      </c>
      <c r="CL1009">
        <v>2017</v>
      </c>
      <c r="CM1009">
        <v>338.75</v>
      </c>
      <c r="CN1009" s="1">
        <v>42787</v>
      </c>
      <c r="CO1009">
        <v>79600</v>
      </c>
      <c r="CV1009">
        <v>0</v>
      </c>
      <c r="CZ1009" s="1">
        <v>42787</v>
      </c>
      <c r="DA1009">
        <v>0</v>
      </c>
      <c r="DD1009" t="s">
        <v>2785</v>
      </c>
      <c r="DF1009">
        <v>93</v>
      </c>
      <c r="DG1009">
        <v>35</v>
      </c>
      <c r="DJ1009" t="s">
        <v>10389</v>
      </c>
      <c r="DL1009">
        <v>50301</v>
      </c>
      <c r="DM1009" t="s">
        <v>10365</v>
      </c>
      <c r="DO1009" t="s">
        <v>10390</v>
      </c>
      <c r="DP1009">
        <v>0</v>
      </c>
      <c r="DQ1009">
        <v>0</v>
      </c>
      <c r="DR1009" t="s">
        <v>411</v>
      </c>
      <c r="DS1009" t="b">
        <v>1</v>
      </c>
      <c r="DT1009" t="s">
        <v>470</v>
      </c>
      <c r="DU1009" t="s">
        <v>471</v>
      </c>
      <c r="DV1009" t="s">
        <v>472</v>
      </c>
      <c r="DX1009">
        <v>-9999</v>
      </c>
      <c r="DZ1009" t="s">
        <v>447</v>
      </c>
      <c r="EA1009" t="s">
        <v>448</v>
      </c>
      <c r="EB1009" t="s">
        <v>742</v>
      </c>
      <c r="EC1009">
        <v>20101217</v>
      </c>
      <c r="ED1009" t="s">
        <v>474</v>
      </c>
      <c r="EF1009">
        <v>2388.5</v>
      </c>
      <c r="EG1009">
        <v>2388.5</v>
      </c>
      <c r="EI1009">
        <v>20160407</v>
      </c>
      <c r="EJ1009">
        <v>0</v>
      </c>
      <c r="EK1009">
        <v>0</v>
      </c>
      <c r="EP1009" t="s">
        <v>421</v>
      </c>
      <c r="EQ1009" t="s">
        <v>422</v>
      </c>
      <c r="ER1009">
        <v>0</v>
      </c>
      <c r="ES1009">
        <v>4</v>
      </c>
      <c r="ET1009">
        <v>0</v>
      </c>
      <c r="EU1009">
        <v>0</v>
      </c>
      <c r="EV1009">
        <v>0</v>
      </c>
      <c r="EW1009" s="2">
        <v>43222</v>
      </c>
      <c r="EX1009" s="1">
        <v>42515</v>
      </c>
      <c r="EY1009">
        <v>2015</v>
      </c>
      <c r="EZ1009">
        <v>336.59</v>
      </c>
      <c r="FA1009" t="s">
        <v>10391</v>
      </c>
      <c r="FB1009">
        <v>6</v>
      </c>
      <c r="FC1009" t="s">
        <v>424</v>
      </c>
      <c r="FD1009" t="s">
        <v>425</v>
      </c>
      <c r="FE1009" s="1">
        <v>42788</v>
      </c>
      <c r="FF1009">
        <v>9</v>
      </c>
      <c r="FG1009">
        <v>2035919</v>
      </c>
      <c r="FH1009" t="s">
        <v>507</v>
      </c>
      <c r="FJ1009" s="1">
        <v>42151</v>
      </c>
      <c r="FK1009">
        <v>2014</v>
      </c>
      <c r="FL1009">
        <v>338.19</v>
      </c>
      <c r="FM1009" t="s">
        <v>10392</v>
      </c>
      <c r="FN1009">
        <v>7.75</v>
      </c>
      <c r="FO1009" t="s">
        <v>424</v>
      </c>
      <c r="FP1009" t="s">
        <v>425</v>
      </c>
      <c r="FQ1009" s="1">
        <v>42732</v>
      </c>
      <c r="FR1009">
        <v>19</v>
      </c>
      <c r="FS1009">
        <v>10125</v>
      </c>
      <c r="FT1009" t="s">
        <v>440</v>
      </c>
      <c r="FV1009" s="1">
        <v>41787</v>
      </c>
      <c r="FW1009">
        <v>2013</v>
      </c>
      <c r="FX1009">
        <v>321.27</v>
      </c>
      <c r="FY1009" t="s">
        <v>10393</v>
      </c>
      <c r="FZ1009">
        <v>15.75</v>
      </c>
      <c r="GA1009" t="s">
        <v>424</v>
      </c>
      <c r="GB1009" t="s">
        <v>425</v>
      </c>
      <c r="GC1009" s="1">
        <v>42458</v>
      </c>
      <c r="GD1009">
        <v>22</v>
      </c>
      <c r="GE1009">
        <v>10125</v>
      </c>
      <c r="GF1009" t="s">
        <v>440</v>
      </c>
      <c r="GH1009" s="1">
        <v>40688</v>
      </c>
      <c r="GI1009">
        <v>2010</v>
      </c>
      <c r="GJ1009">
        <v>431.95</v>
      </c>
      <c r="GK1009" t="s">
        <v>10394</v>
      </c>
      <c r="GL1009">
        <v>6.75</v>
      </c>
      <c r="GM1009" t="s">
        <v>424</v>
      </c>
      <c r="GN1009" t="s">
        <v>425</v>
      </c>
      <c r="GO1009" s="1">
        <v>40835</v>
      </c>
      <c r="GP1009">
        <v>5</v>
      </c>
      <c r="GQ1009">
        <v>105</v>
      </c>
      <c r="GR1009" t="s">
        <v>946</v>
      </c>
    </row>
    <row r="1010" spans="1:272" x14ac:dyDescent="0.25">
      <c r="A1010">
        <v>16486017</v>
      </c>
      <c r="B1010">
        <v>1009</v>
      </c>
      <c r="C1010" t="s">
        <v>393</v>
      </c>
      <c r="D1010" t="s">
        <v>394</v>
      </c>
      <c r="F1010" t="str">
        <f>"35-3N-25-1810-0094-0000"</f>
        <v>35-3N-25-1810-0094-0000</v>
      </c>
      <c r="H1010" t="str">
        <f>"JACKSON LARRY GENE JR &amp; TREANA"</f>
        <v>JACKSON LARRY GENE JR &amp; TREANA</v>
      </c>
      <c r="I1010" t="str">
        <f>"55127 BARTRAM TRAIL"</f>
        <v>55127 BARTRAM TRAIL</v>
      </c>
      <c r="J1010" t="str">
        <f>"CALLAHAN FL 32011"</f>
        <v>CALLAHAN FL 32011</v>
      </c>
      <c r="K1010" t="str">
        <f>"TROTTER LN"</f>
        <v>TROTTER LN</v>
      </c>
      <c r="L1010" t="str">
        <f>"CALLAHAN FL 32011"</f>
        <v>CALLAHAN FL 32011</v>
      </c>
      <c r="M1010" t="str">
        <f>"LOT 94 PT OR 2102/339 RESERVE AT DEER RUN 1 PB 8/24"</f>
        <v>LOT 94 PT OR 2102/339 RESERVE AT DEER RUN 1 PB 8/24</v>
      </c>
      <c r="N1010" t="str">
        <f>""</f>
        <v/>
      </c>
      <c r="O1010" t="str">
        <f>"41852"</f>
        <v>41852</v>
      </c>
      <c r="P1010" t="str">
        <f t="shared" si="310"/>
        <v>2017</v>
      </c>
      <c r="Q1010" t="str">
        <f>""</f>
        <v/>
      </c>
      <c r="R1010" t="str">
        <f t="shared" si="325"/>
        <v>N</v>
      </c>
      <c r="S1010" t="str">
        <f>""</f>
        <v/>
      </c>
      <c r="T1010" t="str">
        <f>"338.75"</f>
        <v>338.75</v>
      </c>
      <c r="U1010" t="str">
        <f t="shared" si="327"/>
        <v>20350.00</v>
      </c>
      <c r="V1010" t="str">
        <f t="shared" si="327"/>
        <v>20350.00</v>
      </c>
      <c r="W1010" t="str">
        <f t="shared" si="311"/>
        <v>2017</v>
      </c>
      <c r="X1010" t="str">
        <f>"13.75"</f>
        <v>13.75</v>
      </c>
      <c r="Y1010" t="str">
        <f>"380.91"</f>
        <v>380.91</v>
      </c>
      <c r="Z1010" t="str">
        <f>""</f>
        <v/>
      </c>
      <c r="AA1010" t="str">
        <f>"25000.00"</f>
        <v>25000.00</v>
      </c>
      <c r="AB1010" t="str">
        <f t="shared" si="326"/>
        <v>Residential</v>
      </c>
      <c r="AC1010" t="str">
        <f t="shared" si="323"/>
        <v>0</v>
      </c>
      <c r="AD1010" t="str">
        <f>""</f>
        <v/>
      </c>
      <c r="AE1010" t="str">
        <f>""</f>
        <v/>
      </c>
      <c r="AF1010" t="str">
        <f>"000"</f>
        <v>000</v>
      </c>
      <c r="AG1010" t="str">
        <f t="shared" si="324"/>
        <v>FL</v>
      </c>
      <c r="AH1010" t="str">
        <f>"43740.00"</f>
        <v>43740.00</v>
      </c>
      <c r="AI1010" t="str">
        <f>"25000.00"</f>
        <v>25000.00</v>
      </c>
      <c r="AJ1010" t="str">
        <f>"C55-001-035-8307-6"</f>
        <v>C55-001-035-8307-6</v>
      </c>
      <c r="AK1010" t="str">
        <f>"15469"</f>
        <v>15469</v>
      </c>
      <c r="AL1010">
        <v>4</v>
      </c>
      <c r="AM1010">
        <v>1161</v>
      </c>
      <c r="AN1010">
        <v>398.36</v>
      </c>
      <c r="AQ1010" t="s">
        <v>10395</v>
      </c>
      <c r="AR1010" t="s">
        <v>10395</v>
      </c>
      <c r="AS1010" t="s">
        <v>10395</v>
      </c>
      <c r="AU1010" t="s">
        <v>396</v>
      </c>
      <c r="AV1010">
        <v>2017</v>
      </c>
      <c r="AW1010" t="str">
        <f>"35-3N-25-1810-0094-0000 "</f>
        <v xml:space="preserve">35-3N-25-1810-0094-0000 </v>
      </c>
      <c r="AZ1010" t="s">
        <v>10387</v>
      </c>
      <c r="BA1010" t="s">
        <v>653</v>
      </c>
      <c r="BD1010" t="s">
        <v>2785</v>
      </c>
      <c r="BE1010" t="s">
        <v>393</v>
      </c>
      <c r="BF1010">
        <v>32011</v>
      </c>
      <c r="BG1010" t="s">
        <v>10396</v>
      </c>
      <c r="BH1010" t="s">
        <v>2787</v>
      </c>
      <c r="BI1010">
        <v>-81.775601618569098</v>
      </c>
      <c r="BJ1010">
        <v>30.6380200171266</v>
      </c>
      <c r="BK1010" t="s">
        <v>10373</v>
      </c>
      <c r="BL1010" t="s">
        <v>10374</v>
      </c>
      <c r="BM1010" t="s">
        <v>10375</v>
      </c>
      <c r="BN1010" t="s">
        <v>928</v>
      </c>
      <c r="BO1010">
        <v>32011</v>
      </c>
      <c r="BP1010" t="s">
        <v>404</v>
      </c>
      <c r="BQ1010">
        <v>0</v>
      </c>
      <c r="BR1010" t="s">
        <v>491</v>
      </c>
      <c r="BS1010">
        <v>8001</v>
      </c>
      <c r="BT1010" t="s">
        <v>492</v>
      </c>
      <c r="BW1010">
        <v>43740</v>
      </c>
      <c r="BX1010" t="s">
        <v>407</v>
      </c>
      <c r="BY1010" t="s">
        <v>408</v>
      </c>
      <c r="CD1010">
        <v>2017</v>
      </c>
      <c r="CE1010">
        <v>25000</v>
      </c>
      <c r="CG1010">
        <v>25000</v>
      </c>
      <c r="CH1010">
        <v>2017</v>
      </c>
      <c r="CI1010">
        <v>25000</v>
      </c>
      <c r="CK1010">
        <v>25000</v>
      </c>
      <c r="CL1010">
        <v>2017</v>
      </c>
      <c r="CM1010">
        <v>338.75</v>
      </c>
      <c r="CN1010" s="1">
        <v>42787</v>
      </c>
      <c r="CO1010">
        <v>79600</v>
      </c>
      <c r="CV1010">
        <v>0</v>
      </c>
      <c r="CZ1010" s="1">
        <v>42787</v>
      </c>
      <c r="DA1010">
        <v>0</v>
      </c>
      <c r="DD1010" t="s">
        <v>2785</v>
      </c>
      <c r="DF1010">
        <v>94</v>
      </c>
      <c r="DG1010">
        <v>35</v>
      </c>
      <c r="DJ1010" t="s">
        <v>9445</v>
      </c>
      <c r="DM1010" t="s">
        <v>10365</v>
      </c>
      <c r="DO1010" t="s">
        <v>10397</v>
      </c>
      <c r="DP1010">
        <v>0</v>
      </c>
      <c r="DQ1010">
        <v>0</v>
      </c>
      <c r="DR1010" t="s">
        <v>411</v>
      </c>
      <c r="DS1010" t="b">
        <v>1</v>
      </c>
      <c r="DT1010" t="s">
        <v>470</v>
      </c>
      <c r="DU1010" t="s">
        <v>471</v>
      </c>
      <c r="DV1010" t="s">
        <v>472</v>
      </c>
      <c r="DX1010">
        <v>-9999</v>
      </c>
      <c r="DZ1010" t="s">
        <v>447</v>
      </c>
      <c r="EA1010" t="s">
        <v>448</v>
      </c>
      <c r="EB1010" t="s">
        <v>742</v>
      </c>
      <c r="EC1010">
        <v>20101217</v>
      </c>
      <c r="ED1010" t="s">
        <v>474</v>
      </c>
      <c r="EF1010">
        <v>2269.1</v>
      </c>
      <c r="EG1010">
        <v>2269.1</v>
      </c>
      <c r="EI1010">
        <v>20160407</v>
      </c>
      <c r="EJ1010">
        <v>0</v>
      </c>
      <c r="EK1010">
        <v>0</v>
      </c>
      <c r="EP1010" t="s">
        <v>421</v>
      </c>
      <c r="EQ1010" t="s">
        <v>422</v>
      </c>
      <c r="ER1010">
        <v>0</v>
      </c>
      <c r="ES1010">
        <v>4</v>
      </c>
      <c r="ET1010">
        <v>0</v>
      </c>
      <c r="EU1010">
        <v>0</v>
      </c>
      <c r="EV1010">
        <v>0</v>
      </c>
      <c r="EW1010" s="2">
        <v>43222</v>
      </c>
      <c r="EX1010" s="1">
        <v>42515</v>
      </c>
      <c r="EY1010">
        <v>2015</v>
      </c>
      <c r="EZ1010">
        <v>336.59</v>
      </c>
      <c r="FA1010" t="s">
        <v>10398</v>
      </c>
      <c r="FB1010">
        <v>0.25</v>
      </c>
      <c r="FC1010" t="s">
        <v>424</v>
      </c>
      <c r="FD1010" t="s">
        <v>425</v>
      </c>
      <c r="FE1010" s="1">
        <v>42788</v>
      </c>
      <c r="FF1010">
        <v>9</v>
      </c>
      <c r="FG1010">
        <v>7336670</v>
      </c>
      <c r="FH1010" t="s">
        <v>2102</v>
      </c>
      <c r="FJ1010" s="1">
        <v>42151</v>
      </c>
      <c r="FK1010">
        <v>2014</v>
      </c>
      <c r="FL1010">
        <v>338.19</v>
      </c>
      <c r="FM1010" t="s">
        <v>10399</v>
      </c>
      <c r="FN1010">
        <v>4.75</v>
      </c>
      <c r="FO1010" t="s">
        <v>424</v>
      </c>
      <c r="FP1010" t="s">
        <v>425</v>
      </c>
      <c r="FQ1010" s="1">
        <v>42732</v>
      </c>
      <c r="FR1010">
        <v>19</v>
      </c>
      <c r="FS1010">
        <v>4975593</v>
      </c>
      <c r="FT1010" t="s">
        <v>505</v>
      </c>
      <c r="FV1010" s="1">
        <v>41787</v>
      </c>
      <c r="FW1010">
        <v>2013</v>
      </c>
      <c r="FX1010">
        <v>321.27</v>
      </c>
      <c r="FY1010" t="s">
        <v>10400</v>
      </c>
      <c r="FZ1010">
        <v>6</v>
      </c>
      <c r="GA1010" t="s">
        <v>424</v>
      </c>
      <c r="GB1010" t="s">
        <v>425</v>
      </c>
      <c r="GC1010" s="1">
        <v>42458</v>
      </c>
      <c r="GD1010">
        <v>22</v>
      </c>
      <c r="GE1010">
        <v>2035919</v>
      </c>
      <c r="GF1010" t="s">
        <v>507</v>
      </c>
      <c r="GH1010" s="1">
        <v>40688</v>
      </c>
      <c r="GI1010">
        <v>2010</v>
      </c>
      <c r="GJ1010">
        <v>431.95</v>
      </c>
      <c r="GK1010" t="s">
        <v>10401</v>
      </c>
      <c r="GL1010">
        <v>6.75</v>
      </c>
      <c r="GM1010" t="s">
        <v>424</v>
      </c>
      <c r="GN1010" t="s">
        <v>425</v>
      </c>
      <c r="GO1010" s="1">
        <v>40835</v>
      </c>
      <c r="GP1010">
        <v>5</v>
      </c>
      <c r="GQ1010">
        <v>105</v>
      </c>
      <c r="GR1010" t="s">
        <v>946</v>
      </c>
    </row>
    <row r="1011" spans="1:272" x14ac:dyDescent="0.25">
      <c r="A1011">
        <v>16486018</v>
      </c>
      <c r="B1011">
        <v>1010</v>
      </c>
      <c r="C1011" t="s">
        <v>393</v>
      </c>
      <c r="D1011" t="s">
        <v>394</v>
      </c>
      <c r="F1011" t="str">
        <f>"40-3N-25-0000-0001-0110"</f>
        <v>40-3N-25-0000-0001-0110</v>
      </c>
      <c r="H1011" t="str">
        <f>"ALBERTIE CORA EST C/O JACKIE LASHAWN HOOPER"</f>
        <v>ALBERTIE CORA EST C/O JACKIE LASHAWN HOOPER</v>
      </c>
      <c r="I1011" t="str">
        <f>"86145 FORTUNE DR"</f>
        <v>86145 FORTUNE DR</v>
      </c>
      <c r="J1011" t="str">
        <f>"YULEE FL 32097"</f>
        <v>YULEE FL 32097</v>
      </c>
      <c r="K1011" t="str">
        <f>"152981 CR 108"</f>
        <v>152981 CR 108</v>
      </c>
      <c r="L1011" t="str">
        <f>"YULEE FL 32097"</f>
        <v>YULEE FL 32097</v>
      </c>
      <c r="M1011" t="str">
        <f>"OR 514 PG 591"</f>
        <v>OR 514 PG 591</v>
      </c>
      <c r="N1011" t="str">
        <f>""</f>
        <v/>
      </c>
      <c r="O1011" t="str">
        <f>"46653"</f>
        <v>46653</v>
      </c>
      <c r="P1011" t="str">
        <f t="shared" si="310"/>
        <v>2017</v>
      </c>
      <c r="Q1011" t="str">
        <f>""</f>
        <v/>
      </c>
      <c r="R1011" t="str">
        <f t="shared" si="325"/>
        <v>N</v>
      </c>
      <c r="S1011" t="str">
        <f>"0.23"</f>
        <v>0.23</v>
      </c>
      <c r="T1011" t="str">
        <f>"235.48"</f>
        <v>235.48</v>
      </c>
      <c r="U1011" t="str">
        <f>"15198.00"</f>
        <v>15198.00</v>
      </c>
      <c r="V1011" t="str">
        <f>"15198.00"</f>
        <v>15198.00</v>
      </c>
      <c r="W1011" t="str">
        <f t="shared" si="311"/>
        <v>2017</v>
      </c>
      <c r="X1011" t="str">
        <f>"28.46"</f>
        <v>28.46</v>
      </c>
      <c r="Y1011" t="str">
        <f>"274.54"</f>
        <v>274.54</v>
      </c>
      <c r="Z1011" t="str">
        <f>""</f>
        <v/>
      </c>
      <c r="AA1011" t="str">
        <f>"16016.00"</f>
        <v>16016.00</v>
      </c>
      <c r="AB1011" t="str">
        <f t="shared" si="326"/>
        <v>Residential</v>
      </c>
      <c r="AC1011" t="str">
        <f t="shared" si="323"/>
        <v>0</v>
      </c>
      <c r="AD1011" t="str">
        <f>"4"</f>
        <v>4</v>
      </c>
      <c r="AE1011" t="str">
        <f>"WOOD (INCLUDE STEEL STUDS)"</f>
        <v>WOOD (INCLUDE STEEL STUDS)</v>
      </c>
      <c r="AF1011" t="str">
        <f>"001"</f>
        <v>001</v>
      </c>
      <c r="AG1011" t="str">
        <f t="shared" si="324"/>
        <v>FL</v>
      </c>
      <c r="AH1011" t="str">
        <f>"10018.00"</f>
        <v>10018.00</v>
      </c>
      <c r="AI1011" t="str">
        <f>"3622.00"</f>
        <v>3622.00</v>
      </c>
      <c r="AJ1011" t="str">
        <f>"C55-000-588-1114-2"</f>
        <v>C55-000-588-1114-2</v>
      </c>
      <c r="AK1011" t="str">
        <f>"15493"</f>
        <v>15493</v>
      </c>
      <c r="AL1011">
        <v>4</v>
      </c>
      <c r="AM1011">
        <v>1162</v>
      </c>
      <c r="AN1011">
        <v>286.67</v>
      </c>
      <c r="AQ1011" t="s">
        <v>10402</v>
      </c>
      <c r="AR1011" t="s">
        <v>10402</v>
      </c>
      <c r="AS1011" t="s">
        <v>10402</v>
      </c>
      <c r="AU1011" t="s">
        <v>396</v>
      </c>
      <c r="AV1011">
        <v>2017</v>
      </c>
      <c r="AW1011" t="str">
        <f>"40-3N-25-0000-0001-0110 "</f>
        <v xml:space="preserve">40-3N-25-0000-0001-0110 </v>
      </c>
      <c r="AX1011">
        <v>152981</v>
      </c>
      <c r="AZ1011" t="s">
        <v>1206</v>
      </c>
      <c r="BD1011" t="s">
        <v>2387</v>
      </c>
      <c r="BE1011" t="s">
        <v>393</v>
      </c>
      <c r="BF1011">
        <v>32097</v>
      </c>
      <c r="BG1011" t="s">
        <v>10403</v>
      </c>
      <c r="BH1011" t="s">
        <v>2388</v>
      </c>
      <c r="BI1011">
        <v>-81.752149662165294</v>
      </c>
      <c r="BJ1011">
        <v>30.700318686498498</v>
      </c>
      <c r="BK1011" t="s">
        <v>10404</v>
      </c>
      <c r="BM1011" t="s">
        <v>10405</v>
      </c>
      <c r="BN1011" t="s">
        <v>1778</v>
      </c>
      <c r="BO1011">
        <v>32097</v>
      </c>
      <c r="BP1011" t="s">
        <v>404</v>
      </c>
      <c r="BQ1011">
        <v>100</v>
      </c>
      <c r="BR1011" t="s">
        <v>514</v>
      </c>
      <c r="BS1011">
        <v>1001</v>
      </c>
      <c r="BT1011" t="s">
        <v>515</v>
      </c>
      <c r="BW1011">
        <v>10018</v>
      </c>
      <c r="BX1011" t="s">
        <v>407</v>
      </c>
      <c r="BY1011" t="s">
        <v>408</v>
      </c>
      <c r="BZ1011">
        <v>4</v>
      </c>
      <c r="CA1011">
        <v>1950</v>
      </c>
      <c r="CB1011">
        <v>1</v>
      </c>
      <c r="CC1011">
        <v>1</v>
      </c>
      <c r="CD1011">
        <v>2017</v>
      </c>
      <c r="CE1011">
        <v>3622</v>
      </c>
      <c r="CF1011">
        <v>12394</v>
      </c>
      <c r="CG1011">
        <v>16016</v>
      </c>
      <c r="CH1011">
        <v>2017</v>
      </c>
      <c r="CI1011">
        <v>3622</v>
      </c>
      <c r="CJ1011">
        <v>12394</v>
      </c>
      <c r="CK1011">
        <v>16016</v>
      </c>
      <c r="CL1011">
        <v>2017</v>
      </c>
      <c r="CM1011">
        <v>235.48</v>
      </c>
      <c r="CN1011" s="1">
        <v>31874</v>
      </c>
      <c r="CZ1011" s="1">
        <v>31874</v>
      </c>
      <c r="DD1011" t="s">
        <v>2387</v>
      </c>
      <c r="DG1011">
        <v>40</v>
      </c>
      <c r="DL1011">
        <v>50301</v>
      </c>
      <c r="DM1011" t="s">
        <v>10406</v>
      </c>
      <c r="DO1011" t="s">
        <v>10407</v>
      </c>
      <c r="DP1011">
        <v>0</v>
      </c>
      <c r="DQ1011">
        <v>0</v>
      </c>
      <c r="DR1011" t="s">
        <v>411</v>
      </c>
      <c r="DS1011" t="b">
        <v>1</v>
      </c>
      <c r="DT1011" t="s">
        <v>470</v>
      </c>
      <c r="DU1011" t="s">
        <v>10249</v>
      </c>
      <c r="DV1011" t="s">
        <v>472</v>
      </c>
      <c r="DX1011">
        <v>-9999</v>
      </c>
      <c r="DZ1011" t="s">
        <v>447</v>
      </c>
      <c r="EA1011" t="s">
        <v>448</v>
      </c>
      <c r="EB1011" t="s">
        <v>10250</v>
      </c>
      <c r="EC1011">
        <v>20101217</v>
      </c>
      <c r="ED1011" t="s">
        <v>10251</v>
      </c>
      <c r="EE1011">
        <v>6.8</v>
      </c>
      <c r="EF1011">
        <v>230.2</v>
      </c>
      <c r="EG1011">
        <v>0</v>
      </c>
      <c r="EI1011">
        <v>20160407</v>
      </c>
      <c r="EJ1011">
        <v>0</v>
      </c>
      <c r="EK1011">
        <v>0</v>
      </c>
      <c r="EP1011" t="s">
        <v>421</v>
      </c>
      <c r="EQ1011" t="s">
        <v>422</v>
      </c>
      <c r="ER1011">
        <v>1</v>
      </c>
      <c r="ES1011">
        <v>8</v>
      </c>
      <c r="ET1011">
        <v>261.02</v>
      </c>
      <c r="EU1011">
        <v>28.44</v>
      </c>
      <c r="EV1011">
        <v>289.45999999999998</v>
      </c>
      <c r="EW1011" s="2">
        <v>43222</v>
      </c>
      <c r="EX1011" s="1">
        <v>42879</v>
      </c>
      <c r="EY1011">
        <v>2016</v>
      </c>
      <c r="EZ1011">
        <v>261.02</v>
      </c>
      <c r="FA1011" t="s">
        <v>10408</v>
      </c>
      <c r="FB1011">
        <v>8.5</v>
      </c>
      <c r="FC1011" t="s">
        <v>424</v>
      </c>
      <c r="FD1011" t="s">
        <v>454</v>
      </c>
      <c r="FF1011">
        <v>12</v>
      </c>
      <c r="FG1011">
        <v>10003</v>
      </c>
      <c r="FH1011" t="s">
        <v>4341</v>
      </c>
      <c r="FJ1011" s="1">
        <v>42515</v>
      </c>
      <c r="FK1011">
        <v>2015</v>
      </c>
      <c r="FL1011">
        <v>250.21</v>
      </c>
      <c r="FM1011" t="s">
        <v>10409</v>
      </c>
      <c r="FN1011">
        <v>18</v>
      </c>
      <c r="FO1011" t="s">
        <v>424</v>
      </c>
      <c r="FP1011" t="s">
        <v>425</v>
      </c>
      <c r="FQ1011" s="1">
        <v>43153</v>
      </c>
      <c r="FR1011">
        <v>21</v>
      </c>
      <c r="FS1011">
        <v>7336677</v>
      </c>
      <c r="FT1011" t="s">
        <v>5826</v>
      </c>
      <c r="FV1011" s="1">
        <v>42151</v>
      </c>
      <c r="FW1011">
        <v>2014</v>
      </c>
      <c r="FX1011">
        <v>231.58</v>
      </c>
      <c r="FY1011" t="s">
        <v>10410</v>
      </c>
      <c r="FZ1011">
        <v>4.75</v>
      </c>
      <c r="GA1011" t="s">
        <v>424</v>
      </c>
      <c r="GB1011" t="s">
        <v>425</v>
      </c>
      <c r="GC1011" s="1">
        <v>42787</v>
      </c>
      <c r="GD1011">
        <v>21</v>
      </c>
      <c r="GE1011">
        <v>4975593</v>
      </c>
      <c r="GF1011" t="s">
        <v>505</v>
      </c>
      <c r="GH1011" s="1">
        <v>41423</v>
      </c>
      <c r="GI1011">
        <v>2012</v>
      </c>
      <c r="GJ1011">
        <v>406.88</v>
      </c>
      <c r="GK1011" t="s">
        <v>10411</v>
      </c>
      <c r="GL1011">
        <v>4.75</v>
      </c>
      <c r="GM1011" t="s">
        <v>424</v>
      </c>
      <c r="GN1011" t="s">
        <v>425</v>
      </c>
      <c r="GO1011" s="1">
        <v>41724</v>
      </c>
      <c r="GP1011">
        <v>10</v>
      </c>
      <c r="GQ1011">
        <v>1127</v>
      </c>
      <c r="GR1011" t="s">
        <v>1379</v>
      </c>
      <c r="GT1011" s="1">
        <v>41423</v>
      </c>
      <c r="GU1011">
        <v>2012</v>
      </c>
      <c r="GV1011">
        <v>406.88</v>
      </c>
      <c r="GW1011" t="s">
        <v>10411</v>
      </c>
      <c r="GX1011">
        <v>4.75</v>
      </c>
      <c r="GY1011" t="s">
        <v>424</v>
      </c>
      <c r="GZ1011" t="s">
        <v>425</v>
      </c>
      <c r="HB1011">
        <v>22</v>
      </c>
      <c r="HC1011">
        <v>2035919</v>
      </c>
      <c r="HD1011" t="s">
        <v>507</v>
      </c>
      <c r="HF1011" s="1">
        <v>41052</v>
      </c>
      <c r="HG1011">
        <v>2011</v>
      </c>
      <c r="HH1011">
        <v>442.42</v>
      </c>
      <c r="HI1011" t="s">
        <v>10412</v>
      </c>
      <c r="HJ1011">
        <v>4.75</v>
      </c>
      <c r="HK1011" t="s">
        <v>424</v>
      </c>
      <c r="HL1011" t="s">
        <v>425</v>
      </c>
      <c r="HM1011" s="1">
        <v>41680</v>
      </c>
      <c r="HN1011">
        <v>21</v>
      </c>
      <c r="HO1011">
        <v>1625515</v>
      </c>
      <c r="HP1011" t="s">
        <v>487</v>
      </c>
      <c r="HR1011" s="1">
        <v>41052</v>
      </c>
      <c r="HS1011">
        <v>2011</v>
      </c>
      <c r="HT1011">
        <v>442.42</v>
      </c>
      <c r="HU1011" t="s">
        <v>10412</v>
      </c>
      <c r="HV1011">
        <v>4.75</v>
      </c>
      <c r="HW1011" t="s">
        <v>424</v>
      </c>
      <c r="HX1011" t="s">
        <v>425</v>
      </c>
      <c r="HZ1011">
        <v>22</v>
      </c>
      <c r="IA1011">
        <v>10579</v>
      </c>
      <c r="IB1011" t="s">
        <v>488</v>
      </c>
      <c r="ID1011" s="1">
        <v>40688</v>
      </c>
      <c r="IE1011">
        <v>2010</v>
      </c>
      <c r="IF1011">
        <v>476.53</v>
      </c>
      <c r="IG1011" t="s">
        <v>10413</v>
      </c>
      <c r="IH1011">
        <v>6.75</v>
      </c>
      <c r="II1011" t="s">
        <v>424</v>
      </c>
      <c r="IJ1011" t="s">
        <v>425</v>
      </c>
      <c r="IK1011" s="1">
        <v>41586</v>
      </c>
      <c r="IL1011">
        <v>30</v>
      </c>
      <c r="IM1011">
        <v>375</v>
      </c>
      <c r="IN1011" t="s">
        <v>776</v>
      </c>
      <c r="IP1011" s="1">
        <v>40688</v>
      </c>
      <c r="IQ1011">
        <v>2010</v>
      </c>
      <c r="IR1011">
        <v>476.53</v>
      </c>
      <c r="IS1011" t="s">
        <v>10413</v>
      </c>
      <c r="IT1011">
        <v>6.75</v>
      </c>
      <c r="IU1011" t="s">
        <v>424</v>
      </c>
      <c r="IV1011" t="s">
        <v>425</v>
      </c>
      <c r="IX1011">
        <v>22</v>
      </c>
      <c r="IY1011">
        <v>105</v>
      </c>
      <c r="IZ1011" t="s">
        <v>946</v>
      </c>
    </row>
    <row r="1012" spans="1:272" x14ac:dyDescent="0.25">
      <c r="A1012">
        <v>16486019</v>
      </c>
      <c r="B1012">
        <v>1011</v>
      </c>
      <c r="C1012" t="s">
        <v>393</v>
      </c>
      <c r="D1012" t="s">
        <v>394</v>
      </c>
      <c r="F1012" t="str">
        <f>"40-3N-25-0000-0001-0160"</f>
        <v>40-3N-25-0000-0001-0160</v>
      </c>
      <c r="H1012" t="str">
        <f>"HENDRIX MAX"</f>
        <v>HENDRIX MAX</v>
      </c>
      <c r="I1012" t="str">
        <f>"5645 WANDERING TRL"</f>
        <v>5645 WANDERING TRL</v>
      </c>
      <c r="J1012" t="str">
        <f>"JACKSONVILLE FL 32219"</f>
        <v>JACKSONVILLE FL 32219</v>
      </c>
      <c r="K1012" t="str">
        <f>"CR 108"</f>
        <v>CR 108</v>
      </c>
      <c r="L1012" t="str">
        <f>"YULEE FL 32097"</f>
        <v>YULEE FL 32097</v>
      </c>
      <c r="M1012" t="str">
        <f>"IN OR 1864/1564"</f>
        <v>IN OR 1864/1564</v>
      </c>
      <c r="N1012" t="str">
        <f>""</f>
        <v/>
      </c>
      <c r="O1012" t="str">
        <f>"46658"</f>
        <v>46658</v>
      </c>
      <c r="P1012" t="str">
        <f t="shared" si="310"/>
        <v>2017</v>
      </c>
      <c r="Q1012" t="str">
        <f>""</f>
        <v/>
      </c>
      <c r="R1012" t="str">
        <f t="shared" si="325"/>
        <v>N</v>
      </c>
      <c r="S1012" t="str">
        <f>"1.00"</f>
        <v>1.00</v>
      </c>
      <c r="T1012" t="str">
        <f>"216.66"</f>
        <v>216.66</v>
      </c>
      <c r="U1012" t="str">
        <f>"13200.00"</f>
        <v>13200.00</v>
      </c>
      <c r="V1012" t="str">
        <f>"13200.00"</f>
        <v>13200.00</v>
      </c>
      <c r="W1012" t="str">
        <f t="shared" si="311"/>
        <v>2017</v>
      </c>
      <c r="X1012" t="str">
        <f>"10.00"</f>
        <v>10.00</v>
      </c>
      <c r="Y1012" t="str">
        <f>"255.16"</f>
        <v>255.16</v>
      </c>
      <c r="Z1012" t="str">
        <f>""</f>
        <v/>
      </c>
      <c r="AA1012" t="str">
        <f>"15750.00"</f>
        <v>15750.00</v>
      </c>
      <c r="AB1012" t="str">
        <f t="shared" si="326"/>
        <v>Residential</v>
      </c>
      <c r="AC1012" t="str">
        <f t="shared" si="323"/>
        <v>0</v>
      </c>
      <c r="AD1012" t="str">
        <f>""</f>
        <v/>
      </c>
      <c r="AE1012" t="str">
        <f>""</f>
        <v/>
      </c>
      <c r="AF1012" t="str">
        <f>"000"</f>
        <v>000</v>
      </c>
      <c r="AG1012" t="str">
        <f t="shared" si="324"/>
        <v>FL</v>
      </c>
      <c r="AH1012" t="str">
        <f>"43560.00"</f>
        <v>43560.00</v>
      </c>
      <c r="AI1012" t="str">
        <f>"15750.00"</f>
        <v>15750.00</v>
      </c>
      <c r="AJ1012" t="str">
        <f>"C55-000-589-1037-3"</f>
        <v>C55-000-589-1037-3</v>
      </c>
      <c r="AK1012" t="str">
        <f>"15498"</f>
        <v>15498</v>
      </c>
      <c r="AL1012">
        <v>4</v>
      </c>
      <c r="AM1012">
        <v>1163</v>
      </c>
      <c r="AN1012">
        <v>266.32</v>
      </c>
      <c r="AQ1012" t="s">
        <v>10414</v>
      </c>
      <c r="AR1012" t="s">
        <v>10414</v>
      </c>
      <c r="AS1012" t="s">
        <v>10414</v>
      </c>
      <c r="AU1012" t="s">
        <v>396</v>
      </c>
      <c r="AV1012">
        <v>2017</v>
      </c>
      <c r="AW1012" t="str">
        <f>"40-3N-25-0000-0001-0160 "</f>
        <v xml:space="preserve">40-3N-25-0000-0001-0160 </v>
      </c>
      <c r="AZ1012" t="s">
        <v>1206</v>
      </c>
      <c r="BD1012" t="s">
        <v>2387</v>
      </c>
      <c r="BE1012" t="s">
        <v>393</v>
      </c>
      <c r="BF1012">
        <v>32097</v>
      </c>
      <c r="BG1012" t="s">
        <v>1206</v>
      </c>
      <c r="BH1012" t="s">
        <v>2388</v>
      </c>
      <c r="BI1012">
        <v>-81.752560754855594</v>
      </c>
      <c r="BJ1012">
        <v>30.702783962065201</v>
      </c>
      <c r="BK1012" t="s">
        <v>10415</v>
      </c>
      <c r="BM1012" t="s">
        <v>10416</v>
      </c>
      <c r="BN1012" t="s">
        <v>548</v>
      </c>
      <c r="BO1012">
        <v>32219</v>
      </c>
      <c r="BP1012" t="s">
        <v>404</v>
      </c>
      <c r="BQ1012">
        <v>0</v>
      </c>
      <c r="BR1012" t="s">
        <v>491</v>
      </c>
      <c r="BS1012">
        <v>8001</v>
      </c>
      <c r="BT1012" t="s">
        <v>492</v>
      </c>
      <c r="BW1012">
        <v>43560</v>
      </c>
      <c r="BX1012" t="s">
        <v>407</v>
      </c>
      <c r="BY1012" t="s">
        <v>408</v>
      </c>
      <c r="CD1012">
        <v>2017</v>
      </c>
      <c r="CE1012">
        <v>15750</v>
      </c>
      <c r="CG1012">
        <v>15750</v>
      </c>
      <c r="CH1012">
        <v>2017</v>
      </c>
      <c r="CI1012">
        <v>15750</v>
      </c>
      <c r="CK1012">
        <v>15750</v>
      </c>
      <c r="CL1012">
        <v>2017</v>
      </c>
      <c r="CM1012">
        <v>216.66</v>
      </c>
      <c r="CN1012" s="1">
        <v>41444</v>
      </c>
      <c r="CZ1012" s="1">
        <v>41444</v>
      </c>
      <c r="DD1012" t="s">
        <v>2387</v>
      </c>
      <c r="DG1012">
        <v>40</v>
      </c>
      <c r="DL1012">
        <v>50301</v>
      </c>
      <c r="DM1012" t="s">
        <v>10406</v>
      </c>
      <c r="DO1012" t="s">
        <v>10417</v>
      </c>
      <c r="DP1012">
        <v>0</v>
      </c>
      <c r="DQ1012">
        <v>0</v>
      </c>
      <c r="DR1012" t="s">
        <v>411</v>
      </c>
      <c r="DS1012" t="s">
        <v>695</v>
      </c>
      <c r="EJ1012">
        <v>0</v>
      </c>
      <c r="EK1012">
        <v>0</v>
      </c>
      <c r="EP1012" t="s">
        <v>421</v>
      </c>
      <c r="EQ1012" t="s">
        <v>422</v>
      </c>
      <c r="ER1012">
        <v>0</v>
      </c>
      <c r="ES1012">
        <v>1</v>
      </c>
      <c r="ET1012">
        <v>0</v>
      </c>
      <c r="EU1012">
        <v>0</v>
      </c>
      <c r="EV1012">
        <v>0</v>
      </c>
      <c r="EW1012" s="2">
        <v>43222</v>
      </c>
      <c r="EX1012" s="1">
        <v>42151</v>
      </c>
      <c r="EY1012">
        <v>2014</v>
      </c>
      <c r="EZ1012">
        <v>227.1</v>
      </c>
      <c r="FA1012" t="s">
        <v>10418</v>
      </c>
      <c r="FB1012">
        <v>5.5</v>
      </c>
      <c r="FC1012" t="s">
        <v>424</v>
      </c>
      <c r="FD1012" t="s">
        <v>425</v>
      </c>
      <c r="FE1012" s="1">
        <v>42444</v>
      </c>
      <c r="FF1012">
        <v>10</v>
      </c>
      <c r="FG1012">
        <v>10125</v>
      </c>
      <c r="FH1012" t="s">
        <v>440</v>
      </c>
    </row>
    <row r="1013" spans="1:272" x14ac:dyDescent="0.25">
      <c r="A1013">
        <v>16486020</v>
      </c>
      <c r="B1013">
        <v>1012</v>
      </c>
      <c r="C1013" t="s">
        <v>393</v>
      </c>
      <c r="D1013" t="s">
        <v>394</v>
      </c>
      <c r="F1013" t="str">
        <f>"40-3N-25-0000-0001-0210"</f>
        <v>40-3N-25-0000-0001-0210</v>
      </c>
      <c r="H1013" t="str">
        <f>"MASON WADE &amp; DANA"</f>
        <v>MASON WADE &amp; DANA</v>
      </c>
      <c r="I1013" t="str">
        <f>"4338 MARSH HAWK DRIVE SOUTH"</f>
        <v>4338 MARSH HAWK DRIVE SOUTH</v>
      </c>
      <c r="J1013" t="str">
        <f>"JACKSONVILLE FL 32218"</f>
        <v>JACKSONVILLE FL 32218</v>
      </c>
      <c r="K1013" t="str">
        <f>"ALDERMAN DR"</f>
        <v>ALDERMAN DR</v>
      </c>
      <c r="L1013" t="str">
        <f>"YULEE FL 32097"</f>
        <v>YULEE FL 32097</v>
      </c>
      <c r="M1013" t="str">
        <f>"IN OR 1630/502"</f>
        <v>IN OR 1630/502</v>
      </c>
      <c r="N1013" t="str">
        <f>""</f>
        <v/>
      </c>
      <c r="O1013" t="str">
        <f>"46663"</f>
        <v>46663</v>
      </c>
      <c r="P1013" t="str">
        <f t="shared" si="310"/>
        <v>2017</v>
      </c>
      <c r="Q1013" t="str">
        <f>""</f>
        <v/>
      </c>
      <c r="R1013" t="str">
        <f t="shared" si="325"/>
        <v>N</v>
      </c>
      <c r="S1013" t="str">
        <f>"1.00"</f>
        <v>1.00</v>
      </c>
      <c r="T1013" t="str">
        <f>"216.66"</f>
        <v>216.66</v>
      </c>
      <c r="U1013" t="str">
        <f>"13200.00"</f>
        <v>13200.00</v>
      </c>
      <c r="V1013" t="str">
        <f>"13200.00"</f>
        <v>13200.00</v>
      </c>
      <c r="W1013" t="str">
        <f t="shared" si="311"/>
        <v>2017</v>
      </c>
      <c r="X1013" t="str">
        <f>"11.33"</f>
        <v>11.33</v>
      </c>
      <c r="Y1013" t="str">
        <f>"255.16"</f>
        <v>255.16</v>
      </c>
      <c r="Z1013" t="str">
        <f>""</f>
        <v/>
      </c>
      <c r="AA1013" t="str">
        <f>"15750.00"</f>
        <v>15750.00</v>
      </c>
      <c r="AB1013" t="str">
        <f t="shared" si="326"/>
        <v>Residential</v>
      </c>
      <c r="AC1013" t="str">
        <f t="shared" si="323"/>
        <v>0</v>
      </c>
      <c r="AD1013" t="str">
        <f>""</f>
        <v/>
      </c>
      <c r="AE1013" t="str">
        <f>""</f>
        <v/>
      </c>
      <c r="AF1013" t="str">
        <f>"000"</f>
        <v>000</v>
      </c>
      <c r="AG1013" t="str">
        <f t="shared" si="324"/>
        <v>FL</v>
      </c>
      <c r="AH1013" t="str">
        <f>"43560.00"</f>
        <v>43560.00</v>
      </c>
      <c r="AI1013" t="str">
        <f>"15750.00"</f>
        <v>15750.00</v>
      </c>
      <c r="AJ1013" t="str">
        <f>"C55-001-035-8318-3"</f>
        <v>C55-001-035-8318-3</v>
      </c>
      <c r="AK1013" t="str">
        <f>"15503"</f>
        <v>15503</v>
      </c>
      <c r="AL1013">
        <v>4</v>
      </c>
      <c r="AM1013">
        <v>1164</v>
      </c>
      <c r="AN1013">
        <v>266.32</v>
      </c>
      <c r="AQ1013" t="s">
        <v>10419</v>
      </c>
      <c r="AR1013" t="s">
        <v>10419</v>
      </c>
      <c r="AS1013" t="s">
        <v>10419</v>
      </c>
      <c r="AU1013" t="s">
        <v>396</v>
      </c>
      <c r="AV1013">
        <v>2017</v>
      </c>
      <c r="AW1013" t="str">
        <f>"40-3N-25-0000-0001-0210 "</f>
        <v xml:space="preserve">40-3N-25-0000-0001-0210 </v>
      </c>
      <c r="AZ1013" t="s">
        <v>10420</v>
      </c>
      <c r="BA1013" t="s">
        <v>669</v>
      </c>
      <c r="BD1013" t="s">
        <v>2387</v>
      </c>
      <c r="BE1013" t="s">
        <v>393</v>
      </c>
      <c r="BF1013">
        <v>32097</v>
      </c>
      <c r="BG1013" t="s">
        <v>10421</v>
      </c>
      <c r="BH1013" t="s">
        <v>2388</v>
      </c>
      <c r="BI1013">
        <v>-81.752828785737407</v>
      </c>
      <c r="BJ1013">
        <v>30.7015997195412</v>
      </c>
      <c r="BK1013" t="s">
        <v>10422</v>
      </c>
      <c r="BL1013" t="s">
        <v>10423</v>
      </c>
      <c r="BM1013" t="s">
        <v>10424</v>
      </c>
      <c r="BN1013" t="s">
        <v>548</v>
      </c>
      <c r="BO1013">
        <v>32218</v>
      </c>
      <c r="BP1013" t="s">
        <v>404</v>
      </c>
      <c r="BQ1013">
        <v>0</v>
      </c>
      <c r="BR1013" t="s">
        <v>491</v>
      </c>
      <c r="BS1013">
        <v>8001</v>
      </c>
      <c r="BT1013" t="s">
        <v>492</v>
      </c>
      <c r="BW1013">
        <v>43560</v>
      </c>
      <c r="BX1013" t="s">
        <v>407</v>
      </c>
      <c r="BY1013" t="s">
        <v>408</v>
      </c>
      <c r="CD1013">
        <v>2017</v>
      </c>
      <c r="CE1013">
        <v>15750</v>
      </c>
      <c r="CG1013">
        <v>15750</v>
      </c>
      <c r="CH1013">
        <v>2017</v>
      </c>
      <c r="CI1013">
        <v>15750</v>
      </c>
      <c r="CK1013">
        <v>15750</v>
      </c>
      <c r="CL1013">
        <v>2017</v>
      </c>
      <c r="CM1013">
        <v>216.66</v>
      </c>
      <c r="CN1013" s="1">
        <v>40009</v>
      </c>
      <c r="CZ1013" s="1">
        <v>40009</v>
      </c>
      <c r="DD1013" t="s">
        <v>2387</v>
      </c>
      <c r="DG1013">
        <v>40</v>
      </c>
      <c r="DL1013">
        <v>50301</v>
      </c>
      <c r="DM1013" t="s">
        <v>10406</v>
      </c>
      <c r="DO1013" t="s">
        <v>10425</v>
      </c>
      <c r="DP1013">
        <v>0</v>
      </c>
      <c r="DQ1013">
        <v>0</v>
      </c>
      <c r="DR1013" t="s">
        <v>411</v>
      </c>
      <c r="EP1013" t="s">
        <v>421</v>
      </c>
      <c r="EQ1013" t="s">
        <v>422</v>
      </c>
      <c r="ER1013">
        <v>0</v>
      </c>
      <c r="ES1013">
        <v>3</v>
      </c>
      <c r="ET1013">
        <v>0</v>
      </c>
      <c r="EU1013">
        <v>0</v>
      </c>
      <c r="EV1013">
        <v>0</v>
      </c>
      <c r="EW1013" s="2">
        <v>43222</v>
      </c>
      <c r="EX1013" s="1">
        <v>41787</v>
      </c>
      <c r="EY1013">
        <v>2013</v>
      </c>
      <c r="EZ1013">
        <v>208.05</v>
      </c>
      <c r="FA1013" t="s">
        <v>10426</v>
      </c>
      <c r="FB1013">
        <v>15.25</v>
      </c>
      <c r="FC1013" t="s">
        <v>424</v>
      </c>
      <c r="FD1013" t="s">
        <v>425</v>
      </c>
      <c r="FE1013" s="1">
        <v>42114</v>
      </c>
      <c r="FF1013">
        <v>11</v>
      </c>
      <c r="FG1013">
        <v>10125</v>
      </c>
      <c r="FH1013" t="s">
        <v>440</v>
      </c>
      <c r="FJ1013" s="1">
        <v>41423</v>
      </c>
      <c r="FK1013">
        <v>2012</v>
      </c>
      <c r="FL1013">
        <v>267.70999999999998</v>
      </c>
      <c r="FM1013" t="s">
        <v>10427</v>
      </c>
      <c r="FN1013">
        <v>5.75</v>
      </c>
      <c r="FO1013" t="s">
        <v>424</v>
      </c>
      <c r="FP1013" t="s">
        <v>425</v>
      </c>
      <c r="FQ1013" s="1">
        <v>41835</v>
      </c>
      <c r="FR1013">
        <v>14</v>
      </c>
      <c r="FS1013">
        <v>2101381</v>
      </c>
      <c r="FT1013" t="s">
        <v>605</v>
      </c>
      <c r="FV1013" s="1">
        <v>40688</v>
      </c>
      <c r="FW1013">
        <v>2010</v>
      </c>
      <c r="FX1013">
        <v>264.37</v>
      </c>
      <c r="FY1013" t="s">
        <v>10428</v>
      </c>
      <c r="FZ1013">
        <v>6.75</v>
      </c>
      <c r="GA1013" t="s">
        <v>424</v>
      </c>
      <c r="GB1013" t="s">
        <v>425</v>
      </c>
      <c r="GC1013" s="1">
        <v>40953</v>
      </c>
      <c r="GD1013">
        <v>9</v>
      </c>
      <c r="GE1013">
        <v>105</v>
      </c>
      <c r="GF1013" t="s">
        <v>946</v>
      </c>
    </row>
    <row r="1014" spans="1:272" x14ac:dyDescent="0.25">
      <c r="A1014">
        <v>16486021</v>
      </c>
      <c r="B1014">
        <v>1013</v>
      </c>
      <c r="C1014" t="s">
        <v>393</v>
      </c>
      <c r="D1014" t="s">
        <v>394</v>
      </c>
      <c r="F1014" t="str">
        <f>"48-3N-25-0000-0001-0040"</f>
        <v>48-3N-25-0000-0001-0040</v>
      </c>
      <c r="H1014" t="str">
        <f>"SHIVER LINDA H"</f>
        <v>SHIVER LINDA H</v>
      </c>
      <c r="I1014" t="str">
        <f>"56206 HICKOX LANE"</f>
        <v>56206 HICKOX LANE</v>
      </c>
      <c r="J1014" t="str">
        <f t="shared" ref="J1014:J1027" si="328">"CALLAHAN FL 32011"</f>
        <v>CALLAHAN FL 32011</v>
      </c>
      <c r="K1014" t="str">
        <f>"56206 HICKOX LN"</f>
        <v>56206 HICKOX LN</v>
      </c>
      <c r="L1014" t="str">
        <f t="shared" ref="L1014:L1027" si="329">"CALLAHAN FL 32011"</f>
        <v>CALLAHAN FL 32011</v>
      </c>
      <c r="M1014" t="str">
        <f>"IN OR 1542/144 PAR 1-4 IN SEC 48 &amp; PAR 2-1 IN SEC 50 1989 MERI DW/MH"</f>
        <v>IN OR 1542/144 PAR 1-4 IN SEC 48 &amp; PAR 2-1 IN SEC 50 1989 MERI DW/MH</v>
      </c>
      <c r="N1014" t="str">
        <f>""</f>
        <v/>
      </c>
      <c r="O1014" t="str">
        <f>"53657"</f>
        <v>53657</v>
      </c>
      <c r="P1014" t="str">
        <f t="shared" si="310"/>
        <v>2017</v>
      </c>
      <c r="Q1014" t="str">
        <f>""</f>
        <v/>
      </c>
      <c r="R1014" t="str">
        <f>"Y"</f>
        <v>Y</v>
      </c>
      <c r="S1014" t="str">
        <f>"7.50"</f>
        <v>7.50</v>
      </c>
      <c r="T1014" t="str">
        <f>"714.12"</f>
        <v>714.12</v>
      </c>
      <c r="U1014" t="str">
        <f>"86275.00"</f>
        <v>86275.00</v>
      </c>
      <c r="V1014" t="str">
        <f>"86275.00"</f>
        <v>86275.00</v>
      </c>
      <c r="W1014" t="str">
        <f t="shared" si="311"/>
        <v>2017</v>
      </c>
      <c r="X1014" t="str">
        <f>"12.50"</f>
        <v>12.50</v>
      </c>
      <c r="Y1014" t="str">
        <f>"767.54"</f>
        <v>767.54</v>
      </c>
      <c r="Z1014" t="str">
        <f>"25000.00"</f>
        <v>25000.00</v>
      </c>
      <c r="AA1014" t="str">
        <f>"61275.00"</f>
        <v>61275.00</v>
      </c>
      <c r="AB1014" t="str">
        <f t="shared" si="326"/>
        <v>Residential</v>
      </c>
      <c r="AC1014" t="str">
        <f t="shared" si="323"/>
        <v>0</v>
      </c>
      <c r="AD1014" t="str">
        <f>"4"</f>
        <v>4</v>
      </c>
      <c r="AE1014" t="str">
        <f>"WOOD (INCLUDE STEEL STUDS)"</f>
        <v>WOOD (INCLUDE STEEL STUDS)</v>
      </c>
      <c r="AF1014" t="str">
        <f>"002"</f>
        <v>002</v>
      </c>
      <c r="AG1014" t="str">
        <f t="shared" si="324"/>
        <v>FL</v>
      </c>
      <c r="AH1014" t="str">
        <f>"326700.00"</f>
        <v>326700.00</v>
      </c>
      <c r="AI1014" t="str">
        <f>"47250.00"</f>
        <v>47250.00</v>
      </c>
      <c r="AJ1014" t="str">
        <f>"C55-000-588-6275-6"</f>
        <v>C55-000-588-6275-6</v>
      </c>
      <c r="AK1014" t="str">
        <f>"15537"</f>
        <v>15537</v>
      </c>
      <c r="AL1014">
        <v>4</v>
      </c>
      <c r="AM1014">
        <v>1165</v>
      </c>
      <c r="AN1014">
        <v>804.32</v>
      </c>
      <c r="AQ1014" t="s">
        <v>10429</v>
      </c>
      <c r="AR1014" t="s">
        <v>10429</v>
      </c>
      <c r="AS1014" t="s">
        <v>10429</v>
      </c>
      <c r="AU1014" t="s">
        <v>396</v>
      </c>
      <c r="AV1014">
        <v>2017</v>
      </c>
      <c r="AW1014" t="str">
        <f>"48-3N-25-0000-0001-0040 "</f>
        <v xml:space="preserve">48-3N-25-0000-0001-0040 </v>
      </c>
      <c r="AX1014">
        <v>56206</v>
      </c>
      <c r="AZ1014" t="s">
        <v>10430</v>
      </c>
      <c r="BA1014" t="s">
        <v>653</v>
      </c>
      <c r="BD1014" t="s">
        <v>2785</v>
      </c>
      <c r="BE1014" t="s">
        <v>393</v>
      </c>
      <c r="BF1014">
        <v>32011</v>
      </c>
      <c r="BG1014" t="s">
        <v>10431</v>
      </c>
      <c r="BH1014" t="s">
        <v>2787</v>
      </c>
      <c r="BI1014">
        <v>-81.753520320224098</v>
      </c>
      <c r="BJ1014">
        <v>30.639474557821899</v>
      </c>
      <c r="BK1014" t="s">
        <v>10432</v>
      </c>
      <c r="BL1014" t="s">
        <v>10433</v>
      </c>
      <c r="BM1014" t="s">
        <v>10434</v>
      </c>
      <c r="BN1014" t="s">
        <v>928</v>
      </c>
      <c r="BO1014">
        <v>32011</v>
      </c>
      <c r="BP1014" t="s">
        <v>404</v>
      </c>
      <c r="BQ1014">
        <v>200</v>
      </c>
      <c r="BR1014" t="s">
        <v>405</v>
      </c>
      <c r="BS1014">
        <v>1006</v>
      </c>
      <c r="BT1014" t="s">
        <v>406</v>
      </c>
      <c r="BW1014">
        <v>326700</v>
      </c>
      <c r="BX1014" t="s">
        <v>407</v>
      </c>
      <c r="BY1014" t="s">
        <v>408</v>
      </c>
      <c r="BZ1014">
        <v>4</v>
      </c>
      <c r="CA1014">
        <v>1989</v>
      </c>
      <c r="CB1014">
        <v>1</v>
      </c>
      <c r="CC1014">
        <v>1</v>
      </c>
      <c r="CD1014">
        <v>2017</v>
      </c>
      <c r="CG1014">
        <v>86275</v>
      </c>
      <c r="CH1014">
        <v>2017</v>
      </c>
      <c r="CI1014">
        <v>47250</v>
      </c>
      <c r="CJ1014">
        <v>69716</v>
      </c>
      <c r="CK1014">
        <v>116966</v>
      </c>
      <c r="CL1014">
        <v>2017</v>
      </c>
      <c r="CM1014">
        <v>714.12</v>
      </c>
      <c r="CN1014" s="1">
        <v>39436</v>
      </c>
      <c r="CZ1014" s="1">
        <v>39436</v>
      </c>
      <c r="DD1014" t="s">
        <v>2785</v>
      </c>
      <c r="DG1014">
        <v>48</v>
      </c>
      <c r="DL1014">
        <v>50301</v>
      </c>
      <c r="DM1014" t="s">
        <v>10435</v>
      </c>
      <c r="DO1014" t="s">
        <v>10436</v>
      </c>
      <c r="DP1014">
        <v>0</v>
      </c>
      <c r="DQ1014">
        <v>0</v>
      </c>
      <c r="DR1014" t="s">
        <v>411</v>
      </c>
      <c r="DS1014" t="b">
        <v>1</v>
      </c>
      <c r="DT1014" t="s">
        <v>470</v>
      </c>
      <c r="DU1014" t="s">
        <v>471</v>
      </c>
      <c r="DV1014" t="s">
        <v>472</v>
      </c>
      <c r="DX1014">
        <v>-9999</v>
      </c>
      <c r="DZ1014" t="s">
        <v>447</v>
      </c>
      <c r="EA1014" t="s">
        <v>448</v>
      </c>
      <c r="EB1014" t="s">
        <v>742</v>
      </c>
      <c r="EC1014">
        <v>20101217</v>
      </c>
      <c r="ED1014" t="s">
        <v>474</v>
      </c>
      <c r="EF1014">
        <v>570.9</v>
      </c>
      <c r="EG1014">
        <v>570.9</v>
      </c>
      <c r="EI1014">
        <v>20160407</v>
      </c>
      <c r="EJ1014">
        <v>0</v>
      </c>
      <c r="EK1014">
        <v>0</v>
      </c>
      <c r="EP1014" t="s">
        <v>421</v>
      </c>
      <c r="EQ1014" t="s">
        <v>422</v>
      </c>
      <c r="ER1014">
        <v>0</v>
      </c>
      <c r="ES1014">
        <v>5</v>
      </c>
      <c r="ET1014">
        <v>0</v>
      </c>
      <c r="EU1014">
        <v>0</v>
      </c>
      <c r="EV1014">
        <v>0</v>
      </c>
      <c r="EW1014" s="2">
        <v>43222</v>
      </c>
      <c r="EX1014" s="1">
        <v>42515</v>
      </c>
      <c r="EY1014">
        <v>2015</v>
      </c>
      <c r="EZ1014">
        <v>790.37</v>
      </c>
      <c r="FA1014" t="s">
        <v>10437</v>
      </c>
      <c r="FB1014">
        <v>0.25</v>
      </c>
      <c r="FC1014" t="s">
        <v>424</v>
      </c>
      <c r="FD1014" t="s">
        <v>425</v>
      </c>
      <c r="FE1014" s="1">
        <v>43152</v>
      </c>
      <c r="FF1014">
        <v>21</v>
      </c>
      <c r="FG1014">
        <v>2851116</v>
      </c>
      <c r="FH1014" t="s">
        <v>480</v>
      </c>
      <c r="FJ1014" s="1">
        <v>42515</v>
      </c>
      <c r="FK1014">
        <v>2015</v>
      </c>
      <c r="FL1014">
        <v>790.37</v>
      </c>
      <c r="FM1014" t="s">
        <v>10437</v>
      </c>
      <c r="FN1014">
        <v>0.25</v>
      </c>
      <c r="FO1014" t="s">
        <v>424</v>
      </c>
      <c r="FP1014" t="s">
        <v>425</v>
      </c>
      <c r="FR1014">
        <v>22</v>
      </c>
      <c r="FS1014">
        <v>5074040</v>
      </c>
      <c r="FT1014" t="s">
        <v>10438</v>
      </c>
      <c r="FV1014" s="1">
        <v>41787</v>
      </c>
      <c r="FW1014">
        <v>2013</v>
      </c>
      <c r="FX1014">
        <v>1114.8599999999999</v>
      </c>
      <c r="FY1014" t="s">
        <v>10439</v>
      </c>
      <c r="FZ1014">
        <v>0.25</v>
      </c>
      <c r="GA1014" t="s">
        <v>424</v>
      </c>
      <c r="GB1014" t="s">
        <v>425</v>
      </c>
      <c r="GC1014" s="1">
        <v>42030</v>
      </c>
      <c r="GD1014">
        <v>8</v>
      </c>
      <c r="GE1014">
        <v>2101382</v>
      </c>
      <c r="GF1014" t="s">
        <v>993</v>
      </c>
      <c r="GH1014" s="1">
        <v>41052</v>
      </c>
      <c r="GI1014">
        <v>2011</v>
      </c>
      <c r="GJ1014">
        <v>1594.79</v>
      </c>
      <c r="GK1014" t="s">
        <v>10440</v>
      </c>
      <c r="GL1014">
        <v>0.25</v>
      </c>
      <c r="GM1014" t="s">
        <v>424</v>
      </c>
      <c r="GN1014" t="s">
        <v>425</v>
      </c>
      <c r="GO1014" s="1">
        <v>41417</v>
      </c>
      <c r="GP1014">
        <v>12</v>
      </c>
      <c r="GQ1014">
        <v>12423</v>
      </c>
      <c r="GR1014" t="s">
        <v>10441</v>
      </c>
      <c r="GT1014" s="1">
        <v>40688</v>
      </c>
      <c r="GU1014">
        <v>2010</v>
      </c>
      <c r="GV1014">
        <v>1626.39</v>
      </c>
      <c r="GW1014" t="s">
        <v>10442</v>
      </c>
      <c r="GX1014">
        <v>6.75</v>
      </c>
      <c r="GY1014" t="s">
        <v>424</v>
      </c>
      <c r="GZ1014" t="s">
        <v>425</v>
      </c>
      <c r="HA1014" s="1">
        <v>40956</v>
      </c>
      <c r="HB1014">
        <v>9</v>
      </c>
      <c r="HC1014">
        <v>105</v>
      </c>
      <c r="HD1014" t="s">
        <v>946</v>
      </c>
    </row>
    <row r="1015" spans="1:272" x14ac:dyDescent="0.25">
      <c r="A1015">
        <v>16486022</v>
      </c>
      <c r="B1015">
        <v>1014</v>
      </c>
      <c r="C1015" t="s">
        <v>393</v>
      </c>
      <c r="D1015" t="s">
        <v>394</v>
      </c>
      <c r="F1015" t="str">
        <f>"48-3N-25-4195-0001-0000"</f>
        <v>48-3N-25-4195-0001-0000</v>
      </c>
      <c r="H1015" t="str">
        <f>"REA KODY LEE"</f>
        <v>REA KODY LEE</v>
      </c>
      <c r="I1015" t="str">
        <f>"56375 COLBY DR"</f>
        <v>56375 COLBY DR</v>
      </c>
      <c r="J1015" t="str">
        <f t="shared" si="328"/>
        <v>CALLAHAN FL 32011</v>
      </c>
      <c r="K1015" t="str">
        <f>"56375 COLBY DR"</f>
        <v>56375 COLBY DR</v>
      </c>
      <c r="L1015" t="str">
        <f t="shared" si="329"/>
        <v>CALLAHAN FL 32011</v>
      </c>
      <c r="M1015" t="str">
        <f>"LOT 1 IN OR 1981/569 NASSAU OAKS SEC 1 UNR"</f>
        <v>LOT 1 IN OR 1981/569 NASSAU OAKS SEC 1 UNR</v>
      </c>
      <c r="N1015" t="str">
        <f>""</f>
        <v/>
      </c>
      <c r="O1015" t="str">
        <f>"53662"</f>
        <v>53662</v>
      </c>
      <c r="P1015" t="str">
        <f t="shared" si="310"/>
        <v>2017</v>
      </c>
      <c r="Q1015" t="str">
        <f>""</f>
        <v/>
      </c>
      <c r="R1015" t="str">
        <f>"N"</f>
        <v>N</v>
      </c>
      <c r="S1015" t="str">
        <f>""</f>
        <v/>
      </c>
      <c r="T1015" t="str">
        <f>"336.35"</f>
        <v>336.35</v>
      </c>
      <c r="U1015" t="str">
        <f>"22000.00"</f>
        <v>22000.00</v>
      </c>
      <c r="V1015" t="str">
        <f>"22000.00"</f>
        <v>22000.00</v>
      </c>
      <c r="W1015" t="str">
        <f t="shared" si="311"/>
        <v>2017</v>
      </c>
      <c r="X1015" t="str">
        <f>"10.00"</f>
        <v>10.00</v>
      </c>
      <c r="Y1015" t="str">
        <f>"378.44"</f>
        <v>378.44</v>
      </c>
      <c r="Z1015" t="str">
        <f>""</f>
        <v/>
      </c>
      <c r="AA1015" t="str">
        <f>"22500.00"</f>
        <v>22500.00</v>
      </c>
      <c r="AB1015" t="str">
        <f t="shared" si="326"/>
        <v>Residential</v>
      </c>
      <c r="AC1015" t="str">
        <f t="shared" si="323"/>
        <v>0</v>
      </c>
      <c r="AD1015" t="str">
        <f>""</f>
        <v/>
      </c>
      <c r="AE1015" t="str">
        <f>""</f>
        <v/>
      </c>
      <c r="AF1015" t="str">
        <f>"000"</f>
        <v>000</v>
      </c>
      <c r="AG1015" t="str">
        <f t="shared" si="324"/>
        <v>FL</v>
      </c>
      <c r="AH1015" t="str">
        <f t="shared" ref="AH1015:AH1027" si="330">"-"</f>
        <v>-</v>
      </c>
      <c r="AI1015" t="str">
        <f t="shared" ref="AI1015:AI1027" si="331">"15000.00"</f>
        <v>15000.00</v>
      </c>
      <c r="AJ1015" t="str">
        <f>"C55-000-588-6279-8"</f>
        <v>C55-000-588-6279-8</v>
      </c>
      <c r="AK1015" t="str">
        <f>"15550"</f>
        <v>15550</v>
      </c>
      <c r="AL1015">
        <v>4</v>
      </c>
      <c r="AM1015">
        <v>1166</v>
      </c>
      <c r="AN1015">
        <v>395.76</v>
      </c>
      <c r="AQ1015" t="s">
        <v>10443</v>
      </c>
      <c r="AR1015" t="s">
        <v>10443</v>
      </c>
      <c r="AS1015" t="s">
        <v>10443</v>
      </c>
      <c r="AU1015" t="s">
        <v>396</v>
      </c>
      <c r="AV1015">
        <v>2017</v>
      </c>
      <c r="AW1015" t="str">
        <f>"48-3N-25-4195-0001-0000 "</f>
        <v xml:space="preserve">48-3N-25-4195-0001-0000 </v>
      </c>
      <c r="AX1015">
        <v>56375</v>
      </c>
      <c r="AZ1015" t="s">
        <v>10444</v>
      </c>
      <c r="BA1015" t="s">
        <v>669</v>
      </c>
      <c r="BD1015" t="s">
        <v>2785</v>
      </c>
      <c r="BE1015" t="s">
        <v>393</v>
      </c>
      <c r="BF1015">
        <v>32011</v>
      </c>
      <c r="BG1015" t="s">
        <v>10445</v>
      </c>
      <c r="BH1015" t="s">
        <v>2787</v>
      </c>
      <c r="BI1015">
        <v>-81.762298788983003</v>
      </c>
      <c r="BJ1015">
        <v>30.633116854088001</v>
      </c>
      <c r="BK1015" t="s">
        <v>10446</v>
      </c>
      <c r="BM1015" t="s">
        <v>10445</v>
      </c>
      <c r="BN1015" t="s">
        <v>928</v>
      </c>
      <c r="BO1015">
        <v>32011</v>
      </c>
      <c r="BP1015" t="s">
        <v>404</v>
      </c>
      <c r="BQ1015">
        <v>1</v>
      </c>
      <c r="BR1015" t="s">
        <v>491</v>
      </c>
      <c r="BS1015">
        <v>8001</v>
      </c>
      <c r="BT1015" t="s">
        <v>492</v>
      </c>
      <c r="BW1015">
        <v>54339</v>
      </c>
      <c r="BX1015" t="s">
        <v>407</v>
      </c>
      <c r="BY1015" t="s">
        <v>408</v>
      </c>
      <c r="CD1015">
        <v>2017</v>
      </c>
      <c r="CE1015">
        <v>15000</v>
      </c>
      <c r="CF1015">
        <v>7500</v>
      </c>
      <c r="CG1015">
        <v>22500</v>
      </c>
      <c r="CH1015">
        <v>2017</v>
      </c>
      <c r="CI1015">
        <v>15000</v>
      </c>
      <c r="CJ1015">
        <v>7500</v>
      </c>
      <c r="CK1015">
        <v>22500</v>
      </c>
      <c r="CL1015">
        <v>2017</v>
      </c>
      <c r="CM1015">
        <v>336.35</v>
      </c>
      <c r="CN1015" s="1">
        <v>37007</v>
      </c>
      <c r="CO1015">
        <v>8500</v>
      </c>
      <c r="CV1015">
        <v>35000</v>
      </c>
      <c r="CX1015" t="s">
        <v>2312</v>
      </c>
      <c r="CZ1015" s="1">
        <v>37007</v>
      </c>
      <c r="DA1015">
        <v>0</v>
      </c>
      <c r="DD1015" t="s">
        <v>2785</v>
      </c>
      <c r="DF1015">
        <v>1</v>
      </c>
      <c r="DG1015">
        <v>48</v>
      </c>
      <c r="DJ1015" t="s">
        <v>10447</v>
      </c>
      <c r="DL1015">
        <v>50301</v>
      </c>
      <c r="DM1015" t="s">
        <v>10435</v>
      </c>
      <c r="DO1015" t="s">
        <v>10448</v>
      </c>
      <c r="DP1015">
        <v>0</v>
      </c>
      <c r="DQ1015">
        <v>0</v>
      </c>
      <c r="DR1015" t="s">
        <v>411</v>
      </c>
      <c r="DS1015" t="b">
        <v>1</v>
      </c>
      <c r="DT1015" t="s">
        <v>470</v>
      </c>
      <c r="DU1015" t="s">
        <v>471</v>
      </c>
      <c r="DV1015" t="s">
        <v>472</v>
      </c>
      <c r="DX1015">
        <v>-9999</v>
      </c>
      <c r="DZ1015" t="s">
        <v>447</v>
      </c>
      <c r="EA1015" t="s">
        <v>448</v>
      </c>
      <c r="EB1015" t="s">
        <v>742</v>
      </c>
      <c r="EC1015">
        <v>20101217</v>
      </c>
      <c r="ED1015" t="s">
        <v>474</v>
      </c>
      <c r="EF1015">
        <v>299</v>
      </c>
      <c r="EG1015">
        <v>299</v>
      </c>
      <c r="EI1015">
        <v>20160407</v>
      </c>
      <c r="EJ1015">
        <v>0</v>
      </c>
      <c r="EK1015">
        <v>0</v>
      </c>
      <c r="EP1015" t="s">
        <v>421</v>
      </c>
      <c r="EQ1015" t="s">
        <v>422</v>
      </c>
      <c r="ER1015">
        <v>1</v>
      </c>
      <c r="ES1015">
        <v>1</v>
      </c>
      <c r="ET1015">
        <v>359.04</v>
      </c>
      <c r="EU1015">
        <v>26</v>
      </c>
      <c r="EV1015">
        <v>385.04</v>
      </c>
      <c r="EW1015" s="2">
        <v>43222</v>
      </c>
      <c r="EX1015" s="1">
        <v>42879</v>
      </c>
      <c r="EY1015">
        <v>2016</v>
      </c>
      <c r="EZ1015">
        <v>359.04</v>
      </c>
      <c r="FA1015" t="s">
        <v>10449</v>
      </c>
      <c r="FB1015">
        <v>5.5</v>
      </c>
      <c r="FC1015" t="s">
        <v>424</v>
      </c>
      <c r="FD1015" t="s">
        <v>454</v>
      </c>
      <c r="FF1015">
        <v>12</v>
      </c>
      <c r="FG1015">
        <v>10125</v>
      </c>
      <c r="FH1015" t="s">
        <v>440</v>
      </c>
      <c r="FJ1015" s="1">
        <v>42515</v>
      </c>
      <c r="FK1015">
        <v>2015</v>
      </c>
      <c r="FL1015">
        <v>362.11</v>
      </c>
      <c r="FM1015" t="s">
        <v>10450</v>
      </c>
      <c r="FN1015">
        <v>15.75</v>
      </c>
      <c r="FO1015" t="s">
        <v>424</v>
      </c>
      <c r="FP1015" t="s">
        <v>425</v>
      </c>
      <c r="FQ1015" s="1">
        <v>42823</v>
      </c>
      <c r="FR1015">
        <v>10</v>
      </c>
      <c r="FS1015">
        <v>7336677</v>
      </c>
      <c r="FT1015" t="s">
        <v>5826</v>
      </c>
    </row>
    <row r="1016" spans="1:272" x14ac:dyDescent="0.25">
      <c r="A1016">
        <v>16486023</v>
      </c>
      <c r="B1016">
        <v>1015</v>
      </c>
      <c r="C1016" t="s">
        <v>393</v>
      </c>
      <c r="D1016" t="s">
        <v>394</v>
      </c>
      <c r="F1016" t="str">
        <f>"48-3N-25-4195-0002-0000"</f>
        <v>48-3N-25-4195-0002-0000</v>
      </c>
      <c r="H1016" t="str">
        <f>"REA KIRKLAND LEE"</f>
        <v>REA KIRKLAND LEE</v>
      </c>
      <c r="I1016" t="str">
        <f>"56375 COLBY DR"</f>
        <v>56375 COLBY DR</v>
      </c>
      <c r="J1016" t="str">
        <f t="shared" si="328"/>
        <v>CALLAHAN FL 32011</v>
      </c>
      <c r="K1016" t="str">
        <f>"56467 NASSAU OAKS DR"</f>
        <v>56467 NASSAU OAKS DR</v>
      </c>
      <c r="L1016" t="str">
        <f t="shared" si="329"/>
        <v>CALLAHAN FL 32011</v>
      </c>
      <c r="M1016" t="str">
        <f>"LOT 2 IN OR 983/917 NASSAU OAKS SEC 1 UNR"</f>
        <v>LOT 2 IN OR 983/917 NASSAU OAKS SEC 1 UNR</v>
      </c>
      <c r="N1016" t="str">
        <f>""</f>
        <v/>
      </c>
      <c r="O1016" t="str">
        <f>"53663"</f>
        <v>53663</v>
      </c>
      <c r="P1016" t="str">
        <f t="shared" si="310"/>
        <v>2017</v>
      </c>
      <c r="Q1016" t="str">
        <f>""</f>
        <v/>
      </c>
      <c r="R1016" t="str">
        <f>"N"</f>
        <v>N</v>
      </c>
      <c r="S1016" t="str">
        <f>""</f>
        <v/>
      </c>
      <c r="T1016" t="str">
        <f>"227.09"</f>
        <v>227.09</v>
      </c>
      <c r="U1016" t="str">
        <f>"15000.00"</f>
        <v>15000.00</v>
      </c>
      <c r="V1016" t="str">
        <f>"15000.00"</f>
        <v>15000.00</v>
      </c>
      <c r="W1016" t="str">
        <f t="shared" si="311"/>
        <v>2017</v>
      </c>
      <c r="X1016" t="str">
        <f>"16.25"</f>
        <v>16.25</v>
      </c>
      <c r="Y1016" t="str">
        <f>"265.90"</f>
        <v>265.90</v>
      </c>
      <c r="Z1016" t="str">
        <f>""</f>
        <v/>
      </c>
      <c r="AA1016" t="str">
        <f>"15000.00"</f>
        <v>15000.00</v>
      </c>
      <c r="AB1016" t="str">
        <f t="shared" si="326"/>
        <v>Residential</v>
      </c>
      <c r="AC1016" t="str">
        <f t="shared" si="323"/>
        <v>0</v>
      </c>
      <c r="AD1016" t="str">
        <f>""</f>
        <v/>
      </c>
      <c r="AE1016" t="str">
        <f>""</f>
        <v/>
      </c>
      <c r="AF1016" t="str">
        <f>"000"</f>
        <v>000</v>
      </c>
      <c r="AG1016" t="str">
        <f t="shared" si="324"/>
        <v>FL</v>
      </c>
      <c r="AH1016" t="str">
        <f t="shared" si="330"/>
        <v>-</v>
      </c>
      <c r="AI1016" t="str">
        <f t="shared" si="331"/>
        <v>15000.00</v>
      </c>
      <c r="AJ1016" t="str">
        <f>"C55-000-588-6280-6"</f>
        <v>C55-000-588-6280-6</v>
      </c>
      <c r="AK1016" t="str">
        <f>"15551"</f>
        <v>15551</v>
      </c>
      <c r="AL1016">
        <v>4</v>
      </c>
      <c r="AM1016">
        <v>1167</v>
      </c>
      <c r="AN1016">
        <v>277.60000000000002</v>
      </c>
      <c r="AQ1016" t="s">
        <v>10451</v>
      </c>
      <c r="AR1016" t="s">
        <v>10451</v>
      </c>
      <c r="AS1016" t="s">
        <v>10451</v>
      </c>
      <c r="AU1016" t="s">
        <v>396</v>
      </c>
      <c r="AV1016">
        <v>2017</v>
      </c>
      <c r="AW1016" t="str">
        <f>"48-3N-25-4195-0002-0000 "</f>
        <v xml:space="preserve">48-3N-25-4195-0002-0000 </v>
      </c>
      <c r="AX1016">
        <v>56467</v>
      </c>
      <c r="AZ1016" t="s">
        <v>10447</v>
      </c>
      <c r="BA1016" t="s">
        <v>669</v>
      </c>
      <c r="BD1016" t="s">
        <v>2785</v>
      </c>
      <c r="BE1016" t="s">
        <v>393</v>
      </c>
      <c r="BF1016">
        <v>32011</v>
      </c>
      <c r="BG1016" t="s">
        <v>10452</v>
      </c>
      <c r="BH1016" t="s">
        <v>2787</v>
      </c>
      <c r="BI1016">
        <v>-81.762627898916705</v>
      </c>
      <c r="BJ1016">
        <v>30.6327181461027</v>
      </c>
      <c r="BK1016" t="s">
        <v>10453</v>
      </c>
      <c r="BM1016" t="s">
        <v>10445</v>
      </c>
      <c r="BN1016" t="s">
        <v>928</v>
      </c>
      <c r="BO1016">
        <v>32011</v>
      </c>
      <c r="BP1016" t="s">
        <v>404</v>
      </c>
      <c r="BQ1016">
        <v>0</v>
      </c>
      <c r="BR1016" t="s">
        <v>491</v>
      </c>
      <c r="BS1016">
        <v>8001</v>
      </c>
      <c r="BT1016" t="s">
        <v>492</v>
      </c>
      <c r="BW1016">
        <v>43529</v>
      </c>
      <c r="BX1016" t="s">
        <v>407</v>
      </c>
      <c r="BY1016" t="s">
        <v>408</v>
      </c>
      <c r="CD1016">
        <v>2017</v>
      </c>
      <c r="CE1016">
        <v>15000</v>
      </c>
      <c r="CG1016">
        <v>15000</v>
      </c>
      <c r="CH1016">
        <v>2017</v>
      </c>
      <c r="CI1016">
        <v>15000</v>
      </c>
      <c r="CK1016">
        <v>15000</v>
      </c>
      <c r="CL1016">
        <v>2017</v>
      </c>
      <c r="CM1016">
        <v>227.09</v>
      </c>
      <c r="CN1016" s="1">
        <v>37007</v>
      </c>
      <c r="CO1016">
        <v>8500</v>
      </c>
      <c r="CZ1016" s="1">
        <v>37007</v>
      </c>
      <c r="DD1016" t="s">
        <v>2785</v>
      </c>
      <c r="DF1016">
        <v>2</v>
      </c>
      <c r="DG1016">
        <v>48</v>
      </c>
      <c r="DJ1016" t="s">
        <v>10447</v>
      </c>
      <c r="DL1016">
        <v>50301</v>
      </c>
      <c r="DM1016" t="s">
        <v>10435</v>
      </c>
      <c r="DO1016" t="s">
        <v>10454</v>
      </c>
      <c r="DP1016">
        <v>0</v>
      </c>
      <c r="DQ1016">
        <v>0</v>
      </c>
      <c r="DR1016" t="s">
        <v>411</v>
      </c>
      <c r="DS1016" t="b">
        <v>1</v>
      </c>
      <c r="DT1016" t="s">
        <v>470</v>
      </c>
      <c r="DU1016" t="s">
        <v>471</v>
      </c>
      <c r="DV1016" t="s">
        <v>472</v>
      </c>
      <c r="DX1016">
        <v>-9999</v>
      </c>
      <c r="DZ1016" t="s">
        <v>447</v>
      </c>
      <c r="EA1016" t="s">
        <v>448</v>
      </c>
      <c r="EB1016" t="s">
        <v>742</v>
      </c>
      <c r="EC1016">
        <v>20101217</v>
      </c>
      <c r="ED1016" t="s">
        <v>474</v>
      </c>
      <c r="EF1016">
        <v>467.9</v>
      </c>
      <c r="EG1016">
        <v>467.9</v>
      </c>
      <c r="EI1016">
        <v>20160407</v>
      </c>
      <c r="EJ1016">
        <v>0</v>
      </c>
      <c r="EK1016">
        <v>0</v>
      </c>
      <c r="EP1016" t="s">
        <v>421</v>
      </c>
      <c r="EQ1016" t="s">
        <v>422</v>
      </c>
      <c r="ER1016">
        <v>2</v>
      </c>
      <c r="ES1016">
        <v>5</v>
      </c>
      <c r="ET1016">
        <v>553.13</v>
      </c>
      <c r="EU1016">
        <v>126.7</v>
      </c>
      <c r="EV1016">
        <v>679.83</v>
      </c>
      <c r="EW1016" s="2">
        <v>43222</v>
      </c>
      <c r="EX1016" s="1">
        <v>42879</v>
      </c>
      <c r="EY1016">
        <v>2016</v>
      </c>
      <c r="EZ1016">
        <v>276.04000000000002</v>
      </c>
      <c r="FA1016" t="s">
        <v>10455</v>
      </c>
      <c r="FB1016">
        <v>9.75</v>
      </c>
      <c r="FC1016" t="s">
        <v>424</v>
      </c>
      <c r="FD1016" t="s">
        <v>454</v>
      </c>
      <c r="FF1016">
        <v>12</v>
      </c>
      <c r="FG1016">
        <v>10021</v>
      </c>
      <c r="FH1016" t="s">
        <v>597</v>
      </c>
      <c r="FJ1016" s="1">
        <v>42515</v>
      </c>
      <c r="FK1016">
        <v>2015</v>
      </c>
      <c r="FL1016">
        <v>277.08999999999997</v>
      </c>
      <c r="FM1016" t="s">
        <v>10456</v>
      </c>
      <c r="FN1016">
        <v>15.75</v>
      </c>
      <c r="FO1016" t="s">
        <v>424</v>
      </c>
      <c r="FP1016" t="s">
        <v>454</v>
      </c>
      <c r="FR1016">
        <v>24</v>
      </c>
      <c r="FS1016">
        <v>7336677</v>
      </c>
      <c r="FT1016" t="s">
        <v>5826</v>
      </c>
      <c r="FV1016" s="1">
        <v>42151</v>
      </c>
      <c r="FW1016">
        <v>2014</v>
      </c>
      <c r="FX1016">
        <v>265.56</v>
      </c>
      <c r="FY1016" t="s">
        <v>10457</v>
      </c>
      <c r="FZ1016">
        <v>4.75</v>
      </c>
      <c r="GA1016" t="s">
        <v>424</v>
      </c>
      <c r="GB1016" t="s">
        <v>425</v>
      </c>
      <c r="GC1016" s="1">
        <v>42823</v>
      </c>
      <c r="GD1016">
        <v>22</v>
      </c>
      <c r="GE1016">
        <v>4975593</v>
      </c>
      <c r="GF1016" t="s">
        <v>505</v>
      </c>
      <c r="GH1016" s="1">
        <v>41787</v>
      </c>
      <c r="GI1016">
        <v>2013</v>
      </c>
      <c r="GJ1016">
        <v>240.4</v>
      </c>
      <c r="GK1016" t="s">
        <v>10458</v>
      </c>
      <c r="GL1016">
        <v>5.75</v>
      </c>
      <c r="GM1016" t="s">
        <v>424</v>
      </c>
      <c r="GN1016" t="s">
        <v>425</v>
      </c>
      <c r="GO1016" s="1">
        <v>42436</v>
      </c>
      <c r="GP1016">
        <v>22</v>
      </c>
      <c r="GQ1016">
        <v>2035919</v>
      </c>
      <c r="GR1016" t="s">
        <v>507</v>
      </c>
      <c r="GT1016" s="1">
        <v>41423</v>
      </c>
      <c r="GU1016">
        <v>2012</v>
      </c>
      <c r="GV1016">
        <v>322.08</v>
      </c>
      <c r="GW1016" t="s">
        <v>10459</v>
      </c>
      <c r="GX1016">
        <v>4.5</v>
      </c>
      <c r="GY1016" t="s">
        <v>424</v>
      </c>
      <c r="GZ1016" t="s">
        <v>425</v>
      </c>
      <c r="HA1016" s="1">
        <v>42046</v>
      </c>
      <c r="HB1016">
        <v>21</v>
      </c>
      <c r="HC1016">
        <v>15399</v>
      </c>
      <c r="HD1016" t="s">
        <v>485</v>
      </c>
      <c r="HF1016" s="1">
        <v>41052</v>
      </c>
      <c r="HG1016">
        <v>2011</v>
      </c>
      <c r="HH1016">
        <v>330.01</v>
      </c>
      <c r="HI1016" t="s">
        <v>10460</v>
      </c>
      <c r="HJ1016">
        <v>5.75</v>
      </c>
      <c r="HK1016" t="s">
        <v>424</v>
      </c>
      <c r="HL1016" t="s">
        <v>425</v>
      </c>
      <c r="HM1016" s="1">
        <v>41326</v>
      </c>
      <c r="HN1016">
        <v>9</v>
      </c>
      <c r="HO1016">
        <v>62</v>
      </c>
      <c r="HP1016" t="s">
        <v>463</v>
      </c>
      <c r="HR1016" s="1">
        <v>40688</v>
      </c>
      <c r="HS1016">
        <v>2010</v>
      </c>
      <c r="HT1016">
        <v>306.94</v>
      </c>
      <c r="HU1016" t="s">
        <v>10461</v>
      </c>
      <c r="HV1016">
        <v>6.75</v>
      </c>
      <c r="HW1016" t="s">
        <v>424</v>
      </c>
      <c r="HX1016" t="s">
        <v>425</v>
      </c>
      <c r="HY1016" s="1">
        <v>41326</v>
      </c>
      <c r="HZ1016">
        <v>21</v>
      </c>
      <c r="IA1016">
        <v>375</v>
      </c>
      <c r="IB1016" t="s">
        <v>776</v>
      </c>
    </row>
    <row r="1017" spans="1:272" x14ac:dyDescent="0.25">
      <c r="A1017">
        <v>16486024</v>
      </c>
      <c r="B1017">
        <v>1016</v>
      </c>
      <c r="C1017" t="s">
        <v>393</v>
      </c>
      <c r="D1017" t="s">
        <v>394</v>
      </c>
      <c r="F1017" t="str">
        <f>"48-3N-25-4195-000H-0000"</f>
        <v>48-3N-25-4195-000H-0000</v>
      </c>
      <c r="H1017" t="str">
        <f>"EARICK VIRGINIA L"</f>
        <v>EARICK VIRGINIA L</v>
      </c>
      <c r="I1017" t="str">
        <f>"56193 COLBY DRIVE"</f>
        <v>56193 COLBY DRIVE</v>
      </c>
      <c r="J1017" t="str">
        <f t="shared" si="328"/>
        <v>CALLAHAN FL 32011</v>
      </c>
      <c r="K1017" t="str">
        <f>"56193 COLBY DR"</f>
        <v>56193 COLBY DR</v>
      </c>
      <c r="L1017" t="str">
        <f t="shared" si="329"/>
        <v>CALLAHAN FL 32011</v>
      </c>
      <c r="M1017" t="str">
        <f>"LOT H RP 2309 IN OR 679 PG 630 NASSAU OAKS SEC 1 UNR"</f>
        <v>LOT H RP 2309 IN OR 679 PG 630 NASSAU OAKS SEC 1 UNR</v>
      </c>
      <c r="N1017" t="str">
        <f>""</f>
        <v/>
      </c>
      <c r="O1017" t="str">
        <f>"53676"</f>
        <v>53676</v>
      </c>
      <c r="P1017" t="str">
        <f t="shared" si="310"/>
        <v>2017</v>
      </c>
      <c r="Q1017" t="str">
        <f>""</f>
        <v/>
      </c>
      <c r="R1017" t="str">
        <f>"N"</f>
        <v>N</v>
      </c>
      <c r="S1017" t="str">
        <f>""</f>
        <v/>
      </c>
      <c r="T1017" t="str">
        <f>"349.71"</f>
        <v>349.71</v>
      </c>
      <c r="U1017" t="str">
        <f>"22949.00"</f>
        <v>22949.00</v>
      </c>
      <c r="V1017" t="str">
        <f>"22949.00"</f>
        <v>22949.00</v>
      </c>
      <c r="W1017" t="str">
        <f t="shared" si="311"/>
        <v>2017</v>
      </c>
      <c r="X1017" t="str">
        <f>""</f>
        <v/>
      </c>
      <c r="Y1017" t="str">
        <f>"392.20"</f>
        <v>392.20</v>
      </c>
      <c r="Z1017" t="str">
        <f>""</f>
        <v/>
      </c>
      <c r="AA1017" t="str">
        <f>"23297.00"</f>
        <v>23297.00</v>
      </c>
      <c r="AB1017" t="str">
        <f t="shared" si="326"/>
        <v>Residential</v>
      </c>
      <c r="AC1017" t="str">
        <f t="shared" si="323"/>
        <v>0</v>
      </c>
      <c r="AD1017" t="str">
        <f>""</f>
        <v/>
      </c>
      <c r="AE1017" t="str">
        <f>""</f>
        <v/>
      </c>
      <c r="AF1017" t="str">
        <f>"000"</f>
        <v>000</v>
      </c>
      <c r="AG1017" t="str">
        <f t="shared" si="324"/>
        <v>FL</v>
      </c>
      <c r="AH1017" t="str">
        <f t="shared" si="330"/>
        <v>-</v>
      </c>
      <c r="AI1017" t="str">
        <f t="shared" si="331"/>
        <v>15000.00</v>
      </c>
      <c r="AJ1017" t="str">
        <f>"C55-000-588-6293-9"</f>
        <v>C55-000-588-6293-9</v>
      </c>
      <c r="AK1017" t="str">
        <f>"15549"</f>
        <v>15549</v>
      </c>
      <c r="AL1017">
        <v>4</v>
      </c>
      <c r="AM1017">
        <v>1168</v>
      </c>
      <c r="AN1017">
        <v>410.21</v>
      </c>
      <c r="AQ1017" t="s">
        <v>10462</v>
      </c>
      <c r="AR1017" t="s">
        <v>10462</v>
      </c>
      <c r="AS1017" t="s">
        <v>10462</v>
      </c>
      <c r="AU1017" t="s">
        <v>396</v>
      </c>
      <c r="AV1017">
        <v>2017</v>
      </c>
      <c r="AW1017" t="str">
        <f>"48-3N-25-4195-000H-0000 "</f>
        <v xml:space="preserve">48-3N-25-4195-000H-0000 </v>
      </c>
      <c r="AX1017">
        <v>56193</v>
      </c>
      <c r="AZ1017" t="s">
        <v>10444</v>
      </c>
      <c r="BA1017" t="s">
        <v>669</v>
      </c>
      <c r="BD1017" t="s">
        <v>2785</v>
      </c>
      <c r="BE1017" t="s">
        <v>393</v>
      </c>
      <c r="BF1017">
        <v>32011</v>
      </c>
      <c r="BG1017" t="s">
        <v>10463</v>
      </c>
      <c r="BH1017" t="s">
        <v>2787</v>
      </c>
      <c r="BI1017">
        <v>-81.761145939700796</v>
      </c>
      <c r="BJ1017">
        <v>30.630834479203401</v>
      </c>
      <c r="BK1017" t="s">
        <v>10464</v>
      </c>
      <c r="BM1017" t="s">
        <v>10463</v>
      </c>
      <c r="BN1017" t="s">
        <v>928</v>
      </c>
      <c r="BO1017">
        <v>32011</v>
      </c>
      <c r="BP1017" t="s">
        <v>404</v>
      </c>
      <c r="BQ1017">
        <v>1</v>
      </c>
      <c r="BR1017" t="s">
        <v>491</v>
      </c>
      <c r="BS1017">
        <v>8001</v>
      </c>
      <c r="BT1017" t="s">
        <v>492</v>
      </c>
      <c r="BW1017">
        <v>44020</v>
      </c>
      <c r="BX1017" t="s">
        <v>407</v>
      </c>
      <c r="BY1017" t="s">
        <v>408</v>
      </c>
      <c r="CD1017">
        <v>2017</v>
      </c>
      <c r="CE1017">
        <v>15000</v>
      </c>
      <c r="CF1017">
        <v>8297</v>
      </c>
      <c r="CG1017">
        <v>23297</v>
      </c>
      <c r="CH1017">
        <v>2017</v>
      </c>
      <c r="CI1017">
        <v>15000</v>
      </c>
      <c r="CJ1017">
        <v>8297</v>
      </c>
      <c r="CK1017">
        <v>23297</v>
      </c>
      <c r="CL1017">
        <v>2017</v>
      </c>
      <c r="CM1017">
        <v>349.71</v>
      </c>
      <c r="CN1017" s="1">
        <v>34080</v>
      </c>
      <c r="CZ1017" s="1">
        <v>34080</v>
      </c>
      <c r="DD1017" t="s">
        <v>2785</v>
      </c>
      <c r="DF1017" t="s">
        <v>10465</v>
      </c>
      <c r="DG1017">
        <v>48</v>
      </c>
      <c r="DJ1017" t="s">
        <v>10447</v>
      </c>
      <c r="DL1017">
        <v>50301</v>
      </c>
      <c r="DM1017" t="s">
        <v>10435</v>
      </c>
      <c r="DO1017" t="s">
        <v>10466</v>
      </c>
      <c r="DP1017">
        <v>0</v>
      </c>
      <c r="DQ1017">
        <v>0</v>
      </c>
      <c r="DR1017" t="s">
        <v>411</v>
      </c>
    </row>
    <row r="1018" spans="1:272" x14ac:dyDescent="0.25">
      <c r="A1018">
        <v>16486025</v>
      </c>
      <c r="B1018">
        <v>1017</v>
      </c>
      <c r="C1018" t="s">
        <v>393</v>
      </c>
      <c r="D1018" t="s">
        <v>394</v>
      </c>
      <c r="F1018" t="str">
        <f>"48-3N-25-4195-0025-0000"</f>
        <v>48-3N-25-4195-0025-0000</v>
      </c>
      <c r="H1018" t="str">
        <f>"WATSON RICHARD A EST &amp; WATSON RICHARD"</f>
        <v>WATSON RICHARD A EST &amp; WATSON RICHARD</v>
      </c>
      <c r="I1018" t="str">
        <f>"56392 NASSAU OAKS DR"</f>
        <v>56392 NASSAU OAKS DR</v>
      </c>
      <c r="J1018" t="str">
        <f t="shared" si="328"/>
        <v>CALLAHAN FL 32011</v>
      </c>
      <c r="K1018" t="str">
        <f>"56392 NASSAU OAKS DR"</f>
        <v>56392 NASSAU OAKS DR</v>
      </c>
      <c r="L1018" t="str">
        <f t="shared" si="329"/>
        <v>CALLAHAN FL 32011</v>
      </c>
      <c r="M1018" t="str">
        <f>"LOT 25 IN OR 253/652 &amp; OR 1958/552 R360176 &amp; R360177 NASSAU OAKS SEC 1 UNR"</f>
        <v>LOT 25 IN OR 253/652 &amp; OR 1958/552 R360176 &amp; R360177 NASSAU OAKS SEC 1 UNR</v>
      </c>
      <c r="N1018" t="str">
        <f>""</f>
        <v/>
      </c>
      <c r="O1018" t="str">
        <f>"53692"</f>
        <v>53692</v>
      </c>
      <c r="P1018" t="str">
        <f t="shared" si="310"/>
        <v>2017</v>
      </c>
      <c r="Q1018" t="str">
        <f>""</f>
        <v/>
      </c>
      <c r="R1018" t="str">
        <f>"N"</f>
        <v>N</v>
      </c>
      <c r="S1018" t="str">
        <f>""</f>
        <v/>
      </c>
      <c r="T1018" t="str">
        <f>"336.35"</f>
        <v>336.35</v>
      </c>
      <c r="U1018" t="str">
        <f>"22000.00"</f>
        <v>22000.00</v>
      </c>
      <c r="V1018" t="str">
        <f>"22000.00"</f>
        <v>22000.00</v>
      </c>
      <c r="W1018" t="str">
        <f t="shared" si="311"/>
        <v>2017</v>
      </c>
      <c r="X1018" t="str">
        <f>"21.60"</f>
        <v>21.60</v>
      </c>
      <c r="Y1018" t="str">
        <f>"378.44"</f>
        <v>378.44</v>
      </c>
      <c r="Z1018" t="str">
        <f>""</f>
        <v/>
      </c>
      <c r="AA1018" t="str">
        <f>"22500.00"</f>
        <v>22500.00</v>
      </c>
      <c r="AB1018" t="str">
        <f t="shared" si="326"/>
        <v>Residential</v>
      </c>
      <c r="AC1018" t="str">
        <f t="shared" si="323"/>
        <v>0</v>
      </c>
      <c r="AD1018" t="str">
        <f>""</f>
        <v/>
      </c>
      <c r="AE1018" t="str">
        <f>""</f>
        <v/>
      </c>
      <c r="AF1018" t="str">
        <f>"000"</f>
        <v>000</v>
      </c>
      <c r="AG1018" t="str">
        <f t="shared" si="324"/>
        <v>FL</v>
      </c>
      <c r="AH1018" t="str">
        <f t="shared" si="330"/>
        <v>-</v>
      </c>
      <c r="AI1018" t="str">
        <f t="shared" si="331"/>
        <v>15000.00</v>
      </c>
      <c r="AJ1018" t="str">
        <f>"C55-000-588-6309-3"</f>
        <v>C55-000-588-6309-3</v>
      </c>
      <c r="AK1018" t="str">
        <f>"15570"</f>
        <v>15570</v>
      </c>
      <c r="AL1018">
        <v>4</v>
      </c>
      <c r="AM1018">
        <v>1169</v>
      </c>
      <c r="AN1018">
        <v>395.76</v>
      </c>
      <c r="AQ1018" t="s">
        <v>10467</v>
      </c>
      <c r="AR1018" t="s">
        <v>10467</v>
      </c>
      <c r="AS1018" t="s">
        <v>10467</v>
      </c>
      <c r="AU1018" t="s">
        <v>396</v>
      </c>
      <c r="AV1018">
        <v>2017</v>
      </c>
      <c r="AW1018" t="str">
        <f>"48-3N-25-4195-0025-0000 "</f>
        <v xml:space="preserve">48-3N-25-4195-0025-0000 </v>
      </c>
      <c r="AX1018">
        <v>56392</v>
      </c>
      <c r="AZ1018" t="s">
        <v>10447</v>
      </c>
      <c r="BA1018" t="s">
        <v>669</v>
      </c>
      <c r="BD1018" t="s">
        <v>2785</v>
      </c>
      <c r="BE1018" t="s">
        <v>393</v>
      </c>
      <c r="BF1018">
        <v>32011</v>
      </c>
      <c r="BG1018" t="s">
        <v>10468</v>
      </c>
      <c r="BH1018" t="s">
        <v>2787</v>
      </c>
      <c r="BI1018">
        <v>-81.763644395462805</v>
      </c>
      <c r="BJ1018">
        <v>30.630387812055499</v>
      </c>
      <c r="BK1018" t="s">
        <v>10469</v>
      </c>
      <c r="BM1018" t="s">
        <v>10468</v>
      </c>
      <c r="BN1018" t="s">
        <v>928</v>
      </c>
      <c r="BO1018">
        <v>32011</v>
      </c>
      <c r="BP1018" t="s">
        <v>404</v>
      </c>
      <c r="BQ1018">
        <v>1</v>
      </c>
      <c r="BR1018" t="s">
        <v>491</v>
      </c>
      <c r="BS1018">
        <v>8001</v>
      </c>
      <c r="BT1018" t="s">
        <v>492</v>
      </c>
      <c r="BW1018">
        <v>43435</v>
      </c>
      <c r="BX1018" t="s">
        <v>407</v>
      </c>
      <c r="BY1018" t="s">
        <v>408</v>
      </c>
      <c r="CD1018">
        <v>2017</v>
      </c>
      <c r="CE1018">
        <v>15000</v>
      </c>
      <c r="CF1018">
        <v>7500</v>
      </c>
      <c r="CG1018">
        <v>22500</v>
      </c>
      <c r="CH1018">
        <v>2017</v>
      </c>
      <c r="CI1018">
        <v>15000</v>
      </c>
      <c r="CJ1018">
        <v>7500</v>
      </c>
      <c r="CK1018">
        <v>22500</v>
      </c>
      <c r="CL1018">
        <v>2017</v>
      </c>
      <c r="CM1018">
        <v>336.35</v>
      </c>
      <c r="CN1018" s="1">
        <v>42024</v>
      </c>
      <c r="CZ1018" s="1">
        <v>42024</v>
      </c>
      <c r="DD1018" t="s">
        <v>2785</v>
      </c>
      <c r="DF1018">
        <v>25</v>
      </c>
      <c r="DG1018">
        <v>48</v>
      </c>
      <c r="DJ1018" t="s">
        <v>10447</v>
      </c>
      <c r="DL1018">
        <v>50301</v>
      </c>
      <c r="DM1018" t="s">
        <v>10435</v>
      </c>
      <c r="DO1018" t="s">
        <v>10470</v>
      </c>
      <c r="DP1018">
        <v>0</v>
      </c>
      <c r="DQ1018">
        <v>0</v>
      </c>
      <c r="DR1018" t="s">
        <v>411</v>
      </c>
      <c r="DS1018" t="b">
        <v>1</v>
      </c>
      <c r="DT1018" t="s">
        <v>470</v>
      </c>
      <c r="DU1018" t="s">
        <v>471</v>
      </c>
      <c r="DV1018" t="s">
        <v>472</v>
      </c>
      <c r="DX1018">
        <v>-9999</v>
      </c>
      <c r="DZ1018" t="s">
        <v>447</v>
      </c>
      <c r="EA1018" t="s">
        <v>448</v>
      </c>
      <c r="EB1018" t="s">
        <v>742</v>
      </c>
      <c r="EC1018">
        <v>20101217</v>
      </c>
      <c r="ED1018" t="s">
        <v>474</v>
      </c>
      <c r="EF1018">
        <v>949.6</v>
      </c>
      <c r="EG1018">
        <v>949.6</v>
      </c>
      <c r="EI1018">
        <v>20160407</v>
      </c>
      <c r="EJ1018">
        <v>0</v>
      </c>
      <c r="EK1018">
        <v>0</v>
      </c>
      <c r="EP1018" t="s">
        <v>421</v>
      </c>
      <c r="EQ1018" t="s">
        <v>422</v>
      </c>
      <c r="ER1018">
        <v>1</v>
      </c>
      <c r="ES1018">
        <v>6</v>
      </c>
      <c r="ET1018">
        <v>359.04</v>
      </c>
      <c r="EU1018">
        <v>29.59</v>
      </c>
      <c r="EV1018">
        <v>388.63</v>
      </c>
      <c r="EW1018" s="2">
        <v>43222</v>
      </c>
      <c r="EX1018" s="1">
        <v>42879</v>
      </c>
      <c r="EY1018">
        <v>2016</v>
      </c>
      <c r="EZ1018">
        <v>359.04</v>
      </c>
      <c r="FA1018" t="s">
        <v>10471</v>
      </c>
      <c r="FB1018">
        <v>6.5</v>
      </c>
      <c r="FC1018" t="s">
        <v>424</v>
      </c>
      <c r="FD1018" t="s">
        <v>454</v>
      </c>
      <c r="FF1018">
        <v>12</v>
      </c>
      <c r="FG1018">
        <v>10125</v>
      </c>
      <c r="FH1018" t="s">
        <v>440</v>
      </c>
      <c r="FJ1018" s="1">
        <v>42515</v>
      </c>
      <c r="FK1018">
        <v>2015</v>
      </c>
      <c r="FL1018">
        <v>362.11</v>
      </c>
      <c r="FM1018" t="s">
        <v>10472</v>
      </c>
      <c r="FN1018">
        <v>15.25</v>
      </c>
      <c r="FO1018" t="s">
        <v>424</v>
      </c>
      <c r="FP1018" t="s">
        <v>425</v>
      </c>
      <c r="FQ1018" s="1">
        <v>43179</v>
      </c>
      <c r="FR1018">
        <v>22</v>
      </c>
      <c r="FS1018">
        <v>7336143</v>
      </c>
      <c r="FT1018" t="s">
        <v>539</v>
      </c>
      <c r="FV1018" s="1">
        <v>42151</v>
      </c>
      <c r="FW1018">
        <v>2014</v>
      </c>
      <c r="FX1018">
        <v>351.01</v>
      </c>
      <c r="FY1018" t="s">
        <v>10473</v>
      </c>
      <c r="FZ1018">
        <v>4.75</v>
      </c>
      <c r="GA1018" t="s">
        <v>424</v>
      </c>
      <c r="GB1018" t="s">
        <v>425</v>
      </c>
      <c r="GC1018" s="1">
        <v>42793</v>
      </c>
      <c r="GD1018">
        <v>21</v>
      </c>
      <c r="GE1018">
        <v>4975593</v>
      </c>
      <c r="GF1018" t="s">
        <v>505</v>
      </c>
      <c r="GH1018" s="1">
        <v>41787</v>
      </c>
      <c r="GI1018">
        <v>2013</v>
      </c>
      <c r="GJ1018">
        <v>321.27</v>
      </c>
      <c r="GK1018" t="s">
        <v>10474</v>
      </c>
      <c r="GL1018">
        <v>6</v>
      </c>
      <c r="GM1018" t="s">
        <v>424</v>
      </c>
      <c r="GN1018" t="s">
        <v>425</v>
      </c>
      <c r="GO1018" s="1">
        <v>42416</v>
      </c>
      <c r="GP1018">
        <v>21</v>
      </c>
      <c r="GQ1018">
        <v>2035919</v>
      </c>
      <c r="GR1018" t="s">
        <v>507</v>
      </c>
      <c r="GT1018" s="1">
        <v>41423</v>
      </c>
      <c r="GU1018">
        <v>2012</v>
      </c>
      <c r="GV1018">
        <v>325.02</v>
      </c>
      <c r="GW1018" t="s">
        <v>10475</v>
      </c>
      <c r="GX1018">
        <v>5</v>
      </c>
      <c r="GY1018" t="s">
        <v>424</v>
      </c>
      <c r="GZ1018" t="s">
        <v>425</v>
      </c>
      <c r="HA1018" s="1">
        <v>42058</v>
      </c>
      <c r="HB1018">
        <v>21</v>
      </c>
      <c r="HC1018">
        <v>10125</v>
      </c>
      <c r="HD1018" t="s">
        <v>440</v>
      </c>
      <c r="HF1018" s="1">
        <v>41052</v>
      </c>
      <c r="HG1018">
        <v>2011</v>
      </c>
      <c r="HH1018">
        <v>322.31</v>
      </c>
      <c r="HI1018" t="s">
        <v>10476</v>
      </c>
      <c r="HJ1018">
        <v>5.75</v>
      </c>
      <c r="HK1018" t="s">
        <v>424</v>
      </c>
      <c r="HL1018" t="s">
        <v>425</v>
      </c>
      <c r="HM1018" s="1">
        <v>41694</v>
      </c>
      <c r="HN1018">
        <v>21</v>
      </c>
      <c r="HO1018">
        <v>62</v>
      </c>
      <c r="HP1018" t="s">
        <v>463</v>
      </c>
      <c r="HR1018" s="1">
        <v>40688</v>
      </c>
      <c r="HS1018">
        <v>2010</v>
      </c>
      <c r="HT1018">
        <v>297.88</v>
      </c>
      <c r="HU1018" t="s">
        <v>10477</v>
      </c>
      <c r="HV1018">
        <v>11</v>
      </c>
      <c r="HW1018" t="s">
        <v>424</v>
      </c>
      <c r="HX1018" t="s">
        <v>425</v>
      </c>
      <c r="HY1018" s="1">
        <v>41365</v>
      </c>
      <c r="HZ1018">
        <v>23</v>
      </c>
      <c r="IA1018">
        <v>10125</v>
      </c>
      <c r="IB1018" t="s">
        <v>440</v>
      </c>
    </row>
    <row r="1019" spans="1:272" x14ac:dyDescent="0.25">
      <c r="A1019">
        <v>16486026</v>
      </c>
      <c r="B1019">
        <v>1018</v>
      </c>
      <c r="C1019" t="s">
        <v>393</v>
      </c>
      <c r="D1019" t="s">
        <v>394</v>
      </c>
      <c r="F1019" t="str">
        <f>"48-3N-25-4195-0027-0000"</f>
        <v>48-3N-25-4195-0027-0000</v>
      </c>
      <c r="H1019" t="str">
        <f>"CURRENT RICHARD K &amp; TERRY L"</f>
        <v>CURRENT RICHARD K &amp; TERRY L</v>
      </c>
      <c r="I1019" t="str">
        <f>"56414 NASSAU OAKS DR"</f>
        <v>56414 NASSAU OAKS DR</v>
      </c>
      <c r="J1019" t="str">
        <f t="shared" si="328"/>
        <v>CALLAHAN FL 32011</v>
      </c>
      <c r="K1019" t="str">
        <f>"56414 NASSAU OAKS DR"</f>
        <v>56414 NASSAU OAKS DR</v>
      </c>
      <c r="L1019" t="str">
        <f t="shared" si="329"/>
        <v>CALLAHAN FL 32011</v>
      </c>
      <c r="M1019" t="str">
        <f>"LOT 27 IN OR 781/631 NASSAU OAKS SEC 1 UNR"</f>
        <v>LOT 27 IN OR 781/631 NASSAU OAKS SEC 1 UNR</v>
      </c>
      <c r="N1019" t="str">
        <f>""</f>
        <v/>
      </c>
      <c r="O1019" t="str">
        <f>"53694"</f>
        <v>53694</v>
      </c>
      <c r="P1019" t="str">
        <f t="shared" si="310"/>
        <v>2017</v>
      </c>
      <c r="Q1019" t="str">
        <f>""</f>
        <v/>
      </c>
      <c r="R1019" t="str">
        <f>"Y"</f>
        <v>Y</v>
      </c>
      <c r="S1019" t="str">
        <f>""</f>
        <v/>
      </c>
      <c r="T1019" t="str">
        <f>"1370.23"</f>
        <v>1370.23</v>
      </c>
      <c r="U1019" t="str">
        <f>"129615.00"</f>
        <v>129615.00</v>
      </c>
      <c r="V1019" t="str">
        <f>"129615.00"</f>
        <v>129615.00</v>
      </c>
      <c r="W1019" t="str">
        <f t="shared" si="311"/>
        <v>2017</v>
      </c>
      <c r="X1019" t="str">
        <f>"12.80"</f>
        <v>12.80</v>
      </c>
      <c r="Y1019" t="str">
        <f>"1443.34"</f>
        <v>1443.34</v>
      </c>
      <c r="Z1019" t="str">
        <f>"25000.00"</f>
        <v>25000.00</v>
      </c>
      <c r="AA1019" t="str">
        <f>"104615.00"</f>
        <v>104615.00</v>
      </c>
      <c r="AB1019" t="str">
        <f t="shared" si="326"/>
        <v>Residential</v>
      </c>
      <c r="AC1019" t="str">
        <f t="shared" si="323"/>
        <v>0</v>
      </c>
      <c r="AD1019" t="str">
        <f>"4"</f>
        <v>4</v>
      </c>
      <c r="AE1019" t="str">
        <f>"WOOD (INCLUDE STEEL STUDS)"</f>
        <v>WOOD (INCLUDE STEEL STUDS)</v>
      </c>
      <c r="AF1019" t="str">
        <f>"001"</f>
        <v>001</v>
      </c>
      <c r="AG1019" t="str">
        <f t="shared" si="324"/>
        <v>FL</v>
      </c>
      <c r="AH1019" t="str">
        <f t="shared" si="330"/>
        <v>-</v>
      </c>
      <c r="AI1019" t="str">
        <f t="shared" si="331"/>
        <v>15000.00</v>
      </c>
      <c r="AJ1019" t="str">
        <f>"C55-000-588-6311-9"</f>
        <v>C55-000-588-6311-9</v>
      </c>
      <c r="AK1019" t="str">
        <f>"15572"</f>
        <v>15572</v>
      </c>
      <c r="AL1019">
        <v>4</v>
      </c>
      <c r="AM1019">
        <v>1170</v>
      </c>
      <c r="AN1019">
        <v>1513.91</v>
      </c>
      <c r="AQ1019" t="s">
        <v>10478</v>
      </c>
      <c r="AR1019" t="s">
        <v>10478</v>
      </c>
      <c r="AS1019" t="s">
        <v>10478</v>
      </c>
      <c r="AU1019" t="s">
        <v>396</v>
      </c>
      <c r="AV1019">
        <v>2017</v>
      </c>
      <c r="AW1019" t="str">
        <f>"48-3N-25-4195-0027-0000 "</f>
        <v xml:space="preserve">48-3N-25-4195-0027-0000 </v>
      </c>
      <c r="AX1019">
        <v>56414</v>
      </c>
      <c r="AZ1019" t="s">
        <v>10447</v>
      </c>
      <c r="BA1019" t="s">
        <v>669</v>
      </c>
      <c r="BD1019" t="s">
        <v>2785</v>
      </c>
      <c r="BE1019" t="s">
        <v>393</v>
      </c>
      <c r="BF1019">
        <v>32011</v>
      </c>
      <c r="BG1019" t="s">
        <v>10479</v>
      </c>
      <c r="BH1019" t="s">
        <v>2787</v>
      </c>
      <c r="BI1019">
        <v>-81.762989551976204</v>
      </c>
      <c r="BJ1019">
        <v>30.630987474224298</v>
      </c>
      <c r="BK1019" t="s">
        <v>10480</v>
      </c>
      <c r="BL1019" t="s">
        <v>10481</v>
      </c>
      <c r="BM1019" t="s">
        <v>10479</v>
      </c>
      <c r="BN1019" t="s">
        <v>928</v>
      </c>
      <c r="BO1019">
        <v>32011</v>
      </c>
      <c r="BP1019" t="s">
        <v>416</v>
      </c>
      <c r="BQ1019">
        <v>100</v>
      </c>
      <c r="BR1019" t="s">
        <v>514</v>
      </c>
      <c r="BS1019">
        <v>1001</v>
      </c>
      <c r="BT1019" t="s">
        <v>515</v>
      </c>
      <c r="BW1019">
        <v>43393</v>
      </c>
      <c r="BX1019" t="s">
        <v>407</v>
      </c>
      <c r="BY1019" t="s">
        <v>408</v>
      </c>
      <c r="BZ1019">
        <v>4</v>
      </c>
      <c r="CA1019">
        <v>2007</v>
      </c>
      <c r="CB1019">
        <v>1</v>
      </c>
      <c r="CC1019">
        <v>2</v>
      </c>
      <c r="CD1019">
        <v>2017</v>
      </c>
      <c r="CG1019">
        <v>129615</v>
      </c>
      <c r="CH1019">
        <v>2017</v>
      </c>
      <c r="CI1019">
        <v>15000</v>
      </c>
      <c r="CJ1019">
        <v>126728</v>
      </c>
      <c r="CK1019">
        <v>141728</v>
      </c>
      <c r="CL1019">
        <v>2017</v>
      </c>
      <c r="CM1019">
        <v>1370.23</v>
      </c>
      <c r="CN1019" s="1">
        <v>35433</v>
      </c>
      <c r="CO1019">
        <v>17000</v>
      </c>
      <c r="CZ1019" s="1">
        <v>35433</v>
      </c>
      <c r="DD1019" t="s">
        <v>2785</v>
      </c>
      <c r="DF1019">
        <v>27</v>
      </c>
      <c r="DG1019">
        <v>48</v>
      </c>
      <c r="DJ1019" t="s">
        <v>10447</v>
      </c>
      <c r="DL1019">
        <v>50301</v>
      </c>
      <c r="DM1019" t="s">
        <v>10435</v>
      </c>
      <c r="DO1019" t="s">
        <v>10482</v>
      </c>
      <c r="DP1019">
        <v>0</v>
      </c>
      <c r="DQ1019">
        <v>0</v>
      </c>
      <c r="DR1019" t="s">
        <v>411</v>
      </c>
      <c r="DS1019" t="b">
        <v>1</v>
      </c>
      <c r="DT1019" t="s">
        <v>470</v>
      </c>
      <c r="DU1019" t="s">
        <v>471</v>
      </c>
      <c r="DV1019" t="s">
        <v>472</v>
      </c>
      <c r="DX1019">
        <v>-9999</v>
      </c>
      <c r="DZ1019" t="s">
        <v>447</v>
      </c>
      <c r="EA1019" t="s">
        <v>448</v>
      </c>
      <c r="EB1019" t="s">
        <v>742</v>
      </c>
      <c r="EC1019">
        <v>20101217</v>
      </c>
      <c r="ED1019" t="s">
        <v>474</v>
      </c>
      <c r="EF1019">
        <v>733.9</v>
      </c>
      <c r="EG1019">
        <v>733.9</v>
      </c>
      <c r="EI1019">
        <v>20160407</v>
      </c>
      <c r="EJ1019">
        <v>0</v>
      </c>
      <c r="EK1019">
        <v>0</v>
      </c>
      <c r="EP1019" t="s">
        <v>421</v>
      </c>
      <c r="EQ1019" t="s">
        <v>422</v>
      </c>
      <c r="ER1019">
        <v>0</v>
      </c>
      <c r="ES1019">
        <v>9</v>
      </c>
      <c r="ET1019">
        <v>0</v>
      </c>
      <c r="EU1019">
        <v>0</v>
      </c>
      <c r="EV1019">
        <v>0</v>
      </c>
      <c r="EW1019" s="2">
        <v>43222</v>
      </c>
      <c r="EX1019" s="1">
        <v>42879</v>
      </c>
      <c r="EY1019">
        <v>2016</v>
      </c>
      <c r="EZ1019">
        <v>1488.2</v>
      </c>
      <c r="FA1019" t="s">
        <v>10483</v>
      </c>
      <c r="FB1019">
        <v>0.25</v>
      </c>
      <c r="FC1019" t="s">
        <v>424</v>
      </c>
      <c r="FD1019" t="s">
        <v>425</v>
      </c>
      <c r="FE1019" s="1">
        <v>43206</v>
      </c>
      <c r="FF1019">
        <v>11</v>
      </c>
      <c r="FG1019">
        <v>7336753</v>
      </c>
      <c r="FH1019" t="s">
        <v>1731</v>
      </c>
      <c r="FJ1019" s="1">
        <v>42879</v>
      </c>
      <c r="FK1019">
        <v>2016</v>
      </c>
      <c r="FL1019">
        <v>1488.2</v>
      </c>
      <c r="FM1019" t="s">
        <v>10483</v>
      </c>
      <c r="FN1019">
        <v>0.25</v>
      </c>
      <c r="FO1019" t="s">
        <v>424</v>
      </c>
      <c r="FP1019" t="s">
        <v>425</v>
      </c>
      <c r="FR1019">
        <v>22</v>
      </c>
      <c r="FS1019">
        <v>7399292</v>
      </c>
      <c r="FT1019" t="s">
        <v>10484</v>
      </c>
      <c r="FV1019" s="1">
        <v>42515</v>
      </c>
      <c r="FW1019">
        <v>2015</v>
      </c>
      <c r="FX1019">
        <v>1508.94</v>
      </c>
      <c r="FY1019" t="s">
        <v>10485</v>
      </c>
      <c r="FZ1019">
        <v>0.25</v>
      </c>
      <c r="GA1019" t="s">
        <v>424</v>
      </c>
      <c r="GB1019" t="s">
        <v>425</v>
      </c>
      <c r="GC1019" s="1">
        <v>42831</v>
      </c>
      <c r="GD1019">
        <v>11</v>
      </c>
      <c r="GE1019">
        <v>2851116</v>
      </c>
      <c r="GF1019" t="s">
        <v>480</v>
      </c>
      <c r="GH1019" s="1">
        <v>42515</v>
      </c>
      <c r="GI1019">
        <v>2015</v>
      </c>
      <c r="GJ1019">
        <v>1508.94</v>
      </c>
      <c r="GK1019" t="s">
        <v>10485</v>
      </c>
      <c r="GL1019">
        <v>0.25</v>
      </c>
      <c r="GM1019" t="s">
        <v>424</v>
      </c>
      <c r="GN1019" t="s">
        <v>425</v>
      </c>
      <c r="GP1019">
        <v>22</v>
      </c>
      <c r="GQ1019">
        <v>5230974</v>
      </c>
      <c r="GR1019" t="s">
        <v>10486</v>
      </c>
      <c r="GT1019" s="1">
        <v>42151</v>
      </c>
      <c r="GU1019">
        <v>2014</v>
      </c>
      <c r="GV1019">
        <v>1500.07</v>
      </c>
      <c r="GW1019" t="s">
        <v>10487</v>
      </c>
      <c r="GX1019">
        <v>0.25</v>
      </c>
      <c r="GY1019" t="s">
        <v>424</v>
      </c>
      <c r="GZ1019" t="s">
        <v>425</v>
      </c>
      <c r="HA1019" s="1">
        <v>42461</v>
      </c>
      <c r="HB1019">
        <v>11</v>
      </c>
      <c r="HC1019">
        <v>2101382</v>
      </c>
      <c r="HD1019" t="s">
        <v>993</v>
      </c>
      <c r="HF1019" s="1">
        <v>42151</v>
      </c>
      <c r="HG1019">
        <v>2014</v>
      </c>
      <c r="HH1019">
        <v>1500.07</v>
      </c>
      <c r="HI1019" t="s">
        <v>10487</v>
      </c>
      <c r="HJ1019">
        <v>0.25</v>
      </c>
      <c r="HK1019" t="s">
        <v>424</v>
      </c>
      <c r="HL1019" t="s">
        <v>425</v>
      </c>
      <c r="HN1019">
        <v>22</v>
      </c>
      <c r="HO1019">
        <v>5462441</v>
      </c>
      <c r="HP1019" t="s">
        <v>10488</v>
      </c>
      <c r="HR1019" s="1">
        <v>41787</v>
      </c>
      <c r="HS1019">
        <v>2013</v>
      </c>
      <c r="HT1019">
        <v>1405.44</v>
      </c>
      <c r="HU1019" t="s">
        <v>10489</v>
      </c>
      <c r="HV1019">
        <v>0.25</v>
      </c>
      <c r="HW1019" t="s">
        <v>424</v>
      </c>
      <c r="HX1019" t="s">
        <v>425</v>
      </c>
      <c r="HY1019" s="1">
        <v>42089</v>
      </c>
      <c r="HZ1019">
        <v>10</v>
      </c>
      <c r="IA1019">
        <v>15259</v>
      </c>
      <c r="IB1019" t="s">
        <v>891</v>
      </c>
      <c r="ID1019" s="1">
        <v>41423</v>
      </c>
      <c r="IE1019">
        <v>2012</v>
      </c>
      <c r="IF1019">
        <v>1420.35</v>
      </c>
      <c r="IG1019" t="s">
        <v>10490</v>
      </c>
      <c r="IH1019">
        <v>0.25</v>
      </c>
      <c r="II1019" t="s">
        <v>424</v>
      </c>
      <c r="IJ1019" t="s">
        <v>425</v>
      </c>
      <c r="IK1019" s="1">
        <v>41729</v>
      </c>
      <c r="IL1019">
        <v>10</v>
      </c>
      <c r="IM1019">
        <v>15972</v>
      </c>
      <c r="IN1019" t="s">
        <v>2572</v>
      </c>
      <c r="IP1019" s="1">
        <v>41052</v>
      </c>
      <c r="IQ1019">
        <v>2011</v>
      </c>
      <c r="IR1019">
        <v>1459.66</v>
      </c>
      <c r="IS1019" t="s">
        <v>10491</v>
      </c>
      <c r="IT1019">
        <v>0.25</v>
      </c>
      <c r="IU1019" t="s">
        <v>424</v>
      </c>
      <c r="IV1019" t="s">
        <v>425</v>
      </c>
      <c r="IW1019" s="1">
        <v>41361</v>
      </c>
      <c r="IX1019">
        <v>10</v>
      </c>
      <c r="IY1019">
        <v>14200</v>
      </c>
      <c r="IZ1019" t="s">
        <v>10492</v>
      </c>
    </row>
    <row r="1020" spans="1:272" x14ac:dyDescent="0.25">
      <c r="A1020">
        <v>16486027</v>
      </c>
      <c r="B1020">
        <v>1019</v>
      </c>
      <c r="C1020" t="s">
        <v>393</v>
      </c>
      <c r="D1020" t="s">
        <v>394</v>
      </c>
      <c r="F1020" t="str">
        <f>"48-3N-25-4195-0037-0000"</f>
        <v>48-3N-25-4195-0037-0000</v>
      </c>
      <c r="H1020" t="str">
        <f>"GLISSON SIDNEY R III &amp; APRIL M"</f>
        <v>GLISSON SIDNEY R III &amp; APRIL M</v>
      </c>
      <c r="I1020" t="str">
        <f>"45244 KERI BLVD"</f>
        <v>45244 KERI BLVD</v>
      </c>
      <c r="J1020" t="str">
        <f t="shared" si="328"/>
        <v>CALLAHAN FL 32011</v>
      </c>
      <c r="K1020" t="str">
        <f>"56525 NASSAU OAKS DR"</f>
        <v>56525 NASSAU OAKS DR</v>
      </c>
      <c r="L1020" t="str">
        <f t="shared" si="329"/>
        <v>CALLAHAN FL 32011</v>
      </c>
      <c r="M1020" t="str">
        <f>"LOT 37 IN OR 1280/1073 1975 MARIE SW/MH NASSAU OAKS SEC 1 UNR"</f>
        <v>LOT 37 IN OR 1280/1073 1975 MARIE SW/MH NASSAU OAKS SEC 1 UNR</v>
      </c>
      <c r="N1020" t="str">
        <f>""</f>
        <v/>
      </c>
      <c r="O1020" t="str">
        <f>"53704"</f>
        <v>53704</v>
      </c>
      <c r="P1020" t="str">
        <f t="shared" si="310"/>
        <v>2017</v>
      </c>
      <c r="Q1020" t="str">
        <f>""</f>
        <v/>
      </c>
      <c r="R1020" t="str">
        <f>"N"</f>
        <v>N</v>
      </c>
      <c r="S1020" t="str">
        <f>""</f>
        <v/>
      </c>
      <c r="T1020" t="str">
        <f>"335.08"</f>
        <v>335.08</v>
      </c>
      <c r="U1020" t="str">
        <f>"22134.00"</f>
        <v>22134.00</v>
      </c>
      <c r="V1020" t="str">
        <f>"22134.00"</f>
        <v>22134.00</v>
      </c>
      <c r="W1020" t="str">
        <f t="shared" si="311"/>
        <v>2017</v>
      </c>
      <c r="X1020" t="str">
        <f>"19.33"</f>
        <v>19.33</v>
      </c>
      <c r="Y1020" t="str">
        <f>"377.13"</f>
        <v>377.13</v>
      </c>
      <c r="Z1020" t="str">
        <f>""</f>
        <v/>
      </c>
      <c r="AA1020" t="str">
        <f>"22134.00"</f>
        <v>22134.00</v>
      </c>
      <c r="AB1020" t="str">
        <f t="shared" si="326"/>
        <v>Residential</v>
      </c>
      <c r="AC1020" t="str">
        <f t="shared" si="323"/>
        <v>0</v>
      </c>
      <c r="AD1020" t="str">
        <f>"4"</f>
        <v>4</v>
      </c>
      <c r="AE1020" t="str">
        <f>"WOOD (INCLUDE STEEL STUDS)"</f>
        <v>WOOD (INCLUDE STEEL STUDS)</v>
      </c>
      <c r="AF1020" t="str">
        <f>"002"</f>
        <v>002</v>
      </c>
      <c r="AG1020" t="str">
        <f t="shared" si="324"/>
        <v>FL</v>
      </c>
      <c r="AH1020" t="str">
        <f t="shared" si="330"/>
        <v>-</v>
      </c>
      <c r="AI1020" t="str">
        <f t="shared" si="331"/>
        <v>15000.00</v>
      </c>
      <c r="AJ1020" t="str">
        <f>"C55-000-588-6321-8"</f>
        <v>C55-000-588-6321-8</v>
      </c>
      <c r="AK1020" t="str">
        <f>"15582"</f>
        <v>15582</v>
      </c>
      <c r="AL1020">
        <v>4</v>
      </c>
      <c r="AM1020">
        <v>1171</v>
      </c>
      <c r="AN1020">
        <v>394.39</v>
      </c>
      <c r="AQ1020" t="s">
        <v>10493</v>
      </c>
      <c r="AR1020" t="s">
        <v>10493</v>
      </c>
      <c r="AS1020" t="s">
        <v>10493</v>
      </c>
      <c r="AU1020" t="s">
        <v>396</v>
      </c>
      <c r="AV1020">
        <v>2017</v>
      </c>
      <c r="AW1020" t="str">
        <f>"48-3N-25-4195-0037-0000 "</f>
        <v xml:space="preserve">48-3N-25-4195-0037-0000 </v>
      </c>
      <c r="AX1020">
        <v>56525</v>
      </c>
      <c r="AZ1020" t="s">
        <v>10447</v>
      </c>
      <c r="BA1020" t="s">
        <v>669</v>
      </c>
      <c r="BD1020" t="s">
        <v>2785</v>
      </c>
      <c r="BE1020" t="s">
        <v>393</v>
      </c>
      <c r="BF1020">
        <v>32011</v>
      </c>
      <c r="BG1020" t="s">
        <v>10494</v>
      </c>
      <c r="BH1020" t="s">
        <v>2787</v>
      </c>
      <c r="BI1020">
        <v>-81.763083440467696</v>
      </c>
      <c r="BJ1020">
        <v>30.628315991973199</v>
      </c>
      <c r="BK1020" t="s">
        <v>10495</v>
      </c>
      <c r="BL1020" t="s">
        <v>10496</v>
      </c>
      <c r="BM1020" t="s">
        <v>10497</v>
      </c>
      <c r="BN1020" t="s">
        <v>928</v>
      </c>
      <c r="BO1020">
        <v>32011</v>
      </c>
      <c r="BP1020" t="s">
        <v>404</v>
      </c>
      <c r="BQ1020">
        <v>200</v>
      </c>
      <c r="BR1020" t="s">
        <v>405</v>
      </c>
      <c r="BS1020">
        <v>1006</v>
      </c>
      <c r="BT1020" t="s">
        <v>406</v>
      </c>
      <c r="BW1020">
        <v>43645</v>
      </c>
      <c r="BX1020" t="s">
        <v>407</v>
      </c>
      <c r="BY1020" t="s">
        <v>408</v>
      </c>
      <c r="BZ1020">
        <v>4</v>
      </c>
      <c r="CA1020">
        <v>1975</v>
      </c>
      <c r="CB1020">
        <v>1</v>
      </c>
      <c r="CC1020">
        <v>1</v>
      </c>
      <c r="CD1020">
        <v>2017</v>
      </c>
      <c r="CE1020">
        <v>15000</v>
      </c>
      <c r="CF1020">
        <v>7134</v>
      </c>
      <c r="CG1020">
        <v>22134</v>
      </c>
      <c r="CH1020">
        <v>2017</v>
      </c>
      <c r="CI1020">
        <v>15000</v>
      </c>
      <c r="CJ1020">
        <v>7134</v>
      </c>
      <c r="CK1020">
        <v>22134</v>
      </c>
      <c r="CL1020">
        <v>2017</v>
      </c>
      <c r="CM1020">
        <v>335.08</v>
      </c>
      <c r="CN1020" s="1">
        <v>38334</v>
      </c>
      <c r="CZ1020" s="1">
        <v>38334</v>
      </c>
      <c r="DD1020" t="s">
        <v>2785</v>
      </c>
      <c r="DG1020">
        <v>48</v>
      </c>
      <c r="DJ1020" t="s">
        <v>10447</v>
      </c>
      <c r="DL1020">
        <v>50301</v>
      </c>
      <c r="DM1020" t="s">
        <v>10435</v>
      </c>
      <c r="DO1020" t="s">
        <v>10498</v>
      </c>
      <c r="DP1020">
        <v>0</v>
      </c>
      <c r="DQ1020">
        <v>0</v>
      </c>
      <c r="DR1020" t="s">
        <v>411</v>
      </c>
      <c r="DS1020" t="b">
        <v>1</v>
      </c>
      <c r="DT1020" t="s">
        <v>470</v>
      </c>
      <c r="DU1020" t="s">
        <v>471</v>
      </c>
      <c r="DV1020" t="s">
        <v>472</v>
      </c>
      <c r="DX1020">
        <v>-9999</v>
      </c>
      <c r="DZ1020" t="s">
        <v>447</v>
      </c>
      <c r="EA1020" t="s">
        <v>448</v>
      </c>
      <c r="EB1020" t="s">
        <v>742</v>
      </c>
      <c r="EC1020">
        <v>20101217</v>
      </c>
      <c r="ED1020" t="s">
        <v>474</v>
      </c>
      <c r="EF1020">
        <v>930.2</v>
      </c>
      <c r="EG1020">
        <v>930.2</v>
      </c>
      <c r="EI1020">
        <v>20160407</v>
      </c>
      <c r="EJ1020">
        <v>0</v>
      </c>
      <c r="EK1020">
        <v>0</v>
      </c>
      <c r="EP1020" t="s">
        <v>421</v>
      </c>
      <c r="EQ1020" t="s">
        <v>422</v>
      </c>
      <c r="ER1020">
        <v>1</v>
      </c>
      <c r="ES1020">
        <v>6</v>
      </c>
      <c r="ET1020">
        <v>425.76</v>
      </c>
      <c r="EU1020">
        <v>27.54</v>
      </c>
      <c r="EV1020">
        <v>453.3</v>
      </c>
      <c r="EW1020" s="2">
        <v>43222</v>
      </c>
      <c r="EX1020" s="1">
        <v>42879</v>
      </c>
      <c r="EY1020">
        <v>2016</v>
      </c>
      <c r="EZ1020">
        <v>425.76</v>
      </c>
      <c r="FA1020" t="s">
        <v>10499</v>
      </c>
      <c r="FB1020">
        <v>4.75</v>
      </c>
      <c r="FC1020" t="s">
        <v>424</v>
      </c>
      <c r="FD1020" t="s">
        <v>454</v>
      </c>
      <c r="FF1020">
        <v>12</v>
      </c>
      <c r="FG1020">
        <v>10021</v>
      </c>
      <c r="FH1020" t="s">
        <v>597</v>
      </c>
      <c r="FJ1020" s="1">
        <v>42515</v>
      </c>
      <c r="FK1020">
        <v>2015</v>
      </c>
      <c r="FL1020">
        <v>418.13</v>
      </c>
      <c r="FM1020" t="s">
        <v>10500</v>
      </c>
      <c r="FN1020">
        <v>18</v>
      </c>
      <c r="FO1020" t="s">
        <v>424</v>
      </c>
      <c r="FP1020" t="s">
        <v>425</v>
      </c>
      <c r="FQ1020" s="1">
        <v>43154</v>
      </c>
      <c r="FR1020">
        <v>21</v>
      </c>
      <c r="FS1020">
        <v>7336143</v>
      </c>
      <c r="FT1020" t="s">
        <v>539</v>
      </c>
      <c r="FV1020" s="1">
        <v>42151</v>
      </c>
      <c r="FW1020">
        <v>2014</v>
      </c>
      <c r="FX1020">
        <v>374.56</v>
      </c>
      <c r="FY1020" t="s">
        <v>10501</v>
      </c>
      <c r="FZ1020">
        <v>3.75</v>
      </c>
      <c r="GA1020" t="s">
        <v>424</v>
      </c>
      <c r="GB1020" t="s">
        <v>425</v>
      </c>
      <c r="GC1020" s="1">
        <v>42788</v>
      </c>
      <c r="GD1020">
        <v>21</v>
      </c>
      <c r="GE1020">
        <v>4975593</v>
      </c>
      <c r="GF1020" t="s">
        <v>505</v>
      </c>
      <c r="GH1020" s="1">
        <v>41787</v>
      </c>
      <c r="GI1020">
        <v>2013</v>
      </c>
      <c r="GJ1020">
        <v>394.56</v>
      </c>
      <c r="GK1020" t="s">
        <v>10502</v>
      </c>
      <c r="GL1020">
        <v>6</v>
      </c>
      <c r="GM1020" t="s">
        <v>424</v>
      </c>
      <c r="GN1020" t="s">
        <v>425</v>
      </c>
      <c r="GO1020" s="1">
        <v>42426</v>
      </c>
      <c r="GP1020">
        <v>21</v>
      </c>
      <c r="GQ1020">
        <v>2035919</v>
      </c>
      <c r="GR1020" t="s">
        <v>507</v>
      </c>
      <c r="GT1020" s="1">
        <v>41423</v>
      </c>
      <c r="GU1020">
        <v>2012</v>
      </c>
      <c r="GV1020">
        <v>399.23</v>
      </c>
      <c r="GW1020" t="s">
        <v>10503</v>
      </c>
      <c r="GX1020">
        <v>3.75</v>
      </c>
      <c r="GY1020" t="s">
        <v>424</v>
      </c>
      <c r="GZ1020" t="s">
        <v>425</v>
      </c>
      <c r="HA1020" s="1">
        <v>42041</v>
      </c>
      <c r="HB1020">
        <v>21</v>
      </c>
      <c r="HC1020">
        <v>15399</v>
      </c>
      <c r="HD1020" t="s">
        <v>485</v>
      </c>
      <c r="HF1020" s="1">
        <v>41052</v>
      </c>
      <c r="HG1020">
        <v>2011</v>
      </c>
      <c r="HH1020">
        <v>423.44</v>
      </c>
      <c r="HI1020" t="s">
        <v>10504</v>
      </c>
      <c r="HJ1020">
        <v>5</v>
      </c>
      <c r="HK1020" t="s">
        <v>424</v>
      </c>
      <c r="HL1020" t="s">
        <v>425</v>
      </c>
      <c r="HM1020" s="1">
        <v>41683</v>
      </c>
      <c r="HN1020">
        <v>21</v>
      </c>
      <c r="HO1020">
        <v>62</v>
      </c>
      <c r="HP1020" t="s">
        <v>463</v>
      </c>
      <c r="HR1020" s="1">
        <v>40688</v>
      </c>
      <c r="HS1020">
        <v>2010</v>
      </c>
      <c r="HT1020">
        <v>417.11</v>
      </c>
      <c r="HU1020" t="s">
        <v>10505</v>
      </c>
      <c r="HV1020">
        <v>6.75</v>
      </c>
      <c r="HW1020" t="s">
        <v>424</v>
      </c>
      <c r="HX1020" t="s">
        <v>425</v>
      </c>
      <c r="HY1020" s="1">
        <v>41324</v>
      </c>
      <c r="HZ1020">
        <v>21</v>
      </c>
      <c r="IA1020">
        <v>375</v>
      </c>
      <c r="IB1020" t="s">
        <v>776</v>
      </c>
    </row>
    <row r="1021" spans="1:272" x14ac:dyDescent="0.25">
      <c r="A1021">
        <v>16486028</v>
      </c>
      <c r="B1021">
        <v>1020</v>
      </c>
      <c r="C1021" t="s">
        <v>393</v>
      </c>
      <c r="D1021" t="s">
        <v>394</v>
      </c>
      <c r="F1021" t="str">
        <f>"48-3N-25-4196-000L-0000"</f>
        <v>48-3N-25-4196-000L-0000</v>
      </c>
      <c r="H1021" t="str">
        <f>"MAYBERRY KENNETH R &amp; ANGELA"</f>
        <v>MAYBERRY KENNETH R &amp; ANGELA</v>
      </c>
      <c r="I1021" t="str">
        <f>"56127 NASSAU OAKS DR"</f>
        <v>56127 NASSAU OAKS DR</v>
      </c>
      <c r="J1021" t="str">
        <f t="shared" si="328"/>
        <v>CALLAHAN FL 32011</v>
      </c>
      <c r="K1021" t="str">
        <f>"56234 NASSAU OAKS DR"</f>
        <v>56234 NASSAU OAKS DR</v>
      </c>
      <c r="L1021" t="str">
        <f t="shared" si="329"/>
        <v>CALLAHAN FL 32011</v>
      </c>
      <c r="M1021" t="str">
        <f>"LOT L IN OR 1780/1663 R407624 &amp; R407625 NASSAU OAKS SEC 2 UNR"</f>
        <v>LOT L IN OR 1780/1663 R407624 &amp; R407625 NASSAU OAKS SEC 2 UNR</v>
      </c>
      <c r="N1021" t="str">
        <f>""</f>
        <v/>
      </c>
      <c r="O1021" t="str">
        <f>"53708"</f>
        <v>53708</v>
      </c>
      <c r="P1021" t="str">
        <f t="shared" si="310"/>
        <v>2017</v>
      </c>
      <c r="Q1021" t="str">
        <f>""</f>
        <v/>
      </c>
      <c r="R1021" t="str">
        <f>"N"</f>
        <v>N</v>
      </c>
      <c r="S1021" t="str">
        <f>""</f>
        <v/>
      </c>
      <c r="T1021" t="str">
        <f>"339.57"</f>
        <v>339.57</v>
      </c>
      <c r="U1021" t="str">
        <f>"22221.00"</f>
        <v>22221.00</v>
      </c>
      <c r="V1021" t="str">
        <f>"22221.00"</f>
        <v>22221.00</v>
      </c>
      <c r="W1021" t="str">
        <f t="shared" si="311"/>
        <v>2017</v>
      </c>
      <c r="X1021" t="str">
        <f>""</f>
        <v/>
      </c>
      <c r="Y1021" t="str">
        <f>"381.76"</f>
        <v>381.76</v>
      </c>
      <c r="Z1021" t="str">
        <f>""</f>
        <v/>
      </c>
      <c r="AA1021" t="str">
        <f>"22701.00"</f>
        <v>22701.00</v>
      </c>
      <c r="AB1021" t="str">
        <f t="shared" si="326"/>
        <v>Residential</v>
      </c>
      <c r="AC1021" t="str">
        <f t="shared" si="323"/>
        <v>0</v>
      </c>
      <c r="AD1021" t="str">
        <f>""</f>
        <v/>
      </c>
      <c r="AE1021" t="str">
        <f>""</f>
        <v/>
      </c>
      <c r="AF1021" t="str">
        <f>"000"</f>
        <v>000</v>
      </c>
      <c r="AG1021" t="str">
        <f t="shared" si="324"/>
        <v>FL</v>
      </c>
      <c r="AH1021" t="str">
        <f t="shared" si="330"/>
        <v>-</v>
      </c>
      <c r="AI1021" t="str">
        <f t="shared" si="331"/>
        <v>15000.00</v>
      </c>
      <c r="AJ1021" t="str">
        <f>"C55-000-588-6324-2"</f>
        <v>C55-000-588-6324-2</v>
      </c>
      <c r="AK1021" t="str">
        <f>"15585"</f>
        <v>15585</v>
      </c>
      <c r="AL1021">
        <v>4</v>
      </c>
      <c r="AM1021">
        <v>1172</v>
      </c>
      <c r="AN1021">
        <v>399.25</v>
      </c>
      <c r="AQ1021" t="s">
        <v>10506</v>
      </c>
      <c r="AR1021" t="s">
        <v>10506</v>
      </c>
      <c r="AS1021" t="s">
        <v>10506</v>
      </c>
      <c r="AU1021" t="s">
        <v>396</v>
      </c>
      <c r="AV1021">
        <v>2017</v>
      </c>
      <c r="AW1021" t="str">
        <f>"48-3N-25-4196-000L-0000 "</f>
        <v xml:space="preserve">48-3N-25-4196-000L-0000 </v>
      </c>
      <c r="AX1021">
        <v>56234</v>
      </c>
      <c r="AZ1021" t="s">
        <v>10447</v>
      </c>
      <c r="BA1021" t="s">
        <v>669</v>
      </c>
      <c r="BD1021" t="s">
        <v>2785</v>
      </c>
      <c r="BE1021" t="s">
        <v>393</v>
      </c>
      <c r="BF1021">
        <v>32011</v>
      </c>
      <c r="BG1021" t="s">
        <v>10507</v>
      </c>
      <c r="BH1021" t="s">
        <v>2787</v>
      </c>
      <c r="BI1021">
        <v>-81.759584300545697</v>
      </c>
      <c r="BJ1021">
        <v>30.6271189674849</v>
      </c>
      <c r="BK1021" t="s">
        <v>10508</v>
      </c>
      <c r="BL1021" t="s">
        <v>10509</v>
      </c>
      <c r="BM1021" t="s">
        <v>10510</v>
      </c>
      <c r="BN1021" t="s">
        <v>928</v>
      </c>
      <c r="BO1021">
        <v>32011</v>
      </c>
      <c r="BP1021" t="s">
        <v>404</v>
      </c>
      <c r="BQ1021">
        <v>1</v>
      </c>
      <c r="BR1021" t="s">
        <v>491</v>
      </c>
      <c r="BS1021">
        <v>8001</v>
      </c>
      <c r="BT1021" t="s">
        <v>492</v>
      </c>
      <c r="BW1021">
        <v>56923</v>
      </c>
      <c r="BX1021" t="s">
        <v>407</v>
      </c>
      <c r="BY1021" t="s">
        <v>408</v>
      </c>
      <c r="CD1021">
        <v>2017</v>
      </c>
      <c r="CE1021">
        <v>15000</v>
      </c>
      <c r="CF1021">
        <v>7701</v>
      </c>
      <c r="CG1021">
        <v>22701</v>
      </c>
      <c r="CH1021">
        <v>2017</v>
      </c>
      <c r="CI1021">
        <v>15000</v>
      </c>
      <c r="CJ1021">
        <v>7701</v>
      </c>
      <c r="CK1021">
        <v>22701</v>
      </c>
      <c r="CL1021">
        <v>2017</v>
      </c>
      <c r="CM1021">
        <v>339.57</v>
      </c>
      <c r="CN1021" s="1">
        <v>40739</v>
      </c>
      <c r="CZ1021" s="1">
        <v>40739</v>
      </c>
      <c r="DD1021" t="s">
        <v>2785</v>
      </c>
      <c r="DF1021" t="s">
        <v>10511</v>
      </c>
      <c r="DG1021">
        <v>48</v>
      </c>
      <c r="DL1021">
        <v>50301</v>
      </c>
      <c r="DM1021" t="s">
        <v>10435</v>
      </c>
      <c r="DO1021" t="s">
        <v>10512</v>
      </c>
      <c r="DP1021">
        <v>0</v>
      </c>
      <c r="DQ1021">
        <v>0</v>
      </c>
      <c r="DR1021" t="s">
        <v>411</v>
      </c>
    </row>
    <row r="1022" spans="1:272" x14ac:dyDescent="0.25">
      <c r="A1022">
        <v>16486029</v>
      </c>
      <c r="B1022">
        <v>1021</v>
      </c>
      <c r="C1022" t="s">
        <v>393</v>
      </c>
      <c r="D1022" t="s">
        <v>394</v>
      </c>
      <c r="F1022" t="str">
        <f>"48-3N-25-4196-000N-0000"</f>
        <v>48-3N-25-4196-000N-0000</v>
      </c>
      <c r="H1022" t="str">
        <f>"JONES CHARLES A &amp; SARAH V"</f>
        <v>JONES CHARLES A &amp; SARAH V</v>
      </c>
      <c r="I1022" t="str">
        <f>"56178 NASSAU OAKS DRIVE"</f>
        <v>56178 NASSAU OAKS DRIVE</v>
      </c>
      <c r="J1022" t="str">
        <f t="shared" si="328"/>
        <v>CALLAHAN FL 32011</v>
      </c>
      <c r="K1022" t="str">
        <f>"56178 NASSAU OAKS DR"</f>
        <v>56178 NASSAU OAKS DR</v>
      </c>
      <c r="L1022" t="str">
        <f t="shared" si="329"/>
        <v>CALLAHAN FL 32011</v>
      </c>
      <c r="M1022" t="str">
        <f>"LOT N R622295 &amp; R622296 IN OR 432 PG 747 NASSAU OAKS SEC 2 UNR"</f>
        <v>LOT N R622295 &amp; R622296 IN OR 432 PG 747 NASSAU OAKS SEC 2 UNR</v>
      </c>
      <c r="N1022" t="str">
        <f>""</f>
        <v/>
      </c>
      <c r="O1022" t="str">
        <f>"53710"</f>
        <v>53710</v>
      </c>
      <c r="P1022" t="str">
        <f t="shared" si="310"/>
        <v>2017</v>
      </c>
      <c r="Q1022" t="str">
        <f>""</f>
        <v/>
      </c>
      <c r="R1022" t="str">
        <f>"Y"</f>
        <v>Y</v>
      </c>
      <c r="S1022" t="str">
        <f>""</f>
        <v/>
      </c>
      <c r="T1022" t="str">
        <f>"308.03"</f>
        <v>308.03</v>
      </c>
      <c r="U1022" t="str">
        <f>"45347.00"</f>
        <v>45347.00</v>
      </c>
      <c r="V1022" t="str">
        <f>"45347.00"</f>
        <v>45347.00</v>
      </c>
      <c r="W1022" t="str">
        <f t="shared" si="311"/>
        <v>2017</v>
      </c>
      <c r="X1022" t="str">
        <f>"21.85"</f>
        <v>21.85</v>
      </c>
      <c r="Y1022" t="str">
        <f>"349.27"</f>
        <v>349.27</v>
      </c>
      <c r="Z1022" t="str">
        <f>"25000.00"</f>
        <v>25000.00</v>
      </c>
      <c r="AA1022" t="str">
        <f>"20347.00"</f>
        <v>20347.00</v>
      </c>
      <c r="AB1022" t="str">
        <f t="shared" si="326"/>
        <v>Residential</v>
      </c>
      <c r="AC1022" t="str">
        <f t="shared" si="323"/>
        <v>0</v>
      </c>
      <c r="AD1022" t="str">
        <f t="shared" ref="AD1022:AD1031" si="332">"4"</f>
        <v>4</v>
      </c>
      <c r="AE1022" t="str">
        <f t="shared" ref="AE1022:AE1031" si="333">"WOOD (INCLUDE STEEL STUDS)"</f>
        <v>WOOD (INCLUDE STEEL STUDS)</v>
      </c>
      <c r="AF1022" t="str">
        <f>"002"</f>
        <v>002</v>
      </c>
      <c r="AG1022" t="str">
        <f t="shared" si="324"/>
        <v>FL</v>
      </c>
      <c r="AH1022" t="str">
        <f t="shared" si="330"/>
        <v>-</v>
      </c>
      <c r="AI1022" t="str">
        <f t="shared" si="331"/>
        <v>15000.00</v>
      </c>
      <c r="AJ1022" t="str">
        <f>"C55-000-588-6326-7"</f>
        <v>C55-000-588-6326-7</v>
      </c>
      <c r="AK1022" t="str">
        <f>"15587"</f>
        <v>15587</v>
      </c>
      <c r="AL1022">
        <v>4</v>
      </c>
      <c r="AM1022">
        <v>1173</v>
      </c>
      <c r="AN1022">
        <v>365.13</v>
      </c>
      <c r="AQ1022" t="s">
        <v>10513</v>
      </c>
      <c r="AR1022" t="s">
        <v>10513</v>
      </c>
      <c r="AS1022" t="s">
        <v>10513</v>
      </c>
      <c r="AU1022" t="s">
        <v>396</v>
      </c>
      <c r="AV1022">
        <v>2017</v>
      </c>
      <c r="AW1022" t="str">
        <f>"48-3N-25-4196-000N-0000 "</f>
        <v xml:space="preserve">48-3N-25-4196-000N-0000 </v>
      </c>
      <c r="AX1022">
        <v>56178</v>
      </c>
      <c r="AZ1022" t="s">
        <v>10447</v>
      </c>
      <c r="BA1022" t="s">
        <v>669</v>
      </c>
      <c r="BD1022" t="s">
        <v>2785</v>
      </c>
      <c r="BE1022" t="s">
        <v>393</v>
      </c>
      <c r="BF1022">
        <v>32011</v>
      </c>
      <c r="BG1022" t="s">
        <v>10514</v>
      </c>
      <c r="BH1022" t="s">
        <v>2787</v>
      </c>
      <c r="BI1022">
        <v>-81.7587336799741</v>
      </c>
      <c r="BJ1022">
        <v>30.626264825475999</v>
      </c>
      <c r="BK1022" t="s">
        <v>10515</v>
      </c>
      <c r="BL1022" t="s">
        <v>10516</v>
      </c>
      <c r="BM1022" t="s">
        <v>10514</v>
      </c>
      <c r="BN1022" t="s">
        <v>928</v>
      </c>
      <c r="BO1022">
        <v>32011</v>
      </c>
      <c r="BP1022" t="s">
        <v>416</v>
      </c>
      <c r="BQ1022">
        <v>200</v>
      </c>
      <c r="BR1022" t="s">
        <v>405</v>
      </c>
      <c r="BS1022">
        <v>1006</v>
      </c>
      <c r="BT1022" t="s">
        <v>406</v>
      </c>
      <c r="BW1022">
        <v>33417</v>
      </c>
      <c r="BX1022" t="s">
        <v>407</v>
      </c>
      <c r="BY1022" t="s">
        <v>408</v>
      </c>
      <c r="BZ1022">
        <v>4</v>
      </c>
      <c r="CA1022">
        <v>1995</v>
      </c>
      <c r="CB1022">
        <v>1</v>
      </c>
      <c r="CC1022">
        <v>1</v>
      </c>
      <c r="CD1022">
        <v>2017</v>
      </c>
      <c r="CG1022">
        <v>45347</v>
      </c>
      <c r="CH1022">
        <v>2017</v>
      </c>
      <c r="CI1022">
        <v>15000</v>
      </c>
      <c r="CJ1022">
        <v>36018</v>
      </c>
      <c r="CK1022">
        <v>51018</v>
      </c>
      <c r="CL1022">
        <v>2017</v>
      </c>
      <c r="CM1022">
        <v>308.02999999999997</v>
      </c>
      <c r="CN1022" s="1">
        <v>29526</v>
      </c>
      <c r="CO1022">
        <v>8000</v>
      </c>
      <c r="CZ1022" s="1">
        <v>29526</v>
      </c>
      <c r="DD1022" t="s">
        <v>2785</v>
      </c>
      <c r="DF1022" t="s">
        <v>404</v>
      </c>
      <c r="DG1022">
        <v>48</v>
      </c>
      <c r="DJ1022" t="s">
        <v>10447</v>
      </c>
      <c r="DL1022">
        <v>50301</v>
      </c>
      <c r="DM1022" t="s">
        <v>10435</v>
      </c>
      <c r="DO1022" t="s">
        <v>10517</v>
      </c>
      <c r="DP1022">
        <v>0</v>
      </c>
      <c r="DQ1022">
        <v>0</v>
      </c>
      <c r="DR1022" t="s">
        <v>411</v>
      </c>
      <c r="DS1022" t="b">
        <v>1</v>
      </c>
      <c r="DT1022" t="s">
        <v>470</v>
      </c>
      <c r="DU1022" t="s">
        <v>471</v>
      </c>
      <c r="DV1022" t="s">
        <v>472</v>
      </c>
      <c r="DX1022">
        <v>-9999</v>
      </c>
      <c r="DZ1022" t="s">
        <v>447</v>
      </c>
      <c r="EA1022" t="s">
        <v>448</v>
      </c>
      <c r="EB1022" t="s">
        <v>742</v>
      </c>
      <c r="EC1022">
        <v>20101217</v>
      </c>
      <c r="ED1022" t="s">
        <v>474</v>
      </c>
      <c r="EF1022">
        <v>408.1</v>
      </c>
      <c r="EG1022">
        <v>408.1</v>
      </c>
      <c r="EH1022" t="s">
        <v>451</v>
      </c>
      <c r="EI1022">
        <v>20140731</v>
      </c>
      <c r="EJ1022">
        <v>1</v>
      </c>
      <c r="EK1022">
        <v>0</v>
      </c>
      <c r="EP1022" t="s">
        <v>421</v>
      </c>
      <c r="EQ1022" t="s">
        <v>422</v>
      </c>
      <c r="ER1022">
        <v>2</v>
      </c>
      <c r="ES1022">
        <v>6</v>
      </c>
      <c r="ET1022">
        <v>698.62</v>
      </c>
      <c r="EU1022">
        <v>47.43</v>
      </c>
      <c r="EV1022">
        <v>746.05</v>
      </c>
      <c r="EW1022" s="2">
        <v>43222</v>
      </c>
      <c r="EX1022" s="1">
        <v>42879</v>
      </c>
      <c r="EY1022">
        <v>2016</v>
      </c>
      <c r="EZ1022">
        <v>349.31</v>
      </c>
      <c r="FA1022" t="s">
        <v>10518</v>
      </c>
      <c r="FB1022">
        <v>0.25</v>
      </c>
      <c r="FC1022" t="s">
        <v>424</v>
      </c>
      <c r="FD1022" t="s">
        <v>454</v>
      </c>
      <c r="FF1022">
        <v>12</v>
      </c>
      <c r="FG1022">
        <v>2851116</v>
      </c>
      <c r="FH1022" t="s">
        <v>480</v>
      </c>
      <c r="FJ1022" s="1">
        <v>42879</v>
      </c>
      <c r="FK1022">
        <v>2016</v>
      </c>
      <c r="FL1022">
        <v>349.31</v>
      </c>
      <c r="FM1022" t="s">
        <v>10518</v>
      </c>
      <c r="FN1022">
        <v>0.25</v>
      </c>
      <c r="FO1022" t="s">
        <v>424</v>
      </c>
      <c r="FP1022" t="s">
        <v>454</v>
      </c>
      <c r="FR1022">
        <v>12</v>
      </c>
      <c r="FS1022">
        <v>5067755</v>
      </c>
      <c r="FT1022" t="s">
        <v>10519</v>
      </c>
      <c r="FV1022" s="1">
        <v>42151</v>
      </c>
      <c r="FW1022">
        <v>2014</v>
      </c>
      <c r="FX1022">
        <v>342.54</v>
      </c>
      <c r="FY1022" t="s">
        <v>10520</v>
      </c>
      <c r="FZ1022">
        <v>0.25</v>
      </c>
      <c r="GA1022" t="s">
        <v>424</v>
      </c>
      <c r="GB1022" t="s">
        <v>425</v>
      </c>
      <c r="GC1022" s="1">
        <v>42489</v>
      </c>
      <c r="GD1022">
        <v>11</v>
      </c>
      <c r="GE1022">
        <v>2851116</v>
      </c>
      <c r="GF1022" t="s">
        <v>480</v>
      </c>
      <c r="GH1022" s="1">
        <v>42151</v>
      </c>
      <c r="GI1022">
        <v>2014</v>
      </c>
      <c r="GJ1022">
        <v>342.54</v>
      </c>
      <c r="GK1022" t="s">
        <v>10520</v>
      </c>
      <c r="GL1022">
        <v>0.25</v>
      </c>
      <c r="GM1022" t="s">
        <v>424</v>
      </c>
      <c r="GN1022" t="s">
        <v>425</v>
      </c>
      <c r="GP1022">
        <v>22</v>
      </c>
      <c r="GQ1022">
        <v>5280888</v>
      </c>
      <c r="GR1022" t="s">
        <v>10521</v>
      </c>
      <c r="GT1022" s="1">
        <v>41787</v>
      </c>
      <c r="GU1022">
        <v>2013</v>
      </c>
      <c r="GV1022">
        <v>438.06</v>
      </c>
      <c r="GW1022" t="s">
        <v>10522</v>
      </c>
      <c r="GX1022">
        <v>2.25</v>
      </c>
      <c r="GY1022" t="s">
        <v>424</v>
      </c>
      <c r="GZ1022" t="s">
        <v>425</v>
      </c>
      <c r="HA1022" s="1">
        <v>42423</v>
      </c>
      <c r="HB1022">
        <v>21</v>
      </c>
      <c r="HC1022">
        <v>15399</v>
      </c>
      <c r="HD1022" t="s">
        <v>485</v>
      </c>
      <c r="HF1022" s="1">
        <v>41423</v>
      </c>
      <c r="HG1022">
        <v>2012</v>
      </c>
      <c r="HH1022">
        <v>455.39</v>
      </c>
      <c r="HI1022" t="s">
        <v>10523</v>
      </c>
      <c r="HJ1022">
        <v>3</v>
      </c>
      <c r="HK1022" t="s">
        <v>424</v>
      </c>
      <c r="HL1022" t="s">
        <v>425</v>
      </c>
      <c r="HM1022" s="1">
        <v>42061</v>
      </c>
      <c r="HN1022">
        <v>21</v>
      </c>
      <c r="HO1022">
        <v>15399</v>
      </c>
      <c r="HP1022" t="s">
        <v>485</v>
      </c>
      <c r="HR1022" s="1">
        <v>41052</v>
      </c>
      <c r="HS1022">
        <v>2011</v>
      </c>
      <c r="HT1022">
        <v>390.37</v>
      </c>
      <c r="HU1022" t="s">
        <v>10524</v>
      </c>
      <c r="HV1022">
        <v>4.75</v>
      </c>
      <c r="HW1022" t="s">
        <v>424</v>
      </c>
      <c r="HX1022" t="s">
        <v>425</v>
      </c>
      <c r="HY1022" s="1">
        <v>41697</v>
      </c>
      <c r="HZ1022">
        <v>21</v>
      </c>
      <c r="IA1022">
        <v>12423</v>
      </c>
      <c r="IB1022" t="s">
        <v>10441</v>
      </c>
      <c r="ID1022" s="1">
        <v>40688</v>
      </c>
      <c r="IE1022">
        <v>2010</v>
      </c>
      <c r="IF1022">
        <v>379.66</v>
      </c>
      <c r="IG1022" t="s">
        <v>10525</v>
      </c>
      <c r="IH1022">
        <v>6.75</v>
      </c>
      <c r="II1022" t="s">
        <v>424</v>
      </c>
      <c r="IJ1022" t="s">
        <v>425</v>
      </c>
      <c r="IK1022" s="1">
        <v>41327</v>
      </c>
      <c r="IL1022">
        <v>21</v>
      </c>
      <c r="IM1022">
        <v>375</v>
      </c>
      <c r="IN1022" t="s">
        <v>776</v>
      </c>
    </row>
    <row r="1023" spans="1:272" x14ac:dyDescent="0.25">
      <c r="A1023">
        <v>16486030</v>
      </c>
      <c r="B1023">
        <v>1022</v>
      </c>
      <c r="C1023" t="s">
        <v>393</v>
      </c>
      <c r="D1023" t="s">
        <v>394</v>
      </c>
      <c r="F1023" t="str">
        <f>"48-3N-25-4196-0104-0000"</f>
        <v>48-3N-25-4196-0104-0000</v>
      </c>
      <c r="H1023" t="str">
        <f>"CARROLL MARILYN J EST C/O MELISSA WATSON"</f>
        <v>CARROLL MARILYN J EST C/O MELISSA WATSON</v>
      </c>
      <c r="I1023" t="str">
        <f>"56491 NASSAU OAKS DRIVE"</f>
        <v>56491 NASSAU OAKS DRIVE</v>
      </c>
      <c r="J1023" t="str">
        <f t="shared" si="328"/>
        <v>CALLAHAN FL 32011</v>
      </c>
      <c r="K1023" t="str">
        <f>"56491 NASSAU OAKS DR"</f>
        <v>56491 NASSAU OAKS DR</v>
      </c>
      <c r="L1023" t="str">
        <f t="shared" si="329"/>
        <v>CALLAHAN FL 32011</v>
      </c>
      <c r="M1023" t="str">
        <f>"LOT 104 IN OR 207 PG 435 NASSAU OAKS SEC 2 UNR 1/5 HX INT"</f>
        <v>LOT 104 IN OR 207 PG 435 NASSAU OAKS SEC 2 UNR 1/5 HX INT</v>
      </c>
      <c r="N1023" t="str">
        <f>""</f>
        <v/>
      </c>
      <c r="O1023" t="str">
        <f>"53716"</f>
        <v>53716</v>
      </c>
      <c r="P1023" t="str">
        <f t="shared" si="310"/>
        <v>2017</v>
      </c>
      <c r="Q1023" t="str">
        <f>""</f>
        <v/>
      </c>
      <c r="R1023" t="str">
        <f>"Y"</f>
        <v>Y</v>
      </c>
      <c r="S1023" t="str">
        <f>""</f>
        <v/>
      </c>
      <c r="T1023" t="str">
        <f>"680.57"</f>
        <v>680.57</v>
      </c>
      <c r="U1023" t="str">
        <f>"54038.00"</f>
        <v>54038.00</v>
      </c>
      <c r="V1023" t="str">
        <f>"54038.00"</f>
        <v>54038.00</v>
      </c>
      <c r="W1023" t="str">
        <f t="shared" si="311"/>
        <v>2017</v>
      </c>
      <c r="X1023" t="str">
        <f>"20.10"</f>
        <v>20.10</v>
      </c>
      <c r="Y1023" t="str">
        <f>"732.99"</f>
        <v>732.99</v>
      </c>
      <c r="Z1023" t="str">
        <f>"9083.00"</f>
        <v>9083.00</v>
      </c>
      <c r="AA1023" t="str">
        <f>"44955.00"</f>
        <v>44955.00</v>
      </c>
      <c r="AB1023" t="str">
        <f t="shared" si="326"/>
        <v>Residential</v>
      </c>
      <c r="AC1023" t="str">
        <f t="shared" si="323"/>
        <v>0</v>
      </c>
      <c r="AD1023" t="str">
        <f t="shared" si="332"/>
        <v>4</v>
      </c>
      <c r="AE1023" t="str">
        <f t="shared" si="333"/>
        <v>WOOD (INCLUDE STEEL STUDS)</v>
      </c>
      <c r="AF1023" t="str">
        <f>"001"</f>
        <v>001</v>
      </c>
      <c r="AG1023" t="str">
        <f t="shared" si="324"/>
        <v>FL</v>
      </c>
      <c r="AH1023" t="str">
        <f t="shared" si="330"/>
        <v>-</v>
      </c>
      <c r="AI1023" t="str">
        <f t="shared" si="331"/>
        <v>15000.00</v>
      </c>
      <c r="AJ1023" t="str">
        <f>"C55-000-588-6332-5"</f>
        <v>C55-000-588-6332-5</v>
      </c>
      <c r="AK1023" t="str">
        <f>"15593"</f>
        <v>15593</v>
      </c>
      <c r="AL1023">
        <v>4</v>
      </c>
      <c r="AM1023">
        <v>1174</v>
      </c>
      <c r="AN1023">
        <v>768.04</v>
      </c>
      <c r="AQ1023" t="s">
        <v>10526</v>
      </c>
      <c r="AR1023" t="s">
        <v>10526</v>
      </c>
      <c r="AS1023" t="s">
        <v>10526</v>
      </c>
      <c r="AU1023" t="s">
        <v>396</v>
      </c>
      <c r="AV1023">
        <v>2017</v>
      </c>
      <c r="AW1023" t="str">
        <f>"48-3N-25-4196-0104-0000 "</f>
        <v xml:space="preserve">48-3N-25-4196-0104-0000 </v>
      </c>
      <c r="AX1023">
        <v>56491</v>
      </c>
      <c r="AZ1023" t="s">
        <v>10447</v>
      </c>
      <c r="BA1023" t="s">
        <v>669</v>
      </c>
      <c r="BD1023" t="s">
        <v>2785</v>
      </c>
      <c r="BE1023" t="s">
        <v>393</v>
      </c>
      <c r="BF1023">
        <v>32011</v>
      </c>
      <c r="BG1023" t="s">
        <v>10527</v>
      </c>
      <c r="BH1023" t="s">
        <v>2787</v>
      </c>
      <c r="BI1023">
        <v>-81.762005444297699</v>
      </c>
      <c r="BJ1023">
        <v>30.6282497402735</v>
      </c>
      <c r="BK1023" t="s">
        <v>10528</v>
      </c>
      <c r="BM1023" t="s">
        <v>10527</v>
      </c>
      <c r="BN1023" t="s">
        <v>928</v>
      </c>
      <c r="BO1023">
        <v>32011</v>
      </c>
      <c r="BP1023" t="s">
        <v>416</v>
      </c>
      <c r="BQ1023">
        <v>100</v>
      </c>
      <c r="BR1023" t="s">
        <v>514</v>
      </c>
      <c r="BS1023">
        <v>1001</v>
      </c>
      <c r="BT1023" t="s">
        <v>515</v>
      </c>
      <c r="BW1023">
        <v>55393</v>
      </c>
      <c r="BX1023" t="s">
        <v>407</v>
      </c>
      <c r="BY1023" t="s">
        <v>408</v>
      </c>
      <c r="BZ1023">
        <v>4</v>
      </c>
      <c r="CA1023">
        <v>1987</v>
      </c>
      <c r="CB1023">
        <v>1</v>
      </c>
      <c r="CC1023">
        <v>1</v>
      </c>
      <c r="CD1023">
        <v>2017</v>
      </c>
      <c r="CG1023">
        <v>54038</v>
      </c>
      <c r="CH1023">
        <v>2017</v>
      </c>
      <c r="CI1023">
        <v>15000</v>
      </c>
      <c r="CJ1023">
        <v>41195</v>
      </c>
      <c r="CK1023">
        <v>56195</v>
      </c>
      <c r="CL1023">
        <v>2017</v>
      </c>
      <c r="CM1023">
        <v>680.57</v>
      </c>
      <c r="CN1023" s="1">
        <v>27395</v>
      </c>
      <c r="CO1023">
        <v>7500</v>
      </c>
      <c r="CZ1023" s="1">
        <v>27395</v>
      </c>
      <c r="DD1023" t="s">
        <v>2785</v>
      </c>
      <c r="DF1023">
        <v>104</v>
      </c>
      <c r="DG1023">
        <v>48</v>
      </c>
      <c r="DJ1023" t="s">
        <v>10447</v>
      </c>
      <c r="DL1023">
        <v>50301</v>
      </c>
      <c r="DM1023" t="s">
        <v>10435</v>
      </c>
      <c r="DO1023" t="s">
        <v>10529</v>
      </c>
      <c r="DP1023">
        <v>0</v>
      </c>
      <c r="DQ1023">
        <v>0</v>
      </c>
      <c r="DR1023" t="s">
        <v>411</v>
      </c>
      <c r="DS1023" t="b">
        <v>1</v>
      </c>
      <c r="DT1023" t="s">
        <v>470</v>
      </c>
      <c r="DU1023" t="s">
        <v>471</v>
      </c>
      <c r="DV1023" t="s">
        <v>472</v>
      </c>
      <c r="DX1023">
        <v>-9999</v>
      </c>
      <c r="DZ1023" t="s">
        <v>447</v>
      </c>
      <c r="EA1023" t="s">
        <v>448</v>
      </c>
      <c r="EB1023" t="s">
        <v>742</v>
      </c>
      <c r="EC1023">
        <v>20101217</v>
      </c>
      <c r="ED1023" t="s">
        <v>474</v>
      </c>
      <c r="EF1023">
        <v>705.8</v>
      </c>
      <c r="EG1023">
        <v>705.8</v>
      </c>
      <c r="EI1023">
        <v>20160407</v>
      </c>
      <c r="EJ1023">
        <v>0</v>
      </c>
      <c r="EK1023">
        <v>0</v>
      </c>
      <c r="EP1023" t="s">
        <v>421</v>
      </c>
      <c r="EQ1023" t="s">
        <v>422</v>
      </c>
      <c r="ER1023">
        <v>2</v>
      </c>
      <c r="ES1023">
        <v>8</v>
      </c>
      <c r="ET1023">
        <v>1558.32</v>
      </c>
      <c r="EU1023">
        <v>90.42</v>
      </c>
      <c r="EV1023">
        <v>1648.74</v>
      </c>
      <c r="EW1023" s="2">
        <v>43222</v>
      </c>
      <c r="EX1023" s="1">
        <v>42879</v>
      </c>
      <c r="EY1023">
        <v>2016</v>
      </c>
      <c r="EZ1023">
        <v>779.16</v>
      </c>
      <c r="FA1023" t="s">
        <v>10530</v>
      </c>
      <c r="FB1023">
        <v>0.25</v>
      </c>
      <c r="FC1023" t="s">
        <v>424</v>
      </c>
      <c r="FD1023" t="s">
        <v>454</v>
      </c>
      <c r="FF1023">
        <v>12</v>
      </c>
      <c r="FG1023">
        <v>7400234</v>
      </c>
      <c r="FH1023" t="s">
        <v>426</v>
      </c>
      <c r="FJ1023" s="1">
        <v>42879</v>
      </c>
      <c r="FK1023">
        <v>2016</v>
      </c>
      <c r="FL1023">
        <v>779.16</v>
      </c>
      <c r="FM1023" t="s">
        <v>10530</v>
      </c>
      <c r="FN1023">
        <v>0.25</v>
      </c>
      <c r="FO1023" t="s">
        <v>424</v>
      </c>
      <c r="FP1023" t="s">
        <v>454</v>
      </c>
      <c r="FR1023">
        <v>12</v>
      </c>
      <c r="FS1023">
        <v>7444797</v>
      </c>
      <c r="FT1023" t="s">
        <v>10531</v>
      </c>
      <c r="FV1023" s="1">
        <v>42515</v>
      </c>
      <c r="FW1023">
        <v>2015</v>
      </c>
      <c r="FX1023">
        <v>762.47</v>
      </c>
      <c r="FY1023" t="s">
        <v>10532</v>
      </c>
      <c r="FZ1023">
        <v>0.25</v>
      </c>
      <c r="GA1023" t="s">
        <v>424</v>
      </c>
      <c r="GB1023" t="s">
        <v>425</v>
      </c>
      <c r="GC1023" s="1">
        <v>43182</v>
      </c>
      <c r="GD1023">
        <v>22</v>
      </c>
      <c r="GE1023">
        <v>2851116</v>
      </c>
      <c r="GF1023" t="s">
        <v>480</v>
      </c>
      <c r="GH1023" s="1">
        <v>42515</v>
      </c>
      <c r="GI1023">
        <v>2015</v>
      </c>
      <c r="GJ1023">
        <v>762.47</v>
      </c>
      <c r="GK1023" t="s">
        <v>10532</v>
      </c>
      <c r="GL1023">
        <v>0.25</v>
      </c>
      <c r="GM1023" t="s">
        <v>424</v>
      </c>
      <c r="GN1023" t="s">
        <v>425</v>
      </c>
      <c r="GP1023">
        <v>22</v>
      </c>
      <c r="GQ1023">
        <v>4974921</v>
      </c>
      <c r="GR1023" t="s">
        <v>10533</v>
      </c>
      <c r="GT1023" s="1">
        <v>42151</v>
      </c>
      <c r="GU1023">
        <v>2014</v>
      </c>
      <c r="GV1023">
        <v>705.68</v>
      </c>
      <c r="GW1023" t="s">
        <v>10534</v>
      </c>
      <c r="GX1023">
        <v>0.25</v>
      </c>
      <c r="GY1023" t="s">
        <v>424</v>
      </c>
      <c r="GZ1023" t="s">
        <v>425</v>
      </c>
      <c r="HA1023" s="1">
        <v>42793</v>
      </c>
      <c r="HB1023">
        <v>21</v>
      </c>
      <c r="HC1023">
        <v>2851116</v>
      </c>
      <c r="HD1023" t="s">
        <v>480</v>
      </c>
      <c r="HF1023" s="1">
        <v>42151</v>
      </c>
      <c r="HG1023">
        <v>2014</v>
      </c>
      <c r="HH1023">
        <v>705.68</v>
      </c>
      <c r="HI1023" t="s">
        <v>10534</v>
      </c>
      <c r="HJ1023">
        <v>0.25</v>
      </c>
      <c r="HK1023" t="s">
        <v>424</v>
      </c>
      <c r="HL1023" t="s">
        <v>425</v>
      </c>
      <c r="HN1023">
        <v>22</v>
      </c>
      <c r="HO1023">
        <v>5254146</v>
      </c>
      <c r="HP1023" t="s">
        <v>10535</v>
      </c>
      <c r="HR1023" s="1">
        <v>41787</v>
      </c>
      <c r="HS1023">
        <v>2013</v>
      </c>
      <c r="HT1023">
        <v>580.75</v>
      </c>
      <c r="HU1023" t="s">
        <v>10536</v>
      </c>
      <c r="HV1023">
        <v>2.25</v>
      </c>
      <c r="HW1023" t="s">
        <v>424</v>
      </c>
      <c r="HX1023" t="s">
        <v>425</v>
      </c>
      <c r="HY1023" s="1">
        <v>42416</v>
      </c>
      <c r="HZ1023">
        <v>21</v>
      </c>
      <c r="IA1023">
        <v>15399</v>
      </c>
      <c r="IB1023" t="s">
        <v>485</v>
      </c>
      <c r="ID1023" s="1">
        <v>41423</v>
      </c>
      <c r="IE1023">
        <v>2012</v>
      </c>
      <c r="IF1023">
        <v>592.05999999999995</v>
      </c>
      <c r="IG1023" t="s">
        <v>10537</v>
      </c>
      <c r="IH1023">
        <v>0.25</v>
      </c>
      <c r="II1023" t="s">
        <v>424</v>
      </c>
      <c r="IJ1023" t="s">
        <v>425</v>
      </c>
      <c r="IK1023" s="1">
        <v>42058</v>
      </c>
      <c r="IL1023">
        <v>21</v>
      </c>
      <c r="IM1023">
        <v>1155951</v>
      </c>
      <c r="IN1023" t="s">
        <v>1451</v>
      </c>
      <c r="IP1023" s="1">
        <v>41052</v>
      </c>
      <c r="IQ1023">
        <v>2011</v>
      </c>
      <c r="IR1023">
        <v>635.46</v>
      </c>
      <c r="IS1023" t="s">
        <v>10538</v>
      </c>
      <c r="IT1023">
        <v>4.75</v>
      </c>
      <c r="IU1023" t="s">
        <v>424</v>
      </c>
      <c r="IV1023" t="s">
        <v>425</v>
      </c>
      <c r="IW1023" s="1">
        <v>41694</v>
      </c>
      <c r="IX1023">
        <v>21</v>
      </c>
      <c r="IY1023">
        <v>12423</v>
      </c>
      <c r="IZ1023" t="s">
        <v>10441</v>
      </c>
      <c r="JB1023" s="1">
        <v>40688</v>
      </c>
      <c r="JC1023">
        <v>2010</v>
      </c>
      <c r="JD1023">
        <v>654.95000000000005</v>
      </c>
      <c r="JE1023" t="s">
        <v>10539</v>
      </c>
      <c r="JF1023">
        <v>6.75</v>
      </c>
      <c r="JG1023" t="s">
        <v>424</v>
      </c>
      <c r="JH1023" t="s">
        <v>425</v>
      </c>
      <c r="JI1023" s="1">
        <v>41365</v>
      </c>
      <c r="JJ1023">
        <v>23</v>
      </c>
      <c r="JK1023">
        <v>105</v>
      </c>
      <c r="JL1023" t="s">
        <v>946</v>
      </c>
    </row>
    <row r="1024" spans="1:272" x14ac:dyDescent="0.25">
      <c r="A1024">
        <v>16486031</v>
      </c>
      <c r="B1024">
        <v>1023</v>
      </c>
      <c r="C1024" t="s">
        <v>393</v>
      </c>
      <c r="D1024" t="s">
        <v>394</v>
      </c>
      <c r="F1024" t="str">
        <f>"48-3N-25-4196-0118-0000"</f>
        <v>48-3N-25-4196-0118-0000</v>
      </c>
      <c r="H1024" t="str">
        <f>"THOMAS KENNETH J &amp; LUCRETIA D"</f>
        <v>THOMAS KENNETH J &amp; LUCRETIA D</v>
      </c>
      <c r="I1024" t="str">
        <f>"56151 NASSAU OAKS CIRCLE"</f>
        <v>56151 NASSAU OAKS CIRCLE</v>
      </c>
      <c r="J1024" t="str">
        <f t="shared" si="328"/>
        <v>CALLAHAN FL 32011</v>
      </c>
      <c r="K1024" t="str">
        <f>"56151 NASSAU OAKS DR"</f>
        <v>56151 NASSAU OAKS DR</v>
      </c>
      <c r="L1024" t="str">
        <f t="shared" si="329"/>
        <v>CALLAHAN FL 32011</v>
      </c>
      <c r="M1024" t="str">
        <f>"LOT 118 IN OR 1897/942 R36005 &amp; R360051 NASSAU OAKS SEC 2 UNR"</f>
        <v>LOT 118 IN OR 1897/942 R36005 &amp; R360051 NASSAU OAKS SEC 2 UNR</v>
      </c>
      <c r="N1024" t="str">
        <f>""</f>
        <v/>
      </c>
      <c r="O1024" t="str">
        <f>"53729"</f>
        <v>53729</v>
      </c>
      <c r="P1024" t="str">
        <f t="shared" si="310"/>
        <v>2017</v>
      </c>
      <c r="Q1024" t="str">
        <f>""</f>
        <v/>
      </c>
      <c r="R1024" t="str">
        <f>"N"</f>
        <v>N</v>
      </c>
      <c r="S1024" t="str">
        <f>""</f>
        <v/>
      </c>
      <c r="T1024" t="str">
        <f>"440.85"</f>
        <v>440.85</v>
      </c>
      <c r="U1024" t="str">
        <f>"29121.00"</f>
        <v>29121.00</v>
      </c>
      <c r="V1024" t="str">
        <f>"29121.00"</f>
        <v>29121.00</v>
      </c>
      <c r="W1024" t="str">
        <f t="shared" si="311"/>
        <v>2017</v>
      </c>
      <c r="X1024" t="str">
        <f>"12.57"</f>
        <v>12.57</v>
      </c>
      <c r="Y1024" t="str">
        <f>"486.08"</f>
        <v>486.08</v>
      </c>
      <c r="Z1024" t="str">
        <f>""</f>
        <v/>
      </c>
      <c r="AA1024" t="str">
        <f>"29121.00"</f>
        <v>29121.00</v>
      </c>
      <c r="AB1024" t="str">
        <f t="shared" si="326"/>
        <v>Residential</v>
      </c>
      <c r="AC1024" t="str">
        <f t="shared" si="323"/>
        <v>0</v>
      </c>
      <c r="AD1024" t="str">
        <f t="shared" si="332"/>
        <v>4</v>
      </c>
      <c r="AE1024" t="str">
        <f t="shared" si="333"/>
        <v>WOOD (INCLUDE STEEL STUDS)</v>
      </c>
      <c r="AF1024" t="str">
        <f>"002"</f>
        <v>002</v>
      </c>
      <c r="AG1024" t="str">
        <f t="shared" si="324"/>
        <v>FL</v>
      </c>
      <c r="AH1024" t="str">
        <f t="shared" si="330"/>
        <v>-</v>
      </c>
      <c r="AI1024" t="str">
        <f t="shared" si="331"/>
        <v>15000.00</v>
      </c>
      <c r="AJ1024" t="str">
        <f>"C55-000-588-6345-7"</f>
        <v>C55-000-588-6345-7</v>
      </c>
      <c r="AK1024" t="str">
        <f>"15606"</f>
        <v>15606</v>
      </c>
      <c r="AL1024">
        <v>4</v>
      </c>
      <c r="AM1024">
        <v>1175</v>
      </c>
      <c r="AN1024">
        <v>508.78</v>
      </c>
      <c r="AQ1024" t="s">
        <v>10540</v>
      </c>
      <c r="AR1024" t="s">
        <v>10540</v>
      </c>
      <c r="AS1024" t="s">
        <v>10540</v>
      </c>
      <c r="AU1024" t="s">
        <v>396</v>
      </c>
      <c r="AV1024">
        <v>2017</v>
      </c>
      <c r="AW1024" t="str">
        <f>"48-3N-25-4196-0118-0000 "</f>
        <v xml:space="preserve">48-3N-25-4196-0118-0000 </v>
      </c>
      <c r="AX1024">
        <v>56151</v>
      </c>
      <c r="AZ1024" t="s">
        <v>10447</v>
      </c>
      <c r="BA1024" t="s">
        <v>669</v>
      </c>
      <c r="BD1024" t="s">
        <v>2785</v>
      </c>
      <c r="BE1024" t="s">
        <v>393</v>
      </c>
      <c r="BF1024">
        <v>32011</v>
      </c>
      <c r="BG1024" t="s">
        <v>10541</v>
      </c>
      <c r="BH1024" t="s">
        <v>2787</v>
      </c>
      <c r="BI1024">
        <v>-81.757812183209495</v>
      </c>
      <c r="BJ1024">
        <v>30.6272862289951</v>
      </c>
      <c r="BK1024" t="s">
        <v>10542</v>
      </c>
      <c r="BL1024" t="s">
        <v>10543</v>
      </c>
      <c r="BM1024" t="s">
        <v>10541</v>
      </c>
      <c r="BN1024" t="s">
        <v>928</v>
      </c>
      <c r="BO1024">
        <v>32011</v>
      </c>
      <c r="BP1024" t="s">
        <v>416</v>
      </c>
      <c r="BQ1024">
        <v>200</v>
      </c>
      <c r="BR1024" t="s">
        <v>405</v>
      </c>
      <c r="BS1024">
        <v>1006</v>
      </c>
      <c r="BT1024" t="s">
        <v>406</v>
      </c>
      <c r="BW1024">
        <v>120336</v>
      </c>
      <c r="BX1024" t="s">
        <v>407</v>
      </c>
      <c r="BY1024" t="s">
        <v>408</v>
      </c>
      <c r="BZ1024">
        <v>4</v>
      </c>
      <c r="CA1024">
        <v>1974</v>
      </c>
      <c r="CB1024">
        <v>1</v>
      </c>
      <c r="CC1024">
        <v>1</v>
      </c>
      <c r="CD1024">
        <v>2017</v>
      </c>
      <c r="CE1024">
        <v>15000</v>
      </c>
      <c r="CF1024">
        <v>14121</v>
      </c>
      <c r="CG1024">
        <v>29121</v>
      </c>
      <c r="CH1024">
        <v>2017</v>
      </c>
      <c r="CI1024">
        <v>15000</v>
      </c>
      <c r="CJ1024">
        <v>14121</v>
      </c>
      <c r="CK1024">
        <v>29121</v>
      </c>
      <c r="CL1024">
        <v>2017</v>
      </c>
      <c r="CM1024">
        <v>440.85</v>
      </c>
      <c r="CN1024" s="1">
        <v>41647</v>
      </c>
      <c r="CO1024">
        <v>40000</v>
      </c>
      <c r="CV1024">
        <v>44500</v>
      </c>
      <c r="CX1024" t="s">
        <v>707</v>
      </c>
      <c r="CZ1024" s="1">
        <v>41647</v>
      </c>
      <c r="DA1024">
        <v>0</v>
      </c>
      <c r="DD1024" t="s">
        <v>2785</v>
      </c>
      <c r="DG1024">
        <v>48</v>
      </c>
      <c r="DL1024">
        <v>50301</v>
      </c>
      <c r="DM1024" t="s">
        <v>10435</v>
      </c>
      <c r="DO1024" t="s">
        <v>10544</v>
      </c>
      <c r="DP1024">
        <v>0</v>
      </c>
      <c r="DQ1024">
        <v>0</v>
      </c>
      <c r="DR1024" t="s">
        <v>411</v>
      </c>
      <c r="DS1024" t="b">
        <v>1</v>
      </c>
      <c r="DT1024" t="s">
        <v>396</v>
      </c>
      <c r="DV1024" t="s">
        <v>446</v>
      </c>
      <c r="DX1024">
        <v>-9999</v>
      </c>
      <c r="DZ1024" t="s">
        <v>447</v>
      </c>
      <c r="EA1024" t="s">
        <v>448</v>
      </c>
      <c r="EB1024" t="s">
        <v>449</v>
      </c>
      <c r="EC1024">
        <v>20101217</v>
      </c>
      <c r="ED1024" t="s">
        <v>450</v>
      </c>
      <c r="EE1024">
        <v>7.8</v>
      </c>
      <c r="EF1024">
        <v>0</v>
      </c>
      <c r="EG1024">
        <v>0</v>
      </c>
      <c r="EI1024">
        <v>20160407</v>
      </c>
      <c r="EJ1024">
        <v>0</v>
      </c>
      <c r="EK1024">
        <v>0</v>
      </c>
      <c r="EP1024" t="s">
        <v>421</v>
      </c>
      <c r="EQ1024" t="s">
        <v>422</v>
      </c>
      <c r="ER1024">
        <v>0</v>
      </c>
      <c r="ES1024">
        <v>7</v>
      </c>
      <c r="ET1024">
        <v>0</v>
      </c>
      <c r="EU1024">
        <v>0</v>
      </c>
      <c r="EV1024">
        <v>0</v>
      </c>
      <c r="EW1024" s="2">
        <v>43222</v>
      </c>
      <c r="EX1024" s="1">
        <v>42879</v>
      </c>
      <c r="EY1024">
        <v>2016</v>
      </c>
      <c r="EZ1024">
        <v>510.46</v>
      </c>
      <c r="FA1024" t="s">
        <v>10545</v>
      </c>
      <c r="FB1024">
        <v>0.25</v>
      </c>
      <c r="FC1024" t="s">
        <v>424</v>
      </c>
      <c r="FD1024" t="s">
        <v>425</v>
      </c>
      <c r="FE1024" s="1">
        <v>43157</v>
      </c>
      <c r="FF1024">
        <v>9</v>
      </c>
      <c r="FG1024">
        <v>2035919</v>
      </c>
      <c r="FH1024" t="s">
        <v>507</v>
      </c>
      <c r="FJ1024" s="1">
        <v>42515</v>
      </c>
      <c r="FK1024">
        <v>2015</v>
      </c>
      <c r="FL1024">
        <v>550.03</v>
      </c>
      <c r="FM1024" t="s">
        <v>10546</v>
      </c>
      <c r="FN1024">
        <v>18</v>
      </c>
      <c r="FO1024" t="s">
        <v>424</v>
      </c>
      <c r="FP1024" t="s">
        <v>425</v>
      </c>
      <c r="FQ1024" s="1">
        <v>42949</v>
      </c>
      <c r="FR1024">
        <v>15</v>
      </c>
      <c r="FS1024">
        <v>10628</v>
      </c>
      <c r="FT1024" t="s">
        <v>943</v>
      </c>
      <c r="FV1024" s="1">
        <v>42151</v>
      </c>
      <c r="FW1024">
        <v>2014</v>
      </c>
      <c r="FX1024">
        <v>481.52</v>
      </c>
      <c r="FY1024" t="s">
        <v>10547</v>
      </c>
      <c r="FZ1024">
        <v>0.25</v>
      </c>
      <c r="GA1024" t="s">
        <v>424</v>
      </c>
      <c r="GB1024" t="s">
        <v>425</v>
      </c>
      <c r="GC1024" s="1">
        <v>42408</v>
      </c>
      <c r="GD1024">
        <v>9</v>
      </c>
      <c r="GE1024">
        <v>2101382</v>
      </c>
      <c r="GF1024" t="s">
        <v>993</v>
      </c>
      <c r="GH1024" s="1">
        <v>42151</v>
      </c>
      <c r="GI1024">
        <v>2014</v>
      </c>
      <c r="GJ1024">
        <v>481.52</v>
      </c>
      <c r="GK1024" t="s">
        <v>10547</v>
      </c>
      <c r="GL1024">
        <v>0.25</v>
      </c>
      <c r="GM1024" t="s">
        <v>424</v>
      </c>
      <c r="GN1024" t="s">
        <v>425</v>
      </c>
      <c r="GP1024">
        <v>22</v>
      </c>
      <c r="GQ1024">
        <v>5496034</v>
      </c>
      <c r="GR1024" t="s">
        <v>10548</v>
      </c>
      <c r="GT1024" s="1">
        <v>41423</v>
      </c>
      <c r="GU1024">
        <v>2012</v>
      </c>
      <c r="GV1024">
        <v>652.85</v>
      </c>
      <c r="GW1024" t="s">
        <v>10549</v>
      </c>
      <c r="GX1024">
        <v>4.5</v>
      </c>
      <c r="GY1024" t="s">
        <v>424</v>
      </c>
      <c r="GZ1024" t="s">
        <v>425</v>
      </c>
      <c r="HA1024" s="1">
        <v>41647</v>
      </c>
      <c r="HB1024">
        <v>8</v>
      </c>
      <c r="HC1024">
        <v>15407</v>
      </c>
      <c r="HD1024" t="s">
        <v>1134</v>
      </c>
      <c r="HF1024" s="1">
        <v>41052</v>
      </c>
      <c r="HG1024">
        <v>2011</v>
      </c>
      <c r="HH1024">
        <v>712.86</v>
      </c>
      <c r="HI1024" t="s">
        <v>10550</v>
      </c>
      <c r="HJ1024">
        <v>5</v>
      </c>
      <c r="HK1024" t="s">
        <v>424</v>
      </c>
      <c r="HL1024" t="s">
        <v>425</v>
      </c>
      <c r="HM1024" s="1">
        <v>41647</v>
      </c>
      <c r="HN1024">
        <v>20</v>
      </c>
      <c r="HO1024">
        <v>62</v>
      </c>
      <c r="HP1024" t="s">
        <v>463</v>
      </c>
      <c r="HR1024" s="1">
        <v>40688</v>
      </c>
      <c r="HS1024">
        <v>2010</v>
      </c>
      <c r="HT1024">
        <v>271.62</v>
      </c>
      <c r="HU1024" t="s">
        <v>10551</v>
      </c>
      <c r="HV1024">
        <v>6.75</v>
      </c>
      <c r="HW1024" t="s">
        <v>424</v>
      </c>
      <c r="HX1024" t="s">
        <v>425</v>
      </c>
      <c r="HY1024" s="1">
        <v>41467</v>
      </c>
      <c r="HZ1024">
        <v>26</v>
      </c>
      <c r="IA1024">
        <v>375</v>
      </c>
      <c r="IB1024" t="s">
        <v>776</v>
      </c>
    </row>
    <row r="1025" spans="1:284" x14ac:dyDescent="0.25">
      <c r="A1025">
        <v>16486032</v>
      </c>
      <c r="B1025">
        <v>1024</v>
      </c>
      <c r="C1025" t="s">
        <v>393</v>
      </c>
      <c r="D1025" t="s">
        <v>394</v>
      </c>
      <c r="F1025" t="str">
        <f>"48-3N-25-4196-0126-0000"</f>
        <v>48-3N-25-4196-0126-0000</v>
      </c>
      <c r="H1025" t="str">
        <f>"JONASSEN HARRY C &amp; JONASSEN JAMES R &amp; ARNOTT KATHY LYN J (JT/RS)"</f>
        <v>JONASSEN HARRY C &amp; JONASSEN JAMES R &amp; ARNOTT KATHY LYN J (JT/RS)</v>
      </c>
      <c r="I1025" t="str">
        <f>""</f>
        <v/>
      </c>
      <c r="J1025" t="str">
        <f t="shared" si="328"/>
        <v>CALLAHAN FL 32011</v>
      </c>
      <c r="K1025" t="str">
        <f>"56023 NASSAU OAKS DR"</f>
        <v>56023 NASSAU OAKS DR</v>
      </c>
      <c r="L1025" t="str">
        <f t="shared" si="329"/>
        <v>CALLAHAN FL 32011</v>
      </c>
      <c r="M1025" t="str">
        <f>"LOT 126 IN OR 1788/1642 R672964 &amp; R672965 NASSAU OAKS SEC 2 UNR"</f>
        <v>LOT 126 IN OR 1788/1642 R672964 &amp; R672965 NASSAU OAKS SEC 2 UNR</v>
      </c>
      <c r="N1025" t="str">
        <f>""</f>
        <v/>
      </c>
      <c r="O1025" t="str">
        <f>"53737"</f>
        <v>53737</v>
      </c>
      <c r="P1025" t="str">
        <f t="shared" si="310"/>
        <v>2017</v>
      </c>
      <c r="Q1025" t="str">
        <f>""</f>
        <v/>
      </c>
      <c r="R1025" t="str">
        <f>"N"</f>
        <v>N</v>
      </c>
      <c r="S1025" t="str">
        <f>""</f>
        <v/>
      </c>
      <c r="T1025" t="str">
        <f>"722.33"</f>
        <v>722.33</v>
      </c>
      <c r="U1025" t="str">
        <f>"47000.00"</f>
        <v>47000.00</v>
      </c>
      <c r="V1025" t="str">
        <f>"47000.00"</f>
        <v>47000.00</v>
      </c>
      <c r="W1025" t="str">
        <f t="shared" si="311"/>
        <v>2017</v>
      </c>
      <c r="X1025" t="str">
        <f>""</f>
        <v/>
      </c>
      <c r="Y1025" t="str">
        <f>"776.00"</f>
        <v>776.00</v>
      </c>
      <c r="Z1025" t="str">
        <f>""</f>
        <v/>
      </c>
      <c r="AA1025" t="str">
        <f>"48638.00"</f>
        <v>48638.00</v>
      </c>
      <c r="AB1025" t="str">
        <f t="shared" si="326"/>
        <v>Residential</v>
      </c>
      <c r="AC1025" t="str">
        <f t="shared" si="323"/>
        <v>0</v>
      </c>
      <c r="AD1025" t="str">
        <f t="shared" si="332"/>
        <v>4</v>
      </c>
      <c r="AE1025" t="str">
        <f t="shared" si="333"/>
        <v>WOOD (INCLUDE STEEL STUDS)</v>
      </c>
      <c r="AF1025" t="str">
        <f>"002"</f>
        <v>002</v>
      </c>
      <c r="AG1025" t="str">
        <f t="shared" si="324"/>
        <v>FL</v>
      </c>
      <c r="AH1025" t="str">
        <f t="shared" si="330"/>
        <v>-</v>
      </c>
      <c r="AI1025" t="str">
        <f t="shared" si="331"/>
        <v>15000.00</v>
      </c>
      <c r="AJ1025" t="str">
        <f>"C55-000-588-6353-1"</f>
        <v>C55-000-588-6353-1</v>
      </c>
      <c r="AK1025" t="str">
        <f>"15614"</f>
        <v>15614</v>
      </c>
      <c r="AL1025">
        <v>4</v>
      </c>
      <c r="AM1025">
        <v>1176</v>
      </c>
      <c r="AN1025">
        <v>813.2</v>
      </c>
      <c r="AQ1025" t="s">
        <v>10552</v>
      </c>
      <c r="AR1025" t="s">
        <v>10552</v>
      </c>
      <c r="AS1025" t="s">
        <v>10552</v>
      </c>
      <c r="AU1025" t="s">
        <v>396</v>
      </c>
      <c r="AV1025">
        <v>2017</v>
      </c>
      <c r="AW1025" t="str">
        <f>"48-3N-25-4196-0126-0000 "</f>
        <v xml:space="preserve">48-3N-25-4196-0126-0000 </v>
      </c>
      <c r="AX1025">
        <v>56023</v>
      </c>
      <c r="AZ1025" t="s">
        <v>10447</v>
      </c>
      <c r="BA1025" t="s">
        <v>669</v>
      </c>
      <c r="BD1025" t="s">
        <v>2785</v>
      </c>
      <c r="BE1025" t="s">
        <v>393</v>
      </c>
      <c r="BF1025">
        <v>32011</v>
      </c>
      <c r="BG1025" t="s">
        <v>10553</v>
      </c>
      <c r="BH1025" t="s">
        <v>2787</v>
      </c>
      <c r="BI1025">
        <v>-81.761231338465805</v>
      </c>
      <c r="BJ1025">
        <v>30.629393776885301</v>
      </c>
      <c r="BK1025" t="s">
        <v>10554</v>
      </c>
      <c r="BL1025" t="s">
        <v>10555</v>
      </c>
      <c r="BM1025" t="s">
        <v>10553</v>
      </c>
      <c r="BN1025" t="s">
        <v>928</v>
      </c>
      <c r="BO1025">
        <v>32011</v>
      </c>
      <c r="BP1025" t="s">
        <v>416</v>
      </c>
      <c r="BQ1025">
        <v>200</v>
      </c>
      <c r="BR1025" t="s">
        <v>405</v>
      </c>
      <c r="BS1025">
        <v>1006</v>
      </c>
      <c r="BT1025" t="s">
        <v>406</v>
      </c>
      <c r="BW1025">
        <v>45378</v>
      </c>
      <c r="BX1025" t="s">
        <v>407</v>
      </c>
      <c r="BY1025" t="s">
        <v>408</v>
      </c>
      <c r="BZ1025">
        <v>4</v>
      </c>
      <c r="CA1025">
        <v>1998</v>
      </c>
      <c r="CB1025">
        <v>1</v>
      </c>
      <c r="CC1025">
        <v>1</v>
      </c>
      <c r="CD1025">
        <v>2017</v>
      </c>
      <c r="CE1025">
        <v>15000</v>
      </c>
      <c r="CF1025">
        <v>33638</v>
      </c>
      <c r="CG1025">
        <v>48638</v>
      </c>
      <c r="CH1025">
        <v>2017</v>
      </c>
      <c r="CI1025">
        <v>15000</v>
      </c>
      <c r="CJ1025">
        <v>33638</v>
      </c>
      <c r="CK1025">
        <v>48638</v>
      </c>
      <c r="CL1025">
        <v>2017</v>
      </c>
      <c r="CM1025">
        <v>722.33</v>
      </c>
      <c r="CN1025" s="1">
        <v>41011</v>
      </c>
      <c r="CZ1025" s="1">
        <v>41011</v>
      </c>
      <c r="DD1025" t="s">
        <v>2785</v>
      </c>
      <c r="DF1025">
        <v>126</v>
      </c>
      <c r="DG1025">
        <v>48</v>
      </c>
      <c r="DL1025">
        <v>50301</v>
      </c>
      <c r="DM1025" t="s">
        <v>10435</v>
      </c>
      <c r="DO1025" t="s">
        <v>10556</v>
      </c>
      <c r="DP1025">
        <v>0</v>
      </c>
      <c r="DQ1025">
        <v>0</v>
      </c>
      <c r="DR1025" t="s">
        <v>411</v>
      </c>
      <c r="EP1025" t="s">
        <v>421</v>
      </c>
      <c r="EQ1025" t="s">
        <v>422</v>
      </c>
      <c r="ER1025">
        <v>2</v>
      </c>
      <c r="ES1025">
        <v>0</v>
      </c>
      <c r="ET1025">
        <v>1472.74</v>
      </c>
      <c r="EU1025">
        <v>86.14</v>
      </c>
      <c r="EV1025">
        <v>1558.88</v>
      </c>
      <c r="EW1025" s="2">
        <v>43222</v>
      </c>
      <c r="EX1025" s="1">
        <v>42879</v>
      </c>
      <c r="EY1025">
        <v>2016</v>
      </c>
      <c r="EZ1025">
        <v>736.37</v>
      </c>
      <c r="FA1025" t="s">
        <v>10557</v>
      </c>
      <c r="FB1025">
        <v>0.25</v>
      </c>
      <c r="FC1025" t="s">
        <v>424</v>
      </c>
      <c r="FD1025" t="s">
        <v>454</v>
      </c>
      <c r="FF1025">
        <v>12</v>
      </c>
      <c r="FG1025">
        <v>7400234</v>
      </c>
      <c r="FH1025" t="s">
        <v>426</v>
      </c>
      <c r="FJ1025" s="1">
        <v>42879</v>
      </c>
      <c r="FK1025">
        <v>2016</v>
      </c>
      <c r="FL1025">
        <v>736.37</v>
      </c>
      <c r="FM1025" t="s">
        <v>10557</v>
      </c>
      <c r="FN1025">
        <v>0.25</v>
      </c>
      <c r="FO1025" t="s">
        <v>424</v>
      </c>
      <c r="FP1025" t="s">
        <v>454</v>
      </c>
      <c r="FR1025">
        <v>12</v>
      </c>
      <c r="FS1025">
        <v>7412757</v>
      </c>
      <c r="FT1025" t="s">
        <v>10558</v>
      </c>
    </row>
    <row r="1026" spans="1:284" x14ac:dyDescent="0.25">
      <c r="A1026">
        <v>16486033</v>
      </c>
      <c r="B1026">
        <v>1025</v>
      </c>
      <c r="C1026" t="s">
        <v>393</v>
      </c>
      <c r="D1026" t="s">
        <v>394</v>
      </c>
      <c r="F1026" t="str">
        <f>"48-3N-25-4196-0132-0000"</f>
        <v>48-3N-25-4196-0132-0000</v>
      </c>
      <c r="H1026" t="str">
        <f>"HERR CRAIG M &amp; LAURA B"</f>
        <v>HERR CRAIG M &amp; LAURA B</v>
      </c>
      <c r="I1026" t="str">
        <f>"56204 COLBY DR"</f>
        <v>56204 COLBY DR</v>
      </c>
      <c r="J1026" t="str">
        <f t="shared" si="328"/>
        <v>CALLAHAN FL 32011</v>
      </c>
      <c r="K1026" t="str">
        <f>"56204 COLBY DR"</f>
        <v>56204 COLBY DR</v>
      </c>
      <c r="L1026" t="str">
        <f t="shared" si="329"/>
        <v>CALLAHAN FL 32011</v>
      </c>
      <c r="M1026" t="str">
        <f>"LOT 132 IN OR 1680/435 2010/CMMH/SWMH NASSAU OAKS SEC 2 UNR"</f>
        <v>LOT 132 IN OR 1680/435 2010/CMMH/SWMH NASSAU OAKS SEC 2 UNR</v>
      </c>
      <c r="N1026" t="str">
        <f>""</f>
        <v/>
      </c>
      <c r="O1026" t="str">
        <f>"53743"</f>
        <v>53743</v>
      </c>
      <c r="P1026" t="str">
        <f t="shared" ref="P1026:P1089" si="334">"2017"</f>
        <v>2017</v>
      </c>
      <c r="Q1026" t="str">
        <f>""</f>
        <v/>
      </c>
      <c r="R1026" t="str">
        <f>"N"</f>
        <v>N</v>
      </c>
      <c r="S1026" t="str">
        <f>""</f>
        <v/>
      </c>
      <c r="T1026" t="str">
        <f>"1004.36"</f>
        <v>1004.36</v>
      </c>
      <c r="U1026" t="str">
        <f>"66344.00"</f>
        <v>66344.00</v>
      </c>
      <c r="V1026" t="str">
        <f>"66344.00"</f>
        <v>66344.00</v>
      </c>
      <c r="W1026" t="str">
        <f t="shared" ref="W1026:W1089" si="335">"2017"</f>
        <v>2017</v>
      </c>
      <c r="X1026" t="str">
        <f>"17.00"</f>
        <v>17.00</v>
      </c>
      <c r="Y1026" t="str">
        <f>"1066.49"</f>
        <v>1066.49</v>
      </c>
      <c r="Z1026" t="str">
        <f>""</f>
        <v/>
      </c>
      <c r="AA1026" t="str">
        <f>"66344.00"</f>
        <v>66344.00</v>
      </c>
      <c r="AB1026" t="str">
        <f t="shared" si="326"/>
        <v>Residential</v>
      </c>
      <c r="AC1026" t="str">
        <f t="shared" si="323"/>
        <v>0</v>
      </c>
      <c r="AD1026" t="str">
        <f t="shared" si="332"/>
        <v>4</v>
      </c>
      <c r="AE1026" t="str">
        <f t="shared" si="333"/>
        <v>WOOD (INCLUDE STEEL STUDS)</v>
      </c>
      <c r="AF1026" t="str">
        <f>"002"</f>
        <v>002</v>
      </c>
      <c r="AG1026" t="str">
        <f t="shared" si="324"/>
        <v>FL</v>
      </c>
      <c r="AH1026" t="str">
        <f t="shared" si="330"/>
        <v>-</v>
      </c>
      <c r="AI1026" t="str">
        <f t="shared" si="331"/>
        <v>15000.00</v>
      </c>
      <c r="AJ1026" t="str">
        <f>"C55-000-588-6359-8"</f>
        <v>C55-000-588-6359-8</v>
      </c>
      <c r="AK1026" t="str">
        <f>"15620"</f>
        <v>15620</v>
      </c>
      <c r="AL1026">
        <v>4</v>
      </c>
      <c r="AM1026">
        <v>1177</v>
      </c>
      <c r="AN1026">
        <v>1118.21</v>
      </c>
      <c r="AQ1026" t="s">
        <v>10559</v>
      </c>
      <c r="AR1026" t="s">
        <v>10559</v>
      </c>
      <c r="AS1026" t="s">
        <v>10559</v>
      </c>
      <c r="AU1026" t="s">
        <v>396</v>
      </c>
      <c r="AV1026">
        <v>2017</v>
      </c>
      <c r="AW1026" t="str">
        <f>"48-3N-25-4196-0132-0000 "</f>
        <v xml:space="preserve">48-3N-25-4196-0132-0000 </v>
      </c>
      <c r="AX1026">
        <v>56204</v>
      </c>
      <c r="AZ1026" t="s">
        <v>10444</v>
      </c>
      <c r="BA1026" t="s">
        <v>669</v>
      </c>
      <c r="BD1026" t="s">
        <v>2785</v>
      </c>
      <c r="BE1026" t="s">
        <v>393</v>
      </c>
      <c r="BF1026">
        <v>32011</v>
      </c>
      <c r="BG1026" t="s">
        <v>10560</v>
      </c>
      <c r="BH1026" t="s">
        <v>2787</v>
      </c>
      <c r="BI1026">
        <v>-81.759259365309205</v>
      </c>
      <c r="BJ1026">
        <v>30.6308860313998</v>
      </c>
      <c r="BK1026" t="s">
        <v>10561</v>
      </c>
      <c r="BL1026" t="s">
        <v>10562</v>
      </c>
      <c r="BM1026" t="s">
        <v>10560</v>
      </c>
      <c r="BN1026" t="s">
        <v>928</v>
      </c>
      <c r="BO1026">
        <v>32011</v>
      </c>
      <c r="BP1026" t="s">
        <v>416</v>
      </c>
      <c r="BQ1026">
        <v>200</v>
      </c>
      <c r="BR1026" t="s">
        <v>405</v>
      </c>
      <c r="BS1026">
        <v>1006</v>
      </c>
      <c r="BT1026" t="s">
        <v>406</v>
      </c>
      <c r="BW1026">
        <v>193413</v>
      </c>
      <c r="BX1026" t="s">
        <v>407</v>
      </c>
      <c r="BY1026" t="s">
        <v>408</v>
      </c>
      <c r="BZ1026">
        <v>4</v>
      </c>
      <c r="CA1026">
        <v>2010</v>
      </c>
      <c r="CC1026">
        <v>1</v>
      </c>
      <c r="CD1026">
        <v>2017</v>
      </c>
      <c r="CE1026">
        <v>15000</v>
      </c>
      <c r="CF1026">
        <v>51344</v>
      </c>
      <c r="CG1026">
        <v>66344</v>
      </c>
      <c r="CH1026">
        <v>2017</v>
      </c>
      <c r="CI1026">
        <v>15000</v>
      </c>
      <c r="CJ1026">
        <v>51344</v>
      </c>
      <c r="CK1026">
        <v>66344</v>
      </c>
      <c r="CL1026">
        <v>2017</v>
      </c>
      <c r="CM1026">
        <v>1004.36</v>
      </c>
      <c r="CN1026" s="1">
        <v>40472</v>
      </c>
      <c r="CO1026">
        <v>3000</v>
      </c>
      <c r="CV1026">
        <v>0</v>
      </c>
      <c r="CZ1026" s="1">
        <v>40472</v>
      </c>
      <c r="DA1026">
        <v>0</v>
      </c>
      <c r="DD1026" t="s">
        <v>2785</v>
      </c>
      <c r="DF1026">
        <v>132</v>
      </c>
      <c r="DG1026">
        <v>48</v>
      </c>
      <c r="DL1026">
        <v>50301</v>
      </c>
      <c r="DM1026" t="s">
        <v>10435</v>
      </c>
      <c r="DO1026" t="s">
        <v>10563</v>
      </c>
      <c r="DP1026">
        <v>0</v>
      </c>
      <c r="DQ1026">
        <v>0</v>
      </c>
      <c r="DR1026" t="s">
        <v>411</v>
      </c>
      <c r="DS1026" t="b">
        <v>1</v>
      </c>
      <c r="DT1026" t="s">
        <v>396</v>
      </c>
      <c r="DV1026" t="s">
        <v>446</v>
      </c>
      <c r="DX1026">
        <v>-9999</v>
      </c>
      <c r="DZ1026" t="s">
        <v>447</v>
      </c>
      <c r="EA1026" t="s">
        <v>448</v>
      </c>
      <c r="EB1026" t="s">
        <v>449</v>
      </c>
      <c r="EC1026">
        <v>20101217</v>
      </c>
      <c r="ED1026" t="s">
        <v>450</v>
      </c>
      <c r="EE1026">
        <v>7.7</v>
      </c>
      <c r="EF1026">
        <v>0</v>
      </c>
      <c r="EG1026">
        <v>0</v>
      </c>
      <c r="EI1026">
        <v>20160407</v>
      </c>
      <c r="EJ1026">
        <v>0</v>
      </c>
      <c r="EK1026">
        <v>0</v>
      </c>
      <c r="EP1026" t="s">
        <v>421</v>
      </c>
      <c r="EQ1026" t="s">
        <v>452</v>
      </c>
      <c r="ER1026">
        <v>0</v>
      </c>
      <c r="ES1026">
        <v>11</v>
      </c>
      <c r="ET1026">
        <v>0</v>
      </c>
      <c r="EU1026">
        <v>0</v>
      </c>
      <c r="EV1026">
        <v>0</v>
      </c>
      <c r="EW1026" s="2">
        <v>43222</v>
      </c>
      <c r="EX1026" s="1">
        <v>42879</v>
      </c>
      <c r="EY1026">
        <v>2016</v>
      </c>
      <c r="EZ1026">
        <v>1097.57</v>
      </c>
      <c r="FA1026" t="s">
        <v>10564</v>
      </c>
      <c r="FB1026">
        <v>0.25</v>
      </c>
      <c r="FC1026" t="s">
        <v>424</v>
      </c>
      <c r="FD1026" t="s">
        <v>425</v>
      </c>
      <c r="FE1026" s="1">
        <v>42914</v>
      </c>
      <c r="FF1026">
        <v>1</v>
      </c>
      <c r="FG1026">
        <v>7400234</v>
      </c>
      <c r="FH1026" t="s">
        <v>426</v>
      </c>
      <c r="FI1026" t="s">
        <v>458</v>
      </c>
      <c r="FJ1026" s="1">
        <v>42879</v>
      </c>
      <c r="FK1026">
        <v>2016</v>
      </c>
      <c r="FL1026">
        <v>1097.57</v>
      </c>
      <c r="FM1026" t="s">
        <v>10564</v>
      </c>
      <c r="FN1026">
        <v>0.25</v>
      </c>
      <c r="FO1026" t="s">
        <v>424</v>
      </c>
      <c r="FP1026" t="s">
        <v>425</v>
      </c>
      <c r="FR1026">
        <v>22</v>
      </c>
      <c r="FS1026">
        <v>7419262</v>
      </c>
      <c r="FT1026" t="s">
        <v>10565</v>
      </c>
      <c r="FU1026" t="s">
        <v>458</v>
      </c>
      <c r="FV1026" s="1">
        <v>42515</v>
      </c>
      <c r="FW1026">
        <v>2015</v>
      </c>
      <c r="FX1026">
        <v>1148.49</v>
      </c>
      <c r="FY1026" t="s">
        <v>10566</v>
      </c>
      <c r="FZ1026">
        <v>0.25</v>
      </c>
      <c r="GA1026" t="s">
        <v>424</v>
      </c>
      <c r="GB1026" t="s">
        <v>425</v>
      </c>
      <c r="GC1026" s="1">
        <v>42914</v>
      </c>
      <c r="GD1026">
        <v>13</v>
      </c>
      <c r="GE1026">
        <v>2851116</v>
      </c>
      <c r="GF1026" t="s">
        <v>480</v>
      </c>
      <c r="GG1026" t="s">
        <v>458</v>
      </c>
      <c r="GH1026" s="1">
        <v>42515</v>
      </c>
      <c r="GI1026">
        <v>2015</v>
      </c>
      <c r="GJ1026">
        <v>1148.49</v>
      </c>
      <c r="GK1026" t="s">
        <v>10566</v>
      </c>
      <c r="GL1026">
        <v>0.25</v>
      </c>
      <c r="GM1026" t="s">
        <v>424</v>
      </c>
      <c r="GN1026" t="s">
        <v>425</v>
      </c>
      <c r="GP1026">
        <v>22</v>
      </c>
      <c r="GQ1026">
        <v>5390341</v>
      </c>
      <c r="GR1026" t="s">
        <v>10567</v>
      </c>
      <c r="GS1026" t="s">
        <v>458</v>
      </c>
      <c r="GT1026" s="1">
        <v>42151</v>
      </c>
      <c r="GU1026">
        <v>2014</v>
      </c>
      <c r="GV1026">
        <v>1084.78</v>
      </c>
      <c r="GW1026" t="s">
        <v>10568</v>
      </c>
      <c r="GX1026">
        <v>0.25</v>
      </c>
      <c r="GY1026" t="s">
        <v>424</v>
      </c>
      <c r="GZ1026" t="s">
        <v>425</v>
      </c>
      <c r="HB1026">
        <v>22</v>
      </c>
      <c r="HC1026">
        <v>4975594</v>
      </c>
      <c r="HD1026" t="s">
        <v>457</v>
      </c>
      <c r="HE1026" t="s">
        <v>458</v>
      </c>
      <c r="HF1026" s="1">
        <v>42151</v>
      </c>
      <c r="HG1026">
        <v>2014</v>
      </c>
      <c r="HH1026">
        <v>1084.78</v>
      </c>
      <c r="HI1026" t="s">
        <v>10568</v>
      </c>
      <c r="HJ1026">
        <v>0.25</v>
      </c>
      <c r="HK1026" t="s">
        <v>424</v>
      </c>
      <c r="HL1026" t="s">
        <v>425</v>
      </c>
      <c r="HN1026">
        <v>22</v>
      </c>
      <c r="HO1026">
        <v>6521051</v>
      </c>
      <c r="HP1026" t="s">
        <v>10569</v>
      </c>
      <c r="HQ1026" t="s">
        <v>458</v>
      </c>
      <c r="HR1026" s="1">
        <v>41787</v>
      </c>
      <c r="HS1026">
        <v>2013</v>
      </c>
      <c r="HT1026">
        <v>945.3</v>
      </c>
      <c r="HU1026" t="s">
        <v>10570</v>
      </c>
      <c r="HV1026">
        <v>0.25</v>
      </c>
      <c r="HW1026" t="s">
        <v>424</v>
      </c>
      <c r="HX1026" t="s">
        <v>425</v>
      </c>
      <c r="HY1026" s="1">
        <v>42461</v>
      </c>
      <c r="HZ1026">
        <v>23</v>
      </c>
      <c r="IA1026">
        <v>2407503</v>
      </c>
      <c r="IB1026" t="s">
        <v>461</v>
      </c>
      <c r="ID1026" s="1">
        <v>41423</v>
      </c>
      <c r="IE1026">
        <v>2012</v>
      </c>
      <c r="IF1026">
        <v>945</v>
      </c>
      <c r="IG1026" t="s">
        <v>10571</v>
      </c>
      <c r="IH1026">
        <v>3</v>
      </c>
      <c r="II1026" t="s">
        <v>424</v>
      </c>
      <c r="IJ1026" t="s">
        <v>425</v>
      </c>
      <c r="IL1026">
        <v>22</v>
      </c>
      <c r="IM1026">
        <v>15399</v>
      </c>
      <c r="IN1026" t="s">
        <v>485</v>
      </c>
      <c r="IP1026" s="1">
        <v>41423</v>
      </c>
      <c r="IQ1026">
        <v>2012</v>
      </c>
      <c r="IR1026">
        <v>945</v>
      </c>
      <c r="IS1026" t="s">
        <v>10571</v>
      </c>
      <c r="IT1026">
        <v>3</v>
      </c>
      <c r="IU1026" t="s">
        <v>424</v>
      </c>
      <c r="IV1026" t="s">
        <v>425</v>
      </c>
      <c r="IW1026" s="1">
        <v>42116</v>
      </c>
      <c r="IX1026">
        <v>23</v>
      </c>
      <c r="IY1026">
        <v>13027</v>
      </c>
      <c r="IZ1026" t="s">
        <v>826</v>
      </c>
      <c r="JB1026" s="1">
        <v>41052</v>
      </c>
      <c r="JC1026">
        <v>2011</v>
      </c>
      <c r="JD1026">
        <v>1098.55</v>
      </c>
      <c r="JE1026" t="s">
        <v>10572</v>
      </c>
      <c r="JF1026">
        <v>5</v>
      </c>
      <c r="JG1026" t="s">
        <v>424</v>
      </c>
      <c r="JH1026" t="s">
        <v>425</v>
      </c>
      <c r="JI1026" s="1">
        <v>41463</v>
      </c>
      <c r="JJ1026">
        <v>14</v>
      </c>
      <c r="JK1026">
        <v>62</v>
      </c>
      <c r="JL1026" t="s">
        <v>463</v>
      </c>
      <c r="JN1026" s="1">
        <v>40688</v>
      </c>
      <c r="JO1026">
        <v>2010</v>
      </c>
      <c r="JP1026">
        <v>214.08</v>
      </c>
      <c r="JQ1026" t="s">
        <v>10573</v>
      </c>
      <c r="JR1026">
        <v>6.75</v>
      </c>
      <c r="JS1026" t="s">
        <v>424</v>
      </c>
      <c r="JT1026" t="s">
        <v>425</v>
      </c>
      <c r="JU1026" s="1">
        <v>41298</v>
      </c>
      <c r="JV1026">
        <v>20</v>
      </c>
      <c r="JW1026">
        <v>105</v>
      </c>
      <c r="JX1026" t="s">
        <v>946</v>
      </c>
    </row>
    <row r="1027" spans="1:284" x14ac:dyDescent="0.25">
      <c r="A1027">
        <v>16486034</v>
      </c>
      <c r="B1027">
        <v>1026</v>
      </c>
      <c r="C1027" t="s">
        <v>393</v>
      </c>
      <c r="D1027" t="s">
        <v>394</v>
      </c>
      <c r="F1027" t="str">
        <f>"48-3N-25-4196-0133-0000"</f>
        <v>48-3N-25-4196-0133-0000</v>
      </c>
      <c r="H1027" t="str">
        <f>"REYNOLDS KIMBERLY D"</f>
        <v>REYNOLDS KIMBERLY D</v>
      </c>
      <c r="I1027" t="str">
        <f>"56234 COLBY DR"</f>
        <v>56234 COLBY DR</v>
      </c>
      <c r="J1027" t="str">
        <f t="shared" si="328"/>
        <v>CALLAHAN FL 32011</v>
      </c>
      <c r="K1027" t="str">
        <f>"56234 COLBY DR"</f>
        <v>56234 COLBY DR</v>
      </c>
      <c r="L1027" t="str">
        <f t="shared" si="329"/>
        <v>CALLAHAN FL 32011</v>
      </c>
      <c r="M1027" t="str">
        <f>"LOT 133 IN OR 1987/1951 2015 TOWN DW/MH NASSAU OAKS SEC 2 UNR"</f>
        <v>LOT 133 IN OR 1987/1951 2015 TOWN DW/MH NASSAU OAKS SEC 2 UNR</v>
      </c>
      <c r="N1027" t="str">
        <f>""</f>
        <v/>
      </c>
      <c r="O1027" t="str">
        <f>"53744"</f>
        <v>53744</v>
      </c>
      <c r="P1027" t="str">
        <f t="shared" si="334"/>
        <v>2017</v>
      </c>
      <c r="Q1027" t="str">
        <f>""</f>
        <v/>
      </c>
      <c r="R1027" t="str">
        <f>"Y"</f>
        <v>Y</v>
      </c>
      <c r="S1027" t="str">
        <f>""</f>
        <v/>
      </c>
      <c r="T1027" t="str">
        <f>"888.47"</f>
        <v>888.47</v>
      </c>
      <c r="U1027" t="str">
        <f>"97792.00"</f>
        <v>97792.00</v>
      </c>
      <c r="V1027" t="str">
        <f>"97792.00"</f>
        <v>97792.00</v>
      </c>
      <c r="W1027" t="str">
        <f t="shared" si="335"/>
        <v>2017</v>
      </c>
      <c r="X1027" t="str">
        <f>""</f>
        <v/>
      </c>
      <c r="Y1027" t="str">
        <f>"947.12"</f>
        <v>947.12</v>
      </c>
      <c r="Z1027" t="str">
        <f>"25000.00"</f>
        <v>25000.00</v>
      </c>
      <c r="AA1027" t="str">
        <f>"72792.00"</f>
        <v>72792.00</v>
      </c>
      <c r="AB1027" t="str">
        <f t="shared" si="326"/>
        <v>Residential</v>
      </c>
      <c r="AC1027" t="str">
        <f t="shared" si="323"/>
        <v>0</v>
      </c>
      <c r="AD1027" t="str">
        <f t="shared" si="332"/>
        <v>4</v>
      </c>
      <c r="AE1027" t="str">
        <f t="shared" si="333"/>
        <v>WOOD (INCLUDE STEEL STUDS)</v>
      </c>
      <c r="AF1027" t="str">
        <f>"002"</f>
        <v>002</v>
      </c>
      <c r="AG1027" t="str">
        <f t="shared" si="324"/>
        <v>FL</v>
      </c>
      <c r="AH1027" t="str">
        <f t="shared" si="330"/>
        <v>-</v>
      </c>
      <c r="AI1027" t="str">
        <f t="shared" si="331"/>
        <v>15000.00</v>
      </c>
      <c r="AJ1027" t="str">
        <f>"C55-000-588-6360-6"</f>
        <v>C55-000-588-6360-6</v>
      </c>
      <c r="AK1027" t="str">
        <f>"15621"</f>
        <v>15621</v>
      </c>
      <c r="AL1027">
        <v>4</v>
      </c>
      <c r="AM1027">
        <v>1178</v>
      </c>
      <c r="AN1027">
        <v>992.88</v>
      </c>
      <c r="AQ1027" t="s">
        <v>10574</v>
      </c>
      <c r="AR1027" t="s">
        <v>10574</v>
      </c>
      <c r="AS1027" t="s">
        <v>10574</v>
      </c>
      <c r="AU1027" t="s">
        <v>396</v>
      </c>
      <c r="AV1027">
        <v>2017</v>
      </c>
      <c r="AW1027" t="str">
        <f>"48-3N-25-4196-0133-0000 "</f>
        <v xml:space="preserve">48-3N-25-4196-0133-0000 </v>
      </c>
      <c r="AX1027">
        <v>56234</v>
      </c>
      <c r="AZ1027" t="s">
        <v>10444</v>
      </c>
      <c r="BA1027" t="s">
        <v>669</v>
      </c>
      <c r="BD1027" t="s">
        <v>2785</v>
      </c>
      <c r="BE1027" t="s">
        <v>393</v>
      </c>
      <c r="BF1027">
        <v>32011</v>
      </c>
      <c r="BG1027" t="s">
        <v>10575</v>
      </c>
      <c r="BH1027" t="s">
        <v>2787</v>
      </c>
      <c r="BI1027">
        <v>-81.759402045130201</v>
      </c>
      <c r="BJ1027">
        <v>30.631646724134701</v>
      </c>
      <c r="BK1027" t="s">
        <v>10576</v>
      </c>
      <c r="BM1027" t="s">
        <v>10575</v>
      </c>
      <c r="BN1027" t="s">
        <v>928</v>
      </c>
      <c r="BO1027">
        <v>32011</v>
      </c>
      <c r="BP1027" t="s">
        <v>416</v>
      </c>
      <c r="BQ1027">
        <v>200</v>
      </c>
      <c r="BR1027" t="s">
        <v>405</v>
      </c>
      <c r="BS1027">
        <v>1006</v>
      </c>
      <c r="BT1027" t="s">
        <v>406</v>
      </c>
      <c r="BW1027">
        <v>221409</v>
      </c>
      <c r="BX1027" t="s">
        <v>407</v>
      </c>
      <c r="BY1027" t="s">
        <v>408</v>
      </c>
      <c r="BZ1027">
        <v>4</v>
      </c>
      <c r="CA1027">
        <v>2015</v>
      </c>
      <c r="CB1027">
        <v>1</v>
      </c>
      <c r="CC1027">
        <v>1</v>
      </c>
      <c r="CD1027">
        <v>2017</v>
      </c>
      <c r="CG1027">
        <v>97792</v>
      </c>
      <c r="CH1027">
        <v>2017</v>
      </c>
      <c r="CI1027">
        <v>15000</v>
      </c>
      <c r="CJ1027">
        <v>84141</v>
      </c>
      <c r="CK1027">
        <v>99141</v>
      </c>
      <c r="CL1027">
        <v>2017</v>
      </c>
      <c r="CM1027">
        <v>888.47</v>
      </c>
      <c r="CN1027" s="1">
        <v>42181</v>
      </c>
      <c r="CZ1027" s="1">
        <v>42181</v>
      </c>
      <c r="DD1027" t="s">
        <v>2785</v>
      </c>
      <c r="DF1027">
        <v>133</v>
      </c>
      <c r="DG1027">
        <v>48</v>
      </c>
      <c r="DJ1027" t="s">
        <v>10447</v>
      </c>
      <c r="DL1027">
        <v>50301</v>
      </c>
      <c r="DM1027" t="s">
        <v>10435</v>
      </c>
      <c r="DO1027" t="s">
        <v>10577</v>
      </c>
      <c r="DP1027">
        <v>0</v>
      </c>
      <c r="DQ1027">
        <v>0</v>
      </c>
      <c r="DR1027" t="s">
        <v>411</v>
      </c>
      <c r="EP1027" t="s">
        <v>421</v>
      </c>
      <c r="EQ1027" t="s">
        <v>422</v>
      </c>
      <c r="ER1027">
        <v>2</v>
      </c>
      <c r="ES1027">
        <v>0</v>
      </c>
      <c r="ET1027">
        <v>1941.5</v>
      </c>
      <c r="EU1027">
        <v>109.58</v>
      </c>
      <c r="EV1027">
        <v>2051.08</v>
      </c>
      <c r="EW1027" s="2">
        <v>43222</v>
      </c>
      <c r="EX1027" s="1">
        <v>42879</v>
      </c>
      <c r="EY1027">
        <v>2016</v>
      </c>
      <c r="EZ1027">
        <v>970.75</v>
      </c>
      <c r="FA1027" t="s">
        <v>10578</v>
      </c>
      <c r="FB1027">
        <v>0.25</v>
      </c>
      <c r="FC1027" t="s">
        <v>424</v>
      </c>
      <c r="FD1027" t="s">
        <v>454</v>
      </c>
      <c r="FF1027">
        <v>12</v>
      </c>
      <c r="FG1027">
        <v>2851116</v>
      </c>
      <c r="FH1027" t="s">
        <v>480</v>
      </c>
      <c r="FJ1027" s="1">
        <v>42879</v>
      </c>
      <c r="FK1027">
        <v>2016</v>
      </c>
      <c r="FL1027">
        <v>970.75</v>
      </c>
      <c r="FM1027" t="s">
        <v>10578</v>
      </c>
      <c r="FN1027">
        <v>0.25</v>
      </c>
      <c r="FO1027" t="s">
        <v>424</v>
      </c>
      <c r="FP1027" t="s">
        <v>454</v>
      </c>
      <c r="FR1027">
        <v>12</v>
      </c>
      <c r="FS1027">
        <v>5319665</v>
      </c>
      <c r="FT1027" t="s">
        <v>10579</v>
      </c>
    </row>
    <row r="1028" spans="1:284" x14ac:dyDescent="0.25">
      <c r="A1028">
        <v>16486035</v>
      </c>
      <c r="B1028">
        <v>1027</v>
      </c>
      <c r="C1028" t="s">
        <v>393</v>
      </c>
      <c r="D1028" t="s">
        <v>394</v>
      </c>
      <c r="F1028" t="str">
        <f>"18-4N-25-0000-0005-0000"</f>
        <v>18-4N-25-0000-0005-0000</v>
      </c>
      <c r="H1028" t="str">
        <f>"WHITTAKER CHARLES E JR &amp; PHILLIPS DEBORAH W (B&amp;S)"</f>
        <v>WHITTAKER CHARLES E JR &amp; PHILLIPS DEBORAH W (B&amp;S)</v>
      </c>
      <c r="I1028" t="str">
        <f>"4891 WHITAKER ROAD"</f>
        <v>4891 WHITAKER ROAD</v>
      </c>
      <c r="J1028" t="str">
        <f>"HILLIARD FL 32046"</f>
        <v>HILLIARD FL 32046</v>
      </c>
      <c r="K1028" t="str">
        <f>"4891 WHITAKER RD"</f>
        <v>4891 WHITAKER RD</v>
      </c>
      <c r="L1028" t="str">
        <f t="shared" ref="L1028:L1063" si="336">"HILLIARD FL 32046"</f>
        <v>HILLIARD FL 32046</v>
      </c>
      <c r="M1028" t="str">
        <f>"PT OF NE1/4 OF SW1/4 OF SEC 18-4N-25E IN OR 786/1054 &amp; OR 818/1776 (EX PT IN OR 719/366) {1987/WINN/SW/MH}"</f>
        <v>PT OF NE1/4 OF SW1/4 OF SEC 18-4N-25E IN OR 786/1054 &amp; OR 818/1776 (EX PT IN OR 719/366) {1987/WINN/SW/MH}</v>
      </c>
      <c r="N1028" t="str">
        <f>""</f>
        <v/>
      </c>
      <c r="O1028" t="str">
        <f>"32495"</f>
        <v>32495</v>
      </c>
      <c r="P1028" t="str">
        <f t="shared" si="334"/>
        <v>2017</v>
      </c>
      <c r="Q1028" t="str">
        <f>""</f>
        <v/>
      </c>
      <c r="R1028" t="str">
        <f>"Y"</f>
        <v>Y</v>
      </c>
      <c r="S1028" t="str">
        <f>"10.50"</f>
        <v>10.50</v>
      </c>
      <c r="T1028" t="str">
        <f>"953.45"</f>
        <v>953.45</v>
      </c>
      <c r="U1028" t="str">
        <f>"87980.00"</f>
        <v>87980.00</v>
      </c>
      <c r="V1028" t="str">
        <f>"87980.00"</f>
        <v>87980.00</v>
      </c>
      <c r="W1028" t="str">
        <f t="shared" si="335"/>
        <v>2017</v>
      </c>
      <c r="X1028" t="str">
        <f>"3.20"</f>
        <v>3.20</v>
      </c>
      <c r="Y1028" t="str">
        <f>"1014.05"</f>
        <v>1014.05</v>
      </c>
      <c r="Z1028" t="str">
        <f>"25000.00"</f>
        <v>25000.00</v>
      </c>
      <c r="AA1028" t="str">
        <f>"62980.00"</f>
        <v>62980.00</v>
      </c>
      <c r="AB1028" t="str">
        <f t="shared" si="326"/>
        <v>Residential</v>
      </c>
      <c r="AC1028" t="str">
        <f t="shared" si="323"/>
        <v>0</v>
      </c>
      <c r="AD1028" t="str">
        <f t="shared" si="332"/>
        <v>4</v>
      </c>
      <c r="AE1028" t="str">
        <f t="shared" si="333"/>
        <v>WOOD (INCLUDE STEEL STUDS)</v>
      </c>
      <c r="AF1028" t="str">
        <f>"001"</f>
        <v>001</v>
      </c>
      <c r="AG1028" t="str">
        <f t="shared" si="324"/>
        <v>FL</v>
      </c>
      <c r="AH1028" t="str">
        <f>"457380.00"</f>
        <v>457380.00</v>
      </c>
      <c r="AI1028" t="str">
        <f>"66150.00"</f>
        <v>66150.00</v>
      </c>
      <c r="AJ1028" t="str">
        <f>"C55-000-587-1992-3"</f>
        <v>C55-000-587-1992-3</v>
      </c>
      <c r="AK1028" t="str">
        <f>"15708"</f>
        <v>15708</v>
      </c>
      <c r="AL1028">
        <v>4</v>
      </c>
      <c r="AM1028">
        <v>1179</v>
      </c>
      <c r="AN1028">
        <v>1063.1500000000001</v>
      </c>
      <c r="AQ1028" t="s">
        <v>10580</v>
      </c>
      <c r="AR1028" t="s">
        <v>10580</v>
      </c>
      <c r="AS1028" t="s">
        <v>10580</v>
      </c>
      <c r="AU1028" t="s">
        <v>396</v>
      </c>
      <c r="AV1028">
        <v>2017</v>
      </c>
      <c r="AW1028" t="str">
        <f>"18-4N-25-0000-0005-0000 "</f>
        <v xml:space="preserve">18-4N-25-0000-0005-0000 </v>
      </c>
      <c r="AX1028">
        <v>4891</v>
      </c>
      <c r="AZ1028" t="s">
        <v>10581</v>
      </c>
      <c r="BA1028" t="s">
        <v>496</v>
      </c>
      <c r="BD1028" t="s">
        <v>398</v>
      </c>
      <c r="BE1028" t="s">
        <v>393</v>
      </c>
      <c r="BF1028">
        <v>32046</v>
      </c>
      <c r="BG1028" t="s">
        <v>10582</v>
      </c>
      <c r="BH1028" t="s">
        <v>400</v>
      </c>
      <c r="BI1028">
        <v>-81.848039993070799</v>
      </c>
      <c r="BJ1028">
        <v>30.764328997885102</v>
      </c>
      <c r="BK1028" t="s">
        <v>10583</v>
      </c>
      <c r="BL1028" t="s">
        <v>10584</v>
      </c>
      <c r="BM1028" t="s">
        <v>10585</v>
      </c>
      <c r="BN1028" t="s">
        <v>403</v>
      </c>
      <c r="BO1028">
        <v>32046</v>
      </c>
      <c r="BP1028" t="s">
        <v>416</v>
      </c>
      <c r="BQ1028">
        <v>100</v>
      </c>
      <c r="BR1028" t="s">
        <v>514</v>
      </c>
      <c r="BS1028">
        <v>1001</v>
      </c>
      <c r="BT1028" t="s">
        <v>515</v>
      </c>
      <c r="BW1028">
        <v>457380</v>
      </c>
      <c r="BX1028" t="s">
        <v>407</v>
      </c>
      <c r="BY1028" t="s">
        <v>408</v>
      </c>
      <c r="BZ1028">
        <v>4</v>
      </c>
      <c r="CA1028">
        <v>1971</v>
      </c>
      <c r="CB1028">
        <v>1</v>
      </c>
      <c r="CC1028">
        <v>2</v>
      </c>
      <c r="CD1028">
        <v>2017</v>
      </c>
      <c r="CG1028">
        <v>87980</v>
      </c>
      <c r="CH1028">
        <v>2017</v>
      </c>
      <c r="CI1028">
        <v>66150</v>
      </c>
      <c r="CJ1028">
        <v>32031</v>
      </c>
      <c r="CK1028">
        <v>98181</v>
      </c>
      <c r="CL1028">
        <v>2017</v>
      </c>
      <c r="CM1028">
        <v>953.45</v>
      </c>
      <c r="CN1028" s="1">
        <v>35802</v>
      </c>
      <c r="CZ1028" s="1">
        <v>35802</v>
      </c>
      <c r="DD1028" t="s">
        <v>398</v>
      </c>
      <c r="DG1028">
        <v>18</v>
      </c>
      <c r="DL1028">
        <v>50400</v>
      </c>
      <c r="DM1028" t="s">
        <v>10586</v>
      </c>
      <c r="DO1028" t="s">
        <v>10587</v>
      </c>
      <c r="DP1028">
        <v>0</v>
      </c>
      <c r="DQ1028">
        <v>0</v>
      </c>
      <c r="DR1028" t="s">
        <v>411</v>
      </c>
      <c r="DS1028" t="b">
        <v>1</v>
      </c>
      <c r="DT1028" t="s">
        <v>396</v>
      </c>
      <c r="DV1028" t="s">
        <v>446</v>
      </c>
      <c r="DX1028">
        <v>-9999</v>
      </c>
      <c r="DZ1028" t="s">
        <v>447</v>
      </c>
      <c r="EA1028" t="s">
        <v>448</v>
      </c>
      <c r="EB1028" t="s">
        <v>449</v>
      </c>
      <c r="EC1028">
        <v>20101217</v>
      </c>
      <c r="ED1028" t="s">
        <v>450</v>
      </c>
      <c r="EE1028">
        <v>8</v>
      </c>
      <c r="EF1028">
        <v>0</v>
      </c>
      <c r="EG1028">
        <v>0</v>
      </c>
      <c r="EI1028">
        <v>20160407</v>
      </c>
      <c r="EJ1028">
        <v>0</v>
      </c>
      <c r="EK1028">
        <v>0</v>
      </c>
      <c r="EP1028" t="s">
        <v>421</v>
      </c>
      <c r="EQ1028" t="s">
        <v>422</v>
      </c>
      <c r="ER1028">
        <v>0</v>
      </c>
      <c r="ES1028">
        <v>7</v>
      </c>
      <c r="ET1028">
        <v>0</v>
      </c>
      <c r="EU1028">
        <v>0</v>
      </c>
      <c r="EV1028">
        <v>0</v>
      </c>
      <c r="EW1028" s="2">
        <v>43222</v>
      </c>
      <c r="EX1028" s="1">
        <v>42879</v>
      </c>
      <c r="EY1028">
        <v>2016</v>
      </c>
      <c r="EZ1028">
        <v>986.77</v>
      </c>
      <c r="FA1028" t="s">
        <v>10588</v>
      </c>
      <c r="FB1028">
        <v>0.25</v>
      </c>
      <c r="FC1028" t="s">
        <v>424</v>
      </c>
      <c r="FD1028" t="s">
        <v>425</v>
      </c>
      <c r="FE1028" s="1">
        <v>42929</v>
      </c>
      <c r="FF1028">
        <v>2</v>
      </c>
      <c r="FG1028">
        <v>2851116</v>
      </c>
      <c r="FH1028" t="s">
        <v>480</v>
      </c>
      <c r="FJ1028" s="1">
        <v>42879</v>
      </c>
      <c r="FK1028">
        <v>2016</v>
      </c>
      <c r="FL1028">
        <v>986.77</v>
      </c>
      <c r="FM1028" t="s">
        <v>10588</v>
      </c>
      <c r="FN1028">
        <v>0.25</v>
      </c>
      <c r="FO1028" t="s">
        <v>424</v>
      </c>
      <c r="FP1028" t="s">
        <v>425</v>
      </c>
      <c r="FR1028">
        <v>22</v>
      </c>
      <c r="FS1028">
        <v>5228802</v>
      </c>
      <c r="FT1028" t="s">
        <v>10589</v>
      </c>
      <c r="FV1028" s="1">
        <v>42515</v>
      </c>
      <c r="FW1028">
        <v>2015</v>
      </c>
      <c r="FX1028">
        <v>1031.53</v>
      </c>
      <c r="FY1028" t="s">
        <v>10590</v>
      </c>
      <c r="FZ1028">
        <v>0.25</v>
      </c>
      <c r="GA1028" t="s">
        <v>424</v>
      </c>
      <c r="GB1028" t="s">
        <v>425</v>
      </c>
      <c r="GC1028" s="1">
        <v>42543</v>
      </c>
      <c r="GD1028">
        <v>1</v>
      </c>
      <c r="GE1028">
        <v>7045074</v>
      </c>
      <c r="GF1028" t="s">
        <v>580</v>
      </c>
      <c r="GH1028" s="1">
        <v>42515</v>
      </c>
      <c r="GI1028">
        <v>2015</v>
      </c>
      <c r="GJ1028">
        <v>1031.53</v>
      </c>
      <c r="GK1028" t="s">
        <v>10590</v>
      </c>
      <c r="GL1028">
        <v>0.25</v>
      </c>
      <c r="GM1028" t="s">
        <v>424</v>
      </c>
      <c r="GN1028" t="s">
        <v>425</v>
      </c>
      <c r="GP1028">
        <v>22</v>
      </c>
      <c r="GQ1028">
        <v>6359862</v>
      </c>
      <c r="GR1028" t="s">
        <v>10591</v>
      </c>
      <c r="GT1028" s="1">
        <v>42151</v>
      </c>
      <c r="GU1028">
        <v>2014</v>
      </c>
      <c r="GV1028">
        <v>950.48</v>
      </c>
      <c r="GW1028" t="s">
        <v>10592</v>
      </c>
      <c r="GX1028">
        <v>0.25</v>
      </c>
      <c r="GY1028" t="s">
        <v>424</v>
      </c>
      <c r="GZ1028" t="s">
        <v>425</v>
      </c>
      <c r="HA1028" s="1">
        <v>42202</v>
      </c>
      <c r="HB1028">
        <v>2</v>
      </c>
      <c r="HC1028">
        <v>2851116</v>
      </c>
      <c r="HD1028" t="s">
        <v>480</v>
      </c>
      <c r="HF1028" s="1">
        <v>42151</v>
      </c>
      <c r="HG1028">
        <v>2014</v>
      </c>
      <c r="HH1028">
        <v>950.48</v>
      </c>
      <c r="HI1028" t="s">
        <v>10592</v>
      </c>
      <c r="HJ1028">
        <v>0.25</v>
      </c>
      <c r="HK1028" t="s">
        <v>424</v>
      </c>
      <c r="HL1028" t="s">
        <v>425</v>
      </c>
      <c r="HN1028">
        <v>22</v>
      </c>
      <c r="HO1028">
        <v>5059383</v>
      </c>
      <c r="HP1028" t="s">
        <v>10593</v>
      </c>
      <c r="HR1028" s="1">
        <v>41787</v>
      </c>
      <c r="HS1028">
        <v>2013</v>
      </c>
      <c r="HT1028">
        <v>1033.21</v>
      </c>
      <c r="HU1028" t="s">
        <v>10594</v>
      </c>
      <c r="HV1028">
        <v>0.25</v>
      </c>
      <c r="HW1028" t="s">
        <v>424</v>
      </c>
      <c r="HX1028" t="s">
        <v>425</v>
      </c>
      <c r="HY1028" s="1">
        <v>41964</v>
      </c>
      <c r="HZ1028">
        <v>6</v>
      </c>
      <c r="IA1028">
        <v>15259</v>
      </c>
      <c r="IB1028" t="s">
        <v>891</v>
      </c>
    </row>
    <row r="1029" spans="1:284" x14ac:dyDescent="0.25">
      <c r="A1029">
        <v>16486036</v>
      </c>
      <c r="B1029">
        <v>1028</v>
      </c>
      <c r="C1029" t="s">
        <v>393</v>
      </c>
      <c r="D1029" t="s">
        <v>394</v>
      </c>
      <c r="F1029" t="str">
        <f>"18-4N-25-0000-0005-0040"</f>
        <v>18-4N-25-0000-0005-0040</v>
      </c>
      <c r="H1029" t="str">
        <f>"HOGAN ROGER H &amp; ROBIN A"</f>
        <v>HOGAN ROGER H &amp; ROBIN A</v>
      </c>
      <c r="I1029" t="str">
        <f>"48050 ROBINS NEST WAY"</f>
        <v>48050 ROBINS NEST WAY</v>
      </c>
      <c r="J1029" t="str">
        <f>"HILLIARD FL 32046"</f>
        <v>HILLIARD FL 32046</v>
      </c>
      <c r="K1029" t="str">
        <f>"48050 ROBINS NEST WAY"</f>
        <v>48050 ROBINS NEST WAY</v>
      </c>
      <c r="L1029" t="str">
        <f t="shared" si="336"/>
        <v>HILLIARD FL 32046</v>
      </c>
      <c r="M1029" t="str">
        <f>"PT OF NE1/4 OF SW1/4 IN OR 1199/571 R433611 &amp; R433612 PARCELS 5-4 &amp; 5-5"</f>
        <v>PT OF NE1/4 OF SW1/4 IN OR 1199/571 R433611 &amp; R433612 PARCELS 5-4 &amp; 5-5</v>
      </c>
      <c r="N1029" t="str">
        <f>""</f>
        <v/>
      </c>
      <c r="O1029" t="str">
        <f>"32498"</f>
        <v>32498</v>
      </c>
      <c r="P1029" t="str">
        <f t="shared" si="334"/>
        <v>2017</v>
      </c>
      <c r="Q1029" t="str">
        <f>""</f>
        <v/>
      </c>
      <c r="R1029" t="str">
        <f>"N"</f>
        <v>N</v>
      </c>
      <c r="S1029" t="str">
        <f>"4.50"</f>
        <v>4.50</v>
      </c>
      <c r="T1029" t="str">
        <f>"867.87"</f>
        <v>867.87</v>
      </c>
      <c r="U1029" t="str">
        <f>"55391.00"</f>
        <v>55391.00</v>
      </c>
      <c r="V1029" t="str">
        <f>"55391.00"</f>
        <v>55391.00</v>
      </c>
      <c r="W1029" t="str">
        <f t="shared" si="335"/>
        <v>2017</v>
      </c>
      <c r="X1029" t="str">
        <f>"18.89"</f>
        <v>18.89</v>
      </c>
      <c r="Y1029" t="str">
        <f>"925.91"</f>
        <v>925.91</v>
      </c>
      <c r="Z1029" t="str">
        <f>""</f>
        <v/>
      </c>
      <c r="AA1029" t="str">
        <f>"59835.00"</f>
        <v>59835.00</v>
      </c>
      <c r="AB1029" t="str">
        <f t="shared" si="326"/>
        <v>Residential</v>
      </c>
      <c r="AC1029" t="str">
        <f t="shared" si="323"/>
        <v>0</v>
      </c>
      <c r="AD1029" t="str">
        <f t="shared" si="332"/>
        <v>4</v>
      </c>
      <c r="AE1029" t="str">
        <f t="shared" si="333"/>
        <v>WOOD (INCLUDE STEEL STUDS)</v>
      </c>
      <c r="AF1029" t="str">
        <f>"002"</f>
        <v>002</v>
      </c>
      <c r="AG1029" t="str">
        <f t="shared" si="324"/>
        <v>FL</v>
      </c>
      <c r="AH1029" t="str">
        <f>"196020.00"</f>
        <v>196020.00</v>
      </c>
      <c r="AI1029" t="str">
        <f>"37800.00"</f>
        <v>37800.00</v>
      </c>
      <c r="AJ1029" t="str">
        <f>"C55-000-587-1995-6"</f>
        <v>C55-000-587-1995-6</v>
      </c>
      <c r="AK1029" t="str">
        <f>"15710"</f>
        <v>15710</v>
      </c>
      <c r="AL1029">
        <v>4</v>
      </c>
      <c r="AM1029">
        <v>1180</v>
      </c>
      <c r="AN1029">
        <v>970.61</v>
      </c>
      <c r="AQ1029" t="s">
        <v>10595</v>
      </c>
      <c r="AR1029" t="s">
        <v>10595</v>
      </c>
      <c r="AS1029" t="s">
        <v>10595</v>
      </c>
      <c r="AU1029" t="s">
        <v>396</v>
      </c>
      <c r="AV1029">
        <v>2017</v>
      </c>
      <c r="AW1029" t="str">
        <f>"18-4N-25-0000-0005-0040 "</f>
        <v xml:space="preserve">18-4N-25-0000-0005-0040 </v>
      </c>
      <c r="AX1029">
        <v>48050</v>
      </c>
      <c r="AZ1029" t="s">
        <v>10596</v>
      </c>
      <c r="BA1029" t="s">
        <v>866</v>
      </c>
      <c r="BD1029" t="s">
        <v>398</v>
      </c>
      <c r="BE1029" t="s">
        <v>393</v>
      </c>
      <c r="BF1029">
        <v>32046</v>
      </c>
      <c r="BG1029" t="s">
        <v>10597</v>
      </c>
      <c r="BH1029" t="s">
        <v>400</v>
      </c>
      <c r="BI1029">
        <v>-81.848986540622604</v>
      </c>
      <c r="BJ1029">
        <v>30.763383414037801</v>
      </c>
      <c r="BK1029" t="s">
        <v>10598</v>
      </c>
      <c r="BL1029" t="s">
        <v>10599</v>
      </c>
      <c r="BM1029" t="s">
        <v>10597</v>
      </c>
      <c r="BN1029" t="s">
        <v>403</v>
      </c>
      <c r="BO1029">
        <v>32046</v>
      </c>
      <c r="BP1029" t="s">
        <v>416</v>
      </c>
      <c r="BQ1029">
        <v>200</v>
      </c>
      <c r="BR1029" t="s">
        <v>405</v>
      </c>
      <c r="BS1029">
        <v>1006</v>
      </c>
      <c r="BT1029" t="s">
        <v>406</v>
      </c>
      <c r="BW1029">
        <v>196020</v>
      </c>
      <c r="BX1029" t="s">
        <v>407</v>
      </c>
      <c r="BY1029" t="s">
        <v>408</v>
      </c>
      <c r="BZ1029">
        <v>4</v>
      </c>
      <c r="CA1029">
        <v>1987</v>
      </c>
      <c r="CB1029">
        <v>1</v>
      </c>
      <c r="CC1029">
        <v>1</v>
      </c>
      <c r="CD1029">
        <v>2017</v>
      </c>
      <c r="CE1029">
        <v>37800</v>
      </c>
      <c r="CF1029">
        <v>22035</v>
      </c>
      <c r="CG1029">
        <v>59835</v>
      </c>
      <c r="CH1029">
        <v>2017</v>
      </c>
      <c r="CI1029">
        <v>37800</v>
      </c>
      <c r="CJ1029">
        <v>22035</v>
      </c>
      <c r="CK1029">
        <v>59835</v>
      </c>
      <c r="CL1029">
        <v>2017</v>
      </c>
      <c r="CM1029">
        <v>867.87</v>
      </c>
      <c r="CN1029" s="1">
        <v>37988</v>
      </c>
      <c r="CZ1029" s="1">
        <v>37988</v>
      </c>
      <c r="DD1029" t="s">
        <v>398</v>
      </c>
      <c r="DG1029">
        <v>18</v>
      </c>
      <c r="DL1029">
        <v>50400</v>
      </c>
      <c r="DM1029" t="s">
        <v>10586</v>
      </c>
      <c r="DO1029" t="s">
        <v>10600</v>
      </c>
      <c r="DP1029">
        <v>0</v>
      </c>
      <c r="DQ1029">
        <v>0</v>
      </c>
      <c r="DR1029" t="s">
        <v>411</v>
      </c>
      <c r="DS1029" t="b">
        <v>1</v>
      </c>
      <c r="DT1029" t="s">
        <v>396</v>
      </c>
      <c r="DV1029" t="s">
        <v>446</v>
      </c>
      <c r="DX1029">
        <v>-9999</v>
      </c>
      <c r="DZ1029" t="s">
        <v>447</v>
      </c>
      <c r="EA1029" t="s">
        <v>448</v>
      </c>
      <c r="EB1029" t="s">
        <v>449</v>
      </c>
      <c r="EC1029">
        <v>20101217</v>
      </c>
      <c r="ED1029" t="s">
        <v>450</v>
      </c>
      <c r="EE1029">
        <v>7.9</v>
      </c>
      <c r="EF1029">
        <v>0</v>
      </c>
      <c r="EG1029">
        <v>0</v>
      </c>
      <c r="EI1029">
        <v>20160407</v>
      </c>
      <c r="EJ1029">
        <v>0</v>
      </c>
      <c r="EK1029">
        <v>0</v>
      </c>
      <c r="EP1029" t="s">
        <v>421</v>
      </c>
      <c r="EQ1029" t="s">
        <v>422</v>
      </c>
      <c r="ER1029">
        <v>2</v>
      </c>
      <c r="ES1029">
        <v>8</v>
      </c>
      <c r="ET1029">
        <v>1725.98</v>
      </c>
      <c r="EU1029">
        <v>98.8</v>
      </c>
      <c r="EV1029">
        <v>1824.78</v>
      </c>
      <c r="EW1029" s="2">
        <v>43222</v>
      </c>
      <c r="EX1029" s="1">
        <v>42879</v>
      </c>
      <c r="EY1029">
        <v>2016</v>
      </c>
      <c r="EZ1029">
        <v>862.99</v>
      </c>
      <c r="FA1029" t="s">
        <v>10601</v>
      </c>
      <c r="FB1029">
        <v>0.25</v>
      </c>
      <c r="FC1029" t="s">
        <v>424</v>
      </c>
      <c r="FD1029" t="s">
        <v>454</v>
      </c>
      <c r="FF1029">
        <v>12</v>
      </c>
      <c r="FG1029">
        <v>2851116</v>
      </c>
      <c r="FH1029" t="s">
        <v>480</v>
      </c>
      <c r="FJ1029" s="1">
        <v>42879</v>
      </c>
      <c r="FK1029">
        <v>2016</v>
      </c>
      <c r="FL1029">
        <v>862.99</v>
      </c>
      <c r="FM1029" t="s">
        <v>10601</v>
      </c>
      <c r="FN1029">
        <v>0.25</v>
      </c>
      <c r="FO1029" t="s">
        <v>424</v>
      </c>
      <c r="FP1029" t="s">
        <v>454</v>
      </c>
      <c r="FR1029">
        <v>12</v>
      </c>
      <c r="FS1029">
        <v>5023762</v>
      </c>
      <c r="FT1029" t="s">
        <v>10602</v>
      </c>
      <c r="FV1029" s="1">
        <v>42515</v>
      </c>
      <c r="FW1029">
        <v>2015</v>
      </c>
      <c r="FX1029">
        <v>937.74</v>
      </c>
      <c r="FY1029" t="s">
        <v>10603</v>
      </c>
      <c r="FZ1029">
        <v>0.25</v>
      </c>
      <c r="GA1029" t="s">
        <v>424</v>
      </c>
      <c r="GB1029" t="s">
        <v>425</v>
      </c>
      <c r="GC1029" s="1">
        <v>43164</v>
      </c>
      <c r="GD1029">
        <v>22</v>
      </c>
      <c r="GE1029">
        <v>2851116</v>
      </c>
      <c r="GF1029" t="s">
        <v>480</v>
      </c>
      <c r="GH1029" s="1">
        <v>42515</v>
      </c>
      <c r="GI1029">
        <v>2015</v>
      </c>
      <c r="GJ1029">
        <v>937.74</v>
      </c>
      <c r="GK1029" t="s">
        <v>10603</v>
      </c>
      <c r="GL1029">
        <v>0.25</v>
      </c>
      <c r="GM1029" t="s">
        <v>424</v>
      </c>
      <c r="GN1029" t="s">
        <v>425</v>
      </c>
      <c r="GP1029">
        <v>22</v>
      </c>
      <c r="GQ1029">
        <v>5369564</v>
      </c>
      <c r="GR1029" t="s">
        <v>10604</v>
      </c>
      <c r="GT1029" s="1">
        <v>42151</v>
      </c>
      <c r="GU1029">
        <v>2014</v>
      </c>
      <c r="GV1029">
        <v>821.42</v>
      </c>
      <c r="GW1029" t="s">
        <v>10605</v>
      </c>
      <c r="GX1029">
        <v>0.25</v>
      </c>
      <c r="GY1029" t="s">
        <v>424</v>
      </c>
      <c r="GZ1029" t="s">
        <v>425</v>
      </c>
      <c r="HA1029" s="1">
        <v>42807</v>
      </c>
      <c r="HB1029">
        <v>22</v>
      </c>
      <c r="HC1029">
        <v>2851116</v>
      </c>
      <c r="HD1029" t="s">
        <v>480</v>
      </c>
      <c r="HF1029" s="1">
        <v>42151</v>
      </c>
      <c r="HG1029">
        <v>2014</v>
      </c>
      <c r="HH1029">
        <v>821.42</v>
      </c>
      <c r="HI1029" t="s">
        <v>10605</v>
      </c>
      <c r="HJ1029">
        <v>0.25</v>
      </c>
      <c r="HK1029" t="s">
        <v>424</v>
      </c>
      <c r="HL1029" t="s">
        <v>425</v>
      </c>
      <c r="HN1029">
        <v>22</v>
      </c>
      <c r="HO1029">
        <v>5047067</v>
      </c>
      <c r="HP1029" t="s">
        <v>10606</v>
      </c>
      <c r="HR1029" s="1">
        <v>41787</v>
      </c>
      <c r="HS1029">
        <v>2013</v>
      </c>
      <c r="HT1029">
        <v>968.61</v>
      </c>
      <c r="HU1029" t="s">
        <v>10607</v>
      </c>
      <c r="HV1029">
        <v>0.25</v>
      </c>
      <c r="HW1029" t="s">
        <v>424</v>
      </c>
      <c r="HX1029" t="s">
        <v>425</v>
      </c>
      <c r="HY1029" s="1">
        <v>42437</v>
      </c>
      <c r="HZ1029">
        <v>22</v>
      </c>
      <c r="IA1029">
        <v>2407503</v>
      </c>
      <c r="IB1029" t="s">
        <v>461</v>
      </c>
      <c r="ID1029" s="1">
        <v>41423</v>
      </c>
      <c r="IE1029">
        <v>2012</v>
      </c>
      <c r="IF1029">
        <v>1154.28</v>
      </c>
      <c r="IG1029" t="s">
        <v>10608</v>
      </c>
      <c r="IH1029">
        <v>0.25</v>
      </c>
      <c r="II1029" t="s">
        <v>424</v>
      </c>
      <c r="IJ1029" t="s">
        <v>425</v>
      </c>
      <c r="IK1029" s="1">
        <v>42067</v>
      </c>
      <c r="IL1029">
        <v>22</v>
      </c>
      <c r="IM1029">
        <v>606981</v>
      </c>
      <c r="IN1029" t="s">
        <v>792</v>
      </c>
      <c r="IP1029" s="1">
        <v>41052</v>
      </c>
      <c r="IQ1029">
        <v>2011</v>
      </c>
      <c r="IR1029">
        <v>1224.3599999999999</v>
      </c>
      <c r="IS1029" t="s">
        <v>10609</v>
      </c>
      <c r="IT1029">
        <v>5.75</v>
      </c>
      <c r="IU1029" t="s">
        <v>424</v>
      </c>
      <c r="IV1029" t="s">
        <v>425</v>
      </c>
      <c r="IW1029" s="1">
        <v>41684</v>
      </c>
      <c r="IX1029">
        <v>21</v>
      </c>
      <c r="IY1029">
        <v>10125</v>
      </c>
      <c r="IZ1029" t="s">
        <v>440</v>
      </c>
      <c r="JB1029" s="1">
        <v>40688</v>
      </c>
      <c r="JC1029">
        <v>2010</v>
      </c>
      <c r="JD1029">
        <v>1223.49</v>
      </c>
      <c r="JE1029" t="s">
        <v>10610</v>
      </c>
      <c r="JF1029">
        <v>6.75</v>
      </c>
      <c r="JG1029" t="s">
        <v>424</v>
      </c>
      <c r="JH1029" t="s">
        <v>425</v>
      </c>
      <c r="JI1029" s="1">
        <v>41331</v>
      </c>
      <c r="JJ1029">
        <v>21</v>
      </c>
      <c r="JK1029">
        <v>105</v>
      </c>
      <c r="JL1029" t="s">
        <v>946</v>
      </c>
    </row>
    <row r="1030" spans="1:284" x14ac:dyDescent="0.25">
      <c r="A1030">
        <v>16486037</v>
      </c>
      <c r="B1030">
        <v>1029</v>
      </c>
      <c r="C1030" t="s">
        <v>393</v>
      </c>
      <c r="D1030" t="s">
        <v>394</v>
      </c>
      <c r="F1030" t="str">
        <f>"18-4N-25-0000-0007-0080"</f>
        <v>18-4N-25-0000-0007-0080</v>
      </c>
      <c r="H1030" t="str">
        <f>"YOUNG VIRGINIA E &amp; WILSON AUSTIN L"</f>
        <v>YOUNG VIRGINIA E &amp; WILSON AUSTIN L</v>
      </c>
      <c r="I1030" t="str">
        <f>"376175 KINGS FERRY RD"</f>
        <v>376175 KINGS FERRY RD</v>
      </c>
      <c r="J1030" t="str">
        <f>"HILLIARD FL 32046"</f>
        <v>HILLIARD FL 32046</v>
      </c>
      <c r="K1030" t="str">
        <f>"376175 KINGS FERRY RD"</f>
        <v>376175 KINGS FERRY RD</v>
      </c>
      <c r="L1030" t="str">
        <f t="shared" si="336"/>
        <v>HILLIARD FL 32046</v>
      </c>
      <c r="M1030" t="str">
        <f>"IN OR 1098/127 &amp; OR 1943/894 R621559 &amp; R621560"</f>
        <v>IN OR 1098/127 &amp; OR 1943/894 R621559 &amp; R621560</v>
      </c>
      <c r="N1030" t="str">
        <f>""</f>
        <v/>
      </c>
      <c r="O1030" t="str">
        <f>"32507"</f>
        <v>32507</v>
      </c>
      <c r="P1030" t="str">
        <f t="shared" si="334"/>
        <v>2017</v>
      </c>
      <c r="Q1030" t="str">
        <f>""</f>
        <v/>
      </c>
      <c r="R1030" t="str">
        <f>"Y"</f>
        <v>Y</v>
      </c>
      <c r="S1030" t="str">
        <f>"2.98"</f>
        <v>2.98</v>
      </c>
      <c r="T1030" t="str">
        <f>"492.47"</f>
        <v>492.47</v>
      </c>
      <c r="U1030" t="str">
        <f>"57530.00"</f>
        <v>57530.00</v>
      </c>
      <c r="V1030" t="str">
        <f>"57530.00"</f>
        <v>57530.00</v>
      </c>
      <c r="W1030" t="str">
        <f t="shared" si="335"/>
        <v>2017</v>
      </c>
      <c r="X1030" t="str">
        <f>"16.70"</f>
        <v>16.70</v>
      </c>
      <c r="Y1030" t="str">
        <f>"539.24"</f>
        <v>539.24</v>
      </c>
      <c r="Z1030" t="str">
        <f>"25000.00"</f>
        <v>25000.00</v>
      </c>
      <c r="AA1030" t="str">
        <f>"32530.00"</f>
        <v>32530.00</v>
      </c>
      <c r="AB1030" t="str">
        <f t="shared" si="326"/>
        <v>Residential</v>
      </c>
      <c r="AC1030" t="str">
        <f t="shared" si="323"/>
        <v>0</v>
      </c>
      <c r="AD1030" t="str">
        <f t="shared" si="332"/>
        <v>4</v>
      </c>
      <c r="AE1030" t="str">
        <f t="shared" si="333"/>
        <v>WOOD (INCLUDE STEEL STUDS)</v>
      </c>
      <c r="AF1030" t="str">
        <f>"002"</f>
        <v>002</v>
      </c>
      <c r="AG1030" t="str">
        <f t="shared" si="324"/>
        <v>FL</v>
      </c>
      <c r="AH1030" t="str">
        <f>"129808.00"</f>
        <v>129808.00</v>
      </c>
      <c r="AI1030" t="str">
        <f>"37548.00"</f>
        <v>37548.00</v>
      </c>
      <c r="AJ1030" t="str">
        <f>"C55-000-587-2004-6"</f>
        <v>C55-000-587-2004-6</v>
      </c>
      <c r="AK1030" t="str">
        <f>"15717"</f>
        <v>15717</v>
      </c>
      <c r="AL1030">
        <v>4</v>
      </c>
      <c r="AM1030">
        <v>1181</v>
      </c>
      <c r="AN1030">
        <v>564.6</v>
      </c>
      <c r="AQ1030" t="s">
        <v>10611</v>
      </c>
      <c r="AR1030" t="s">
        <v>10611</v>
      </c>
      <c r="AS1030" t="s">
        <v>10611</v>
      </c>
      <c r="AU1030" t="s">
        <v>396</v>
      </c>
      <c r="AV1030">
        <v>2017</v>
      </c>
      <c r="AW1030" t="str">
        <f>"18-4N-25-0000-0007-0080 "</f>
        <v xml:space="preserve">18-4N-25-0000-0007-0080 </v>
      </c>
      <c r="AX1030">
        <v>376175</v>
      </c>
      <c r="AZ1030" t="s">
        <v>4186</v>
      </c>
      <c r="BA1030" t="s">
        <v>496</v>
      </c>
      <c r="BD1030" t="s">
        <v>398</v>
      </c>
      <c r="BE1030" t="s">
        <v>393</v>
      </c>
      <c r="BF1030">
        <v>32046</v>
      </c>
      <c r="BG1030" t="s">
        <v>10612</v>
      </c>
      <c r="BH1030" t="s">
        <v>400</v>
      </c>
      <c r="BI1030">
        <v>-81.850183632531696</v>
      </c>
      <c r="BJ1030">
        <v>30.761008502176299</v>
      </c>
      <c r="BK1030" t="s">
        <v>10613</v>
      </c>
      <c r="BL1030" t="s">
        <v>10614</v>
      </c>
      <c r="BM1030" t="s">
        <v>10612</v>
      </c>
      <c r="BN1030" t="s">
        <v>403</v>
      </c>
      <c r="BO1030">
        <v>32046</v>
      </c>
      <c r="BP1030" t="s">
        <v>416</v>
      </c>
      <c r="BQ1030">
        <v>200</v>
      </c>
      <c r="BR1030" t="s">
        <v>405</v>
      </c>
      <c r="BS1030">
        <v>1006</v>
      </c>
      <c r="BT1030" t="s">
        <v>406</v>
      </c>
      <c r="BW1030">
        <v>129808</v>
      </c>
      <c r="BX1030" t="s">
        <v>407</v>
      </c>
      <c r="BY1030" t="s">
        <v>408</v>
      </c>
      <c r="BZ1030">
        <v>4</v>
      </c>
      <c r="CA1030">
        <v>1984</v>
      </c>
      <c r="CB1030">
        <v>1</v>
      </c>
      <c r="CC1030">
        <v>1</v>
      </c>
      <c r="CD1030">
        <v>2017</v>
      </c>
      <c r="CG1030">
        <v>57530</v>
      </c>
      <c r="CH1030">
        <v>2017</v>
      </c>
      <c r="CI1030">
        <v>37548</v>
      </c>
      <c r="CJ1030">
        <v>20759</v>
      </c>
      <c r="CK1030">
        <v>58307</v>
      </c>
      <c r="CL1030">
        <v>2017</v>
      </c>
      <c r="CM1030">
        <v>492.47</v>
      </c>
      <c r="CN1030" s="1">
        <v>41885</v>
      </c>
      <c r="CZ1030" s="1">
        <v>41885</v>
      </c>
      <c r="DD1030" t="s">
        <v>398</v>
      </c>
      <c r="DG1030">
        <v>18</v>
      </c>
      <c r="DL1030">
        <v>50400</v>
      </c>
      <c r="DM1030" t="s">
        <v>10586</v>
      </c>
      <c r="DO1030" t="s">
        <v>10615</v>
      </c>
      <c r="DP1030">
        <v>0</v>
      </c>
      <c r="DQ1030">
        <v>0</v>
      </c>
      <c r="DR1030" t="s">
        <v>411</v>
      </c>
      <c r="DS1030" t="b">
        <v>1</v>
      </c>
      <c r="DT1030" t="s">
        <v>470</v>
      </c>
      <c r="DU1030" t="s">
        <v>471</v>
      </c>
      <c r="DV1030" t="s">
        <v>472</v>
      </c>
      <c r="DX1030">
        <v>-9999</v>
      </c>
      <c r="DZ1030" t="s">
        <v>447</v>
      </c>
      <c r="EA1030" t="s">
        <v>448</v>
      </c>
      <c r="EB1030" t="s">
        <v>10616</v>
      </c>
      <c r="EC1030">
        <v>20101217</v>
      </c>
      <c r="ED1030" t="s">
        <v>474</v>
      </c>
      <c r="EF1030">
        <v>16.100000000000001</v>
      </c>
      <c r="EG1030">
        <v>16.100000000000001</v>
      </c>
      <c r="EI1030">
        <v>20160407</v>
      </c>
      <c r="EJ1030">
        <v>0</v>
      </c>
      <c r="EK1030">
        <v>0</v>
      </c>
      <c r="EP1030" t="s">
        <v>421</v>
      </c>
      <c r="EQ1030" t="s">
        <v>422</v>
      </c>
      <c r="ER1030">
        <v>2</v>
      </c>
      <c r="ES1030">
        <v>6</v>
      </c>
      <c r="ET1030">
        <v>1069.56</v>
      </c>
      <c r="EU1030">
        <v>65.98</v>
      </c>
      <c r="EV1030">
        <v>1135.54</v>
      </c>
      <c r="EW1030" s="2">
        <v>43222</v>
      </c>
      <c r="EX1030" s="1">
        <v>42879</v>
      </c>
      <c r="EY1030">
        <v>2016</v>
      </c>
      <c r="EZ1030">
        <v>534.78</v>
      </c>
      <c r="FA1030" t="s">
        <v>10617</v>
      </c>
      <c r="FB1030">
        <v>0.25</v>
      </c>
      <c r="FC1030" t="s">
        <v>424</v>
      </c>
      <c r="FD1030" t="s">
        <v>454</v>
      </c>
      <c r="FF1030">
        <v>12</v>
      </c>
      <c r="FG1030">
        <v>2851116</v>
      </c>
      <c r="FH1030" t="s">
        <v>480</v>
      </c>
      <c r="FJ1030" s="1">
        <v>42879</v>
      </c>
      <c r="FK1030">
        <v>2016</v>
      </c>
      <c r="FL1030">
        <v>534.78</v>
      </c>
      <c r="FM1030" t="s">
        <v>10617</v>
      </c>
      <c r="FN1030">
        <v>0.25</v>
      </c>
      <c r="FO1030" t="s">
        <v>424</v>
      </c>
      <c r="FP1030" t="s">
        <v>454</v>
      </c>
      <c r="FR1030">
        <v>12</v>
      </c>
      <c r="FS1030">
        <v>5428087</v>
      </c>
      <c r="FT1030" t="s">
        <v>10618</v>
      </c>
      <c r="FV1030" s="1">
        <v>42515</v>
      </c>
      <c r="FW1030">
        <v>2015</v>
      </c>
      <c r="FX1030">
        <v>574.92999999999995</v>
      </c>
      <c r="FY1030" t="s">
        <v>10619</v>
      </c>
      <c r="FZ1030">
        <v>0.25</v>
      </c>
      <c r="GA1030" t="s">
        <v>424</v>
      </c>
      <c r="GB1030" t="s">
        <v>425</v>
      </c>
      <c r="GC1030" s="1">
        <v>42606</v>
      </c>
      <c r="GD1030">
        <v>3</v>
      </c>
      <c r="GE1030">
        <v>2851116</v>
      </c>
      <c r="GF1030" t="s">
        <v>480</v>
      </c>
      <c r="GH1030" s="1">
        <v>42515</v>
      </c>
      <c r="GI1030">
        <v>2015</v>
      </c>
      <c r="GJ1030">
        <v>574.92999999999995</v>
      </c>
      <c r="GK1030" t="s">
        <v>10619</v>
      </c>
      <c r="GL1030">
        <v>0.25</v>
      </c>
      <c r="GM1030" t="s">
        <v>424</v>
      </c>
      <c r="GN1030" t="s">
        <v>425</v>
      </c>
      <c r="GP1030">
        <v>22</v>
      </c>
      <c r="GQ1030">
        <v>5080357</v>
      </c>
      <c r="GR1030" t="s">
        <v>10620</v>
      </c>
      <c r="GT1030" s="1">
        <v>42151</v>
      </c>
      <c r="GU1030">
        <v>2014</v>
      </c>
      <c r="GV1030">
        <v>329.36</v>
      </c>
      <c r="GW1030" t="s">
        <v>10621</v>
      </c>
      <c r="GX1030">
        <v>0.25</v>
      </c>
      <c r="GY1030" t="s">
        <v>424</v>
      </c>
      <c r="GZ1030" t="s">
        <v>425</v>
      </c>
      <c r="HA1030" s="1">
        <v>42436</v>
      </c>
      <c r="HB1030">
        <v>10</v>
      </c>
      <c r="HC1030">
        <v>2851116</v>
      </c>
      <c r="HD1030" t="s">
        <v>480</v>
      </c>
      <c r="HF1030" s="1">
        <v>42151</v>
      </c>
      <c r="HG1030">
        <v>2014</v>
      </c>
      <c r="HH1030">
        <v>329.36</v>
      </c>
      <c r="HI1030" t="s">
        <v>10621</v>
      </c>
      <c r="HJ1030">
        <v>0.25</v>
      </c>
      <c r="HK1030" t="s">
        <v>424</v>
      </c>
      <c r="HL1030" t="s">
        <v>425</v>
      </c>
      <c r="HN1030">
        <v>22</v>
      </c>
      <c r="HO1030">
        <v>5383337</v>
      </c>
      <c r="HP1030" t="s">
        <v>10622</v>
      </c>
      <c r="HR1030" s="1">
        <v>41787</v>
      </c>
      <c r="HS1030">
        <v>2013</v>
      </c>
      <c r="HT1030">
        <v>459.55</v>
      </c>
      <c r="HU1030" t="s">
        <v>10623</v>
      </c>
      <c r="HV1030">
        <v>2.25</v>
      </c>
      <c r="HW1030" t="s">
        <v>424</v>
      </c>
      <c r="HX1030" t="s">
        <v>425</v>
      </c>
      <c r="HY1030" s="1">
        <v>42436</v>
      </c>
      <c r="HZ1030">
        <v>22</v>
      </c>
      <c r="IA1030">
        <v>15399</v>
      </c>
      <c r="IB1030" t="s">
        <v>485</v>
      </c>
      <c r="ID1030" s="1">
        <v>41423</v>
      </c>
      <c r="IE1030">
        <v>2012</v>
      </c>
      <c r="IF1030">
        <v>503.26</v>
      </c>
      <c r="IG1030" t="s">
        <v>10624</v>
      </c>
      <c r="IH1030">
        <v>0.25</v>
      </c>
      <c r="II1030" t="s">
        <v>424</v>
      </c>
      <c r="IJ1030" t="s">
        <v>425</v>
      </c>
      <c r="IK1030" s="1">
        <v>42045</v>
      </c>
      <c r="IL1030">
        <v>21</v>
      </c>
      <c r="IM1030">
        <v>15399</v>
      </c>
      <c r="IN1030" t="s">
        <v>485</v>
      </c>
    </row>
    <row r="1031" spans="1:284" x14ac:dyDescent="0.25">
      <c r="A1031">
        <v>16486038</v>
      </c>
      <c r="B1031">
        <v>1030</v>
      </c>
      <c r="C1031" t="s">
        <v>393</v>
      </c>
      <c r="D1031" t="s">
        <v>394</v>
      </c>
      <c r="F1031" t="str">
        <f>"19-4N-25-0000-0002-0070"</f>
        <v>19-4N-25-0000-0002-0070</v>
      </c>
      <c r="H1031" t="str">
        <f>"HULS JAMES &amp; HULS TONI S ET AL"</f>
        <v>HULS JAMES &amp; HULS TONI S ET AL</v>
      </c>
      <c r="I1031" t="str">
        <f>"156 SW CROSSBOW PL"</f>
        <v>156 SW CROSSBOW PL</v>
      </c>
      <c r="J1031" t="str">
        <f>"LAKE CITY FL 32024"</f>
        <v>LAKE CITY FL 32024</v>
      </c>
      <c r="K1031" t="str">
        <f>"48454 HADDOCK RD"</f>
        <v>48454 HADDOCK RD</v>
      </c>
      <c r="L1031" t="str">
        <f t="shared" si="336"/>
        <v>HILLIARD FL 32046</v>
      </c>
      <c r="M1031" t="str">
        <f>"IN OR 471/425 &amp; OR 2006/451 R235911 EX R/W OR 611/1165"</f>
        <v>IN OR 471/425 &amp; OR 2006/451 R235911 EX R/W OR 611/1165</v>
      </c>
      <c r="N1031" t="str">
        <f>""</f>
        <v/>
      </c>
      <c r="O1031" t="str">
        <f>"32998"</f>
        <v>32998</v>
      </c>
      <c r="P1031" t="str">
        <f t="shared" si="334"/>
        <v>2017</v>
      </c>
      <c r="Q1031" t="str">
        <f>""</f>
        <v/>
      </c>
      <c r="R1031" t="str">
        <f t="shared" ref="R1031:R1036" si="337">"N"</f>
        <v>N</v>
      </c>
      <c r="S1031" t="str">
        <f>"9.25"</f>
        <v>9.25</v>
      </c>
      <c r="T1031" t="str">
        <f>"976.05"</f>
        <v>976.05</v>
      </c>
      <c r="U1031" t="str">
        <f>"64474.00"</f>
        <v>64474.00</v>
      </c>
      <c r="V1031" t="str">
        <f>"64474.00"</f>
        <v>64474.00</v>
      </c>
      <c r="W1031" t="str">
        <f t="shared" si="335"/>
        <v>2017</v>
      </c>
      <c r="X1031" t="str">
        <f>"7.33"</f>
        <v>7.33</v>
      </c>
      <c r="Y1031" t="str">
        <f>"1037.33"</f>
        <v>1037.33</v>
      </c>
      <c r="Z1031" t="str">
        <f>""</f>
        <v/>
      </c>
      <c r="AA1031" t="str">
        <f>"64474.00"</f>
        <v>64474.00</v>
      </c>
      <c r="AB1031" t="str">
        <f t="shared" si="326"/>
        <v>Residential</v>
      </c>
      <c r="AC1031" t="str">
        <f t="shared" si="323"/>
        <v>0</v>
      </c>
      <c r="AD1031" t="str">
        <f t="shared" si="332"/>
        <v>4</v>
      </c>
      <c r="AE1031" t="str">
        <f t="shared" si="333"/>
        <v>WOOD (INCLUDE STEEL STUDS)</v>
      </c>
      <c r="AF1031" t="str">
        <f>"002"</f>
        <v>002</v>
      </c>
      <c r="AG1031" t="str">
        <f t="shared" si="324"/>
        <v>FL</v>
      </c>
      <c r="AH1031" t="str">
        <f>"402930.00"</f>
        <v>402930.00</v>
      </c>
      <c r="AI1031" t="str">
        <f>"58275.00"</f>
        <v>58275.00</v>
      </c>
      <c r="AJ1031" t="str">
        <f>"C55-000-587-2447-7"</f>
        <v>C55-000-587-2447-7</v>
      </c>
      <c r="AK1031" t="str">
        <f>"15741"</f>
        <v>15741</v>
      </c>
      <c r="AL1031">
        <v>4</v>
      </c>
      <c r="AM1031">
        <v>1182</v>
      </c>
      <c r="AN1031">
        <v>1087.5999999999999</v>
      </c>
      <c r="AQ1031" t="s">
        <v>10625</v>
      </c>
      <c r="AR1031" t="s">
        <v>10625</v>
      </c>
      <c r="AS1031" t="s">
        <v>10625</v>
      </c>
      <c r="AU1031" t="s">
        <v>396</v>
      </c>
      <c r="AV1031">
        <v>2017</v>
      </c>
      <c r="AW1031" t="str">
        <f>"19-4N-25-0000-0002-0070 "</f>
        <v xml:space="preserve">19-4N-25-0000-0002-0070 </v>
      </c>
      <c r="AX1031">
        <v>48454</v>
      </c>
      <c r="AZ1031" t="s">
        <v>10626</v>
      </c>
      <c r="BA1031" t="s">
        <v>496</v>
      </c>
      <c r="BD1031" t="s">
        <v>398</v>
      </c>
      <c r="BE1031" t="s">
        <v>393</v>
      </c>
      <c r="BF1031">
        <v>32046</v>
      </c>
      <c r="BG1031" t="s">
        <v>10627</v>
      </c>
      <c r="BH1031" t="s">
        <v>400</v>
      </c>
      <c r="BI1031">
        <v>-81.845172918964295</v>
      </c>
      <c r="BJ1031">
        <v>30.758263103752999</v>
      </c>
      <c r="BK1031" t="s">
        <v>10628</v>
      </c>
      <c r="BL1031" t="s">
        <v>10629</v>
      </c>
      <c r="BM1031" t="s">
        <v>10630</v>
      </c>
      <c r="BN1031" t="s">
        <v>8075</v>
      </c>
      <c r="BO1031">
        <v>32024</v>
      </c>
      <c r="BP1031" t="s">
        <v>404</v>
      </c>
      <c r="BQ1031">
        <v>200</v>
      </c>
      <c r="BR1031" t="s">
        <v>405</v>
      </c>
      <c r="BS1031">
        <v>1006</v>
      </c>
      <c r="BT1031" t="s">
        <v>406</v>
      </c>
      <c r="BW1031">
        <v>402930</v>
      </c>
      <c r="BX1031" t="s">
        <v>407</v>
      </c>
      <c r="BY1031" t="s">
        <v>408</v>
      </c>
      <c r="BZ1031">
        <v>4</v>
      </c>
      <c r="CA1031">
        <v>1972</v>
      </c>
      <c r="CB1031">
        <v>1</v>
      </c>
      <c r="CC1031">
        <v>1</v>
      </c>
      <c r="CD1031">
        <v>2017</v>
      </c>
      <c r="CE1031">
        <v>58275</v>
      </c>
      <c r="CF1031">
        <v>6199</v>
      </c>
      <c r="CG1031">
        <v>64474</v>
      </c>
      <c r="CH1031">
        <v>2017</v>
      </c>
      <c r="CI1031">
        <v>58275</v>
      </c>
      <c r="CJ1031">
        <v>6199</v>
      </c>
      <c r="CK1031">
        <v>64474</v>
      </c>
      <c r="CL1031">
        <v>2017</v>
      </c>
      <c r="CM1031">
        <v>976.05</v>
      </c>
      <c r="CN1031" s="1">
        <v>42272</v>
      </c>
      <c r="CZ1031" s="1">
        <v>42272</v>
      </c>
      <c r="DD1031" t="s">
        <v>398</v>
      </c>
      <c r="DG1031">
        <v>19</v>
      </c>
      <c r="DL1031">
        <v>50400</v>
      </c>
      <c r="DM1031" t="s">
        <v>10631</v>
      </c>
      <c r="DO1031" t="s">
        <v>10632</v>
      </c>
      <c r="DP1031">
        <v>0</v>
      </c>
      <c r="DQ1031">
        <v>0</v>
      </c>
      <c r="DR1031" t="s">
        <v>411</v>
      </c>
      <c r="DS1031" t="b">
        <v>1</v>
      </c>
      <c r="DT1031" t="s">
        <v>396</v>
      </c>
      <c r="DV1031" t="s">
        <v>446</v>
      </c>
      <c r="DX1031">
        <v>-9999</v>
      </c>
      <c r="DZ1031" t="s">
        <v>447</v>
      </c>
      <c r="EA1031" t="s">
        <v>448</v>
      </c>
      <c r="EB1031" t="s">
        <v>449</v>
      </c>
      <c r="EC1031">
        <v>20101217</v>
      </c>
      <c r="ED1031" t="s">
        <v>450</v>
      </c>
      <c r="EE1031">
        <v>7.9</v>
      </c>
      <c r="EF1031">
        <v>0</v>
      </c>
      <c r="EG1031">
        <v>0</v>
      </c>
      <c r="EI1031">
        <v>20160407</v>
      </c>
      <c r="EJ1031">
        <v>0</v>
      </c>
      <c r="EK1031">
        <v>0</v>
      </c>
      <c r="EP1031" t="s">
        <v>595</v>
      </c>
      <c r="EQ1031" t="s">
        <v>422</v>
      </c>
      <c r="ER1031">
        <v>0</v>
      </c>
      <c r="ES1031">
        <v>4</v>
      </c>
      <c r="ET1031">
        <v>0</v>
      </c>
      <c r="EU1031">
        <v>0</v>
      </c>
      <c r="EV1031">
        <v>0</v>
      </c>
      <c r="EW1031" s="2">
        <v>43222</v>
      </c>
      <c r="EX1031" s="1">
        <v>42515</v>
      </c>
      <c r="EY1031">
        <v>2015</v>
      </c>
      <c r="EZ1031">
        <v>1066.19</v>
      </c>
      <c r="FA1031" t="s">
        <v>10633</v>
      </c>
      <c r="FB1031">
        <v>0.25</v>
      </c>
      <c r="FC1031" t="s">
        <v>424</v>
      </c>
      <c r="FD1031" t="s">
        <v>425</v>
      </c>
      <c r="FE1031" s="1">
        <v>42535</v>
      </c>
      <c r="FF1031">
        <v>1</v>
      </c>
      <c r="FG1031">
        <v>2851116</v>
      </c>
      <c r="FH1031" t="s">
        <v>480</v>
      </c>
      <c r="FJ1031" s="1">
        <v>42515</v>
      </c>
      <c r="FK1031">
        <v>2015</v>
      </c>
      <c r="FL1031">
        <v>1066.19</v>
      </c>
      <c r="FM1031" t="s">
        <v>10633</v>
      </c>
      <c r="FN1031">
        <v>0.25</v>
      </c>
      <c r="FO1031" t="s">
        <v>424</v>
      </c>
      <c r="FP1031" t="s">
        <v>425</v>
      </c>
      <c r="FR1031">
        <v>22</v>
      </c>
      <c r="FS1031">
        <v>5402218</v>
      </c>
      <c r="FT1031" t="s">
        <v>10634</v>
      </c>
      <c r="FV1031" s="1">
        <v>41052</v>
      </c>
      <c r="FW1031">
        <v>2011</v>
      </c>
      <c r="FX1031">
        <v>179.84</v>
      </c>
      <c r="FY1031" t="s">
        <v>10635</v>
      </c>
      <c r="FZ1031">
        <v>18</v>
      </c>
      <c r="GA1031" t="s">
        <v>603</v>
      </c>
      <c r="GB1031" t="s">
        <v>425</v>
      </c>
      <c r="GC1031" s="1">
        <v>41337</v>
      </c>
      <c r="GD1031">
        <v>10</v>
      </c>
      <c r="GE1031">
        <v>9999999</v>
      </c>
      <c r="GF1031" t="s">
        <v>604</v>
      </c>
      <c r="GH1031" s="1">
        <v>40688</v>
      </c>
      <c r="GI1031">
        <v>2010</v>
      </c>
      <c r="GJ1031">
        <v>171.1</v>
      </c>
      <c r="GK1031" t="s">
        <v>10636</v>
      </c>
      <c r="GL1031">
        <v>6.75</v>
      </c>
      <c r="GM1031" t="s">
        <v>424</v>
      </c>
      <c r="GN1031" t="s">
        <v>425</v>
      </c>
      <c r="GO1031" s="1">
        <v>40844</v>
      </c>
      <c r="GP1031">
        <v>5</v>
      </c>
      <c r="GQ1031">
        <v>105</v>
      </c>
      <c r="GR1031" t="s">
        <v>946</v>
      </c>
    </row>
    <row r="1032" spans="1:284" x14ac:dyDescent="0.25">
      <c r="A1032">
        <v>16486039</v>
      </c>
      <c r="B1032">
        <v>1031</v>
      </c>
      <c r="C1032" t="s">
        <v>393</v>
      </c>
      <c r="D1032" t="s">
        <v>394</v>
      </c>
      <c r="F1032" t="str">
        <f>"19-4N-25-4200-0004-0010"</f>
        <v>19-4N-25-4200-0004-0010</v>
      </c>
      <c r="H1032" t="str">
        <f>"TYLER KENNETH"</f>
        <v>TYLER KENNETH</v>
      </c>
      <c r="I1032" t="str">
        <f>"375917 KINGS FERRY RD"</f>
        <v>375917 KINGS FERRY RD</v>
      </c>
      <c r="J1032" t="str">
        <f>"HILLIARD FL 32046"</f>
        <v>HILLIARD FL 32046</v>
      </c>
      <c r="K1032" t="str">
        <f>"KINGS FERRY RD"</f>
        <v>KINGS FERRY RD</v>
      </c>
      <c r="L1032" t="str">
        <f t="shared" si="336"/>
        <v>HILLIARD FL 32046</v>
      </c>
      <c r="M1032" t="str">
        <f>"PT OF LOTS 4 &amp; 5 IN OR 2044/1146 WATKINS ESTATE PBK O/65"</f>
        <v>PT OF LOTS 4 &amp; 5 IN OR 2044/1146 WATKINS ESTATE PBK O/65</v>
      </c>
      <c r="N1032" t="str">
        <f>""</f>
        <v/>
      </c>
      <c r="O1032" t="str">
        <f>"33024"</f>
        <v>33024</v>
      </c>
      <c r="P1032" t="str">
        <f t="shared" si="334"/>
        <v>2017</v>
      </c>
      <c r="Q1032" t="str">
        <f>""</f>
        <v/>
      </c>
      <c r="R1032" t="str">
        <f t="shared" si="337"/>
        <v>N</v>
      </c>
      <c r="S1032" t="str">
        <f>"1.62"</f>
        <v>1.62</v>
      </c>
      <c r="T1032" t="str">
        <f>"386.27"</f>
        <v>386.27</v>
      </c>
      <c r="U1032" t="str">
        <f>"25515.00"</f>
        <v>25515.00</v>
      </c>
      <c r="V1032" t="str">
        <f>"25515.00"</f>
        <v>25515.00</v>
      </c>
      <c r="W1032" t="str">
        <f t="shared" si="335"/>
        <v>2017</v>
      </c>
      <c r="X1032" t="str">
        <f>"7.00"</f>
        <v>7.00</v>
      </c>
      <c r="Y1032" t="str">
        <f>"429.86"</f>
        <v>429.86</v>
      </c>
      <c r="Z1032" t="str">
        <f>""</f>
        <v/>
      </c>
      <c r="AA1032" t="str">
        <f>"25515.00"</f>
        <v>25515.00</v>
      </c>
      <c r="AB1032" t="str">
        <f t="shared" si="326"/>
        <v>Residential</v>
      </c>
      <c r="AC1032" t="str">
        <f t="shared" si="323"/>
        <v>0</v>
      </c>
      <c r="AD1032" t="str">
        <f>""</f>
        <v/>
      </c>
      <c r="AE1032" t="str">
        <f>""</f>
        <v/>
      </c>
      <c r="AF1032" t="str">
        <f>"000"</f>
        <v>000</v>
      </c>
      <c r="AG1032" t="str">
        <f t="shared" ref="AG1032:AG1054" si="338">"FL"</f>
        <v>FL</v>
      </c>
      <c r="AH1032" t="str">
        <f>"70567.00"</f>
        <v>70567.00</v>
      </c>
      <c r="AI1032" t="str">
        <f>"25515.00"</f>
        <v>25515.00</v>
      </c>
      <c r="AJ1032" t="str">
        <f>"C55-000-587-2470-9"</f>
        <v>C55-000-587-2470-9</v>
      </c>
      <c r="AK1032" t="str">
        <f>"15767"</f>
        <v>15767</v>
      </c>
      <c r="AL1032">
        <v>4</v>
      </c>
      <c r="AM1032">
        <v>1183</v>
      </c>
      <c r="AN1032">
        <v>449.75</v>
      </c>
      <c r="AQ1032" t="s">
        <v>10637</v>
      </c>
      <c r="AR1032" t="s">
        <v>10637</v>
      </c>
      <c r="AS1032" t="s">
        <v>10637</v>
      </c>
      <c r="AU1032" t="s">
        <v>396</v>
      </c>
      <c r="AV1032">
        <v>2017</v>
      </c>
      <c r="AW1032" t="str">
        <f>"19-4N-25-4200-0004-0010 "</f>
        <v xml:space="preserve">19-4N-25-4200-0004-0010 </v>
      </c>
      <c r="AZ1032" t="s">
        <v>4186</v>
      </c>
      <c r="BA1032" t="s">
        <v>496</v>
      </c>
      <c r="BD1032" t="s">
        <v>398</v>
      </c>
      <c r="BE1032" t="s">
        <v>393</v>
      </c>
      <c r="BF1032">
        <v>32046</v>
      </c>
      <c r="BG1032" t="s">
        <v>4187</v>
      </c>
      <c r="BH1032" t="s">
        <v>400</v>
      </c>
      <c r="BI1032">
        <v>-81.853539297060706</v>
      </c>
      <c r="BJ1032">
        <v>30.7571675568126</v>
      </c>
      <c r="BK1032" t="s">
        <v>10638</v>
      </c>
      <c r="BM1032" t="s">
        <v>10639</v>
      </c>
      <c r="BN1032" t="s">
        <v>403</v>
      </c>
      <c r="BO1032">
        <v>32046</v>
      </c>
      <c r="BP1032" t="s">
        <v>404</v>
      </c>
      <c r="BQ1032">
        <v>0</v>
      </c>
      <c r="BR1032" t="s">
        <v>491</v>
      </c>
      <c r="BS1032">
        <v>8001</v>
      </c>
      <c r="BT1032" t="s">
        <v>492</v>
      </c>
      <c r="BW1032">
        <v>70567</v>
      </c>
      <c r="BX1032" t="s">
        <v>407</v>
      </c>
      <c r="BY1032" t="s">
        <v>408</v>
      </c>
      <c r="CD1032">
        <v>2017</v>
      </c>
      <c r="CE1032">
        <v>25515</v>
      </c>
      <c r="CG1032">
        <v>25515</v>
      </c>
      <c r="CH1032">
        <v>2017</v>
      </c>
      <c r="CI1032">
        <v>25515</v>
      </c>
      <c r="CK1032">
        <v>25515</v>
      </c>
      <c r="CL1032">
        <v>2017</v>
      </c>
      <c r="CM1032">
        <v>386.27</v>
      </c>
      <c r="CN1032" s="1">
        <v>42448</v>
      </c>
      <c r="CZ1032" s="1">
        <v>42448</v>
      </c>
      <c r="DD1032" t="s">
        <v>398</v>
      </c>
      <c r="DG1032">
        <v>19</v>
      </c>
      <c r="DL1032">
        <v>50400</v>
      </c>
      <c r="DM1032" t="s">
        <v>10631</v>
      </c>
      <c r="DO1032" t="s">
        <v>10640</v>
      </c>
      <c r="DP1032">
        <v>0</v>
      </c>
      <c r="DQ1032">
        <v>0</v>
      </c>
      <c r="DR1032" t="s">
        <v>411</v>
      </c>
      <c r="EP1032" t="s">
        <v>421</v>
      </c>
      <c r="EQ1032" t="s">
        <v>422</v>
      </c>
      <c r="ER1032">
        <v>0</v>
      </c>
      <c r="ES1032">
        <v>1</v>
      </c>
      <c r="ET1032">
        <v>0</v>
      </c>
      <c r="EU1032">
        <v>0</v>
      </c>
      <c r="EV1032">
        <v>0</v>
      </c>
      <c r="EW1032" s="2">
        <v>43222</v>
      </c>
      <c r="EX1032" s="1">
        <v>42879</v>
      </c>
      <c r="EY1032">
        <v>2016</v>
      </c>
      <c r="EZ1032">
        <v>349.74</v>
      </c>
      <c r="FA1032" t="s">
        <v>10641</v>
      </c>
      <c r="FB1032">
        <v>5</v>
      </c>
      <c r="FC1032" t="s">
        <v>424</v>
      </c>
      <c r="FD1032" t="s">
        <v>425</v>
      </c>
      <c r="FE1032" s="1">
        <v>43098</v>
      </c>
      <c r="FF1032">
        <v>7</v>
      </c>
      <c r="FG1032">
        <v>10125</v>
      </c>
      <c r="FH1032" t="s">
        <v>440</v>
      </c>
    </row>
    <row r="1033" spans="1:284" x14ac:dyDescent="0.25">
      <c r="A1033">
        <v>16486040</v>
      </c>
      <c r="B1033">
        <v>1032</v>
      </c>
      <c r="C1033" t="s">
        <v>393</v>
      </c>
      <c r="D1033" t="s">
        <v>394</v>
      </c>
      <c r="F1033" t="str">
        <f>"19-4N-25-4200-0004-0040"</f>
        <v>19-4N-25-4200-0004-0040</v>
      </c>
      <c r="H1033" t="str">
        <f>"TYLER KENNETH M"</f>
        <v>TYLER KENNETH M</v>
      </c>
      <c r="I1033" t="str">
        <f>"375917 KINGS FERRY ROAD"</f>
        <v>375917 KINGS FERRY ROAD</v>
      </c>
      <c r="J1033" t="str">
        <f>"HILLIARD FL 32046"</f>
        <v>HILLIARD FL 32046</v>
      </c>
      <c r="K1033" t="str">
        <f>"KINGS FERRY RD"</f>
        <v>KINGS FERRY RD</v>
      </c>
      <c r="L1033" t="str">
        <f t="shared" si="336"/>
        <v>HILLIARD FL 32046</v>
      </c>
      <c r="M1033" t="str">
        <f>"PT OF LOTS 4 &amp; 5 A/K/A TRACT D IN OR 719 PG 209 WATKINS ESTATE PB 0/65"</f>
        <v>PT OF LOTS 4 &amp; 5 A/K/A TRACT D IN OR 719 PG 209 WATKINS ESTATE PB 0/65</v>
      </c>
      <c r="N1033" t="str">
        <f>""</f>
        <v/>
      </c>
      <c r="O1033" t="str">
        <f>"33027"</f>
        <v>33027</v>
      </c>
      <c r="P1033" t="str">
        <f t="shared" si="334"/>
        <v>2017</v>
      </c>
      <c r="Q1033" t="str">
        <f>""</f>
        <v/>
      </c>
      <c r="R1033" t="str">
        <f t="shared" si="337"/>
        <v>N</v>
      </c>
      <c r="S1033" t="str">
        <f>"1.00"</f>
        <v>1.00</v>
      </c>
      <c r="T1033" t="str">
        <f>"216.66"</f>
        <v>216.66</v>
      </c>
      <c r="U1033" t="str">
        <f>"13200.00"</f>
        <v>13200.00</v>
      </c>
      <c r="V1033" t="str">
        <f>"13200.00"</f>
        <v>13200.00</v>
      </c>
      <c r="W1033" t="str">
        <f t="shared" si="335"/>
        <v>2017</v>
      </c>
      <c r="X1033" t="str">
        <f>"10.25"</f>
        <v>10.25</v>
      </c>
      <c r="Y1033" t="str">
        <f>"255.16"</f>
        <v>255.16</v>
      </c>
      <c r="Z1033" t="str">
        <f>""</f>
        <v/>
      </c>
      <c r="AA1033" t="str">
        <f>"15750.00"</f>
        <v>15750.00</v>
      </c>
      <c r="AB1033" t="str">
        <f t="shared" si="326"/>
        <v>Residential</v>
      </c>
      <c r="AC1033" t="str">
        <f t="shared" si="323"/>
        <v>0</v>
      </c>
      <c r="AD1033" t="str">
        <f>""</f>
        <v/>
      </c>
      <c r="AE1033" t="str">
        <f>""</f>
        <v/>
      </c>
      <c r="AF1033" t="str">
        <f>"000"</f>
        <v>000</v>
      </c>
      <c r="AG1033" t="str">
        <f t="shared" si="338"/>
        <v>FL</v>
      </c>
      <c r="AH1033" t="str">
        <f>"43560.00"</f>
        <v>43560.00</v>
      </c>
      <c r="AI1033" t="str">
        <f>"15750.00"</f>
        <v>15750.00</v>
      </c>
      <c r="AJ1033" t="str">
        <f>"C55-000-587-2473-3"</f>
        <v>C55-000-587-2473-3</v>
      </c>
      <c r="AK1033" t="str">
        <f>"15770"</f>
        <v>15770</v>
      </c>
      <c r="AL1033">
        <v>4</v>
      </c>
      <c r="AM1033">
        <v>1185</v>
      </c>
      <c r="AN1033">
        <v>266.32</v>
      </c>
      <c r="AQ1033" t="s">
        <v>10642</v>
      </c>
      <c r="AR1033" t="s">
        <v>10642</v>
      </c>
      <c r="AS1033" t="s">
        <v>10642</v>
      </c>
      <c r="AU1033" t="s">
        <v>396</v>
      </c>
      <c r="AV1033">
        <v>2017</v>
      </c>
      <c r="AW1033" t="str">
        <f>"19-4N-25-4200-0004-0040 "</f>
        <v xml:space="preserve">19-4N-25-4200-0004-0040 </v>
      </c>
      <c r="AZ1033" t="s">
        <v>4186</v>
      </c>
      <c r="BA1033" t="s">
        <v>496</v>
      </c>
      <c r="BD1033" t="s">
        <v>398</v>
      </c>
      <c r="BE1033" t="s">
        <v>393</v>
      </c>
      <c r="BF1033">
        <v>32046</v>
      </c>
      <c r="BG1033" t="s">
        <v>4187</v>
      </c>
      <c r="BH1033" t="s">
        <v>400</v>
      </c>
      <c r="BI1033">
        <v>-81.853389104942195</v>
      </c>
      <c r="BJ1033">
        <v>30.7575273742621</v>
      </c>
      <c r="BK1033" t="s">
        <v>10643</v>
      </c>
      <c r="BM1033" t="s">
        <v>10639</v>
      </c>
      <c r="BN1033" t="s">
        <v>403</v>
      </c>
      <c r="BO1033">
        <v>32046</v>
      </c>
      <c r="BP1033" t="s">
        <v>404</v>
      </c>
      <c r="BQ1033">
        <v>0</v>
      </c>
      <c r="BR1033" t="s">
        <v>491</v>
      </c>
      <c r="BS1033">
        <v>8001</v>
      </c>
      <c r="BT1033" t="s">
        <v>492</v>
      </c>
      <c r="BW1033">
        <v>43560</v>
      </c>
      <c r="BX1033" t="s">
        <v>407</v>
      </c>
      <c r="BY1033" t="s">
        <v>408</v>
      </c>
      <c r="CD1033">
        <v>2017</v>
      </c>
      <c r="CE1033">
        <v>15750</v>
      </c>
      <c r="CG1033">
        <v>15750</v>
      </c>
      <c r="CH1033">
        <v>2017</v>
      </c>
      <c r="CI1033">
        <v>15750</v>
      </c>
      <c r="CK1033">
        <v>15750</v>
      </c>
      <c r="CL1033">
        <v>2017</v>
      </c>
      <c r="CM1033">
        <v>216.66</v>
      </c>
      <c r="CN1033" s="1">
        <v>34668</v>
      </c>
      <c r="CZ1033" s="1">
        <v>34668</v>
      </c>
      <c r="DD1033" t="s">
        <v>398</v>
      </c>
      <c r="DG1033">
        <v>19</v>
      </c>
      <c r="DL1033">
        <v>50400</v>
      </c>
      <c r="DM1033" t="s">
        <v>10631</v>
      </c>
      <c r="DO1033" t="s">
        <v>10644</v>
      </c>
      <c r="DP1033">
        <v>0</v>
      </c>
      <c r="DQ1033">
        <v>0</v>
      </c>
      <c r="DR1033" t="s">
        <v>411</v>
      </c>
      <c r="DS1033" t="b">
        <v>1</v>
      </c>
      <c r="DT1033" t="s">
        <v>396</v>
      </c>
      <c r="DV1033" t="s">
        <v>446</v>
      </c>
      <c r="DX1033">
        <v>-9999</v>
      </c>
      <c r="DZ1033" t="s">
        <v>447</v>
      </c>
      <c r="EA1033" t="s">
        <v>448</v>
      </c>
      <c r="EB1033" t="s">
        <v>449</v>
      </c>
      <c r="EC1033">
        <v>20101217</v>
      </c>
      <c r="ED1033" t="s">
        <v>450</v>
      </c>
      <c r="EE1033">
        <v>8.1</v>
      </c>
      <c r="EF1033">
        <v>0</v>
      </c>
      <c r="EG1033">
        <v>0</v>
      </c>
      <c r="EI1033">
        <v>20160407</v>
      </c>
      <c r="EJ1033">
        <v>0</v>
      </c>
      <c r="EK1033">
        <v>0</v>
      </c>
      <c r="EP1033" t="s">
        <v>421</v>
      </c>
      <c r="EQ1033" t="s">
        <v>422</v>
      </c>
      <c r="ER1033">
        <v>0</v>
      </c>
      <c r="ES1033">
        <v>6</v>
      </c>
      <c r="ET1033">
        <v>0</v>
      </c>
      <c r="EU1033">
        <v>0</v>
      </c>
      <c r="EV1033">
        <v>0</v>
      </c>
      <c r="EW1033" s="2">
        <v>43222</v>
      </c>
      <c r="EX1033" s="1">
        <v>42879</v>
      </c>
      <c r="EY1033">
        <v>2016</v>
      </c>
      <c r="EZ1033">
        <v>226.22</v>
      </c>
      <c r="FA1033" t="s">
        <v>10645</v>
      </c>
      <c r="FB1033">
        <v>8.5</v>
      </c>
      <c r="FC1033" t="s">
        <v>424</v>
      </c>
      <c r="FD1033" t="s">
        <v>425</v>
      </c>
      <c r="FE1033" s="1">
        <v>43098</v>
      </c>
      <c r="FF1033">
        <v>7</v>
      </c>
      <c r="FG1033">
        <v>10125</v>
      </c>
      <c r="FH1033" t="s">
        <v>440</v>
      </c>
      <c r="FJ1033" s="1">
        <v>42515</v>
      </c>
      <c r="FK1033">
        <v>2015</v>
      </c>
      <c r="FL1033">
        <v>226.06</v>
      </c>
      <c r="FM1033" t="s">
        <v>10646</v>
      </c>
      <c r="FN1033">
        <v>15.25</v>
      </c>
      <c r="FO1033" t="s">
        <v>424</v>
      </c>
      <c r="FP1033" t="s">
        <v>425</v>
      </c>
      <c r="FQ1033" s="1">
        <v>42550</v>
      </c>
      <c r="FR1033">
        <v>1</v>
      </c>
      <c r="FS1033">
        <v>10125</v>
      </c>
      <c r="FT1033" t="s">
        <v>440</v>
      </c>
      <c r="FV1033" s="1">
        <v>42151</v>
      </c>
      <c r="FW1033">
        <v>2014</v>
      </c>
      <c r="FX1033">
        <v>217.81</v>
      </c>
      <c r="FY1033" t="s">
        <v>10647</v>
      </c>
      <c r="FZ1033">
        <v>4.75</v>
      </c>
      <c r="GA1033" t="s">
        <v>424</v>
      </c>
      <c r="GB1033" t="s">
        <v>425</v>
      </c>
      <c r="GC1033" s="1">
        <v>42550</v>
      </c>
      <c r="GD1033">
        <v>13</v>
      </c>
      <c r="GE1033">
        <v>4975593</v>
      </c>
      <c r="GF1033" t="s">
        <v>505</v>
      </c>
      <c r="GH1033" s="1">
        <v>41787</v>
      </c>
      <c r="GI1033">
        <v>2013</v>
      </c>
      <c r="GJ1033">
        <v>183.77</v>
      </c>
      <c r="GK1033" t="s">
        <v>10648</v>
      </c>
      <c r="GL1033">
        <v>5.75</v>
      </c>
      <c r="GM1033" t="s">
        <v>424</v>
      </c>
      <c r="GN1033" t="s">
        <v>425</v>
      </c>
      <c r="GO1033" s="1">
        <v>42150</v>
      </c>
      <c r="GP1033">
        <v>12</v>
      </c>
      <c r="GQ1033">
        <v>2035919</v>
      </c>
      <c r="GR1033" t="s">
        <v>507</v>
      </c>
      <c r="GT1033" s="1">
        <v>41423</v>
      </c>
      <c r="GU1033">
        <v>2012</v>
      </c>
      <c r="GV1033">
        <v>267.70999999999998</v>
      </c>
      <c r="GW1033" t="s">
        <v>10649</v>
      </c>
      <c r="GX1033">
        <v>5.75</v>
      </c>
      <c r="GY1033" t="s">
        <v>424</v>
      </c>
      <c r="GZ1033" t="s">
        <v>425</v>
      </c>
      <c r="HA1033" s="1">
        <v>41876</v>
      </c>
      <c r="HB1033">
        <v>15</v>
      </c>
      <c r="HC1033">
        <v>2101381</v>
      </c>
      <c r="HD1033" t="s">
        <v>605</v>
      </c>
      <c r="HF1033" s="1">
        <v>40688</v>
      </c>
      <c r="HG1033">
        <v>2010</v>
      </c>
      <c r="HH1033">
        <v>264.37</v>
      </c>
      <c r="HI1033" t="s">
        <v>10650</v>
      </c>
      <c r="HJ1033">
        <v>6.75</v>
      </c>
      <c r="HK1033" t="s">
        <v>424</v>
      </c>
      <c r="HL1033" t="s">
        <v>425</v>
      </c>
      <c r="HM1033" s="1">
        <v>41016</v>
      </c>
      <c r="HN1033">
        <v>11</v>
      </c>
      <c r="HO1033">
        <v>105</v>
      </c>
      <c r="HP1033" t="s">
        <v>946</v>
      </c>
    </row>
    <row r="1034" spans="1:284" x14ac:dyDescent="0.25">
      <c r="A1034">
        <v>16486041</v>
      </c>
      <c r="B1034">
        <v>1033</v>
      </c>
      <c r="C1034" t="s">
        <v>393</v>
      </c>
      <c r="D1034" t="s">
        <v>394</v>
      </c>
      <c r="F1034" t="str">
        <f>"19-4N-25-4200-0005-0010"</f>
        <v>19-4N-25-4200-0005-0010</v>
      </c>
      <c r="H1034" t="str">
        <f>"TYLER KENNETH"</f>
        <v>TYLER KENNETH</v>
      </c>
      <c r="I1034" t="str">
        <f>"375917 KINGS FERRY RD"</f>
        <v>375917 KINGS FERRY RD</v>
      </c>
      <c r="J1034" t="str">
        <f>"HILLIARD FL 32046"</f>
        <v>HILLIARD FL 32046</v>
      </c>
      <c r="K1034" t="str">
        <f>"KINGS FERRY RD"</f>
        <v>KINGS FERRY RD</v>
      </c>
      <c r="L1034" t="str">
        <f t="shared" si="336"/>
        <v>HILLIARD FL 32046</v>
      </c>
      <c r="M1034" t="str">
        <f>"PT OF LOT 5 A/K/A TRACT B PT OF OR 2044/1146 WATKINS ESTATE PB 0/65"</f>
        <v>PT OF LOT 5 A/K/A TRACT B PT OF OR 2044/1146 WATKINS ESTATE PB 0/65</v>
      </c>
      <c r="N1034" t="str">
        <f>""</f>
        <v/>
      </c>
      <c r="O1034" t="str">
        <f>"33028"</f>
        <v>33028</v>
      </c>
      <c r="P1034" t="str">
        <f t="shared" si="334"/>
        <v>2017</v>
      </c>
      <c r="Q1034" t="str">
        <f>""</f>
        <v/>
      </c>
      <c r="R1034" t="str">
        <f t="shared" si="337"/>
        <v>N</v>
      </c>
      <c r="S1034" t="str">
        <f>"1.00"</f>
        <v>1.00</v>
      </c>
      <c r="T1034" t="str">
        <f>"238.43"</f>
        <v>238.43</v>
      </c>
      <c r="U1034" t="str">
        <f>"15750.00"</f>
        <v>15750.00</v>
      </c>
      <c r="V1034" t="str">
        <f>"15750.00"</f>
        <v>15750.00</v>
      </c>
      <c r="W1034" t="str">
        <f t="shared" si="335"/>
        <v>2017</v>
      </c>
      <c r="X1034" t="str">
        <f>"7.00"</f>
        <v>7.00</v>
      </c>
      <c r="Y1034" t="str">
        <f>"277.58"</f>
        <v>277.58</v>
      </c>
      <c r="Z1034" t="str">
        <f>""</f>
        <v/>
      </c>
      <c r="AA1034" t="str">
        <f>"15750.00"</f>
        <v>15750.00</v>
      </c>
      <c r="AB1034" t="str">
        <f t="shared" si="326"/>
        <v>Residential</v>
      </c>
      <c r="AC1034" t="str">
        <f t="shared" si="323"/>
        <v>0</v>
      </c>
      <c r="AD1034" t="str">
        <f>""</f>
        <v/>
      </c>
      <c r="AE1034" t="str">
        <f>""</f>
        <v/>
      </c>
      <c r="AF1034" t="str">
        <f>"000"</f>
        <v>000</v>
      </c>
      <c r="AG1034" t="str">
        <f t="shared" si="338"/>
        <v>FL</v>
      </c>
      <c r="AH1034" t="str">
        <f>"43560.00"</f>
        <v>43560.00</v>
      </c>
      <c r="AI1034" t="str">
        <f>"15750.00"</f>
        <v>15750.00</v>
      </c>
      <c r="AJ1034" t="str">
        <f>"C55-000-587-2474-1"</f>
        <v>C55-000-587-2474-1</v>
      </c>
      <c r="AK1034" t="str">
        <f>"15771"</f>
        <v>15771</v>
      </c>
      <c r="AL1034">
        <v>4</v>
      </c>
      <c r="AM1034">
        <v>1186</v>
      </c>
      <c r="AN1034">
        <v>289.86</v>
      </c>
      <c r="AQ1034" t="s">
        <v>10651</v>
      </c>
      <c r="AR1034" t="s">
        <v>10651</v>
      </c>
      <c r="AS1034" t="s">
        <v>10651</v>
      </c>
      <c r="AU1034" t="s">
        <v>396</v>
      </c>
      <c r="AV1034">
        <v>2017</v>
      </c>
      <c r="AW1034" t="str">
        <f>"19-4N-25-4200-0005-0010 "</f>
        <v xml:space="preserve">19-4N-25-4200-0005-0010 </v>
      </c>
      <c r="AZ1034" t="s">
        <v>4186</v>
      </c>
      <c r="BA1034" t="s">
        <v>496</v>
      </c>
      <c r="BD1034" t="s">
        <v>398</v>
      </c>
      <c r="BE1034" t="s">
        <v>393</v>
      </c>
      <c r="BF1034">
        <v>32046</v>
      </c>
      <c r="BG1034" t="s">
        <v>4187</v>
      </c>
      <c r="BH1034" t="s">
        <v>400</v>
      </c>
      <c r="BI1034">
        <v>-81.854833202291701</v>
      </c>
      <c r="BJ1034">
        <v>30.757343893996801</v>
      </c>
      <c r="BK1034" t="s">
        <v>10652</v>
      </c>
      <c r="BM1034" t="s">
        <v>10653</v>
      </c>
      <c r="BN1034" t="s">
        <v>403</v>
      </c>
      <c r="BO1034">
        <v>32046</v>
      </c>
      <c r="BP1034" t="s">
        <v>404</v>
      </c>
      <c r="BQ1034">
        <v>0</v>
      </c>
      <c r="BR1034" t="s">
        <v>491</v>
      </c>
      <c r="BS1034">
        <v>8001</v>
      </c>
      <c r="BT1034" t="s">
        <v>492</v>
      </c>
      <c r="BW1034">
        <v>43560</v>
      </c>
      <c r="BX1034" t="s">
        <v>407</v>
      </c>
      <c r="BY1034" t="s">
        <v>408</v>
      </c>
      <c r="CD1034">
        <v>2017</v>
      </c>
      <c r="CE1034">
        <v>15750</v>
      </c>
      <c r="CG1034">
        <v>15750</v>
      </c>
      <c r="CH1034">
        <v>2017</v>
      </c>
      <c r="CI1034">
        <v>15750</v>
      </c>
      <c r="CK1034">
        <v>15750</v>
      </c>
      <c r="CL1034">
        <v>2017</v>
      </c>
      <c r="CM1034">
        <v>238.43</v>
      </c>
      <c r="CN1034" s="1">
        <v>28915</v>
      </c>
      <c r="CZ1034" s="1">
        <v>28915</v>
      </c>
      <c r="DD1034" t="s">
        <v>398</v>
      </c>
      <c r="DF1034">
        <v>5</v>
      </c>
      <c r="DG1034">
        <v>19</v>
      </c>
      <c r="DL1034">
        <v>50400</v>
      </c>
      <c r="DM1034" t="s">
        <v>10631</v>
      </c>
      <c r="DO1034" t="s">
        <v>10654</v>
      </c>
      <c r="DP1034">
        <v>0</v>
      </c>
      <c r="DQ1034">
        <v>0</v>
      </c>
      <c r="DR1034" t="s">
        <v>411</v>
      </c>
      <c r="EP1034" t="s">
        <v>421</v>
      </c>
      <c r="EQ1034" t="s">
        <v>422</v>
      </c>
      <c r="ER1034">
        <v>0</v>
      </c>
      <c r="ES1034">
        <v>1</v>
      </c>
      <c r="ET1034">
        <v>0</v>
      </c>
      <c r="EU1034">
        <v>0</v>
      </c>
      <c r="EV1034">
        <v>0</v>
      </c>
      <c r="EW1034" s="2">
        <v>43222</v>
      </c>
      <c r="EX1034" s="1">
        <v>42879</v>
      </c>
      <c r="EY1034">
        <v>2016</v>
      </c>
      <c r="EZ1034">
        <v>226.22</v>
      </c>
      <c r="FA1034" t="s">
        <v>10655</v>
      </c>
      <c r="FB1034">
        <v>8.5</v>
      </c>
      <c r="FC1034" t="s">
        <v>424</v>
      </c>
      <c r="FD1034" t="s">
        <v>425</v>
      </c>
      <c r="FE1034" s="1">
        <v>43098</v>
      </c>
      <c r="FF1034">
        <v>7</v>
      </c>
      <c r="FG1034">
        <v>10125</v>
      </c>
      <c r="FH1034" t="s">
        <v>440</v>
      </c>
    </row>
    <row r="1035" spans="1:284" x14ac:dyDescent="0.25">
      <c r="A1035">
        <v>16486042</v>
      </c>
      <c r="B1035">
        <v>1034</v>
      </c>
      <c r="C1035" t="s">
        <v>393</v>
      </c>
      <c r="D1035" t="s">
        <v>394</v>
      </c>
      <c r="F1035" t="str">
        <f>"20-4N-25-0000-0003-0030"</f>
        <v>20-4N-25-0000-0003-0030</v>
      </c>
      <c r="H1035" t="str">
        <f>"BUTLER GRAYMOND E"</f>
        <v>BUTLER GRAYMOND E</v>
      </c>
      <c r="I1035" t="str">
        <f>"3141 WATER ST"</f>
        <v>3141 WATER ST</v>
      </c>
      <c r="J1035" t="str">
        <f>"JACKSONVILLE FL 32208"</f>
        <v>JACKSONVILLE FL 32208</v>
      </c>
      <c r="K1035" t="str">
        <f>"48133 INDIAN SUMMER PL"</f>
        <v>48133 INDIAN SUMMER PL</v>
      </c>
      <c r="L1035" t="str">
        <f t="shared" si="336"/>
        <v>HILLIARD FL 32046</v>
      </c>
      <c r="M1035" t="str">
        <f>"PARCEL 1-3 OF SEC 19 (EX 1-5) PARCEL 3-3 OF SEC 20 (EX 3-5) IN OR 1345/1432"</f>
        <v>PARCEL 1-3 OF SEC 19 (EX 1-5) PARCEL 3-3 OF SEC 20 (EX 3-5) IN OR 1345/1432</v>
      </c>
      <c r="N1035" t="str">
        <f>""</f>
        <v/>
      </c>
      <c r="O1035" t="str">
        <f>"33329"</f>
        <v>33329</v>
      </c>
      <c r="P1035" t="str">
        <f t="shared" si="334"/>
        <v>2017</v>
      </c>
      <c r="Q1035" t="str">
        <f>""</f>
        <v/>
      </c>
      <c r="R1035" t="str">
        <f t="shared" si="337"/>
        <v>N</v>
      </c>
      <c r="S1035" t="str">
        <f>"1.36"</f>
        <v>1.36</v>
      </c>
      <c r="T1035" t="str">
        <f>"447.33"</f>
        <v>447.33</v>
      </c>
      <c r="U1035" t="str">
        <f>"26348.00"</f>
        <v>26348.00</v>
      </c>
      <c r="V1035" t="str">
        <f>"26348.00"</f>
        <v>26348.00</v>
      </c>
      <c r="W1035" t="str">
        <f t="shared" si="335"/>
        <v>2017</v>
      </c>
      <c r="X1035" t="str">
        <f>""</f>
        <v/>
      </c>
      <c r="Y1035" t="str">
        <f>"492.75"</f>
        <v>492.75</v>
      </c>
      <c r="Z1035" t="str">
        <f>""</f>
        <v/>
      </c>
      <c r="AA1035" t="str">
        <f>"33690.00"</f>
        <v>33690.00</v>
      </c>
      <c r="AB1035" t="str">
        <f t="shared" si="326"/>
        <v>Residential</v>
      </c>
      <c r="AC1035" t="str">
        <f t="shared" si="323"/>
        <v>0</v>
      </c>
      <c r="AD1035" t="str">
        <f t="shared" ref="AD1035:AD1042" si="339">"4"</f>
        <v>4</v>
      </c>
      <c r="AE1035" t="str">
        <f t="shared" ref="AE1035:AE1042" si="340">"WOOD (INCLUDE STEEL STUDS)"</f>
        <v>WOOD (INCLUDE STEEL STUDS)</v>
      </c>
      <c r="AF1035" t="str">
        <f>"002"</f>
        <v>002</v>
      </c>
      <c r="AG1035" t="str">
        <f t="shared" si="338"/>
        <v>FL</v>
      </c>
      <c r="AH1035" t="str">
        <f>"59241.00"</f>
        <v>59241.00</v>
      </c>
      <c r="AI1035" t="str">
        <f>"21420.00"</f>
        <v>21420.00</v>
      </c>
      <c r="AJ1035" t="str">
        <f>"C55-000-587-2729-8"</f>
        <v>C55-000-587-2729-8</v>
      </c>
      <c r="AK1035" t="str">
        <f>"15779"</f>
        <v>15779</v>
      </c>
      <c r="AL1035">
        <v>4</v>
      </c>
      <c r="AM1035">
        <v>1187</v>
      </c>
      <c r="AN1035">
        <v>515.79</v>
      </c>
      <c r="AQ1035" t="s">
        <v>10656</v>
      </c>
      <c r="AR1035" t="s">
        <v>10656</v>
      </c>
      <c r="AS1035" t="s">
        <v>10656</v>
      </c>
      <c r="AU1035" t="s">
        <v>396</v>
      </c>
      <c r="AV1035">
        <v>2017</v>
      </c>
      <c r="AW1035" t="str">
        <f>"20-4N-25-0000-0003-0030 "</f>
        <v xml:space="preserve">20-4N-25-0000-0003-0030 </v>
      </c>
      <c r="AX1035">
        <v>48133</v>
      </c>
      <c r="AZ1035" t="s">
        <v>10657</v>
      </c>
      <c r="BA1035" t="s">
        <v>641</v>
      </c>
      <c r="BD1035" t="s">
        <v>398</v>
      </c>
      <c r="BE1035" t="s">
        <v>393</v>
      </c>
      <c r="BF1035">
        <v>32046</v>
      </c>
      <c r="BG1035" t="s">
        <v>10658</v>
      </c>
      <c r="BH1035" t="s">
        <v>400</v>
      </c>
      <c r="BI1035">
        <v>-81.836402202848902</v>
      </c>
      <c r="BJ1035">
        <v>30.758701834960601</v>
      </c>
      <c r="BK1035" t="s">
        <v>10659</v>
      </c>
      <c r="BM1035" t="s">
        <v>10660</v>
      </c>
      <c r="BN1035" t="s">
        <v>548</v>
      </c>
      <c r="BO1035">
        <v>32208</v>
      </c>
      <c r="BP1035" t="s">
        <v>404</v>
      </c>
      <c r="BQ1035">
        <v>200</v>
      </c>
      <c r="BR1035" t="s">
        <v>405</v>
      </c>
      <c r="BS1035">
        <v>1006</v>
      </c>
      <c r="BT1035" t="s">
        <v>406</v>
      </c>
      <c r="BW1035">
        <v>59241</v>
      </c>
      <c r="BX1035" t="s">
        <v>407</v>
      </c>
      <c r="BY1035" t="s">
        <v>408</v>
      </c>
      <c r="BZ1035">
        <v>4</v>
      </c>
      <c r="CA1035">
        <v>1993</v>
      </c>
      <c r="CB1035">
        <v>1</v>
      </c>
      <c r="CC1035">
        <v>1</v>
      </c>
      <c r="CD1035">
        <v>2017</v>
      </c>
      <c r="CE1035">
        <v>21420</v>
      </c>
      <c r="CF1035">
        <v>12270</v>
      </c>
      <c r="CG1035">
        <v>33690</v>
      </c>
      <c r="CH1035">
        <v>2017</v>
      </c>
      <c r="CI1035">
        <v>21420</v>
      </c>
      <c r="CJ1035">
        <v>12270</v>
      </c>
      <c r="CK1035">
        <v>33690</v>
      </c>
      <c r="CL1035">
        <v>2017</v>
      </c>
      <c r="CM1035">
        <v>447.33</v>
      </c>
      <c r="CN1035" s="1">
        <v>38593</v>
      </c>
      <c r="CO1035">
        <v>63500</v>
      </c>
      <c r="CV1035">
        <v>55500</v>
      </c>
      <c r="CX1035" t="s">
        <v>10661</v>
      </c>
      <c r="CZ1035" s="1">
        <v>38593</v>
      </c>
      <c r="DA1035">
        <v>0</v>
      </c>
      <c r="DD1035" t="s">
        <v>398</v>
      </c>
      <c r="DG1035">
        <v>20</v>
      </c>
      <c r="DL1035">
        <v>50400</v>
      </c>
      <c r="DM1035" t="s">
        <v>10662</v>
      </c>
      <c r="DO1035" t="s">
        <v>10663</v>
      </c>
      <c r="DP1035">
        <v>0</v>
      </c>
      <c r="DQ1035">
        <v>0</v>
      </c>
      <c r="DR1035" t="s">
        <v>411</v>
      </c>
      <c r="EP1035" t="s">
        <v>421</v>
      </c>
      <c r="EQ1035" t="s">
        <v>422</v>
      </c>
      <c r="ER1035">
        <v>1</v>
      </c>
      <c r="ES1035">
        <v>0</v>
      </c>
      <c r="ET1035">
        <v>424.68</v>
      </c>
      <c r="EU1035">
        <v>27.48</v>
      </c>
      <c r="EV1035">
        <v>452.16</v>
      </c>
      <c r="EW1035" s="2">
        <v>43222</v>
      </c>
      <c r="EX1035" s="1">
        <v>42879</v>
      </c>
      <c r="EY1035">
        <v>2016</v>
      </c>
      <c r="EZ1035">
        <v>424.68</v>
      </c>
      <c r="FA1035" t="s">
        <v>10664</v>
      </c>
      <c r="FB1035">
        <v>4.75</v>
      </c>
      <c r="FC1035" t="s">
        <v>424</v>
      </c>
      <c r="FD1035" t="s">
        <v>454</v>
      </c>
      <c r="FF1035">
        <v>12</v>
      </c>
      <c r="FG1035">
        <v>7336143</v>
      </c>
      <c r="FH1035" t="s">
        <v>539</v>
      </c>
    </row>
    <row r="1036" spans="1:284" x14ac:dyDescent="0.25">
      <c r="A1036">
        <v>16486043</v>
      </c>
      <c r="B1036">
        <v>1035</v>
      </c>
      <c r="C1036" t="s">
        <v>393</v>
      </c>
      <c r="D1036" t="s">
        <v>394</v>
      </c>
      <c r="F1036" t="str">
        <f>"20-4N-25-0000-0006-0000"</f>
        <v>20-4N-25-0000-0006-0000</v>
      </c>
      <c r="H1036" t="str">
        <f>"HADDOCK WINONA L/E SUMMERVILLE MARY C &amp; HADDOCK CHERYLE L"</f>
        <v>HADDOCK WINONA L/E SUMMERVILLE MARY C &amp; HADDOCK CHERYLE L</v>
      </c>
      <c r="I1036" t="str">
        <f>""</f>
        <v/>
      </c>
      <c r="J1036" t="str">
        <f t="shared" ref="J1036:J1041" si="341">"HILLIARD FL 32046"</f>
        <v>HILLIARD FL 32046</v>
      </c>
      <c r="K1036" t="str">
        <f>"481209 HADDOCK RD"</f>
        <v>481209 HADDOCK RD</v>
      </c>
      <c r="L1036" t="str">
        <f t="shared" si="336"/>
        <v>HILLIARD FL 32046</v>
      </c>
      <c r="M1036" t="str">
        <f>"OR 242/28 L/E OR 587 PG 268 PARCELS 6 &amp; 7 EX R/W IN OR 622/1113"</f>
        <v>OR 242/28 L/E OR 587 PG 268 PARCELS 6 &amp; 7 EX R/W IN OR 622/1113</v>
      </c>
      <c r="N1036" t="str">
        <f>""</f>
        <v/>
      </c>
      <c r="O1036" t="str">
        <f>"33335"</f>
        <v>33335</v>
      </c>
      <c r="P1036" t="str">
        <f t="shared" si="334"/>
        <v>2017</v>
      </c>
      <c r="Q1036" t="str">
        <f>""</f>
        <v/>
      </c>
      <c r="R1036" t="str">
        <f t="shared" si="337"/>
        <v>N</v>
      </c>
      <c r="S1036" t="str">
        <f>"10.05"</f>
        <v>10.05</v>
      </c>
      <c r="T1036" t="str">
        <f>"1433.33"</f>
        <v>1433.33</v>
      </c>
      <c r="U1036" t="str">
        <f>"94679.00"</f>
        <v>94679.00</v>
      </c>
      <c r="V1036" t="str">
        <f>"94679.00"</f>
        <v>94679.00</v>
      </c>
      <c r="W1036" t="str">
        <f t="shared" si="335"/>
        <v>2017</v>
      </c>
      <c r="X1036" t="str">
        <f>"18.71"</f>
        <v>18.71</v>
      </c>
      <c r="Y1036" t="str">
        <f>"1508.33"</f>
        <v>1508.33</v>
      </c>
      <c r="Z1036" t="str">
        <f>""</f>
        <v/>
      </c>
      <c r="AA1036" t="str">
        <f>"94679.00"</f>
        <v>94679.00</v>
      </c>
      <c r="AB1036" t="str">
        <f t="shared" si="326"/>
        <v>Residential</v>
      </c>
      <c r="AC1036" t="str">
        <f t="shared" si="323"/>
        <v>0</v>
      </c>
      <c r="AD1036" t="str">
        <f t="shared" si="339"/>
        <v>4</v>
      </c>
      <c r="AE1036" t="str">
        <f t="shared" si="340"/>
        <v>WOOD (INCLUDE STEEL STUDS)</v>
      </c>
      <c r="AF1036" t="str">
        <f>"001"</f>
        <v>001</v>
      </c>
      <c r="AG1036" t="str">
        <f t="shared" si="338"/>
        <v>FL</v>
      </c>
      <c r="AH1036" t="str">
        <f>"437778.00"</f>
        <v>437778.00</v>
      </c>
      <c r="AI1036" t="str">
        <f>"63315.00"</f>
        <v>63315.00</v>
      </c>
      <c r="AJ1036" t="str">
        <f>"C55-000-587-2732-2"</f>
        <v>C55-000-587-2732-2</v>
      </c>
      <c r="AK1036" t="str">
        <f>"15783"</f>
        <v>15783</v>
      </c>
      <c r="AL1036">
        <v>4</v>
      </c>
      <c r="AM1036">
        <v>1188</v>
      </c>
      <c r="AN1036">
        <v>1582.15</v>
      </c>
      <c r="AQ1036" t="s">
        <v>10665</v>
      </c>
      <c r="AR1036" t="s">
        <v>10665</v>
      </c>
      <c r="AS1036" t="s">
        <v>10665</v>
      </c>
      <c r="AU1036" t="s">
        <v>396</v>
      </c>
      <c r="AV1036">
        <v>2017</v>
      </c>
      <c r="AW1036" t="str">
        <f>"20-4N-25-0000-0006-0000 "</f>
        <v xml:space="preserve">20-4N-25-0000-0006-0000 </v>
      </c>
      <c r="AX1036">
        <v>481209</v>
      </c>
      <c r="AZ1036" t="s">
        <v>10626</v>
      </c>
      <c r="BA1036" t="s">
        <v>496</v>
      </c>
      <c r="BD1036" t="s">
        <v>398</v>
      </c>
      <c r="BE1036" t="s">
        <v>393</v>
      </c>
      <c r="BF1036">
        <v>32046</v>
      </c>
      <c r="BG1036" t="s">
        <v>10666</v>
      </c>
      <c r="BH1036" t="s">
        <v>400</v>
      </c>
      <c r="BI1036">
        <v>-81.834516353895097</v>
      </c>
      <c r="BJ1036">
        <v>30.7527054704404</v>
      </c>
      <c r="BK1036" t="s">
        <v>10667</v>
      </c>
      <c r="BM1036" t="s">
        <v>10666</v>
      </c>
      <c r="BN1036" t="s">
        <v>403</v>
      </c>
      <c r="BO1036">
        <v>32046</v>
      </c>
      <c r="BP1036" t="s">
        <v>416</v>
      </c>
      <c r="BQ1036">
        <v>100</v>
      </c>
      <c r="BR1036" t="s">
        <v>514</v>
      </c>
      <c r="BS1036">
        <v>1001</v>
      </c>
      <c r="BT1036" t="s">
        <v>515</v>
      </c>
      <c r="BW1036">
        <v>437778</v>
      </c>
      <c r="BX1036" t="s">
        <v>407</v>
      </c>
      <c r="BY1036" t="s">
        <v>408</v>
      </c>
      <c r="BZ1036">
        <v>4</v>
      </c>
      <c r="CA1036">
        <v>1944</v>
      </c>
      <c r="CB1036">
        <v>1</v>
      </c>
      <c r="CC1036">
        <v>1</v>
      </c>
      <c r="CD1036">
        <v>2017</v>
      </c>
      <c r="CE1036">
        <v>63315</v>
      </c>
      <c r="CF1036">
        <v>31364</v>
      </c>
      <c r="CG1036">
        <v>94679</v>
      </c>
      <c r="CH1036">
        <v>2017</v>
      </c>
      <c r="CI1036">
        <v>63315</v>
      </c>
      <c r="CJ1036">
        <v>31364</v>
      </c>
      <c r="CK1036">
        <v>94679</v>
      </c>
      <c r="CL1036">
        <v>2017</v>
      </c>
      <c r="CM1036">
        <v>1433.33</v>
      </c>
      <c r="CN1036" s="1">
        <v>32871</v>
      </c>
      <c r="CZ1036" s="1">
        <v>32871</v>
      </c>
      <c r="DD1036" t="s">
        <v>398</v>
      </c>
      <c r="DG1036">
        <v>20</v>
      </c>
      <c r="DL1036">
        <v>50400</v>
      </c>
      <c r="DM1036" t="s">
        <v>10662</v>
      </c>
      <c r="DO1036" t="s">
        <v>10668</v>
      </c>
      <c r="DP1036">
        <v>0</v>
      </c>
      <c r="DQ1036">
        <v>0</v>
      </c>
      <c r="DR1036" t="s">
        <v>411</v>
      </c>
      <c r="DS1036" t="b">
        <v>1</v>
      </c>
      <c r="DT1036" t="s">
        <v>470</v>
      </c>
      <c r="DU1036" t="s">
        <v>471</v>
      </c>
      <c r="DV1036" t="s">
        <v>472</v>
      </c>
      <c r="DX1036">
        <v>-9999</v>
      </c>
      <c r="DZ1036" t="s">
        <v>447</v>
      </c>
      <c r="EA1036" t="s">
        <v>448</v>
      </c>
      <c r="EB1036" t="s">
        <v>10669</v>
      </c>
      <c r="EC1036">
        <v>20101217</v>
      </c>
      <c r="ED1036" t="s">
        <v>474</v>
      </c>
      <c r="EF1036">
        <v>68.900000000000006</v>
      </c>
      <c r="EG1036">
        <v>68.900000000000006</v>
      </c>
      <c r="EI1036">
        <v>20160407</v>
      </c>
      <c r="EJ1036">
        <v>0</v>
      </c>
      <c r="EK1036">
        <v>0</v>
      </c>
      <c r="EP1036" t="s">
        <v>595</v>
      </c>
      <c r="EQ1036" t="s">
        <v>422</v>
      </c>
      <c r="ER1036">
        <v>2</v>
      </c>
      <c r="ES1036">
        <v>8</v>
      </c>
      <c r="ET1036">
        <v>3057.18</v>
      </c>
      <c r="EU1036">
        <v>165.36</v>
      </c>
      <c r="EV1036">
        <v>3222.54</v>
      </c>
      <c r="EW1036" s="2">
        <v>43222</v>
      </c>
      <c r="EX1036" s="1">
        <v>42879</v>
      </c>
      <c r="EY1036">
        <v>2016</v>
      </c>
      <c r="EZ1036">
        <v>1528.59</v>
      </c>
      <c r="FA1036" t="s">
        <v>10670</v>
      </c>
      <c r="FB1036">
        <v>0.25</v>
      </c>
      <c r="FC1036" t="s">
        <v>424</v>
      </c>
      <c r="FD1036" t="s">
        <v>454</v>
      </c>
      <c r="FF1036">
        <v>12</v>
      </c>
      <c r="FG1036">
        <v>2851116</v>
      </c>
      <c r="FH1036" t="s">
        <v>480</v>
      </c>
      <c r="FJ1036" s="1">
        <v>42879</v>
      </c>
      <c r="FK1036">
        <v>2016</v>
      </c>
      <c r="FL1036">
        <v>1528.59</v>
      </c>
      <c r="FM1036" t="s">
        <v>10670</v>
      </c>
      <c r="FN1036">
        <v>0.25</v>
      </c>
      <c r="FO1036" t="s">
        <v>424</v>
      </c>
      <c r="FP1036" t="s">
        <v>454</v>
      </c>
      <c r="FR1036">
        <v>12</v>
      </c>
      <c r="FS1036">
        <v>4868265</v>
      </c>
      <c r="FT1036" t="s">
        <v>10671</v>
      </c>
      <c r="FV1036" s="1">
        <v>42515</v>
      </c>
      <c r="FW1036">
        <v>2015</v>
      </c>
      <c r="FX1036">
        <v>1565.11</v>
      </c>
      <c r="FY1036" t="s">
        <v>10672</v>
      </c>
      <c r="FZ1036">
        <v>0.25</v>
      </c>
      <c r="GA1036" t="s">
        <v>424</v>
      </c>
      <c r="GB1036" t="s">
        <v>425</v>
      </c>
      <c r="GC1036" s="1">
        <v>42878</v>
      </c>
      <c r="GD1036">
        <v>12</v>
      </c>
      <c r="GE1036">
        <v>2851116</v>
      </c>
      <c r="GF1036" t="s">
        <v>480</v>
      </c>
      <c r="GH1036" s="1">
        <v>42515</v>
      </c>
      <c r="GI1036">
        <v>2015</v>
      </c>
      <c r="GJ1036">
        <v>1565.11</v>
      </c>
      <c r="GK1036" t="s">
        <v>10672</v>
      </c>
      <c r="GL1036">
        <v>0.25</v>
      </c>
      <c r="GM1036" t="s">
        <v>424</v>
      </c>
      <c r="GN1036" t="s">
        <v>425</v>
      </c>
      <c r="GP1036">
        <v>22</v>
      </c>
      <c r="GQ1036">
        <v>5589818</v>
      </c>
      <c r="GR1036" t="s">
        <v>10673</v>
      </c>
      <c r="GT1036" s="1">
        <v>42151</v>
      </c>
      <c r="GU1036">
        <v>2014</v>
      </c>
      <c r="GV1036">
        <v>1526.48</v>
      </c>
      <c r="GW1036" t="s">
        <v>10674</v>
      </c>
      <c r="GX1036">
        <v>0.25</v>
      </c>
      <c r="GY1036" t="s">
        <v>424</v>
      </c>
      <c r="GZ1036" t="s">
        <v>425</v>
      </c>
      <c r="HA1036" s="1">
        <v>42474</v>
      </c>
      <c r="HB1036">
        <v>11</v>
      </c>
      <c r="HC1036">
        <v>2851116</v>
      </c>
      <c r="HD1036" t="s">
        <v>480</v>
      </c>
      <c r="HF1036" s="1">
        <v>42151</v>
      </c>
      <c r="HG1036">
        <v>2014</v>
      </c>
      <c r="HH1036">
        <v>1526.48</v>
      </c>
      <c r="HI1036" t="s">
        <v>10674</v>
      </c>
      <c r="HJ1036">
        <v>0.25</v>
      </c>
      <c r="HK1036" t="s">
        <v>424</v>
      </c>
      <c r="HL1036" t="s">
        <v>425</v>
      </c>
      <c r="HN1036">
        <v>22</v>
      </c>
      <c r="HO1036">
        <v>4951797</v>
      </c>
      <c r="HP1036" t="s">
        <v>10675</v>
      </c>
      <c r="HR1036" s="1">
        <v>41787</v>
      </c>
      <c r="HS1036">
        <v>2013</v>
      </c>
      <c r="HT1036">
        <v>1416.34</v>
      </c>
      <c r="HU1036" t="s">
        <v>10676</v>
      </c>
      <c r="HV1036">
        <v>0.25</v>
      </c>
      <c r="HW1036" t="s">
        <v>424</v>
      </c>
      <c r="HX1036" t="s">
        <v>425</v>
      </c>
      <c r="HY1036" s="1">
        <v>42429</v>
      </c>
      <c r="HZ1036">
        <v>21</v>
      </c>
      <c r="IA1036">
        <v>1155951</v>
      </c>
      <c r="IB1036" t="s">
        <v>1451</v>
      </c>
      <c r="ID1036" s="1">
        <v>41423</v>
      </c>
      <c r="IE1036">
        <v>2012</v>
      </c>
      <c r="IF1036">
        <v>251.78</v>
      </c>
      <c r="IG1036" t="s">
        <v>10677</v>
      </c>
      <c r="IH1036">
        <v>4.75</v>
      </c>
      <c r="II1036" t="s">
        <v>424</v>
      </c>
      <c r="IJ1036" t="s">
        <v>425</v>
      </c>
      <c r="IK1036" s="1">
        <v>42061</v>
      </c>
      <c r="IL1036">
        <v>21</v>
      </c>
      <c r="IM1036">
        <v>15407</v>
      </c>
      <c r="IN1036" t="s">
        <v>1134</v>
      </c>
      <c r="IP1036" s="1">
        <v>41052</v>
      </c>
      <c r="IQ1036">
        <v>2011</v>
      </c>
      <c r="IR1036">
        <v>228.85</v>
      </c>
      <c r="IS1036" t="s">
        <v>10678</v>
      </c>
      <c r="IT1036">
        <v>18</v>
      </c>
      <c r="IU1036" t="s">
        <v>603</v>
      </c>
      <c r="IV1036" t="s">
        <v>425</v>
      </c>
      <c r="IW1036" s="1">
        <v>41726</v>
      </c>
      <c r="IX1036">
        <v>22</v>
      </c>
      <c r="IY1036">
        <v>9999999</v>
      </c>
      <c r="IZ1036" t="s">
        <v>604</v>
      </c>
      <c r="JB1036" s="1">
        <v>40688</v>
      </c>
      <c r="JC1036">
        <v>2010</v>
      </c>
      <c r="JD1036">
        <v>219.65</v>
      </c>
      <c r="JE1036" t="s">
        <v>10679</v>
      </c>
      <c r="JF1036">
        <v>6.75</v>
      </c>
      <c r="JG1036" t="s">
        <v>424</v>
      </c>
      <c r="JH1036" t="s">
        <v>425</v>
      </c>
      <c r="JI1036" s="1">
        <v>41192</v>
      </c>
      <c r="JJ1036">
        <v>17</v>
      </c>
      <c r="JK1036">
        <v>105</v>
      </c>
      <c r="JL1036" t="s">
        <v>946</v>
      </c>
    </row>
    <row r="1037" spans="1:284" x14ac:dyDescent="0.25">
      <c r="A1037">
        <v>16486044</v>
      </c>
      <c r="B1037">
        <v>1036</v>
      </c>
      <c r="C1037" t="s">
        <v>393</v>
      </c>
      <c r="D1037" t="s">
        <v>394</v>
      </c>
      <c r="F1037" t="str">
        <f>"20-4N-25-0000-0009-0060"</f>
        <v>20-4N-25-0000-0009-0060</v>
      </c>
      <c r="H1037" t="str">
        <f>"REED JENNIFER L"</f>
        <v>REED JENNIFER L</v>
      </c>
      <c r="I1037" t="str">
        <f>"48042 FROG PL"</f>
        <v>48042 FROG PL</v>
      </c>
      <c r="J1037" t="str">
        <f t="shared" si="341"/>
        <v>HILLIARD FL 32046</v>
      </c>
      <c r="K1037" t="str">
        <f>"48658 CRAWFORD LN"</f>
        <v>48658 CRAWFORD LN</v>
      </c>
      <c r="L1037" t="str">
        <f t="shared" si="336"/>
        <v>HILLIARD FL 32046</v>
      </c>
      <c r="M1037" t="str">
        <f>"OR 2140/602 ESMT IN OR 718/150"</f>
        <v>OR 2140/602 ESMT IN OR 718/150</v>
      </c>
      <c r="N1037" t="str">
        <f>""</f>
        <v/>
      </c>
      <c r="O1037" t="str">
        <f>"33368"</f>
        <v>33368</v>
      </c>
      <c r="P1037" t="str">
        <f t="shared" si="334"/>
        <v>2017</v>
      </c>
      <c r="Q1037" t="str">
        <f>""</f>
        <v/>
      </c>
      <c r="R1037" t="str">
        <f>"Y"</f>
        <v>Y</v>
      </c>
      <c r="S1037" t="str">
        <f>"6.00"</f>
        <v>6.00</v>
      </c>
      <c r="T1037" t="str">
        <f>"1364.77"</f>
        <v>1364.77</v>
      </c>
      <c r="U1037" t="str">
        <f>"128736.00"</f>
        <v>128736.00</v>
      </c>
      <c r="V1037" t="str">
        <f>"128736.00"</f>
        <v>128736.00</v>
      </c>
      <c r="W1037" t="str">
        <f t="shared" si="335"/>
        <v>2017</v>
      </c>
      <c r="X1037" t="str">
        <f>""</f>
        <v/>
      </c>
      <c r="Y1037" t="str">
        <f>"1096.78"</f>
        <v>1096.78</v>
      </c>
      <c r="Z1037" t="str">
        <f>"25500.00"</f>
        <v>25500.00</v>
      </c>
      <c r="AA1037" t="str">
        <f>"105573.00"</f>
        <v>105573.00</v>
      </c>
      <c r="AB1037" t="str">
        <f t="shared" si="326"/>
        <v>Residential</v>
      </c>
      <c r="AC1037" t="str">
        <f t="shared" si="323"/>
        <v>0</v>
      </c>
      <c r="AD1037" t="str">
        <f t="shared" si="339"/>
        <v>4</v>
      </c>
      <c r="AE1037" t="str">
        <f t="shared" si="340"/>
        <v>WOOD (INCLUDE STEEL STUDS)</v>
      </c>
      <c r="AF1037" t="str">
        <f>"001"</f>
        <v>001</v>
      </c>
      <c r="AG1037" t="str">
        <f t="shared" si="338"/>
        <v>FL</v>
      </c>
      <c r="AH1037" t="str">
        <f>"261360.00"</f>
        <v>261360.00</v>
      </c>
      <c r="AI1037" t="str">
        <f>"37800.00"</f>
        <v>37800.00</v>
      </c>
      <c r="AJ1037" t="str">
        <f>"C55-000-587-2760-3"</f>
        <v>C55-000-587-2760-3</v>
      </c>
      <c r="AK1037" t="str">
        <f>"15814"</f>
        <v>15814</v>
      </c>
      <c r="AL1037">
        <v>4</v>
      </c>
      <c r="AM1037">
        <v>1189</v>
      </c>
      <c r="AN1037">
        <v>1150.02</v>
      </c>
      <c r="AQ1037" t="s">
        <v>10680</v>
      </c>
      <c r="AR1037" t="s">
        <v>10680</v>
      </c>
      <c r="AS1037" t="s">
        <v>10680</v>
      </c>
      <c r="AU1037" t="s">
        <v>396</v>
      </c>
      <c r="AV1037">
        <v>2017</v>
      </c>
      <c r="AW1037" t="str">
        <f>"20-4N-25-0000-0009-0060 "</f>
        <v xml:space="preserve">20-4N-25-0000-0009-0060 </v>
      </c>
      <c r="AX1037">
        <v>48658</v>
      </c>
      <c r="AZ1037" t="s">
        <v>2874</v>
      </c>
      <c r="BA1037" t="s">
        <v>653</v>
      </c>
      <c r="BD1037" t="s">
        <v>398</v>
      </c>
      <c r="BE1037" t="s">
        <v>393</v>
      </c>
      <c r="BF1037">
        <v>32046</v>
      </c>
      <c r="BG1037" t="s">
        <v>10681</v>
      </c>
      <c r="BH1037" t="s">
        <v>400</v>
      </c>
      <c r="BI1037">
        <v>-81.833156789267406</v>
      </c>
      <c r="BJ1037">
        <v>30.7468225165882</v>
      </c>
      <c r="BK1037" t="s">
        <v>10682</v>
      </c>
      <c r="BM1037" t="s">
        <v>10683</v>
      </c>
      <c r="BN1037" t="s">
        <v>403</v>
      </c>
      <c r="BO1037">
        <v>32046</v>
      </c>
      <c r="BP1037" t="s">
        <v>404</v>
      </c>
      <c r="BQ1037">
        <v>100</v>
      </c>
      <c r="BR1037" t="s">
        <v>514</v>
      </c>
      <c r="BS1037">
        <v>1001</v>
      </c>
      <c r="BT1037" t="s">
        <v>515</v>
      </c>
      <c r="BW1037">
        <v>261360</v>
      </c>
      <c r="BX1037" t="s">
        <v>407</v>
      </c>
      <c r="BY1037" t="s">
        <v>408</v>
      </c>
      <c r="BZ1037">
        <v>4</v>
      </c>
      <c r="CA1037">
        <v>2007</v>
      </c>
      <c r="CB1037">
        <v>1</v>
      </c>
      <c r="CC1037">
        <v>1</v>
      </c>
      <c r="CD1037">
        <v>2017</v>
      </c>
      <c r="CG1037">
        <v>131073</v>
      </c>
      <c r="CH1037">
        <v>2017</v>
      </c>
      <c r="CI1037">
        <v>37800</v>
      </c>
      <c r="CJ1037">
        <v>112814</v>
      </c>
      <c r="CK1037">
        <v>150614</v>
      </c>
      <c r="CL1037">
        <v>2017</v>
      </c>
      <c r="CM1037">
        <v>1364.77</v>
      </c>
      <c r="CN1037" s="1">
        <v>27760</v>
      </c>
      <c r="CO1037">
        <v>6000</v>
      </c>
      <c r="CZ1037" s="1">
        <v>27760</v>
      </c>
      <c r="DD1037" t="s">
        <v>398</v>
      </c>
      <c r="DG1037">
        <v>20</v>
      </c>
      <c r="DL1037">
        <v>50400</v>
      </c>
      <c r="DM1037" t="s">
        <v>10662</v>
      </c>
      <c r="DO1037" t="s">
        <v>10684</v>
      </c>
      <c r="DP1037">
        <v>0</v>
      </c>
      <c r="DQ1037">
        <v>0</v>
      </c>
      <c r="DR1037" t="s">
        <v>411</v>
      </c>
    </row>
    <row r="1038" spans="1:284" x14ac:dyDescent="0.25">
      <c r="A1038">
        <v>16486045</v>
      </c>
      <c r="B1038">
        <v>1037</v>
      </c>
      <c r="C1038" t="s">
        <v>393</v>
      </c>
      <c r="D1038" t="s">
        <v>394</v>
      </c>
      <c r="F1038" t="str">
        <f>"20-4N-25-0000-0010-0080"</f>
        <v>20-4N-25-0000-0010-0080</v>
      </c>
      <c r="H1038" t="str">
        <f>"ROBERTS RICHARD E &amp; TIA L"</f>
        <v>ROBERTS RICHARD E &amp; TIA L</v>
      </c>
      <c r="I1038" t="str">
        <f>"48303 CRAWFORD LANE"</f>
        <v>48303 CRAWFORD LANE</v>
      </c>
      <c r="J1038" t="str">
        <f t="shared" si="341"/>
        <v>HILLIARD FL 32046</v>
      </c>
      <c r="K1038" t="str">
        <f>"48303 CRAWFORD LN"</f>
        <v>48303 CRAWFORD LN</v>
      </c>
      <c r="L1038" t="str">
        <f t="shared" si="336"/>
        <v>HILLIARD FL 32046</v>
      </c>
      <c r="M1038" t="str">
        <f>"IN OR 1559/1250 1972 ARLI SW"</f>
        <v>IN OR 1559/1250 1972 ARLI SW</v>
      </c>
      <c r="N1038" t="str">
        <f>""</f>
        <v/>
      </c>
      <c r="O1038" t="str">
        <f>"33375"</f>
        <v>33375</v>
      </c>
      <c r="P1038" t="str">
        <f t="shared" si="334"/>
        <v>2017</v>
      </c>
      <c r="Q1038" t="str">
        <f>""</f>
        <v/>
      </c>
      <c r="R1038" t="str">
        <f>"Y"</f>
        <v>Y</v>
      </c>
      <c r="S1038" t="str">
        <f>"3.34"</f>
        <v>3.34</v>
      </c>
      <c r="T1038" t="str">
        <f>"303.88"</f>
        <v>303.88</v>
      </c>
      <c r="U1038" t="str">
        <f>"45073.00"</f>
        <v>45073.00</v>
      </c>
      <c r="V1038" t="str">
        <f>"45073.00"</f>
        <v>45073.00</v>
      </c>
      <c r="W1038" t="str">
        <f t="shared" si="335"/>
        <v>2017</v>
      </c>
      <c r="X1038" t="str">
        <f>"18.71"</f>
        <v>18.71</v>
      </c>
      <c r="Y1038" t="str">
        <f>"345.00"</f>
        <v>345.00</v>
      </c>
      <c r="Z1038" t="str">
        <f>"25000.00"</f>
        <v>25000.00</v>
      </c>
      <c r="AA1038" t="str">
        <f>"20073.00"</f>
        <v>20073.00</v>
      </c>
      <c r="AB1038" t="str">
        <f t="shared" si="326"/>
        <v>Residential</v>
      </c>
      <c r="AC1038" t="str">
        <f t="shared" si="323"/>
        <v>0</v>
      </c>
      <c r="AD1038" t="str">
        <f t="shared" si="339"/>
        <v>4</v>
      </c>
      <c r="AE1038" t="str">
        <f t="shared" si="340"/>
        <v>WOOD (INCLUDE STEEL STUDS)</v>
      </c>
      <c r="AF1038" t="str">
        <f>"002"</f>
        <v>002</v>
      </c>
      <c r="AG1038" t="str">
        <f t="shared" si="338"/>
        <v>FL</v>
      </c>
      <c r="AH1038" t="str">
        <f>"145490.00"</f>
        <v>145490.00</v>
      </c>
      <c r="AI1038" t="str">
        <f>"28056.00"</f>
        <v>28056.00</v>
      </c>
      <c r="AJ1038" t="str">
        <f>"C55-000-587-2769-4"</f>
        <v>C55-000-587-2769-4</v>
      </c>
      <c r="AK1038" t="str">
        <f>"15823"</f>
        <v>15823</v>
      </c>
      <c r="AL1038">
        <v>4</v>
      </c>
      <c r="AM1038">
        <v>1190</v>
      </c>
      <c r="AN1038">
        <v>360.65</v>
      </c>
      <c r="AQ1038" t="s">
        <v>10685</v>
      </c>
      <c r="AR1038" t="s">
        <v>10685</v>
      </c>
      <c r="AS1038" t="s">
        <v>10685</v>
      </c>
      <c r="AU1038" t="s">
        <v>396</v>
      </c>
      <c r="AV1038">
        <v>2017</v>
      </c>
      <c r="AW1038" t="str">
        <f>"20-4N-25-0000-0010-0080 "</f>
        <v xml:space="preserve">20-4N-25-0000-0010-0080 </v>
      </c>
      <c r="AX1038">
        <v>48303</v>
      </c>
      <c r="AZ1038" t="s">
        <v>2874</v>
      </c>
      <c r="BA1038" t="s">
        <v>653</v>
      </c>
      <c r="BD1038" t="s">
        <v>398</v>
      </c>
      <c r="BE1038" t="s">
        <v>393</v>
      </c>
      <c r="BF1038">
        <v>32046</v>
      </c>
      <c r="BG1038" t="s">
        <v>10686</v>
      </c>
      <c r="BH1038" t="s">
        <v>400</v>
      </c>
      <c r="BI1038">
        <v>-81.826327880973395</v>
      </c>
      <c r="BJ1038">
        <v>30.7454867466063</v>
      </c>
      <c r="BK1038" t="s">
        <v>10687</v>
      </c>
      <c r="BL1038" t="s">
        <v>10688</v>
      </c>
      <c r="BM1038" t="s">
        <v>10686</v>
      </c>
      <c r="BN1038" t="s">
        <v>403</v>
      </c>
      <c r="BO1038">
        <v>32046</v>
      </c>
      <c r="BP1038" t="s">
        <v>416</v>
      </c>
      <c r="BQ1038">
        <v>200</v>
      </c>
      <c r="BR1038" t="s">
        <v>405</v>
      </c>
      <c r="BS1038">
        <v>1006</v>
      </c>
      <c r="BT1038" t="s">
        <v>406</v>
      </c>
      <c r="BW1038">
        <v>145490</v>
      </c>
      <c r="BX1038" t="s">
        <v>407</v>
      </c>
      <c r="BY1038" t="s">
        <v>408</v>
      </c>
      <c r="BZ1038">
        <v>4</v>
      </c>
      <c r="CA1038">
        <v>1972</v>
      </c>
      <c r="CB1038">
        <v>1</v>
      </c>
      <c r="CC1038">
        <v>1</v>
      </c>
      <c r="CD1038">
        <v>2017</v>
      </c>
      <c r="CG1038">
        <v>45073</v>
      </c>
      <c r="CH1038">
        <v>2017</v>
      </c>
      <c r="CI1038">
        <v>28056</v>
      </c>
      <c r="CJ1038">
        <v>21449</v>
      </c>
      <c r="CK1038">
        <v>49505</v>
      </c>
      <c r="CL1038">
        <v>2017</v>
      </c>
      <c r="CM1038">
        <v>303.88</v>
      </c>
      <c r="CN1038" s="1">
        <v>39542</v>
      </c>
      <c r="CO1038">
        <v>125000</v>
      </c>
      <c r="CV1038">
        <v>120000</v>
      </c>
      <c r="CX1038" t="s">
        <v>707</v>
      </c>
      <c r="CZ1038" s="1">
        <v>39542</v>
      </c>
      <c r="DA1038">
        <v>0</v>
      </c>
      <c r="DD1038" t="s">
        <v>398</v>
      </c>
      <c r="DG1038">
        <v>20</v>
      </c>
      <c r="DL1038">
        <v>50400</v>
      </c>
      <c r="DM1038" t="s">
        <v>10662</v>
      </c>
      <c r="DO1038" t="s">
        <v>10689</v>
      </c>
      <c r="DP1038">
        <v>0</v>
      </c>
      <c r="DQ1038">
        <v>0</v>
      </c>
      <c r="DR1038" t="s">
        <v>411</v>
      </c>
      <c r="DS1038" t="b">
        <v>1</v>
      </c>
      <c r="DT1038" t="s">
        <v>470</v>
      </c>
      <c r="DU1038" t="s">
        <v>471</v>
      </c>
      <c r="DV1038" t="s">
        <v>472</v>
      </c>
      <c r="DX1038">
        <v>-9999</v>
      </c>
      <c r="DZ1038" t="s">
        <v>447</v>
      </c>
      <c r="EA1038" t="s">
        <v>448</v>
      </c>
      <c r="EB1038" t="s">
        <v>6164</v>
      </c>
      <c r="EC1038">
        <v>20101217</v>
      </c>
      <c r="ED1038" t="s">
        <v>474</v>
      </c>
      <c r="EF1038">
        <v>883.3</v>
      </c>
      <c r="EG1038">
        <v>883.3</v>
      </c>
      <c r="EI1038">
        <v>20160407</v>
      </c>
      <c r="EJ1038">
        <v>0</v>
      </c>
      <c r="EK1038">
        <v>0</v>
      </c>
      <c r="EP1038" t="s">
        <v>421</v>
      </c>
      <c r="EQ1038" t="s">
        <v>422</v>
      </c>
      <c r="ER1038">
        <v>4</v>
      </c>
      <c r="ES1038">
        <v>5</v>
      </c>
      <c r="ET1038">
        <v>1374.48</v>
      </c>
      <c r="EU1038">
        <v>93.72</v>
      </c>
      <c r="EV1038">
        <v>1468.2</v>
      </c>
      <c r="EW1038" s="2">
        <v>43222</v>
      </c>
      <c r="EX1038" s="1">
        <v>42879</v>
      </c>
      <c r="EY1038">
        <v>2016</v>
      </c>
      <c r="EZ1038">
        <v>344.86</v>
      </c>
      <c r="FA1038" t="s">
        <v>10690</v>
      </c>
      <c r="FB1038">
        <v>0.25</v>
      </c>
      <c r="FC1038" t="s">
        <v>424</v>
      </c>
      <c r="FD1038" t="s">
        <v>454</v>
      </c>
      <c r="FF1038">
        <v>12</v>
      </c>
      <c r="FG1038">
        <v>2851116</v>
      </c>
      <c r="FH1038" t="s">
        <v>480</v>
      </c>
      <c r="FJ1038" s="1">
        <v>42879</v>
      </c>
      <c r="FK1038">
        <v>2016</v>
      </c>
      <c r="FL1038">
        <v>344.86</v>
      </c>
      <c r="FM1038" t="s">
        <v>10690</v>
      </c>
      <c r="FN1038">
        <v>0.25</v>
      </c>
      <c r="FO1038" t="s">
        <v>424</v>
      </c>
      <c r="FP1038" t="s">
        <v>454</v>
      </c>
      <c r="FR1038">
        <v>12</v>
      </c>
      <c r="FS1038">
        <v>5289643</v>
      </c>
      <c r="FT1038" t="s">
        <v>10691</v>
      </c>
      <c r="FV1038" s="1">
        <v>42515</v>
      </c>
      <c r="FW1038">
        <v>2015</v>
      </c>
      <c r="FX1038">
        <v>342.38</v>
      </c>
      <c r="FY1038" t="s">
        <v>10692</v>
      </c>
      <c r="FZ1038">
        <v>0.25</v>
      </c>
      <c r="GA1038" t="s">
        <v>424</v>
      </c>
      <c r="GB1038" t="s">
        <v>454</v>
      </c>
      <c r="GD1038">
        <v>24</v>
      </c>
      <c r="GE1038">
        <v>2851116</v>
      </c>
      <c r="GF1038" t="s">
        <v>480</v>
      </c>
      <c r="GH1038" s="1">
        <v>42515</v>
      </c>
      <c r="GI1038">
        <v>2015</v>
      </c>
      <c r="GJ1038">
        <v>342.38</v>
      </c>
      <c r="GK1038" t="s">
        <v>10692</v>
      </c>
      <c r="GL1038">
        <v>0.25</v>
      </c>
      <c r="GM1038" t="s">
        <v>424</v>
      </c>
      <c r="GN1038" t="s">
        <v>454</v>
      </c>
      <c r="GP1038">
        <v>24</v>
      </c>
      <c r="GQ1038">
        <v>5280798</v>
      </c>
      <c r="GR1038" t="s">
        <v>10693</v>
      </c>
      <c r="GT1038" s="1">
        <v>42151</v>
      </c>
      <c r="GU1038">
        <v>2014</v>
      </c>
      <c r="GV1038">
        <v>338.04</v>
      </c>
      <c r="GW1038" t="s">
        <v>10694</v>
      </c>
      <c r="GX1038">
        <v>0.25</v>
      </c>
      <c r="GY1038" t="s">
        <v>424</v>
      </c>
      <c r="GZ1038" t="s">
        <v>425</v>
      </c>
      <c r="HA1038" s="1">
        <v>42781</v>
      </c>
      <c r="HB1038">
        <v>21</v>
      </c>
      <c r="HC1038">
        <v>2851116</v>
      </c>
      <c r="HD1038" t="s">
        <v>480</v>
      </c>
      <c r="HF1038" s="1">
        <v>42151</v>
      </c>
      <c r="HG1038">
        <v>2014</v>
      </c>
      <c r="HH1038">
        <v>338.04</v>
      </c>
      <c r="HI1038" t="s">
        <v>10694</v>
      </c>
      <c r="HJ1038">
        <v>0.25</v>
      </c>
      <c r="HK1038" t="s">
        <v>424</v>
      </c>
      <c r="HL1038" t="s">
        <v>425</v>
      </c>
      <c r="HN1038">
        <v>22</v>
      </c>
      <c r="HO1038">
        <v>5056340</v>
      </c>
      <c r="HP1038" t="s">
        <v>10695</v>
      </c>
      <c r="HR1038" s="1">
        <v>41787</v>
      </c>
      <c r="HS1038">
        <v>2013</v>
      </c>
      <c r="HT1038">
        <v>439.82</v>
      </c>
      <c r="HU1038" t="s">
        <v>10696</v>
      </c>
      <c r="HV1038">
        <v>0.25</v>
      </c>
      <c r="HW1038" t="s">
        <v>424</v>
      </c>
      <c r="HX1038" t="s">
        <v>425</v>
      </c>
      <c r="HY1038" s="1">
        <v>42409</v>
      </c>
      <c r="HZ1038">
        <v>21</v>
      </c>
      <c r="IA1038">
        <v>13026</v>
      </c>
      <c r="IB1038" t="s">
        <v>2129</v>
      </c>
      <c r="ID1038" s="1">
        <v>41052</v>
      </c>
      <c r="IE1038">
        <v>2011</v>
      </c>
      <c r="IF1038">
        <v>1205.1199999999999</v>
      </c>
      <c r="IG1038" t="s">
        <v>10697</v>
      </c>
      <c r="IH1038">
        <v>6</v>
      </c>
      <c r="II1038" t="s">
        <v>424</v>
      </c>
      <c r="IJ1038" t="s">
        <v>425</v>
      </c>
      <c r="IK1038" s="1">
        <v>41397</v>
      </c>
      <c r="IL1038">
        <v>12</v>
      </c>
      <c r="IM1038">
        <v>10125</v>
      </c>
      <c r="IN1038" t="s">
        <v>440</v>
      </c>
      <c r="IP1038" s="1">
        <v>40688</v>
      </c>
      <c r="IQ1038">
        <v>2010</v>
      </c>
      <c r="IR1038">
        <v>1209.2</v>
      </c>
      <c r="IS1038" t="s">
        <v>10698</v>
      </c>
      <c r="IT1038">
        <v>6.75</v>
      </c>
      <c r="IU1038" t="s">
        <v>424</v>
      </c>
      <c r="IV1038" t="s">
        <v>425</v>
      </c>
      <c r="IW1038" s="1">
        <v>41397</v>
      </c>
      <c r="IX1038">
        <v>24</v>
      </c>
      <c r="IY1038">
        <v>105</v>
      </c>
      <c r="IZ1038" t="s">
        <v>946</v>
      </c>
    </row>
    <row r="1039" spans="1:284" x14ac:dyDescent="0.25">
      <c r="A1039">
        <v>16486046</v>
      </c>
      <c r="B1039">
        <v>1038</v>
      </c>
      <c r="C1039" t="s">
        <v>393</v>
      </c>
      <c r="D1039" t="s">
        <v>394</v>
      </c>
      <c r="F1039" t="str">
        <f>"20-4N-25-4210-0001-0000"</f>
        <v>20-4N-25-4210-0001-0000</v>
      </c>
      <c r="H1039" t="str">
        <f>"KATO JOHN H"</f>
        <v>KATO JOHN H</v>
      </c>
      <c r="I1039" t="str">
        <f>"473951 MIDDLE RD"</f>
        <v>473951 MIDDLE RD</v>
      </c>
      <c r="J1039" t="str">
        <f t="shared" si="341"/>
        <v>HILLIARD FL 32046</v>
      </c>
      <c r="K1039" t="str">
        <f>"473951 MIDDLE RD"</f>
        <v>473951 MIDDLE RD</v>
      </c>
      <c r="L1039" t="str">
        <f t="shared" si="336"/>
        <v>HILLIARD FL 32046</v>
      </c>
      <c r="M1039" t="str">
        <f>"TRACT 1 IN OR 1977/1323 D/W 84 SANT KINGS FERRY FORREST PB 5/25"</f>
        <v>TRACT 1 IN OR 1977/1323 D/W 84 SANT KINGS FERRY FORREST PB 5/25</v>
      </c>
      <c r="N1039" t="str">
        <f>""</f>
        <v/>
      </c>
      <c r="O1039" t="str">
        <f>"33379"</f>
        <v>33379</v>
      </c>
      <c r="P1039" t="str">
        <f t="shared" si="334"/>
        <v>2017</v>
      </c>
      <c r="Q1039" t="str">
        <f>""</f>
        <v/>
      </c>
      <c r="R1039" t="str">
        <f>"Y"</f>
        <v>Y</v>
      </c>
      <c r="S1039" t="str">
        <f>"4.26"</f>
        <v>4.26</v>
      </c>
      <c r="T1039" t="str">
        <f>"380.29"</f>
        <v>380.29</v>
      </c>
      <c r="U1039" t="str">
        <f>"50274.00"</f>
        <v>50274.00</v>
      </c>
      <c r="V1039" t="str">
        <f>"50274.00"</f>
        <v>50274.00</v>
      </c>
      <c r="W1039" t="str">
        <f t="shared" si="335"/>
        <v>2017</v>
      </c>
      <c r="X1039" t="str">
        <f>"11.00"</f>
        <v>11.00</v>
      </c>
      <c r="Y1039" t="str">
        <f>"423.70"</f>
        <v>423.70</v>
      </c>
      <c r="Z1039" t="str">
        <f>"25000.00"</f>
        <v>25000.00</v>
      </c>
      <c r="AA1039" t="str">
        <f>"25274.00"</f>
        <v>25274.00</v>
      </c>
      <c r="AB1039" t="str">
        <f t="shared" si="326"/>
        <v>Residential</v>
      </c>
      <c r="AC1039" t="str">
        <f t="shared" si="323"/>
        <v>0</v>
      </c>
      <c r="AD1039" t="str">
        <f t="shared" si="339"/>
        <v>4</v>
      </c>
      <c r="AE1039" t="str">
        <f t="shared" si="340"/>
        <v>WOOD (INCLUDE STEEL STUDS)</v>
      </c>
      <c r="AF1039" t="str">
        <f>"002"</f>
        <v>002</v>
      </c>
      <c r="AG1039" t="str">
        <f t="shared" si="338"/>
        <v>FL</v>
      </c>
      <c r="AH1039" t="str">
        <f>"185565.00"</f>
        <v>185565.00</v>
      </c>
      <c r="AI1039" t="str">
        <f>"35784.00"</f>
        <v>35784.00</v>
      </c>
      <c r="AJ1039" t="str">
        <f>"C55-000-587-2772-8"</f>
        <v>C55-000-587-2772-8</v>
      </c>
      <c r="AK1039" t="str">
        <f>"15825"</f>
        <v>15825</v>
      </c>
      <c r="AL1039">
        <v>4</v>
      </c>
      <c r="AM1039">
        <v>1191</v>
      </c>
      <c r="AN1039">
        <v>443.29</v>
      </c>
      <c r="AQ1039" t="s">
        <v>10699</v>
      </c>
      <c r="AR1039" t="s">
        <v>10699</v>
      </c>
      <c r="AS1039" t="s">
        <v>10699</v>
      </c>
      <c r="AU1039" t="s">
        <v>396</v>
      </c>
      <c r="AV1039">
        <v>2017</v>
      </c>
      <c r="AW1039" t="str">
        <f>"20-4N-25-4210-0001-0000 "</f>
        <v xml:space="preserve">20-4N-25-4210-0001-0000 </v>
      </c>
      <c r="AX1039">
        <v>473951</v>
      </c>
      <c r="AZ1039" t="s">
        <v>1825</v>
      </c>
      <c r="BA1039" t="s">
        <v>496</v>
      </c>
      <c r="BD1039" t="s">
        <v>398</v>
      </c>
      <c r="BE1039" t="s">
        <v>393</v>
      </c>
      <c r="BF1039">
        <v>32046</v>
      </c>
      <c r="BG1039" t="s">
        <v>10700</v>
      </c>
      <c r="BH1039" t="s">
        <v>400</v>
      </c>
      <c r="BI1039">
        <v>-81.822330736641902</v>
      </c>
      <c r="BJ1039">
        <v>30.750809593751502</v>
      </c>
      <c r="BK1039" t="s">
        <v>10701</v>
      </c>
      <c r="BM1039" t="s">
        <v>10702</v>
      </c>
      <c r="BN1039" t="s">
        <v>1778</v>
      </c>
      <c r="BO1039">
        <v>32097</v>
      </c>
      <c r="BP1039" t="s">
        <v>404</v>
      </c>
      <c r="BQ1039">
        <v>200</v>
      </c>
      <c r="BR1039" t="s">
        <v>405</v>
      </c>
      <c r="BS1039">
        <v>1006</v>
      </c>
      <c r="BT1039" t="s">
        <v>406</v>
      </c>
      <c r="BW1039">
        <v>185565</v>
      </c>
      <c r="BX1039" t="s">
        <v>407</v>
      </c>
      <c r="BY1039" t="s">
        <v>408</v>
      </c>
      <c r="BZ1039">
        <v>4</v>
      </c>
      <c r="CA1039">
        <v>1984</v>
      </c>
      <c r="CB1039">
        <v>1</v>
      </c>
      <c r="CC1039">
        <v>1</v>
      </c>
      <c r="CD1039">
        <v>2017</v>
      </c>
      <c r="CG1039">
        <v>50274</v>
      </c>
      <c r="CH1039">
        <v>2017</v>
      </c>
      <c r="CI1039">
        <v>35784</v>
      </c>
      <c r="CJ1039">
        <v>16992</v>
      </c>
      <c r="CK1039">
        <v>52776</v>
      </c>
      <c r="CL1039">
        <v>2017</v>
      </c>
      <c r="CM1039">
        <v>380.29</v>
      </c>
      <c r="CN1039" s="1">
        <v>42128</v>
      </c>
      <c r="CO1039">
        <v>67000</v>
      </c>
      <c r="CV1039">
        <v>0</v>
      </c>
      <c r="CZ1039" s="1">
        <v>42128</v>
      </c>
      <c r="DA1039">
        <v>0</v>
      </c>
      <c r="DD1039" t="s">
        <v>398</v>
      </c>
      <c r="DG1039">
        <v>20</v>
      </c>
      <c r="DL1039">
        <v>50400</v>
      </c>
      <c r="DM1039" t="s">
        <v>10662</v>
      </c>
      <c r="DO1039" t="s">
        <v>10703</v>
      </c>
      <c r="DP1039">
        <v>0</v>
      </c>
      <c r="DQ1039">
        <v>0</v>
      </c>
      <c r="DR1039" t="s">
        <v>411</v>
      </c>
      <c r="DS1039" t="b">
        <v>1</v>
      </c>
      <c r="DT1039" t="s">
        <v>470</v>
      </c>
      <c r="DU1039" t="s">
        <v>471</v>
      </c>
      <c r="DV1039" t="s">
        <v>472</v>
      </c>
      <c r="DX1039">
        <v>-9999</v>
      </c>
      <c r="DZ1039" t="s">
        <v>447</v>
      </c>
      <c r="EA1039" t="s">
        <v>448</v>
      </c>
      <c r="EB1039" t="s">
        <v>6164</v>
      </c>
      <c r="EC1039">
        <v>20101217</v>
      </c>
      <c r="ED1039" t="s">
        <v>474</v>
      </c>
      <c r="EF1039">
        <v>16.7</v>
      </c>
      <c r="EG1039">
        <v>16.7</v>
      </c>
      <c r="EI1039">
        <v>20160407</v>
      </c>
      <c r="EJ1039">
        <v>0</v>
      </c>
      <c r="EK1039">
        <v>0</v>
      </c>
      <c r="EP1039" t="s">
        <v>421</v>
      </c>
      <c r="EQ1039" t="s">
        <v>422</v>
      </c>
      <c r="ER1039">
        <v>0</v>
      </c>
      <c r="ES1039">
        <v>2</v>
      </c>
      <c r="ET1039">
        <v>0</v>
      </c>
      <c r="EU1039">
        <v>0</v>
      </c>
      <c r="EV1039">
        <v>0</v>
      </c>
      <c r="EW1039" s="2">
        <v>43222</v>
      </c>
      <c r="EX1039" s="1">
        <v>42515</v>
      </c>
      <c r="EY1039">
        <v>2015</v>
      </c>
      <c r="EZ1039">
        <v>901.96</v>
      </c>
      <c r="FA1039" t="s">
        <v>10704</v>
      </c>
      <c r="FB1039">
        <v>0.25</v>
      </c>
      <c r="FC1039" t="s">
        <v>424</v>
      </c>
      <c r="FD1039" t="s">
        <v>425</v>
      </c>
      <c r="FE1039" s="1">
        <v>42835</v>
      </c>
      <c r="FF1039">
        <v>11</v>
      </c>
      <c r="FG1039">
        <v>2851116</v>
      </c>
      <c r="FH1039" t="s">
        <v>480</v>
      </c>
      <c r="FJ1039" s="1">
        <v>42515</v>
      </c>
      <c r="FK1039">
        <v>2015</v>
      </c>
      <c r="FL1039">
        <v>901.96</v>
      </c>
      <c r="FM1039" t="s">
        <v>10704</v>
      </c>
      <c r="FN1039">
        <v>0.25</v>
      </c>
      <c r="FO1039" t="s">
        <v>424</v>
      </c>
      <c r="FP1039" t="s">
        <v>425</v>
      </c>
      <c r="FR1039">
        <v>22</v>
      </c>
      <c r="FS1039">
        <v>5716651</v>
      </c>
      <c r="FT1039" t="s">
        <v>10705</v>
      </c>
    </row>
    <row r="1040" spans="1:284" x14ac:dyDescent="0.25">
      <c r="A1040">
        <v>16486047</v>
      </c>
      <c r="B1040">
        <v>1039</v>
      </c>
      <c r="C1040" t="s">
        <v>393</v>
      </c>
      <c r="D1040" t="s">
        <v>394</v>
      </c>
      <c r="F1040" t="str">
        <f>"21-4N-25-0000-0001-0010"</f>
        <v>21-4N-25-0000-0001-0010</v>
      </c>
      <c r="H1040" t="str">
        <f>"MALONE ERIC M &amp; JENNIFER L"</f>
        <v>MALONE ERIC M &amp; JENNIFER L</v>
      </c>
      <c r="I1040" t="str">
        <f>"574715 LESSIE RD"</f>
        <v>574715 LESSIE RD</v>
      </c>
      <c r="J1040" t="str">
        <f t="shared" si="341"/>
        <v>HILLIARD FL 32046</v>
      </c>
      <c r="K1040" t="str">
        <f>"574715 LESSIE RD"</f>
        <v>574715 LESSIE RD</v>
      </c>
      <c r="L1040" t="str">
        <f t="shared" si="336"/>
        <v>HILLIARD FL 32046</v>
      </c>
      <c r="M1040" t="str">
        <f>"PT GOVT LOT 1 OF SEC 21-4N-25E IN OR 1568/918 (EX R/W OR 602/672) {1998 MERI DW/MH}"</f>
        <v>PT GOVT LOT 1 OF SEC 21-4N-25E IN OR 1568/918 (EX R/W OR 602/672) {1998 MERI DW/MH}</v>
      </c>
      <c r="N1040" t="str">
        <f>""</f>
        <v/>
      </c>
      <c r="O1040" t="str">
        <f>"33562"</f>
        <v>33562</v>
      </c>
      <c r="P1040" t="str">
        <f t="shared" si="334"/>
        <v>2017</v>
      </c>
      <c r="Q1040" t="str">
        <f>""</f>
        <v/>
      </c>
      <c r="R1040" t="str">
        <f>"Y"</f>
        <v>Y</v>
      </c>
      <c r="S1040" t="str">
        <f>"3.01"</f>
        <v>3.01</v>
      </c>
      <c r="T1040" t="str">
        <f>"468.85"</f>
        <v>468.85</v>
      </c>
      <c r="U1040" t="str">
        <f>"63696.00"</f>
        <v>63696.00</v>
      </c>
      <c r="V1040" t="str">
        <f>"63696.00"</f>
        <v>63696.00</v>
      </c>
      <c r="W1040" t="str">
        <f t="shared" si="335"/>
        <v>2017</v>
      </c>
      <c r="X1040" t="str">
        <f>"15.60"</f>
        <v>15.60</v>
      </c>
      <c r="Y1040" t="str">
        <f>"514.92"</f>
        <v>514.92</v>
      </c>
      <c r="Z1040" t="str">
        <f>"25000.00"</f>
        <v>25000.00</v>
      </c>
      <c r="AA1040" t="str">
        <f>"38696.00"</f>
        <v>38696.00</v>
      </c>
      <c r="AB1040" t="str">
        <f t="shared" si="326"/>
        <v>Residential</v>
      </c>
      <c r="AC1040" t="str">
        <f t="shared" si="323"/>
        <v>0</v>
      </c>
      <c r="AD1040" t="str">
        <f t="shared" si="339"/>
        <v>4</v>
      </c>
      <c r="AE1040" t="str">
        <f t="shared" si="340"/>
        <v>WOOD (INCLUDE STEEL STUDS)</v>
      </c>
      <c r="AF1040" t="str">
        <f>"002"</f>
        <v>002</v>
      </c>
      <c r="AG1040" t="str">
        <f t="shared" si="338"/>
        <v>FL</v>
      </c>
      <c r="AH1040" t="str">
        <f>"131115.00"</f>
        <v>131115.00</v>
      </c>
      <c r="AI1040" t="str">
        <f>"18963.00"</f>
        <v>18963.00</v>
      </c>
      <c r="AJ1040" t="str">
        <f>"C55-000-587-2926-0"</f>
        <v>C55-000-587-2926-0</v>
      </c>
      <c r="AK1040" t="str">
        <f>"15830"</f>
        <v>15830</v>
      </c>
      <c r="AL1040">
        <v>4</v>
      </c>
      <c r="AM1040">
        <v>1192</v>
      </c>
      <c r="AN1040">
        <v>539.07000000000005</v>
      </c>
      <c r="AQ1040" t="s">
        <v>10706</v>
      </c>
      <c r="AR1040" t="s">
        <v>10706</v>
      </c>
      <c r="AS1040" t="s">
        <v>10706</v>
      </c>
      <c r="AU1040" t="s">
        <v>396</v>
      </c>
      <c r="AV1040">
        <v>2017</v>
      </c>
      <c r="AW1040" t="str">
        <f>"21-4N-25-0000-0001-0010 "</f>
        <v xml:space="preserve">21-4N-25-0000-0001-0010 </v>
      </c>
      <c r="AX1040">
        <v>574715</v>
      </c>
      <c r="AZ1040" t="s">
        <v>10707</v>
      </c>
      <c r="BA1040" t="s">
        <v>496</v>
      </c>
      <c r="BD1040" t="s">
        <v>398</v>
      </c>
      <c r="BE1040" t="s">
        <v>393</v>
      </c>
      <c r="BF1040">
        <v>32046</v>
      </c>
      <c r="BG1040" t="s">
        <v>10708</v>
      </c>
      <c r="BH1040" t="s">
        <v>400</v>
      </c>
      <c r="BI1040">
        <v>-81.804412140368996</v>
      </c>
      <c r="BJ1040">
        <v>30.758058691085701</v>
      </c>
      <c r="BK1040" t="s">
        <v>10709</v>
      </c>
      <c r="BL1040" t="s">
        <v>10710</v>
      </c>
      <c r="BM1040" t="s">
        <v>10708</v>
      </c>
      <c r="BN1040" t="s">
        <v>403</v>
      </c>
      <c r="BO1040">
        <v>32046</v>
      </c>
      <c r="BP1040" t="s">
        <v>416</v>
      </c>
      <c r="BQ1040">
        <v>200</v>
      </c>
      <c r="BR1040" t="s">
        <v>405</v>
      </c>
      <c r="BS1040">
        <v>1006</v>
      </c>
      <c r="BT1040" t="s">
        <v>406</v>
      </c>
      <c r="BW1040">
        <v>131115</v>
      </c>
      <c r="BX1040" t="s">
        <v>407</v>
      </c>
      <c r="BY1040" t="s">
        <v>408</v>
      </c>
      <c r="BZ1040">
        <v>4</v>
      </c>
      <c r="CA1040">
        <v>1998</v>
      </c>
      <c r="CB1040">
        <v>1</v>
      </c>
      <c r="CC1040">
        <v>1</v>
      </c>
      <c r="CD1040">
        <v>2017</v>
      </c>
      <c r="CG1040">
        <v>63696</v>
      </c>
      <c r="CH1040">
        <v>2017</v>
      </c>
      <c r="CI1040">
        <v>18963</v>
      </c>
      <c r="CJ1040">
        <v>55698</v>
      </c>
      <c r="CK1040">
        <v>74661</v>
      </c>
      <c r="CL1040">
        <v>2017</v>
      </c>
      <c r="CM1040">
        <v>468.85</v>
      </c>
      <c r="CN1040" s="1">
        <v>38978</v>
      </c>
      <c r="CO1040">
        <v>78000</v>
      </c>
      <c r="CV1040">
        <v>63000</v>
      </c>
      <c r="CX1040" t="s">
        <v>693</v>
      </c>
      <c r="CZ1040" s="1">
        <v>38978</v>
      </c>
      <c r="DA1040">
        <v>0</v>
      </c>
      <c r="DD1040" t="s">
        <v>398</v>
      </c>
      <c r="DF1040">
        <v>1</v>
      </c>
      <c r="DG1040">
        <v>21</v>
      </c>
      <c r="DL1040">
        <v>50400</v>
      </c>
      <c r="DM1040" t="s">
        <v>10711</v>
      </c>
      <c r="DO1040" t="s">
        <v>10712</v>
      </c>
      <c r="DP1040">
        <v>0</v>
      </c>
      <c r="DQ1040">
        <v>0</v>
      </c>
      <c r="DR1040" t="s">
        <v>411</v>
      </c>
      <c r="DS1040" t="b">
        <v>1</v>
      </c>
      <c r="DT1040" t="s">
        <v>396</v>
      </c>
      <c r="DV1040" t="s">
        <v>446</v>
      </c>
      <c r="DX1040">
        <v>-9999</v>
      </c>
      <c r="DZ1040" t="s">
        <v>447</v>
      </c>
      <c r="EA1040" t="s">
        <v>448</v>
      </c>
      <c r="EB1040" t="s">
        <v>449</v>
      </c>
      <c r="EC1040">
        <v>20101217</v>
      </c>
      <c r="ED1040" t="s">
        <v>450</v>
      </c>
      <c r="EE1040">
        <v>8.5</v>
      </c>
      <c r="EF1040">
        <v>0</v>
      </c>
      <c r="EG1040">
        <v>0</v>
      </c>
      <c r="EI1040">
        <v>20160407</v>
      </c>
      <c r="EJ1040">
        <v>0</v>
      </c>
      <c r="EK1040">
        <v>0</v>
      </c>
      <c r="EP1040" t="s">
        <v>421</v>
      </c>
      <c r="EQ1040" t="s">
        <v>422</v>
      </c>
      <c r="ER1040">
        <v>2</v>
      </c>
      <c r="ES1040">
        <v>6</v>
      </c>
      <c r="ET1040">
        <v>1066.1600000000001</v>
      </c>
      <c r="EU1040">
        <v>65.81</v>
      </c>
      <c r="EV1040">
        <v>1131.97</v>
      </c>
      <c r="EW1040" s="2">
        <v>43222</v>
      </c>
      <c r="EX1040" s="1">
        <v>42879</v>
      </c>
      <c r="EY1040">
        <v>2016</v>
      </c>
      <c r="EZ1040">
        <v>533.08000000000004</v>
      </c>
      <c r="FA1040" t="s">
        <v>10713</v>
      </c>
      <c r="FB1040">
        <v>0.25</v>
      </c>
      <c r="FC1040" t="s">
        <v>424</v>
      </c>
      <c r="FD1040" t="s">
        <v>454</v>
      </c>
      <c r="FF1040">
        <v>12</v>
      </c>
      <c r="FG1040">
        <v>11289</v>
      </c>
      <c r="FH1040" t="s">
        <v>787</v>
      </c>
      <c r="FJ1040" s="1">
        <v>42879</v>
      </c>
      <c r="FK1040">
        <v>2016</v>
      </c>
      <c r="FL1040">
        <v>533.08000000000004</v>
      </c>
      <c r="FM1040" t="s">
        <v>10713</v>
      </c>
      <c r="FN1040">
        <v>0.25</v>
      </c>
      <c r="FO1040" t="s">
        <v>424</v>
      </c>
      <c r="FP1040" t="s">
        <v>454</v>
      </c>
      <c r="FR1040">
        <v>12</v>
      </c>
      <c r="FS1040">
        <v>7263080</v>
      </c>
      <c r="FT1040" t="s">
        <v>10714</v>
      </c>
      <c r="FV1040" s="1">
        <v>42515</v>
      </c>
      <c r="FW1040">
        <v>2015</v>
      </c>
      <c r="FX1040">
        <v>539.6</v>
      </c>
      <c r="FY1040" t="s">
        <v>10715</v>
      </c>
      <c r="FZ1040">
        <v>0.25</v>
      </c>
      <c r="GA1040" t="s">
        <v>424</v>
      </c>
      <c r="GB1040" t="s">
        <v>425</v>
      </c>
      <c r="GC1040" s="1">
        <v>43153</v>
      </c>
      <c r="GD1040">
        <v>21</v>
      </c>
      <c r="GE1040">
        <v>11289</v>
      </c>
      <c r="GF1040" t="s">
        <v>787</v>
      </c>
      <c r="GH1040" s="1">
        <v>42515</v>
      </c>
      <c r="GI1040">
        <v>2015</v>
      </c>
      <c r="GJ1040">
        <v>539.6</v>
      </c>
      <c r="GK1040" t="s">
        <v>10715</v>
      </c>
      <c r="GL1040">
        <v>0.25</v>
      </c>
      <c r="GM1040" t="s">
        <v>424</v>
      </c>
      <c r="GN1040" t="s">
        <v>425</v>
      </c>
      <c r="GP1040">
        <v>22</v>
      </c>
      <c r="GQ1040">
        <v>7077075</v>
      </c>
      <c r="GR1040" t="s">
        <v>10716</v>
      </c>
      <c r="GT1040" s="1">
        <v>42151</v>
      </c>
      <c r="GU1040">
        <v>2014</v>
      </c>
      <c r="GV1040">
        <v>546.32000000000005</v>
      </c>
      <c r="GW1040" t="s">
        <v>10717</v>
      </c>
      <c r="GX1040">
        <v>0.25</v>
      </c>
      <c r="GY1040" t="s">
        <v>424</v>
      </c>
      <c r="GZ1040" t="s">
        <v>425</v>
      </c>
      <c r="HA1040" s="1">
        <v>42765</v>
      </c>
      <c r="HB1040">
        <v>20</v>
      </c>
      <c r="HC1040">
        <v>2851116</v>
      </c>
      <c r="HD1040" t="s">
        <v>480</v>
      </c>
      <c r="HF1040" s="1">
        <v>42151</v>
      </c>
      <c r="HG1040">
        <v>2014</v>
      </c>
      <c r="HH1040">
        <v>546.32000000000005</v>
      </c>
      <c r="HI1040" t="s">
        <v>10717</v>
      </c>
      <c r="HJ1040">
        <v>0.25</v>
      </c>
      <c r="HK1040" t="s">
        <v>424</v>
      </c>
      <c r="HL1040" t="s">
        <v>425</v>
      </c>
      <c r="HN1040">
        <v>22</v>
      </c>
      <c r="HO1040">
        <v>4911349</v>
      </c>
      <c r="HP1040" t="s">
        <v>10718</v>
      </c>
      <c r="HR1040" s="1">
        <v>41787</v>
      </c>
      <c r="HS1040">
        <v>2013</v>
      </c>
      <c r="HT1040">
        <v>535.21</v>
      </c>
      <c r="HU1040" t="s">
        <v>10719</v>
      </c>
      <c r="HV1040">
        <v>0.25</v>
      </c>
      <c r="HW1040" t="s">
        <v>424</v>
      </c>
      <c r="HX1040" t="s">
        <v>425</v>
      </c>
      <c r="HY1040" s="1">
        <v>42457</v>
      </c>
      <c r="HZ1040">
        <v>22</v>
      </c>
      <c r="IA1040">
        <v>2407503</v>
      </c>
      <c r="IB1040" t="s">
        <v>461</v>
      </c>
      <c r="ID1040" s="1">
        <v>41423</v>
      </c>
      <c r="IE1040">
        <v>2012</v>
      </c>
      <c r="IF1040">
        <v>534.32000000000005</v>
      </c>
      <c r="IG1040" t="s">
        <v>10720</v>
      </c>
      <c r="IH1040">
        <v>0.25</v>
      </c>
      <c r="II1040" t="s">
        <v>424</v>
      </c>
      <c r="IJ1040" t="s">
        <v>425</v>
      </c>
      <c r="IK1040" s="1">
        <v>41753</v>
      </c>
      <c r="IL1040">
        <v>11</v>
      </c>
      <c r="IM1040">
        <v>15399</v>
      </c>
      <c r="IN1040" t="s">
        <v>485</v>
      </c>
    </row>
    <row r="1041" spans="1:272" x14ac:dyDescent="0.25">
      <c r="A1041">
        <v>16486048</v>
      </c>
      <c r="B1041">
        <v>1040</v>
      </c>
      <c r="C1041" t="s">
        <v>393</v>
      </c>
      <c r="D1041" t="s">
        <v>394</v>
      </c>
      <c r="F1041" t="str">
        <f>"22-4N-25-0000-0004-0010"</f>
        <v>22-4N-25-0000-0004-0010</v>
      </c>
      <c r="H1041" t="str">
        <f>"WILLIAMSON GERALD M EST"</f>
        <v>WILLIAMSON GERALD M EST</v>
      </c>
      <c r="I1041" t="str">
        <f>"574154 LESSIE ROAD"</f>
        <v>574154 LESSIE ROAD</v>
      </c>
      <c r="J1041" t="str">
        <f t="shared" si="341"/>
        <v>HILLIARD FL 32046</v>
      </c>
      <c r="K1041" t="str">
        <f>"574154 LESSIE RD"</f>
        <v>574154 LESSIE RD</v>
      </c>
      <c r="L1041" t="str">
        <f t="shared" si="336"/>
        <v>HILLIARD FL 32046</v>
      </c>
      <c r="M1041" t="str">
        <f>"PT GOVT LOT 2 OF SEC 22-4N-25E IN OR 745/1295 (EX R/W OR 614/925) {R621630}"</f>
        <v>PT GOVT LOT 2 OF SEC 22-4N-25E IN OR 745/1295 (EX R/W OR 614/925) {R621630}</v>
      </c>
      <c r="N1041" t="str">
        <f>""</f>
        <v/>
      </c>
      <c r="O1041" t="str">
        <f>"33787"</f>
        <v>33787</v>
      </c>
      <c r="P1041" t="str">
        <f t="shared" si="334"/>
        <v>2017</v>
      </c>
      <c r="Q1041" t="str">
        <f>""</f>
        <v/>
      </c>
      <c r="R1041" t="str">
        <f t="shared" ref="R1041:R1050" si="342">"N"</f>
        <v>N</v>
      </c>
      <c r="S1041" t="str">
        <f>"2.16"</f>
        <v>2.16</v>
      </c>
      <c r="T1041" t="str">
        <f>"647.66"</f>
        <v>647.66</v>
      </c>
      <c r="U1041" t="str">
        <f>"42782.00"</f>
        <v>42782.00</v>
      </c>
      <c r="V1041" t="str">
        <f>"42782.00"</f>
        <v>42782.00</v>
      </c>
      <c r="W1041" t="str">
        <f t="shared" si="335"/>
        <v>2017</v>
      </c>
      <c r="X1041" t="str">
        <f>"17.00"</f>
        <v>17.00</v>
      </c>
      <c r="Y1041" t="str">
        <f>"699.09"</f>
        <v>699.09</v>
      </c>
      <c r="Z1041" t="str">
        <f>""</f>
        <v/>
      </c>
      <c r="AA1041" t="str">
        <f>"42782.00"</f>
        <v>42782.00</v>
      </c>
      <c r="AB1041" t="str">
        <f t="shared" si="326"/>
        <v>Residential</v>
      </c>
      <c r="AC1041" t="str">
        <f t="shared" si="323"/>
        <v>0</v>
      </c>
      <c r="AD1041" t="str">
        <f t="shared" si="339"/>
        <v>4</v>
      </c>
      <c r="AE1041" t="str">
        <f t="shared" si="340"/>
        <v>WOOD (INCLUDE STEEL STUDS)</v>
      </c>
      <c r="AF1041" t="str">
        <f>"002"</f>
        <v>002</v>
      </c>
      <c r="AG1041" t="str">
        <f t="shared" si="338"/>
        <v>FL</v>
      </c>
      <c r="AH1041" t="str">
        <f>"94089.00"</f>
        <v>94089.00</v>
      </c>
      <c r="AI1041" t="str">
        <f>"27216.00"</f>
        <v>27216.00</v>
      </c>
      <c r="AJ1041" t="str">
        <f>"C55-000-587-3105-0"</f>
        <v>C55-000-587-3105-0</v>
      </c>
      <c r="AK1041" t="str">
        <f>"15836"</f>
        <v>15836</v>
      </c>
      <c r="AL1041">
        <v>4</v>
      </c>
      <c r="AM1041">
        <v>1193</v>
      </c>
      <c r="AN1041">
        <v>732.44</v>
      </c>
      <c r="AQ1041" t="s">
        <v>10721</v>
      </c>
      <c r="AR1041" t="s">
        <v>10721</v>
      </c>
      <c r="AS1041" t="s">
        <v>10721</v>
      </c>
      <c r="AU1041" t="s">
        <v>396</v>
      </c>
      <c r="AV1041">
        <v>2017</v>
      </c>
      <c r="AW1041" t="str">
        <f>"22-4N-25-0000-0004-0010 "</f>
        <v xml:space="preserve">22-4N-25-0000-0004-0010 </v>
      </c>
      <c r="AX1041">
        <v>574154</v>
      </c>
      <c r="AZ1041" t="s">
        <v>10707</v>
      </c>
      <c r="BA1041" t="s">
        <v>496</v>
      </c>
      <c r="BD1041" t="s">
        <v>398</v>
      </c>
      <c r="BE1041" t="s">
        <v>393</v>
      </c>
      <c r="BF1041">
        <v>32046</v>
      </c>
      <c r="BG1041" t="s">
        <v>10722</v>
      </c>
      <c r="BH1041" t="s">
        <v>400</v>
      </c>
      <c r="BI1041">
        <v>-81.796815812292905</v>
      </c>
      <c r="BJ1041">
        <v>30.753148801469099</v>
      </c>
      <c r="BK1041" t="s">
        <v>10723</v>
      </c>
      <c r="BM1041" t="s">
        <v>10722</v>
      </c>
      <c r="BN1041" t="s">
        <v>403</v>
      </c>
      <c r="BO1041">
        <v>32046</v>
      </c>
      <c r="BP1041" t="s">
        <v>416</v>
      </c>
      <c r="BQ1041">
        <v>200</v>
      </c>
      <c r="BR1041" t="s">
        <v>405</v>
      </c>
      <c r="BS1041">
        <v>1006</v>
      </c>
      <c r="BT1041" t="s">
        <v>406</v>
      </c>
      <c r="BW1041">
        <v>94089</v>
      </c>
      <c r="BX1041" t="s">
        <v>407</v>
      </c>
      <c r="BZ1041">
        <v>4</v>
      </c>
      <c r="CA1041">
        <v>1980</v>
      </c>
      <c r="CC1041">
        <v>1</v>
      </c>
      <c r="CD1041">
        <v>2017</v>
      </c>
      <c r="CE1041">
        <v>27216</v>
      </c>
      <c r="CF1041">
        <v>15566</v>
      </c>
      <c r="CG1041">
        <v>42782</v>
      </c>
      <c r="CH1041">
        <v>2017</v>
      </c>
      <c r="CI1041">
        <v>27216</v>
      </c>
      <c r="CJ1041">
        <v>15566</v>
      </c>
      <c r="CK1041">
        <v>42782</v>
      </c>
      <c r="CL1041">
        <v>2017</v>
      </c>
      <c r="CM1041">
        <v>647.66</v>
      </c>
      <c r="CN1041" s="1">
        <v>35037</v>
      </c>
      <c r="CO1041">
        <v>25000</v>
      </c>
      <c r="CZ1041" s="1">
        <v>35037</v>
      </c>
      <c r="DD1041" t="s">
        <v>398</v>
      </c>
      <c r="DF1041">
        <v>2</v>
      </c>
      <c r="DG1041">
        <v>22</v>
      </c>
      <c r="DL1041">
        <v>50400</v>
      </c>
      <c r="DM1041" t="s">
        <v>10724</v>
      </c>
      <c r="DO1041" t="s">
        <v>10725</v>
      </c>
      <c r="DP1041">
        <v>0</v>
      </c>
      <c r="DQ1041">
        <v>0</v>
      </c>
      <c r="DR1041" t="s">
        <v>411</v>
      </c>
      <c r="DS1041" t="b">
        <v>1</v>
      </c>
      <c r="DT1041" t="s">
        <v>470</v>
      </c>
      <c r="DU1041" t="s">
        <v>471</v>
      </c>
      <c r="DV1041" t="s">
        <v>472</v>
      </c>
      <c r="DX1041">
        <v>-9999</v>
      </c>
      <c r="DZ1041" t="s">
        <v>447</v>
      </c>
      <c r="EA1041" t="s">
        <v>448</v>
      </c>
      <c r="EB1041" t="s">
        <v>6164</v>
      </c>
      <c r="EC1041">
        <v>20101217</v>
      </c>
      <c r="ED1041" t="s">
        <v>474</v>
      </c>
      <c r="EF1041">
        <v>1241.5</v>
      </c>
      <c r="EG1041">
        <v>1241.5</v>
      </c>
      <c r="EI1041">
        <v>20160407</v>
      </c>
      <c r="EJ1041">
        <v>0</v>
      </c>
      <c r="EK1041">
        <v>0</v>
      </c>
      <c r="EP1041" t="s">
        <v>421</v>
      </c>
      <c r="EQ1041" t="s">
        <v>422</v>
      </c>
      <c r="ER1041">
        <v>2</v>
      </c>
      <c r="ES1041">
        <v>2</v>
      </c>
      <c r="ET1041">
        <v>1520.04</v>
      </c>
      <c r="EU1041">
        <v>88.5</v>
      </c>
      <c r="EV1041">
        <v>1608.54</v>
      </c>
      <c r="EW1041" s="2">
        <v>43222</v>
      </c>
      <c r="EX1041" s="1">
        <v>42879</v>
      </c>
      <c r="EY1041">
        <v>2016</v>
      </c>
      <c r="EZ1041">
        <v>760.02</v>
      </c>
      <c r="FA1041" t="s">
        <v>10726</v>
      </c>
      <c r="FB1041">
        <v>0.25</v>
      </c>
      <c r="FC1041" t="s">
        <v>424</v>
      </c>
      <c r="FD1041" t="s">
        <v>454</v>
      </c>
      <c r="FF1041">
        <v>12</v>
      </c>
      <c r="FG1041">
        <v>2851116</v>
      </c>
      <c r="FH1041" t="s">
        <v>480</v>
      </c>
      <c r="FJ1041" s="1">
        <v>42879</v>
      </c>
      <c r="FK1041">
        <v>2016</v>
      </c>
      <c r="FL1041">
        <v>760.02</v>
      </c>
      <c r="FM1041" t="s">
        <v>10726</v>
      </c>
      <c r="FN1041">
        <v>0.25</v>
      </c>
      <c r="FO1041" t="s">
        <v>424</v>
      </c>
      <c r="FP1041" t="s">
        <v>454</v>
      </c>
      <c r="FR1041">
        <v>12</v>
      </c>
      <c r="FS1041">
        <v>4905477</v>
      </c>
      <c r="FT1041" t="s">
        <v>10727</v>
      </c>
      <c r="FV1041" s="1">
        <v>42515</v>
      </c>
      <c r="FW1041">
        <v>2015</v>
      </c>
      <c r="FX1041">
        <v>781.13</v>
      </c>
      <c r="FY1041" t="s">
        <v>10728</v>
      </c>
      <c r="FZ1041">
        <v>0.25</v>
      </c>
      <c r="GA1041" t="s">
        <v>424</v>
      </c>
      <c r="GB1041" t="s">
        <v>425</v>
      </c>
      <c r="GC1041" s="1">
        <v>43024</v>
      </c>
      <c r="GD1041">
        <v>17</v>
      </c>
      <c r="GE1041">
        <v>2851116</v>
      </c>
      <c r="GF1041" t="s">
        <v>480</v>
      </c>
      <c r="GH1041" s="1">
        <v>42515</v>
      </c>
      <c r="GI1041">
        <v>2015</v>
      </c>
      <c r="GJ1041">
        <v>781.13</v>
      </c>
      <c r="GK1041" t="s">
        <v>10728</v>
      </c>
      <c r="GL1041">
        <v>0.25</v>
      </c>
      <c r="GM1041" t="s">
        <v>424</v>
      </c>
      <c r="GN1041" t="s">
        <v>425</v>
      </c>
      <c r="GP1041">
        <v>22</v>
      </c>
      <c r="GQ1041">
        <v>5040941</v>
      </c>
      <c r="GR1041" t="s">
        <v>10729</v>
      </c>
    </row>
    <row r="1042" spans="1:272" x14ac:dyDescent="0.25">
      <c r="A1042">
        <v>16486049</v>
      </c>
      <c r="B1042">
        <v>1041</v>
      </c>
      <c r="C1042" t="s">
        <v>393</v>
      </c>
      <c r="D1042" t="s">
        <v>394</v>
      </c>
      <c r="F1042" t="str">
        <f>"26-4N-25-0000-0007-0090"</f>
        <v>26-4N-25-0000-0007-0090</v>
      </c>
      <c r="H1042" t="str">
        <f>"ARMSTRONG ROY L &amp; MARGIE J"</f>
        <v>ARMSTRONG ROY L &amp; MARGIE J</v>
      </c>
      <c r="I1042" t="str">
        <f>"85091 CHRISTIAN WAY APT 311"</f>
        <v>85091 CHRISTIAN WAY APT 311</v>
      </c>
      <c r="J1042" t="str">
        <f>"YULEE FL 32097"</f>
        <v>YULEE FL 32097</v>
      </c>
      <c r="K1042" t="str">
        <f>"572734 LESSIE RD"</f>
        <v>572734 LESSIE RD</v>
      </c>
      <c r="L1042" t="str">
        <f t="shared" si="336"/>
        <v>HILLIARD FL 32046</v>
      </c>
      <c r="M1042" t="str">
        <f>"PT OF NE1/4 OF SW1/4 IN OR 1258/1106 EX R/W OR 602/664 R433776 &amp; R433777"</f>
        <v>PT OF NE1/4 OF SW1/4 IN OR 1258/1106 EX R/W OR 602/664 R433776 &amp; R433777</v>
      </c>
      <c r="N1042" t="str">
        <f>""</f>
        <v/>
      </c>
      <c r="O1042" t="str">
        <f>"36943"</f>
        <v>36943</v>
      </c>
      <c r="P1042" t="str">
        <f t="shared" si="334"/>
        <v>2017</v>
      </c>
      <c r="Q1042" t="str">
        <f>""</f>
        <v/>
      </c>
      <c r="R1042" t="str">
        <f t="shared" si="342"/>
        <v>N</v>
      </c>
      <c r="S1042" t="str">
        <f>"2.00"</f>
        <v>2.00</v>
      </c>
      <c r="T1042" t="str">
        <f>"915.12"</f>
        <v>915.12</v>
      </c>
      <c r="U1042" t="str">
        <f>"60449.00"</f>
        <v>60449.00</v>
      </c>
      <c r="V1042" t="str">
        <f>"60449.00"</f>
        <v>60449.00</v>
      </c>
      <c r="W1042" t="str">
        <f t="shared" si="335"/>
        <v>2017</v>
      </c>
      <c r="X1042" t="str">
        <f>""</f>
        <v/>
      </c>
      <c r="Y1042" t="str">
        <f>"974.57"</f>
        <v>974.57</v>
      </c>
      <c r="Z1042" t="str">
        <f>""</f>
        <v/>
      </c>
      <c r="AA1042" t="str">
        <f>"60449.00"</f>
        <v>60449.00</v>
      </c>
      <c r="AB1042" t="str">
        <f t="shared" si="326"/>
        <v>Residential</v>
      </c>
      <c r="AC1042" t="str">
        <f t="shared" si="323"/>
        <v>0</v>
      </c>
      <c r="AD1042" t="str">
        <f t="shared" si="339"/>
        <v>4</v>
      </c>
      <c r="AE1042" t="str">
        <f t="shared" si="340"/>
        <v>WOOD (INCLUDE STEEL STUDS)</v>
      </c>
      <c r="AF1042" t="str">
        <f>"002"</f>
        <v>002</v>
      </c>
      <c r="AG1042" t="str">
        <f t="shared" si="338"/>
        <v>FL</v>
      </c>
      <c r="AH1042" t="str">
        <f>"87120.00"</f>
        <v>87120.00</v>
      </c>
      <c r="AI1042" t="str">
        <f>"25200.00"</f>
        <v>25200.00</v>
      </c>
      <c r="AJ1042" t="str">
        <f>"C55-000-587-4691-8"</f>
        <v>C55-000-587-4691-8</v>
      </c>
      <c r="AK1042" t="str">
        <f>"15866"</f>
        <v>15866</v>
      </c>
      <c r="AL1042">
        <v>4</v>
      </c>
      <c r="AM1042">
        <v>1194</v>
      </c>
      <c r="AN1042">
        <v>1021.7</v>
      </c>
      <c r="AQ1042" t="s">
        <v>10730</v>
      </c>
      <c r="AR1042" t="s">
        <v>10730</v>
      </c>
      <c r="AS1042" t="s">
        <v>10730</v>
      </c>
      <c r="AU1042" t="s">
        <v>396</v>
      </c>
      <c r="AV1042">
        <v>2017</v>
      </c>
      <c r="AW1042" t="str">
        <f>"26-4N-25-0000-0007-0090 "</f>
        <v xml:space="preserve">26-4N-25-0000-0007-0090 </v>
      </c>
      <c r="AX1042">
        <v>572734</v>
      </c>
      <c r="AZ1042" t="s">
        <v>10707</v>
      </c>
      <c r="BA1042" t="s">
        <v>496</v>
      </c>
      <c r="BD1042" t="s">
        <v>398</v>
      </c>
      <c r="BE1042" t="s">
        <v>393</v>
      </c>
      <c r="BF1042">
        <v>32046</v>
      </c>
      <c r="BG1042" t="s">
        <v>10731</v>
      </c>
      <c r="BH1042" t="s">
        <v>400</v>
      </c>
      <c r="BI1042">
        <v>-81.7813841445968</v>
      </c>
      <c r="BJ1042">
        <v>30.737529384725899</v>
      </c>
      <c r="BK1042" t="s">
        <v>10732</v>
      </c>
      <c r="BL1042" t="s">
        <v>10733</v>
      </c>
      <c r="BM1042" t="s">
        <v>10731</v>
      </c>
      <c r="BN1042" t="s">
        <v>403</v>
      </c>
      <c r="BO1042">
        <v>32046</v>
      </c>
      <c r="BP1042" t="s">
        <v>416</v>
      </c>
      <c r="BQ1042">
        <v>200</v>
      </c>
      <c r="BR1042" t="s">
        <v>405</v>
      </c>
      <c r="BS1042">
        <v>1006</v>
      </c>
      <c r="BT1042" t="s">
        <v>406</v>
      </c>
      <c r="BW1042">
        <v>87120</v>
      </c>
      <c r="BX1042" t="s">
        <v>407</v>
      </c>
      <c r="BY1042" t="s">
        <v>408</v>
      </c>
      <c r="BZ1042">
        <v>4</v>
      </c>
      <c r="CA1042">
        <v>1989</v>
      </c>
      <c r="CB1042">
        <v>1</v>
      </c>
      <c r="CC1042">
        <v>1</v>
      </c>
      <c r="CD1042">
        <v>2017</v>
      </c>
      <c r="CE1042">
        <v>25200</v>
      </c>
      <c r="CF1042">
        <v>35249</v>
      </c>
      <c r="CG1042">
        <v>60449</v>
      </c>
      <c r="CH1042">
        <v>2017</v>
      </c>
      <c r="CI1042">
        <v>25200</v>
      </c>
      <c r="CJ1042">
        <v>35249</v>
      </c>
      <c r="CK1042">
        <v>60449</v>
      </c>
      <c r="CL1042">
        <v>2017</v>
      </c>
      <c r="CM1042">
        <v>915.12</v>
      </c>
      <c r="CN1042" s="1">
        <v>38243</v>
      </c>
      <c r="CO1042">
        <v>75000</v>
      </c>
      <c r="CV1042">
        <v>0</v>
      </c>
      <c r="CZ1042" s="1">
        <v>38243</v>
      </c>
      <c r="DA1042">
        <v>0</v>
      </c>
      <c r="DD1042" t="s">
        <v>398</v>
      </c>
      <c r="DG1042">
        <v>26</v>
      </c>
      <c r="DL1042">
        <v>50400</v>
      </c>
      <c r="DM1042" t="s">
        <v>10734</v>
      </c>
      <c r="DO1042" t="s">
        <v>10735</v>
      </c>
      <c r="DP1042">
        <v>0</v>
      </c>
      <c r="DQ1042">
        <v>0</v>
      </c>
      <c r="DR1042" t="s">
        <v>411</v>
      </c>
    </row>
    <row r="1043" spans="1:272" x14ac:dyDescent="0.25">
      <c r="A1043">
        <v>16486050</v>
      </c>
      <c r="B1043">
        <v>1042</v>
      </c>
      <c r="C1043" t="s">
        <v>393</v>
      </c>
      <c r="D1043" t="s">
        <v>394</v>
      </c>
      <c r="F1043" t="str">
        <f>"26-4N-25-0000-0007-0150"</f>
        <v>26-4N-25-0000-0007-0150</v>
      </c>
      <c r="H1043" t="str">
        <f>"BOYNT WANDA SWILLEY"</f>
        <v>BOYNT WANDA SWILLEY</v>
      </c>
      <c r="I1043" t="str">
        <f>"58056 HARVS PLACE"</f>
        <v>58056 HARVS PLACE</v>
      </c>
      <c r="J1043" t="str">
        <f>"HILLIARD FL 32046"</f>
        <v>HILLIARD FL 32046</v>
      </c>
      <c r="K1043" t="str">
        <f>"LESSIE RD"</f>
        <v>LESSIE RD</v>
      </c>
      <c r="L1043" t="str">
        <f t="shared" si="336"/>
        <v>HILLIARD FL 32046</v>
      </c>
      <c r="M1043" t="str">
        <f>"PT OF W1/2 OF NE1/4 OF SW1/4 OF SEC 26-4N-25E IN OR 2002/438"</f>
        <v>PT OF W1/2 OF NE1/4 OF SW1/4 OF SEC 26-4N-25E IN OR 2002/438</v>
      </c>
      <c r="N1043" t="str">
        <f>""</f>
        <v/>
      </c>
      <c r="O1043" t="str">
        <f>"36949"</f>
        <v>36949</v>
      </c>
      <c r="P1043" t="str">
        <f t="shared" si="334"/>
        <v>2017</v>
      </c>
      <c r="Q1043" t="str">
        <f>""</f>
        <v/>
      </c>
      <c r="R1043" t="str">
        <f t="shared" si="342"/>
        <v>N</v>
      </c>
      <c r="S1043" t="str">
        <f>"1.76"</f>
        <v>1.76</v>
      </c>
      <c r="T1043" t="str">
        <f>"381.30"</f>
        <v>381.30</v>
      </c>
      <c r="U1043" t="str">
        <f>"23232.00"</f>
        <v>23232.00</v>
      </c>
      <c r="V1043" t="str">
        <f>"23232.00"</f>
        <v>23232.00</v>
      </c>
      <c r="W1043" t="str">
        <f t="shared" si="335"/>
        <v>2017</v>
      </c>
      <c r="X1043" t="str">
        <f>""</f>
        <v/>
      </c>
      <c r="Y1043" t="str">
        <f>"424.74"</f>
        <v>424.74</v>
      </c>
      <c r="Z1043" t="str">
        <f>""</f>
        <v/>
      </c>
      <c r="AA1043" t="str">
        <f>"27720.00"</f>
        <v>27720.00</v>
      </c>
      <c r="AB1043" t="str">
        <f t="shared" si="326"/>
        <v>Residential</v>
      </c>
      <c r="AC1043" t="str">
        <f t="shared" si="323"/>
        <v>0</v>
      </c>
      <c r="AD1043" t="str">
        <f>""</f>
        <v/>
      </c>
      <c r="AE1043" t="str">
        <f>""</f>
        <v/>
      </c>
      <c r="AF1043" t="str">
        <f>"000"</f>
        <v>000</v>
      </c>
      <c r="AG1043" t="str">
        <f t="shared" si="338"/>
        <v>FL</v>
      </c>
      <c r="AH1043" t="str">
        <f>"76665.00"</f>
        <v>76665.00</v>
      </c>
      <c r="AI1043" t="str">
        <f>"27720.00"</f>
        <v>27720.00</v>
      </c>
      <c r="AJ1043" t="str">
        <f>"C55-001-066-3902-4"</f>
        <v>C55-001-066-3902-4</v>
      </c>
      <c r="AK1043" t="str">
        <f>"15870"</f>
        <v>15870</v>
      </c>
      <c r="AL1043">
        <v>4</v>
      </c>
      <c r="AM1043">
        <v>1195</v>
      </c>
      <c r="AN1043">
        <v>444.38</v>
      </c>
      <c r="AQ1043" t="s">
        <v>10736</v>
      </c>
      <c r="AR1043" t="s">
        <v>10736</v>
      </c>
      <c r="AS1043" t="s">
        <v>10736</v>
      </c>
      <c r="AU1043" t="s">
        <v>396</v>
      </c>
      <c r="AV1043">
        <v>2017</v>
      </c>
      <c r="AW1043" t="str">
        <f>"26-4N-25-0000-0007-0150 "</f>
        <v xml:space="preserve">26-4N-25-0000-0007-0150 </v>
      </c>
      <c r="AZ1043" t="s">
        <v>10707</v>
      </c>
      <c r="BA1043" t="s">
        <v>496</v>
      </c>
      <c r="BD1043" t="s">
        <v>398</v>
      </c>
      <c r="BE1043" t="s">
        <v>393</v>
      </c>
      <c r="BF1043">
        <v>32046</v>
      </c>
      <c r="BG1043" t="s">
        <v>10737</v>
      </c>
      <c r="BH1043" t="s">
        <v>400</v>
      </c>
      <c r="BI1043">
        <v>-81.780571021322899</v>
      </c>
      <c r="BJ1043">
        <v>30.7380532335516</v>
      </c>
      <c r="BK1043" t="s">
        <v>10738</v>
      </c>
      <c r="BM1043" t="s">
        <v>10739</v>
      </c>
      <c r="BN1043" t="s">
        <v>403</v>
      </c>
      <c r="BO1043">
        <v>32046</v>
      </c>
      <c r="BP1043" t="s">
        <v>404</v>
      </c>
      <c r="BQ1043">
        <v>0</v>
      </c>
      <c r="BR1043" t="s">
        <v>491</v>
      </c>
      <c r="BS1043">
        <v>8001</v>
      </c>
      <c r="BT1043" t="s">
        <v>492</v>
      </c>
      <c r="BW1043">
        <v>76665</v>
      </c>
      <c r="BX1043" t="s">
        <v>407</v>
      </c>
      <c r="CD1043">
        <v>2017</v>
      </c>
      <c r="CE1043">
        <v>27720</v>
      </c>
      <c r="CG1043">
        <v>27720</v>
      </c>
      <c r="CH1043">
        <v>2017</v>
      </c>
      <c r="CI1043">
        <v>27720</v>
      </c>
      <c r="CK1043">
        <v>27720</v>
      </c>
      <c r="CL1043">
        <v>2017</v>
      </c>
      <c r="CM1043">
        <v>381.3</v>
      </c>
      <c r="CN1043" s="1">
        <v>42251</v>
      </c>
      <c r="CZ1043" s="1">
        <v>42251</v>
      </c>
      <c r="DD1043" t="s">
        <v>398</v>
      </c>
      <c r="DG1043">
        <v>26</v>
      </c>
      <c r="DM1043" t="s">
        <v>10734</v>
      </c>
      <c r="DO1043" t="s">
        <v>10740</v>
      </c>
      <c r="DP1043">
        <v>0</v>
      </c>
      <c r="DQ1043">
        <v>0</v>
      </c>
      <c r="DR1043" t="s">
        <v>411</v>
      </c>
      <c r="DS1043" t="b">
        <v>1</v>
      </c>
      <c r="DT1043" t="s">
        <v>470</v>
      </c>
      <c r="DU1043" t="s">
        <v>471</v>
      </c>
      <c r="DV1043" t="s">
        <v>472</v>
      </c>
      <c r="DX1043">
        <v>-9999</v>
      </c>
      <c r="DZ1043" t="s">
        <v>447</v>
      </c>
      <c r="EA1043" t="s">
        <v>448</v>
      </c>
      <c r="EB1043" t="s">
        <v>6164</v>
      </c>
      <c r="EC1043">
        <v>20101217</v>
      </c>
      <c r="ED1043" t="s">
        <v>474</v>
      </c>
      <c r="EF1043">
        <v>1150.9000000000001</v>
      </c>
      <c r="EG1043">
        <v>892</v>
      </c>
      <c r="EI1043">
        <v>20160407</v>
      </c>
      <c r="EJ1043">
        <v>0</v>
      </c>
      <c r="EK1043">
        <v>0</v>
      </c>
      <c r="EP1043" t="s">
        <v>421</v>
      </c>
      <c r="EQ1043" t="s">
        <v>422</v>
      </c>
      <c r="ER1043">
        <v>3</v>
      </c>
      <c r="ES1043">
        <v>0</v>
      </c>
      <c r="ET1043">
        <v>1065.3</v>
      </c>
      <c r="EU1043">
        <v>232.22</v>
      </c>
      <c r="EV1043">
        <v>1297.52</v>
      </c>
      <c r="EW1043" s="2">
        <v>43222</v>
      </c>
      <c r="EX1043" s="1">
        <v>42879</v>
      </c>
      <c r="EY1043">
        <v>2016</v>
      </c>
      <c r="EZ1043">
        <v>377.65</v>
      </c>
      <c r="FA1043" t="s">
        <v>10741</v>
      </c>
      <c r="FB1043">
        <v>9.75</v>
      </c>
      <c r="FC1043" t="s">
        <v>424</v>
      </c>
      <c r="FD1043" t="s">
        <v>454</v>
      </c>
      <c r="FF1043">
        <v>12</v>
      </c>
      <c r="FG1043">
        <v>10125</v>
      </c>
      <c r="FH1043" t="s">
        <v>440</v>
      </c>
      <c r="FJ1043" s="1">
        <v>42515</v>
      </c>
      <c r="FK1043">
        <v>2015</v>
      </c>
      <c r="FL1043">
        <v>364.85</v>
      </c>
      <c r="FM1043" t="s">
        <v>10742</v>
      </c>
      <c r="FN1043">
        <v>15.25</v>
      </c>
      <c r="FO1043" t="s">
        <v>424</v>
      </c>
      <c r="FP1043" t="s">
        <v>454</v>
      </c>
      <c r="FR1043">
        <v>24</v>
      </c>
      <c r="FS1043">
        <v>10125</v>
      </c>
      <c r="FT1043" t="s">
        <v>440</v>
      </c>
      <c r="FV1043" s="1">
        <v>42151</v>
      </c>
      <c r="FW1043">
        <v>2014</v>
      </c>
      <c r="FX1043">
        <v>322.8</v>
      </c>
      <c r="FY1043" t="s">
        <v>10743</v>
      </c>
      <c r="FZ1043">
        <v>6.75</v>
      </c>
      <c r="GA1043" t="s">
        <v>424</v>
      </c>
      <c r="GB1043" t="s">
        <v>454</v>
      </c>
      <c r="GD1043">
        <v>36</v>
      </c>
      <c r="GE1043">
        <v>10125</v>
      </c>
      <c r="GF1043" t="s">
        <v>440</v>
      </c>
    </row>
    <row r="1044" spans="1:272" x14ac:dyDescent="0.25">
      <c r="A1044">
        <v>16486051</v>
      </c>
      <c r="B1044">
        <v>1043</v>
      </c>
      <c r="C1044" t="s">
        <v>393</v>
      </c>
      <c r="D1044" t="s">
        <v>394</v>
      </c>
      <c r="F1044" t="str">
        <f>"29-4N-25-0000-0003-0070"</f>
        <v>29-4N-25-0000-0003-0070</v>
      </c>
      <c r="H1044" t="str">
        <f>"HOWARD CAROL"</f>
        <v>HOWARD CAROL</v>
      </c>
      <c r="I1044" t="str">
        <f>"48158 NARROW WAY"</f>
        <v>48158 NARROW WAY</v>
      </c>
      <c r="J1044" t="str">
        <f>"HILLIARD FL 32046"</f>
        <v>HILLIARD FL 32046</v>
      </c>
      <c r="K1044" t="str">
        <f>"NARROW WAY"</f>
        <v>NARROW WAY</v>
      </c>
      <c r="L1044" t="str">
        <f t="shared" si="336"/>
        <v>HILLIARD FL 32046</v>
      </c>
      <c r="M1044" t="str">
        <f>"PT OF NE1/4 OF NW1/4 SEC 29 &amp; PT OF SE1/4 OF SW1/4 SEC 20 PARCELS 3-7 &amp; 3-6 IN OR 708/569 &amp; PT OR 1290/1160 EX 3-4 ESMT OR 1517/37"</f>
        <v>PT OF NE1/4 OF NW1/4 SEC 29 &amp; PT OF SE1/4 OF SW1/4 SEC 20 PARCELS 3-7 &amp; 3-6 IN OR 708/569 &amp; PT OR 1290/1160 EX 3-4 ESMT OR 1517/37</v>
      </c>
      <c r="N1044" t="str">
        <f>""</f>
        <v/>
      </c>
      <c r="O1044" t="str">
        <f>"39074"</f>
        <v>39074</v>
      </c>
      <c r="P1044" t="str">
        <f t="shared" si="334"/>
        <v>2017</v>
      </c>
      <c r="Q1044" t="str">
        <f>""</f>
        <v/>
      </c>
      <c r="R1044" t="str">
        <f t="shared" si="342"/>
        <v>N</v>
      </c>
      <c r="S1044" t="str">
        <f>"16.81"</f>
        <v>16.81</v>
      </c>
      <c r="T1044" t="str">
        <f>"94.24"</f>
        <v>94.24</v>
      </c>
      <c r="U1044" t="str">
        <f>"6225.00"</f>
        <v>6225.00</v>
      </c>
      <c r="V1044" t="str">
        <f>"6225.00"</f>
        <v>6225.00</v>
      </c>
      <c r="W1044" t="str">
        <f t="shared" si="335"/>
        <v>2017</v>
      </c>
      <c r="X1044" t="str">
        <f>""</f>
        <v/>
      </c>
      <c r="Y1044" t="str">
        <f>"129.07"</f>
        <v>129.07</v>
      </c>
      <c r="Z1044" t="str">
        <f>""</f>
        <v/>
      </c>
      <c r="AA1044" t="str">
        <f>"6225.00"</f>
        <v>6225.00</v>
      </c>
      <c r="AB1044" t="str">
        <f>"Agricultural"</f>
        <v>Agricultural</v>
      </c>
      <c r="AC1044" t="str">
        <f t="shared" si="323"/>
        <v>0</v>
      </c>
      <c r="AD1044" t="str">
        <f>""</f>
        <v/>
      </c>
      <c r="AE1044" t="str">
        <f>""</f>
        <v/>
      </c>
      <c r="AF1044" t="str">
        <f>"055"</f>
        <v>055</v>
      </c>
      <c r="AG1044" t="str">
        <f t="shared" si="338"/>
        <v>FL</v>
      </c>
      <c r="AH1044" t="str">
        <f>"732243.00"</f>
        <v>732243.00</v>
      </c>
      <c r="AI1044" t="str">
        <f>"5441.00"</f>
        <v>5441.00</v>
      </c>
      <c r="AJ1044" t="str">
        <f>"C55-000-589-2863-1"</f>
        <v>C55-000-589-2863-1</v>
      </c>
      <c r="AK1044" t="str">
        <f>"15914"</f>
        <v>15914</v>
      </c>
      <c r="AL1044">
        <v>4</v>
      </c>
      <c r="AM1044">
        <v>1196</v>
      </c>
      <c r="AN1044">
        <v>133.91999999999999</v>
      </c>
      <c r="AQ1044" t="s">
        <v>10744</v>
      </c>
      <c r="AR1044" t="s">
        <v>10744</v>
      </c>
      <c r="AS1044" t="s">
        <v>10744</v>
      </c>
      <c r="AU1044" t="s">
        <v>396</v>
      </c>
      <c r="AV1044">
        <v>2017</v>
      </c>
      <c r="AW1044" t="str">
        <f>"29-4N-25-0000-0003-0070 "</f>
        <v xml:space="preserve">29-4N-25-0000-0003-0070 </v>
      </c>
      <c r="AZ1044" t="s">
        <v>10745</v>
      </c>
      <c r="BA1044" t="s">
        <v>866</v>
      </c>
      <c r="BD1044" t="s">
        <v>398</v>
      </c>
      <c r="BE1044" t="s">
        <v>393</v>
      </c>
      <c r="BF1044">
        <v>32046</v>
      </c>
      <c r="BG1044" t="s">
        <v>10746</v>
      </c>
      <c r="BH1044" t="s">
        <v>400</v>
      </c>
      <c r="BI1044">
        <v>-81.830178635131801</v>
      </c>
      <c r="BJ1044">
        <v>30.742958718025999</v>
      </c>
      <c r="BK1044" t="s">
        <v>10747</v>
      </c>
      <c r="BM1044" t="s">
        <v>10748</v>
      </c>
      <c r="BN1044" t="s">
        <v>403</v>
      </c>
      <c r="BO1044">
        <v>32046</v>
      </c>
      <c r="BP1044" t="s">
        <v>404</v>
      </c>
      <c r="BQ1044">
        <v>5500</v>
      </c>
      <c r="BR1044" t="s">
        <v>1353</v>
      </c>
      <c r="BS1044">
        <v>7009</v>
      </c>
      <c r="BT1044" t="s">
        <v>418</v>
      </c>
      <c r="BW1044">
        <v>732243</v>
      </c>
      <c r="BX1044" t="s">
        <v>407</v>
      </c>
      <c r="BY1044" t="s">
        <v>408</v>
      </c>
      <c r="CD1044">
        <v>2017</v>
      </c>
      <c r="CG1044">
        <v>6225</v>
      </c>
      <c r="CH1044">
        <v>2017</v>
      </c>
      <c r="CI1044">
        <v>5441</v>
      </c>
      <c r="CJ1044">
        <v>65945</v>
      </c>
      <c r="CK1044">
        <v>71386</v>
      </c>
      <c r="CL1044">
        <v>2017</v>
      </c>
      <c r="CM1044">
        <v>94.24</v>
      </c>
      <c r="CN1044" s="1">
        <v>34515</v>
      </c>
      <c r="CO1044">
        <v>30000</v>
      </c>
      <c r="CZ1044" s="1">
        <v>34515</v>
      </c>
      <c r="DD1044" t="s">
        <v>398</v>
      </c>
      <c r="DG1044">
        <v>29</v>
      </c>
      <c r="DL1044">
        <v>50400</v>
      </c>
      <c r="DM1044" t="s">
        <v>10749</v>
      </c>
      <c r="DO1044" t="s">
        <v>10750</v>
      </c>
      <c r="DP1044">
        <v>0</v>
      </c>
      <c r="DQ1044">
        <v>0</v>
      </c>
      <c r="DR1044" t="s">
        <v>411</v>
      </c>
      <c r="EP1044" t="s">
        <v>421</v>
      </c>
      <c r="EQ1044" t="s">
        <v>422</v>
      </c>
      <c r="ER1044">
        <v>1</v>
      </c>
      <c r="ES1044">
        <v>0</v>
      </c>
      <c r="ET1044">
        <v>117.84</v>
      </c>
      <c r="EU1044">
        <v>16.27</v>
      </c>
      <c r="EV1044">
        <v>134.11000000000001</v>
      </c>
      <c r="EW1044" s="2">
        <v>43222</v>
      </c>
      <c r="EX1044" s="1">
        <v>42879</v>
      </c>
      <c r="EY1044">
        <v>2016</v>
      </c>
      <c r="EZ1044">
        <v>117.84</v>
      </c>
      <c r="FA1044" t="s">
        <v>10751</v>
      </c>
      <c r="FB1044">
        <v>8.5</v>
      </c>
      <c r="FC1044" t="s">
        <v>424</v>
      </c>
      <c r="FD1044" t="s">
        <v>454</v>
      </c>
      <c r="FF1044">
        <v>12</v>
      </c>
      <c r="FG1044">
        <v>2035919</v>
      </c>
      <c r="FH1044" t="s">
        <v>507</v>
      </c>
    </row>
    <row r="1045" spans="1:272" x14ac:dyDescent="0.25">
      <c r="A1045">
        <v>16486052</v>
      </c>
      <c r="B1045">
        <v>1044</v>
      </c>
      <c r="C1045" t="s">
        <v>393</v>
      </c>
      <c r="D1045" t="s">
        <v>394</v>
      </c>
      <c r="F1045" t="str">
        <f>"32-4N-25-0000-0001-0020"</f>
        <v>32-4N-25-0000-0001-0020</v>
      </c>
      <c r="H1045" t="str">
        <f>"THOMAS ADRIAN RANDOLPH"</f>
        <v>THOMAS ADRIAN RANDOLPH</v>
      </c>
      <c r="I1045" t="str">
        <f>"12808 US HWY 301"</f>
        <v>12808 US HWY 301</v>
      </c>
      <c r="J1045" t="str">
        <f>"BRYCEVILLE FL 32009"</f>
        <v>BRYCEVILLE FL 32009</v>
      </c>
      <c r="K1045" t="str">
        <f>"LOGGING RD"</f>
        <v>LOGGING RD</v>
      </c>
      <c r="L1045" t="str">
        <f t="shared" si="336"/>
        <v>HILLIARD FL 32046</v>
      </c>
      <c r="M1045" t="str">
        <f>"PT OF N1/2 OF NE1/4 PAR 1-2 PT OR 2079/609 (EX R/W)"</f>
        <v>PT OF N1/2 OF NE1/4 PAR 1-2 PT OR 2079/609 (EX R/W)</v>
      </c>
      <c r="N1045" t="str">
        <f>""</f>
        <v/>
      </c>
      <c r="O1045" t="str">
        <f>"40695"</f>
        <v>40695</v>
      </c>
      <c r="P1045" t="str">
        <f t="shared" si="334"/>
        <v>2017</v>
      </c>
      <c r="Q1045" t="str">
        <f>""</f>
        <v/>
      </c>
      <c r="R1045" t="str">
        <f t="shared" si="342"/>
        <v>N</v>
      </c>
      <c r="S1045" t="str">
        <f>"1.05"</f>
        <v>1.05</v>
      </c>
      <c r="T1045" t="str">
        <f>"173.24"</f>
        <v>173.24</v>
      </c>
      <c r="U1045" t="str">
        <f>"11443.00"</f>
        <v>11443.00</v>
      </c>
      <c r="V1045" t="str">
        <f>"11443.00"</f>
        <v>11443.00</v>
      </c>
      <c r="W1045" t="str">
        <f t="shared" si="335"/>
        <v>2017</v>
      </c>
      <c r="X1045" t="str">
        <f>""</f>
        <v/>
      </c>
      <c r="Y1045" t="str">
        <f>"210.44"</f>
        <v>210.44</v>
      </c>
      <c r="Z1045" t="str">
        <f>""</f>
        <v/>
      </c>
      <c r="AA1045" t="str">
        <f>"11443.00"</f>
        <v>11443.00</v>
      </c>
      <c r="AB1045" t="str">
        <f>"Agricultural"</f>
        <v>Agricultural</v>
      </c>
      <c r="AC1045" t="str">
        <f t="shared" si="323"/>
        <v>0</v>
      </c>
      <c r="AD1045" t="str">
        <f>""</f>
        <v/>
      </c>
      <c r="AE1045" t="str">
        <f>""</f>
        <v/>
      </c>
      <c r="AF1045" t="str">
        <f>"050"</f>
        <v>050</v>
      </c>
      <c r="AG1045" t="str">
        <f t="shared" si="338"/>
        <v>FL</v>
      </c>
      <c r="AH1045" t="str">
        <f>"45738.00"</f>
        <v>45738.00</v>
      </c>
      <c r="AI1045" t="str">
        <f>"407.00"</f>
        <v>407.00</v>
      </c>
      <c r="AJ1045" t="str">
        <f>"C55-000-587-7112-2"</f>
        <v>C55-000-587-7112-2</v>
      </c>
      <c r="AK1045" t="str">
        <f>"15939"</f>
        <v>15939</v>
      </c>
      <c r="AL1045">
        <v>4</v>
      </c>
      <c r="AM1045">
        <v>1197</v>
      </c>
      <c r="AN1045">
        <v>219.36</v>
      </c>
      <c r="AQ1045" t="s">
        <v>10752</v>
      </c>
      <c r="AR1045" t="s">
        <v>10752</v>
      </c>
      <c r="AS1045" t="s">
        <v>10752</v>
      </c>
      <c r="AU1045" t="s">
        <v>396</v>
      </c>
      <c r="AV1045">
        <v>2017</v>
      </c>
      <c r="AW1045" t="str">
        <f>"32-4N-25-0000-0001-0020 "</f>
        <v xml:space="preserve">32-4N-25-0000-0001-0020 </v>
      </c>
      <c r="AZ1045" t="s">
        <v>10753</v>
      </c>
      <c r="BA1045" t="s">
        <v>496</v>
      </c>
      <c r="BD1045" t="s">
        <v>398</v>
      </c>
      <c r="BE1045" t="s">
        <v>393</v>
      </c>
      <c r="BF1045">
        <v>32046</v>
      </c>
      <c r="BG1045" t="s">
        <v>10754</v>
      </c>
      <c r="BH1045" t="s">
        <v>400</v>
      </c>
      <c r="BI1045">
        <v>-81.820625080433402</v>
      </c>
      <c r="BJ1045">
        <v>30.727164853039</v>
      </c>
      <c r="BK1045" t="s">
        <v>10755</v>
      </c>
      <c r="BM1045" t="s">
        <v>10756</v>
      </c>
      <c r="BN1045" t="s">
        <v>558</v>
      </c>
      <c r="BO1045">
        <v>32009</v>
      </c>
      <c r="BP1045" t="s">
        <v>404</v>
      </c>
      <c r="BQ1045">
        <v>5000</v>
      </c>
      <c r="BR1045" t="s">
        <v>664</v>
      </c>
      <c r="BS1045">
        <v>7000</v>
      </c>
      <c r="BT1045" t="s">
        <v>665</v>
      </c>
      <c r="BW1045">
        <v>45738</v>
      </c>
      <c r="BX1045" t="s">
        <v>407</v>
      </c>
      <c r="BY1045" t="s">
        <v>408</v>
      </c>
      <c r="CA1045">
        <v>1998</v>
      </c>
      <c r="CB1045">
        <v>1</v>
      </c>
      <c r="CC1045">
        <v>1</v>
      </c>
      <c r="CD1045">
        <v>2017</v>
      </c>
      <c r="CG1045">
        <v>11443</v>
      </c>
      <c r="CH1045">
        <v>2017</v>
      </c>
      <c r="CI1045">
        <v>407</v>
      </c>
      <c r="CJ1045">
        <v>27166</v>
      </c>
      <c r="CK1045">
        <v>27573</v>
      </c>
      <c r="CL1045">
        <v>2017</v>
      </c>
      <c r="CM1045">
        <v>173.24</v>
      </c>
      <c r="CN1045" s="1">
        <v>42668</v>
      </c>
      <c r="CO1045">
        <v>50000</v>
      </c>
      <c r="CV1045">
        <v>0</v>
      </c>
      <c r="CZ1045" s="1">
        <v>42668</v>
      </c>
      <c r="DA1045">
        <v>0</v>
      </c>
      <c r="DD1045" t="s">
        <v>398</v>
      </c>
      <c r="DG1045">
        <v>32</v>
      </c>
      <c r="DM1045" t="s">
        <v>10757</v>
      </c>
      <c r="DO1045" t="s">
        <v>10758</v>
      </c>
      <c r="DP1045">
        <v>0</v>
      </c>
      <c r="DQ1045">
        <v>0</v>
      </c>
      <c r="DR1045" t="s">
        <v>411</v>
      </c>
    </row>
    <row r="1046" spans="1:272" x14ac:dyDescent="0.25">
      <c r="A1046">
        <v>16486053</v>
      </c>
      <c r="B1046">
        <v>1045</v>
      </c>
      <c r="C1046" t="s">
        <v>393</v>
      </c>
      <c r="D1046" t="s">
        <v>394</v>
      </c>
      <c r="F1046" t="str">
        <f>"32-4N-25-0000-0001-0030"</f>
        <v>32-4N-25-0000-0001-0030</v>
      </c>
      <c r="H1046" t="str">
        <f>"THOMAS ADRIAN RANDOLPH"</f>
        <v>THOMAS ADRIAN RANDOLPH</v>
      </c>
      <c r="I1046" t="str">
        <f>"12808 US HWY 301"</f>
        <v>12808 US HWY 301</v>
      </c>
      <c r="J1046" t="str">
        <f>"BRYCEVILLE FL 32009"</f>
        <v>BRYCEVILLE FL 32009</v>
      </c>
      <c r="K1046" t="str">
        <f>"LOGGING RD"</f>
        <v>LOGGING RD</v>
      </c>
      <c r="L1046" t="str">
        <f t="shared" si="336"/>
        <v>HILLIARD FL 32046</v>
      </c>
      <c r="M1046" t="str">
        <f>"PT OR 2079/609"</f>
        <v>PT OR 2079/609</v>
      </c>
      <c r="N1046" t="str">
        <f>""</f>
        <v/>
      </c>
      <c r="O1046" t="str">
        <f>"40696"</f>
        <v>40696</v>
      </c>
      <c r="P1046" t="str">
        <f t="shared" si="334"/>
        <v>2017</v>
      </c>
      <c r="Q1046" t="str">
        <f>""</f>
        <v/>
      </c>
      <c r="R1046" t="str">
        <f t="shared" si="342"/>
        <v>N</v>
      </c>
      <c r="S1046" t="str">
        <f>"39.93"</f>
        <v>39.93</v>
      </c>
      <c r="T1046" t="str">
        <f>"226.14"</f>
        <v>226.14</v>
      </c>
      <c r="U1046" t="str">
        <f>"14937.00"</f>
        <v>14937.00</v>
      </c>
      <c r="V1046" t="str">
        <f>"14937.00"</f>
        <v>14937.00</v>
      </c>
      <c r="W1046" t="str">
        <f t="shared" si="335"/>
        <v>2017</v>
      </c>
      <c r="X1046" t="str">
        <f>""</f>
        <v/>
      </c>
      <c r="Y1046" t="str">
        <f>"264.92"</f>
        <v>264.92</v>
      </c>
      <c r="Z1046" t="str">
        <f>""</f>
        <v/>
      </c>
      <c r="AA1046" t="str">
        <f>"14937.00"</f>
        <v>14937.00</v>
      </c>
      <c r="AB1046" t="str">
        <f>"Agricultural"</f>
        <v>Agricultural</v>
      </c>
      <c r="AC1046" t="str">
        <f t="shared" si="323"/>
        <v>0</v>
      </c>
      <c r="AD1046" t="str">
        <f>""</f>
        <v/>
      </c>
      <c r="AE1046" t="str">
        <f>""</f>
        <v/>
      </c>
      <c r="AF1046" t="str">
        <f>"055"</f>
        <v>055</v>
      </c>
      <c r="AG1046" t="str">
        <f t="shared" si="338"/>
        <v>FL</v>
      </c>
      <c r="AH1046" t="str">
        <f>"1739350.00"</f>
        <v>1739350.00</v>
      </c>
      <c r="AI1046" t="str">
        <f>"14937.00"</f>
        <v>14937.00</v>
      </c>
      <c r="AJ1046" t="str">
        <f>"C55-001-041-0277-7"</f>
        <v>C55-001-041-0277-7</v>
      </c>
      <c r="AK1046" t="str">
        <f>"15940"</f>
        <v>15940</v>
      </c>
      <c r="AL1046">
        <v>4</v>
      </c>
      <c r="AM1046">
        <v>1198</v>
      </c>
      <c r="AN1046">
        <v>276.57</v>
      </c>
      <c r="AQ1046" t="s">
        <v>10759</v>
      </c>
      <c r="AR1046" t="s">
        <v>10759</v>
      </c>
      <c r="AS1046" t="s">
        <v>10759</v>
      </c>
      <c r="AU1046" t="s">
        <v>396</v>
      </c>
      <c r="AV1046">
        <v>2017</v>
      </c>
      <c r="AW1046" t="str">
        <f>"32-4N-25-0000-0001-0030 "</f>
        <v xml:space="preserve">32-4N-25-0000-0001-0030 </v>
      </c>
      <c r="AZ1046" t="s">
        <v>10753</v>
      </c>
      <c r="BA1046" t="s">
        <v>496</v>
      </c>
      <c r="BD1046" t="s">
        <v>398</v>
      </c>
      <c r="BE1046" t="s">
        <v>393</v>
      </c>
      <c r="BF1046">
        <v>32046</v>
      </c>
      <c r="BG1046" t="s">
        <v>10754</v>
      </c>
      <c r="BH1046" t="s">
        <v>400</v>
      </c>
      <c r="BI1046">
        <v>-81.823443767037105</v>
      </c>
      <c r="BJ1046">
        <v>30.729320366847499</v>
      </c>
      <c r="BK1046" t="s">
        <v>10755</v>
      </c>
      <c r="BM1046" t="s">
        <v>10756</v>
      </c>
      <c r="BN1046" t="s">
        <v>558</v>
      </c>
      <c r="BO1046">
        <v>32009</v>
      </c>
      <c r="BP1046" t="s">
        <v>404</v>
      </c>
      <c r="BQ1046">
        <v>5500</v>
      </c>
      <c r="BR1046" t="s">
        <v>1353</v>
      </c>
      <c r="BS1046">
        <v>7009</v>
      </c>
      <c r="BT1046" t="s">
        <v>418</v>
      </c>
      <c r="BW1046">
        <v>1739350</v>
      </c>
      <c r="BX1046" t="s">
        <v>407</v>
      </c>
      <c r="BY1046" t="s">
        <v>408</v>
      </c>
      <c r="CD1046">
        <v>2017</v>
      </c>
      <c r="CG1046">
        <v>14937</v>
      </c>
      <c r="CH1046">
        <v>2017</v>
      </c>
      <c r="CI1046">
        <v>14937</v>
      </c>
      <c r="CJ1046">
        <v>110842</v>
      </c>
      <c r="CK1046">
        <v>125779</v>
      </c>
      <c r="CL1046">
        <v>2017</v>
      </c>
      <c r="CM1046">
        <v>226.14</v>
      </c>
      <c r="CN1046" s="1">
        <v>42668</v>
      </c>
      <c r="CO1046">
        <v>50000</v>
      </c>
      <c r="CV1046">
        <v>0</v>
      </c>
      <c r="CZ1046" s="1">
        <v>42668</v>
      </c>
      <c r="DA1046">
        <v>0</v>
      </c>
      <c r="DD1046" t="s">
        <v>398</v>
      </c>
      <c r="DG1046">
        <v>32</v>
      </c>
      <c r="DM1046" t="s">
        <v>10757</v>
      </c>
      <c r="DO1046" t="s">
        <v>10760</v>
      </c>
      <c r="DP1046">
        <v>0</v>
      </c>
      <c r="DQ1046">
        <v>0</v>
      </c>
      <c r="DR1046" t="s">
        <v>411</v>
      </c>
    </row>
    <row r="1047" spans="1:272" x14ac:dyDescent="0.25">
      <c r="A1047">
        <v>16486054</v>
      </c>
      <c r="B1047">
        <v>1046</v>
      </c>
      <c r="C1047" t="s">
        <v>393</v>
      </c>
      <c r="D1047" t="s">
        <v>394</v>
      </c>
      <c r="F1047" t="str">
        <f>"34-4N-25-0000-0001-0000"</f>
        <v>34-4N-25-0000-0001-0000</v>
      </c>
      <c r="H1047" t="str">
        <f>"WANG PETER"</f>
        <v>WANG PETER</v>
      </c>
      <c r="I1047" t="str">
        <f>"58261 MELTON ROAD"</f>
        <v>58261 MELTON ROAD</v>
      </c>
      <c r="J1047" t="str">
        <f t="shared" ref="J1047:J1054" si="343">"HILLIARD FL 32046"</f>
        <v>HILLIARD FL 32046</v>
      </c>
      <c r="K1047" t="str">
        <f>"MELTON RD"</f>
        <v>MELTON RD</v>
      </c>
      <c r="L1047" t="str">
        <f t="shared" si="336"/>
        <v>HILLIARD FL 32046</v>
      </c>
      <c r="M1047" t="str">
        <f>"E1/2 OF NE1/4 OF SEC 34-4N-25E IN OR 1207/569 BEING PARAGRAPHS 2 &amp; 3 &amp; PT OF W1/2 OF NW1/4 OF SEC 35-4N-25E IN OR 1207/569 BEING PARAGRAPH 1"</f>
        <v>E1/2 OF NE1/4 OF SEC 34-4N-25E IN OR 1207/569 BEING PARAGRAPHS 2 &amp; 3 &amp; PT OF W1/2 OF NW1/4 OF SEC 35-4N-25E IN OR 1207/569 BEING PARAGRAPH 1</v>
      </c>
      <c r="N1047" t="str">
        <f>""</f>
        <v/>
      </c>
      <c r="O1047" t="str">
        <f>"41591"</f>
        <v>41591</v>
      </c>
      <c r="P1047" t="str">
        <f t="shared" si="334"/>
        <v>2017</v>
      </c>
      <c r="Q1047" t="str">
        <f>""</f>
        <v/>
      </c>
      <c r="R1047" t="str">
        <f t="shared" si="342"/>
        <v>N</v>
      </c>
      <c r="S1047" t="str">
        <f>"110.67"</f>
        <v>110.67</v>
      </c>
      <c r="T1047" t="str">
        <f>"815.74"</f>
        <v>815.74</v>
      </c>
      <c r="U1047" t="str">
        <f>"53884.00"</f>
        <v>53884.00</v>
      </c>
      <c r="V1047" t="str">
        <f>"53884.00"</f>
        <v>53884.00</v>
      </c>
      <c r="W1047" t="str">
        <f t="shared" si="335"/>
        <v>2017</v>
      </c>
      <c r="X1047" t="str">
        <f>"20.43"</f>
        <v>20.43</v>
      </c>
      <c r="Y1047" t="str">
        <f>"872.21"</f>
        <v>872.21</v>
      </c>
      <c r="Z1047" t="str">
        <f>""</f>
        <v/>
      </c>
      <c r="AA1047" t="str">
        <f>"53884.00"</f>
        <v>53884.00</v>
      </c>
      <c r="AB1047" t="str">
        <f>"Agricultural"</f>
        <v>Agricultural</v>
      </c>
      <c r="AC1047" t="str">
        <f t="shared" si="323"/>
        <v>0</v>
      </c>
      <c r="AD1047" t="str">
        <f>""</f>
        <v/>
      </c>
      <c r="AE1047" t="str">
        <f>""</f>
        <v/>
      </c>
      <c r="AF1047" t="str">
        <f>"055"</f>
        <v>055</v>
      </c>
      <c r="AG1047" t="str">
        <f t="shared" si="338"/>
        <v>FL</v>
      </c>
      <c r="AH1047" t="str">
        <f>"4820785.00"</f>
        <v>4820785.00</v>
      </c>
      <c r="AI1047" t="str">
        <f>"53884.00"</f>
        <v>53884.00</v>
      </c>
      <c r="AJ1047" t="str">
        <f>"C55-000-587-7750-9"</f>
        <v>C55-000-587-7750-9</v>
      </c>
      <c r="AK1047" t="str">
        <f>"15973"</f>
        <v>15973</v>
      </c>
      <c r="AL1047">
        <v>4</v>
      </c>
      <c r="AM1047">
        <v>1200</v>
      </c>
      <c r="AN1047">
        <v>914.22</v>
      </c>
      <c r="AQ1047" t="s">
        <v>10761</v>
      </c>
      <c r="AR1047" t="s">
        <v>10761</v>
      </c>
      <c r="AS1047" t="s">
        <v>10761</v>
      </c>
      <c r="AU1047" t="s">
        <v>396</v>
      </c>
      <c r="AV1047">
        <v>2017</v>
      </c>
      <c r="AW1047" t="str">
        <f>"34-4N-25-0000-0001-0000 "</f>
        <v xml:space="preserve">34-4N-25-0000-0001-0000 </v>
      </c>
      <c r="AZ1047" t="s">
        <v>10762</v>
      </c>
      <c r="BA1047" t="s">
        <v>496</v>
      </c>
      <c r="BD1047" t="s">
        <v>398</v>
      </c>
      <c r="BE1047" t="s">
        <v>393</v>
      </c>
      <c r="BF1047">
        <v>32046</v>
      </c>
      <c r="BG1047" t="s">
        <v>10763</v>
      </c>
      <c r="BH1047" t="s">
        <v>400</v>
      </c>
      <c r="BI1047">
        <v>-81.787553040920898</v>
      </c>
      <c r="BJ1047">
        <v>30.726921534892401</v>
      </c>
      <c r="BK1047" t="s">
        <v>10764</v>
      </c>
      <c r="BM1047" t="s">
        <v>10765</v>
      </c>
      <c r="BN1047" t="s">
        <v>403</v>
      </c>
      <c r="BO1047">
        <v>32046</v>
      </c>
      <c r="BP1047" t="s">
        <v>404</v>
      </c>
      <c r="BQ1047">
        <v>5500</v>
      </c>
      <c r="BR1047" t="s">
        <v>1353</v>
      </c>
      <c r="BS1047">
        <v>7009</v>
      </c>
      <c r="BT1047" t="s">
        <v>418</v>
      </c>
      <c r="BW1047">
        <v>4820785</v>
      </c>
      <c r="BX1047" t="s">
        <v>407</v>
      </c>
      <c r="BY1047" t="s">
        <v>408</v>
      </c>
      <c r="CD1047">
        <v>2017</v>
      </c>
      <c r="CG1047">
        <v>53884</v>
      </c>
      <c r="CH1047">
        <v>2017</v>
      </c>
      <c r="CI1047">
        <v>53884</v>
      </c>
      <c r="CJ1047">
        <v>201763</v>
      </c>
      <c r="CK1047">
        <v>255647</v>
      </c>
      <c r="CL1047">
        <v>2017</v>
      </c>
      <c r="CM1047">
        <v>815.74</v>
      </c>
      <c r="CN1047" s="1">
        <v>38027</v>
      </c>
      <c r="CO1047">
        <v>550000</v>
      </c>
      <c r="CZ1047" s="1">
        <v>38027</v>
      </c>
      <c r="DD1047" t="s">
        <v>398</v>
      </c>
      <c r="DG1047">
        <v>34</v>
      </c>
      <c r="DL1047">
        <v>50400</v>
      </c>
      <c r="DM1047" t="s">
        <v>10766</v>
      </c>
      <c r="DO1047" t="s">
        <v>10767</v>
      </c>
      <c r="DP1047">
        <v>0</v>
      </c>
      <c r="DQ1047">
        <v>0</v>
      </c>
      <c r="DR1047" t="s">
        <v>411</v>
      </c>
      <c r="DS1047" t="s">
        <v>695</v>
      </c>
      <c r="EJ1047">
        <v>0</v>
      </c>
      <c r="EK1047">
        <v>0</v>
      </c>
      <c r="EP1047" t="s">
        <v>421</v>
      </c>
      <c r="EQ1047" t="s">
        <v>422</v>
      </c>
      <c r="ER1047">
        <v>0</v>
      </c>
      <c r="ES1047">
        <v>7</v>
      </c>
      <c r="ET1047">
        <v>0</v>
      </c>
      <c r="EU1047">
        <v>0</v>
      </c>
      <c r="EV1047">
        <v>0</v>
      </c>
      <c r="EW1047" s="2">
        <v>43222</v>
      </c>
      <c r="EX1047" s="1">
        <v>42515</v>
      </c>
      <c r="EY1047">
        <v>2015</v>
      </c>
      <c r="EZ1047">
        <v>788.76</v>
      </c>
      <c r="FA1047" t="s">
        <v>10768</v>
      </c>
      <c r="FB1047">
        <v>0.25</v>
      </c>
      <c r="FC1047" t="s">
        <v>424</v>
      </c>
      <c r="FD1047" t="s">
        <v>425</v>
      </c>
      <c r="FE1047" s="1">
        <v>42765</v>
      </c>
      <c r="FF1047">
        <v>8</v>
      </c>
      <c r="FG1047">
        <v>7045074</v>
      </c>
      <c r="FH1047" t="s">
        <v>580</v>
      </c>
      <c r="FJ1047" s="1">
        <v>42515</v>
      </c>
      <c r="FK1047">
        <v>2015</v>
      </c>
      <c r="FL1047">
        <v>788.76</v>
      </c>
      <c r="FM1047" t="s">
        <v>10768</v>
      </c>
      <c r="FN1047">
        <v>0.25</v>
      </c>
      <c r="FO1047" t="s">
        <v>424</v>
      </c>
      <c r="FP1047" t="s">
        <v>425</v>
      </c>
      <c r="FR1047">
        <v>22</v>
      </c>
      <c r="FS1047">
        <v>6515251</v>
      </c>
      <c r="FT1047" t="s">
        <v>10769</v>
      </c>
      <c r="FV1047" s="1">
        <v>42151</v>
      </c>
      <c r="FW1047">
        <v>2014</v>
      </c>
      <c r="FX1047">
        <v>773.75</v>
      </c>
      <c r="FY1047" t="s">
        <v>10770</v>
      </c>
      <c r="FZ1047">
        <v>2.5</v>
      </c>
      <c r="GA1047" t="s">
        <v>424</v>
      </c>
      <c r="GB1047" t="s">
        <v>425</v>
      </c>
      <c r="GD1047">
        <v>22</v>
      </c>
      <c r="GE1047">
        <v>4844942</v>
      </c>
      <c r="GF1047" t="s">
        <v>2472</v>
      </c>
      <c r="GH1047" s="1">
        <v>42151</v>
      </c>
      <c r="GI1047">
        <v>2014</v>
      </c>
      <c r="GJ1047">
        <v>773.75</v>
      </c>
      <c r="GK1047" t="s">
        <v>10770</v>
      </c>
      <c r="GL1047">
        <v>2.5</v>
      </c>
      <c r="GM1047" t="s">
        <v>424</v>
      </c>
      <c r="GN1047" t="s">
        <v>425</v>
      </c>
      <c r="GO1047" s="1">
        <v>42765</v>
      </c>
      <c r="GP1047">
        <v>20</v>
      </c>
      <c r="GQ1047">
        <v>7045032</v>
      </c>
      <c r="GR1047" t="s">
        <v>2473</v>
      </c>
      <c r="GT1047" s="1">
        <v>41787</v>
      </c>
      <c r="GU1047">
        <v>2013</v>
      </c>
      <c r="GV1047">
        <v>719.71</v>
      </c>
      <c r="GW1047" t="s">
        <v>10771</v>
      </c>
      <c r="GX1047">
        <v>6</v>
      </c>
      <c r="GY1047" t="s">
        <v>424</v>
      </c>
      <c r="GZ1047" t="s">
        <v>425</v>
      </c>
      <c r="HA1047" s="1">
        <v>42243</v>
      </c>
      <c r="HB1047">
        <v>15</v>
      </c>
      <c r="HC1047">
        <v>2035919</v>
      </c>
      <c r="HD1047" t="s">
        <v>507</v>
      </c>
      <c r="HF1047" s="1">
        <v>41052</v>
      </c>
      <c r="HG1047">
        <v>2011</v>
      </c>
      <c r="HH1047">
        <v>618.47</v>
      </c>
      <c r="HI1047" t="s">
        <v>10772</v>
      </c>
      <c r="HJ1047">
        <v>9</v>
      </c>
      <c r="HK1047" t="s">
        <v>424</v>
      </c>
      <c r="HL1047" t="s">
        <v>425</v>
      </c>
      <c r="HM1047" s="1">
        <v>42243</v>
      </c>
      <c r="HN1047">
        <v>39</v>
      </c>
      <c r="HO1047">
        <v>62</v>
      </c>
      <c r="HP1047" t="s">
        <v>463</v>
      </c>
      <c r="HR1047" s="1">
        <v>40688</v>
      </c>
      <c r="HS1047">
        <v>2010</v>
      </c>
      <c r="HT1047">
        <v>574.16</v>
      </c>
      <c r="HU1047" t="s">
        <v>10773</v>
      </c>
      <c r="HV1047">
        <v>6.5</v>
      </c>
      <c r="HW1047" t="s">
        <v>424</v>
      </c>
      <c r="HX1047" t="s">
        <v>425</v>
      </c>
      <c r="HY1047" s="1">
        <v>41313</v>
      </c>
      <c r="HZ1047">
        <v>21</v>
      </c>
      <c r="IA1047">
        <v>10579</v>
      </c>
      <c r="IB1047" t="s">
        <v>488</v>
      </c>
    </row>
    <row r="1048" spans="1:272" x14ac:dyDescent="0.25">
      <c r="A1048">
        <v>16486055</v>
      </c>
      <c r="B1048">
        <v>1047</v>
      </c>
      <c r="C1048" t="s">
        <v>393</v>
      </c>
      <c r="D1048" t="s">
        <v>394</v>
      </c>
      <c r="F1048" t="str">
        <f>"35-4N-25-0000-0001-0010"</f>
        <v>35-4N-25-0000-0001-0010</v>
      </c>
      <c r="H1048" t="str">
        <f>"FAVORS MICHAEL FLOYD"</f>
        <v>FAVORS MICHAEL FLOYD</v>
      </c>
      <c r="I1048" t="str">
        <f>"58871 COOPERS NECK ROAD"</f>
        <v>58871 COOPERS NECK ROAD</v>
      </c>
      <c r="J1048" t="str">
        <f t="shared" si="343"/>
        <v>HILLIARD FL 32046</v>
      </c>
      <c r="K1048" t="str">
        <f>"58893 COOPERS NECK RD"</f>
        <v>58893 COOPERS NECK RD</v>
      </c>
      <c r="L1048" t="str">
        <f t="shared" si="336"/>
        <v>HILLIARD FL 32046</v>
      </c>
      <c r="M1048" t="str">
        <f>"PT NE1/4 OF NE1/4 OF SEC 35-4N-25E IN OR 1241/1158 {R672538}"</f>
        <v>PT NE1/4 OF NE1/4 OF SEC 35-4N-25E IN OR 1241/1158 {R672538}</v>
      </c>
      <c r="N1048" t="str">
        <f>""</f>
        <v/>
      </c>
      <c r="O1048" t="str">
        <f>"41890"</f>
        <v>41890</v>
      </c>
      <c r="P1048" t="str">
        <f t="shared" si="334"/>
        <v>2017</v>
      </c>
      <c r="Q1048" t="str">
        <f>""</f>
        <v/>
      </c>
      <c r="R1048" t="str">
        <f t="shared" si="342"/>
        <v>N</v>
      </c>
      <c r="S1048" t="str">
        <f>"1.00"</f>
        <v>1.00</v>
      </c>
      <c r="T1048" t="str">
        <f>"488.42"</f>
        <v>488.42</v>
      </c>
      <c r="U1048" t="str">
        <f>"30447.00"</f>
        <v>30447.00</v>
      </c>
      <c r="V1048" t="str">
        <f>"30447.00"</f>
        <v>30447.00</v>
      </c>
      <c r="W1048" t="str">
        <f t="shared" si="335"/>
        <v>2017</v>
      </c>
      <c r="X1048" t="str">
        <f>"11.50"</f>
        <v>11.50</v>
      </c>
      <c r="Y1048" t="str">
        <f>"535.07"</f>
        <v>535.07</v>
      </c>
      <c r="Z1048" t="str">
        <f>""</f>
        <v/>
      </c>
      <c r="AA1048" t="str">
        <f>"34613.00"</f>
        <v>34613.00</v>
      </c>
      <c r="AB1048" t="str">
        <f t="shared" ref="AB1048:AB1062" si="344">"Residential"</f>
        <v>Residential</v>
      </c>
      <c r="AC1048" t="str">
        <f t="shared" ref="AC1048:AC1111" si="345">"0"</f>
        <v>0</v>
      </c>
      <c r="AD1048" t="str">
        <f>"4"</f>
        <v>4</v>
      </c>
      <c r="AE1048" t="str">
        <f>"WOOD (INCLUDE STEEL STUDS)"</f>
        <v>WOOD (INCLUDE STEEL STUDS)</v>
      </c>
      <c r="AF1048" t="str">
        <f>"002"</f>
        <v>002</v>
      </c>
      <c r="AG1048" t="str">
        <f t="shared" si="338"/>
        <v>FL</v>
      </c>
      <c r="AH1048" t="str">
        <f>"43560.00"</f>
        <v>43560.00</v>
      </c>
      <c r="AI1048" t="str">
        <f>"15750.00"</f>
        <v>15750.00</v>
      </c>
      <c r="AJ1048" t="str">
        <f>"C55-000-587-7945-5"</f>
        <v>C55-000-587-7945-5</v>
      </c>
      <c r="AK1048" t="str">
        <f>"15982"</f>
        <v>15982</v>
      </c>
      <c r="AL1048">
        <v>4</v>
      </c>
      <c r="AM1048">
        <v>1201</v>
      </c>
      <c r="AN1048">
        <v>560.22</v>
      </c>
      <c r="AQ1048" t="s">
        <v>10774</v>
      </c>
      <c r="AR1048" t="s">
        <v>10774</v>
      </c>
      <c r="AS1048" t="s">
        <v>10774</v>
      </c>
      <c r="AU1048" t="s">
        <v>396</v>
      </c>
      <c r="AV1048">
        <v>2017</v>
      </c>
      <c r="AW1048" t="str">
        <f>"35-4N-25-0000-0001-0010 "</f>
        <v xml:space="preserve">35-4N-25-0000-0001-0010 </v>
      </c>
      <c r="AX1048">
        <v>58893</v>
      </c>
      <c r="AZ1048" t="s">
        <v>10775</v>
      </c>
      <c r="BA1048" t="s">
        <v>496</v>
      </c>
      <c r="BD1048" t="s">
        <v>398</v>
      </c>
      <c r="BE1048" t="s">
        <v>393</v>
      </c>
      <c r="BF1048">
        <v>32046</v>
      </c>
      <c r="BG1048" t="s">
        <v>10776</v>
      </c>
      <c r="BH1048" t="s">
        <v>400</v>
      </c>
      <c r="BI1048">
        <v>-81.770162544841696</v>
      </c>
      <c r="BJ1048">
        <v>30.728291634746</v>
      </c>
      <c r="BK1048" t="s">
        <v>10777</v>
      </c>
      <c r="BM1048" t="s">
        <v>10778</v>
      </c>
      <c r="BN1048" t="s">
        <v>403</v>
      </c>
      <c r="BO1048">
        <v>32046</v>
      </c>
      <c r="BP1048" t="s">
        <v>404</v>
      </c>
      <c r="BQ1048">
        <v>200</v>
      </c>
      <c r="BR1048" t="s">
        <v>405</v>
      </c>
      <c r="BS1048">
        <v>1006</v>
      </c>
      <c r="BT1048" t="s">
        <v>406</v>
      </c>
      <c r="BW1048">
        <v>43560</v>
      </c>
      <c r="BX1048" t="s">
        <v>407</v>
      </c>
      <c r="BY1048" t="s">
        <v>408</v>
      </c>
      <c r="BZ1048">
        <v>4</v>
      </c>
      <c r="CA1048">
        <v>1995</v>
      </c>
      <c r="CB1048">
        <v>1</v>
      </c>
      <c r="CC1048">
        <v>1</v>
      </c>
      <c r="CD1048">
        <v>2017</v>
      </c>
      <c r="CE1048">
        <v>15750</v>
      </c>
      <c r="CF1048">
        <v>18863</v>
      </c>
      <c r="CG1048">
        <v>34613</v>
      </c>
      <c r="CH1048">
        <v>2017</v>
      </c>
      <c r="CI1048">
        <v>15750</v>
      </c>
      <c r="CJ1048">
        <v>18863</v>
      </c>
      <c r="CK1048">
        <v>34613</v>
      </c>
      <c r="CL1048">
        <v>2017</v>
      </c>
      <c r="CM1048">
        <v>488.42</v>
      </c>
      <c r="CN1048" s="1">
        <v>38167</v>
      </c>
      <c r="CO1048">
        <v>16000</v>
      </c>
      <c r="CV1048">
        <v>14000</v>
      </c>
      <c r="CX1048" t="s">
        <v>707</v>
      </c>
      <c r="CZ1048" s="1">
        <v>38167</v>
      </c>
      <c r="DA1048">
        <v>0</v>
      </c>
      <c r="DD1048" t="s">
        <v>398</v>
      </c>
      <c r="DG1048">
        <v>35</v>
      </c>
      <c r="DL1048">
        <v>50400</v>
      </c>
      <c r="DM1048" t="s">
        <v>10779</v>
      </c>
      <c r="DO1048" t="s">
        <v>10780</v>
      </c>
      <c r="DP1048">
        <v>0</v>
      </c>
      <c r="DQ1048">
        <v>0</v>
      </c>
      <c r="DR1048" t="s">
        <v>411</v>
      </c>
      <c r="DS1048" t="b">
        <v>1</v>
      </c>
      <c r="DT1048" t="s">
        <v>470</v>
      </c>
      <c r="DU1048" t="s">
        <v>471</v>
      </c>
      <c r="DV1048" t="s">
        <v>472</v>
      </c>
      <c r="DX1048">
        <v>-9999</v>
      </c>
      <c r="DZ1048" t="s">
        <v>447</v>
      </c>
      <c r="EA1048" t="s">
        <v>448</v>
      </c>
      <c r="EB1048" t="s">
        <v>6164</v>
      </c>
      <c r="EC1048">
        <v>20101217</v>
      </c>
      <c r="ED1048" t="s">
        <v>474</v>
      </c>
      <c r="EF1048">
        <v>2997.6</v>
      </c>
      <c r="EG1048">
        <v>1670.1</v>
      </c>
      <c r="EI1048">
        <v>20160407</v>
      </c>
      <c r="EJ1048">
        <v>0</v>
      </c>
      <c r="EK1048">
        <v>0</v>
      </c>
      <c r="EP1048" t="s">
        <v>421</v>
      </c>
      <c r="EQ1048" t="s">
        <v>452</v>
      </c>
      <c r="ER1048">
        <v>0</v>
      </c>
      <c r="ES1048">
        <v>6</v>
      </c>
      <c r="ET1048">
        <v>0</v>
      </c>
      <c r="EU1048">
        <v>0</v>
      </c>
      <c r="EV1048">
        <v>0</v>
      </c>
      <c r="EW1048" s="2">
        <v>43222</v>
      </c>
      <c r="EX1048" s="1">
        <v>42515</v>
      </c>
      <c r="EY1048">
        <v>2015</v>
      </c>
      <c r="EZ1048">
        <v>490.65</v>
      </c>
      <c r="FA1048" t="s">
        <v>10781</v>
      </c>
      <c r="FB1048">
        <v>14.75</v>
      </c>
      <c r="FC1048" t="s">
        <v>424</v>
      </c>
      <c r="FD1048" t="s">
        <v>425</v>
      </c>
      <c r="FE1048" s="1">
        <v>42909</v>
      </c>
      <c r="FF1048">
        <v>13</v>
      </c>
      <c r="FG1048">
        <v>10125</v>
      </c>
      <c r="FH1048" t="s">
        <v>440</v>
      </c>
      <c r="FI1048" t="s">
        <v>458</v>
      </c>
      <c r="FJ1048" s="1">
        <v>42151</v>
      </c>
      <c r="FK1048">
        <v>2014</v>
      </c>
      <c r="FL1048">
        <v>448.67</v>
      </c>
      <c r="FM1048" t="s">
        <v>10782</v>
      </c>
      <c r="FN1048">
        <v>0.25</v>
      </c>
      <c r="FO1048" t="s">
        <v>424</v>
      </c>
      <c r="FP1048" t="s">
        <v>425</v>
      </c>
      <c r="FR1048">
        <v>22</v>
      </c>
      <c r="FS1048">
        <v>13026</v>
      </c>
      <c r="FT1048" t="s">
        <v>2129</v>
      </c>
      <c r="FU1048" t="s">
        <v>458</v>
      </c>
      <c r="FV1048" s="1">
        <v>42151</v>
      </c>
      <c r="FW1048">
        <v>2014</v>
      </c>
      <c r="FX1048">
        <v>448.67</v>
      </c>
      <c r="FY1048" t="s">
        <v>10782</v>
      </c>
      <c r="FZ1048">
        <v>0.25</v>
      </c>
      <c r="GA1048" t="s">
        <v>424</v>
      </c>
      <c r="GB1048" t="s">
        <v>425</v>
      </c>
      <c r="GD1048">
        <v>22</v>
      </c>
      <c r="GE1048">
        <v>4699124</v>
      </c>
      <c r="GF1048" t="s">
        <v>10783</v>
      </c>
      <c r="GG1048" t="s">
        <v>458</v>
      </c>
      <c r="GH1048" s="1">
        <v>42151</v>
      </c>
      <c r="GI1048">
        <v>2014</v>
      </c>
      <c r="GJ1048">
        <v>448.67</v>
      </c>
      <c r="GK1048" t="s">
        <v>10782</v>
      </c>
      <c r="GL1048">
        <v>0.25</v>
      </c>
      <c r="GM1048" t="s">
        <v>424</v>
      </c>
      <c r="GN1048" t="s">
        <v>425</v>
      </c>
      <c r="GP1048">
        <v>22</v>
      </c>
      <c r="GQ1048">
        <v>1126</v>
      </c>
      <c r="GR1048" t="s">
        <v>4405</v>
      </c>
      <c r="GS1048" t="s">
        <v>458</v>
      </c>
      <c r="GT1048" s="1">
        <v>42151</v>
      </c>
      <c r="GU1048">
        <v>2014</v>
      </c>
      <c r="GV1048">
        <v>448.67</v>
      </c>
      <c r="GW1048" t="s">
        <v>10782</v>
      </c>
      <c r="GX1048">
        <v>0.25</v>
      </c>
      <c r="GY1048" t="s">
        <v>424</v>
      </c>
      <c r="GZ1048" t="s">
        <v>425</v>
      </c>
      <c r="HB1048">
        <v>22</v>
      </c>
      <c r="HC1048">
        <v>7685290</v>
      </c>
      <c r="HD1048" t="s">
        <v>7628</v>
      </c>
      <c r="HE1048" t="s">
        <v>458</v>
      </c>
      <c r="HF1048" s="1">
        <v>41787</v>
      </c>
      <c r="HG1048">
        <v>2013</v>
      </c>
      <c r="HH1048">
        <v>463.36</v>
      </c>
      <c r="HI1048" t="s">
        <v>10784</v>
      </c>
      <c r="HJ1048">
        <v>0.25</v>
      </c>
      <c r="HK1048" t="s">
        <v>424</v>
      </c>
      <c r="HL1048" t="s">
        <v>425</v>
      </c>
      <c r="HM1048" s="1">
        <v>42003</v>
      </c>
      <c r="HN1048">
        <v>7</v>
      </c>
      <c r="HO1048">
        <v>13026</v>
      </c>
      <c r="HP1048" t="s">
        <v>2129</v>
      </c>
    </row>
    <row r="1049" spans="1:272" x14ac:dyDescent="0.25">
      <c r="A1049">
        <v>16486056</v>
      </c>
      <c r="B1049">
        <v>1048</v>
      </c>
      <c r="C1049" t="s">
        <v>393</v>
      </c>
      <c r="D1049" t="s">
        <v>394</v>
      </c>
      <c r="F1049" t="str">
        <f>"35-4N-25-0000-0003-0000"</f>
        <v>35-4N-25-0000-0003-0000</v>
      </c>
      <c r="H1049" t="str">
        <f>"MASON JOHN EST C/O TRACI R.JACOBS 50% INT AND MERIETTA ALDERMAN 50% INT"</f>
        <v>MASON JOHN EST C/O TRACI R.JACOBS 50% INT AND MERIETTA ALDERMAN 50% INT</v>
      </c>
      <c r="I1049" t="str">
        <f>""</f>
        <v/>
      </c>
      <c r="J1049" t="str">
        <f t="shared" si="343"/>
        <v>HILLIARD FL 32046</v>
      </c>
      <c r="K1049" t="str">
        <f>"MASON RD"</f>
        <v>MASON RD</v>
      </c>
      <c r="L1049" t="str">
        <f t="shared" si="336"/>
        <v>HILLIARD FL 32046</v>
      </c>
      <c r="M1049" t="str">
        <f>"IN W1/2 OF NW1/4 IN OR 514/448 &amp; OR 1636/1751"</f>
        <v>IN W1/2 OF NW1/4 IN OR 514/448 &amp; OR 1636/1751</v>
      </c>
      <c r="N1049" t="str">
        <f>""</f>
        <v/>
      </c>
      <c r="O1049" t="str">
        <f>"41899"</f>
        <v>41899</v>
      </c>
      <c r="P1049" t="str">
        <f t="shared" si="334"/>
        <v>2017</v>
      </c>
      <c r="Q1049" t="str">
        <f>""</f>
        <v/>
      </c>
      <c r="R1049" t="str">
        <f t="shared" si="342"/>
        <v>N</v>
      </c>
      <c r="S1049" t="str">
        <f>"1.00"</f>
        <v>1.00</v>
      </c>
      <c r="T1049" t="str">
        <f>"216.66"</f>
        <v>216.66</v>
      </c>
      <c r="U1049" t="str">
        <f>"13200.00"</f>
        <v>13200.00</v>
      </c>
      <c r="V1049" t="str">
        <f>"13200.00"</f>
        <v>13200.00</v>
      </c>
      <c r="W1049" t="str">
        <f t="shared" si="335"/>
        <v>2017</v>
      </c>
      <c r="X1049" t="str">
        <f>"7.00"</f>
        <v>7.00</v>
      </c>
      <c r="Y1049" t="str">
        <f>"255.16"</f>
        <v>255.16</v>
      </c>
      <c r="Z1049" t="str">
        <f>""</f>
        <v/>
      </c>
      <c r="AA1049" t="str">
        <f>"15750.00"</f>
        <v>15750.00</v>
      </c>
      <c r="AB1049" t="str">
        <f t="shared" si="344"/>
        <v>Residential</v>
      </c>
      <c r="AC1049" t="str">
        <f t="shared" si="345"/>
        <v>0</v>
      </c>
      <c r="AD1049" t="str">
        <f>""</f>
        <v/>
      </c>
      <c r="AE1049" t="str">
        <f>""</f>
        <v/>
      </c>
      <c r="AF1049" t="str">
        <f>"000"</f>
        <v>000</v>
      </c>
      <c r="AG1049" t="str">
        <f t="shared" si="338"/>
        <v>FL</v>
      </c>
      <c r="AH1049" t="str">
        <f>"25439.00"</f>
        <v>25439.00</v>
      </c>
      <c r="AI1049" t="str">
        <f>"15750.00"</f>
        <v>15750.00</v>
      </c>
      <c r="AJ1049" t="str">
        <f>"C55-000-587-7951-3"</f>
        <v>C55-000-587-7951-3</v>
      </c>
      <c r="AK1049" t="str">
        <f>"15991"</f>
        <v>15991</v>
      </c>
      <c r="AL1049">
        <v>4</v>
      </c>
      <c r="AM1049">
        <v>1203</v>
      </c>
      <c r="AN1049">
        <v>266.32</v>
      </c>
      <c r="AQ1049" t="s">
        <v>10785</v>
      </c>
      <c r="AR1049" t="s">
        <v>10785</v>
      </c>
      <c r="AS1049" t="s">
        <v>10785</v>
      </c>
      <c r="AU1049" t="s">
        <v>396</v>
      </c>
      <c r="AV1049">
        <v>2017</v>
      </c>
      <c r="AW1049" t="str">
        <f>"35-4N-25-0000-0003-0000 "</f>
        <v xml:space="preserve">35-4N-25-0000-0003-0000 </v>
      </c>
      <c r="AZ1049" t="s">
        <v>10786</v>
      </c>
      <c r="BA1049" t="s">
        <v>496</v>
      </c>
      <c r="BD1049" t="s">
        <v>398</v>
      </c>
      <c r="BE1049" t="s">
        <v>393</v>
      </c>
      <c r="BF1049">
        <v>32046</v>
      </c>
      <c r="BG1049" t="s">
        <v>10787</v>
      </c>
      <c r="BH1049" t="s">
        <v>400</v>
      </c>
      <c r="BI1049">
        <v>-81.782997689723203</v>
      </c>
      <c r="BJ1049">
        <v>30.727423077592601</v>
      </c>
      <c r="BK1049" t="s">
        <v>10788</v>
      </c>
      <c r="BM1049" t="s">
        <v>10789</v>
      </c>
      <c r="BN1049" t="s">
        <v>403</v>
      </c>
      <c r="BO1049">
        <v>32046</v>
      </c>
      <c r="BP1049" t="s">
        <v>404</v>
      </c>
      <c r="BQ1049">
        <v>0</v>
      </c>
      <c r="BR1049" t="s">
        <v>491</v>
      </c>
      <c r="BS1049">
        <v>8001</v>
      </c>
      <c r="BT1049" t="s">
        <v>492</v>
      </c>
      <c r="BW1049">
        <v>25439</v>
      </c>
      <c r="BX1049" t="s">
        <v>407</v>
      </c>
      <c r="BY1049" t="s">
        <v>408</v>
      </c>
      <c r="CD1049">
        <v>2017</v>
      </c>
      <c r="CE1049">
        <v>15750</v>
      </c>
      <c r="CG1049">
        <v>15750</v>
      </c>
      <c r="CH1049">
        <v>2017</v>
      </c>
      <c r="CI1049">
        <v>15750</v>
      </c>
      <c r="CK1049">
        <v>15750</v>
      </c>
      <c r="CL1049">
        <v>2017</v>
      </c>
      <c r="CM1049">
        <v>216.66</v>
      </c>
      <c r="CN1049" s="1">
        <v>38008</v>
      </c>
      <c r="CO1049">
        <v>115000</v>
      </c>
      <c r="CV1049">
        <v>100332</v>
      </c>
      <c r="CX1049" t="s">
        <v>675</v>
      </c>
      <c r="CZ1049" s="1">
        <v>38008</v>
      </c>
      <c r="DA1049">
        <v>0</v>
      </c>
      <c r="DD1049" t="s">
        <v>398</v>
      </c>
      <c r="DG1049">
        <v>35</v>
      </c>
      <c r="DL1049">
        <v>50400</v>
      </c>
      <c r="DM1049" t="s">
        <v>10779</v>
      </c>
      <c r="DO1049" t="s">
        <v>10790</v>
      </c>
      <c r="DP1049">
        <v>0</v>
      </c>
      <c r="DQ1049">
        <v>0</v>
      </c>
      <c r="DR1049" t="s">
        <v>411</v>
      </c>
      <c r="DS1049" t="b">
        <v>1</v>
      </c>
      <c r="DT1049" t="s">
        <v>470</v>
      </c>
      <c r="DU1049" t="s">
        <v>471</v>
      </c>
      <c r="DV1049" t="s">
        <v>472</v>
      </c>
      <c r="DX1049">
        <v>-9999</v>
      </c>
      <c r="DZ1049" t="s">
        <v>447</v>
      </c>
      <c r="EA1049" t="s">
        <v>448</v>
      </c>
      <c r="EB1049" t="s">
        <v>6164</v>
      </c>
      <c r="EC1049">
        <v>20101217</v>
      </c>
      <c r="ED1049" t="s">
        <v>474</v>
      </c>
      <c r="EF1049">
        <v>421.5</v>
      </c>
      <c r="EG1049">
        <v>183.7</v>
      </c>
      <c r="EI1049">
        <v>20160407</v>
      </c>
      <c r="EJ1049">
        <v>0</v>
      </c>
      <c r="EK1049">
        <v>0</v>
      </c>
      <c r="EP1049" t="s">
        <v>595</v>
      </c>
      <c r="EQ1049" t="s">
        <v>422</v>
      </c>
      <c r="ER1049">
        <v>10</v>
      </c>
      <c r="ES1049">
        <v>0</v>
      </c>
      <c r="ET1049">
        <v>2302.58</v>
      </c>
      <c r="EU1049">
        <v>1176.1500000000001</v>
      </c>
      <c r="EV1049">
        <v>3478.73</v>
      </c>
      <c r="EW1049" s="2">
        <v>43222</v>
      </c>
      <c r="EX1049" s="1">
        <v>42879</v>
      </c>
      <c r="EY1049">
        <v>2016</v>
      </c>
      <c r="EZ1049">
        <v>226.22</v>
      </c>
      <c r="FA1049" t="s">
        <v>10791</v>
      </c>
      <c r="FB1049">
        <v>18</v>
      </c>
      <c r="FC1049" t="s">
        <v>424</v>
      </c>
      <c r="FD1049" t="s">
        <v>454</v>
      </c>
      <c r="FF1049">
        <v>12</v>
      </c>
      <c r="FG1049">
        <v>10125</v>
      </c>
      <c r="FH1049" t="s">
        <v>440</v>
      </c>
      <c r="FJ1049" s="1">
        <v>42515</v>
      </c>
      <c r="FK1049">
        <v>2015</v>
      </c>
      <c r="FL1049">
        <v>238.8</v>
      </c>
      <c r="FM1049" t="s">
        <v>10792</v>
      </c>
      <c r="FN1049">
        <v>18</v>
      </c>
      <c r="FO1049" t="s">
        <v>603</v>
      </c>
      <c r="FP1049" t="s">
        <v>454</v>
      </c>
      <c r="FR1049">
        <v>24</v>
      </c>
      <c r="FS1049">
        <v>9999999</v>
      </c>
      <c r="FT1049" t="s">
        <v>604</v>
      </c>
      <c r="FV1049" s="1">
        <v>42151</v>
      </c>
      <c r="FW1049">
        <v>2014</v>
      </c>
      <c r="FX1049">
        <v>239.91</v>
      </c>
      <c r="FY1049" t="s">
        <v>10793</v>
      </c>
      <c r="FZ1049">
        <v>15.5</v>
      </c>
      <c r="GA1049" t="s">
        <v>424</v>
      </c>
      <c r="GB1049" t="s">
        <v>454</v>
      </c>
      <c r="GD1049">
        <v>36</v>
      </c>
      <c r="GE1049">
        <v>10125</v>
      </c>
      <c r="GF1049" t="s">
        <v>440</v>
      </c>
      <c r="GH1049" s="1">
        <v>41787</v>
      </c>
      <c r="GI1049">
        <v>2013</v>
      </c>
      <c r="GJ1049">
        <v>228.26</v>
      </c>
      <c r="GK1049" t="s">
        <v>10794</v>
      </c>
      <c r="GL1049">
        <v>5.75</v>
      </c>
      <c r="GM1049" t="s">
        <v>424</v>
      </c>
      <c r="GN1049" t="s">
        <v>454</v>
      </c>
      <c r="GP1049">
        <v>48</v>
      </c>
      <c r="GQ1049">
        <v>2035919</v>
      </c>
      <c r="GR1049" t="s">
        <v>507</v>
      </c>
      <c r="GT1049" s="1">
        <v>41787</v>
      </c>
      <c r="GU1049">
        <v>2013</v>
      </c>
      <c r="GV1049">
        <v>228.26</v>
      </c>
      <c r="GW1049" t="s">
        <v>10794</v>
      </c>
      <c r="GX1049">
        <v>5.75</v>
      </c>
      <c r="GY1049" t="s">
        <v>424</v>
      </c>
      <c r="GZ1049" t="s">
        <v>454</v>
      </c>
      <c r="HB1049">
        <v>48</v>
      </c>
      <c r="HC1049">
        <v>7336670</v>
      </c>
      <c r="HD1049" t="s">
        <v>2102</v>
      </c>
      <c r="HF1049" s="1">
        <v>41423</v>
      </c>
      <c r="HG1049">
        <v>2012</v>
      </c>
      <c r="HH1049">
        <v>230.83</v>
      </c>
      <c r="HI1049" t="s">
        <v>10795</v>
      </c>
      <c r="HJ1049">
        <v>6</v>
      </c>
      <c r="HK1049" t="s">
        <v>424</v>
      </c>
      <c r="HL1049" t="s">
        <v>454</v>
      </c>
      <c r="HN1049">
        <v>60</v>
      </c>
      <c r="HO1049">
        <v>375</v>
      </c>
      <c r="HP1049" t="s">
        <v>776</v>
      </c>
      <c r="HR1049" s="1">
        <v>41423</v>
      </c>
      <c r="HS1049">
        <v>2012</v>
      </c>
      <c r="HT1049">
        <v>230.83</v>
      </c>
      <c r="HU1049" t="s">
        <v>10795</v>
      </c>
      <c r="HV1049">
        <v>6</v>
      </c>
      <c r="HW1049" t="s">
        <v>424</v>
      </c>
      <c r="HX1049" t="s">
        <v>454</v>
      </c>
      <c r="HZ1049">
        <v>60</v>
      </c>
      <c r="IA1049">
        <v>105</v>
      </c>
      <c r="IB1049" t="s">
        <v>946</v>
      </c>
      <c r="ID1049" s="1">
        <v>41052</v>
      </c>
      <c r="IE1049">
        <v>2011</v>
      </c>
      <c r="IF1049">
        <v>226.49</v>
      </c>
      <c r="IG1049" t="s">
        <v>10796</v>
      </c>
      <c r="IH1049">
        <v>15.5</v>
      </c>
      <c r="II1049" t="s">
        <v>424</v>
      </c>
      <c r="IJ1049" t="s">
        <v>454</v>
      </c>
      <c r="IL1049">
        <v>72</v>
      </c>
      <c r="IM1049">
        <v>12430</v>
      </c>
      <c r="IN1049" t="s">
        <v>10797</v>
      </c>
      <c r="IP1049" s="1">
        <v>41052</v>
      </c>
      <c r="IQ1049">
        <v>2011</v>
      </c>
      <c r="IR1049">
        <v>226.49</v>
      </c>
      <c r="IS1049" t="s">
        <v>10796</v>
      </c>
      <c r="IT1049">
        <v>15.5</v>
      </c>
      <c r="IU1049" t="s">
        <v>424</v>
      </c>
      <c r="IV1049" t="s">
        <v>454</v>
      </c>
      <c r="IX1049">
        <v>72</v>
      </c>
      <c r="IY1049">
        <v>14996</v>
      </c>
      <c r="IZ1049" t="s">
        <v>3439</v>
      </c>
      <c r="JB1049" s="1">
        <v>41052</v>
      </c>
      <c r="JC1049">
        <v>2011</v>
      </c>
      <c r="JD1049">
        <v>226.49</v>
      </c>
      <c r="JE1049" t="s">
        <v>10796</v>
      </c>
      <c r="JF1049">
        <v>15.5</v>
      </c>
      <c r="JG1049" t="s">
        <v>424</v>
      </c>
      <c r="JH1049" t="s">
        <v>454</v>
      </c>
      <c r="JJ1049">
        <v>72</v>
      </c>
      <c r="JK1049">
        <v>12259</v>
      </c>
      <c r="JL1049" t="s">
        <v>1032</v>
      </c>
    </row>
    <row r="1050" spans="1:272" x14ac:dyDescent="0.25">
      <c r="A1050">
        <v>16486057</v>
      </c>
      <c r="B1050">
        <v>1049</v>
      </c>
      <c r="C1050" t="s">
        <v>393</v>
      </c>
      <c r="D1050" t="s">
        <v>394</v>
      </c>
      <c r="F1050" t="str">
        <f>"35-4N-25-0000-0005-0000"</f>
        <v>35-4N-25-0000-0005-0000</v>
      </c>
      <c r="H1050" t="str">
        <f>"COONER PHILLIP M &amp; COONER LATASHIA L"</f>
        <v>COONER PHILLIP M &amp; COONER LATASHIA L</v>
      </c>
      <c r="I1050" t="str">
        <f>"58261 MELTON RD"</f>
        <v>58261 MELTON RD</v>
      </c>
      <c r="J1050" t="str">
        <f t="shared" si="343"/>
        <v>HILLIARD FL 32046</v>
      </c>
      <c r="K1050" t="str">
        <f>"MELTON RD"</f>
        <v>MELTON RD</v>
      </c>
      <c r="L1050" t="str">
        <f t="shared" si="336"/>
        <v>HILLIARD FL 32046</v>
      </c>
      <c r="M1050" t="str">
        <f>"PT OF NW1/4 OF NW1/4 OF SEC 35-4N-25E IN OR 1911/1808"</f>
        <v>PT OF NW1/4 OF NW1/4 OF SEC 35-4N-25E IN OR 1911/1808</v>
      </c>
      <c r="N1050" t="str">
        <f>""</f>
        <v/>
      </c>
      <c r="O1050" t="str">
        <f>"41907"</f>
        <v>41907</v>
      </c>
      <c r="P1050" t="str">
        <f t="shared" si="334"/>
        <v>2017</v>
      </c>
      <c r="Q1050" t="str">
        <f>""</f>
        <v/>
      </c>
      <c r="R1050" t="str">
        <f t="shared" si="342"/>
        <v>N</v>
      </c>
      <c r="S1050" t="str">
        <f>"5.00"</f>
        <v>5.00</v>
      </c>
      <c r="T1050" t="str">
        <f>"381.50"</f>
        <v>381.50</v>
      </c>
      <c r="U1050" t="str">
        <f>"25200.00"</f>
        <v>25200.00</v>
      </c>
      <c r="V1050" t="str">
        <f>"25200.00"</f>
        <v>25200.00</v>
      </c>
      <c r="W1050" t="str">
        <f t="shared" si="335"/>
        <v>2017</v>
      </c>
      <c r="X1050" t="str">
        <f>"21.00"</f>
        <v>21.00</v>
      </c>
      <c r="Y1050" t="str">
        <f>"424.95"</f>
        <v>424.95</v>
      </c>
      <c r="Z1050" t="str">
        <f>""</f>
        <v/>
      </c>
      <c r="AA1050" t="str">
        <f>"25200.00"</f>
        <v>25200.00</v>
      </c>
      <c r="AB1050" t="str">
        <f t="shared" si="344"/>
        <v>Residential</v>
      </c>
      <c r="AC1050" t="str">
        <f t="shared" si="345"/>
        <v>0</v>
      </c>
      <c r="AD1050" t="str">
        <f>""</f>
        <v/>
      </c>
      <c r="AE1050" t="str">
        <f>""</f>
        <v/>
      </c>
      <c r="AF1050" t="str">
        <f>"000"</f>
        <v>000</v>
      </c>
      <c r="AG1050" t="str">
        <f t="shared" si="338"/>
        <v>FL</v>
      </c>
      <c r="AH1050" t="str">
        <f>"217800.00"</f>
        <v>217800.00</v>
      </c>
      <c r="AI1050" t="str">
        <f>"25200.00"</f>
        <v>25200.00</v>
      </c>
      <c r="AJ1050" t="str">
        <f>"C55-000-587-7959-6"</f>
        <v>C55-000-587-7959-6</v>
      </c>
      <c r="AK1050" t="str">
        <f>"15999"</f>
        <v>15999</v>
      </c>
      <c r="AL1050">
        <v>4</v>
      </c>
      <c r="AM1050">
        <v>1205</v>
      </c>
      <c r="AN1050">
        <v>444.6</v>
      </c>
      <c r="AQ1050" t="s">
        <v>10798</v>
      </c>
      <c r="AR1050" t="s">
        <v>10798</v>
      </c>
      <c r="AS1050" t="s">
        <v>10798</v>
      </c>
      <c r="AU1050" t="s">
        <v>396</v>
      </c>
      <c r="AV1050">
        <v>2017</v>
      </c>
      <c r="AW1050" t="str">
        <f>"35-4N-25-0000-0005-0000 "</f>
        <v xml:space="preserve">35-4N-25-0000-0005-0000 </v>
      </c>
      <c r="AZ1050" t="s">
        <v>10762</v>
      </c>
      <c r="BA1050" t="s">
        <v>496</v>
      </c>
      <c r="BD1050" t="s">
        <v>398</v>
      </c>
      <c r="BE1050" t="s">
        <v>393</v>
      </c>
      <c r="BF1050">
        <v>32046</v>
      </c>
      <c r="BG1050" t="s">
        <v>10763</v>
      </c>
      <c r="BH1050" t="s">
        <v>400</v>
      </c>
      <c r="BI1050">
        <v>-81.784203748020602</v>
      </c>
      <c r="BJ1050">
        <v>30.7299461485729</v>
      </c>
      <c r="BK1050" t="s">
        <v>10799</v>
      </c>
      <c r="BL1050" t="s">
        <v>10800</v>
      </c>
      <c r="BM1050" t="s">
        <v>10765</v>
      </c>
      <c r="BN1050" t="s">
        <v>403</v>
      </c>
      <c r="BO1050">
        <v>32046</v>
      </c>
      <c r="BP1050" t="s">
        <v>404</v>
      </c>
      <c r="BQ1050">
        <v>0</v>
      </c>
      <c r="BR1050" t="s">
        <v>491</v>
      </c>
      <c r="BS1050">
        <v>8001</v>
      </c>
      <c r="BT1050" t="s">
        <v>492</v>
      </c>
      <c r="BW1050">
        <v>217800</v>
      </c>
      <c r="BX1050" t="s">
        <v>407</v>
      </c>
      <c r="BY1050" t="s">
        <v>408</v>
      </c>
      <c r="CD1050">
        <v>2017</v>
      </c>
      <c r="CE1050">
        <v>25200</v>
      </c>
      <c r="CG1050">
        <v>25200</v>
      </c>
      <c r="CH1050">
        <v>2017</v>
      </c>
      <c r="CI1050">
        <v>25200</v>
      </c>
      <c r="CK1050">
        <v>25200</v>
      </c>
      <c r="CL1050">
        <v>2017</v>
      </c>
      <c r="CM1050">
        <v>381.5</v>
      </c>
      <c r="CN1050" s="1">
        <v>37902</v>
      </c>
      <c r="CV1050">
        <v>0</v>
      </c>
      <c r="CZ1050" s="1">
        <v>37902</v>
      </c>
      <c r="DA1050">
        <v>0</v>
      </c>
      <c r="DD1050" t="s">
        <v>398</v>
      </c>
      <c r="DG1050">
        <v>35</v>
      </c>
      <c r="DL1050">
        <v>50400</v>
      </c>
      <c r="DM1050" t="s">
        <v>10779</v>
      </c>
      <c r="DO1050" t="s">
        <v>10801</v>
      </c>
      <c r="DP1050">
        <v>0</v>
      </c>
      <c r="DQ1050">
        <v>0</v>
      </c>
      <c r="DR1050" t="s">
        <v>411</v>
      </c>
      <c r="DS1050" t="b">
        <v>1</v>
      </c>
      <c r="DT1050" t="s">
        <v>470</v>
      </c>
      <c r="DU1050" t="s">
        <v>471</v>
      </c>
      <c r="DV1050" t="s">
        <v>472</v>
      </c>
      <c r="DX1050">
        <v>-9999</v>
      </c>
      <c r="DZ1050" t="s">
        <v>447</v>
      </c>
      <c r="EA1050" t="s">
        <v>448</v>
      </c>
      <c r="EB1050" t="s">
        <v>6164</v>
      </c>
      <c r="EC1050">
        <v>20101217</v>
      </c>
      <c r="ED1050" t="s">
        <v>474</v>
      </c>
      <c r="EF1050">
        <v>1087.0999999999999</v>
      </c>
      <c r="EG1050">
        <v>100.4</v>
      </c>
      <c r="EI1050">
        <v>20160407</v>
      </c>
      <c r="EJ1050">
        <v>0</v>
      </c>
      <c r="EK1050">
        <v>0</v>
      </c>
      <c r="EP1050" t="s">
        <v>421</v>
      </c>
      <c r="EQ1050" t="s">
        <v>422</v>
      </c>
      <c r="ER1050">
        <v>1</v>
      </c>
      <c r="ES1050">
        <v>6</v>
      </c>
      <c r="ET1050">
        <v>425.44</v>
      </c>
      <c r="EU1050">
        <v>33.9</v>
      </c>
      <c r="EV1050">
        <v>459.34</v>
      </c>
      <c r="EW1050" s="2">
        <v>43222</v>
      </c>
      <c r="EX1050" s="1">
        <v>42879</v>
      </c>
      <c r="EY1050">
        <v>2016</v>
      </c>
      <c r="EZ1050">
        <v>425.44</v>
      </c>
      <c r="FA1050" t="s">
        <v>10802</v>
      </c>
      <c r="FB1050">
        <v>6.5</v>
      </c>
      <c r="FC1050" t="s">
        <v>424</v>
      </c>
      <c r="FD1050" t="s">
        <v>454</v>
      </c>
      <c r="FF1050">
        <v>12</v>
      </c>
      <c r="FG1050">
        <v>10125</v>
      </c>
      <c r="FH1050" t="s">
        <v>440</v>
      </c>
      <c r="FJ1050" s="1">
        <v>42515</v>
      </c>
      <c r="FK1050">
        <v>2015</v>
      </c>
      <c r="FL1050">
        <v>430.14</v>
      </c>
      <c r="FM1050" t="s">
        <v>10803</v>
      </c>
      <c r="FN1050">
        <v>6</v>
      </c>
      <c r="FO1050" t="s">
        <v>424</v>
      </c>
      <c r="FP1050" t="s">
        <v>425</v>
      </c>
      <c r="FQ1050" s="1">
        <v>43159</v>
      </c>
      <c r="FR1050">
        <v>21</v>
      </c>
      <c r="FS1050">
        <v>10125</v>
      </c>
      <c r="FT1050" t="s">
        <v>440</v>
      </c>
      <c r="FV1050" s="1">
        <v>42151</v>
      </c>
      <c r="FW1050">
        <v>2014</v>
      </c>
      <c r="FX1050">
        <v>406.56</v>
      </c>
      <c r="FY1050" t="s">
        <v>10804</v>
      </c>
      <c r="FZ1050">
        <v>14</v>
      </c>
      <c r="GA1050" t="s">
        <v>424</v>
      </c>
      <c r="GB1050" t="s">
        <v>425</v>
      </c>
      <c r="GC1050" s="1">
        <v>42793</v>
      </c>
      <c r="GD1050">
        <v>21</v>
      </c>
      <c r="GE1050">
        <v>10125</v>
      </c>
      <c r="GF1050" t="s">
        <v>440</v>
      </c>
      <c r="GH1050" s="1">
        <v>41787</v>
      </c>
      <c r="GI1050">
        <v>2013</v>
      </c>
      <c r="GJ1050">
        <v>336.7</v>
      </c>
      <c r="GK1050" t="s">
        <v>10805</v>
      </c>
      <c r="GL1050">
        <v>12</v>
      </c>
      <c r="GM1050" t="s">
        <v>424</v>
      </c>
      <c r="GN1050" t="s">
        <v>425</v>
      </c>
      <c r="GO1050" s="1">
        <v>42426</v>
      </c>
      <c r="GP1050">
        <v>21</v>
      </c>
      <c r="GQ1050">
        <v>10125</v>
      </c>
      <c r="GR1050" t="s">
        <v>440</v>
      </c>
      <c r="GT1050" s="1">
        <v>41423</v>
      </c>
      <c r="GU1050">
        <v>2012</v>
      </c>
      <c r="GV1050">
        <v>267.70999999999998</v>
      </c>
      <c r="GW1050" t="s">
        <v>10806</v>
      </c>
      <c r="GX1050">
        <v>5.75</v>
      </c>
      <c r="GY1050" t="s">
        <v>424</v>
      </c>
      <c r="GZ1050" t="s">
        <v>425</v>
      </c>
      <c r="HA1050" s="1">
        <v>42053</v>
      </c>
      <c r="HB1050">
        <v>21</v>
      </c>
      <c r="HC1050">
        <v>2101381</v>
      </c>
      <c r="HD1050" t="s">
        <v>605</v>
      </c>
      <c r="HF1050" s="1">
        <v>41052</v>
      </c>
      <c r="HG1050">
        <v>2011</v>
      </c>
      <c r="HH1050">
        <v>264.02</v>
      </c>
      <c r="HI1050" t="s">
        <v>10807</v>
      </c>
      <c r="HJ1050">
        <v>6</v>
      </c>
      <c r="HK1050" t="s">
        <v>424</v>
      </c>
      <c r="HL1050" t="s">
        <v>425</v>
      </c>
      <c r="HM1050" s="1">
        <v>41698</v>
      </c>
      <c r="HN1050">
        <v>21</v>
      </c>
      <c r="HO1050">
        <v>1109</v>
      </c>
      <c r="HP1050" t="s">
        <v>852</v>
      </c>
      <c r="HR1050" s="1">
        <v>40688</v>
      </c>
      <c r="HS1050">
        <v>2010</v>
      </c>
      <c r="HT1050">
        <v>264.37</v>
      </c>
      <c r="HU1050" t="s">
        <v>10808</v>
      </c>
      <c r="HV1050">
        <v>6.75</v>
      </c>
      <c r="HW1050" t="s">
        <v>424</v>
      </c>
      <c r="HX1050" t="s">
        <v>425</v>
      </c>
      <c r="HY1050" s="1">
        <v>41333</v>
      </c>
      <c r="HZ1050">
        <v>21</v>
      </c>
      <c r="IA1050">
        <v>105</v>
      </c>
      <c r="IB1050" t="s">
        <v>946</v>
      </c>
    </row>
    <row r="1051" spans="1:272" x14ac:dyDescent="0.25">
      <c r="A1051">
        <v>16486058</v>
      </c>
      <c r="B1051">
        <v>1050</v>
      </c>
      <c r="C1051" t="s">
        <v>393</v>
      </c>
      <c r="D1051" t="s">
        <v>394</v>
      </c>
      <c r="F1051" t="str">
        <f>"35-4N-25-0000-0005-0050"</f>
        <v>35-4N-25-0000-0005-0050</v>
      </c>
      <c r="H1051" t="str">
        <f>"WANG PETER"</f>
        <v>WANG PETER</v>
      </c>
      <c r="I1051" t="str">
        <f>"58261 MELTON ROAD"</f>
        <v>58261 MELTON ROAD</v>
      </c>
      <c r="J1051" t="str">
        <f t="shared" si="343"/>
        <v>HILLIARD FL 32046</v>
      </c>
      <c r="K1051" t="str">
        <f>"58261 MELTON RD"</f>
        <v>58261 MELTON RD</v>
      </c>
      <c r="L1051" t="str">
        <f t="shared" si="336"/>
        <v>HILLIARD FL 32046</v>
      </c>
      <c r="M1051" t="str">
        <f>"PT OF NW1/4 OF NW1/4 OF SEC 35-4N-25E IN OR 1207/569 BEING PARAGRAPH 4 (EX R/W ESMT) {2004 KING DW/MH}"</f>
        <v>PT OF NW1/4 OF NW1/4 OF SEC 35-4N-25E IN OR 1207/569 BEING PARAGRAPH 4 (EX R/W ESMT) {2004 KING DW/MH}</v>
      </c>
      <c r="N1051" t="str">
        <f>""</f>
        <v/>
      </c>
      <c r="O1051" t="str">
        <f>"41912"</f>
        <v>41912</v>
      </c>
      <c r="P1051" t="str">
        <f t="shared" si="334"/>
        <v>2017</v>
      </c>
      <c r="Q1051" t="str">
        <f>""</f>
        <v/>
      </c>
      <c r="R1051" t="str">
        <f>"Y"</f>
        <v>Y</v>
      </c>
      <c r="S1051" t="str">
        <f>"13.55"</f>
        <v>13.55</v>
      </c>
      <c r="T1051" t="str">
        <f>"717.25"</f>
        <v>717.25</v>
      </c>
      <c r="U1051" t="str">
        <f>"86483.00"</f>
        <v>86483.00</v>
      </c>
      <c r="V1051" t="str">
        <f>"86483.00"</f>
        <v>86483.00</v>
      </c>
      <c r="W1051" t="str">
        <f t="shared" si="335"/>
        <v>2017</v>
      </c>
      <c r="X1051" t="str">
        <f>"20.25"</f>
        <v>20.25</v>
      </c>
      <c r="Y1051" t="str">
        <f>"770.77"</f>
        <v>770.77</v>
      </c>
      <c r="Z1051" t="str">
        <f>"25000.00"</f>
        <v>25000.00</v>
      </c>
      <c r="AA1051" t="str">
        <f>"61483.00"</f>
        <v>61483.00</v>
      </c>
      <c r="AB1051" t="str">
        <f t="shared" si="344"/>
        <v>Residential</v>
      </c>
      <c r="AC1051" t="str">
        <f t="shared" si="345"/>
        <v>0</v>
      </c>
      <c r="AD1051" t="str">
        <f>"4"</f>
        <v>4</v>
      </c>
      <c r="AE1051" t="str">
        <f>"WOOD (INCLUDE STEEL STUDS)"</f>
        <v>WOOD (INCLUDE STEEL STUDS)</v>
      </c>
      <c r="AF1051" t="str">
        <f>"002"</f>
        <v>002</v>
      </c>
      <c r="AG1051" t="str">
        <f t="shared" si="338"/>
        <v>FL</v>
      </c>
      <c r="AH1051" t="str">
        <f>"590238.00"</f>
        <v>590238.00</v>
      </c>
      <c r="AI1051" t="str">
        <f>"78487.00"</f>
        <v>78487.00</v>
      </c>
      <c r="AJ1051" t="str">
        <f>"C55-000-589-0139-8"</f>
        <v>C55-000-589-0139-8</v>
      </c>
      <c r="AK1051" t="str">
        <f>"16001"</f>
        <v>16001</v>
      </c>
      <c r="AL1051">
        <v>4</v>
      </c>
      <c r="AM1051">
        <v>1206</v>
      </c>
      <c r="AN1051">
        <v>807.71</v>
      </c>
      <c r="AQ1051" t="s">
        <v>10809</v>
      </c>
      <c r="AR1051" t="s">
        <v>10809</v>
      </c>
      <c r="AS1051" t="s">
        <v>10809</v>
      </c>
      <c r="AU1051" t="s">
        <v>396</v>
      </c>
      <c r="AV1051">
        <v>2017</v>
      </c>
      <c r="AW1051" t="str">
        <f>"35-4N-25-0000-0005-0050 "</f>
        <v xml:space="preserve">35-4N-25-0000-0005-0050 </v>
      </c>
      <c r="AX1051">
        <v>58261</v>
      </c>
      <c r="AZ1051" t="s">
        <v>10762</v>
      </c>
      <c r="BA1051" t="s">
        <v>496</v>
      </c>
      <c r="BD1051" t="s">
        <v>398</v>
      </c>
      <c r="BE1051" t="s">
        <v>393</v>
      </c>
      <c r="BF1051">
        <v>32046</v>
      </c>
      <c r="BG1051" t="s">
        <v>10765</v>
      </c>
      <c r="BH1051" t="s">
        <v>400</v>
      </c>
      <c r="BI1051">
        <v>-81.785409491499607</v>
      </c>
      <c r="BJ1051">
        <v>30.7292739478793</v>
      </c>
      <c r="BK1051" t="s">
        <v>10764</v>
      </c>
      <c r="BM1051" t="s">
        <v>10765</v>
      </c>
      <c r="BN1051" t="s">
        <v>403</v>
      </c>
      <c r="BO1051">
        <v>32046</v>
      </c>
      <c r="BP1051" t="s">
        <v>416</v>
      </c>
      <c r="BQ1051">
        <v>200</v>
      </c>
      <c r="BR1051" t="s">
        <v>405</v>
      </c>
      <c r="BS1051">
        <v>1006</v>
      </c>
      <c r="BT1051" t="s">
        <v>406</v>
      </c>
      <c r="BW1051">
        <v>590238</v>
      </c>
      <c r="BX1051" t="s">
        <v>407</v>
      </c>
      <c r="BY1051" t="s">
        <v>408</v>
      </c>
      <c r="BZ1051">
        <v>4</v>
      </c>
      <c r="CA1051">
        <v>2004</v>
      </c>
      <c r="CB1051">
        <v>1</v>
      </c>
      <c r="CC1051">
        <v>1</v>
      </c>
      <c r="CD1051">
        <v>2017</v>
      </c>
      <c r="CG1051">
        <v>86483</v>
      </c>
      <c r="CH1051">
        <v>2017</v>
      </c>
      <c r="CI1051">
        <v>78487</v>
      </c>
      <c r="CJ1051">
        <v>47533</v>
      </c>
      <c r="CK1051">
        <v>126020</v>
      </c>
      <c r="CL1051">
        <v>2017</v>
      </c>
      <c r="CM1051">
        <v>717.25</v>
      </c>
      <c r="CN1051" s="1">
        <v>38027</v>
      </c>
      <c r="CO1051">
        <v>550000</v>
      </c>
      <c r="CZ1051" s="1">
        <v>38027</v>
      </c>
      <c r="DD1051" t="s">
        <v>398</v>
      </c>
      <c r="DG1051">
        <v>35</v>
      </c>
      <c r="DL1051">
        <v>50400</v>
      </c>
      <c r="DM1051" t="s">
        <v>10779</v>
      </c>
      <c r="DO1051" t="s">
        <v>10810</v>
      </c>
      <c r="DP1051">
        <v>0</v>
      </c>
      <c r="DQ1051">
        <v>0</v>
      </c>
      <c r="DR1051" t="s">
        <v>411</v>
      </c>
      <c r="DS1051" t="b">
        <v>1</v>
      </c>
      <c r="DT1051" t="s">
        <v>470</v>
      </c>
      <c r="DU1051" t="s">
        <v>471</v>
      </c>
      <c r="DV1051" t="s">
        <v>472</v>
      </c>
      <c r="DX1051">
        <v>-9999</v>
      </c>
      <c r="DZ1051" t="s">
        <v>447</v>
      </c>
      <c r="EA1051" t="s">
        <v>448</v>
      </c>
      <c r="EB1051" t="s">
        <v>6164</v>
      </c>
      <c r="EC1051">
        <v>20101217</v>
      </c>
      <c r="ED1051" t="s">
        <v>474</v>
      </c>
      <c r="EF1051">
        <v>876.4</v>
      </c>
      <c r="EG1051">
        <v>353.7</v>
      </c>
      <c r="EI1051">
        <v>20160407</v>
      </c>
      <c r="EJ1051">
        <v>0</v>
      </c>
      <c r="EK1051">
        <v>0</v>
      </c>
      <c r="EP1051" t="s">
        <v>421</v>
      </c>
      <c r="EQ1051" t="s">
        <v>422</v>
      </c>
      <c r="ER1051">
        <v>7</v>
      </c>
      <c r="ES1051">
        <v>2</v>
      </c>
      <c r="ET1051">
        <v>5530.95</v>
      </c>
      <c r="EU1051">
        <v>320.3</v>
      </c>
      <c r="EV1051">
        <v>5851.25</v>
      </c>
      <c r="EW1051" s="2">
        <v>43222</v>
      </c>
      <c r="EX1051" s="1">
        <v>42879</v>
      </c>
      <c r="EY1051">
        <v>2016</v>
      </c>
      <c r="EZ1051">
        <v>786.83</v>
      </c>
      <c r="FA1051" t="s">
        <v>10811</v>
      </c>
      <c r="FB1051">
        <v>0.25</v>
      </c>
      <c r="FC1051" t="s">
        <v>424</v>
      </c>
      <c r="FD1051" t="s">
        <v>454</v>
      </c>
      <c r="FF1051">
        <v>12</v>
      </c>
      <c r="FG1051">
        <v>7400234</v>
      </c>
      <c r="FH1051" t="s">
        <v>426</v>
      </c>
      <c r="FJ1051" s="1">
        <v>42879</v>
      </c>
      <c r="FK1051">
        <v>2016</v>
      </c>
      <c r="FL1051">
        <v>786.83</v>
      </c>
      <c r="FM1051" t="s">
        <v>10811</v>
      </c>
      <c r="FN1051">
        <v>0.25</v>
      </c>
      <c r="FO1051" t="s">
        <v>424</v>
      </c>
      <c r="FP1051" t="s">
        <v>454</v>
      </c>
      <c r="FR1051">
        <v>12</v>
      </c>
      <c r="FS1051">
        <v>7558987</v>
      </c>
      <c r="FT1051" t="s">
        <v>10812</v>
      </c>
      <c r="FV1051" s="1">
        <v>42515</v>
      </c>
      <c r="FW1051">
        <v>2015</v>
      </c>
      <c r="FX1051">
        <v>795.52</v>
      </c>
      <c r="FY1051" t="s">
        <v>10813</v>
      </c>
      <c r="FZ1051">
        <v>0.25</v>
      </c>
      <c r="GA1051" t="s">
        <v>424</v>
      </c>
      <c r="GB1051" t="s">
        <v>454</v>
      </c>
      <c r="GD1051">
        <v>24</v>
      </c>
      <c r="GE1051">
        <v>2851116</v>
      </c>
      <c r="GF1051" t="s">
        <v>480</v>
      </c>
      <c r="GH1051" s="1">
        <v>42515</v>
      </c>
      <c r="GI1051">
        <v>2015</v>
      </c>
      <c r="GJ1051">
        <v>795.52</v>
      </c>
      <c r="GK1051" t="s">
        <v>10813</v>
      </c>
      <c r="GL1051">
        <v>0.25</v>
      </c>
      <c r="GM1051" t="s">
        <v>424</v>
      </c>
      <c r="GN1051" t="s">
        <v>454</v>
      </c>
      <c r="GP1051">
        <v>24</v>
      </c>
      <c r="GQ1051">
        <v>4858241</v>
      </c>
      <c r="GR1051" t="s">
        <v>10814</v>
      </c>
      <c r="GT1051" s="1">
        <v>42151</v>
      </c>
      <c r="GU1051">
        <v>2014</v>
      </c>
      <c r="GV1051">
        <v>788.75</v>
      </c>
      <c r="GW1051" t="s">
        <v>10815</v>
      </c>
      <c r="GX1051">
        <v>0.25</v>
      </c>
      <c r="GY1051" t="s">
        <v>424</v>
      </c>
      <c r="GZ1051" t="s">
        <v>454</v>
      </c>
      <c r="HB1051">
        <v>36</v>
      </c>
      <c r="HC1051">
        <v>2851116</v>
      </c>
      <c r="HD1051" t="s">
        <v>480</v>
      </c>
      <c r="HF1051" s="1">
        <v>42151</v>
      </c>
      <c r="HG1051">
        <v>2014</v>
      </c>
      <c r="HH1051">
        <v>788.75</v>
      </c>
      <c r="HI1051" t="s">
        <v>10815</v>
      </c>
      <c r="HJ1051">
        <v>0.25</v>
      </c>
      <c r="HK1051" t="s">
        <v>424</v>
      </c>
      <c r="HL1051" t="s">
        <v>454</v>
      </c>
      <c r="HN1051">
        <v>36</v>
      </c>
      <c r="HO1051">
        <v>5027571</v>
      </c>
      <c r="HP1051" t="s">
        <v>10816</v>
      </c>
      <c r="HR1051" s="1">
        <v>42151</v>
      </c>
      <c r="HS1051">
        <v>2014</v>
      </c>
      <c r="HT1051">
        <v>788.75</v>
      </c>
      <c r="HU1051" t="s">
        <v>10815</v>
      </c>
      <c r="HV1051">
        <v>0.25</v>
      </c>
      <c r="HW1051" t="s">
        <v>424</v>
      </c>
      <c r="HX1051" t="s">
        <v>454</v>
      </c>
      <c r="HZ1051">
        <v>36</v>
      </c>
      <c r="IA1051">
        <v>7336670</v>
      </c>
      <c r="IB1051" t="s">
        <v>2102</v>
      </c>
      <c r="ID1051" s="1">
        <v>41052</v>
      </c>
      <c r="IE1051">
        <v>2011</v>
      </c>
      <c r="IF1051">
        <v>699.84</v>
      </c>
      <c r="IG1051" t="s">
        <v>10817</v>
      </c>
      <c r="IH1051">
        <v>6</v>
      </c>
      <c r="II1051" t="s">
        <v>424</v>
      </c>
      <c r="IJ1051" t="s">
        <v>425</v>
      </c>
      <c r="IK1051" s="1">
        <v>41667</v>
      </c>
      <c r="IL1051">
        <v>20</v>
      </c>
      <c r="IM1051">
        <v>105</v>
      </c>
      <c r="IN1051" t="s">
        <v>946</v>
      </c>
      <c r="IP1051" s="1">
        <v>40688</v>
      </c>
      <c r="IQ1051">
        <v>2010</v>
      </c>
      <c r="IR1051">
        <v>682.01</v>
      </c>
      <c r="IS1051" t="s">
        <v>10818</v>
      </c>
      <c r="IT1051">
        <v>6.75</v>
      </c>
      <c r="IU1051" t="s">
        <v>424</v>
      </c>
      <c r="IV1051" t="s">
        <v>425</v>
      </c>
      <c r="IW1051" s="1">
        <v>41313</v>
      </c>
      <c r="IX1051">
        <v>21</v>
      </c>
      <c r="IY1051">
        <v>105</v>
      </c>
      <c r="IZ1051" t="s">
        <v>946</v>
      </c>
    </row>
    <row r="1052" spans="1:272" x14ac:dyDescent="0.25">
      <c r="A1052">
        <v>16486059</v>
      </c>
      <c r="B1052">
        <v>1051</v>
      </c>
      <c r="C1052" t="s">
        <v>393</v>
      </c>
      <c r="D1052" t="s">
        <v>394</v>
      </c>
      <c r="F1052" t="str">
        <f>"35-4N-25-0000-0008-0080"</f>
        <v>35-4N-25-0000-0008-0080</v>
      </c>
      <c r="H1052" t="str">
        <f>"JONES BELINDA M"</f>
        <v>JONES BELINDA M</v>
      </c>
      <c r="I1052" t="str">
        <f>"58291 TIMMONS RD"</f>
        <v>58291 TIMMONS RD</v>
      </c>
      <c r="J1052" t="str">
        <f t="shared" si="343"/>
        <v>HILLIARD FL 32046</v>
      </c>
      <c r="K1052" t="str">
        <f>"58291 TIMMONS RD"</f>
        <v>58291 TIMMONS RD</v>
      </c>
      <c r="L1052" t="str">
        <f t="shared" si="336"/>
        <v>HILLIARD FL 32046</v>
      </c>
      <c r="M1052" t="str">
        <f>"PT OF SW1/4 OF NW1/4 IN OR 1955/1513"</f>
        <v>PT OF SW1/4 OF NW1/4 IN OR 1955/1513</v>
      </c>
      <c r="N1052" t="str">
        <f>""</f>
        <v/>
      </c>
      <c r="O1052" t="str">
        <f>"41928"</f>
        <v>41928</v>
      </c>
      <c r="P1052" t="str">
        <f t="shared" si="334"/>
        <v>2017</v>
      </c>
      <c r="Q1052" t="str">
        <f>""</f>
        <v/>
      </c>
      <c r="R1052" t="str">
        <f t="shared" ref="R1052:R1067" si="346">"N"</f>
        <v>N</v>
      </c>
      <c r="S1052" t="str">
        <f>"1.00"</f>
        <v>1.00</v>
      </c>
      <c r="T1052" t="str">
        <f>"1628.70"</f>
        <v>1628.70</v>
      </c>
      <c r="U1052" t="str">
        <f>"107585.00"</f>
        <v>107585.00</v>
      </c>
      <c r="V1052" t="str">
        <f>"107585.00"</f>
        <v>107585.00</v>
      </c>
      <c r="W1052" t="str">
        <f t="shared" si="335"/>
        <v>2017</v>
      </c>
      <c r="X1052" t="str">
        <f>"11.00"</f>
        <v>11.00</v>
      </c>
      <c r="Y1052" t="str">
        <f>"1709.56"</f>
        <v>1709.56</v>
      </c>
      <c r="Z1052" t="str">
        <f>""</f>
        <v/>
      </c>
      <c r="AA1052" t="str">
        <f>"107585.00"</f>
        <v>107585.00</v>
      </c>
      <c r="AB1052" t="str">
        <f t="shared" si="344"/>
        <v>Residential</v>
      </c>
      <c r="AC1052" t="str">
        <f t="shared" si="345"/>
        <v>0</v>
      </c>
      <c r="AD1052" t="str">
        <f>"4"</f>
        <v>4</v>
      </c>
      <c r="AE1052" t="str">
        <f>"WOOD (INCLUDE STEEL STUDS)"</f>
        <v>WOOD (INCLUDE STEEL STUDS)</v>
      </c>
      <c r="AF1052" t="str">
        <f>"001"</f>
        <v>001</v>
      </c>
      <c r="AG1052" t="str">
        <f t="shared" si="338"/>
        <v>FL</v>
      </c>
      <c r="AH1052" t="str">
        <f>"43560.00"</f>
        <v>43560.00</v>
      </c>
      <c r="AI1052" t="str">
        <f>"15750.00"</f>
        <v>15750.00</v>
      </c>
      <c r="AJ1052" t="str">
        <f>"C55-000-587-7969-5"</f>
        <v>C55-000-587-7969-5</v>
      </c>
      <c r="AK1052" t="str">
        <f>"16011"</f>
        <v>16011</v>
      </c>
      <c r="AL1052">
        <v>4</v>
      </c>
      <c r="AM1052">
        <v>1207</v>
      </c>
      <c r="AN1052">
        <v>1793.44</v>
      </c>
      <c r="AQ1052" t="s">
        <v>10819</v>
      </c>
      <c r="AR1052" t="s">
        <v>10819</v>
      </c>
      <c r="AS1052" t="s">
        <v>10819</v>
      </c>
      <c r="AU1052" t="s">
        <v>396</v>
      </c>
      <c r="AV1052">
        <v>2017</v>
      </c>
      <c r="AW1052" t="str">
        <f>"35-4N-25-0000-0008-0080 "</f>
        <v xml:space="preserve">35-4N-25-0000-0008-0080 </v>
      </c>
      <c r="AX1052">
        <v>58291</v>
      </c>
      <c r="AZ1052" t="s">
        <v>10820</v>
      </c>
      <c r="BA1052" t="s">
        <v>496</v>
      </c>
      <c r="BD1052" t="s">
        <v>398</v>
      </c>
      <c r="BE1052" t="s">
        <v>393</v>
      </c>
      <c r="BF1052">
        <v>32046</v>
      </c>
      <c r="BG1052" t="s">
        <v>10821</v>
      </c>
      <c r="BH1052" t="s">
        <v>400</v>
      </c>
      <c r="BI1052">
        <v>-81.782951620242301</v>
      </c>
      <c r="BJ1052">
        <v>30.7258890500127</v>
      </c>
      <c r="BK1052" t="s">
        <v>10822</v>
      </c>
      <c r="BM1052" t="s">
        <v>10821</v>
      </c>
      <c r="BN1052" t="s">
        <v>403</v>
      </c>
      <c r="BO1052">
        <v>32046</v>
      </c>
      <c r="BP1052" t="s">
        <v>416</v>
      </c>
      <c r="BQ1052">
        <v>100</v>
      </c>
      <c r="BR1052" t="s">
        <v>514</v>
      </c>
      <c r="BS1052">
        <v>1001</v>
      </c>
      <c r="BT1052" t="s">
        <v>515</v>
      </c>
      <c r="BW1052">
        <v>43560</v>
      </c>
      <c r="BX1052" t="s">
        <v>407</v>
      </c>
      <c r="BY1052" t="s">
        <v>408</v>
      </c>
      <c r="BZ1052">
        <v>4</v>
      </c>
      <c r="CA1052">
        <v>1992</v>
      </c>
      <c r="CB1052">
        <v>1</v>
      </c>
      <c r="CC1052">
        <v>1</v>
      </c>
      <c r="CD1052">
        <v>2017</v>
      </c>
      <c r="CE1052">
        <v>15750</v>
      </c>
      <c r="CF1052">
        <v>91835</v>
      </c>
      <c r="CG1052">
        <v>107585</v>
      </c>
      <c r="CH1052">
        <v>2017</v>
      </c>
      <c r="CI1052">
        <v>15750</v>
      </c>
      <c r="CJ1052">
        <v>91835</v>
      </c>
      <c r="CK1052">
        <v>107585</v>
      </c>
      <c r="CL1052">
        <v>2017</v>
      </c>
      <c r="CM1052">
        <v>1628.7</v>
      </c>
      <c r="CN1052" s="1">
        <v>41733</v>
      </c>
      <c r="CO1052">
        <v>19900</v>
      </c>
      <c r="CV1052">
        <v>0</v>
      </c>
      <c r="CZ1052" s="1">
        <v>41733</v>
      </c>
      <c r="DA1052">
        <v>0</v>
      </c>
      <c r="DD1052" t="s">
        <v>398</v>
      </c>
      <c r="DG1052">
        <v>35</v>
      </c>
      <c r="DL1052">
        <v>50400</v>
      </c>
      <c r="DM1052" t="s">
        <v>10779</v>
      </c>
      <c r="DO1052" t="s">
        <v>10823</v>
      </c>
      <c r="DP1052">
        <v>0</v>
      </c>
      <c r="DQ1052">
        <v>0</v>
      </c>
      <c r="DR1052" t="s">
        <v>411</v>
      </c>
      <c r="DS1052" t="b">
        <v>1</v>
      </c>
      <c r="DT1052" t="s">
        <v>470</v>
      </c>
      <c r="DU1052" t="s">
        <v>471</v>
      </c>
      <c r="DV1052" t="s">
        <v>472</v>
      </c>
      <c r="DX1052">
        <v>-9999</v>
      </c>
      <c r="DZ1052" t="s">
        <v>447</v>
      </c>
      <c r="EA1052" t="s">
        <v>448</v>
      </c>
      <c r="EB1052" t="s">
        <v>6164</v>
      </c>
      <c r="EC1052">
        <v>20101217</v>
      </c>
      <c r="ED1052" t="s">
        <v>474</v>
      </c>
      <c r="EF1052">
        <v>307.2</v>
      </c>
      <c r="EG1052">
        <v>99.7</v>
      </c>
      <c r="EI1052">
        <v>20160407</v>
      </c>
      <c r="EJ1052">
        <v>0</v>
      </c>
      <c r="EK1052">
        <v>0</v>
      </c>
      <c r="EP1052" t="s">
        <v>421</v>
      </c>
      <c r="EQ1052" t="s">
        <v>422</v>
      </c>
      <c r="ER1052">
        <v>2</v>
      </c>
      <c r="ES1052">
        <v>5</v>
      </c>
      <c r="ET1052">
        <v>3374.82</v>
      </c>
      <c r="EU1052">
        <v>181.24</v>
      </c>
      <c r="EV1052">
        <v>3556.06</v>
      </c>
      <c r="EW1052" s="2">
        <v>43222</v>
      </c>
      <c r="EX1052" s="1">
        <v>42879</v>
      </c>
      <c r="EY1052">
        <v>2016</v>
      </c>
      <c r="EZ1052">
        <v>1687.41</v>
      </c>
      <c r="FA1052" t="s">
        <v>10824</v>
      </c>
      <c r="FB1052">
        <v>0.25</v>
      </c>
      <c r="FC1052" t="s">
        <v>424</v>
      </c>
      <c r="FD1052" t="s">
        <v>454</v>
      </c>
      <c r="FF1052">
        <v>12</v>
      </c>
      <c r="FG1052">
        <v>7400234</v>
      </c>
      <c r="FH1052" t="s">
        <v>426</v>
      </c>
      <c r="FJ1052" s="1">
        <v>42879</v>
      </c>
      <c r="FK1052">
        <v>2016</v>
      </c>
      <c r="FL1052">
        <v>1687.41</v>
      </c>
      <c r="FM1052" t="s">
        <v>10824</v>
      </c>
      <c r="FN1052">
        <v>0.25</v>
      </c>
      <c r="FO1052" t="s">
        <v>424</v>
      </c>
      <c r="FP1052" t="s">
        <v>454</v>
      </c>
      <c r="FR1052">
        <v>12</v>
      </c>
      <c r="FS1052">
        <v>7552254</v>
      </c>
      <c r="FT1052" t="s">
        <v>10825</v>
      </c>
      <c r="FV1052" s="1">
        <v>42515</v>
      </c>
      <c r="FW1052">
        <v>2015</v>
      </c>
      <c r="FX1052">
        <v>1731.74</v>
      </c>
      <c r="FY1052" t="s">
        <v>10826</v>
      </c>
      <c r="FZ1052">
        <v>0.25</v>
      </c>
      <c r="GA1052" t="s">
        <v>424</v>
      </c>
      <c r="GB1052" t="s">
        <v>425</v>
      </c>
      <c r="GC1052" s="1">
        <v>43144</v>
      </c>
      <c r="GD1052">
        <v>21</v>
      </c>
      <c r="GE1052">
        <v>2851116</v>
      </c>
      <c r="GF1052" t="s">
        <v>480</v>
      </c>
      <c r="GH1052" s="1">
        <v>42515</v>
      </c>
      <c r="GI1052">
        <v>2015</v>
      </c>
      <c r="GJ1052">
        <v>1731.74</v>
      </c>
      <c r="GK1052" t="s">
        <v>10826</v>
      </c>
      <c r="GL1052">
        <v>0.25</v>
      </c>
      <c r="GM1052" t="s">
        <v>424</v>
      </c>
      <c r="GN1052" t="s">
        <v>425</v>
      </c>
      <c r="GP1052">
        <v>22</v>
      </c>
      <c r="GQ1052">
        <v>5344292</v>
      </c>
      <c r="GR1052" t="s">
        <v>10827</v>
      </c>
      <c r="GT1052" s="1">
        <v>42151</v>
      </c>
      <c r="GU1052">
        <v>2014</v>
      </c>
      <c r="GV1052">
        <v>1584.64</v>
      </c>
      <c r="GW1052" t="s">
        <v>10828</v>
      </c>
      <c r="GX1052">
        <v>0.25</v>
      </c>
      <c r="GY1052" t="s">
        <v>424</v>
      </c>
      <c r="GZ1052" t="s">
        <v>425</v>
      </c>
      <c r="HA1052" s="1">
        <v>42419</v>
      </c>
      <c r="HB1052">
        <v>9</v>
      </c>
      <c r="HC1052">
        <v>4844983</v>
      </c>
      <c r="HD1052" t="s">
        <v>3901</v>
      </c>
      <c r="HF1052" s="1">
        <v>42151</v>
      </c>
      <c r="HG1052">
        <v>2014</v>
      </c>
      <c r="HH1052">
        <v>1584.64</v>
      </c>
      <c r="HI1052" t="s">
        <v>10828</v>
      </c>
      <c r="HJ1052">
        <v>0.25</v>
      </c>
      <c r="HK1052" t="s">
        <v>424</v>
      </c>
      <c r="HL1052" t="s">
        <v>425</v>
      </c>
      <c r="HN1052">
        <v>22</v>
      </c>
      <c r="HO1052">
        <v>6090013</v>
      </c>
      <c r="HP1052" t="s">
        <v>10829</v>
      </c>
      <c r="HR1052" s="1">
        <v>40688</v>
      </c>
      <c r="HS1052">
        <v>2010</v>
      </c>
      <c r="HT1052">
        <v>1554.38</v>
      </c>
      <c r="HU1052" t="s">
        <v>10830</v>
      </c>
      <c r="HV1052">
        <v>0.25</v>
      </c>
      <c r="HW1052" t="s">
        <v>424</v>
      </c>
      <c r="HX1052" t="s">
        <v>425</v>
      </c>
      <c r="HY1052" s="1">
        <v>40773</v>
      </c>
      <c r="HZ1052">
        <v>3</v>
      </c>
      <c r="IA1052">
        <v>11287</v>
      </c>
      <c r="IB1052" t="s">
        <v>511</v>
      </c>
    </row>
    <row r="1053" spans="1:272" x14ac:dyDescent="0.25">
      <c r="A1053">
        <v>16486060</v>
      </c>
      <c r="B1053">
        <v>1052</v>
      </c>
      <c r="C1053" t="s">
        <v>393</v>
      </c>
      <c r="D1053" t="s">
        <v>394</v>
      </c>
      <c r="F1053" t="str">
        <f>"35-4N-25-0000-0009-0130"</f>
        <v>35-4N-25-0000-0009-0130</v>
      </c>
      <c r="H1053" t="str">
        <f>"SCOTT VICTORIA M &amp; MASON LESTER JR &amp; JOYCE(JT/RS)"</f>
        <v>SCOTT VICTORIA M &amp; MASON LESTER JR &amp; JOYCE(JT/RS)</v>
      </c>
      <c r="I1053" t="str">
        <f>"571639 LESSIE RD"</f>
        <v>571639 LESSIE RD</v>
      </c>
      <c r="J1053" t="str">
        <f t="shared" si="343"/>
        <v>HILLIARD FL 32046</v>
      </c>
      <c r="K1053" t="str">
        <f>"571639 LESSIE RD"</f>
        <v>571639 LESSIE RD</v>
      </c>
      <c r="L1053" t="str">
        <f t="shared" si="336"/>
        <v>HILLIARD FL 32046</v>
      </c>
      <c r="M1053" t="str">
        <f>"PT NW1/4 OF SE1/4 OF SEC 35-4N-25E IN OR 2087/1039"</f>
        <v>PT NW1/4 OF SE1/4 OF SEC 35-4N-25E IN OR 2087/1039</v>
      </c>
      <c r="N1053" t="str">
        <f>""</f>
        <v/>
      </c>
      <c r="O1053" t="str">
        <f>"41946"</f>
        <v>41946</v>
      </c>
      <c r="P1053" t="str">
        <f t="shared" si="334"/>
        <v>2017</v>
      </c>
      <c r="Q1053" t="str">
        <f>""</f>
        <v/>
      </c>
      <c r="R1053" t="str">
        <f t="shared" si="346"/>
        <v>N</v>
      </c>
      <c r="S1053" t="str">
        <f>"1.00"</f>
        <v>1.00</v>
      </c>
      <c r="T1053" t="str">
        <f>"884.10"</f>
        <v>884.10</v>
      </c>
      <c r="U1053" t="str">
        <f>"58400.00"</f>
        <v>58400.00</v>
      </c>
      <c r="V1053" t="str">
        <f>"58400.00"</f>
        <v>58400.00</v>
      </c>
      <c r="W1053" t="str">
        <f t="shared" si="335"/>
        <v>2017</v>
      </c>
      <c r="X1053" t="str">
        <f>""</f>
        <v/>
      </c>
      <c r="Y1053" t="str">
        <f>"942.62"</f>
        <v>942.62</v>
      </c>
      <c r="Z1053" t="str">
        <f>""</f>
        <v/>
      </c>
      <c r="AA1053" t="str">
        <f>"58400.00"</f>
        <v>58400.00</v>
      </c>
      <c r="AB1053" t="str">
        <f t="shared" si="344"/>
        <v>Residential</v>
      </c>
      <c r="AC1053" t="str">
        <f t="shared" si="345"/>
        <v>0</v>
      </c>
      <c r="AD1053" t="str">
        <f>"4"</f>
        <v>4</v>
      </c>
      <c r="AE1053" t="str">
        <f>"WOOD (INCLUDE STEEL STUDS)"</f>
        <v>WOOD (INCLUDE STEEL STUDS)</v>
      </c>
      <c r="AF1053" t="str">
        <f>"001"</f>
        <v>001</v>
      </c>
      <c r="AG1053" t="str">
        <f t="shared" si="338"/>
        <v>FL</v>
      </c>
      <c r="AH1053" t="str">
        <f>"43560.00"</f>
        <v>43560.00</v>
      </c>
      <c r="AI1053" t="str">
        <f>"15750.00"</f>
        <v>15750.00</v>
      </c>
      <c r="AJ1053" t="str">
        <f>"C55-000-587-7985-1"</f>
        <v>C55-000-587-7985-1</v>
      </c>
      <c r="AK1053" t="str">
        <f>"16029"</f>
        <v>16029</v>
      </c>
      <c r="AL1053">
        <v>4</v>
      </c>
      <c r="AM1053">
        <v>1208</v>
      </c>
      <c r="AN1053">
        <v>988.15</v>
      </c>
      <c r="AQ1053" t="s">
        <v>10831</v>
      </c>
      <c r="AR1053" t="s">
        <v>10831</v>
      </c>
      <c r="AS1053" t="s">
        <v>10831</v>
      </c>
      <c r="AU1053" t="s">
        <v>396</v>
      </c>
      <c r="AV1053">
        <v>2017</v>
      </c>
      <c r="AW1053" t="str">
        <f>"35-4N-25-0000-0009-0130 "</f>
        <v xml:space="preserve">35-4N-25-0000-0009-0130 </v>
      </c>
      <c r="AX1053">
        <v>571639</v>
      </c>
      <c r="AZ1053" t="s">
        <v>10707</v>
      </c>
      <c r="BA1053" t="s">
        <v>496</v>
      </c>
      <c r="BD1053" t="s">
        <v>398</v>
      </c>
      <c r="BE1053" t="s">
        <v>393</v>
      </c>
      <c r="BF1053">
        <v>32046</v>
      </c>
      <c r="BG1053" t="s">
        <v>10832</v>
      </c>
      <c r="BH1053" t="s">
        <v>400</v>
      </c>
      <c r="BI1053">
        <v>-81.776893586320796</v>
      </c>
      <c r="BJ1053">
        <v>30.7223306923926</v>
      </c>
      <c r="BK1053" t="s">
        <v>10833</v>
      </c>
      <c r="BL1053" t="s">
        <v>10834</v>
      </c>
      <c r="BM1053" t="s">
        <v>10832</v>
      </c>
      <c r="BN1053" t="s">
        <v>403</v>
      </c>
      <c r="BO1053">
        <v>32046</v>
      </c>
      <c r="BP1053" t="s">
        <v>416</v>
      </c>
      <c r="BQ1053">
        <v>100</v>
      </c>
      <c r="BR1053" t="s">
        <v>514</v>
      </c>
      <c r="BS1053">
        <v>1001</v>
      </c>
      <c r="BT1053" t="s">
        <v>515</v>
      </c>
      <c r="BW1053">
        <v>38274</v>
      </c>
      <c r="BX1053" t="s">
        <v>407</v>
      </c>
      <c r="BY1053" t="s">
        <v>408</v>
      </c>
      <c r="BZ1053">
        <v>4</v>
      </c>
      <c r="CA1053">
        <v>1993</v>
      </c>
      <c r="CB1053">
        <v>1</v>
      </c>
      <c r="CC1053">
        <v>1</v>
      </c>
      <c r="CD1053">
        <v>2017</v>
      </c>
      <c r="CE1053">
        <v>15750</v>
      </c>
      <c r="CF1053">
        <v>42650</v>
      </c>
      <c r="CG1053">
        <v>58400</v>
      </c>
      <c r="CH1053">
        <v>2017</v>
      </c>
      <c r="CI1053">
        <v>15750</v>
      </c>
      <c r="CJ1053">
        <v>42650</v>
      </c>
      <c r="CK1053">
        <v>58400</v>
      </c>
      <c r="CL1053">
        <v>2017</v>
      </c>
      <c r="CM1053">
        <v>884.1</v>
      </c>
      <c r="CN1053" s="1">
        <v>42712</v>
      </c>
      <c r="CO1053">
        <v>25000</v>
      </c>
      <c r="CV1053">
        <v>0</v>
      </c>
      <c r="CZ1053" s="1">
        <v>42712</v>
      </c>
      <c r="DA1053">
        <v>0</v>
      </c>
      <c r="DD1053" t="s">
        <v>398</v>
      </c>
      <c r="DG1053">
        <v>35</v>
      </c>
      <c r="DL1053">
        <v>50400</v>
      </c>
      <c r="DM1053" t="s">
        <v>10779</v>
      </c>
      <c r="DO1053" t="s">
        <v>10835</v>
      </c>
      <c r="DP1053">
        <v>0</v>
      </c>
      <c r="DQ1053">
        <v>0</v>
      </c>
      <c r="DR1053" t="s">
        <v>411</v>
      </c>
    </row>
    <row r="1054" spans="1:272" x14ac:dyDescent="0.25">
      <c r="A1054">
        <v>16486061</v>
      </c>
      <c r="B1054">
        <v>1053</v>
      </c>
      <c r="C1054" t="s">
        <v>393</v>
      </c>
      <c r="D1054" t="s">
        <v>394</v>
      </c>
      <c r="F1054" t="str">
        <f>"35-4N-25-4220-0001-0020"</f>
        <v>35-4N-25-4220-0001-0020</v>
      </c>
      <c r="H1054" t="str">
        <f>"WHITE KAVIN KEITH"</f>
        <v>WHITE KAVIN KEITH</v>
      </c>
      <c r="I1054" t="str">
        <f>"58104 COOPERS NECK RD"</f>
        <v>58104 COOPERS NECK RD</v>
      </c>
      <c r="J1054" t="str">
        <f t="shared" si="343"/>
        <v>HILLIARD FL 32046</v>
      </c>
      <c r="K1054" t="str">
        <f>"58104 COOPERS NECK RD"</f>
        <v>58104 COOPERS NECK RD</v>
      </c>
      <c r="L1054" t="str">
        <f t="shared" si="336"/>
        <v>HILLIARD FL 32046</v>
      </c>
      <c r="M1054" t="str">
        <f>"PT OF LOTS 1 3 &amp; 5 L/E IN OR 385 PG 564 EX S-3 OF LOT 3 QUINCE HERRING ESTATE"</f>
        <v>PT OF LOTS 1 3 &amp; 5 L/E IN OR 385 PG 564 EX S-3 OF LOT 3 QUINCE HERRING ESTATE</v>
      </c>
      <c r="N1054" t="str">
        <f>""</f>
        <v/>
      </c>
      <c r="O1054" t="str">
        <f>"41950"</f>
        <v>41950</v>
      </c>
      <c r="P1054" t="str">
        <f t="shared" si="334"/>
        <v>2017</v>
      </c>
      <c r="Q1054" t="str">
        <f>""</f>
        <v/>
      </c>
      <c r="R1054" t="str">
        <f t="shared" si="346"/>
        <v>N</v>
      </c>
      <c r="S1054" t="str">
        <f>"7.95"</f>
        <v>7.95</v>
      </c>
      <c r="T1054" t="str">
        <f>"959.72"</f>
        <v>959.72</v>
      </c>
      <c r="U1054" t="str">
        <f>"62539.00"</f>
        <v>62539.00</v>
      </c>
      <c r="V1054" t="str">
        <f>"62539.00"</f>
        <v>62539.00</v>
      </c>
      <c r="W1054" t="str">
        <f t="shared" si="335"/>
        <v>2017</v>
      </c>
      <c r="X1054" t="str">
        <f>"7.50"</f>
        <v>7.50</v>
      </c>
      <c r="Y1054" t="str">
        <f>"1020.51"</f>
        <v>1020.51</v>
      </c>
      <c r="Z1054" t="str">
        <f>""</f>
        <v/>
      </c>
      <c r="AA1054" t="str">
        <f>"64503.00"</f>
        <v>64503.00</v>
      </c>
      <c r="AB1054" t="str">
        <f t="shared" si="344"/>
        <v>Residential</v>
      </c>
      <c r="AC1054" t="str">
        <f t="shared" si="345"/>
        <v>0</v>
      </c>
      <c r="AD1054" t="str">
        <f>"4"</f>
        <v>4</v>
      </c>
      <c r="AE1054" t="str">
        <f>"WOOD (INCLUDE STEEL STUDS)"</f>
        <v>WOOD (INCLUDE STEEL STUDS)</v>
      </c>
      <c r="AF1054" t="str">
        <f>"002"</f>
        <v>002</v>
      </c>
      <c r="AG1054" t="str">
        <f t="shared" si="338"/>
        <v>FL</v>
      </c>
      <c r="AH1054" t="str">
        <f>"346302.00"</f>
        <v>346302.00</v>
      </c>
      <c r="AI1054" t="str">
        <f>"50085.00"</f>
        <v>50085.00</v>
      </c>
      <c r="AJ1054" t="str">
        <f>"C55-000-587-7987-7"</f>
        <v>C55-000-587-7987-7</v>
      </c>
      <c r="AK1054" t="str">
        <f>"16032"</f>
        <v>16032</v>
      </c>
      <c r="AL1054">
        <v>4</v>
      </c>
      <c r="AM1054">
        <v>1209</v>
      </c>
      <c r="AN1054">
        <v>1069.94</v>
      </c>
      <c r="AQ1054" t="s">
        <v>10836</v>
      </c>
      <c r="AR1054" t="s">
        <v>10836</v>
      </c>
      <c r="AS1054" t="s">
        <v>10836</v>
      </c>
      <c r="AU1054" t="s">
        <v>396</v>
      </c>
      <c r="AV1054">
        <v>2017</v>
      </c>
      <c r="AW1054" t="str">
        <f>"35-4N-25-4220-0001-0020 "</f>
        <v xml:space="preserve">35-4N-25-4220-0001-0020 </v>
      </c>
      <c r="AX1054">
        <v>58104</v>
      </c>
      <c r="AZ1054" t="s">
        <v>10775</v>
      </c>
      <c r="BA1054" t="s">
        <v>496</v>
      </c>
      <c r="BD1054" t="s">
        <v>398</v>
      </c>
      <c r="BE1054" t="s">
        <v>393</v>
      </c>
      <c r="BF1054">
        <v>32046</v>
      </c>
      <c r="BG1054" t="s">
        <v>10837</v>
      </c>
      <c r="BH1054" t="s">
        <v>400</v>
      </c>
      <c r="BI1054">
        <v>-81.776628621970502</v>
      </c>
      <c r="BJ1054">
        <v>30.726075280394099</v>
      </c>
      <c r="BK1054" t="s">
        <v>10838</v>
      </c>
      <c r="BM1054" t="s">
        <v>10837</v>
      </c>
      <c r="BN1054" t="s">
        <v>403</v>
      </c>
      <c r="BO1054">
        <v>32046</v>
      </c>
      <c r="BP1054" t="s">
        <v>416</v>
      </c>
      <c r="BQ1054">
        <v>200</v>
      </c>
      <c r="BR1054" t="s">
        <v>405</v>
      </c>
      <c r="BS1054">
        <v>1006</v>
      </c>
      <c r="BT1054" t="s">
        <v>406</v>
      </c>
      <c r="BW1054">
        <v>346302</v>
      </c>
      <c r="BX1054" t="s">
        <v>407</v>
      </c>
      <c r="BY1054" t="s">
        <v>408</v>
      </c>
      <c r="BZ1054">
        <v>4</v>
      </c>
      <c r="CA1054">
        <v>1987</v>
      </c>
      <c r="CB1054">
        <v>1</v>
      </c>
      <c r="CC1054">
        <v>1</v>
      </c>
      <c r="CD1054">
        <v>2017</v>
      </c>
      <c r="CE1054">
        <v>50085</v>
      </c>
      <c r="CF1054">
        <v>14418</v>
      </c>
      <c r="CG1054">
        <v>64503</v>
      </c>
      <c r="CH1054">
        <v>2017</v>
      </c>
      <c r="CI1054">
        <v>50085</v>
      </c>
      <c r="CJ1054">
        <v>14418</v>
      </c>
      <c r="CK1054">
        <v>64503</v>
      </c>
      <c r="CL1054">
        <v>2017</v>
      </c>
      <c r="CM1054">
        <v>959.72</v>
      </c>
      <c r="CN1054" s="1">
        <v>30437</v>
      </c>
      <c r="CZ1054" s="1">
        <v>30437</v>
      </c>
      <c r="DD1054" t="s">
        <v>398</v>
      </c>
      <c r="DG1054">
        <v>35</v>
      </c>
      <c r="DL1054">
        <v>50400</v>
      </c>
      <c r="DM1054" t="s">
        <v>10779</v>
      </c>
      <c r="DO1054" t="s">
        <v>10839</v>
      </c>
      <c r="DP1054">
        <v>0</v>
      </c>
      <c r="DQ1054">
        <v>0</v>
      </c>
      <c r="DR1054" t="s">
        <v>411</v>
      </c>
      <c r="DS1054" t="b">
        <v>1</v>
      </c>
      <c r="DT1054" t="s">
        <v>470</v>
      </c>
      <c r="DU1054" t="s">
        <v>471</v>
      </c>
      <c r="DV1054" t="s">
        <v>472</v>
      </c>
      <c r="DX1054">
        <v>-9999</v>
      </c>
      <c r="DZ1054" t="s">
        <v>447</v>
      </c>
      <c r="EA1054" t="s">
        <v>448</v>
      </c>
      <c r="EB1054" t="s">
        <v>6164</v>
      </c>
      <c r="EC1054">
        <v>20101217</v>
      </c>
      <c r="ED1054" t="s">
        <v>474</v>
      </c>
      <c r="EF1054">
        <v>1471.5</v>
      </c>
      <c r="EG1054">
        <v>748.4</v>
      </c>
      <c r="EI1054">
        <v>20160407</v>
      </c>
      <c r="EJ1054">
        <v>0</v>
      </c>
      <c r="EK1054">
        <v>0</v>
      </c>
      <c r="EP1054" t="s">
        <v>595</v>
      </c>
      <c r="EQ1054" t="s">
        <v>422</v>
      </c>
      <c r="ER1054">
        <v>0</v>
      </c>
      <c r="ES1054">
        <v>5</v>
      </c>
      <c r="ET1054">
        <v>0</v>
      </c>
      <c r="EU1054">
        <v>0</v>
      </c>
      <c r="EV1054">
        <v>0</v>
      </c>
      <c r="EW1054" s="2">
        <v>43222</v>
      </c>
      <c r="EX1054" s="1">
        <v>42879</v>
      </c>
      <c r="EY1054">
        <v>2016</v>
      </c>
      <c r="EZ1054">
        <v>970.88</v>
      </c>
      <c r="FA1054" t="s">
        <v>10840</v>
      </c>
      <c r="FB1054">
        <v>0.25</v>
      </c>
      <c r="FC1054" t="s">
        <v>424</v>
      </c>
      <c r="FD1054" t="s">
        <v>425</v>
      </c>
      <c r="FE1054" s="1">
        <v>42894</v>
      </c>
      <c r="FF1054">
        <v>1</v>
      </c>
      <c r="FG1054">
        <v>7400234</v>
      </c>
      <c r="FH1054" t="s">
        <v>426</v>
      </c>
      <c r="FJ1054" s="1">
        <v>42879</v>
      </c>
      <c r="FK1054">
        <v>2016</v>
      </c>
      <c r="FL1054">
        <v>970.88</v>
      </c>
      <c r="FM1054" t="s">
        <v>10840</v>
      </c>
      <c r="FN1054">
        <v>0.25</v>
      </c>
      <c r="FO1054" t="s">
        <v>424</v>
      </c>
      <c r="FP1054" t="s">
        <v>425</v>
      </c>
      <c r="FR1054">
        <v>22</v>
      </c>
      <c r="FS1054">
        <v>7494702</v>
      </c>
      <c r="FT1054" t="s">
        <v>10841</v>
      </c>
      <c r="FV1054" s="1">
        <v>41787</v>
      </c>
      <c r="FW1054">
        <v>2013</v>
      </c>
      <c r="FX1054">
        <v>117.77</v>
      </c>
      <c r="FY1054" t="s">
        <v>10842</v>
      </c>
      <c r="FZ1054">
        <v>18</v>
      </c>
      <c r="GA1054" t="s">
        <v>603</v>
      </c>
      <c r="GB1054" t="s">
        <v>425</v>
      </c>
      <c r="GC1054" s="1">
        <v>42034</v>
      </c>
      <c r="GD1054">
        <v>8</v>
      </c>
      <c r="GE1054">
        <v>9999999</v>
      </c>
      <c r="GF1054" t="s">
        <v>604</v>
      </c>
      <c r="GH1054" s="1">
        <v>41423</v>
      </c>
      <c r="GI1054">
        <v>2012</v>
      </c>
      <c r="GJ1054">
        <v>110.52</v>
      </c>
      <c r="GK1054" t="s">
        <v>10843</v>
      </c>
      <c r="GL1054">
        <v>18</v>
      </c>
      <c r="GM1054" t="s">
        <v>603</v>
      </c>
      <c r="GN1054" t="s">
        <v>425</v>
      </c>
      <c r="GO1054" s="1">
        <v>41774</v>
      </c>
      <c r="GP1054">
        <v>12</v>
      </c>
      <c r="GQ1054">
        <v>9999999</v>
      </c>
      <c r="GR1054" t="s">
        <v>604</v>
      </c>
      <c r="GT1054" s="1">
        <v>40688</v>
      </c>
      <c r="GU1054">
        <v>2010</v>
      </c>
      <c r="GV1054">
        <v>81.39</v>
      </c>
      <c r="GW1054" t="s">
        <v>10844</v>
      </c>
      <c r="GX1054">
        <v>18</v>
      </c>
      <c r="GY1054" t="s">
        <v>603</v>
      </c>
      <c r="GZ1054" t="s">
        <v>425</v>
      </c>
      <c r="HA1054" s="1">
        <v>40942</v>
      </c>
      <c r="HB1054">
        <v>9</v>
      </c>
      <c r="HC1054">
        <v>9999999</v>
      </c>
      <c r="HD1054" t="s">
        <v>604</v>
      </c>
    </row>
    <row r="1055" spans="1:272" x14ac:dyDescent="0.25">
      <c r="A1055">
        <v>16486062</v>
      </c>
      <c r="B1055">
        <v>1054</v>
      </c>
      <c r="C1055" t="s">
        <v>393</v>
      </c>
      <c r="D1055" t="s">
        <v>394</v>
      </c>
      <c r="F1055" t="str">
        <f>"35-4N-25-4220-0002-0020"</f>
        <v>35-4N-25-4220-0002-0020</v>
      </c>
      <c r="H1055" t="str">
        <f>"CHEAVERS EVERETT ET AL"</f>
        <v>CHEAVERS EVERETT ET AL</v>
      </c>
      <c r="I1055" t="str">
        <f>"10 MANOR DR"</f>
        <v>10 MANOR DR</v>
      </c>
      <c r="J1055" t="str">
        <f>"NEPTUNE NJ 07753"</f>
        <v>NEPTUNE NJ 07753</v>
      </c>
      <c r="K1055" t="str">
        <f>"COOPERS NECK RD"</f>
        <v>COOPERS NECK RD</v>
      </c>
      <c r="L1055" t="str">
        <f t="shared" si="336"/>
        <v>HILLIARD FL 32046</v>
      </c>
      <c r="M1055" t="str">
        <f>"PT OF LOTS 2 4 &amp; 6 OR 322 PG 610 &amp; 337 PG 324 QUINCE HERRING EST"</f>
        <v>PT OF LOTS 2 4 &amp; 6 OR 322 PG 610 &amp; 337 PG 324 QUINCE HERRING EST</v>
      </c>
      <c r="N1055" t="str">
        <f>""</f>
        <v/>
      </c>
      <c r="O1055" t="str">
        <f>"41953"</f>
        <v>41953</v>
      </c>
      <c r="P1055" t="str">
        <f t="shared" si="334"/>
        <v>2017</v>
      </c>
      <c r="Q1055" t="str">
        <f>""</f>
        <v/>
      </c>
      <c r="R1055" t="str">
        <f t="shared" si="346"/>
        <v>N</v>
      </c>
      <c r="S1055" t="str">
        <f>"7.95"</f>
        <v>7.95</v>
      </c>
      <c r="T1055" t="str">
        <f>"758.22"</f>
        <v>758.22</v>
      </c>
      <c r="U1055" t="str">
        <f>"50085.00"</f>
        <v>50085.00</v>
      </c>
      <c r="V1055" t="str">
        <f>"50085.00"</f>
        <v>50085.00</v>
      </c>
      <c r="W1055" t="str">
        <f t="shared" si="335"/>
        <v>2017</v>
      </c>
      <c r="X1055" t="str">
        <f>""</f>
        <v/>
      </c>
      <c r="Y1055" t="str">
        <f>"812.97"</f>
        <v>812.97</v>
      </c>
      <c r="Z1055" t="str">
        <f>""</f>
        <v/>
      </c>
      <c r="AA1055" t="str">
        <f>"50085.00"</f>
        <v>50085.00</v>
      </c>
      <c r="AB1055" t="str">
        <f t="shared" si="344"/>
        <v>Residential</v>
      </c>
      <c r="AC1055" t="str">
        <f t="shared" si="345"/>
        <v>0</v>
      </c>
      <c r="AD1055" t="str">
        <f>""</f>
        <v/>
      </c>
      <c r="AE1055" t="str">
        <f>""</f>
        <v/>
      </c>
      <c r="AF1055" t="str">
        <f t="shared" ref="AF1055:AF1061" si="347">"000"</f>
        <v>000</v>
      </c>
      <c r="AG1055" t="str">
        <f>"NJ"</f>
        <v>NJ</v>
      </c>
      <c r="AH1055" t="str">
        <f>"346302.00"</f>
        <v>346302.00</v>
      </c>
      <c r="AI1055" t="str">
        <f>"50085.00"</f>
        <v>50085.00</v>
      </c>
      <c r="AJ1055" t="str">
        <f>"C55-000-587-7990-1"</f>
        <v>C55-000-587-7990-1</v>
      </c>
      <c r="AK1055" t="str">
        <f>"16035"</f>
        <v>16035</v>
      </c>
      <c r="AL1055">
        <v>4</v>
      </c>
      <c r="AM1055">
        <v>1210</v>
      </c>
      <c r="AN1055">
        <v>852.02</v>
      </c>
      <c r="AQ1055" t="s">
        <v>10845</v>
      </c>
      <c r="AR1055" t="s">
        <v>10845</v>
      </c>
      <c r="AS1055" t="s">
        <v>10845</v>
      </c>
      <c r="AU1055" t="s">
        <v>396</v>
      </c>
      <c r="AV1055">
        <v>2017</v>
      </c>
      <c r="AW1055" t="str">
        <f>"35-4N-25-4220-0002-0020 "</f>
        <v xml:space="preserve">35-4N-25-4220-0002-0020 </v>
      </c>
      <c r="AZ1055" t="s">
        <v>10775</v>
      </c>
      <c r="BA1055" t="s">
        <v>496</v>
      </c>
      <c r="BD1055" t="s">
        <v>398</v>
      </c>
      <c r="BE1055" t="s">
        <v>393</v>
      </c>
      <c r="BF1055">
        <v>32046</v>
      </c>
      <c r="BG1055" t="s">
        <v>10846</v>
      </c>
      <c r="BH1055" t="s">
        <v>400</v>
      </c>
      <c r="BI1055">
        <v>-81.774880201715206</v>
      </c>
      <c r="BJ1055">
        <v>30.725860566434001</v>
      </c>
      <c r="BK1055" t="s">
        <v>10847</v>
      </c>
      <c r="BM1055" t="s">
        <v>10848</v>
      </c>
      <c r="BN1055" t="s">
        <v>10849</v>
      </c>
      <c r="BO1055">
        <v>7753</v>
      </c>
      <c r="BP1055" t="s">
        <v>404</v>
      </c>
      <c r="BQ1055">
        <v>0</v>
      </c>
      <c r="BR1055" t="s">
        <v>491</v>
      </c>
      <c r="BS1055">
        <v>8001</v>
      </c>
      <c r="BT1055" t="s">
        <v>492</v>
      </c>
      <c r="BW1055">
        <v>346302</v>
      </c>
      <c r="BX1055" t="s">
        <v>407</v>
      </c>
      <c r="BY1055" t="s">
        <v>408</v>
      </c>
      <c r="CD1055">
        <v>2017</v>
      </c>
      <c r="CE1055">
        <v>50085</v>
      </c>
      <c r="CG1055">
        <v>50085</v>
      </c>
      <c r="CH1055">
        <v>2017</v>
      </c>
      <c r="CI1055">
        <v>50085</v>
      </c>
      <c r="CK1055">
        <v>50085</v>
      </c>
      <c r="CL1055">
        <v>2017</v>
      </c>
      <c r="CM1055">
        <v>758.22</v>
      </c>
      <c r="CN1055" s="1">
        <v>29707</v>
      </c>
      <c r="CZ1055" s="1">
        <v>29707</v>
      </c>
      <c r="DD1055" t="s">
        <v>398</v>
      </c>
      <c r="DG1055">
        <v>35</v>
      </c>
      <c r="DM1055" t="s">
        <v>10779</v>
      </c>
      <c r="DO1055" t="s">
        <v>10850</v>
      </c>
      <c r="DP1055">
        <v>0</v>
      </c>
      <c r="DQ1055">
        <v>0</v>
      </c>
      <c r="DR1055" t="s">
        <v>411</v>
      </c>
    </row>
    <row r="1056" spans="1:272" x14ac:dyDescent="0.25">
      <c r="A1056">
        <v>16486063</v>
      </c>
      <c r="B1056">
        <v>1055</v>
      </c>
      <c r="C1056" t="s">
        <v>393</v>
      </c>
      <c r="D1056" t="s">
        <v>394</v>
      </c>
      <c r="F1056" t="str">
        <f>"35-4N-25-4220-0003-0030"</f>
        <v>35-4N-25-4220-0003-0030</v>
      </c>
      <c r="H1056" t="str">
        <f>"LAST FRANK JAMES III &amp; MARY J"</f>
        <v>LAST FRANK JAMES III &amp; MARY J</v>
      </c>
      <c r="I1056" t="str">
        <f>"2019 ALACHUA ST"</f>
        <v>2019 ALACHUA ST</v>
      </c>
      <c r="J1056" t="str">
        <f>"FERNANDINA BEACH FL 32034"</f>
        <v>FERNANDINA BEACH FL 32034</v>
      </c>
      <c r="K1056" t="str">
        <f>"COOPERS NECK RD"</f>
        <v>COOPERS NECK RD</v>
      </c>
      <c r="L1056" t="str">
        <f t="shared" si="336"/>
        <v>HILLIARD FL 32046</v>
      </c>
      <c r="M1056" t="str">
        <f>"E75 OF W308 OF S150 OF LOT 3 IN SW1/4 OF NE1/4 IN OR 1499/304 QUINCE HERRING EST"</f>
        <v>E75 OF W308 OF S150 OF LOT 3 IN SW1/4 OF NE1/4 IN OR 1499/304 QUINCE HERRING EST</v>
      </c>
      <c r="N1056" t="str">
        <f>""</f>
        <v/>
      </c>
      <c r="O1056" t="str">
        <f>"41955"</f>
        <v>41955</v>
      </c>
      <c r="P1056" t="str">
        <f t="shared" si="334"/>
        <v>2017</v>
      </c>
      <c r="Q1056" t="str">
        <f>""</f>
        <v/>
      </c>
      <c r="R1056" t="str">
        <f t="shared" si="346"/>
        <v>N</v>
      </c>
      <c r="S1056" t="str">
        <f>"0.26"</f>
        <v>0.26</v>
      </c>
      <c r="T1056" t="str">
        <f>"56.33"</f>
        <v>56.33</v>
      </c>
      <c r="U1056" t="str">
        <f>"3432.00"</f>
        <v>3432.00</v>
      </c>
      <c r="V1056" t="str">
        <f>"3432.00"</f>
        <v>3432.00</v>
      </c>
      <c r="W1056" t="str">
        <f t="shared" si="335"/>
        <v>2017</v>
      </c>
      <c r="X1056" t="str">
        <f>""</f>
        <v/>
      </c>
      <c r="Y1056" t="str">
        <f>"90.02"</f>
        <v>90.02</v>
      </c>
      <c r="Z1056" t="str">
        <f>""</f>
        <v/>
      </c>
      <c r="AA1056" t="str">
        <f>"4095.00"</f>
        <v>4095.00</v>
      </c>
      <c r="AB1056" t="str">
        <f t="shared" si="344"/>
        <v>Residential</v>
      </c>
      <c r="AC1056" t="str">
        <f t="shared" si="345"/>
        <v>0</v>
      </c>
      <c r="AD1056" t="str">
        <f>""</f>
        <v/>
      </c>
      <c r="AE1056" t="str">
        <f>""</f>
        <v/>
      </c>
      <c r="AF1056" t="str">
        <f t="shared" si="347"/>
        <v>000</v>
      </c>
      <c r="AG1056" t="str">
        <f t="shared" ref="AG1056:AG1063" si="348">"FL"</f>
        <v>FL</v>
      </c>
      <c r="AH1056" t="str">
        <f>"11325.00"</f>
        <v>11325.00</v>
      </c>
      <c r="AI1056" t="str">
        <f>"4095.00"</f>
        <v>4095.00</v>
      </c>
      <c r="AJ1056" t="str">
        <f>"C55-000-587-7992-7"</f>
        <v>C55-000-587-7992-7</v>
      </c>
      <c r="AK1056" t="str">
        <f>"16037"</f>
        <v>16037</v>
      </c>
      <c r="AL1056">
        <v>4</v>
      </c>
      <c r="AM1056">
        <v>1211</v>
      </c>
      <c r="AN1056">
        <v>92.92</v>
      </c>
      <c r="AQ1056" t="s">
        <v>10851</v>
      </c>
      <c r="AR1056" t="s">
        <v>10851</v>
      </c>
      <c r="AS1056" t="s">
        <v>10851</v>
      </c>
      <c r="AU1056" t="s">
        <v>396</v>
      </c>
      <c r="AV1056">
        <v>2017</v>
      </c>
      <c r="AW1056" t="str">
        <f>"35-4N-25-4220-0003-0030 "</f>
        <v xml:space="preserve">35-4N-25-4220-0003-0030 </v>
      </c>
      <c r="AZ1056" t="s">
        <v>10775</v>
      </c>
      <c r="BA1056" t="s">
        <v>496</v>
      </c>
      <c r="BD1056" t="s">
        <v>398</v>
      </c>
      <c r="BE1056" t="s">
        <v>393</v>
      </c>
      <c r="BF1056">
        <v>32046</v>
      </c>
      <c r="BG1056" t="s">
        <v>10846</v>
      </c>
      <c r="BH1056" t="s">
        <v>400</v>
      </c>
      <c r="BI1056">
        <v>-81.777038902630196</v>
      </c>
      <c r="BJ1056">
        <v>30.725544275756199</v>
      </c>
      <c r="BK1056" t="s">
        <v>8392</v>
      </c>
      <c r="BL1056" t="s">
        <v>8393</v>
      </c>
      <c r="BM1056" t="s">
        <v>8394</v>
      </c>
      <c r="BN1056" t="s">
        <v>3983</v>
      </c>
      <c r="BO1056">
        <v>32034</v>
      </c>
      <c r="BP1056" t="s">
        <v>404</v>
      </c>
      <c r="BQ1056">
        <v>0</v>
      </c>
      <c r="BR1056" t="s">
        <v>491</v>
      </c>
      <c r="BS1056">
        <v>8001</v>
      </c>
      <c r="BT1056" t="s">
        <v>492</v>
      </c>
      <c r="BW1056">
        <v>11325</v>
      </c>
      <c r="BX1056" t="s">
        <v>407</v>
      </c>
      <c r="BY1056" t="s">
        <v>408</v>
      </c>
      <c r="CD1056">
        <v>2017</v>
      </c>
      <c r="CE1056">
        <v>4095</v>
      </c>
      <c r="CG1056">
        <v>4095</v>
      </c>
      <c r="CH1056">
        <v>2017</v>
      </c>
      <c r="CI1056">
        <v>4095</v>
      </c>
      <c r="CK1056">
        <v>4095</v>
      </c>
      <c r="CL1056">
        <v>2017</v>
      </c>
      <c r="CM1056">
        <v>56.33</v>
      </c>
      <c r="CN1056" s="1">
        <v>39217</v>
      </c>
      <c r="CO1056">
        <v>1200</v>
      </c>
      <c r="CZ1056" s="1">
        <v>39217</v>
      </c>
      <c r="DD1056" t="s">
        <v>398</v>
      </c>
      <c r="DF1056">
        <v>3</v>
      </c>
      <c r="DG1056">
        <v>35</v>
      </c>
      <c r="DM1056" t="s">
        <v>10779</v>
      </c>
      <c r="DO1056" t="s">
        <v>10852</v>
      </c>
      <c r="DP1056">
        <v>0</v>
      </c>
      <c r="DQ1056">
        <v>0</v>
      </c>
      <c r="DR1056" t="s">
        <v>411</v>
      </c>
      <c r="DS1056" t="b">
        <v>1</v>
      </c>
      <c r="DT1056" t="s">
        <v>470</v>
      </c>
      <c r="DU1056" t="s">
        <v>471</v>
      </c>
      <c r="DV1056" t="s">
        <v>472</v>
      </c>
      <c r="DX1056">
        <v>-9999</v>
      </c>
      <c r="DZ1056" t="s">
        <v>447</v>
      </c>
      <c r="EA1056" t="s">
        <v>448</v>
      </c>
      <c r="EB1056" t="s">
        <v>6164</v>
      </c>
      <c r="EC1056">
        <v>20101217</v>
      </c>
      <c r="ED1056" t="s">
        <v>474</v>
      </c>
      <c r="EF1056">
        <v>1255.9000000000001</v>
      </c>
      <c r="EG1056">
        <v>519</v>
      </c>
      <c r="EI1056">
        <v>20160407</v>
      </c>
      <c r="EJ1056">
        <v>0</v>
      </c>
      <c r="EK1056">
        <v>0</v>
      </c>
      <c r="EP1056" t="s">
        <v>595</v>
      </c>
      <c r="EQ1056" t="s">
        <v>422</v>
      </c>
      <c r="ER1056">
        <v>3</v>
      </c>
      <c r="ES1056">
        <v>0</v>
      </c>
      <c r="ET1056">
        <v>236.31</v>
      </c>
      <c r="EU1056">
        <v>88.26</v>
      </c>
      <c r="EV1056">
        <v>324.57</v>
      </c>
      <c r="EW1056" s="2">
        <v>43222</v>
      </c>
      <c r="EX1056" s="1">
        <v>42879</v>
      </c>
      <c r="EY1056">
        <v>2016</v>
      </c>
      <c r="EZ1056">
        <v>78.81</v>
      </c>
      <c r="FA1056" t="s">
        <v>10853</v>
      </c>
      <c r="FB1056">
        <v>16.25</v>
      </c>
      <c r="FC1056" t="s">
        <v>424</v>
      </c>
      <c r="FD1056" t="s">
        <v>454</v>
      </c>
      <c r="FF1056">
        <v>12</v>
      </c>
      <c r="FG1056">
        <v>10021</v>
      </c>
      <c r="FH1056" t="s">
        <v>597</v>
      </c>
      <c r="FJ1056" s="1">
        <v>42515</v>
      </c>
      <c r="FK1056">
        <v>2015</v>
      </c>
      <c r="FL1056">
        <v>75.06</v>
      </c>
      <c r="FM1056" t="s">
        <v>10854</v>
      </c>
      <c r="FN1056">
        <v>18</v>
      </c>
      <c r="FO1056" t="s">
        <v>603</v>
      </c>
      <c r="FP1056" t="s">
        <v>454</v>
      </c>
      <c r="FR1056">
        <v>24</v>
      </c>
      <c r="FS1056">
        <v>9999999</v>
      </c>
      <c r="FT1056" t="s">
        <v>604</v>
      </c>
      <c r="FV1056" s="1">
        <v>42515</v>
      </c>
      <c r="FW1056">
        <v>2015</v>
      </c>
      <c r="FX1056">
        <v>82.44</v>
      </c>
      <c r="FY1056" t="s">
        <v>10854</v>
      </c>
      <c r="FZ1056">
        <v>18</v>
      </c>
      <c r="GA1056" t="s">
        <v>424</v>
      </c>
      <c r="GB1056" t="s">
        <v>454</v>
      </c>
      <c r="GD1056">
        <v>24</v>
      </c>
      <c r="GE1056">
        <v>4844951</v>
      </c>
      <c r="GF1056" t="s">
        <v>697</v>
      </c>
    </row>
    <row r="1057" spans="1:284" x14ac:dyDescent="0.25">
      <c r="A1057">
        <v>16486064</v>
      </c>
      <c r="B1057">
        <v>1056</v>
      </c>
      <c r="C1057" t="s">
        <v>393</v>
      </c>
      <c r="D1057" t="s">
        <v>394</v>
      </c>
      <c r="F1057" t="str">
        <f>"38-4N-25-0000-0012-0000"</f>
        <v>38-4N-25-0000-0012-0000</v>
      </c>
      <c r="H1057" t="str">
        <f>"BREAKER MARY LOUISE"</f>
        <v>BREAKER MARY LOUISE</v>
      </c>
      <c r="I1057" t="str">
        <f>"1235 W 12TH STREET"</f>
        <v>1235 W 12TH STREET</v>
      </c>
      <c r="J1057" t="str">
        <f>"JACKSONVILLE FL 32209"</f>
        <v>JACKSONVILLE FL 32209</v>
      </c>
      <c r="K1057" t="str">
        <f>"LESSIE RD"</f>
        <v>LESSIE RD</v>
      </c>
      <c r="L1057" t="str">
        <f t="shared" si="336"/>
        <v>HILLIARD FL 32046</v>
      </c>
      <c r="M1057" t="str">
        <f>"PT WILLIAM NELSON GRANT SEC 38-4N-25E IN OR 458/556 (EX R/W IN OR 621/901)"</f>
        <v>PT WILLIAM NELSON GRANT SEC 38-4N-25E IN OR 458/556 (EX R/W IN OR 621/901)</v>
      </c>
      <c r="N1057" t="str">
        <f>""</f>
        <v/>
      </c>
      <c r="O1057" t="str">
        <f>"45887"</f>
        <v>45887</v>
      </c>
      <c r="P1057" t="str">
        <f t="shared" si="334"/>
        <v>2017</v>
      </c>
      <c r="Q1057" t="str">
        <f>""</f>
        <v/>
      </c>
      <c r="R1057" t="str">
        <f t="shared" si="346"/>
        <v>N</v>
      </c>
      <c r="S1057" t="str">
        <f>"10.77"</f>
        <v>10.77</v>
      </c>
      <c r="T1057" t="str">
        <f>"1027.18"</f>
        <v>1027.18</v>
      </c>
      <c r="U1057" t="str">
        <f>"67851.00"</f>
        <v>67851.00</v>
      </c>
      <c r="V1057" t="str">
        <f>"67851.00"</f>
        <v>67851.00</v>
      </c>
      <c r="W1057" t="str">
        <f t="shared" si="335"/>
        <v>2017</v>
      </c>
      <c r="X1057" t="str">
        <f>"21.00"</f>
        <v>21.00</v>
      </c>
      <c r="Y1057" t="str">
        <f>"1090.00"</f>
        <v>1090.00</v>
      </c>
      <c r="Z1057" t="str">
        <f>""</f>
        <v/>
      </c>
      <c r="AA1057" t="str">
        <f>"67851.00"</f>
        <v>67851.00</v>
      </c>
      <c r="AB1057" t="str">
        <f t="shared" si="344"/>
        <v>Residential</v>
      </c>
      <c r="AC1057" t="str">
        <f t="shared" si="345"/>
        <v>0</v>
      </c>
      <c r="AD1057" t="str">
        <f>""</f>
        <v/>
      </c>
      <c r="AE1057" t="str">
        <f>""</f>
        <v/>
      </c>
      <c r="AF1057" t="str">
        <f t="shared" si="347"/>
        <v>000</v>
      </c>
      <c r="AG1057" t="str">
        <f t="shared" si="348"/>
        <v>FL</v>
      </c>
      <c r="AH1057" t="str">
        <f>"469141.00"</f>
        <v>469141.00</v>
      </c>
      <c r="AI1057" t="str">
        <f>"67851.00"</f>
        <v>67851.00</v>
      </c>
      <c r="AJ1057" t="str">
        <f>"C55-000-588-0617-5"</f>
        <v>C55-000-588-0617-5</v>
      </c>
      <c r="AK1057" t="str">
        <f>"16056"</f>
        <v>16056</v>
      </c>
      <c r="AL1057">
        <v>4</v>
      </c>
      <c r="AM1057">
        <v>1212</v>
      </c>
      <c r="AN1057">
        <v>1142.9000000000001</v>
      </c>
      <c r="AQ1057" t="s">
        <v>10855</v>
      </c>
      <c r="AR1057" t="s">
        <v>10855</v>
      </c>
      <c r="AS1057" t="s">
        <v>10855</v>
      </c>
      <c r="AU1057" t="s">
        <v>396</v>
      </c>
      <c r="AV1057">
        <v>2017</v>
      </c>
      <c r="AW1057" t="str">
        <f>"38-4N-25-0000-0012-0000 "</f>
        <v xml:space="preserve">38-4N-25-0000-0012-0000 </v>
      </c>
      <c r="AZ1057" t="s">
        <v>10707</v>
      </c>
      <c r="BA1057" t="s">
        <v>496</v>
      </c>
      <c r="BD1057" t="s">
        <v>398</v>
      </c>
      <c r="BE1057" t="s">
        <v>393</v>
      </c>
      <c r="BF1057">
        <v>32046</v>
      </c>
      <c r="BG1057" t="s">
        <v>10737</v>
      </c>
      <c r="BH1057" t="s">
        <v>400</v>
      </c>
      <c r="BI1057">
        <v>-81.823000830652703</v>
      </c>
      <c r="BJ1057">
        <v>30.774049148339699</v>
      </c>
      <c r="BK1057" t="s">
        <v>10856</v>
      </c>
      <c r="BM1057" t="s">
        <v>10857</v>
      </c>
      <c r="BN1057" t="s">
        <v>548</v>
      </c>
      <c r="BO1057">
        <v>32209</v>
      </c>
      <c r="BP1057" t="s">
        <v>404</v>
      </c>
      <c r="BQ1057">
        <v>0</v>
      </c>
      <c r="BR1057" t="s">
        <v>491</v>
      </c>
      <c r="BS1057">
        <v>8001</v>
      </c>
      <c r="BT1057" t="s">
        <v>492</v>
      </c>
      <c r="BW1057">
        <v>469141</v>
      </c>
      <c r="BX1057" t="s">
        <v>407</v>
      </c>
      <c r="BY1057" t="s">
        <v>408</v>
      </c>
      <c r="CD1057">
        <v>2017</v>
      </c>
      <c r="CE1057">
        <v>67851</v>
      </c>
      <c r="CG1057">
        <v>67851</v>
      </c>
      <c r="CH1057">
        <v>2017</v>
      </c>
      <c r="CI1057">
        <v>67851</v>
      </c>
      <c r="CK1057">
        <v>67851</v>
      </c>
      <c r="CL1057">
        <v>2017</v>
      </c>
      <c r="CM1057">
        <v>1027.18</v>
      </c>
      <c r="CN1057" s="1">
        <v>31217</v>
      </c>
      <c r="CZ1057" s="1">
        <v>31217</v>
      </c>
      <c r="DD1057" t="s">
        <v>398</v>
      </c>
      <c r="DG1057">
        <v>38</v>
      </c>
      <c r="DL1057">
        <v>50400</v>
      </c>
      <c r="DM1057" t="s">
        <v>10858</v>
      </c>
      <c r="DO1057" t="s">
        <v>10859</v>
      </c>
      <c r="DP1057">
        <v>0</v>
      </c>
      <c r="DQ1057">
        <v>0</v>
      </c>
      <c r="DR1057" t="s">
        <v>411</v>
      </c>
      <c r="EP1057" t="s">
        <v>421</v>
      </c>
      <c r="EQ1057" t="s">
        <v>422</v>
      </c>
      <c r="ER1057">
        <v>1</v>
      </c>
      <c r="ES1057">
        <v>0</v>
      </c>
      <c r="ET1057">
        <v>1099.82</v>
      </c>
      <c r="EU1057">
        <v>61.24</v>
      </c>
      <c r="EV1057">
        <v>1161.06</v>
      </c>
      <c r="EW1057" s="2">
        <v>43222</v>
      </c>
      <c r="EX1057" s="1">
        <v>42879</v>
      </c>
      <c r="EY1057">
        <v>2016</v>
      </c>
      <c r="EZ1057">
        <v>1099.82</v>
      </c>
      <c r="FA1057" t="s">
        <v>10860</v>
      </c>
      <c r="FB1057">
        <v>0.25</v>
      </c>
      <c r="FC1057" t="s">
        <v>424</v>
      </c>
      <c r="FD1057" t="s">
        <v>454</v>
      </c>
      <c r="FF1057">
        <v>12</v>
      </c>
      <c r="FG1057">
        <v>2035919</v>
      </c>
      <c r="FH1057" t="s">
        <v>507</v>
      </c>
    </row>
    <row r="1058" spans="1:284" x14ac:dyDescent="0.25">
      <c r="A1058">
        <v>16486065</v>
      </c>
      <c r="B1058">
        <v>1057</v>
      </c>
      <c r="C1058" t="s">
        <v>393</v>
      </c>
      <c r="D1058" t="s">
        <v>394</v>
      </c>
      <c r="F1058" t="str">
        <f>"43-4N-25-0000-0002-0030"</f>
        <v>43-4N-25-0000-0002-0030</v>
      </c>
      <c r="H1058" t="str">
        <f>"POHL LEE NORA JO WINGATE &amp; WINGATE MONTA C"</f>
        <v>POHL LEE NORA JO WINGATE &amp; WINGATE MONTA C</v>
      </c>
      <c r="I1058" t="str">
        <f>"474694 MIDDLE ROAD"</f>
        <v>474694 MIDDLE ROAD</v>
      </c>
      <c r="J1058" t="str">
        <f t="shared" ref="J1058:J1063" si="349">"HILLIARD FL 32046"</f>
        <v>HILLIARD FL 32046</v>
      </c>
      <c r="K1058" t="str">
        <f>"474630 MIDDLE RD"</f>
        <v>474630 MIDDLE RD</v>
      </c>
      <c r="L1058" t="str">
        <f t="shared" si="336"/>
        <v>HILLIARD FL 32046</v>
      </c>
      <c r="M1058" t="str">
        <f>"CASE 04-24-CP OR 1315/116 R622047 &amp; R622048 EX R/W OR 605/1176 EX 2-15 &amp; 2-18"</f>
        <v>CASE 04-24-CP OR 1315/116 R622047 &amp; R622048 EX R/W OR 605/1176 EX 2-15 &amp; 2-18</v>
      </c>
      <c r="N1058" t="str">
        <f>""</f>
        <v/>
      </c>
      <c r="O1058" t="str">
        <f>"50813"</f>
        <v>50813</v>
      </c>
      <c r="P1058" t="str">
        <f t="shared" si="334"/>
        <v>2017</v>
      </c>
      <c r="Q1058" t="str">
        <f>""</f>
        <v/>
      </c>
      <c r="R1058" t="str">
        <f t="shared" si="346"/>
        <v>N</v>
      </c>
      <c r="S1058" t="str">
        <f>"3.20"</f>
        <v>3.20</v>
      </c>
      <c r="T1058" t="str">
        <f>"516.80"</f>
        <v>516.80</v>
      </c>
      <c r="U1058" t="str">
        <f>"33660.00"</f>
        <v>33660.00</v>
      </c>
      <c r="V1058" t="str">
        <f>"33660.00"</f>
        <v>33660.00</v>
      </c>
      <c r="W1058" t="str">
        <f t="shared" si="335"/>
        <v>2017</v>
      </c>
      <c r="X1058" t="str">
        <f>"20.67"</f>
        <v>20.67</v>
      </c>
      <c r="Y1058" t="str">
        <f>"564.30"</f>
        <v>564.30</v>
      </c>
      <c r="Z1058" t="str">
        <f>""</f>
        <v/>
      </c>
      <c r="AA1058" t="str">
        <f>"34755.00"</f>
        <v>34755.00</v>
      </c>
      <c r="AB1058" t="str">
        <f t="shared" si="344"/>
        <v>Residential</v>
      </c>
      <c r="AC1058" t="str">
        <f t="shared" si="345"/>
        <v>0</v>
      </c>
      <c r="AD1058" t="str">
        <f>""</f>
        <v/>
      </c>
      <c r="AE1058" t="str">
        <f>""</f>
        <v/>
      </c>
      <c r="AF1058" t="str">
        <f t="shared" si="347"/>
        <v>000</v>
      </c>
      <c r="AG1058" t="str">
        <f t="shared" si="348"/>
        <v>FL</v>
      </c>
      <c r="AH1058" t="str">
        <f>"139392.00"</f>
        <v>139392.00</v>
      </c>
      <c r="AI1058" t="str">
        <f>"26880.00"</f>
        <v>26880.00</v>
      </c>
      <c r="AJ1058" t="str">
        <f>"C55-000-588-4063-8"</f>
        <v>C55-000-588-4063-8</v>
      </c>
      <c r="AK1058" t="str">
        <f>"16075"</f>
        <v>16075</v>
      </c>
      <c r="AL1058">
        <v>4</v>
      </c>
      <c r="AM1058">
        <v>1213</v>
      </c>
      <c r="AN1058">
        <v>590.91999999999996</v>
      </c>
      <c r="AQ1058" t="s">
        <v>10861</v>
      </c>
      <c r="AR1058" t="s">
        <v>10861</v>
      </c>
      <c r="AS1058" t="s">
        <v>10861</v>
      </c>
      <c r="AU1058" t="s">
        <v>396</v>
      </c>
      <c r="AV1058">
        <v>2017</v>
      </c>
      <c r="AW1058" t="str">
        <f>"43-4N-25-0000-0002-0030 "</f>
        <v xml:space="preserve">43-4N-25-0000-0002-0030 </v>
      </c>
      <c r="AX1058">
        <v>474630</v>
      </c>
      <c r="AZ1058" t="s">
        <v>1825</v>
      </c>
      <c r="BA1058" t="s">
        <v>496</v>
      </c>
      <c r="BD1058" t="s">
        <v>398</v>
      </c>
      <c r="BE1058" t="s">
        <v>393</v>
      </c>
      <c r="BF1058">
        <v>32046</v>
      </c>
      <c r="BG1058" t="s">
        <v>10862</v>
      </c>
      <c r="BH1058" t="s">
        <v>400</v>
      </c>
      <c r="BI1058">
        <v>-81.827621056228793</v>
      </c>
      <c r="BJ1058">
        <v>30.759803239704802</v>
      </c>
      <c r="BK1058" t="s">
        <v>10863</v>
      </c>
      <c r="BL1058" t="s">
        <v>10864</v>
      </c>
      <c r="BM1058" t="s">
        <v>10865</v>
      </c>
      <c r="BN1058" t="s">
        <v>403</v>
      </c>
      <c r="BO1058">
        <v>32046</v>
      </c>
      <c r="BP1058" t="s">
        <v>404</v>
      </c>
      <c r="BQ1058">
        <v>1</v>
      </c>
      <c r="BR1058" t="s">
        <v>491</v>
      </c>
      <c r="BS1058">
        <v>8001</v>
      </c>
      <c r="BT1058" t="s">
        <v>492</v>
      </c>
      <c r="BW1058">
        <v>139392</v>
      </c>
      <c r="BX1058" t="s">
        <v>407</v>
      </c>
      <c r="BY1058" t="s">
        <v>408</v>
      </c>
      <c r="CD1058">
        <v>2017</v>
      </c>
      <c r="CE1058">
        <v>26880</v>
      </c>
      <c r="CF1058">
        <v>7875</v>
      </c>
      <c r="CG1058">
        <v>34755</v>
      </c>
      <c r="CH1058">
        <v>2017</v>
      </c>
      <c r="CI1058">
        <v>26880</v>
      </c>
      <c r="CJ1058">
        <v>7875</v>
      </c>
      <c r="CK1058">
        <v>34755</v>
      </c>
      <c r="CL1058">
        <v>2017</v>
      </c>
      <c r="CM1058">
        <v>516.79999999999995</v>
      </c>
      <c r="CN1058" s="1">
        <v>27030</v>
      </c>
      <c r="CO1058">
        <v>5000</v>
      </c>
      <c r="CZ1058" s="1">
        <v>27030</v>
      </c>
      <c r="DD1058" t="s">
        <v>398</v>
      </c>
      <c r="DG1058">
        <v>43</v>
      </c>
      <c r="DL1058">
        <v>50400</v>
      </c>
      <c r="DM1058" t="s">
        <v>10866</v>
      </c>
      <c r="DO1058" t="s">
        <v>10867</v>
      </c>
      <c r="DP1058">
        <v>0</v>
      </c>
      <c r="DQ1058">
        <v>0</v>
      </c>
      <c r="DR1058" t="s">
        <v>411</v>
      </c>
      <c r="DS1058" t="b">
        <v>1</v>
      </c>
      <c r="DT1058" t="s">
        <v>470</v>
      </c>
      <c r="DU1058" t="s">
        <v>471</v>
      </c>
      <c r="DV1058" t="s">
        <v>472</v>
      </c>
      <c r="DX1058">
        <v>-9999</v>
      </c>
      <c r="DZ1058" t="s">
        <v>447</v>
      </c>
      <c r="EA1058" t="s">
        <v>448</v>
      </c>
      <c r="EB1058" t="s">
        <v>10868</v>
      </c>
      <c r="EC1058">
        <v>20101217</v>
      </c>
      <c r="ED1058" t="s">
        <v>474</v>
      </c>
      <c r="EF1058">
        <v>493.7</v>
      </c>
      <c r="EG1058">
        <v>493.7</v>
      </c>
      <c r="EI1058">
        <v>20160407</v>
      </c>
      <c r="EJ1058">
        <v>0</v>
      </c>
      <c r="EK1058">
        <v>0</v>
      </c>
      <c r="EP1058" t="s">
        <v>421</v>
      </c>
      <c r="EQ1058" t="s">
        <v>422</v>
      </c>
      <c r="ER1058">
        <v>2</v>
      </c>
      <c r="ES1058">
        <v>6</v>
      </c>
      <c r="ET1058">
        <v>1077.3699999999999</v>
      </c>
      <c r="EU1058">
        <v>199.24</v>
      </c>
      <c r="EV1058">
        <v>1276.6099999999999</v>
      </c>
      <c r="EW1058" s="2">
        <v>43222</v>
      </c>
      <c r="EX1058" s="1">
        <v>42879</v>
      </c>
      <c r="EY1058">
        <v>2016</v>
      </c>
      <c r="EZ1058">
        <v>535.02</v>
      </c>
      <c r="FA1058" t="s">
        <v>10869</v>
      </c>
      <c r="FB1058">
        <v>4.75</v>
      </c>
      <c r="FC1058" t="s">
        <v>424</v>
      </c>
      <c r="FD1058" t="s">
        <v>454</v>
      </c>
      <c r="FF1058">
        <v>12</v>
      </c>
      <c r="FG1058">
        <v>7336745</v>
      </c>
      <c r="FH1058" t="s">
        <v>502</v>
      </c>
      <c r="FJ1058" s="1">
        <v>42515</v>
      </c>
      <c r="FK1058">
        <v>2015</v>
      </c>
      <c r="FL1058">
        <v>542.35</v>
      </c>
      <c r="FM1058" t="s">
        <v>10870</v>
      </c>
      <c r="FN1058">
        <v>14.75</v>
      </c>
      <c r="FO1058" t="s">
        <v>424</v>
      </c>
      <c r="FP1058" t="s">
        <v>454</v>
      </c>
      <c r="FR1058">
        <v>24</v>
      </c>
      <c r="FS1058">
        <v>10125</v>
      </c>
      <c r="FT1058" t="s">
        <v>440</v>
      </c>
      <c r="FV1058" s="1">
        <v>42151</v>
      </c>
      <c r="FW1058">
        <v>2014</v>
      </c>
      <c r="FX1058">
        <v>517.64</v>
      </c>
      <c r="FY1058" t="s">
        <v>10871</v>
      </c>
      <c r="FZ1058">
        <v>4.75</v>
      </c>
      <c r="GA1058" t="s">
        <v>424</v>
      </c>
      <c r="GB1058" t="s">
        <v>425</v>
      </c>
      <c r="GD1058">
        <v>22</v>
      </c>
      <c r="GE1058">
        <v>4975593</v>
      </c>
      <c r="GF1058" t="s">
        <v>505</v>
      </c>
      <c r="GH1058" s="1">
        <v>42151</v>
      </c>
      <c r="GI1058">
        <v>2014</v>
      </c>
      <c r="GJ1058">
        <v>517.64</v>
      </c>
      <c r="GK1058" t="s">
        <v>10871</v>
      </c>
      <c r="GL1058">
        <v>4.75</v>
      </c>
      <c r="GM1058" t="s">
        <v>424</v>
      </c>
      <c r="GN1058" t="s">
        <v>425</v>
      </c>
      <c r="GO1058" s="1">
        <v>43178</v>
      </c>
      <c r="GP1058">
        <v>34</v>
      </c>
      <c r="GQ1058">
        <v>7336670</v>
      </c>
      <c r="GR1058" t="s">
        <v>2102</v>
      </c>
      <c r="GT1058" s="1">
        <v>41423</v>
      </c>
      <c r="GU1058">
        <v>2012</v>
      </c>
      <c r="GV1058">
        <v>693.56</v>
      </c>
      <c r="GW1058" t="s">
        <v>10872</v>
      </c>
      <c r="GX1058">
        <v>2.5</v>
      </c>
      <c r="GY1058" t="s">
        <v>424</v>
      </c>
      <c r="GZ1058" t="s">
        <v>425</v>
      </c>
      <c r="HA1058" s="1">
        <v>41634</v>
      </c>
      <c r="HB1058">
        <v>7</v>
      </c>
      <c r="HC1058">
        <v>10125</v>
      </c>
      <c r="HD1058" t="s">
        <v>440</v>
      </c>
      <c r="HF1058" s="1">
        <v>41423</v>
      </c>
      <c r="HG1058">
        <v>2011</v>
      </c>
      <c r="HH1058">
        <v>824.73</v>
      </c>
      <c r="HI1058" t="s">
        <v>10873</v>
      </c>
      <c r="HJ1058">
        <v>4.25</v>
      </c>
      <c r="HK1058" t="s">
        <v>424</v>
      </c>
      <c r="HL1058" t="s">
        <v>425</v>
      </c>
      <c r="HM1058" s="1">
        <v>41634</v>
      </c>
      <c r="HN1058">
        <v>7</v>
      </c>
      <c r="HO1058">
        <v>11340</v>
      </c>
      <c r="HP1058" t="s">
        <v>1230</v>
      </c>
      <c r="HR1058" s="1">
        <v>40688</v>
      </c>
      <c r="HS1058">
        <v>2010</v>
      </c>
      <c r="HT1058">
        <v>700.07</v>
      </c>
      <c r="HU1058" t="s">
        <v>10874</v>
      </c>
      <c r="HV1058">
        <v>6.75</v>
      </c>
      <c r="HW1058" t="s">
        <v>424</v>
      </c>
      <c r="HX1058" t="s">
        <v>425</v>
      </c>
      <c r="HY1058" s="1">
        <v>41634</v>
      </c>
      <c r="HZ1058">
        <v>31</v>
      </c>
      <c r="IA1058">
        <v>375</v>
      </c>
      <c r="IB1058" t="s">
        <v>776</v>
      </c>
      <c r="ID1058" s="1">
        <v>40688</v>
      </c>
      <c r="IE1058">
        <v>2010</v>
      </c>
      <c r="IF1058">
        <v>700.07</v>
      </c>
      <c r="IG1058" t="s">
        <v>10874</v>
      </c>
      <c r="IH1058">
        <v>6.75</v>
      </c>
      <c r="II1058" t="s">
        <v>424</v>
      </c>
      <c r="IJ1058" t="s">
        <v>425</v>
      </c>
      <c r="IL1058">
        <v>22</v>
      </c>
      <c r="IM1058">
        <v>105</v>
      </c>
      <c r="IN1058" t="s">
        <v>946</v>
      </c>
    </row>
    <row r="1059" spans="1:284" x14ac:dyDescent="0.25">
      <c r="A1059">
        <v>16486066</v>
      </c>
      <c r="B1059">
        <v>1058</v>
      </c>
      <c r="C1059" t="s">
        <v>393</v>
      </c>
      <c r="D1059" t="s">
        <v>394</v>
      </c>
      <c r="F1059" t="str">
        <f>"43-4N-25-0000-0002-0080"</f>
        <v>43-4N-25-0000-0002-0080</v>
      </c>
      <c r="H1059" t="str">
        <f>"HOOVER JOHN L JR"</f>
        <v>HOOVER JOHN L JR</v>
      </c>
      <c r="I1059" t="str">
        <f>"37360 BULFORD RD"</f>
        <v>37360 BULFORD RD</v>
      </c>
      <c r="J1059" t="str">
        <f t="shared" si="349"/>
        <v>HILLIARD FL 32046</v>
      </c>
      <c r="K1059" t="str">
        <f>"MIDDLE RD"</f>
        <v>MIDDLE RD</v>
      </c>
      <c r="L1059" t="str">
        <f t="shared" si="336"/>
        <v>HILLIARD FL 32046</v>
      </c>
      <c r="M1059" t="str">
        <f>"OR 689/1262 EX R/W OR 602/572 EX 2-21 &amp; 2-22"</f>
        <v>OR 689/1262 EX R/W OR 602/572 EX 2-21 &amp; 2-22</v>
      </c>
      <c r="N1059" t="str">
        <f>""</f>
        <v/>
      </c>
      <c r="O1059" t="str">
        <f>"50818"</f>
        <v>50818</v>
      </c>
      <c r="P1059" t="str">
        <f t="shared" si="334"/>
        <v>2017</v>
      </c>
      <c r="Q1059" t="str">
        <f>""</f>
        <v/>
      </c>
      <c r="R1059" t="str">
        <f t="shared" si="346"/>
        <v>N</v>
      </c>
      <c r="S1059" t="str">
        <f>"6.87"</f>
        <v>6.87</v>
      </c>
      <c r="T1059" t="str">
        <f>"655.22"</f>
        <v>655.22</v>
      </c>
      <c r="U1059" t="str">
        <f>"43281.00"</f>
        <v>43281.00</v>
      </c>
      <c r="V1059" t="str">
        <f>"43281.00"</f>
        <v>43281.00</v>
      </c>
      <c r="W1059" t="str">
        <f t="shared" si="335"/>
        <v>2017</v>
      </c>
      <c r="X1059" t="str">
        <f>"20.00"</f>
        <v>20.00</v>
      </c>
      <c r="Y1059" t="str">
        <f>"706.88"</f>
        <v>706.88</v>
      </c>
      <c r="Z1059" t="str">
        <f>""</f>
        <v/>
      </c>
      <c r="AA1059" t="str">
        <f>"43281.00"</f>
        <v>43281.00</v>
      </c>
      <c r="AB1059" t="str">
        <f t="shared" si="344"/>
        <v>Residential</v>
      </c>
      <c r="AC1059" t="str">
        <f t="shared" si="345"/>
        <v>0</v>
      </c>
      <c r="AD1059" t="str">
        <f>""</f>
        <v/>
      </c>
      <c r="AE1059" t="str">
        <f>""</f>
        <v/>
      </c>
      <c r="AF1059" t="str">
        <f t="shared" si="347"/>
        <v>000</v>
      </c>
      <c r="AG1059" t="str">
        <f t="shared" si="348"/>
        <v>FL</v>
      </c>
      <c r="AH1059" t="str">
        <f>"299257.00"</f>
        <v>299257.00</v>
      </c>
      <c r="AI1059" t="str">
        <f>"43281.00"</f>
        <v>43281.00</v>
      </c>
      <c r="AJ1059" t="str">
        <f>"C55-000-588-4068-7"</f>
        <v>C55-000-588-4068-7</v>
      </c>
      <c r="AK1059" t="str">
        <f>"16080"</f>
        <v>16080</v>
      </c>
      <c r="AL1059">
        <v>4</v>
      </c>
      <c r="AM1059">
        <v>1214</v>
      </c>
      <c r="AN1059">
        <v>740.62</v>
      </c>
      <c r="AQ1059" t="s">
        <v>10875</v>
      </c>
      <c r="AR1059" t="s">
        <v>10875</v>
      </c>
      <c r="AS1059" t="s">
        <v>10875</v>
      </c>
      <c r="AU1059" t="s">
        <v>396</v>
      </c>
      <c r="AV1059">
        <v>2017</v>
      </c>
      <c r="AW1059" t="str">
        <f>"43-4N-25-0000-0002-0080 "</f>
        <v xml:space="preserve">43-4N-25-0000-0002-0080 </v>
      </c>
      <c r="AZ1059" t="s">
        <v>1825</v>
      </c>
      <c r="BA1059" t="s">
        <v>496</v>
      </c>
      <c r="BD1059" t="s">
        <v>398</v>
      </c>
      <c r="BE1059" t="s">
        <v>393</v>
      </c>
      <c r="BF1059">
        <v>32046</v>
      </c>
      <c r="BG1059" t="s">
        <v>10282</v>
      </c>
      <c r="BH1059" t="s">
        <v>400</v>
      </c>
      <c r="BI1059">
        <v>-81.826868080952295</v>
      </c>
      <c r="BJ1059">
        <v>30.754667172993301</v>
      </c>
      <c r="BK1059" t="s">
        <v>10876</v>
      </c>
      <c r="BL1059" t="s">
        <v>10877</v>
      </c>
      <c r="BM1059" t="s">
        <v>10878</v>
      </c>
      <c r="BN1059" t="s">
        <v>403</v>
      </c>
      <c r="BO1059">
        <v>32046</v>
      </c>
      <c r="BP1059" t="s">
        <v>404</v>
      </c>
      <c r="BQ1059">
        <v>0</v>
      </c>
      <c r="BR1059" t="s">
        <v>491</v>
      </c>
      <c r="BS1059">
        <v>8001</v>
      </c>
      <c r="BT1059" t="s">
        <v>492</v>
      </c>
      <c r="BW1059">
        <v>299257</v>
      </c>
      <c r="BX1059" t="s">
        <v>407</v>
      </c>
      <c r="BY1059" t="s">
        <v>408</v>
      </c>
      <c r="CD1059">
        <v>2017</v>
      </c>
      <c r="CE1059">
        <v>43281</v>
      </c>
      <c r="CG1059">
        <v>43281</v>
      </c>
      <c r="CH1059">
        <v>2017</v>
      </c>
      <c r="CI1059">
        <v>43281</v>
      </c>
      <c r="CK1059">
        <v>43281</v>
      </c>
      <c r="CL1059">
        <v>2017</v>
      </c>
      <c r="CM1059">
        <v>655.22</v>
      </c>
      <c r="CN1059" s="1">
        <v>34247</v>
      </c>
      <c r="CZ1059" s="1">
        <v>34247</v>
      </c>
      <c r="DD1059" t="s">
        <v>398</v>
      </c>
      <c r="DG1059">
        <v>43</v>
      </c>
      <c r="DL1059">
        <v>50400</v>
      </c>
      <c r="DM1059" t="s">
        <v>10866</v>
      </c>
      <c r="DO1059" t="s">
        <v>10879</v>
      </c>
      <c r="DP1059">
        <v>0</v>
      </c>
      <c r="DQ1059">
        <v>0</v>
      </c>
      <c r="DR1059" t="s">
        <v>411</v>
      </c>
      <c r="DS1059" t="b">
        <v>1</v>
      </c>
      <c r="DT1059" t="s">
        <v>396</v>
      </c>
      <c r="DV1059" t="s">
        <v>446</v>
      </c>
      <c r="DX1059">
        <v>-9999</v>
      </c>
      <c r="DZ1059" t="s">
        <v>447</v>
      </c>
      <c r="EA1059" t="s">
        <v>448</v>
      </c>
      <c r="EB1059" t="s">
        <v>10880</v>
      </c>
      <c r="EC1059">
        <v>20101217</v>
      </c>
      <c r="ED1059" t="s">
        <v>450</v>
      </c>
      <c r="EE1059">
        <v>7.8</v>
      </c>
      <c r="EF1059">
        <v>0</v>
      </c>
      <c r="EG1059">
        <v>0</v>
      </c>
      <c r="EI1059">
        <v>20160407</v>
      </c>
      <c r="EJ1059">
        <v>0</v>
      </c>
      <c r="EK1059">
        <v>0</v>
      </c>
      <c r="EP1059" t="s">
        <v>421</v>
      </c>
      <c r="EQ1059" t="s">
        <v>422</v>
      </c>
      <c r="ER1059">
        <v>1</v>
      </c>
      <c r="ES1059">
        <v>7</v>
      </c>
      <c r="ET1059">
        <v>711.33</v>
      </c>
      <c r="EU1059">
        <v>41.82</v>
      </c>
      <c r="EV1059">
        <v>753.15</v>
      </c>
      <c r="EW1059" s="2">
        <v>43222</v>
      </c>
      <c r="EX1059" s="1">
        <v>42879</v>
      </c>
      <c r="EY1059">
        <v>2016</v>
      </c>
      <c r="EZ1059">
        <v>711.33</v>
      </c>
      <c r="FA1059" t="s">
        <v>10881</v>
      </c>
      <c r="FB1059">
        <v>4.75</v>
      </c>
      <c r="FC1059" t="s">
        <v>424</v>
      </c>
      <c r="FD1059" t="s">
        <v>454</v>
      </c>
      <c r="FF1059">
        <v>12</v>
      </c>
      <c r="FG1059">
        <v>7336745</v>
      </c>
      <c r="FH1059" t="s">
        <v>502</v>
      </c>
      <c r="FJ1059" s="1">
        <v>42515</v>
      </c>
      <c r="FK1059">
        <v>2015</v>
      </c>
      <c r="FL1059">
        <v>722.95</v>
      </c>
      <c r="FM1059" t="s">
        <v>10882</v>
      </c>
      <c r="FN1059">
        <v>4.75</v>
      </c>
      <c r="FO1059" t="s">
        <v>424</v>
      </c>
      <c r="FP1059" t="s">
        <v>425</v>
      </c>
      <c r="FQ1059" s="1">
        <v>43139</v>
      </c>
      <c r="FR1059">
        <v>21</v>
      </c>
      <c r="FS1059">
        <v>2035919</v>
      </c>
      <c r="FT1059" t="s">
        <v>507</v>
      </c>
      <c r="FV1059" s="1">
        <v>42151</v>
      </c>
      <c r="FW1059">
        <v>2014</v>
      </c>
      <c r="FX1059">
        <v>726.49</v>
      </c>
      <c r="FY1059" t="s">
        <v>10883</v>
      </c>
      <c r="FZ1059">
        <v>4.75</v>
      </c>
      <c r="GA1059" t="s">
        <v>424</v>
      </c>
      <c r="GB1059" t="s">
        <v>425</v>
      </c>
      <c r="GC1059" s="1">
        <v>42794</v>
      </c>
      <c r="GD1059">
        <v>21</v>
      </c>
      <c r="GE1059">
        <v>4975593</v>
      </c>
      <c r="GF1059" t="s">
        <v>505</v>
      </c>
      <c r="GH1059" s="1">
        <v>41787</v>
      </c>
      <c r="GI1059">
        <v>2013</v>
      </c>
      <c r="GJ1059">
        <v>688.82</v>
      </c>
      <c r="GK1059" t="s">
        <v>10884</v>
      </c>
      <c r="GL1059">
        <v>6</v>
      </c>
      <c r="GM1059" t="s">
        <v>424</v>
      </c>
      <c r="GN1059" t="s">
        <v>425</v>
      </c>
      <c r="GO1059" s="1">
        <v>42542</v>
      </c>
      <c r="GP1059">
        <v>25</v>
      </c>
      <c r="GQ1059">
        <v>2035919</v>
      </c>
      <c r="GR1059" t="s">
        <v>507</v>
      </c>
      <c r="GT1059" s="1">
        <v>41423</v>
      </c>
      <c r="GU1059">
        <v>2012</v>
      </c>
      <c r="GV1059">
        <v>865.96</v>
      </c>
      <c r="GW1059" t="s">
        <v>10885</v>
      </c>
      <c r="GX1059">
        <v>0.25</v>
      </c>
      <c r="GY1059" t="s">
        <v>424</v>
      </c>
      <c r="GZ1059" t="s">
        <v>425</v>
      </c>
      <c r="HA1059" s="1">
        <v>42061</v>
      </c>
      <c r="HB1059">
        <v>21</v>
      </c>
      <c r="HC1059">
        <v>10125</v>
      </c>
      <c r="HD1059" t="s">
        <v>440</v>
      </c>
      <c r="HF1059" s="1">
        <v>41052</v>
      </c>
      <c r="HG1059">
        <v>2011</v>
      </c>
      <c r="HH1059">
        <v>872.73</v>
      </c>
      <c r="HI1059" t="s">
        <v>10886</v>
      </c>
      <c r="HJ1059">
        <v>5.75</v>
      </c>
      <c r="HK1059" t="s">
        <v>424</v>
      </c>
      <c r="HL1059" t="s">
        <v>425</v>
      </c>
      <c r="HM1059" s="1">
        <v>41694</v>
      </c>
      <c r="HN1059">
        <v>21</v>
      </c>
      <c r="HO1059">
        <v>1625515</v>
      </c>
      <c r="HP1059" t="s">
        <v>487</v>
      </c>
      <c r="HR1059" s="1">
        <v>41052</v>
      </c>
      <c r="HS1059">
        <v>2011</v>
      </c>
      <c r="HT1059">
        <v>872.73</v>
      </c>
      <c r="HU1059" t="s">
        <v>10886</v>
      </c>
      <c r="HV1059">
        <v>5.75</v>
      </c>
      <c r="HW1059" t="s">
        <v>424</v>
      </c>
      <c r="HX1059" t="s">
        <v>425</v>
      </c>
      <c r="HZ1059">
        <v>22</v>
      </c>
      <c r="IA1059">
        <v>10579</v>
      </c>
      <c r="IB1059" t="s">
        <v>488</v>
      </c>
      <c r="ID1059" s="1">
        <v>40688</v>
      </c>
      <c r="IE1059">
        <v>2010</v>
      </c>
      <c r="IF1059">
        <v>876.44</v>
      </c>
      <c r="IG1059" t="s">
        <v>10887</v>
      </c>
      <c r="IH1059">
        <v>6.75</v>
      </c>
      <c r="II1059" t="s">
        <v>424</v>
      </c>
      <c r="IJ1059" t="s">
        <v>425</v>
      </c>
      <c r="IK1059" s="1">
        <v>41324</v>
      </c>
      <c r="IL1059">
        <v>21</v>
      </c>
      <c r="IM1059">
        <v>375</v>
      </c>
      <c r="IN1059" t="s">
        <v>776</v>
      </c>
    </row>
    <row r="1060" spans="1:284" x14ac:dyDescent="0.25">
      <c r="A1060">
        <v>16486067</v>
      </c>
      <c r="B1060">
        <v>1059</v>
      </c>
      <c r="C1060" t="s">
        <v>393</v>
      </c>
      <c r="D1060" t="s">
        <v>394</v>
      </c>
      <c r="F1060" t="str">
        <f>"43-4N-25-0000-0002-0220"</f>
        <v>43-4N-25-0000-0002-0220</v>
      </c>
      <c r="H1060" t="str">
        <f>"HOOVER WILLIAM L"</f>
        <v>HOOVER WILLIAM L</v>
      </c>
      <c r="I1060" t="str">
        <f>"481572 HADDOCK ROAD"</f>
        <v>481572 HADDOCK ROAD</v>
      </c>
      <c r="J1060" t="str">
        <f t="shared" si="349"/>
        <v>HILLIARD FL 32046</v>
      </c>
      <c r="K1060" t="str">
        <f>"ROY HADDOCK RD"</f>
        <v>ROY HADDOCK RD</v>
      </c>
      <c r="L1060" t="str">
        <f t="shared" si="336"/>
        <v>HILLIARD FL 32046</v>
      </c>
      <c r="M1060" t="str">
        <f>"IN OR 1217/1826 EX 2-23"</f>
        <v>IN OR 1217/1826 EX 2-23</v>
      </c>
      <c r="N1060" t="str">
        <f>""</f>
        <v/>
      </c>
      <c r="O1060" t="str">
        <f>"50829"</f>
        <v>50829</v>
      </c>
      <c r="P1060" t="str">
        <f t="shared" si="334"/>
        <v>2017</v>
      </c>
      <c r="Q1060" t="str">
        <f>""</f>
        <v/>
      </c>
      <c r="R1060" t="str">
        <f t="shared" si="346"/>
        <v>N</v>
      </c>
      <c r="S1060" t="str">
        <f>"5.10"</f>
        <v>5.10</v>
      </c>
      <c r="T1060" t="str">
        <f>"453.98"</f>
        <v>453.98</v>
      </c>
      <c r="U1060" t="str">
        <f>"29988.00"</f>
        <v>29988.00</v>
      </c>
      <c r="V1060" t="str">
        <f>"29988.00"</f>
        <v>29988.00</v>
      </c>
      <c r="W1060" t="str">
        <f t="shared" si="335"/>
        <v>2017</v>
      </c>
      <c r="X1060" t="str">
        <f>"12.14"</f>
        <v>12.14</v>
      </c>
      <c r="Y1060" t="str">
        <f>"499.60"</f>
        <v>499.60</v>
      </c>
      <c r="Z1060" t="str">
        <f>""</f>
        <v/>
      </c>
      <c r="AA1060" t="str">
        <f>"29988.00"</f>
        <v>29988.00</v>
      </c>
      <c r="AB1060" t="str">
        <f t="shared" si="344"/>
        <v>Residential</v>
      </c>
      <c r="AC1060" t="str">
        <f t="shared" si="345"/>
        <v>0</v>
      </c>
      <c r="AD1060" t="str">
        <f>""</f>
        <v/>
      </c>
      <c r="AE1060" t="str">
        <f>""</f>
        <v/>
      </c>
      <c r="AF1060" t="str">
        <f t="shared" si="347"/>
        <v>000</v>
      </c>
      <c r="AG1060" t="str">
        <f t="shared" si="348"/>
        <v>FL</v>
      </c>
      <c r="AH1060" t="str">
        <f>"222156.00"</f>
        <v>222156.00</v>
      </c>
      <c r="AI1060" t="str">
        <f>"29988.00"</f>
        <v>29988.00</v>
      </c>
      <c r="AJ1060" t="str">
        <f>"C55-000-589-0290-9"</f>
        <v>C55-000-589-0290-9</v>
      </c>
      <c r="AK1060" t="str">
        <f>"16088"</f>
        <v>16088</v>
      </c>
      <c r="AL1060">
        <v>4</v>
      </c>
      <c r="AM1060">
        <v>1215</v>
      </c>
      <c r="AN1060">
        <v>522.98</v>
      </c>
      <c r="AQ1060" t="s">
        <v>10888</v>
      </c>
      <c r="AR1060" t="s">
        <v>10888</v>
      </c>
      <c r="AS1060" t="s">
        <v>10888</v>
      </c>
      <c r="AU1060" t="s">
        <v>396</v>
      </c>
      <c r="AV1060">
        <v>2017</v>
      </c>
      <c r="AW1060" t="str">
        <f>"43-4N-25-0000-0002-0220 "</f>
        <v xml:space="preserve">43-4N-25-0000-0002-0220 </v>
      </c>
      <c r="AZ1060" t="s">
        <v>10889</v>
      </c>
      <c r="BA1060" t="s">
        <v>496</v>
      </c>
      <c r="BD1060" t="s">
        <v>398</v>
      </c>
      <c r="BE1060" t="s">
        <v>393</v>
      </c>
      <c r="BF1060">
        <v>32046</v>
      </c>
      <c r="BG1060" t="s">
        <v>10890</v>
      </c>
      <c r="BH1060" t="s">
        <v>400</v>
      </c>
      <c r="BI1060">
        <v>-81.829102650517896</v>
      </c>
      <c r="BJ1060">
        <v>30.7547145673473</v>
      </c>
      <c r="BK1060" t="s">
        <v>10891</v>
      </c>
      <c r="BM1060" t="s">
        <v>10892</v>
      </c>
      <c r="BN1060" t="s">
        <v>403</v>
      </c>
      <c r="BO1060">
        <v>32046</v>
      </c>
      <c r="BP1060" t="s">
        <v>404</v>
      </c>
      <c r="BQ1060">
        <v>0</v>
      </c>
      <c r="BR1060" t="s">
        <v>491</v>
      </c>
      <c r="BS1060">
        <v>8001</v>
      </c>
      <c r="BT1060" t="s">
        <v>492</v>
      </c>
      <c r="BW1060">
        <v>222156</v>
      </c>
      <c r="BX1060" t="s">
        <v>407</v>
      </c>
      <c r="BY1060" t="s">
        <v>408</v>
      </c>
      <c r="CD1060">
        <v>2017</v>
      </c>
      <c r="CE1060">
        <v>29988</v>
      </c>
      <c r="CG1060">
        <v>29988</v>
      </c>
      <c r="CH1060">
        <v>2017</v>
      </c>
      <c r="CI1060">
        <v>29988</v>
      </c>
      <c r="CK1060">
        <v>29988</v>
      </c>
      <c r="CL1060">
        <v>2017</v>
      </c>
      <c r="CM1060">
        <v>453.98</v>
      </c>
      <c r="CN1060" s="1">
        <v>38071</v>
      </c>
      <c r="CZ1060" s="1">
        <v>38071</v>
      </c>
      <c r="DD1060" t="s">
        <v>398</v>
      </c>
      <c r="DG1060">
        <v>43</v>
      </c>
      <c r="DL1060">
        <v>50400</v>
      </c>
      <c r="DM1060" t="s">
        <v>10866</v>
      </c>
      <c r="DO1060" t="s">
        <v>10893</v>
      </c>
      <c r="DP1060">
        <v>0</v>
      </c>
      <c r="DQ1060">
        <v>0</v>
      </c>
      <c r="DR1060" t="s">
        <v>411</v>
      </c>
      <c r="DS1060" t="b">
        <v>1</v>
      </c>
      <c r="DT1060" t="s">
        <v>396</v>
      </c>
      <c r="DV1060" t="s">
        <v>446</v>
      </c>
      <c r="DX1060">
        <v>-9999</v>
      </c>
      <c r="DZ1060" t="s">
        <v>447</v>
      </c>
      <c r="EA1060" t="s">
        <v>448</v>
      </c>
      <c r="EB1060" t="s">
        <v>449</v>
      </c>
      <c r="EC1060">
        <v>20101217</v>
      </c>
      <c r="ED1060" t="s">
        <v>450</v>
      </c>
      <c r="EE1060">
        <v>7.8</v>
      </c>
      <c r="EF1060">
        <v>0</v>
      </c>
      <c r="EG1060">
        <v>0</v>
      </c>
      <c r="EI1060">
        <v>20160407</v>
      </c>
      <c r="EJ1060">
        <v>0</v>
      </c>
      <c r="EK1060">
        <v>0</v>
      </c>
      <c r="EP1060" t="s">
        <v>421</v>
      </c>
      <c r="EQ1060" t="s">
        <v>422</v>
      </c>
      <c r="ER1060">
        <v>1</v>
      </c>
      <c r="ES1060">
        <v>5</v>
      </c>
      <c r="ET1060">
        <v>501.15</v>
      </c>
      <c r="EU1060">
        <v>31.31</v>
      </c>
      <c r="EV1060">
        <v>532.46</v>
      </c>
      <c r="EW1060" s="2">
        <v>43222</v>
      </c>
      <c r="EX1060" s="1">
        <v>42879</v>
      </c>
      <c r="EY1060">
        <v>2016</v>
      </c>
      <c r="EZ1060">
        <v>501.15</v>
      </c>
      <c r="FA1060" t="s">
        <v>10894</v>
      </c>
      <c r="FB1060">
        <v>4.75</v>
      </c>
      <c r="FC1060" t="s">
        <v>424</v>
      </c>
      <c r="FD1060" t="s">
        <v>454</v>
      </c>
      <c r="FF1060">
        <v>12</v>
      </c>
      <c r="FG1060">
        <v>7336745</v>
      </c>
      <c r="FH1060" t="s">
        <v>502</v>
      </c>
      <c r="FJ1060" s="1">
        <v>42515</v>
      </c>
      <c r="FK1060">
        <v>2015</v>
      </c>
      <c r="FL1060">
        <v>507.66</v>
      </c>
      <c r="FM1060" t="s">
        <v>10895</v>
      </c>
      <c r="FN1060">
        <v>4.75</v>
      </c>
      <c r="FO1060" t="s">
        <v>424</v>
      </c>
      <c r="FP1060" t="s">
        <v>425</v>
      </c>
      <c r="FQ1060" s="1">
        <v>43186</v>
      </c>
      <c r="FR1060">
        <v>22</v>
      </c>
      <c r="FS1060">
        <v>2035919</v>
      </c>
      <c r="FT1060" t="s">
        <v>507</v>
      </c>
      <c r="FV1060" s="1">
        <v>42151</v>
      </c>
      <c r="FW1060">
        <v>2014</v>
      </c>
      <c r="FX1060">
        <v>479.61</v>
      </c>
      <c r="FY1060" t="s">
        <v>10896</v>
      </c>
      <c r="FZ1060">
        <v>9</v>
      </c>
      <c r="GA1060" t="s">
        <v>424</v>
      </c>
      <c r="GB1060" t="s">
        <v>425</v>
      </c>
      <c r="GC1060" s="1">
        <v>42762</v>
      </c>
      <c r="GD1060">
        <v>20</v>
      </c>
      <c r="GE1060">
        <v>10125</v>
      </c>
      <c r="GF1060" t="s">
        <v>440</v>
      </c>
      <c r="GH1060" s="1">
        <v>41787</v>
      </c>
      <c r="GI1060">
        <v>2013</v>
      </c>
      <c r="GJ1060">
        <v>442.57</v>
      </c>
      <c r="GK1060" t="s">
        <v>10897</v>
      </c>
      <c r="GL1060">
        <v>0.25</v>
      </c>
      <c r="GM1060" t="s">
        <v>424</v>
      </c>
      <c r="GN1060" t="s">
        <v>425</v>
      </c>
      <c r="GO1060" s="1">
        <v>42426</v>
      </c>
      <c r="GP1060">
        <v>21</v>
      </c>
      <c r="GQ1060">
        <v>2101385</v>
      </c>
      <c r="GR1060" t="s">
        <v>810</v>
      </c>
      <c r="GT1060" s="1">
        <v>41052</v>
      </c>
      <c r="GU1060">
        <v>2011</v>
      </c>
      <c r="GV1060">
        <v>396.47</v>
      </c>
      <c r="GW1060" t="s">
        <v>10898</v>
      </c>
      <c r="GX1060">
        <v>6</v>
      </c>
      <c r="GY1060" t="s">
        <v>424</v>
      </c>
      <c r="GZ1060" t="s">
        <v>425</v>
      </c>
      <c r="HA1060" s="1">
        <v>41120</v>
      </c>
      <c r="HB1060">
        <v>2</v>
      </c>
      <c r="HC1060">
        <v>1109</v>
      </c>
      <c r="HD1060" t="s">
        <v>852</v>
      </c>
      <c r="HF1060" s="1">
        <v>40688</v>
      </c>
      <c r="HG1060">
        <v>2010</v>
      </c>
      <c r="HH1060">
        <v>397.57</v>
      </c>
      <c r="HI1060" t="s">
        <v>10899</v>
      </c>
      <c r="HJ1060">
        <v>6.75</v>
      </c>
      <c r="HK1060" t="s">
        <v>424</v>
      </c>
      <c r="HL1060" t="s">
        <v>425</v>
      </c>
      <c r="HM1060" s="1">
        <v>40711</v>
      </c>
      <c r="HN1060">
        <v>1</v>
      </c>
      <c r="HO1060">
        <v>105</v>
      </c>
      <c r="HP1060" t="s">
        <v>946</v>
      </c>
    </row>
    <row r="1061" spans="1:284" x14ac:dyDescent="0.25">
      <c r="A1061">
        <v>16486068</v>
      </c>
      <c r="B1061">
        <v>1060</v>
      </c>
      <c r="C1061" t="s">
        <v>393</v>
      </c>
      <c r="D1061" t="s">
        <v>394</v>
      </c>
      <c r="F1061" t="str">
        <f>"43-4N-25-0000-0002-0230"</f>
        <v>43-4N-25-0000-0002-0230</v>
      </c>
      <c r="H1061" t="str">
        <f>"HOOVER APRIL &amp; WILLIAM L"</f>
        <v>HOOVER APRIL &amp; WILLIAM L</v>
      </c>
      <c r="I1061" t="str">
        <f>"481572 HADDOCK RD"</f>
        <v>481572 HADDOCK RD</v>
      </c>
      <c r="J1061" t="str">
        <f t="shared" si="349"/>
        <v>HILLIARD FL 32046</v>
      </c>
      <c r="K1061" t="str">
        <f>"481424 HADDOCK RD"</f>
        <v>481424 HADDOCK RD</v>
      </c>
      <c r="L1061" t="str">
        <f t="shared" si="336"/>
        <v>HILLIARD FL 32046</v>
      </c>
      <c r="M1061" t="str">
        <f>"IN OR 1868/1114"</f>
        <v>IN OR 1868/1114</v>
      </c>
      <c r="N1061" t="str">
        <f>""</f>
        <v/>
      </c>
      <c r="O1061" t="str">
        <f>"50830"</f>
        <v>50830</v>
      </c>
      <c r="P1061" t="str">
        <f t="shared" si="334"/>
        <v>2017</v>
      </c>
      <c r="Q1061" t="str">
        <f>""</f>
        <v/>
      </c>
      <c r="R1061" t="str">
        <f t="shared" si="346"/>
        <v>N</v>
      </c>
      <c r="S1061" t="str">
        <f>"3.00"</f>
        <v>3.00</v>
      </c>
      <c r="T1061" t="str">
        <f>"381.50"</f>
        <v>381.50</v>
      </c>
      <c r="U1061" t="str">
        <f>"25200.00"</f>
        <v>25200.00</v>
      </c>
      <c r="V1061" t="str">
        <f>"25200.00"</f>
        <v>25200.00</v>
      </c>
      <c r="W1061" t="str">
        <f t="shared" si="335"/>
        <v>2017</v>
      </c>
      <c r="X1061" t="str">
        <f>"12.25"</f>
        <v>12.25</v>
      </c>
      <c r="Y1061" t="str">
        <f>"424.95"</f>
        <v>424.95</v>
      </c>
      <c r="Z1061" t="str">
        <f>""</f>
        <v/>
      </c>
      <c r="AA1061" t="str">
        <f>"25200.00"</f>
        <v>25200.00</v>
      </c>
      <c r="AB1061" t="str">
        <f t="shared" si="344"/>
        <v>Residential</v>
      </c>
      <c r="AC1061" t="str">
        <f t="shared" si="345"/>
        <v>0</v>
      </c>
      <c r="AD1061" t="str">
        <f>""</f>
        <v/>
      </c>
      <c r="AE1061" t="str">
        <f>""</f>
        <v/>
      </c>
      <c r="AF1061" t="str">
        <f t="shared" si="347"/>
        <v>000</v>
      </c>
      <c r="AG1061" t="str">
        <f t="shared" si="348"/>
        <v>FL</v>
      </c>
      <c r="AH1061" t="str">
        <f>"130680.00"</f>
        <v>130680.00</v>
      </c>
      <c r="AI1061" t="str">
        <f>"25200.00"</f>
        <v>25200.00</v>
      </c>
      <c r="AJ1061" t="str">
        <f>"C55-000-589-0291-7"</f>
        <v>C55-000-589-0291-7</v>
      </c>
      <c r="AK1061" t="str">
        <f>"16089"</f>
        <v>16089</v>
      </c>
      <c r="AL1061">
        <v>4</v>
      </c>
      <c r="AM1061">
        <v>1216</v>
      </c>
      <c r="AN1061">
        <v>444.6</v>
      </c>
      <c r="AQ1061" t="s">
        <v>10900</v>
      </c>
      <c r="AR1061" t="s">
        <v>10900</v>
      </c>
      <c r="AS1061" t="s">
        <v>10900</v>
      </c>
      <c r="AU1061" t="s">
        <v>396</v>
      </c>
      <c r="AV1061">
        <v>2017</v>
      </c>
      <c r="AW1061" t="str">
        <f>"43-4N-25-0000-0002-0230 "</f>
        <v xml:space="preserve">43-4N-25-0000-0002-0230 </v>
      </c>
      <c r="AX1061">
        <v>481424</v>
      </c>
      <c r="AZ1061" t="s">
        <v>10626</v>
      </c>
      <c r="BA1061" t="s">
        <v>496</v>
      </c>
      <c r="BD1061" t="s">
        <v>398</v>
      </c>
      <c r="BE1061" t="s">
        <v>393</v>
      </c>
      <c r="BF1061">
        <v>32046</v>
      </c>
      <c r="BG1061" t="s">
        <v>10901</v>
      </c>
      <c r="BH1061" t="s">
        <v>400</v>
      </c>
      <c r="BI1061">
        <v>-81.830250102481799</v>
      </c>
      <c r="BJ1061">
        <v>30.754526374175001</v>
      </c>
      <c r="BK1061" t="s">
        <v>10902</v>
      </c>
      <c r="BL1061" t="s">
        <v>10891</v>
      </c>
      <c r="BM1061" t="s">
        <v>10892</v>
      </c>
      <c r="BN1061" t="s">
        <v>403</v>
      </c>
      <c r="BO1061">
        <v>32046</v>
      </c>
      <c r="BP1061" t="s">
        <v>404</v>
      </c>
      <c r="BQ1061">
        <v>0</v>
      </c>
      <c r="BR1061" t="s">
        <v>491</v>
      </c>
      <c r="BS1061">
        <v>8001</v>
      </c>
      <c r="BT1061" t="s">
        <v>492</v>
      </c>
      <c r="BW1061">
        <v>130680</v>
      </c>
      <c r="BX1061" t="s">
        <v>407</v>
      </c>
      <c r="BY1061" t="s">
        <v>408</v>
      </c>
      <c r="CD1061">
        <v>2017</v>
      </c>
      <c r="CE1061">
        <v>25200</v>
      </c>
      <c r="CG1061">
        <v>25200</v>
      </c>
      <c r="CH1061">
        <v>2017</v>
      </c>
      <c r="CI1061">
        <v>25200</v>
      </c>
      <c r="CK1061">
        <v>25200</v>
      </c>
      <c r="CL1061">
        <v>2017</v>
      </c>
      <c r="CM1061">
        <v>381.5</v>
      </c>
      <c r="CN1061" s="1">
        <v>41471</v>
      </c>
      <c r="CZ1061" s="1">
        <v>41471</v>
      </c>
      <c r="DD1061" t="s">
        <v>398</v>
      </c>
      <c r="DG1061">
        <v>43</v>
      </c>
      <c r="DL1061">
        <v>50400</v>
      </c>
      <c r="DM1061" t="s">
        <v>10866</v>
      </c>
      <c r="DO1061" t="s">
        <v>10903</v>
      </c>
      <c r="DP1061">
        <v>0</v>
      </c>
      <c r="DQ1061">
        <v>0</v>
      </c>
      <c r="DR1061" t="s">
        <v>411</v>
      </c>
      <c r="DS1061" t="b">
        <v>1</v>
      </c>
      <c r="DT1061" t="s">
        <v>470</v>
      </c>
      <c r="DU1061" t="s">
        <v>471</v>
      </c>
      <c r="DV1061" t="s">
        <v>472</v>
      </c>
      <c r="DX1061">
        <v>-9999</v>
      </c>
      <c r="DZ1061" t="s">
        <v>447</v>
      </c>
      <c r="EA1061" t="s">
        <v>448</v>
      </c>
      <c r="EB1061" t="s">
        <v>10868</v>
      </c>
      <c r="EC1061">
        <v>20101217</v>
      </c>
      <c r="ED1061" t="s">
        <v>474</v>
      </c>
      <c r="EF1061">
        <v>19.8</v>
      </c>
      <c r="EG1061">
        <v>19.8</v>
      </c>
      <c r="EI1061">
        <v>20160407</v>
      </c>
      <c r="EJ1061">
        <v>0</v>
      </c>
      <c r="EK1061">
        <v>0</v>
      </c>
      <c r="EP1061" t="s">
        <v>421</v>
      </c>
      <c r="EQ1061" t="s">
        <v>422</v>
      </c>
      <c r="ER1061">
        <v>1</v>
      </c>
      <c r="ES1061">
        <v>5</v>
      </c>
      <c r="ET1061">
        <v>425.44</v>
      </c>
      <c r="EU1061">
        <v>33.9</v>
      </c>
      <c r="EV1061">
        <v>459.34</v>
      </c>
      <c r="EW1061" s="2">
        <v>43222</v>
      </c>
      <c r="EX1061" s="1">
        <v>42879</v>
      </c>
      <c r="EY1061">
        <v>2016</v>
      </c>
      <c r="EZ1061">
        <v>425.44</v>
      </c>
      <c r="FA1061" t="s">
        <v>10904</v>
      </c>
      <c r="FB1061">
        <v>6.5</v>
      </c>
      <c r="FC1061" t="s">
        <v>424</v>
      </c>
      <c r="FD1061" t="s">
        <v>454</v>
      </c>
      <c r="FF1061">
        <v>12</v>
      </c>
      <c r="FG1061">
        <v>10125</v>
      </c>
      <c r="FH1061" t="s">
        <v>440</v>
      </c>
      <c r="FJ1061" s="1">
        <v>42515</v>
      </c>
      <c r="FK1061">
        <v>2015</v>
      </c>
      <c r="FL1061">
        <v>430.14</v>
      </c>
      <c r="FM1061" t="s">
        <v>10905</v>
      </c>
      <c r="FN1061">
        <v>6</v>
      </c>
      <c r="FO1061" t="s">
        <v>424</v>
      </c>
      <c r="FP1061" t="s">
        <v>425</v>
      </c>
      <c r="FQ1061" s="1">
        <v>43186</v>
      </c>
      <c r="FR1061">
        <v>22</v>
      </c>
      <c r="FS1061">
        <v>10125</v>
      </c>
      <c r="FT1061" t="s">
        <v>440</v>
      </c>
      <c r="FV1061" s="1">
        <v>42151</v>
      </c>
      <c r="FW1061">
        <v>2014</v>
      </c>
      <c r="FX1061">
        <v>406.56</v>
      </c>
      <c r="FY1061" t="s">
        <v>10906</v>
      </c>
      <c r="FZ1061">
        <v>14</v>
      </c>
      <c r="GA1061" t="s">
        <v>424</v>
      </c>
      <c r="GB1061" t="s">
        <v>425</v>
      </c>
      <c r="GC1061" s="1">
        <v>42762</v>
      </c>
      <c r="GD1061">
        <v>20</v>
      </c>
      <c r="GE1061">
        <v>10125</v>
      </c>
      <c r="GF1061" t="s">
        <v>440</v>
      </c>
      <c r="GH1061" s="1">
        <v>41787</v>
      </c>
      <c r="GI1061">
        <v>2013</v>
      </c>
      <c r="GJ1061">
        <v>386</v>
      </c>
      <c r="GK1061" t="s">
        <v>10907</v>
      </c>
      <c r="GL1061">
        <v>12.5</v>
      </c>
      <c r="GM1061" t="s">
        <v>424</v>
      </c>
      <c r="GN1061" t="s">
        <v>425</v>
      </c>
      <c r="GO1061" s="1">
        <v>42426</v>
      </c>
      <c r="GP1061">
        <v>21</v>
      </c>
      <c r="GQ1061">
        <v>10125</v>
      </c>
      <c r="GR1061" t="s">
        <v>440</v>
      </c>
      <c r="GT1061" s="1">
        <v>41052</v>
      </c>
      <c r="GU1061">
        <v>2011</v>
      </c>
      <c r="GV1061">
        <v>576.47</v>
      </c>
      <c r="GW1061" t="s">
        <v>10908</v>
      </c>
      <c r="GX1061">
        <v>5.75</v>
      </c>
      <c r="GY1061" t="s">
        <v>424</v>
      </c>
      <c r="GZ1061" t="s">
        <v>425</v>
      </c>
      <c r="HA1061" s="1">
        <v>41120</v>
      </c>
      <c r="HB1061">
        <v>2</v>
      </c>
      <c r="HC1061">
        <v>10579</v>
      </c>
      <c r="HD1061" t="s">
        <v>488</v>
      </c>
      <c r="HF1061" s="1">
        <v>40688</v>
      </c>
      <c r="HG1061">
        <v>2010</v>
      </c>
      <c r="HH1061">
        <v>578.55999999999995</v>
      </c>
      <c r="HI1061" t="s">
        <v>10909</v>
      </c>
      <c r="HJ1061">
        <v>6.75</v>
      </c>
      <c r="HK1061" t="s">
        <v>424</v>
      </c>
      <c r="HL1061" t="s">
        <v>425</v>
      </c>
      <c r="HM1061" s="1">
        <v>40711</v>
      </c>
      <c r="HN1061">
        <v>1</v>
      </c>
      <c r="HO1061">
        <v>105</v>
      </c>
      <c r="HP1061" t="s">
        <v>946</v>
      </c>
    </row>
    <row r="1062" spans="1:284" x14ac:dyDescent="0.25">
      <c r="A1062">
        <v>16486069</v>
      </c>
      <c r="B1062">
        <v>1061</v>
      </c>
      <c r="C1062" t="s">
        <v>393</v>
      </c>
      <c r="D1062" t="s">
        <v>394</v>
      </c>
      <c r="F1062" t="str">
        <f>"43-4N-25-0000-0002-0290"</f>
        <v>43-4N-25-0000-0002-0290</v>
      </c>
      <c r="H1062" t="str">
        <f>"HOOVER JOHN L"</f>
        <v>HOOVER JOHN L</v>
      </c>
      <c r="I1062" t="str">
        <f>"37360 BULFORD RD"</f>
        <v>37360 BULFORD RD</v>
      </c>
      <c r="J1062" t="str">
        <f t="shared" si="349"/>
        <v>HILLIARD FL 32046</v>
      </c>
      <c r="K1062" t="str">
        <f>"474278 MIDDLE RD"</f>
        <v>474278 MIDDLE RD</v>
      </c>
      <c r="L1062" t="str">
        <f t="shared" si="336"/>
        <v>HILLIARD FL 32046</v>
      </c>
      <c r="M1062" t="str">
        <f>"PT JOSEPH HADDOCK DONATION IN OR 1939/1729 1985 CATA SW/MH"</f>
        <v>PT JOSEPH HADDOCK DONATION IN OR 1939/1729 1985 CATA SW/MH</v>
      </c>
      <c r="N1062" t="str">
        <f>""</f>
        <v/>
      </c>
      <c r="O1062" t="str">
        <f>"50836"</f>
        <v>50836</v>
      </c>
      <c r="P1062" t="str">
        <f t="shared" si="334"/>
        <v>2017</v>
      </c>
      <c r="Q1062" t="str">
        <f>""</f>
        <v/>
      </c>
      <c r="R1062" t="str">
        <f t="shared" si="346"/>
        <v>N</v>
      </c>
      <c r="S1062" t="str">
        <f>"1.26"</f>
        <v>1.26</v>
      </c>
      <c r="T1062" t="str">
        <f>"383.56"</f>
        <v>383.56</v>
      </c>
      <c r="U1062" t="str">
        <f>"24378.00"</f>
        <v>24378.00</v>
      </c>
      <c r="V1062" t="str">
        <f>"24378.00"</f>
        <v>24378.00</v>
      </c>
      <c r="W1062" t="str">
        <f t="shared" si="335"/>
        <v>2017</v>
      </c>
      <c r="X1062" t="str">
        <f>"15.89"</f>
        <v>15.89</v>
      </c>
      <c r="Y1062" t="str">
        <f>"427.07"</f>
        <v>427.07</v>
      </c>
      <c r="Z1062" t="str">
        <f>""</f>
        <v/>
      </c>
      <c r="AA1062" t="str">
        <f>"26576.00"</f>
        <v>26576.00</v>
      </c>
      <c r="AB1062" t="str">
        <f t="shared" si="344"/>
        <v>Residential</v>
      </c>
      <c r="AC1062" t="str">
        <f t="shared" si="345"/>
        <v>0</v>
      </c>
      <c r="AD1062" t="str">
        <f>"4"</f>
        <v>4</v>
      </c>
      <c r="AE1062" t="str">
        <f>"WOOD (INCLUDE STEEL STUDS)"</f>
        <v>WOOD (INCLUDE STEEL STUDS)</v>
      </c>
      <c r="AF1062" t="str">
        <f>"002"</f>
        <v>002</v>
      </c>
      <c r="AG1062" t="str">
        <f t="shared" si="348"/>
        <v>FL</v>
      </c>
      <c r="AH1062" t="str">
        <f>"54885.00"</f>
        <v>54885.00</v>
      </c>
      <c r="AI1062" t="str">
        <f>"19845.00"</f>
        <v>19845.00</v>
      </c>
      <c r="AJ1062" t="str">
        <f>"C55-001-026-2116-6"</f>
        <v>C55-001-026-2116-6</v>
      </c>
      <c r="AK1062" t="str">
        <f>"16091"</f>
        <v>16091</v>
      </c>
      <c r="AL1062">
        <v>4</v>
      </c>
      <c r="AM1062">
        <v>1217</v>
      </c>
      <c r="AN1062">
        <v>446.82</v>
      </c>
      <c r="AQ1062" t="s">
        <v>10910</v>
      </c>
      <c r="AR1062" t="s">
        <v>10910</v>
      </c>
      <c r="AS1062" t="s">
        <v>10910</v>
      </c>
      <c r="AU1062" t="s">
        <v>396</v>
      </c>
      <c r="AV1062">
        <v>2017</v>
      </c>
      <c r="AW1062" t="str">
        <f>"43-4N-25-0000-0002-0290 "</f>
        <v xml:space="preserve">43-4N-25-0000-0002-0290 </v>
      </c>
      <c r="AX1062">
        <v>474278</v>
      </c>
      <c r="AZ1062" t="s">
        <v>1825</v>
      </c>
      <c r="BA1062" t="s">
        <v>496</v>
      </c>
      <c r="BD1062" t="s">
        <v>398</v>
      </c>
      <c r="BE1062" t="s">
        <v>393</v>
      </c>
      <c r="BF1062">
        <v>32046</v>
      </c>
      <c r="BG1062" t="s">
        <v>10911</v>
      </c>
      <c r="BH1062" t="s">
        <v>400</v>
      </c>
      <c r="BI1062">
        <v>-81.826192093575202</v>
      </c>
      <c r="BJ1062">
        <v>30.7540074310241</v>
      </c>
      <c r="BK1062" t="s">
        <v>10912</v>
      </c>
      <c r="BM1062" t="s">
        <v>10878</v>
      </c>
      <c r="BN1062" t="s">
        <v>403</v>
      </c>
      <c r="BO1062">
        <v>32046</v>
      </c>
      <c r="BP1062" t="s">
        <v>404</v>
      </c>
      <c r="BQ1062">
        <v>200</v>
      </c>
      <c r="BR1062" t="s">
        <v>405</v>
      </c>
      <c r="BS1062">
        <v>1006</v>
      </c>
      <c r="BT1062" t="s">
        <v>406</v>
      </c>
      <c r="BW1062">
        <v>54885</v>
      </c>
      <c r="BX1062" t="s">
        <v>407</v>
      </c>
      <c r="BY1062" t="s">
        <v>408</v>
      </c>
      <c r="BZ1062">
        <v>4</v>
      </c>
      <c r="CA1062">
        <v>1985</v>
      </c>
      <c r="CB1062">
        <v>1</v>
      </c>
      <c r="CC1062">
        <v>1</v>
      </c>
      <c r="CD1062">
        <v>2017</v>
      </c>
      <c r="CE1062">
        <v>19845</v>
      </c>
      <c r="CF1062">
        <v>6731</v>
      </c>
      <c r="CG1062">
        <v>26576</v>
      </c>
      <c r="CH1062">
        <v>2017</v>
      </c>
      <c r="CI1062">
        <v>19845</v>
      </c>
      <c r="CJ1062">
        <v>6731</v>
      </c>
      <c r="CK1062">
        <v>26576</v>
      </c>
      <c r="CL1062">
        <v>2017</v>
      </c>
      <c r="CM1062">
        <v>383.56</v>
      </c>
      <c r="CN1062" s="1">
        <v>41901</v>
      </c>
      <c r="CZ1062" s="1">
        <v>41901</v>
      </c>
      <c r="DD1062" t="s">
        <v>398</v>
      </c>
      <c r="DG1062">
        <v>43</v>
      </c>
      <c r="DL1062">
        <v>50400</v>
      </c>
      <c r="DM1062" t="s">
        <v>10866</v>
      </c>
      <c r="DO1062" t="s">
        <v>10913</v>
      </c>
      <c r="DP1062">
        <v>0</v>
      </c>
      <c r="DQ1062">
        <v>0</v>
      </c>
      <c r="DR1062" t="s">
        <v>411</v>
      </c>
      <c r="DS1062" t="b">
        <v>1</v>
      </c>
      <c r="DT1062" t="s">
        <v>470</v>
      </c>
      <c r="DU1062" t="s">
        <v>471</v>
      </c>
      <c r="DV1062" t="s">
        <v>472</v>
      </c>
      <c r="DX1062">
        <v>-9999</v>
      </c>
      <c r="DZ1062" t="s">
        <v>447</v>
      </c>
      <c r="EA1062" t="s">
        <v>448</v>
      </c>
      <c r="EB1062" t="s">
        <v>10868</v>
      </c>
      <c r="EC1062">
        <v>20101217</v>
      </c>
      <c r="ED1062" t="s">
        <v>474</v>
      </c>
      <c r="EF1062">
        <v>23.6</v>
      </c>
      <c r="EG1062">
        <v>23.6</v>
      </c>
      <c r="EI1062">
        <v>20160407</v>
      </c>
      <c r="EJ1062">
        <v>0</v>
      </c>
      <c r="EK1062">
        <v>0</v>
      </c>
      <c r="EP1062" t="s">
        <v>421</v>
      </c>
      <c r="EQ1062" t="s">
        <v>422</v>
      </c>
      <c r="ER1062">
        <v>0</v>
      </c>
      <c r="ES1062">
        <v>11</v>
      </c>
      <c r="ET1062">
        <v>0</v>
      </c>
      <c r="EU1062">
        <v>0</v>
      </c>
      <c r="EV1062">
        <v>0</v>
      </c>
      <c r="EW1062" s="2">
        <v>43222</v>
      </c>
      <c r="EX1062" s="1">
        <v>42879</v>
      </c>
      <c r="EY1062">
        <v>2016</v>
      </c>
      <c r="EZ1062">
        <v>394.93</v>
      </c>
      <c r="FA1062" t="s">
        <v>10914</v>
      </c>
      <c r="FB1062">
        <v>4.75</v>
      </c>
      <c r="FC1062" t="s">
        <v>424</v>
      </c>
      <c r="FD1062" t="s">
        <v>425</v>
      </c>
      <c r="FE1062" s="1">
        <v>43139</v>
      </c>
      <c r="FF1062">
        <v>9</v>
      </c>
      <c r="FG1062">
        <v>10021</v>
      </c>
      <c r="FH1062" t="s">
        <v>597</v>
      </c>
      <c r="FJ1062" s="1">
        <v>42515</v>
      </c>
      <c r="FK1062">
        <v>2015</v>
      </c>
      <c r="FL1062">
        <v>398.99</v>
      </c>
      <c r="FM1062" t="s">
        <v>10915</v>
      </c>
      <c r="FN1062">
        <v>6</v>
      </c>
      <c r="FO1062" t="s">
        <v>424</v>
      </c>
      <c r="FP1062" t="s">
        <v>425</v>
      </c>
      <c r="FQ1062" s="1">
        <v>43139</v>
      </c>
      <c r="FR1062">
        <v>21</v>
      </c>
      <c r="FS1062">
        <v>10125</v>
      </c>
      <c r="FT1062" t="s">
        <v>440</v>
      </c>
      <c r="FV1062" s="1">
        <v>42151</v>
      </c>
      <c r="FW1062">
        <v>2014</v>
      </c>
      <c r="FX1062">
        <v>355.08</v>
      </c>
      <c r="FY1062" t="s">
        <v>10916</v>
      </c>
      <c r="FZ1062">
        <v>4</v>
      </c>
      <c r="GA1062" t="s">
        <v>424</v>
      </c>
      <c r="GB1062" t="s">
        <v>425</v>
      </c>
      <c r="GD1062">
        <v>22</v>
      </c>
      <c r="GE1062">
        <v>15399</v>
      </c>
      <c r="GF1062" t="s">
        <v>485</v>
      </c>
      <c r="GH1062" s="1">
        <v>42151</v>
      </c>
      <c r="GI1062">
        <v>2014</v>
      </c>
      <c r="GJ1062">
        <v>355.08</v>
      </c>
      <c r="GK1062" t="s">
        <v>10916</v>
      </c>
      <c r="GL1062">
        <v>4</v>
      </c>
      <c r="GM1062" t="s">
        <v>424</v>
      </c>
      <c r="GN1062" t="s">
        <v>425</v>
      </c>
      <c r="GP1062">
        <v>22</v>
      </c>
      <c r="GQ1062">
        <v>7045024</v>
      </c>
      <c r="GR1062" t="s">
        <v>10917</v>
      </c>
      <c r="GT1062" s="1">
        <v>42151</v>
      </c>
      <c r="GU1062">
        <v>2014</v>
      </c>
      <c r="GV1062">
        <v>355.08</v>
      </c>
      <c r="GW1062" t="s">
        <v>10916</v>
      </c>
      <c r="GX1062">
        <v>4</v>
      </c>
      <c r="GY1062" t="s">
        <v>424</v>
      </c>
      <c r="GZ1062" t="s">
        <v>425</v>
      </c>
      <c r="HB1062">
        <v>22</v>
      </c>
      <c r="HC1062">
        <v>7336692</v>
      </c>
      <c r="HD1062" t="s">
        <v>822</v>
      </c>
      <c r="HF1062" s="1">
        <v>42151</v>
      </c>
      <c r="HG1062">
        <v>2014</v>
      </c>
      <c r="HH1062">
        <v>355.08</v>
      </c>
      <c r="HI1062" t="s">
        <v>10916</v>
      </c>
      <c r="HJ1062">
        <v>4</v>
      </c>
      <c r="HK1062" t="s">
        <v>424</v>
      </c>
      <c r="HL1062" t="s">
        <v>425</v>
      </c>
      <c r="HM1062" s="1">
        <v>42794</v>
      </c>
      <c r="HN1062">
        <v>21</v>
      </c>
      <c r="HO1062">
        <v>7336698</v>
      </c>
      <c r="HP1062" t="s">
        <v>823</v>
      </c>
      <c r="HR1062" s="1">
        <v>41787</v>
      </c>
      <c r="HS1062">
        <v>2013</v>
      </c>
      <c r="HT1062">
        <v>353.02</v>
      </c>
      <c r="HU1062" t="s">
        <v>10918</v>
      </c>
      <c r="HV1062">
        <v>6</v>
      </c>
      <c r="HW1062" t="s">
        <v>424</v>
      </c>
      <c r="HX1062" t="s">
        <v>425</v>
      </c>
      <c r="HY1062" s="1">
        <v>41901</v>
      </c>
      <c r="HZ1062">
        <v>4</v>
      </c>
      <c r="IA1062">
        <v>2035919</v>
      </c>
      <c r="IB1062" t="s">
        <v>507</v>
      </c>
      <c r="ID1062" s="1">
        <v>41423</v>
      </c>
      <c r="IE1062">
        <v>2012</v>
      </c>
      <c r="IF1062">
        <v>465.04</v>
      </c>
      <c r="IG1062" t="s">
        <v>10919</v>
      </c>
      <c r="IH1062">
        <v>0.25</v>
      </c>
      <c r="II1062" t="s">
        <v>424</v>
      </c>
      <c r="IJ1062" t="s">
        <v>425</v>
      </c>
      <c r="IK1062" s="1">
        <v>41901</v>
      </c>
      <c r="IL1062">
        <v>16</v>
      </c>
      <c r="IM1062">
        <v>15399</v>
      </c>
      <c r="IN1062" t="s">
        <v>485</v>
      </c>
      <c r="IP1062" s="1">
        <v>41052</v>
      </c>
      <c r="IQ1062">
        <v>2011</v>
      </c>
      <c r="IR1062">
        <v>488.59</v>
      </c>
      <c r="IS1062" t="s">
        <v>10920</v>
      </c>
      <c r="IT1062">
        <v>5.75</v>
      </c>
      <c r="IU1062" t="s">
        <v>424</v>
      </c>
      <c r="IV1062" t="s">
        <v>425</v>
      </c>
      <c r="IW1062" s="1">
        <v>41310</v>
      </c>
      <c r="IX1062">
        <v>9</v>
      </c>
      <c r="IY1062">
        <v>10579</v>
      </c>
      <c r="IZ1062" t="s">
        <v>488</v>
      </c>
      <c r="JB1062" s="1">
        <v>40688</v>
      </c>
      <c r="JC1062">
        <v>2010</v>
      </c>
      <c r="JD1062">
        <v>490.31</v>
      </c>
      <c r="JE1062" t="s">
        <v>10921</v>
      </c>
      <c r="JF1062">
        <v>8</v>
      </c>
      <c r="JG1062" t="s">
        <v>424</v>
      </c>
      <c r="JH1062" t="s">
        <v>425</v>
      </c>
      <c r="JI1062" s="1">
        <v>41310</v>
      </c>
      <c r="JJ1062">
        <v>21</v>
      </c>
      <c r="JK1062">
        <v>15175</v>
      </c>
      <c r="JL1062" t="s">
        <v>588</v>
      </c>
      <c r="JN1062" s="1">
        <v>40688</v>
      </c>
      <c r="JO1062">
        <v>2010</v>
      </c>
      <c r="JP1062">
        <v>490.31</v>
      </c>
      <c r="JQ1062" t="s">
        <v>10921</v>
      </c>
      <c r="JR1062">
        <v>8</v>
      </c>
      <c r="JS1062" t="s">
        <v>424</v>
      </c>
      <c r="JT1062" t="s">
        <v>425</v>
      </c>
      <c r="JV1062">
        <v>22</v>
      </c>
      <c r="JW1062">
        <v>10548</v>
      </c>
      <c r="JX1062" t="s">
        <v>589</v>
      </c>
    </row>
    <row r="1063" spans="1:284" x14ac:dyDescent="0.25">
      <c r="A1063">
        <v>16486070</v>
      </c>
      <c r="B1063">
        <v>1062</v>
      </c>
      <c r="C1063" t="s">
        <v>393</v>
      </c>
      <c r="D1063" t="s">
        <v>394</v>
      </c>
      <c r="F1063" t="str">
        <f>"48-4N-25-0000-0001-0260"</f>
        <v>48-4N-25-0000-0001-0260</v>
      </c>
      <c r="H1063" t="str">
        <f>"WADE JASON &amp; OLIVER EMILY LYNN"</f>
        <v>WADE JASON &amp; OLIVER EMILY LYNN</v>
      </c>
      <c r="I1063" t="str">
        <f>"394669 KOLARS FERRY RD"</f>
        <v>394669 KOLARS FERRY RD</v>
      </c>
      <c r="J1063" t="str">
        <f t="shared" si="349"/>
        <v>HILLIARD FL 32046</v>
      </c>
      <c r="K1063" t="str">
        <f>"KOLARS FERRY RD"</f>
        <v>KOLARS FERRY RD</v>
      </c>
      <c r="L1063" t="str">
        <f t="shared" si="336"/>
        <v>HILLIARD FL 32046</v>
      </c>
      <c r="M1063" t="str">
        <f>"PT SEC 48-4N-25E IN OR 2129/1390"</f>
        <v>PT SEC 48-4N-25E IN OR 2129/1390</v>
      </c>
      <c r="N1063" t="str">
        <f>""</f>
        <v/>
      </c>
      <c r="O1063" t="str">
        <f>"57879"</f>
        <v>57879</v>
      </c>
      <c r="P1063" t="str">
        <f t="shared" si="334"/>
        <v>2017</v>
      </c>
      <c r="Q1063" t="str">
        <f>""</f>
        <v/>
      </c>
      <c r="R1063" t="str">
        <f t="shared" si="346"/>
        <v>N</v>
      </c>
      <c r="S1063" t="str">
        <f>"2.00"</f>
        <v>2.00</v>
      </c>
      <c r="T1063" t="str">
        <f>"96.05"</f>
        <v>96.05</v>
      </c>
      <c r="U1063" t="str">
        <f>"6345.00"</f>
        <v>6345.00</v>
      </c>
      <c r="V1063" t="str">
        <f>"6345.00"</f>
        <v>6345.00</v>
      </c>
      <c r="W1063" t="str">
        <f t="shared" si="335"/>
        <v>2017</v>
      </c>
      <c r="X1063" t="str">
        <f>""</f>
        <v/>
      </c>
      <c r="Y1063" t="str">
        <f>"130.93"</f>
        <v>130.93</v>
      </c>
      <c r="Z1063" t="str">
        <f>""</f>
        <v/>
      </c>
      <c r="AA1063" t="str">
        <f>"6345.00"</f>
        <v>6345.00</v>
      </c>
      <c r="AB1063" t="str">
        <f>"Agricultural"</f>
        <v>Agricultural</v>
      </c>
      <c r="AC1063" t="str">
        <f t="shared" si="345"/>
        <v>0</v>
      </c>
      <c r="AD1063" t="str">
        <f>"4"</f>
        <v>4</v>
      </c>
      <c r="AE1063" t="str">
        <f>"WOOD (INCLUDE STEEL STUDS)"</f>
        <v>WOOD (INCLUDE STEEL STUDS)</v>
      </c>
      <c r="AF1063" t="str">
        <f>"059"</f>
        <v>059</v>
      </c>
      <c r="AG1063" t="str">
        <f t="shared" si="348"/>
        <v>FL</v>
      </c>
      <c r="AH1063" t="str">
        <f>"87120.00"</f>
        <v>87120.00</v>
      </c>
      <c r="AI1063" t="str">
        <f>"567.00"</f>
        <v>567.00</v>
      </c>
      <c r="AJ1063" t="str">
        <f>"C55-001-099-3363-0"</f>
        <v>C55-001-099-3363-0</v>
      </c>
      <c r="AK1063" t="str">
        <f>"16119"</f>
        <v>16119</v>
      </c>
      <c r="AL1063">
        <v>4</v>
      </c>
      <c r="AM1063">
        <v>1220</v>
      </c>
      <c r="AN1063">
        <v>135.88</v>
      </c>
      <c r="AQ1063" t="s">
        <v>10922</v>
      </c>
      <c r="AR1063" t="s">
        <v>10922</v>
      </c>
      <c r="AS1063" t="s">
        <v>10922</v>
      </c>
      <c r="AU1063" t="s">
        <v>396</v>
      </c>
      <c r="AV1063">
        <v>2017</v>
      </c>
      <c r="AW1063" t="str">
        <f>"48-4N-25-0000-0001-0260 "</f>
        <v xml:space="preserve">48-4N-25-0000-0001-0260 </v>
      </c>
      <c r="AZ1063" t="s">
        <v>6029</v>
      </c>
      <c r="BA1063" t="s">
        <v>496</v>
      </c>
      <c r="BD1063" t="s">
        <v>398</v>
      </c>
      <c r="BE1063" t="s">
        <v>393</v>
      </c>
      <c r="BF1063">
        <v>32046</v>
      </c>
      <c r="BG1063" t="s">
        <v>10923</v>
      </c>
      <c r="BH1063" t="s">
        <v>400</v>
      </c>
      <c r="BK1063" t="s">
        <v>10924</v>
      </c>
      <c r="BM1063" t="s">
        <v>10925</v>
      </c>
      <c r="BN1063" t="s">
        <v>403</v>
      </c>
      <c r="BO1063">
        <v>32046</v>
      </c>
      <c r="BQ1063">
        <v>5901</v>
      </c>
      <c r="BR1063" t="s">
        <v>1241</v>
      </c>
      <c r="BS1063">
        <v>7009</v>
      </c>
      <c r="BT1063" t="s">
        <v>418</v>
      </c>
      <c r="BW1063">
        <v>87120</v>
      </c>
      <c r="BX1063" t="s">
        <v>407</v>
      </c>
      <c r="BZ1063">
        <v>4</v>
      </c>
      <c r="CA1063">
        <v>1975</v>
      </c>
      <c r="CC1063">
        <v>1</v>
      </c>
      <c r="CD1063">
        <v>2017</v>
      </c>
      <c r="CG1063">
        <v>6345</v>
      </c>
      <c r="CH1063">
        <v>2017</v>
      </c>
      <c r="CI1063">
        <v>567</v>
      </c>
      <c r="CJ1063">
        <v>30411</v>
      </c>
      <c r="CK1063">
        <v>30978</v>
      </c>
      <c r="CL1063">
        <v>2017</v>
      </c>
      <c r="CM1063">
        <v>96.05</v>
      </c>
      <c r="DD1063" t="s">
        <v>398</v>
      </c>
      <c r="DM1063" t="s">
        <v>10926</v>
      </c>
      <c r="DO1063" t="s">
        <v>10927</v>
      </c>
    </row>
    <row r="1064" spans="1:284" x14ac:dyDescent="0.25">
      <c r="A1064">
        <v>16486071</v>
      </c>
      <c r="B1064">
        <v>1063</v>
      </c>
      <c r="C1064" t="s">
        <v>393</v>
      </c>
      <c r="D1064" t="s">
        <v>394</v>
      </c>
      <c r="F1064" t="str">
        <f>"01-2N-26-0000-0007-0010"</f>
        <v>01-2N-26-0000-0007-0010</v>
      </c>
      <c r="H1064" t="str">
        <f>"GARRETT FLOYD L &amp; WILSON-GARRETT AVA A (H&amp;W)"</f>
        <v>GARRETT FLOYD L &amp; WILSON-GARRETT AVA A (H&amp;W)</v>
      </c>
      <c r="I1064" t="str">
        <f>"2010 OAK VIEW DRIVE"</f>
        <v>2010 OAK VIEW DRIVE</v>
      </c>
      <c r="J1064" t="str">
        <f>"SEVERVILLE TN 37876"</f>
        <v>SEVERVILLE TN 37876</v>
      </c>
      <c r="K1064" t="str">
        <f>"SR 200"</f>
        <v>SR 200</v>
      </c>
      <c r="L1064" t="str">
        <f t="shared" ref="L1064:L1069" si="350">"YULEE FL 32097"</f>
        <v>YULEE FL 32097</v>
      </c>
      <c r="M1064" t="str">
        <f>"IN OR 1427/1012 PT IN SEC 1 &amp; SEC 12 EX R/W 01-351CA"</f>
        <v>IN OR 1427/1012 PT IN SEC 1 &amp; SEC 12 EX R/W 01-351CA</v>
      </c>
      <c r="N1064" t="str">
        <f>""</f>
        <v/>
      </c>
      <c r="O1064" t="str">
        <f>"15364"</f>
        <v>15364</v>
      </c>
      <c r="P1064" t="str">
        <f t="shared" si="334"/>
        <v>2017</v>
      </c>
      <c r="Q1064" t="str">
        <f>""</f>
        <v/>
      </c>
      <c r="R1064" t="str">
        <f t="shared" si="346"/>
        <v>N</v>
      </c>
      <c r="S1064" t="str">
        <f>"5.27"</f>
        <v>5.27</v>
      </c>
      <c r="T1064" t="str">
        <f>"3590.16"</f>
        <v>3590.16</v>
      </c>
      <c r="U1064" t="str">
        <f>"237150.00"</f>
        <v>237150.00</v>
      </c>
      <c r="V1064" t="str">
        <f>"237150.00"</f>
        <v>237150.00</v>
      </c>
      <c r="W1064" t="str">
        <f t="shared" si="335"/>
        <v>2017</v>
      </c>
      <c r="X1064" t="str">
        <f>"17.63"</f>
        <v>17.63</v>
      </c>
      <c r="Y1064" t="str">
        <f>"3729.86"</f>
        <v>3729.86</v>
      </c>
      <c r="Z1064" t="str">
        <f>""</f>
        <v/>
      </c>
      <c r="AA1064" t="str">
        <f>"237150.00"</f>
        <v>237150.00</v>
      </c>
      <c r="AB1064" t="str">
        <f>"Commercial"</f>
        <v>Commercial</v>
      </c>
      <c r="AC1064" t="str">
        <f t="shared" si="345"/>
        <v>0</v>
      </c>
      <c r="AD1064" t="str">
        <f>""</f>
        <v/>
      </c>
      <c r="AE1064" t="str">
        <f>""</f>
        <v/>
      </c>
      <c r="AF1064" t="str">
        <f>"010"</f>
        <v>010</v>
      </c>
      <c r="AG1064" t="str">
        <f>"TN"</f>
        <v>TN</v>
      </c>
      <c r="AH1064" t="str">
        <f>"229561.00"</f>
        <v>229561.00</v>
      </c>
      <c r="AI1064" t="str">
        <f>"237150.00"</f>
        <v>237150.00</v>
      </c>
      <c r="AJ1064" t="str">
        <f>"C55-000-586-1889-3"</f>
        <v>C55-000-586-1889-3</v>
      </c>
      <c r="AK1064" t="str">
        <f>"16190"</f>
        <v>16190</v>
      </c>
      <c r="AL1064">
        <v>4</v>
      </c>
      <c r="AM1064">
        <v>1224</v>
      </c>
      <c r="AN1064">
        <v>3914.75</v>
      </c>
      <c r="AQ1064" t="s">
        <v>10928</v>
      </c>
      <c r="AR1064" t="s">
        <v>10928</v>
      </c>
      <c r="AS1064" t="s">
        <v>10928</v>
      </c>
      <c r="AU1064" t="s">
        <v>396</v>
      </c>
      <c r="AV1064">
        <v>2017</v>
      </c>
      <c r="AW1064" t="str">
        <f>"01-2N-26-0000-0007-0010 "</f>
        <v xml:space="preserve">01-2N-26-0000-0007-0010 </v>
      </c>
      <c r="AZ1064" t="s">
        <v>8071</v>
      </c>
      <c r="BD1064" t="s">
        <v>2387</v>
      </c>
      <c r="BE1064" t="s">
        <v>393</v>
      </c>
      <c r="BF1064">
        <v>32097</v>
      </c>
      <c r="BG1064" t="s">
        <v>8071</v>
      </c>
      <c r="BH1064" t="s">
        <v>2388</v>
      </c>
      <c r="BI1064">
        <v>-81.657124368915106</v>
      </c>
      <c r="BJ1064">
        <v>30.6162589457624</v>
      </c>
      <c r="BK1064" t="s">
        <v>10929</v>
      </c>
      <c r="BL1064" t="s">
        <v>10930</v>
      </c>
      <c r="BM1064" t="s">
        <v>10931</v>
      </c>
      <c r="BN1064" t="s">
        <v>10932</v>
      </c>
      <c r="BO1064">
        <v>37876</v>
      </c>
      <c r="BP1064" t="s">
        <v>404</v>
      </c>
      <c r="BQ1064">
        <v>1000</v>
      </c>
      <c r="BR1064" t="s">
        <v>2391</v>
      </c>
      <c r="BS1064">
        <v>8002</v>
      </c>
      <c r="BT1064" t="s">
        <v>2392</v>
      </c>
      <c r="BW1064">
        <v>229561</v>
      </c>
      <c r="BX1064" t="s">
        <v>407</v>
      </c>
      <c r="BY1064" t="s">
        <v>10933</v>
      </c>
      <c r="CD1064">
        <v>2017</v>
      </c>
      <c r="CE1064">
        <v>237150</v>
      </c>
      <c r="CG1064">
        <v>237150</v>
      </c>
      <c r="CH1064">
        <v>2017</v>
      </c>
      <c r="CI1064">
        <v>237150</v>
      </c>
      <c r="CK1064">
        <v>237150</v>
      </c>
      <c r="CL1064">
        <v>2017</v>
      </c>
      <c r="CM1064">
        <v>3590.16</v>
      </c>
      <c r="CN1064" s="1">
        <v>38910</v>
      </c>
      <c r="CZ1064" s="1">
        <v>38910</v>
      </c>
      <c r="DD1064" t="s">
        <v>2387</v>
      </c>
      <c r="DG1064">
        <v>1</v>
      </c>
      <c r="DM1064" t="s">
        <v>10934</v>
      </c>
      <c r="DO1064" t="s">
        <v>10935</v>
      </c>
      <c r="DP1064">
        <v>0</v>
      </c>
      <c r="DQ1064">
        <v>1</v>
      </c>
      <c r="DR1064" t="s">
        <v>411</v>
      </c>
      <c r="DS1064" t="b">
        <v>1</v>
      </c>
      <c r="DT1064" t="s">
        <v>470</v>
      </c>
      <c r="DU1064" t="s">
        <v>471</v>
      </c>
      <c r="DV1064" t="s">
        <v>472</v>
      </c>
      <c r="DX1064">
        <v>-9999</v>
      </c>
      <c r="DZ1064" t="s">
        <v>447</v>
      </c>
      <c r="EA1064" t="s">
        <v>448</v>
      </c>
      <c r="EB1064" t="s">
        <v>742</v>
      </c>
      <c r="EC1064">
        <v>20101217</v>
      </c>
      <c r="ED1064" t="s">
        <v>474</v>
      </c>
      <c r="EF1064">
        <v>78.400000000000006</v>
      </c>
      <c r="EG1064">
        <v>78.400000000000006</v>
      </c>
      <c r="EI1064">
        <v>20160407</v>
      </c>
      <c r="EJ1064">
        <v>0</v>
      </c>
      <c r="EK1064">
        <v>0</v>
      </c>
      <c r="EP1064" t="s">
        <v>421</v>
      </c>
      <c r="EQ1064" t="s">
        <v>422</v>
      </c>
      <c r="ER1064">
        <v>2</v>
      </c>
      <c r="ES1064">
        <v>6</v>
      </c>
      <c r="ET1064">
        <v>7928.32</v>
      </c>
      <c r="EU1064">
        <v>408.92</v>
      </c>
      <c r="EV1064">
        <v>8337.24</v>
      </c>
      <c r="EW1064" s="2">
        <v>43222</v>
      </c>
      <c r="EX1064" s="1">
        <v>42879</v>
      </c>
      <c r="EY1064">
        <v>2016</v>
      </c>
      <c r="EZ1064">
        <v>3964.16</v>
      </c>
      <c r="FA1064" t="s">
        <v>10936</v>
      </c>
      <c r="FB1064">
        <v>0.25</v>
      </c>
      <c r="FC1064" t="s">
        <v>424</v>
      </c>
      <c r="FD1064" t="s">
        <v>454</v>
      </c>
      <c r="FF1064">
        <v>12</v>
      </c>
      <c r="FG1064">
        <v>7336671</v>
      </c>
      <c r="FH1064" t="s">
        <v>437</v>
      </c>
      <c r="FJ1064" s="1">
        <v>42879</v>
      </c>
      <c r="FK1064">
        <v>2016</v>
      </c>
      <c r="FL1064">
        <v>3964.16</v>
      </c>
      <c r="FM1064" t="s">
        <v>10936</v>
      </c>
      <c r="FN1064">
        <v>0.25</v>
      </c>
      <c r="FO1064" t="s">
        <v>424</v>
      </c>
      <c r="FP1064" t="s">
        <v>454</v>
      </c>
      <c r="FR1064">
        <v>12</v>
      </c>
      <c r="FS1064">
        <v>6760904</v>
      </c>
      <c r="FT1064" t="s">
        <v>10937</v>
      </c>
      <c r="FV1064" s="1">
        <v>42515</v>
      </c>
      <c r="FW1064">
        <v>2015</v>
      </c>
      <c r="FX1064">
        <v>4054.79</v>
      </c>
      <c r="FY1064" t="s">
        <v>10938</v>
      </c>
      <c r="FZ1064">
        <v>4.75</v>
      </c>
      <c r="GA1064" t="s">
        <v>424</v>
      </c>
      <c r="GB1064" t="s">
        <v>425</v>
      </c>
      <c r="GC1064" s="1">
        <v>43154</v>
      </c>
      <c r="GD1064">
        <v>21</v>
      </c>
      <c r="GE1064">
        <v>2035919</v>
      </c>
      <c r="GF1064" t="s">
        <v>507</v>
      </c>
      <c r="GH1064" s="1">
        <v>42151</v>
      </c>
      <c r="GI1064">
        <v>2014</v>
      </c>
      <c r="GJ1064">
        <v>6126.41</v>
      </c>
      <c r="GK1064" t="s">
        <v>10939</v>
      </c>
      <c r="GL1064">
        <v>4.75</v>
      </c>
      <c r="GM1064" t="s">
        <v>424</v>
      </c>
      <c r="GN1064" t="s">
        <v>425</v>
      </c>
      <c r="GO1064" s="1">
        <v>42823</v>
      </c>
      <c r="GP1064">
        <v>22</v>
      </c>
      <c r="GQ1064">
        <v>4975593</v>
      </c>
      <c r="GR1064" t="s">
        <v>505</v>
      </c>
      <c r="GT1064" s="1">
        <v>41787</v>
      </c>
      <c r="GU1064">
        <v>2013</v>
      </c>
      <c r="GV1064">
        <v>5809.17</v>
      </c>
      <c r="GW1064" t="s">
        <v>10940</v>
      </c>
      <c r="GX1064">
        <v>3</v>
      </c>
      <c r="GY1064" t="s">
        <v>424</v>
      </c>
      <c r="GZ1064" t="s">
        <v>425</v>
      </c>
      <c r="HA1064" s="1">
        <v>42453</v>
      </c>
      <c r="HB1064">
        <v>22</v>
      </c>
      <c r="HC1064">
        <v>10125</v>
      </c>
      <c r="HD1064" t="s">
        <v>440</v>
      </c>
      <c r="HF1064" s="1">
        <v>41423</v>
      </c>
      <c r="HG1064">
        <v>2012</v>
      </c>
      <c r="HH1064">
        <v>5692.25</v>
      </c>
      <c r="HI1064" t="s">
        <v>10941</v>
      </c>
      <c r="HJ1064">
        <v>0.25</v>
      </c>
      <c r="HK1064" t="s">
        <v>424</v>
      </c>
      <c r="HL1064" t="s">
        <v>425</v>
      </c>
      <c r="HM1064" s="1">
        <v>42060</v>
      </c>
      <c r="HN1064">
        <v>21</v>
      </c>
      <c r="HO1064">
        <v>13528</v>
      </c>
      <c r="HP1064" t="s">
        <v>1101</v>
      </c>
      <c r="HR1064" s="1">
        <v>41052</v>
      </c>
      <c r="HS1064">
        <v>2011</v>
      </c>
      <c r="HT1064">
        <v>3808.28</v>
      </c>
      <c r="HU1064" t="s">
        <v>10942</v>
      </c>
      <c r="HV1064">
        <v>5.75</v>
      </c>
      <c r="HW1064" t="s">
        <v>424</v>
      </c>
      <c r="HX1064" t="s">
        <v>425</v>
      </c>
      <c r="HY1064" s="1">
        <v>41689</v>
      </c>
      <c r="HZ1064">
        <v>21</v>
      </c>
      <c r="IA1064">
        <v>10125</v>
      </c>
      <c r="IB1064" t="s">
        <v>440</v>
      </c>
      <c r="ID1064" s="1">
        <v>40688</v>
      </c>
      <c r="IE1064">
        <v>2010</v>
      </c>
      <c r="IF1064">
        <v>4252</v>
      </c>
      <c r="IG1064" t="s">
        <v>10943</v>
      </c>
      <c r="IH1064">
        <v>6.75</v>
      </c>
      <c r="II1064" t="s">
        <v>424</v>
      </c>
      <c r="IJ1064" t="s">
        <v>425</v>
      </c>
      <c r="IK1064" s="1">
        <v>41331</v>
      </c>
      <c r="IL1064">
        <v>21</v>
      </c>
      <c r="IM1064">
        <v>105</v>
      </c>
      <c r="IN1064" t="s">
        <v>946</v>
      </c>
    </row>
    <row r="1065" spans="1:284" x14ac:dyDescent="0.25">
      <c r="A1065">
        <v>16486072</v>
      </c>
      <c r="B1065">
        <v>1064</v>
      </c>
      <c r="C1065" t="s">
        <v>393</v>
      </c>
      <c r="D1065" t="s">
        <v>394</v>
      </c>
      <c r="F1065" t="str">
        <f>"02-2N-26-0000-0004-0100"</f>
        <v>02-2N-26-0000-0004-0100</v>
      </c>
      <c r="H1065" t="str">
        <f>"JOHNSON BRENDA C &amp; CHARLES R"</f>
        <v>JOHNSON BRENDA C &amp; CHARLES R</v>
      </c>
      <c r="I1065" t="str">
        <f>"76023 BILLS TRAIL"</f>
        <v>76023 BILLS TRAIL</v>
      </c>
      <c r="J1065" t="str">
        <f>"YULEE FL 32097"</f>
        <v>YULEE FL 32097</v>
      </c>
      <c r="K1065" t="str">
        <f>"76023 BILLS TR"</f>
        <v>76023 BILLS TR</v>
      </c>
      <c r="L1065" t="str">
        <f t="shared" si="350"/>
        <v>YULEE FL 32097</v>
      </c>
      <c r="M1065" t="str">
        <f>"IN OR 1967/3"</f>
        <v>IN OR 1967/3</v>
      </c>
      <c r="N1065" t="str">
        <f>""</f>
        <v/>
      </c>
      <c r="O1065" t="str">
        <f>"17974"</f>
        <v>17974</v>
      </c>
      <c r="P1065" t="str">
        <f t="shared" si="334"/>
        <v>2017</v>
      </c>
      <c r="Q1065" t="str">
        <f>""</f>
        <v/>
      </c>
      <c r="R1065" t="str">
        <f t="shared" si="346"/>
        <v>N</v>
      </c>
      <c r="S1065" t="str">
        <f>"3.44"</f>
        <v>3.44</v>
      </c>
      <c r="T1065" t="str">
        <f>"481.65"</f>
        <v>481.65</v>
      </c>
      <c r="U1065" t="str">
        <f>"31815.00"</f>
        <v>31815.00</v>
      </c>
      <c r="V1065" t="str">
        <f>"31815.00"</f>
        <v>31815.00</v>
      </c>
      <c r="W1065" t="str">
        <f t="shared" si="335"/>
        <v>2017</v>
      </c>
      <c r="X1065" t="str">
        <f>""</f>
        <v/>
      </c>
      <c r="Y1065" t="str">
        <f>"528.10"</f>
        <v>528.10</v>
      </c>
      <c r="Z1065" t="str">
        <f>""</f>
        <v/>
      </c>
      <c r="AA1065" t="str">
        <f>"31815.00"</f>
        <v>31815.00</v>
      </c>
      <c r="AB1065" t="str">
        <f>"Residential"</f>
        <v>Residential</v>
      </c>
      <c r="AC1065" t="str">
        <f t="shared" si="345"/>
        <v>0</v>
      </c>
      <c r="AD1065" t="str">
        <f>""</f>
        <v/>
      </c>
      <c r="AE1065" t="str">
        <f>""</f>
        <v/>
      </c>
      <c r="AF1065" t="str">
        <f>"000"</f>
        <v>000</v>
      </c>
      <c r="AG1065" t="str">
        <f t="shared" ref="AG1065:AG1086" si="351">"FL"</f>
        <v>FL</v>
      </c>
      <c r="AH1065" t="str">
        <f>"149846.00"</f>
        <v>149846.00</v>
      </c>
      <c r="AI1065" t="str">
        <f>"27090.00"</f>
        <v>27090.00</v>
      </c>
      <c r="AJ1065" t="str">
        <f>"C55-001-011-2851-0"</f>
        <v>C55-001-011-2851-0</v>
      </c>
      <c r="AK1065" t="str">
        <f>"16208"</f>
        <v>16208</v>
      </c>
      <c r="AL1065">
        <v>4</v>
      </c>
      <c r="AM1065">
        <v>1225</v>
      </c>
      <c r="AN1065">
        <v>552.91</v>
      </c>
      <c r="AQ1065" t="s">
        <v>10944</v>
      </c>
      <c r="AR1065" t="s">
        <v>10944</v>
      </c>
      <c r="AS1065" t="s">
        <v>10944</v>
      </c>
      <c r="AU1065" t="s">
        <v>396</v>
      </c>
      <c r="AV1065">
        <v>2017</v>
      </c>
      <c r="AW1065" t="str">
        <f>"02-2N-26-0000-0004-0100 "</f>
        <v xml:space="preserve">02-2N-26-0000-0004-0100 </v>
      </c>
      <c r="AX1065">
        <v>76023</v>
      </c>
      <c r="AZ1065" t="s">
        <v>10945</v>
      </c>
      <c r="BD1065" t="s">
        <v>2387</v>
      </c>
      <c r="BE1065" t="s">
        <v>393</v>
      </c>
      <c r="BF1065">
        <v>32097</v>
      </c>
      <c r="BG1065" t="s">
        <v>10946</v>
      </c>
      <c r="BH1065" t="s">
        <v>2388</v>
      </c>
      <c r="BI1065">
        <v>-81.675880186283905</v>
      </c>
      <c r="BJ1065">
        <v>30.625283786068501</v>
      </c>
      <c r="BK1065" t="s">
        <v>10947</v>
      </c>
      <c r="BL1065" t="s">
        <v>10948</v>
      </c>
      <c r="BM1065" t="s">
        <v>10949</v>
      </c>
      <c r="BN1065" t="s">
        <v>878</v>
      </c>
      <c r="BO1065">
        <v>32073</v>
      </c>
      <c r="BP1065" t="s">
        <v>404</v>
      </c>
      <c r="BQ1065">
        <v>1</v>
      </c>
      <c r="BR1065" t="s">
        <v>491</v>
      </c>
      <c r="BS1065">
        <v>8001</v>
      </c>
      <c r="BT1065" t="s">
        <v>492</v>
      </c>
      <c r="BW1065">
        <v>149846</v>
      </c>
      <c r="BX1065" t="s">
        <v>407</v>
      </c>
      <c r="CD1065">
        <v>2017</v>
      </c>
      <c r="CE1065">
        <v>27090</v>
      </c>
      <c r="CF1065">
        <v>4725</v>
      </c>
      <c r="CG1065">
        <v>31815</v>
      </c>
      <c r="CH1065">
        <v>2017</v>
      </c>
      <c r="CI1065">
        <v>27090</v>
      </c>
      <c r="CJ1065">
        <v>4725</v>
      </c>
      <c r="CK1065">
        <v>31815</v>
      </c>
      <c r="CL1065">
        <v>2017</v>
      </c>
      <c r="CM1065">
        <v>481.65</v>
      </c>
      <c r="CN1065" s="1">
        <v>42074</v>
      </c>
      <c r="CO1065">
        <v>45000</v>
      </c>
      <c r="CV1065">
        <v>38250</v>
      </c>
      <c r="CX1065" t="s">
        <v>675</v>
      </c>
      <c r="CZ1065" s="1">
        <v>42074</v>
      </c>
      <c r="DA1065">
        <v>0</v>
      </c>
      <c r="DD1065" t="s">
        <v>2387</v>
      </c>
      <c r="DG1065">
        <v>2</v>
      </c>
      <c r="DL1065">
        <v>50301</v>
      </c>
      <c r="DM1065" t="s">
        <v>10950</v>
      </c>
      <c r="DO1065" t="s">
        <v>10951</v>
      </c>
      <c r="DP1065">
        <v>0</v>
      </c>
      <c r="DQ1065">
        <v>0</v>
      </c>
      <c r="DR1065" t="s">
        <v>411</v>
      </c>
    </row>
    <row r="1066" spans="1:284" x14ac:dyDescent="0.25">
      <c r="A1066">
        <v>16486073</v>
      </c>
      <c r="B1066">
        <v>1065</v>
      </c>
      <c r="C1066" t="s">
        <v>393</v>
      </c>
      <c r="D1066" t="s">
        <v>394</v>
      </c>
      <c r="F1066" t="str">
        <f>"02-2N-26-0000-0004-0110"</f>
        <v>02-2N-26-0000-0004-0110</v>
      </c>
      <c r="H1066" t="str">
        <f>"JOHNSON REBECCA M"</f>
        <v>JOHNSON REBECCA M</v>
      </c>
      <c r="I1066" t="str">
        <f>"77135 HALLMARK LN"</f>
        <v>77135 HALLMARK LN</v>
      </c>
      <c r="J1066" t="str">
        <f>"YULEE FL 32097"</f>
        <v>YULEE FL 32097</v>
      </c>
      <c r="K1066" t="str">
        <f>"77002 HALLMARK LN"</f>
        <v>77002 HALLMARK LN</v>
      </c>
      <c r="L1066" t="str">
        <f t="shared" si="350"/>
        <v>YULEE FL 32097</v>
      </c>
      <c r="M1066" t="str">
        <f>"PT OF N1/2 OF S1/2 OF S1/2 OF NE1/4 OF NW1/4 OR 1571/1455 1998 MERI DW/MH"</f>
        <v>PT OF N1/2 OF S1/2 OF S1/2 OF NE1/4 OF NW1/4 OR 1571/1455 1998 MERI DW/MH</v>
      </c>
      <c r="N1066" t="str">
        <f>""</f>
        <v/>
      </c>
      <c r="O1066" t="str">
        <f>"17975"</f>
        <v>17975</v>
      </c>
      <c r="P1066" t="str">
        <f t="shared" si="334"/>
        <v>2017</v>
      </c>
      <c r="Q1066" t="str">
        <f>""</f>
        <v/>
      </c>
      <c r="R1066" t="str">
        <f t="shared" si="346"/>
        <v>N</v>
      </c>
      <c r="S1066" t="str">
        <f>"1.79"</f>
        <v>1.79</v>
      </c>
      <c r="T1066" t="str">
        <f>"984.54"</f>
        <v>984.54</v>
      </c>
      <c r="U1066" t="str">
        <f>"60343.00"</f>
        <v>60343.00</v>
      </c>
      <c r="V1066" t="str">
        <f>"60343.00"</f>
        <v>60343.00</v>
      </c>
      <c r="W1066" t="str">
        <f t="shared" si="335"/>
        <v>2017</v>
      </c>
      <c r="X1066" t="str">
        <f>"8.00"</f>
        <v>8.00</v>
      </c>
      <c r="Y1066" t="str">
        <f>"1046.08"</f>
        <v>1046.08</v>
      </c>
      <c r="Z1066" t="str">
        <f>""</f>
        <v/>
      </c>
      <c r="AA1066" t="str">
        <f>"71106.00"</f>
        <v>71106.00</v>
      </c>
      <c r="AB1066" t="str">
        <f>"Residential"</f>
        <v>Residential</v>
      </c>
      <c r="AC1066" t="str">
        <f t="shared" si="345"/>
        <v>0</v>
      </c>
      <c r="AD1066" t="str">
        <f>"4"</f>
        <v>4</v>
      </c>
      <c r="AE1066" t="str">
        <f>"WOOD (INCLUDE STEEL STUDS)"</f>
        <v>WOOD (INCLUDE STEEL STUDS)</v>
      </c>
      <c r="AF1066" t="str">
        <f>"002"</f>
        <v>002</v>
      </c>
      <c r="AG1066" t="str">
        <f t="shared" si="351"/>
        <v>FL</v>
      </c>
      <c r="AH1066" t="str">
        <f>"77972.00"</f>
        <v>77972.00</v>
      </c>
      <c r="AI1066" t="str">
        <f>"28192.00"</f>
        <v>28192.00</v>
      </c>
      <c r="AJ1066" t="str">
        <f>"C55-001-028-2165-9"</f>
        <v>C55-001-028-2165-9</v>
      </c>
      <c r="AK1066" t="str">
        <f>"16209"</f>
        <v>16209</v>
      </c>
      <c r="AL1066">
        <v>4</v>
      </c>
      <c r="AM1066">
        <v>1226</v>
      </c>
      <c r="AN1066">
        <v>1096.78</v>
      </c>
      <c r="AQ1066" t="s">
        <v>10952</v>
      </c>
      <c r="AR1066" t="s">
        <v>10952</v>
      </c>
      <c r="AS1066" t="s">
        <v>10952</v>
      </c>
      <c r="AU1066" t="s">
        <v>396</v>
      </c>
      <c r="AV1066">
        <v>2017</v>
      </c>
      <c r="AW1066" t="str">
        <f>"02-2N-26-0000-0004-0110 "</f>
        <v xml:space="preserve">02-2N-26-0000-0004-0110 </v>
      </c>
      <c r="AX1066">
        <v>77002</v>
      </c>
      <c r="AZ1066" t="s">
        <v>10953</v>
      </c>
      <c r="BA1066" t="s">
        <v>653</v>
      </c>
      <c r="BD1066" t="s">
        <v>2387</v>
      </c>
      <c r="BE1066" t="s">
        <v>393</v>
      </c>
      <c r="BF1066">
        <v>32097</v>
      </c>
      <c r="BG1066" t="s">
        <v>10954</v>
      </c>
      <c r="BH1066" t="s">
        <v>2388</v>
      </c>
      <c r="BI1066">
        <v>-81.677334164235702</v>
      </c>
      <c r="BJ1066">
        <v>30.627054731933899</v>
      </c>
      <c r="BK1066" t="s">
        <v>10955</v>
      </c>
      <c r="BM1066" t="s">
        <v>10956</v>
      </c>
      <c r="BN1066" t="s">
        <v>1778</v>
      </c>
      <c r="BO1066">
        <v>32097</v>
      </c>
      <c r="BP1066" t="s">
        <v>404</v>
      </c>
      <c r="BQ1066">
        <v>200</v>
      </c>
      <c r="BR1066" t="s">
        <v>405</v>
      </c>
      <c r="BS1066">
        <v>1006</v>
      </c>
      <c r="BT1066" t="s">
        <v>406</v>
      </c>
      <c r="BW1066">
        <v>77972</v>
      </c>
      <c r="BX1066" t="s">
        <v>407</v>
      </c>
      <c r="BY1066" t="s">
        <v>408</v>
      </c>
      <c r="BZ1066">
        <v>4</v>
      </c>
      <c r="CA1066">
        <v>1998</v>
      </c>
      <c r="CC1066">
        <v>1</v>
      </c>
      <c r="CD1066">
        <v>2017</v>
      </c>
      <c r="CE1066">
        <v>28192</v>
      </c>
      <c r="CF1066">
        <v>42914</v>
      </c>
      <c r="CG1066">
        <v>71106</v>
      </c>
      <c r="CH1066">
        <v>2017</v>
      </c>
      <c r="CI1066">
        <v>28192</v>
      </c>
      <c r="CJ1066">
        <v>42914</v>
      </c>
      <c r="CK1066">
        <v>71106</v>
      </c>
      <c r="CL1066">
        <v>2017</v>
      </c>
      <c r="CM1066">
        <v>984.54</v>
      </c>
      <c r="CN1066" s="1">
        <v>39612</v>
      </c>
      <c r="CZ1066" s="1">
        <v>39612</v>
      </c>
      <c r="DD1066" t="s">
        <v>2387</v>
      </c>
      <c r="DG1066">
        <v>2</v>
      </c>
      <c r="DL1066">
        <v>50301</v>
      </c>
      <c r="DM1066" t="s">
        <v>10950</v>
      </c>
      <c r="DO1066" t="s">
        <v>10957</v>
      </c>
      <c r="DP1066">
        <v>0</v>
      </c>
      <c r="DQ1066">
        <v>0</v>
      </c>
      <c r="DR1066" t="s">
        <v>411</v>
      </c>
      <c r="DS1066" t="b">
        <v>1</v>
      </c>
      <c r="DT1066" t="s">
        <v>396</v>
      </c>
      <c r="DV1066" t="s">
        <v>446</v>
      </c>
      <c r="DX1066">
        <v>-9999</v>
      </c>
      <c r="DZ1066" t="s">
        <v>447</v>
      </c>
      <c r="EA1066" t="s">
        <v>448</v>
      </c>
      <c r="EB1066" t="s">
        <v>10958</v>
      </c>
      <c r="EC1066">
        <v>20101217</v>
      </c>
      <c r="ED1066" t="s">
        <v>450</v>
      </c>
      <c r="EE1066">
        <v>5.7</v>
      </c>
      <c r="EF1066">
        <v>0</v>
      </c>
      <c r="EG1066">
        <v>0</v>
      </c>
      <c r="EI1066">
        <v>20160407</v>
      </c>
      <c r="EJ1066">
        <v>0</v>
      </c>
      <c r="EK1066">
        <v>0</v>
      </c>
      <c r="EP1066" t="s">
        <v>421</v>
      </c>
      <c r="EQ1066" t="s">
        <v>422</v>
      </c>
      <c r="ER1066">
        <v>2</v>
      </c>
      <c r="ES1066">
        <v>5</v>
      </c>
      <c r="ET1066">
        <v>1875.5</v>
      </c>
      <c r="EU1066">
        <v>106.28</v>
      </c>
      <c r="EV1066">
        <v>1981.78</v>
      </c>
      <c r="EW1066" s="2">
        <v>43222</v>
      </c>
      <c r="EX1066" s="1">
        <v>42879</v>
      </c>
      <c r="EY1066">
        <v>2016</v>
      </c>
      <c r="EZ1066">
        <v>937.75</v>
      </c>
      <c r="FA1066" t="s">
        <v>10959</v>
      </c>
      <c r="FB1066">
        <v>0.25</v>
      </c>
      <c r="FC1066" t="s">
        <v>424</v>
      </c>
      <c r="FD1066" t="s">
        <v>454</v>
      </c>
      <c r="FF1066">
        <v>12</v>
      </c>
      <c r="FG1066">
        <v>2851116</v>
      </c>
      <c r="FH1066" t="s">
        <v>480</v>
      </c>
      <c r="FJ1066" s="1">
        <v>42879</v>
      </c>
      <c r="FK1066">
        <v>2016</v>
      </c>
      <c r="FL1066">
        <v>937.75</v>
      </c>
      <c r="FM1066" t="s">
        <v>10959</v>
      </c>
      <c r="FN1066">
        <v>0.25</v>
      </c>
      <c r="FO1066" t="s">
        <v>424</v>
      </c>
      <c r="FP1066" t="s">
        <v>454</v>
      </c>
      <c r="FR1066">
        <v>12</v>
      </c>
      <c r="FS1066">
        <v>5250936</v>
      </c>
      <c r="FT1066" t="s">
        <v>10960</v>
      </c>
      <c r="FV1066" s="1">
        <v>42515</v>
      </c>
      <c r="FW1066">
        <v>2015</v>
      </c>
      <c r="FX1066">
        <v>943.27</v>
      </c>
      <c r="FY1066" t="s">
        <v>10961</v>
      </c>
      <c r="FZ1066">
        <v>0.25</v>
      </c>
      <c r="GA1066" t="s">
        <v>424</v>
      </c>
      <c r="GB1066" t="s">
        <v>425</v>
      </c>
      <c r="GC1066" s="1">
        <v>42542</v>
      </c>
      <c r="GD1066">
        <v>1</v>
      </c>
      <c r="GE1066">
        <v>2851116</v>
      </c>
      <c r="GF1066" t="s">
        <v>480</v>
      </c>
      <c r="GH1066" s="1">
        <v>42515</v>
      </c>
      <c r="GI1066">
        <v>2015</v>
      </c>
      <c r="GJ1066">
        <v>943.27</v>
      </c>
      <c r="GK1066" t="s">
        <v>10961</v>
      </c>
      <c r="GL1066">
        <v>0.25</v>
      </c>
      <c r="GM1066" t="s">
        <v>424</v>
      </c>
      <c r="GN1066" t="s">
        <v>425</v>
      </c>
      <c r="GP1066">
        <v>22</v>
      </c>
      <c r="GQ1066">
        <v>5687173</v>
      </c>
      <c r="GR1066" t="s">
        <v>10962</v>
      </c>
      <c r="GT1066" s="1">
        <v>42151</v>
      </c>
      <c r="GU1066">
        <v>2014</v>
      </c>
      <c r="GV1066">
        <v>948.84</v>
      </c>
      <c r="GW1066" t="s">
        <v>10963</v>
      </c>
      <c r="GX1066">
        <v>0.25</v>
      </c>
      <c r="GY1066" t="s">
        <v>424</v>
      </c>
      <c r="GZ1066" t="s">
        <v>425</v>
      </c>
      <c r="HA1066" s="1">
        <v>42541</v>
      </c>
      <c r="HB1066">
        <v>13</v>
      </c>
      <c r="HC1066">
        <v>4975594</v>
      </c>
      <c r="HD1066" t="s">
        <v>457</v>
      </c>
      <c r="HF1066" s="1">
        <v>42151</v>
      </c>
      <c r="HG1066">
        <v>2014</v>
      </c>
      <c r="HH1066">
        <v>948.84</v>
      </c>
      <c r="HI1066" t="s">
        <v>10963</v>
      </c>
      <c r="HJ1066">
        <v>0.25</v>
      </c>
      <c r="HK1066" t="s">
        <v>424</v>
      </c>
      <c r="HL1066" t="s">
        <v>425</v>
      </c>
      <c r="HN1066">
        <v>22</v>
      </c>
      <c r="HO1066">
        <v>6470845</v>
      </c>
      <c r="HP1066" t="s">
        <v>10964</v>
      </c>
      <c r="HR1066" s="1">
        <v>41787</v>
      </c>
      <c r="HS1066">
        <v>2013</v>
      </c>
      <c r="HT1066">
        <v>919.28</v>
      </c>
      <c r="HU1066" t="s">
        <v>10965</v>
      </c>
      <c r="HV1066">
        <v>0.25</v>
      </c>
      <c r="HW1066" t="s">
        <v>424</v>
      </c>
      <c r="HX1066" t="s">
        <v>425</v>
      </c>
      <c r="HY1066" s="1">
        <v>42074</v>
      </c>
      <c r="HZ1066">
        <v>10</v>
      </c>
      <c r="IA1066">
        <v>2407503</v>
      </c>
      <c r="IB1066" t="s">
        <v>461</v>
      </c>
    </row>
    <row r="1067" spans="1:284" x14ac:dyDescent="0.25">
      <c r="A1067">
        <v>16486074</v>
      </c>
      <c r="B1067">
        <v>1066</v>
      </c>
      <c r="C1067" t="s">
        <v>393</v>
      </c>
      <c r="D1067" t="s">
        <v>394</v>
      </c>
      <c r="F1067" t="str">
        <f>"03-2N-26-0000-0001-0020"</f>
        <v>03-2N-26-0000-0001-0020</v>
      </c>
      <c r="H1067" t="str">
        <f>"HIGGS JACK H JR &amp; SHEILA F"</f>
        <v>HIGGS JACK H JR &amp; SHEILA F</v>
      </c>
      <c r="I1067" t="str">
        <f>"66616 FRED MINER ESTATES"</f>
        <v>66616 FRED MINER ESTATES</v>
      </c>
      <c r="J1067" t="str">
        <f>"YULEE FL 32097"</f>
        <v>YULEE FL 32097</v>
      </c>
      <c r="K1067" t="str">
        <f>"66616 FRED MINER ESTATE DR"</f>
        <v>66616 FRED MINER ESTATE DR</v>
      </c>
      <c r="L1067" t="str">
        <f t="shared" si="350"/>
        <v>YULEE FL 32097</v>
      </c>
      <c r="M1067" t="str">
        <f>"IN OR 845/477 R787589 ESMT IN OR 287/83"</f>
        <v>IN OR 845/477 R787589 ESMT IN OR 287/83</v>
      </c>
      <c r="N1067" t="str">
        <f>""</f>
        <v/>
      </c>
      <c r="O1067" t="str">
        <f>"19052"</f>
        <v>19052</v>
      </c>
      <c r="P1067" t="str">
        <f t="shared" si="334"/>
        <v>2017</v>
      </c>
      <c r="Q1067" t="str">
        <f>""</f>
        <v/>
      </c>
      <c r="R1067" t="str">
        <f t="shared" si="346"/>
        <v>N</v>
      </c>
      <c r="S1067" t="str">
        <f>"8.34"</f>
        <v>8.34</v>
      </c>
      <c r="T1067" t="str">
        <f>"426.79"</f>
        <v>426.79</v>
      </c>
      <c r="U1067" t="str">
        <f>"21571.00"</f>
        <v>21571.00</v>
      </c>
      <c r="V1067" t="str">
        <f>"21571.00"</f>
        <v>21571.00</v>
      </c>
      <c r="W1067" t="str">
        <f t="shared" si="335"/>
        <v>2017</v>
      </c>
      <c r="X1067" t="str">
        <f>"16.71"</f>
        <v>16.71</v>
      </c>
      <c r="Y1067" t="str">
        <f>"471.59"</f>
        <v>471.59</v>
      </c>
      <c r="Z1067" t="str">
        <f>""</f>
        <v/>
      </c>
      <c r="AA1067" t="str">
        <f>"36761.00"</f>
        <v>36761.00</v>
      </c>
      <c r="AB1067" t="str">
        <f>"Agricultural"</f>
        <v>Agricultural</v>
      </c>
      <c r="AC1067" t="str">
        <f t="shared" si="345"/>
        <v>0</v>
      </c>
      <c r="AD1067" t="str">
        <f>"4"</f>
        <v>4</v>
      </c>
      <c r="AE1067" t="str">
        <f>"WOOD (INCLUDE STEEL STUDS)"</f>
        <v>WOOD (INCLUDE STEEL STUDS)</v>
      </c>
      <c r="AF1067" t="str">
        <f>"050"</f>
        <v>050</v>
      </c>
      <c r="AG1067" t="str">
        <f t="shared" si="351"/>
        <v>FL</v>
      </c>
      <c r="AH1067" t="str">
        <f>"363290.00"</f>
        <v>363290.00</v>
      </c>
      <c r="AI1067" t="str">
        <f>"18408.00"</f>
        <v>18408.00</v>
      </c>
      <c r="AJ1067" t="str">
        <f>"C55-000-586-4477-4"</f>
        <v>C55-000-586-4477-4</v>
      </c>
      <c r="AK1067" t="str">
        <f>"16211"</f>
        <v>16211</v>
      </c>
      <c r="AL1067">
        <v>4</v>
      </c>
      <c r="AM1067">
        <v>1227</v>
      </c>
      <c r="AN1067">
        <v>493.57</v>
      </c>
      <c r="AQ1067" t="s">
        <v>10966</v>
      </c>
      <c r="AR1067" t="s">
        <v>10966</v>
      </c>
      <c r="AS1067" t="s">
        <v>10966</v>
      </c>
      <c r="AU1067" t="s">
        <v>396</v>
      </c>
      <c r="AV1067">
        <v>2017</v>
      </c>
      <c r="AW1067" t="str">
        <f>"03-2N-26-0000-0001-0020 "</f>
        <v xml:space="preserve">03-2N-26-0000-0001-0020 </v>
      </c>
      <c r="AX1067">
        <v>66616</v>
      </c>
      <c r="AZ1067" t="s">
        <v>10967</v>
      </c>
      <c r="BA1067" t="s">
        <v>669</v>
      </c>
      <c r="BD1067" t="s">
        <v>2387</v>
      </c>
      <c r="BE1067" t="s">
        <v>393</v>
      </c>
      <c r="BF1067">
        <v>32097</v>
      </c>
      <c r="BG1067" t="s">
        <v>10968</v>
      </c>
      <c r="BH1067" t="s">
        <v>2388</v>
      </c>
      <c r="BI1067">
        <v>-81.684378331461701</v>
      </c>
      <c r="BJ1067">
        <v>30.6281003086266</v>
      </c>
      <c r="BK1067" t="s">
        <v>10969</v>
      </c>
      <c r="BL1067" t="s">
        <v>10970</v>
      </c>
      <c r="BM1067" t="s">
        <v>10971</v>
      </c>
      <c r="BN1067" t="s">
        <v>1778</v>
      </c>
      <c r="BO1067">
        <v>32097</v>
      </c>
      <c r="BP1067" t="s">
        <v>416</v>
      </c>
      <c r="BQ1067">
        <v>5000</v>
      </c>
      <c r="BR1067" t="s">
        <v>664</v>
      </c>
      <c r="BS1067">
        <v>7000</v>
      </c>
      <c r="BT1067" t="s">
        <v>665</v>
      </c>
      <c r="BW1067">
        <v>363290</v>
      </c>
      <c r="BX1067" t="s">
        <v>407</v>
      </c>
      <c r="BY1067" t="s">
        <v>408</v>
      </c>
      <c r="BZ1067">
        <v>4</v>
      </c>
      <c r="CA1067">
        <v>1993</v>
      </c>
      <c r="CB1067">
        <v>1</v>
      </c>
      <c r="CC1067">
        <v>1</v>
      </c>
      <c r="CD1067">
        <v>2017</v>
      </c>
      <c r="CG1067">
        <v>36761</v>
      </c>
      <c r="CH1067">
        <v>2017</v>
      </c>
      <c r="CI1067">
        <v>18408</v>
      </c>
      <c r="CJ1067">
        <v>68237</v>
      </c>
      <c r="CK1067">
        <v>86645</v>
      </c>
      <c r="CL1067">
        <v>2017</v>
      </c>
      <c r="CM1067">
        <v>426.79</v>
      </c>
      <c r="CN1067" s="1">
        <v>36025</v>
      </c>
      <c r="CO1067">
        <v>15000</v>
      </c>
      <c r="CZ1067" s="1">
        <v>36025</v>
      </c>
      <c r="DD1067" t="s">
        <v>2387</v>
      </c>
      <c r="DG1067">
        <v>3</v>
      </c>
      <c r="DL1067">
        <v>50301</v>
      </c>
      <c r="DM1067" t="s">
        <v>10972</v>
      </c>
      <c r="DO1067" t="s">
        <v>10973</v>
      </c>
      <c r="DP1067">
        <v>0</v>
      </c>
      <c r="DQ1067">
        <v>0</v>
      </c>
      <c r="DR1067" t="s">
        <v>411</v>
      </c>
      <c r="DS1067" t="b">
        <v>1</v>
      </c>
      <c r="DT1067" t="s">
        <v>470</v>
      </c>
      <c r="DU1067" t="s">
        <v>471</v>
      </c>
      <c r="DV1067" t="s">
        <v>472</v>
      </c>
      <c r="DX1067">
        <v>-9999</v>
      </c>
      <c r="DZ1067" t="s">
        <v>447</v>
      </c>
      <c r="EA1067" t="s">
        <v>448</v>
      </c>
      <c r="EB1067" t="s">
        <v>742</v>
      </c>
      <c r="EC1067">
        <v>20101217</v>
      </c>
      <c r="ED1067" t="s">
        <v>474</v>
      </c>
      <c r="EF1067">
        <v>2</v>
      </c>
      <c r="EG1067">
        <v>2</v>
      </c>
      <c r="EI1067">
        <v>20160407</v>
      </c>
      <c r="EJ1067">
        <v>0</v>
      </c>
      <c r="EK1067">
        <v>0</v>
      </c>
      <c r="EP1067" t="s">
        <v>595</v>
      </c>
      <c r="EQ1067" t="s">
        <v>422</v>
      </c>
      <c r="ER1067">
        <v>2</v>
      </c>
      <c r="ES1067">
        <v>4</v>
      </c>
      <c r="ET1067">
        <v>706.52</v>
      </c>
      <c r="EU1067">
        <v>47.83</v>
      </c>
      <c r="EV1067">
        <v>754.35</v>
      </c>
      <c r="EW1067" s="2">
        <v>43222</v>
      </c>
      <c r="EX1067" s="1">
        <v>42879</v>
      </c>
      <c r="EY1067">
        <v>2016</v>
      </c>
      <c r="EZ1067">
        <v>353.26</v>
      </c>
      <c r="FA1067" t="s">
        <v>10974</v>
      </c>
      <c r="FB1067">
        <v>0.25</v>
      </c>
      <c r="FC1067" t="s">
        <v>424</v>
      </c>
      <c r="FD1067" t="s">
        <v>454</v>
      </c>
      <c r="FF1067">
        <v>12</v>
      </c>
      <c r="FG1067">
        <v>7400234</v>
      </c>
      <c r="FH1067" t="s">
        <v>426</v>
      </c>
      <c r="FJ1067" s="1">
        <v>42879</v>
      </c>
      <c r="FK1067">
        <v>2016</v>
      </c>
      <c r="FL1067">
        <v>353.26</v>
      </c>
      <c r="FM1067" t="s">
        <v>10974</v>
      </c>
      <c r="FN1067">
        <v>0.25</v>
      </c>
      <c r="FO1067" t="s">
        <v>424</v>
      </c>
      <c r="FP1067" t="s">
        <v>454</v>
      </c>
      <c r="FR1067">
        <v>12</v>
      </c>
      <c r="FS1067">
        <v>7476471</v>
      </c>
      <c r="FT1067" t="s">
        <v>10975</v>
      </c>
      <c r="FV1067" s="1">
        <v>42515</v>
      </c>
      <c r="FW1067">
        <v>2015</v>
      </c>
      <c r="FX1067">
        <v>419.15</v>
      </c>
      <c r="FY1067" t="s">
        <v>10976</v>
      </c>
      <c r="FZ1067">
        <v>0.25</v>
      </c>
      <c r="GA1067" t="s">
        <v>424</v>
      </c>
      <c r="GB1067" t="s">
        <v>425</v>
      </c>
      <c r="GC1067" s="1">
        <v>42891</v>
      </c>
      <c r="GD1067">
        <v>13</v>
      </c>
      <c r="GE1067">
        <v>5894185</v>
      </c>
      <c r="GF1067" t="s">
        <v>7135</v>
      </c>
      <c r="GH1067" s="1">
        <v>42515</v>
      </c>
      <c r="GI1067">
        <v>2015</v>
      </c>
      <c r="GJ1067">
        <v>419.15</v>
      </c>
      <c r="GK1067" t="s">
        <v>10976</v>
      </c>
      <c r="GL1067">
        <v>0.25</v>
      </c>
      <c r="GM1067" t="s">
        <v>424</v>
      </c>
      <c r="GN1067" t="s">
        <v>425</v>
      </c>
      <c r="GP1067">
        <v>22</v>
      </c>
      <c r="GQ1067">
        <v>6008725</v>
      </c>
      <c r="GR1067" t="s">
        <v>10977</v>
      </c>
      <c r="GT1067" s="1">
        <v>41423</v>
      </c>
      <c r="GU1067">
        <v>2012</v>
      </c>
      <c r="GV1067">
        <v>154.49</v>
      </c>
      <c r="GW1067" t="s">
        <v>10978</v>
      </c>
      <c r="GX1067">
        <v>18</v>
      </c>
      <c r="GY1067" t="s">
        <v>603</v>
      </c>
      <c r="GZ1067" t="s">
        <v>425</v>
      </c>
      <c r="HA1067" s="1">
        <v>42041</v>
      </c>
      <c r="HB1067">
        <v>21</v>
      </c>
      <c r="HC1067">
        <v>9999999</v>
      </c>
      <c r="HD1067" t="s">
        <v>604</v>
      </c>
      <c r="HF1067" s="1">
        <v>40688</v>
      </c>
      <c r="HG1067">
        <v>2010</v>
      </c>
      <c r="HH1067">
        <v>213.54</v>
      </c>
      <c r="HI1067" t="s">
        <v>10979</v>
      </c>
      <c r="HJ1067">
        <v>6.75</v>
      </c>
      <c r="HK1067" t="s">
        <v>424</v>
      </c>
      <c r="HL1067" t="s">
        <v>425</v>
      </c>
      <c r="HM1067" s="1">
        <v>40966</v>
      </c>
      <c r="HN1067">
        <v>9</v>
      </c>
      <c r="HO1067">
        <v>375</v>
      </c>
      <c r="HP1067" t="s">
        <v>776</v>
      </c>
    </row>
    <row r="1068" spans="1:284" x14ac:dyDescent="0.25">
      <c r="A1068">
        <v>16486075</v>
      </c>
      <c r="B1068">
        <v>1067</v>
      </c>
      <c r="C1068" t="s">
        <v>393</v>
      </c>
      <c r="D1068" t="s">
        <v>394</v>
      </c>
      <c r="F1068" t="str">
        <f>"03-2N-26-0000-0001-0080"</f>
        <v>03-2N-26-0000-0001-0080</v>
      </c>
      <c r="H1068" t="str">
        <f>"CRIBB NANCIE S CARR"</f>
        <v>CRIBB NANCIE S CARR</v>
      </c>
      <c r="I1068" t="str">
        <f>"66040 IONA PL"</f>
        <v>66040 IONA PL</v>
      </c>
      <c r="J1068" t="str">
        <f>"YULEE FL 32041"</f>
        <v>YULEE FL 32041</v>
      </c>
      <c r="K1068" t="str">
        <f>"66040 IONA PL"</f>
        <v>66040 IONA PL</v>
      </c>
      <c r="L1068" t="str">
        <f t="shared" si="350"/>
        <v>YULEE FL 32097</v>
      </c>
      <c r="M1068" t="str">
        <f>"IN OR 727/1685 R672678 &amp; R672679"</f>
        <v>IN OR 727/1685 R672678 &amp; R672679</v>
      </c>
      <c r="N1068" t="str">
        <f>""</f>
        <v/>
      </c>
      <c r="O1068" t="str">
        <f>"19058"</f>
        <v>19058</v>
      </c>
      <c r="P1068" t="str">
        <f t="shared" si="334"/>
        <v>2017</v>
      </c>
      <c r="Q1068" t="str">
        <f>""</f>
        <v/>
      </c>
      <c r="R1068" t="str">
        <f>"Y"</f>
        <v>Y</v>
      </c>
      <c r="S1068" t="str">
        <f>"1.00"</f>
        <v>1.00</v>
      </c>
      <c r="T1068" t="str">
        <f>"254.97"</f>
        <v>254.97</v>
      </c>
      <c r="U1068" t="str">
        <f>"41842.00"</f>
        <v>41842.00</v>
      </c>
      <c r="V1068" t="str">
        <f>"41842.00"</f>
        <v>41842.00</v>
      </c>
      <c r="W1068" t="str">
        <f t="shared" si="335"/>
        <v>2017</v>
      </c>
      <c r="X1068" t="str">
        <f>"7.00"</f>
        <v>7.00</v>
      </c>
      <c r="Y1068" t="str">
        <f>"294.62"</f>
        <v>294.62</v>
      </c>
      <c r="Z1068" t="str">
        <f>"25000.00"</f>
        <v>25000.00</v>
      </c>
      <c r="AA1068" t="str">
        <f>"16842.00"</f>
        <v>16842.00</v>
      </c>
      <c r="AB1068" t="str">
        <f t="shared" ref="AB1068:AB1086" si="352">"Residential"</f>
        <v>Residential</v>
      </c>
      <c r="AC1068" t="str">
        <f t="shared" si="345"/>
        <v>0</v>
      </c>
      <c r="AD1068" t="str">
        <f>"4"</f>
        <v>4</v>
      </c>
      <c r="AE1068" t="str">
        <f>"WOOD (INCLUDE STEEL STUDS)"</f>
        <v>WOOD (INCLUDE STEEL STUDS)</v>
      </c>
      <c r="AF1068" t="str">
        <f>"002"</f>
        <v>002</v>
      </c>
      <c r="AG1068" t="str">
        <f t="shared" si="351"/>
        <v>FL</v>
      </c>
      <c r="AH1068" t="str">
        <f>"43560.00"</f>
        <v>43560.00</v>
      </c>
      <c r="AI1068" t="str">
        <f>"15750.00"</f>
        <v>15750.00</v>
      </c>
      <c r="AJ1068" t="str">
        <f>"C55-000-586-4483-2"</f>
        <v>C55-000-586-4483-2</v>
      </c>
      <c r="AK1068" t="str">
        <f>"16217"</f>
        <v>16217</v>
      </c>
      <c r="AL1068">
        <v>4</v>
      </c>
      <c r="AM1068">
        <v>1228</v>
      </c>
      <c r="AN1068">
        <v>307.75</v>
      </c>
      <c r="AQ1068" t="s">
        <v>10980</v>
      </c>
      <c r="AR1068" t="s">
        <v>10980</v>
      </c>
      <c r="AS1068" t="s">
        <v>10980</v>
      </c>
      <c r="AU1068" t="s">
        <v>396</v>
      </c>
      <c r="AV1068">
        <v>2017</v>
      </c>
      <c r="AW1068" t="str">
        <f>"03-2N-26-0000-0001-0080 "</f>
        <v xml:space="preserve">03-2N-26-0000-0001-0080 </v>
      </c>
      <c r="AX1068">
        <v>66040</v>
      </c>
      <c r="AZ1068" t="s">
        <v>10981</v>
      </c>
      <c r="BA1068" t="s">
        <v>641</v>
      </c>
      <c r="BD1068" t="s">
        <v>2387</v>
      </c>
      <c r="BE1068" t="s">
        <v>393</v>
      </c>
      <c r="BF1068">
        <v>32097</v>
      </c>
      <c r="BG1068" t="s">
        <v>10982</v>
      </c>
      <c r="BH1068" t="s">
        <v>2388</v>
      </c>
      <c r="BI1068">
        <v>-81.685770664964096</v>
      </c>
      <c r="BJ1068">
        <v>30.624062637283899</v>
      </c>
      <c r="BK1068" t="s">
        <v>10983</v>
      </c>
      <c r="BL1068" t="s">
        <v>10984</v>
      </c>
      <c r="BM1068" t="s">
        <v>10982</v>
      </c>
      <c r="BN1068" t="s">
        <v>1778</v>
      </c>
      <c r="BO1068">
        <v>32097</v>
      </c>
      <c r="BP1068" t="s">
        <v>416</v>
      </c>
      <c r="BQ1068">
        <v>200</v>
      </c>
      <c r="BR1068" t="s">
        <v>405</v>
      </c>
      <c r="BS1068">
        <v>1006</v>
      </c>
      <c r="BT1068" t="s">
        <v>406</v>
      </c>
      <c r="BW1068">
        <v>43560</v>
      </c>
      <c r="BX1068" t="s">
        <v>407</v>
      </c>
      <c r="BZ1068">
        <v>4</v>
      </c>
      <c r="CA1068">
        <v>1994</v>
      </c>
      <c r="CB1068">
        <v>1</v>
      </c>
      <c r="CC1068">
        <v>1</v>
      </c>
      <c r="CD1068">
        <v>2017</v>
      </c>
      <c r="CG1068">
        <v>41842</v>
      </c>
      <c r="CH1068">
        <v>2017</v>
      </c>
      <c r="CI1068">
        <v>15750</v>
      </c>
      <c r="CJ1068">
        <v>44465</v>
      </c>
      <c r="CK1068">
        <v>60215</v>
      </c>
      <c r="CL1068">
        <v>2017</v>
      </c>
      <c r="CM1068">
        <v>254.97</v>
      </c>
      <c r="CN1068" s="1">
        <v>34807</v>
      </c>
      <c r="CZ1068" s="1">
        <v>34807</v>
      </c>
      <c r="DD1068" t="s">
        <v>2387</v>
      </c>
      <c r="DG1068">
        <v>3</v>
      </c>
      <c r="DL1068">
        <v>50301</v>
      </c>
      <c r="DM1068" t="s">
        <v>10972</v>
      </c>
      <c r="DO1068" t="s">
        <v>10985</v>
      </c>
      <c r="DP1068">
        <v>0</v>
      </c>
      <c r="DQ1068">
        <v>1</v>
      </c>
      <c r="DR1068" t="s">
        <v>1479</v>
      </c>
      <c r="EP1068" t="s">
        <v>421</v>
      </c>
      <c r="EQ1068" t="s">
        <v>422</v>
      </c>
      <c r="ER1068">
        <v>0</v>
      </c>
      <c r="ES1068">
        <v>5</v>
      </c>
      <c r="ET1068">
        <v>0</v>
      </c>
      <c r="EU1068">
        <v>0</v>
      </c>
      <c r="EV1068">
        <v>0</v>
      </c>
      <c r="EW1068" s="2">
        <v>43222</v>
      </c>
      <c r="EX1068" s="1">
        <v>42879</v>
      </c>
      <c r="EY1068">
        <v>2016</v>
      </c>
      <c r="EZ1068">
        <v>292.32</v>
      </c>
      <c r="FA1068" t="s">
        <v>10986</v>
      </c>
      <c r="FB1068">
        <v>0.25</v>
      </c>
      <c r="FC1068" t="s">
        <v>424</v>
      </c>
      <c r="FD1068" t="s">
        <v>425</v>
      </c>
      <c r="FE1068" s="1">
        <v>42947</v>
      </c>
      <c r="FF1068">
        <v>2</v>
      </c>
      <c r="FG1068">
        <v>2851116</v>
      </c>
      <c r="FH1068" t="s">
        <v>480</v>
      </c>
      <c r="FJ1068" s="1">
        <v>42879</v>
      </c>
      <c r="FK1068">
        <v>2016</v>
      </c>
      <c r="FL1068">
        <v>292.32</v>
      </c>
      <c r="FM1068" t="s">
        <v>10986</v>
      </c>
      <c r="FN1068">
        <v>0.25</v>
      </c>
      <c r="FO1068" t="s">
        <v>424</v>
      </c>
      <c r="FP1068" t="s">
        <v>425</v>
      </c>
      <c r="FR1068">
        <v>22</v>
      </c>
      <c r="FS1068">
        <v>5428450</v>
      </c>
      <c r="FT1068" t="s">
        <v>10987</v>
      </c>
      <c r="FV1068" s="1">
        <v>41787</v>
      </c>
      <c r="FW1068">
        <v>2013</v>
      </c>
      <c r="FX1068">
        <v>447.86</v>
      </c>
      <c r="FY1068" t="s">
        <v>10988</v>
      </c>
      <c r="FZ1068">
        <v>0.25</v>
      </c>
      <c r="GA1068" t="s">
        <v>424</v>
      </c>
      <c r="GB1068" t="s">
        <v>425</v>
      </c>
      <c r="GC1068" s="1">
        <v>41863</v>
      </c>
      <c r="GD1068">
        <v>3</v>
      </c>
      <c r="GE1068">
        <v>62</v>
      </c>
      <c r="GF1068" t="s">
        <v>463</v>
      </c>
      <c r="GH1068" s="1">
        <v>41423</v>
      </c>
      <c r="GI1068">
        <v>2012</v>
      </c>
      <c r="GJ1068">
        <v>475.39</v>
      </c>
      <c r="GK1068" t="s">
        <v>10989</v>
      </c>
      <c r="GL1068">
        <v>0.25</v>
      </c>
      <c r="GM1068" t="s">
        <v>424</v>
      </c>
      <c r="GN1068" t="s">
        <v>425</v>
      </c>
      <c r="GO1068" s="1">
        <v>41863</v>
      </c>
      <c r="GP1068">
        <v>15</v>
      </c>
      <c r="GQ1068">
        <v>15399</v>
      </c>
      <c r="GR1068" t="s">
        <v>485</v>
      </c>
      <c r="GT1068" s="1">
        <v>40688</v>
      </c>
      <c r="GU1068">
        <v>2010</v>
      </c>
      <c r="GV1068">
        <v>514.53</v>
      </c>
      <c r="GW1068" t="s">
        <v>10990</v>
      </c>
      <c r="GX1068">
        <v>6.75</v>
      </c>
      <c r="GY1068" t="s">
        <v>424</v>
      </c>
      <c r="GZ1068" t="s">
        <v>425</v>
      </c>
      <c r="HA1068" s="1">
        <v>40765</v>
      </c>
      <c r="HB1068">
        <v>3</v>
      </c>
      <c r="HC1068">
        <v>105</v>
      </c>
      <c r="HD1068" t="s">
        <v>946</v>
      </c>
    </row>
    <row r="1069" spans="1:284" x14ac:dyDescent="0.25">
      <c r="A1069">
        <v>16486076</v>
      </c>
      <c r="B1069">
        <v>1068</v>
      </c>
      <c r="C1069" t="s">
        <v>393</v>
      </c>
      <c r="D1069" t="s">
        <v>394</v>
      </c>
      <c r="F1069" t="str">
        <f>"03-2N-26-0000-0001-0120"</f>
        <v>03-2N-26-0000-0001-0120</v>
      </c>
      <c r="H1069" t="str">
        <f>"POLAND LOIS MINER EST"</f>
        <v>POLAND LOIS MINER EST</v>
      </c>
      <c r="I1069" t="str">
        <f>"PO BOX 6"</f>
        <v>PO BOX 6</v>
      </c>
      <c r="J1069" t="str">
        <f>"YULEE FL 32041"</f>
        <v>YULEE FL 32041</v>
      </c>
      <c r="K1069" t="str">
        <f>"FRED MINER ESTATE DR"</f>
        <v>FRED MINER ESTATE DR</v>
      </c>
      <c r="L1069" t="str">
        <f t="shared" si="350"/>
        <v>YULEE FL 32097</v>
      </c>
      <c r="M1069" t="str">
        <f>"E1/2 OF NE1/4 IN OR 1094/1144"</f>
        <v>E1/2 OF NE1/4 IN OR 1094/1144</v>
      </c>
      <c r="N1069" t="str">
        <f>""</f>
        <v/>
      </c>
      <c r="O1069" t="str">
        <f>"19062"</f>
        <v>19062</v>
      </c>
      <c r="P1069" t="str">
        <f t="shared" si="334"/>
        <v>2017</v>
      </c>
      <c r="Q1069" t="str">
        <f>""</f>
        <v/>
      </c>
      <c r="R1069" t="str">
        <f t="shared" ref="R1069:R1078" si="353">"N"</f>
        <v>N</v>
      </c>
      <c r="S1069" t="str">
        <f>"1.15"</f>
        <v>1.15</v>
      </c>
      <c r="T1069" t="str">
        <f>"248.94"</f>
        <v>248.94</v>
      </c>
      <c r="U1069" t="str">
        <f>"15154.00"</f>
        <v>15154.00</v>
      </c>
      <c r="V1069" t="str">
        <f>"15154.00"</f>
        <v>15154.00</v>
      </c>
      <c r="W1069" t="str">
        <f t="shared" si="335"/>
        <v>2017</v>
      </c>
      <c r="X1069" t="str">
        <f>"21.67"</f>
        <v>21.67</v>
      </c>
      <c r="Y1069" t="str">
        <f>"288.41"</f>
        <v>288.41</v>
      </c>
      <c r="Z1069" t="str">
        <f>""</f>
        <v/>
      </c>
      <c r="AA1069" t="str">
        <f>"18112.00"</f>
        <v>18112.00</v>
      </c>
      <c r="AB1069" t="str">
        <f t="shared" si="352"/>
        <v>Residential</v>
      </c>
      <c r="AC1069" t="str">
        <f t="shared" si="345"/>
        <v>0</v>
      </c>
      <c r="AD1069" t="str">
        <f>""</f>
        <v/>
      </c>
      <c r="AE1069" t="str">
        <f>""</f>
        <v/>
      </c>
      <c r="AF1069" t="str">
        <f>"000"</f>
        <v>000</v>
      </c>
      <c r="AG1069" t="str">
        <f t="shared" si="351"/>
        <v>FL</v>
      </c>
      <c r="AH1069" t="str">
        <f>"50094.00"</f>
        <v>50094.00</v>
      </c>
      <c r="AI1069" t="str">
        <f>"18112.00"</f>
        <v>18112.00</v>
      </c>
      <c r="AJ1069" t="str">
        <f>"C55-000-588-8353-9"</f>
        <v>C55-000-588-8353-9</v>
      </c>
      <c r="AK1069" t="str">
        <f>"16221"</f>
        <v>16221</v>
      </c>
      <c r="AL1069">
        <v>4</v>
      </c>
      <c r="AM1069">
        <v>1230</v>
      </c>
      <c r="AN1069">
        <v>301.23</v>
      </c>
      <c r="AQ1069" t="s">
        <v>10991</v>
      </c>
      <c r="AR1069" t="s">
        <v>10991</v>
      </c>
      <c r="AS1069" t="s">
        <v>10991</v>
      </c>
      <c r="AU1069" t="s">
        <v>396</v>
      </c>
      <c r="AV1069">
        <v>2017</v>
      </c>
      <c r="AW1069" t="str">
        <f>"03-2N-26-0000-0001-0120 "</f>
        <v xml:space="preserve">03-2N-26-0000-0001-0120 </v>
      </c>
      <c r="AZ1069" t="s">
        <v>10967</v>
      </c>
      <c r="BA1069" t="s">
        <v>669</v>
      </c>
      <c r="BD1069" t="s">
        <v>2387</v>
      </c>
      <c r="BE1069" t="s">
        <v>393</v>
      </c>
      <c r="BF1069">
        <v>32097</v>
      </c>
      <c r="BG1069" t="s">
        <v>10992</v>
      </c>
      <c r="BH1069" t="s">
        <v>2388</v>
      </c>
      <c r="BI1069">
        <v>-81.684769067111304</v>
      </c>
      <c r="BJ1069">
        <v>30.623855461078598</v>
      </c>
      <c r="BK1069" t="s">
        <v>10993</v>
      </c>
      <c r="BM1069" t="s">
        <v>10994</v>
      </c>
      <c r="BN1069" t="s">
        <v>1778</v>
      </c>
      <c r="BO1069">
        <v>32041</v>
      </c>
      <c r="BP1069" t="s">
        <v>404</v>
      </c>
      <c r="BQ1069">
        <v>0</v>
      </c>
      <c r="BR1069" t="s">
        <v>491</v>
      </c>
      <c r="BS1069">
        <v>8001</v>
      </c>
      <c r="BT1069" t="s">
        <v>492</v>
      </c>
      <c r="BW1069">
        <v>50094</v>
      </c>
      <c r="BX1069" t="s">
        <v>407</v>
      </c>
      <c r="CD1069">
        <v>2017</v>
      </c>
      <c r="CE1069">
        <v>18112</v>
      </c>
      <c r="CG1069">
        <v>18112</v>
      </c>
      <c r="CH1069">
        <v>2017</v>
      </c>
      <c r="CI1069">
        <v>18112</v>
      </c>
      <c r="CK1069">
        <v>18112</v>
      </c>
      <c r="CL1069">
        <v>2017</v>
      </c>
      <c r="CM1069">
        <v>248.94</v>
      </c>
      <c r="CN1069" s="1">
        <v>37575</v>
      </c>
      <c r="CZ1069" s="1">
        <v>37575</v>
      </c>
      <c r="DD1069" t="s">
        <v>2387</v>
      </c>
      <c r="DG1069">
        <v>3</v>
      </c>
      <c r="DM1069" t="s">
        <v>10972</v>
      </c>
      <c r="DO1069" t="s">
        <v>10995</v>
      </c>
      <c r="DP1069">
        <v>0</v>
      </c>
      <c r="DQ1069">
        <v>1</v>
      </c>
      <c r="DR1069" t="s">
        <v>411</v>
      </c>
      <c r="DS1069" t="b">
        <v>1</v>
      </c>
      <c r="DT1069" t="s">
        <v>396</v>
      </c>
      <c r="DV1069" t="s">
        <v>446</v>
      </c>
      <c r="DX1069">
        <v>-9999</v>
      </c>
      <c r="DZ1069" t="s">
        <v>447</v>
      </c>
      <c r="EA1069" t="s">
        <v>448</v>
      </c>
      <c r="EB1069" t="s">
        <v>10958</v>
      </c>
      <c r="EC1069">
        <v>20101217</v>
      </c>
      <c r="ED1069" t="s">
        <v>450</v>
      </c>
      <c r="EE1069">
        <v>5.7</v>
      </c>
      <c r="EF1069">
        <v>0</v>
      </c>
      <c r="EG1069">
        <v>0</v>
      </c>
      <c r="EI1069">
        <v>20160407</v>
      </c>
      <c r="EJ1069">
        <v>0</v>
      </c>
      <c r="EK1069">
        <v>0</v>
      </c>
      <c r="EP1069" t="s">
        <v>421</v>
      </c>
      <c r="EQ1069" t="s">
        <v>422</v>
      </c>
      <c r="ER1069">
        <v>3</v>
      </c>
      <c r="ES1069">
        <v>4</v>
      </c>
      <c r="ET1069">
        <v>730.78</v>
      </c>
      <c r="EU1069">
        <v>225.35</v>
      </c>
      <c r="EV1069">
        <v>956.13</v>
      </c>
      <c r="EW1069" s="2">
        <v>43222</v>
      </c>
      <c r="EX1069" s="1">
        <v>42879</v>
      </c>
      <c r="EY1069">
        <v>2016</v>
      </c>
      <c r="EZ1069">
        <v>255.88</v>
      </c>
      <c r="FA1069" t="s">
        <v>10996</v>
      </c>
      <c r="FB1069">
        <v>9.75</v>
      </c>
      <c r="FC1069" t="s">
        <v>424</v>
      </c>
      <c r="FD1069" t="s">
        <v>454</v>
      </c>
      <c r="FF1069">
        <v>12</v>
      </c>
      <c r="FG1069">
        <v>10125</v>
      </c>
      <c r="FH1069" t="s">
        <v>440</v>
      </c>
      <c r="FJ1069" s="1">
        <v>42515</v>
      </c>
      <c r="FK1069">
        <v>2015</v>
      </c>
      <c r="FL1069">
        <v>244.85</v>
      </c>
      <c r="FM1069" t="s">
        <v>10997</v>
      </c>
      <c r="FN1069">
        <v>15.25</v>
      </c>
      <c r="FO1069" t="s">
        <v>424</v>
      </c>
      <c r="FP1069" t="s">
        <v>454</v>
      </c>
      <c r="FR1069">
        <v>24</v>
      </c>
      <c r="FS1069">
        <v>10125</v>
      </c>
      <c r="FT1069" t="s">
        <v>440</v>
      </c>
      <c r="FV1069" s="1">
        <v>42151</v>
      </c>
      <c r="FW1069">
        <v>2014</v>
      </c>
      <c r="FX1069">
        <v>230.05</v>
      </c>
      <c r="FY1069" t="s">
        <v>10998</v>
      </c>
      <c r="FZ1069">
        <v>15.5</v>
      </c>
      <c r="GA1069" t="s">
        <v>424</v>
      </c>
      <c r="GB1069" t="s">
        <v>454</v>
      </c>
      <c r="GD1069">
        <v>36</v>
      </c>
      <c r="GE1069">
        <v>10125</v>
      </c>
      <c r="GF1069" t="s">
        <v>440</v>
      </c>
      <c r="GH1069" s="1">
        <v>41787</v>
      </c>
      <c r="GI1069">
        <v>2013</v>
      </c>
      <c r="GJ1069">
        <v>189.43</v>
      </c>
      <c r="GK1069" t="s">
        <v>10999</v>
      </c>
      <c r="GL1069">
        <v>9.75</v>
      </c>
      <c r="GM1069" t="s">
        <v>424</v>
      </c>
      <c r="GN1069" t="s">
        <v>425</v>
      </c>
      <c r="GO1069" s="1">
        <v>42446</v>
      </c>
      <c r="GP1069">
        <v>22</v>
      </c>
      <c r="GQ1069">
        <v>10125</v>
      </c>
      <c r="GR1069" t="s">
        <v>440</v>
      </c>
      <c r="GT1069" s="1">
        <v>41423</v>
      </c>
      <c r="GU1069">
        <v>2012</v>
      </c>
      <c r="GV1069">
        <v>238.15</v>
      </c>
      <c r="GW1069" t="s">
        <v>11000</v>
      </c>
      <c r="GX1069">
        <v>6</v>
      </c>
      <c r="GY1069" t="s">
        <v>424</v>
      </c>
      <c r="GZ1069" t="s">
        <v>425</v>
      </c>
      <c r="HA1069" s="1">
        <v>42062</v>
      </c>
      <c r="HB1069">
        <v>21</v>
      </c>
      <c r="HC1069">
        <v>375</v>
      </c>
      <c r="HD1069" t="s">
        <v>776</v>
      </c>
      <c r="HF1069" s="1">
        <v>41423</v>
      </c>
      <c r="HG1069">
        <v>2012</v>
      </c>
      <c r="HH1069">
        <v>238.15</v>
      </c>
      <c r="HI1069" t="s">
        <v>11000</v>
      </c>
      <c r="HJ1069">
        <v>6</v>
      </c>
      <c r="HK1069" t="s">
        <v>424</v>
      </c>
      <c r="HL1069" t="s">
        <v>425</v>
      </c>
      <c r="HN1069">
        <v>22</v>
      </c>
      <c r="HO1069">
        <v>1109</v>
      </c>
      <c r="HP1069" t="s">
        <v>852</v>
      </c>
      <c r="HR1069" s="1">
        <v>41052</v>
      </c>
      <c r="HS1069">
        <v>2011</v>
      </c>
      <c r="HT1069">
        <v>307.23</v>
      </c>
      <c r="HU1069" t="s">
        <v>11001</v>
      </c>
      <c r="HV1069">
        <v>7</v>
      </c>
      <c r="HW1069" t="s">
        <v>424</v>
      </c>
      <c r="HX1069" t="s">
        <v>425</v>
      </c>
      <c r="HY1069" s="1">
        <v>41726</v>
      </c>
      <c r="HZ1069">
        <v>22</v>
      </c>
      <c r="IA1069">
        <v>10125</v>
      </c>
      <c r="IB1069" t="s">
        <v>440</v>
      </c>
    </row>
    <row r="1070" spans="1:284" x14ac:dyDescent="0.25">
      <c r="A1070">
        <v>16486077</v>
      </c>
      <c r="B1070">
        <v>1069</v>
      </c>
      <c r="C1070" t="s">
        <v>393</v>
      </c>
      <c r="D1070" t="s">
        <v>394</v>
      </c>
      <c r="F1070" t="str">
        <f>"05-2N-26-0000-0004-0090"</f>
        <v>05-2N-26-0000-0004-0090</v>
      </c>
      <c r="H1070" t="str">
        <f>"GILL CHARLES B"</f>
        <v>GILL CHARLES B</v>
      </c>
      <c r="I1070" t="str">
        <f>"66112 GUSSIE LANE"</f>
        <v>66112 GUSSIE LANE</v>
      </c>
      <c r="J1070" t="str">
        <f t="shared" ref="J1070:J1077" si="354">"CALLAHAN FL 32011"</f>
        <v>CALLAHAN FL 32011</v>
      </c>
      <c r="K1070" t="str">
        <f>"GUSSIE LN"</f>
        <v>GUSSIE LN</v>
      </c>
      <c r="L1070" t="str">
        <f t="shared" ref="L1070:L1077" si="355">"CALLAHAN FL 32011"</f>
        <v>CALLAHAN FL 32011</v>
      </c>
      <c r="M1070" t="str">
        <f>"IN OR 979/1651 RP 1316 EX R/W PT CASE 01-418CA EX 4-12 THRU 4-15"</f>
        <v>IN OR 979/1651 RP 1316 EX R/W PT CASE 01-418CA EX 4-12 THRU 4-15</v>
      </c>
      <c r="N1070" t="str">
        <f>""</f>
        <v/>
      </c>
      <c r="O1070" t="str">
        <f>"21212"</f>
        <v>21212</v>
      </c>
      <c r="P1070" t="str">
        <f t="shared" si="334"/>
        <v>2017</v>
      </c>
      <c r="Q1070" t="str">
        <f>""</f>
        <v/>
      </c>
      <c r="R1070" t="str">
        <f t="shared" si="353"/>
        <v>N</v>
      </c>
      <c r="S1070" t="str">
        <f>"0.70"</f>
        <v>0.70</v>
      </c>
      <c r="T1070" t="str">
        <f>"151.67"</f>
        <v>151.67</v>
      </c>
      <c r="U1070" t="str">
        <f>"9240.00"</f>
        <v>9240.00</v>
      </c>
      <c r="V1070" t="str">
        <f>"9240.00"</f>
        <v>9240.00</v>
      </c>
      <c r="W1070" t="str">
        <f t="shared" si="335"/>
        <v>2017</v>
      </c>
      <c r="X1070" t="str">
        <f>"8.00"</f>
        <v>8.00</v>
      </c>
      <c r="Y1070" t="str">
        <f>"188.22"</f>
        <v>188.22</v>
      </c>
      <c r="Z1070" t="str">
        <f>""</f>
        <v/>
      </c>
      <c r="AA1070" t="str">
        <f>"11025.00"</f>
        <v>11025.00</v>
      </c>
      <c r="AB1070" t="str">
        <f t="shared" si="352"/>
        <v>Residential</v>
      </c>
      <c r="AC1070" t="str">
        <f t="shared" si="345"/>
        <v>0</v>
      </c>
      <c r="AD1070" t="str">
        <f>""</f>
        <v/>
      </c>
      <c r="AE1070" t="str">
        <f>""</f>
        <v/>
      </c>
      <c r="AF1070" t="str">
        <f>"000"</f>
        <v>000</v>
      </c>
      <c r="AG1070" t="str">
        <f t="shared" si="351"/>
        <v>FL</v>
      </c>
      <c r="AH1070" t="str">
        <f>"30492.00"</f>
        <v>30492.00</v>
      </c>
      <c r="AI1070" t="str">
        <f>"11025.00"</f>
        <v>11025.00</v>
      </c>
      <c r="AJ1070" t="str">
        <f>"C55-000-586-6072-1"</f>
        <v>C55-000-586-6072-1</v>
      </c>
      <c r="AK1070" t="str">
        <f>"16256"</f>
        <v>16256</v>
      </c>
      <c r="AL1070">
        <v>4</v>
      </c>
      <c r="AM1070">
        <v>1231</v>
      </c>
      <c r="AN1070">
        <v>196.03</v>
      </c>
      <c r="AQ1070" t="s">
        <v>11002</v>
      </c>
      <c r="AR1070" t="s">
        <v>11002</v>
      </c>
      <c r="AS1070" t="s">
        <v>11002</v>
      </c>
      <c r="AU1070" t="s">
        <v>396</v>
      </c>
      <c r="AV1070">
        <v>2017</v>
      </c>
      <c r="AW1070" t="str">
        <f>"05-2N-26-0000-0004-0090 "</f>
        <v xml:space="preserve">05-2N-26-0000-0004-0090 </v>
      </c>
      <c r="AZ1070" t="s">
        <v>11003</v>
      </c>
      <c r="BA1070" t="s">
        <v>653</v>
      </c>
      <c r="BD1070" t="s">
        <v>2785</v>
      </c>
      <c r="BE1070" t="s">
        <v>393</v>
      </c>
      <c r="BF1070">
        <v>32011</v>
      </c>
      <c r="BG1070" t="s">
        <v>11004</v>
      </c>
      <c r="BH1070" t="s">
        <v>2787</v>
      </c>
      <c r="BI1070">
        <v>-81.719609668042693</v>
      </c>
      <c r="BJ1070">
        <v>30.615720192678499</v>
      </c>
      <c r="BK1070" t="s">
        <v>11005</v>
      </c>
      <c r="BM1070" t="s">
        <v>11006</v>
      </c>
      <c r="BN1070" t="s">
        <v>928</v>
      </c>
      <c r="BO1070">
        <v>32011</v>
      </c>
      <c r="BP1070" t="s">
        <v>404</v>
      </c>
      <c r="BQ1070">
        <v>0</v>
      </c>
      <c r="BR1070" t="s">
        <v>491</v>
      </c>
      <c r="BS1070">
        <v>8001</v>
      </c>
      <c r="BT1070" t="s">
        <v>492</v>
      </c>
      <c r="BW1070">
        <v>30492</v>
      </c>
      <c r="BX1070" t="s">
        <v>407</v>
      </c>
      <c r="BY1070" t="s">
        <v>408</v>
      </c>
      <c r="CD1070">
        <v>2017</v>
      </c>
      <c r="CE1070">
        <v>11025</v>
      </c>
      <c r="CG1070">
        <v>11025</v>
      </c>
      <c r="CH1070">
        <v>2017</v>
      </c>
      <c r="CI1070">
        <v>11025</v>
      </c>
      <c r="CK1070">
        <v>11025</v>
      </c>
      <c r="CL1070">
        <v>2017</v>
      </c>
      <c r="CM1070">
        <v>151.66999999999999</v>
      </c>
      <c r="CN1070" s="1">
        <v>36986</v>
      </c>
      <c r="CZ1070" s="1">
        <v>36986</v>
      </c>
      <c r="DD1070" t="s">
        <v>2785</v>
      </c>
      <c r="DG1070">
        <v>5</v>
      </c>
      <c r="DL1070">
        <v>50301</v>
      </c>
      <c r="DM1070" t="s">
        <v>11007</v>
      </c>
      <c r="DO1070" t="s">
        <v>11008</v>
      </c>
      <c r="DP1070">
        <v>0</v>
      </c>
      <c r="DQ1070">
        <v>0</v>
      </c>
      <c r="DR1070" t="s">
        <v>411</v>
      </c>
      <c r="DS1070" t="b">
        <v>1</v>
      </c>
      <c r="DT1070" t="s">
        <v>470</v>
      </c>
      <c r="DU1070" t="s">
        <v>471</v>
      </c>
      <c r="DV1070" t="s">
        <v>472</v>
      </c>
      <c r="DX1070">
        <v>-9999</v>
      </c>
      <c r="DZ1070" t="s">
        <v>447</v>
      </c>
      <c r="EA1070" t="s">
        <v>448</v>
      </c>
      <c r="EB1070" t="s">
        <v>742</v>
      </c>
      <c r="EC1070">
        <v>20101217</v>
      </c>
      <c r="ED1070" t="s">
        <v>474</v>
      </c>
      <c r="EF1070">
        <v>1373</v>
      </c>
      <c r="EG1070">
        <v>1373</v>
      </c>
      <c r="EI1070">
        <v>20160407</v>
      </c>
      <c r="EJ1070">
        <v>0</v>
      </c>
      <c r="EK1070">
        <v>0</v>
      </c>
      <c r="EP1070" t="s">
        <v>421</v>
      </c>
      <c r="EQ1070" t="s">
        <v>422</v>
      </c>
      <c r="ER1070">
        <v>0</v>
      </c>
      <c r="ES1070">
        <v>3</v>
      </c>
      <c r="ET1070">
        <v>0</v>
      </c>
      <c r="EU1070">
        <v>0</v>
      </c>
      <c r="EV1070">
        <v>0</v>
      </c>
      <c r="EW1070" s="2">
        <v>43222</v>
      </c>
      <c r="EX1070" s="1">
        <v>42515</v>
      </c>
      <c r="EY1070">
        <v>2015</v>
      </c>
      <c r="EZ1070">
        <v>164.83</v>
      </c>
      <c r="FA1070" t="s">
        <v>11009</v>
      </c>
      <c r="FB1070">
        <v>16</v>
      </c>
      <c r="FC1070" t="s">
        <v>424</v>
      </c>
      <c r="FD1070" t="s">
        <v>425</v>
      </c>
      <c r="FE1070" s="1">
        <v>42738</v>
      </c>
      <c r="FF1070">
        <v>8</v>
      </c>
      <c r="FG1070">
        <v>10364</v>
      </c>
      <c r="FH1070" t="s">
        <v>4653</v>
      </c>
      <c r="FJ1070" s="1">
        <v>42515</v>
      </c>
      <c r="FK1070">
        <v>2015</v>
      </c>
      <c r="FL1070">
        <v>164.83</v>
      </c>
      <c r="FM1070" t="s">
        <v>11009</v>
      </c>
      <c r="FN1070">
        <v>16</v>
      </c>
      <c r="FO1070" t="s">
        <v>424</v>
      </c>
      <c r="FP1070" t="s">
        <v>425</v>
      </c>
      <c r="FR1070">
        <v>22</v>
      </c>
      <c r="FS1070">
        <v>5432950</v>
      </c>
      <c r="FT1070" t="s">
        <v>11010</v>
      </c>
      <c r="FV1070" s="1">
        <v>40688</v>
      </c>
      <c r="FW1070">
        <v>2010</v>
      </c>
      <c r="FX1070">
        <v>246.45</v>
      </c>
      <c r="FY1070" t="s">
        <v>11011</v>
      </c>
      <c r="FZ1070">
        <v>6.75</v>
      </c>
      <c r="GA1070" t="s">
        <v>424</v>
      </c>
      <c r="GB1070" t="s">
        <v>425</v>
      </c>
      <c r="GC1070" s="1">
        <v>41009</v>
      </c>
      <c r="GD1070">
        <v>11</v>
      </c>
      <c r="GE1070">
        <v>105</v>
      </c>
      <c r="GF1070" t="s">
        <v>946</v>
      </c>
    </row>
    <row r="1071" spans="1:284" x14ac:dyDescent="0.25">
      <c r="A1071">
        <v>16486078</v>
      </c>
      <c r="B1071">
        <v>1070</v>
      </c>
      <c r="C1071" t="s">
        <v>393</v>
      </c>
      <c r="D1071" t="s">
        <v>394</v>
      </c>
      <c r="F1071" t="str">
        <f>"05-2N-26-0000-0004-0130"</f>
        <v>05-2N-26-0000-0004-0130</v>
      </c>
      <c r="H1071" t="str">
        <f>"BROWN ROBERT CHARLES"</f>
        <v>BROWN ROBERT CHARLES</v>
      </c>
      <c r="I1071" t="str">
        <f>"66146 GUSSIE LN"</f>
        <v>66146 GUSSIE LN</v>
      </c>
      <c r="J1071" t="str">
        <f t="shared" si="354"/>
        <v>CALLAHAN FL 32011</v>
      </c>
      <c r="K1071" t="str">
        <f>"66146 GUSSIE LN"</f>
        <v>66146 GUSSIE LN</v>
      </c>
      <c r="L1071" t="str">
        <f t="shared" si="355"/>
        <v>CALLAHAN FL 32011</v>
      </c>
      <c r="M1071" t="str">
        <f>"IN OR 1078/577 R497758 &amp; R622393 ESMT OR 1434/442"</f>
        <v>IN OR 1078/577 R497758 &amp; R622393 ESMT OR 1434/442</v>
      </c>
      <c r="N1071" t="str">
        <f>""</f>
        <v/>
      </c>
      <c r="O1071" t="str">
        <f>"21215"</f>
        <v>21215</v>
      </c>
      <c r="P1071" t="str">
        <f t="shared" si="334"/>
        <v>2017</v>
      </c>
      <c r="Q1071" t="str">
        <f>""</f>
        <v/>
      </c>
      <c r="R1071" t="str">
        <f t="shared" si="353"/>
        <v>N</v>
      </c>
      <c r="S1071" t="str">
        <f>"1.00"</f>
        <v>1.00</v>
      </c>
      <c r="T1071" t="str">
        <f>"665.38"</f>
        <v>665.38</v>
      </c>
      <c r="U1071" t="str">
        <f>"40074.00"</f>
        <v>40074.00</v>
      </c>
      <c r="V1071" t="str">
        <f>"40074.00"</f>
        <v>40074.00</v>
      </c>
      <c r="W1071" t="str">
        <f t="shared" si="335"/>
        <v>2017</v>
      </c>
      <c r="X1071" t="str">
        <f>"30.71"</f>
        <v>30.71</v>
      </c>
      <c r="Y1071" t="str">
        <f>"717.34"</f>
        <v>717.34</v>
      </c>
      <c r="Z1071" t="str">
        <f>""</f>
        <v/>
      </c>
      <c r="AA1071" t="str">
        <f>"48971.00"</f>
        <v>48971.00</v>
      </c>
      <c r="AB1071" t="str">
        <f t="shared" si="352"/>
        <v>Residential</v>
      </c>
      <c r="AC1071" t="str">
        <f t="shared" si="345"/>
        <v>0</v>
      </c>
      <c r="AD1071" t="str">
        <f>"4"</f>
        <v>4</v>
      </c>
      <c r="AE1071" t="str">
        <f>"WOOD (INCLUDE STEEL STUDS)"</f>
        <v>WOOD (INCLUDE STEEL STUDS)</v>
      </c>
      <c r="AF1071" t="str">
        <f>"002"</f>
        <v>002</v>
      </c>
      <c r="AG1071" t="str">
        <f t="shared" si="351"/>
        <v>FL</v>
      </c>
      <c r="AH1071" t="str">
        <f>"43560.00"</f>
        <v>43560.00</v>
      </c>
      <c r="AI1071" t="str">
        <f>"15750.00"</f>
        <v>15750.00</v>
      </c>
      <c r="AJ1071" t="str">
        <f>"C55-000-586-6075-4"</f>
        <v>C55-000-586-6075-4</v>
      </c>
      <c r="AK1071" t="str">
        <f>"16259"</f>
        <v>16259</v>
      </c>
      <c r="AL1071">
        <v>4</v>
      </c>
      <c r="AM1071">
        <v>1232</v>
      </c>
      <c r="AN1071">
        <v>751.61</v>
      </c>
      <c r="AQ1071" t="s">
        <v>11012</v>
      </c>
      <c r="AR1071" t="s">
        <v>11012</v>
      </c>
      <c r="AS1071" t="s">
        <v>11012</v>
      </c>
      <c r="AU1071" t="s">
        <v>396</v>
      </c>
      <c r="AV1071">
        <v>2017</v>
      </c>
      <c r="AW1071" t="str">
        <f>"05-2N-26-0000-0004-0130 "</f>
        <v xml:space="preserve">05-2N-26-0000-0004-0130 </v>
      </c>
      <c r="AX1071">
        <v>66146</v>
      </c>
      <c r="AZ1071" t="s">
        <v>11003</v>
      </c>
      <c r="BA1071" t="s">
        <v>653</v>
      </c>
      <c r="BD1071" t="s">
        <v>2785</v>
      </c>
      <c r="BE1071" t="s">
        <v>393</v>
      </c>
      <c r="BF1071">
        <v>32011</v>
      </c>
      <c r="BG1071" t="s">
        <v>11013</v>
      </c>
      <c r="BH1071" t="s">
        <v>2787</v>
      </c>
      <c r="BI1071">
        <v>-81.719810486768907</v>
      </c>
      <c r="BJ1071">
        <v>30.617005832580901</v>
      </c>
      <c r="BK1071" t="s">
        <v>11014</v>
      </c>
      <c r="BM1071" t="s">
        <v>11013</v>
      </c>
      <c r="BN1071" t="s">
        <v>928</v>
      </c>
      <c r="BO1071">
        <v>32011</v>
      </c>
      <c r="BP1071" t="s">
        <v>416</v>
      </c>
      <c r="BQ1071">
        <v>200</v>
      </c>
      <c r="BR1071" t="s">
        <v>405</v>
      </c>
      <c r="BS1071">
        <v>1006</v>
      </c>
      <c r="BT1071" t="s">
        <v>406</v>
      </c>
      <c r="BW1071">
        <v>43560</v>
      </c>
      <c r="BX1071" t="s">
        <v>407</v>
      </c>
      <c r="BY1071" t="s">
        <v>408</v>
      </c>
      <c r="BZ1071">
        <v>4</v>
      </c>
      <c r="CA1071">
        <v>1997</v>
      </c>
      <c r="CB1071">
        <v>1</v>
      </c>
      <c r="CC1071">
        <v>1</v>
      </c>
      <c r="CD1071">
        <v>2017</v>
      </c>
      <c r="CE1071">
        <v>15750</v>
      </c>
      <c r="CF1071">
        <v>33221</v>
      </c>
      <c r="CG1071">
        <v>48971</v>
      </c>
      <c r="CH1071">
        <v>2017</v>
      </c>
      <c r="CI1071">
        <v>15750</v>
      </c>
      <c r="CJ1071">
        <v>33221</v>
      </c>
      <c r="CK1071">
        <v>48971</v>
      </c>
      <c r="CL1071">
        <v>2017</v>
      </c>
      <c r="CM1071">
        <v>665.38</v>
      </c>
      <c r="CN1071" s="1">
        <v>37498</v>
      </c>
      <c r="CZ1071" s="1">
        <v>37498</v>
      </c>
      <c r="DD1071" t="s">
        <v>2785</v>
      </c>
      <c r="DG1071">
        <v>5</v>
      </c>
      <c r="DL1071">
        <v>50301</v>
      </c>
      <c r="DM1071" t="s">
        <v>11007</v>
      </c>
      <c r="DO1071" t="s">
        <v>11015</v>
      </c>
      <c r="DP1071">
        <v>0</v>
      </c>
      <c r="DQ1071">
        <v>0</v>
      </c>
      <c r="DR1071" t="s">
        <v>411</v>
      </c>
      <c r="DS1071" t="b">
        <v>1</v>
      </c>
      <c r="DT1071" t="s">
        <v>470</v>
      </c>
      <c r="DU1071" t="s">
        <v>471</v>
      </c>
      <c r="DV1071" t="s">
        <v>472</v>
      </c>
      <c r="DX1071">
        <v>-9999</v>
      </c>
      <c r="DZ1071" t="s">
        <v>447</v>
      </c>
      <c r="EA1071" t="s">
        <v>448</v>
      </c>
      <c r="EB1071" t="s">
        <v>742</v>
      </c>
      <c r="EC1071">
        <v>20101217</v>
      </c>
      <c r="ED1071" t="s">
        <v>474</v>
      </c>
      <c r="EF1071">
        <v>1745.7</v>
      </c>
      <c r="EG1071">
        <v>1745.7</v>
      </c>
      <c r="EH1071" t="s">
        <v>451</v>
      </c>
      <c r="EI1071">
        <v>20140731</v>
      </c>
      <c r="EJ1071">
        <v>0</v>
      </c>
      <c r="EK1071">
        <v>1</v>
      </c>
      <c r="EP1071" t="s">
        <v>421</v>
      </c>
      <c r="EQ1071" t="s">
        <v>452</v>
      </c>
      <c r="ER1071">
        <v>2</v>
      </c>
      <c r="ES1071">
        <v>6</v>
      </c>
      <c r="ET1071">
        <v>1263.6600000000001</v>
      </c>
      <c r="EU1071">
        <v>75.680000000000007</v>
      </c>
      <c r="EV1071">
        <v>1339.34</v>
      </c>
      <c r="EW1071" s="2">
        <v>43222</v>
      </c>
      <c r="EX1071" s="1">
        <v>42879</v>
      </c>
      <c r="EY1071">
        <v>2016</v>
      </c>
      <c r="EZ1071">
        <v>631.83000000000004</v>
      </c>
      <c r="FA1071" t="s">
        <v>11016</v>
      </c>
      <c r="FB1071">
        <v>0.25</v>
      </c>
      <c r="FC1071" t="s">
        <v>424</v>
      </c>
      <c r="FD1071" t="s">
        <v>454</v>
      </c>
      <c r="FF1071">
        <v>12</v>
      </c>
      <c r="FG1071">
        <v>2851116</v>
      </c>
      <c r="FH1071" t="s">
        <v>480</v>
      </c>
      <c r="FJ1071" s="1">
        <v>42879</v>
      </c>
      <c r="FK1071">
        <v>2016</v>
      </c>
      <c r="FL1071">
        <v>631.83000000000004</v>
      </c>
      <c r="FM1071" t="s">
        <v>11016</v>
      </c>
      <c r="FN1071">
        <v>0.25</v>
      </c>
      <c r="FO1071" t="s">
        <v>424</v>
      </c>
      <c r="FP1071" t="s">
        <v>454</v>
      </c>
      <c r="FR1071">
        <v>12</v>
      </c>
      <c r="FS1071">
        <v>5328740</v>
      </c>
      <c r="FT1071" t="s">
        <v>11017</v>
      </c>
      <c r="FV1071" s="1">
        <v>42151</v>
      </c>
      <c r="FW1071">
        <v>2014</v>
      </c>
      <c r="FX1071">
        <v>618.77</v>
      </c>
      <c r="FY1071" t="s">
        <v>11018</v>
      </c>
      <c r="FZ1071">
        <v>18</v>
      </c>
      <c r="GA1071" t="s">
        <v>424</v>
      </c>
      <c r="GB1071" t="s">
        <v>425</v>
      </c>
      <c r="GD1071">
        <v>22</v>
      </c>
      <c r="GE1071">
        <v>10125</v>
      </c>
      <c r="GF1071" t="s">
        <v>440</v>
      </c>
      <c r="GG1071" t="s">
        <v>458</v>
      </c>
      <c r="GH1071" s="1">
        <v>41787</v>
      </c>
      <c r="GI1071">
        <v>2013</v>
      </c>
      <c r="GJ1071">
        <v>677.07</v>
      </c>
      <c r="GK1071" t="s">
        <v>11019</v>
      </c>
      <c r="GL1071">
        <v>18</v>
      </c>
      <c r="GM1071" t="s">
        <v>424</v>
      </c>
      <c r="GN1071" t="s">
        <v>425</v>
      </c>
      <c r="GP1071">
        <v>22</v>
      </c>
      <c r="GQ1071">
        <v>10125</v>
      </c>
      <c r="GR1071" t="s">
        <v>440</v>
      </c>
      <c r="GS1071" t="s">
        <v>458</v>
      </c>
      <c r="GT1071" s="1">
        <v>41423</v>
      </c>
      <c r="GU1071">
        <v>2012</v>
      </c>
      <c r="GV1071">
        <v>745.53</v>
      </c>
      <c r="GW1071" t="s">
        <v>11020</v>
      </c>
      <c r="GX1071">
        <v>3.75</v>
      </c>
      <c r="GY1071" t="s">
        <v>424</v>
      </c>
      <c r="GZ1071" t="s">
        <v>425</v>
      </c>
      <c r="HB1071">
        <v>22</v>
      </c>
      <c r="HC1071">
        <v>10125</v>
      </c>
      <c r="HD1071" t="s">
        <v>440</v>
      </c>
      <c r="HE1071" t="s">
        <v>458</v>
      </c>
      <c r="HF1071" s="1">
        <v>41052</v>
      </c>
      <c r="HG1071">
        <v>2011</v>
      </c>
      <c r="HH1071">
        <v>797.76</v>
      </c>
      <c r="HI1071" t="s">
        <v>11021</v>
      </c>
      <c r="HJ1071">
        <v>11.25</v>
      </c>
      <c r="HK1071" t="s">
        <v>424</v>
      </c>
      <c r="HL1071" t="s">
        <v>425</v>
      </c>
      <c r="HN1071">
        <v>22</v>
      </c>
      <c r="HO1071">
        <v>10125</v>
      </c>
      <c r="HP1071" t="s">
        <v>440</v>
      </c>
      <c r="HQ1071" t="s">
        <v>458</v>
      </c>
      <c r="HR1071" s="1">
        <v>40688</v>
      </c>
      <c r="HS1071">
        <v>2010</v>
      </c>
      <c r="HT1071">
        <v>807.62</v>
      </c>
      <c r="HU1071" t="s">
        <v>11022</v>
      </c>
      <c r="HV1071">
        <v>6.75</v>
      </c>
      <c r="HW1071" t="s">
        <v>424</v>
      </c>
      <c r="HX1071" t="s">
        <v>425</v>
      </c>
      <c r="HY1071" s="1">
        <v>42256</v>
      </c>
      <c r="HZ1071">
        <v>52</v>
      </c>
      <c r="IA1071">
        <v>375</v>
      </c>
      <c r="IB1071" t="s">
        <v>776</v>
      </c>
      <c r="IC1071" t="s">
        <v>458</v>
      </c>
      <c r="ID1071" s="1">
        <v>40688</v>
      </c>
      <c r="IE1071">
        <v>2010</v>
      </c>
      <c r="IF1071">
        <v>807.62</v>
      </c>
      <c r="IG1071" t="s">
        <v>11022</v>
      </c>
      <c r="IH1071">
        <v>6.75</v>
      </c>
      <c r="II1071" t="s">
        <v>424</v>
      </c>
      <c r="IJ1071" t="s">
        <v>425</v>
      </c>
      <c r="IL1071">
        <v>22</v>
      </c>
      <c r="IM1071">
        <v>105</v>
      </c>
      <c r="IN1071" t="s">
        <v>946</v>
      </c>
      <c r="IO1071" t="s">
        <v>458</v>
      </c>
    </row>
    <row r="1072" spans="1:284" x14ac:dyDescent="0.25">
      <c r="A1072">
        <v>16486079</v>
      </c>
      <c r="B1072">
        <v>1071</v>
      </c>
      <c r="C1072" t="s">
        <v>393</v>
      </c>
      <c r="D1072" t="s">
        <v>394</v>
      </c>
      <c r="F1072" t="str">
        <f>"05-2N-26-0000-0004-0150"</f>
        <v>05-2N-26-0000-0004-0150</v>
      </c>
      <c r="H1072" t="str">
        <f>"GILL CHARLES B"</f>
        <v>GILL CHARLES B</v>
      </c>
      <c r="I1072" t="str">
        <f>"66112 GUSSIE LANE"</f>
        <v>66112 GUSSIE LANE</v>
      </c>
      <c r="J1072" t="str">
        <f t="shared" si="354"/>
        <v>CALLAHAN FL 32011</v>
      </c>
      <c r="K1072" t="str">
        <f>"GUSSIE LN"</f>
        <v>GUSSIE LN</v>
      </c>
      <c r="L1072" t="str">
        <f t="shared" si="355"/>
        <v>CALLAHAN FL 32011</v>
      </c>
      <c r="M1072" t="str">
        <f>"IN OR 586/539 &amp; OR 633/214 EX R/W CASE 01-418CA ESMT OR 1434/440"</f>
        <v>IN OR 586/539 &amp; OR 633/214 EX R/W CASE 01-418CA ESMT OR 1434/440</v>
      </c>
      <c r="N1072" t="str">
        <f>""</f>
        <v/>
      </c>
      <c r="O1072" t="str">
        <f>"21217"</f>
        <v>21217</v>
      </c>
      <c r="P1072" t="str">
        <f t="shared" si="334"/>
        <v>2017</v>
      </c>
      <c r="Q1072" t="str">
        <f>""</f>
        <v/>
      </c>
      <c r="R1072" t="str">
        <f t="shared" si="353"/>
        <v>N</v>
      </c>
      <c r="S1072" t="str">
        <f>"0.76"</f>
        <v>0.76</v>
      </c>
      <c r="T1072" t="str">
        <f>"164.66"</f>
        <v>164.66</v>
      </c>
      <c r="U1072" t="str">
        <f>"10032.00"</f>
        <v>10032.00</v>
      </c>
      <c r="V1072" t="str">
        <f>"10032.00"</f>
        <v>10032.00</v>
      </c>
      <c r="W1072" t="str">
        <f t="shared" si="335"/>
        <v>2017</v>
      </c>
      <c r="X1072" t="str">
        <f>"8.00"</f>
        <v>8.00</v>
      </c>
      <c r="Y1072" t="str">
        <f>"201.60"</f>
        <v>201.60</v>
      </c>
      <c r="Z1072" t="str">
        <f>""</f>
        <v/>
      </c>
      <c r="AA1072" t="str">
        <f>"11970.00"</f>
        <v>11970.00</v>
      </c>
      <c r="AB1072" t="str">
        <f t="shared" si="352"/>
        <v>Residential</v>
      </c>
      <c r="AC1072" t="str">
        <f t="shared" si="345"/>
        <v>0</v>
      </c>
      <c r="AD1072" t="str">
        <f>""</f>
        <v/>
      </c>
      <c r="AE1072" t="str">
        <f>""</f>
        <v/>
      </c>
      <c r="AF1072" t="str">
        <f>"000"</f>
        <v>000</v>
      </c>
      <c r="AG1072" t="str">
        <f t="shared" si="351"/>
        <v>FL</v>
      </c>
      <c r="AH1072" t="str">
        <f>"33105.00"</f>
        <v>33105.00</v>
      </c>
      <c r="AI1072" t="str">
        <f>"11970.00"</f>
        <v>11970.00</v>
      </c>
      <c r="AJ1072" t="str">
        <f>"C55-000-586-6077-0"</f>
        <v>C55-000-586-6077-0</v>
      </c>
      <c r="AK1072" t="str">
        <f>"16261"</f>
        <v>16261</v>
      </c>
      <c r="AL1072">
        <v>4</v>
      </c>
      <c r="AM1072">
        <v>1233</v>
      </c>
      <c r="AN1072">
        <v>210.08</v>
      </c>
      <c r="AQ1072" t="s">
        <v>11023</v>
      </c>
      <c r="AR1072" t="s">
        <v>11023</v>
      </c>
      <c r="AS1072" t="s">
        <v>11023</v>
      </c>
      <c r="AU1072" t="s">
        <v>396</v>
      </c>
      <c r="AV1072">
        <v>2017</v>
      </c>
      <c r="AW1072" t="str">
        <f>"05-2N-26-0000-0004-0150 "</f>
        <v xml:space="preserve">05-2N-26-0000-0004-0150 </v>
      </c>
      <c r="AZ1072" t="s">
        <v>11003</v>
      </c>
      <c r="BA1072" t="s">
        <v>653</v>
      </c>
      <c r="BD1072" t="s">
        <v>2785</v>
      </c>
      <c r="BE1072" t="s">
        <v>393</v>
      </c>
      <c r="BF1072">
        <v>32011</v>
      </c>
      <c r="BG1072" t="s">
        <v>11004</v>
      </c>
      <c r="BH1072" t="s">
        <v>2787</v>
      </c>
      <c r="BI1072">
        <v>-81.719944316574498</v>
      </c>
      <c r="BJ1072">
        <v>30.6157352239888</v>
      </c>
      <c r="BK1072" t="s">
        <v>11005</v>
      </c>
      <c r="BM1072" t="s">
        <v>11006</v>
      </c>
      <c r="BN1072" t="s">
        <v>928</v>
      </c>
      <c r="BO1072">
        <v>32011</v>
      </c>
      <c r="BP1072" t="s">
        <v>404</v>
      </c>
      <c r="BQ1072">
        <v>0</v>
      </c>
      <c r="BR1072" t="s">
        <v>491</v>
      </c>
      <c r="BS1072">
        <v>8001</v>
      </c>
      <c r="BT1072" t="s">
        <v>492</v>
      </c>
      <c r="BW1072">
        <v>33105</v>
      </c>
      <c r="BX1072" t="s">
        <v>407</v>
      </c>
      <c r="BY1072" t="s">
        <v>408</v>
      </c>
      <c r="CD1072">
        <v>2017</v>
      </c>
      <c r="CE1072">
        <v>11970</v>
      </c>
      <c r="CG1072">
        <v>11970</v>
      </c>
      <c r="CH1072">
        <v>2017</v>
      </c>
      <c r="CI1072">
        <v>11970</v>
      </c>
      <c r="CK1072">
        <v>11970</v>
      </c>
      <c r="CL1072">
        <v>2017</v>
      </c>
      <c r="CM1072">
        <v>164.66</v>
      </c>
      <c r="CN1072" s="1">
        <v>33457</v>
      </c>
      <c r="CO1072">
        <v>7000</v>
      </c>
      <c r="CZ1072" s="1">
        <v>33457</v>
      </c>
      <c r="DD1072" t="s">
        <v>2785</v>
      </c>
      <c r="DG1072">
        <v>5</v>
      </c>
      <c r="DL1072">
        <v>50301</v>
      </c>
      <c r="DM1072" t="s">
        <v>11007</v>
      </c>
      <c r="DO1072" t="s">
        <v>11024</v>
      </c>
      <c r="DP1072">
        <v>0</v>
      </c>
      <c r="DQ1072">
        <v>0</v>
      </c>
      <c r="DR1072" t="s">
        <v>411</v>
      </c>
      <c r="DS1072" t="b">
        <v>1</v>
      </c>
      <c r="DT1072" t="s">
        <v>470</v>
      </c>
      <c r="DU1072" t="s">
        <v>471</v>
      </c>
      <c r="DV1072" t="s">
        <v>472</v>
      </c>
      <c r="DX1072">
        <v>-9999</v>
      </c>
      <c r="DZ1072" t="s">
        <v>447</v>
      </c>
      <c r="EA1072" t="s">
        <v>448</v>
      </c>
      <c r="EB1072" t="s">
        <v>742</v>
      </c>
      <c r="EC1072">
        <v>20101217</v>
      </c>
      <c r="ED1072" t="s">
        <v>474</v>
      </c>
      <c r="EF1072">
        <v>1329.4</v>
      </c>
      <c r="EG1072">
        <v>1329.4</v>
      </c>
      <c r="EI1072">
        <v>20160407</v>
      </c>
      <c r="EJ1072">
        <v>0</v>
      </c>
      <c r="EK1072">
        <v>0</v>
      </c>
      <c r="EP1072" t="s">
        <v>421</v>
      </c>
      <c r="EQ1072" t="s">
        <v>422</v>
      </c>
      <c r="ER1072">
        <v>0</v>
      </c>
      <c r="ES1072">
        <v>3</v>
      </c>
      <c r="ET1072">
        <v>0</v>
      </c>
      <c r="EU1072">
        <v>0</v>
      </c>
      <c r="EV1072">
        <v>0</v>
      </c>
      <c r="EW1072" s="2">
        <v>43222</v>
      </c>
      <c r="EX1072" s="1">
        <v>42515</v>
      </c>
      <c r="EY1072">
        <v>2015</v>
      </c>
      <c r="EZ1072">
        <v>177.09</v>
      </c>
      <c r="FA1072" t="s">
        <v>11025</v>
      </c>
      <c r="FB1072">
        <v>16</v>
      </c>
      <c r="FC1072" t="s">
        <v>424</v>
      </c>
      <c r="FD1072" t="s">
        <v>425</v>
      </c>
      <c r="FE1072" s="1">
        <v>42738</v>
      </c>
      <c r="FF1072">
        <v>8</v>
      </c>
      <c r="FG1072">
        <v>10364</v>
      </c>
      <c r="FH1072" t="s">
        <v>4653</v>
      </c>
      <c r="FJ1072" s="1">
        <v>42515</v>
      </c>
      <c r="FK1072">
        <v>2015</v>
      </c>
      <c r="FL1072">
        <v>177.09</v>
      </c>
      <c r="FM1072" t="s">
        <v>11025</v>
      </c>
      <c r="FN1072">
        <v>16</v>
      </c>
      <c r="FO1072" t="s">
        <v>424</v>
      </c>
      <c r="FP1072" t="s">
        <v>425</v>
      </c>
      <c r="FR1072">
        <v>22</v>
      </c>
      <c r="FS1072">
        <v>5433035</v>
      </c>
      <c r="FT1072" t="s">
        <v>11026</v>
      </c>
      <c r="FV1072" s="1">
        <v>40688</v>
      </c>
      <c r="FW1072">
        <v>2010</v>
      </c>
      <c r="FX1072">
        <v>266.45</v>
      </c>
      <c r="FY1072" t="s">
        <v>11027</v>
      </c>
      <c r="FZ1072">
        <v>6.75</v>
      </c>
      <c r="GA1072" t="s">
        <v>424</v>
      </c>
      <c r="GB1072" t="s">
        <v>425</v>
      </c>
      <c r="GC1072" s="1">
        <v>41009</v>
      </c>
      <c r="GD1072">
        <v>11</v>
      </c>
      <c r="GE1072">
        <v>105</v>
      </c>
      <c r="GF1072" t="s">
        <v>946</v>
      </c>
    </row>
    <row r="1073" spans="1:272" x14ac:dyDescent="0.25">
      <c r="A1073">
        <v>16486080</v>
      </c>
      <c r="B1073">
        <v>1072</v>
      </c>
      <c r="C1073" t="s">
        <v>393</v>
      </c>
      <c r="D1073" t="s">
        <v>394</v>
      </c>
      <c r="F1073" t="str">
        <f>"05-2N-26-1875-0001-0000"</f>
        <v>05-2N-26-1875-0001-0000</v>
      </c>
      <c r="H1073" t="str">
        <f>"PREMIER HOMES OF N FLORIDA INC"</f>
        <v>PREMIER HOMES OF N FLORIDA INC</v>
      </c>
      <c r="I1073" t="str">
        <f>"55234 WHITE OAK PLACE"</f>
        <v>55234 WHITE OAK PLACE</v>
      </c>
      <c r="J1073" t="str">
        <f t="shared" si="354"/>
        <v>CALLAHAN FL 32011</v>
      </c>
      <c r="K1073" t="str">
        <f>"66110 ROCKING HORSE LN"</f>
        <v>66110 ROCKING HORSE LN</v>
      </c>
      <c r="L1073" t="str">
        <f t="shared" si="355"/>
        <v>CALLAHAN FL 32011</v>
      </c>
      <c r="M1073" t="str">
        <f>"LOT 1 IN OR 2147/1846 ROCKING HORSE FARMS PB 7/104"</f>
        <v>LOT 1 IN OR 2147/1846 ROCKING HORSE FARMS PB 7/104</v>
      </c>
      <c r="N1073" t="str">
        <f>""</f>
        <v/>
      </c>
      <c r="O1073" t="str">
        <f>"21225"</f>
        <v>21225</v>
      </c>
      <c r="P1073" t="str">
        <f t="shared" si="334"/>
        <v>2017</v>
      </c>
      <c r="Q1073" t="str">
        <f>""</f>
        <v/>
      </c>
      <c r="R1073" t="str">
        <f t="shared" si="353"/>
        <v>N</v>
      </c>
      <c r="S1073" t="str">
        <f>""</f>
        <v/>
      </c>
      <c r="T1073" t="str">
        <f>"498.69"</f>
        <v>498.69</v>
      </c>
      <c r="U1073" t="str">
        <f t="shared" ref="U1073:V1076" si="356">"31350.00"</f>
        <v>31350.00</v>
      </c>
      <c r="V1073" t="str">
        <f t="shared" si="356"/>
        <v>31350.00</v>
      </c>
      <c r="W1073" t="str">
        <f t="shared" si="335"/>
        <v>2017</v>
      </c>
      <c r="X1073" t="str">
        <f>""</f>
        <v/>
      </c>
      <c r="Y1073" t="str">
        <f>"545.65"</f>
        <v>545.65</v>
      </c>
      <c r="Z1073" t="str">
        <f>""</f>
        <v/>
      </c>
      <c r="AA1073" t="str">
        <f>"35000.00"</f>
        <v>35000.00</v>
      </c>
      <c r="AB1073" t="str">
        <f t="shared" si="352"/>
        <v>Residential</v>
      </c>
      <c r="AC1073" t="str">
        <f t="shared" si="345"/>
        <v>0</v>
      </c>
      <c r="AD1073" t="str">
        <f>""</f>
        <v/>
      </c>
      <c r="AE1073" t="str">
        <f>""</f>
        <v/>
      </c>
      <c r="AF1073" t="str">
        <f>"000"</f>
        <v>000</v>
      </c>
      <c r="AG1073" t="str">
        <f t="shared" si="351"/>
        <v>FL</v>
      </c>
      <c r="AH1073" t="str">
        <f>"-"</f>
        <v>-</v>
      </c>
      <c r="AI1073" t="str">
        <f>"35000.00"</f>
        <v>35000.00</v>
      </c>
      <c r="AJ1073" t="str">
        <f>"C55-000-969-7246-8"</f>
        <v>C55-000-969-7246-8</v>
      </c>
      <c r="AK1073" t="str">
        <f>"16270"</f>
        <v>16270</v>
      </c>
      <c r="AL1073">
        <v>4</v>
      </c>
      <c r="AM1073">
        <v>1234</v>
      </c>
      <c r="AN1073">
        <v>571.33000000000004</v>
      </c>
      <c r="AQ1073" t="s">
        <v>11028</v>
      </c>
      <c r="AR1073" t="s">
        <v>11028</v>
      </c>
      <c r="AS1073" t="s">
        <v>11028</v>
      </c>
      <c r="AU1073" t="s">
        <v>396</v>
      </c>
      <c r="AV1073">
        <v>2017</v>
      </c>
      <c r="AW1073" t="str">
        <f>"05-2N-26-1875-0001-0000 "</f>
        <v xml:space="preserve">05-2N-26-1875-0001-0000 </v>
      </c>
      <c r="AX1073">
        <v>66110</v>
      </c>
      <c r="AZ1073" t="s">
        <v>11029</v>
      </c>
      <c r="BA1073" t="s">
        <v>653</v>
      </c>
      <c r="BD1073" t="s">
        <v>2785</v>
      </c>
      <c r="BE1073" t="s">
        <v>393</v>
      </c>
      <c r="BF1073">
        <v>32011</v>
      </c>
      <c r="BG1073" t="s">
        <v>11030</v>
      </c>
      <c r="BH1073" t="s">
        <v>2787</v>
      </c>
      <c r="BI1073">
        <v>-81.721463823509097</v>
      </c>
      <c r="BJ1073">
        <v>30.615924392299899</v>
      </c>
      <c r="BK1073" t="s">
        <v>11031</v>
      </c>
      <c r="BM1073" t="s">
        <v>11032</v>
      </c>
      <c r="BN1073" t="s">
        <v>928</v>
      </c>
      <c r="BO1073">
        <v>32011</v>
      </c>
      <c r="BP1073" t="s">
        <v>404</v>
      </c>
      <c r="BQ1073">
        <v>0</v>
      </c>
      <c r="BR1073" t="s">
        <v>491</v>
      </c>
      <c r="BS1073">
        <v>8001</v>
      </c>
      <c r="BT1073" t="s">
        <v>492</v>
      </c>
      <c r="BW1073">
        <v>43709</v>
      </c>
      <c r="BX1073" t="s">
        <v>407</v>
      </c>
      <c r="BY1073" t="s">
        <v>11033</v>
      </c>
      <c r="CD1073">
        <v>2017</v>
      </c>
      <c r="CE1073">
        <v>35000</v>
      </c>
      <c r="CG1073">
        <v>35000</v>
      </c>
      <c r="CH1073">
        <v>2017</v>
      </c>
      <c r="CI1073">
        <v>35000</v>
      </c>
      <c r="CK1073">
        <v>35000</v>
      </c>
      <c r="CL1073">
        <v>2017</v>
      </c>
      <c r="CM1073">
        <v>498.69</v>
      </c>
      <c r="CN1073" s="1">
        <v>43005</v>
      </c>
      <c r="CO1073">
        <v>212000</v>
      </c>
      <c r="CV1073">
        <v>53000</v>
      </c>
      <c r="CX1073" t="s">
        <v>675</v>
      </c>
      <c r="CZ1073" s="1">
        <v>43005</v>
      </c>
      <c r="DA1073">
        <v>0</v>
      </c>
      <c r="DD1073" t="s">
        <v>2785</v>
      </c>
      <c r="DF1073">
        <v>1</v>
      </c>
      <c r="DG1073">
        <v>5</v>
      </c>
      <c r="DJ1073" t="s">
        <v>11034</v>
      </c>
      <c r="DL1073">
        <v>50301</v>
      </c>
      <c r="DM1073" t="s">
        <v>11007</v>
      </c>
      <c r="DO1073" t="s">
        <v>11035</v>
      </c>
      <c r="DP1073">
        <v>0</v>
      </c>
      <c r="DQ1073">
        <v>1</v>
      </c>
      <c r="DR1073" t="s">
        <v>411</v>
      </c>
    </row>
    <row r="1074" spans="1:272" x14ac:dyDescent="0.25">
      <c r="A1074">
        <v>16486081</v>
      </c>
      <c r="B1074">
        <v>1073</v>
      </c>
      <c r="C1074" t="s">
        <v>393</v>
      </c>
      <c r="D1074" t="s">
        <v>394</v>
      </c>
      <c r="F1074" t="str">
        <f>"05-2N-26-1875-0002-0000"</f>
        <v>05-2N-26-1875-0002-0000</v>
      </c>
      <c r="H1074" t="str">
        <f>"PREMIER HOMES OF N FLORIDA INC"</f>
        <v>PREMIER HOMES OF N FLORIDA INC</v>
      </c>
      <c r="I1074" t="str">
        <f>"55234 WHITE OAK PLACE"</f>
        <v>55234 WHITE OAK PLACE</v>
      </c>
      <c r="J1074" t="str">
        <f t="shared" si="354"/>
        <v>CALLAHAN FL 32011</v>
      </c>
      <c r="K1074" t="str">
        <f>"66144 ROCKING HORSE LN"</f>
        <v>66144 ROCKING HORSE LN</v>
      </c>
      <c r="L1074" t="str">
        <f t="shared" si="355"/>
        <v>CALLAHAN FL 32011</v>
      </c>
      <c r="M1074" t="str">
        <f>"LOT 2 IN OR 2147/1846 ROCKING HORSE FARMS PB 7/104"</f>
        <v>LOT 2 IN OR 2147/1846 ROCKING HORSE FARMS PB 7/104</v>
      </c>
      <c r="N1074" t="str">
        <f>""</f>
        <v/>
      </c>
      <c r="O1074" t="str">
        <f>"21226"</f>
        <v>21226</v>
      </c>
      <c r="P1074" t="str">
        <f t="shared" si="334"/>
        <v>2017</v>
      </c>
      <c r="Q1074" t="str">
        <f>""</f>
        <v/>
      </c>
      <c r="R1074" t="str">
        <f t="shared" si="353"/>
        <v>N</v>
      </c>
      <c r="S1074" t="str">
        <f>""</f>
        <v/>
      </c>
      <c r="T1074" t="str">
        <f>"498.69"</f>
        <v>498.69</v>
      </c>
      <c r="U1074" t="str">
        <f t="shared" si="356"/>
        <v>31350.00</v>
      </c>
      <c r="V1074" t="str">
        <f t="shared" si="356"/>
        <v>31350.00</v>
      </c>
      <c r="W1074" t="str">
        <f t="shared" si="335"/>
        <v>2017</v>
      </c>
      <c r="X1074" t="str">
        <f>""</f>
        <v/>
      </c>
      <c r="Y1074" t="str">
        <f>"545.65"</f>
        <v>545.65</v>
      </c>
      <c r="Z1074" t="str">
        <f>""</f>
        <v/>
      </c>
      <c r="AA1074" t="str">
        <f>"35000.00"</f>
        <v>35000.00</v>
      </c>
      <c r="AB1074" t="str">
        <f t="shared" si="352"/>
        <v>Residential</v>
      </c>
      <c r="AC1074" t="str">
        <f t="shared" si="345"/>
        <v>0</v>
      </c>
      <c r="AD1074" t="str">
        <f>""</f>
        <v/>
      </c>
      <c r="AE1074" t="str">
        <f>""</f>
        <v/>
      </c>
      <c r="AF1074" t="str">
        <f>"000"</f>
        <v>000</v>
      </c>
      <c r="AG1074" t="str">
        <f t="shared" si="351"/>
        <v>FL</v>
      </c>
      <c r="AH1074" t="str">
        <f>"-"</f>
        <v>-</v>
      </c>
      <c r="AI1074" t="str">
        <f>"35000.00"</f>
        <v>35000.00</v>
      </c>
      <c r="AJ1074" t="str">
        <f>"C55-000-969-7247-6"</f>
        <v>C55-000-969-7247-6</v>
      </c>
      <c r="AK1074" t="str">
        <f>"16271"</f>
        <v>16271</v>
      </c>
      <c r="AL1074">
        <v>4</v>
      </c>
      <c r="AM1074">
        <v>1235</v>
      </c>
      <c r="AN1074">
        <v>571.33000000000004</v>
      </c>
      <c r="AQ1074" t="s">
        <v>11036</v>
      </c>
      <c r="AR1074" t="s">
        <v>11036</v>
      </c>
      <c r="AS1074" t="s">
        <v>11036</v>
      </c>
      <c r="AU1074" t="s">
        <v>396</v>
      </c>
      <c r="AV1074">
        <v>2017</v>
      </c>
      <c r="AW1074" t="str">
        <f>"05-2N-26-1875-0002-0000 "</f>
        <v xml:space="preserve">05-2N-26-1875-0002-0000 </v>
      </c>
      <c r="AX1074">
        <v>66144</v>
      </c>
      <c r="AZ1074" t="s">
        <v>11029</v>
      </c>
      <c r="BA1074" t="s">
        <v>653</v>
      </c>
      <c r="BD1074" t="s">
        <v>2785</v>
      </c>
      <c r="BE1074" t="s">
        <v>393</v>
      </c>
      <c r="BF1074">
        <v>32011</v>
      </c>
      <c r="BG1074" t="s">
        <v>11037</v>
      </c>
      <c r="BH1074" t="s">
        <v>2787</v>
      </c>
      <c r="BI1074">
        <v>-81.7215226628512</v>
      </c>
      <c r="BJ1074">
        <v>30.616419813099299</v>
      </c>
      <c r="BK1074" t="s">
        <v>11031</v>
      </c>
      <c r="BM1074" t="s">
        <v>11032</v>
      </c>
      <c r="BN1074" t="s">
        <v>928</v>
      </c>
      <c r="BO1074">
        <v>32011</v>
      </c>
      <c r="BP1074" t="s">
        <v>404</v>
      </c>
      <c r="BQ1074">
        <v>0</v>
      </c>
      <c r="BR1074" t="s">
        <v>491</v>
      </c>
      <c r="BS1074">
        <v>8001</v>
      </c>
      <c r="BT1074" t="s">
        <v>492</v>
      </c>
      <c r="BW1074">
        <v>43586</v>
      </c>
      <c r="BX1074" t="s">
        <v>407</v>
      </c>
      <c r="BY1074" t="s">
        <v>11033</v>
      </c>
      <c r="CD1074">
        <v>2017</v>
      </c>
      <c r="CE1074">
        <v>35000</v>
      </c>
      <c r="CG1074">
        <v>35000</v>
      </c>
      <c r="CH1074">
        <v>2017</v>
      </c>
      <c r="CI1074">
        <v>35000</v>
      </c>
      <c r="CK1074">
        <v>35000</v>
      </c>
      <c r="CL1074">
        <v>2017</v>
      </c>
      <c r="CM1074">
        <v>498.69</v>
      </c>
      <c r="CN1074" s="1">
        <v>43005</v>
      </c>
      <c r="CO1074">
        <v>212000</v>
      </c>
      <c r="CV1074">
        <v>53000</v>
      </c>
      <c r="CX1074" t="s">
        <v>675</v>
      </c>
      <c r="CZ1074" s="1">
        <v>43005</v>
      </c>
      <c r="DA1074">
        <v>0</v>
      </c>
      <c r="DD1074" t="s">
        <v>2785</v>
      </c>
      <c r="DF1074">
        <v>2</v>
      </c>
      <c r="DG1074">
        <v>5</v>
      </c>
      <c r="DJ1074" t="s">
        <v>11034</v>
      </c>
      <c r="DL1074">
        <v>50301</v>
      </c>
      <c r="DM1074" t="s">
        <v>11007</v>
      </c>
      <c r="DO1074" t="s">
        <v>11038</v>
      </c>
      <c r="DP1074">
        <v>0</v>
      </c>
      <c r="DQ1074">
        <v>0</v>
      </c>
      <c r="DR1074" t="s">
        <v>411</v>
      </c>
    </row>
    <row r="1075" spans="1:272" x14ac:dyDescent="0.25">
      <c r="A1075">
        <v>16486082</v>
      </c>
      <c r="B1075">
        <v>1074</v>
      </c>
      <c r="C1075" t="s">
        <v>393</v>
      </c>
      <c r="D1075" t="s">
        <v>394</v>
      </c>
      <c r="F1075" t="str">
        <f>"05-2N-26-1875-0003-0000"</f>
        <v>05-2N-26-1875-0003-0000</v>
      </c>
      <c r="H1075" t="str">
        <f>"PREMIER HOMES OF N FLORIDA INC"</f>
        <v>PREMIER HOMES OF N FLORIDA INC</v>
      </c>
      <c r="I1075" t="str">
        <f>"55234 WHITE OAK PLACE"</f>
        <v>55234 WHITE OAK PLACE</v>
      </c>
      <c r="J1075" t="str">
        <f t="shared" si="354"/>
        <v>CALLAHAN FL 32011</v>
      </c>
      <c r="K1075" t="str">
        <f>"66178 ROCKING HORSE LN"</f>
        <v>66178 ROCKING HORSE LN</v>
      </c>
      <c r="L1075" t="str">
        <f t="shared" si="355"/>
        <v>CALLAHAN FL 32011</v>
      </c>
      <c r="M1075" t="str">
        <f>"LOT 3 IN OR 2147/1846 ROCKING HORSE FARMS PB 7/104"</f>
        <v>LOT 3 IN OR 2147/1846 ROCKING HORSE FARMS PB 7/104</v>
      </c>
      <c r="N1075" t="str">
        <f>""</f>
        <v/>
      </c>
      <c r="O1075" t="str">
        <f>"21227"</f>
        <v>21227</v>
      </c>
      <c r="P1075" t="str">
        <f t="shared" si="334"/>
        <v>2017</v>
      </c>
      <c r="Q1075" t="str">
        <f>""</f>
        <v/>
      </c>
      <c r="R1075" t="str">
        <f t="shared" si="353"/>
        <v>N</v>
      </c>
      <c r="S1075" t="str">
        <f>""</f>
        <v/>
      </c>
      <c r="T1075" t="str">
        <f>"498.69"</f>
        <v>498.69</v>
      </c>
      <c r="U1075" t="str">
        <f t="shared" si="356"/>
        <v>31350.00</v>
      </c>
      <c r="V1075" t="str">
        <f t="shared" si="356"/>
        <v>31350.00</v>
      </c>
      <c r="W1075" t="str">
        <f t="shared" si="335"/>
        <v>2017</v>
      </c>
      <c r="X1075" t="str">
        <f>""</f>
        <v/>
      </c>
      <c r="Y1075" t="str">
        <f>"545.65"</f>
        <v>545.65</v>
      </c>
      <c r="Z1075" t="str">
        <f>""</f>
        <v/>
      </c>
      <c r="AA1075" t="str">
        <f>"35000.00"</f>
        <v>35000.00</v>
      </c>
      <c r="AB1075" t="str">
        <f t="shared" si="352"/>
        <v>Residential</v>
      </c>
      <c r="AC1075" t="str">
        <f t="shared" si="345"/>
        <v>0</v>
      </c>
      <c r="AD1075" t="str">
        <f>""</f>
        <v/>
      </c>
      <c r="AE1075" t="str">
        <f>""</f>
        <v/>
      </c>
      <c r="AF1075" t="str">
        <f>"000"</f>
        <v>000</v>
      </c>
      <c r="AG1075" t="str">
        <f t="shared" si="351"/>
        <v>FL</v>
      </c>
      <c r="AH1075" t="str">
        <f>"-"</f>
        <v>-</v>
      </c>
      <c r="AI1075" t="str">
        <f>"35000.00"</f>
        <v>35000.00</v>
      </c>
      <c r="AJ1075" t="str">
        <f>"C55-000-969-7248-4"</f>
        <v>C55-000-969-7248-4</v>
      </c>
      <c r="AK1075" t="str">
        <f>"16272"</f>
        <v>16272</v>
      </c>
      <c r="AL1075">
        <v>4</v>
      </c>
      <c r="AM1075">
        <v>1236</v>
      </c>
      <c r="AN1075">
        <v>571.33000000000004</v>
      </c>
      <c r="AQ1075" t="s">
        <v>11039</v>
      </c>
      <c r="AR1075" t="s">
        <v>11039</v>
      </c>
      <c r="AS1075" t="s">
        <v>11039</v>
      </c>
      <c r="AU1075" t="s">
        <v>396</v>
      </c>
      <c r="AV1075">
        <v>2017</v>
      </c>
      <c r="AW1075" t="str">
        <f>"05-2N-26-1875-0003-0000 "</f>
        <v xml:space="preserve">05-2N-26-1875-0003-0000 </v>
      </c>
      <c r="AX1075">
        <v>66178</v>
      </c>
      <c r="AZ1075" t="s">
        <v>11029</v>
      </c>
      <c r="BA1075" t="s">
        <v>653</v>
      </c>
      <c r="BD1075" t="s">
        <v>2785</v>
      </c>
      <c r="BE1075" t="s">
        <v>393</v>
      </c>
      <c r="BF1075">
        <v>32011</v>
      </c>
      <c r="BG1075" t="s">
        <v>11040</v>
      </c>
      <c r="BH1075" t="s">
        <v>2787</v>
      </c>
      <c r="BI1075">
        <v>-81.721541363076</v>
      </c>
      <c r="BJ1075">
        <v>30.616884285726201</v>
      </c>
      <c r="BK1075" t="s">
        <v>11031</v>
      </c>
      <c r="BM1075" t="s">
        <v>11032</v>
      </c>
      <c r="BN1075" t="s">
        <v>928</v>
      </c>
      <c r="BO1075">
        <v>32011</v>
      </c>
      <c r="BP1075" t="s">
        <v>404</v>
      </c>
      <c r="BQ1075">
        <v>0</v>
      </c>
      <c r="BR1075" t="s">
        <v>491</v>
      </c>
      <c r="BS1075">
        <v>8001</v>
      </c>
      <c r="BT1075" t="s">
        <v>492</v>
      </c>
      <c r="BW1075">
        <v>43690</v>
      </c>
      <c r="BX1075" t="s">
        <v>407</v>
      </c>
      <c r="BY1075" t="s">
        <v>11033</v>
      </c>
      <c r="CD1075">
        <v>2017</v>
      </c>
      <c r="CE1075">
        <v>35000</v>
      </c>
      <c r="CG1075">
        <v>35000</v>
      </c>
      <c r="CH1075">
        <v>2017</v>
      </c>
      <c r="CI1075">
        <v>35000</v>
      </c>
      <c r="CK1075">
        <v>35000</v>
      </c>
      <c r="CL1075">
        <v>2017</v>
      </c>
      <c r="CM1075">
        <v>498.69</v>
      </c>
      <c r="CN1075" s="1">
        <v>43005</v>
      </c>
      <c r="CO1075">
        <v>212000</v>
      </c>
      <c r="CV1075">
        <v>53000</v>
      </c>
      <c r="CX1075" t="s">
        <v>675</v>
      </c>
      <c r="CZ1075" s="1">
        <v>43005</v>
      </c>
      <c r="DA1075">
        <v>0</v>
      </c>
      <c r="DD1075" t="s">
        <v>2785</v>
      </c>
      <c r="DF1075">
        <v>3</v>
      </c>
      <c r="DG1075">
        <v>5</v>
      </c>
      <c r="DJ1075" t="s">
        <v>11034</v>
      </c>
      <c r="DL1075">
        <v>50301</v>
      </c>
      <c r="DM1075" t="s">
        <v>11007</v>
      </c>
      <c r="DO1075" t="s">
        <v>11041</v>
      </c>
      <c r="DP1075">
        <v>0</v>
      </c>
      <c r="DQ1075">
        <v>0</v>
      </c>
      <c r="DR1075" t="s">
        <v>411</v>
      </c>
    </row>
    <row r="1076" spans="1:272" x14ac:dyDescent="0.25">
      <c r="A1076">
        <v>16486083</v>
      </c>
      <c r="B1076">
        <v>1075</v>
      </c>
      <c r="C1076" t="s">
        <v>393</v>
      </c>
      <c r="D1076" t="s">
        <v>394</v>
      </c>
      <c r="F1076" t="str">
        <f>"05-2N-26-1875-0004-0000"</f>
        <v>05-2N-26-1875-0004-0000</v>
      </c>
      <c r="H1076" t="str">
        <f>"PREMIER HOMES OF N FLORIDA INC"</f>
        <v>PREMIER HOMES OF N FLORIDA INC</v>
      </c>
      <c r="I1076" t="str">
        <f>"55234 WHITE OAK PLACE"</f>
        <v>55234 WHITE OAK PLACE</v>
      </c>
      <c r="J1076" t="str">
        <f t="shared" si="354"/>
        <v>CALLAHAN FL 32011</v>
      </c>
      <c r="K1076" t="str">
        <f>"66208 ROCKING HORSE LN"</f>
        <v>66208 ROCKING HORSE LN</v>
      </c>
      <c r="L1076" t="str">
        <f t="shared" si="355"/>
        <v>CALLAHAN FL 32011</v>
      </c>
      <c r="M1076" t="str">
        <f>"LOT 4 IN OR 2147/1846 ROCKING HORSE FARMS PB 7/104"</f>
        <v>LOT 4 IN OR 2147/1846 ROCKING HORSE FARMS PB 7/104</v>
      </c>
      <c r="N1076" t="str">
        <f>""</f>
        <v/>
      </c>
      <c r="O1076" t="str">
        <f>"21228"</f>
        <v>21228</v>
      </c>
      <c r="P1076" t="str">
        <f t="shared" si="334"/>
        <v>2017</v>
      </c>
      <c r="Q1076" t="str">
        <f>""</f>
        <v/>
      </c>
      <c r="R1076" t="str">
        <f t="shared" si="353"/>
        <v>N</v>
      </c>
      <c r="S1076" t="str">
        <f>""</f>
        <v/>
      </c>
      <c r="T1076" t="str">
        <f>"498.69"</f>
        <v>498.69</v>
      </c>
      <c r="U1076" t="str">
        <f t="shared" si="356"/>
        <v>31350.00</v>
      </c>
      <c r="V1076" t="str">
        <f t="shared" si="356"/>
        <v>31350.00</v>
      </c>
      <c r="W1076" t="str">
        <f t="shared" si="335"/>
        <v>2017</v>
      </c>
      <c r="X1076" t="str">
        <f>""</f>
        <v/>
      </c>
      <c r="Y1076" t="str">
        <f>"545.65"</f>
        <v>545.65</v>
      </c>
      <c r="Z1076" t="str">
        <f>""</f>
        <v/>
      </c>
      <c r="AA1076" t="str">
        <f>"35000.00"</f>
        <v>35000.00</v>
      </c>
      <c r="AB1076" t="str">
        <f t="shared" si="352"/>
        <v>Residential</v>
      </c>
      <c r="AC1076" t="str">
        <f t="shared" si="345"/>
        <v>0</v>
      </c>
      <c r="AD1076" t="str">
        <f>""</f>
        <v/>
      </c>
      <c r="AE1076" t="str">
        <f>""</f>
        <v/>
      </c>
      <c r="AF1076" t="str">
        <f>"000"</f>
        <v>000</v>
      </c>
      <c r="AG1076" t="str">
        <f t="shared" si="351"/>
        <v>FL</v>
      </c>
      <c r="AH1076" t="str">
        <f>"-"</f>
        <v>-</v>
      </c>
      <c r="AI1076" t="str">
        <f>"35000.00"</f>
        <v>35000.00</v>
      </c>
      <c r="AJ1076" t="str">
        <f>"C55-000-969-7249-2"</f>
        <v>C55-000-969-7249-2</v>
      </c>
      <c r="AK1076" t="str">
        <f>"16273"</f>
        <v>16273</v>
      </c>
      <c r="AL1076">
        <v>4</v>
      </c>
      <c r="AM1076">
        <v>1237</v>
      </c>
      <c r="AN1076">
        <v>571.33000000000004</v>
      </c>
      <c r="AQ1076" t="s">
        <v>11042</v>
      </c>
      <c r="AR1076" t="s">
        <v>11042</v>
      </c>
      <c r="AS1076" t="s">
        <v>11042</v>
      </c>
      <c r="AU1076" t="s">
        <v>396</v>
      </c>
      <c r="AV1076">
        <v>2017</v>
      </c>
      <c r="AW1076" t="str">
        <f>"05-2N-26-1875-0004-0000 "</f>
        <v xml:space="preserve">05-2N-26-1875-0004-0000 </v>
      </c>
      <c r="AX1076">
        <v>66208</v>
      </c>
      <c r="AZ1076" t="s">
        <v>11029</v>
      </c>
      <c r="BA1076" t="s">
        <v>653</v>
      </c>
      <c r="BD1076" t="s">
        <v>2785</v>
      </c>
      <c r="BE1076" t="s">
        <v>393</v>
      </c>
      <c r="BF1076">
        <v>32011</v>
      </c>
      <c r="BG1076" t="s">
        <v>11043</v>
      </c>
      <c r="BH1076" t="s">
        <v>2787</v>
      </c>
      <c r="BI1076">
        <v>-81.721554138293996</v>
      </c>
      <c r="BJ1076">
        <v>30.6173483765056</v>
      </c>
      <c r="BK1076" t="s">
        <v>11044</v>
      </c>
      <c r="BM1076" t="s">
        <v>4412</v>
      </c>
      <c r="BN1076" t="s">
        <v>3983</v>
      </c>
      <c r="BO1076">
        <v>32035</v>
      </c>
      <c r="BP1076" t="s">
        <v>404</v>
      </c>
      <c r="BQ1076">
        <v>0</v>
      </c>
      <c r="BR1076" t="s">
        <v>491</v>
      </c>
      <c r="BS1076">
        <v>8001</v>
      </c>
      <c r="BT1076" t="s">
        <v>492</v>
      </c>
      <c r="BW1076">
        <v>43933</v>
      </c>
      <c r="BX1076" t="s">
        <v>407</v>
      </c>
      <c r="BY1076" t="s">
        <v>11033</v>
      </c>
      <c r="CD1076">
        <v>2017</v>
      </c>
      <c r="CE1076">
        <v>35000</v>
      </c>
      <c r="CG1076">
        <v>35000</v>
      </c>
      <c r="CH1076">
        <v>2017</v>
      </c>
      <c r="CI1076">
        <v>35000</v>
      </c>
      <c r="CK1076">
        <v>35000</v>
      </c>
      <c r="CL1076">
        <v>2017</v>
      </c>
      <c r="CM1076">
        <v>498.69</v>
      </c>
      <c r="CN1076" s="1">
        <v>38471</v>
      </c>
      <c r="CO1076">
        <v>747400</v>
      </c>
      <c r="CZ1076" s="1">
        <v>38471</v>
      </c>
      <c r="DD1076" t="s">
        <v>2785</v>
      </c>
      <c r="DF1076">
        <v>4</v>
      </c>
      <c r="DG1076">
        <v>5</v>
      </c>
      <c r="DJ1076" t="s">
        <v>11034</v>
      </c>
      <c r="DL1076">
        <v>50301</v>
      </c>
      <c r="DM1076" t="s">
        <v>11007</v>
      </c>
      <c r="DO1076" t="s">
        <v>11045</v>
      </c>
      <c r="DP1076">
        <v>0</v>
      </c>
      <c r="DQ1076">
        <v>0</v>
      </c>
      <c r="DR1076" t="s">
        <v>411</v>
      </c>
    </row>
    <row r="1077" spans="1:272" x14ac:dyDescent="0.25">
      <c r="A1077">
        <v>16486084</v>
      </c>
      <c r="B1077">
        <v>1076</v>
      </c>
      <c r="C1077" t="s">
        <v>393</v>
      </c>
      <c r="D1077" t="s">
        <v>394</v>
      </c>
      <c r="F1077" t="str">
        <f>"07-2N-26-0000-0002-0010"</f>
        <v>07-2N-26-0000-0002-0010</v>
      </c>
      <c r="H1077" t="str">
        <f>"MORGAN PAMELA J"</f>
        <v>MORGAN PAMELA J</v>
      </c>
      <c r="I1077" t="str">
        <f>"56124 DIXON TRAIL"</f>
        <v>56124 DIXON TRAIL</v>
      </c>
      <c r="J1077" t="str">
        <f t="shared" si="354"/>
        <v>CALLAHAN FL 32011</v>
      </c>
      <c r="K1077" t="str">
        <f>"56124 DIXON TRL"</f>
        <v>56124 DIXON TRL</v>
      </c>
      <c r="L1077" t="str">
        <f t="shared" si="355"/>
        <v>CALLAHAN FL 32011</v>
      </c>
      <c r="M1077" t="str">
        <f>"PT OF NE1/4 OF NW1/4 IN OR 1881/1619 {1995 RICH SW/MH}"</f>
        <v>PT OF NE1/4 OF NW1/4 IN OR 1881/1619 {1995 RICH SW/MH}</v>
      </c>
      <c r="N1077" t="str">
        <f>""</f>
        <v/>
      </c>
      <c r="O1077" t="str">
        <f>"22430"</f>
        <v>22430</v>
      </c>
      <c r="P1077" t="str">
        <f t="shared" si="334"/>
        <v>2017</v>
      </c>
      <c r="Q1077" t="str">
        <f>""</f>
        <v/>
      </c>
      <c r="R1077" t="str">
        <f t="shared" si="353"/>
        <v>N</v>
      </c>
      <c r="S1077" t="str">
        <f>"1.00"</f>
        <v>1.00</v>
      </c>
      <c r="T1077" t="str">
        <f>"623.47"</f>
        <v>623.47</v>
      </c>
      <c r="U1077" t="str">
        <f>"39029.00"</f>
        <v>39029.00</v>
      </c>
      <c r="V1077" t="str">
        <f>"39029.00"</f>
        <v>39029.00</v>
      </c>
      <c r="W1077" t="str">
        <f t="shared" si="335"/>
        <v>2017</v>
      </c>
      <c r="X1077" t="str">
        <f>"24.31"</f>
        <v>24.31</v>
      </c>
      <c r="Y1077" t="str">
        <f>"674.17"</f>
        <v>674.17</v>
      </c>
      <c r="Z1077" t="str">
        <f>""</f>
        <v/>
      </c>
      <c r="AA1077" t="str">
        <f>"43972.00"</f>
        <v>43972.00</v>
      </c>
      <c r="AB1077" t="str">
        <f t="shared" si="352"/>
        <v>Residential</v>
      </c>
      <c r="AC1077" t="str">
        <f t="shared" si="345"/>
        <v>0</v>
      </c>
      <c r="AD1077" t="str">
        <f>"4"</f>
        <v>4</v>
      </c>
      <c r="AE1077" t="str">
        <f>"WOOD (INCLUDE STEEL STUDS)"</f>
        <v>WOOD (INCLUDE STEEL STUDS)</v>
      </c>
      <c r="AF1077" t="str">
        <f>"002"</f>
        <v>002</v>
      </c>
      <c r="AG1077" t="str">
        <f t="shared" si="351"/>
        <v>FL</v>
      </c>
      <c r="AH1077" t="str">
        <f>"43560.00"</f>
        <v>43560.00</v>
      </c>
      <c r="AI1077" t="str">
        <f>"15750.00"</f>
        <v>15750.00</v>
      </c>
      <c r="AJ1077" t="str">
        <f>"C55-000-586-6839-3"</f>
        <v>C55-000-586-6839-3</v>
      </c>
      <c r="AK1077" t="str">
        <f>"16302"</f>
        <v>16302</v>
      </c>
      <c r="AL1077">
        <v>4</v>
      </c>
      <c r="AM1077">
        <v>1238</v>
      </c>
      <c r="AN1077">
        <v>706.28</v>
      </c>
      <c r="AQ1077" t="s">
        <v>11046</v>
      </c>
      <c r="AR1077" t="s">
        <v>11046</v>
      </c>
      <c r="AS1077" t="s">
        <v>11046</v>
      </c>
      <c r="AU1077" t="s">
        <v>396</v>
      </c>
      <c r="AV1077">
        <v>2017</v>
      </c>
      <c r="AW1077" t="str">
        <f>"07-2N-26-0000-0002-0010 "</f>
        <v xml:space="preserve">07-2N-26-0000-0002-0010 </v>
      </c>
      <c r="AX1077">
        <v>56124</v>
      </c>
      <c r="AZ1077" t="s">
        <v>11047</v>
      </c>
      <c r="BA1077" t="s">
        <v>2497</v>
      </c>
      <c r="BD1077" t="s">
        <v>2785</v>
      </c>
      <c r="BE1077" t="s">
        <v>393</v>
      </c>
      <c r="BF1077">
        <v>32011</v>
      </c>
      <c r="BG1077" t="s">
        <v>11048</v>
      </c>
      <c r="BH1077" t="s">
        <v>2787</v>
      </c>
      <c r="BI1077">
        <v>-81.741267582086394</v>
      </c>
      <c r="BJ1077">
        <v>30.6107082948635</v>
      </c>
      <c r="BK1077" t="s">
        <v>11049</v>
      </c>
      <c r="BM1077" t="s">
        <v>11048</v>
      </c>
      <c r="BN1077" t="s">
        <v>928</v>
      </c>
      <c r="BO1077">
        <v>32011</v>
      </c>
      <c r="BP1077" t="s">
        <v>416</v>
      </c>
      <c r="BQ1077">
        <v>200</v>
      </c>
      <c r="BR1077" t="s">
        <v>405</v>
      </c>
      <c r="BS1077">
        <v>1006</v>
      </c>
      <c r="BT1077" t="s">
        <v>406</v>
      </c>
      <c r="BW1077">
        <v>43560</v>
      </c>
      <c r="BX1077" t="s">
        <v>407</v>
      </c>
      <c r="BZ1077">
        <v>4</v>
      </c>
      <c r="CA1077">
        <v>1995</v>
      </c>
      <c r="CC1077">
        <v>1</v>
      </c>
      <c r="CD1077">
        <v>2017</v>
      </c>
      <c r="CE1077">
        <v>15750</v>
      </c>
      <c r="CF1077">
        <v>28222</v>
      </c>
      <c r="CG1077">
        <v>43972</v>
      </c>
      <c r="CH1077">
        <v>2017</v>
      </c>
      <c r="CI1077">
        <v>15750</v>
      </c>
      <c r="CJ1077">
        <v>28222</v>
      </c>
      <c r="CK1077">
        <v>43972</v>
      </c>
      <c r="CL1077">
        <v>2017</v>
      </c>
      <c r="CM1077">
        <v>623.47</v>
      </c>
      <c r="CN1077" s="1">
        <v>41544</v>
      </c>
      <c r="CO1077">
        <v>17000</v>
      </c>
      <c r="CV1077">
        <v>0</v>
      </c>
      <c r="CZ1077" s="1">
        <v>41544</v>
      </c>
      <c r="DA1077">
        <v>0</v>
      </c>
      <c r="DD1077" t="s">
        <v>2785</v>
      </c>
      <c r="DG1077">
        <v>7</v>
      </c>
      <c r="DL1077">
        <v>50301</v>
      </c>
      <c r="DM1077" t="s">
        <v>11050</v>
      </c>
      <c r="DO1077" t="s">
        <v>11051</v>
      </c>
      <c r="DP1077">
        <v>0</v>
      </c>
      <c r="DQ1077">
        <v>0</v>
      </c>
      <c r="DR1077" t="s">
        <v>411</v>
      </c>
      <c r="DS1077" t="b">
        <v>1</v>
      </c>
      <c r="DT1077" t="s">
        <v>396</v>
      </c>
      <c r="DV1077" t="s">
        <v>446</v>
      </c>
      <c r="DX1077">
        <v>-9999</v>
      </c>
      <c r="DZ1077" t="s">
        <v>447</v>
      </c>
      <c r="EA1077" t="s">
        <v>448</v>
      </c>
      <c r="EB1077" t="s">
        <v>449</v>
      </c>
      <c r="EC1077">
        <v>20101217</v>
      </c>
      <c r="ED1077" t="s">
        <v>450</v>
      </c>
      <c r="EE1077">
        <v>7.4</v>
      </c>
      <c r="EF1077">
        <v>0</v>
      </c>
      <c r="EG1077">
        <v>0</v>
      </c>
      <c r="EH1077" t="s">
        <v>451</v>
      </c>
      <c r="EI1077">
        <v>20140731</v>
      </c>
      <c r="EJ1077">
        <v>0</v>
      </c>
      <c r="EK1077">
        <v>0</v>
      </c>
      <c r="EP1077" t="s">
        <v>421</v>
      </c>
      <c r="EQ1077" t="s">
        <v>422</v>
      </c>
      <c r="ER1077">
        <v>0</v>
      </c>
      <c r="ES1077">
        <v>9</v>
      </c>
      <c r="ET1077">
        <v>0</v>
      </c>
      <c r="EU1077">
        <v>0</v>
      </c>
      <c r="EV1077">
        <v>0</v>
      </c>
      <c r="EW1077" s="2">
        <v>43222</v>
      </c>
      <c r="EX1077" s="1">
        <v>42879</v>
      </c>
      <c r="EY1077">
        <v>2016</v>
      </c>
      <c r="EZ1077">
        <v>616.04999999999995</v>
      </c>
      <c r="FA1077" t="s">
        <v>11052</v>
      </c>
      <c r="FB1077">
        <v>0.25</v>
      </c>
      <c r="FC1077" t="s">
        <v>424</v>
      </c>
      <c r="FD1077" t="s">
        <v>425</v>
      </c>
      <c r="FE1077" s="1">
        <v>43182</v>
      </c>
      <c r="FF1077">
        <v>10</v>
      </c>
      <c r="FG1077">
        <v>7045081</v>
      </c>
      <c r="FH1077" t="s">
        <v>4351</v>
      </c>
      <c r="FJ1077" s="1">
        <v>42151</v>
      </c>
      <c r="FK1077">
        <v>2014</v>
      </c>
      <c r="FL1077">
        <v>523.57000000000005</v>
      </c>
      <c r="FM1077" t="s">
        <v>11053</v>
      </c>
      <c r="FN1077">
        <v>0.25</v>
      </c>
      <c r="FO1077" t="s">
        <v>424</v>
      </c>
      <c r="FP1077" t="s">
        <v>425</v>
      </c>
      <c r="FQ1077" s="1">
        <v>42425</v>
      </c>
      <c r="FR1077">
        <v>9</v>
      </c>
      <c r="FS1077">
        <v>4975594</v>
      </c>
      <c r="FT1077" t="s">
        <v>457</v>
      </c>
      <c r="FV1077" s="1">
        <v>42151</v>
      </c>
      <c r="FW1077">
        <v>2014</v>
      </c>
      <c r="FX1077">
        <v>523.57000000000005</v>
      </c>
      <c r="FY1077" t="s">
        <v>11053</v>
      </c>
      <c r="FZ1077">
        <v>0.25</v>
      </c>
      <c r="GA1077" t="s">
        <v>424</v>
      </c>
      <c r="GB1077" t="s">
        <v>425</v>
      </c>
      <c r="GD1077">
        <v>22</v>
      </c>
      <c r="GE1077">
        <v>6354418</v>
      </c>
      <c r="GF1077" t="s">
        <v>11054</v>
      </c>
      <c r="GH1077" s="1">
        <v>41787</v>
      </c>
      <c r="GI1077">
        <v>2013</v>
      </c>
      <c r="GJ1077">
        <v>327.78</v>
      </c>
      <c r="GK1077" t="s">
        <v>11055</v>
      </c>
      <c r="GL1077">
        <v>0.25</v>
      </c>
      <c r="GM1077" t="s">
        <v>424</v>
      </c>
      <c r="GN1077" t="s">
        <v>425</v>
      </c>
      <c r="GO1077" s="1">
        <v>42405</v>
      </c>
      <c r="GP1077">
        <v>21</v>
      </c>
      <c r="GQ1077">
        <v>13026</v>
      </c>
      <c r="GR1077" t="s">
        <v>2129</v>
      </c>
      <c r="GT1077" s="1">
        <v>41423</v>
      </c>
      <c r="GU1077">
        <v>2012</v>
      </c>
      <c r="GV1077">
        <v>737.84</v>
      </c>
      <c r="GW1077" t="s">
        <v>11056</v>
      </c>
      <c r="GX1077">
        <v>3.75</v>
      </c>
      <c r="GY1077" t="s">
        <v>424</v>
      </c>
      <c r="GZ1077" t="s">
        <v>425</v>
      </c>
      <c r="HA1077" s="1">
        <v>41486</v>
      </c>
      <c r="HB1077">
        <v>2</v>
      </c>
      <c r="HC1077">
        <v>10125</v>
      </c>
      <c r="HD1077" t="s">
        <v>440</v>
      </c>
      <c r="HF1077" s="1">
        <v>41052</v>
      </c>
      <c r="HG1077">
        <v>2011</v>
      </c>
      <c r="HH1077">
        <v>939.93</v>
      </c>
      <c r="HI1077" t="s">
        <v>11057</v>
      </c>
      <c r="HJ1077">
        <v>6.25</v>
      </c>
      <c r="HK1077" t="s">
        <v>424</v>
      </c>
      <c r="HL1077" t="s">
        <v>425</v>
      </c>
      <c r="HM1077" s="1">
        <v>41486</v>
      </c>
      <c r="HN1077">
        <v>14</v>
      </c>
      <c r="HO1077">
        <v>375</v>
      </c>
      <c r="HP1077" t="s">
        <v>776</v>
      </c>
      <c r="HR1077" s="1">
        <v>41052</v>
      </c>
      <c r="HS1077">
        <v>2010</v>
      </c>
      <c r="HT1077">
        <v>1125.56</v>
      </c>
      <c r="HU1077" t="s">
        <v>11058</v>
      </c>
      <c r="HV1077">
        <v>5.75</v>
      </c>
      <c r="HW1077" t="s">
        <v>424</v>
      </c>
      <c r="HX1077" t="s">
        <v>425</v>
      </c>
      <c r="HY1077" s="1">
        <v>41486</v>
      </c>
      <c r="HZ1077">
        <v>14</v>
      </c>
      <c r="IA1077">
        <v>62</v>
      </c>
      <c r="IB1077" t="s">
        <v>463</v>
      </c>
      <c r="ID1077" s="1">
        <v>41052</v>
      </c>
      <c r="IE1077">
        <v>2009</v>
      </c>
      <c r="IF1077">
        <v>1301.08</v>
      </c>
      <c r="IG1077" t="s">
        <v>11059</v>
      </c>
      <c r="IH1077">
        <v>6</v>
      </c>
      <c r="II1077" t="s">
        <v>424</v>
      </c>
      <c r="IJ1077" t="s">
        <v>425</v>
      </c>
      <c r="IK1077" s="1">
        <v>41486</v>
      </c>
      <c r="IL1077">
        <v>14</v>
      </c>
      <c r="IM1077">
        <v>1109</v>
      </c>
      <c r="IN1077" t="s">
        <v>852</v>
      </c>
      <c r="IP1077" s="1">
        <v>41052</v>
      </c>
      <c r="IQ1077">
        <v>2008</v>
      </c>
      <c r="IR1077">
        <v>674.64</v>
      </c>
      <c r="IS1077" t="s">
        <v>11060</v>
      </c>
      <c r="IT1077">
        <v>5.75</v>
      </c>
      <c r="IU1077" t="s">
        <v>424</v>
      </c>
      <c r="IV1077" t="s">
        <v>425</v>
      </c>
      <c r="IW1077" s="1">
        <v>41486</v>
      </c>
      <c r="IX1077">
        <v>14</v>
      </c>
      <c r="IY1077">
        <v>62</v>
      </c>
      <c r="IZ1077" t="s">
        <v>463</v>
      </c>
    </row>
    <row r="1078" spans="1:272" x14ac:dyDescent="0.25">
      <c r="A1078">
        <v>16486085</v>
      </c>
      <c r="B1078">
        <v>1077</v>
      </c>
      <c r="C1078" t="s">
        <v>393</v>
      </c>
      <c r="D1078" t="s">
        <v>394</v>
      </c>
      <c r="F1078" t="str">
        <f>"11-2N-26-1830-0122-0000"</f>
        <v>11-2N-26-1830-0122-0000</v>
      </c>
      <c r="H1078" t="str">
        <f>"IWANIUSZ MICHAEL WILLIAM &amp; IWANIUSZ SHELLY LYNN (H/W)"</f>
        <v>IWANIUSZ MICHAEL WILLIAM &amp; IWANIUSZ SHELLY LYNN (H/W)</v>
      </c>
      <c r="I1078" t="str">
        <f>"75102 FERN CREEK DRIVE"</f>
        <v>75102 FERN CREEK DRIVE</v>
      </c>
      <c r="J1078" t="str">
        <f t="shared" ref="J1078:J1084" si="357">"YULEE FL 32097"</f>
        <v>YULEE FL 32097</v>
      </c>
      <c r="K1078" t="str">
        <f>"75102 FERN CREEK DR"</f>
        <v>75102 FERN CREEK DR</v>
      </c>
      <c r="L1078" t="str">
        <f t="shared" ref="L1078:L1109" si="358">"YULEE FL 32097"</f>
        <v>YULEE FL 32097</v>
      </c>
      <c r="M1078" t="str">
        <f>"LOT 122 IN OR 2109/1512 RIVER GLEN 1 PB 7/263"</f>
        <v>LOT 122 IN OR 2109/1512 RIVER GLEN 1 PB 7/263</v>
      </c>
      <c r="N1078" t="str">
        <f>""</f>
        <v/>
      </c>
      <c r="O1078" t="str">
        <f>"26767"</f>
        <v>26767</v>
      </c>
      <c r="P1078" t="str">
        <f t="shared" si="334"/>
        <v>2017</v>
      </c>
      <c r="Q1078" t="str">
        <f>""</f>
        <v/>
      </c>
      <c r="R1078" t="str">
        <f t="shared" si="353"/>
        <v>N</v>
      </c>
      <c r="S1078" t="str">
        <f>""</f>
        <v/>
      </c>
      <c r="T1078" t="str">
        <f>"2207.03"</f>
        <v>2207.03</v>
      </c>
      <c r="U1078" t="str">
        <f>"25000.00"</f>
        <v>25000.00</v>
      </c>
      <c r="V1078" t="str">
        <f>"25000.00"</f>
        <v>25000.00</v>
      </c>
      <c r="W1078" t="str">
        <f t="shared" si="335"/>
        <v>2017</v>
      </c>
      <c r="X1078" t="str">
        <f>"16.00"</f>
        <v>16.00</v>
      </c>
      <c r="Y1078" t="str">
        <f>"2305.24"</f>
        <v>2305.24</v>
      </c>
      <c r="Z1078" t="str">
        <f>""</f>
        <v/>
      </c>
      <c r="AA1078" t="str">
        <f>"25000.00"</f>
        <v>25000.00</v>
      </c>
      <c r="AB1078" t="str">
        <f t="shared" si="352"/>
        <v>Residential</v>
      </c>
      <c r="AC1078" t="str">
        <f t="shared" si="345"/>
        <v>0</v>
      </c>
      <c r="AD1078" t="str">
        <f>""</f>
        <v/>
      </c>
      <c r="AE1078" t="str">
        <f>""</f>
        <v/>
      </c>
      <c r="AF1078" t="str">
        <f>"000"</f>
        <v>000</v>
      </c>
      <c r="AG1078" t="str">
        <f t="shared" si="351"/>
        <v>FL</v>
      </c>
      <c r="AH1078" t="str">
        <f>"-"</f>
        <v>-</v>
      </c>
      <c r="AI1078" t="str">
        <f>"25000.00"</f>
        <v>25000.00</v>
      </c>
      <c r="AJ1078" t="str">
        <f>"C55-000-988-1431-2"</f>
        <v>C55-000-988-1431-2</v>
      </c>
      <c r="AK1078" t="str">
        <f>"16460"</f>
        <v>16460</v>
      </c>
      <c r="AL1078">
        <v>4</v>
      </c>
      <c r="AM1078">
        <v>1239</v>
      </c>
      <c r="AN1078">
        <v>2418.9</v>
      </c>
      <c r="AQ1078" t="s">
        <v>11061</v>
      </c>
      <c r="AR1078" t="s">
        <v>11061</v>
      </c>
      <c r="AS1078" t="s">
        <v>11061</v>
      </c>
      <c r="AU1078" t="s">
        <v>396</v>
      </c>
      <c r="AV1078">
        <v>2017</v>
      </c>
      <c r="AW1078" t="str">
        <f>"11-2N-26-1830-0122-0000 "</f>
        <v xml:space="preserve">11-2N-26-1830-0122-0000 </v>
      </c>
      <c r="AX1078">
        <v>75102</v>
      </c>
      <c r="AZ1078" t="s">
        <v>11062</v>
      </c>
      <c r="BA1078" t="s">
        <v>669</v>
      </c>
      <c r="BD1078" t="s">
        <v>2387</v>
      </c>
      <c r="BE1078" t="s">
        <v>393</v>
      </c>
      <c r="BF1078">
        <v>32097</v>
      </c>
      <c r="BG1078" t="s">
        <v>11063</v>
      </c>
      <c r="BH1078" t="s">
        <v>2388</v>
      </c>
      <c r="BI1078">
        <v>-81.671933850836695</v>
      </c>
      <c r="BJ1078">
        <v>30.599133315506201</v>
      </c>
      <c r="BK1078" t="s">
        <v>11064</v>
      </c>
      <c r="BL1078" t="s">
        <v>11065</v>
      </c>
      <c r="BM1078" t="s">
        <v>11063</v>
      </c>
      <c r="BN1078" t="s">
        <v>1778</v>
      </c>
      <c r="BO1078">
        <v>32097</v>
      </c>
      <c r="BP1078" t="s">
        <v>416</v>
      </c>
      <c r="BQ1078">
        <v>0</v>
      </c>
      <c r="BR1078" t="s">
        <v>491</v>
      </c>
      <c r="BS1078">
        <v>8001</v>
      </c>
      <c r="BT1078" t="s">
        <v>492</v>
      </c>
      <c r="BW1078">
        <v>8328</v>
      </c>
      <c r="BX1078" t="s">
        <v>407</v>
      </c>
      <c r="CD1078">
        <v>2017</v>
      </c>
      <c r="CE1078">
        <v>25000</v>
      </c>
      <c r="CG1078">
        <v>25000</v>
      </c>
      <c r="CH1078">
        <v>2017</v>
      </c>
      <c r="CI1078">
        <v>25000</v>
      </c>
      <c r="CK1078">
        <v>25000</v>
      </c>
      <c r="CL1078">
        <v>2017</v>
      </c>
      <c r="CM1078">
        <v>2207.0300000000002</v>
      </c>
      <c r="CN1078" s="1">
        <v>42823</v>
      </c>
      <c r="CO1078">
        <v>233035</v>
      </c>
      <c r="CV1078">
        <v>233035</v>
      </c>
      <c r="CX1078" t="s">
        <v>11066</v>
      </c>
      <c r="CZ1078" s="1">
        <v>42823</v>
      </c>
      <c r="DA1078">
        <v>0</v>
      </c>
      <c r="DD1078" t="s">
        <v>2387</v>
      </c>
      <c r="DF1078">
        <v>122</v>
      </c>
      <c r="DG1078">
        <v>11</v>
      </c>
      <c r="DJ1078" t="s">
        <v>11067</v>
      </c>
      <c r="DL1078">
        <v>50301</v>
      </c>
      <c r="DM1078" t="s">
        <v>11068</v>
      </c>
      <c r="DO1078" t="s">
        <v>11069</v>
      </c>
      <c r="DP1078">
        <v>0</v>
      </c>
      <c r="DQ1078">
        <v>0</v>
      </c>
      <c r="DR1078" t="s">
        <v>411</v>
      </c>
      <c r="EL1078" s="1">
        <v>39146</v>
      </c>
      <c r="EM1078" t="s">
        <v>11070</v>
      </c>
      <c r="EN1078" t="s">
        <v>11071</v>
      </c>
      <c r="EO1078" s="3">
        <v>10390000</v>
      </c>
      <c r="EP1078" t="s">
        <v>421</v>
      </c>
      <c r="EQ1078" t="s">
        <v>422</v>
      </c>
      <c r="ER1078">
        <v>0</v>
      </c>
      <c r="ES1078">
        <v>1</v>
      </c>
      <c r="ET1078">
        <v>0</v>
      </c>
      <c r="EU1078">
        <v>0</v>
      </c>
      <c r="EV1078">
        <v>0</v>
      </c>
      <c r="EW1078" s="2">
        <v>43222</v>
      </c>
      <c r="EX1078" s="1">
        <v>40688</v>
      </c>
      <c r="EY1078">
        <v>2010</v>
      </c>
      <c r="EZ1078">
        <v>2424.61</v>
      </c>
      <c r="FA1078" t="s">
        <v>11072</v>
      </c>
      <c r="FB1078">
        <v>10.75</v>
      </c>
      <c r="FC1078" t="s">
        <v>424</v>
      </c>
      <c r="FD1078" t="s">
        <v>425</v>
      </c>
      <c r="FE1078" s="1">
        <v>40751</v>
      </c>
      <c r="FF1078">
        <v>2</v>
      </c>
      <c r="FG1078">
        <v>10125</v>
      </c>
      <c r="FH1078" t="s">
        <v>440</v>
      </c>
    </row>
    <row r="1079" spans="1:272" x14ac:dyDescent="0.25">
      <c r="A1079">
        <v>16486086</v>
      </c>
      <c r="B1079">
        <v>1078</v>
      </c>
      <c r="C1079" t="s">
        <v>393</v>
      </c>
      <c r="D1079" t="s">
        <v>394</v>
      </c>
      <c r="F1079" t="str">
        <f>"11-2N-26-2050-0185-0000"</f>
        <v>11-2N-26-2050-0185-0000</v>
      </c>
      <c r="H1079" t="str">
        <f>"COLE HERMAN &amp; CHRISTINE"</f>
        <v>COLE HERMAN &amp; CHRISTINE</v>
      </c>
      <c r="I1079" t="str">
        <f>"76282 DEERWOOD DRIVE"</f>
        <v>76282 DEERWOOD DRIVE</v>
      </c>
      <c r="J1079" t="str">
        <f t="shared" si="357"/>
        <v>YULEE FL 32097</v>
      </c>
      <c r="K1079" t="str">
        <f>"76282 DEERWOOD DR"</f>
        <v>76282 DEERWOOD DR</v>
      </c>
      <c r="L1079" t="str">
        <f t="shared" si="358"/>
        <v>YULEE FL 32097</v>
      </c>
      <c r="M1079" t="str">
        <f>"LOT 185 IN OR 1422/1395 TIMBER CREEK PLANTATION 1 PB 6/394"</f>
        <v>LOT 185 IN OR 1422/1395 TIMBER CREEK PLANTATION 1 PB 6/394</v>
      </c>
      <c r="N1079" t="str">
        <f>""</f>
        <v/>
      </c>
      <c r="O1079" t="str">
        <f>"27053"</f>
        <v>27053</v>
      </c>
      <c r="P1079" t="str">
        <f t="shared" si="334"/>
        <v>2017</v>
      </c>
      <c r="Q1079" t="str">
        <f>""</f>
        <v/>
      </c>
      <c r="R1079" t="str">
        <f>"Y"</f>
        <v>Y</v>
      </c>
      <c r="S1079" t="str">
        <f>""</f>
        <v/>
      </c>
      <c r="T1079" t="str">
        <f>"1530.50"</f>
        <v>1530.50</v>
      </c>
      <c r="U1079" t="str">
        <f>"140202.00"</f>
        <v>140202.00</v>
      </c>
      <c r="V1079" t="str">
        <f>"140202.00"</f>
        <v>140202.00</v>
      </c>
      <c r="W1079" t="str">
        <f t="shared" si="335"/>
        <v>2017</v>
      </c>
      <c r="X1079" t="str">
        <f>""</f>
        <v/>
      </c>
      <c r="Y1079" t="str">
        <f>"1219.52"</f>
        <v>1219.52</v>
      </c>
      <c r="Z1079" t="str">
        <f>"25000.00"</f>
        <v>25000.00</v>
      </c>
      <c r="AA1079" t="str">
        <f>"115202.00"</f>
        <v>115202.00</v>
      </c>
      <c r="AB1079" t="str">
        <f t="shared" si="352"/>
        <v>Residential</v>
      </c>
      <c r="AC1079" t="str">
        <f t="shared" si="345"/>
        <v>0</v>
      </c>
      <c r="AD1079" t="str">
        <f>"4"</f>
        <v>4</v>
      </c>
      <c r="AE1079" t="str">
        <f>"WOOD (INCLUDE STEEL STUDS)"</f>
        <v>WOOD (INCLUDE STEEL STUDS)</v>
      </c>
      <c r="AF1079" t="str">
        <f>"001"</f>
        <v>001</v>
      </c>
      <c r="AG1079" t="str">
        <f t="shared" si="351"/>
        <v>FL</v>
      </c>
      <c r="AH1079" t="str">
        <f>"-"</f>
        <v>-</v>
      </c>
      <c r="AI1079" t="str">
        <f>"26250.00"</f>
        <v>26250.00</v>
      </c>
      <c r="AJ1079" t="str">
        <f>"C55-000-589-0774-2"</f>
        <v>C55-000-589-0774-2</v>
      </c>
      <c r="AK1079" t="str">
        <f>"16745"</f>
        <v>16745</v>
      </c>
      <c r="AL1079">
        <v>4</v>
      </c>
      <c r="AM1079">
        <v>1240</v>
      </c>
      <c r="AN1079">
        <v>1278.9000000000001</v>
      </c>
      <c r="AQ1079" t="s">
        <v>11073</v>
      </c>
      <c r="AR1079" t="s">
        <v>11073</v>
      </c>
      <c r="AS1079" t="s">
        <v>11073</v>
      </c>
      <c r="AU1079" t="s">
        <v>396</v>
      </c>
      <c r="AV1079">
        <v>2017</v>
      </c>
      <c r="AW1079" t="str">
        <f>"11-2N-26-2050-0185-0000 "</f>
        <v xml:space="preserve">11-2N-26-2050-0185-0000 </v>
      </c>
      <c r="AX1079">
        <v>76282</v>
      </c>
      <c r="AZ1079" t="s">
        <v>11074</v>
      </c>
      <c r="BA1079" t="s">
        <v>669</v>
      </c>
      <c r="BD1079" t="s">
        <v>2387</v>
      </c>
      <c r="BE1079" t="s">
        <v>393</v>
      </c>
      <c r="BF1079">
        <v>32097</v>
      </c>
      <c r="BG1079" t="s">
        <v>11075</v>
      </c>
      <c r="BH1079" t="s">
        <v>2388</v>
      </c>
      <c r="BI1079">
        <v>-81.667838217531497</v>
      </c>
      <c r="BJ1079">
        <v>30.605905595399399</v>
      </c>
      <c r="BK1079" t="s">
        <v>11076</v>
      </c>
      <c r="BL1079" t="s">
        <v>11077</v>
      </c>
      <c r="BM1079" t="s">
        <v>11075</v>
      </c>
      <c r="BN1079" t="s">
        <v>1778</v>
      </c>
      <c r="BO1079">
        <v>32097</v>
      </c>
      <c r="BP1079" t="s">
        <v>416</v>
      </c>
      <c r="BQ1079">
        <v>100</v>
      </c>
      <c r="BR1079" t="s">
        <v>514</v>
      </c>
      <c r="BS1079">
        <v>1001</v>
      </c>
      <c r="BT1079" t="s">
        <v>515</v>
      </c>
      <c r="BW1079">
        <v>7493</v>
      </c>
      <c r="BX1079" t="s">
        <v>407</v>
      </c>
      <c r="BY1079" t="s">
        <v>3019</v>
      </c>
      <c r="BZ1079">
        <v>4</v>
      </c>
      <c r="CA1079">
        <v>2006</v>
      </c>
      <c r="CB1079">
        <v>1</v>
      </c>
      <c r="CC1079">
        <v>1</v>
      </c>
      <c r="CD1079">
        <v>2017</v>
      </c>
      <c r="CG1079">
        <v>140202</v>
      </c>
      <c r="CH1079">
        <v>2017</v>
      </c>
      <c r="CI1079">
        <v>26250</v>
      </c>
      <c r="CJ1079">
        <v>133763</v>
      </c>
      <c r="CK1079">
        <v>160013</v>
      </c>
      <c r="CL1079">
        <v>2017</v>
      </c>
      <c r="CM1079">
        <v>1530.5</v>
      </c>
      <c r="CN1079" s="1">
        <v>38891</v>
      </c>
      <c r="CO1079">
        <v>247700</v>
      </c>
      <c r="CZ1079" s="1">
        <v>38891</v>
      </c>
      <c r="DD1079" t="s">
        <v>2387</v>
      </c>
      <c r="DF1079">
        <v>185</v>
      </c>
      <c r="DG1079">
        <v>11</v>
      </c>
      <c r="DJ1079" t="s">
        <v>11078</v>
      </c>
      <c r="DL1079">
        <v>50301</v>
      </c>
      <c r="DM1079" t="s">
        <v>11068</v>
      </c>
      <c r="DO1079" t="s">
        <v>11079</v>
      </c>
      <c r="DP1079">
        <v>0</v>
      </c>
      <c r="DQ1079">
        <v>0</v>
      </c>
      <c r="DR1079" t="s">
        <v>411</v>
      </c>
    </row>
    <row r="1080" spans="1:272" x14ac:dyDescent="0.25">
      <c r="A1080">
        <v>16486087</v>
      </c>
      <c r="B1080">
        <v>1079</v>
      </c>
      <c r="C1080" t="s">
        <v>393</v>
      </c>
      <c r="D1080" t="s">
        <v>394</v>
      </c>
      <c r="F1080" t="str">
        <f>"13-2N-26-4200-0023-0000"</f>
        <v>13-2N-26-4200-0023-0000</v>
      </c>
      <c r="H1080" t="str">
        <f>"SMIT ROBIN &amp; LAURA MARY"</f>
        <v>SMIT ROBIN &amp; LAURA MARY</v>
      </c>
      <c r="I1080" t="str">
        <f>"75028 EDWARDS ROAD"</f>
        <v>75028 EDWARDS ROAD</v>
      </c>
      <c r="J1080" t="str">
        <f t="shared" si="357"/>
        <v>YULEE FL 32097</v>
      </c>
      <c r="K1080" t="str">
        <f>"75028 EDWARDS RD"</f>
        <v>75028 EDWARDS RD</v>
      </c>
      <c r="L1080" t="str">
        <f t="shared" si="358"/>
        <v>YULEE FL 32097</v>
      </c>
      <c r="M1080" t="str">
        <f>"LOT 23 IN OR 2115/722 NASSAU LANDING SUB PB 4/84-85"</f>
        <v>LOT 23 IN OR 2115/722 NASSAU LANDING SUB PB 4/84-85</v>
      </c>
      <c r="N1080" t="str">
        <f>""</f>
        <v/>
      </c>
      <c r="O1080" t="str">
        <f>"29317"</f>
        <v>29317</v>
      </c>
      <c r="P1080" t="str">
        <f t="shared" si="334"/>
        <v>2017</v>
      </c>
      <c r="Q1080" t="str">
        <f>""</f>
        <v/>
      </c>
      <c r="R1080" t="str">
        <f>"N"</f>
        <v>N</v>
      </c>
      <c r="S1080" t="str">
        <f>"1.00"</f>
        <v>1.00</v>
      </c>
      <c r="T1080" t="str">
        <f>"1588.07"</f>
        <v>1588.07</v>
      </c>
      <c r="U1080" t="str">
        <f>"104900.00"</f>
        <v>104900.00</v>
      </c>
      <c r="V1080" t="str">
        <f>"104900.00"</f>
        <v>104900.00</v>
      </c>
      <c r="W1080" t="str">
        <f t="shared" si="335"/>
        <v>2017</v>
      </c>
      <c r="X1080" t="str">
        <f>""</f>
        <v/>
      </c>
      <c r="Y1080" t="str">
        <f>"1667.71"</f>
        <v>1667.71</v>
      </c>
      <c r="Z1080" t="str">
        <f>""</f>
        <v/>
      </c>
      <c r="AA1080" t="str">
        <f>"104900.00"</f>
        <v>104900.00</v>
      </c>
      <c r="AB1080" t="str">
        <f t="shared" si="352"/>
        <v>Residential</v>
      </c>
      <c r="AC1080" t="str">
        <f t="shared" si="345"/>
        <v>0</v>
      </c>
      <c r="AD1080" t="str">
        <f>"4"</f>
        <v>4</v>
      </c>
      <c r="AE1080" t="str">
        <f>"WOOD (INCLUDE STEEL STUDS)"</f>
        <v>WOOD (INCLUDE STEEL STUDS)</v>
      </c>
      <c r="AF1080" t="str">
        <f>"001"</f>
        <v>001</v>
      </c>
      <c r="AG1080" t="str">
        <f t="shared" si="351"/>
        <v>FL</v>
      </c>
      <c r="AH1080" t="str">
        <f>"43560.00"</f>
        <v>43560.00</v>
      </c>
      <c r="AI1080" t="str">
        <f>"15750.00"</f>
        <v>15750.00</v>
      </c>
      <c r="AJ1080" t="str">
        <f>"C55-000-586-9988-5"</f>
        <v>C55-000-586-9988-5</v>
      </c>
      <c r="AK1080" t="str">
        <f>"17573"</f>
        <v>17573</v>
      </c>
      <c r="AL1080">
        <v>4</v>
      </c>
      <c r="AM1080">
        <v>1242</v>
      </c>
      <c r="AN1080">
        <v>1749.5</v>
      </c>
      <c r="AQ1080" t="s">
        <v>11080</v>
      </c>
      <c r="AR1080" t="s">
        <v>11080</v>
      </c>
      <c r="AS1080" t="s">
        <v>11080</v>
      </c>
      <c r="AU1080" t="s">
        <v>396</v>
      </c>
      <c r="AV1080">
        <v>2017</v>
      </c>
      <c r="AW1080" t="str">
        <f>"13-2N-26-4200-0023-0000 "</f>
        <v xml:space="preserve">13-2N-26-4200-0023-0000 </v>
      </c>
      <c r="AX1080">
        <v>75028</v>
      </c>
      <c r="AZ1080" t="s">
        <v>11081</v>
      </c>
      <c r="BA1080" t="s">
        <v>496</v>
      </c>
      <c r="BD1080" t="s">
        <v>2387</v>
      </c>
      <c r="BE1080" t="s">
        <v>393</v>
      </c>
      <c r="BF1080">
        <v>32097</v>
      </c>
      <c r="BG1080" t="s">
        <v>11082</v>
      </c>
      <c r="BH1080" t="s">
        <v>2388</v>
      </c>
      <c r="BI1080">
        <v>-81.659490988330404</v>
      </c>
      <c r="BJ1080">
        <v>30.5897402209274</v>
      </c>
      <c r="BK1080" t="s">
        <v>11083</v>
      </c>
      <c r="BL1080" t="s">
        <v>11084</v>
      </c>
      <c r="BM1080" t="s">
        <v>11085</v>
      </c>
      <c r="BN1080" t="s">
        <v>548</v>
      </c>
      <c r="BO1080">
        <v>32226</v>
      </c>
      <c r="BP1080" t="s">
        <v>404</v>
      </c>
      <c r="BQ1080">
        <v>100</v>
      </c>
      <c r="BR1080" t="s">
        <v>514</v>
      </c>
      <c r="BS1080">
        <v>1001</v>
      </c>
      <c r="BT1080" t="s">
        <v>515</v>
      </c>
      <c r="BW1080">
        <v>43560</v>
      </c>
      <c r="BX1080" t="s">
        <v>407</v>
      </c>
      <c r="BY1080" t="s">
        <v>2729</v>
      </c>
      <c r="BZ1080">
        <v>4</v>
      </c>
      <c r="CA1080">
        <v>1987</v>
      </c>
      <c r="CB1080">
        <v>1</v>
      </c>
      <c r="CC1080">
        <v>1</v>
      </c>
      <c r="CD1080">
        <v>2017</v>
      </c>
      <c r="CE1080">
        <v>15750</v>
      </c>
      <c r="CF1080">
        <v>89150</v>
      </c>
      <c r="CG1080">
        <v>104900</v>
      </c>
      <c r="CH1080">
        <v>2017</v>
      </c>
      <c r="CI1080">
        <v>15750</v>
      </c>
      <c r="CJ1080">
        <v>89150</v>
      </c>
      <c r="CK1080">
        <v>104900</v>
      </c>
      <c r="CL1080">
        <v>2017</v>
      </c>
      <c r="CM1080">
        <v>1588.07</v>
      </c>
      <c r="CN1080" s="1">
        <v>42846</v>
      </c>
      <c r="CO1080">
        <v>185500</v>
      </c>
      <c r="CV1080">
        <v>135000</v>
      </c>
      <c r="CX1080" t="s">
        <v>707</v>
      </c>
      <c r="CZ1080" s="1">
        <v>42846</v>
      </c>
      <c r="DA1080">
        <v>0</v>
      </c>
      <c r="DD1080" t="s">
        <v>2387</v>
      </c>
      <c r="DF1080">
        <v>23</v>
      </c>
      <c r="DG1080">
        <v>13</v>
      </c>
      <c r="DJ1080" t="s">
        <v>11086</v>
      </c>
      <c r="DL1080">
        <v>50301</v>
      </c>
      <c r="DM1080" t="s">
        <v>11087</v>
      </c>
      <c r="DO1080" t="s">
        <v>11088</v>
      </c>
      <c r="DP1080">
        <v>0</v>
      </c>
      <c r="DQ1080">
        <v>0</v>
      </c>
      <c r="DR1080" t="s">
        <v>411</v>
      </c>
    </row>
    <row r="1081" spans="1:272" x14ac:dyDescent="0.25">
      <c r="A1081">
        <v>16486088</v>
      </c>
      <c r="B1081">
        <v>1080</v>
      </c>
      <c r="C1081" t="s">
        <v>393</v>
      </c>
      <c r="D1081" t="s">
        <v>394</v>
      </c>
      <c r="F1081" t="str">
        <f>"14-2N-26-4280-0002-0160"</f>
        <v>14-2N-26-4280-0002-0160</v>
      </c>
      <c r="H1081" t="str">
        <f>"WEINBERG DOUGLAS E &amp; JUNE T"</f>
        <v>WEINBERG DOUGLAS E &amp; JUNE T</v>
      </c>
      <c r="I1081" t="str">
        <f>"75135 RANDY ROAD"</f>
        <v>75135 RANDY ROAD</v>
      </c>
      <c r="J1081" t="str">
        <f t="shared" si="357"/>
        <v>YULEE FL 32097</v>
      </c>
      <c r="K1081" t="str">
        <f>"75135 RANDY RD"</f>
        <v>75135 RANDY RD</v>
      </c>
      <c r="L1081" t="str">
        <f t="shared" si="358"/>
        <v>YULEE FL 32097</v>
      </c>
      <c r="M1081" t="str">
        <f>"PT OF UNNUMBERED TRACT IN OR 650/238 SUB OF GOVT LOT 9 IN SEC 14-2N-26E UNR {R568008 &amp; R568009}"</f>
        <v>PT OF UNNUMBERED TRACT IN OR 650/238 SUB OF GOVT LOT 9 IN SEC 14-2N-26E UNR {R568008 &amp; R568009}</v>
      </c>
      <c r="N1081" t="str">
        <f>""</f>
        <v/>
      </c>
      <c r="O1081" t="str">
        <f>"29957"</f>
        <v>29957</v>
      </c>
      <c r="P1081" t="str">
        <f t="shared" si="334"/>
        <v>2017</v>
      </c>
      <c r="Q1081" t="str">
        <f>""</f>
        <v/>
      </c>
      <c r="R1081" t="str">
        <f>"Y"</f>
        <v>Y</v>
      </c>
      <c r="S1081" t="str">
        <f>""</f>
        <v/>
      </c>
      <c r="T1081" t="str">
        <f>"230.55"</f>
        <v>230.55</v>
      </c>
      <c r="U1081" t="str">
        <f>"40229.00"</f>
        <v>40229.00</v>
      </c>
      <c r="V1081" t="str">
        <f>"40229.00"</f>
        <v>40229.00</v>
      </c>
      <c r="W1081" t="str">
        <f t="shared" si="335"/>
        <v>2017</v>
      </c>
      <c r="X1081" t="str">
        <f>"3.00"</f>
        <v>3.00</v>
      </c>
      <c r="Y1081" t="str">
        <f>"269.47"</f>
        <v>269.47</v>
      </c>
      <c r="Z1081" t="str">
        <f>"25000.00"</f>
        <v>25000.00</v>
      </c>
      <c r="AA1081" t="str">
        <f>"15229.00"</f>
        <v>15229.00</v>
      </c>
      <c r="AB1081" t="str">
        <f t="shared" si="352"/>
        <v>Residential</v>
      </c>
      <c r="AC1081" t="str">
        <f t="shared" si="345"/>
        <v>0</v>
      </c>
      <c r="AD1081" t="str">
        <f>"4"</f>
        <v>4</v>
      </c>
      <c r="AE1081" t="str">
        <f>"WOOD (INCLUDE STEEL STUDS)"</f>
        <v>WOOD (INCLUDE STEEL STUDS)</v>
      </c>
      <c r="AF1081" t="str">
        <f>"002"</f>
        <v>002</v>
      </c>
      <c r="AG1081" t="str">
        <f t="shared" si="351"/>
        <v>FL</v>
      </c>
      <c r="AH1081" t="str">
        <f>"-"</f>
        <v>-</v>
      </c>
      <c r="AI1081" t="str">
        <f>"15750.00"</f>
        <v>15750.00</v>
      </c>
      <c r="AJ1081" t="str">
        <f>"C55-000-587-0194-7"</f>
        <v>C55-000-587-0194-7</v>
      </c>
      <c r="AK1081" t="str">
        <f>"17599"</f>
        <v>17599</v>
      </c>
      <c r="AL1081">
        <v>4</v>
      </c>
      <c r="AM1081">
        <v>1244</v>
      </c>
      <c r="AN1081">
        <v>281.33999999999997</v>
      </c>
      <c r="AQ1081" t="s">
        <v>11089</v>
      </c>
      <c r="AR1081" t="s">
        <v>11089</v>
      </c>
      <c r="AS1081" t="s">
        <v>11089</v>
      </c>
      <c r="AU1081" t="s">
        <v>396</v>
      </c>
      <c r="AV1081">
        <v>2017</v>
      </c>
      <c r="AW1081" t="str">
        <f>"14-2N-26-4280-0002-0160 "</f>
        <v xml:space="preserve">14-2N-26-4280-0002-0160 </v>
      </c>
      <c r="AX1081">
        <v>75135</v>
      </c>
      <c r="AZ1081" t="s">
        <v>11090</v>
      </c>
      <c r="BA1081" t="s">
        <v>496</v>
      </c>
      <c r="BD1081" t="s">
        <v>2387</v>
      </c>
      <c r="BE1081" t="s">
        <v>393</v>
      </c>
      <c r="BF1081">
        <v>32097</v>
      </c>
      <c r="BG1081" t="s">
        <v>11091</v>
      </c>
      <c r="BH1081" t="s">
        <v>2388</v>
      </c>
      <c r="BI1081">
        <v>-81.667768786428994</v>
      </c>
      <c r="BJ1081">
        <v>30.591255973774299</v>
      </c>
      <c r="BK1081" t="s">
        <v>11092</v>
      </c>
      <c r="BL1081" t="s">
        <v>11093</v>
      </c>
      <c r="BM1081" t="s">
        <v>11091</v>
      </c>
      <c r="BN1081" t="s">
        <v>1778</v>
      </c>
      <c r="BO1081">
        <v>32097</v>
      </c>
      <c r="BP1081" t="s">
        <v>416</v>
      </c>
      <c r="BQ1081">
        <v>200</v>
      </c>
      <c r="BR1081" t="s">
        <v>405</v>
      </c>
      <c r="BS1081">
        <v>1006</v>
      </c>
      <c r="BT1081" t="s">
        <v>406</v>
      </c>
      <c r="BW1081">
        <v>32040</v>
      </c>
      <c r="BX1081" t="s">
        <v>407</v>
      </c>
      <c r="BY1081" t="s">
        <v>4360</v>
      </c>
      <c r="BZ1081">
        <v>4</v>
      </c>
      <c r="CA1081">
        <v>1992</v>
      </c>
      <c r="CB1081">
        <v>1</v>
      </c>
      <c r="CC1081">
        <v>1</v>
      </c>
      <c r="CD1081">
        <v>2017</v>
      </c>
      <c r="CG1081">
        <v>40229</v>
      </c>
      <c r="CH1081">
        <v>2017</v>
      </c>
      <c r="CI1081">
        <v>15750</v>
      </c>
      <c r="CJ1081">
        <v>39074</v>
      </c>
      <c r="CK1081">
        <v>54824</v>
      </c>
      <c r="CL1081">
        <v>2017</v>
      </c>
      <c r="CM1081">
        <v>230.55</v>
      </c>
      <c r="CN1081" s="1">
        <v>33661</v>
      </c>
      <c r="CZ1081" s="1">
        <v>33661</v>
      </c>
      <c r="DD1081" t="s">
        <v>2387</v>
      </c>
      <c r="DF1081">
        <v>9</v>
      </c>
      <c r="DG1081">
        <v>14</v>
      </c>
      <c r="DL1081">
        <v>50301</v>
      </c>
      <c r="DM1081" t="s">
        <v>11094</v>
      </c>
      <c r="DO1081" t="s">
        <v>11095</v>
      </c>
      <c r="DP1081">
        <v>0</v>
      </c>
      <c r="DQ1081">
        <v>0</v>
      </c>
      <c r="DR1081" t="s">
        <v>411</v>
      </c>
      <c r="DS1081" t="b">
        <v>1</v>
      </c>
      <c r="DT1081" t="s">
        <v>396</v>
      </c>
      <c r="DV1081" t="s">
        <v>446</v>
      </c>
      <c r="DX1081">
        <v>-9999</v>
      </c>
      <c r="DZ1081" t="s">
        <v>447</v>
      </c>
      <c r="EA1081" t="s">
        <v>448</v>
      </c>
      <c r="EB1081" t="s">
        <v>2792</v>
      </c>
      <c r="EC1081">
        <v>20101217</v>
      </c>
      <c r="ED1081" t="s">
        <v>450</v>
      </c>
      <c r="EE1081">
        <v>5.2</v>
      </c>
      <c r="EF1081">
        <v>0</v>
      </c>
      <c r="EG1081">
        <v>0</v>
      </c>
      <c r="EI1081">
        <v>20160407</v>
      </c>
      <c r="EP1081" t="s">
        <v>421</v>
      </c>
      <c r="EQ1081" t="s">
        <v>422</v>
      </c>
      <c r="ER1081">
        <v>0</v>
      </c>
      <c r="ES1081">
        <v>1</v>
      </c>
      <c r="ET1081">
        <v>0</v>
      </c>
      <c r="EU1081">
        <v>0</v>
      </c>
      <c r="EV1081">
        <v>0</v>
      </c>
      <c r="EW1081" s="2">
        <v>43222</v>
      </c>
      <c r="EX1081" s="1">
        <v>41423</v>
      </c>
      <c r="EY1081">
        <v>2012</v>
      </c>
      <c r="EZ1081">
        <v>475.79</v>
      </c>
      <c r="FA1081" t="s">
        <v>11096</v>
      </c>
      <c r="FB1081">
        <v>0.25</v>
      </c>
      <c r="FC1081" t="s">
        <v>424</v>
      </c>
      <c r="FD1081" t="s">
        <v>425</v>
      </c>
      <c r="FE1081" s="1">
        <v>41439</v>
      </c>
      <c r="FF1081">
        <v>1</v>
      </c>
      <c r="FG1081">
        <v>15399</v>
      </c>
      <c r="FH1081" t="s">
        <v>485</v>
      </c>
    </row>
    <row r="1082" spans="1:272" x14ac:dyDescent="0.25">
      <c r="A1082">
        <v>16486089</v>
      </c>
      <c r="B1082">
        <v>1081</v>
      </c>
      <c r="C1082" t="s">
        <v>393</v>
      </c>
      <c r="D1082" t="s">
        <v>394</v>
      </c>
      <c r="F1082" t="str">
        <f>"14-2N-26-4280-0002-0260"</f>
        <v>14-2N-26-4280-0002-0260</v>
      </c>
      <c r="H1082" t="str">
        <f>"WEINBERG DAVID &amp; AURIEL"</f>
        <v>WEINBERG DAVID &amp; AURIEL</v>
      </c>
      <c r="I1082" t="str">
        <f>"75051 RANDY ROAD"</f>
        <v>75051 RANDY ROAD</v>
      </c>
      <c r="J1082" t="str">
        <f t="shared" si="357"/>
        <v>YULEE FL 32097</v>
      </c>
      <c r="K1082" t="str">
        <f>"OFF RANDY RD"</f>
        <v>OFF RANDY RD</v>
      </c>
      <c r="L1082" t="str">
        <f t="shared" si="358"/>
        <v>YULEE FL 32097</v>
      </c>
      <c r="M1082" t="str">
        <f>"PT OF UNNUMBERED TRACT IN OR 1684/1813 SUB OF GOVT LOT 9 IN SEC 14-2N-26E UNR"</f>
        <v>PT OF UNNUMBERED TRACT IN OR 1684/1813 SUB OF GOVT LOT 9 IN SEC 14-2N-26E UNR</v>
      </c>
      <c r="N1082" t="str">
        <f>""</f>
        <v/>
      </c>
      <c r="O1082" t="str">
        <f>"29965"</f>
        <v>29965</v>
      </c>
      <c r="P1082" t="str">
        <f t="shared" si="334"/>
        <v>2017</v>
      </c>
      <c r="Q1082" t="str">
        <f>""</f>
        <v/>
      </c>
      <c r="R1082" t="str">
        <f>"N"</f>
        <v>N</v>
      </c>
      <c r="S1082" t="str">
        <f>"3.21"</f>
        <v>3.21</v>
      </c>
      <c r="T1082" t="str">
        <f>"408.19"</f>
        <v>408.19</v>
      </c>
      <c r="U1082" t="str">
        <f>"26964.00"</f>
        <v>26964.00</v>
      </c>
      <c r="V1082" t="str">
        <f>"26964.00"</f>
        <v>26964.00</v>
      </c>
      <c r="W1082" t="str">
        <f t="shared" si="335"/>
        <v>2017</v>
      </c>
      <c r="X1082" t="str">
        <f>""</f>
        <v/>
      </c>
      <c r="Y1082" t="str">
        <f>"452.44"</f>
        <v>452.44</v>
      </c>
      <c r="Z1082" t="str">
        <f>""</f>
        <v/>
      </c>
      <c r="AA1082" t="str">
        <f>"26964.00"</f>
        <v>26964.00</v>
      </c>
      <c r="AB1082" t="str">
        <f t="shared" si="352"/>
        <v>Residential</v>
      </c>
      <c r="AC1082" t="str">
        <f t="shared" si="345"/>
        <v>0</v>
      </c>
      <c r="AD1082" t="str">
        <f>""</f>
        <v/>
      </c>
      <c r="AE1082" t="str">
        <f>""</f>
        <v/>
      </c>
      <c r="AF1082" t="str">
        <f>"000"</f>
        <v>000</v>
      </c>
      <c r="AG1082" t="str">
        <f t="shared" si="351"/>
        <v>FL</v>
      </c>
      <c r="AH1082" t="str">
        <f>"139827.00"</f>
        <v>139827.00</v>
      </c>
      <c r="AI1082" t="str">
        <f>"26964.00"</f>
        <v>26964.00</v>
      </c>
      <c r="AJ1082" t="str">
        <f>"C55-001-037-7949-2"</f>
        <v>C55-001-037-7949-2</v>
      </c>
      <c r="AK1082" t="str">
        <f>"17607"</f>
        <v>17607</v>
      </c>
      <c r="AL1082">
        <v>4</v>
      </c>
      <c r="AM1082">
        <v>1245</v>
      </c>
      <c r="AN1082">
        <v>473.46</v>
      </c>
      <c r="AQ1082" t="s">
        <v>11097</v>
      </c>
      <c r="AR1082" t="s">
        <v>11097</v>
      </c>
      <c r="AS1082" t="s">
        <v>11097</v>
      </c>
      <c r="AU1082" t="s">
        <v>396</v>
      </c>
      <c r="AV1082">
        <v>2017</v>
      </c>
      <c r="AW1082" t="str">
        <f>"14-2N-26-4280-0002-0260 "</f>
        <v xml:space="preserve">14-2N-26-4280-0002-0260 </v>
      </c>
      <c r="AZ1082" t="s">
        <v>11098</v>
      </c>
      <c r="BA1082" t="s">
        <v>496</v>
      </c>
      <c r="BD1082" t="s">
        <v>2387</v>
      </c>
      <c r="BE1082" t="s">
        <v>393</v>
      </c>
      <c r="BF1082">
        <v>32097</v>
      </c>
      <c r="BG1082" t="s">
        <v>11099</v>
      </c>
      <c r="BH1082" t="s">
        <v>2388</v>
      </c>
      <c r="BI1082">
        <v>-81.668690111300904</v>
      </c>
      <c r="BJ1082">
        <v>30.5928997560966</v>
      </c>
      <c r="BK1082" t="s">
        <v>11100</v>
      </c>
      <c r="BL1082" t="s">
        <v>11101</v>
      </c>
      <c r="BM1082" t="s">
        <v>11102</v>
      </c>
      <c r="BN1082" t="s">
        <v>1778</v>
      </c>
      <c r="BO1082">
        <v>32097</v>
      </c>
      <c r="BP1082" t="s">
        <v>404</v>
      </c>
      <c r="BQ1082">
        <v>0</v>
      </c>
      <c r="BR1082" t="s">
        <v>491</v>
      </c>
      <c r="BS1082">
        <v>8001</v>
      </c>
      <c r="BT1082" t="s">
        <v>492</v>
      </c>
      <c r="BW1082">
        <v>139827</v>
      </c>
      <c r="BX1082" t="s">
        <v>407</v>
      </c>
      <c r="BY1082" t="s">
        <v>4360</v>
      </c>
      <c r="CD1082">
        <v>2017</v>
      </c>
      <c r="CE1082">
        <v>26964</v>
      </c>
      <c r="CG1082">
        <v>26964</v>
      </c>
      <c r="CH1082">
        <v>2017</v>
      </c>
      <c r="CI1082">
        <v>26964</v>
      </c>
      <c r="CK1082">
        <v>26964</v>
      </c>
      <c r="CL1082">
        <v>2017</v>
      </c>
      <c r="CM1082">
        <v>408.19</v>
      </c>
      <c r="CN1082" s="1">
        <v>40318</v>
      </c>
      <c r="CZ1082" s="1">
        <v>40318</v>
      </c>
      <c r="DD1082" t="s">
        <v>2387</v>
      </c>
      <c r="DF1082">
        <v>9</v>
      </c>
      <c r="DG1082">
        <v>14</v>
      </c>
      <c r="DL1082">
        <v>50301</v>
      </c>
      <c r="DM1082" t="s">
        <v>11094</v>
      </c>
      <c r="DO1082" t="s">
        <v>11103</v>
      </c>
      <c r="DP1082">
        <v>0</v>
      </c>
      <c r="DQ1082">
        <v>0</v>
      </c>
      <c r="DR1082" t="s">
        <v>411</v>
      </c>
      <c r="EP1082" t="s">
        <v>421</v>
      </c>
      <c r="EQ1082" t="s">
        <v>422</v>
      </c>
      <c r="ER1082">
        <v>1</v>
      </c>
      <c r="ES1082">
        <v>0</v>
      </c>
      <c r="ET1082">
        <v>453.34</v>
      </c>
      <c r="EU1082">
        <v>28.92</v>
      </c>
      <c r="EV1082">
        <v>482.26</v>
      </c>
      <c r="EW1082" s="2">
        <v>43222</v>
      </c>
      <c r="EX1082" s="1">
        <v>42879</v>
      </c>
      <c r="EY1082">
        <v>2016</v>
      </c>
      <c r="EZ1082">
        <v>453.34</v>
      </c>
      <c r="FA1082" t="s">
        <v>11104</v>
      </c>
      <c r="FB1082">
        <v>0.25</v>
      </c>
      <c r="FC1082" t="s">
        <v>424</v>
      </c>
      <c r="FD1082" t="s">
        <v>454</v>
      </c>
      <c r="FF1082">
        <v>12</v>
      </c>
      <c r="FG1082">
        <v>7336143</v>
      </c>
      <c r="FH1082" t="s">
        <v>539</v>
      </c>
    </row>
    <row r="1083" spans="1:272" x14ac:dyDescent="0.25">
      <c r="A1083">
        <v>16486090</v>
      </c>
      <c r="B1083">
        <v>1082</v>
      </c>
      <c r="C1083" t="s">
        <v>393</v>
      </c>
      <c r="D1083" t="s">
        <v>394</v>
      </c>
      <c r="F1083" t="str">
        <f>"14-2N-26-4280-0002-0270"</f>
        <v>14-2N-26-4280-0002-0270</v>
      </c>
      <c r="H1083" t="str">
        <f>"WEINBERG DOUGLAS E &amp; JUNE T"</f>
        <v>WEINBERG DOUGLAS E &amp; JUNE T</v>
      </c>
      <c r="I1083" t="str">
        <f>"75135 RANDY ROAD"</f>
        <v>75135 RANDY ROAD</v>
      </c>
      <c r="J1083" t="str">
        <f t="shared" si="357"/>
        <v>YULEE FL 32097</v>
      </c>
      <c r="K1083" t="str">
        <f>"OFF RANDY RD"</f>
        <v>OFF RANDY RD</v>
      </c>
      <c r="L1083" t="str">
        <f t="shared" si="358"/>
        <v>YULEE FL 32097</v>
      </c>
      <c r="M1083" t="str">
        <f>"PT OF UNNUMBERED TRACT IN OR 1684/1815 SUB OF GOVT LOT 9 IN SEC 14-2N-26E UNR"</f>
        <v>PT OF UNNUMBERED TRACT IN OR 1684/1815 SUB OF GOVT LOT 9 IN SEC 14-2N-26E UNR</v>
      </c>
      <c r="N1083" t="str">
        <f>""</f>
        <v/>
      </c>
      <c r="O1083" t="str">
        <f>"29966"</f>
        <v>29966</v>
      </c>
      <c r="P1083" t="str">
        <f t="shared" si="334"/>
        <v>2017</v>
      </c>
      <c r="Q1083" t="str">
        <f>""</f>
        <v/>
      </c>
      <c r="R1083" t="str">
        <f>"N"</f>
        <v>N</v>
      </c>
      <c r="S1083" t="str">
        <f>"3.21"</f>
        <v>3.21</v>
      </c>
      <c r="T1083" t="str">
        <f>"408.19"</f>
        <v>408.19</v>
      </c>
      <c r="U1083" t="str">
        <f>"26964.00"</f>
        <v>26964.00</v>
      </c>
      <c r="V1083" t="str">
        <f>"26964.00"</f>
        <v>26964.00</v>
      </c>
      <c r="W1083" t="str">
        <f t="shared" si="335"/>
        <v>2017</v>
      </c>
      <c r="X1083" t="str">
        <f>"4.60"</f>
        <v>4.60</v>
      </c>
      <c r="Y1083" t="str">
        <f>"452.44"</f>
        <v>452.44</v>
      </c>
      <c r="Z1083" t="str">
        <f>""</f>
        <v/>
      </c>
      <c r="AA1083" t="str">
        <f>"26964.00"</f>
        <v>26964.00</v>
      </c>
      <c r="AB1083" t="str">
        <f t="shared" si="352"/>
        <v>Residential</v>
      </c>
      <c r="AC1083" t="str">
        <f t="shared" si="345"/>
        <v>0</v>
      </c>
      <c r="AD1083" t="str">
        <f>""</f>
        <v/>
      </c>
      <c r="AE1083" t="str">
        <f>""</f>
        <v/>
      </c>
      <c r="AF1083" t="str">
        <f>"000"</f>
        <v>000</v>
      </c>
      <c r="AG1083" t="str">
        <f t="shared" si="351"/>
        <v>FL</v>
      </c>
      <c r="AH1083" t="str">
        <f>"139827.00"</f>
        <v>139827.00</v>
      </c>
      <c r="AI1083" t="str">
        <f>"26964.00"</f>
        <v>26964.00</v>
      </c>
      <c r="AJ1083" t="str">
        <f>"C55-001-037-7950-0"</f>
        <v>C55-001-037-7950-0</v>
      </c>
      <c r="AK1083" t="str">
        <f>"17608"</f>
        <v>17608</v>
      </c>
      <c r="AL1083">
        <v>4</v>
      </c>
      <c r="AM1083">
        <v>1246</v>
      </c>
      <c r="AN1083">
        <v>473.46</v>
      </c>
      <c r="AQ1083" t="s">
        <v>11105</v>
      </c>
      <c r="AR1083" t="s">
        <v>11105</v>
      </c>
      <c r="AS1083" t="s">
        <v>11105</v>
      </c>
      <c r="AU1083" t="s">
        <v>396</v>
      </c>
      <c r="AV1083">
        <v>2017</v>
      </c>
      <c r="AW1083" t="str">
        <f>"14-2N-26-4280-0002-0270 "</f>
        <v xml:space="preserve">14-2N-26-4280-0002-0270 </v>
      </c>
      <c r="AZ1083" t="s">
        <v>11098</v>
      </c>
      <c r="BA1083" t="s">
        <v>496</v>
      </c>
      <c r="BD1083" t="s">
        <v>2387</v>
      </c>
      <c r="BE1083" t="s">
        <v>393</v>
      </c>
      <c r="BF1083">
        <v>32097</v>
      </c>
      <c r="BG1083" t="s">
        <v>11099</v>
      </c>
      <c r="BH1083" t="s">
        <v>2388</v>
      </c>
      <c r="BI1083">
        <v>-81.667629270962607</v>
      </c>
      <c r="BJ1083">
        <v>30.5921902862002</v>
      </c>
      <c r="BK1083" t="s">
        <v>11092</v>
      </c>
      <c r="BL1083" t="s">
        <v>11093</v>
      </c>
      <c r="BM1083" t="s">
        <v>11091</v>
      </c>
      <c r="BN1083" t="s">
        <v>1778</v>
      </c>
      <c r="BO1083">
        <v>32097</v>
      </c>
      <c r="BP1083" t="s">
        <v>404</v>
      </c>
      <c r="BQ1083">
        <v>0</v>
      </c>
      <c r="BR1083" t="s">
        <v>491</v>
      </c>
      <c r="BS1083">
        <v>8001</v>
      </c>
      <c r="BT1083" t="s">
        <v>492</v>
      </c>
      <c r="BW1083">
        <v>139827</v>
      </c>
      <c r="BX1083" t="s">
        <v>407</v>
      </c>
      <c r="BY1083" t="s">
        <v>4360</v>
      </c>
      <c r="CD1083">
        <v>2017</v>
      </c>
      <c r="CE1083">
        <v>26964</v>
      </c>
      <c r="CG1083">
        <v>26964</v>
      </c>
      <c r="CH1083">
        <v>2017</v>
      </c>
      <c r="CI1083">
        <v>26964</v>
      </c>
      <c r="CK1083">
        <v>26964</v>
      </c>
      <c r="CL1083">
        <v>2017</v>
      </c>
      <c r="CM1083">
        <v>408.19</v>
      </c>
      <c r="CN1083" s="1">
        <v>40318</v>
      </c>
      <c r="CZ1083" s="1">
        <v>40318</v>
      </c>
      <c r="DD1083" t="s">
        <v>2387</v>
      </c>
      <c r="DF1083">
        <v>9</v>
      </c>
      <c r="DG1083">
        <v>14</v>
      </c>
      <c r="DL1083">
        <v>50301</v>
      </c>
      <c r="DM1083" t="s">
        <v>11094</v>
      </c>
      <c r="DO1083" t="s">
        <v>11106</v>
      </c>
      <c r="DP1083">
        <v>0</v>
      </c>
      <c r="DQ1083">
        <v>0</v>
      </c>
      <c r="DR1083" t="s">
        <v>411</v>
      </c>
      <c r="DS1083" t="b">
        <v>1</v>
      </c>
      <c r="DT1083" t="s">
        <v>396</v>
      </c>
      <c r="DV1083" t="s">
        <v>446</v>
      </c>
      <c r="DX1083">
        <v>-9999</v>
      </c>
      <c r="DZ1083" t="s">
        <v>447</v>
      </c>
      <c r="EA1083" t="s">
        <v>448</v>
      </c>
      <c r="EB1083" t="s">
        <v>2792</v>
      </c>
      <c r="EC1083">
        <v>20101217</v>
      </c>
      <c r="ED1083" t="s">
        <v>450</v>
      </c>
      <c r="EE1083">
        <v>5.3</v>
      </c>
      <c r="EF1083">
        <v>0</v>
      </c>
      <c r="EG1083">
        <v>0</v>
      </c>
      <c r="EI1083">
        <v>20160407</v>
      </c>
      <c r="EP1083" t="s">
        <v>421</v>
      </c>
      <c r="EQ1083" t="s">
        <v>422</v>
      </c>
      <c r="ER1083">
        <v>0</v>
      </c>
      <c r="ES1083">
        <v>6</v>
      </c>
      <c r="ET1083">
        <v>0</v>
      </c>
      <c r="EU1083">
        <v>0</v>
      </c>
      <c r="EV1083">
        <v>0</v>
      </c>
      <c r="EW1083" s="2">
        <v>43222</v>
      </c>
      <c r="EX1083" s="1">
        <v>42879</v>
      </c>
      <c r="EY1083">
        <v>2016</v>
      </c>
      <c r="EZ1083">
        <v>453.34</v>
      </c>
      <c r="FA1083" t="s">
        <v>11107</v>
      </c>
      <c r="FB1083">
        <v>0.25</v>
      </c>
      <c r="FC1083" t="s">
        <v>424</v>
      </c>
      <c r="FD1083" t="s">
        <v>425</v>
      </c>
      <c r="FE1083" s="1">
        <v>43068</v>
      </c>
      <c r="FF1083">
        <v>6</v>
      </c>
      <c r="FG1083">
        <v>7685285</v>
      </c>
      <c r="FH1083" t="s">
        <v>3991</v>
      </c>
      <c r="FJ1083" s="1">
        <v>42151</v>
      </c>
      <c r="FK1083">
        <v>2014</v>
      </c>
      <c r="FL1083">
        <v>433.46</v>
      </c>
      <c r="FM1083" t="s">
        <v>11108</v>
      </c>
      <c r="FN1083">
        <v>0.25</v>
      </c>
      <c r="FO1083" t="s">
        <v>424</v>
      </c>
      <c r="FP1083" t="s">
        <v>425</v>
      </c>
      <c r="FQ1083" s="1">
        <v>42208</v>
      </c>
      <c r="FR1083">
        <v>2</v>
      </c>
      <c r="FS1083">
        <v>13026</v>
      </c>
      <c r="FT1083" t="s">
        <v>2129</v>
      </c>
      <c r="FV1083" s="1">
        <v>42151</v>
      </c>
      <c r="FW1083">
        <v>2014</v>
      </c>
      <c r="FX1083">
        <v>433.46</v>
      </c>
      <c r="FY1083" t="s">
        <v>11108</v>
      </c>
      <c r="FZ1083">
        <v>0.25</v>
      </c>
      <c r="GA1083" t="s">
        <v>424</v>
      </c>
      <c r="GB1083" t="s">
        <v>425</v>
      </c>
      <c r="GD1083">
        <v>22</v>
      </c>
      <c r="GE1083">
        <v>4699266</v>
      </c>
      <c r="GF1083" t="s">
        <v>11109</v>
      </c>
      <c r="GH1083" s="1">
        <v>41787</v>
      </c>
      <c r="GI1083">
        <v>2013</v>
      </c>
      <c r="GJ1083">
        <v>411.46</v>
      </c>
      <c r="GK1083" t="s">
        <v>11110</v>
      </c>
      <c r="GL1083">
        <v>0.25</v>
      </c>
      <c r="GM1083" t="s">
        <v>424</v>
      </c>
      <c r="GN1083" t="s">
        <v>425</v>
      </c>
      <c r="GO1083" s="1">
        <v>42004</v>
      </c>
      <c r="GP1083">
        <v>7</v>
      </c>
      <c r="GQ1083">
        <v>2101385</v>
      </c>
      <c r="GR1083" t="s">
        <v>810</v>
      </c>
      <c r="GT1083" s="1">
        <v>41423</v>
      </c>
      <c r="GU1083">
        <v>2012</v>
      </c>
      <c r="GV1083">
        <v>574.07000000000005</v>
      </c>
      <c r="GW1083" t="s">
        <v>11111</v>
      </c>
      <c r="GX1083">
        <v>0.25</v>
      </c>
      <c r="GY1083" t="s">
        <v>424</v>
      </c>
      <c r="GZ1083" t="s">
        <v>425</v>
      </c>
      <c r="HA1083" s="1">
        <v>41523</v>
      </c>
      <c r="HB1083">
        <v>4</v>
      </c>
      <c r="HC1083">
        <v>2101385</v>
      </c>
      <c r="HD1083" t="s">
        <v>810</v>
      </c>
      <c r="HF1083" s="1">
        <v>41052</v>
      </c>
      <c r="HG1083">
        <v>2011</v>
      </c>
      <c r="HH1083">
        <v>762.99</v>
      </c>
      <c r="HI1083" t="s">
        <v>11112</v>
      </c>
      <c r="HJ1083">
        <v>5</v>
      </c>
      <c r="HK1083" t="s">
        <v>424</v>
      </c>
      <c r="HL1083" t="s">
        <v>425</v>
      </c>
      <c r="HM1083" s="1">
        <v>41179</v>
      </c>
      <c r="HN1083">
        <v>4</v>
      </c>
      <c r="HO1083">
        <v>10579</v>
      </c>
      <c r="HP1083" t="s">
        <v>488</v>
      </c>
    </row>
    <row r="1084" spans="1:272" x14ac:dyDescent="0.25">
      <c r="A1084">
        <v>16486091</v>
      </c>
      <c r="B1084">
        <v>1083</v>
      </c>
      <c r="C1084" t="s">
        <v>393</v>
      </c>
      <c r="D1084" t="s">
        <v>394</v>
      </c>
      <c r="F1084" t="str">
        <f>"14-2N-26-4280-0011-0000"</f>
        <v>14-2N-26-4280-0011-0000</v>
      </c>
      <c r="H1084" t="str">
        <f>"HIGGS JACK &amp; SHEILA"</f>
        <v>HIGGS JACK &amp; SHEILA</v>
      </c>
      <c r="I1084" t="str">
        <f>"66616 FRED MINER ESTATES DR"</f>
        <v>66616 FRED MINER ESTATES DR</v>
      </c>
      <c r="J1084" t="str">
        <f t="shared" si="357"/>
        <v>YULEE FL 32097</v>
      </c>
      <c r="K1084" t="str">
        <f>"75076 EASY ST"</f>
        <v>75076 EASY ST</v>
      </c>
      <c r="L1084" t="str">
        <f t="shared" si="358"/>
        <v>YULEE FL 32097</v>
      </c>
      <c r="M1084" t="str">
        <f>"SUB LOT 33 IN OR 1876/1057 SUB OF GOVT LOT 9 UNR"</f>
        <v>SUB LOT 33 IN OR 1876/1057 SUB OF GOVT LOT 9 UNR</v>
      </c>
      <c r="N1084" t="str">
        <f>""</f>
        <v/>
      </c>
      <c r="O1084" t="str">
        <f>"29980"</f>
        <v>29980</v>
      </c>
      <c r="P1084" t="str">
        <f t="shared" si="334"/>
        <v>2017</v>
      </c>
      <c r="Q1084" t="str">
        <f>""</f>
        <v/>
      </c>
      <c r="R1084" t="str">
        <f>"N"</f>
        <v>N</v>
      </c>
      <c r="S1084" t="str">
        <f>""</f>
        <v/>
      </c>
      <c r="T1084" t="str">
        <f>"2035.31"</f>
        <v>2035.31</v>
      </c>
      <c r="U1084" t="str">
        <f>"134444.00"</f>
        <v>134444.00</v>
      </c>
      <c r="V1084" t="str">
        <f>"134444.00"</f>
        <v>134444.00</v>
      </c>
      <c r="W1084" t="str">
        <f t="shared" si="335"/>
        <v>2017</v>
      </c>
      <c r="X1084" t="str">
        <f>"11.50"</f>
        <v>11.50</v>
      </c>
      <c r="Y1084" t="str">
        <f>"2128.37"</f>
        <v>2128.37</v>
      </c>
      <c r="Z1084" t="str">
        <f>""</f>
        <v/>
      </c>
      <c r="AA1084" t="str">
        <f>"134444.00"</f>
        <v>134444.00</v>
      </c>
      <c r="AB1084" t="str">
        <f t="shared" si="352"/>
        <v>Residential</v>
      </c>
      <c r="AC1084" t="str">
        <f t="shared" si="345"/>
        <v>0</v>
      </c>
      <c r="AD1084" t="str">
        <f>"4"</f>
        <v>4</v>
      </c>
      <c r="AE1084" t="str">
        <f>"WOOD (INCLUDE STEEL STUDS)"</f>
        <v>WOOD (INCLUDE STEEL STUDS)</v>
      </c>
      <c r="AF1084" t="str">
        <f>"002"</f>
        <v>002</v>
      </c>
      <c r="AG1084" t="str">
        <f t="shared" si="351"/>
        <v>FL</v>
      </c>
      <c r="AH1084" t="str">
        <f>"15936.00"</f>
        <v>15936.00</v>
      </c>
      <c r="AI1084" t="str">
        <f>"74812.00"</f>
        <v>74812.00</v>
      </c>
      <c r="AJ1084" t="str">
        <f>"C55-000-587-0210-1"</f>
        <v>C55-000-587-0210-1</v>
      </c>
      <c r="AK1084" t="str">
        <f>"17622"</f>
        <v>17622</v>
      </c>
      <c r="AL1084">
        <v>4</v>
      </c>
      <c r="AM1084">
        <v>1247</v>
      </c>
      <c r="AN1084">
        <v>2233.19</v>
      </c>
      <c r="AQ1084" t="s">
        <v>11113</v>
      </c>
      <c r="AR1084" t="s">
        <v>11113</v>
      </c>
      <c r="AS1084" t="s">
        <v>11113</v>
      </c>
      <c r="AU1084" t="s">
        <v>396</v>
      </c>
      <c r="AV1084">
        <v>2017</v>
      </c>
      <c r="AW1084" t="str">
        <f>"14-2N-26-4280-0011-0000 "</f>
        <v xml:space="preserve">14-2N-26-4280-0011-0000 </v>
      </c>
      <c r="AX1084">
        <v>75076</v>
      </c>
      <c r="AZ1084" t="s">
        <v>11114</v>
      </c>
      <c r="BA1084" t="s">
        <v>1942</v>
      </c>
      <c r="BD1084" t="s">
        <v>2387</v>
      </c>
      <c r="BE1084" t="s">
        <v>393</v>
      </c>
      <c r="BF1084">
        <v>32097</v>
      </c>
      <c r="BG1084" t="s">
        <v>11115</v>
      </c>
      <c r="BH1084" t="s">
        <v>2388</v>
      </c>
      <c r="BI1084">
        <v>-81.671978964385104</v>
      </c>
      <c r="BJ1084">
        <v>30.591939011870998</v>
      </c>
      <c r="BK1084" t="s">
        <v>11116</v>
      </c>
      <c r="BL1084" t="s">
        <v>11117</v>
      </c>
      <c r="BM1084" t="s">
        <v>10971</v>
      </c>
      <c r="BN1084" t="s">
        <v>1778</v>
      </c>
      <c r="BO1084">
        <v>32097</v>
      </c>
      <c r="BP1084" t="s">
        <v>404</v>
      </c>
      <c r="BQ1084">
        <v>200</v>
      </c>
      <c r="BR1084" t="s">
        <v>405</v>
      </c>
      <c r="BS1084">
        <v>1006</v>
      </c>
      <c r="BT1084" t="s">
        <v>406</v>
      </c>
      <c r="BW1084">
        <v>15203</v>
      </c>
      <c r="BX1084" t="s">
        <v>407</v>
      </c>
      <c r="BY1084" t="s">
        <v>4360</v>
      </c>
      <c r="BZ1084">
        <v>4</v>
      </c>
      <c r="CA1084">
        <v>2006</v>
      </c>
      <c r="CB1084">
        <v>1</v>
      </c>
      <c r="CC1084">
        <v>1</v>
      </c>
      <c r="CD1084">
        <v>2017</v>
      </c>
      <c r="CE1084">
        <v>74812</v>
      </c>
      <c r="CF1084">
        <v>59632</v>
      </c>
      <c r="CG1084">
        <v>134444</v>
      </c>
      <c r="CH1084">
        <v>2017</v>
      </c>
      <c r="CI1084">
        <v>74812</v>
      </c>
      <c r="CJ1084">
        <v>59632</v>
      </c>
      <c r="CK1084">
        <v>134444</v>
      </c>
      <c r="CL1084">
        <v>2017</v>
      </c>
      <c r="CM1084">
        <v>2035.31</v>
      </c>
      <c r="CN1084" s="1">
        <v>41516</v>
      </c>
      <c r="CO1084">
        <v>82500</v>
      </c>
      <c r="CV1084">
        <v>0</v>
      </c>
      <c r="CZ1084" s="1">
        <v>41516</v>
      </c>
      <c r="DA1084">
        <v>0</v>
      </c>
      <c r="DD1084" t="s">
        <v>2387</v>
      </c>
      <c r="DF1084">
        <v>33</v>
      </c>
      <c r="DG1084">
        <v>14</v>
      </c>
      <c r="DL1084">
        <v>50301</v>
      </c>
      <c r="DM1084" t="s">
        <v>11094</v>
      </c>
      <c r="DO1084" t="s">
        <v>11118</v>
      </c>
      <c r="DP1084">
        <v>0</v>
      </c>
      <c r="DQ1084">
        <v>0</v>
      </c>
      <c r="DR1084" t="s">
        <v>411</v>
      </c>
      <c r="DS1084" t="b">
        <v>1</v>
      </c>
      <c r="DT1084" t="s">
        <v>470</v>
      </c>
      <c r="DU1084" t="s">
        <v>471</v>
      </c>
      <c r="DV1084" t="s">
        <v>472</v>
      </c>
      <c r="DX1084">
        <v>-9999</v>
      </c>
      <c r="DZ1084" t="s">
        <v>447</v>
      </c>
      <c r="EA1084" t="s">
        <v>448</v>
      </c>
      <c r="EB1084" t="s">
        <v>742</v>
      </c>
      <c r="EC1084">
        <v>20101217</v>
      </c>
      <c r="ED1084" t="s">
        <v>474</v>
      </c>
      <c r="EF1084">
        <v>4239.6000000000004</v>
      </c>
      <c r="EG1084">
        <v>4216.1000000000004</v>
      </c>
      <c r="EH1084" t="s">
        <v>451</v>
      </c>
      <c r="EI1084">
        <v>20140731</v>
      </c>
      <c r="EJ1084">
        <v>0</v>
      </c>
      <c r="EK1084">
        <v>0</v>
      </c>
      <c r="EP1084" t="s">
        <v>421</v>
      </c>
      <c r="EQ1084" t="s">
        <v>422</v>
      </c>
      <c r="ER1084">
        <v>2</v>
      </c>
      <c r="ES1084">
        <v>2</v>
      </c>
      <c r="ET1084">
        <v>4267.18</v>
      </c>
      <c r="EU1084">
        <v>225.86</v>
      </c>
      <c r="EV1084">
        <v>4493.04</v>
      </c>
      <c r="EW1084" s="2">
        <v>43222</v>
      </c>
      <c r="EX1084" s="1">
        <v>42879</v>
      </c>
      <c r="EY1084">
        <v>2016</v>
      </c>
      <c r="EZ1084">
        <v>2133.59</v>
      </c>
      <c r="FA1084" t="s">
        <v>11119</v>
      </c>
      <c r="FB1084">
        <v>0.25</v>
      </c>
      <c r="FC1084" t="s">
        <v>424</v>
      </c>
      <c r="FD1084" t="s">
        <v>454</v>
      </c>
      <c r="FF1084">
        <v>12</v>
      </c>
      <c r="FG1084">
        <v>2851116</v>
      </c>
      <c r="FH1084" t="s">
        <v>480</v>
      </c>
      <c r="FJ1084" s="1">
        <v>42879</v>
      </c>
      <c r="FK1084">
        <v>2016</v>
      </c>
      <c r="FL1084">
        <v>2133.59</v>
      </c>
      <c r="FM1084" t="s">
        <v>11119</v>
      </c>
      <c r="FN1084">
        <v>0.25</v>
      </c>
      <c r="FO1084" t="s">
        <v>424</v>
      </c>
      <c r="FP1084" t="s">
        <v>454</v>
      </c>
      <c r="FR1084">
        <v>12</v>
      </c>
      <c r="FS1084">
        <v>5002295</v>
      </c>
      <c r="FT1084" t="s">
        <v>11120</v>
      </c>
      <c r="FV1084" s="1">
        <v>42151</v>
      </c>
      <c r="FW1084">
        <v>2014</v>
      </c>
      <c r="FX1084">
        <v>1313.08</v>
      </c>
      <c r="FY1084" t="s">
        <v>11121</v>
      </c>
      <c r="FZ1084">
        <v>3.75</v>
      </c>
      <c r="GA1084" t="s">
        <v>424</v>
      </c>
      <c r="GB1084" t="s">
        <v>425</v>
      </c>
      <c r="GC1084" s="1">
        <v>42366</v>
      </c>
      <c r="GD1084">
        <v>7</v>
      </c>
      <c r="GE1084">
        <v>4975593</v>
      </c>
      <c r="GF1084" t="s">
        <v>505</v>
      </c>
      <c r="GH1084" s="1">
        <v>41787</v>
      </c>
      <c r="GI1084">
        <v>2013</v>
      </c>
      <c r="GJ1084">
        <v>655.98</v>
      </c>
      <c r="GK1084" t="s">
        <v>11122</v>
      </c>
      <c r="GL1084">
        <v>0.25</v>
      </c>
      <c r="GM1084" t="s">
        <v>424</v>
      </c>
      <c r="GN1084" t="s">
        <v>425</v>
      </c>
      <c r="GO1084" s="1">
        <v>42261</v>
      </c>
      <c r="GP1084">
        <v>16</v>
      </c>
      <c r="GQ1084">
        <v>11340</v>
      </c>
      <c r="GR1084" t="s">
        <v>1230</v>
      </c>
    </row>
    <row r="1085" spans="1:272" x14ac:dyDescent="0.25">
      <c r="A1085">
        <v>16486092</v>
      </c>
      <c r="B1085">
        <v>1084</v>
      </c>
      <c r="C1085" t="s">
        <v>393</v>
      </c>
      <c r="D1085" t="s">
        <v>394</v>
      </c>
      <c r="F1085" t="str">
        <f>"14-2N-26-4280-0023-0030"</f>
        <v>14-2N-26-4280-0023-0030</v>
      </c>
      <c r="H1085" t="str">
        <f>"TESTON ELLA-JEAN EILEEN"</f>
        <v>TESTON ELLA-JEAN EILEEN</v>
      </c>
      <c r="I1085" t="str">
        <f>"95415 BARNWELL RD"</f>
        <v>95415 BARNWELL RD</v>
      </c>
      <c r="J1085" t="str">
        <f>"FERNANDINA BEACH FL 32034"</f>
        <v>FERNANDINA BEACH FL 32034</v>
      </c>
      <c r="K1085" t="str">
        <f>"75039 PARRISH RD"</f>
        <v>75039 PARRISH RD</v>
      </c>
      <c r="L1085" t="str">
        <f t="shared" si="358"/>
        <v>YULEE FL 32097</v>
      </c>
      <c r="M1085" t="str">
        <f>"LOTS 3 &amp; 4 IN OR 2110/1179 N E FLA SPORTSMAN CLUB S/D OR 76/596"</f>
        <v>LOTS 3 &amp; 4 IN OR 2110/1179 N E FLA SPORTSMAN CLUB S/D OR 76/596</v>
      </c>
      <c r="N1085" t="str">
        <f>""</f>
        <v/>
      </c>
      <c r="O1085" t="str">
        <f>"29999"</f>
        <v>29999</v>
      </c>
      <c r="P1085" t="str">
        <f t="shared" si="334"/>
        <v>2017</v>
      </c>
      <c r="Q1085" t="str">
        <f>""</f>
        <v/>
      </c>
      <c r="R1085" t="str">
        <f>"N"</f>
        <v>N</v>
      </c>
      <c r="S1085" t="str">
        <f>""</f>
        <v/>
      </c>
      <c r="T1085" t="str">
        <f>"714.45"</f>
        <v>714.45</v>
      </c>
      <c r="U1085" t="str">
        <f>"47193.00"</f>
        <v>47193.00</v>
      </c>
      <c r="V1085" t="str">
        <f>"47193.00"</f>
        <v>47193.00</v>
      </c>
      <c r="W1085" t="str">
        <f t="shared" si="335"/>
        <v>2017</v>
      </c>
      <c r="X1085" t="str">
        <f>""</f>
        <v/>
      </c>
      <c r="Y1085" t="str">
        <f>"767.88"</f>
        <v>767.88</v>
      </c>
      <c r="Z1085" t="str">
        <f>""</f>
        <v/>
      </c>
      <c r="AA1085" t="str">
        <f>"47193.00"</f>
        <v>47193.00</v>
      </c>
      <c r="AB1085" t="str">
        <f t="shared" si="352"/>
        <v>Residential</v>
      </c>
      <c r="AC1085" t="str">
        <f t="shared" si="345"/>
        <v>0</v>
      </c>
      <c r="AD1085" t="str">
        <f>"4"</f>
        <v>4</v>
      </c>
      <c r="AE1085" t="str">
        <f>"WOOD (INCLUDE STEEL STUDS)"</f>
        <v>WOOD (INCLUDE STEEL STUDS)</v>
      </c>
      <c r="AF1085" t="str">
        <f>"001"</f>
        <v>001</v>
      </c>
      <c r="AG1085" t="str">
        <f t="shared" si="351"/>
        <v>FL</v>
      </c>
      <c r="AH1085" t="str">
        <f>"-"</f>
        <v>-</v>
      </c>
      <c r="AI1085" t="str">
        <f>"13387.00"</f>
        <v>13387.00</v>
      </c>
      <c r="AJ1085" t="str">
        <f>"C55-000-587-0228-3"</f>
        <v>C55-000-587-0228-3</v>
      </c>
      <c r="AK1085" t="str">
        <f>"17640"</f>
        <v>17640</v>
      </c>
      <c r="AL1085">
        <v>4</v>
      </c>
      <c r="AM1085">
        <v>1248</v>
      </c>
      <c r="AN1085">
        <v>804.67</v>
      </c>
      <c r="AQ1085" t="s">
        <v>11123</v>
      </c>
      <c r="AR1085" t="s">
        <v>11123</v>
      </c>
      <c r="AS1085" t="s">
        <v>11123</v>
      </c>
      <c r="AU1085" t="s">
        <v>396</v>
      </c>
      <c r="AV1085">
        <v>2017</v>
      </c>
      <c r="AW1085" t="str">
        <f>"14-2N-26-4280-0023-0030 "</f>
        <v xml:space="preserve">14-2N-26-4280-0023-0030 </v>
      </c>
      <c r="AX1085">
        <v>75039</v>
      </c>
      <c r="AZ1085" t="s">
        <v>11124</v>
      </c>
      <c r="BA1085" t="s">
        <v>496</v>
      </c>
      <c r="BD1085" t="s">
        <v>2387</v>
      </c>
      <c r="BE1085" t="s">
        <v>393</v>
      </c>
      <c r="BF1085">
        <v>32097</v>
      </c>
      <c r="BG1085" t="s">
        <v>11125</v>
      </c>
      <c r="BH1085" t="s">
        <v>2388</v>
      </c>
      <c r="BI1085">
        <v>-81.668619373373602</v>
      </c>
      <c r="BJ1085">
        <v>30.589671338185099</v>
      </c>
      <c r="BK1085" t="s">
        <v>11126</v>
      </c>
      <c r="BM1085" t="s">
        <v>11127</v>
      </c>
      <c r="BN1085" t="s">
        <v>3983</v>
      </c>
      <c r="BO1085">
        <v>32034</v>
      </c>
      <c r="BP1085" t="s">
        <v>404</v>
      </c>
      <c r="BQ1085">
        <v>100</v>
      </c>
      <c r="BR1085" t="s">
        <v>514</v>
      </c>
      <c r="BS1085">
        <v>1001</v>
      </c>
      <c r="BT1085" t="s">
        <v>515</v>
      </c>
      <c r="BW1085">
        <v>14584</v>
      </c>
      <c r="BX1085" t="s">
        <v>407</v>
      </c>
      <c r="BY1085" t="s">
        <v>4360</v>
      </c>
      <c r="BZ1085">
        <v>4</v>
      </c>
      <c r="CA1085">
        <v>1974</v>
      </c>
      <c r="CB1085">
        <v>1</v>
      </c>
      <c r="CC1085">
        <v>1</v>
      </c>
      <c r="CD1085">
        <v>2017</v>
      </c>
      <c r="CE1085">
        <v>13387</v>
      </c>
      <c r="CF1085">
        <v>33806</v>
      </c>
      <c r="CG1085">
        <v>47193</v>
      </c>
      <c r="CH1085">
        <v>2017</v>
      </c>
      <c r="CI1085">
        <v>13387</v>
      </c>
      <c r="CJ1085">
        <v>33806</v>
      </c>
      <c r="CK1085">
        <v>47193</v>
      </c>
      <c r="CL1085">
        <v>2017</v>
      </c>
      <c r="CM1085">
        <v>714.45</v>
      </c>
      <c r="CN1085" s="1">
        <v>42825</v>
      </c>
      <c r="CO1085">
        <v>20000</v>
      </c>
      <c r="CV1085">
        <v>0</v>
      </c>
      <c r="CZ1085" s="1">
        <v>42825</v>
      </c>
      <c r="DA1085">
        <v>0</v>
      </c>
      <c r="DD1085" t="s">
        <v>2387</v>
      </c>
      <c r="DG1085">
        <v>14</v>
      </c>
      <c r="DL1085">
        <v>50301</v>
      </c>
      <c r="DM1085" t="s">
        <v>11094</v>
      </c>
      <c r="DO1085" t="s">
        <v>11128</v>
      </c>
      <c r="DP1085">
        <v>0</v>
      </c>
      <c r="DQ1085">
        <v>0</v>
      </c>
      <c r="DR1085" t="s">
        <v>411</v>
      </c>
    </row>
    <row r="1086" spans="1:272" x14ac:dyDescent="0.25">
      <c r="A1086">
        <v>16486093</v>
      </c>
      <c r="B1086">
        <v>1085</v>
      </c>
      <c r="C1086" t="s">
        <v>393</v>
      </c>
      <c r="D1086" t="s">
        <v>394</v>
      </c>
      <c r="F1086" t="str">
        <f>"14-2N-26-4280-0033-0100"</f>
        <v>14-2N-26-4280-0033-0100</v>
      </c>
      <c r="H1086" t="str">
        <f>"COATS THOMAS I &amp; PAULA H"</f>
        <v>COATS THOMAS I &amp; PAULA H</v>
      </c>
      <c r="I1086" t="str">
        <f>"75115 TWISTED OAK DR"</f>
        <v>75115 TWISTED OAK DR</v>
      </c>
      <c r="J1086" t="str">
        <f>"YULEE FL 32097"</f>
        <v>YULEE FL 32097</v>
      </c>
      <c r="K1086" t="str">
        <f>"75115 TWISTED OAK DR"</f>
        <v>75115 TWISTED OAK DR</v>
      </c>
      <c r="L1086" t="str">
        <f t="shared" si="358"/>
        <v>YULEE FL 32097</v>
      </c>
      <c r="M1086" t="str">
        <f>"IN OR 935/1855-1866 SUB OF GOVT LOT 9 UNR 2004 MERT DW/MH"</f>
        <v>IN OR 935/1855-1866 SUB OF GOVT LOT 9 UNR 2004 MERT DW/MH</v>
      </c>
      <c r="N1086" t="str">
        <f>""</f>
        <v/>
      </c>
      <c r="O1086" t="str">
        <f>"30023"</f>
        <v>30023</v>
      </c>
      <c r="P1086" t="str">
        <f t="shared" si="334"/>
        <v>2017</v>
      </c>
      <c r="Q1086" t="str">
        <f>""</f>
        <v/>
      </c>
      <c r="R1086" t="str">
        <f>"Y"</f>
        <v>Y</v>
      </c>
      <c r="S1086" t="str">
        <f>""</f>
        <v/>
      </c>
      <c r="T1086" t="str">
        <f>"447.13"</f>
        <v>447.13</v>
      </c>
      <c r="U1086" t="str">
        <f>"60404.00"</f>
        <v>60404.00</v>
      </c>
      <c r="V1086" t="str">
        <f>"60404.00"</f>
        <v>60404.00</v>
      </c>
      <c r="W1086" t="str">
        <f t="shared" si="335"/>
        <v>2017</v>
      </c>
      <c r="X1086" t="str">
        <f>"1.00"</f>
        <v>1.00</v>
      </c>
      <c r="Y1086" t="str">
        <f>"492.54"</f>
        <v>492.54</v>
      </c>
      <c r="Z1086" t="str">
        <f>"25000.00"</f>
        <v>25000.00</v>
      </c>
      <c r="AA1086" t="str">
        <f>"35404.00"</f>
        <v>35404.00</v>
      </c>
      <c r="AB1086" t="str">
        <f t="shared" si="352"/>
        <v>Residential</v>
      </c>
      <c r="AC1086" t="str">
        <f t="shared" si="345"/>
        <v>0</v>
      </c>
      <c r="AD1086" t="str">
        <f>"4"</f>
        <v>4</v>
      </c>
      <c r="AE1086" t="str">
        <f>"WOOD (INCLUDE STEEL STUDS)"</f>
        <v>WOOD (INCLUDE STEEL STUDS)</v>
      </c>
      <c r="AF1086" t="str">
        <f>"002"</f>
        <v>002</v>
      </c>
      <c r="AG1086" t="str">
        <f t="shared" si="351"/>
        <v>FL</v>
      </c>
      <c r="AH1086" t="str">
        <f>"-"</f>
        <v>-</v>
      </c>
      <c r="AI1086" t="str">
        <f>"15750.00"</f>
        <v>15750.00</v>
      </c>
      <c r="AJ1086" t="str">
        <f>"C55-000-587-0252-3"</f>
        <v>C55-000-587-0252-3</v>
      </c>
      <c r="AK1086" t="str">
        <f>"17661"</f>
        <v>17661</v>
      </c>
      <c r="AL1086">
        <v>4</v>
      </c>
      <c r="AM1086">
        <v>1249</v>
      </c>
      <c r="AN1086">
        <v>515.57000000000005</v>
      </c>
      <c r="AQ1086" t="s">
        <v>11129</v>
      </c>
      <c r="AR1086" t="s">
        <v>11129</v>
      </c>
      <c r="AS1086" t="s">
        <v>11129</v>
      </c>
      <c r="AU1086" t="s">
        <v>396</v>
      </c>
      <c r="AV1086">
        <v>2017</v>
      </c>
      <c r="AW1086" t="str">
        <f>"14-2N-26-4280-0033-0100 "</f>
        <v xml:space="preserve">14-2N-26-4280-0033-0100 </v>
      </c>
      <c r="AX1086">
        <v>75115</v>
      </c>
      <c r="AZ1086" t="s">
        <v>11130</v>
      </c>
      <c r="BA1086" t="s">
        <v>669</v>
      </c>
      <c r="BD1086" t="s">
        <v>2387</v>
      </c>
      <c r="BE1086" t="s">
        <v>393</v>
      </c>
      <c r="BF1086">
        <v>32097</v>
      </c>
      <c r="BG1086" t="s">
        <v>11131</v>
      </c>
      <c r="BH1086" t="s">
        <v>2388</v>
      </c>
      <c r="BI1086">
        <v>-81.667703229367504</v>
      </c>
      <c r="BJ1086">
        <v>30.5905930204902</v>
      </c>
      <c r="BK1086" t="s">
        <v>11132</v>
      </c>
      <c r="BL1086" t="s">
        <v>11133</v>
      </c>
      <c r="BM1086" t="s">
        <v>11131</v>
      </c>
      <c r="BN1086" t="s">
        <v>1778</v>
      </c>
      <c r="BO1086">
        <v>32097</v>
      </c>
      <c r="BP1086" t="s">
        <v>416</v>
      </c>
      <c r="BQ1086">
        <v>200</v>
      </c>
      <c r="BR1086" t="s">
        <v>405</v>
      </c>
      <c r="BS1086">
        <v>1006</v>
      </c>
      <c r="BT1086" t="s">
        <v>406</v>
      </c>
      <c r="BW1086">
        <v>11060</v>
      </c>
      <c r="BX1086" t="s">
        <v>407</v>
      </c>
      <c r="BY1086" t="s">
        <v>4360</v>
      </c>
      <c r="BZ1086">
        <v>4</v>
      </c>
      <c r="CA1086">
        <v>2004</v>
      </c>
      <c r="CB1086">
        <v>1</v>
      </c>
      <c r="CC1086">
        <v>1</v>
      </c>
      <c r="CD1086">
        <v>2017</v>
      </c>
      <c r="CG1086">
        <v>60404</v>
      </c>
      <c r="CH1086">
        <v>2017</v>
      </c>
      <c r="CI1086">
        <v>15750</v>
      </c>
      <c r="CJ1086">
        <v>51515</v>
      </c>
      <c r="CK1086">
        <v>67265</v>
      </c>
      <c r="CL1086">
        <v>2017</v>
      </c>
      <c r="CM1086">
        <v>447.13</v>
      </c>
      <c r="CN1086" s="1">
        <v>36686</v>
      </c>
      <c r="CO1086">
        <v>2000</v>
      </c>
      <c r="CZ1086" s="1">
        <v>36686</v>
      </c>
      <c r="DD1086" t="s">
        <v>2387</v>
      </c>
      <c r="DF1086">
        <v>9</v>
      </c>
      <c r="DG1086">
        <v>14</v>
      </c>
      <c r="DL1086">
        <v>50301</v>
      </c>
      <c r="DM1086" t="s">
        <v>11094</v>
      </c>
      <c r="DO1086" t="s">
        <v>11134</v>
      </c>
      <c r="DP1086">
        <v>0</v>
      </c>
      <c r="DQ1086">
        <v>0</v>
      </c>
      <c r="DR1086" t="s">
        <v>411</v>
      </c>
      <c r="EP1086" t="s">
        <v>421</v>
      </c>
      <c r="EQ1086" t="s">
        <v>422</v>
      </c>
      <c r="ER1086">
        <v>0</v>
      </c>
      <c r="ES1086">
        <v>1</v>
      </c>
      <c r="ET1086">
        <v>0</v>
      </c>
      <c r="EU1086">
        <v>0</v>
      </c>
      <c r="EV1086">
        <v>0</v>
      </c>
      <c r="EW1086" s="2">
        <v>43222</v>
      </c>
      <c r="EX1086" s="1">
        <v>41423</v>
      </c>
      <c r="EY1086">
        <v>2012</v>
      </c>
      <c r="EZ1086">
        <v>568.99</v>
      </c>
      <c r="FA1086" t="s">
        <v>11135</v>
      </c>
      <c r="FB1086">
        <v>0.25</v>
      </c>
      <c r="FC1086" t="s">
        <v>424</v>
      </c>
      <c r="FD1086" t="s">
        <v>425</v>
      </c>
      <c r="FE1086" s="1">
        <v>41453</v>
      </c>
      <c r="FF1086">
        <v>1</v>
      </c>
      <c r="FG1086">
        <v>62</v>
      </c>
      <c r="FH1086" t="s">
        <v>463</v>
      </c>
    </row>
    <row r="1087" spans="1:272" x14ac:dyDescent="0.25">
      <c r="A1087">
        <v>16486094</v>
      </c>
      <c r="B1087">
        <v>1086</v>
      </c>
      <c r="C1087" t="s">
        <v>393</v>
      </c>
      <c r="D1087" t="s">
        <v>394</v>
      </c>
      <c r="F1087" t="str">
        <f>"01-3N-26-0000-0001-0010"</f>
        <v>01-3N-26-0000-0001-0010</v>
      </c>
      <c r="H1087" t="str">
        <f>"HORNE ELWIN G &amp; ANN C (JTROS)"</f>
        <v>HORNE ELWIN G &amp; ANN C (JTROS)</v>
      </c>
      <c r="I1087" t="str">
        <f>"174 GREENVILLE RD"</f>
        <v>174 GREENVILLE RD</v>
      </c>
      <c r="J1087" t="str">
        <f>"KINGSLAND GA 31548"</f>
        <v>KINGSLAND GA 31548</v>
      </c>
      <c r="K1087" t="str">
        <f>"HANCE PKWY"</f>
        <v>HANCE PKWY</v>
      </c>
      <c r="L1087" t="str">
        <f t="shared" si="358"/>
        <v>YULEE FL 32097</v>
      </c>
      <c r="M1087" t="str">
        <f>"PT OR 1641/1573 EX 1-2 1-3 &amp; 1-5"</f>
        <v>PT OR 1641/1573 EX 1-2 1-3 &amp; 1-5</v>
      </c>
      <c r="N1087" t="str">
        <f>""</f>
        <v/>
      </c>
      <c r="O1087" t="str">
        <f>"15528"</f>
        <v>15528</v>
      </c>
      <c r="P1087" t="str">
        <f t="shared" si="334"/>
        <v>2017</v>
      </c>
      <c r="Q1087" t="str">
        <f>""</f>
        <v/>
      </c>
      <c r="R1087" t="str">
        <f t="shared" ref="R1087:R1100" si="359">"N"</f>
        <v>N</v>
      </c>
      <c r="S1087" t="str">
        <f>"90.52"</f>
        <v>90.52</v>
      </c>
      <c r="T1087" t="str">
        <f>"797.17"</f>
        <v>797.17</v>
      </c>
      <c r="U1087" t="str">
        <f>"52657.00"</f>
        <v>52657.00</v>
      </c>
      <c r="V1087" t="str">
        <f>"52657.00"</f>
        <v>52657.00</v>
      </c>
      <c r="W1087" t="str">
        <f t="shared" si="335"/>
        <v>2017</v>
      </c>
      <c r="X1087" t="str">
        <f>"23.43"</f>
        <v>23.43</v>
      </c>
      <c r="Y1087" t="str">
        <f>"853.09"</f>
        <v>853.09</v>
      </c>
      <c r="Z1087" t="str">
        <f>""</f>
        <v/>
      </c>
      <c r="AA1087" t="str">
        <f>"52657.00"</f>
        <v>52657.00</v>
      </c>
      <c r="AB1087" t="str">
        <f>"Agricultural"</f>
        <v>Agricultural</v>
      </c>
      <c r="AC1087" t="str">
        <f t="shared" si="345"/>
        <v>0</v>
      </c>
      <c r="AD1087" t="str">
        <f>""</f>
        <v/>
      </c>
      <c r="AE1087" t="str">
        <f>""</f>
        <v/>
      </c>
      <c r="AF1087" t="str">
        <f>"056"</f>
        <v>056</v>
      </c>
      <c r="AG1087" t="str">
        <f>"GA"</f>
        <v>GA</v>
      </c>
      <c r="AH1087" t="str">
        <f>"3943051.00"</f>
        <v>3943051.00</v>
      </c>
      <c r="AI1087" t="str">
        <f>"41790.00"</f>
        <v>41790.00</v>
      </c>
      <c r="AJ1087" t="str">
        <f>"C55-000-586-1928-9"</f>
        <v>C55-000-586-1928-9</v>
      </c>
      <c r="AK1087" t="str">
        <f>"17720"</f>
        <v>17720</v>
      </c>
      <c r="AL1087">
        <v>4</v>
      </c>
      <c r="AM1087">
        <v>1250</v>
      </c>
      <c r="AN1087">
        <v>894.14</v>
      </c>
      <c r="AQ1087" t="s">
        <v>11136</v>
      </c>
      <c r="AR1087" t="s">
        <v>11136</v>
      </c>
      <c r="AS1087" t="s">
        <v>11136</v>
      </c>
      <c r="AU1087" t="s">
        <v>396</v>
      </c>
      <c r="AV1087">
        <v>2017</v>
      </c>
      <c r="AW1087" t="str">
        <f>"01-3N-26-0000-0001-0010 "</f>
        <v xml:space="preserve">01-3N-26-0000-0001-0010 </v>
      </c>
      <c r="AZ1087" t="s">
        <v>11137</v>
      </c>
      <c r="BA1087" t="s">
        <v>11138</v>
      </c>
      <c r="BD1087" t="s">
        <v>2387</v>
      </c>
      <c r="BE1087" t="s">
        <v>393</v>
      </c>
      <c r="BF1087">
        <v>32097</v>
      </c>
      <c r="BG1087" t="s">
        <v>11139</v>
      </c>
      <c r="BH1087" t="s">
        <v>2388</v>
      </c>
      <c r="BI1087">
        <v>-81.6656613500068</v>
      </c>
      <c r="BJ1087">
        <v>30.712419152141798</v>
      </c>
      <c r="BK1087" t="s">
        <v>11140</v>
      </c>
      <c r="BL1087" t="s">
        <v>11141</v>
      </c>
      <c r="BM1087" t="s">
        <v>11142</v>
      </c>
      <c r="BN1087" t="s">
        <v>11143</v>
      </c>
      <c r="BO1087">
        <v>31548</v>
      </c>
      <c r="BP1087" t="s">
        <v>404</v>
      </c>
      <c r="BQ1087">
        <v>5600</v>
      </c>
      <c r="BR1087" t="s">
        <v>417</v>
      </c>
      <c r="BS1087">
        <v>7009</v>
      </c>
      <c r="BT1087" t="s">
        <v>418</v>
      </c>
      <c r="BW1087">
        <v>3943051</v>
      </c>
      <c r="BX1087" t="s">
        <v>407</v>
      </c>
      <c r="CD1087">
        <v>2017</v>
      </c>
      <c r="CG1087">
        <v>52657</v>
      </c>
      <c r="CH1087">
        <v>2017</v>
      </c>
      <c r="CI1087">
        <v>41790</v>
      </c>
      <c r="CJ1087">
        <v>209419</v>
      </c>
      <c r="CK1087">
        <v>251209</v>
      </c>
      <c r="CL1087">
        <v>2017</v>
      </c>
      <c r="CM1087">
        <v>797.17</v>
      </c>
      <c r="CN1087" s="1">
        <v>40079</v>
      </c>
      <c r="CZ1087" s="1">
        <v>40079</v>
      </c>
      <c r="DD1087" t="s">
        <v>2387</v>
      </c>
      <c r="DG1087">
        <v>1</v>
      </c>
      <c r="DM1087" t="s">
        <v>11144</v>
      </c>
      <c r="DO1087" t="s">
        <v>11145</v>
      </c>
      <c r="DP1087">
        <v>0</v>
      </c>
      <c r="DQ1087">
        <v>1</v>
      </c>
      <c r="DR1087" t="s">
        <v>411</v>
      </c>
      <c r="DS1087" t="b">
        <v>1</v>
      </c>
      <c r="DT1087" t="s">
        <v>470</v>
      </c>
      <c r="DU1087" t="s">
        <v>471</v>
      </c>
      <c r="DV1087" t="s">
        <v>472</v>
      </c>
      <c r="DX1087">
        <v>-9999</v>
      </c>
      <c r="DZ1087" t="s">
        <v>447</v>
      </c>
      <c r="EA1087" t="s">
        <v>448</v>
      </c>
      <c r="EB1087" t="s">
        <v>742</v>
      </c>
      <c r="EC1087">
        <v>20101217</v>
      </c>
      <c r="ED1087" t="s">
        <v>474</v>
      </c>
      <c r="EF1087">
        <v>3174.4</v>
      </c>
      <c r="EG1087">
        <v>2328.1999999999998</v>
      </c>
      <c r="EI1087">
        <v>20160407</v>
      </c>
      <c r="EJ1087">
        <v>0</v>
      </c>
      <c r="EK1087">
        <v>0</v>
      </c>
      <c r="EP1087" t="s">
        <v>421</v>
      </c>
      <c r="EQ1087" t="s">
        <v>422</v>
      </c>
      <c r="ER1087">
        <v>1</v>
      </c>
      <c r="ES1087">
        <v>9</v>
      </c>
      <c r="ET1087">
        <v>872.23</v>
      </c>
      <c r="EU1087">
        <v>91.29</v>
      </c>
      <c r="EV1087">
        <v>963.52</v>
      </c>
      <c r="EW1087" s="2">
        <v>43222</v>
      </c>
      <c r="EX1087" s="1">
        <v>42879</v>
      </c>
      <c r="EY1087">
        <v>2016</v>
      </c>
      <c r="EZ1087">
        <v>872.23</v>
      </c>
      <c r="FA1087" t="s">
        <v>11146</v>
      </c>
      <c r="FB1087">
        <v>9.75</v>
      </c>
      <c r="FC1087" t="s">
        <v>424</v>
      </c>
      <c r="FD1087" t="s">
        <v>454</v>
      </c>
      <c r="FF1087">
        <v>12</v>
      </c>
      <c r="FG1087">
        <v>10125</v>
      </c>
      <c r="FH1087" t="s">
        <v>440</v>
      </c>
      <c r="FJ1087" s="1">
        <v>42515</v>
      </c>
      <c r="FK1087">
        <v>2015</v>
      </c>
      <c r="FL1087">
        <v>876.1</v>
      </c>
      <c r="FM1087" t="s">
        <v>11147</v>
      </c>
      <c r="FN1087">
        <v>0.25</v>
      </c>
      <c r="FO1087" t="s">
        <v>424</v>
      </c>
      <c r="FP1087" t="s">
        <v>425</v>
      </c>
      <c r="FQ1087" s="1">
        <v>43140</v>
      </c>
      <c r="FR1087">
        <v>21</v>
      </c>
      <c r="FS1087">
        <v>2035919</v>
      </c>
      <c r="FT1087" t="s">
        <v>507</v>
      </c>
      <c r="FV1087" s="1">
        <v>42151</v>
      </c>
      <c r="FW1087">
        <v>2014</v>
      </c>
      <c r="FX1087">
        <v>871.62</v>
      </c>
      <c r="FY1087" t="s">
        <v>11148</v>
      </c>
      <c r="FZ1087">
        <v>4.75</v>
      </c>
      <c r="GA1087" t="s">
        <v>424</v>
      </c>
      <c r="GB1087" t="s">
        <v>425</v>
      </c>
      <c r="GD1087">
        <v>22</v>
      </c>
      <c r="GE1087">
        <v>4975593</v>
      </c>
      <c r="GF1087" t="s">
        <v>505</v>
      </c>
      <c r="GH1087" s="1">
        <v>42151</v>
      </c>
      <c r="GI1087">
        <v>2014</v>
      </c>
      <c r="GJ1087">
        <v>871.62</v>
      </c>
      <c r="GK1087" t="s">
        <v>11148</v>
      </c>
      <c r="GL1087">
        <v>4.75</v>
      </c>
      <c r="GM1087" t="s">
        <v>424</v>
      </c>
      <c r="GN1087" t="s">
        <v>425</v>
      </c>
      <c r="GO1087" s="1">
        <v>43140</v>
      </c>
      <c r="GP1087">
        <v>33</v>
      </c>
      <c r="GQ1087">
        <v>7336670</v>
      </c>
      <c r="GR1087" t="s">
        <v>2102</v>
      </c>
      <c r="GT1087" s="1">
        <v>41787</v>
      </c>
      <c r="GU1087">
        <v>2013</v>
      </c>
      <c r="GV1087">
        <v>801.69</v>
      </c>
      <c r="GW1087" t="s">
        <v>11149</v>
      </c>
      <c r="GX1087">
        <v>6</v>
      </c>
      <c r="GY1087" t="s">
        <v>424</v>
      </c>
      <c r="GZ1087" t="s">
        <v>425</v>
      </c>
      <c r="HB1087">
        <v>22</v>
      </c>
      <c r="HC1087">
        <v>2035919</v>
      </c>
      <c r="HD1087" t="s">
        <v>507</v>
      </c>
      <c r="HF1087" s="1">
        <v>41787</v>
      </c>
      <c r="HG1087">
        <v>2013</v>
      </c>
      <c r="HH1087">
        <v>801.69</v>
      </c>
      <c r="HI1087" t="s">
        <v>11149</v>
      </c>
      <c r="HJ1087">
        <v>6</v>
      </c>
      <c r="HK1087" t="s">
        <v>424</v>
      </c>
      <c r="HL1087" t="s">
        <v>425</v>
      </c>
      <c r="HM1087" s="1">
        <v>43140</v>
      </c>
      <c r="HN1087">
        <v>45</v>
      </c>
      <c r="HO1087">
        <v>7336670</v>
      </c>
      <c r="HP1087" t="s">
        <v>2102</v>
      </c>
      <c r="HR1087" s="1">
        <v>41423</v>
      </c>
      <c r="HS1087">
        <v>2012</v>
      </c>
      <c r="HT1087">
        <v>724.77</v>
      </c>
      <c r="HU1087" t="s">
        <v>11150</v>
      </c>
      <c r="HV1087">
        <v>0.25</v>
      </c>
      <c r="HW1087" t="s">
        <v>424</v>
      </c>
      <c r="HX1087" t="s">
        <v>425</v>
      </c>
      <c r="HY1087" s="1">
        <v>42044</v>
      </c>
      <c r="HZ1087">
        <v>21</v>
      </c>
      <c r="IA1087">
        <v>606977</v>
      </c>
      <c r="IB1087" t="s">
        <v>1286</v>
      </c>
      <c r="ID1087" s="1">
        <v>41052</v>
      </c>
      <c r="IE1087">
        <v>2011</v>
      </c>
      <c r="IF1087">
        <v>732.19</v>
      </c>
      <c r="IG1087" t="s">
        <v>11151</v>
      </c>
      <c r="IH1087">
        <v>5</v>
      </c>
      <c r="II1087" t="s">
        <v>424</v>
      </c>
      <c r="IJ1087" t="s">
        <v>425</v>
      </c>
      <c r="IK1087" s="1">
        <v>41631</v>
      </c>
      <c r="IL1087">
        <v>19</v>
      </c>
      <c r="IM1087">
        <v>1625515</v>
      </c>
      <c r="IN1087" t="s">
        <v>487</v>
      </c>
      <c r="IP1087" s="1">
        <v>41052</v>
      </c>
      <c r="IQ1087">
        <v>2011</v>
      </c>
      <c r="IR1087">
        <v>732.19</v>
      </c>
      <c r="IS1087" t="s">
        <v>11151</v>
      </c>
      <c r="IT1087">
        <v>5</v>
      </c>
      <c r="IU1087" t="s">
        <v>424</v>
      </c>
      <c r="IV1087" t="s">
        <v>425</v>
      </c>
      <c r="IX1087">
        <v>22</v>
      </c>
      <c r="IY1087">
        <v>10579</v>
      </c>
      <c r="IZ1087" t="s">
        <v>488</v>
      </c>
      <c r="JB1087" s="1">
        <v>40688</v>
      </c>
      <c r="JC1087">
        <v>2010</v>
      </c>
      <c r="JD1087">
        <v>706.23</v>
      </c>
      <c r="JE1087" t="s">
        <v>11152</v>
      </c>
      <c r="JF1087">
        <v>6.5</v>
      </c>
      <c r="JG1087" t="s">
        <v>424</v>
      </c>
      <c r="JH1087" t="s">
        <v>425</v>
      </c>
      <c r="JI1087" s="1">
        <v>41327</v>
      </c>
      <c r="JJ1087">
        <v>21</v>
      </c>
      <c r="JK1087">
        <v>10579</v>
      </c>
      <c r="JL1087" t="s">
        <v>488</v>
      </c>
    </row>
    <row r="1088" spans="1:272" x14ac:dyDescent="0.25">
      <c r="A1088">
        <v>16486095</v>
      </c>
      <c r="B1088">
        <v>1087</v>
      </c>
      <c r="C1088" t="s">
        <v>393</v>
      </c>
      <c r="D1088" t="s">
        <v>394</v>
      </c>
      <c r="F1088" t="str">
        <f>"01-3N-26-0000-0001-0020"</f>
        <v>01-3N-26-0000-0001-0020</v>
      </c>
      <c r="H1088" t="str">
        <f>"HORNE ELWIN G &amp; ANN C (JTROS)"</f>
        <v>HORNE ELWIN G &amp; ANN C (JTROS)</v>
      </c>
      <c r="I1088" t="str">
        <f>"174 GREENVILLE RD"</f>
        <v>174 GREENVILLE RD</v>
      </c>
      <c r="J1088" t="str">
        <f>"KINGSLAND GA 31548"</f>
        <v>KINGSLAND GA 31548</v>
      </c>
      <c r="K1088" t="str">
        <f>"77455 HORNE LAKE CIR"</f>
        <v>77455 HORNE LAKE CIR</v>
      </c>
      <c r="L1088" t="str">
        <f t="shared" si="358"/>
        <v>YULEE FL 32097</v>
      </c>
      <c r="M1088" t="str">
        <f>"PT OR 1641/1567 PARS 1-2 SECTS 01 &amp; 38-3N-26"</f>
        <v>PT OR 1641/1567 PARS 1-2 SECTS 01 &amp; 38-3N-26</v>
      </c>
      <c r="N1088" t="str">
        <f>""</f>
        <v/>
      </c>
      <c r="O1088" t="str">
        <f>"15529"</f>
        <v>15529</v>
      </c>
      <c r="P1088" t="str">
        <f t="shared" si="334"/>
        <v>2017</v>
      </c>
      <c r="Q1088" t="str">
        <f>""</f>
        <v/>
      </c>
      <c r="R1088" t="str">
        <f t="shared" si="359"/>
        <v>N</v>
      </c>
      <c r="S1088" t="str">
        <f>"1.00"</f>
        <v>1.00</v>
      </c>
      <c r="T1088" t="str">
        <f>"753.65"</f>
        <v>753.65</v>
      </c>
      <c r="U1088" t="str">
        <f>"49783.00"</f>
        <v>49783.00</v>
      </c>
      <c r="V1088" t="str">
        <f>"49783.00"</f>
        <v>49783.00</v>
      </c>
      <c r="W1088" t="str">
        <f t="shared" si="335"/>
        <v>2017</v>
      </c>
      <c r="X1088" t="str">
        <f>"18.00"</f>
        <v>18.00</v>
      </c>
      <c r="Y1088" t="str">
        <f>"808.26"</f>
        <v>808.26</v>
      </c>
      <c r="Z1088" t="str">
        <f>""</f>
        <v/>
      </c>
      <c r="AA1088" t="str">
        <f>"49783.00"</f>
        <v>49783.00</v>
      </c>
      <c r="AB1088" t="str">
        <f>"Residential"</f>
        <v>Residential</v>
      </c>
      <c r="AC1088" t="str">
        <f t="shared" si="345"/>
        <v>0</v>
      </c>
      <c r="AD1088" t="str">
        <f>""</f>
        <v/>
      </c>
      <c r="AE1088" t="str">
        <f>""</f>
        <v/>
      </c>
      <c r="AF1088" t="str">
        <f>"000"</f>
        <v>000</v>
      </c>
      <c r="AG1088" t="str">
        <f>"GA"</f>
        <v>GA</v>
      </c>
      <c r="AH1088" t="str">
        <f>"43560.00"</f>
        <v>43560.00</v>
      </c>
      <c r="AI1088" t="str">
        <f>"18000.00"</f>
        <v>18000.00</v>
      </c>
      <c r="AJ1088" t="str">
        <f>"C55-000-588-8320-8"</f>
        <v>C55-000-588-8320-8</v>
      </c>
      <c r="AK1088" t="str">
        <f>"17721"</f>
        <v>17721</v>
      </c>
      <c r="AL1088">
        <v>4</v>
      </c>
      <c r="AM1088">
        <v>1251</v>
      </c>
      <c r="AN1088">
        <v>847.07</v>
      </c>
      <c r="AQ1088" t="s">
        <v>11153</v>
      </c>
      <c r="AR1088" t="s">
        <v>11153</v>
      </c>
      <c r="AS1088" t="s">
        <v>11153</v>
      </c>
      <c r="AU1088" t="s">
        <v>396</v>
      </c>
      <c r="AV1088">
        <v>2017</v>
      </c>
      <c r="AW1088" t="str">
        <f>"01-3N-26-0000-0001-0020 "</f>
        <v xml:space="preserve">01-3N-26-0000-0001-0020 </v>
      </c>
      <c r="AX1088">
        <v>77455</v>
      </c>
      <c r="AZ1088" t="s">
        <v>11154</v>
      </c>
      <c r="BA1088" t="s">
        <v>1799</v>
      </c>
      <c r="BD1088" t="s">
        <v>2387</v>
      </c>
      <c r="BE1088" t="s">
        <v>393</v>
      </c>
      <c r="BF1088">
        <v>32097</v>
      </c>
      <c r="BG1088" t="s">
        <v>11155</v>
      </c>
      <c r="BH1088" t="s">
        <v>2388</v>
      </c>
      <c r="BI1088">
        <v>-81.663884011501395</v>
      </c>
      <c r="BJ1088">
        <v>30.715601582524101</v>
      </c>
      <c r="BK1088" t="s">
        <v>11140</v>
      </c>
      <c r="BL1088" t="s">
        <v>11141</v>
      </c>
      <c r="BM1088" t="s">
        <v>11142</v>
      </c>
      <c r="BN1088" t="s">
        <v>11143</v>
      </c>
      <c r="BO1088">
        <v>31548</v>
      </c>
      <c r="BP1088" t="s">
        <v>404</v>
      </c>
      <c r="BQ1088">
        <v>1</v>
      </c>
      <c r="BR1088" t="s">
        <v>491</v>
      </c>
      <c r="BS1088">
        <v>8001</v>
      </c>
      <c r="BT1088" t="s">
        <v>492</v>
      </c>
      <c r="BW1088">
        <v>43560</v>
      </c>
      <c r="BX1088" t="s">
        <v>407</v>
      </c>
      <c r="CD1088">
        <v>2017</v>
      </c>
      <c r="CE1088">
        <v>18000</v>
      </c>
      <c r="CF1088">
        <v>31783</v>
      </c>
      <c r="CG1088">
        <v>49783</v>
      </c>
      <c r="CH1088">
        <v>2017</v>
      </c>
      <c r="CI1088">
        <v>18000</v>
      </c>
      <c r="CJ1088">
        <v>31783</v>
      </c>
      <c r="CK1088">
        <v>49783</v>
      </c>
      <c r="CL1088">
        <v>2017</v>
      </c>
      <c r="CM1088">
        <v>753.65</v>
      </c>
      <c r="CN1088" s="1">
        <v>40079</v>
      </c>
      <c r="CZ1088" s="1">
        <v>40079</v>
      </c>
      <c r="DD1088" t="s">
        <v>2387</v>
      </c>
      <c r="DG1088">
        <v>1</v>
      </c>
      <c r="DL1088">
        <v>50301</v>
      </c>
      <c r="DM1088" t="s">
        <v>11144</v>
      </c>
      <c r="DO1088" t="s">
        <v>11156</v>
      </c>
      <c r="DP1088">
        <v>0</v>
      </c>
      <c r="DQ1088">
        <v>0</v>
      </c>
      <c r="DR1088" t="s">
        <v>411</v>
      </c>
      <c r="DS1088" t="b">
        <v>1</v>
      </c>
      <c r="DT1088" t="s">
        <v>470</v>
      </c>
      <c r="DU1088" t="s">
        <v>471</v>
      </c>
      <c r="DV1088" t="s">
        <v>472</v>
      </c>
      <c r="DX1088">
        <v>-9999</v>
      </c>
      <c r="DZ1088" t="s">
        <v>447</v>
      </c>
      <c r="EA1088" t="s">
        <v>448</v>
      </c>
      <c r="EB1088" t="s">
        <v>742</v>
      </c>
      <c r="EC1088">
        <v>20101217</v>
      </c>
      <c r="ED1088" t="s">
        <v>474</v>
      </c>
      <c r="EF1088">
        <v>2077.6999999999998</v>
      </c>
      <c r="EG1088">
        <v>1746.2</v>
      </c>
      <c r="EI1088">
        <v>20160407</v>
      </c>
      <c r="EJ1088">
        <v>0</v>
      </c>
      <c r="EK1088">
        <v>0</v>
      </c>
      <c r="EP1088" t="s">
        <v>421</v>
      </c>
      <c r="EQ1088" t="s">
        <v>422</v>
      </c>
      <c r="ER1088">
        <v>1</v>
      </c>
      <c r="ES1088">
        <v>6</v>
      </c>
      <c r="ET1088">
        <v>833.96</v>
      </c>
      <c r="EU1088">
        <v>52.12</v>
      </c>
      <c r="EV1088">
        <v>886.08</v>
      </c>
      <c r="EW1088" s="2">
        <v>43222</v>
      </c>
      <c r="EX1088" s="1">
        <v>42879</v>
      </c>
      <c r="EY1088">
        <v>2016</v>
      </c>
      <c r="EZ1088">
        <v>833.96</v>
      </c>
      <c r="FA1088" t="s">
        <v>11157</v>
      </c>
      <c r="FB1088">
        <v>5.5</v>
      </c>
      <c r="FC1088" t="s">
        <v>424</v>
      </c>
      <c r="FD1088" t="s">
        <v>454</v>
      </c>
      <c r="FF1088">
        <v>12</v>
      </c>
      <c r="FG1088">
        <v>10125</v>
      </c>
      <c r="FH1088" t="s">
        <v>440</v>
      </c>
      <c r="FJ1088" s="1">
        <v>42515</v>
      </c>
      <c r="FK1088">
        <v>2015</v>
      </c>
      <c r="FL1088">
        <v>866.18</v>
      </c>
      <c r="FM1088" t="s">
        <v>11158</v>
      </c>
      <c r="FN1088">
        <v>4.75</v>
      </c>
      <c r="FO1088" t="s">
        <v>424</v>
      </c>
      <c r="FP1088" t="s">
        <v>425</v>
      </c>
      <c r="FQ1088" s="1">
        <v>43140</v>
      </c>
      <c r="FR1088">
        <v>21</v>
      </c>
      <c r="FS1088">
        <v>2035919</v>
      </c>
      <c r="FT1088" t="s">
        <v>507</v>
      </c>
      <c r="FV1088" s="1">
        <v>42151</v>
      </c>
      <c r="FW1088">
        <v>2014</v>
      </c>
      <c r="FX1088">
        <v>841.79</v>
      </c>
      <c r="FY1088" t="s">
        <v>11159</v>
      </c>
      <c r="FZ1088">
        <v>9</v>
      </c>
      <c r="GA1088" t="s">
        <v>424</v>
      </c>
      <c r="GB1088" t="s">
        <v>425</v>
      </c>
      <c r="GC1088" s="1">
        <v>43140</v>
      </c>
      <c r="GD1088">
        <v>33</v>
      </c>
      <c r="GE1088">
        <v>10125</v>
      </c>
      <c r="GF1088" t="s">
        <v>440</v>
      </c>
      <c r="GH1088" s="1">
        <v>41787</v>
      </c>
      <c r="GI1088">
        <v>2013</v>
      </c>
      <c r="GJ1088">
        <v>814.7</v>
      </c>
      <c r="GK1088" t="s">
        <v>11160</v>
      </c>
      <c r="GL1088">
        <v>9.5</v>
      </c>
      <c r="GM1088" t="s">
        <v>424</v>
      </c>
      <c r="GN1088" t="s">
        <v>425</v>
      </c>
      <c r="GO1088" s="1">
        <v>42408</v>
      </c>
      <c r="GP1088">
        <v>21</v>
      </c>
      <c r="GQ1088">
        <v>10125</v>
      </c>
      <c r="GR1088" t="s">
        <v>440</v>
      </c>
      <c r="GT1088" s="1">
        <v>41423</v>
      </c>
      <c r="GU1088">
        <v>2012</v>
      </c>
      <c r="GV1088">
        <v>1025.44</v>
      </c>
      <c r="GW1088" t="s">
        <v>11161</v>
      </c>
      <c r="GX1088">
        <v>0.25</v>
      </c>
      <c r="GY1088" t="s">
        <v>424</v>
      </c>
      <c r="GZ1088" t="s">
        <v>425</v>
      </c>
      <c r="HA1088" s="1">
        <v>42044</v>
      </c>
      <c r="HB1088">
        <v>21</v>
      </c>
      <c r="HC1088">
        <v>1625515</v>
      </c>
      <c r="HD1088" t="s">
        <v>487</v>
      </c>
      <c r="HF1088" s="1">
        <v>41052</v>
      </c>
      <c r="HG1088">
        <v>2011</v>
      </c>
      <c r="HH1088">
        <v>1138.51</v>
      </c>
      <c r="HI1088" t="s">
        <v>11162</v>
      </c>
      <c r="HJ1088">
        <v>7</v>
      </c>
      <c r="HK1088" t="s">
        <v>424</v>
      </c>
      <c r="HL1088" t="s">
        <v>425</v>
      </c>
      <c r="HM1088" s="1">
        <v>41631</v>
      </c>
      <c r="HN1088">
        <v>19</v>
      </c>
      <c r="HO1088">
        <v>10125</v>
      </c>
      <c r="HP1088" t="s">
        <v>440</v>
      </c>
      <c r="HR1088" s="1">
        <v>40688</v>
      </c>
      <c r="HS1088">
        <v>2010</v>
      </c>
      <c r="HT1088">
        <v>1310.2</v>
      </c>
      <c r="HU1088" t="s">
        <v>11163</v>
      </c>
      <c r="HV1088">
        <v>6.75</v>
      </c>
      <c r="HW1088" t="s">
        <v>424</v>
      </c>
      <c r="HX1088" t="s">
        <v>425</v>
      </c>
      <c r="HY1088" s="1">
        <v>41327</v>
      </c>
      <c r="HZ1088">
        <v>21</v>
      </c>
      <c r="IA1088">
        <v>105</v>
      </c>
      <c r="IB1088" t="s">
        <v>946</v>
      </c>
    </row>
    <row r="1089" spans="1:308" x14ac:dyDescent="0.25">
      <c r="A1089">
        <v>16486096</v>
      </c>
      <c r="B1089">
        <v>1088</v>
      </c>
      <c r="C1089" t="s">
        <v>393</v>
      </c>
      <c r="D1089" t="s">
        <v>394</v>
      </c>
      <c r="F1089" t="str">
        <f>"01-3N-26-0000-0001-0030"</f>
        <v>01-3N-26-0000-0001-0030</v>
      </c>
      <c r="H1089" t="str">
        <f>"HORNE ELWIN G &amp; ANN C (JTROS)"</f>
        <v>HORNE ELWIN G &amp; ANN C (JTROS)</v>
      </c>
      <c r="I1089" t="str">
        <f>"174 GREENVILLE RD"</f>
        <v>174 GREENVILLE RD</v>
      </c>
      <c r="J1089" t="str">
        <f>"KINGSLAND GA 31548"</f>
        <v>KINGSLAND GA 31548</v>
      </c>
      <c r="K1089" t="str">
        <f>"77411 HORNE LAKE CIR"</f>
        <v>77411 HORNE LAKE CIR</v>
      </c>
      <c r="L1089" t="str">
        <f t="shared" si="358"/>
        <v>YULEE FL 32097</v>
      </c>
      <c r="M1089" t="str">
        <f>"PT OR 1641/1586 PARS 1-3 SECT 01 &amp; 38-3N-26"</f>
        <v>PT OR 1641/1586 PARS 1-3 SECT 01 &amp; 38-3N-26</v>
      </c>
      <c r="N1089" t="str">
        <f>""</f>
        <v/>
      </c>
      <c r="O1089" t="str">
        <f>"15530"</f>
        <v>15530</v>
      </c>
      <c r="P1089" t="str">
        <f t="shared" si="334"/>
        <v>2017</v>
      </c>
      <c r="Q1089" t="str">
        <f>""</f>
        <v/>
      </c>
      <c r="R1089" t="str">
        <f t="shared" si="359"/>
        <v>N</v>
      </c>
      <c r="S1089" t="str">
        <f>"1.00"</f>
        <v>1.00</v>
      </c>
      <c r="T1089" t="str">
        <f>"456.67"</f>
        <v>456.67</v>
      </c>
      <c r="U1089" t="str">
        <f>"30165.00"</f>
        <v>30165.00</v>
      </c>
      <c r="V1089" t="str">
        <f>"30165.00"</f>
        <v>30165.00</v>
      </c>
      <c r="W1089" t="str">
        <f t="shared" si="335"/>
        <v>2017</v>
      </c>
      <c r="X1089" t="str">
        <f>"19.50"</f>
        <v>19.50</v>
      </c>
      <c r="Y1089" t="str">
        <f>"502.37"</f>
        <v>502.37</v>
      </c>
      <c r="Z1089" t="str">
        <f>""</f>
        <v/>
      </c>
      <c r="AA1089" t="str">
        <f>"30165.00"</f>
        <v>30165.00</v>
      </c>
      <c r="AB1089" t="str">
        <f>"Residential"</f>
        <v>Residential</v>
      </c>
      <c r="AC1089" t="str">
        <f t="shared" si="345"/>
        <v>0</v>
      </c>
      <c r="AD1089" t="str">
        <f>""</f>
        <v/>
      </c>
      <c r="AE1089" t="str">
        <f>""</f>
        <v/>
      </c>
      <c r="AF1089" t="str">
        <f>"000"</f>
        <v>000</v>
      </c>
      <c r="AG1089" t="str">
        <f>"GA"</f>
        <v>GA</v>
      </c>
      <c r="AH1089" t="str">
        <f>"43560.00"</f>
        <v>43560.00</v>
      </c>
      <c r="AI1089" t="str">
        <f>"18000.00"</f>
        <v>18000.00</v>
      </c>
      <c r="AJ1089" t="str">
        <f>"C55-000-588-8321-6"</f>
        <v>C55-000-588-8321-6</v>
      </c>
      <c r="AK1089" t="str">
        <f>"17722"</f>
        <v>17722</v>
      </c>
      <c r="AL1089">
        <v>4</v>
      </c>
      <c r="AM1089">
        <v>1252</v>
      </c>
      <c r="AN1089">
        <v>525.89</v>
      </c>
      <c r="AQ1089" t="s">
        <v>11164</v>
      </c>
      <c r="AR1089" t="s">
        <v>11164</v>
      </c>
      <c r="AS1089" t="s">
        <v>11164</v>
      </c>
      <c r="AU1089" t="s">
        <v>396</v>
      </c>
      <c r="AV1089">
        <v>2017</v>
      </c>
      <c r="AW1089" t="str">
        <f>"01-3N-26-0000-0001-0030 "</f>
        <v xml:space="preserve">01-3N-26-0000-0001-0030 </v>
      </c>
      <c r="AX1089">
        <v>77411</v>
      </c>
      <c r="AZ1089" t="s">
        <v>11154</v>
      </c>
      <c r="BA1089" t="s">
        <v>1799</v>
      </c>
      <c r="BD1089" t="s">
        <v>2387</v>
      </c>
      <c r="BE1089" t="s">
        <v>393</v>
      </c>
      <c r="BF1089">
        <v>32097</v>
      </c>
      <c r="BG1089" t="s">
        <v>11165</v>
      </c>
      <c r="BH1089" t="s">
        <v>2388</v>
      </c>
      <c r="BI1089">
        <v>-81.664489578099705</v>
      </c>
      <c r="BJ1089">
        <v>30.715837194926699</v>
      </c>
      <c r="BK1089" t="s">
        <v>11140</v>
      </c>
      <c r="BL1089" t="s">
        <v>11141</v>
      </c>
      <c r="BM1089" t="s">
        <v>11142</v>
      </c>
      <c r="BN1089" t="s">
        <v>11143</v>
      </c>
      <c r="BO1089">
        <v>31548</v>
      </c>
      <c r="BP1089" t="s">
        <v>404</v>
      </c>
      <c r="BQ1089">
        <v>1</v>
      </c>
      <c r="BR1089" t="s">
        <v>491</v>
      </c>
      <c r="BS1089">
        <v>8001</v>
      </c>
      <c r="BT1089" t="s">
        <v>492</v>
      </c>
      <c r="BW1089">
        <v>43560</v>
      </c>
      <c r="BX1089" t="s">
        <v>407</v>
      </c>
      <c r="CD1089">
        <v>2017</v>
      </c>
      <c r="CE1089">
        <v>18000</v>
      </c>
      <c r="CF1089">
        <v>12165</v>
      </c>
      <c r="CG1089">
        <v>30165</v>
      </c>
      <c r="CH1089">
        <v>2017</v>
      </c>
      <c r="CI1089">
        <v>18000</v>
      </c>
      <c r="CJ1089">
        <v>12165</v>
      </c>
      <c r="CK1089">
        <v>30165</v>
      </c>
      <c r="CL1089">
        <v>2017</v>
      </c>
      <c r="CM1089">
        <v>456.67</v>
      </c>
      <c r="CN1089" s="1">
        <v>40079</v>
      </c>
      <c r="CZ1089" s="1">
        <v>40079</v>
      </c>
      <c r="DD1089" t="s">
        <v>2387</v>
      </c>
      <c r="DG1089">
        <v>1</v>
      </c>
      <c r="DL1089">
        <v>50301</v>
      </c>
      <c r="DM1089" t="s">
        <v>11144</v>
      </c>
      <c r="DO1089" t="s">
        <v>11166</v>
      </c>
      <c r="DP1089">
        <v>0</v>
      </c>
      <c r="DQ1089">
        <v>0</v>
      </c>
      <c r="DR1089" t="s">
        <v>411</v>
      </c>
      <c r="DS1089" t="b">
        <v>1</v>
      </c>
      <c r="DT1089" t="s">
        <v>470</v>
      </c>
      <c r="DU1089" t="s">
        <v>471</v>
      </c>
      <c r="DV1089" t="s">
        <v>472</v>
      </c>
      <c r="DX1089">
        <v>-9999</v>
      </c>
      <c r="DZ1089" t="s">
        <v>447</v>
      </c>
      <c r="EA1089" t="s">
        <v>448</v>
      </c>
      <c r="EB1089" t="s">
        <v>742</v>
      </c>
      <c r="EC1089">
        <v>20101217</v>
      </c>
      <c r="ED1089" t="s">
        <v>474</v>
      </c>
      <c r="EF1089">
        <v>2215.6999999999998</v>
      </c>
      <c r="EG1089">
        <v>1936.6</v>
      </c>
      <c r="EI1089">
        <v>20160407</v>
      </c>
      <c r="EJ1089">
        <v>0</v>
      </c>
      <c r="EK1089">
        <v>0</v>
      </c>
      <c r="EP1089" t="s">
        <v>421</v>
      </c>
      <c r="EQ1089" t="s">
        <v>422</v>
      </c>
      <c r="ER1089">
        <v>1</v>
      </c>
      <c r="ES1089">
        <v>6</v>
      </c>
      <c r="ET1089">
        <v>487.16</v>
      </c>
      <c r="EU1089">
        <v>50.09</v>
      </c>
      <c r="EV1089">
        <v>537.25</v>
      </c>
      <c r="EW1089" s="2">
        <v>43222</v>
      </c>
      <c r="EX1089" s="1">
        <v>42879</v>
      </c>
      <c r="EY1089">
        <v>2016</v>
      </c>
      <c r="EZ1089">
        <v>487.16</v>
      </c>
      <c r="FA1089" t="s">
        <v>11167</v>
      </c>
      <c r="FB1089">
        <v>9</v>
      </c>
      <c r="FC1089" t="s">
        <v>424</v>
      </c>
      <c r="FD1089" t="s">
        <v>454</v>
      </c>
      <c r="FF1089">
        <v>12</v>
      </c>
      <c r="FG1089">
        <v>10125</v>
      </c>
      <c r="FH1089" t="s">
        <v>440</v>
      </c>
      <c r="FJ1089" s="1">
        <v>42515</v>
      </c>
      <c r="FK1089">
        <v>2015</v>
      </c>
      <c r="FL1089">
        <v>489.88</v>
      </c>
      <c r="FM1089" t="s">
        <v>11168</v>
      </c>
      <c r="FN1089">
        <v>14.75</v>
      </c>
      <c r="FO1089" t="s">
        <v>424</v>
      </c>
      <c r="FP1089" t="s">
        <v>425</v>
      </c>
      <c r="FQ1089" s="1">
        <v>43140</v>
      </c>
      <c r="FR1089">
        <v>21</v>
      </c>
      <c r="FS1089">
        <v>10125</v>
      </c>
      <c r="FT1089" t="s">
        <v>440</v>
      </c>
      <c r="FV1089" s="1">
        <v>42151</v>
      </c>
      <c r="FW1089">
        <v>2014</v>
      </c>
      <c r="FX1089">
        <v>446.2</v>
      </c>
      <c r="FY1089" t="s">
        <v>11169</v>
      </c>
      <c r="FZ1089">
        <v>9</v>
      </c>
      <c r="GA1089" t="s">
        <v>424</v>
      </c>
      <c r="GB1089" t="s">
        <v>425</v>
      </c>
      <c r="GC1089" s="1">
        <v>43140</v>
      </c>
      <c r="GD1089">
        <v>33</v>
      </c>
      <c r="GE1089">
        <v>10125</v>
      </c>
      <c r="GF1089" t="s">
        <v>440</v>
      </c>
      <c r="GH1089" s="1">
        <v>41787</v>
      </c>
      <c r="GI1089">
        <v>2013</v>
      </c>
      <c r="GJ1089">
        <v>424.37</v>
      </c>
      <c r="GK1089" t="s">
        <v>11170</v>
      </c>
      <c r="GL1089">
        <v>12</v>
      </c>
      <c r="GM1089" t="s">
        <v>424</v>
      </c>
      <c r="GN1089" t="s">
        <v>425</v>
      </c>
      <c r="GO1089" s="1">
        <v>42408</v>
      </c>
      <c r="GP1089">
        <v>21</v>
      </c>
      <c r="GQ1089">
        <v>10125</v>
      </c>
      <c r="GR1089" t="s">
        <v>440</v>
      </c>
      <c r="GT1089" s="1">
        <v>41423</v>
      </c>
      <c r="GU1089">
        <v>2012</v>
      </c>
      <c r="GV1089">
        <v>614.52</v>
      </c>
      <c r="GW1089" t="s">
        <v>11171</v>
      </c>
      <c r="GX1089">
        <v>2.5</v>
      </c>
      <c r="GY1089" t="s">
        <v>424</v>
      </c>
      <c r="GZ1089" t="s">
        <v>425</v>
      </c>
      <c r="HA1089" s="1">
        <v>42044</v>
      </c>
      <c r="HB1089">
        <v>21</v>
      </c>
      <c r="HC1089">
        <v>10125</v>
      </c>
      <c r="HD1089" t="s">
        <v>440</v>
      </c>
      <c r="HF1089" s="1">
        <v>41052</v>
      </c>
      <c r="HG1089">
        <v>2011</v>
      </c>
      <c r="HH1089">
        <v>704.38</v>
      </c>
      <c r="HI1089" t="s">
        <v>11172</v>
      </c>
      <c r="HJ1089">
        <v>7</v>
      </c>
      <c r="HK1089" t="s">
        <v>424</v>
      </c>
      <c r="HL1089" t="s">
        <v>425</v>
      </c>
      <c r="HM1089" s="1">
        <v>41631</v>
      </c>
      <c r="HN1089">
        <v>19</v>
      </c>
      <c r="HO1089">
        <v>10125</v>
      </c>
      <c r="HP1089" t="s">
        <v>440</v>
      </c>
      <c r="HR1089" s="1">
        <v>40688</v>
      </c>
      <c r="HS1089">
        <v>2010</v>
      </c>
      <c r="HT1089">
        <v>857.6</v>
      </c>
      <c r="HU1089" t="s">
        <v>11173</v>
      </c>
      <c r="HV1089">
        <v>6.75</v>
      </c>
      <c r="HW1089" t="s">
        <v>424</v>
      </c>
      <c r="HX1089" t="s">
        <v>425</v>
      </c>
      <c r="HY1089" s="1">
        <v>41327</v>
      </c>
      <c r="HZ1089">
        <v>21</v>
      </c>
      <c r="IA1089">
        <v>375</v>
      </c>
      <c r="IB1089" t="s">
        <v>776</v>
      </c>
    </row>
    <row r="1090" spans="1:308" x14ac:dyDescent="0.25">
      <c r="A1090">
        <v>16486097</v>
      </c>
      <c r="B1090">
        <v>1089</v>
      </c>
      <c r="C1090" t="s">
        <v>393</v>
      </c>
      <c r="D1090" t="s">
        <v>394</v>
      </c>
      <c r="F1090" t="str">
        <f>"01-3N-26-0000-0001-0050"</f>
        <v>01-3N-26-0000-0001-0050</v>
      </c>
      <c r="H1090" t="str">
        <f>"HORNE ELWIN G &amp; HANCE-HORNE ANN CREWS TRUSTEES OF ELWIN &amp; ANN HORNE LVG TRUST"</f>
        <v>HORNE ELWIN G &amp; HANCE-HORNE ANN CREWS TRUSTEES OF ELWIN &amp; ANN HORNE LVG TRUST</v>
      </c>
      <c r="I1090" t="str">
        <f>""</f>
        <v/>
      </c>
      <c r="J1090" t="str">
        <f>"KINGSLAND GA 31548"</f>
        <v>KINGSLAND GA 31548</v>
      </c>
      <c r="K1090" t="str">
        <f>"HANCE PKWY"</f>
        <v>HANCE PKWY</v>
      </c>
      <c r="L1090" t="str">
        <f t="shared" si="358"/>
        <v>YULEE FL 32097</v>
      </c>
      <c r="M1090" t="str">
        <f>"IN OR 1876/171 PARS 1-5 &amp; 2-1 SEC 1-3N-26 &amp; PARCEL 1-14 SEC 2-3N-26"</f>
        <v>IN OR 1876/171 PARS 1-5 &amp; 2-1 SEC 1-3N-26 &amp; PARCEL 1-14 SEC 2-3N-26</v>
      </c>
      <c r="N1090" t="str">
        <f>""</f>
        <v/>
      </c>
      <c r="O1090" t="str">
        <f>"15531"</f>
        <v>15531</v>
      </c>
      <c r="P1090" t="str">
        <f t="shared" ref="P1090:P1153" si="360">"2017"</f>
        <v>2017</v>
      </c>
      <c r="Q1090" t="str">
        <f>""</f>
        <v/>
      </c>
      <c r="R1090" t="str">
        <f t="shared" si="359"/>
        <v>N</v>
      </c>
      <c r="S1090" t="str">
        <f>"20.04"</f>
        <v>20.04</v>
      </c>
      <c r="T1090" t="str">
        <f>"1365.22"</f>
        <v>1365.22</v>
      </c>
      <c r="U1090" t="str">
        <f>"90180.00"</f>
        <v>90180.00</v>
      </c>
      <c r="V1090" t="str">
        <f>"90180.00"</f>
        <v>90180.00</v>
      </c>
      <c r="W1090" t="str">
        <f t="shared" ref="W1090:W1153" si="361">"2017"</f>
        <v>2017</v>
      </c>
      <c r="X1090" t="str">
        <f>"14.60"</f>
        <v>14.60</v>
      </c>
      <c r="Y1090" t="str">
        <f>"1438.18"</f>
        <v>1438.18</v>
      </c>
      <c r="Z1090" t="str">
        <f>""</f>
        <v/>
      </c>
      <c r="AA1090" t="str">
        <f>"90180.00"</f>
        <v>90180.00</v>
      </c>
      <c r="AB1090" t="str">
        <f>"Residential"</f>
        <v>Residential</v>
      </c>
      <c r="AC1090" t="str">
        <f t="shared" si="345"/>
        <v>0</v>
      </c>
      <c r="AD1090" t="str">
        <f>""</f>
        <v/>
      </c>
      <c r="AE1090" t="str">
        <f>""</f>
        <v/>
      </c>
      <c r="AF1090" t="str">
        <f>"000"</f>
        <v>000</v>
      </c>
      <c r="AG1090" t="str">
        <f>"GA"</f>
        <v>GA</v>
      </c>
      <c r="AH1090" t="str">
        <f>"872942.00"</f>
        <v>872942.00</v>
      </c>
      <c r="AI1090" t="str">
        <f>"90180.00"</f>
        <v>90180.00</v>
      </c>
      <c r="AJ1090" t="str">
        <f>"C55-001-024-9367-3"</f>
        <v>C55-001-024-9367-3</v>
      </c>
      <c r="AK1090" t="str">
        <f>"17723"</f>
        <v>17723</v>
      </c>
      <c r="AL1090">
        <v>4</v>
      </c>
      <c r="AM1090">
        <v>1253</v>
      </c>
      <c r="AN1090">
        <v>1508.49</v>
      </c>
      <c r="AQ1090" t="s">
        <v>11174</v>
      </c>
      <c r="AR1090" t="s">
        <v>11174</v>
      </c>
      <c r="AS1090" t="s">
        <v>11174</v>
      </c>
      <c r="AU1090" t="s">
        <v>396</v>
      </c>
      <c r="AV1090">
        <v>2017</v>
      </c>
      <c r="AW1090" t="str">
        <f>"01-3N-26-0000-0001-0050 "</f>
        <v xml:space="preserve">01-3N-26-0000-0001-0050 </v>
      </c>
      <c r="AZ1090" t="s">
        <v>11137</v>
      </c>
      <c r="BA1090" t="s">
        <v>11138</v>
      </c>
      <c r="BD1090" t="s">
        <v>2387</v>
      </c>
      <c r="BE1090" t="s">
        <v>393</v>
      </c>
      <c r="BF1090">
        <v>32097</v>
      </c>
      <c r="BG1090" t="s">
        <v>11139</v>
      </c>
      <c r="BH1090" t="s">
        <v>2388</v>
      </c>
      <c r="BI1090">
        <v>-81.667477421346405</v>
      </c>
      <c r="BJ1090">
        <v>30.712274768668799</v>
      </c>
      <c r="BK1090" t="s">
        <v>11140</v>
      </c>
      <c r="BL1090" t="s">
        <v>11175</v>
      </c>
      <c r="BM1090" t="s">
        <v>11142</v>
      </c>
      <c r="BN1090" t="s">
        <v>11143</v>
      </c>
      <c r="BO1090">
        <v>31548</v>
      </c>
      <c r="BP1090" t="s">
        <v>404</v>
      </c>
      <c r="BQ1090">
        <v>0</v>
      </c>
      <c r="BR1090" t="s">
        <v>491</v>
      </c>
      <c r="BS1090">
        <v>8001</v>
      </c>
      <c r="BT1090" t="s">
        <v>492</v>
      </c>
      <c r="BW1090">
        <v>872942</v>
      </c>
      <c r="BX1090" t="s">
        <v>407</v>
      </c>
      <c r="BY1090" t="s">
        <v>408</v>
      </c>
      <c r="CD1090">
        <v>2017</v>
      </c>
      <c r="CE1090">
        <v>90180</v>
      </c>
      <c r="CG1090">
        <v>90180</v>
      </c>
      <c r="CH1090">
        <v>2017</v>
      </c>
      <c r="CI1090">
        <v>90180</v>
      </c>
      <c r="CK1090">
        <v>90180</v>
      </c>
      <c r="CL1090">
        <v>2017</v>
      </c>
      <c r="CM1090">
        <v>1365.22</v>
      </c>
      <c r="CN1090" s="1">
        <v>41514</v>
      </c>
      <c r="CO1090">
        <v>173900</v>
      </c>
      <c r="CZ1090" s="1">
        <v>41514</v>
      </c>
      <c r="DD1090" t="s">
        <v>2387</v>
      </c>
      <c r="DG1090">
        <v>1</v>
      </c>
      <c r="DM1090" t="s">
        <v>11144</v>
      </c>
      <c r="DO1090" t="s">
        <v>11176</v>
      </c>
      <c r="DP1090">
        <v>0</v>
      </c>
      <c r="DQ1090">
        <v>0</v>
      </c>
      <c r="DR1090" t="s">
        <v>411</v>
      </c>
      <c r="DS1090" t="b">
        <v>1</v>
      </c>
      <c r="DT1090" t="s">
        <v>470</v>
      </c>
      <c r="DU1090" t="s">
        <v>471</v>
      </c>
      <c r="DV1090" t="s">
        <v>472</v>
      </c>
      <c r="DX1090">
        <v>-9999</v>
      </c>
      <c r="DZ1090" t="s">
        <v>447</v>
      </c>
      <c r="EA1090" t="s">
        <v>448</v>
      </c>
      <c r="EB1090" t="s">
        <v>742</v>
      </c>
      <c r="EC1090">
        <v>20101217</v>
      </c>
      <c r="ED1090" t="s">
        <v>474</v>
      </c>
      <c r="EF1090">
        <v>3640.9</v>
      </c>
      <c r="EG1090">
        <v>2889.9</v>
      </c>
      <c r="EI1090">
        <v>20160407</v>
      </c>
      <c r="EJ1090">
        <v>0</v>
      </c>
      <c r="EK1090">
        <v>0</v>
      </c>
      <c r="EP1090" t="s">
        <v>421</v>
      </c>
      <c r="EQ1090" t="s">
        <v>422</v>
      </c>
      <c r="ER1090">
        <v>2</v>
      </c>
      <c r="ES1090">
        <v>5</v>
      </c>
      <c r="ET1090">
        <v>3048.36</v>
      </c>
      <c r="EU1090">
        <v>164.92</v>
      </c>
      <c r="EV1090">
        <v>3213.28</v>
      </c>
      <c r="EW1090" s="2">
        <v>43222</v>
      </c>
      <c r="EX1090" s="1">
        <v>42879</v>
      </c>
      <c r="EY1090">
        <v>2016</v>
      </c>
      <c r="EZ1090">
        <v>1524.18</v>
      </c>
      <c r="FA1090" t="s">
        <v>11177</v>
      </c>
      <c r="FB1090">
        <v>0.25</v>
      </c>
      <c r="FC1090" t="s">
        <v>424</v>
      </c>
      <c r="FD1090" t="s">
        <v>454</v>
      </c>
      <c r="FF1090">
        <v>12</v>
      </c>
      <c r="FG1090">
        <v>7400234</v>
      </c>
      <c r="FH1090" t="s">
        <v>426</v>
      </c>
      <c r="FJ1090" s="1">
        <v>42879</v>
      </c>
      <c r="FK1090">
        <v>2016</v>
      </c>
      <c r="FL1090">
        <v>1524.18</v>
      </c>
      <c r="FM1090" t="s">
        <v>11177</v>
      </c>
      <c r="FN1090">
        <v>0.25</v>
      </c>
      <c r="FO1090" t="s">
        <v>424</v>
      </c>
      <c r="FP1090" t="s">
        <v>454</v>
      </c>
      <c r="FR1090">
        <v>12</v>
      </c>
      <c r="FS1090">
        <v>7411222</v>
      </c>
      <c r="FT1090" t="s">
        <v>11178</v>
      </c>
      <c r="FV1090" s="1">
        <v>42515</v>
      </c>
      <c r="FW1090">
        <v>2015</v>
      </c>
      <c r="FX1090">
        <v>1555.54</v>
      </c>
      <c r="FY1090" t="s">
        <v>11179</v>
      </c>
      <c r="FZ1090">
        <v>0.25</v>
      </c>
      <c r="GA1090" t="s">
        <v>424</v>
      </c>
      <c r="GB1090" t="s">
        <v>425</v>
      </c>
      <c r="GC1090" s="1">
        <v>43140</v>
      </c>
      <c r="GD1090">
        <v>21</v>
      </c>
      <c r="GE1090">
        <v>2035919</v>
      </c>
      <c r="GF1090" t="s">
        <v>507</v>
      </c>
      <c r="GH1090" s="1">
        <v>42151</v>
      </c>
      <c r="GI1090">
        <v>2014</v>
      </c>
      <c r="GJ1090">
        <v>1563.28</v>
      </c>
      <c r="GK1090" t="s">
        <v>11180</v>
      </c>
      <c r="GL1090">
        <v>4.75</v>
      </c>
      <c r="GM1090" t="s">
        <v>424</v>
      </c>
      <c r="GN1090" t="s">
        <v>425</v>
      </c>
      <c r="GO1090" s="1">
        <v>42768</v>
      </c>
      <c r="GP1090">
        <v>21</v>
      </c>
      <c r="GQ1090">
        <v>4975593</v>
      </c>
      <c r="GR1090" t="s">
        <v>505</v>
      </c>
      <c r="GT1090" s="1">
        <v>41787</v>
      </c>
      <c r="GU1090">
        <v>2013</v>
      </c>
      <c r="GV1090">
        <v>87.94</v>
      </c>
      <c r="GW1090" t="s">
        <v>11181</v>
      </c>
      <c r="GX1090">
        <v>18</v>
      </c>
      <c r="GY1090" t="s">
        <v>424</v>
      </c>
      <c r="GZ1090" t="s">
        <v>425</v>
      </c>
      <c r="HA1090" s="1">
        <v>42408</v>
      </c>
      <c r="HB1090">
        <v>21</v>
      </c>
      <c r="HC1090">
        <v>116</v>
      </c>
      <c r="HD1090" t="s">
        <v>509</v>
      </c>
      <c r="HF1090" s="1">
        <v>41423</v>
      </c>
      <c r="HG1090">
        <v>2012</v>
      </c>
      <c r="HH1090">
        <v>69.28</v>
      </c>
      <c r="HI1090" t="s">
        <v>11182</v>
      </c>
      <c r="HJ1090">
        <v>4.75</v>
      </c>
      <c r="HK1090" t="s">
        <v>424</v>
      </c>
      <c r="HL1090" t="s">
        <v>425</v>
      </c>
      <c r="HM1090" s="1">
        <v>41631</v>
      </c>
      <c r="HN1090">
        <v>7</v>
      </c>
      <c r="HO1090">
        <v>10178</v>
      </c>
      <c r="HP1090" t="s">
        <v>8022</v>
      </c>
      <c r="HR1090" s="1">
        <v>41052</v>
      </c>
      <c r="HS1090">
        <v>2011</v>
      </c>
      <c r="HT1090">
        <v>62.11</v>
      </c>
      <c r="HU1090" t="s">
        <v>11183</v>
      </c>
      <c r="HV1090">
        <v>11.25</v>
      </c>
      <c r="HW1090" t="s">
        <v>424</v>
      </c>
      <c r="HX1090" t="s">
        <v>425</v>
      </c>
      <c r="HY1090" s="1">
        <v>41151</v>
      </c>
      <c r="HZ1090">
        <v>3</v>
      </c>
      <c r="IA1090">
        <v>10125</v>
      </c>
      <c r="IB1090" t="s">
        <v>440</v>
      </c>
    </row>
    <row r="1091" spans="1:308" x14ac:dyDescent="0.25">
      <c r="A1091">
        <v>16486098</v>
      </c>
      <c r="B1091">
        <v>1090</v>
      </c>
      <c r="C1091" t="s">
        <v>393</v>
      </c>
      <c r="D1091" t="s">
        <v>394</v>
      </c>
      <c r="F1091" t="str">
        <f>"02-3N-26-0000-0001-0030"</f>
        <v>02-3N-26-0000-0001-0030</v>
      </c>
      <c r="H1091" t="str">
        <f>"17/95 RV PARK LLC"</f>
        <v>17/95 RV PARK LLC</v>
      </c>
      <c r="I1091" t="str">
        <f>"1610 SOUTH 8TH STREET"</f>
        <v>1610 SOUTH 8TH STREET</v>
      </c>
      <c r="J1091" t="str">
        <f>"FERNANDINA BEACH FL 32034"</f>
        <v>FERNANDINA BEACH FL 32034</v>
      </c>
      <c r="K1091" t="str">
        <f>"US HWY 17"</f>
        <v>US HWY 17</v>
      </c>
      <c r="L1091" t="str">
        <f t="shared" si="358"/>
        <v>YULEE FL 32097</v>
      </c>
      <c r="M1091" t="str">
        <f>"PT OF NE1/4 OF SEC 2-3N-26E IN OR 1593/116 BEING PARAGRAPH 2"</f>
        <v>PT OF NE1/4 OF SEC 2-3N-26E IN OR 1593/116 BEING PARAGRAPH 2</v>
      </c>
      <c r="N1091" t="str">
        <f>""</f>
        <v/>
      </c>
      <c r="O1091" t="str">
        <f>"18018"</f>
        <v>18018</v>
      </c>
      <c r="P1091" t="str">
        <f t="shared" si="360"/>
        <v>2017</v>
      </c>
      <c r="Q1091" t="str">
        <f>""</f>
        <v/>
      </c>
      <c r="R1091" t="str">
        <f t="shared" si="359"/>
        <v>N</v>
      </c>
      <c r="S1091" t="str">
        <f>"0.11"</f>
        <v>0.11</v>
      </c>
      <c r="T1091" t="str">
        <f>"8.33"</f>
        <v>8.33</v>
      </c>
      <c r="U1091" t="str">
        <f>"550.00"</f>
        <v>550.00</v>
      </c>
      <c r="V1091" t="str">
        <f>"550.00"</f>
        <v>550.00</v>
      </c>
      <c r="W1091" t="str">
        <f t="shared" si="361"/>
        <v>2017</v>
      </c>
      <c r="X1091" t="str">
        <f>"41.17"</f>
        <v>41.17</v>
      </c>
      <c r="Y1091" t="str">
        <f>"40.58"</f>
        <v>40.58</v>
      </c>
      <c r="Z1091" t="str">
        <f>""</f>
        <v/>
      </c>
      <c r="AA1091" t="str">
        <f>"550.00"</f>
        <v>550.00</v>
      </c>
      <c r="AB1091" t="str">
        <f>"Industrial"</f>
        <v>Industrial</v>
      </c>
      <c r="AC1091" t="str">
        <f t="shared" si="345"/>
        <v>0</v>
      </c>
      <c r="AD1091" t="str">
        <f>""</f>
        <v/>
      </c>
      <c r="AE1091" t="str">
        <f>""</f>
        <v/>
      </c>
      <c r="AF1091" t="str">
        <f>"040"</f>
        <v>040</v>
      </c>
      <c r="AG1091" t="str">
        <f>"FL"</f>
        <v>FL</v>
      </c>
      <c r="AH1091" t="str">
        <f>"4791.00"</f>
        <v>4791.00</v>
      </c>
      <c r="AI1091" t="str">
        <f>"550.00"</f>
        <v>550.00</v>
      </c>
      <c r="AJ1091" t="str">
        <f>"C55-000-586-3953-5"</f>
        <v>C55-000-586-3953-5</v>
      </c>
      <c r="AK1091" t="str">
        <f>"17729"</f>
        <v>17729</v>
      </c>
      <c r="AL1091">
        <v>4</v>
      </c>
      <c r="AM1091">
        <v>1254</v>
      </c>
      <c r="AN1091">
        <v>41.01</v>
      </c>
      <c r="AQ1091" t="s">
        <v>11184</v>
      </c>
      <c r="AR1091" t="s">
        <v>11184</v>
      </c>
      <c r="AS1091" t="s">
        <v>11184</v>
      </c>
      <c r="AU1091" t="s">
        <v>396</v>
      </c>
      <c r="AV1091">
        <v>2017</v>
      </c>
      <c r="AW1091" t="str">
        <f>"02-3N-26-0000-0001-0030 "</f>
        <v xml:space="preserve">02-3N-26-0000-0001-0030 </v>
      </c>
      <c r="AZ1091" t="s">
        <v>11185</v>
      </c>
      <c r="BD1091" t="s">
        <v>2387</v>
      </c>
      <c r="BE1091" t="s">
        <v>393</v>
      </c>
      <c r="BF1091">
        <v>32097</v>
      </c>
      <c r="BG1091" t="s">
        <v>11185</v>
      </c>
      <c r="BH1091" t="s">
        <v>2388</v>
      </c>
      <c r="BI1091">
        <v>-81.674986635327102</v>
      </c>
      <c r="BJ1091">
        <v>30.716920517697901</v>
      </c>
      <c r="BK1091" t="s">
        <v>11186</v>
      </c>
      <c r="BM1091" t="s">
        <v>11187</v>
      </c>
      <c r="BN1091" t="s">
        <v>3983</v>
      </c>
      <c r="BO1091">
        <v>32034</v>
      </c>
      <c r="BP1091" t="s">
        <v>404</v>
      </c>
      <c r="BQ1091">
        <v>4000</v>
      </c>
      <c r="BR1091" t="s">
        <v>5453</v>
      </c>
      <c r="BS1091">
        <v>8003</v>
      </c>
      <c r="BT1091" t="s">
        <v>5454</v>
      </c>
      <c r="BW1091">
        <v>4791</v>
      </c>
      <c r="BX1091" t="s">
        <v>407</v>
      </c>
      <c r="BY1091" t="s">
        <v>11188</v>
      </c>
      <c r="CD1091">
        <v>2017</v>
      </c>
      <c r="CE1091">
        <v>550</v>
      </c>
      <c r="CG1091">
        <v>550</v>
      </c>
      <c r="CH1091">
        <v>2017</v>
      </c>
      <c r="CI1091">
        <v>550</v>
      </c>
      <c r="CK1091">
        <v>550</v>
      </c>
      <c r="CL1091">
        <v>2017</v>
      </c>
      <c r="CM1091">
        <v>8.33</v>
      </c>
      <c r="CN1091" s="1">
        <v>39764</v>
      </c>
      <c r="CO1091">
        <v>4971</v>
      </c>
      <c r="CV1091">
        <v>0</v>
      </c>
      <c r="CZ1091" s="1">
        <v>39764</v>
      </c>
      <c r="DA1091">
        <v>0</v>
      </c>
      <c r="DD1091" t="s">
        <v>2387</v>
      </c>
      <c r="DG1091">
        <v>2</v>
      </c>
      <c r="DL1091">
        <v>50301</v>
      </c>
      <c r="DM1091" t="s">
        <v>11189</v>
      </c>
      <c r="DO1091" t="s">
        <v>11190</v>
      </c>
      <c r="DP1091">
        <v>0</v>
      </c>
      <c r="DQ1091">
        <v>5</v>
      </c>
      <c r="DR1091" t="s">
        <v>1479</v>
      </c>
      <c r="DS1091" t="b">
        <v>1</v>
      </c>
      <c r="DT1091" t="s">
        <v>470</v>
      </c>
      <c r="DU1091" t="s">
        <v>471</v>
      </c>
      <c r="DV1091" t="s">
        <v>472</v>
      </c>
      <c r="DX1091">
        <v>-9999</v>
      </c>
      <c r="DZ1091" t="s">
        <v>447</v>
      </c>
      <c r="EA1091" t="s">
        <v>448</v>
      </c>
      <c r="EB1091" t="s">
        <v>742</v>
      </c>
      <c r="EC1091">
        <v>20101217</v>
      </c>
      <c r="ED1091" t="s">
        <v>474</v>
      </c>
      <c r="EF1091">
        <v>-9999</v>
      </c>
      <c r="EG1091">
        <v>3745.5</v>
      </c>
      <c r="EI1091">
        <v>20160407</v>
      </c>
      <c r="EJ1091">
        <v>0</v>
      </c>
      <c r="EK1091">
        <v>0</v>
      </c>
      <c r="EP1091" t="s">
        <v>595</v>
      </c>
      <c r="EQ1091" t="s">
        <v>422</v>
      </c>
      <c r="ER1091">
        <v>2</v>
      </c>
      <c r="ES1091">
        <v>0</v>
      </c>
      <c r="ET1091">
        <v>69.44</v>
      </c>
      <c r="EU1091">
        <v>37.5</v>
      </c>
      <c r="EV1091">
        <v>106.94</v>
      </c>
      <c r="EW1091" s="2">
        <v>43222</v>
      </c>
      <c r="EX1091" s="1">
        <v>42515</v>
      </c>
      <c r="EY1091">
        <v>2015</v>
      </c>
      <c r="EZ1091">
        <v>31.36</v>
      </c>
      <c r="FA1091" t="s">
        <v>11191</v>
      </c>
      <c r="FB1091">
        <v>18</v>
      </c>
      <c r="FC1091" t="s">
        <v>603</v>
      </c>
      <c r="FD1091" t="s">
        <v>454</v>
      </c>
      <c r="FF1091">
        <v>24</v>
      </c>
      <c r="FG1091">
        <v>9999999</v>
      </c>
      <c r="FH1091" t="s">
        <v>604</v>
      </c>
      <c r="FJ1091" s="1">
        <v>42515</v>
      </c>
      <c r="FK1091">
        <v>2015</v>
      </c>
      <c r="FL1091">
        <v>38.08</v>
      </c>
      <c r="FM1091" t="s">
        <v>11191</v>
      </c>
      <c r="FN1091">
        <v>18</v>
      </c>
      <c r="FO1091" t="s">
        <v>424</v>
      </c>
      <c r="FP1091" t="s">
        <v>454</v>
      </c>
      <c r="FR1091">
        <v>24</v>
      </c>
      <c r="FS1091">
        <v>4844951</v>
      </c>
      <c r="FT1091" t="s">
        <v>697</v>
      </c>
    </row>
    <row r="1092" spans="1:308" x14ac:dyDescent="0.25">
      <c r="A1092">
        <v>16486099</v>
      </c>
      <c r="B1092">
        <v>1091</v>
      </c>
      <c r="C1092" t="s">
        <v>393</v>
      </c>
      <c r="D1092" t="s">
        <v>394</v>
      </c>
      <c r="F1092" t="str">
        <f>"02-3N-26-0000-0001-0060"</f>
        <v>02-3N-26-0000-0001-0060</v>
      </c>
      <c r="H1092" t="str">
        <f>"HORNE ELWIN G &amp; ANN C (JTROS)"</f>
        <v>HORNE ELWIN G &amp; ANN C (JTROS)</v>
      </c>
      <c r="I1092" t="str">
        <f>"174 GREENVILLE RD"</f>
        <v>174 GREENVILLE RD</v>
      </c>
      <c r="J1092" t="str">
        <f>"KINGSLAND GA 31548"</f>
        <v>KINGSLAND GA 31548</v>
      </c>
      <c r="K1092" t="str">
        <f>"HANCE PKWY"</f>
        <v>HANCE PKWY</v>
      </c>
      <c r="L1092" t="str">
        <f t="shared" si="358"/>
        <v>YULEE FL 32097</v>
      </c>
      <c r="M1092" t="str">
        <f>"PT OR 1641/1573 EX 1-7 1-8 1-11 &amp; 1-14"</f>
        <v>PT OR 1641/1573 EX 1-7 1-8 1-11 &amp; 1-14</v>
      </c>
      <c r="N1092" t="str">
        <f>""</f>
        <v/>
      </c>
      <c r="O1092" t="str">
        <f>"18021"</f>
        <v>18021</v>
      </c>
      <c r="P1092" t="str">
        <f t="shared" si="360"/>
        <v>2017</v>
      </c>
      <c r="Q1092" t="str">
        <f>""</f>
        <v/>
      </c>
      <c r="R1092" t="str">
        <f t="shared" si="359"/>
        <v>N</v>
      </c>
      <c r="S1092" t="str">
        <f>"5.87"</f>
        <v>5.87</v>
      </c>
      <c r="T1092" t="str">
        <f>"25.76"</f>
        <v>25.76</v>
      </c>
      <c r="U1092" t="str">
        <f>"1702.00"</f>
        <v>1702.00</v>
      </c>
      <c r="V1092" t="str">
        <f>"1702.00"</f>
        <v>1702.00</v>
      </c>
      <c r="W1092" t="str">
        <f t="shared" si="361"/>
        <v>2017</v>
      </c>
      <c r="X1092" t="str">
        <f>"15.83"</f>
        <v>15.83</v>
      </c>
      <c r="Y1092" t="str">
        <f>"58.53"</f>
        <v>58.53</v>
      </c>
      <c r="Z1092" t="str">
        <f>""</f>
        <v/>
      </c>
      <c r="AA1092" t="str">
        <f>"1702.00"</f>
        <v>1702.00</v>
      </c>
      <c r="AB1092" t="str">
        <f>"Agricultural"</f>
        <v>Agricultural</v>
      </c>
      <c r="AC1092" t="str">
        <f t="shared" si="345"/>
        <v>0</v>
      </c>
      <c r="AD1092" t="str">
        <f>""</f>
        <v/>
      </c>
      <c r="AE1092" t="str">
        <f>""</f>
        <v/>
      </c>
      <c r="AF1092" t="str">
        <f>"056"</f>
        <v>056</v>
      </c>
      <c r="AG1092" t="str">
        <f>"GA"</f>
        <v>GA</v>
      </c>
      <c r="AH1092" t="str">
        <f>"255697.00"</f>
        <v>255697.00</v>
      </c>
      <c r="AI1092" t="str">
        <f>"1702.00"</f>
        <v>1702.00</v>
      </c>
      <c r="AJ1092" t="str">
        <f>"C55-000-586-3956-8"</f>
        <v>C55-000-586-3956-8</v>
      </c>
      <c r="AK1092" t="str">
        <f>"17732"</f>
        <v>17732</v>
      </c>
      <c r="AL1092">
        <v>4</v>
      </c>
      <c r="AM1092">
        <v>1255</v>
      </c>
      <c r="AN1092">
        <v>59.86</v>
      </c>
      <c r="AQ1092" t="s">
        <v>11192</v>
      </c>
      <c r="AR1092" t="s">
        <v>11192</v>
      </c>
      <c r="AS1092" t="s">
        <v>11192</v>
      </c>
      <c r="AU1092" t="s">
        <v>396</v>
      </c>
      <c r="AV1092">
        <v>2017</v>
      </c>
      <c r="AW1092" t="str">
        <f>"02-3N-26-0000-0001-0060 "</f>
        <v xml:space="preserve">02-3N-26-0000-0001-0060 </v>
      </c>
      <c r="AZ1092" t="s">
        <v>11137</v>
      </c>
      <c r="BA1092" t="s">
        <v>11138</v>
      </c>
      <c r="BD1092" t="s">
        <v>2387</v>
      </c>
      <c r="BE1092" t="s">
        <v>393</v>
      </c>
      <c r="BF1092">
        <v>32097</v>
      </c>
      <c r="BG1092" t="s">
        <v>11139</v>
      </c>
      <c r="BH1092" t="s">
        <v>2388</v>
      </c>
      <c r="BI1092">
        <v>-81.668473268816697</v>
      </c>
      <c r="BJ1092">
        <v>30.714999953221799</v>
      </c>
      <c r="BK1092" t="s">
        <v>11140</v>
      </c>
      <c r="BL1092" t="s">
        <v>11141</v>
      </c>
      <c r="BM1092" t="s">
        <v>11142</v>
      </c>
      <c r="BN1092" t="s">
        <v>11143</v>
      </c>
      <c r="BO1092">
        <v>31548</v>
      </c>
      <c r="BP1092" t="s">
        <v>404</v>
      </c>
      <c r="BQ1092">
        <v>5600</v>
      </c>
      <c r="BR1092" t="s">
        <v>417</v>
      </c>
      <c r="BS1092">
        <v>7009</v>
      </c>
      <c r="BT1092" t="s">
        <v>418</v>
      </c>
      <c r="BW1092">
        <v>255697</v>
      </c>
      <c r="BX1092" t="s">
        <v>407</v>
      </c>
      <c r="BY1092" t="s">
        <v>10933</v>
      </c>
      <c r="CD1092">
        <v>2017</v>
      </c>
      <c r="CG1092">
        <v>1702</v>
      </c>
      <c r="CH1092">
        <v>2017</v>
      </c>
      <c r="CI1092">
        <v>1702</v>
      </c>
      <c r="CJ1092">
        <v>45258</v>
      </c>
      <c r="CK1092">
        <v>46960</v>
      </c>
      <c r="CL1092">
        <v>2017</v>
      </c>
      <c r="CM1092">
        <v>25.76</v>
      </c>
      <c r="CN1092" s="1">
        <v>39512</v>
      </c>
      <c r="CO1092">
        <v>300000</v>
      </c>
      <c r="CV1092">
        <v>200000</v>
      </c>
      <c r="CX1092" t="s">
        <v>707</v>
      </c>
      <c r="CZ1092" s="1">
        <v>39512</v>
      </c>
      <c r="DA1092">
        <v>0</v>
      </c>
      <c r="DD1092" t="s">
        <v>2387</v>
      </c>
      <c r="DG1092">
        <v>2</v>
      </c>
      <c r="DM1092" t="s">
        <v>11189</v>
      </c>
      <c r="DO1092" t="s">
        <v>11193</v>
      </c>
      <c r="DP1092">
        <v>0</v>
      </c>
      <c r="DQ1092">
        <v>0</v>
      </c>
      <c r="DR1092" t="s">
        <v>411</v>
      </c>
      <c r="DS1092" t="s">
        <v>695</v>
      </c>
      <c r="EJ1092">
        <v>0</v>
      </c>
      <c r="EK1092">
        <v>0</v>
      </c>
      <c r="EP1092" t="s">
        <v>595</v>
      </c>
      <c r="EQ1092" t="s">
        <v>422</v>
      </c>
      <c r="ER1092">
        <v>2</v>
      </c>
      <c r="ES1092">
        <v>6</v>
      </c>
      <c r="ET1092">
        <v>106.58</v>
      </c>
      <c r="EU1092">
        <v>17.829999999999998</v>
      </c>
      <c r="EV1092">
        <v>124.41</v>
      </c>
      <c r="EW1092" s="2">
        <v>43222</v>
      </c>
      <c r="EX1092" s="1">
        <v>42879</v>
      </c>
      <c r="EY1092">
        <v>2016</v>
      </c>
      <c r="EZ1092">
        <v>53.29</v>
      </c>
      <c r="FA1092" t="s">
        <v>11194</v>
      </c>
      <c r="FB1092">
        <v>0.25</v>
      </c>
      <c r="FC1092" t="s">
        <v>424</v>
      </c>
      <c r="FD1092" t="s">
        <v>454</v>
      </c>
      <c r="FF1092">
        <v>12</v>
      </c>
      <c r="FG1092">
        <v>7336671</v>
      </c>
      <c r="FH1092" t="s">
        <v>437</v>
      </c>
      <c r="FJ1092" s="1">
        <v>42879</v>
      </c>
      <c r="FK1092">
        <v>2016</v>
      </c>
      <c r="FL1092">
        <v>53.29</v>
      </c>
      <c r="FM1092" t="s">
        <v>11194</v>
      </c>
      <c r="FN1092">
        <v>0.25</v>
      </c>
      <c r="FO1092" t="s">
        <v>424</v>
      </c>
      <c r="FP1092" t="s">
        <v>454</v>
      </c>
      <c r="FR1092">
        <v>12</v>
      </c>
      <c r="FS1092">
        <v>5125868</v>
      </c>
      <c r="FT1092" t="s">
        <v>11195</v>
      </c>
      <c r="FV1092" s="1">
        <v>42151</v>
      </c>
      <c r="FW1092">
        <v>2014</v>
      </c>
      <c r="FX1092">
        <v>47.06</v>
      </c>
      <c r="FY1092" t="s">
        <v>11196</v>
      </c>
      <c r="FZ1092">
        <v>18</v>
      </c>
      <c r="GA1092" t="s">
        <v>603</v>
      </c>
      <c r="GB1092" t="s">
        <v>425</v>
      </c>
      <c r="GC1092" s="1">
        <v>42408</v>
      </c>
      <c r="GD1092">
        <v>9</v>
      </c>
      <c r="GE1092">
        <v>9999999</v>
      </c>
      <c r="GF1092" t="s">
        <v>604</v>
      </c>
      <c r="GH1092" s="1">
        <v>41787</v>
      </c>
      <c r="GI1092">
        <v>2013</v>
      </c>
      <c r="GJ1092">
        <v>43.84</v>
      </c>
      <c r="GK1092" t="s">
        <v>11197</v>
      </c>
      <c r="GL1092">
        <v>18</v>
      </c>
      <c r="GM1092" t="s">
        <v>603</v>
      </c>
      <c r="GN1092" t="s">
        <v>425</v>
      </c>
      <c r="GP1092">
        <v>22</v>
      </c>
      <c r="GQ1092">
        <v>9999999</v>
      </c>
      <c r="GR1092" t="s">
        <v>604</v>
      </c>
      <c r="GT1092" s="1">
        <v>41787</v>
      </c>
      <c r="GU1092">
        <v>2013</v>
      </c>
      <c r="GV1092">
        <v>52.06</v>
      </c>
      <c r="GW1092" t="s">
        <v>11197</v>
      </c>
      <c r="GX1092">
        <v>18</v>
      </c>
      <c r="GY1092" t="s">
        <v>424</v>
      </c>
      <c r="GZ1092" t="s">
        <v>425</v>
      </c>
      <c r="HA1092" s="1">
        <v>42408</v>
      </c>
      <c r="HB1092">
        <v>21</v>
      </c>
      <c r="HC1092">
        <v>2101381</v>
      </c>
      <c r="HD1092" t="s">
        <v>605</v>
      </c>
      <c r="HF1092" s="1">
        <v>41423</v>
      </c>
      <c r="HG1092">
        <v>2012</v>
      </c>
      <c r="HH1092">
        <v>39.299999999999997</v>
      </c>
      <c r="HI1092" t="s">
        <v>11198</v>
      </c>
      <c r="HJ1092">
        <v>6.75</v>
      </c>
      <c r="HK1092" t="s">
        <v>424</v>
      </c>
      <c r="HL1092" t="s">
        <v>425</v>
      </c>
      <c r="HM1092" s="1">
        <v>42044</v>
      </c>
      <c r="HN1092">
        <v>21</v>
      </c>
      <c r="HO1092">
        <v>10178</v>
      </c>
      <c r="HP1092" t="s">
        <v>8022</v>
      </c>
      <c r="HR1092" s="1">
        <v>41052</v>
      </c>
      <c r="HS1092">
        <v>2011</v>
      </c>
      <c r="HT1092">
        <v>31.6</v>
      </c>
      <c r="HU1092" t="s">
        <v>11199</v>
      </c>
      <c r="HV1092">
        <v>11.5</v>
      </c>
      <c r="HW1092" t="s">
        <v>424</v>
      </c>
      <c r="HX1092" t="s">
        <v>425</v>
      </c>
      <c r="HY1092" s="1">
        <v>41631</v>
      </c>
      <c r="HZ1092">
        <v>19</v>
      </c>
      <c r="IA1092">
        <v>10125</v>
      </c>
      <c r="IB1092" t="s">
        <v>440</v>
      </c>
      <c r="ID1092" s="1">
        <v>40688</v>
      </c>
      <c r="IE1092">
        <v>2010</v>
      </c>
      <c r="IF1092">
        <v>28.24</v>
      </c>
      <c r="IG1092" t="s">
        <v>11200</v>
      </c>
      <c r="IH1092">
        <v>0.25</v>
      </c>
      <c r="II1092" t="s">
        <v>424</v>
      </c>
      <c r="IJ1092" t="s">
        <v>425</v>
      </c>
      <c r="IK1092" s="1">
        <v>41327</v>
      </c>
      <c r="IL1092">
        <v>21</v>
      </c>
      <c r="IM1092">
        <v>10939</v>
      </c>
      <c r="IN1092" t="s">
        <v>11201</v>
      </c>
    </row>
    <row r="1093" spans="1:308" x14ac:dyDescent="0.25">
      <c r="A1093">
        <v>16486100</v>
      </c>
      <c r="B1093">
        <v>1092</v>
      </c>
      <c r="C1093" t="s">
        <v>393</v>
      </c>
      <c r="D1093" t="s">
        <v>394</v>
      </c>
      <c r="F1093" t="str">
        <f>"02-3N-26-0000-0001-0090"</f>
        <v>02-3N-26-0000-0001-0090</v>
      </c>
      <c r="H1093" t="str">
        <f>"PTRO INC"</f>
        <v>PTRO INC</v>
      </c>
      <c r="I1093" t="str">
        <f>"86595 HESTER DRIVE"</f>
        <v>86595 HESTER DRIVE</v>
      </c>
      <c r="J1093" t="str">
        <f>"YULEE FL 32097"</f>
        <v>YULEE FL 32097</v>
      </c>
      <c r="K1093" t="str">
        <f>"77219 HANCE PARK WAY"</f>
        <v>77219 HANCE PARK WAY</v>
      </c>
      <c r="L1093" t="str">
        <f t="shared" si="358"/>
        <v>YULEE FL 32097</v>
      </c>
      <c r="M1093" t="str">
        <f>"PT OF NE1/4 &amp; PT OR NE1/4 OF SE1/4 PARS 1-9 1-11 6 7 8 9-1 10 12 IN OR 1373/1518 EX ESMT OR 532/249 &amp; EX R/W OR 79/594"</f>
        <v>PT OF NE1/4 &amp; PT OR NE1/4 OF SE1/4 PARS 1-9 1-11 6 7 8 9-1 10 12 IN OR 1373/1518 EX ESMT OR 532/249 &amp; EX R/W OR 79/594</v>
      </c>
      <c r="N1093" t="str">
        <f>""</f>
        <v/>
      </c>
      <c r="O1093" t="str">
        <f>"18023"</f>
        <v>18023</v>
      </c>
      <c r="P1093" t="str">
        <f t="shared" si="360"/>
        <v>2017</v>
      </c>
      <c r="Q1093" t="str">
        <f>""</f>
        <v/>
      </c>
      <c r="R1093" t="str">
        <f t="shared" si="359"/>
        <v>N</v>
      </c>
      <c r="S1093" t="str">
        <f>"8.61"</f>
        <v>8.61</v>
      </c>
      <c r="T1093" t="str">
        <f>"8309.18"</f>
        <v>8309.18</v>
      </c>
      <c r="U1093" t="str">
        <f>"548867.00"</f>
        <v>548867.00</v>
      </c>
      <c r="V1093" t="str">
        <f>"548867.00"</f>
        <v>548867.00</v>
      </c>
      <c r="W1093" t="str">
        <f t="shared" si="361"/>
        <v>2017</v>
      </c>
      <c r="X1093" t="str">
        <f>"18.50"</f>
        <v>18.50</v>
      </c>
      <c r="Y1093" t="str">
        <f>"8590.46"</f>
        <v>8590.46</v>
      </c>
      <c r="Z1093" t="str">
        <f>""</f>
        <v/>
      </c>
      <c r="AA1093" t="str">
        <f>"548867.00"</f>
        <v>548867.00</v>
      </c>
      <c r="AB1093" t="str">
        <f>"Commercial"</f>
        <v>Commercial</v>
      </c>
      <c r="AC1093" t="str">
        <f t="shared" si="345"/>
        <v>0</v>
      </c>
      <c r="AD1093" t="str">
        <f>"5"</f>
        <v>5</v>
      </c>
      <c r="AE1093" t="str">
        <f>"STEEL FRAME/INCOMBUSTIBLE WALLS/ROOF"</f>
        <v>STEEL FRAME/INCOMBUSTIBLE WALLS/ROOF</v>
      </c>
      <c r="AF1093" t="str">
        <f>"028"</f>
        <v>028</v>
      </c>
      <c r="AG1093" t="str">
        <f>"FL"</f>
        <v>FL</v>
      </c>
      <c r="AH1093" t="str">
        <f>"375051.00"</f>
        <v>375051.00</v>
      </c>
      <c r="AI1093" t="str">
        <f>"215250.00"</f>
        <v>215250.00</v>
      </c>
      <c r="AJ1093" t="str">
        <f>"C55-000-586-3959-2"</f>
        <v>C55-000-586-3959-2</v>
      </c>
      <c r="AK1093" t="str">
        <f>"17733"</f>
        <v>17733</v>
      </c>
      <c r="AL1093">
        <v>4</v>
      </c>
      <c r="AM1093">
        <v>1256</v>
      </c>
      <c r="AN1093">
        <v>9018.3799999999992</v>
      </c>
      <c r="AQ1093" t="s">
        <v>11202</v>
      </c>
      <c r="AR1093" t="s">
        <v>11202</v>
      </c>
      <c r="AS1093" t="s">
        <v>11202</v>
      </c>
      <c r="AU1093" t="s">
        <v>396</v>
      </c>
      <c r="AV1093">
        <v>2017</v>
      </c>
      <c r="AW1093" t="str">
        <f>"02-3N-26-0000-0001-0090 "</f>
        <v xml:space="preserve">02-3N-26-0000-0001-0090 </v>
      </c>
      <c r="AX1093">
        <v>77219</v>
      </c>
      <c r="AZ1093" t="s">
        <v>11203</v>
      </c>
      <c r="BA1093" t="s">
        <v>866</v>
      </c>
      <c r="BD1093" t="s">
        <v>2387</v>
      </c>
      <c r="BE1093" t="s">
        <v>393</v>
      </c>
      <c r="BF1093">
        <v>32097</v>
      </c>
      <c r="BG1093" t="s">
        <v>11204</v>
      </c>
      <c r="BH1093" t="s">
        <v>2388</v>
      </c>
      <c r="BI1093">
        <v>-81.668610587658193</v>
      </c>
      <c r="BJ1093">
        <v>30.710988571948601</v>
      </c>
      <c r="BK1093" t="s">
        <v>11205</v>
      </c>
      <c r="BM1093" t="s">
        <v>11206</v>
      </c>
      <c r="BN1093" t="s">
        <v>1778</v>
      </c>
      <c r="BO1093">
        <v>32097</v>
      </c>
      <c r="BP1093" t="s">
        <v>404</v>
      </c>
      <c r="BQ1093">
        <v>2800</v>
      </c>
      <c r="BR1093" t="s">
        <v>4802</v>
      </c>
      <c r="BS1093">
        <v>1109</v>
      </c>
      <c r="BT1093" t="s">
        <v>4803</v>
      </c>
      <c r="BW1093">
        <v>375051</v>
      </c>
      <c r="BX1093" t="s">
        <v>407</v>
      </c>
      <c r="BY1093" t="s">
        <v>10933</v>
      </c>
      <c r="BZ1093">
        <v>5</v>
      </c>
      <c r="CA1093">
        <v>1990</v>
      </c>
      <c r="CB1093">
        <v>1</v>
      </c>
      <c r="CD1093">
        <v>2017</v>
      </c>
      <c r="CE1093">
        <v>215250</v>
      </c>
      <c r="CF1093">
        <v>333617</v>
      </c>
      <c r="CG1093">
        <v>548867</v>
      </c>
      <c r="CH1093">
        <v>2017</v>
      </c>
      <c r="CI1093">
        <v>215250</v>
      </c>
      <c r="CJ1093">
        <v>333617</v>
      </c>
      <c r="CK1093">
        <v>548867</v>
      </c>
      <c r="CL1093">
        <v>2017</v>
      </c>
      <c r="CM1093">
        <v>8309.18</v>
      </c>
      <c r="CN1093" s="1">
        <v>38699</v>
      </c>
      <c r="CO1093">
        <v>1500000</v>
      </c>
      <c r="CV1093">
        <v>1490000</v>
      </c>
      <c r="CX1093" t="s">
        <v>707</v>
      </c>
      <c r="CZ1093" s="1">
        <v>38699</v>
      </c>
      <c r="DA1093">
        <v>0</v>
      </c>
      <c r="DD1093" t="s">
        <v>2387</v>
      </c>
      <c r="DG1093">
        <v>2</v>
      </c>
      <c r="DL1093">
        <v>50301</v>
      </c>
      <c r="DM1093" t="s">
        <v>11189</v>
      </c>
      <c r="DO1093" t="s">
        <v>11207</v>
      </c>
      <c r="DP1093">
        <v>0</v>
      </c>
      <c r="DQ1093">
        <v>1</v>
      </c>
      <c r="DR1093" t="s">
        <v>411</v>
      </c>
      <c r="DS1093" t="b">
        <v>1</v>
      </c>
      <c r="DT1093" t="s">
        <v>470</v>
      </c>
      <c r="DU1093" t="s">
        <v>471</v>
      </c>
      <c r="DV1093" t="s">
        <v>472</v>
      </c>
      <c r="DX1093">
        <v>-9999</v>
      </c>
      <c r="DZ1093" t="s">
        <v>447</v>
      </c>
      <c r="EA1093" t="s">
        <v>448</v>
      </c>
      <c r="EB1093" t="s">
        <v>742</v>
      </c>
      <c r="EC1093">
        <v>20101217</v>
      </c>
      <c r="ED1093" t="s">
        <v>474</v>
      </c>
      <c r="EF1093">
        <v>4180.7</v>
      </c>
      <c r="EG1093">
        <v>3370</v>
      </c>
      <c r="EH1093" t="s">
        <v>451</v>
      </c>
      <c r="EI1093">
        <v>20140731</v>
      </c>
      <c r="EJ1093">
        <v>0</v>
      </c>
      <c r="EK1093">
        <v>0</v>
      </c>
      <c r="EP1093" t="s">
        <v>421</v>
      </c>
      <c r="EQ1093" t="s">
        <v>452</v>
      </c>
      <c r="ER1093">
        <v>2</v>
      </c>
      <c r="ES1093">
        <v>7</v>
      </c>
      <c r="ET1093">
        <v>18339.240000000002</v>
      </c>
      <c r="EU1093">
        <v>929.46</v>
      </c>
      <c r="EV1093">
        <v>19268.7</v>
      </c>
      <c r="EW1093" s="2">
        <v>43222</v>
      </c>
      <c r="EX1093" s="1">
        <v>42879</v>
      </c>
      <c r="EY1093">
        <v>2016</v>
      </c>
      <c r="EZ1093">
        <v>9169.6200000000008</v>
      </c>
      <c r="FA1093" t="s">
        <v>11208</v>
      </c>
      <c r="FB1093">
        <v>0.25</v>
      </c>
      <c r="FC1093" t="s">
        <v>424</v>
      </c>
      <c r="FD1093" t="s">
        <v>454</v>
      </c>
      <c r="FF1093">
        <v>12</v>
      </c>
      <c r="FG1093">
        <v>11289</v>
      </c>
      <c r="FH1093" t="s">
        <v>787</v>
      </c>
      <c r="FJ1093" s="1">
        <v>42879</v>
      </c>
      <c r="FK1093">
        <v>2016</v>
      </c>
      <c r="FL1093">
        <v>9169.6200000000008</v>
      </c>
      <c r="FM1093" t="s">
        <v>11208</v>
      </c>
      <c r="FN1093">
        <v>0.25</v>
      </c>
      <c r="FO1093" t="s">
        <v>424</v>
      </c>
      <c r="FP1093" t="s">
        <v>454</v>
      </c>
      <c r="FR1093">
        <v>12</v>
      </c>
      <c r="FS1093">
        <v>7100582</v>
      </c>
      <c r="FT1093" t="s">
        <v>11209</v>
      </c>
      <c r="FV1093" s="1">
        <v>42151</v>
      </c>
      <c r="FW1093">
        <v>2014</v>
      </c>
      <c r="FX1093">
        <v>8883.24</v>
      </c>
      <c r="FY1093" t="s">
        <v>11210</v>
      </c>
      <c r="FZ1093">
        <v>0.25</v>
      </c>
      <c r="GA1093" t="s">
        <v>424</v>
      </c>
      <c r="GB1093" t="s">
        <v>425</v>
      </c>
      <c r="GC1093" s="1">
        <v>42486</v>
      </c>
      <c r="GD1093">
        <v>11</v>
      </c>
      <c r="GE1093">
        <v>4975594</v>
      </c>
      <c r="GF1093" t="s">
        <v>457</v>
      </c>
      <c r="GG1093" t="s">
        <v>458</v>
      </c>
      <c r="GH1093" s="1">
        <v>42151</v>
      </c>
      <c r="GI1093">
        <v>2014</v>
      </c>
      <c r="GJ1093">
        <v>8883.24</v>
      </c>
      <c r="GK1093" t="s">
        <v>11210</v>
      </c>
      <c r="GL1093">
        <v>0.25</v>
      </c>
      <c r="GM1093" t="s">
        <v>424</v>
      </c>
      <c r="GN1093" t="s">
        <v>425</v>
      </c>
      <c r="GP1093">
        <v>22</v>
      </c>
      <c r="GQ1093">
        <v>6561316</v>
      </c>
      <c r="GR1093" t="s">
        <v>11211</v>
      </c>
      <c r="GS1093" t="s">
        <v>458</v>
      </c>
      <c r="GT1093" s="1">
        <v>41787</v>
      </c>
      <c r="GU1093">
        <v>2013</v>
      </c>
      <c r="GV1093">
        <v>8475.11</v>
      </c>
      <c r="GW1093" t="s">
        <v>11212</v>
      </c>
      <c r="GX1093">
        <v>0.25</v>
      </c>
      <c r="GY1093" t="s">
        <v>424</v>
      </c>
      <c r="GZ1093" t="s">
        <v>425</v>
      </c>
      <c r="HB1093">
        <v>22</v>
      </c>
      <c r="HC1093">
        <v>15259</v>
      </c>
      <c r="HD1093" t="s">
        <v>891</v>
      </c>
      <c r="HE1093" t="s">
        <v>458</v>
      </c>
      <c r="HF1093" s="1">
        <v>41787</v>
      </c>
      <c r="HG1093">
        <v>2013</v>
      </c>
      <c r="HH1093">
        <v>8475.11</v>
      </c>
      <c r="HI1093" t="s">
        <v>11212</v>
      </c>
      <c r="HJ1093">
        <v>0.25</v>
      </c>
      <c r="HK1093" t="s">
        <v>424</v>
      </c>
      <c r="HL1093" t="s">
        <v>425</v>
      </c>
      <c r="HN1093">
        <v>22</v>
      </c>
      <c r="HO1093">
        <v>7045049</v>
      </c>
      <c r="HP1093" t="s">
        <v>1335</v>
      </c>
      <c r="HQ1093" t="s">
        <v>458</v>
      </c>
      <c r="HR1093" s="1">
        <v>41423</v>
      </c>
      <c r="HS1093">
        <v>2012</v>
      </c>
      <c r="HT1093">
        <v>8659.74</v>
      </c>
      <c r="HU1093" t="s">
        <v>11213</v>
      </c>
      <c r="HV1093">
        <v>0.25</v>
      </c>
      <c r="HW1093" t="s">
        <v>424</v>
      </c>
      <c r="HX1093" t="s">
        <v>425</v>
      </c>
      <c r="HZ1093">
        <v>22</v>
      </c>
      <c r="IA1093">
        <v>11303</v>
      </c>
      <c r="IB1093" t="s">
        <v>918</v>
      </c>
      <c r="ID1093" s="1">
        <v>41423</v>
      </c>
      <c r="IE1093">
        <v>2012</v>
      </c>
      <c r="IF1093">
        <v>8659.74</v>
      </c>
      <c r="IG1093" t="s">
        <v>11213</v>
      </c>
      <c r="IH1093">
        <v>0.25</v>
      </c>
      <c r="II1093" t="s">
        <v>424</v>
      </c>
      <c r="IJ1093" t="s">
        <v>425</v>
      </c>
      <c r="IK1093" s="1">
        <v>42044</v>
      </c>
      <c r="IL1093">
        <v>21</v>
      </c>
      <c r="IM1093">
        <v>4844956</v>
      </c>
      <c r="IN1093" t="s">
        <v>919</v>
      </c>
      <c r="IP1093" s="1">
        <v>41052</v>
      </c>
      <c r="IQ1093">
        <v>2011</v>
      </c>
      <c r="IR1093">
        <v>10455.31</v>
      </c>
      <c r="IS1093" t="s">
        <v>11214</v>
      </c>
      <c r="IT1093">
        <v>3.25</v>
      </c>
      <c r="IU1093" t="s">
        <v>424</v>
      </c>
      <c r="IV1093" t="s">
        <v>425</v>
      </c>
      <c r="IW1093" s="1">
        <v>41631</v>
      </c>
      <c r="IX1093">
        <v>19</v>
      </c>
      <c r="IY1093">
        <v>13528</v>
      </c>
      <c r="IZ1093" t="s">
        <v>1101</v>
      </c>
    </row>
    <row r="1094" spans="1:308" x14ac:dyDescent="0.25">
      <c r="A1094">
        <v>16486101</v>
      </c>
      <c r="B1094">
        <v>1093</v>
      </c>
      <c r="C1094" t="s">
        <v>393</v>
      </c>
      <c r="D1094" t="s">
        <v>394</v>
      </c>
      <c r="F1094" t="str">
        <f>"02-3N-26-0000-0009-0000"</f>
        <v>02-3N-26-0000-0009-0000</v>
      </c>
      <c r="H1094" t="str">
        <f>"HORNE ELWIN G &amp; ANN C (JTROS)"</f>
        <v>HORNE ELWIN G &amp; ANN C (JTROS)</v>
      </c>
      <c r="I1094" t="str">
        <f>"174 GREENVILLE RD"</f>
        <v>174 GREENVILLE RD</v>
      </c>
      <c r="J1094" t="str">
        <f>"KINGSLAND GA 31548"</f>
        <v>KINGSLAND GA 31548</v>
      </c>
      <c r="K1094" t="str">
        <f>"HANCE PKWY"</f>
        <v>HANCE PKWY</v>
      </c>
      <c r="L1094" t="str">
        <f t="shared" si="358"/>
        <v>YULEE FL 32097</v>
      </c>
      <c r="M1094" t="str">
        <f>"PT OF NE1/4 OF SE1/4 PT OR 1641/1573 EX 9-1 &amp; ESMT OR 532/249 &amp; EX R/W OR 79/594"</f>
        <v>PT OF NE1/4 OF SE1/4 PT OR 1641/1573 EX 9-1 &amp; ESMT OR 532/249 &amp; EX R/W OR 79/594</v>
      </c>
      <c r="N1094" t="str">
        <f>""</f>
        <v/>
      </c>
      <c r="O1094" t="str">
        <f>"18036"</f>
        <v>18036</v>
      </c>
      <c r="P1094" t="str">
        <f t="shared" si="360"/>
        <v>2017</v>
      </c>
      <c r="Q1094" t="str">
        <f>""</f>
        <v/>
      </c>
      <c r="R1094" t="str">
        <f t="shared" si="359"/>
        <v>N</v>
      </c>
      <c r="S1094" t="str">
        <f>""</f>
        <v/>
      </c>
      <c r="T1094" t="str">
        <f>"164.86"</f>
        <v>164.86</v>
      </c>
      <c r="U1094" t="str">
        <f>"10890.00"</f>
        <v>10890.00</v>
      </c>
      <c r="V1094" t="str">
        <f>"10890.00"</f>
        <v>10890.00</v>
      </c>
      <c r="W1094" t="str">
        <f t="shared" si="361"/>
        <v>2017</v>
      </c>
      <c r="X1094" t="str">
        <f>"15.83"</f>
        <v>15.83</v>
      </c>
      <c r="Y1094" t="str">
        <f>"201.81"</f>
        <v>201.81</v>
      </c>
      <c r="Z1094" t="str">
        <f>""</f>
        <v/>
      </c>
      <c r="AA1094" t="str">
        <f>"10890.00"</f>
        <v>10890.00</v>
      </c>
      <c r="AB1094" t="str">
        <f>"Commercial"</f>
        <v>Commercial</v>
      </c>
      <c r="AC1094" t="str">
        <f t="shared" si="345"/>
        <v>0</v>
      </c>
      <c r="AD1094" t="str">
        <f>""</f>
        <v/>
      </c>
      <c r="AE1094" t="str">
        <f>""</f>
        <v/>
      </c>
      <c r="AF1094" t="str">
        <f>"010"</f>
        <v>010</v>
      </c>
      <c r="AG1094" t="str">
        <f>"GA"</f>
        <v>GA</v>
      </c>
      <c r="AH1094" t="str">
        <f>"10890.00"</f>
        <v>10890.00</v>
      </c>
      <c r="AI1094" t="str">
        <f>"10890.00"</f>
        <v>10890.00</v>
      </c>
      <c r="AJ1094" t="str">
        <f>"C55-000-589-2468-9"</f>
        <v>C55-000-589-2468-9</v>
      </c>
      <c r="AK1094" t="str">
        <f>"17744"</f>
        <v>17744</v>
      </c>
      <c r="AL1094">
        <v>4</v>
      </c>
      <c r="AM1094">
        <v>1257</v>
      </c>
      <c r="AN1094">
        <v>210.3</v>
      </c>
      <c r="AQ1094" t="s">
        <v>11215</v>
      </c>
      <c r="AR1094" t="s">
        <v>11215</v>
      </c>
      <c r="AS1094" t="s">
        <v>11215</v>
      </c>
      <c r="AU1094" t="s">
        <v>396</v>
      </c>
      <c r="AV1094">
        <v>2017</v>
      </c>
      <c r="AW1094" t="str">
        <f>"02-3N-26-0000-0009-0000 "</f>
        <v xml:space="preserve">02-3N-26-0000-0009-0000 </v>
      </c>
      <c r="AZ1094" t="s">
        <v>11137</v>
      </c>
      <c r="BA1094" t="s">
        <v>11138</v>
      </c>
      <c r="BD1094" t="s">
        <v>2387</v>
      </c>
      <c r="BE1094" t="s">
        <v>393</v>
      </c>
      <c r="BF1094">
        <v>32097</v>
      </c>
      <c r="BG1094" t="s">
        <v>11139</v>
      </c>
      <c r="BH1094" t="s">
        <v>2388</v>
      </c>
      <c r="BI1094">
        <v>-81.669455496271993</v>
      </c>
      <c r="BJ1094">
        <v>30.7094804662824</v>
      </c>
      <c r="BK1094" t="s">
        <v>11140</v>
      </c>
      <c r="BL1094" t="s">
        <v>11141</v>
      </c>
      <c r="BM1094" t="s">
        <v>11142</v>
      </c>
      <c r="BN1094" t="s">
        <v>11143</v>
      </c>
      <c r="BO1094">
        <v>31548</v>
      </c>
      <c r="BP1094" t="s">
        <v>404</v>
      </c>
      <c r="BQ1094">
        <v>1000</v>
      </c>
      <c r="BR1094" t="s">
        <v>2391</v>
      </c>
      <c r="BS1094">
        <v>8002</v>
      </c>
      <c r="BT1094" t="s">
        <v>2392</v>
      </c>
      <c r="BW1094">
        <v>12367</v>
      </c>
      <c r="BX1094" t="s">
        <v>407</v>
      </c>
      <c r="BY1094" t="s">
        <v>10933</v>
      </c>
      <c r="CD1094">
        <v>2017</v>
      </c>
      <c r="CE1094">
        <v>10890</v>
      </c>
      <c r="CG1094">
        <v>10890</v>
      </c>
      <c r="CH1094">
        <v>2017</v>
      </c>
      <c r="CI1094">
        <v>10890</v>
      </c>
      <c r="CK1094">
        <v>10890</v>
      </c>
      <c r="CL1094">
        <v>2017</v>
      </c>
      <c r="CM1094">
        <v>164.86</v>
      </c>
      <c r="CN1094" s="1">
        <v>40079</v>
      </c>
      <c r="CZ1094" s="1">
        <v>40079</v>
      </c>
      <c r="DD1094" t="s">
        <v>2387</v>
      </c>
      <c r="DG1094">
        <v>2</v>
      </c>
      <c r="DM1094" t="s">
        <v>11189</v>
      </c>
      <c r="DO1094" t="s">
        <v>11216</v>
      </c>
      <c r="DP1094">
        <v>0</v>
      </c>
      <c r="DQ1094">
        <v>0</v>
      </c>
      <c r="DR1094" t="s">
        <v>411</v>
      </c>
      <c r="DS1094" t="s">
        <v>695</v>
      </c>
      <c r="EJ1094">
        <v>0</v>
      </c>
      <c r="EK1094">
        <v>0</v>
      </c>
      <c r="EP1094" t="s">
        <v>421</v>
      </c>
      <c r="EQ1094" t="s">
        <v>422</v>
      </c>
      <c r="ER1094">
        <v>1</v>
      </c>
      <c r="ES1094">
        <v>5</v>
      </c>
      <c r="ET1094">
        <v>207.78</v>
      </c>
      <c r="EU1094">
        <v>26.51</v>
      </c>
      <c r="EV1094">
        <v>234.29</v>
      </c>
      <c r="EW1094" s="2">
        <v>43222</v>
      </c>
      <c r="EX1094" s="1">
        <v>42879</v>
      </c>
      <c r="EY1094">
        <v>2016</v>
      </c>
      <c r="EZ1094">
        <v>207.78</v>
      </c>
      <c r="FA1094" t="s">
        <v>11217</v>
      </c>
      <c r="FB1094">
        <v>9.75</v>
      </c>
      <c r="FC1094" t="s">
        <v>424</v>
      </c>
      <c r="FD1094" t="s">
        <v>454</v>
      </c>
      <c r="FF1094">
        <v>12</v>
      </c>
      <c r="FG1094">
        <v>10021</v>
      </c>
      <c r="FH1094" t="s">
        <v>597</v>
      </c>
      <c r="FJ1094" s="1">
        <v>42151</v>
      </c>
      <c r="FK1094">
        <v>2014</v>
      </c>
      <c r="FL1094">
        <v>201.55</v>
      </c>
      <c r="FM1094" t="s">
        <v>11218</v>
      </c>
      <c r="FN1094">
        <v>4.75</v>
      </c>
      <c r="FO1094" t="s">
        <v>424</v>
      </c>
      <c r="FP1094" t="s">
        <v>425</v>
      </c>
      <c r="FQ1094" s="1">
        <v>42408</v>
      </c>
      <c r="FR1094">
        <v>9</v>
      </c>
      <c r="FS1094">
        <v>4975593</v>
      </c>
      <c r="FT1094" t="s">
        <v>505</v>
      </c>
      <c r="FV1094" s="1">
        <v>41787</v>
      </c>
      <c r="FW1094">
        <v>2013</v>
      </c>
      <c r="FX1094">
        <v>184.74</v>
      </c>
      <c r="FY1094" t="s">
        <v>11219</v>
      </c>
      <c r="FZ1094">
        <v>12</v>
      </c>
      <c r="GA1094" t="s">
        <v>424</v>
      </c>
      <c r="GB1094" t="s">
        <v>425</v>
      </c>
      <c r="GC1094" s="1">
        <v>42408</v>
      </c>
      <c r="GD1094">
        <v>21</v>
      </c>
      <c r="GE1094">
        <v>10125</v>
      </c>
      <c r="GF1094" t="s">
        <v>440</v>
      </c>
      <c r="GH1094" s="1">
        <v>41423</v>
      </c>
      <c r="GI1094">
        <v>2012</v>
      </c>
      <c r="GJ1094">
        <v>180.03</v>
      </c>
      <c r="GK1094" t="s">
        <v>11220</v>
      </c>
      <c r="GL1094">
        <v>6.25</v>
      </c>
      <c r="GM1094" t="s">
        <v>424</v>
      </c>
      <c r="GN1094" t="s">
        <v>425</v>
      </c>
      <c r="GO1094" s="1">
        <v>42044</v>
      </c>
      <c r="GP1094">
        <v>21</v>
      </c>
      <c r="GQ1094">
        <v>2101381</v>
      </c>
      <c r="GR1094" t="s">
        <v>605</v>
      </c>
      <c r="GT1094" s="1">
        <v>41052</v>
      </c>
      <c r="GU1094">
        <v>2011</v>
      </c>
      <c r="GV1094">
        <v>141.49</v>
      </c>
      <c r="GW1094" t="s">
        <v>11221</v>
      </c>
      <c r="GX1094">
        <v>16.5</v>
      </c>
      <c r="GY1094" t="s">
        <v>424</v>
      </c>
      <c r="GZ1094" t="s">
        <v>425</v>
      </c>
      <c r="HA1094" s="1">
        <v>41631</v>
      </c>
      <c r="HB1094">
        <v>19</v>
      </c>
      <c r="HC1094">
        <v>10125</v>
      </c>
      <c r="HD1094" t="s">
        <v>440</v>
      </c>
      <c r="HF1094" s="1">
        <v>40688</v>
      </c>
      <c r="HG1094">
        <v>2010</v>
      </c>
      <c r="HH1094">
        <v>155.43</v>
      </c>
      <c r="HI1094" t="s">
        <v>11222</v>
      </c>
      <c r="HJ1094">
        <v>6.75</v>
      </c>
      <c r="HK1094" t="s">
        <v>424</v>
      </c>
      <c r="HL1094" t="s">
        <v>425</v>
      </c>
      <c r="HM1094" s="1">
        <v>41327</v>
      </c>
      <c r="HN1094">
        <v>21</v>
      </c>
      <c r="HO1094">
        <v>375</v>
      </c>
      <c r="HP1094" t="s">
        <v>776</v>
      </c>
    </row>
    <row r="1095" spans="1:308" x14ac:dyDescent="0.25">
      <c r="A1095">
        <v>16486102</v>
      </c>
      <c r="B1095">
        <v>1094</v>
      </c>
      <c r="C1095" t="s">
        <v>393</v>
      </c>
      <c r="D1095" t="s">
        <v>394</v>
      </c>
      <c r="F1095" t="str">
        <f>"02-3N-26-0000-0013-0030"</f>
        <v>02-3N-26-0000-0013-0030</v>
      </c>
      <c r="H1095" t="str">
        <f>"HORNE ELWIN G &amp; ANN C (JTROS)"</f>
        <v>HORNE ELWIN G &amp; ANN C (JTROS)</v>
      </c>
      <c r="I1095" t="str">
        <f>"174 GREENVILLE RD"</f>
        <v>174 GREENVILLE RD</v>
      </c>
      <c r="J1095" t="str">
        <f>"KINGSLAND GA 31548"</f>
        <v>KINGSLAND GA 31548</v>
      </c>
      <c r="K1095" t="str">
        <f>"HANCE PKWY"</f>
        <v>HANCE PKWY</v>
      </c>
      <c r="L1095" t="str">
        <f t="shared" si="358"/>
        <v>YULEE FL 32097</v>
      </c>
      <c r="M1095" t="str">
        <f>"PT OR 1641/1573 (EX 13)"</f>
        <v>PT OR 1641/1573 (EX 13)</v>
      </c>
      <c r="N1095" t="str">
        <f>""</f>
        <v/>
      </c>
      <c r="O1095" t="str">
        <f>"18041"</f>
        <v>18041</v>
      </c>
      <c r="P1095" t="str">
        <f t="shared" si="360"/>
        <v>2017</v>
      </c>
      <c r="Q1095" t="str">
        <f>""</f>
        <v/>
      </c>
      <c r="R1095" t="str">
        <f t="shared" si="359"/>
        <v>N</v>
      </c>
      <c r="S1095" t="str">
        <f>""</f>
        <v/>
      </c>
      <c r="T1095" t="str">
        <f>"927.23"</f>
        <v>927.23</v>
      </c>
      <c r="U1095" t="str">
        <f>"61248.00"</f>
        <v>61248.00</v>
      </c>
      <c r="V1095" t="str">
        <f>"61248.00"</f>
        <v>61248.00</v>
      </c>
      <c r="W1095" t="str">
        <f t="shared" si="361"/>
        <v>2017</v>
      </c>
      <c r="X1095" t="str">
        <f>"22.50"</f>
        <v>22.50</v>
      </c>
      <c r="Y1095" t="str">
        <f>"987.05"</f>
        <v>987.05</v>
      </c>
      <c r="Z1095" t="str">
        <f>""</f>
        <v/>
      </c>
      <c r="AA1095" t="str">
        <f>"61248.00"</f>
        <v>61248.00</v>
      </c>
      <c r="AB1095" t="str">
        <f>"Commercial"</f>
        <v>Commercial</v>
      </c>
      <c r="AC1095" t="str">
        <f t="shared" si="345"/>
        <v>0</v>
      </c>
      <c r="AD1095" t="str">
        <f>""</f>
        <v/>
      </c>
      <c r="AE1095" t="str">
        <f>""</f>
        <v/>
      </c>
      <c r="AF1095" t="str">
        <f>"010"</f>
        <v>010</v>
      </c>
      <c r="AG1095" t="str">
        <f>"GA"</f>
        <v>GA</v>
      </c>
      <c r="AH1095" t="str">
        <f>"40832.00"</f>
        <v>40832.00</v>
      </c>
      <c r="AI1095" t="str">
        <f>"61248.00"</f>
        <v>61248.00</v>
      </c>
      <c r="AJ1095" t="str">
        <f>"C55-000-586-3972-5"</f>
        <v>C55-000-586-3972-5</v>
      </c>
      <c r="AK1095" t="str">
        <f>"17747"</f>
        <v>17747</v>
      </c>
      <c r="AL1095">
        <v>4</v>
      </c>
      <c r="AM1095">
        <v>1258</v>
      </c>
      <c r="AN1095">
        <v>1034.8</v>
      </c>
      <c r="AQ1095" t="s">
        <v>11223</v>
      </c>
      <c r="AR1095" t="s">
        <v>11223</v>
      </c>
      <c r="AS1095" t="s">
        <v>11223</v>
      </c>
      <c r="AU1095" t="s">
        <v>396</v>
      </c>
      <c r="AV1095">
        <v>2017</v>
      </c>
      <c r="AW1095" t="str">
        <f>"02-3N-26-0000-0013-0030 "</f>
        <v xml:space="preserve">02-3N-26-0000-0013-0030 </v>
      </c>
      <c r="AZ1095" t="s">
        <v>11137</v>
      </c>
      <c r="BA1095" t="s">
        <v>11138</v>
      </c>
      <c r="BD1095" t="s">
        <v>2387</v>
      </c>
      <c r="BE1095" t="s">
        <v>393</v>
      </c>
      <c r="BF1095">
        <v>32097</v>
      </c>
      <c r="BG1095" t="s">
        <v>11139</v>
      </c>
      <c r="BH1095" t="s">
        <v>2388</v>
      </c>
      <c r="BI1095">
        <v>-81.667828332915803</v>
      </c>
      <c r="BJ1095">
        <v>30.707369968200201</v>
      </c>
      <c r="BK1095" t="s">
        <v>11140</v>
      </c>
      <c r="BL1095" t="s">
        <v>11141</v>
      </c>
      <c r="BM1095" t="s">
        <v>11142</v>
      </c>
      <c r="BN1095" t="s">
        <v>11143</v>
      </c>
      <c r="BO1095">
        <v>31548</v>
      </c>
      <c r="BP1095" t="s">
        <v>404</v>
      </c>
      <c r="BQ1095">
        <v>1000</v>
      </c>
      <c r="BR1095" t="s">
        <v>2391</v>
      </c>
      <c r="BS1095">
        <v>8002</v>
      </c>
      <c r="BT1095" t="s">
        <v>2392</v>
      </c>
      <c r="BW1095">
        <v>56023</v>
      </c>
      <c r="BX1095" t="s">
        <v>407</v>
      </c>
      <c r="BY1095" t="s">
        <v>10933</v>
      </c>
      <c r="CD1095">
        <v>2017</v>
      </c>
      <c r="CE1095">
        <v>61248</v>
      </c>
      <c r="CG1095">
        <v>61248</v>
      </c>
      <c r="CH1095">
        <v>2017</v>
      </c>
      <c r="CI1095">
        <v>61248</v>
      </c>
      <c r="CK1095">
        <v>61248</v>
      </c>
      <c r="CL1095">
        <v>2017</v>
      </c>
      <c r="CM1095">
        <v>927.23</v>
      </c>
      <c r="CN1095" s="1">
        <v>40079</v>
      </c>
      <c r="CZ1095" s="1">
        <v>40079</v>
      </c>
      <c r="DD1095" t="s">
        <v>2387</v>
      </c>
      <c r="DG1095">
        <v>2</v>
      </c>
      <c r="DM1095" t="s">
        <v>11189</v>
      </c>
      <c r="DO1095" t="s">
        <v>11224</v>
      </c>
      <c r="DP1095">
        <v>0</v>
      </c>
      <c r="DQ1095">
        <v>0</v>
      </c>
      <c r="DR1095" t="s">
        <v>411</v>
      </c>
      <c r="DS1095" t="b">
        <v>1</v>
      </c>
      <c r="DT1095" t="s">
        <v>470</v>
      </c>
      <c r="DU1095" t="s">
        <v>471</v>
      </c>
      <c r="DV1095" t="s">
        <v>472</v>
      </c>
      <c r="DX1095">
        <v>-9999</v>
      </c>
      <c r="DZ1095" t="s">
        <v>447</v>
      </c>
      <c r="EA1095" t="s">
        <v>448</v>
      </c>
      <c r="EB1095" t="s">
        <v>742</v>
      </c>
      <c r="EC1095">
        <v>20101217</v>
      </c>
      <c r="ED1095" t="s">
        <v>474</v>
      </c>
      <c r="EF1095">
        <v>4762.5</v>
      </c>
      <c r="EG1095">
        <v>3836.7</v>
      </c>
      <c r="EI1095">
        <v>20160407</v>
      </c>
      <c r="EJ1095">
        <v>0</v>
      </c>
      <c r="EK1095">
        <v>0</v>
      </c>
      <c r="EP1095" t="s">
        <v>421</v>
      </c>
      <c r="EQ1095" t="s">
        <v>422</v>
      </c>
      <c r="ER1095">
        <v>1</v>
      </c>
      <c r="ES1095">
        <v>8</v>
      </c>
      <c r="ET1095">
        <v>1043.8499999999999</v>
      </c>
      <c r="EU1095">
        <v>128.9</v>
      </c>
      <c r="EV1095">
        <v>1172.75</v>
      </c>
      <c r="EW1095" s="2">
        <v>43222</v>
      </c>
      <c r="EX1095" s="1">
        <v>42879</v>
      </c>
      <c r="EY1095">
        <v>2016</v>
      </c>
      <c r="EZ1095">
        <v>1043.8499999999999</v>
      </c>
      <c r="FA1095" t="s">
        <v>11225</v>
      </c>
      <c r="FB1095">
        <v>11.75</v>
      </c>
      <c r="FC1095" t="s">
        <v>424</v>
      </c>
      <c r="FD1095" t="s">
        <v>454</v>
      </c>
      <c r="FF1095">
        <v>12</v>
      </c>
      <c r="FG1095">
        <v>7685283</v>
      </c>
      <c r="FH1095" t="s">
        <v>6726</v>
      </c>
      <c r="FJ1095" s="1">
        <v>42515</v>
      </c>
      <c r="FK1095">
        <v>2015</v>
      </c>
      <c r="FL1095">
        <v>1063.55</v>
      </c>
      <c r="FM1095" t="s">
        <v>11226</v>
      </c>
      <c r="FN1095">
        <v>4.75</v>
      </c>
      <c r="FO1095" t="s">
        <v>424</v>
      </c>
      <c r="FP1095" t="s">
        <v>425</v>
      </c>
      <c r="FQ1095" s="1">
        <v>43140</v>
      </c>
      <c r="FR1095">
        <v>21</v>
      </c>
      <c r="FS1095">
        <v>2035919</v>
      </c>
      <c r="FT1095" t="s">
        <v>507</v>
      </c>
      <c r="FV1095" s="1">
        <v>42151</v>
      </c>
      <c r="FW1095">
        <v>2014</v>
      </c>
      <c r="FX1095">
        <v>1068.81</v>
      </c>
      <c r="FY1095" t="s">
        <v>11227</v>
      </c>
      <c r="FZ1095">
        <v>4.75</v>
      </c>
      <c r="GA1095" t="s">
        <v>424</v>
      </c>
      <c r="GB1095" t="s">
        <v>425</v>
      </c>
      <c r="GD1095">
        <v>22</v>
      </c>
      <c r="GE1095">
        <v>4975593</v>
      </c>
      <c r="GF1095" t="s">
        <v>505</v>
      </c>
      <c r="GH1095" s="1">
        <v>42151</v>
      </c>
      <c r="GI1095">
        <v>2014</v>
      </c>
      <c r="GJ1095">
        <v>1068.81</v>
      </c>
      <c r="GK1095" t="s">
        <v>11227</v>
      </c>
      <c r="GL1095">
        <v>4.75</v>
      </c>
      <c r="GM1095" t="s">
        <v>424</v>
      </c>
      <c r="GN1095" t="s">
        <v>425</v>
      </c>
      <c r="GO1095" s="1">
        <v>43140</v>
      </c>
      <c r="GP1095">
        <v>33</v>
      </c>
      <c r="GQ1095">
        <v>7336670</v>
      </c>
      <c r="GR1095" t="s">
        <v>2102</v>
      </c>
      <c r="GT1095" s="1">
        <v>41787</v>
      </c>
      <c r="GU1095">
        <v>2013</v>
      </c>
      <c r="GV1095">
        <v>1012.82</v>
      </c>
      <c r="GW1095" t="s">
        <v>11228</v>
      </c>
      <c r="GX1095">
        <v>6</v>
      </c>
      <c r="GY1095" t="s">
        <v>424</v>
      </c>
      <c r="GZ1095" t="s">
        <v>425</v>
      </c>
      <c r="HB1095">
        <v>22</v>
      </c>
      <c r="HC1095">
        <v>2035919</v>
      </c>
      <c r="HD1095" t="s">
        <v>507</v>
      </c>
      <c r="HF1095" s="1">
        <v>41787</v>
      </c>
      <c r="HG1095">
        <v>2013</v>
      </c>
      <c r="HH1095">
        <v>1012.82</v>
      </c>
      <c r="HI1095" t="s">
        <v>11228</v>
      </c>
      <c r="HJ1095">
        <v>6</v>
      </c>
      <c r="HK1095" t="s">
        <v>424</v>
      </c>
      <c r="HL1095" t="s">
        <v>425</v>
      </c>
      <c r="HM1095" s="1">
        <v>43140</v>
      </c>
      <c r="HN1095">
        <v>45</v>
      </c>
      <c r="HO1095">
        <v>7336670</v>
      </c>
      <c r="HP1095" t="s">
        <v>2102</v>
      </c>
      <c r="HR1095" s="1">
        <v>41423</v>
      </c>
      <c r="HS1095">
        <v>2012</v>
      </c>
      <c r="HT1095">
        <v>1025.21</v>
      </c>
      <c r="HU1095" t="s">
        <v>11229</v>
      </c>
      <c r="HV1095">
        <v>2.5</v>
      </c>
      <c r="HW1095" t="s">
        <v>424</v>
      </c>
      <c r="HX1095" t="s">
        <v>425</v>
      </c>
      <c r="HY1095" s="1">
        <v>42044</v>
      </c>
      <c r="HZ1095">
        <v>21</v>
      </c>
      <c r="IA1095">
        <v>10125</v>
      </c>
      <c r="IB1095" t="s">
        <v>440</v>
      </c>
      <c r="ID1095" s="1">
        <v>41052</v>
      </c>
      <c r="IE1095">
        <v>2011</v>
      </c>
      <c r="IF1095">
        <v>1574.31</v>
      </c>
      <c r="IG1095" t="s">
        <v>11230</v>
      </c>
      <c r="IH1095">
        <v>5.75</v>
      </c>
      <c r="II1095" t="s">
        <v>424</v>
      </c>
      <c r="IJ1095" t="s">
        <v>425</v>
      </c>
      <c r="IK1095" s="1">
        <v>41631</v>
      </c>
      <c r="IL1095">
        <v>19</v>
      </c>
      <c r="IM1095">
        <v>10125</v>
      </c>
      <c r="IN1095" t="s">
        <v>440</v>
      </c>
      <c r="IP1095" s="1">
        <v>40688</v>
      </c>
      <c r="IQ1095">
        <v>2010</v>
      </c>
      <c r="IR1095">
        <v>1756.19</v>
      </c>
      <c r="IS1095" t="s">
        <v>11231</v>
      </c>
      <c r="IT1095">
        <v>6.75</v>
      </c>
      <c r="IU1095" t="s">
        <v>424</v>
      </c>
      <c r="IV1095" t="s">
        <v>425</v>
      </c>
      <c r="IW1095" s="1">
        <v>41327</v>
      </c>
      <c r="IX1095">
        <v>21</v>
      </c>
      <c r="IY1095">
        <v>105</v>
      </c>
      <c r="IZ1095" t="s">
        <v>946</v>
      </c>
    </row>
    <row r="1096" spans="1:308" x14ac:dyDescent="0.25">
      <c r="A1096">
        <v>16486103</v>
      </c>
      <c r="B1096">
        <v>1095</v>
      </c>
      <c r="C1096" t="s">
        <v>393</v>
      </c>
      <c r="D1096" t="s">
        <v>394</v>
      </c>
      <c r="F1096" t="str">
        <f>"02-3N-26-0000-0013-0040"</f>
        <v>02-3N-26-0000-0013-0040</v>
      </c>
      <c r="H1096" t="str">
        <f>"HORNE ELWIN G &amp; ANN C (JTROS)"</f>
        <v>HORNE ELWIN G &amp; ANN C (JTROS)</v>
      </c>
      <c r="I1096" t="str">
        <f>"174 GREENVILLE RD"</f>
        <v>174 GREENVILLE RD</v>
      </c>
      <c r="J1096" t="str">
        <f>"KINGSLAND GA 31548"</f>
        <v>KINGSLAND GA 31548</v>
      </c>
      <c r="K1096" t="str">
        <f>"HANCE PKWY"</f>
        <v>HANCE PKWY</v>
      </c>
      <c r="L1096" t="str">
        <f t="shared" si="358"/>
        <v>YULEE FL 32097</v>
      </c>
      <c r="M1096" t="str">
        <f>"PT OR 1641/1573"</f>
        <v>PT OR 1641/1573</v>
      </c>
      <c r="N1096" t="str">
        <f>""</f>
        <v/>
      </c>
      <c r="O1096" t="str">
        <f>"18042"</f>
        <v>18042</v>
      </c>
      <c r="P1096" t="str">
        <f t="shared" si="360"/>
        <v>2017</v>
      </c>
      <c r="Q1096" t="str">
        <f>""</f>
        <v/>
      </c>
      <c r="R1096" t="str">
        <f t="shared" si="359"/>
        <v>N</v>
      </c>
      <c r="S1096" t="str">
        <f>""</f>
        <v/>
      </c>
      <c r="T1096" t="str">
        <f>"753.92"</f>
        <v>753.92</v>
      </c>
      <c r="U1096" t="str">
        <f>"49800.00"</f>
        <v>49800.00</v>
      </c>
      <c r="V1096" t="str">
        <f>"49800.00"</f>
        <v>49800.00</v>
      </c>
      <c r="W1096" t="str">
        <f t="shared" si="361"/>
        <v>2017</v>
      </c>
      <c r="X1096" t="str">
        <f>"20.67"</f>
        <v>20.67</v>
      </c>
      <c r="Y1096" t="str">
        <f>"808.54"</f>
        <v>808.54</v>
      </c>
      <c r="Z1096" t="str">
        <f>""</f>
        <v/>
      </c>
      <c r="AA1096" t="str">
        <f>"49800.00"</f>
        <v>49800.00</v>
      </c>
      <c r="AB1096" t="str">
        <f>"Commercial"</f>
        <v>Commercial</v>
      </c>
      <c r="AC1096" t="str">
        <f t="shared" si="345"/>
        <v>0</v>
      </c>
      <c r="AD1096" t="str">
        <f>""</f>
        <v/>
      </c>
      <c r="AE1096" t="str">
        <f>""</f>
        <v/>
      </c>
      <c r="AF1096" t="str">
        <f>"010"</f>
        <v>010</v>
      </c>
      <c r="AG1096" t="str">
        <f>"GA"</f>
        <v>GA</v>
      </c>
      <c r="AH1096" t="str">
        <f>"33200.00"</f>
        <v>33200.00</v>
      </c>
      <c r="AI1096" t="str">
        <f>"49800.00"</f>
        <v>49800.00</v>
      </c>
      <c r="AJ1096" t="str">
        <f>"C55-000-586-3973-3"</f>
        <v>C55-000-586-3973-3</v>
      </c>
      <c r="AK1096" t="str">
        <f>"17748"</f>
        <v>17748</v>
      </c>
      <c r="AL1096">
        <v>4</v>
      </c>
      <c r="AM1096">
        <v>1259</v>
      </c>
      <c r="AN1096">
        <v>847.37</v>
      </c>
      <c r="AQ1096" t="s">
        <v>11232</v>
      </c>
      <c r="AR1096" t="s">
        <v>11232</v>
      </c>
      <c r="AS1096" t="s">
        <v>11232</v>
      </c>
      <c r="AU1096" t="s">
        <v>396</v>
      </c>
      <c r="AV1096">
        <v>2017</v>
      </c>
      <c r="AW1096" t="str">
        <f>"02-3N-26-0000-0013-0040 "</f>
        <v xml:space="preserve">02-3N-26-0000-0013-0040 </v>
      </c>
      <c r="AZ1096" t="s">
        <v>11137</v>
      </c>
      <c r="BA1096" t="s">
        <v>11138</v>
      </c>
      <c r="BD1096" t="s">
        <v>2387</v>
      </c>
      <c r="BE1096" t="s">
        <v>393</v>
      </c>
      <c r="BF1096">
        <v>32097</v>
      </c>
      <c r="BG1096" t="s">
        <v>11139</v>
      </c>
      <c r="BH1096" t="s">
        <v>2388</v>
      </c>
      <c r="BI1096">
        <v>-81.668058595800005</v>
      </c>
      <c r="BJ1096">
        <v>30.707851286967799</v>
      </c>
      <c r="BK1096" t="s">
        <v>11140</v>
      </c>
      <c r="BL1096" t="s">
        <v>11141</v>
      </c>
      <c r="BM1096" t="s">
        <v>11142</v>
      </c>
      <c r="BN1096" t="s">
        <v>11143</v>
      </c>
      <c r="BO1096">
        <v>31548</v>
      </c>
      <c r="BP1096" t="s">
        <v>404</v>
      </c>
      <c r="BQ1096">
        <v>1000</v>
      </c>
      <c r="BR1096" t="s">
        <v>2391</v>
      </c>
      <c r="BS1096">
        <v>8002</v>
      </c>
      <c r="BT1096" t="s">
        <v>2392</v>
      </c>
      <c r="BW1096">
        <v>34299</v>
      </c>
      <c r="BX1096" t="s">
        <v>407</v>
      </c>
      <c r="BY1096" t="s">
        <v>10933</v>
      </c>
      <c r="CD1096">
        <v>2017</v>
      </c>
      <c r="CE1096">
        <v>49800</v>
      </c>
      <c r="CG1096">
        <v>49800</v>
      </c>
      <c r="CH1096">
        <v>2017</v>
      </c>
      <c r="CI1096">
        <v>49800</v>
      </c>
      <c r="CK1096">
        <v>49800</v>
      </c>
      <c r="CL1096">
        <v>2017</v>
      </c>
      <c r="CM1096">
        <v>753.92</v>
      </c>
      <c r="CN1096" s="1">
        <v>40079</v>
      </c>
      <c r="CZ1096" s="1">
        <v>40079</v>
      </c>
      <c r="DD1096" t="s">
        <v>2387</v>
      </c>
      <c r="DG1096">
        <v>2</v>
      </c>
      <c r="DM1096" t="s">
        <v>11189</v>
      </c>
      <c r="DO1096" t="s">
        <v>11233</v>
      </c>
      <c r="DP1096">
        <v>0</v>
      </c>
      <c r="DQ1096">
        <v>0</v>
      </c>
      <c r="DR1096" t="s">
        <v>411</v>
      </c>
      <c r="DS1096" t="b">
        <v>1</v>
      </c>
      <c r="DT1096" t="s">
        <v>470</v>
      </c>
      <c r="DU1096" t="s">
        <v>471</v>
      </c>
      <c r="DV1096" t="s">
        <v>472</v>
      </c>
      <c r="DX1096">
        <v>-9999</v>
      </c>
      <c r="DZ1096" t="s">
        <v>447</v>
      </c>
      <c r="EA1096" t="s">
        <v>448</v>
      </c>
      <c r="EB1096" t="s">
        <v>742</v>
      </c>
      <c r="EC1096">
        <v>20101217</v>
      </c>
      <c r="ED1096" t="s">
        <v>474</v>
      </c>
      <c r="EF1096">
        <v>4791.7</v>
      </c>
      <c r="EG1096">
        <v>3782.1</v>
      </c>
      <c r="EI1096">
        <v>20160407</v>
      </c>
      <c r="EJ1096">
        <v>0</v>
      </c>
      <c r="EK1096">
        <v>0</v>
      </c>
      <c r="EP1096" t="s">
        <v>421</v>
      </c>
      <c r="EQ1096" t="s">
        <v>422</v>
      </c>
      <c r="ER1096">
        <v>1</v>
      </c>
      <c r="ES1096">
        <v>8</v>
      </c>
      <c r="ET1096">
        <v>853.78</v>
      </c>
      <c r="EU1096">
        <v>89.49</v>
      </c>
      <c r="EV1096">
        <v>943.27</v>
      </c>
      <c r="EW1096" s="2">
        <v>43222</v>
      </c>
      <c r="EX1096" s="1">
        <v>42879</v>
      </c>
      <c r="EY1096">
        <v>2016</v>
      </c>
      <c r="EZ1096">
        <v>853.78</v>
      </c>
      <c r="FA1096" t="s">
        <v>11234</v>
      </c>
      <c r="FB1096">
        <v>9.75</v>
      </c>
      <c r="FC1096" t="s">
        <v>424</v>
      </c>
      <c r="FD1096" t="s">
        <v>454</v>
      </c>
      <c r="FF1096">
        <v>12</v>
      </c>
      <c r="FG1096">
        <v>10125</v>
      </c>
      <c r="FH1096" t="s">
        <v>440</v>
      </c>
      <c r="FJ1096" s="1">
        <v>42515</v>
      </c>
      <c r="FK1096">
        <v>2015</v>
      </c>
      <c r="FL1096">
        <v>868.86</v>
      </c>
      <c r="FM1096" t="s">
        <v>11235</v>
      </c>
      <c r="FN1096">
        <v>14.75</v>
      </c>
      <c r="FO1096" t="s">
        <v>424</v>
      </c>
      <c r="FP1096" t="s">
        <v>425</v>
      </c>
      <c r="FQ1096" s="1">
        <v>43140</v>
      </c>
      <c r="FR1096">
        <v>21</v>
      </c>
      <c r="FS1096">
        <v>2035919</v>
      </c>
      <c r="FT1096" t="s">
        <v>507</v>
      </c>
      <c r="FV1096" s="1">
        <v>42151</v>
      </c>
      <c r="FW1096">
        <v>2014</v>
      </c>
      <c r="FX1096">
        <v>873.16</v>
      </c>
      <c r="FY1096" t="s">
        <v>11236</v>
      </c>
      <c r="FZ1096">
        <v>4.75</v>
      </c>
      <c r="GA1096" t="s">
        <v>424</v>
      </c>
      <c r="GB1096" t="s">
        <v>425</v>
      </c>
      <c r="GD1096">
        <v>22</v>
      </c>
      <c r="GE1096">
        <v>4975593</v>
      </c>
      <c r="GF1096" t="s">
        <v>505</v>
      </c>
      <c r="GH1096" s="1">
        <v>42151</v>
      </c>
      <c r="GI1096">
        <v>2014</v>
      </c>
      <c r="GJ1096">
        <v>873.16</v>
      </c>
      <c r="GK1096" t="s">
        <v>11236</v>
      </c>
      <c r="GL1096">
        <v>4.75</v>
      </c>
      <c r="GM1096" t="s">
        <v>424</v>
      </c>
      <c r="GN1096" t="s">
        <v>425</v>
      </c>
      <c r="GO1096" s="1">
        <v>43140</v>
      </c>
      <c r="GP1096">
        <v>33</v>
      </c>
      <c r="GQ1096">
        <v>7336670</v>
      </c>
      <c r="GR1096" t="s">
        <v>2102</v>
      </c>
      <c r="GT1096" s="1">
        <v>41787</v>
      </c>
      <c r="GU1096">
        <v>2013</v>
      </c>
      <c r="GV1096">
        <v>827.64</v>
      </c>
      <c r="GW1096" t="s">
        <v>11237</v>
      </c>
      <c r="GX1096">
        <v>6</v>
      </c>
      <c r="GY1096" t="s">
        <v>424</v>
      </c>
      <c r="GZ1096" t="s">
        <v>425</v>
      </c>
      <c r="HB1096">
        <v>22</v>
      </c>
      <c r="HC1096">
        <v>2035919</v>
      </c>
      <c r="HD1096" t="s">
        <v>507</v>
      </c>
      <c r="HF1096" s="1">
        <v>41787</v>
      </c>
      <c r="HG1096">
        <v>2013</v>
      </c>
      <c r="HH1096">
        <v>827.64</v>
      </c>
      <c r="HI1096" t="s">
        <v>11237</v>
      </c>
      <c r="HJ1096">
        <v>6</v>
      </c>
      <c r="HK1096" t="s">
        <v>424</v>
      </c>
      <c r="HL1096" t="s">
        <v>425</v>
      </c>
      <c r="HM1096" s="1">
        <v>43140</v>
      </c>
      <c r="HN1096">
        <v>45</v>
      </c>
      <c r="HO1096">
        <v>7336670</v>
      </c>
      <c r="HP1096" t="s">
        <v>2102</v>
      </c>
      <c r="HR1096" s="1">
        <v>41423</v>
      </c>
      <c r="HS1096">
        <v>2012</v>
      </c>
      <c r="HT1096">
        <v>837.72</v>
      </c>
      <c r="HU1096" t="s">
        <v>11238</v>
      </c>
      <c r="HV1096">
        <v>2.5</v>
      </c>
      <c r="HW1096" t="s">
        <v>424</v>
      </c>
      <c r="HX1096" t="s">
        <v>425</v>
      </c>
      <c r="HY1096" s="1">
        <v>42044</v>
      </c>
      <c r="HZ1096">
        <v>21</v>
      </c>
      <c r="IA1096">
        <v>10125</v>
      </c>
      <c r="IB1096" t="s">
        <v>440</v>
      </c>
      <c r="ID1096" s="1">
        <v>41052</v>
      </c>
      <c r="IE1096">
        <v>2011</v>
      </c>
      <c r="IF1096">
        <v>1646.9</v>
      </c>
      <c r="IG1096" t="s">
        <v>11239</v>
      </c>
      <c r="IH1096">
        <v>5.75</v>
      </c>
      <c r="II1096" t="s">
        <v>424</v>
      </c>
      <c r="IJ1096" t="s">
        <v>425</v>
      </c>
      <c r="IK1096" s="1">
        <v>41631</v>
      </c>
      <c r="IL1096">
        <v>19</v>
      </c>
      <c r="IM1096">
        <v>10125</v>
      </c>
      <c r="IN1096" t="s">
        <v>440</v>
      </c>
      <c r="IP1096" s="1">
        <v>40688</v>
      </c>
      <c r="IQ1096">
        <v>2010</v>
      </c>
      <c r="IR1096">
        <v>1837.3</v>
      </c>
      <c r="IS1096" t="s">
        <v>11240</v>
      </c>
      <c r="IT1096">
        <v>6.75</v>
      </c>
      <c r="IU1096" t="s">
        <v>424</v>
      </c>
      <c r="IV1096" t="s">
        <v>425</v>
      </c>
      <c r="IW1096" s="1">
        <v>41327</v>
      </c>
      <c r="IX1096">
        <v>21</v>
      </c>
      <c r="IY1096">
        <v>105</v>
      </c>
      <c r="IZ1096" t="s">
        <v>946</v>
      </c>
    </row>
    <row r="1097" spans="1:308" x14ac:dyDescent="0.25">
      <c r="A1097">
        <v>16486104</v>
      </c>
      <c r="B1097">
        <v>1096</v>
      </c>
      <c r="C1097" t="s">
        <v>393</v>
      </c>
      <c r="D1097" t="s">
        <v>394</v>
      </c>
      <c r="F1097" t="str">
        <f>"07-3N-26-0000-0002-0000"</f>
        <v>07-3N-26-0000-0002-0000</v>
      </c>
      <c r="H1097" t="str">
        <f>"TOM FORD BUILDERS LLC"</f>
        <v>TOM FORD BUILDERS LLC</v>
      </c>
      <c r="I1097" t="str">
        <f>"7790 FORD RD"</f>
        <v>7790 FORD RD</v>
      </c>
      <c r="J1097" t="str">
        <f>"BRYCEVILLE FL 32009"</f>
        <v>BRYCEVILLE FL 32009</v>
      </c>
      <c r="K1097" t="str">
        <f>"CR 108"</f>
        <v>CR 108</v>
      </c>
      <c r="L1097" t="str">
        <f t="shared" si="358"/>
        <v>YULEE FL 32097</v>
      </c>
      <c r="M1097" t="str">
        <f>"PT OF LOT 7 S OF PUB RD &amp; NE PT OF LOT 6 IN OR 1639/679 EX2-1 2-2 2-3 &amp; 2-4"</f>
        <v>PT OF LOT 7 S OF PUB RD &amp; NE PT OF LOT 6 IN OR 1639/679 EX2-1 2-2 2-3 &amp; 2-4</v>
      </c>
      <c r="N1097" t="str">
        <f>""</f>
        <v/>
      </c>
      <c r="O1097" t="str">
        <f>"22537"</f>
        <v>22537</v>
      </c>
      <c r="P1097" t="str">
        <f t="shared" si="360"/>
        <v>2017</v>
      </c>
      <c r="Q1097" t="str">
        <f>""</f>
        <v/>
      </c>
      <c r="R1097" t="str">
        <f t="shared" si="359"/>
        <v>N</v>
      </c>
      <c r="S1097" t="str">
        <f>"4.06"</f>
        <v>4.06</v>
      </c>
      <c r="T1097" t="str">
        <f>"206.51"</f>
        <v>206.51</v>
      </c>
      <c r="U1097" t="str">
        <f>"13641.00"</f>
        <v>13641.00</v>
      </c>
      <c r="V1097" t="str">
        <f>"13641.00"</f>
        <v>13641.00</v>
      </c>
      <c r="W1097" t="str">
        <f t="shared" si="361"/>
        <v>2017</v>
      </c>
      <c r="X1097" t="str">
        <f>"22.50"</f>
        <v>22.50</v>
      </c>
      <c r="Y1097" t="str">
        <f>"244.71"</f>
        <v>244.71</v>
      </c>
      <c r="Z1097" t="str">
        <f>""</f>
        <v/>
      </c>
      <c r="AA1097" t="str">
        <f>"13641.00"</f>
        <v>13641.00</v>
      </c>
      <c r="AB1097" t="str">
        <f t="shared" ref="AB1097:AB1107" si="362">"Residential"</f>
        <v>Residential</v>
      </c>
      <c r="AC1097" t="str">
        <f t="shared" si="345"/>
        <v>0</v>
      </c>
      <c r="AD1097" t="str">
        <f>""</f>
        <v/>
      </c>
      <c r="AE1097" t="str">
        <f>""</f>
        <v/>
      </c>
      <c r="AF1097" t="str">
        <f>"000"</f>
        <v>000</v>
      </c>
      <c r="AG1097" t="str">
        <f t="shared" ref="AG1097:AG1107" si="363">"FL"</f>
        <v>FL</v>
      </c>
      <c r="AH1097" t="str">
        <f>"176853.00"</f>
        <v>176853.00</v>
      </c>
      <c r="AI1097" t="str">
        <f>"13641.00"</f>
        <v>13641.00</v>
      </c>
      <c r="AJ1097" t="str">
        <f>"C55-000-586-6923-5"</f>
        <v>C55-000-586-6923-5</v>
      </c>
      <c r="AK1097" t="str">
        <f>"17787"</f>
        <v>17787</v>
      </c>
      <c r="AL1097">
        <v>4</v>
      </c>
      <c r="AM1097">
        <v>1260</v>
      </c>
      <c r="AN1097">
        <v>255.35</v>
      </c>
      <c r="AQ1097" t="s">
        <v>11241</v>
      </c>
      <c r="AR1097" t="s">
        <v>11241</v>
      </c>
      <c r="AS1097" t="s">
        <v>11241</v>
      </c>
      <c r="AU1097" t="s">
        <v>396</v>
      </c>
      <c r="AV1097">
        <v>2017</v>
      </c>
      <c r="AW1097" t="str">
        <f>"07-3N-26-0000-0002-0000 "</f>
        <v xml:space="preserve">07-3N-26-0000-0002-0000 </v>
      </c>
      <c r="AZ1097" t="s">
        <v>1206</v>
      </c>
      <c r="BD1097" t="s">
        <v>2387</v>
      </c>
      <c r="BE1097" t="s">
        <v>393</v>
      </c>
      <c r="BF1097">
        <v>32097</v>
      </c>
      <c r="BG1097" t="s">
        <v>1206</v>
      </c>
      <c r="BH1097" t="s">
        <v>2388</v>
      </c>
      <c r="BI1097">
        <v>-81.739810293275994</v>
      </c>
      <c r="BJ1097">
        <v>30.692797560400699</v>
      </c>
      <c r="BK1097" t="s">
        <v>3431</v>
      </c>
      <c r="BM1097" t="s">
        <v>3602</v>
      </c>
      <c r="BN1097" t="s">
        <v>558</v>
      </c>
      <c r="BO1097">
        <v>32009</v>
      </c>
      <c r="BP1097" t="s">
        <v>404</v>
      </c>
      <c r="BQ1097">
        <v>0</v>
      </c>
      <c r="BR1097" t="s">
        <v>491</v>
      </c>
      <c r="BS1097">
        <v>8001</v>
      </c>
      <c r="BT1097" t="s">
        <v>492</v>
      </c>
      <c r="BW1097">
        <v>176853</v>
      </c>
      <c r="BX1097" t="s">
        <v>407</v>
      </c>
      <c r="BY1097" t="s">
        <v>408</v>
      </c>
      <c r="CD1097">
        <v>2017</v>
      </c>
      <c r="CE1097">
        <v>13641</v>
      </c>
      <c r="CG1097">
        <v>13641</v>
      </c>
      <c r="CH1097">
        <v>2017</v>
      </c>
      <c r="CI1097">
        <v>13641</v>
      </c>
      <c r="CK1097">
        <v>13641</v>
      </c>
      <c r="CL1097">
        <v>2017</v>
      </c>
      <c r="CM1097">
        <v>206.51</v>
      </c>
      <c r="CN1097" s="1">
        <v>37868</v>
      </c>
      <c r="CZ1097" s="1">
        <v>37868</v>
      </c>
      <c r="DD1097" t="s">
        <v>2387</v>
      </c>
      <c r="DF1097">
        <v>7</v>
      </c>
      <c r="DG1097">
        <v>7</v>
      </c>
      <c r="DM1097" t="s">
        <v>11242</v>
      </c>
      <c r="DO1097" t="s">
        <v>11243</v>
      </c>
      <c r="DP1097">
        <v>0</v>
      </c>
      <c r="DQ1097">
        <v>0</v>
      </c>
      <c r="DR1097" t="s">
        <v>411</v>
      </c>
      <c r="DS1097" t="b">
        <v>1</v>
      </c>
      <c r="DT1097" t="s">
        <v>470</v>
      </c>
      <c r="DU1097" t="s">
        <v>471</v>
      </c>
      <c r="DV1097" t="s">
        <v>472</v>
      </c>
      <c r="DX1097">
        <v>-9999</v>
      </c>
      <c r="DZ1097" t="s">
        <v>447</v>
      </c>
      <c r="EA1097" t="s">
        <v>448</v>
      </c>
      <c r="EB1097" t="s">
        <v>742</v>
      </c>
      <c r="EC1097">
        <v>20101217</v>
      </c>
      <c r="ED1097" t="s">
        <v>474</v>
      </c>
      <c r="EF1097">
        <v>2469.3000000000002</v>
      </c>
      <c r="EG1097">
        <v>1299.8</v>
      </c>
      <c r="EI1097">
        <v>20160407</v>
      </c>
      <c r="EJ1097">
        <v>0</v>
      </c>
      <c r="EK1097">
        <v>0</v>
      </c>
      <c r="EP1097" t="s">
        <v>421</v>
      </c>
      <c r="EQ1097" t="s">
        <v>422</v>
      </c>
      <c r="ER1097">
        <v>10</v>
      </c>
      <c r="ES1097">
        <v>0</v>
      </c>
      <c r="ET1097">
        <v>2014.51</v>
      </c>
      <c r="EU1097">
        <v>1013.4</v>
      </c>
      <c r="EV1097">
        <v>3027.91</v>
      </c>
      <c r="EW1097" s="2">
        <v>43222</v>
      </c>
      <c r="EX1097" s="1">
        <v>42879</v>
      </c>
      <c r="EY1097">
        <v>2016</v>
      </c>
      <c r="EZ1097">
        <v>242.7</v>
      </c>
      <c r="FA1097" t="s">
        <v>11244</v>
      </c>
      <c r="FB1097">
        <v>18</v>
      </c>
      <c r="FC1097" t="s">
        <v>424</v>
      </c>
      <c r="FD1097" t="s">
        <v>454</v>
      </c>
      <c r="FF1097">
        <v>12</v>
      </c>
      <c r="FG1097">
        <v>10125</v>
      </c>
      <c r="FH1097" t="s">
        <v>440</v>
      </c>
      <c r="FJ1097" s="1">
        <v>42515</v>
      </c>
      <c r="FK1097">
        <v>2015</v>
      </c>
      <c r="FL1097">
        <v>235.21</v>
      </c>
      <c r="FM1097" t="s">
        <v>11245</v>
      </c>
      <c r="FN1097">
        <v>18</v>
      </c>
      <c r="FO1097" t="s">
        <v>424</v>
      </c>
      <c r="FP1097" t="s">
        <v>454</v>
      </c>
      <c r="FR1097">
        <v>24</v>
      </c>
      <c r="FS1097">
        <v>10125</v>
      </c>
      <c r="FT1097" t="s">
        <v>440</v>
      </c>
      <c r="FV1097" s="1">
        <v>42151</v>
      </c>
      <c r="FW1097">
        <v>2014</v>
      </c>
      <c r="FX1097">
        <v>219.7</v>
      </c>
      <c r="FY1097" t="s">
        <v>11246</v>
      </c>
      <c r="FZ1097">
        <v>18</v>
      </c>
      <c r="GA1097" t="s">
        <v>424</v>
      </c>
      <c r="GB1097" t="s">
        <v>454</v>
      </c>
      <c r="GD1097">
        <v>36</v>
      </c>
      <c r="GE1097">
        <v>10125</v>
      </c>
      <c r="GF1097" t="s">
        <v>440</v>
      </c>
      <c r="GH1097" s="1">
        <v>41787</v>
      </c>
      <c r="GI1097">
        <v>2013</v>
      </c>
      <c r="GJ1097">
        <v>201.53</v>
      </c>
      <c r="GK1097" t="s">
        <v>11247</v>
      </c>
      <c r="GL1097">
        <v>16.5</v>
      </c>
      <c r="GM1097" t="s">
        <v>424</v>
      </c>
      <c r="GN1097" t="s">
        <v>454</v>
      </c>
      <c r="GP1097">
        <v>48</v>
      </c>
      <c r="GQ1097">
        <v>10125</v>
      </c>
      <c r="GR1097" t="s">
        <v>440</v>
      </c>
      <c r="GT1097" s="1">
        <v>41423</v>
      </c>
      <c r="GU1097">
        <v>2012</v>
      </c>
      <c r="GV1097">
        <v>171.64</v>
      </c>
      <c r="GW1097" t="s">
        <v>11248</v>
      </c>
      <c r="GX1097">
        <v>9.75</v>
      </c>
      <c r="GY1097" t="s">
        <v>424</v>
      </c>
      <c r="GZ1097" t="s">
        <v>454</v>
      </c>
      <c r="HB1097">
        <v>60</v>
      </c>
      <c r="HC1097">
        <v>1127</v>
      </c>
      <c r="HD1097" t="s">
        <v>1379</v>
      </c>
      <c r="HF1097" s="1">
        <v>41423</v>
      </c>
      <c r="HG1097">
        <v>2012</v>
      </c>
      <c r="HH1097">
        <v>171.64</v>
      </c>
      <c r="HI1097" t="s">
        <v>11248</v>
      </c>
      <c r="HJ1097">
        <v>9.75</v>
      </c>
      <c r="HK1097" t="s">
        <v>424</v>
      </c>
      <c r="HL1097" t="s">
        <v>454</v>
      </c>
      <c r="HN1097">
        <v>60</v>
      </c>
      <c r="HO1097">
        <v>2035919</v>
      </c>
      <c r="HP1097" t="s">
        <v>507</v>
      </c>
      <c r="HR1097" s="1">
        <v>41423</v>
      </c>
      <c r="HS1097">
        <v>2012</v>
      </c>
      <c r="HT1097">
        <v>171.64</v>
      </c>
      <c r="HU1097" t="s">
        <v>11248</v>
      </c>
      <c r="HV1097">
        <v>9.75</v>
      </c>
      <c r="HW1097" t="s">
        <v>424</v>
      </c>
      <c r="HX1097" t="s">
        <v>454</v>
      </c>
      <c r="HZ1097">
        <v>60</v>
      </c>
      <c r="IA1097">
        <v>7336670</v>
      </c>
      <c r="IB1097" t="s">
        <v>2102</v>
      </c>
      <c r="ID1097" s="1">
        <v>41052</v>
      </c>
      <c r="IE1097">
        <v>2011</v>
      </c>
      <c r="IF1097">
        <v>166.25</v>
      </c>
      <c r="IG1097" t="s">
        <v>11249</v>
      </c>
      <c r="IH1097">
        <v>11.5</v>
      </c>
      <c r="II1097" t="s">
        <v>424</v>
      </c>
      <c r="IJ1097" t="s">
        <v>454</v>
      </c>
      <c r="IL1097">
        <v>72</v>
      </c>
      <c r="IM1097">
        <v>10125</v>
      </c>
      <c r="IN1097" t="s">
        <v>440</v>
      </c>
      <c r="IP1097" s="1">
        <v>40688</v>
      </c>
      <c r="IQ1097">
        <v>2010</v>
      </c>
      <c r="IR1097">
        <v>217.1</v>
      </c>
      <c r="IS1097" t="s">
        <v>11250</v>
      </c>
      <c r="IT1097">
        <v>6.75</v>
      </c>
      <c r="IU1097" t="s">
        <v>424</v>
      </c>
      <c r="IV1097" t="s">
        <v>454</v>
      </c>
      <c r="IX1097">
        <v>84</v>
      </c>
      <c r="IY1097">
        <v>375</v>
      </c>
      <c r="IZ1097" t="s">
        <v>776</v>
      </c>
      <c r="JB1097" s="1">
        <v>40688</v>
      </c>
      <c r="JC1097">
        <v>2010</v>
      </c>
      <c r="JD1097">
        <v>217.1</v>
      </c>
      <c r="JE1097" t="s">
        <v>11250</v>
      </c>
      <c r="JF1097">
        <v>6.75</v>
      </c>
      <c r="JG1097" t="s">
        <v>424</v>
      </c>
      <c r="JH1097" t="s">
        <v>454</v>
      </c>
      <c r="JJ1097">
        <v>84</v>
      </c>
      <c r="JK1097">
        <v>105</v>
      </c>
      <c r="JL1097" t="s">
        <v>946</v>
      </c>
    </row>
    <row r="1098" spans="1:308" x14ac:dyDescent="0.25">
      <c r="A1098">
        <v>16486105</v>
      </c>
      <c r="B1098">
        <v>1097</v>
      </c>
      <c r="C1098" t="s">
        <v>393</v>
      </c>
      <c r="D1098" t="s">
        <v>394</v>
      </c>
      <c r="F1098" t="str">
        <f>"07-3N-26-0000-0002-0030"</f>
        <v>07-3N-26-0000-0002-0030</v>
      </c>
      <c r="H1098" t="str">
        <f>"JACOBS FRANSCENA EST C/O VERONA JACOBS-SAMS"</f>
        <v>JACOBS FRANSCENA EST C/O VERONA JACOBS-SAMS</v>
      </c>
      <c r="I1098" t="str">
        <f>"PO BOX 70"</f>
        <v>PO BOX 70</v>
      </c>
      <c r="J1098" t="str">
        <f>"FERNANDINA BEACH FL 32035"</f>
        <v>FERNANDINA BEACH FL 32035</v>
      </c>
      <c r="K1098" t="str">
        <f>"JACOBS RD"</f>
        <v>JACOBS RD</v>
      </c>
      <c r="L1098" t="str">
        <f t="shared" si="358"/>
        <v>YULEE FL 32097</v>
      </c>
      <c r="M1098" t="str">
        <f>"OR 243/308"</f>
        <v>OR 243/308</v>
      </c>
      <c r="N1098" t="str">
        <f>""</f>
        <v/>
      </c>
      <c r="O1098" t="str">
        <f>"22540"</f>
        <v>22540</v>
      </c>
      <c r="P1098" t="str">
        <f t="shared" si="360"/>
        <v>2017</v>
      </c>
      <c r="Q1098" t="str">
        <f>""</f>
        <v/>
      </c>
      <c r="R1098" t="str">
        <f t="shared" si="359"/>
        <v>N</v>
      </c>
      <c r="S1098" t="str">
        <f>"7.12"</f>
        <v>7.12</v>
      </c>
      <c r="T1098" t="str">
        <f>"679.07"</f>
        <v>679.07</v>
      </c>
      <c r="U1098" t="str">
        <f>"44856.00"</f>
        <v>44856.00</v>
      </c>
      <c r="V1098" t="str">
        <f>"44856.00"</f>
        <v>44856.00</v>
      </c>
      <c r="W1098" t="str">
        <f t="shared" si="361"/>
        <v>2017</v>
      </c>
      <c r="X1098" t="str">
        <f>"51.50"</f>
        <v>51.50</v>
      </c>
      <c r="Y1098" t="str">
        <f>"731.44"</f>
        <v>731.44</v>
      </c>
      <c r="Z1098" t="str">
        <f>""</f>
        <v/>
      </c>
      <c r="AA1098" t="str">
        <f>"44856.00"</f>
        <v>44856.00</v>
      </c>
      <c r="AB1098" t="str">
        <f t="shared" si="362"/>
        <v>Residential</v>
      </c>
      <c r="AC1098" t="str">
        <f t="shared" si="345"/>
        <v>0</v>
      </c>
      <c r="AD1098" t="str">
        <f>""</f>
        <v/>
      </c>
      <c r="AE1098" t="str">
        <f>""</f>
        <v/>
      </c>
      <c r="AF1098" t="str">
        <f>"000"</f>
        <v>000</v>
      </c>
      <c r="AG1098" t="str">
        <f t="shared" si="363"/>
        <v>FL</v>
      </c>
      <c r="AH1098" t="str">
        <f>"310147.00"</f>
        <v>310147.00</v>
      </c>
      <c r="AI1098" t="str">
        <f>"44856.00"</f>
        <v>44856.00</v>
      </c>
      <c r="AJ1098" t="str">
        <f>"C55-000-586-6926-8"</f>
        <v>C55-000-586-6926-8</v>
      </c>
      <c r="AK1098" t="str">
        <f>"17790"</f>
        <v>17790</v>
      </c>
      <c r="AL1098">
        <v>4</v>
      </c>
      <c r="AM1098">
        <v>1261</v>
      </c>
      <c r="AN1098">
        <v>766.41</v>
      </c>
      <c r="AQ1098" t="s">
        <v>11251</v>
      </c>
      <c r="AR1098" t="s">
        <v>11251</v>
      </c>
      <c r="AS1098" t="s">
        <v>11251</v>
      </c>
      <c r="AU1098" t="s">
        <v>396</v>
      </c>
      <c r="AV1098">
        <v>2017</v>
      </c>
      <c r="AW1098" t="str">
        <f>"07-3N-26-0000-0002-0030 "</f>
        <v xml:space="preserve">07-3N-26-0000-0002-0030 </v>
      </c>
      <c r="AZ1098" t="s">
        <v>11252</v>
      </c>
      <c r="BA1098" t="s">
        <v>496</v>
      </c>
      <c r="BD1098" t="s">
        <v>2387</v>
      </c>
      <c r="BE1098" t="s">
        <v>393</v>
      </c>
      <c r="BF1098">
        <v>32097</v>
      </c>
      <c r="BG1098" t="s">
        <v>11253</v>
      </c>
      <c r="BH1098" t="s">
        <v>2388</v>
      </c>
      <c r="BI1098">
        <v>-81.737493990064607</v>
      </c>
      <c r="BJ1098">
        <v>30.692841591845699</v>
      </c>
      <c r="BK1098" t="s">
        <v>11254</v>
      </c>
      <c r="BM1098" t="s">
        <v>11255</v>
      </c>
      <c r="BN1098" t="s">
        <v>3983</v>
      </c>
      <c r="BO1098">
        <v>32035</v>
      </c>
      <c r="BP1098" t="s">
        <v>404</v>
      </c>
      <c r="BQ1098">
        <v>0</v>
      </c>
      <c r="BR1098" t="s">
        <v>491</v>
      </c>
      <c r="BS1098">
        <v>8001</v>
      </c>
      <c r="BT1098" t="s">
        <v>492</v>
      </c>
      <c r="BW1098">
        <v>310147</v>
      </c>
      <c r="BX1098" t="s">
        <v>407</v>
      </c>
      <c r="BY1098" t="s">
        <v>408</v>
      </c>
      <c r="CD1098">
        <v>2017</v>
      </c>
      <c r="CE1098">
        <v>44856</v>
      </c>
      <c r="CG1098">
        <v>44856</v>
      </c>
      <c r="CH1098">
        <v>2017</v>
      </c>
      <c r="CI1098">
        <v>44856</v>
      </c>
      <c r="CK1098">
        <v>44856</v>
      </c>
      <c r="CL1098">
        <v>2017</v>
      </c>
      <c r="CM1098">
        <v>679.07</v>
      </c>
      <c r="CN1098" s="1">
        <v>37883</v>
      </c>
      <c r="CO1098">
        <v>1000</v>
      </c>
      <c r="CZ1098" s="1">
        <v>37883</v>
      </c>
      <c r="DD1098" t="s">
        <v>2387</v>
      </c>
      <c r="DG1098">
        <v>7</v>
      </c>
      <c r="DL1098">
        <v>50301</v>
      </c>
      <c r="DM1098" t="s">
        <v>11242</v>
      </c>
      <c r="DO1098" t="s">
        <v>11256</v>
      </c>
      <c r="DP1098">
        <v>0</v>
      </c>
      <c r="DQ1098">
        <v>0</v>
      </c>
      <c r="DR1098" t="s">
        <v>411</v>
      </c>
      <c r="DS1098" t="b">
        <v>1</v>
      </c>
      <c r="DT1098" t="s">
        <v>470</v>
      </c>
      <c r="DU1098" t="s">
        <v>471</v>
      </c>
      <c r="DV1098" t="s">
        <v>472</v>
      </c>
      <c r="DX1098">
        <v>-9999</v>
      </c>
      <c r="DZ1098" t="s">
        <v>447</v>
      </c>
      <c r="EA1098" t="s">
        <v>448</v>
      </c>
      <c r="EB1098" t="s">
        <v>742</v>
      </c>
      <c r="EC1098">
        <v>20101217</v>
      </c>
      <c r="ED1098" t="s">
        <v>474</v>
      </c>
      <c r="EF1098">
        <v>1874.9</v>
      </c>
      <c r="EG1098">
        <v>1583</v>
      </c>
      <c r="EI1098">
        <v>20160407</v>
      </c>
      <c r="EJ1098">
        <v>0</v>
      </c>
      <c r="EK1098">
        <v>0</v>
      </c>
      <c r="EP1098" t="s">
        <v>421</v>
      </c>
      <c r="EQ1098" t="s">
        <v>422</v>
      </c>
      <c r="ER1098">
        <v>9</v>
      </c>
      <c r="ES1098">
        <v>1</v>
      </c>
      <c r="ET1098">
        <v>8206.6299999999992</v>
      </c>
      <c r="EU1098">
        <v>3643.28</v>
      </c>
      <c r="EV1098">
        <v>11849.91</v>
      </c>
      <c r="EW1098" s="2">
        <v>43222</v>
      </c>
      <c r="EX1098" s="1">
        <v>42879</v>
      </c>
      <c r="EY1098">
        <v>2016</v>
      </c>
      <c r="EZ1098">
        <v>736.23</v>
      </c>
      <c r="FA1098" t="s">
        <v>11257</v>
      </c>
      <c r="FB1098">
        <v>7.75</v>
      </c>
      <c r="FC1098" t="s">
        <v>424</v>
      </c>
      <c r="FD1098" t="s">
        <v>454</v>
      </c>
      <c r="FF1098">
        <v>12</v>
      </c>
      <c r="FG1098">
        <v>10125</v>
      </c>
      <c r="FH1098" t="s">
        <v>440</v>
      </c>
      <c r="FJ1098" s="1">
        <v>42515</v>
      </c>
      <c r="FK1098">
        <v>2015</v>
      </c>
      <c r="FL1098">
        <v>748.45</v>
      </c>
      <c r="FM1098" t="s">
        <v>11258</v>
      </c>
      <c r="FN1098">
        <v>9.75</v>
      </c>
      <c r="FO1098" t="s">
        <v>424</v>
      </c>
      <c r="FP1098" t="s">
        <v>454</v>
      </c>
      <c r="FR1098">
        <v>24</v>
      </c>
      <c r="FS1098">
        <v>10125</v>
      </c>
      <c r="FT1098" t="s">
        <v>440</v>
      </c>
      <c r="FV1098" s="1">
        <v>42151</v>
      </c>
      <c r="FW1098">
        <v>2014</v>
      </c>
      <c r="FX1098">
        <v>752.13</v>
      </c>
      <c r="FY1098" t="s">
        <v>11259</v>
      </c>
      <c r="FZ1098">
        <v>4.75</v>
      </c>
      <c r="GA1098" t="s">
        <v>424</v>
      </c>
      <c r="GB1098" t="s">
        <v>454</v>
      </c>
      <c r="GD1098">
        <v>36</v>
      </c>
      <c r="GE1098">
        <v>4844942</v>
      </c>
      <c r="GF1098" t="s">
        <v>2472</v>
      </c>
      <c r="GH1098" s="1">
        <v>42151</v>
      </c>
      <c r="GI1098">
        <v>2014</v>
      </c>
      <c r="GJ1098">
        <v>752.13</v>
      </c>
      <c r="GK1098" t="s">
        <v>11259</v>
      </c>
      <c r="GL1098">
        <v>4.75</v>
      </c>
      <c r="GM1098" t="s">
        <v>424</v>
      </c>
      <c r="GN1098" t="s">
        <v>454</v>
      </c>
      <c r="GP1098">
        <v>36</v>
      </c>
      <c r="GQ1098">
        <v>7045032</v>
      </c>
      <c r="GR1098" t="s">
        <v>2473</v>
      </c>
      <c r="GT1098" s="1">
        <v>41787</v>
      </c>
      <c r="GU1098">
        <v>2013</v>
      </c>
      <c r="GV1098">
        <v>713.08</v>
      </c>
      <c r="GW1098" t="s">
        <v>11260</v>
      </c>
      <c r="GX1098">
        <v>12.75</v>
      </c>
      <c r="GY1098" t="s">
        <v>424</v>
      </c>
      <c r="GZ1098" t="s">
        <v>454</v>
      </c>
      <c r="HB1098">
        <v>48</v>
      </c>
      <c r="HC1098">
        <v>10125</v>
      </c>
      <c r="HD1098" t="s">
        <v>440</v>
      </c>
      <c r="HF1098" s="1">
        <v>41423</v>
      </c>
      <c r="HG1098">
        <v>2012</v>
      </c>
      <c r="HH1098">
        <v>896.66</v>
      </c>
      <c r="HI1098" t="s">
        <v>11261</v>
      </c>
      <c r="HJ1098">
        <v>10</v>
      </c>
      <c r="HK1098" t="s">
        <v>424</v>
      </c>
      <c r="HL1098" t="s">
        <v>425</v>
      </c>
      <c r="HM1098" s="1">
        <v>42061</v>
      </c>
      <c r="HN1098">
        <v>21</v>
      </c>
      <c r="HO1098">
        <v>10125</v>
      </c>
      <c r="HP1098" t="s">
        <v>440</v>
      </c>
      <c r="HR1098" s="1">
        <v>41052</v>
      </c>
      <c r="HS1098">
        <v>2011</v>
      </c>
      <c r="HT1098">
        <v>903.98</v>
      </c>
      <c r="HU1098" t="s">
        <v>11262</v>
      </c>
      <c r="HV1098">
        <v>8.75</v>
      </c>
      <c r="HW1098" t="s">
        <v>424</v>
      </c>
      <c r="HX1098" t="s">
        <v>454</v>
      </c>
      <c r="HZ1098">
        <v>72</v>
      </c>
      <c r="IA1098">
        <v>10125</v>
      </c>
      <c r="IB1098" t="s">
        <v>440</v>
      </c>
      <c r="ID1098" s="1">
        <v>40688</v>
      </c>
      <c r="IE1098">
        <v>2010</v>
      </c>
      <c r="IF1098">
        <v>1200.21</v>
      </c>
      <c r="IG1098" t="s">
        <v>11263</v>
      </c>
      <c r="IH1098">
        <v>9.25</v>
      </c>
      <c r="II1098" t="s">
        <v>424</v>
      </c>
      <c r="IJ1098" t="s">
        <v>454</v>
      </c>
      <c r="IL1098">
        <v>84</v>
      </c>
      <c r="IM1098">
        <v>10591</v>
      </c>
      <c r="IN1098" t="s">
        <v>4254</v>
      </c>
      <c r="IP1098" s="1">
        <v>40688</v>
      </c>
      <c r="IQ1098">
        <v>2010</v>
      </c>
      <c r="IR1098">
        <v>1200.21</v>
      </c>
      <c r="IS1098" t="s">
        <v>11263</v>
      </c>
      <c r="IT1098">
        <v>9.25</v>
      </c>
      <c r="IU1098" t="s">
        <v>424</v>
      </c>
      <c r="IV1098" t="s">
        <v>454</v>
      </c>
      <c r="IX1098">
        <v>84</v>
      </c>
      <c r="IY1098">
        <v>7045068</v>
      </c>
      <c r="IZ1098" t="s">
        <v>4968</v>
      </c>
      <c r="JB1098" s="1">
        <v>40688</v>
      </c>
      <c r="JC1098">
        <v>2010</v>
      </c>
      <c r="JD1098">
        <v>1200.21</v>
      </c>
      <c r="JE1098" t="s">
        <v>11263</v>
      </c>
      <c r="JF1098">
        <v>9.25</v>
      </c>
      <c r="JG1098" t="s">
        <v>424</v>
      </c>
      <c r="JH1098" t="s">
        <v>454</v>
      </c>
      <c r="JJ1098">
        <v>84</v>
      </c>
      <c r="JK1098">
        <v>7685312</v>
      </c>
      <c r="JL1098" t="s">
        <v>11264</v>
      </c>
    </row>
    <row r="1099" spans="1:308" x14ac:dyDescent="0.25">
      <c r="A1099">
        <v>16486106</v>
      </c>
      <c r="B1099">
        <v>1098</v>
      </c>
      <c r="C1099" t="s">
        <v>393</v>
      </c>
      <c r="D1099" t="s">
        <v>394</v>
      </c>
      <c r="F1099" t="str">
        <f>"07-3N-26-0000-0003-0000"</f>
        <v>07-3N-26-0000-0003-0000</v>
      </c>
      <c r="H1099" t="str">
        <f>"JACOBS VERONA &amp; JACOBS FRANSCENA M EST &amp; JACOBS FRANK"</f>
        <v>JACOBS VERONA &amp; JACOBS FRANSCENA M EST &amp; JACOBS FRANK</v>
      </c>
      <c r="I1099" t="str">
        <f>""</f>
        <v/>
      </c>
      <c r="J1099" t="str">
        <f>"FERNANDINA BEACH FL 32035"</f>
        <v>FERNANDINA BEACH FL 32035</v>
      </c>
      <c r="K1099" t="str">
        <f>"2582 CR 108"</f>
        <v>2582 CR 108</v>
      </c>
      <c r="L1099" t="str">
        <f t="shared" si="358"/>
        <v>YULEE FL 32097</v>
      </c>
      <c r="M1099" t="str">
        <f>"IN OR 459 PG 464 EX 3-1 3-5 &amp; 3-4"</f>
        <v>IN OR 459 PG 464 EX 3-1 3-5 &amp; 3-4</v>
      </c>
      <c r="N1099" t="str">
        <f>""</f>
        <v/>
      </c>
      <c r="O1099" t="str">
        <f>"22548"</f>
        <v>22548</v>
      </c>
      <c r="P1099" t="str">
        <f t="shared" si="360"/>
        <v>2017</v>
      </c>
      <c r="Q1099" t="str">
        <f>""</f>
        <v/>
      </c>
      <c r="R1099" t="str">
        <f t="shared" si="359"/>
        <v>N</v>
      </c>
      <c r="S1099" t="str">
        <f>"7.79"</f>
        <v>7.79</v>
      </c>
      <c r="T1099" t="str">
        <f>"1212.64"</f>
        <v>1212.64</v>
      </c>
      <c r="U1099" t="str">
        <f>"80102.00"</f>
        <v>80102.00</v>
      </c>
      <c r="V1099" t="str">
        <f>"80102.00"</f>
        <v>80102.00</v>
      </c>
      <c r="W1099" t="str">
        <f t="shared" si="361"/>
        <v>2017</v>
      </c>
      <c r="X1099" t="str">
        <f>"22.50"</f>
        <v>22.50</v>
      </c>
      <c r="Y1099" t="str">
        <f>"1281.02"</f>
        <v>1281.02</v>
      </c>
      <c r="Z1099" t="str">
        <f>""</f>
        <v/>
      </c>
      <c r="AA1099" t="str">
        <f>"80102.00"</f>
        <v>80102.00</v>
      </c>
      <c r="AB1099" t="str">
        <f t="shared" si="362"/>
        <v>Residential</v>
      </c>
      <c r="AC1099" t="str">
        <f t="shared" si="345"/>
        <v>0</v>
      </c>
      <c r="AD1099" t="str">
        <f>"4"</f>
        <v>4</v>
      </c>
      <c r="AE1099" t="str">
        <f>"WOOD (INCLUDE STEEL STUDS)"</f>
        <v>WOOD (INCLUDE STEEL STUDS)</v>
      </c>
      <c r="AF1099" t="str">
        <f>"001"</f>
        <v>001</v>
      </c>
      <c r="AG1099" t="str">
        <f t="shared" si="363"/>
        <v>FL</v>
      </c>
      <c r="AH1099" t="str">
        <f>"339332.00"</f>
        <v>339332.00</v>
      </c>
      <c r="AI1099" t="str">
        <f>"49077.00"</f>
        <v>49077.00</v>
      </c>
      <c r="AJ1099" t="str">
        <f>"C55-000-586-6933-4"</f>
        <v>C55-000-586-6933-4</v>
      </c>
      <c r="AK1099" t="str">
        <f>"17798"</f>
        <v>17798</v>
      </c>
      <c r="AL1099">
        <v>4</v>
      </c>
      <c r="AM1099">
        <v>1262</v>
      </c>
      <c r="AN1099">
        <v>1343.47</v>
      </c>
      <c r="AQ1099" t="s">
        <v>11265</v>
      </c>
      <c r="AR1099" t="s">
        <v>11265</v>
      </c>
      <c r="AS1099" t="s">
        <v>11265</v>
      </c>
      <c r="AU1099" t="s">
        <v>396</v>
      </c>
      <c r="AV1099">
        <v>2017</v>
      </c>
      <c r="AW1099" t="str">
        <f>"07-3N-26-0000-0003-0000 "</f>
        <v xml:space="preserve">07-3N-26-0000-0003-0000 </v>
      </c>
      <c r="AX1099">
        <v>2582</v>
      </c>
      <c r="AZ1099" t="s">
        <v>1206</v>
      </c>
      <c r="BD1099" t="s">
        <v>2387</v>
      </c>
      <c r="BE1099" t="s">
        <v>393</v>
      </c>
      <c r="BF1099">
        <v>32097</v>
      </c>
      <c r="BG1099" t="s">
        <v>11266</v>
      </c>
      <c r="BH1099" t="s">
        <v>2388</v>
      </c>
      <c r="BI1099">
        <v>-81.736988321689196</v>
      </c>
      <c r="BJ1099">
        <v>30.694731989724499</v>
      </c>
      <c r="BK1099" t="s">
        <v>11267</v>
      </c>
      <c r="BM1099" t="s">
        <v>11255</v>
      </c>
      <c r="BN1099" t="s">
        <v>3983</v>
      </c>
      <c r="BO1099">
        <v>32035</v>
      </c>
      <c r="BP1099" t="s">
        <v>404</v>
      </c>
      <c r="BQ1099">
        <v>100</v>
      </c>
      <c r="BR1099" t="s">
        <v>514</v>
      </c>
      <c r="BS1099">
        <v>1001</v>
      </c>
      <c r="BT1099" t="s">
        <v>515</v>
      </c>
      <c r="BW1099">
        <v>339332</v>
      </c>
      <c r="BX1099" t="s">
        <v>407</v>
      </c>
      <c r="BY1099" t="s">
        <v>408</v>
      </c>
      <c r="BZ1099">
        <v>4</v>
      </c>
      <c r="CA1099">
        <v>1944</v>
      </c>
      <c r="CB1099">
        <v>1</v>
      </c>
      <c r="CC1099">
        <v>2</v>
      </c>
      <c r="CD1099">
        <v>2017</v>
      </c>
      <c r="CE1099">
        <v>49077</v>
      </c>
      <c r="CF1099">
        <v>31025</v>
      </c>
      <c r="CG1099">
        <v>80102</v>
      </c>
      <c r="CH1099">
        <v>2017</v>
      </c>
      <c r="CI1099">
        <v>49077</v>
      </c>
      <c r="CJ1099">
        <v>31025</v>
      </c>
      <c r="CK1099">
        <v>80102</v>
      </c>
      <c r="CL1099">
        <v>2017</v>
      </c>
      <c r="CM1099">
        <v>1212.6400000000001</v>
      </c>
      <c r="CN1099" s="1">
        <v>36588</v>
      </c>
      <c r="CV1099">
        <v>0</v>
      </c>
      <c r="CZ1099" s="1">
        <v>36588</v>
      </c>
      <c r="DA1099">
        <v>0</v>
      </c>
      <c r="DD1099" t="s">
        <v>2387</v>
      </c>
      <c r="DG1099">
        <v>7</v>
      </c>
      <c r="DL1099">
        <v>50301</v>
      </c>
      <c r="DM1099" t="s">
        <v>11242</v>
      </c>
      <c r="DO1099" t="s">
        <v>11268</v>
      </c>
      <c r="DP1099">
        <v>0</v>
      </c>
      <c r="DQ1099">
        <v>0</v>
      </c>
      <c r="DR1099" t="s">
        <v>411</v>
      </c>
      <c r="DS1099" t="b">
        <v>1</v>
      </c>
      <c r="DT1099" t="s">
        <v>470</v>
      </c>
      <c r="DU1099" t="s">
        <v>471</v>
      </c>
      <c r="DV1099" t="s">
        <v>472</v>
      </c>
      <c r="DX1099">
        <v>-9999</v>
      </c>
      <c r="DZ1099" t="s">
        <v>447</v>
      </c>
      <c r="EA1099" t="s">
        <v>448</v>
      </c>
      <c r="EB1099" t="s">
        <v>742</v>
      </c>
      <c r="EC1099">
        <v>20101217</v>
      </c>
      <c r="ED1099" t="s">
        <v>474</v>
      </c>
      <c r="EF1099">
        <v>2280.4</v>
      </c>
      <c r="EG1099">
        <v>1454.4</v>
      </c>
      <c r="EI1099">
        <v>20160407</v>
      </c>
      <c r="EJ1099">
        <v>0</v>
      </c>
      <c r="EK1099">
        <v>0</v>
      </c>
      <c r="EP1099" t="s">
        <v>421</v>
      </c>
      <c r="EQ1099" t="s">
        <v>452</v>
      </c>
      <c r="ER1099">
        <v>0</v>
      </c>
      <c r="ES1099">
        <v>7</v>
      </c>
      <c r="ET1099">
        <v>0</v>
      </c>
      <c r="EU1099">
        <v>0</v>
      </c>
      <c r="EV1099">
        <v>0</v>
      </c>
      <c r="EW1099" s="2">
        <v>43222</v>
      </c>
      <c r="EX1099" s="1">
        <v>42515</v>
      </c>
      <c r="EY1099">
        <v>2015</v>
      </c>
      <c r="EZ1099">
        <v>1282.3399999999999</v>
      </c>
      <c r="FA1099" t="s">
        <v>11269</v>
      </c>
      <c r="FB1099">
        <v>0.25</v>
      </c>
      <c r="FC1099" t="s">
        <v>424</v>
      </c>
      <c r="FD1099" t="s">
        <v>425</v>
      </c>
      <c r="FE1099" s="1">
        <v>42831</v>
      </c>
      <c r="FF1099">
        <v>11</v>
      </c>
      <c r="FG1099">
        <v>7336671</v>
      </c>
      <c r="FH1099" t="s">
        <v>437</v>
      </c>
      <c r="FI1099" t="s">
        <v>458</v>
      </c>
      <c r="FJ1099" s="1">
        <v>42515</v>
      </c>
      <c r="FK1099">
        <v>2015</v>
      </c>
      <c r="FL1099">
        <v>1282.3399999999999</v>
      </c>
      <c r="FM1099" t="s">
        <v>11269</v>
      </c>
      <c r="FN1099">
        <v>0.25</v>
      </c>
      <c r="FO1099" t="s">
        <v>424</v>
      </c>
      <c r="FP1099" t="s">
        <v>425</v>
      </c>
      <c r="FR1099">
        <v>22</v>
      </c>
      <c r="FS1099">
        <v>6984752</v>
      </c>
      <c r="FT1099" t="s">
        <v>11270</v>
      </c>
      <c r="FU1099" t="s">
        <v>458</v>
      </c>
      <c r="FV1099" s="1">
        <v>42151</v>
      </c>
      <c r="FW1099">
        <v>2014</v>
      </c>
      <c r="FX1099">
        <v>1253.3699999999999</v>
      </c>
      <c r="FY1099" t="s">
        <v>11271</v>
      </c>
      <c r="FZ1099">
        <v>0.25</v>
      </c>
      <c r="GA1099" t="s">
        <v>424</v>
      </c>
      <c r="GB1099" t="s">
        <v>425</v>
      </c>
      <c r="GC1099" s="1">
        <v>42831</v>
      </c>
      <c r="GD1099">
        <v>23</v>
      </c>
      <c r="GE1099">
        <v>4975594</v>
      </c>
      <c r="GF1099" t="s">
        <v>457</v>
      </c>
      <c r="GG1099" t="s">
        <v>458</v>
      </c>
      <c r="GH1099" s="1">
        <v>42151</v>
      </c>
      <c r="GI1099">
        <v>2014</v>
      </c>
      <c r="GJ1099">
        <v>1253.3699999999999</v>
      </c>
      <c r="GK1099" t="s">
        <v>11271</v>
      </c>
      <c r="GL1099">
        <v>0.25</v>
      </c>
      <c r="GM1099" t="s">
        <v>424</v>
      </c>
      <c r="GN1099" t="s">
        <v>425</v>
      </c>
      <c r="GP1099">
        <v>22</v>
      </c>
      <c r="GQ1099">
        <v>6201607</v>
      </c>
      <c r="GR1099" t="s">
        <v>11272</v>
      </c>
      <c r="GS1099" t="s">
        <v>458</v>
      </c>
      <c r="GT1099" s="1">
        <v>41787</v>
      </c>
      <c r="GU1099">
        <v>2013</v>
      </c>
      <c r="GV1099">
        <v>1180.7</v>
      </c>
      <c r="GW1099" t="s">
        <v>11273</v>
      </c>
      <c r="GX1099">
        <v>0.25</v>
      </c>
      <c r="GY1099" t="s">
        <v>424</v>
      </c>
      <c r="GZ1099" t="s">
        <v>425</v>
      </c>
      <c r="HB1099">
        <v>22</v>
      </c>
      <c r="HC1099">
        <v>2851116</v>
      </c>
      <c r="HD1099" t="s">
        <v>480</v>
      </c>
      <c r="HE1099" t="s">
        <v>458</v>
      </c>
      <c r="HF1099" s="1">
        <v>41787</v>
      </c>
      <c r="HG1099">
        <v>2013</v>
      </c>
      <c r="HH1099">
        <v>1180.7</v>
      </c>
      <c r="HI1099" t="s">
        <v>11273</v>
      </c>
      <c r="HJ1099">
        <v>0.25</v>
      </c>
      <c r="HK1099" t="s">
        <v>424</v>
      </c>
      <c r="HL1099" t="s">
        <v>425</v>
      </c>
      <c r="HN1099">
        <v>22</v>
      </c>
      <c r="HO1099">
        <v>10198</v>
      </c>
      <c r="HP1099" t="s">
        <v>5883</v>
      </c>
      <c r="HQ1099" t="s">
        <v>458</v>
      </c>
      <c r="HR1099" s="1">
        <v>41423</v>
      </c>
      <c r="HS1099">
        <v>2012</v>
      </c>
      <c r="HT1099">
        <v>1293.3599999999999</v>
      </c>
      <c r="HU1099" t="s">
        <v>11274</v>
      </c>
      <c r="HV1099">
        <v>0.25</v>
      </c>
      <c r="HW1099" t="s">
        <v>424</v>
      </c>
      <c r="HX1099" t="s">
        <v>425</v>
      </c>
      <c r="HY1099" s="1">
        <v>42062</v>
      </c>
      <c r="HZ1099">
        <v>21</v>
      </c>
      <c r="IA1099">
        <v>606981</v>
      </c>
      <c r="IB1099" t="s">
        <v>792</v>
      </c>
    </row>
    <row r="1100" spans="1:308" x14ac:dyDescent="0.25">
      <c r="A1100">
        <v>16486107</v>
      </c>
      <c r="B1100">
        <v>1099</v>
      </c>
      <c r="C1100" t="s">
        <v>393</v>
      </c>
      <c r="D1100" t="s">
        <v>394</v>
      </c>
      <c r="F1100" t="str">
        <f>"07-3N-26-0000-0006-0070"</f>
        <v>07-3N-26-0000-0006-0070</v>
      </c>
      <c r="H1100" t="str">
        <f>"MURPHY ERIC &amp; MURPHY BRENDA EST"</f>
        <v>MURPHY ERIC &amp; MURPHY BRENDA EST</v>
      </c>
      <c r="I1100" t="str">
        <f>"PO BOX 1384"</f>
        <v>PO BOX 1384</v>
      </c>
      <c r="J1100" t="str">
        <f>"YULEE FL 32041"</f>
        <v>YULEE FL 32041</v>
      </c>
      <c r="K1100" t="str">
        <f>"ESMT OFF CR 108"</f>
        <v>ESMT OFF CR 108</v>
      </c>
      <c r="L1100" t="str">
        <f t="shared" si="358"/>
        <v>YULEE FL 32097</v>
      </c>
      <c r="M1100" t="str">
        <f>"PT GOVT LOT 1 OF SEC 7-3N-26E IN OR 614/1062 OR 716/870 &amp; R/W AGMT IN OR 614/1069"</f>
        <v>PT GOVT LOT 1 OF SEC 7-3N-26E IN OR 614/1062 OR 716/870 &amp; R/W AGMT IN OR 614/1069</v>
      </c>
      <c r="N1100" t="str">
        <f>""</f>
        <v/>
      </c>
      <c r="O1100" t="str">
        <f>"22560"</f>
        <v>22560</v>
      </c>
      <c r="P1100" t="str">
        <f t="shared" si="360"/>
        <v>2017</v>
      </c>
      <c r="Q1100" t="str">
        <f>""</f>
        <v/>
      </c>
      <c r="R1100" t="str">
        <f t="shared" si="359"/>
        <v>N</v>
      </c>
      <c r="S1100" t="str">
        <f>"3.00"</f>
        <v>3.00</v>
      </c>
      <c r="T1100" t="str">
        <f>"381.50"</f>
        <v>381.50</v>
      </c>
      <c r="U1100" t="str">
        <f>"25200.00"</f>
        <v>25200.00</v>
      </c>
      <c r="V1100" t="str">
        <f>"25200.00"</f>
        <v>25200.00</v>
      </c>
      <c r="W1100" t="str">
        <f t="shared" si="361"/>
        <v>2017</v>
      </c>
      <c r="X1100" t="str">
        <f>"21.10"</f>
        <v>21.10</v>
      </c>
      <c r="Y1100" t="str">
        <f>"424.95"</f>
        <v>424.95</v>
      </c>
      <c r="Z1100" t="str">
        <f>""</f>
        <v/>
      </c>
      <c r="AA1100" t="str">
        <f>"25200.00"</f>
        <v>25200.00</v>
      </c>
      <c r="AB1100" t="str">
        <f t="shared" si="362"/>
        <v>Residential</v>
      </c>
      <c r="AC1100" t="str">
        <f t="shared" si="345"/>
        <v>0</v>
      </c>
      <c r="AD1100" t="str">
        <f>""</f>
        <v/>
      </c>
      <c r="AE1100" t="str">
        <f>""</f>
        <v/>
      </c>
      <c r="AF1100" t="str">
        <f>"000"</f>
        <v>000</v>
      </c>
      <c r="AG1100" t="str">
        <f t="shared" si="363"/>
        <v>FL</v>
      </c>
      <c r="AH1100" t="str">
        <f>"130680.00"</f>
        <v>130680.00</v>
      </c>
      <c r="AI1100" t="str">
        <f>"25200.00"</f>
        <v>25200.00</v>
      </c>
      <c r="AJ1100" t="str">
        <f>"C55-000-586-6943-3"</f>
        <v>C55-000-586-6943-3</v>
      </c>
      <c r="AK1100" t="str">
        <f>"17810"</f>
        <v>17810</v>
      </c>
      <c r="AL1100">
        <v>4</v>
      </c>
      <c r="AM1100">
        <v>1263</v>
      </c>
      <c r="AN1100">
        <v>444.6</v>
      </c>
      <c r="AQ1100" t="s">
        <v>11275</v>
      </c>
      <c r="AR1100" t="s">
        <v>11275</v>
      </c>
      <c r="AS1100" t="s">
        <v>11275</v>
      </c>
      <c r="AU1100" t="s">
        <v>396</v>
      </c>
      <c r="AV1100">
        <v>2017</v>
      </c>
      <c r="AW1100" t="str">
        <f>"07-3N-26-0000-0006-0070 "</f>
        <v xml:space="preserve">07-3N-26-0000-0006-0070 </v>
      </c>
      <c r="AZ1100" t="s">
        <v>11276</v>
      </c>
      <c r="BD1100" t="s">
        <v>2387</v>
      </c>
      <c r="BE1100" t="s">
        <v>393</v>
      </c>
      <c r="BF1100">
        <v>32097</v>
      </c>
      <c r="BG1100" t="s">
        <v>11276</v>
      </c>
      <c r="BH1100" t="s">
        <v>2388</v>
      </c>
      <c r="BI1100">
        <v>-81.749884635050805</v>
      </c>
      <c r="BJ1100">
        <v>30.701346589229999</v>
      </c>
      <c r="BK1100" t="s">
        <v>11277</v>
      </c>
      <c r="BL1100" t="s">
        <v>11278</v>
      </c>
      <c r="BM1100" t="s">
        <v>11279</v>
      </c>
      <c r="BN1100" t="s">
        <v>1778</v>
      </c>
      <c r="BO1100">
        <v>32041</v>
      </c>
      <c r="BP1100" t="s">
        <v>404</v>
      </c>
      <c r="BQ1100">
        <v>0</v>
      </c>
      <c r="BR1100" t="s">
        <v>491</v>
      </c>
      <c r="BS1100">
        <v>8001</v>
      </c>
      <c r="BT1100" t="s">
        <v>492</v>
      </c>
      <c r="BW1100">
        <v>130680</v>
      </c>
      <c r="BX1100" t="s">
        <v>407</v>
      </c>
      <c r="BY1100" t="s">
        <v>408</v>
      </c>
      <c r="CD1100">
        <v>2017</v>
      </c>
      <c r="CE1100">
        <v>25200</v>
      </c>
      <c r="CG1100">
        <v>25200</v>
      </c>
      <c r="CH1100">
        <v>2017</v>
      </c>
      <c r="CI1100">
        <v>25200</v>
      </c>
      <c r="CK1100">
        <v>25200</v>
      </c>
      <c r="CL1100">
        <v>2017</v>
      </c>
      <c r="CM1100">
        <v>381.5</v>
      </c>
      <c r="CN1100" s="1">
        <v>33226</v>
      </c>
      <c r="CO1100">
        <v>8500</v>
      </c>
      <c r="CZ1100" s="1">
        <v>33226</v>
      </c>
      <c r="DD1100" t="s">
        <v>2387</v>
      </c>
      <c r="DG1100">
        <v>7</v>
      </c>
      <c r="DL1100">
        <v>50301</v>
      </c>
      <c r="DM1100" t="s">
        <v>11242</v>
      </c>
      <c r="DO1100" t="s">
        <v>11280</v>
      </c>
      <c r="DP1100">
        <v>0</v>
      </c>
      <c r="DQ1100">
        <v>0</v>
      </c>
      <c r="DR1100" t="s">
        <v>411</v>
      </c>
      <c r="DS1100" t="b">
        <v>1</v>
      </c>
      <c r="DT1100" t="s">
        <v>470</v>
      </c>
      <c r="DU1100" t="s">
        <v>10249</v>
      </c>
      <c r="DV1100" t="s">
        <v>472</v>
      </c>
      <c r="DX1100">
        <v>-9999</v>
      </c>
      <c r="DZ1100" t="s">
        <v>447</v>
      </c>
      <c r="EA1100" t="s">
        <v>448</v>
      </c>
      <c r="EB1100" t="s">
        <v>10250</v>
      </c>
      <c r="EC1100">
        <v>20101217</v>
      </c>
      <c r="ED1100" t="s">
        <v>10251</v>
      </c>
      <c r="EE1100">
        <v>5</v>
      </c>
      <c r="EF1100">
        <v>402.7</v>
      </c>
      <c r="EG1100">
        <v>0</v>
      </c>
      <c r="EI1100">
        <v>20160407</v>
      </c>
      <c r="EJ1100">
        <v>0</v>
      </c>
      <c r="EK1100">
        <v>0</v>
      </c>
      <c r="EP1100" t="s">
        <v>421</v>
      </c>
      <c r="EQ1100" t="s">
        <v>422</v>
      </c>
      <c r="ER1100">
        <v>1</v>
      </c>
      <c r="ES1100">
        <v>8</v>
      </c>
      <c r="ET1100">
        <v>425.44</v>
      </c>
      <c r="EU1100">
        <v>33.9</v>
      </c>
      <c r="EV1100">
        <v>459.34</v>
      </c>
      <c r="EW1100" s="2">
        <v>43222</v>
      </c>
      <c r="EX1100" s="1">
        <v>42879</v>
      </c>
      <c r="EY1100">
        <v>2016</v>
      </c>
      <c r="EZ1100">
        <v>425.44</v>
      </c>
      <c r="FA1100" t="s">
        <v>11281</v>
      </c>
      <c r="FB1100">
        <v>6.5</v>
      </c>
      <c r="FC1100" t="s">
        <v>424</v>
      </c>
      <c r="FD1100" t="s">
        <v>454</v>
      </c>
      <c r="FF1100">
        <v>12</v>
      </c>
      <c r="FG1100">
        <v>10125</v>
      </c>
      <c r="FH1100" t="s">
        <v>440</v>
      </c>
      <c r="FJ1100" s="1">
        <v>42515</v>
      </c>
      <c r="FK1100">
        <v>2015</v>
      </c>
      <c r="FL1100">
        <v>430.14</v>
      </c>
      <c r="FM1100" t="s">
        <v>11282</v>
      </c>
      <c r="FN1100">
        <v>6</v>
      </c>
      <c r="FO1100" t="s">
        <v>424</v>
      </c>
      <c r="FP1100" t="s">
        <v>425</v>
      </c>
      <c r="FQ1100" s="1">
        <v>43159</v>
      </c>
      <c r="FR1100">
        <v>21</v>
      </c>
      <c r="FS1100">
        <v>10125</v>
      </c>
      <c r="FT1100" t="s">
        <v>440</v>
      </c>
      <c r="FV1100" s="1">
        <v>42151</v>
      </c>
      <c r="FW1100">
        <v>2014</v>
      </c>
      <c r="FX1100">
        <v>406.56</v>
      </c>
      <c r="FY1100" t="s">
        <v>11283</v>
      </c>
      <c r="FZ1100">
        <v>9</v>
      </c>
      <c r="GA1100" t="s">
        <v>424</v>
      </c>
      <c r="GB1100" t="s">
        <v>425</v>
      </c>
      <c r="GC1100" s="1">
        <v>42794</v>
      </c>
      <c r="GD1100">
        <v>21</v>
      </c>
      <c r="GE1100">
        <v>10125</v>
      </c>
      <c r="GF1100" t="s">
        <v>440</v>
      </c>
      <c r="GH1100" s="1">
        <v>41787</v>
      </c>
      <c r="GI1100">
        <v>2013</v>
      </c>
      <c r="GJ1100">
        <v>386</v>
      </c>
      <c r="GK1100" t="s">
        <v>11284</v>
      </c>
      <c r="GL1100">
        <v>12</v>
      </c>
      <c r="GM1100" t="s">
        <v>424</v>
      </c>
      <c r="GN1100" t="s">
        <v>425</v>
      </c>
      <c r="GO1100" s="1">
        <v>42425</v>
      </c>
      <c r="GP1100">
        <v>21</v>
      </c>
      <c r="GQ1100">
        <v>10125</v>
      </c>
      <c r="GR1100" t="s">
        <v>440</v>
      </c>
      <c r="GT1100" s="1">
        <v>41423</v>
      </c>
      <c r="GU1100">
        <v>2012</v>
      </c>
      <c r="GV1100">
        <v>537.97</v>
      </c>
      <c r="GW1100" t="s">
        <v>11285</v>
      </c>
      <c r="GX1100">
        <v>3.25</v>
      </c>
      <c r="GY1100" t="s">
        <v>424</v>
      </c>
      <c r="GZ1100" t="s">
        <v>425</v>
      </c>
      <c r="HA1100" s="1">
        <v>42059</v>
      </c>
      <c r="HB1100">
        <v>21</v>
      </c>
      <c r="HC1100">
        <v>10125</v>
      </c>
      <c r="HD1100" t="s">
        <v>440</v>
      </c>
      <c r="HF1100" s="1">
        <v>41052</v>
      </c>
      <c r="HG1100">
        <v>2011</v>
      </c>
      <c r="HH1100">
        <v>539</v>
      </c>
      <c r="HI1100" t="s">
        <v>11286</v>
      </c>
      <c r="HJ1100">
        <v>6</v>
      </c>
      <c r="HK1100" t="s">
        <v>424</v>
      </c>
      <c r="HL1100" t="s">
        <v>425</v>
      </c>
      <c r="HM1100" s="1">
        <v>41695</v>
      </c>
      <c r="HN1100">
        <v>21</v>
      </c>
      <c r="HO1100">
        <v>1625515</v>
      </c>
      <c r="HP1100" t="s">
        <v>487</v>
      </c>
      <c r="HR1100" s="1">
        <v>41052</v>
      </c>
      <c r="HS1100">
        <v>2011</v>
      </c>
      <c r="HT1100">
        <v>539</v>
      </c>
      <c r="HU1100" t="s">
        <v>11286</v>
      </c>
      <c r="HV1100">
        <v>6</v>
      </c>
      <c r="HW1100" t="s">
        <v>424</v>
      </c>
      <c r="HX1100" t="s">
        <v>425</v>
      </c>
      <c r="HZ1100">
        <v>22</v>
      </c>
      <c r="IA1100">
        <v>10579</v>
      </c>
      <c r="IB1100" t="s">
        <v>488</v>
      </c>
      <c r="ID1100" s="1">
        <v>40688</v>
      </c>
      <c r="IE1100">
        <v>2010</v>
      </c>
      <c r="IF1100">
        <v>713.32</v>
      </c>
      <c r="IG1100" t="s">
        <v>11287</v>
      </c>
      <c r="IH1100">
        <v>8.25</v>
      </c>
      <c r="II1100" t="s">
        <v>424</v>
      </c>
      <c r="IJ1100" t="s">
        <v>425</v>
      </c>
      <c r="IK1100" s="1">
        <v>41327</v>
      </c>
      <c r="IL1100">
        <v>21</v>
      </c>
      <c r="IM1100">
        <v>15175</v>
      </c>
      <c r="IN1100" t="s">
        <v>588</v>
      </c>
      <c r="IP1100" s="1">
        <v>40688</v>
      </c>
      <c r="IQ1100">
        <v>2010</v>
      </c>
      <c r="IR1100">
        <v>713.32</v>
      </c>
      <c r="IS1100" t="s">
        <v>11287</v>
      </c>
      <c r="IT1100">
        <v>8.25</v>
      </c>
      <c r="IU1100" t="s">
        <v>424</v>
      </c>
      <c r="IV1100" t="s">
        <v>425</v>
      </c>
      <c r="IX1100">
        <v>22</v>
      </c>
      <c r="IY1100">
        <v>10548</v>
      </c>
      <c r="IZ1100" t="s">
        <v>589</v>
      </c>
    </row>
    <row r="1101" spans="1:308" x14ac:dyDescent="0.25">
      <c r="A1101">
        <v>16486108</v>
      </c>
      <c r="B1101">
        <v>1100</v>
      </c>
      <c r="C1101" t="s">
        <v>393</v>
      </c>
      <c r="D1101" t="s">
        <v>394</v>
      </c>
      <c r="F1101" t="str">
        <f>"07-3N-26-0000-0007-0010"</f>
        <v>07-3N-26-0000-0007-0010</v>
      </c>
      <c r="H1101" t="str">
        <f>"RAINEY BRENDA &amp; ALBERTIE LAWRENCE"</f>
        <v>RAINEY BRENDA &amp; ALBERTIE LAWRENCE</v>
      </c>
      <c r="I1101" t="str">
        <f>"P O BOX 1566"</f>
        <v>P O BOX 1566</v>
      </c>
      <c r="J1101" t="str">
        <f>"YULEE FL 32041"</f>
        <v>YULEE FL 32041</v>
      </c>
      <c r="K1101" t="str">
        <f>"152996 CR 108"</f>
        <v>152996 CR 108</v>
      </c>
      <c r="L1101" t="str">
        <f t="shared" si="358"/>
        <v>YULEE FL 32097</v>
      </c>
      <c r="M1101" t="str">
        <f>"PT GOVT LOT 1 OF SEC 7-3N-26E IN OR 676/306"</f>
        <v>PT GOVT LOT 1 OF SEC 7-3N-26E IN OR 676/306</v>
      </c>
      <c r="N1101" t="str">
        <f>""</f>
        <v/>
      </c>
      <c r="O1101" t="str">
        <f>"22566"</f>
        <v>22566</v>
      </c>
      <c r="P1101" t="str">
        <f t="shared" si="360"/>
        <v>2017</v>
      </c>
      <c r="Q1101" t="str">
        <f>""</f>
        <v/>
      </c>
      <c r="R1101" t="str">
        <f>"Y"</f>
        <v>Y</v>
      </c>
      <c r="S1101" t="str">
        <f>"1.00"</f>
        <v>1.00</v>
      </c>
      <c r="T1101" t="str">
        <f>"459.49"</f>
        <v>459.49</v>
      </c>
      <c r="U1101" t="str">
        <f>"62279.00"</f>
        <v>62279.00</v>
      </c>
      <c r="V1101" t="str">
        <f>"62279.00"</f>
        <v>62279.00</v>
      </c>
      <c r="W1101" t="str">
        <f t="shared" si="361"/>
        <v>2017</v>
      </c>
      <c r="X1101" t="str">
        <f>"3.00"</f>
        <v>3.00</v>
      </c>
      <c r="Y1101" t="str">
        <f>"505.27"</f>
        <v>505.27</v>
      </c>
      <c r="Z1101" t="str">
        <f>"25000.00"</f>
        <v>25000.00</v>
      </c>
      <c r="AA1101" t="str">
        <f>"37279.00"</f>
        <v>37279.00</v>
      </c>
      <c r="AB1101" t="str">
        <f t="shared" si="362"/>
        <v>Residential</v>
      </c>
      <c r="AC1101" t="str">
        <f t="shared" si="345"/>
        <v>0</v>
      </c>
      <c r="AD1101" t="str">
        <f>"4"</f>
        <v>4</v>
      </c>
      <c r="AE1101" t="str">
        <f>"WOOD (INCLUDE STEEL STUDS)"</f>
        <v>WOOD (INCLUDE STEEL STUDS)</v>
      </c>
      <c r="AF1101" t="str">
        <f>"001"</f>
        <v>001</v>
      </c>
      <c r="AG1101" t="str">
        <f t="shared" si="363"/>
        <v>FL</v>
      </c>
      <c r="AH1101" t="str">
        <f>"43560.00"</f>
        <v>43560.00</v>
      </c>
      <c r="AI1101" t="str">
        <f>"15750.00"</f>
        <v>15750.00</v>
      </c>
      <c r="AJ1101" t="str">
        <f>"C55-000-586-6949-0"</f>
        <v>C55-000-586-6949-0</v>
      </c>
      <c r="AK1101" t="str">
        <f>"17817"</f>
        <v>17817</v>
      </c>
      <c r="AL1101">
        <v>4</v>
      </c>
      <c r="AM1101">
        <v>1264</v>
      </c>
      <c r="AN1101">
        <v>528.92999999999995</v>
      </c>
      <c r="AQ1101" t="s">
        <v>11288</v>
      </c>
      <c r="AR1101" t="s">
        <v>11288</v>
      </c>
      <c r="AS1101" t="s">
        <v>11288</v>
      </c>
      <c r="AU1101" t="s">
        <v>396</v>
      </c>
      <c r="AV1101">
        <v>2017</v>
      </c>
      <c r="AW1101" t="str">
        <f>"07-3N-26-0000-0007-0010 "</f>
        <v xml:space="preserve">07-3N-26-0000-0007-0010 </v>
      </c>
      <c r="AX1101">
        <v>152996</v>
      </c>
      <c r="AZ1101" t="s">
        <v>1206</v>
      </c>
      <c r="BD1101" t="s">
        <v>2387</v>
      </c>
      <c r="BE1101" t="s">
        <v>393</v>
      </c>
      <c r="BF1101">
        <v>32097</v>
      </c>
      <c r="BG1101" t="s">
        <v>11289</v>
      </c>
      <c r="BH1101" t="s">
        <v>2388</v>
      </c>
      <c r="BI1101">
        <v>-81.751039280088193</v>
      </c>
      <c r="BJ1101">
        <v>30.699308704859</v>
      </c>
      <c r="BK1101" t="s">
        <v>11290</v>
      </c>
      <c r="BL1101" t="s">
        <v>11291</v>
      </c>
      <c r="BM1101" t="s">
        <v>11292</v>
      </c>
      <c r="BN1101" t="s">
        <v>1778</v>
      </c>
      <c r="BO1101">
        <v>32041</v>
      </c>
      <c r="BP1101" t="s">
        <v>404</v>
      </c>
      <c r="BQ1101">
        <v>100</v>
      </c>
      <c r="BR1101" t="s">
        <v>514</v>
      </c>
      <c r="BS1101">
        <v>1001</v>
      </c>
      <c r="BT1101" t="s">
        <v>515</v>
      </c>
      <c r="BW1101">
        <v>43560</v>
      </c>
      <c r="BX1101" t="s">
        <v>407</v>
      </c>
      <c r="BY1101" t="s">
        <v>408</v>
      </c>
      <c r="BZ1101">
        <v>4</v>
      </c>
      <c r="CA1101">
        <v>1991</v>
      </c>
      <c r="CB1101">
        <v>1</v>
      </c>
      <c r="CC1101">
        <v>1</v>
      </c>
      <c r="CD1101">
        <v>2017</v>
      </c>
      <c r="CG1101">
        <v>62279</v>
      </c>
      <c r="CH1101">
        <v>2017</v>
      </c>
      <c r="CI1101">
        <v>15750</v>
      </c>
      <c r="CJ1101">
        <v>62961</v>
      </c>
      <c r="CK1101">
        <v>78711</v>
      </c>
      <c r="CL1101">
        <v>2017</v>
      </c>
      <c r="CM1101">
        <v>459.49</v>
      </c>
      <c r="CN1101" s="1">
        <v>34026</v>
      </c>
      <c r="CZ1101" s="1">
        <v>34026</v>
      </c>
      <c r="DD1101" t="s">
        <v>2387</v>
      </c>
      <c r="DG1101">
        <v>7</v>
      </c>
      <c r="DL1101">
        <v>50301</v>
      </c>
      <c r="DM1101" t="s">
        <v>11242</v>
      </c>
      <c r="DO1101" t="s">
        <v>11293</v>
      </c>
      <c r="DP1101">
        <v>0</v>
      </c>
      <c r="DQ1101">
        <v>0</v>
      </c>
      <c r="DR1101" t="s">
        <v>411</v>
      </c>
      <c r="EP1101" t="s">
        <v>421</v>
      </c>
      <c r="EQ1101" t="s">
        <v>422</v>
      </c>
      <c r="ER1101">
        <v>2</v>
      </c>
      <c r="ES1101">
        <v>0</v>
      </c>
      <c r="ET1101">
        <v>1045.74</v>
      </c>
      <c r="EU1101">
        <v>64.790000000000006</v>
      </c>
      <c r="EV1101">
        <v>1110.53</v>
      </c>
      <c r="EW1101" s="2">
        <v>43222</v>
      </c>
      <c r="EX1101" s="1">
        <v>42879</v>
      </c>
      <c r="EY1101">
        <v>2016</v>
      </c>
      <c r="EZ1101">
        <v>522.87</v>
      </c>
      <c r="FA1101" t="s">
        <v>11294</v>
      </c>
      <c r="FB1101">
        <v>0.25</v>
      </c>
      <c r="FC1101" t="s">
        <v>424</v>
      </c>
      <c r="FD1101" t="s">
        <v>454</v>
      </c>
      <c r="FF1101">
        <v>12</v>
      </c>
      <c r="FG1101">
        <v>7336671</v>
      </c>
      <c r="FH1101" t="s">
        <v>437</v>
      </c>
      <c r="FJ1101" s="1">
        <v>42879</v>
      </c>
      <c r="FK1101">
        <v>2016</v>
      </c>
      <c r="FL1101">
        <v>522.87</v>
      </c>
      <c r="FM1101" t="s">
        <v>11294</v>
      </c>
      <c r="FN1101">
        <v>0.25</v>
      </c>
      <c r="FO1101" t="s">
        <v>424</v>
      </c>
      <c r="FP1101" t="s">
        <v>454</v>
      </c>
      <c r="FR1101">
        <v>12</v>
      </c>
      <c r="FS1101">
        <v>6852805</v>
      </c>
      <c r="FT1101" t="s">
        <v>11295</v>
      </c>
    </row>
    <row r="1102" spans="1:308" x14ac:dyDescent="0.25">
      <c r="A1102">
        <v>16486109</v>
      </c>
      <c r="B1102">
        <v>1101</v>
      </c>
      <c r="C1102" t="s">
        <v>393</v>
      </c>
      <c r="D1102" t="s">
        <v>394</v>
      </c>
      <c r="F1102" t="str">
        <f>"07-3N-26-0000-0011-0000"</f>
        <v>07-3N-26-0000-0011-0000</v>
      </c>
      <c r="H1102" t="str">
        <f>"JONES ROBERT JR &amp; JONES PAUL &amp; PETER &amp; HAROLD M C/O PETER JONES"</f>
        <v>JONES ROBERT JR &amp; JONES PAUL &amp; PETER &amp; HAROLD M C/O PETER JONES</v>
      </c>
      <c r="I1102" t="str">
        <f>""</f>
        <v/>
      </c>
      <c r="J1102" t="str">
        <f>"YULEE FL 32041"</f>
        <v>YULEE FL 32041</v>
      </c>
      <c r="K1102" t="str">
        <f>"67002 JACOBS RD"</f>
        <v>67002 JACOBS RD</v>
      </c>
      <c r="L1102" t="str">
        <f t="shared" si="358"/>
        <v>YULEE FL 32097</v>
      </c>
      <c r="M1102" t="str">
        <f>"PT GOVT LOTS 5 &amp; 6 PAR 11 IN OR 75/138 (EX PAR 11-4 &amp; 11-5) CASE NO 97-44-CP 1/4 HX INT"</f>
        <v>PT GOVT LOTS 5 &amp; 6 PAR 11 IN OR 75/138 (EX PAR 11-4 &amp; 11-5) CASE NO 97-44-CP 1/4 HX INT</v>
      </c>
      <c r="N1102" t="str">
        <f>""</f>
        <v/>
      </c>
      <c r="O1102" t="str">
        <f>"22576"</f>
        <v>22576</v>
      </c>
      <c r="P1102" t="str">
        <f t="shared" si="360"/>
        <v>2017</v>
      </c>
      <c r="Q1102" t="str">
        <f>""</f>
        <v/>
      </c>
      <c r="R1102" t="str">
        <f>"N"</f>
        <v>N</v>
      </c>
      <c r="S1102" t="str">
        <f>"3.00"</f>
        <v>3.00</v>
      </c>
      <c r="T1102" t="str">
        <f>"969.06"</f>
        <v>969.06</v>
      </c>
      <c r="U1102" t="str">
        <f>"64011.00"</f>
        <v>64011.00</v>
      </c>
      <c r="V1102" t="str">
        <f>"64011.00"</f>
        <v>64011.00</v>
      </c>
      <c r="W1102" t="str">
        <f t="shared" si="361"/>
        <v>2017</v>
      </c>
      <c r="X1102" t="str">
        <f>"8.00"</f>
        <v>8.00</v>
      </c>
      <c r="Y1102" t="str">
        <f>"1030.13"</f>
        <v>1030.13</v>
      </c>
      <c r="Z1102" t="str">
        <f>""</f>
        <v/>
      </c>
      <c r="AA1102" t="str">
        <f>"64011.00"</f>
        <v>64011.00</v>
      </c>
      <c r="AB1102" t="str">
        <f t="shared" si="362"/>
        <v>Residential</v>
      </c>
      <c r="AC1102" t="str">
        <f t="shared" si="345"/>
        <v>0</v>
      </c>
      <c r="AD1102" t="str">
        <f>"4"</f>
        <v>4</v>
      </c>
      <c r="AE1102" t="str">
        <f>"WOOD (INCLUDE STEEL STUDS)"</f>
        <v>WOOD (INCLUDE STEEL STUDS)</v>
      </c>
      <c r="AF1102" t="str">
        <f>"001"</f>
        <v>001</v>
      </c>
      <c r="AG1102" t="str">
        <f t="shared" si="363"/>
        <v>FL</v>
      </c>
      <c r="AH1102" t="str">
        <f>"130680.00"</f>
        <v>130680.00</v>
      </c>
      <c r="AI1102" t="str">
        <f>"25200.00"</f>
        <v>25200.00</v>
      </c>
      <c r="AJ1102" t="str">
        <f>"C55-000-586-6958-1"</f>
        <v>C55-000-586-6958-1</v>
      </c>
      <c r="AK1102" t="str">
        <f>"17827"</f>
        <v>17827</v>
      </c>
      <c r="AL1102">
        <v>4</v>
      </c>
      <c r="AM1102">
        <v>1265</v>
      </c>
      <c r="AN1102">
        <v>1080.04</v>
      </c>
      <c r="AQ1102" t="s">
        <v>11296</v>
      </c>
      <c r="AR1102" t="s">
        <v>11296</v>
      </c>
      <c r="AS1102" t="s">
        <v>11296</v>
      </c>
      <c r="AU1102" t="s">
        <v>396</v>
      </c>
      <c r="AV1102">
        <v>2017</v>
      </c>
      <c r="AW1102" t="str">
        <f>"07-3N-26-0000-0011-0000 "</f>
        <v xml:space="preserve">07-3N-26-0000-0011-0000 </v>
      </c>
      <c r="AX1102">
        <v>67002</v>
      </c>
      <c r="AZ1102" t="s">
        <v>11252</v>
      </c>
      <c r="BA1102" t="s">
        <v>496</v>
      </c>
      <c r="BD1102" t="s">
        <v>2387</v>
      </c>
      <c r="BE1102" t="s">
        <v>393</v>
      </c>
      <c r="BF1102">
        <v>32097</v>
      </c>
      <c r="BG1102" t="s">
        <v>11297</v>
      </c>
      <c r="BH1102" t="s">
        <v>2388</v>
      </c>
      <c r="BI1102">
        <v>-81.739339846309406</v>
      </c>
      <c r="BJ1102">
        <v>30.691261568995198</v>
      </c>
      <c r="BK1102" t="s">
        <v>11298</v>
      </c>
      <c r="BM1102" t="s">
        <v>11299</v>
      </c>
      <c r="BN1102" t="s">
        <v>1778</v>
      </c>
      <c r="BO1102">
        <v>32041</v>
      </c>
      <c r="BP1102" t="s">
        <v>404</v>
      </c>
      <c r="BQ1102">
        <v>100</v>
      </c>
      <c r="BR1102" t="s">
        <v>514</v>
      </c>
      <c r="BS1102">
        <v>1001</v>
      </c>
      <c r="BT1102" t="s">
        <v>515</v>
      </c>
      <c r="BW1102">
        <v>130680</v>
      </c>
      <c r="BX1102" t="s">
        <v>407</v>
      </c>
      <c r="BY1102" t="s">
        <v>408</v>
      </c>
      <c r="BZ1102">
        <v>4</v>
      </c>
      <c r="CA1102">
        <v>1969</v>
      </c>
      <c r="CB1102">
        <v>1</v>
      </c>
      <c r="CC1102">
        <v>1</v>
      </c>
      <c r="CD1102">
        <v>2017</v>
      </c>
      <c r="CE1102">
        <v>25200</v>
      </c>
      <c r="CF1102">
        <v>38811</v>
      </c>
      <c r="CG1102">
        <v>64011</v>
      </c>
      <c r="CH1102">
        <v>2017</v>
      </c>
      <c r="CI1102">
        <v>25200</v>
      </c>
      <c r="CJ1102">
        <v>38811</v>
      </c>
      <c r="CK1102">
        <v>64011</v>
      </c>
      <c r="CL1102">
        <v>2017</v>
      </c>
      <c r="CM1102">
        <v>969.06</v>
      </c>
      <c r="DD1102" t="s">
        <v>2387</v>
      </c>
      <c r="DG1102">
        <v>7</v>
      </c>
      <c r="DL1102">
        <v>50301</v>
      </c>
      <c r="DM1102" t="s">
        <v>11242</v>
      </c>
      <c r="DO1102" t="s">
        <v>11300</v>
      </c>
      <c r="DP1102">
        <v>0</v>
      </c>
      <c r="DQ1102">
        <v>0</v>
      </c>
      <c r="DR1102" t="s">
        <v>411</v>
      </c>
      <c r="DS1102" t="b">
        <v>1</v>
      </c>
      <c r="DT1102" t="s">
        <v>470</v>
      </c>
      <c r="DU1102" t="s">
        <v>471</v>
      </c>
      <c r="DV1102" t="s">
        <v>472</v>
      </c>
      <c r="DX1102">
        <v>-9999</v>
      </c>
      <c r="DZ1102" t="s">
        <v>447</v>
      </c>
      <c r="EA1102" t="s">
        <v>448</v>
      </c>
      <c r="EB1102" t="s">
        <v>742</v>
      </c>
      <c r="EC1102">
        <v>20101217</v>
      </c>
      <c r="ED1102" t="s">
        <v>474</v>
      </c>
      <c r="EF1102">
        <v>2112.3000000000002</v>
      </c>
      <c r="EG1102">
        <v>795.6</v>
      </c>
      <c r="EI1102">
        <v>20160407</v>
      </c>
      <c r="EJ1102">
        <v>0</v>
      </c>
      <c r="EK1102">
        <v>0</v>
      </c>
      <c r="EP1102" t="s">
        <v>421</v>
      </c>
      <c r="EQ1102" t="s">
        <v>422</v>
      </c>
      <c r="ER1102">
        <v>2</v>
      </c>
      <c r="ES1102">
        <v>5</v>
      </c>
      <c r="ET1102">
        <v>1578.08</v>
      </c>
      <c r="EU1102">
        <v>91.4</v>
      </c>
      <c r="EV1102">
        <v>1669.48</v>
      </c>
      <c r="EW1102" s="2">
        <v>43222</v>
      </c>
      <c r="EX1102" s="1">
        <v>42879</v>
      </c>
      <c r="EY1102">
        <v>2016</v>
      </c>
      <c r="EZ1102">
        <v>789.04</v>
      </c>
      <c r="FA1102" t="s">
        <v>11301</v>
      </c>
      <c r="FB1102">
        <v>0.25</v>
      </c>
      <c r="FC1102" t="s">
        <v>424</v>
      </c>
      <c r="FD1102" t="s">
        <v>454</v>
      </c>
      <c r="FF1102">
        <v>12</v>
      </c>
      <c r="FG1102">
        <v>11289</v>
      </c>
      <c r="FH1102" t="s">
        <v>787</v>
      </c>
      <c r="FJ1102" s="1">
        <v>42879</v>
      </c>
      <c r="FK1102">
        <v>2016</v>
      </c>
      <c r="FL1102">
        <v>789.04</v>
      </c>
      <c r="FM1102" t="s">
        <v>11301</v>
      </c>
      <c r="FN1102">
        <v>0.25</v>
      </c>
      <c r="FO1102" t="s">
        <v>424</v>
      </c>
      <c r="FP1102" t="s">
        <v>454</v>
      </c>
      <c r="FR1102">
        <v>12</v>
      </c>
      <c r="FS1102">
        <v>7274064</v>
      </c>
      <c r="FT1102" t="s">
        <v>11302</v>
      </c>
      <c r="FV1102" s="1">
        <v>42515</v>
      </c>
      <c r="FW1102">
        <v>2015</v>
      </c>
      <c r="FX1102">
        <v>805.62</v>
      </c>
      <c r="FY1102" t="s">
        <v>11303</v>
      </c>
      <c r="FZ1102">
        <v>0.25</v>
      </c>
      <c r="GA1102" t="s">
        <v>424</v>
      </c>
      <c r="GB1102" t="s">
        <v>425</v>
      </c>
      <c r="GC1102" s="1">
        <v>42860</v>
      </c>
      <c r="GD1102">
        <v>12</v>
      </c>
      <c r="GE1102">
        <v>5916895</v>
      </c>
      <c r="GF1102" t="s">
        <v>1390</v>
      </c>
      <c r="GH1102" s="1">
        <v>42515</v>
      </c>
      <c r="GI1102">
        <v>2015</v>
      </c>
      <c r="GJ1102">
        <v>805.62</v>
      </c>
      <c r="GK1102" t="s">
        <v>11303</v>
      </c>
      <c r="GL1102">
        <v>0.25</v>
      </c>
      <c r="GM1102" t="s">
        <v>424</v>
      </c>
      <c r="GN1102" t="s">
        <v>425</v>
      </c>
      <c r="GP1102">
        <v>22</v>
      </c>
      <c r="GQ1102">
        <v>5909522</v>
      </c>
      <c r="GR1102" t="s">
        <v>11304</v>
      </c>
      <c r="GT1102" s="1">
        <v>42151</v>
      </c>
      <c r="GU1102">
        <v>2014</v>
      </c>
      <c r="GV1102">
        <v>792.51</v>
      </c>
      <c r="GW1102" t="s">
        <v>11305</v>
      </c>
      <c r="GX1102">
        <v>0.25</v>
      </c>
      <c r="GY1102" t="s">
        <v>424</v>
      </c>
      <c r="GZ1102" t="s">
        <v>425</v>
      </c>
      <c r="HA1102" s="1">
        <v>42164</v>
      </c>
      <c r="HB1102">
        <v>1</v>
      </c>
      <c r="HC1102">
        <v>4975594</v>
      </c>
      <c r="HD1102" t="s">
        <v>457</v>
      </c>
      <c r="HF1102" s="1">
        <v>42151</v>
      </c>
      <c r="HG1102">
        <v>2014</v>
      </c>
      <c r="HH1102">
        <v>792.51</v>
      </c>
      <c r="HI1102" t="s">
        <v>11305</v>
      </c>
      <c r="HJ1102">
        <v>0.25</v>
      </c>
      <c r="HK1102" t="s">
        <v>424</v>
      </c>
      <c r="HL1102" t="s">
        <v>425</v>
      </c>
      <c r="HN1102">
        <v>22</v>
      </c>
      <c r="HO1102">
        <v>6560518</v>
      </c>
      <c r="HP1102" t="s">
        <v>11306</v>
      </c>
      <c r="HR1102" s="1">
        <v>41787</v>
      </c>
      <c r="HS1102">
        <v>2013</v>
      </c>
      <c r="HT1102">
        <v>717.21</v>
      </c>
      <c r="HU1102" t="s">
        <v>11307</v>
      </c>
      <c r="HV1102">
        <v>0.25</v>
      </c>
      <c r="HW1102" t="s">
        <v>424</v>
      </c>
      <c r="HX1102" t="s">
        <v>425</v>
      </c>
      <c r="HY1102" s="1">
        <v>42102</v>
      </c>
      <c r="HZ1102">
        <v>11</v>
      </c>
      <c r="IA1102">
        <v>2407503</v>
      </c>
      <c r="IB1102" t="s">
        <v>461</v>
      </c>
    </row>
    <row r="1103" spans="1:308" x14ac:dyDescent="0.25">
      <c r="A1103">
        <v>16486110</v>
      </c>
      <c r="B1103">
        <v>1102</v>
      </c>
      <c r="C1103" t="s">
        <v>393</v>
      </c>
      <c r="D1103" t="s">
        <v>394</v>
      </c>
      <c r="F1103" t="str">
        <f>"07-3N-26-0000-0011-0010"</f>
        <v>07-3N-26-0000-0011-0010</v>
      </c>
      <c r="H1103" t="str">
        <f>"JONES PETER &amp; FLORINE"</f>
        <v>JONES PETER &amp; FLORINE</v>
      </c>
      <c r="I1103" t="str">
        <f>"67014 JACOBS RD"</f>
        <v>67014 JACOBS RD</v>
      </c>
      <c r="J1103" t="str">
        <f>"YULEE FL 32097"</f>
        <v>YULEE FL 32097</v>
      </c>
      <c r="K1103" t="str">
        <f>"67014 JACOBS RD"</f>
        <v>67014 JACOBS RD</v>
      </c>
      <c r="L1103" t="str">
        <f t="shared" si="358"/>
        <v>YULEE FL 32097</v>
      </c>
      <c r="M1103" t="str">
        <f>"PT GOVT LOT 6 OF SEC 7-3N-26E IN OR 42/185"</f>
        <v>PT GOVT LOT 6 OF SEC 7-3N-26E IN OR 42/185</v>
      </c>
      <c r="N1103" t="str">
        <f>""</f>
        <v/>
      </c>
      <c r="O1103" t="str">
        <f>"22577"</f>
        <v>22577</v>
      </c>
      <c r="P1103" t="str">
        <f t="shared" si="360"/>
        <v>2017</v>
      </c>
      <c r="Q1103" t="str">
        <f>""</f>
        <v/>
      </c>
      <c r="R1103" t="str">
        <f>"N"</f>
        <v>N</v>
      </c>
      <c r="S1103" t="str">
        <f>"1.00"</f>
        <v>1.00</v>
      </c>
      <c r="T1103" t="str">
        <f>"470.25"</f>
        <v>470.25</v>
      </c>
      <c r="U1103" t="str">
        <f>"31063.00"</f>
        <v>31063.00</v>
      </c>
      <c r="V1103" t="str">
        <f>"31063.00"</f>
        <v>31063.00</v>
      </c>
      <c r="W1103" t="str">
        <f t="shared" si="361"/>
        <v>2017</v>
      </c>
      <c r="X1103" t="str">
        <f>""</f>
        <v/>
      </c>
      <c r="Y1103" t="str">
        <f>"516.36"</f>
        <v>516.36</v>
      </c>
      <c r="Z1103" t="str">
        <f>""</f>
        <v/>
      </c>
      <c r="AA1103" t="str">
        <f>"31063.00"</f>
        <v>31063.00</v>
      </c>
      <c r="AB1103" t="str">
        <f t="shared" si="362"/>
        <v>Residential</v>
      </c>
      <c r="AC1103" t="str">
        <f t="shared" si="345"/>
        <v>0</v>
      </c>
      <c r="AD1103" t="str">
        <f>"4"</f>
        <v>4</v>
      </c>
      <c r="AE1103" t="str">
        <f>"WOOD (INCLUDE STEEL STUDS)"</f>
        <v>WOOD (INCLUDE STEEL STUDS)</v>
      </c>
      <c r="AF1103" t="str">
        <f>"001"</f>
        <v>001</v>
      </c>
      <c r="AG1103" t="str">
        <f t="shared" si="363"/>
        <v>FL</v>
      </c>
      <c r="AH1103" t="str">
        <f>"43560.00"</f>
        <v>43560.00</v>
      </c>
      <c r="AI1103" t="str">
        <f>"15750.00"</f>
        <v>15750.00</v>
      </c>
      <c r="AJ1103" t="str">
        <f>"C55-000-586-6959-9"</f>
        <v>C55-000-586-6959-9</v>
      </c>
      <c r="AK1103" t="str">
        <f>"17828"</f>
        <v>17828</v>
      </c>
      <c r="AL1103">
        <v>4</v>
      </c>
      <c r="AM1103">
        <v>1266</v>
      </c>
      <c r="AN1103">
        <v>540.58000000000004</v>
      </c>
      <c r="AQ1103" t="s">
        <v>11308</v>
      </c>
      <c r="AR1103" t="s">
        <v>11308</v>
      </c>
      <c r="AS1103" t="s">
        <v>11308</v>
      </c>
      <c r="AU1103" t="s">
        <v>396</v>
      </c>
      <c r="AV1103">
        <v>2017</v>
      </c>
      <c r="AW1103" t="str">
        <f>"07-3N-26-0000-0011-0010 "</f>
        <v xml:space="preserve">07-3N-26-0000-0011-0010 </v>
      </c>
      <c r="AX1103">
        <v>67014</v>
      </c>
      <c r="AZ1103" t="s">
        <v>11252</v>
      </c>
      <c r="BA1103" t="s">
        <v>496</v>
      </c>
      <c r="BD1103" t="s">
        <v>2387</v>
      </c>
      <c r="BE1103" t="s">
        <v>393</v>
      </c>
      <c r="BF1103">
        <v>32097</v>
      </c>
      <c r="BG1103" t="s">
        <v>11309</v>
      </c>
      <c r="BH1103" t="s">
        <v>2388</v>
      </c>
      <c r="BI1103">
        <v>-81.738189789442401</v>
      </c>
      <c r="BJ1103">
        <v>30.6914178245252</v>
      </c>
      <c r="BK1103" t="s">
        <v>11310</v>
      </c>
      <c r="BL1103" t="s">
        <v>11311</v>
      </c>
      <c r="BM1103" t="s">
        <v>11299</v>
      </c>
      <c r="BN1103" t="s">
        <v>1778</v>
      </c>
      <c r="BO1103">
        <v>32041</v>
      </c>
      <c r="BP1103" t="s">
        <v>404</v>
      </c>
      <c r="BQ1103">
        <v>100</v>
      </c>
      <c r="BR1103" t="s">
        <v>514</v>
      </c>
      <c r="BS1103">
        <v>1001</v>
      </c>
      <c r="BT1103" t="s">
        <v>515</v>
      </c>
      <c r="BW1103">
        <v>43560</v>
      </c>
      <c r="BX1103" t="s">
        <v>407</v>
      </c>
      <c r="BY1103" t="s">
        <v>408</v>
      </c>
      <c r="BZ1103">
        <v>4</v>
      </c>
      <c r="CA1103">
        <v>1963</v>
      </c>
      <c r="CB1103">
        <v>1</v>
      </c>
      <c r="CC1103">
        <v>1</v>
      </c>
      <c r="CD1103">
        <v>2017</v>
      </c>
      <c r="CE1103">
        <v>15750</v>
      </c>
      <c r="CF1103">
        <v>15313</v>
      </c>
      <c r="CG1103">
        <v>31063</v>
      </c>
      <c r="CH1103">
        <v>2017</v>
      </c>
      <c r="CI1103">
        <v>15750</v>
      </c>
      <c r="CJ1103">
        <v>15313</v>
      </c>
      <c r="CK1103">
        <v>31063</v>
      </c>
      <c r="CL1103">
        <v>2017</v>
      </c>
      <c r="CM1103">
        <v>470.25</v>
      </c>
      <c r="DD1103" t="s">
        <v>2387</v>
      </c>
      <c r="DF1103">
        <v>6</v>
      </c>
      <c r="DG1103">
        <v>7</v>
      </c>
      <c r="DL1103">
        <v>50301</v>
      </c>
      <c r="DM1103" t="s">
        <v>11242</v>
      </c>
      <c r="DO1103" t="s">
        <v>11312</v>
      </c>
      <c r="DP1103">
        <v>0</v>
      </c>
      <c r="DQ1103">
        <v>0</v>
      </c>
      <c r="DR1103" t="s">
        <v>411</v>
      </c>
    </row>
    <row r="1104" spans="1:308" x14ac:dyDescent="0.25">
      <c r="A1104">
        <v>16486111</v>
      </c>
      <c r="B1104">
        <v>1103</v>
      </c>
      <c r="C1104" t="s">
        <v>393</v>
      </c>
      <c r="D1104" t="s">
        <v>394</v>
      </c>
      <c r="F1104" t="str">
        <f>"08-3N-26-0000-0001-0020"</f>
        <v>08-3N-26-0000-0001-0020</v>
      </c>
      <c r="H1104" t="str">
        <f>"TEMPLES TIMOTHY SR"</f>
        <v>TEMPLES TIMOTHY SR</v>
      </c>
      <c r="I1104" t="str">
        <f>"153359 COUNTY ROAD 108"</f>
        <v>153359 COUNTY ROAD 108</v>
      </c>
      <c r="J1104" t="str">
        <f>"YULEE FL 32097"</f>
        <v>YULEE FL 32097</v>
      </c>
      <c r="K1104" t="str">
        <f>"153359 CR 108"</f>
        <v>153359 CR 108</v>
      </c>
      <c r="L1104" t="str">
        <f t="shared" si="358"/>
        <v>YULEE FL 32097</v>
      </c>
      <c r="M1104" t="str">
        <f>"PT OF NE1/4 OF SEC 8-3N-26E IN OR 904/1483 (EX ESMT IN OR 843/1507) {R224043 &amp; R224044}"</f>
        <v>PT OF NE1/4 OF SEC 8-3N-26E IN OR 904/1483 (EX ESMT IN OR 843/1507) {R224043 &amp; R224044}</v>
      </c>
      <c r="N1104" t="str">
        <f>""</f>
        <v/>
      </c>
      <c r="O1104" t="str">
        <f>"24324"</f>
        <v>24324</v>
      </c>
      <c r="P1104" t="str">
        <f t="shared" si="360"/>
        <v>2017</v>
      </c>
      <c r="Q1104" t="str">
        <f>""</f>
        <v/>
      </c>
      <c r="R1104" t="str">
        <f>"Y"</f>
        <v>Y</v>
      </c>
      <c r="S1104" t="str">
        <f>"4.00"</f>
        <v>4.00</v>
      </c>
      <c r="T1104" t="str">
        <f>"396.02"</f>
        <v>396.02</v>
      </c>
      <c r="U1104" t="str">
        <f>"51987.00"</f>
        <v>51987.00</v>
      </c>
      <c r="V1104" t="str">
        <f>"51987.00"</f>
        <v>51987.00</v>
      </c>
      <c r="W1104" t="str">
        <f t="shared" si="361"/>
        <v>2017</v>
      </c>
      <c r="X1104" t="str">
        <f>"22.60"</f>
        <v>22.60</v>
      </c>
      <c r="Y1104" t="str">
        <f>"439.90"</f>
        <v>439.90</v>
      </c>
      <c r="Z1104" t="str">
        <f>"25000.00"</f>
        <v>25000.00</v>
      </c>
      <c r="AA1104" t="str">
        <f>"26987.00"</f>
        <v>26987.00</v>
      </c>
      <c r="AB1104" t="str">
        <f t="shared" si="362"/>
        <v>Residential</v>
      </c>
      <c r="AC1104" t="str">
        <f t="shared" si="345"/>
        <v>0</v>
      </c>
      <c r="AD1104" t="str">
        <f>"4"</f>
        <v>4</v>
      </c>
      <c r="AE1104" t="str">
        <f>"WOOD (INCLUDE STEEL STUDS)"</f>
        <v>WOOD (INCLUDE STEEL STUDS)</v>
      </c>
      <c r="AF1104" t="str">
        <f>"002"</f>
        <v>002</v>
      </c>
      <c r="AG1104" t="str">
        <f t="shared" si="363"/>
        <v>FL</v>
      </c>
      <c r="AH1104" t="str">
        <f>"174240.00"</f>
        <v>174240.00</v>
      </c>
      <c r="AI1104" t="str">
        <f>"33600.00"</f>
        <v>33600.00</v>
      </c>
      <c r="AJ1104" t="str">
        <f>"C55-000-586-8208-9"</f>
        <v>C55-000-586-8208-9</v>
      </c>
      <c r="AK1104" t="str">
        <f>"17837"</f>
        <v>17837</v>
      </c>
      <c r="AL1104">
        <v>4</v>
      </c>
      <c r="AM1104">
        <v>1267</v>
      </c>
      <c r="AN1104">
        <v>460.3</v>
      </c>
      <c r="AQ1104" t="s">
        <v>11313</v>
      </c>
      <c r="AR1104" t="s">
        <v>11313</v>
      </c>
      <c r="AS1104" t="s">
        <v>11313</v>
      </c>
      <c r="AU1104" t="s">
        <v>396</v>
      </c>
      <c r="AV1104">
        <v>2017</v>
      </c>
      <c r="AW1104" t="str">
        <f>"08-3N-26-0000-0001-0020 "</f>
        <v xml:space="preserve">08-3N-26-0000-0001-0020 </v>
      </c>
      <c r="AX1104">
        <v>153359</v>
      </c>
      <c r="AZ1104" t="s">
        <v>1206</v>
      </c>
      <c r="BD1104" t="s">
        <v>2387</v>
      </c>
      <c r="BE1104" t="s">
        <v>393</v>
      </c>
      <c r="BF1104">
        <v>32097</v>
      </c>
      <c r="BG1104" t="s">
        <v>11314</v>
      </c>
      <c r="BH1104" t="s">
        <v>2388</v>
      </c>
      <c r="BI1104">
        <v>-81.723770419112995</v>
      </c>
      <c r="BJ1104">
        <v>30.696943205858101</v>
      </c>
      <c r="BK1104" t="s">
        <v>11315</v>
      </c>
      <c r="BM1104" t="s">
        <v>11316</v>
      </c>
      <c r="BN1104" t="s">
        <v>1778</v>
      </c>
      <c r="BO1104">
        <v>32097</v>
      </c>
      <c r="BP1104" t="s">
        <v>416</v>
      </c>
      <c r="BQ1104">
        <v>200</v>
      </c>
      <c r="BR1104" t="s">
        <v>405</v>
      </c>
      <c r="BS1104">
        <v>1006</v>
      </c>
      <c r="BT1104" t="s">
        <v>406</v>
      </c>
      <c r="BW1104">
        <v>174240</v>
      </c>
      <c r="BX1104" t="s">
        <v>407</v>
      </c>
      <c r="BY1104" t="s">
        <v>408</v>
      </c>
      <c r="BZ1104">
        <v>4</v>
      </c>
      <c r="CA1104">
        <v>1985</v>
      </c>
      <c r="CB1104">
        <v>1</v>
      </c>
      <c r="CC1104">
        <v>1</v>
      </c>
      <c r="CD1104">
        <v>2017</v>
      </c>
      <c r="CG1104">
        <v>51987</v>
      </c>
      <c r="CH1104">
        <v>2017</v>
      </c>
      <c r="CI1104">
        <v>33600</v>
      </c>
      <c r="CJ1104">
        <v>29886</v>
      </c>
      <c r="CK1104">
        <v>63486</v>
      </c>
      <c r="CL1104">
        <v>2017</v>
      </c>
      <c r="CM1104">
        <v>396.02</v>
      </c>
      <c r="CN1104" s="1">
        <v>36455</v>
      </c>
      <c r="CO1104">
        <v>73000</v>
      </c>
      <c r="CZ1104" s="1">
        <v>36455</v>
      </c>
      <c r="DD1104" t="s">
        <v>2387</v>
      </c>
      <c r="DG1104">
        <v>8</v>
      </c>
      <c r="DL1104">
        <v>50301</v>
      </c>
      <c r="DM1104" t="s">
        <v>11317</v>
      </c>
      <c r="DO1104" t="s">
        <v>11318</v>
      </c>
      <c r="DP1104">
        <v>0</v>
      </c>
      <c r="DQ1104">
        <v>0</v>
      </c>
      <c r="DR1104" t="s">
        <v>411</v>
      </c>
      <c r="DS1104" t="b">
        <v>1</v>
      </c>
      <c r="DT1104" t="s">
        <v>470</v>
      </c>
      <c r="DU1104" t="s">
        <v>471</v>
      </c>
      <c r="DV1104" t="s">
        <v>472</v>
      </c>
      <c r="DX1104">
        <v>-9999</v>
      </c>
      <c r="DZ1104" t="s">
        <v>447</v>
      </c>
      <c r="EA1104" t="s">
        <v>448</v>
      </c>
      <c r="EB1104" t="s">
        <v>742</v>
      </c>
      <c r="EC1104">
        <v>20101217</v>
      </c>
      <c r="ED1104" t="s">
        <v>474</v>
      </c>
      <c r="EF1104">
        <v>3385.5</v>
      </c>
      <c r="EG1104">
        <v>3385.5</v>
      </c>
      <c r="EI1104">
        <v>20160407</v>
      </c>
      <c r="EJ1104">
        <v>0</v>
      </c>
      <c r="EK1104">
        <v>0</v>
      </c>
      <c r="EP1104" t="s">
        <v>421</v>
      </c>
      <c r="EQ1104" t="s">
        <v>422</v>
      </c>
      <c r="ER1104">
        <v>2</v>
      </c>
      <c r="ES1104">
        <v>11</v>
      </c>
      <c r="ET1104">
        <v>906.56</v>
      </c>
      <c r="EU1104">
        <v>57.83</v>
      </c>
      <c r="EV1104">
        <v>964.39</v>
      </c>
      <c r="EW1104" s="2">
        <v>43222</v>
      </c>
      <c r="EX1104" s="1">
        <v>42879</v>
      </c>
      <c r="EY1104">
        <v>2016</v>
      </c>
      <c r="EZ1104">
        <v>453.28</v>
      </c>
      <c r="FA1104" t="s">
        <v>11319</v>
      </c>
      <c r="FB1104">
        <v>0.25</v>
      </c>
      <c r="FC1104" t="s">
        <v>424</v>
      </c>
      <c r="FD1104" t="s">
        <v>454</v>
      </c>
      <c r="FF1104">
        <v>12</v>
      </c>
      <c r="FG1104">
        <v>2851116</v>
      </c>
      <c r="FH1104" t="s">
        <v>480</v>
      </c>
      <c r="FJ1104" s="1">
        <v>42879</v>
      </c>
      <c r="FK1104">
        <v>2016</v>
      </c>
      <c r="FL1104">
        <v>453.28</v>
      </c>
      <c r="FM1104" t="s">
        <v>11319</v>
      </c>
      <c r="FN1104">
        <v>0.25</v>
      </c>
      <c r="FO1104" t="s">
        <v>424</v>
      </c>
      <c r="FP1104" t="s">
        <v>454</v>
      </c>
      <c r="FR1104">
        <v>12</v>
      </c>
      <c r="FS1104">
        <v>5077753</v>
      </c>
      <c r="FT1104" t="s">
        <v>11320</v>
      </c>
      <c r="FV1104" s="1">
        <v>42515</v>
      </c>
      <c r="FW1104">
        <v>2015</v>
      </c>
      <c r="FX1104">
        <v>456.01</v>
      </c>
      <c r="FY1104" t="s">
        <v>11321</v>
      </c>
      <c r="FZ1104">
        <v>18</v>
      </c>
      <c r="GA1104" t="s">
        <v>424</v>
      </c>
      <c r="GB1104" t="s">
        <v>425</v>
      </c>
      <c r="GC1104" s="1">
        <v>43147</v>
      </c>
      <c r="GD1104">
        <v>21</v>
      </c>
      <c r="GE1104">
        <v>10125</v>
      </c>
      <c r="GF1104" t="s">
        <v>440</v>
      </c>
      <c r="GH1104" s="1">
        <v>42151</v>
      </c>
      <c r="GI1104">
        <v>2014</v>
      </c>
      <c r="GJ1104">
        <v>451.96</v>
      </c>
      <c r="GK1104" t="s">
        <v>11322</v>
      </c>
      <c r="GL1104">
        <v>2.25</v>
      </c>
      <c r="GM1104" t="s">
        <v>424</v>
      </c>
      <c r="GN1104" t="s">
        <v>425</v>
      </c>
      <c r="GP1104">
        <v>22</v>
      </c>
      <c r="GQ1104">
        <v>4844942</v>
      </c>
      <c r="GR1104" t="s">
        <v>2472</v>
      </c>
      <c r="GT1104" s="1">
        <v>42151</v>
      </c>
      <c r="GU1104">
        <v>2014</v>
      </c>
      <c r="GV1104">
        <v>451.96</v>
      </c>
      <c r="GW1104" t="s">
        <v>11322</v>
      </c>
      <c r="GX1104">
        <v>2.25</v>
      </c>
      <c r="GY1104" t="s">
        <v>424</v>
      </c>
      <c r="GZ1104" t="s">
        <v>425</v>
      </c>
      <c r="HA1104" s="1">
        <v>42794</v>
      </c>
      <c r="HB1104">
        <v>21</v>
      </c>
      <c r="HC1104">
        <v>7045032</v>
      </c>
      <c r="HD1104" t="s">
        <v>2473</v>
      </c>
      <c r="HF1104" s="1">
        <v>41787</v>
      </c>
      <c r="HG1104">
        <v>2013</v>
      </c>
      <c r="HH1104">
        <v>535.41</v>
      </c>
      <c r="HI1104" t="s">
        <v>11323</v>
      </c>
      <c r="HJ1104">
        <v>6</v>
      </c>
      <c r="HK1104" t="s">
        <v>424</v>
      </c>
      <c r="HL1104" t="s">
        <v>425</v>
      </c>
      <c r="HM1104" s="1">
        <v>42692</v>
      </c>
      <c r="HN1104">
        <v>30</v>
      </c>
      <c r="HO1104">
        <v>2035919</v>
      </c>
      <c r="HP1104" t="s">
        <v>507</v>
      </c>
      <c r="HR1104" s="1">
        <v>41423</v>
      </c>
      <c r="HS1104">
        <v>2012</v>
      </c>
      <c r="HT1104">
        <v>626.39</v>
      </c>
      <c r="HU1104" t="s">
        <v>11324</v>
      </c>
      <c r="HV1104">
        <v>0.25</v>
      </c>
      <c r="HW1104" t="s">
        <v>424</v>
      </c>
      <c r="HX1104" t="s">
        <v>425</v>
      </c>
      <c r="HZ1104">
        <v>22</v>
      </c>
      <c r="IA1104">
        <v>15399</v>
      </c>
      <c r="IB1104" t="s">
        <v>485</v>
      </c>
      <c r="ID1104" s="1">
        <v>41423</v>
      </c>
      <c r="IE1104">
        <v>2012</v>
      </c>
      <c r="IF1104">
        <v>626.39</v>
      </c>
      <c r="IG1104" t="s">
        <v>11324</v>
      </c>
      <c r="IH1104">
        <v>0.25</v>
      </c>
      <c r="II1104" t="s">
        <v>424</v>
      </c>
      <c r="IJ1104" t="s">
        <v>425</v>
      </c>
      <c r="IL1104">
        <v>22</v>
      </c>
      <c r="IM1104">
        <v>13027</v>
      </c>
      <c r="IN1104" t="s">
        <v>826</v>
      </c>
      <c r="IP1104" s="1">
        <v>41423</v>
      </c>
      <c r="IQ1104">
        <v>2012</v>
      </c>
      <c r="IR1104">
        <v>626.39</v>
      </c>
      <c r="IS1104" t="s">
        <v>11324</v>
      </c>
      <c r="IT1104">
        <v>0.25</v>
      </c>
      <c r="IU1104" t="s">
        <v>424</v>
      </c>
      <c r="IV1104" t="s">
        <v>425</v>
      </c>
      <c r="IX1104">
        <v>22</v>
      </c>
      <c r="IY1104">
        <v>7336692</v>
      </c>
      <c r="IZ1104" t="s">
        <v>822</v>
      </c>
      <c r="JB1104" s="1">
        <v>41423</v>
      </c>
      <c r="JC1104">
        <v>2012</v>
      </c>
      <c r="JD1104">
        <v>626.39</v>
      </c>
      <c r="JE1104" t="s">
        <v>11324</v>
      </c>
      <c r="JF1104">
        <v>0.25</v>
      </c>
      <c r="JG1104" t="s">
        <v>424</v>
      </c>
      <c r="JH1104" t="s">
        <v>425</v>
      </c>
      <c r="JI1104" s="1">
        <v>42692</v>
      </c>
      <c r="JJ1104">
        <v>42</v>
      </c>
      <c r="JK1104">
        <v>7336698</v>
      </c>
      <c r="JL1104" t="s">
        <v>823</v>
      </c>
      <c r="JN1104" s="1">
        <v>41052</v>
      </c>
      <c r="JO1104">
        <v>2011</v>
      </c>
      <c r="JP1104">
        <v>614.33000000000004</v>
      </c>
      <c r="JQ1104" t="s">
        <v>11325</v>
      </c>
      <c r="JR1104">
        <v>6</v>
      </c>
      <c r="JS1104" t="s">
        <v>424</v>
      </c>
      <c r="JT1104" t="s">
        <v>425</v>
      </c>
      <c r="JU1104" s="1">
        <v>42692</v>
      </c>
      <c r="JV1104">
        <v>54</v>
      </c>
      <c r="JW1104">
        <v>116</v>
      </c>
      <c r="JX1104" t="s">
        <v>509</v>
      </c>
      <c r="JZ1104" s="1">
        <v>40688</v>
      </c>
      <c r="KA1104">
        <v>2010</v>
      </c>
      <c r="KB1104">
        <v>606.82000000000005</v>
      </c>
      <c r="KC1104" t="s">
        <v>11326</v>
      </c>
      <c r="KD1104">
        <v>6.75</v>
      </c>
      <c r="KE1104" t="s">
        <v>424</v>
      </c>
      <c r="KF1104" t="s">
        <v>425</v>
      </c>
      <c r="KG1104" s="1">
        <v>41698</v>
      </c>
      <c r="KH1104">
        <v>33</v>
      </c>
      <c r="KI1104">
        <v>375</v>
      </c>
      <c r="KJ1104" t="s">
        <v>776</v>
      </c>
      <c r="KL1104" s="1">
        <v>40688</v>
      </c>
      <c r="KM1104">
        <v>2010</v>
      </c>
      <c r="KN1104">
        <v>606.82000000000005</v>
      </c>
      <c r="KO1104" t="s">
        <v>11326</v>
      </c>
      <c r="KP1104">
        <v>6.75</v>
      </c>
      <c r="KQ1104" t="s">
        <v>424</v>
      </c>
      <c r="KR1104" t="s">
        <v>425</v>
      </c>
      <c r="KT1104">
        <v>22</v>
      </c>
      <c r="KU1104">
        <v>105</v>
      </c>
      <c r="KV1104" t="s">
        <v>946</v>
      </c>
    </row>
    <row r="1105" spans="1:284" x14ac:dyDescent="0.25">
      <c r="A1105">
        <v>16486112</v>
      </c>
      <c r="B1105">
        <v>1104</v>
      </c>
      <c r="C1105" t="s">
        <v>393</v>
      </c>
      <c r="D1105" t="s">
        <v>394</v>
      </c>
      <c r="F1105" t="str">
        <f>"08-3N-26-0000-0001-0050"</f>
        <v>08-3N-26-0000-0001-0050</v>
      </c>
      <c r="H1105" t="str">
        <f>"TEMPLES TIMOTHY SCOTT SR"</f>
        <v>TEMPLES TIMOTHY SCOTT SR</v>
      </c>
      <c r="I1105" t="str">
        <f>"153359 COUNTY ROAD 108"</f>
        <v>153359 COUNTY ROAD 108</v>
      </c>
      <c r="J1105" t="str">
        <f>"YULEE FL 32097"</f>
        <v>YULEE FL 32097</v>
      </c>
      <c r="K1105" t="str">
        <f>"2197 CR 108"</f>
        <v>2197 CR 108</v>
      </c>
      <c r="L1105" t="str">
        <f t="shared" si="358"/>
        <v>YULEE FL 32097</v>
      </c>
      <c r="M1105" t="str">
        <f>"PT OF NE1/4 OF SEC 8-3N-26E IN OR 843/1504 &amp; ESMT IN OR 843/1507"</f>
        <v>PT OF NE1/4 OF SEC 8-3N-26E IN OR 843/1504 &amp; ESMT IN OR 843/1507</v>
      </c>
      <c r="N1105" t="str">
        <f>""</f>
        <v/>
      </c>
      <c r="O1105" t="str">
        <f>"24327"</f>
        <v>24327</v>
      </c>
      <c r="P1105" t="str">
        <f t="shared" si="360"/>
        <v>2017</v>
      </c>
      <c r="Q1105" t="str">
        <f>""</f>
        <v/>
      </c>
      <c r="R1105" t="str">
        <f>"N"</f>
        <v>N</v>
      </c>
      <c r="S1105" t="str">
        <f>"1.86"</f>
        <v>1.86</v>
      </c>
      <c r="T1105" t="str">
        <f>"461.81"</f>
        <v>461.81</v>
      </c>
      <c r="U1105" t="str">
        <f>"26386.00"</f>
        <v>26386.00</v>
      </c>
      <c r="V1105" t="str">
        <f>"26386.00"</f>
        <v>26386.00</v>
      </c>
      <c r="W1105" t="str">
        <f t="shared" si="361"/>
        <v>2017</v>
      </c>
      <c r="X1105" t="str">
        <f>"10.44"</f>
        <v>10.44</v>
      </c>
      <c r="Y1105" t="str">
        <f>"507.66"</f>
        <v>507.66</v>
      </c>
      <c r="Z1105" t="str">
        <f>""</f>
        <v/>
      </c>
      <c r="AA1105" t="str">
        <f>"35836.00"</f>
        <v>35836.00</v>
      </c>
      <c r="AB1105" t="str">
        <f t="shared" si="362"/>
        <v>Residential</v>
      </c>
      <c r="AC1105" t="str">
        <f t="shared" si="345"/>
        <v>0</v>
      </c>
      <c r="AD1105" t="str">
        <f>""</f>
        <v/>
      </c>
      <c r="AE1105" t="str">
        <f>""</f>
        <v/>
      </c>
      <c r="AF1105" t="str">
        <f>"000"</f>
        <v>000</v>
      </c>
      <c r="AG1105" t="str">
        <f t="shared" si="363"/>
        <v>FL</v>
      </c>
      <c r="AH1105" t="str">
        <f>"81021.00"</f>
        <v>81021.00</v>
      </c>
      <c r="AI1105" t="str">
        <f>"29295.00"</f>
        <v>29295.00</v>
      </c>
      <c r="AJ1105" t="str">
        <f>"C55-000-586-8211-3"</f>
        <v>C55-000-586-8211-3</v>
      </c>
      <c r="AK1105" t="str">
        <f>"17840"</f>
        <v>17840</v>
      </c>
      <c r="AL1105">
        <v>4</v>
      </c>
      <c r="AM1105">
        <v>1268</v>
      </c>
      <c r="AN1105">
        <v>531.44000000000005</v>
      </c>
      <c r="AQ1105" t="s">
        <v>11327</v>
      </c>
      <c r="AR1105" t="s">
        <v>11327</v>
      </c>
      <c r="AS1105" t="s">
        <v>11327</v>
      </c>
      <c r="AU1105" t="s">
        <v>396</v>
      </c>
      <c r="AV1105">
        <v>2017</v>
      </c>
      <c r="AW1105" t="str">
        <f>"08-3N-26-0000-0001-0050 "</f>
        <v xml:space="preserve">08-3N-26-0000-0001-0050 </v>
      </c>
      <c r="AX1105">
        <v>2197</v>
      </c>
      <c r="AZ1105" t="s">
        <v>1206</v>
      </c>
      <c r="BD1105" t="s">
        <v>2387</v>
      </c>
      <c r="BE1105" t="s">
        <v>393</v>
      </c>
      <c r="BF1105">
        <v>32097</v>
      </c>
      <c r="BG1105" t="s">
        <v>11328</v>
      </c>
      <c r="BH1105" t="s">
        <v>2388</v>
      </c>
      <c r="BI1105">
        <v>-81.724027757155696</v>
      </c>
      <c r="BJ1105">
        <v>30.697936820121001</v>
      </c>
      <c r="BK1105" t="s">
        <v>11329</v>
      </c>
      <c r="BM1105" t="s">
        <v>11316</v>
      </c>
      <c r="BN1105" t="s">
        <v>1778</v>
      </c>
      <c r="BO1105">
        <v>32097</v>
      </c>
      <c r="BP1105" t="s">
        <v>404</v>
      </c>
      <c r="BQ1105">
        <v>1</v>
      </c>
      <c r="BR1105" t="s">
        <v>491</v>
      </c>
      <c r="BS1105">
        <v>8001</v>
      </c>
      <c r="BT1105" t="s">
        <v>492</v>
      </c>
      <c r="BW1105">
        <v>81021</v>
      </c>
      <c r="BX1105" t="s">
        <v>407</v>
      </c>
      <c r="BY1105" t="s">
        <v>408</v>
      </c>
      <c r="CD1105">
        <v>2017</v>
      </c>
      <c r="CE1105">
        <v>29295</v>
      </c>
      <c r="CF1105">
        <v>6541</v>
      </c>
      <c r="CG1105">
        <v>35836</v>
      </c>
      <c r="CH1105">
        <v>2017</v>
      </c>
      <c r="CI1105">
        <v>29295</v>
      </c>
      <c r="CJ1105">
        <v>6541</v>
      </c>
      <c r="CK1105">
        <v>35836</v>
      </c>
      <c r="CL1105">
        <v>2017</v>
      </c>
      <c r="CM1105">
        <v>461.81</v>
      </c>
      <c r="CN1105" s="1">
        <v>36012</v>
      </c>
      <c r="CO1105">
        <v>12000</v>
      </c>
      <c r="CZ1105" s="1">
        <v>36012</v>
      </c>
      <c r="DD1105" t="s">
        <v>2387</v>
      </c>
      <c r="DG1105">
        <v>8</v>
      </c>
      <c r="DL1105">
        <v>50301</v>
      </c>
      <c r="DM1105" t="s">
        <v>11317</v>
      </c>
      <c r="DO1105" t="s">
        <v>11330</v>
      </c>
      <c r="DP1105">
        <v>0</v>
      </c>
      <c r="DQ1105">
        <v>0</v>
      </c>
      <c r="DR1105" t="s">
        <v>411</v>
      </c>
      <c r="DS1105" t="b">
        <v>1</v>
      </c>
      <c r="DT1105" t="s">
        <v>470</v>
      </c>
      <c r="DU1105" t="s">
        <v>471</v>
      </c>
      <c r="DV1105" t="s">
        <v>472</v>
      </c>
      <c r="DX1105">
        <v>-9999</v>
      </c>
      <c r="DZ1105" t="s">
        <v>447</v>
      </c>
      <c r="EA1105" t="s">
        <v>448</v>
      </c>
      <c r="EB1105" t="s">
        <v>742</v>
      </c>
      <c r="EC1105">
        <v>20101217</v>
      </c>
      <c r="ED1105" t="s">
        <v>474</v>
      </c>
      <c r="EF1105">
        <v>3639.3</v>
      </c>
      <c r="EG1105">
        <v>3639.3</v>
      </c>
      <c r="EI1105">
        <v>20160407</v>
      </c>
      <c r="EJ1105">
        <v>0</v>
      </c>
      <c r="EK1105">
        <v>0</v>
      </c>
      <c r="EP1105" t="s">
        <v>421</v>
      </c>
      <c r="EQ1105" t="s">
        <v>422</v>
      </c>
      <c r="ER1105">
        <v>1</v>
      </c>
      <c r="ES1105">
        <v>7</v>
      </c>
      <c r="ET1105">
        <v>425.22</v>
      </c>
      <c r="EU1105">
        <v>33.89</v>
      </c>
      <c r="EV1105">
        <v>459.11</v>
      </c>
      <c r="EW1105" s="2">
        <v>43222</v>
      </c>
      <c r="EX1105" s="1">
        <v>42879</v>
      </c>
      <c r="EY1105">
        <v>2016</v>
      </c>
      <c r="EZ1105">
        <v>425.22</v>
      </c>
      <c r="FA1105" t="s">
        <v>11331</v>
      </c>
      <c r="FB1105">
        <v>6.5</v>
      </c>
      <c r="FC1105" t="s">
        <v>424</v>
      </c>
      <c r="FD1105" t="s">
        <v>454</v>
      </c>
      <c r="FF1105">
        <v>12</v>
      </c>
      <c r="FG1105">
        <v>10125</v>
      </c>
      <c r="FH1105" t="s">
        <v>440</v>
      </c>
      <c r="FJ1105" s="1">
        <v>42515</v>
      </c>
      <c r="FK1105">
        <v>2015</v>
      </c>
      <c r="FL1105">
        <v>432.57</v>
      </c>
      <c r="FM1105" t="s">
        <v>11332</v>
      </c>
      <c r="FN1105">
        <v>6</v>
      </c>
      <c r="FO1105" t="s">
        <v>424</v>
      </c>
      <c r="FP1105" t="s">
        <v>425</v>
      </c>
      <c r="FQ1105" s="1">
        <v>43147</v>
      </c>
      <c r="FR1105">
        <v>21</v>
      </c>
      <c r="FS1105">
        <v>10125</v>
      </c>
      <c r="FT1105" t="s">
        <v>440</v>
      </c>
      <c r="FV1105" s="1">
        <v>42151</v>
      </c>
      <c r="FW1105">
        <v>2014</v>
      </c>
      <c r="FX1105">
        <v>437.34</v>
      </c>
      <c r="FY1105" t="s">
        <v>11333</v>
      </c>
      <c r="FZ1105">
        <v>0.25</v>
      </c>
      <c r="GA1105" t="s">
        <v>424</v>
      </c>
      <c r="GB1105" t="s">
        <v>425</v>
      </c>
      <c r="GD1105">
        <v>22</v>
      </c>
      <c r="GE1105">
        <v>13026</v>
      </c>
      <c r="GF1105" t="s">
        <v>2129</v>
      </c>
      <c r="GH1105" s="1">
        <v>42151</v>
      </c>
      <c r="GI1105">
        <v>2014</v>
      </c>
      <c r="GJ1105">
        <v>437.34</v>
      </c>
      <c r="GK1105" t="s">
        <v>11333</v>
      </c>
      <c r="GL1105">
        <v>0.25</v>
      </c>
      <c r="GM1105" t="s">
        <v>424</v>
      </c>
      <c r="GN1105" t="s">
        <v>425</v>
      </c>
      <c r="GP1105">
        <v>22</v>
      </c>
      <c r="GQ1105">
        <v>4699185</v>
      </c>
      <c r="GR1105" t="s">
        <v>11334</v>
      </c>
      <c r="GT1105" s="1">
        <v>42151</v>
      </c>
      <c r="GU1105">
        <v>2014</v>
      </c>
      <c r="GV1105">
        <v>437.34</v>
      </c>
      <c r="GW1105" t="s">
        <v>11333</v>
      </c>
      <c r="GX1105">
        <v>0.25</v>
      </c>
      <c r="GY1105" t="s">
        <v>424</v>
      </c>
      <c r="GZ1105" t="s">
        <v>425</v>
      </c>
      <c r="HA1105" s="1">
        <v>42794</v>
      </c>
      <c r="HB1105">
        <v>21</v>
      </c>
      <c r="HC1105">
        <v>1126</v>
      </c>
      <c r="HD1105" t="s">
        <v>4405</v>
      </c>
      <c r="HF1105" s="1">
        <v>41787</v>
      </c>
      <c r="HG1105">
        <v>2013</v>
      </c>
      <c r="HH1105">
        <v>417.68</v>
      </c>
      <c r="HI1105" t="s">
        <v>11335</v>
      </c>
      <c r="HJ1105">
        <v>15.75</v>
      </c>
      <c r="HK1105" t="s">
        <v>424</v>
      </c>
      <c r="HL1105" t="s">
        <v>425</v>
      </c>
      <c r="HM1105" s="1">
        <v>41829</v>
      </c>
      <c r="HN1105">
        <v>2</v>
      </c>
      <c r="HO1105">
        <v>10125</v>
      </c>
      <c r="HP1105" t="s">
        <v>440</v>
      </c>
      <c r="HR1105" s="1">
        <v>41423</v>
      </c>
      <c r="HS1105">
        <v>2012</v>
      </c>
      <c r="HT1105">
        <v>508.98</v>
      </c>
      <c r="HU1105" t="s">
        <v>11336</v>
      </c>
      <c r="HV1105">
        <v>0.25</v>
      </c>
      <c r="HW1105" t="s">
        <v>424</v>
      </c>
      <c r="HX1105" t="s">
        <v>425</v>
      </c>
      <c r="HY1105" s="1">
        <v>41829</v>
      </c>
      <c r="HZ1105">
        <v>14</v>
      </c>
      <c r="IA1105">
        <v>10125</v>
      </c>
      <c r="IB1105" t="s">
        <v>440</v>
      </c>
      <c r="ID1105" s="1">
        <v>40688</v>
      </c>
      <c r="IE1105">
        <v>2010</v>
      </c>
      <c r="IF1105">
        <v>648.28</v>
      </c>
      <c r="IG1105" t="s">
        <v>11337</v>
      </c>
      <c r="IH1105">
        <v>6.75</v>
      </c>
      <c r="II1105" t="s">
        <v>424</v>
      </c>
      <c r="IJ1105" t="s">
        <v>425</v>
      </c>
      <c r="IK1105" s="1">
        <v>41017</v>
      </c>
      <c r="IL1105">
        <v>11</v>
      </c>
      <c r="IM1105">
        <v>105</v>
      </c>
      <c r="IN1105" t="s">
        <v>946</v>
      </c>
    </row>
    <row r="1106" spans="1:284" x14ac:dyDescent="0.25">
      <c r="A1106">
        <v>16486113</v>
      </c>
      <c r="B1106">
        <v>1105</v>
      </c>
      <c r="C1106" t="s">
        <v>393</v>
      </c>
      <c r="D1106" t="s">
        <v>394</v>
      </c>
      <c r="F1106" t="str">
        <f>"08-3N-26-0000-0002-0080"</f>
        <v>08-3N-26-0000-0002-0080</v>
      </c>
      <c r="H1106" t="str">
        <f>"ALBERTIE VERNICE &amp; SHERRIE"</f>
        <v>ALBERTIE VERNICE &amp; SHERRIE</v>
      </c>
      <c r="I1106" t="str">
        <f>"67027 ELNORA LN"</f>
        <v>67027 ELNORA LN</v>
      </c>
      <c r="J1106" t="str">
        <f>"YULEE FL 32097"</f>
        <v>YULEE FL 32097</v>
      </c>
      <c r="K1106" t="str">
        <f>"67027 ELNORA LN"</f>
        <v>67027 ELNORA LN</v>
      </c>
      <c r="L1106" t="str">
        <f t="shared" si="358"/>
        <v>YULEE FL 32097</v>
      </c>
      <c r="M1106" t="str">
        <f>"PT OF NW1/4 OF NE1/4 OF SW1/4 IN OR 1141/1648 ESMT OR 1557/1483"</f>
        <v>PT OF NW1/4 OF NE1/4 OF SW1/4 IN OR 1141/1648 ESMT OR 1557/1483</v>
      </c>
      <c r="N1106" t="str">
        <f>""</f>
        <v/>
      </c>
      <c r="O1106" t="str">
        <f>"24338"</f>
        <v>24338</v>
      </c>
      <c r="P1106" t="str">
        <f t="shared" si="360"/>
        <v>2017</v>
      </c>
      <c r="Q1106" t="str">
        <f>""</f>
        <v/>
      </c>
      <c r="R1106" t="str">
        <f>"Y"</f>
        <v>Y</v>
      </c>
      <c r="S1106" t="str">
        <f>"1.00"</f>
        <v>1.00</v>
      </c>
      <c r="T1106" t="str">
        <f>"600.11"</f>
        <v>600.11</v>
      </c>
      <c r="U1106" t="str">
        <f>"78744.00"</f>
        <v>78744.00</v>
      </c>
      <c r="V1106" t="str">
        <f>"78744.00"</f>
        <v>78744.00</v>
      </c>
      <c r="W1106" t="str">
        <f t="shared" si="361"/>
        <v>2017</v>
      </c>
      <c r="X1106" t="str">
        <f>"18.75"</f>
        <v>18.75</v>
      </c>
      <c r="Y1106" t="str">
        <f>"650.11"</f>
        <v>650.11</v>
      </c>
      <c r="Z1106" t="str">
        <f>"25000.00"</f>
        <v>25000.00</v>
      </c>
      <c r="AA1106" t="str">
        <f>"53744.00"</f>
        <v>53744.00</v>
      </c>
      <c r="AB1106" t="str">
        <f t="shared" si="362"/>
        <v>Residential</v>
      </c>
      <c r="AC1106" t="str">
        <f t="shared" si="345"/>
        <v>0</v>
      </c>
      <c r="AD1106" t="str">
        <f>"4"</f>
        <v>4</v>
      </c>
      <c r="AE1106" t="str">
        <f>"WOOD (INCLUDE STEEL STUDS)"</f>
        <v>WOOD (INCLUDE STEEL STUDS)</v>
      </c>
      <c r="AF1106" t="str">
        <f>"001"</f>
        <v>001</v>
      </c>
      <c r="AG1106" t="str">
        <f t="shared" si="363"/>
        <v>FL</v>
      </c>
      <c r="AH1106" t="str">
        <f>"43560.00"</f>
        <v>43560.00</v>
      </c>
      <c r="AI1106" t="str">
        <f>"15750.00"</f>
        <v>15750.00</v>
      </c>
      <c r="AJ1106" t="str">
        <f>"C55-000-588-9319-9"</f>
        <v>C55-000-588-9319-9</v>
      </c>
      <c r="AK1106" t="str">
        <f>"17851"</f>
        <v>17851</v>
      </c>
      <c r="AL1106">
        <v>4</v>
      </c>
      <c r="AM1106">
        <v>1269</v>
      </c>
      <c r="AN1106">
        <v>681.02</v>
      </c>
      <c r="AQ1106" t="s">
        <v>11338</v>
      </c>
      <c r="AR1106" t="s">
        <v>11338</v>
      </c>
      <c r="AS1106" t="s">
        <v>11338</v>
      </c>
      <c r="AU1106" t="s">
        <v>396</v>
      </c>
      <c r="AV1106">
        <v>2017</v>
      </c>
      <c r="AW1106" t="str">
        <f>"08-3N-26-0000-0002-0080 "</f>
        <v xml:space="preserve">08-3N-26-0000-0002-0080 </v>
      </c>
      <c r="AX1106">
        <v>67027</v>
      </c>
      <c r="AZ1106" t="s">
        <v>11339</v>
      </c>
      <c r="BA1106" t="s">
        <v>653</v>
      </c>
      <c r="BD1106" t="s">
        <v>2387</v>
      </c>
      <c r="BE1106" t="s">
        <v>393</v>
      </c>
      <c r="BF1106">
        <v>32097</v>
      </c>
      <c r="BG1106" t="s">
        <v>11340</v>
      </c>
      <c r="BH1106" t="s">
        <v>2388</v>
      </c>
      <c r="BI1106">
        <v>-81.729221052416094</v>
      </c>
      <c r="BJ1106">
        <v>30.6930079690799</v>
      </c>
      <c r="BK1106" t="s">
        <v>11341</v>
      </c>
      <c r="BL1106" t="s">
        <v>11342</v>
      </c>
      <c r="BM1106" t="s">
        <v>11340</v>
      </c>
      <c r="BN1106" t="s">
        <v>1778</v>
      </c>
      <c r="BO1106">
        <v>32097</v>
      </c>
      <c r="BP1106" t="s">
        <v>416</v>
      </c>
      <c r="BQ1106">
        <v>100</v>
      </c>
      <c r="BR1106" t="s">
        <v>514</v>
      </c>
      <c r="BS1106">
        <v>1001</v>
      </c>
      <c r="BT1106" t="s">
        <v>515</v>
      </c>
      <c r="BW1106">
        <v>43560</v>
      </c>
      <c r="BX1106" t="s">
        <v>407</v>
      </c>
      <c r="BZ1106">
        <v>4</v>
      </c>
      <c r="CA1106">
        <v>2004</v>
      </c>
      <c r="CB1106">
        <v>1</v>
      </c>
      <c r="CC1106">
        <v>1</v>
      </c>
      <c r="CD1106">
        <v>2017</v>
      </c>
      <c r="CG1106">
        <v>78744</v>
      </c>
      <c r="CH1106">
        <v>2017</v>
      </c>
      <c r="CI1106">
        <v>15750</v>
      </c>
      <c r="CJ1106">
        <v>83562</v>
      </c>
      <c r="CK1106">
        <v>99312</v>
      </c>
      <c r="CL1106">
        <v>2017</v>
      </c>
      <c r="CM1106">
        <v>600.11</v>
      </c>
      <c r="CN1106" s="1">
        <v>37775</v>
      </c>
      <c r="CZ1106" s="1">
        <v>37775</v>
      </c>
      <c r="DD1106" t="s">
        <v>2387</v>
      </c>
      <c r="DG1106">
        <v>8</v>
      </c>
      <c r="DL1106">
        <v>50301</v>
      </c>
      <c r="DM1106" t="s">
        <v>11317</v>
      </c>
      <c r="DO1106" t="s">
        <v>11343</v>
      </c>
      <c r="DP1106">
        <v>0</v>
      </c>
      <c r="DQ1106">
        <v>0</v>
      </c>
      <c r="DR1106" t="s">
        <v>411</v>
      </c>
      <c r="DS1106" t="b">
        <v>1</v>
      </c>
      <c r="DT1106" t="s">
        <v>470</v>
      </c>
      <c r="DU1106" t="s">
        <v>471</v>
      </c>
      <c r="DV1106" t="s">
        <v>472</v>
      </c>
      <c r="DX1106">
        <v>-9999</v>
      </c>
      <c r="DZ1106" t="s">
        <v>447</v>
      </c>
      <c r="EA1106" t="s">
        <v>448</v>
      </c>
      <c r="EB1106" t="s">
        <v>742</v>
      </c>
      <c r="EC1106">
        <v>20101217</v>
      </c>
      <c r="ED1106" t="s">
        <v>474</v>
      </c>
      <c r="EF1106">
        <v>1293.3</v>
      </c>
      <c r="EG1106">
        <v>1293.3</v>
      </c>
      <c r="EH1106" t="s">
        <v>451</v>
      </c>
      <c r="EI1106">
        <v>20140731</v>
      </c>
      <c r="EJ1106">
        <v>0</v>
      </c>
      <c r="EK1106">
        <v>0</v>
      </c>
      <c r="EP1106" t="s">
        <v>421</v>
      </c>
      <c r="EQ1106" t="s">
        <v>422</v>
      </c>
      <c r="ER1106">
        <v>0</v>
      </c>
      <c r="ES1106">
        <v>5</v>
      </c>
      <c r="ET1106">
        <v>0</v>
      </c>
      <c r="EU1106">
        <v>0</v>
      </c>
      <c r="EV1106">
        <v>0</v>
      </c>
      <c r="EW1106" s="2">
        <v>43222</v>
      </c>
      <c r="EX1106" s="1">
        <v>41787</v>
      </c>
      <c r="EY1106">
        <v>2013</v>
      </c>
      <c r="EZ1106">
        <v>624.27</v>
      </c>
      <c r="FA1106" t="s">
        <v>11344</v>
      </c>
      <c r="FB1106">
        <v>0.25</v>
      </c>
      <c r="FC1106" t="s">
        <v>424</v>
      </c>
      <c r="FD1106" t="s">
        <v>425</v>
      </c>
      <c r="FE1106" s="1">
        <v>42131</v>
      </c>
      <c r="FF1106">
        <v>12</v>
      </c>
      <c r="FG1106">
        <v>2407503</v>
      </c>
      <c r="FH1106" t="s">
        <v>461</v>
      </c>
      <c r="FJ1106" s="1">
        <v>41423</v>
      </c>
      <c r="FK1106">
        <v>2012</v>
      </c>
      <c r="FL1106">
        <v>720.48</v>
      </c>
      <c r="FM1106" t="s">
        <v>11345</v>
      </c>
      <c r="FN1106">
        <v>0.25</v>
      </c>
      <c r="FO1106" t="s">
        <v>424</v>
      </c>
      <c r="FP1106" t="s">
        <v>425</v>
      </c>
      <c r="FQ1106" s="1">
        <v>42062</v>
      </c>
      <c r="FR1106">
        <v>21</v>
      </c>
      <c r="FS1106">
        <v>15970</v>
      </c>
      <c r="FT1106" t="s">
        <v>1435</v>
      </c>
      <c r="FV1106" s="1">
        <v>41052</v>
      </c>
      <c r="FW1106">
        <v>2011</v>
      </c>
      <c r="FX1106">
        <v>733.9</v>
      </c>
      <c r="FY1106" t="s">
        <v>11346</v>
      </c>
      <c r="FZ1106">
        <v>0.25</v>
      </c>
      <c r="GA1106" t="s">
        <v>424</v>
      </c>
      <c r="GB1106" t="s">
        <v>425</v>
      </c>
      <c r="GC1106" s="1">
        <v>41698</v>
      </c>
      <c r="GD1106">
        <v>21</v>
      </c>
      <c r="GE1106">
        <v>13104</v>
      </c>
      <c r="GF1106" t="s">
        <v>888</v>
      </c>
      <c r="GH1106" s="1">
        <v>41052</v>
      </c>
      <c r="GI1106">
        <v>2011</v>
      </c>
      <c r="GJ1106">
        <v>733.9</v>
      </c>
      <c r="GK1106" t="s">
        <v>11346</v>
      </c>
      <c r="GL1106">
        <v>0.25</v>
      </c>
      <c r="GM1106" t="s">
        <v>424</v>
      </c>
      <c r="GN1106" t="s">
        <v>425</v>
      </c>
      <c r="GP1106">
        <v>22</v>
      </c>
      <c r="GQ1106">
        <v>13747</v>
      </c>
      <c r="GR1106" t="s">
        <v>11347</v>
      </c>
      <c r="GT1106" s="1">
        <v>40688</v>
      </c>
      <c r="GU1106">
        <v>2010</v>
      </c>
      <c r="GV1106">
        <v>805.41</v>
      </c>
      <c r="GW1106" t="s">
        <v>11348</v>
      </c>
      <c r="GX1106">
        <v>3.75</v>
      </c>
      <c r="GY1106" t="s">
        <v>424</v>
      </c>
      <c r="GZ1106" t="s">
        <v>425</v>
      </c>
      <c r="HA1106" s="1">
        <v>41327</v>
      </c>
      <c r="HB1106">
        <v>21</v>
      </c>
      <c r="HC1106">
        <v>11141</v>
      </c>
      <c r="HD1106" t="s">
        <v>1723</v>
      </c>
    </row>
    <row r="1107" spans="1:284" x14ac:dyDescent="0.25">
      <c r="A1107">
        <v>16486114</v>
      </c>
      <c r="B1107">
        <v>1106</v>
      </c>
      <c r="C1107" t="s">
        <v>393</v>
      </c>
      <c r="D1107" t="s">
        <v>394</v>
      </c>
      <c r="F1107" t="str">
        <f>"08-3N-26-0000-0002-0100"</f>
        <v>08-3N-26-0000-0002-0100</v>
      </c>
      <c r="H1107" t="str">
        <f>"ALBERTIE JANICE L"</f>
        <v>ALBERTIE JANICE L</v>
      </c>
      <c r="I1107" t="str">
        <f>"67286 JACOBS RD"</f>
        <v>67286 JACOBS RD</v>
      </c>
      <c r="J1107" t="str">
        <f>"YULEE FL 32097"</f>
        <v>YULEE FL 32097</v>
      </c>
      <c r="K1107" t="str">
        <f>"ELNORA ST"</f>
        <v>ELNORA ST</v>
      </c>
      <c r="L1107" t="str">
        <f t="shared" si="358"/>
        <v>YULEE FL 32097</v>
      </c>
      <c r="M1107" t="str">
        <f>"PT OF NE1/4 OF SW1/4 IN OR 1802/1896"</f>
        <v>PT OF NE1/4 OF SW1/4 IN OR 1802/1896</v>
      </c>
      <c r="N1107" t="str">
        <f>""</f>
        <v/>
      </c>
      <c r="O1107" t="str">
        <f>"24340"</f>
        <v>24340</v>
      </c>
      <c r="P1107" t="str">
        <f t="shared" si="360"/>
        <v>2017</v>
      </c>
      <c r="Q1107" t="str">
        <f>""</f>
        <v/>
      </c>
      <c r="R1107" t="str">
        <f t="shared" ref="R1107:R1121" si="364">"N"</f>
        <v>N</v>
      </c>
      <c r="S1107" t="str">
        <f>"1.01"</f>
        <v>1.01</v>
      </c>
      <c r="T1107" t="str">
        <f>"218.83"</f>
        <v>218.83</v>
      </c>
      <c r="U1107" t="str">
        <f>"13332.00"</f>
        <v>13332.00</v>
      </c>
      <c r="V1107" t="str">
        <f>"13332.00"</f>
        <v>13332.00</v>
      </c>
      <c r="W1107" t="str">
        <f t="shared" si="361"/>
        <v>2017</v>
      </c>
      <c r="X1107" t="str">
        <f>"6.50"</f>
        <v>6.50</v>
      </c>
      <c r="Y1107" t="str">
        <f>"257.39"</f>
        <v>257.39</v>
      </c>
      <c r="Z1107" t="str">
        <f>""</f>
        <v/>
      </c>
      <c r="AA1107" t="str">
        <f>"15907.00"</f>
        <v>15907.00</v>
      </c>
      <c r="AB1107" t="str">
        <f t="shared" si="362"/>
        <v>Residential</v>
      </c>
      <c r="AC1107" t="str">
        <f t="shared" si="345"/>
        <v>0</v>
      </c>
      <c r="AD1107" t="str">
        <f>""</f>
        <v/>
      </c>
      <c r="AE1107" t="str">
        <f>""</f>
        <v/>
      </c>
      <c r="AF1107" t="str">
        <f>"000"</f>
        <v>000</v>
      </c>
      <c r="AG1107" t="str">
        <f t="shared" si="363"/>
        <v>FL</v>
      </c>
      <c r="AH1107" t="str">
        <f>"43995.00"</f>
        <v>43995.00</v>
      </c>
      <c r="AI1107" t="str">
        <f>"15907.00"</f>
        <v>15907.00</v>
      </c>
      <c r="AJ1107" t="str">
        <f>"C55-001-035-8231-8"</f>
        <v>C55-001-035-8231-8</v>
      </c>
      <c r="AK1107" t="str">
        <f>"17853"</f>
        <v>17853</v>
      </c>
      <c r="AL1107">
        <v>4</v>
      </c>
      <c r="AM1107">
        <v>1270</v>
      </c>
      <c r="AN1107">
        <v>268.66000000000003</v>
      </c>
      <c r="AQ1107" t="s">
        <v>11349</v>
      </c>
      <c r="AR1107" t="s">
        <v>11349</v>
      </c>
      <c r="AS1107" t="s">
        <v>11349</v>
      </c>
      <c r="AU1107" t="s">
        <v>396</v>
      </c>
      <c r="AV1107">
        <v>2017</v>
      </c>
      <c r="AW1107" t="str">
        <f>"08-3N-26-0000-0002-0100 "</f>
        <v xml:space="preserve">08-3N-26-0000-0002-0100 </v>
      </c>
      <c r="AZ1107" t="s">
        <v>11339</v>
      </c>
      <c r="BA1107" t="s">
        <v>1942</v>
      </c>
      <c r="BD1107" t="s">
        <v>2387</v>
      </c>
      <c r="BE1107" t="s">
        <v>393</v>
      </c>
      <c r="BF1107">
        <v>32097</v>
      </c>
      <c r="BG1107" t="s">
        <v>11350</v>
      </c>
      <c r="BH1107" t="s">
        <v>2388</v>
      </c>
      <c r="BI1107">
        <v>-81.730282365026099</v>
      </c>
      <c r="BJ1107">
        <v>30.694448084364101</v>
      </c>
      <c r="BK1107" t="s">
        <v>11351</v>
      </c>
      <c r="BM1107" t="s">
        <v>11352</v>
      </c>
      <c r="BN1107" t="s">
        <v>1778</v>
      </c>
      <c r="BO1107">
        <v>32097</v>
      </c>
      <c r="BP1107" t="s">
        <v>404</v>
      </c>
      <c r="BQ1107">
        <v>0</v>
      </c>
      <c r="BR1107" t="s">
        <v>491</v>
      </c>
      <c r="BS1107">
        <v>8001</v>
      </c>
      <c r="BT1107" t="s">
        <v>492</v>
      </c>
      <c r="BW1107">
        <v>43995</v>
      </c>
      <c r="BX1107" t="s">
        <v>407</v>
      </c>
      <c r="BY1107" t="s">
        <v>408</v>
      </c>
      <c r="CD1107">
        <v>2017</v>
      </c>
      <c r="CE1107">
        <v>15907</v>
      </c>
      <c r="CG1107">
        <v>15907</v>
      </c>
      <c r="CH1107">
        <v>2017</v>
      </c>
      <c r="CI1107">
        <v>15907</v>
      </c>
      <c r="CK1107">
        <v>15907</v>
      </c>
      <c r="CL1107">
        <v>2017</v>
      </c>
      <c r="CM1107">
        <v>218.83</v>
      </c>
      <c r="CN1107" s="1">
        <v>41108</v>
      </c>
      <c r="CZ1107" s="1">
        <v>41108</v>
      </c>
      <c r="DD1107" t="s">
        <v>2387</v>
      </c>
      <c r="DG1107">
        <v>8</v>
      </c>
      <c r="DL1107">
        <v>50301</v>
      </c>
      <c r="DM1107" t="s">
        <v>11317</v>
      </c>
      <c r="DO1107" t="s">
        <v>11353</v>
      </c>
      <c r="DP1107">
        <v>0</v>
      </c>
      <c r="DQ1107">
        <v>0</v>
      </c>
      <c r="DR1107" t="s">
        <v>411</v>
      </c>
      <c r="DS1107" t="b">
        <v>1</v>
      </c>
      <c r="DT1107" t="s">
        <v>470</v>
      </c>
      <c r="DU1107" t="s">
        <v>471</v>
      </c>
      <c r="DV1107" t="s">
        <v>472</v>
      </c>
      <c r="DX1107">
        <v>-9999</v>
      </c>
      <c r="DZ1107" t="s">
        <v>447</v>
      </c>
      <c r="EA1107" t="s">
        <v>448</v>
      </c>
      <c r="EB1107" t="s">
        <v>742</v>
      </c>
      <c r="EC1107">
        <v>20101217</v>
      </c>
      <c r="ED1107" t="s">
        <v>474</v>
      </c>
      <c r="EF1107">
        <v>1734.3</v>
      </c>
      <c r="EG1107">
        <v>1734.3</v>
      </c>
      <c r="EI1107">
        <v>20160407</v>
      </c>
      <c r="EJ1107">
        <v>0</v>
      </c>
      <c r="EK1107">
        <v>0</v>
      </c>
      <c r="EP1107" t="s">
        <v>421</v>
      </c>
      <c r="EQ1107" t="s">
        <v>422</v>
      </c>
      <c r="ER1107">
        <v>1</v>
      </c>
      <c r="ES1107">
        <v>2</v>
      </c>
      <c r="ET1107">
        <v>228.21</v>
      </c>
      <c r="EU1107">
        <v>25.65</v>
      </c>
      <c r="EV1107">
        <v>253.86</v>
      </c>
      <c r="EW1107" s="2">
        <v>43222</v>
      </c>
      <c r="EX1107" s="1">
        <v>42879</v>
      </c>
      <c r="EY1107">
        <v>2016</v>
      </c>
      <c r="EZ1107">
        <v>228.21</v>
      </c>
      <c r="FA1107" t="s">
        <v>11354</v>
      </c>
      <c r="FB1107">
        <v>8.5</v>
      </c>
      <c r="FC1107" t="s">
        <v>424</v>
      </c>
      <c r="FD1107" t="s">
        <v>454</v>
      </c>
      <c r="FF1107">
        <v>12</v>
      </c>
      <c r="FG1107">
        <v>10125</v>
      </c>
      <c r="FH1107" t="s">
        <v>440</v>
      </c>
      <c r="FJ1107" s="1">
        <v>42515</v>
      </c>
      <c r="FK1107">
        <v>2015</v>
      </c>
      <c r="FL1107">
        <v>228.09</v>
      </c>
      <c r="FM1107" t="s">
        <v>11355</v>
      </c>
      <c r="FN1107">
        <v>15.25</v>
      </c>
      <c r="FO1107" t="s">
        <v>424</v>
      </c>
      <c r="FP1107" t="s">
        <v>425</v>
      </c>
      <c r="FQ1107" s="1">
        <v>42836</v>
      </c>
      <c r="FR1107">
        <v>11</v>
      </c>
      <c r="FS1107">
        <v>10125</v>
      </c>
      <c r="FT1107" t="s">
        <v>440</v>
      </c>
      <c r="FV1107" s="1">
        <v>41052</v>
      </c>
      <c r="FW1107">
        <v>2011</v>
      </c>
      <c r="FX1107">
        <v>266.48</v>
      </c>
      <c r="FY1107" t="s">
        <v>11356</v>
      </c>
      <c r="FZ1107">
        <v>6.25</v>
      </c>
      <c r="GA1107" t="s">
        <v>424</v>
      </c>
      <c r="GB1107" t="s">
        <v>425</v>
      </c>
      <c r="GC1107" s="1">
        <v>41108</v>
      </c>
      <c r="GD1107">
        <v>2</v>
      </c>
      <c r="GE1107">
        <v>1109</v>
      </c>
      <c r="GF1107" t="s">
        <v>852</v>
      </c>
    </row>
    <row r="1108" spans="1:284" x14ac:dyDescent="0.25">
      <c r="A1108">
        <v>16486115</v>
      </c>
      <c r="B1108">
        <v>1107</v>
      </c>
      <c r="C1108" t="s">
        <v>393</v>
      </c>
      <c r="D1108" t="s">
        <v>394</v>
      </c>
      <c r="F1108" t="str">
        <f>"38-3N-26-0000-0001-0010"</f>
        <v>38-3N-26-0000-0001-0010</v>
      </c>
      <c r="H1108" t="str">
        <f>"HORNE ELWIN G &amp; ANN C (JTROS)"</f>
        <v>HORNE ELWIN G &amp; ANN C (JTROS)</v>
      </c>
      <c r="I1108" t="str">
        <f>"174 GREENVILLE RD"</f>
        <v>174 GREENVILLE RD</v>
      </c>
      <c r="J1108" t="str">
        <f>"KINGSLAND GA 31548"</f>
        <v>KINGSLAND GA 31548</v>
      </c>
      <c r="K1108" t="str">
        <f>"HANCE PKWY"</f>
        <v>HANCE PKWY</v>
      </c>
      <c r="L1108" t="str">
        <f t="shared" si="358"/>
        <v>YULEE FL 32097</v>
      </c>
      <c r="M1108" t="str">
        <f>"PT OR 1641/1573 EX 1-2 1-3 &amp; 1-4"</f>
        <v>PT OR 1641/1573 EX 1-2 1-3 &amp; 1-4</v>
      </c>
      <c r="N1108" t="str">
        <f>""</f>
        <v/>
      </c>
      <c r="O1108" t="str">
        <f>"45711"</f>
        <v>45711</v>
      </c>
      <c r="P1108" t="str">
        <f t="shared" si="360"/>
        <v>2017</v>
      </c>
      <c r="Q1108" t="str">
        <f>""</f>
        <v/>
      </c>
      <c r="R1108" t="str">
        <f t="shared" si="364"/>
        <v>N</v>
      </c>
      <c r="S1108" t="str">
        <f>"28.37"</f>
        <v>28.37</v>
      </c>
      <c r="T1108" t="str">
        <f>"73.49"</f>
        <v>73.49</v>
      </c>
      <c r="U1108" t="str">
        <f>"4855.00"</f>
        <v>4855.00</v>
      </c>
      <c r="V1108" t="str">
        <f>"4855.00"</f>
        <v>4855.00</v>
      </c>
      <c r="W1108" t="str">
        <f t="shared" si="361"/>
        <v>2017</v>
      </c>
      <c r="X1108" t="str">
        <f>"15.83"</f>
        <v>15.83</v>
      </c>
      <c r="Y1108" t="str">
        <f>"107.69"</f>
        <v>107.69</v>
      </c>
      <c r="Z1108" t="str">
        <f>""</f>
        <v/>
      </c>
      <c r="AA1108" t="str">
        <f>"4855.00"</f>
        <v>4855.00</v>
      </c>
      <c r="AB1108" t="str">
        <f>"Agricultural"</f>
        <v>Agricultural</v>
      </c>
      <c r="AC1108" t="str">
        <f t="shared" si="345"/>
        <v>0</v>
      </c>
      <c r="AD1108" t="str">
        <f>""</f>
        <v/>
      </c>
      <c r="AE1108" t="str">
        <f>""</f>
        <v/>
      </c>
      <c r="AF1108" t="str">
        <f>"056"</f>
        <v>056</v>
      </c>
      <c r="AG1108" t="str">
        <f>"GA"</f>
        <v>GA</v>
      </c>
      <c r="AH1108" t="str">
        <f>"1235797.00"</f>
        <v>1235797.00</v>
      </c>
      <c r="AI1108" t="str">
        <f>"3667.00"</f>
        <v>3667.00</v>
      </c>
      <c r="AJ1108" t="str">
        <f>"C55-000-588-0471-7"</f>
        <v>C55-000-588-0471-7</v>
      </c>
      <c r="AK1108" t="str">
        <f>"17894"</f>
        <v>17894</v>
      </c>
      <c r="AL1108">
        <v>4</v>
      </c>
      <c r="AM1108">
        <v>1271</v>
      </c>
      <c r="AN1108">
        <v>111.47</v>
      </c>
      <c r="AQ1108" t="s">
        <v>11357</v>
      </c>
      <c r="AR1108" t="s">
        <v>11357</v>
      </c>
      <c r="AS1108" t="s">
        <v>11357</v>
      </c>
      <c r="AU1108" t="s">
        <v>396</v>
      </c>
      <c r="AV1108">
        <v>2017</v>
      </c>
      <c r="AW1108" t="str">
        <f>"38-3N-26-0000-0001-0010 "</f>
        <v xml:space="preserve">38-3N-26-0000-0001-0010 </v>
      </c>
      <c r="AZ1108" t="s">
        <v>11137</v>
      </c>
      <c r="BA1108" t="s">
        <v>11138</v>
      </c>
      <c r="BD1108" t="s">
        <v>2387</v>
      </c>
      <c r="BE1108" t="s">
        <v>393</v>
      </c>
      <c r="BF1108">
        <v>32097</v>
      </c>
      <c r="BG1108" t="s">
        <v>11139</v>
      </c>
      <c r="BH1108" t="s">
        <v>2388</v>
      </c>
      <c r="BI1108">
        <v>-81.663276268645205</v>
      </c>
      <c r="BJ1108">
        <v>30.7164997221976</v>
      </c>
      <c r="BK1108" t="s">
        <v>11140</v>
      </c>
      <c r="BL1108" t="s">
        <v>11141</v>
      </c>
      <c r="BM1108" t="s">
        <v>11142</v>
      </c>
      <c r="BN1108" t="s">
        <v>11143</v>
      </c>
      <c r="BO1108">
        <v>31548</v>
      </c>
      <c r="BP1108" t="s">
        <v>404</v>
      </c>
      <c r="BQ1108">
        <v>5600</v>
      </c>
      <c r="BR1108" t="s">
        <v>417</v>
      </c>
      <c r="BS1108">
        <v>7009</v>
      </c>
      <c r="BT1108" t="s">
        <v>418</v>
      </c>
      <c r="BW1108">
        <v>1235797</v>
      </c>
      <c r="BX1108" t="s">
        <v>407</v>
      </c>
      <c r="BY1108" t="s">
        <v>408</v>
      </c>
      <c r="CD1108">
        <v>2017</v>
      </c>
      <c r="CG1108">
        <v>4855</v>
      </c>
      <c r="CH1108">
        <v>2017</v>
      </c>
      <c r="CI1108">
        <v>3667</v>
      </c>
      <c r="CJ1108">
        <v>111001</v>
      </c>
      <c r="CK1108">
        <v>114668</v>
      </c>
      <c r="CL1108">
        <v>2017</v>
      </c>
      <c r="CM1108">
        <v>73.489999999999995</v>
      </c>
      <c r="CN1108" s="1">
        <v>40079</v>
      </c>
      <c r="CZ1108" s="1">
        <v>40079</v>
      </c>
      <c r="DD1108" t="s">
        <v>2387</v>
      </c>
      <c r="DG1108">
        <v>38</v>
      </c>
      <c r="DM1108" t="s">
        <v>11358</v>
      </c>
      <c r="DO1108" t="s">
        <v>11359</v>
      </c>
      <c r="DP1108">
        <v>0</v>
      </c>
      <c r="DQ1108">
        <v>0</v>
      </c>
      <c r="DR1108" t="s">
        <v>411</v>
      </c>
      <c r="DS1108" t="s">
        <v>695</v>
      </c>
      <c r="EJ1108">
        <v>0</v>
      </c>
      <c r="EK1108">
        <v>0</v>
      </c>
      <c r="EP1108" t="s">
        <v>595</v>
      </c>
      <c r="EQ1108" t="s">
        <v>422</v>
      </c>
      <c r="ER1108">
        <v>1</v>
      </c>
      <c r="ES1108">
        <v>6</v>
      </c>
      <c r="ET1108">
        <v>100.14</v>
      </c>
      <c r="EU1108">
        <v>14.76</v>
      </c>
      <c r="EV1108">
        <v>114.9</v>
      </c>
      <c r="EW1108" s="2">
        <v>43222</v>
      </c>
      <c r="EX1108" s="1">
        <v>42879</v>
      </c>
      <c r="EY1108">
        <v>2016</v>
      </c>
      <c r="EZ1108">
        <v>100.14</v>
      </c>
      <c r="FA1108" t="s">
        <v>11360</v>
      </c>
      <c r="FB1108">
        <v>8.5</v>
      </c>
      <c r="FC1108" t="s">
        <v>424</v>
      </c>
      <c r="FD1108" t="s">
        <v>454</v>
      </c>
      <c r="FF1108">
        <v>12</v>
      </c>
      <c r="FG1108">
        <v>2035919</v>
      </c>
      <c r="FH1108" t="s">
        <v>507</v>
      </c>
      <c r="FJ1108" s="1">
        <v>42151</v>
      </c>
      <c r="FK1108">
        <v>2014</v>
      </c>
      <c r="FL1108">
        <v>96.54</v>
      </c>
      <c r="FM1108" t="s">
        <v>11361</v>
      </c>
      <c r="FN1108">
        <v>18</v>
      </c>
      <c r="FO1108" t="s">
        <v>424</v>
      </c>
      <c r="FP1108" t="s">
        <v>425</v>
      </c>
      <c r="FQ1108" s="1">
        <v>42408</v>
      </c>
      <c r="FR1108">
        <v>9</v>
      </c>
      <c r="FS1108">
        <v>10125</v>
      </c>
      <c r="FT1108" t="s">
        <v>440</v>
      </c>
      <c r="FV1108" s="1">
        <v>41787</v>
      </c>
      <c r="FW1108">
        <v>2013</v>
      </c>
      <c r="FX1108">
        <v>91.46</v>
      </c>
      <c r="FY1108" t="s">
        <v>11362</v>
      </c>
      <c r="FZ1108">
        <v>18</v>
      </c>
      <c r="GA1108" t="s">
        <v>603</v>
      </c>
      <c r="GB1108" t="s">
        <v>425</v>
      </c>
      <c r="GD1108">
        <v>22</v>
      </c>
      <c r="GE1108">
        <v>9999999</v>
      </c>
      <c r="GF1108" t="s">
        <v>604</v>
      </c>
      <c r="GH1108" s="1">
        <v>41787</v>
      </c>
      <c r="GI1108">
        <v>2013</v>
      </c>
      <c r="GJ1108">
        <v>101.83</v>
      </c>
      <c r="GK1108" t="s">
        <v>11362</v>
      </c>
      <c r="GL1108">
        <v>18</v>
      </c>
      <c r="GM1108" t="s">
        <v>424</v>
      </c>
      <c r="GN1108" t="s">
        <v>425</v>
      </c>
      <c r="GO1108" s="1">
        <v>42408</v>
      </c>
      <c r="GP1108">
        <v>21</v>
      </c>
      <c r="GQ1108">
        <v>10647</v>
      </c>
      <c r="GR1108" t="s">
        <v>4602</v>
      </c>
      <c r="GT1108" s="1">
        <v>41423</v>
      </c>
      <c r="GU1108">
        <v>2012</v>
      </c>
      <c r="GV1108">
        <v>86.2</v>
      </c>
      <c r="GW1108" t="s">
        <v>11363</v>
      </c>
      <c r="GX1108">
        <v>9.75</v>
      </c>
      <c r="GY1108" t="s">
        <v>424</v>
      </c>
      <c r="GZ1108" t="s">
        <v>425</v>
      </c>
      <c r="HA1108" s="1">
        <v>42044</v>
      </c>
      <c r="HB1108">
        <v>21</v>
      </c>
      <c r="HC1108">
        <v>10178</v>
      </c>
      <c r="HD1108" t="s">
        <v>8022</v>
      </c>
      <c r="HF1108" s="1">
        <v>41052</v>
      </c>
      <c r="HG1108">
        <v>2011</v>
      </c>
      <c r="HH1108">
        <v>80.91</v>
      </c>
      <c r="HI1108" t="s">
        <v>11364</v>
      </c>
      <c r="HJ1108">
        <v>11.5</v>
      </c>
      <c r="HK1108" t="s">
        <v>424</v>
      </c>
      <c r="HL1108" t="s">
        <v>425</v>
      </c>
      <c r="HM1108" s="1">
        <v>41631</v>
      </c>
      <c r="HN1108">
        <v>19</v>
      </c>
      <c r="HO1108">
        <v>13042</v>
      </c>
      <c r="HP1108" t="s">
        <v>5881</v>
      </c>
      <c r="HR1108" s="1">
        <v>40688</v>
      </c>
      <c r="HS1108">
        <v>2010</v>
      </c>
      <c r="HT1108">
        <v>77.930000000000007</v>
      </c>
      <c r="HU1108" t="s">
        <v>11365</v>
      </c>
      <c r="HV1108">
        <v>6.75</v>
      </c>
      <c r="HW1108" t="s">
        <v>424</v>
      </c>
      <c r="HX1108" t="s">
        <v>425</v>
      </c>
      <c r="HY1108" s="1">
        <v>41327</v>
      </c>
      <c r="HZ1108">
        <v>21</v>
      </c>
      <c r="IA1108">
        <v>105</v>
      </c>
      <c r="IB1108" t="s">
        <v>946</v>
      </c>
    </row>
    <row r="1109" spans="1:284" x14ac:dyDescent="0.25">
      <c r="A1109">
        <v>16486116</v>
      </c>
      <c r="B1109">
        <v>1108</v>
      </c>
      <c r="C1109" t="s">
        <v>393</v>
      </c>
      <c r="D1109" t="s">
        <v>394</v>
      </c>
      <c r="F1109" t="str">
        <f>"38-3N-26-0000-0001-0040"</f>
        <v>38-3N-26-0000-0001-0040</v>
      </c>
      <c r="H1109" t="str">
        <f>"HORNE ELWIN G &amp; ANN C (JTROS)"</f>
        <v>HORNE ELWIN G &amp; ANN C (JTROS)</v>
      </c>
      <c r="I1109" t="str">
        <f>"174 GREENVILLE RD"</f>
        <v>174 GREENVILLE RD</v>
      </c>
      <c r="J1109" t="str">
        <f>"KINGSLAND GA 31548"</f>
        <v>KINGSLAND GA 31548</v>
      </c>
      <c r="K1109" t="str">
        <f>"HANCE PKWY"</f>
        <v>HANCE PKWY</v>
      </c>
      <c r="L1109" t="str">
        <f t="shared" si="358"/>
        <v>YULEE FL 32097</v>
      </c>
      <c r="M1109" t="str">
        <f>"PT OR 1641/1567"</f>
        <v>PT OR 1641/1567</v>
      </c>
      <c r="N1109" t="str">
        <f>""</f>
        <v/>
      </c>
      <c r="O1109" t="str">
        <f>"45714"</f>
        <v>45714</v>
      </c>
      <c r="P1109" t="str">
        <f t="shared" si="360"/>
        <v>2017</v>
      </c>
      <c r="Q1109" t="str">
        <f>""</f>
        <v/>
      </c>
      <c r="R1109" t="str">
        <f t="shared" si="364"/>
        <v>N</v>
      </c>
      <c r="S1109" t="str">
        <f>"1.00"</f>
        <v>1.00</v>
      </c>
      <c r="T1109" t="str">
        <f>"272.50"</f>
        <v>272.50</v>
      </c>
      <c r="U1109" t="str">
        <f>"18000.00"</f>
        <v>18000.00</v>
      </c>
      <c r="V1109" t="str">
        <f>"18000.00"</f>
        <v>18000.00</v>
      </c>
      <c r="W1109" t="str">
        <f t="shared" si="361"/>
        <v>2017</v>
      </c>
      <c r="X1109" t="str">
        <f>"15.86"</f>
        <v>15.86</v>
      </c>
      <c r="Y1109" t="str">
        <f>"312.68"</f>
        <v>312.68</v>
      </c>
      <c r="Z1109" t="str">
        <f>""</f>
        <v/>
      </c>
      <c r="AA1109" t="str">
        <f>"18000.00"</f>
        <v>18000.00</v>
      </c>
      <c r="AB1109" t="str">
        <f>"Residential"</f>
        <v>Residential</v>
      </c>
      <c r="AC1109" t="str">
        <f t="shared" si="345"/>
        <v>0</v>
      </c>
      <c r="AD1109" t="str">
        <f>""</f>
        <v/>
      </c>
      <c r="AE1109" t="str">
        <f>""</f>
        <v/>
      </c>
      <c r="AF1109" t="str">
        <f>"000"</f>
        <v>000</v>
      </c>
      <c r="AG1109" t="str">
        <f>"GA"</f>
        <v>GA</v>
      </c>
      <c r="AH1109" t="str">
        <f>"43560.00"</f>
        <v>43560.00</v>
      </c>
      <c r="AI1109" t="str">
        <f>"18000.00"</f>
        <v>18000.00</v>
      </c>
      <c r="AJ1109" t="str">
        <f>"C55-000-969-7809-3"</f>
        <v>C55-000-969-7809-3</v>
      </c>
      <c r="AK1109" t="str">
        <f>"17895"</f>
        <v>17895</v>
      </c>
      <c r="AL1109">
        <v>4</v>
      </c>
      <c r="AM1109">
        <v>1272</v>
      </c>
      <c r="AN1109">
        <v>326.70999999999998</v>
      </c>
      <c r="AQ1109" t="s">
        <v>11366</v>
      </c>
      <c r="AR1109" t="s">
        <v>11366</v>
      </c>
      <c r="AS1109" t="s">
        <v>11366</v>
      </c>
      <c r="AU1109" t="s">
        <v>396</v>
      </c>
      <c r="AV1109">
        <v>2017</v>
      </c>
      <c r="AW1109" t="str">
        <f>"38-3N-26-0000-0001-0040 "</f>
        <v xml:space="preserve">38-3N-26-0000-0001-0040 </v>
      </c>
      <c r="AZ1109" t="s">
        <v>11137</v>
      </c>
      <c r="BA1109" t="s">
        <v>11138</v>
      </c>
      <c r="BD1109" t="s">
        <v>2387</v>
      </c>
      <c r="BE1109" t="s">
        <v>393</v>
      </c>
      <c r="BF1109">
        <v>32097</v>
      </c>
      <c r="BG1109" t="s">
        <v>11139</v>
      </c>
      <c r="BH1109" t="s">
        <v>2388</v>
      </c>
      <c r="BI1109">
        <v>-81.661493408494294</v>
      </c>
      <c r="BJ1109">
        <v>30.7166200866526</v>
      </c>
      <c r="BK1109" t="s">
        <v>11140</v>
      </c>
      <c r="BL1109" t="s">
        <v>11141</v>
      </c>
      <c r="BM1109" t="s">
        <v>11142</v>
      </c>
      <c r="BN1109" t="s">
        <v>11143</v>
      </c>
      <c r="BO1109">
        <v>31548</v>
      </c>
      <c r="BP1109" t="s">
        <v>404</v>
      </c>
      <c r="BQ1109">
        <v>0</v>
      </c>
      <c r="BR1109" t="s">
        <v>491</v>
      </c>
      <c r="BS1109">
        <v>8001</v>
      </c>
      <c r="BT1109" t="s">
        <v>492</v>
      </c>
      <c r="BW1109">
        <v>43560</v>
      </c>
      <c r="BX1109" t="s">
        <v>407</v>
      </c>
      <c r="BY1109" t="s">
        <v>408</v>
      </c>
      <c r="CD1109">
        <v>2017</v>
      </c>
      <c r="CE1109">
        <v>18000</v>
      </c>
      <c r="CG1109">
        <v>18000</v>
      </c>
      <c r="CH1109">
        <v>2017</v>
      </c>
      <c r="CI1109">
        <v>18000</v>
      </c>
      <c r="CK1109">
        <v>18000</v>
      </c>
      <c r="CL1109">
        <v>2017</v>
      </c>
      <c r="CM1109">
        <v>272.5</v>
      </c>
      <c r="CN1109" s="1">
        <v>40079</v>
      </c>
      <c r="CZ1109" s="1">
        <v>40079</v>
      </c>
      <c r="DD1109" t="s">
        <v>2387</v>
      </c>
      <c r="DG1109">
        <v>38</v>
      </c>
      <c r="DM1109" t="s">
        <v>11367</v>
      </c>
      <c r="DO1109" t="s">
        <v>11368</v>
      </c>
      <c r="DP1109">
        <v>0</v>
      </c>
      <c r="DQ1109">
        <v>0</v>
      </c>
      <c r="DR1109" t="s">
        <v>411</v>
      </c>
      <c r="DS1109" t="s">
        <v>695</v>
      </c>
      <c r="EJ1109">
        <v>0</v>
      </c>
      <c r="EK1109">
        <v>0</v>
      </c>
      <c r="EP1109" t="s">
        <v>421</v>
      </c>
      <c r="EQ1109" t="s">
        <v>422</v>
      </c>
      <c r="ER1109">
        <v>1</v>
      </c>
      <c r="ES1109">
        <v>5</v>
      </c>
      <c r="ET1109">
        <v>325.83999999999997</v>
      </c>
      <c r="EU1109">
        <v>24.17</v>
      </c>
      <c r="EV1109">
        <v>350.01</v>
      </c>
      <c r="EW1109" s="2">
        <v>43222</v>
      </c>
      <c r="EX1109" s="1">
        <v>42879</v>
      </c>
      <c r="EY1109">
        <v>2016</v>
      </c>
      <c r="EZ1109">
        <v>325.83999999999997</v>
      </c>
      <c r="FA1109" t="s">
        <v>11369</v>
      </c>
      <c r="FB1109">
        <v>5.5</v>
      </c>
      <c r="FC1109" t="s">
        <v>424</v>
      </c>
      <c r="FD1109" t="s">
        <v>454</v>
      </c>
      <c r="FF1109">
        <v>12</v>
      </c>
      <c r="FG1109">
        <v>10125</v>
      </c>
      <c r="FH1109" t="s">
        <v>440</v>
      </c>
      <c r="FJ1109" s="1">
        <v>42151</v>
      </c>
      <c r="FK1109">
        <v>2014</v>
      </c>
      <c r="FL1109">
        <v>278.38</v>
      </c>
      <c r="FM1109" t="s">
        <v>11370</v>
      </c>
      <c r="FN1109">
        <v>9</v>
      </c>
      <c r="FO1109" t="s">
        <v>424</v>
      </c>
      <c r="FP1109" t="s">
        <v>425</v>
      </c>
      <c r="FQ1109" s="1">
        <v>42408</v>
      </c>
      <c r="FR1109">
        <v>9</v>
      </c>
      <c r="FS1109">
        <v>10125</v>
      </c>
      <c r="FT1109" t="s">
        <v>440</v>
      </c>
      <c r="FV1109" s="1">
        <v>41787</v>
      </c>
      <c r="FW1109">
        <v>2013</v>
      </c>
      <c r="FX1109">
        <v>264.67</v>
      </c>
      <c r="FY1109" t="s">
        <v>11371</v>
      </c>
      <c r="FZ1109">
        <v>12</v>
      </c>
      <c r="GA1109" t="s">
        <v>424</v>
      </c>
      <c r="GB1109" t="s">
        <v>425</v>
      </c>
      <c r="GC1109" s="1">
        <v>42408</v>
      </c>
      <c r="GD1109">
        <v>21</v>
      </c>
      <c r="GE1109">
        <v>10125</v>
      </c>
      <c r="GF1109" t="s">
        <v>440</v>
      </c>
      <c r="GH1109" s="1">
        <v>41423</v>
      </c>
      <c r="GI1109">
        <v>2012</v>
      </c>
      <c r="GJ1109">
        <v>417.02</v>
      </c>
      <c r="GK1109" t="s">
        <v>11372</v>
      </c>
      <c r="GL1109">
        <v>2.5</v>
      </c>
      <c r="GM1109" t="s">
        <v>424</v>
      </c>
      <c r="GN1109" t="s">
        <v>425</v>
      </c>
      <c r="GO1109" s="1">
        <v>42044</v>
      </c>
      <c r="GP1109">
        <v>21</v>
      </c>
      <c r="GQ1109">
        <v>10125</v>
      </c>
      <c r="GR1109" t="s">
        <v>440</v>
      </c>
      <c r="GT1109" s="1">
        <v>41052</v>
      </c>
      <c r="GU1109">
        <v>2011</v>
      </c>
      <c r="GV1109">
        <v>347.33</v>
      </c>
      <c r="GW1109" t="s">
        <v>11373</v>
      </c>
      <c r="GX1109">
        <v>6</v>
      </c>
      <c r="GY1109" t="s">
        <v>424</v>
      </c>
      <c r="GZ1109" t="s">
        <v>425</v>
      </c>
      <c r="HA1109" s="1">
        <v>41631</v>
      </c>
      <c r="HB1109">
        <v>19</v>
      </c>
      <c r="HC1109">
        <v>375</v>
      </c>
      <c r="HD1109" t="s">
        <v>776</v>
      </c>
      <c r="HF1109" s="1">
        <v>40688</v>
      </c>
      <c r="HG1109">
        <v>2010</v>
      </c>
      <c r="HH1109">
        <v>348.16</v>
      </c>
      <c r="HI1109" t="s">
        <v>11374</v>
      </c>
      <c r="HJ1109">
        <v>6.75</v>
      </c>
      <c r="HK1109" t="s">
        <v>424</v>
      </c>
      <c r="HL1109" t="s">
        <v>425</v>
      </c>
      <c r="HM1109" s="1">
        <v>41327</v>
      </c>
      <c r="HN1109">
        <v>21</v>
      </c>
      <c r="HO1109">
        <v>105</v>
      </c>
      <c r="HP1109" t="s">
        <v>946</v>
      </c>
    </row>
    <row r="1110" spans="1:284" x14ac:dyDescent="0.25">
      <c r="A1110">
        <v>16486117</v>
      </c>
      <c r="B1110">
        <v>1109</v>
      </c>
      <c r="C1110" t="s">
        <v>393</v>
      </c>
      <c r="D1110" t="s">
        <v>394</v>
      </c>
      <c r="F1110" t="str">
        <f>"41-3N-26-0000-0004-0000"</f>
        <v>41-3N-26-0000-0004-0000</v>
      </c>
      <c r="H1110" t="str">
        <f>"SCOTT WILLIAM J &amp; SCOTT JAMES V &amp; FRANK N ET AL"</f>
        <v>SCOTT WILLIAM J &amp; SCOTT JAMES V &amp; FRANK N ET AL</v>
      </c>
      <c r="I1110" t="str">
        <f>"77206 DAWSON RD"</f>
        <v>77206 DAWSON RD</v>
      </c>
      <c r="J1110" t="str">
        <f>"YULEE FL 32097"</f>
        <v>YULEE FL 32097</v>
      </c>
      <c r="K1110" t="str">
        <f>"77206 DAWSON RD"</f>
        <v>77206 DAWSON RD</v>
      </c>
      <c r="L1110" t="str">
        <f t="shared" ref="L1110:L1141" si="365">"YULEE FL 32097"</f>
        <v>YULEE FL 32097</v>
      </c>
      <c r="M1110" t="str">
        <f>"IN OR 2071/559 EX 4-1 4-2 &amp; 4-4"</f>
        <v>IN OR 2071/559 EX 4-1 4-2 &amp; 4-4</v>
      </c>
      <c r="N1110" t="str">
        <f>""</f>
        <v/>
      </c>
      <c r="O1110" t="str">
        <f>"46771"</f>
        <v>46771</v>
      </c>
      <c r="P1110" t="str">
        <f t="shared" si="360"/>
        <v>2017</v>
      </c>
      <c r="Q1110" t="str">
        <f>""</f>
        <v/>
      </c>
      <c r="R1110" t="str">
        <f t="shared" si="364"/>
        <v>N</v>
      </c>
      <c r="S1110" t="str">
        <f>"4.24"</f>
        <v>4.24</v>
      </c>
      <c r="T1110" t="str">
        <f>"1652.45"</f>
        <v>1652.45</v>
      </c>
      <c r="U1110" t="str">
        <f>"109154.00"</f>
        <v>109154.00</v>
      </c>
      <c r="V1110" t="str">
        <f>"109154.00"</f>
        <v>109154.00</v>
      </c>
      <c r="W1110" t="str">
        <f t="shared" si="361"/>
        <v>2017</v>
      </c>
      <c r="X1110" t="str">
        <f>"13.00"</f>
        <v>13.00</v>
      </c>
      <c r="Y1110" t="str">
        <f>"1734.02"</f>
        <v>1734.02</v>
      </c>
      <c r="Z1110" t="str">
        <f>""</f>
        <v/>
      </c>
      <c r="AA1110" t="str">
        <f>"109154.00"</f>
        <v>109154.00</v>
      </c>
      <c r="AB1110" t="str">
        <f>"Residential"</f>
        <v>Residential</v>
      </c>
      <c r="AC1110" t="str">
        <f t="shared" si="345"/>
        <v>0</v>
      </c>
      <c r="AD1110" t="str">
        <f>"4"</f>
        <v>4</v>
      </c>
      <c r="AE1110" t="str">
        <f>"WOOD (INCLUDE STEEL STUDS)"</f>
        <v>WOOD (INCLUDE STEEL STUDS)</v>
      </c>
      <c r="AF1110" t="str">
        <f>"001"</f>
        <v>001</v>
      </c>
      <c r="AG1110" t="str">
        <f>"FL"</f>
        <v>FL</v>
      </c>
      <c r="AH1110" t="str">
        <f>"184694.00"</f>
        <v>184694.00</v>
      </c>
      <c r="AI1110" t="str">
        <f>"33920.00"</f>
        <v>33920.00</v>
      </c>
      <c r="AJ1110" t="str">
        <f>"C55-000-588-1191-0"</f>
        <v>C55-000-588-1191-0</v>
      </c>
      <c r="AK1110" t="str">
        <f>"17911"</f>
        <v>17911</v>
      </c>
      <c r="AL1110">
        <v>4</v>
      </c>
      <c r="AM1110">
        <v>1273</v>
      </c>
      <c r="AN1110">
        <v>1819.12</v>
      </c>
      <c r="AQ1110" t="s">
        <v>11375</v>
      </c>
      <c r="AR1110" t="s">
        <v>11375</v>
      </c>
      <c r="AS1110" t="s">
        <v>11375</v>
      </c>
      <c r="AU1110" t="s">
        <v>396</v>
      </c>
      <c r="AV1110">
        <v>2017</v>
      </c>
      <c r="AW1110" t="str">
        <f>"41-3N-26-0000-0004-0000 "</f>
        <v xml:space="preserve">41-3N-26-0000-0004-0000 </v>
      </c>
      <c r="AX1110">
        <v>77206</v>
      </c>
      <c r="AZ1110" t="s">
        <v>11376</v>
      </c>
      <c r="BA1110" t="s">
        <v>496</v>
      </c>
      <c r="BD1110" t="s">
        <v>2387</v>
      </c>
      <c r="BE1110" t="s">
        <v>393</v>
      </c>
      <c r="BF1110">
        <v>32097</v>
      </c>
      <c r="BG1110" t="s">
        <v>11377</v>
      </c>
      <c r="BH1110" t="s">
        <v>2388</v>
      </c>
      <c r="BI1110">
        <v>-81.661413296687599</v>
      </c>
      <c r="BJ1110">
        <v>30.6896064764328</v>
      </c>
      <c r="BK1110" t="s">
        <v>11378</v>
      </c>
      <c r="BM1110" t="s">
        <v>11377</v>
      </c>
      <c r="BN1110" t="s">
        <v>1778</v>
      </c>
      <c r="BO1110">
        <v>32097</v>
      </c>
      <c r="BP1110" t="s">
        <v>416</v>
      </c>
      <c r="BQ1110">
        <v>100</v>
      </c>
      <c r="BR1110" t="s">
        <v>514</v>
      </c>
      <c r="BS1110">
        <v>1001</v>
      </c>
      <c r="BT1110" t="s">
        <v>515</v>
      </c>
      <c r="BW1110">
        <v>184694</v>
      </c>
      <c r="BX1110" t="s">
        <v>407</v>
      </c>
      <c r="BY1110" t="s">
        <v>408</v>
      </c>
      <c r="BZ1110">
        <v>4</v>
      </c>
      <c r="CA1110">
        <v>1986</v>
      </c>
      <c r="CB1110">
        <v>1</v>
      </c>
      <c r="CC1110">
        <v>1</v>
      </c>
      <c r="CD1110">
        <v>2017</v>
      </c>
      <c r="CE1110">
        <v>33920</v>
      </c>
      <c r="CF1110">
        <v>75234</v>
      </c>
      <c r="CG1110">
        <v>109154</v>
      </c>
      <c r="CH1110">
        <v>2017</v>
      </c>
      <c r="CI1110">
        <v>33920</v>
      </c>
      <c r="CJ1110">
        <v>75234</v>
      </c>
      <c r="CK1110">
        <v>109154</v>
      </c>
      <c r="CL1110">
        <v>2017</v>
      </c>
      <c r="CM1110">
        <v>1652.45</v>
      </c>
      <c r="CN1110" s="1">
        <v>28795</v>
      </c>
      <c r="CO1110">
        <v>3000</v>
      </c>
      <c r="CZ1110" s="1">
        <v>28795</v>
      </c>
      <c r="DD1110" t="s">
        <v>2387</v>
      </c>
      <c r="DG1110">
        <v>41</v>
      </c>
      <c r="DL1110">
        <v>50301</v>
      </c>
      <c r="DM1110" t="s">
        <v>11379</v>
      </c>
      <c r="DO1110" t="s">
        <v>11380</v>
      </c>
      <c r="DP1110">
        <v>0</v>
      </c>
      <c r="DQ1110">
        <v>0</v>
      </c>
      <c r="DR1110" t="s">
        <v>411</v>
      </c>
      <c r="DS1110" t="b">
        <v>1</v>
      </c>
      <c r="DT1110" t="s">
        <v>470</v>
      </c>
      <c r="DU1110" t="s">
        <v>471</v>
      </c>
      <c r="DV1110" t="s">
        <v>472</v>
      </c>
      <c r="DX1110">
        <v>-9999</v>
      </c>
      <c r="DZ1110" t="s">
        <v>447</v>
      </c>
      <c r="EA1110" t="s">
        <v>448</v>
      </c>
      <c r="EB1110" t="s">
        <v>742</v>
      </c>
      <c r="EC1110">
        <v>20101217</v>
      </c>
      <c r="ED1110" t="s">
        <v>474</v>
      </c>
      <c r="EF1110">
        <v>1728.6</v>
      </c>
      <c r="EG1110">
        <v>1728.6</v>
      </c>
      <c r="EH1110" t="s">
        <v>451</v>
      </c>
      <c r="EI1110">
        <v>20140731</v>
      </c>
      <c r="EJ1110">
        <v>0</v>
      </c>
      <c r="EK1110">
        <v>0</v>
      </c>
      <c r="EP1110" t="s">
        <v>421</v>
      </c>
      <c r="EQ1110" t="s">
        <v>452</v>
      </c>
      <c r="ER1110">
        <v>2</v>
      </c>
      <c r="ES1110">
        <v>5</v>
      </c>
      <c r="ET1110">
        <v>3696.24</v>
      </c>
      <c r="EU1110">
        <v>197.31</v>
      </c>
      <c r="EV1110">
        <v>3893.55</v>
      </c>
      <c r="EW1110" s="2">
        <v>43222</v>
      </c>
      <c r="EX1110" s="1">
        <v>42879</v>
      </c>
      <c r="EY1110">
        <v>2016</v>
      </c>
      <c r="EZ1110">
        <v>1848.12</v>
      </c>
      <c r="FA1110" t="s">
        <v>11381</v>
      </c>
      <c r="FB1110">
        <v>0.25</v>
      </c>
      <c r="FC1110" t="s">
        <v>424</v>
      </c>
      <c r="FD1110" t="s">
        <v>454</v>
      </c>
      <c r="FF1110">
        <v>12</v>
      </c>
      <c r="FG1110">
        <v>5856194</v>
      </c>
      <c r="FH1110" t="s">
        <v>2685</v>
      </c>
      <c r="FJ1110" s="1">
        <v>42879</v>
      </c>
      <c r="FK1110">
        <v>2016</v>
      </c>
      <c r="FL1110">
        <v>1848.12</v>
      </c>
      <c r="FM1110" t="s">
        <v>11381</v>
      </c>
      <c r="FN1110">
        <v>0.25</v>
      </c>
      <c r="FO1110" t="s">
        <v>424</v>
      </c>
      <c r="FP1110" t="s">
        <v>454</v>
      </c>
      <c r="FR1110">
        <v>12</v>
      </c>
      <c r="FS1110">
        <v>6013885</v>
      </c>
      <c r="FT1110" t="s">
        <v>11382</v>
      </c>
      <c r="FV1110" s="1">
        <v>42151</v>
      </c>
      <c r="FW1110">
        <v>2014</v>
      </c>
      <c r="FX1110">
        <v>1751.47</v>
      </c>
      <c r="FY1110" t="s">
        <v>11383</v>
      </c>
      <c r="FZ1110">
        <v>0.25</v>
      </c>
      <c r="GA1110" t="s">
        <v>424</v>
      </c>
      <c r="GB1110" t="s">
        <v>425</v>
      </c>
      <c r="GC1110" s="1">
        <v>42479</v>
      </c>
      <c r="GD1110">
        <v>11</v>
      </c>
      <c r="GE1110">
        <v>11289</v>
      </c>
      <c r="GF1110" t="s">
        <v>787</v>
      </c>
      <c r="GG1110" t="s">
        <v>458</v>
      </c>
      <c r="GH1110" s="1">
        <v>42151</v>
      </c>
      <c r="GI1110">
        <v>2014</v>
      </c>
      <c r="GJ1110">
        <v>1751.47</v>
      </c>
      <c r="GK1110" t="s">
        <v>11383</v>
      </c>
      <c r="GL1110">
        <v>0.25</v>
      </c>
      <c r="GM1110" t="s">
        <v>424</v>
      </c>
      <c r="GN1110" t="s">
        <v>425</v>
      </c>
      <c r="GP1110">
        <v>22</v>
      </c>
      <c r="GQ1110">
        <v>5124887</v>
      </c>
      <c r="GR1110" t="s">
        <v>11384</v>
      </c>
      <c r="GS1110" t="s">
        <v>458</v>
      </c>
      <c r="GT1110" s="1">
        <v>41787</v>
      </c>
      <c r="GU1110">
        <v>2013</v>
      </c>
      <c r="GV1110">
        <v>1582.17</v>
      </c>
      <c r="GW1110" t="s">
        <v>11385</v>
      </c>
      <c r="GX1110">
        <v>0.25</v>
      </c>
      <c r="GY1110" t="s">
        <v>424</v>
      </c>
      <c r="GZ1110" t="s">
        <v>425</v>
      </c>
      <c r="HB1110">
        <v>22</v>
      </c>
      <c r="HC1110">
        <v>2662137</v>
      </c>
      <c r="HD1110" t="s">
        <v>916</v>
      </c>
      <c r="HE1110" t="s">
        <v>458</v>
      </c>
      <c r="HF1110" s="1">
        <v>41423</v>
      </c>
      <c r="HG1110">
        <v>2012</v>
      </c>
      <c r="HH1110">
        <v>1991.61</v>
      </c>
      <c r="HI1110" t="s">
        <v>11386</v>
      </c>
      <c r="HJ1110">
        <v>0.25</v>
      </c>
      <c r="HK1110" t="s">
        <v>424</v>
      </c>
      <c r="HL1110" t="s">
        <v>425</v>
      </c>
      <c r="HM1110" s="1">
        <v>41488</v>
      </c>
      <c r="HN1110">
        <v>3</v>
      </c>
      <c r="HO1110">
        <v>15970</v>
      </c>
      <c r="HP1110" t="s">
        <v>1435</v>
      </c>
      <c r="HR1110" s="1">
        <v>41052</v>
      </c>
      <c r="HS1110">
        <v>2011</v>
      </c>
      <c r="HT1110">
        <v>2026.16</v>
      </c>
      <c r="HU1110" t="s">
        <v>11387</v>
      </c>
      <c r="HV1110">
        <v>0.25</v>
      </c>
      <c r="HW1110" t="s">
        <v>424</v>
      </c>
      <c r="HX1110" t="s">
        <v>425</v>
      </c>
      <c r="HY1110" s="1">
        <v>41488</v>
      </c>
      <c r="HZ1110">
        <v>15</v>
      </c>
      <c r="IA1110">
        <v>13815</v>
      </c>
      <c r="IB1110" t="s">
        <v>11388</v>
      </c>
    </row>
    <row r="1111" spans="1:284" x14ac:dyDescent="0.25">
      <c r="A1111">
        <v>16486118</v>
      </c>
      <c r="B1111">
        <v>1110</v>
      </c>
      <c r="C1111" t="s">
        <v>393</v>
      </c>
      <c r="D1111" t="s">
        <v>394</v>
      </c>
      <c r="F1111" t="str">
        <f>"35-4N-26-0000-0001-0050"</f>
        <v>35-4N-26-0000-0001-0050</v>
      </c>
      <c r="H1111" t="str">
        <f>"GET &amp; SAVE LLC"</f>
        <v>GET &amp; SAVE LLC</v>
      </c>
      <c r="I1111" t="str">
        <f>"852426 US HWY 17"</f>
        <v>852426 US HWY 17</v>
      </c>
      <c r="J1111" t="str">
        <f>"YULEE FL 32097"</f>
        <v>YULEE FL 32097</v>
      </c>
      <c r="K1111" t="str">
        <f>"US HWY 17"</f>
        <v>US HWY 17</v>
      </c>
      <c r="L1111" t="str">
        <f t="shared" si="365"/>
        <v>YULEE FL 32097</v>
      </c>
      <c r="M1111" t="str">
        <f>"PT SEC 35-3N-26E IN OR 2093/1894"</f>
        <v>PT SEC 35-3N-26E IN OR 2093/1894</v>
      </c>
      <c r="N1111" t="str">
        <f>""</f>
        <v/>
      </c>
      <c r="O1111" t="str">
        <f>"41960"</f>
        <v>41960</v>
      </c>
      <c r="P1111" t="str">
        <f t="shared" si="360"/>
        <v>2017</v>
      </c>
      <c r="Q1111" t="str">
        <f>""</f>
        <v/>
      </c>
      <c r="R1111" t="str">
        <f t="shared" si="364"/>
        <v>N</v>
      </c>
      <c r="S1111" t="str">
        <f>"1.00"</f>
        <v>1.00</v>
      </c>
      <c r="T1111" t="str">
        <f>"158.96"</f>
        <v>158.96</v>
      </c>
      <c r="U1111" t="str">
        <f>"10500.00"</f>
        <v>10500.00</v>
      </c>
      <c r="V1111" t="str">
        <f>"10500.00"</f>
        <v>10500.00</v>
      </c>
      <c r="W1111" t="str">
        <f t="shared" si="361"/>
        <v>2017</v>
      </c>
      <c r="X1111" t="str">
        <f>"14.33"</f>
        <v>14.33</v>
      </c>
      <c r="Y1111" t="str">
        <f>"195.73"</f>
        <v>195.73</v>
      </c>
      <c r="Z1111" t="str">
        <f>""</f>
        <v/>
      </c>
      <c r="AA1111" t="str">
        <f>"10500.00"</f>
        <v>10500.00</v>
      </c>
      <c r="AB1111" t="str">
        <f>"Commercial"</f>
        <v>Commercial</v>
      </c>
      <c r="AC1111" t="str">
        <f t="shared" si="345"/>
        <v>0</v>
      </c>
      <c r="AD1111" t="str">
        <f>""</f>
        <v/>
      </c>
      <c r="AE1111" t="str">
        <f>""</f>
        <v/>
      </c>
      <c r="AF1111" t="str">
        <f>"010"</f>
        <v>010</v>
      </c>
      <c r="AG1111" t="str">
        <f>"FL"</f>
        <v>FL</v>
      </c>
      <c r="AH1111" t="str">
        <f>"43560.00"</f>
        <v>43560.00</v>
      </c>
      <c r="AI1111" t="str">
        <f>"10500.00"</f>
        <v>10500.00</v>
      </c>
      <c r="AJ1111" t="str">
        <f>"C55-000-587-7998-4"</f>
        <v>C55-000-587-7998-4</v>
      </c>
      <c r="AK1111" t="str">
        <f>"17966"</f>
        <v>17966</v>
      </c>
      <c r="AL1111">
        <v>4</v>
      </c>
      <c r="AM1111">
        <v>1274</v>
      </c>
      <c r="AN1111">
        <v>203.92</v>
      </c>
      <c r="AQ1111" t="s">
        <v>11389</v>
      </c>
      <c r="AR1111" t="s">
        <v>11389</v>
      </c>
      <c r="AS1111" t="s">
        <v>11389</v>
      </c>
      <c r="AU1111" t="s">
        <v>396</v>
      </c>
      <c r="AV1111">
        <v>2017</v>
      </c>
      <c r="AW1111" t="str">
        <f>"35-4N-26-0000-0001-0050 "</f>
        <v xml:space="preserve">35-4N-26-0000-0001-0050 </v>
      </c>
      <c r="AZ1111" t="s">
        <v>11185</v>
      </c>
      <c r="BD1111" t="s">
        <v>2387</v>
      </c>
      <c r="BE1111" t="s">
        <v>393</v>
      </c>
      <c r="BF1111">
        <v>32097</v>
      </c>
      <c r="BG1111" t="s">
        <v>11185</v>
      </c>
      <c r="BH1111" t="s">
        <v>2388</v>
      </c>
      <c r="BI1111">
        <v>-81.675376768383103</v>
      </c>
      <c r="BJ1111">
        <v>30.718717032089199</v>
      </c>
      <c r="BK1111" t="s">
        <v>11390</v>
      </c>
      <c r="BM1111" t="s">
        <v>11391</v>
      </c>
      <c r="BN1111" t="s">
        <v>1778</v>
      </c>
      <c r="BO1111">
        <v>32097</v>
      </c>
      <c r="BP1111" t="s">
        <v>404</v>
      </c>
      <c r="BQ1111">
        <v>1000</v>
      </c>
      <c r="BR1111" t="s">
        <v>2391</v>
      </c>
      <c r="BS1111">
        <v>8002</v>
      </c>
      <c r="BT1111" t="s">
        <v>2392</v>
      </c>
      <c r="BW1111">
        <v>43560</v>
      </c>
      <c r="BX1111" t="s">
        <v>407</v>
      </c>
      <c r="BY1111" t="s">
        <v>10933</v>
      </c>
      <c r="CD1111">
        <v>2017</v>
      </c>
      <c r="CE1111">
        <v>10500</v>
      </c>
      <c r="CG1111">
        <v>10500</v>
      </c>
      <c r="CH1111">
        <v>2017</v>
      </c>
      <c r="CI1111">
        <v>10500</v>
      </c>
      <c r="CK1111">
        <v>10500</v>
      </c>
      <c r="CL1111">
        <v>2017</v>
      </c>
      <c r="CM1111">
        <v>158.96</v>
      </c>
      <c r="CN1111" s="1">
        <v>42746</v>
      </c>
      <c r="CO1111">
        <v>35000</v>
      </c>
      <c r="CV1111">
        <v>0</v>
      </c>
      <c r="CZ1111" s="1">
        <v>42746</v>
      </c>
      <c r="DA1111">
        <v>0</v>
      </c>
      <c r="DD1111" t="s">
        <v>2387</v>
      </c>
      <c r="DG1111">
        <v>35</v>
      </c>
      <c r="DL1111">
        <v>50301</v>
      </c>
      <c r="DM1111" t="s">
        <v>11392</v>
      </c>
      <c r="DO1111" t="s">
        <v>11393</v>
      </c>
      <c r="DP1111">
        <v>0</v>
      </c>
      <c r="DQ1111">
        <v>0</v>
      </c>
      <c r="DR1111" t="s">
        <v>411</v>
      </c>
    </row>
    <row r="1112" spans="1:284" x14ac:dyDescent="0.25">
      <c r="A1112">
        <v>16486119</v>
      </c>
      <c r="B1112">
        <v>1111</v>
      </c>
      <c r="C1112" t="s">
        <v>393</v>
      </c>
      <c r="D1112" t="s">
        <v>394</v>
      </c>
      <c r="F1112" t="str">
        <f>"35-4N-26-0000-0001-0100"</f>
        <v>35-4N-26-0000-0001-0100</v>
      </c>
      <c r="H1112" t="str">
        <f>"GET &amp; SAVE LLC"</f>
        <v>GET &amp; SAVE LLC</v>
      </c>
      <c r="I1112" t="str">
        <f>"852426 NORTH HWY 17"</f>
        <v>852426 NORTH HWY 17</v>
      </c>
      <c r="J1112" t="str">
        <f>"YULEE FL 32097"</f>
        <v>YULEE FL 32097</v>
      </c>
      <c r="K1112" t="str">
        <f>"US HWY 17"</f>
        <v>US HWY 17</v>
      </c>
      <c r="L1112" t="str">
        <f t="shared" si="365"/>
        <v>YULEE FL 32097</v>
      </c>
      <c r="M1112" t="str">
        <f>"PT OF SE1/4 OF SEC 35-4N-26E IN OR 1981/1586"</f>
        <v>PT OF SE1/4 OF SEC 35-4N-26E IN OR 1981/1586</v>
      </c>
      <c r="N1112" t="str">
        <f>""</f>
        <v/>
      </c>
      <c r="O1112" t="str">
        <f>"41962"</f>
        <v>41962</v>
      </c>
      <c r="P1112" t="str">
        <f t="shared" si="360"/>
        <v>2017</v>
      </c>
      <c r="Q1112" t="str">
        <f>""</f>
        <v/>
      </c>
      <c r="R1112" t="str">
        <f t="shared" si="364"/>
        <v>N</v>
      </c>
      <c r="S1112" t="str">
        <f>"0.48"</f>
        <v>0.48</v>
      </c>
      <c r="T1112" t="str">
        <f>"43.59"</f>
        <v>43.59</v>
      </c>
      <c r="U1112" t="str">
        <f>"2880.00"</f>
        <v>2880.00</v>
      </c>
      <c r="V1112" t="str">
        <f>"2880.00"</f>
        <v>2880.00</v>
      </c>
      <c r="W1112" t="str">
        <f t="shared" si="361"/>
        <v>2017</v>
      </c>
      <c r="X1112" t="str">
        <f>"6.00"</f>
        <v>6.00</v>
      </c>
      <c r="Y1112" t="str">
        <f>"76.90"</f>
        <v>76.90</v>
      </c>
      <c r="Z1112" t="str">
        <f>""</f>
        <v/>
      </c>
      <c r="AA1112" t="str">
        <f>"2880.00"</f>
        <v>2880.00</v>
      </c>
      <c r="AB1112" t="str">
        <f>"Commercial"</f>
        <v>Commercial</v>
      </c>
      <c r="AC1112" t="str">
        <f t="shared" ref="AC1112:AC1175" si="366">"0"</f>
        <v>0</v>
      </c>
      <c r="AD1112" t="str">
        <f>""</f>
        <v/>
      </c>
      <c r="AE1112" t="str">
        <f>""</f>
        <v/>
      </c>
      <c r="AF1112" t="str">
        <f>"010"</f>
        <v>010</v>
      </c>
      <c r="AG1112" t="str">
        <f>"FL"</f>
        <v>FL</v>
      </c>
      <c r="AH1112" t="str">
        <f>"20908.00"</f>
        <v>20908.00</v>
      </c>
      <c r="AI1112" t="str">
        <f>"2880.00"</f>
        <v>2880.00</v>
      </c>
      <c r="AJ1112" t="str">
        <f>"C55-001-028-2441-4"</f>
        <v>C55-001-028-2441-4</v>
      </c>
      <c r="AK1112" t="str">
        <f>"17968"</f>
        <v>17968</v>
      </c>
      <c r="AL1112">
        <v>4</v>
      </c>
      <c r="AM1112">
        <v>1275</v>
      </c>
      <c r="AN1112">
        <v>79.150000000000006</v>
      </c>
      <c r="AQ1112" t="s">
        <v>11394</v>
      </c>
      <c r="AR1112" t="s">
        <v>11394</v>
      </c>
      <c r="AS1112" t="s">
        <v>11394</v>
      </c>
      <c r="AU1112" t="s">
        <v>396</v>
      </c>
      <c r="AV1112">
        <v>2017</v>
      </c>
      <c r="AW1112" t="str">
        <f>"35-4N-26-0000-0001-0100 "</f>
        <v xml:space="preserve">35-4N-26-0000-0001-0100 </v>
      </c>
      <c r="AZ1112" t="s">
        <v>11185</v>
      </c>
      <c r="BD1112" t="s">
        <v>2387</v>
      </c>
      <c r="BE1112" t="s">
        <v>393</v>
      </c>
      <c r="BF1112">
        <v>32097</v>
      </c>
      <c r="BG1112" t="s">
        <v>11185</v>
      </c>
      <c r="BH1112" t="s">
        <v>2388</v>
      </c>
      <c r="BI1112">
        <v>-81.675073720931593</v>
      </c>
      <c r="BJ1112">
        <v>30.718149210448299</v>
      </c>
      <c r="BK1112" t="s">
        <v>11390</v>
      </c>
      <c r="BM1112" t="s">
        <v>11395</v>
      </c>
      <c r="BN1112" t="s">
        <v>1778</v>
      </c>
      <c r="BO1112">
        <v>32097</v>
      </c>
      <c r="BP1112" t="s">
        <v>404</v>
      </c>
      <c r="BQ1112">
        <v>1000</v>
      </c>
      <c r="BR1112" t="s">
        <v>2391</v>
      </c>
      <c r="BS1112">
        <v>8002</v>
      </c>
      <c r="BT1112" t="s">
        <v>2392</v>
      </c>
      <c r="BW1112">
        <v>20908</v>
      </c>
      <c r="BX1112" t="s">
        <v>407</v>
      </c>
      <c r="BY1112" t="s">
        <v>10933</v>
      </c>
      <c r="CD1112">
        <v>2017</v>
      </c>
      <c r="CE1112">
        <v>2880</v>
      </c>
      <c r="CG1112">
        <v>2880</v>
      </c>
      <c r="CH1112">
        <v>2017</v>
      </c>
      <c r="CI1112">
        <v>2880</v>
      </c>
      <c r="CK1112">
        <v>2880</v>
      </c>
      <c r="CL1112">
        <v>2017</v>
      </c>
      <c r="CM1112">
        <v>43.59</v>
      </c>
      <c r="CN1112" s="1">
        <v>42150</v>
      </c>
      <c r="CZ1112" s="1">
        <v>42150</v>
      </c>
      <c r="DD1112" t="s">
        <v>2387</v>
      </c>
      <c r="DG1112">
        <v>35</v>
      </c>
      <c r="DL1112">
        <v>50301</v>
      </c>
      <c r="DM1112" t="s">
        <v>11392</v>
      </c>
      <c r="DO1112" t="s">
        <v>11396</v>
      </c>
      <c r="DP1112">
        <v>0</v>
      </c>
      <c r="DQ1112">
        <v>3</v>
      </c>
      <c r="DR1112" t="s">
        <v>411</v>
      </c>
      <c r="DS1112" t="b">
        <v>1</v>
      </c>
      <c r="DT1112" t="s">
        <v>470</v>
      </c>
      <c r="DU1112" t="s">
        <v>471</v>
      </c>
      <c r="DV1112" t="s">
        <v>472</v>
      </c>
      <c r="DX1112">
        <v>-9999</v>
      </c>
      <c r="DZ1112" t="s">
        <v>447</v>
      </c>
      <c r="EA1112" t="s">
        <v>448</v>
      </c>
      <c r="EB1112" t="s">
        <v>742</v>
      </c>
      <c r="EC1112">
        <v>20101217</v>
      </c>
      <c r="ED1112" t="s">
        <v>474</v>
      </c>
      <c r="EF1112">
        <v>4183.1000000000004</v>
      </c>
      <c r="EG1112">
        <v>3565.5</v>
      </c>
      <c r="EI1112">
        <v>20160407</v>
      </c>
      <c r="EJ1112">
        <v>0</v>
      </c>
      <c r="EK1112">
        <v>0</v>
      </c>
      <c r="EP1112" t="s">
        <v>6</v>
      </c>
      <c r="EQ1112" t="s">
        <v>422</v>
      </c>
      <c r="ER1112">
        <v>0</v>
      </c>
      <c r="ES1112">
        <v>1</v>
      </c>
      <c r="ET1112">
        <v>0</v>
      </c>
      <c r="EU1112">
        <v>0</v>
      </c>
      <c r="EV1112">
        <v>0</v>
      </c>
      <c r="EW1112" s="2">
        <v>43222</v>
      </c>
      <c r="EX1112" s="1">
        <v>42515</v>
      </c>
      <c r="EY1112">
        <v>2015</v>
      </c>
      <c r="EZ1112">
        <v>70.97</v>
      </c>
      <c r="FA1112" t="s">
        <v>11397</v>
      </c>
      <c r="FB1112">
        <v>18</v>
      </c>
      <c r="FC1112" t="s">
        <v>603</v>
      </c>
      <c r="FD1112" t="s">
        <v>425</v>
      </c>
      <c r="FE1112" s="1">
        <v>42683</v>
      </c>
      <c r="FF1112">
        <v>6</v>
      </c>
      <c r="FG1112">
        <v>9999999</v>
      </c>
      <c r="FH1112" t="s">
        <v>604</v>
      </c>
    </row>
    <row r="1113" spans="1:284" x14ac:dyDescent="0.25">
      <c r="A1113">
        <v>16486120</v>
      </c>
      <c r="B1113">
        <v>1112</v>
      </c>
      <c r="C1113" t="s">
        <v>393</v>
      </c>
      <c r="D1113" t="s">
        <v>394</v>
      </c>
      <c r="F1113" t="str">
        <f>"36-4N-26-0000-0001-0010"</f>
        <v>36-4N-26-0000-0001-0010</v>
      </c>
      <c r="H1113" t="str">
        <f>"HORNE ELWIN G &amp; ANN C (JTROS)"</f>
        <v>HORNE ELWIN G &amp; ANN C (JTROS)</v>
      </c>
      <c r="I1113" t="str">
        <f>"174 GREENVILLE RD"</f>
        <v>174 GREENVILLE RD</v>
      </c>
      <c r="J1113" t="str">
        <f>"KINGSLAND GA 31548"</f>
        <v>KINGSLAND GA 31548</v>
      </c>
      <c r="K1113" t="str">
        <f>"HANCE PKWY"</f>
        <v>HANCE PKWY</v>
      </c>
      <c r="L1113" t="str">
        <f t="shared" si="365"/>
        <v>YULEE FL 32097</v>
      </c>
      <c r="M1113" t="str">
        <f>"PT OR 1641/1573 (EX 1-2)"</f>
        <v>PT OR 1641/1573 (EX 1-2)</v>
      </c>
      <c r="N1113" t="str">
        <f>""</f>
        <v/>
      </c>
      <c r="O1113" t="str">
        <f>"42222"</f>
        <v>42222</v>
      </c>
      <c r="P1113" t="str">
        <f t="shared" si="360"/>
        <v>2017</v>
      </c>
      <c r="Q1113" t="str">
        <f>""</f>
        <v/>
      </c>
      <c r="R1113" t="str">
        <f t="shared" si="364"/>
        <v>N</v>
      </c>
      <c r="S1113" t="str">
        <f>"13.34"</f>
        <v>13.34</v>
      </c>
      <c r="T1113" t="str">
        <f>"1667.56"</f>
        <v>1667.56</v>
      </c>
      <c r="U1113" t="str">
        <f>"110151.00"</f>
        <v>110151.00</v>
      </c>
      <c r="V1113" t="str">
        <f>"110151.00"</f>
        <v>110151.00</v>
      </c>
      <c r="W1113" t="str">
        <f t="shared" si="361"/>
        <v>2017</v>
      </c>
      <c r="X1113" t="str">
        <f>"22.50"</f>
        <v>22.50</v>
      </c>
      <c r="Y1113" t="str">
        <f>"1749.59"</f>
        <v>1749.59</v>
      </c>
      <c r="Z1113" t="str">
        <f>""</f>
        <v/>
      </c>
      <c r="AA1113" t="str">
        <f>"110151.00"</f>
        <v>110151.00</v>
      </c>
      <c r="AB1113" t="str">
        <f>"Agricultural"</f>
        <v>Agricultural</v>
      </c>
      <c r="AC1113" t="str">
        <f t="shared" si="366"/>
        <v>0</v>
      </c>
      <c r="AD1113" t="str">
        <f>""</f>
        <v/>
      </c>
      <c r="AE1113" t="str">
        <f>""</f>
        <v/>
      </c>
      <c r="AF1113" t="str">
        <f>"056"</f>
        <v>056</v>
      </c>
      <c r="AG1113" t="str">
        <f>"GA"</f>
        <v>GA</v>
      </c>
      <c r="AH1113" t="str">
        <f>"581090.00"</f>
        <v>581090.00</v>
      </c>
      <c r="AI1113" t="str">
        <f>"110151.00"</f>
        <v>110151.00</v>
      </c>
      <c r="AJ1113" t="str">
        <f>"C55-000-587-8225-1"</f>
        <v>C55-000-587-8225-1</v>
      </c>
      <c r="AK1113" t="str">
        <f>"17972"</f>
        <v>17972</v>
      </c>
      <c r="AL1113">
        <v>4</v>
      </c>
      <c r="AM1113">
        <v>1276</v>
      </c>
      <c r="AN1113">
        <v>1835.47</v>
      </c>
      <c r="AQ1113" t="s">
        <v>11398</v>
      </c>
      <c r="AR1113" t="s">
        <v>11398</v>
      </c>
      <c r="AS1113" t="s">
        <v>11398</v>
      </c>
      <c r="AU1113" t="s">
        <v>396</v>
      </c>
      <c r="AV1113">
        <v>2017</v>
      </c>
      <c r="AW1113" t="str">
        <f>"36-4N-26-0000-0001-0010 "</f>
        <v xml:space="preserve">36-4N-26-0000-0001-0010 </v>
      </c>
      <c r="AZ1113" t="s">
        <v>11137</v>
      </c>
      <c r="BA1113" t="s">
        <v>11138</v>
      </c>
      <c r="BD1113" t="s">
        <v>2387</v>
      </c>
      <c r="BE1113" t="s">
        <v>393</v>
      </c>
      <c r="BF1113">
        <v>32097</v>
      </c>
      <c r="BG1113" t="s">
        <v>11139</v>
      </c>
      <c r="BH1113" t="s">
        <v>2388</v>
      </c>
      <c r="BI1113">
        <v>-81.665986869508103</v>
      </c>
      <c r="BJ1113">
        <v>30.718841161317901</v>
      </c>
      <c r="BK1113" t="s">
        <v>11140</v>
      </c>
      <c r="BL1113" t="s">
        <v>11141</v>
      </c>
      <c r="BM1113" t="s">
        <v>11142</v>
      </c>
      <c r="BN1113" t="s">
        <v>11143</v>
      </c>
      <c r="BO1113">
        <v>31548</v>
      </c>
      <c r="BP1113" t="s">
        <v>404</v>
      </c>
      <c r="BQ1113">
        <v>5600</v>
      </c>
      <c r="BR1113" t="s">
        <v>417</v>
      </c>
      <c r="BS1113">
        <v>7009</v>
      </c>
      <c r="BT1113" t="s">
        <v>418</v>
      </c>
      <c r="BW1113">
        <v>581090</v>
      </c>
      <c r="BX1113" t="s">
        <v>407</v>
      </c>
      <c r="CD1113">
        <v>2017</v>
      </c>
      <c r="CG1113">
        <v>110151</v>
      </c>
      <c r="CH1113">
        <v>2017</v>
      </c>
      <c r="CI1113">
        <v>110151</v>
      </c>
      <c r="CJ1113">
        <v>22656</v>
      </c>
      <c r="CK1113">
        <v>132807</v>
      </c>
      <c r="CL1113">
        <v>2017</v>
      </c>
      <c r="CM1113">
        <v>1667.56</v>
      </c>
      <c r="CN1113" s="1">
        <v>40079</v>
      </c>
      <c r="CZ1113" s="1">
        <v>40079</v>
      </c>
      <c r="DD1113" t="s">
        <v>2387</v>
      </c>
      <c r="DG1113">
        <v>36</v>
      </c>
      <c r="DM1113" t="s">
        <v>11399</v>
      </c>
      <c r="DO1113" t="s">
        <v>11400</v>
      </c>
      <c r="DP1113">
        <v>0</v>
      </c>
      <c r="DQ1113">
        <v>0</v>
      </c>
      <c r="DR1113" t="s">
        <v>411</v>
      </c>
      <c r="DS1113" t="b">
        <v>1</v>
      </c>
      <c r="DT1113" t="s">
        <v>470</v>
      </c>
      <c r="DU1113" t="s">
        <v>471</v>
      </c>
      <c r="DV1113" t="s">
        <v>472</v>
      </c>
      <c r="DX1113">
        <v>-9999</v>
      </c>
      <c r="DZ1113" t="s">
        <v>447</v>
      </c>
      <c r="EA1113" t="s">
        <v>448</v>
      </c>
      <c r="EB1113" t="s">
        <v>742</v>
      </c>
      <c r="EC1113">
        <v>20101217</v>
      </c>
      <c r="ED1113" t="s">
        <v>474</v>
      </c>
      <c r="EF1113">
        <v>1461.9</v>
      </c>
      <c r="EG1113">
        <v>1260.3</v>
      </c>
      <c r="EI1113">
        <v>20160407</v>
      </c>
      <c r="EJ1113">
        <v>0</v>
      </c>
      <c r="EK1113">
        <v>0</v>
      </c>
      <c r="EP1113" t="s">
        <v>421</v>
      </c>
      <c r="EQ1113" t="s">
        <v>422</v>
      </c>
      <c r="ER1113">
        <v>1</v>
      </c>
      <c r="ES1113">
        <v>9</v>
      </c>
      <c r="ET1113">
        <v>1854.14</v>
      </c>
      <c r="EU1113">
        <v>98.96</v>
      </c>
      <c r="EV1113">
        <v>1953.1</v>
      </c>
      <c r="EW1113" s="2">
        <v>43222</v>
      </c>
      <c r="EX1113" s="1">
        <v>42879</v>
      </c>
      <c r="EY1113">
        <v>2016</v>
      </c>
      <c r="EZ1113">
        <v>1854.14</v>
      </c>
      <c r="FA1113" t="s">
        <v>11401</v>
      </c>
      <c r="FB1113">
        <v>4.75</v>
      </c>
      <c r="FC1113" t="s">
        <v>424</v>
      </c>
      <c r="FD1113" t="s">
        <v>454</v>
      </c>
      <c r="FF1113">
        <v>12</v>
      </c>
      <c r="FG1113">
        <v>1155951</v>
      </c>
      <c r="FH1113" t="s">
        <v>1451</v>
      </c>
      <c r="FJ1113" s="1">
        <v>42515</v>
      </c>
      <c r="FK1113">
        <v>2015</v>
      </c>
      <c r="FL1113">
        <v>1892.71</v>
      </c>
      <c r="FM1113" t="s">
        <v>11402</v>
      </c>
      <c r="FN1113">
        <v>0.25</v>
      </c>
      <c r="FO1113" t="s">
        <v>424</v>
      </c>
      <c r="FP1113" t="s">
        <v>425</v>
      </c>
      <c r="FQ1113" s="1">
        <v>43140</v>
      </c>
      <c r="FR1113">
        <v>21</v>
      </c>
      <c r="FS1113">
        <v>13139</v>
      </c>
      <c r="FT1113" t="s">
        <v>955</v>
      </c>
      <c r="FV1113" s="1">
        <v>42151</v>
      </c>
      <c r="FW1113">
        <v>2014</v>
      </c>
      <c r="FX1113">
        <v>1901.33</v>
      </c>
      <c r="FY1113" t="s">
        <v>11403</v>
      </c>
      <c r="FZ1113">
        <v>0.25</v>
      </c>
      <c r="GA1113" t="s">
        <v>424</v>
      </c>
      <c r="GB1113" t="s">
        <v>425</v>
      </c>
      <c r="GD1113">
        <v>22</v>
      </c>
      <c r="GE1113">
        <v>4975594</v>
      </c>
      <c r="GF1113" t="s">
        <v>457</v>
      </c>
      <c r="GH1113" s="1">
        <v>42151</v>
      </c>
      <c r="GI1113">
        <v>2014</v>
      </c>
      <c r="GJ1113">
        <v>1901.33</v>
      </c>
      <c r="GK1113" t="s">
        <v>11403</v>
      </c>
      <c r="GL1113">
        <v>0.25</v>
      </c>
      <c r="GM1113" t="s">
        <v>424</v>
      </c>
      <c r="GN1113" t="s">
        <v>425</v>
      </c>
      <c r="GP1113">
        <v>22</v>
      </c>
      <c r="GQ1113">
        <v>6677607</v>
      </c>
      <c r="GR1113" t="s">
        <v>11404</v>
      </c>
      <c r="GT1113" s="1">
        <v>42151</v>
      </c>
      <c r="GU1113">
        <v>2014</v>
      </c>
      <c r="GV1113">
        <v>1901.33</v>
      </c>
      <c r="GW1113" t="s">
        <v>11403</v>
      </c>
      <c r="GX1113">
        <v>0.25</v>
      </c>
      <c r="GY1113" t="s">
        <v>424</v>
      </c>
      <c r="GZ1113" t="s">
        <v>425</v>
      </c>
      <c r="HA1113" s="1">
        <v>43140</v>
      </c>
      <c r="HB1113">
        <v>33</v>
      </c>
      <c r="HC1113">
        <v>7685299</v>
      </c>
      <c r="HD1113" t="s">
        <v>11405</v>
      </c>
      <c r="HF1113" s="1">
        <v>41787</v>
      </c>
      <c r="HG1113">
        <v>2013</v>
      </c>
      <c r="HH1113">
        <v>1799.3</v>
      </c>
      <c r="HI1113" t="s">
        <v>11406</v>
      </c>
      <c r="HJ1113">
        <v>3.75</v>
      </c>
      <c r="HK1113" t="s">
        <v>424</v>
      </c>
      <c r="HL1113" t="s">
        <v>425</v>
      </c>
      <c r="HM1113" s="1">
        <v>43140</v>
      </c>
      <c r="HN1113">
        <v>45</v>
      </c>
      <c r="HO1113">
        <v>1155951</v>
      </c>
      <c r="HP1113" t="s">
        <v>1451</v>
      </c>
      <c r="HR1113" s="1">
        <v>41423</v>
      </c>
      <c r="HS1113">
        <v>2012</v>
      </c>
      <c r="HT1113">
        <v>1817.56</v>
      </c>
      <c r="HU1113" t="s">
        <v>11407</v>
      </c>
      <c r="HV1113">
        <v>0.25</v>
      </c>
      <c r="HW1113" t="s">
        <v>424</v>
      </c>
      <c r="HX1113" t="s">
        <v>425</v>
      </c>
      <c r="HY1113" s="1">
        <v>42044</v>
      </c>
      <c r="HZ1113">
        <v>21</v>
      </c>
      <c r="IA1113">
        <v>1155951</v>
      </c>
      <c r="IB1113" t="s">
        <v>1451</v>
      </c>
      <c r="ID1113" s="1">
        <v>41052</v>
      </c>
      <c r="IE1113">
        <v>2011</v>
      </c>
      <c r="IF1113">
        <v>1840.98</v>
      </c>
      <c r="IG1113" t="s">
        <v>11408</v>
      </c>
      <c r="IH1113">
        <v>5.75</v>
      </c>
      <c r="II1113" t="s">
        <v>424</v>
      </c>
      <c r="IJ1113" t="s">
        <v>425</v>
      </c>
      <c r="IK1113" s="1">
        <v>41631</v>
      </c>
      <c r="IL1113">
        <v>19</v>
      </c>
      <c r="IM1113">
        <v>1625515</v>
      </c>
      <c r="IN1113" t="s">
        <v>487</v>
      </c>
      <c r="IP1113" s="1">
        <v>41052</v>
      </c>
      <c r="IQ1113">
        <v>2011</v>
      </c>
      <c r="IR1113">
        <v>1840.98</v>
      </c>
      <c r="IS1113" t="s">
        <v>11408</v>
      </c>
      <c r="IT1113">
        <v>5.75</v>
      </c>
      <c r="IU1113" t="s">
        <v>424</v>
      </c>
      <c r="IV1113" t="s">
        <v>425</v>
      </c>
      <c r="IX1113">
        <v>22</v>
      </c>
      <c r="IY1113">
        <v>10579</v>
      </c>
      <c r="IZ1113" t="s">
        <v>488</v>
      </c>
      <c r="JB1113" s="1">
        <v>40688</v>
      </c>
      <c r="JC1113">
        <v>2010</v>
      </c>
      <c r="JD1113">
        <v>1838.94</v>
      </c>
      <c r="JE1113" t="s">
        <v>11409</v>
      </c>
      <c r="JF1113">
        <v>6.5</v>
      </c>
      <c r="JG1113" t="s">
        <v>424</v>
      </c>
      <c r="JH1113" t="s">
        <v>425</v>
      </c>
      <c r="JI1113" s="1">
        <v>41327</v>
      </c>
      <c r="JJ1113">
        <v>21</v>
      </c>
      <c r="JK1113">
        <v>10579</v>
      </c>
      <c r="JL1113" t="s">
        <v>488</v>
      </c>
    </row>
    <row r="1114" spans="1:284" x14ac:dyDescent="0.25">
      <c r="A1114">
        <v>16486121</v>
      </c>
      <c r="B1114">
        <v>1113</v>
      </c>
      <c r="C1114" t="s">
        <v>393</v>
      </c>
      <c r="D1114" t="s">
        <v>394</v>
      </c>
      <c r="F1114" t="str">
        <f>"38-4N-26-0000-0001-0010"</f>
        <v>38-4N-26-0000-0001-0010</v>
      </c>
      <c r="H1114" t="str">
        <f>"HORNE ELWIN G &amp; ANN C (JTROS)"</f>
        <v>HORNE ELWIN G &amp; ANN C (JTROS)</v>
      </c>
      <c r="I1114" t="str">
        <f>"174 GREENVILLE RD"</f>
        <v>174 GREENVILLE RD</v>
      </c>
      <c r="J1114" t="str">
        <f>"KINGSLAND GA 31548"</f>
        <v>KINGSLAND GA 31548</v>
      </c>
      <c r="K1114" t="str">
        <f>"HORNE LAKE PKWY"</f>
        <v>HORNE LAKE PKWY</v>
      </c>
      <c r="L1114" t="str">
        <f t="shared" si="365"/>
        <v>YULEE FL 32097</v>
      </c>
      <c r="M1114" t="str">
        <f>"PT OR 1641/1573 EX 1-2"</f>
        <v>PT OR 1641/1573 EX 1-2</v>
      </c>
      <c r="N1114" t="str">
        <f>""</f>
        <v/>
      </c>
      <c r="O1114" t="str">
        <f>"45896"</f>
        <v>45896</v>
      </c>
      <c r="P1114" t="str">
        <f t="shared" si="360"/>
        <v>2017</v>
      </c>
      <c r="Q1114" t="str">
        <f>""</f>
        <v/>
      </c>
      <c r="R1114" t="str">
        <f t="shared" si="364"/>
        <v>N</v>
      </c>
      <c r="S1114" t="str">
        <f>"9.67"</f>
        <v>9.67</v>
      </c>
      <c r="T1114" t="str">
        <f>"42.44"</f>
        <v>42.44</v>
      </c>
      <c r="U1114" t="str">
        <f>"2804.00"</f>
        <v>2804.00</v>
      </c>
      <c r="V1114" t="str">
        <f>"2804.00"</f>
        <v>2804.00</v>
      </c>
      <c r="W1114" t="str">
        <f t="shared" si="361"/>
        <v>2017</v>
      </c>
      <c r="X1114" t="str">
        <f>"15.83"</f>
        <v>15.83</v>
      </c>
      <c r="Y1114" t="str">
        <f>"75.71"</f>
        <v>75.71</v>
      </c>
      <c r="Z1114" t="str">
        <f>""</f>
        <v/>
      </c>
      <c r="AA1114" t="str">
        <f>"2804.00"</f>
        <v>2804.00</v>
      </c>
      <c r="AB1114" t="str">
        <f>"Agricultural"</f>
        <v>Agricultural</v>
      </c>
      <c r="AC1114" t="str">
        <f t="shared" si="366"/>
        <v>0</v>
      </c>
      <c r="AD1114" t="str">
        <f>""</f>
        <v/>
      </c>
      <c r="AE1114" t="str">
        <f>""</f>
        <v/>
      </c>
      <c r="AF1114" t="str">
        <f>"056"</f>
        <v>056</v>
      </c>
      <c r="AG1114" t="str">
        <f>"GA"</f>
        <v>GA</v>
      </c>
      <c r="AH1114" t="str">
        <f>"421225.00"</f>
        <v>421225.00</v>
      </c>
      <c r="AI1114" t="str">
        <f>"2804.00"</f>
        <v>2804.00</v>
      </c>
      <c r="AJ1114" t="str">
        <f>"C55-000-588-0625-8"</f>
        <v>C55-000-588-0625-8</v>
      </c>
      <c r="AK1114" t="str">
        <f>"17975"</f>
        <v>17975</v>
      </c>
      <c r="AL1114">
        <v>4</v>
      </c>
      <c r="AM1114">
        <v>1277</v>
      </c>
      <c r="AN1114">
        <v>77.900000000000006</v>
      </c>
      <c r="AQ1114" t="s">
        <v>11410</v>
      </c>
      <c r="AR1114" t="s">
        <v>11410</v>
      </c>
      <c r="AS1114" t="s">
        <v>11410</v>
      </c>
      <c r="AU1114" t="s">
        <v>396</v>
      </c>
      <c r="AV1114">
        <v>2017</v>
      </c>
      <c r="AW1114" t="str">
        <f>"38-4N-26-0000-0001-0010 "</f>
        <v xml:space="preserve">38-4N-26-0000-0001-0010 </v>
      </c>
      <c r="AZ1114" t="s">
        <v>11154</v>
      </c>
      <c r="BA1114" t="s">
        <v>11138</v>
      </c>
      <c r="BD1114" t="s">
        <v>2387</v>
      </c>
      <c r="BE1114" t="s">
        <v>393</v>
      </c>
      <c r="BF1114">
        <v>32097</v>
      </c>
      <c r="BG1114" t="s">
        <v>11411</v>
      </c>
      <c r="BH1114" t="s">
        <v>2388</v>
      </c>
      <c r="BI1114">
        <v>-81.663510819062395</v>
      </c>
      <c r="BJ1114">
        <v>30.718309833823</v>
      </c>
      <c r="BK1114" t="s">
        <v>11140</v>
      </c>
      <c r="BL1114" t="s">
        <v>11141</v>
      </c>
      <c r="BM1114" t="s">
        <v>11142</v>
      </c>
      <c r="BN1114" t="s">
        <v>11143</v>
      </c>
      <c r="BO1114">
        <v>31548</v>
      </c>
      <c r="BP1114" t="s">
        <v>404</v>
      </c>
      <c r="BQ1114">
        <v>5600</v>
      </c>
      <c r="BR1114" t="s">
        <v>417</v>
      </c>
      <c r="BS1114">
        <v>7009</v>
      </c>
      <c r="BT1114" t="s">
        <v>418</v>
      </c>
      <c r="BW1114">
        <v>421225</v>
      </c>
      <c r="BX1114" t="s">
        <v>407</v>
      </c>
      <c r="BY1114" t="s">
        <v>408</v>
      </c>
      <c r="CD1114">
        <v>2017</v>
      </c>
      <c r="CG1114">
        <v>2804</v>
      </c>
      <c r="CH1114">
        <v>2017</v>
      </c>
      <c r="CI1114">
        <v>2804</v>
      </c>
      <c r="CJ1114">
        <v>55216</v>
      </c>
      <c r="CK1114">
        <v>58020</v>
      </c>
      <c r="CL1114">
        <v>2017</v>
      </c>
      <c r="CM1114">
        <v>42.44</v>
      </c>
      <c r="CN1114" s="1">
        <v>40079</v>
      </c>
      <c r="CZ1114" s="1">
        <v>40079</v>
      </c>
      <c r="DD1114" t="s">
        <v>2387</v>
      </c>
      <c r="DG1114">
        <v>38</v>
      </c>
      <c r="DM1114" t="s">
        <v>11412</v>
      </c>
      <c r="DO1114" t="s">
        <v>11413</v>
      </c>
      <c r="DP1114">
        <v>0</v>
      </c>
      <c r="DQ1114">
        <v>0</v>
      </c>
      <c r="DR1114" t="s">
        <v>411</v>
      </c>
      <c r="DS1114" t="b">
        <v>1</v>
      </c>
      <c r="DT1114" t="s">
        <v>470</v>
      </c>
      <c r="DU1114" t="s">
        <v>471</v>
      </c>
      <c r="DV1114" t="s">
        <v>472</v>
      </c>
      <c r="DX1114">
        <v>-9999</v>
      </c>
      <c r="DZ1114" t="s">
        <v>447</v>
      </c>
      <c r="EA1114" t="s">
        <v>448</v>
      </c>
      <c r="EB1114" t="s">
        <v>742</v>
      </c>
      <c r="EC1114">
        <v>20101217</v>
      </c>
      <c r="ED1114" t="s">
        <v>474</v>
      </c>
      <c r="EF1114">
        <v>4239.6000000000004</v>
      </c>
      <c r="EG1114">
        <v>4216.1000000000004</v>
      </c>
      <c r="EH1114" t="s">
        <v>451</v>
      </c>
      <c r="EI1114">
        <v>20140731</v>
      </c>
      <c r="EJ1114">
        <v>0</v>
      </c>
      <c r="EK1114">
        <v>0</v>
      </c>
      <c r="EP1114" t="s">
        <v>595</v>
      </c>
      <c r="EQ1114" t="s">
        <v>422</v>
      </c>
      <c r="ER1114">
        <v>1</v>
      </c>
      <c r="ES1114">
        <v>6</v>
      </c>
      <c r="ET1114">
        <v>70.33</v>
      </c>
      <c r="EU1114">
        <v>18.91</v>
      </c>
      <c r="EV1114">
        <v>89.24</v>
      </c>
      <c r="EW1114" s="2">
        <v>43222</v>
      </c>
      <c r="EX1114" s="1">
        <v>42879</v>
      </c>
      <c r="EY1114">
        <v>2016</v>
      </c>
      <c r="EZ1114">
        <v>70.33</v>
      </c>
      <c r="FA1114" t="s">
        <v>11414</v>
      </c>
      <c r="FB1114">
        <v>18</v>
      </c>
      <c r="FC1114" t="s">
        <v>424</v>
      </c>
      <c r="FD1114" t="s">
        <v>454</v>
      </c>
      <c r="FF1114">
        <v>12</v>
      </c>
      <c r="FG1114">
        <v>10021</v>
      </c>
      <c r="FH1114" t="s">
        <v>597</v>
      </c>
      <c r="FJ1114" s="1">
        <v>42151</v>
      </c>
      <c r="FK1114">
        <v>2014</v>
      </c>
      <c r="FL1114">
        <v>63.3</v>
      </c>
      <c r="FM1114" t="s">
        <v>11415</v>
      </c>
      <c r="FN1114">
        <v>18</v>
      </c>
      <c r="FO1114" t="s">
        <v>424</v>
      </c>
      <c r="FP1114" t="s">
        <v>425</v>
      </c>
      <c r="FQ1114" s="1">
        <v>42408</v>
      </c>
      <c r="FR1114">
        <v>9</v>
      </c>
      <c r="FS1114">
        <v>10125</v>
      </c>
      <c r="FT1114" t="s">
        <v>440</v>
      </c>
      <c r="FV1114" s="1">
        <v>41787</v>
      </c>
      <c r="FW1114">
        <v>2013</v>
      </c>
      <c r="FX1114">
        <v>57.98</v>
      </c>
      <c r="FY1114" t="s">
        <v>11416</v>
      </c>
      <c r="FZ1114">
        <v>18</v>
      </c>
      <c r="GA1114" t="s">
        <v>603</v>
      </c>
      <c r="GB1114" t="s">
        <v>425</v>
      </c>
      <c r="GD1114">
        <v>22</v>
      </c>
      <c r="GE1114">
        <v>9999999</v>
      </c>
      <c r="GF1114" t="s">
        <v>604</v>
      </c>
      <c r="GH1114" s="1">
        <v>41787</v>
      </c>
      <c r="GI1114">
        <v>2013</v>
      </c>
      <c r="GJ1114">
        <v>66.84</v>
      </c>
      <c r="GK1114" t="s">
        <v>11416</v>
      </c>
      <c r="GL1114">
        <v>18</v>
      </c>
      <c r="GM1114" t="s">
        <v>424</v>
      </c>
      <c r="GN1114" t="s">
        <v>425</v>
      </c>
      <c r="GO1114" s="1">
        <v>42408</v>
      </c>
      <c r="GP1114">
        <v>21</v>
      </c>
      <c r="GQ1114">
        <v>2101381</v>
      </c>
      <c r="GR1114" t="s">
        <v>605</v>
      </c>
      <c r="GT1114" s="1">
        <v>41423</v>
      </c>
      <c r="GU1114">
        <v>2012</v>
      </c>
      <c r="GV1114">
        <v>50.5</v>
      </c>
      <c r="GW1114" t="s">
        <v>11417</v>
      </c>
      <c r="GX1114">
        <v>9.75</v>
      </c>
      <c r="GY1114" t="s">
        <v>424</v>
      </c>
      <c r="GZ1114" t="s">
        <v>425</v>
      </c>
      <c r="HA1114" s="1">
        <v>42044</v>
      </c>
      <c r="HB1114">
        <v>21</v>
      </c>
      <c r="HC1114">
        <v>10178</v>
      </c>
      <c r="HD1114" t="s">
        <v>8022</v>
      </c>
      <c r="HF1114" s="1">
        <v>41052</v>
      </c>
      <c r="HG1114">
        <v>2011</v>
      </c>
      <c r="HH1114">
        <v>42.99</v>
      </c>
      <c r="HI1114" t="s">
        <v>11418</v>
      </c>
      <c r="HJ1114">
        <v>17.5</v>
      </c>
      <c r="HK1114" t="s">
        <v>424</v>
      </c>
      <c r="HL1114" t="s">
        <v>425</v>
      </c>
      <c r="HM1114" s="1">
        <v>41631</v>
      </c>
      <c r="HN1114">
        <v>19</v>
      </c>
      <c r="HO1114">
        <v>10020</v>
      </c>
      <c r="HP1114" t="s">
        <v>11419</v>
      </c>
      <c r="HR1114" s="1">
        <v>40688</v>
      </c>
      <c r="HS1114">
        <v>2010</v>
      </c>
      <c r="HT1114">
        <v>38.11</v>
      </c>
      <c r="HU1114" t="s">
        <v>11420</v>
      </c>
      <c r="HV1114">
        <v>6.75</v>
      </c>
      <c r="HW1114" t="s">
        <v>424</v>
      </c>
      <c r="HX1114" t="s">
        <v>425</v>
      </c>
      <c r="HY1114" s="1">
        <v>41327</v>
      </c>
      <c r="HZ1114">
        <v>21</v>
      </c>
      <c r="IA1114">
        <v>375</v>
      </c>
      <c r="IB1114" t="s">
        <v>776</v>
      </c>
    </row>
    <row r="1115" spans="1:284" x14ac:dyDescent="0.25">
      <c r="A1115">
        <v>16486122</v>
      </c>
      <c r="B1115">
        <v>1114</v>
      </c>
      <c r="C1115" t="s">
        <v>393</v>
      </c>
      <c r="D1115" t="s">
        <v>394</v>
      </c>
      <c r="F1115" t="str">
        <f>"38-4N-26-0000-0001-0020"</f>
        <v>38-4N-26-0000-0001-0020</v>
      </c>
      <c r="H1115" t="str">
        <f>"HORNE ELWIN G &amp; ANN C (JTROS)"</f>
        <v>HORNE ELWIN G &amp; ANN C (JTROS)</v>
      </c>
      <c r="I1115" t="str">
        <f>"174 GREENVILLE RD"</f>
        <v>174 GREENVILLE RD</v>
      </c>
      <c r="J1115" t="str">
        <f>"KINGSLAND GA 31548"</f>
        <v>KINGSLAND GA 31548</v>
      </c>
      <c r="K1115" t="str">
        <f>"77780 HORNE LAKE CIR"</f>
        <v>77780 HORNE LAKE CIR</v>
      </c>
      <c r="L1115" t="str">
        <f t="shared" si="365"/>
        <v>YULEE FL 32097</v>
      </c>
      <c r="M1115" t="str">
        <f>"IN OR 1641/1593"</f>
        <v>IN OR 1641/1593</v>
      </c>
      <c r="N1115" t="str">
        <f>""</f>
        <v/>
      </c>
      <c r="O1115" t="str">
        <f>"45897"</f>
        <v>45897</v>
      </c>
      <c r="P1115" t="str">
        <f t="shared" si="360"/>
        <v>2017</v>
      </c>
      <c r="Q1115" t="str">
        <f>""</f>
        <v/>
      </c>
      <c r="R1115" t="str">
        <f t="shared" si="364"/>
        <v>N</v>
      </c>
      <c r="S1115" t="str">
        <f>"1.00"</f>
        <v>1.00</v>
      </c>
      <c r="T1115" t="str">
        <f>"384.34"</f>
        <v>384.34</v>
      </c>
      <c r="U1115" t="str">
        <f>"25300.00"</f>
        <v>25300.00</v>
      </c>
      <c r="V1115" t="str">
        <f>"25300.00"</f>
        <v>25300.00</v>
      </c>
      <c r="W1115" t="str">
        <f t="shared" si="361"/>
        <v>2017</v>
      </c>
      <c r="X1115" t="str">
        <f>"18.00"</f>
        <v>18.00</v>
      </c>
      <c r="Y1115" t="str">
        <f>"427.87"</f>
        <v>427.87</v>
      </c>
      <c r="Z1115" t="str">
        <f>""</f>
        <v/>
      </c>
      <c r="AA1115" t="str">
        <f>"25500.00"</f>
        <v>25500.00</v>
      </c>
      <c r="AB1115" t="str">
        <f>"Residential"</f>
        <v>Residential</v>
      </c>
      <c r="AC1115" t="str">
        <f t="shared" si="366"/>
        <v>0</v>
      </c>
      <c r="AD1115" t="str">
        <f>""</f>
        <v/>
      </c>
      <c r="AE1115" t="str">
        <f>""</f>
        <v/>
      </c>
      <c r="AF1115" t="str">
        <f>"000"</f>
        <v>000</v>
      </c>
      <c r="AG1115" t="str">
        <f>"GA"</f>
        <v>GA</v>
      </c>
      <c r="AH1115" t="str">
        <f>"43560.00"</f>
        <v>43560.00</v>
      </c>
      <c r="AI1115" t="str">
        <f>"18000.00"</f>
        <v>18000.00</v>
      </c>
      <c r="AJ1115" t="str">
        <f>"C55-000-589-2902-7"</f>
        <v>C55-000-589-2902-7</v>
      </c>
      <c r="AK1115" t="str">
        <f>"17976"</f>
        <v>17976</v>
      </c>
      <c r="AL1115">
        <v>4</v>
      </c>
      <c r="AM1115">
        <v>1278</v>
      </c>
      <c r="AN1115">
        <v>447.66</v>
      </c>
      <c r="AQ1115" t="s">
        <v>11421</v>
      </c>
      <c r="AR1115" t="s">
        <v>11421</v>
      </c>
      <c r="AS1115" t="s">
        <v>11421</v>
      </c>
      <c r="AU1115" t="s">
        <v>396</v>
      </c>
      <c r="AV1115">
        <v>2017</v>
      </c>
      <c r="AW1115" t="str">
        <f>"38-4N-26-0000-0001-0020 "</f>
        <v xml:space="preserve">38-4N-26-0000-0001-0020 </v>
      </c>
      <c r="AX1115">
        <v>77780</v>
      </c>
      <c r="AZ1115" t="s">
        <v>11154</v>
      </c>
      <c r="BA1115" t="s">
        <v>1799</v>
      </c>
      <c r="BD1115" t="s">
        <v>2387</v>
      </c>
      <c r="BE1115" t="s">
        <v>393</v>
      </c>
      <c r="BF1115">
        <v>32097</v>
      </c>
      <c r="BG1115" t="s">
        <v>11422</v>
      </c>
      <c r="BH1115" t="s">
        <v>2388</v>
      </c>
      <c r="BI1115">
        <v>-81.662947140917396</v>
      </c>
      <c r="BJ1115">
        <v>30.718441908794201</v>
      </c>
      <c r="BK1115" t="s">
        <v>11140</v>
      </c>
      <c r="BL1115" t="s">
        <v>11141</v>
      </c>
      <c r="BM1115" t="s">
        <v>11142</v>
      </c>
      <c r="BN1115" t="s">
        <v>11143</v>
      </c>
      <c r="BO1115">
        <v>31548</v>
      </c>
      <c r="BP1115" t="s">
        <v>404</v>
      </c>
      <c r="BQ1115">
        <v>1</v>
      </c>
      <c r="BR1115" t="s">
        <v>491</v>
      </c>
      <c r="BS1115">
        <v>8001</v>
      </c>
      <c r="BT1115" t="s">
        <v>492</v>
      </c>
      <c r="BW1115">
        <v>43560</v>
      </c>
      <c r="BX1115" t="s">
        <v>407</v>
      </c>
      <c r="BY1115" t="s">
        <v>408</v>
      </c>
      <c r="CD1115">
        <v>2017</v>
      </c>
      <c r="CE1115">
        <v>18000</v>
      </c>
      <c r="CF1115">
        <v>7500</v>
      </c>
      <c r="CG1115">
        <v>25500</v>
      </c>
      <c r="CH1115">
        <v>2017</v>
      </c>
      <c r="CI1115">
        <v>18000</v>
      </c>
      <c r="CJ1115">
        <v>7500</v>
      </c>
      <c r="CK1115">
        <v>25500</v>
      </c>
      <c r="CL1115">
        <v>2017</v>
      </c>
      <c r="CM1115">
        <v>384.34</v>
      </c>
      <c r="CN1115" s="1">
        <v>40079</v>
      </c>
      <c r="CZ1115" s="1">
        <v>40079</v>
      </c>
      <c r="DD1115" t="s">
        <v>2387</v>
      </c>
      <c r="DG1115">
        <v>38</v>
      </c>
      <c r="DL1115">
        <v>50301</v>
      </c>
      <c r="DM1115" t="s">
        <v>11412</v>
      </c>
      <c r="DO1115" t="s">
        <v>11423</v>
      </c>
      <c r="DP1115">
        <v>0</v>
      </c>
      <c r="DQ1115">
        <v>0</v>
      </c>
      <c r="DR1115" t="s">
        <v>411</v>
      </c>
      <c r="DS1115" t="b">
        <v>1</v>
      </c>
      <c r="DT1115" t="s">
        <v>470</v>
      </c>
      <c r="DU1115" t="s">
        <v>471</v>
      </c>
      <c r="DV1115" t="s">
        <v>472</v>
      </c>
      <c r="DX1115">
        <v>-9999</v>
      </c>
      <c r="DZ1115" t="s">
        <v>447</v>
      </c>
      <c r="EA1115" t="s">
        <v>448</v>
      </c>
      <c r="EB1115" t="s">
        <v>742</v>
      </c>
      <c r="EC1115">
        <v>20101217</v>
      </c>
      <c r="ED1115" t="s">
        <v>474</v>
      </c>
      <c r="EF1115">
        <v>1192.4000000000001</v>
      </c>
      <c r="EG1115">
        <v>968.2</v>
      </c>
      <c r="EI1115">
        <v>20160407</v>
      </c>
      <c r="EJ1115">
        <v>0</v>
      </c>
      <c r="EK1115">
        <v>0</v>
      </c>
      <c r="EP1115" t="s">
        <v>421</v>
      </c>
      <c r="EQ1115" t="s">
        <v>422</v>
      </c>
      <c r="ER1115">
        <v>1</v>
      </c>
      <c r="ES1115">
        <v>6</v>
      </c>
      <c r="ET1115">
        <v>408.85</v>
      </c>
      <c r="EU1115">
        <v>43.05</v>
      </c>
      <c r="EV1115">
        <v>451.9</v>
      </c>
      <c r="EW1115" s="2">
        <v>43222</v>
      </c>
      <c r="EX1115" s="1">
        <v>42879</v>
      </c>
      <c r="EY1115">
        <v>2016</v>
      </c>
      <c r="EZ1115">
        <v>408.85</v>
      </c>
      <c r="FA1115" t="s">
        <v>11424</v>
      </c>
      <c r="FB1115">
        <v>9</v>
      </c>
      <c r="FC1115" t="s">
        <v>424</v>
      </c>
      <c r="FD1115" t="s">
        <v>454</v>
      </c>
      <c r="FF1115">
        <v>12</v>
      </c>
      <c r="FG1115">
        <v>10125</v>
      </c>
      <c r="FH1115" t="s">
        <v>440</v>
      </c>
      <c r="FJ1115" s="1">
        <v>42515</v>
      </c>
      <c r="FK1115">
        <v>2015</v>
      </c>
      <c r="FL1115">
        <v>403.84</v>
      </c>
      <c r="FM1115" t="s">
        <v>11425</v>
      </c>
      <c r="FN1115">
        <v>4.75</v>
      </c>
      <c r="FO1115" t="s">
        <v>424</v>
      </c>
      <c r="FP1115" t="s">
        <v>425</v>
      </c>
      <c r="FQ1115" s="1">
        <v>43140</v>
      </c>
      <c r="FR1115">
        <v>21</v>
      </c>
      <c r="FS1115">
        <v>2035919</v>
      </c>
      <c r="FT1115" t="s">
        <v>507</v>
      </c>
      <c r="FV1115" s="1">
        <v>42151</v>
      </c>
      <c r="FW1115">
        <v>2014</v>
      </c>
      <c r="FX1115">
        <v>363.83</v>
      </c>
      <c r="FY1115" t="s">
        <v>11426</v>
      </c>
      <c r="FZ1115">
        <v>9</v>
      </c>
      <c r="GA1115" t="s">
        <v>424</v>
      </c>
      <c r="GB1115" t="s">
        <v>425</v>
      </c>
      <c r="GC1115" s="1">
        <v>43140</v>
      </c>
      <c r="GD1115">
        <v>33</v>
      </c>
      <c r="GE1115">
        <v>10125</v>
      </c>
      <c r="GF1115" t="s">
        <v>440</v>
      </c>
      <c r="GH1115" s="1">
        <v>41787</v>
      </c>
      <c r="GI1115">
        <v>2013</v>
      </c>
      <c r="GJ1115">
        <v>345.56</v>
      </c>
      <c r="GK1115" t="s">
        <v>11427</v>
      </c>
      <c r="GL1115">
        <v>12</v>
      </c>
      <c r="GM1115" t="s">
        <v>424</v>
      </c>
      <c r="GN1115" t="s">
        <v>425</v>
      </c>
      <c r="GO1115" s="1">
        <v>42408</v>
      </c>
      <c r="GP1115">
        <v>21</v>
      </c>
      <c r="GQ1115">
        <v>10125</v>
      </c>
      <c r="GR1115" t="s">
        <v>440</v>
      </c>
      <c r="GT1115" s="1">
        <v>41423</v>
      </c>
      <c r="GU1115">
        <v>2012</v>
      </c>
      <c r="GV1115">
        <v>533.86</v>
      </c>
      <c r="GW1115" t="s">
        <v>11428</v>
      </c>
      <c r="GX1115">
        <v>2.5</v>
      </c>
      <c r="GY1115" t="s">
        <v>424</v>
      </c>
      <c r="GZ1115" t="s">
        <v>425</v>
      </c>
      <c r="HA1115" s="1">
        <v>42044</v>
      </c>
      <c r="HB1115">
        <v>21</v>
      </c>
      <c r="HC1115">
        <v>10125</v>
      </c>
      <c r="HD1115" t="s">
        <v>440</v>
      </c>
      <c r="HF1115" s="1">
        <v>41052</v>
      </c>
      <c r="HG1115">
        <v>2011</v>
      </c>
      <c r="HH1115">
        <v>847.32</v>
      </c>
      <c r="HI1115" t="s">
        <v>11429</v>
      </c>
      <c r="HJ1115">
        <v>6</v>
      </c>
      <c r="HK1115" t="s">
        <v>424</v>
      </c>
      <c r="HL1115" t="s">
        <v>425</v>
      </c>
      <c r="HM1115" s="1">
        <v>41631</v>
      </c>
      <c r="HN1115">
        <v>19</v>
      </c>
      <c r="HO1115">
        <v>105</v>
      </c>
      <c r="HP1115" t="s">
        <v>946</v>
      </c>
      <c r="HR1115" s="1">
        <v>40688</v>
      </c>
      <c r="HS1115">
        <v>2010</v>
      </c>
      <c r="HT1115">
        <v>850.88</v>
      </c>
      <c r="HU1115" t="s">
        <v>11430</v>
      </c>
      <c r="HV1115">
        <v>6.75</v>
      </c>
      <c r="HW1115" t="s">
        <v>424</v>
      </c>
      <c r="HX1115" t="s">
        <v>425</v>
      </c>
      <c r="HY1115" s="1">
        <v>41327</v>
      </c>
      <c r="HZ1115">
        <v>21</v>
      </c>
      <c r="IA1115">
        <v>10591</v>
      </c>
      <c r="IB1115" t="s">
        <v>4254</v>
      </c>
    </row>
    <row r="1116" spans="1:284" x14ac:dyDescent="0.25">
      <c r="A1116">
        <v>16486123</v>
      </c>
      <c r="B1116">
        <v>1115</v>
      </c>
      <c r="C1116" t="s">
        <v>393</v>
      </c>
      <c r="D1116" t="s">
        <v>394</v>
      </c>
      <c r="F1116" t="str">
        <f>"41-4N-26-0000-0003-0000"</f>
        <v>41-4N-26-0000-0003-0000</v>
      </c>
      <c r="H1116" t="str">
        <f>"FERGUSON GLENDA S &amp; FERGUSON LACEY M (JT/RS)"</f>
        <v>FERGUSON GLENDA S &amp; FERGUSON LACEY M (JT/RS)</v>
      </c>
      <c r="I1116" t="str">
        <f>"68117 CORNING CT"</f>
        <v>68117 CORNING CT</v>
      </c>
      <c r="J1116" t="str">
        <f>"YULEE FL 32097"</f>
        <v>YULEE FL 32097</v>
      </c>
      <c r="K1116" t="str">
        <f>"68117 CORNING CT"</f>
        <v>68117 CORNING CT</v>
      </c>
      <c r="L1116" t="str">
        <f t="shared" si="365"/>
        <v>YULEE FL 32097</v>
      </c>
      <c r="M1116" t="str">
        <f>"PT NATHANIEL WILDER GRANT SEC 41-4N-26E IN OR 1884/510 &amp; ESMT IN OR 748/555 1995 KING DW/MH"</f>
        <v>PT NATHANIEL WILDER GRANT SEC 41-4N-26E IN OR 1884/510 &amp; ESMT IN OR 748/555 1995 KING DW/MH</v>
      </c>
      <c r="N1116" t="str">
        <f>""</f>
        <v/>
      </c>
      <c r="O1116" t="str">
        <f>"47053"</f>
        <v>47053</v>
      </c>
      <c r="P1116" t="str">
        <f t="shared" si="360"/>
        <v>2017</v>
      </c>
      <c r="Q1116" t="str">
        <f>""</f>
        <v/>
      </c>
      <c r="R1116" t="str">
        <f t="shared" si="364"/>
        <v>N</v>
      </c>
      <c r="S1116" t="str">
        <f>"2.88"</f>
        <v>2.88</v>
      </c>
      <c r="T1116" t="str">
        <f>"1180.49"</f>
        <v>1180.49</v>
      </c>
      <c r="U1116" t="str">
        <f>"77133.00"</f>
        <v>77133.00</v>
      </c>
      <c r="V1116" t="str">
        <f>"77133.00"</f>
        <v>77133.00</v>
      </c>
      <c r="W1116" t="str">
        <f t="shared" si="361"/>
        <v>2017</v>
      </c>
      <c r="X1116" t="str">
        <f>"14.38"</f>
        <v>14.38</v>
      </c>
      <c r="Y1116" t="str">
        <f>"1247.90"</f>
        <v>1247.90</v>
      </c>
      <c r="Z1116" t="str">
        <f>""</f>
        <v/>
      </c>
      <c r="AA1116" t="str">
        <f>"79072.00"</f>
        <v>79072.00</v>
      </c>
      <c r="AB1116" t="str">
        <f>"Residential"</f>
        <v>Residential</v>
      </c>
      <c r="AC1116" t="str">
        <f t="shared" si="366"/>
        <v>0</v>
      </c>
      <c r="AD1116" t="str">
        <f>"4"</f>
        <v>4</v>
      </c>
      <c r="AE1116" t="str">
        <f>"WOOD (INCLUDE STEEL STUDS)"</f>
        <v>WOOD (INCLUDE STEEL STUDS)</v>
      </c>
      <c r="AF1116" t="str">
        <f>"002"</f>
        <v>002</v>
      </c>
      <c r="AG1116" t="str">
        <f>"FL"</f>
        <v>FL</v>
      </c>
      <c r="AH1116" t="str">
        <f>"125452.00"</f>
        <v>125452.00</v>
      </c>
      <c r="AI1116" t="str">
        <f>"36288.00"</f>
        <v>36288.00</v>
      </c>
      <c r="AJ1116" t="str">
        <f>"C55-000-588-1338-7"</f>
        <v>C55-000-588-1338-7</v>
      </c>
      <c r="AK1116" t="str">
        <f>"17984"</f>
        <v>17984</v>
      </c>
      <c r="AL1116">
        <v>4</v>
      </c>
      <c r="AM1116">
        <v>1279</v>
      </c>
      <c r="AN1116">
        <v>1308.7</v>
      </c>
      <c r="AQ1116" t="s">
        <v>11431</v>
      </c>
      <c r="AR1116" t="s">
        <v>11431</v>
      </c>
      <c r="AS1116" t="s">
        <v>11431</v>
      </c>
      <c r="AU1116" t="s">
        <v>396</v>
      </c>
      <c r="AV1116">
        <v>2017</v>
      </c>
      <c r="AW1116" t="str">
        <f>"41-4N-26-0000-0003-0000 "</f>
        <v xml:space="preserve">41-4N-26-0000-0003-0000 </v>
      </c>
      <c r="AX1116">
        <v>68117</v>
      </c>
      <c r="AZ1116" t="s">
        <v>11432</v>
      </c>
      <c r="BA1116" t="s">
        <v>3181</v>
      </c>
      <c r="BD1116" t="s">
        <v>2387</v>
      </c>
      <c r="BE1116" t="s">
        <v>393</v>
      </c>
      <c r="BF1116">
        <v>32097</v>
      </c>
      <c r="BG1116" t="s">
        <v>11433</v>
      </c>
      <c r="BH1116" t="s">
        <v>2388</v>
      </c>
      <c r="BI1116">
        <v>-81.689099958214499</v>
      </c>
      <c r="BJ1116">
        <v>30.738407054758099</v>
      </c>
      <c r="BK1116" t="s">
        <v>11434</v>
      </c>
      <c r="BL1116" t="s">
        <v>11435</v>
      </c>
      <c r="BM1116" t="s">
        <v>11433</v>
      </c>
      <c r="BN1116" t="s">
        <v>1778</v>
      </c>
      <c r="BO1116">
        <v>32097</v>
      </c>
      <c r="BP1116" t="s">
        <v>416</v>
      </c>
      <c r="BQ1116">
        <v>200</v>
      </c>
      <c r="BR1116" t="s">
        <v>405</v>
      </c>
      <c r="BS1116">
        <v>1006</v>
      </c>
      <c r="BT1116" t="s">
        <v>406</v>
      </c>
      <c r="BW1116">
        <v>125452</v>
      </c>
      <c r="BX1116" t="s">
        <v>407</v>
      </c>
      <c r="BY1116" t="s">
        <v>408</v>
      </c>
      <c r="BZ1116">
        <v>4</v>
      </c>
      <c r="CA1116">
        <v>1995</v>
      </c>
      <c r="CB1116">
        <v>1</v>
      </c>
      <c r="CC1116">
        <v>1</v>
      </c>
      <c r="CD1116">
        <v>2017</v>
      </c>
      <c r="CE1116">
        <v>36288</v>
      </c>
      <c r="CF1116">
        <v>42784</v>
      </c>
      <c r="CG1116">
        <v>79072</v>
      </c>
      <c r="CH1116">
        <v>2017</v>
      </c>
      <c r="CI1116">
        <v>36288</v>
      </c>
      <c r="CJ1116">
        <v>42784</v>
      </c>
      <c r="CK1116">
        <v>79072</v>
      </c>
      <c r="CL1116">
        <v>2017</v>
      </c>
      <c r="CM1116">
        <v>1180.49</v>
      </c>
      <c r="CN1116" s="1">
        <v>41556</v>
      </c>
      <c r="CO1116">
        <v>18900</v>
      </c>
      <c r="CV1116">
        <v>0</v>
      </c>
      <c r="CZ1116" s="1">
        <v>41556</v>
      </c>
      <c r="DA1116">
        <v>0</v>
      </c>
      <c r="DD1116" t="s">
        <v>2387</v>
      </c>
      <c r="DG1116">
        <v>41</v>
      </c>
      <c r="DL1116">
        <v>50301</v>
      </c>
      <c r="DM1116" t="s">
        <v>11436</v>
      </c>
      <c r="DO1116" t="s">
        <v>11437</v>
      </c>
      <c r="DP1116">
        <v>0</v>
      </c>
      <c r="DQ1116">
        <v>0</v>
      </c>
      <c r="DR1116" t="s">
        <v>411</v>
      </c>
      <c r="DS1116" t="b">
        <v>1</v>
      </c>
      <c r="DT1116" t="s">
        <v>8902</v>
      </c>
      <c r="DV1116" t="s">
        <v>446</v>
      </c>
      <c r="DX1116">
        <v>7</v>
      </c>
      <c r="DY1116" t="s">
        <v>11438</v>
      </c>
      <c r="DZ1116" t="s">
        <v>447</v>
      </c>
      <c r="EA1116" t="s">
        <v>448</v>
      </c>
      <c r="EB1116" t="s">
        <v>11439</v>
      </c>
      <c r="EC1116">
        <v>20101217</v>
      </c>
      <c r="ED1116" t="s">
        <v>450</v>
      </c>
      <c r="EE1116">
        <v>5</v>
      </c>
      <c r="EF1116">
        <v>0</v>
      </c>
      <c r="EG1116">
        <v>0</v>
      </c>
      <c r="EI1116">
        <v>20160407</v>
      </c>
      <c r="EJ1116">
        <v>0</v>
      </c>
      <c r="EK1116">
        <v>0</v>
      </c>
      <c r="EP1116" t="s">
        <v>421</v>
      </c>
      <c r="EQ1116" t="s">
        <v>422</v>
      </c>
      <c r="ER1116">
        <v>2</v>
      </c>
      <c r="ES1116">
        <v>8</v>
      </c>
      <c r="ET1116">
        <v>2382.2800000000002</v>
      </c>
      <c r="EU1116">
        <v>131.61000000000001</v>
      </c>
      <c r="EV1116">
        <v>2513.89</v>
      </c>
      <c r="EW1116" s="2">
        <v>43222</v>
      </c>
      <c r="EX1116" s="1">
        <v>42879</v>
      </c>
      <c r="EY1116">
        <v>2016</v>
      </c>
      <c r="EZ1116">
        <v>1191.1400000000001</v>
      </c>
      <c r="FA1116" t="s">
        <v>11440</v>
      </c>
      <c r="FB1116">
        <v>0.25</v>
      </c>
      <c r="FC1116" t="s">
        <v>424</v>
      </c>
      <c r="FD1116" t="s">
        <v>454</v>
      </c>
      <c r="FF1116">
        <v>12</v>
      </c>
      <c r="FG1116">
        <v>11289</v>
      </c>
      <c r="FH1116" t="s">
        <v>787</v>
      </c>
      <c r="FJ1116" s="1">
        <v>42879</v>
      </c>
      <c r="FK1116">
        <v>2016</v>
      </c>
      <c r="FL1116">
        <v>1191.1400000000001</v>
      </c>
      <c r="FM1116" t="s">
        <v>11440</v>
      </c>
      <c r="FN1116">
        <v>0.25</v>
      </c>
      <c r="FO1116" t="s">
        <v>424</v>
      </c>
      <c r="FP1116" t="s">
        <v>454</v>
      </c>
      <c r="FR1116">
        <v>12</v>
      </c>
      <c r="FS1116">
        <v>7119299</v>
      </c>
      <c r="FT1116" t="s">
        <v>11441</v>
      </c>
      <c r="FV1116" s="1">
        <v>42515</v>
      </c>
      <c r="FW1116">
        <v>2015</v>
      </c>
      <c r="FX1116">
        <v>958.68</v>
      </c>
      <c r="FY1116" t="s">
        <v>11442</v>
      </c>
      <c r="FZ1116">
        <v>0.25</v>
      </c>
      <c r="GA1116" t="s">
        <v>424</v>
      </c>
      <c r="GB1116" t="s">
        <v>425</v>
      </c>
      <c r="GC1116" s="1">
        <v>43196</v>
      </c>
      <c r="GD1116">
        <v>23</v>
      </c>
      <c r="GE1116">
        <v>2851116</v>
      </c>
      <c r="GF1116" t="s">
        <v>480</v>
      </c>
      <c r="GH1116" s="1">
        <v>42515</v>
      </c>
      <c r="GI1116">
        <v>2015</v>
      </c>
      <c r="GJ1116">
        <v>958.68</v>
      </c>
      <c r="GK1116" t="s">
        <v>11442</v>
      </c>
      <c r="GL1116">
        <v>0.25</v>
      </c>
      <c r="GM1116" t="s">
        <v>424</v>
      </c>
      <c r="GN1116" t="s">
        <v>425</v>
      </c>
      <c r="GP1116">
        <v>22</v>
      </c>
      <c r="GQ1116">
        <v>5624174</v>
      </c>
      <c r="GR1116" t="s">
        <v>11443</v>
      </c>
      <c r="GT1116" s="1">
        <v>42151</v>
      </c>
      <c r="GU1116">
        <v>2014</v>
      </c>
      <c r="GV1116">
        <v>851.2</v>
      </c>
      <c r="GW1116" t="s">
        <v>11444</v>
      </c>
      <c r="GX1116">
        <v>0.25</v>
      </c>
      <c r="GY1116" t="s">
        <v>424</v>
      </c>
      <c r="GZ1116" t="s">
        <v>425</v>
      </c>
      <c r="HA1116" s="1">
        <v>42403</v>
      </c>
      <c r="HB1116">
        <v>9</v>
      </c>
      <c r="HC1116">
        <v>2851116</v>
      </c>
      <c r="HD1116" t="s">
        <v>480</v>
      </c>
      <c r="HF1116" s="1">
        <v>42151</v>
      </c>
      <c r="HG1116">
        <v>2014</v>
      </c>
      <c r="HH1116">
        <v>851.2</v>
      </c>
      <c r="HI1116" t="s">
        <v>11444</v>
      </c>
      <c r="HJ1116">
        <v>0.25</v>
      </c>
      <c r="HK1116" t="s">
        <v>424</v>
      </c>
      <c r="HL1116" t="s">
        <v>425</v>
      </c>
      <c r="HN1116">
        <v>22</v>
      </c>
      <c r="HO1116">
        <v>4962908</v>
      </c>
      <c r="HP1116" t="s">
        <v>11445</v>
      </c>
      <c r="HR1116" s="1">
        <v>41787</v>
      </c>
      <c r="HS1116">
        <v>2013</v>
      </c>
      <c r="HT1116">
        <v>913.31</v>
      </c>
      <c r="HU1116" t="s">
        <v>11446</v>
      </c>
      <c r="HV1116">
        <v>0.25</v>
      </c>
      <c r="HW1116" t="s">
        <v>424</v>
      </c>
      <c r="HX1116" t="s">
        <v>425</v>
      </c>
      <c r="HY1116" s="1">
        <v>42090</v>
      </c>
      <c r="HZ1116">
        <v>10</v>
      </c>
      <c r="IA1116">
        <v>2407503</v>
      </c>
      <c r="IB1116" t="s">
        <v>461</v>
      </c>
      <c r="ID1116" s="1">
        <v>41423</v>
      </c>
      <c r="IE1116">
        <v>2012</v>
      </c>
      <c r="IF1116">
        <v>927.19</v>
      </c>
      <c r="IG1116" t="s">
        <v>11447</v>
      </c>
      <c r="IH1116">
        <v>0.25</v>
      </c>
      <c r="II1116" t="s">
        <v>424</v>
      </c>
      <c r="IJ1116" t="s">
        <v>425</v>
      </c>
      <c r="IK1116" s="1">
        <v>41556</v>
      </c>
      <c r="IL1116">
        <v>5</v>
      </c>
      <c r="IM1116">
        <v>1625515</v>
      </c>
      <c r="IN1116" t="s">
        <v>487</v>
      </c>
      <c r="IP1116" s="1">
        <v>41052</v>
      </c>
      <c r="IQ1116">
        <v>2011</v>
      </c>
      <c r="IR1116">
        <v>1185.45</v>
      </c>
      <c r="IS1116" t="s">
        <v>11448</v>
      </c>
      <c r="IT1116">
        <v>5.75</v>
      </c>
      <c r="IU1116" t="s">
        <v>424</v>
      </c>
      <c r="IV1116" t="s">
        <v>425</v>
      </c>
      <c r="IW1116" s="1">
        <v>41227</v>
      </c>
      <c r="IX1116">
        <v>6</v>
      </c>
      <c r="IY1116">
        <v>10579</v>
      </c>
      <c r="IZ1116" t="s">
        <v>488</v>
      </c>
      <c r="JB1116" s="1">
        <v>40688</v>
      </c>
      <c r="JC1116">
        <v>2010</v>
      </c>
      <c r="JD1116">
        <v>1192.45</v>
      </c>
      <c r="JE1116" t="s">
        <v>11449</v>
      </c>
      <c r="JF1116">
        <v>6.75</v>
      </c>
      <c r="JG1116" t="s">
        <v>424</v>
      </c>
      <c r="JH1116" t="s">
        <v>425</v>
      </c>
      <c r="JI1116" s="1">
        <v>41227</v>
      </c>
      <c r="JJ1116">
        <v>18</v>
      </c>
      <c r="JK1116">
        <v>105</v>
      </c>
      <c r="JL1116" t="s">
        <v>946</v>
      </c>
    </row>
    <row r="1117" spans="1:284" x14ac:dyDescent="0.25">
      <c r="A1117">
        <v>16486124</v>
      </c>
      <c r="B1117">
        <v>1116</v>
      </c>
      <c r="C1117" t="s">
        <v>393</v>
      </c>
      <c r="D1117" t="s">
        <v>394</v>
      </c>
      <c r="F1117" t="str">
        <f>"01-2N-27-0000-0003-0140"</f>
        <v>01-2N-27-0000-0003-0140</v>
      </c>
      <c r="H1117" t="str">
        <f>"TREVETT FAMILY COMPANIES INC"</f>
        <v>TREVETT FAMILY COMPANIES INC</v>
      </c>
      <c r="I1117" t="str">
        <f>"PO BOX 706"</f>
        <v>PO BOX 706</v>
      </c>
      <c r="J1117" t="str">
        <f>"FERNANDINA BEACH FL 32035"</f>
        <v>FERNANDINA BEACH FL 32035</v>
      </c>
      <c r="K1117" t="str">
        <f>"LOFTON BLVD"</f>
        <v>LOFTON BLVD</v>
      </c>
      <c r="L1117" t="str">
        <f t="shared" si="365"/>
        <v>YULEE FL 32097</v>
      </c>
      <c r="M1117" t="str">
        <f>"PT OR 971/1311 &amp; PT 963/1593 ESMT PT OR 1333/365 EX ESMT PT OR 1449/848 EX 3-25 &amp; 3-26"</f>
        <v>PT OR 971/1311 &amp; PT 963/1593 ESMT PT OR 1333/365 EX ESMT PT OR 1449/848 EX 3-25 &amp; 3-26</v>
      </c>
      <c r="N1117" t="str">
        <f>""</f>
        <v/>
      </c>
      <c r="O1117" t="str">
        <f>"15383"</f>
        <v>15383</v>
      </c>
      <c r="P1117" t="str">
        <f t="shared" si="360"/>
        <v>2017</v>
      </c>
      <c r="Q1117" t="str">
        <f>""</f>
        <v/>
      </c>
      <c r="R1117" t="str">
        <f t="shared" si="364"/>
        <v>N</v>
      </c>
      <c r="S1117" t="str">
        <f>"0.09"</f>
        <v>0.09</v>
      </c>
      <c r="T1117" t="str">
        <f>"17.04"</f>
        <v>17.04</v>
      </c>
      <c r="U1117" t="str">
        <f>"1125.00"</f>
        <v>1125.00</v>
      </c>
      <c r="V1117" t="str">
        <f>"1125.00"</f>
        <v>1125.00</v>
      </c>
      <c r="W1117" t="str">
        <f t="shared" si="361"/>
        <v>2017</v>
      </c>
      <c r="X1117" t="str">
        <f>"16.50"</f>
        <v>16.50</v>
      </c>
      <c r="Y1117" t="str">
        <f>"49.55"</f>
        <v>49.55</v>
      </c>
      <c r="Z1117" t="str">
        <f>""</f>
        <v/>
      </c>
      <c r="AA1117" t="str">
        <f>"1125.00"</f>
        <v>1125.00</v>
      </c>
      <c r="AB1117" t="str">
        <f>"Residential"</f>
        <v>Residential</v>
      </c>
      <c r="AC1117" t="str">
        <f t="shared" si="366"/>
        <v>0</v>
      </c>
      <c r="AD1117" t="str">
        <f>""</f>
        <v/>
      </c>
      <c r="AE1117" t="str">
        <f>""</f>
        <v/>
      </c>
      <c r="AF1117" t="str">
        <f>"000"</f>
        <v>000</v>
      </c>
      <c r="AG1117" t="str">
        <f>"FL"</f>
        <v>FL</v>
      </c>
      <c r="AH1117" t="str">
        <f>"3920.00"</f>
        <v>3920.00</v>
      </c>
      <c r="AI1117" t="str">
        <f>"1125.00"</f>
        <v>1125.00</v>
      </c>
      <c r="AJ1117" t="str">
        <f>"C55-000-586-1908-1"</f>
        <v>C55-000-586-1908-1</v>
      </c>
      <c r="AK1117" t="str">
        <f>"18013"</f>
        <v>18013</v>
      </c>
      <c r="AL1117">
        <v>4</v>
      </c>
      <c r="AM1117">
        <v>1280</v>
      </c>
      <c r="AN1117">
        <v>50.43</v>
      </c>
      <c r="AQ1117" t="s">
        <v>11450</v>
      </c>
      <c r="AR1117" t="s">
        <v>11450</v>
      </c>
      <c r="AS1117" t="s">
        <v>11450</v>
      </c>
      <c r="AU1117" t="s">
        <v>396</v>
      </c>
      <c r="AV1117">
        <v>2017</v>
      </c>
      <c r="AW1117" t="str">
        <f>"01-2N-27-0000-0003-0140 "</f>
        <v xml:space="preserve">01-2N-27-0000-0003-0140 </v>
      </c>
      <c r="AZ1117" t="s">
        <v>11451</v>
      </c>
      <c r="BA1117" t="s">
        <v>6622</v>
      </c>
      <c r="BD1117" t="s">
        <v>2387</v>
      </c>
      <c r="BE1117" t="s">
        <v>393</v>
      </c>
      <c r="BF1117">
        <v>32097</v>
      </c>
      <c r="BG1117" t="s">
        <v>11452</v>
      </c>
      <c r="BH1117" t="s">
        <v>2388</v>
      </c>
      <c r="BI1117">
        <v>-81.546204058694101</v>
      </c>
      <c r="BJ1117">
        <v>30.621721109217599</v>
      </c>
      <c r="BK1117" t="s">
        <v>11453</v>
      </c>
      <c r="BM1117" t="s">
        <v>11454</v>
      </c>
      <c r="BN1117" t="s">
        <v>3983</v>
      </c>
      <c r="BO1117">
        <v>32035</v>
      </c>
      <c r="BP1117" t="s">
        <v>404</v>
      </c>
      <c r="BQ1117">
        <v>0</v>
      </c>
      <c r="BR1117" t="s">
        <v>491</v>
      </c>
      <c r="BS1117">
        <v>8001</v>
      </c>
      <c r="BT1117" t="s">
        <v>492</v>
      </c>
      <c r="BW1117">
        <v>3920</v>
      </c>
      <c r="BX1117" t="s">
        <v>407</v>
      </c>
      <c r="BY1117" t="s">
        <v>3019</v>
      </c>
      <c r="CD1117">
        <v>2017</v>
      </c>
      <c r="CE1117">
        <v>1125</v>
      </c>
      <c r="CG1117">
        <v>1125</v>
      </c>
      <c r="CH1117">
        <v>2017</v>
      </c>
      <c r="CI1117">
        <v>1125</v>
      </c>
      <c r="CK1117">
        <v>1125</v>
      </c>
      <c r="CL1117">
        <v>2017</v>
      </c>
      <c r="CM1117">
        <v>17.04</v>
      </c>
      <c r="CN1117" s="1">
        <v>36943</v>
      </c>
      <c r="CZ1117" s="1">
        <v>36943</v>
      </c>
      <c r="DD1117" t="s">
        <v>2387</v>
      </c>
      <c r="DG1117">
        <v>1</v>
      </c>
      <c r="DL1117">
        <v>50303</v>
      </c>
      <c r="DM1117" t="s">
        <v>11455</v>
      </c>
      <c r="DO1117" t="s">
        <v>11456</v>
      </c>
      <c r="DP1117">
        <v>0</v>
      </c>
      <c r="DQ1117">
        <v>0</v>
      </c>
      <c r="DR1117" t="s">
        <v>411</v>
      </c>
      <c r="DS1117" t="b">
        <v>1</v>
      </c>
      <c r="DT1117" t="s">
        <v>470</v>
      </c>
      <c r="DU1117" t="s">
        <v>471</v>
      </c>
      <c r="DV1117" t="s">
        <v>472</v>
      </c>
      <c r="DX1117">
        <v>-9999</v>
      </c>
      <c r="DZ1117" t="s">
        <v>447</v>
      </c>
      <c r="EA1117" t="s">
        <v>448</v>
      </c>
      <c r="EB1117" t="s">
        <v>742</v>
      </c>
      <c r="EC1117">
        <v>20101217</v>
      </c>
      <c r="ED1117" t="s">
        <v>474</v>
      </c>
      <c r="EF1117">
        <v>-9999</v>
      </c>
      <c r="EG1117">
        <v>3701.5</v>
      </c>
      <c r="EI1117">
        <v>20160407</v>
      </c>
      <c r="EJ1117">
        <v>0</v>
      </c>
      <c r="EK1117">
        <v>0</v>
      </c>
      <c r="EP1117" t="s">
        <v>595</v>
      </c>
      <c r="EQ1117" t="s">
        <v>422</v>
      </c>
      <c r="ER1117">
        <v>8</v>
      </c>
      <c r="ES1117">
        <v>0</v>
      </c>
      <c r="ET1117">
        <v>342.81</v>
      </c>
      <c r="EU1117">
        <v>242.3</v>
      </c>
      <c r="EV1117">
        <v>585.11</v>
      </c>
      <c r="EW1117" s="2">
        <v>43222</v>
      </c>
      <c r="EX1117" s="1">
        <v>42879</v>
      </c>
      <c r="EY1117">
        <v>2016</v>
      </c>
      <c r="EZ1117">
        <v>45.69</v>
      </c>
      <c r="FA1117" t="s">
        <v>11457</v>
      </c>
      <c r="FB1117">
        <v>18</v>
      </c>
      <c r="FC1117" t="s">
        <v>603</v>
      </c>
      <c r="FD1117" t="s">
        <v>454</v>
      </c>
      <c r="FF1117">
        <v>12</v>
      </c>
      <c r="FG1117">
        <v>9999999</v>
      </c>
      <c r="FH1117" t="s">
        <v>604</v>
      </c>
      <c r="FJ1117" s="1">
        <v>42515</v>
      </c>
      <c r="FK1117">
        <v>2015</v>
      </c>
      <c r="FL1117">
        <v>41.14</v>
      </c>
      <c r="FM1117" t="s">
        <v>11458</v>
      </c>
      <c r="FN1117">
        <v>18</v>
      </c>
      <c r="FO1117" t="s">
        <v>603</v>
      </c>
      <c r="FP1117" t="s">
        <v>454</v>
      </c>
      <c r="FR1117">
        <v>24</v>
      </c>
      <c r="FS1117">
        <v>9999999</v>
      </c>
      <c r="FT1117" t="s">
        <v>604</v>
      </c>
      <c r="FV1117" s="1">
        <v>42151</v>
      </c>
      <c r="FW1117">
        <v>2014</v>
      </c>
      <c r="FX1117">
        <v>41.24</v>
      </c>
      <c r="FY1117" t="s">
        <v>11459</v>
      </c>
      <c r="FZ1117">
        <v>18</v>
      </c>
      <c r="GA1117" t="s">
        <v>603</v>
      </c>
      <c r="GB1117" t="s">
        <v>454</v>
      </c>
      <c r="GD1117">
        <v>36</v>
      </c>
      <c r="GE1117">
        <v>9999999</v>
      </c>
      <c r="GF1117" t="s">
        <v>604</v>
      </c>
      <c r="GH1117" s="1">
        <v>41787</v>
      </c>
      <c r="GI1117">
        <v>2013</v>
      </c>
      <c r="GJ1117">
        <v>40.200000000000003</v>
      </c>
      <c r="GK1117" t="s">
        <v>11460</v>
      </c>
      <c r="GL1117">
        <v>18</v>
      </c>
      <c r="GM1117" t="s">
        <v>603</v>
      </c>
      <c r="GN1117" t="s">
        <v>454</v>
      </c>
      <c r="GP1117">
        <v>48</v>
      </c>
      <c r="GQ1117">
        <v>9999999</v>
      </c>
      <c r="GR1117" t="s">
        <v>604</v>
      </c>
      <c r="GT1117" s="1">
        <v>41423</v>
      </c>
      <c r="GU1117">
        <v>2012</v>
      </c>
      <c r="GV1117">
        <v>40.43</v>
      </c>
      <c r="GW1117" t="s">
        <v>11461</v>
      </c>
      <c r="GX1117">
        <v>16.75</v>
      </c>
      <c r="GY1117" t="s">
        <v>424</v>
      </c>
      <c r="GZ1117" t="s">
        <v>454</v>
      </c>
      <c r="HB1117">
        <v>60</v>
      </c>
      <c r="HC1117">
        <v>10125</v>
      </c>
      <c r="HD1117" t="s">
        <v>440</v>
      </c>
      <c r="HF1117" s="1">
        <v>41052</v>
      </c>
      <c r="HG1117">
        <v>2011</v>
      </c>
      <c r="HH1117">
        <v>40.25</v>
      </c>
      <c r="HI1117" t="s">
        <v>11462</v>
      </c>
      <c r="HJ1117">
        <v>16.5</v>
      </c>
      <c r="HK1117" t="s">
        <v>424</v>
      </c>
      <c r="HL1117" t="s">
        <v>454</v>
      </c>
      <c r="HN1117">
        <v>72</v>
      </c>
      <c r="HO1117">
        <v>10125</v>
      </c>
      <c r="HP1117" t="s">
        <v>440</v>
      </c>
      <c r="HR1117" s="1">
        <v>40688</v>
      </c>
      <c r="HS1117">
        <v>2010</v>
      </c>
      <c r="HT1117">
        <v>46.93</v>
      </c>
      <c r="HU1117" t="s">
        <v>11463</v>
      </c>
      <c r="HV1117">
        <v>6.75</v>
      </c>
      <c r="HW1117" t="s">
        <v>424</v>
      </c>
      <c r="HX1117" t="s">
        <v>454</v>
      </c>
      <c r="HZ1117">
        <v>84</v>
      </c>
      <c r="IA1117">
        <v>375</v>
      </c>
      <c r="IB1117" t="s">
        <v>776</v>
      </c>
      <c r="ID1117" s="1">
        <v>40688</v>
      </c>
      <c r="IE1117">
        <v>2010</v>
      </c>
      <c r="IF1117">
        <v>46.93</v>
      </c>
      <c r="IG1117" t="s">
        <v>11463</v>
      </c>
      <c r="IH1117">
        <v>6.75</v>
      </c>
      <c r="II1117" t="s">
        <v>424</v>
      </c>
      <c r="IJ1117" t="s">
        <v>454</v>
      </c>
      <c r="IL1117">
        <v>84</v>
      </c>
      <c r="IM1117">
        <v>105</v>
      </c>
      <c r="IN1117" t="s">
        <v>946</v>
      </c>
    </row>
    <row r="1118" spans="1:284" x14ac:dyDescent="0.25">
      <c r="A1118">
        <v>16486125</v>
      </c>
      <c r="B1118">
        <v>1117</v>
      </c>
      <c r="C1118" t="s">
        <v>393</v>
      </c>
      <c r="D1118" t="s">
        <v>394</v>
      </c>
      <c r="F1118" t="str">
        <f>"01-2N-27-0000-0003-0150"</f>
        <v>01-2N-27-0000-0003-0150</v>
      </c>
      <c r="H1118" t="str">
        <f>"TREVETT FAMILY COMPANIES INC"</f>
        <v>TREVETT FAMILY COMPANIES INC</v>
      </c>
      <c r="I1118" t="str">
        <f>"PO BOX 706"</f>
        <v>PO BOX 706</v>
      </c>
      <c r="J1118" t="str">
        <f>"FERNANDINA BEACH FL 32035"</f>
        <v>FERNANDINA BEACH FL 32035</v>
      </c>
      <c r="K1118" t="str">
        <f>"LOFTON BLVD"</f>
        <v>LOFTON BLVD</v>
      </c>
      <c r="L1118" t="str">
        <f t="shared" si="365"/>
        <v>YULEE FL 32097</v>
      </c>
      <c r="M1118" t="str">
        <f>"PT OR 971/1311 &amp; PT 963/1593"</f>
        <v>PT OR 971/1311 &amp; PT 963/1593</v>
      </c>
      <c r="N1118" t="str">
        <f>""</f>
        <v/>
      </c>
      <c r="O1118" t="str">
        <f>"15384"</f>
        <v>15384</v>
      </c>
      <c r="P1118" t="str">
        <f t="shared" si="360"/>
        <v>2017</v>
      </c>
      <c r="Q1118" t="str">
        <f>""</f>
        <v/>
      </c>
      <c r="R1118" t="str">
        <f t="shared" si="364"/>
        <v>N</v>
      </c>
      <c r="S1118" t="str">
        <f>"1.45"</f>
        <v>1.45</v>
      </c>
      <c r="T1118" t="str">
        <f>"274.40"</f>
        <v>274.40</v>
      </c>
      <c r="U1118" t="str">
        <f>"18125.00"</f>
        <v>18125.00</v>
      </c>
      <c r="V1118" t="str">
        <f>"18125.00"</f>
        <v>18125.00</v>
      </c>
      <c r="W1118" t="str">
        <f t="shared" si="361"/>
        <v>2017</v>
      </c>
      <c r="X1118" t="str">
        <f>"16.50"</f>
        <v>16.50</v>
      </c>
      <c r="Y1118" t="str">
        <f>"314.63"</f>
        <v>314.63</v>
      </c>
      <c r="Z1118" t="str">
        <f>""</f>
        <v/>
      </c>
      <c r="AA1118" t="str">
        <f>"18125.00"</f>
        <v>18125.00</v>
      </c>
      <c r="AB1118" t="str">
        <f>"Residential"</f>
        <v>Residential</v>
      </c>
      <c r="AC1118" t="str">
        <f t="shared" si="366"/>
        <v>0</v>
      </c>
      <c r="AD1118" t="str">
        <f>""</f>
        <v/>
      </c>
      <c r="AE1118" t="str">
        <f>""</f>
        <v/>
      </c>
      <c r="AF1118" t="str">
        <f>"000"</f>
        <v>000</v>
      </c>
      <c r="AG1118" t="str">
        <f>"FL"</f>
        <v>FL</v>
      </c>
      <c r="AH1118" t="str">
        <f>"63162.00"</f>
        <v>63162.00</v>
      </c>
      <c r="AI1118" t="str">
        <f>"18125.00"</f>
        <v>18125.00</v>
      </c>
      <c r="AJ1118" t="str">
        <f>"C55-000-586-1909-9"</f>
        <v>C55-000-586-1909-9</v>
      </c>
      <c r="AK1118" t="str">
        <f>"18014"</f>
        <v>18014</v>
      </c>
      <c r="AL1118">
        <v>4</v>
      </c>
      <c r="AM1118">
        <v>1281</v>
      </c>
      <c r="AN1118">
        <v>328.76</v>
      </c>
      <c r="AQ1118" t="s">
        <v>11464</v>
      </c>
      <c r="AR1118" t="s">
        <v>11464</v>
      </c>
      <c r="AS1118" t="s">
        <v>11464</v>
      </c>
      <c r="AU1118" t="s">
        <v>396</v>
      </c>
      <c r="AV1118">
        <v>2017</v>
      </c>
      <c r="AW1118" t="str">
        <f>"01-2N-27-0000-0003-0150 "</f>
        <v xml:space="preserve">01-2N-27-0000-0003-0150 </v>
      </c>
      <c r="AZ1118" t="s">
        <v>11451</v>
      </c>
      <c r="BA1118" t="s">
        <v>6622</v>
      </c>
      <c r="BD1118" t="s">
        <v>2387</v>
      </c>
      <c r="BE1118" t="s">
        <v>393</v>
      </c>
      <c r="BF1118">
        <v>32097</v>
      </c>
      <c r="BG1118" t="s">
        <v>11452</v>
      </c>
      <c r="BH1118" t="s">
        <v>2388</v>
      </c>
      <c r="BI1118">
        <v>-81.546419529681799</v>
      </c>
      <c r="BJ1118">
        <v>30.622277838116101</v>
      </c>
      <c r="BK1118" t="s">
        <v>11453</v>
      </c>
      <c r="BM1118" t="s">
        <v>11454</v>
      </c>
      <c r="BN1118" t="s">
        <v>3983</v>
      </c>
      <c r="BO1118">
        <v>32035</v>
      </c>
      <c r="BP1118" t="s">
        <v>404</v>
      </c>
      <c r="BQ1118">
        <v>0</v>
      </c>
      <c r="BR1118" t="s">
        <v>491</v>
      </c>
      <c r="BS1118">
        <v>8001</v>
      </c>
      <c r="BT1118" t="s">
        <v>492</v>
      </c>
      <c r="BW1118">
        <v>63162</v>
      </c>
      <c r="BX1118" t="s">
        <v>407</v>
      </c>
      <c r="BY1118" t="s">
        <v>3019</v>
      </c>
      <c r="CD1118">
        <v>2017</v>
      </c>
      <c r="CE1118">
        <v>18125</v>
      </c>
      <c r="CG1118">
        <v>18125</v>
      </c>
      <c r="CH1118">
        <v>2017</v>
      </c>
      <c r="CI1118">
        <v>18125</v>
      </c>
      <c r="CK1118">
        <v>18125</v>
      </c>
      <c r="CL1118">
        <v>2017</v>
      </c>
      <c r="CM1118">
        <v>274.39999999999998</v>
      </c>
      <c r="CN1118" s="1">
        <v>36943</v>
      </c>
      <c r="CZ1118" s="1">
        <v>36943</v>
      </c>
      <c r="DD1118" t="s">
        <v>2387</v>
      </c>
      <c r="DG1118">
        <v>1</v>
      </c>
      <c r="DL1118">
        <v>50303</v>
      </c>
      <c r="DM1118" t="s">
        <v>11455</v>
      </c>
      <c r="DO1118" t="s">
        <v>11465</v>
      </c>
      <c r="DP1118">
        <v>0</v>
      </c>
      <c r="DQ1118">
        <v>0</v>
      </c>
      <c r="DR1118" t="s">
        <v>411</v>
      </c>
      <c r="DS1118" t="b">
        <v>1</v>
      </c>
      <c r="DT1118" t="s">
        <v>470</v>
      </c>
      <c r="DU1118" t="s">
        <v>471</v>
      </c>
      <c r="DV1118" t="s">
        <v>472</v>
      </c>
      <c r="DX1118">
        <v>-9999</v>
      </c>
      <c r="DZ1118" t="s">
        <v>447</v>
      </c>
      <c r="EA1118" t="s">
        <v>448</v>
      </c>
      <c r="EB1118" t="s">
        <v>742</v>
      </c>
      <c r="EC1118">
        <v>20101217</v>
      </c>
      <c r="ED1118" t="s">
        <v>474</v>
      </c>
      <c r="EF1118">
        <v>-9999</v>
      </c>
      <c r="EG1118">
        <v>3692.5</v>
      </c>
      <c r="EI1118">
        <v>20160407</v>
      </c>
      <c r="EJ1118">
        <v>0</v>
      </c>
      <c r="EK1118">
        <v>0</v>
      </c>
      <c r="EP1118" t="s">
        <v>421</v>
      </c>
      <c r="EQ1118" t="s">
        <v>422</v>
      </c>
      <c r="ER1118">
        <v>8</v>
      </c>
      <c r="ES1118">
        <v>0</v>
      </c>
      <c r="ET1118">
        <v>3180.38</v>
      </c>
      <c r="EU1118">
        <v>1736.03</v>
      </c>
      <c r="EV1118">
        <v>4916.41</v>
      </c>
      <c r="EW1118" s="2">
        <v>43222</v>
      </c>
      <c r="EX1118" s="1">
        <v>42879</v>
      </c>
      <c r="EY1118">
        <v>2016</v>
      </c>
      <c r="EZ1118">
        <v>327.92</v>
      </c>
      <c r="FA1118" t="s">
        <v>11466</v>
      </c>
      <c r="FB1118">
        <v>18</v>
      </c>
      <c r="FC1118" t="s">
        <v>424</v>
      </c>
      <c r="FD1118" t="s">
        <v>454</v>
      </c>
      <c r="FF1118">
        <v>12</v>
      </c>
      <c r="FG1118">
        <v>10125</v>
      </c>
      <c r="FH1118" t="s">
        <v>440</v>
      </c>
      <c r="FJ1118" s="1">
        <v>42515</v>
      </c>
      <c r="FK1118">
        <v>2015</v>
      </c>
      <c r="FL1118">
        <v>330.23</v>
      </c>
      <c r="FM1118" t="s">
        <v>11467</v>
      </c>
      <c r="FN1118">
        <v>18</v>
      </c>
      <c r="FO1118" t="s">
        <v>424</v>
      </c>
      <c r="FP1118" t="s">
        <v>454</v>
      </c>
      <c r="FR1118">
        <v>24</v>
      </c>
      <c r="FS1118">
        <v>10125</v>
      </c>
      <c r="FT1118" t="s">
        <v>440</v>
      </c>
      <c r="FV1118" s="1">
        <v>42151</v>
      </c>
      <c r="FW1118">
        <v>2014</v>
      </c>
      <c r="FX1118">
        <v>331.78</v>
      </c>
      <c r="FY1118" t="s">
        <v>11468</v>
      </c>
      <c r="FZ1118">
        <v>18</v>
      </c>
      <c r="GA1118" t="s">
        <v>424</v>
      </c>
      <c r="GB1118" t="s">
        <v>454</v>
      </c>
      <c r="GD1118">
        <v>36</v>
      </c>
      <c r="GE1118">
        <v>10125</v>
      </c>
      <c r="GF1118" t="s">
        <v>440</v>
      </c>
      <c r="GH1118" s="1">
        <v>41787</v>
      </c>
      <c r="GI1118">
        <v>2013</v>
      </c>
      <c r="GJ1118">
        <v>315.20999999999998</v>
      </c>
      <c r="GK1118" t="s">
        <v>11469</v>
      </c>
      <c r="GL1118">
        <v>16.5</v>
      </c>
      <c r="GM1118" t="s">
        <v>424</v>
      </c>
      <c r="GN1118" t="s">
        <v>454</v>
      </c>
      <c r="GP1118">
        <v>48</v>
      </c>
      <c r="GQ1118">
        <v>10125</v>
      </c>
      <c r="GR1118" t="s">
        <v>440</v>
      </c>
      <c r="GT1118" s="1">
        <v>41423</v>
      </c>
      <c r="GU1118">
        <v>2012</v>
      </c>
      <c r="GV1118">
        <v>318.89</v>
      </c>
      <c r="GW1118" t="s">
        <v>11470</v>
      </c>
      <c r="GX1118">
        <v>10</v>
      </c>
      <c r="GY1118" t="s">
        <v>424</v>
      </c>
      <c r="GZ1118" t="s">
        <v>454</v>
      </c>
      <c r="HB1118">
        <v>60</v>
      </c>
      <c r="HC1118">
        <v>10125</v>
      </c>
      <c r="HD1118" t="s">
        <v>440</v>
      </c>
      <c r="HF1118" s="1">
        <v>41052</v>
      </c>
      <c r="HG1118">
        <v>2011</v>
      </c>
      <c r="HH1118">
        <v>436.91</v>
      </c>
      <c r="HI1118" t="s">
        <v>11471</v>
      </c>
      <c r="HJ1118">
        <v>16.5</v>
      </c>
      <c r="HK1118" t="s">
        <v>424</v>
      </c>
      <c r="HL1118" t="s">
        <v>454</v>
      </c>
      <c r="HN1118">
        <v>72</v>
      </c>
      <c r="HO1118">
        <v>10125</v>
      </c>
      <c r="HP1118" t="s">
        <v>440</v>
      </c>
      <c r="HR1118" s="1">
        <v>40688</v>
      </c>
      <c r="HS1118">
        <v>2010</v>
      </c>
      <c r="HT1118">
        <v>559.72</v>
      </c>
      <c r="HU1118" t="s">
        <v>11472</v>
      </c>
      <c r="HV1118">
        <v>6.75</v>
      </c>
      <c r="HW1118" t="s">
        <v>424</v>
      </c>
      <c r="HX1118" t="s">
        <v>454</v>
      </c>
      <c r="HZ1118">
        <v>84</v>
      </c>
      <c r="IA1118">
        <v>375</v>
      </c>
      <c r="IB1118" t="s">
        <v>776</v>
      </c>
      <c r="ID1118" s="1">
        <v>40688</v>
      </c>
      <c r="IE1118">
        <v>2010</v>
      </c>
      <c r="IF1118">
        <v>559.72</v>
      </c>
      <c r="IG1118" t="s">
        <v>11472</v>
      </c>
      <c r="IH1118">
        <v>6.75</v>
      </c>
      <c r="II1118" t="s">
        <v>424</v>
      </c>
      <c r="IJ1118" t="s">
        <v>454</v>
      </c>
      <c r="IL1118">
        <v>84</v>
      </c>
      <c r="IM1118">
        <v>105</v>
      </c>
      <c r="IN1118" t="s">
        <v>946</v>
      </c>
    </row>
    <row r="1119" spans="1:284" x14ac:dyDescent="0.25">
      <c r="A1119">
        <v>16486126</v>
      </c>
      <c r="B1119">
        <v>1118</v>
      </c>
      <c r="C1119" t="s">
        <v>393</v>
      </c>
      <c r="D1119" t="s">
        <v>394</v>
      </c>
      <c r="F1119" t="str">
        <f>"01-2N-27-0000-0003-0160"</f>
        <v>01-2N-27-0000-0003-0160</v>
      </c>
      <c r="H1119" t="str">
        <f>"SAWYER MICHAEL J"</f>
        <v>SAWYER MICHAEL J</v>
      </c>
      <c r="I1119" t="str">
        <f>"36070 DYAL RD"</f>
        <v>36070 DYAL RD</v>
      </c>
      <c r="J1119" t="str">
        <f>"JACKSONVILLE FL 32224"</f>
        <v>JACKSONVILLE FL 32224</v>
      </c>
      <c r="K1119" t="str">
        <f>"95734 AMELIA CONCOURSE"</f>
        <v>95734 AMELIA CONCOURSE</v>
      </c>
      <c r="L1119" t="str">
        <f t="shared" si="365"/>
        <v>YULEE FL 32097</v>
      </c>
      <c r="M1119" t="str">
        <f>"PT OR 971/1306 &amp; PT 963/1590 EX 3-18 &amp; 3-27 ESMT PT OR 1127/1783 ESMT PT OR 1333/365 EX ESMT PT OR 1449/848 ESMT OR 1508/1341"</f>
        <v>PT OR 971/1306 &amp; PT 963/1590 EX 3-18 &amp; 3-27 ESMT PT OR 1127/1783 ESMT PT OR 1333/365 EX ESMT PT OR 1449/848 ESMT OR 1508/1341</v>
      </c>
      <c r="N1119" t="str">
        <f>""</f>
        <v/>
      </c>
      <c r="O1119" t="str">
        <f>"15385"</f>
        <v>15385</v>
      </c>
      <c r="P1119" t="str">
        <f t="shared" si="360"/>
        <v>2017</v>
      </c>
      <c r="Q1119" t="str">
        <f>""</f>
        <v/>
      </c>
      <c r="R1119" t="str">
        <f t="shared" si="364"/>
        <v>N</v>
      </c>
      <c r="S1119" t="str">
        <f>"0.21"</f>
        <v>0.21</v>
      </c>
      <c r="T1119" t="str">
        <f>"119.23"</f>
        <v>119.23</v>
      </c>
      <c r="U1119" t="str">
        <f>"7875.00"</f>
        <v>7875.00</v>
      </c>
      <c r="V1119" t="str">
        <f>"7875.00"</f>
        <v>7875.00</v>
      </c>
      <c r="W1119" t="str">
        <f t="shared" si="361"/>
        <v>2017</v>
      </c>
      <c r="X1119" t="str">
        <f>"16.50"</f>
        <v>16.50</v>
      </c>
      <c r="Y1119" t="str">
        <f>"154.81"</f>
        <v>154.81</v>
      </c>
      <c r="Z1119" t="str">
        <f>""</f>
        <v/>
      </c>
      <c r="AA1119" t="str">
        <f>"7875.00"</f>
        <v>7875.00</v>
      </c>
      <c r="AB1119" t="str">
        <f>"Commercial"</f>
        <v>Commercial</v>
      </c>
      <c r="AC1119" t="str">
        <f t="shared" si="366"/>
        <v>0</v>
      </c>
      <c r="AD1119" t="str">
        <f>""</f>
        <v/>
      </c>
      <c r="AE1119" t="str">
        <f>""</f>
        <v/>
      </c>
      <c r="AF1119" t="str">
        <f>"010"</f>
        <v>010</v>
      </c>
      <c r="AG1119" t="str">
        <f>"FL"</f>
        <v>FL</v>
      </c>
      <c r="AH1119" t="str">
        <f>"9147.00"</f>
        <v>9147.00</v>
      </c>
      <c r="AI1119" t="str">
        <f>"7875.00"</f>
        <v>7875.00</v>
      </c>
      <c r="AJ1119" t="str">
        <f>"C55-000-586-1910-7"</f>
        <v>C55-000-586-1910-7</v>
      </c>
      <c r="AK1119" t="str">
        <f>"18015"</f>
        <v>18015</v>
      </c>
      <c r="AL1119">
        <v>4</v>
      </c>
      <c r="AM1119">
        <v>1282</v>
      </c>
      <c r="AN1119">
        <v>160.94999999999999</v>
      </c>
      <c r="AQ1119" t="s">
        <v>11473</v>
      </c>
      <c r="AR1119" t="s">
        <v>11473</v>
      </c>
      <c r="AS1119" t="s">
        <v>11473</v>
      </c>
      <c r="AU1119" t="s">
        <v>396</v>
      </c>
      <c r="AV1119">
        <v>2017</v>
      </c>
      <c r="AW1119" t="str">
        <f>"01-2N-27-0000-0003-0160 "</f>
        <v xml:space="preserve">01-2N-27-0000-0003-0160 </v>
      </c>
      <c r="AX1119">
        <v>95734</v>
      </c>
      <c r="AZ1119" t="s">
        <v>11474</v>
      </c>
      <c r="BD1119" t="s">
        <v>2387</v>
      </c>
      <c r="BE1119" t="s">
        <v>393</v>
      </c>
      <c r="BF1119">
        <v>32097</v>
      </c>
      <c r="BG1119" t="s">
        <v>11475</v>
      </c>
      <c r="BH1119" t="s">
        <v>2388</v>
      </c>
      <c r="BI1119">
        <v>-81.546127361067704</v>
      </c>
      <c r="BJ1119">
        <v>30.621273765970201</v>
      </c>
      <c r="BK1119" t="s">
        <v>11476</v>
      </c>
      <c r="BM1119" t="s">
        <v>11454</v>
      </c>
      <c r="BN1119" t="s">
        <v>3983</v>
      </c>
      <c r="BO1119">
        <v>32035</v>
      </c>
      <c r="BP1119" t="s">
        <v>404</v>
      </c>
      <c r="BQ1119">
        <v>1000</v>
      </c>
      <c r="BR1119" t="s">
        <v>2391</v>
      </c>
      <c r="BS1119">
        <v>8002</v>
      </c>
      <c r="BT1119" t="s">
        <v>2392</v>
      </c>
      <c r="BW1119">
        <v>9147</v>
      </c>
      <c r="BX1119" t="s">
        <v>407</v>
      </c>
      <c r="CD1119">
        <v>2017</v>
      </c>
      <c r="CE1119">
        <v>7875</v>
      </c>
      <c r="CG1119">
        <v>7875</v>
      </c>
      <c r="CH1119">
        <v>2017</v>
      </c>
      <c r="CI1119">
        <v>7875</v>
      </c>
      <c r="CK1119">
        <v>7875</v>
      </c>
      <c r="CL1119">
        <v>2017</v>
      </c>
      <c r="CM1119">
        <v>119.23</v>
      </c>
      <c r="CN1119" s="1">
        <v>36943</v>
      </c>
      <c r="CZ1119" s="1">
        <v>36943</v>
      </c>
      <c r="DD1119" t="s">
        <v>2387</v>
      </c>
      <c r="DG1119">
        <v>1</v>
      </c>
      <c r="DL1119">
        <v>50303</v>
      </c>
      <c r="DM1119" t="s">
        <v>11455</v>
      </c>
      <c r="DO1119" t="s">
        <v>11477</v>
      </c>
      <c r="DP1119">
        <v>0</v>
      </c>
      <c r="DQ1119">
        <v>0</v>
      </c>
      <c r="DR1119" t="s">
        <v>411</v>
      </c>
      <c r="DS1119" t="b">
        <v>1</v>
      </c>
      <c r="DT1119" t="s">
        <v>470</v>
      </c>
      <c r="DU1119" t="s">
        <v>471</v>
      </c>
      <c r="DV1119" t="s">
        <v>472</v>
      </c>
      <c r="DX1119">
        <v>-9999</v>
      </c>
      <c r="DZ1119" t="s">
        <v>447</v>
      </c>
      <c r="EA1119" t="s">
        <v>448</v>
      </c>
      <c r="EB1119" t="s">
        <v>742</v>
      </c>
      <c r="EC1119">
        <v>20101217</v>
      </c>
      <c r="ED1119" t="s">
        <v>474</v>
      </c>
      <c r="EF1119">
        <v>-9999</v>
      </c>
      <c r="EG1119">
        <v>3687.9</v>
      </c>
      <c r="EI1119">
        <v>20160407</v>
      </c>
      <c r="EJ1119">
        <v>0</v>
      </c>
      <c r="EK1119">
        <v>0</v>
      </c>
      <c r="EP1119" t="s">
        <v>595</v>
      </c>
      <c r="EQ1119" t="s">
        <v>422</v>
      </c>
      <c r="ER1119">
        <v>11</v>
      </c>
      <c r="ES1119">
        <v>0</v>
      </c>
      <c r="ET1119">
        <v>1675.68</v>
      </c>
      <c r="EU1119">
        <v>847.38</v>
      </c>
      <c r="EV1119">
        <v>2523.06</v>
      </c>
      <c r="EW1119" s="2">
        <v>43222</v>
      </c>
      <c r="EX1119" s="1">
        <v>42879</v>
      </c>
      <c r="EY1119">
        <v>2016</v>
      </c>
      <c r="EZ1119">
        <v>157.76</v>
      </c>
      <c r="FA1119" t="s">
        <v>11478</v>
      </c>
      <c r="FB1119">
        <v>18</v>
      </c>
      <c r="FC1119" t="s">
        <v>603</v>
      </c>
      <c r="FD1119" t="s">
        <v>454</v>
      </c>
      <c r="FF1119">
        <v>12</v>
      </c>
      <c r="FG1119">
        <v>9999999</v>
      </c>
      <c r="FH1119" t="s">
        <v>604</v>
      </c>
      <c r="FJ1119" s="1">
        <v>42515</v>
      </c>
      <c r="FK1119">
        <v>2015</v>
      </c>
      <c r="FL1119">
        <v>155.91999999999999</v>
      </c>
      <c r="FM1119" t="s">
        <v>11479</v>
      </c>
      <c r="FN1119">
        <v>18</v>
      </c>
      <c r="FO1119" t="s">
        <v>603</v>
      </c>
      <c r="FP1119" t="s">
        <v>454</v>
      </c>
      <c r="FR1119">
        <v>24</v>
      </c>
      <c r="FS1119">
        <v>9999999</v>
      </c>
      <c r="FT1119" t="s">
        <v>604</v>
      </c>
      <c r="FV1119" s="1">
        <v>42515</v>
      </c>
      <c r="FW1119">
        <v>2015</v>
      </c>
      <c r="FX1119">
        <v>169.19</v>
      </c>
      <c r="FY1119" t="s">
        <v>11479</v>
      </c>
      <c r="FZ1119">
        <v>18</v>
      </c>
      <c r="GA1119" t="s">
        <v>424</v>
      </c>
      <c r="GB1119" t="s">
        <v>454</v>
      </c>
      <c r="GD1119">
        <v>24</v>
      </c>
      <c r="GE1119">
        <v>7336702</v>
      </c>
      <c r="GF1119" t="s">
        <v>11480</v>
      </c>
      <c r="GH1119" s="1">
        <v>42151</v>
      </c>
      <c r="GI1119">
        <v>2014</v>
      </c>
      <c r="GJ1119">
        <v>156.6</v>
      </c>
      <c r="GK1119" t="s">
        <v>11481</v>
      </c>
      <c r="GL1119">
        <v>18</v>
      </c>
      <c r="GM1119" t="s">
        <v>424</v>
      </c>
      <c r="GN1119" t="s">
        <v>454</v>
      </c>
      <c r="GP1119">
        <v>36</v>
      </c>
      <c r="GQ1119">
        <v>10125</v>
      </c>
      <c r="GR1119" t="s">
        <v>440</v>
      </c>
      <c r="GT1119" s="1">
        <v>41787</v>
      </c>
      <c r="GU1119">
        <v>2013</v>
      </c>
      <c r="GV1119">
        <v>149.41</v>
      </c>
      <c r="GW1119" t="s">
        <v>11482</v>
      </c>
      <c r="GX1119">
        <v>16.5</v>
      </c>
      <c r="GY1119" t="s">
        <v>424</v>
      </c>
      <c r="GZ1119" t="s">
        <v>454</v>
      </c>
      <c r="HB1119">
        <v>48</v>
      </c>
      <c r="HC1119">
        <v>10125</v>
      </c>
      <c r="HD1119" t="s">
        <v>440</v>
      </c>
      <c r="HF1119" s="1">
        <v>41423</v>
      </c>
      <c r="HG1119">
        <v>2012</v>
      </c>
      <c r="HH1119">
        <v>150.99</v>
      </c>
      <c r="HI1119" t="s">
        <v>11483</v>
      </c>
      <c r="HJ1119">
        <v>7.5</v>
      </c>
      <c r="HK1119" t="s">
        <v>424</v>
      </c>
      <c r="HL1119" t="s">
        <v>454</v>
      </c>
      <c r="HN1119">
        <v>60</v>
      </c>
      <c r="HO1119">
        <v>1127</v>
      </c>
      <c r="HP1119" t="s">
        <v>1379</v>
      </c>
      <c r="HR1119" s="1">
        <v>41423</v>
      </c>
      <c r="HS1119">
        <v>2012</v>
      </c>
      <c r="HT1119">
        <v>150.99</v>
      </c>
      <c r="HU1119" t="s">
        <v>11483</v>
      </c>
      <c r="HV1119">
        <v>7.5</v>
      </c>
      <c r="HW1119" t="s">
        <v>424</v>
      </c>
      <c r="HX1119" t="s">
        <v>454</v>
      </c>
      <c r="HZ1119">
        <v>60</v>
      </c>
      <c r="IA1119">
        <v>2035919</v>
      </c>
      <c r="IB1119" t="s">
        <v>507</v>
      </c>
      <c r="ID1119" s="1">
        <v>41423</v>
      </c>
      <c r="IE1119">
        <v>2012</v>
      </c>
      <c r="IF1119">
        <v>150.99</v>
      </c>
      <c r="IG1119" t="s">
        <v>11483</v>
      </c>
      <c r="IH1119">
        <v>7.5</v>
      </c>
      <c r="II1119" t="s">
        <v>424</v>
      </c>
      <c r="IJ1119" t="s">
        <v>454</v>
      </c>
      <c r="IL1119">
        <v>60</v>
      </c>
      <c r="IM1119">
        <v>7336670</v>
      </c>
      <c r="IN1119" t="s">
        <v>2102</v>
      </c>
      <c r="IP1119" s="1">
        <v>41052</v>
      </c>
      <c r="IQ1119">
        <v>2011</v>
      </c>
      <c r="IR1119">
        <v>145.25</v>
      </c>
      <c r="IS1119" t="s">
        <v>11484</v>
      </c>
      <c r="IT1119">
        <v>16.5</v>
      </c>
      <c r="IU1119" t="s">
        <v>424</v>
      </c>
      <c r="IV1119" t="s">
        <v>454</v>
      </c>
      <c r="IX1119">
        <v>72</v>
      </c>
      <c r="IY1119">
        <v>10125</v>
      </c>
      <c r="IZ1119" t="s">
        <v>440</v>
      </c>
      <c r="JB1119" s="1">
        <v>40688</v>
      </c>
      <c r="JC1119">
        <v>2010</v>
      </c>
      <c r="JD1119">
        <v>144.29</v>
      </c>
      <c r="JE1119" t="s">
        <v>11485</v>
      </c>
      <c r="JF1119">
        <v>6.75</v>
      </c>
      <c r="JG1119" t="s">
        <v>424</v>
      </c>
      <c r="JH1119" t="s">
        <v>454</v>
      </c>
      <c r="JJ1119">
        <v>84</v>
      </c>
      <c r="JK1119">
        <v>375</v>
      </c>
      <c r="JL1119" t="s">
        <v>776</v>
      </c>
      <c r="JN1119" s="1">
        <v>40688</v>
      </c>
      <c r="JO1119">
        <v>2010</v>
      </c>
      <c r="JP1119">
        <v>144.29</v>
      </c>
      <c r="JQ1119" t="s">
        <v>11485</v>
      </c>
      <c r="JR1119">
        <v>6.75</v>
      </c>
      <c r="JS1119" t="s">
        <v>424</v>
      </c>
      <c r="JT1119" t="s">
        <v>454</v>
      </c>
      <c r="JV1119">
        <v>84</v>
      </c>
      <c r="JW1119">
        <v>105</v>
      </c>
      <c r="JX1119" t="s">
        <v>946</v>
      </c>
    </row>
    <row r="1120" spans="1:284" x14ac:dyDescent="0.25">
      <c r="A1120">
        <v>16486127</v>
      </c>
      <c r="B1120">
        <v>1119</v>
      </c>
      <c r="C1120" t="s">
        <v>393</v>
      </c>
      <c r="D1120" t="s">
        <v>394</v>
      </c>
      <c r="F1120" t="str">
        <f>"04-2N-27-0000-0003-0100"</f>
        <v>04-2N-27-0000-0003-0100</v>
      </c>
      <c r="H1120" t="str">
        <f>"ROBINSON JO ANN"</f>
        <v>ROBINSON JO ANN</v>
      </c>
      <c r="I1120" t="str">
        <f>"10206 WASHEM POTS DRIVE"</f>
        <v>10206 WASHEM POTS DRIVE</v>
      </c>
      <c r="J1120" t="str">
        <f>"CORNELIUS NC 28031"</f>
        <v>CORNELIUS NC 28031</v>
      </c>
      <c r="K1120" t="str">
        <f>"CARDINAL RD"</f>
        <v>CARDINAL RD</v>
      </c>
      <c r="L1120" t="str">
        <f t="shared" si="365"/>
        <v>YULEE FL 32097</v>
      </c>
      <c r="M1120" t="str">
        <f>"PT OF LOT 2 IN OR 684/1137"</f>
        <v>PT OF LOT 2 IN OR 684/1137</v>
      </c>
      <c r="N1120" t="str">
        <f>""</f>
        <v/>
      </c>
      <c r="O1120" t="str">
        <f>"20102"</f>
        <v>20102</v>
      </c>
      <c r="P1120" t="str">
        <f t="shared" si="360"/>
        <v>2017</v>
      </c>
      <c r="Q1120" t="str">
        <f>""</f>
        <v/>
      </c>
      <c r="R1120" t="str">
        <f t="shared" si="364"/>
        <v>N</v>
      </c>
      <c r="S1120" t="str">
        <f>"3.03"</f>
        <v>3.03</v>
      </c>
      <c r="T1120" t="str">
        <f>"918.70"</f>
        <v>918.70</v>
      </c>
      <c r="U1120" t="str">
        <f>"60685.00"</f>
        <v>60685.00</v>
      </c>
      <c r="V1120" t="str">
        <f>"60685.00"</f>
        <v>60685.00</v>
      </c>
      <c r="W1120" t="str">
        <f t="shared" si="361"/>
        <v>2017</v>
      </c>
      <c r="X1120" t="str">
        <f>"5.00"</f>
        <v>5.00</v>
      </c>
      <c r="Y1120" t="str">
        <f>"978.26"</f>
        <v>978.26</v>
      </c>
      <c r="Z1120" t="str">
        <f>""</f>
        <v/>
      </c>
      <c r="AA1120" t="str">
        <f>"60685.00"</f>
        <v>60685.00</v>
      </c>
      <c r="AB1120" t="str">
        <f t="shared" ref="AB1120:AB1151" si="367">"Residential"</f>
        <v>Residential</v>
      </c>
      <c r="AC1120" t="str">
        <f t="shared" si="366"/>
        <v>0</v>
      </c>
      <c r="AD1120" t="str">
        <f>""</f>
        <v/>
      </c>
      <c r="AE1120" t="str">
        <f>""</f>
        <v/>
      </c>
      <c r="AF1120" t="str">
        <f>"000"</f>
        <v>000</v>
      </c>
      <c r="AG1120" t="str">
        <f>"NC"</f>
        <v>NC</v>
      </c>
      <c r="AH1120" t="str">
        <f>"131986.00"</f>
        <v>131986.00</v>
      </c>
      <c r="AI1120" t="str">
        <f>"53025.00"</f>
        <v>53025.00</v>
      </c>
      <c r="AJ1120" t="str">
        <f>"C55-000-586-5193-6"</f>
        <v>C55-000-586-5193-6</v>
      </c>
      <c r="AK1120" t="str">
        <f>"18142"</f>
        <v>18142</v>
      </c>
      <c r="AL1120">
        <v>4</v>
      </c>
      <c r="AM1120">
        <v>1283</v>
      </c>
      <c r="AN1120">
        <v>1025.57</v>
      </c>
      <c r="AQ1120" t="s">
        <v>11486</v>
      </c>
      <c r="AR1120" t="s">
        <v>11486</v>
      </c>
      <c r="AS1120" t="s">
        <v>11486</v>
      </c>
      <c r="AU1120" t="s">
        <v>396</v>
      </c>
      <c r="AV1120">
        <v>2017</v>
      </c>
      <c r="AW1120" t="str">
        <f>"04-2N-27-0000-0003-0100 "</f>
        <v xml:space="preserve">04-2N-27-0000-0003-0100 </v>
      </c>
      <c r="AZ1120" t="s">
        <v>11487</v>
      </c>
      <c r="BA1120" t="s">
        <v>496</v>
      </c>
      <c r="BD1120" t="s">
        <v>2387</v>
      </c>
      <c r="BE1120" t="s">
        <v>393</v>
      </c>
      <c r="BF1120">
        <v>32097</v>
      </c>
      <c r="BG1120" t="s">
        <v>11488</v>
      </c>
      <c r="BH1120" t="s">
        <v>2388</v>
      </c>
      <c r="BI1120">
        <v>-81.611388058217003</v>
      </c>
      <c r="BJ1120">
        <v>30.627228066801099</v>
      </c>
      <c r="BK1120" t="s">
        <v>11489</v>
      </c>
      <c r="BM1120" t="s">
        <v>11490</v>
      </c>
      <c r="BN1120" t="s">
        <v>11491</v>
      </c>
      <c r="BO1120">
        <v>28031</v>
      </c>
      <c r="BP1120" t="s">
        <v>404</v>
      </c>
      <c r="BQ1120">
        <v>1</v>
      </c>
      <c r="BR1120" t="s">
        <v>491</v>
      </c>
      <c r="BS1120">
        <v>8001</v>
      </c>
      <c r="BT1120" t="s">
        <v>492</v>
      </c>
      <c r="BW1120">
        <v>131986</v>
      </c>
      <c r="BX1120" t="s">
        <v>407</v>
      </c>
      <c r="BY1120" t="s">
        <v>7351</v>
      </c>
      <c r="CD1120">
        <v>2017</v>
      </c>
      <c r="CE1120">
        <v>53025</v>
      </c>
      <c r="CF1120">
        <v>7660</v>
      </c>
      <c r="CG1120">
        <v>60685</v>
      </c>
      <c r="CH1120">
        <v>2017</v>
      </c>
      <c r="CI1120">
        <v>53025</v>
      </c>
      <c r="CJ1120">
        <v>7660</v>
      </c>
      <c r="CK1120">
        <v>60685</v>
      </c>
      <c r="CL1120">
        <v>2017</v>
      </c>
      <c r="CM1120">
        <v>918.7</v>
      </c>
      <c r="CN1120" s="1">
        <v>34162</v>
      </c>
      <c r="CO1120">
        <v>3000</v>
      </c>
      <c r="CZ1120" s="1">
        <v>34162</v>
      </c>
      <c r="DD1120" t="s">
        <v>2387</v>
      </c>
      <c r="DF1120">
        <v>2</v>
      </c>
      <c r="DG1120">
        <v>4</v>
      </c>
      <c r="DL1120">
        <v>50301</v>
      </c>
      <c r="DM1120" t="s">
        <v>11492</v>
      </c>
      <c r="DO1120" t="s">
        <v>11493</v>
      </c>
      <c r="DP1120">
        <v>0</v>
      </c>
      <c r="DQ1120">
        <v>0</v>
      </c>
      <c r="DR1120" t="s">
        <v>411</v>
      </c>
      <c r="EP1120" t="s">
        <v>421</v>
      </c>
      <c r="EQ1120" t="s">
        <v>422</v>
      </c>
      <c r="ER1120">
        <v>0</v>
      </c>
      <c r="ES1120">
        <v>1</v>
      </c>
      <c r="ET1120">
        <v>0</v>
      </c>
      <c r="EU1120">
        <v>0</v>
      </c>
      <c r="EV1120">
        <v>0</v>
      </c>
      <c r="EW1120" s="2">
        <v>43222</v>
      </c>
      <c r="EX1120" s="1">
        <v>42879</v>
      </c>
      <c r="EY1120">
        <v>2016</v>
      </c>
      <c r="EZ1120">
        <v>992.99</v>
      </c>
      <c r="FA1120" t="s">
        <v>11494</v>
      </c>
      <c r="FB1120">
        <v>0.25</v>
      </c>
      <c r="FC1120" t="s">
        <v>424</v>
      </c>
      <c r="FD1120" t="s">
        <v>425</v>
      </c>
      <c r="FE1120" s="1">
        <v>43018</v>
      </c>
      <c r="FF1120">
        <v>5</v>
      </c>
      <c r="FG1120">
        <v>2035919</v>
      </c>
      <c r="FH1120" t="s">
        <v>507</v>
      </c>
    </row>
    <row r="1121" spans="1:284" x14ac:dyDescent="0.25">
      <c r="A1121">
        <v>16486128</v>
      </c>
      <c r="B1121">
        <v>1120</v>
      </c>
      <c r="C1121" t="s">
        <v>393</v>
      </c>
      <c r="D1121" t="s">
        <v>394</v>
      </c>
      <c r="F1121" t="str">
        <f>"04-2N-27-0000-0003-0180"</f>
        <v>04-2N-27-0000-0003-0180</v>
      </c>
      <c r="H1121" t="str">
        <f>"ARMSTRONG ROY L &amp; MARGIE J"</f>
        <v>ARMSTRONG ROY L &amp; MARGIE J</v>
      </c>
      <c r="I1121" t="str">
        <f>"85091 CHRISTIAN WAY 311"</f>
        <v>85091 CHRISTIAN WAY 311</v>
      </c>
      <c r="J1121" t="str">
        <f t="shared" ref="J1121:J1127" si="368">"YULEE FL 32097"</f>
        <v>YULEE FL 32097</v>
      </c>
      <c r="K1121" t="str">
        <f>"ROBIN RD"</f>
        <v>ROBIN RD</v>
      </c>
      <c r="L1121" t="str">
        <f t="shared" si="365"/>
        <v>YULEE FL 32097</v>
      </c>
      <c r="M1121" t="str">
        <f>"PT OR 318/337"</f>
        <v>PT OR 318/337</v>
      </c>
      <c r="N1121" t="str">
        <f>""</f>
        <v/>
      </c>
      <c r="O1121" t="str">
        <f>"20109"</f>
        <v>20109</v>
      </c>
      <c r="P1121" t="str">
        <f t="shared" si="360"/>
        <v>2017</v>
      </c>
      <c r="Q1121" t="str">
        <f>""</f>
        <v/>
      </c>
      <c r="R1121" t="str">
        <f t="shared" si="364"/>
        <v>N</v>
      </c>
      <c r="S1121" t="str">
        <f>"0.50"</f>
        <v>0.50</v>
      </c>
      <c r="T1121" t="str">
        <f>"189.25"</f>
        <v>189.25</v>
      </c>
      <c r="U1121" t="str">
        <f>"12500.00"</f>
        <v>12500.00</v>
      </c>
      <c r="V1121" t="str">
        <f>"12500.00"</f>
        <v>12500.00</v>
      </c>
      <c r="W1121" t="str">
        <f t="shared" si="361"/>
        <v>2017</v>
      </c>
      <c r="X1121" t="str">
        <f>""</f>
        <v/>
      </c>
      <c r="Y1121" t="str">
        <f>"226.93"</f>
        <v>226.93</v>
      </c>
      <c r="Z1121" t="str">
        <f>""</f>
        <v/>
      </c>
      <c r="AA1121" t="str">
        <f>"12500.00"</f>
        <v>12500.00</v>
      </c>
      <c r="AB1121" t="str">
        <f t="shared" si="367"/>
        <v>Residential</v>
      </c>
      <c r="AC1121" t="str">
        <f t="shared" si="366"/>
        <v>0</v>
      </c>
      <c r="AD1121" t="str">
        <f>""</f>
        <v/>
      </c>
      <c r="AE1121" t="str">
        <f>""</f>
        <v/>
      </c>
      <c r="AF1121" t="str">
        <f>"000"</f>
        <v>000</v>
      </c>
      <c r="AG1121" t="str">
        <f t="shared" ref="AG1121:AG1152" si="369">"FL"</f>
        <v>FL</v>
      </c>
      <c r="AH1121" t="str">
        <f>"21780.00"</f>
        <v>21780.00</v>
      </c>
      <c r="AI1121" t="str">
        <f>"12500.00"</f>
        <v>12500.00</v>
      </c>
      <c r="AJ1121" t="str">
        <f>"C55-000-589-0563-9"</f>
        <v>C55-000-589-0563-9</v>
      </c>
      <c r="AK1121" t="str">
        <f>"18149"</f>
        <v>18149</v>
      </c>
      <c r="AL1121">
        <v>4</v>
      </c>
      <c r="AM1121">
        <v>1284</v>
      </c>
      <c r="AN1121">
        <v>236.68</v>
      </c>
      <c r="AQ1121" t="s">
        <v>11495</v>
      </c>
      <c r="AR1121" t="s">
        <v>11495</v>
      </c>
      <c r="AS1121" t="s">
        <v>11495</v>
      </c>
      <c r="AU1121" t="s">
        <v>396</v>
      </c>
      <c r="AV1121">
        <v>2017</v>
      </c>
      <c r="AW1121" t="str">
        <f>"04-2N-27-0000-0003-0180 "</f>
        <v xml:space="preserve">04-2N-27-0000-0003-0180 </v>
      </c>
      <c r="AZ1121" t="s">
        <v>11496</v>
      </c>
      <c r="BA1121" t="s">
        <v>496</v>
      </c>
      <c r="BD1121" t="s">
        <v>2387</v>
      </c>
      <c r="BE1121" t="s">
        <v>393</v>
      </c>
      <c r="BF1121">
        <v>32097</v>
      </c>
      <c r="BG1121" t="s">
        <v>11497</v>
      </c>
      <c r="BH1121" t="s">
        <v>2388</v>
      </c>
      <c r="BI1121">
        <v>-81.6067397235812</v>
      </c>
      <c r="BJ1121">
        <v>30.625420243680999</v>
      </c>
      <c r="BK1121" t="s">
        <v>10732</v>
      </c>
      <c r="BL1121" t="s">
        <v>10733</v>
      </c>
      <c r="BM1121" t="s">
        <v>10731</v>
      </c>
      <c r="BN1121" t="s">
        <v>403</v>
      </c>
      <c r="BO1121">
        <v>32046</v>
      </c>
      <c r="BP1121" t="s">
        <v>404</v>
      </c>
      <c r="BQ1121">
        <v>0</v>
      </c>
      <c r="BR1121" t="s">
        <v>491</v>
      </c>
      <c r="BS1121">
        <v>8001</v>
      </c>
      <c r="BT1121" t="s">
        <v>492</v>
      </c>
      <c r="BW1121">
        <v>21780</v>
      </c>
      <c r="BX1121" t="s">
        <v>407</v>
      </c>
      <c r="BY1121" t="s">
        <v>7351</v>
      </c>
      <c r="CD1121">
        <v>2017</v>
      </c>
      <c r="CE1121">
        <v>12500</v>
      </c>
      <c r="CG1121">
        <v>12500</v>
      </c>
      <c r="CH1121">
        <v>2017</v>
      </c>
      <c r="CI1121">
        <v>12500</v>
      </c>
      <c r="CK1121">
        <v>12500</v>
      </c>
      <c r="CL1121">
        <v>2017</v>
      </c>
      <c r="CM1121">
        <v>189.25</v>
      </c>
      <c r="DD1121" t="s">
        <v>2387</v>
      </c>
      <c r="DG1121">
        <v>4</v>
      </c>
      <c r="DL1121">
        <v>50301</v>
      </c>
      <c r="DM1121" t="s">
        <v>11492</v>
      </c>
      <c r="DO1121" t="s">
        <v>11498</v>
      </c>
      <c r="DP1121">
        <v>0</v>
      </c>
      <c r="DQ1121">
        <v>2</v>
      </c>
      <c r="DR1121" t="s">
        <v>411</v>
      </c>
    </row>
    <row r="1122" spans="1:284" x14ac:dyDescent="0.25">
      <c r="A1122">
        <v>16486129</v>
      </c>
      <c r="B1122">
        <v>1121</v>
      </c>
      <c r="C1122" t="s">
        <v>393</v>
      </c>
      <c r="D1122" t="s">
        <v>394</v>
      </c>
      <c r="F1122" t="str">
        <f>"04-2N-27-0000-0003-0300"</f>
        <v>04-2N-27-0000-0003-0300</v>
      </c>
      <c r="H1122" t="str">
        <f>"PATTON SYLVIA A &amp; PATTON DONALD R"</f>
        <v>PATTON SYLVIA A &amp; PATTON DONALD R</v>
      </c>
      <c r="I1122" t="str">
        <f>"86288 MACAW RD"</f>
        <v>86288 MACAW RD</v>
      </c>
      <c r="J1122" t="str">
        <f t="shared" si="368"/>
        <v>YULEE FL 32097</v>
      </c>
      <c r="K1122" t="str">
        <f>"86288 MACAW RD"</f>
        <v>86288 MACAW RD</v>
      </c>
      <c r="L1122" t="str">
        <f t="shared" si="365"/>
        <v>YULEE FL 32097</v>
      </c>
      <c r="M1122" t="str">
        <f>"IN OR 822 PG 14 RP41- 2272 &amp; R278274 R567864 &amp; R567865"</f>
        <v>IN OR 822 PG 14 RP41- 2272 &amp; R278274 R567864 &amp; R567865</v>
      </c>
      <c r="N1122" t="str">
        <f>""</f>
        <v/>
      </c>
      <c r="O1122" t="str">
        <f>"20120"</f>
        <v>20120</v>
      </c>
      <c r="P1122" t="str">
        <f t="shared" si="360"/>
        <v>2017</v>
      </c>
      <c r="Q1122" t="str">
        <f>""</f>
        <v/>
      </c>
      <c r="R1122" t="str">
        <f>"Y"</f>
        <v>Y</v>
      </c>
      <c r="S1122" t="str">
        <f>"4.00"</f>
        <v>4.00</v>
      </c>
      <c r="T1122" t="str">
        <f>"1390.34"</f>
        <v>1390.34</v>
      </c>
      <c r="U1122" t="str">
        <f>"118177.00"</f>
        <v>118177.00</v>
      </c>
      <c r="V1122" t="str">
        <f>"118177.00"</f>
        <v>118177.00</v>
      </c>
      <c r="W1122" t="str">
        <f t="shared" si="361"/>
        <v>2017</v>
      </c>
      <c r="X1122" t="str">
        <f>"9.50"</f>
        <v>9.50</v>
      </c>
      <c r="Y1122" t="str">
        <f>"1464.05"</f>
        <v>1464.05</v>
      </c>
      <c r="Z1122" t="str">
        <f>"25000.00"</f>
        <v>25000.00</v>
      </c>
      <c r="AA1122" t="str">
        <f>"94476.00"</f>
        <v>94476.00</v>
      </c>
      <c r="AB1122" t="str">
        <f t="shared" si="367"/>
        <v>Residential</v>
      </c>
      <c r="AC1122" t="str">
        <f t="shared" si="366"/>
        <v>0</v>
      </c>
      <c r="AD1122" t="str">
        <f>"4"</f>
        <v>4</v>
      </c>
      <c r="AE1122" t="str">
        <f>"WOOD (INCLUDE STEEL STUDS)"</f>
        <v>WOOD (INCLUDE STEEL STUDS)</v>
      </c>
      <c r="AF1122" t="str">
        <f>"002"</f>
        <v>002</v>
      </c>
      <c r="AG1122" t="str">
        <f t="shared" si="369"/>
        <v>FL</v>
      </c>
      <c r="AH1122" t="str">
        <f>"174240.00"</f>
        <v>174240.00</v>
      </c>
      <c r="AI1122" t="str">
        <f>"70000.00"</f>
        <v>70000.00</v>
      </c>
      <c r="AJ1122" t="str">
        <f>"C55-000-586-5210-8"</f>
        <v>C55-000-586-5210-8</v>
      </c>
      <c r="AK1122" t="str">
        <f>"18160"</f>
        <v>18160</v>
      </c>
      <c r="AL1122">
        <v>4</v>
      </c>
      <c r="AM1122">
        <v>1285</v>
      </c>
      <c r="AN1122">
        <v>1535.65</v>
      </c>
      <c r="AQ1122" t="s">
        <v>11499</v>
      </c>
      <c r="AR1122" t="s">
        <v>11499</v>
      </c>
      <c r="AS1122" t="s">
        <v>11499</v>
      </c>
      <c r="AU1122" t="s">
        <v>396</v>
      </c>
      <c r="AV1122">
        <v>2017</v>
      </c>
      <c r="AW1122" t="str">
        <f>"04-2N-27-0000-0003-0300 "</f>
        <v xml:space="preserve">04-2N-27-0000-0003-0300 </v>
      </c>
      <c r="AX1122">
        <v>86288</v>
      </c>
      <c r="AZ1122" t="s">
        <v>11500</v>
      </c>
      <c r="BA1122" t="s">
        <v>496</v>
      </c>
      <c r="BD1122" t="s">
        <v>2387</v>
      </c>
      <c r="BE1122" t="s">
        <v>393</v>
      </c>
      <c r="BF1122">
        <v>32097</v>
      </c>
      <c r="BG1122" t="s">
        <v>11501</v>
      </c>
      <c r="BH1122" t="s">
        <v>2388</v>
      </c>
      <c r="BI1122">
        <v>-81.612828691398903</v>
      </c>
      <c r="BJ1122">
        <v>30.621126166996799</v>
      </c>
      <c r="BK1122" t="s">
        <v>11502</v>
      </c>
      <c r="BL1122" t="s">
        <v>11503</v>
      </c>
      <c r="BM1122" t="s">
        <v>11501</v>
      </c>
      <c r="BN1122" t="s">
        <v>1778</v>
      </c>
      <c r="BO1122">
        <v>32097</v>
      </c>
      <c r="BP1122" t="s">
        <v>416</v>
      </c>
      <c r="BQ1122">
        <v>200</v>
      </c>
      <c r="BR1122" t="s">
        <v>405</v>
      </c>
      <c r="BS1122">
        <v>1006</v>
      </c>
      <c r="BT1122" t="s">
        <v>406</v>
      </c>
      <c r="BW1122">
        <v>174240</v>
      </c>
      <c r="BX1122" t="s">
        <v>407</v>
      </c>
      <c r="BY1122" t="s">
        <v>408</v>
      </c>
      <c r="BZ1122">
        <v>4</v>
      </c>
      <c r="CA1122">
        <v>1992</v>
      </c>
      <c r="CB1122">
        <v>1</v>
      </c>
      <c r="CC1122">
        <v>2</v>
      </c>
      <c r="CD1122">
        <v>2017</v>
      </c>
      <c r="CG1122">
        <v>119476</v>
      </c>
      <c r="CH1122">
        <v>2017</v>
      </c>
      <c r="CI1122">
        <v>70000</v>
      </c>
      <c r="CJ1122">
        <v>55567</v>
      </c>
      <c r="CK1122">
        <v>125567</v>
      </c>
      <c r="CL1122">
        <v>2017</v>
      </c>
      <c r="CM1122">
        <v>1390.34</v>
      </c>
      <c r="CN1122" s="1">
        <v>35832</v>
      </c>
      <c r="CZ1122" s="1">
        <v>35832</v>
      </c>
      <c r="DD1122" t="s">
        <v>2387</v>
      </c>
      <c r="DG1122">
        <v>4</v>
      </c>
      <c r="DL1122">
        <v>50301</v>
      </c>
      <c r="DM1122" t="s">
        <v>11492</v>
      </c>
      <c r="DO1122" t="s">
        <v>11504</v>
      </c>
      <c r="DP1122">
        <v>0</v>
      </c>
      <c r="DQ1122">
        <v>0</v>
      </c>
      <c r="DR1122" t="s">
        <v>411</v>
      </c>
      <c r="DS1122" t="b">
        <v>1</v>
      </c>
      <c r="DT1122" t="s">
        <v>470</v>
      </c>
      <c r="DU1122" t="s">
        <v>471</v>
      </c>
      <c r="DV1122" t="s">
        <v>472</v>
      </c>
      <c r="DX1122">
        <v>-9999</v>
      </c>
      <c r="DZ1122" t="s">
        <v>447</v>
      </c>
      <c r="EA1122" t="s">
        <v>448</v>
      </c>
      <c r="EB1122" t="s">
        <v>742</v>
      </c>
      <c r="EC1122">
        <v>20101217</v>
      </c>
      <c r="ED1122" t="s">
        <v>474</v>
      </c>
      <c r="EF1122">
        <v>4312.5</v>
      </c>
      <c r="EG1122">
        <v>4312.5</v>
      </c>
      <c r="EI1122">
        <v>20160407</v>
      </c>
      <c r="EJ1122">
        <v>0</v>
      </c>
      <c r="EK1122">
        <v>0</v>
      </c>
      <c r="EP1122" t="s">
        <v>421</v>
      </c>
      <c r="EQ1122" t="s">
        <v>422</v>
      </c>
      <c r="ER1122">
        <v>2</v>
      </c>
      <c r="ES1122">
        <v>4</v>
      </c>
      <c r="ET1122">
        <v>2873.68</v>
      </c>
      <c r="EU1122">
        <v>156.18</v>
      </c>
      <c r="EV1122">
        <v>3029.86</v>
      </c>
      <c r="EW1122" s="2">
        <v>43222</v>
      </c>
      <c r="EX1122" s="1">
        <v>42879</v>
      </c>
      <c r="EY1122">
        <v>2016</v>
      </c>
      <c r="EZ1122">
        <v>1436.84</v>
      </c>
      <c r="FA1122" t="s">
        <v>11505</v>
      </c>
      <c r="FB1122">
        <v>0.25</v>
      </c>
      <c r="FC1122" t="s">
        <v>424</v>
      </c>
      <c r="FD1122" t="s">
        <v>454</v>
      </c>
      <c r="FF1122">
        <v>12</v>
      </c>
      <c r="FG1122">
        <v>2851116</v>
      </c>
      <c r="FH1122" t="s">
        <v>480</v>
      </c>
      <c r="FJ1122" s="1">
        <v>42879</v>
      </c>
      <c r="FK1122">
        <v>2016</v>
      </c>
      <c r="FL1122">
        <v>1436.84</v>
      </c>
      <c r="FM1122" t="s">
        <v>11505</v>
      </c>
      <c r="FN1122">
        <v>0.25</v>
      </c>
      <c r="FO1122" t="s">
        <v>424</v>
      </c>
      <c r="FP1122" t="s">
        <v>454</v>
      </c>
      <c r="FR1122">
        <v>12</v>
      </c>
      <c r="FS1122">
        <v>5251256</v>
      </c>
      <c r="FT1122" t="s">
        <v>11506</v>
      </c>
      <c r="FV1122" s="1">
        <v>42515</v>
      </c>
      <c r="FW1122">
        <v>2015</v>
      </c>
      <c r="FX1122">
        <v>1561.2</v>
      </c>
      <c r="FY1122" t="s">
        <v>11507</v>
      </c>
      <c r="FZ1122">
        <v>0.25</v>
      </c>
      <c r="GA1122" t="s">
        <v>424</v>
      </c>
      <c r="GB1122" t="s">
        <v>425</v>
      </c>
      <c r="GC1122" s="1">
        <v>42821</v>
      </c>
      <c r="GD1122">
        <v>10</v>
      </c>
      <c r="GE1122">
        <v>2851116</v>
      </c>
      <c r="GF1122" t="s">
        <v>480</v>
      </c>
      <c r="GH1122" s="1">
        <v>42515</v>
      </c>
      <c r="GI1122">
        <v>2015</v>
      </c>
      <c r="GJ1122">
        <v>1561.2</v>
      </c>
      <c r="GK1122" t="s">
        <v>11507</v>
      </c>
      <c r="GL1122">
        <v>0.25</v>
      </c>
      <c r="GM1122" t="s">
        <v>424</v>
      </c>
      <c r="GN1122" t="s">
        <v>425</v>
      </c>
      <c r="GP1122">
        <v>22</v>
      </c>
      <c r="GQ1122">
        <v>5707373</v>
      </c>
      <c r="GR1122" t="s">
        <v>11508</v>
      </c>
      <c r="GT1122" s="1">
        <v>42151</v>
      </c>
      <c r="GU1122">
        <v>2014</v>
      </c>
      <c r="GV1122">
        <v>1488.14</v>
      </c>
      <c r="GW1122" t="s">
        <v>11509</v>
      </c>
      <c r="GX1122">
        <v>0.25</v>
      </c>
      <c r="GY1122" t="s">
        <v>424</v>
      </c>
      <c r="GZ1122" t="s">
        <v>425</v>
      </c>
      <c r="HA1122" s="1">
        <v>42458</v>
      </c>
      <c r="HB1122">
        <v>10</v>
      </c>
      <c r="HC1122">
        <v>4975594</v>
      </c>
      <c r="HD1122" t="s">
        <v>457</v>
      </c>
      <c r="HF1122" s="1">
        <v>42151</v>
      </c>
      <c r="HG1122">
        <v>2014</v>
      </c>
      <c r="HH1122">
        <v>1488.14</v>
      </c>
      <c r="HI1122" t="s">
        <v>11509</v>
      </c>
      <c r="HJ1122">
        <v>0.25</v>
      </c>
      <c r="HK1122" t="s">
        <v>424</v>
      </c>
      <c r="HL1122" t="s">
        <v>425</v>
      </c>
      <c r="HN1122">
        <v>22</v>
      </c>
      <c r="HO1122">
        <v>6460960</v>
      </c>
      <c r="HP1122" t="s">
        <v>11510</v>
      </c>
    </row>
    <row r="1123" spans="1:284" x14ac:dyDescent="0.25">
      <c r="A1123">
        <v>16486130</v>
      </c>
      <c r="B1123">
        <v>1122</v>
      </c>
      <c r="C1123" t="s">
        <v>393</v>
      </c>
      <c r="D1123" t="s">
        <v>394</v>
      </c>
      <c r="F1123" t="str">
        <f>"04-2N-27-0000-0003-0450"</f>
        <v>04-2N-27-0000-0003-0450</v>
      </c>
      <c r="H1123" t="str">
        <f>"PATTON DONALD R &amp; SYLVIA"</f>
        <v>PATTON DONALD R &amp; SYLVIA</v>
      </c>
      <c r="I1123" t="str">
        <f>"86288 MACAW RD"</f>
        <v>86288 MACAW RD</v>
      </c>
      <c r="J1123" t="str">
        <f t="shared" si="368"/>
        <v>YULEE FL 32097</v>
      </c>
      <c r="K1123" t="str">
        <f>"MACAW RD"</f>
        <v>MACAW RD</v>
      </c>
      <c r="L1123" t="str">
        <f t="shared" si="365"/>
        <v>YULEE FL 32097</v>
      </c>
      <c r="M1123" t="str">
        <f>"IN OR 644/359 EX 3-63"</f>
        <v>IN OR 644/359 EX 3-63</v>
      </c>
      <c r="N1123" t="str">
        <f>""</f>
        <v/>
      </c>
      <c r="O1123" t="str">
        <f>"20132"</f>
        <v>20132</v>
      </c>
      <c r="P1123" t="str">
        <f t="shared" si="360"/>
        <v>2017</v>
      </c>
      <c r="Q1123" t="str">
        <f>""</f>
        <v/>
      </c>
      <c r="R1123" t="str">
        <f>"N"</f>
        <v>N</v>
      </c>
      <c r="S1123" t="str">
        <f>"1.14"</f>
        <v>1.14</v>
      </c>
      <c r="T1123" t="str">
        <f>"107.86"</f>
        <v>107.86</v>
      </c>
      <c r="U1123" t="str">
        <f>"7125.00"</f>
        <v>7125.00</v>
      </c>
      <c r="V1123" t="str">
        <f>"7125.00"</f>
        <v>7125.00</v>
      </c>
      <c r="W1123" t="str">
        <f t="shared" si="361"/>
        <v>2017</v>
      </c>
      <c r="X1123" t="str">
        <f>"17.00"</f>
        <v>17.00</v>
      </c>
      <c r="Y1123" t="str">
        <f>"143.10"</f>
        <v>143.10</v>
      </c>
      <c r="Z1123" t="str">
        <f>""</f>
        <v/>
      </c>
      <c r="AA1123" t="str">
        <f>"7125.00"</f>
        <v>7125.00</v>
      </c>
      <c r="AB1123" t="str">
        <f t="shared" si="367"/>
        <v>Residential</v>
      </c>
      <c r="AC1123" t="str">
        <f t="shared" si="366"/>
        <v>0</v>
      </c>
      <c r="AD1123" t="str">
        <f>""</f>
        <v/>
      </c>
      <c r="AE1123" t="str">
        <f>""</f>
        <v/>
      </c>
      <c r="AF1123" t="str">
        <f>"000"</f>
        <v>000</v>
      </c>
      <c r="AG1123" t="str">
        <f t="shared" si="369"/>
        <v>FL</v>
      </c>
      <c r="AH1123" t="str">
        <f>"49658.00"</f>
        <v>49658.00</v>
      </c>
      <c r="AI1123" t="str">
        <f>"7125.00"</f>
        <v>7125.00</v>
      </c>
      <c r="AJ1123" t="str">
        <f>"C55-000-586-5222-3"</f>
        <v>C55-000-586-5222-3</v>
      </c>
      <c r="AK1123" t="str">
        <f>"18172"</f>
        <v>18172</v>
      </c>
      <c r="AL1123">
        <v>4</v>
      </c>
      <c r="AM1123">
        <v>1287</v>
      </c>
      <c r="AN1123">
        <v>148.66</v>
      </c>
      <c r="AQ1123" t="s">
        <v>11511</v>
      </c>
      <c r="AR1123" t="s">
        <v>11511</v>
      </c>
      <c r="AS1123" t="s">
        <v>11511</v>
      </c>
      <c r="AU1123" t="s">
        <v>396</v>
      </c>
      <c r="AV1123">
        <v>2017</v>
      </c>
      <c r="AW1123" t="str">
        <f>"04-2N-27-0000-0003-0450 "</f>
        <v xml:space="preserve">04-2N-27-0000-0003-0450 </v>
      </c>
      <c r="AZ1123" t="s">
        <v>11500</v>
      </c>
      <c r="BA1123" t="s">
        <v>496</v>
      </c>
      <c r="BD1123" t="s">
        <v>2387</v>
      </c>
      <c r="BE1123" t="s">
        <v>393</v>
      </c>
      <c r="BF1123">
        <v>32097</v>
      </c>
      <c r="BG1123" t="s">
        <v>11512</v>
      </c>
      <c r="BH1123" t="s">
        <v>2388</v>
      </c>
      <c r="BI1123">
        <v>-81.612703510045804</v>
      </c>
      <c r="BJ1123">
        <v>30.622231125712801</v>
      </c>
      <c r="BK1123" t="s">
        <v>11513</v>
      </c>
      <c r="BM1123" t="s">
        <v>11501</v>
      </c>
      <c r="BN1123" t="s">
        <v>1778</v>
      </c>
      <c r="BO1123">
        <v>32097</v>
      </c>
      <c r="BP1123" t="s">
        <v>404</v>
      </c>
      <c r="BQ1123">
        <v>0</v>
      </c>
      <c r="BR1123" t="s">
        <v>491</v>
      </c>
      <c r="BS1123">
        <v>8001</v>
      </c>
      <c r="BT1123" t="s">
        <v>492</v>
      </c>
      <c r="BW1123">
        <v>49658</v>
      </c>
      <c r="BX1123" t="s">
        <v>407</v>
      </c>
      <c r="BY1123" t="s">
        <v>408</v>
      </c>
      <c r="CD1123">
        <v>2017</v>
      </c>
      <c r="CE1123">
        <v>7125</v>
      </c>
      <c r="CG1123">
        <v>7125</v>
      </c>
      <c r="CH1123">
        <v>2017</v>
      </c>
      <c r="CI1123">
        <v>7125</v>
      </c>
      <c r="CK1123">
        <v>7125</v>
      </c>
      <c r="CL1123">
        <v>2017</v>
      </c>
      <c r="CM1123">
        <v>107.86</v>
      </c>
      <c r="CN1123" s="1">
        <v>33589</v>
      </c>
      <c r="CO1123">
        <v>2500</v>
      </c>
      <c r="CZ1123" s="1">
        <v>33589</v>
      </c>
      <c r="DD1123" t="s">
        <v>2387</v>
      </c>
      <c r="DG1123">
        <v>4</v>
      </c>
      <c r="DL1123">
        <v>50301</v>
      </c>
      <c r="DM1123" t="s">
        <v>11492</v>
      </c>
      <c r="DO1123" t="s">
        <v>11514</v>
      </c>
      <c r="DP1123">
        <v>0</v>
      </c>
      <c r="DQ1123">
        <v>0</v>
      </c>
      <c r="DR1123" t="s">
        <v>411</v>
      </c>
      <c r="DS1123" t="b">
        <v>1</v>
      </c>
      <c r="DT1123" t="s">
        <v>470</v>
      </c>
      <c r="DU1123" t="s">
        <v>471</v>
      </c>
      <c r="DV1123" t="s">
        <v>472</v>
      </c>
      <c r="DX1123">
        <v>-9999</v>
      </c>
      <c r="DZ1123" t="s">
        <v>447</v>
      </c>
      <c r="EA1123" t="s">
        <v>448</v>
      </c>
      <c r="EB1123" t="s">
        <v>742</v>
      </c>
      <c r="EC1123">
        <v>20101217</v>
      </c>
      <c r="ED1123" t="s">
        <v>474</v>
      </c>
      <c r="EF1123">
        <v>4683</v>
      </c>
      <c r="EG1123">
        <v>4683</v>
      </c>
      <c r="EI1123">
        <v>20160407</v>
      </c>
      <c r="EJ1123">
        <v>0</v>
      </c>
      <c r="EK1123">
        <v>0</v>
      </c>
      <c r="EP1123" t="s">
        <v>421</v>
      </c>
      <c r="EQ1123" t="s">
        <v>422</v>
      </c>
      <c r="ER1123">
        <v>3</v>
      </c>
      <c r="ES1123">
        <v>1</v>
      </c>
      <c r="ET1123">
        <v>432.2</v>
      </c>
      <c r="EU1123">
        <v>174.07</v>
      </c>
      <c r="EV1123">
        <v>606.27</v>
      </c>
      <c r="EW1123" s="2">
        <v>43222</v>
      </c>
      <c r="EX1123" s="1">
        <v>42879</v>
      </c>
      <c r="EY1123">
        <v>2016</v>
      </c>
      <c r="EZ1123">
        <v>145.28</v>
      </c>
      <c r="FA1123" t="s">
        <v>11515</v>
      </c>
      <c r="FB1123">
        <v>18</v>
      </c>
      <c r="FC1123" t="s">
        <v>424</v>
      </c>
      <c r="FD1123" t="s">
        <v>454</v>
      </c>
      <c r="FF1123">
        <v>12</v>
      </c>
      <c r="FG1123">
        <v>10125</v>
      </c>
      <c r="FH1123" t="s">
        <v>440</v>
      </c>
      <c r="FJ1123" s="1">
        <v>42515</v>
      </c>
      <c r="FK1123">
        <v>2015</v>
      </c>
      <c r="FL1123">
        <v>143.15</v>
      </c>
      <c r="FM1123" t="s">
        <v>11516</v>
      </c>
      <c r="FN1123">
        <v>18</v>
      </c>
      <c r="FO1123" t="s">
        <v>424</v>
      </c>
      <c r="FP1123" t="s">
        <v>454</v>
      </c>
      <c r="FR1123">
        <v>24</v>
      </c>
      <c r="FS1123">
        <v>10125</v>
      </c>
      <c r="FT1123" t="s">
        <v>440</v>
      </c>
      <c r="FV1123" s="1">
        <v>42151</v>
      </c>
      <c r="FW1123">
        <v>2014</v>
      </c>
      <c r="FX1123">
        <v>143.77000000000001</v>
      </c>
      <c r="FY1123" t="s">
        <v>11517</v>
      </c>
      <c r="FZ1123">
        <v>18</v>
      </c>
      <c r="GA1123" t="s">
        <v>424</v>
      </c>
      <c r="GB1123" t="s">
        <v>454</v>
      </c>
      <c r="GD1123">
        <v>36</v>
      </c>
      <c r="GE1123">
        <v>10125</v>
      </c>
      <c r="GF1123" t="s">
        <v>440</v>
      </c>
      <c r="GH1123" s="1">
        <v>40688</v>
      </c>
      <c r="GI1123">
        <v>2010</v>
      </c>
      <c r="GJ1123">
        <v>196.87</v>
      </c>
      <c r="GK1123" t="s">
        <v>11518</v>
      </c>
      <c r="GL1123">
        <v>6.75</v>
      </c>
      <c r="GM1123" t="s">
        <v>424</v>
      </c>
      <c r="GN1123" t="s">
        <v>425</v>
      </c>
      <c r="GO1123" s="1">
        <v>40956</v>
      </c>
      <c r="GP1123">
        <v>9</v>
      </c>
      <c r="GQ1123">
        <v>105</v>
      </c>
      <c r="GR1123" t="s">
        <v>946</v>
      </c>
    </row>
    <row r="1124" spans="1:284" x14ac:dyDescent="0.25">
      <c r="A1124">
        <v>16486131</v>
      </c>
      <c r="B1124">
        <v>1123</v>
      </c>
      <c r="C1124" t="s">
        <v>393</v>
      </c>
      <c r="D1124" t="s">
        <v>394</v>
      </c>
      <c r="F1124" t="str">
        <f>"04-2N-27-0000-0003-0640"</f>
        <v>04-2N-27-0000-0003-0640</v>
      </c>
      <c r="H1124" t="str">
        <f>"PATTON RANDALL C"</f>
        <v>PATTON RANDALL C</v>
      </c>
      <c r="I1124" t="str">
        <f>"86374 MACAW ROAD"</f>
        <v>86374 MACAW ROAD</v>
      </c>
      <c r="J1124" t="str">
        <f t="shared" si="368"/>
        <v>YULEE FL 32097</v>
      </c>
      <c r="K1124" t="str">
        <f>"86448 MACAW RD"</f>
        <v>86448 MACAW RD</v>
      </c>
      <c r="L1124" t="str">
        <f t="shared" si="365"/>
        <v>YULEE FL 32097</v>
      </c>
      <c r="M1124" t="str">
        <f>"PT OR 496 PG 1237 R278266 &amp; R278267"</f>
        <v>PT OR 496 PG 1237 R278266 &amp; R278267</v>
      </c>
      <c r="N1124" t="str">
        <f>""</f>
        <v/>
      </c>
      <c r="O1124" t="str">
        <f>"20149"</f>
        <v>20149</v>
      </c>
      <c r="P1124" t="str">
        <f t="shared" si="360"/>
        <v>2017</v>
      </c>
      <c r="Q1124" t="str">
        <f>""</f>
        <v/>
      </c>
      <c r="R1124" t="str">
        <f>"N"</f>
        <v>N</v>
      </c>
      <c r="S1124" t="str">
        <f>"1.00"</f>
        <v>1.00</v>
      </c>
      <c r="T1124" t="str">
        <f>"532.83"</f>
        <v>532.83</v>
      </c>
      <c r="U1124" t="str">
        <f>"35196.00"</f>
        <v>35196.00</v>
      </c>
      <c r="V1124" t="str">
        <f>"35196.00"</f>
        <v>35196.00</v>
      </c>
      <c r="W1124" t="str">
        <f t="shared" si="361"/>
        <v>2017</v>
      </c>
      <c r="X1124" t="str">
        <f>"20.00"</f>
        <v>20.00</v>
      </c>
      <c r="Y1124" t="str">
        <f>"580.81"</f>
        <v>580.81</v>
      </c>
      <c r="Z1124" t="str">
        <f>""</f>
        <v/>
      </c>
      <c r="AA1124" t="str">
        <f>"35196.00"</f>
        <v>35196.00</v>
      </c>
      <c r="AB1124" t="str">
        <f t="shared" si="367"/>
        <v>Residential</v>
      </c>
      <c r="AC1124" t="str">
        <f t="shared" si="366"/>
        <v>0</v>
      </c>
      <c r="AD1124" t="str">
        <f>"4"</f>
        <v>4</v>
      </c>
      <c r="AE1124" t="str">
        <f>"WOOD (INCLUDE STEEL STUDS)"</f>
        <v>WOOD (INCLUDE STEEL STUDS)</v>
      </c>
      <c r="AF1124" t="str">
        <f>"002"</f>
        <v>002</v>
      </c>
      <c r="AG1124" t="str">
        <f t="shared" si="369"/>
        <v>FL</v>
      </c>
      <c r="AH1124" t="str">
        <f>"43560.00"</f>
        <v>43560.00</v>
      </c>
      <c r="AI1124" t="str">
        <f>"22500.00"</f>
        <v>22500.00</v>
      </c>
      <c r="AJ1124" t="str">
        <f>"C55-000-589-1313-8"</f>
        <v>C55-000-589-1313-8</v>
      </c>
      <c r="AK1124" t="str">
        <f>"18184"</f>
        <v>18184</v>
      </c>
      <c r="AL1124">
        <v>4</v>
      </c>
      <c r="AM1124">
        <v>1288</v>
      </c>
      <c r="AN1124">
        <v>608.25</v>
      </c>
      <c r="AQ1124" t="s">
        <v>11519</v>
      </c>
      <c r="AR1124" t="s">
        <v>11519</v>
      </c>
      <c r="AS1124" t="s">
        <v>11519</v>
      </c>
      <c r="AU1124" t="s">
        <v>396</v>
      </c>
      <c r="AV1124">
        <v>2017</v>
      </c>
      <c r="AW1124" t="str">
        <f>"04-2N-27-0000-0003-0640 "</f>
        <v xml:space="preserve">04-2N-27-0000-0003-0640 </v>
      </c>
      <c r="AX1124">
        <v>86448</v>
      </c>
      <c r="AZ1124" t="s">
        <v>11500</v>
      </c>
      <c r="BA1124" t="s">
        <v>496</v>
      </c>
      <c r="BD1124" t="s">
        <v>2387</v>
      </c>
      <c r="BE1124" t="s">
        <v>393</v>
      </c>
      <c r="BF1124">
        <v>32097</v>
      </c>
      <c r="BG1124" t="s">
        <v>11520</v>
      </c>
      <c r="BH1124" t="s">
        <v>2388</v>
      </c>
      <c r="BI1124">
        <v>-81.612385388521005</v>
      </c>
      <c r="BJ1124">
        <v>30.6218254227466</v>
      </c>
      <c r="BK1124" t="s">
        <v>11513</v>
      </c>
      <c r="BM1124" t="s">
        <v>11521</v>
      </c>
      <c r="BN1124" t="s">
        <v>1778</v>
      </c>
      <c r="BO1124">
        <v>32097</v>
      </c>
      <c r="BP1124" t="s">
        <v>404</v>
      </c>
      <c r="BQ1124">
        <v>200</v>
      </c>
      <c r="BR1124" t="s">
        <v>405</v>
      </c>
      <c r="BS1124">
        <v>1006</v>
      </c>
      <c r="BT1124" t="s">
        <v>406</v>
      </c>
      <c r="BW1124">
        <v>43560</v>
      </c>
      <c r="BX1124" t="s">
        <v>407</v>
      </c>
      <c r="BY1124" t="s">
        <v>408</v>
      </c>
      <c r="BZ1124">
        <v>4</v>
      </c>
      <c r="CA1124">
        <v>1985</v>
      </c>
      <c r="CB1124">
        <v>1</v>
      </c>
      <c r="CC1124">
        <v>1</v>
      </c>
      <c r="CD1124">
        <v>2017</v>
      </c>
      <c r="CE1124">
        <v>22500</v>
      </c>
      <c r="CF1124">
        <v>12696</v>
      </c>
      <c r="CG1124">
        <v>35196</v>
      </c>
      <c r="CH1124">
        <v>2017</v>
      </c>
      <c r="CI1124">
        <v>22500</v>
      </c>
      <c r="CJ1124">
        <v>12696</v>
      </c>
      <c r="CK1124">
        <v>35196</v>
      </c>
      <c r="CL1124">
        <v>2017</v>
      </c>
      <c r="CM1124">
        <v>532.83000000000004</v>
      </c>
      <c r="DD1124" t="s">
        <v>2387</v>
      </c>
      <c r="DG1124">
        <v>4</v>
      </c>
      <c r="DL1124">
        <v>50301</v>
      </c>
      <c r="DM1124" t="s">
        <v>11492</v>
      </c>
      <c r="DO1124" t="s">
        <v>11522</v>
      </c>
      <c r="DP1124">
        <v>0</v>
      </c>
      <c r="DQ1124">
        <v>0</v>
      </c>
      <c r="DR1124" t="s">
        <v>411</v>
      </c>
      <c r="DS1124" t="b">
        <v>1</v>
      </c>
      <c r="DT1124" t="s">
        <v>470</v>
      </c>
      <c r="DU1124" t="s">
        <v>471</v>
      </c>
      <c r="DV1124" t="s">
        <v>472</v>
      </c>
      <c r="DX1124">
        <v>-9999</v>
      </c>
      <c r="DZ1124" t="s">
        <v>447</v>
      </c>
      <c r="EA1124" t="s">
        <v>448</v>
      </c>
      <c r="EB1124" t="s">
        <v>742</v>
      </c>
      <c r="EC1124">
        <v>20101217</v>
      </c>
      <c r="ED1124" t="s">
        <v>474</v>
      </c>
      <c r="EF1124">
        <v>4513.1000000000004</v>
      </c>
      <c r="EG1124">
        <v>4513.1000000000004</v>
      </c>
      <c r="EI1124">
        <v>20160407</v>
      </c>
      <c r="EJ1124">
        <v>0</v>
      </c>
      <c r="EK1124">
        <v>0</v>
      </c>
      <c r="EP1124" t="s">
        <v>421</v>
      </c>
      <c r="EQ1124" t="s">
        <v>422</v>
      </c>
      <c r="ER1124">
        <v>2</v>
      </c>
      <c r="ES1124">
        <v>7</v>
      </c>
      <c r="ET1124">
        <v>1264.8</v>
      </c>
      <c r="EU1124">
        <v>75.739999999999995</v>
      </c>
      <c r="EV1124">
        <v>1340.54</v>
      </c>
      <c r="EW1124" s="2">
        <v>43222</v>
      </c>
      <c r="EX1124" s="1">
        <v>42879</v>
      </c>
      <c r="EY1124">
        <v>2016</v>
      </c>
      <c r="EZ1124">
        <v>632.4</v>
      </c>
      <c r="FA1124" t="s">
        <v>11523</v>
      </c>
      <c r="FB1124">
        <v>0.25</v>
      </c>
      <c r="FC1124" t="s">
        <v>424</v>
      </c>
      <c r="FD1124" t="s">
        <v>454</v>
      </c>
      <c r="FF1124">
        <v>12</v>
      </c>
      <c r="FG1124">
        <v>2851116</v>
      </c>
      <c r="FH1124" t="s">
        <v>480</v>
      </c>
      <c r="FJ1124" s="1">
        <v>42879</v>
      </c>
      <c r="FK1124">
        <v>2016</v>
      </c>
      <c r="FL1124">
        <v>632.4</v>
      </c>
      <c r="FM1124" t="s">
        <v>11523</v>
      </c>
      <c r="FN1124">
        <v>0.25</v>
      </c>
      <c r="FO1124" t="s">
        <v>424</v>
      </c>
      <c r="FP1124" t="s">
        <v>454</v>
      </c>
      <c r="FR1124">
        <v>12</v>
      </c>
      <c r="FS1124">
        <v>4917939</v>
      </c>
      <c r="FT1124" t="s">
        <v>11524</v>
      </c>
      <c r="FV1124" s="1">
        <v>42515</v>
      </c>
      <c r="FW1124">
        <v>2015</v>
      </c>
      <c r="FX1124">
        <v>620.19000000000005</v>
      </c>
      <c r="FY1124" t="s">
        <v>11525</v>
      </c>
      <c r="FZ1124">
        <v>0.25</v>
      </c>
      <c r="GA1124" t="s">
        <v>424</v>
      </c>
      <c r="GB1124" t="s">
        <v>425</v>
      </c>
      <c r="GC1124" s="1">
        <v>43153</v>
      </c>
      <c r="GD1124">
        <v>21</v>
      </c>
      <c r="GE1124">
        <v>2851116</v>
      </c>
      <c r="GF1124" t="s">
        <v>480</v>
      </c>
      <c r="GH1124" s="1">
        <v>42515</v>
      </c>
      <c r="GI1124">
        <v>2015</v>
      </c>
      <c r="GJ1124">
        <v>620.19000000000005</v>
      </c>
      <c r="GK1124" t="s">
        <v>11525</v>
      </c>
      <c r="GL1124">
        <v>0.25</v>
      </c>
      <c r="GM1124" t="s">
        <v>424</v>
      </c>
      <c r="GN1124" t="s">
        <v>425</v>
      </c>
      <c r="GP1124">
        <v>22</v>
      </c>
      <c r="GQ1124">
        <v>5320877</v>
      </c>
      <c r="GR1124" t="s">
        <v>11526</v>
      </c>
      <c r="GT1124" s="1">
        <v>42151</v>
      </c>
      <c r="GU1124">
        <v>2014</v>
      </c>
      <c r="GV1124">
        <v>551.84</v>
      </c>
      <c r="GW1124" t="s">
        <v>11527</v>
      </c>
      <c r="GX1124">
        <v>0.25</v>
      </c>
      <c r="GY1124" t="s">
        <v>424</v>
      </c>
      <c r="GZ1124" t="s">
        <v>425</v>
      </c>
      <c r="HA1124" s="1">
        <v>42779</v>
      </c>
      <c r="HB1124">
        <v>21</v>
      </c>
      <c r="HC1124">
        <v>2851116</v>
      </c>
      <c r="HD1124" t="s">
        <v>480</v>
      </c>
      <c r="HF1124" s="1">
        <v>42151</v>
      </c>
      <c r="HG1124">
        <v>2014</v>
      </c>
      <c r="HH1124">
        <v>551.84</v>
      </c>
      <c r="HI1124" t="s">
        <v>11527</v>
      </c>
      <c r="HJ1124">
        <v>0.25</v>
      </c>
      <c r="HK1124" t="s">
        <v>424</v>
      </c>
      <c r="HL1124" t="s">
        <v>425</v>
      </c>
      <c r="HN1124">
        <v>22</v>
      </c>
      <c r="HO1124">
        <v>5428896</v>
      </c>
      <c r="HP1124" t="s">
        <v>11528</v>
      </c>
      <c r="HR1124" s="1">
        <v>41787</v>
      </c>
      <c r="HS1124">
        <v>2013</v>
      </c>
      <c r="HT1124">
        <v>638.12</v>
      </c>
      <c r="HU1124" t="s">
        <v>11529</v>
      </c>
      <c r="HV1124">
        <v>0.25</v>
      </c>
      <c r="HW1124" t="s">
        <v>424</v>
      </c>
      <c r="HX1124" t="s">
        <v>425</v>
      </c>
      <c r="HY1124" s="1">
        <v>42423</v>
      </c>
      <c r="HZ1124">
        <v>21</v>
      </c>
      <c r="IA1124">
        <v>13026</v>
      </c>
      <c r="IB1124" t="s">
        <v>2129</v>
      </c>
      <c r="ID1124" s="1">
        <v>41052</v>
      </c>
      <c r="IE1124">
        <v>2011</v>
      </c>
      <c r="IF1124">
        <v>800.67</v>
      </c>
      <c r="IG1124" t="s">
        <v>11530</v>
      </c>
      <c r="IH1124">
        <v>6</v>
      </c>
      <c r="II1124" t="s">
        <v>424</v>
      </c>
      <c r="IJ1124" t="s">
        <v>425</v>
      </c>
      <c r="IK1124" s="1">
        <v>41410</v>
      </c>
      <c r="IL1124">
        <v>12</v>
      </c>
      <c r="IM1124">
        <v>62</v>
      </c>
      <c r="IN1124" t="s">
        <v>463</v>
      </c>
      <c r="IP1124" s="1">
        <v>40688</v>
      </c>
      <c r="IQ1124">
        <v>2010</v>
      </c>
      <c r="IR1124">
        <v>926.62</v>
      </c>
      <c r="IS1124" t="s">
        <v>11531</v>
      </c>
      <c r="IT1124">
        <v>6.75</v>
      </c>
      <c r="IU1124" t="s">
        <v>424</v>
      </c>
      <c r="IV1124" t="s">
        <v>425</v>
      </c>
      <c r="IW1124" s="1">
        <v>41313</v>
      </c>
      <c r="IX1124">
        <v>21</v>
      </c>
      <c r="IY1124">
        <v>10579</v>
      </c>
      <c r="IZ1124" t="s">
        <v>488</v>
      </c>
    </row>
    <row r="1125" spans="1:284" x14ac:dyDescent="0.25">
      <c r="A1125">
        <v>16486132</v>
      </c>
      <c r="B1125">
        <v>1124</v>
      </c>
      <c r="C1125" t="s">
        <v>393</v>
      </c>
      <c r="D1125" t="s">
        <v>394</v>
      </c>
      <c r="F1125" t="str">
        <f>"04-2N-27-0000-0004-0010"</f>
        <v>04-2N-27-0000-0004-0010</v>
      </c>
      <c r="H1125" t="str">
        <f>"DUNMAN MARSHALL WILBUR"</f>
        <v>DUNMAN MARSHALL WILBUR</v>
      </c>
      <c r="I1125" t="str">
        <f>"85765 NORTH HARTS ROAD"</f>
        <v>85765 NORTH HARTS ROAD</v>
      </c>
      <c r="J1125" t="str">
        <f t="shared" si="368"/>
        <v>YULEE FL 32097</v>
      </c>
      <c r="K1125" t="str">
        <f>"85765 NORTH HARTS RD"</f>
        <v>85765 NORTH HARTS RD</v>
      </c>
      <c r="L1125" t="str">
        <f t="shared" si="365"/>
        <v>YULEE FL 32097</v>
      </c>
      <c r="M1125" t="str">
        <f>"IN OR 923/1491"</f>
        <v>IN OR 923/1491</v>
      </c>
      <c r="N1125" t="str">
        <f>""</f>
        <v/>
      </c>
      <c r="O1125" t="str">
        <f>"20154"</f>
        <v>20154</v>
      </c>
      <c r="P1125" t="str">
        <f t="shared" si="360"/>
        <v>2017</v>
      </c>
      <c r="Q1125" t="str">
        <f>""</f>
        <v/>
      </c>
      <c r="R1125" t="str">
        <f>"Y"</f>
        <v>Y</v>
      </c>
      <c r="S1125" t="str">
        <f>"7.00"</f>
        <v>7.00</v>
      </c>
      <c r="T1125" t="str">
        <f>"1764.94"</f>
        <v>1764.94</v>
      </c>
      <c r="U1125" t="str">
        <f>"155688.00"</f>
        <v>155688.00</v>
      </c>
      <c r="V1125" t="str">
        <f>"155688.00"</f>
        <v>155688.00</v>
      </c>
      <c r="W1125" t="str">
        <f t="shared" si="361"/>
        <v>2017</v>
      </c>
      <c r="X1125" t="str">
        <f>""</f>
        <v/>
      </c>
      <c r="Y1125" t="str">
        <f>"1849.89"</f>
        <v>1849.89</v>
      </c>
      <c r="Z1125" t="str">
        <f>"25000.00"</f>
        <v>25000.00</v>
      </c>
      <c r="AA1125" t="str">
        <f>"130688.00"</f>
        <v>130688.00</v>
      </c>
      <c r="AB1125" t="str">
        <f t="shared" si="367"/>
        <v>Residential</v>
      </c>
      <c r="AC1125" t="str">
        <f t="shared" si="366"/>
        <v>0</v>
      </c>
      <c r="AD1125" t="str">
        <f>"4"</f>
        <v>4</v>
      </c>
      <c r="AE1125" t="str">
        <f>"WOOD (INCLUDE STEEL STUDS)"</f>
        <v>WOOD (INCLUDE STEEL STUDS)</v>
      </c>
      <c r="AF1125" t="str">
        <f>"001"</f>
        <v>001</v>
      </c>
      <c r="AG1125" t="str">
        <f t="shared" si="369"/>
        <v>FL</v>
      </c>
      <c r="AH1125" t="str">
        <f>"304920.00"</f>
        <v>304920.00</v>
      </c>
      <c r="AI1125" t="str">
        <f>"87500.00"</f>
        <v>87500.00</v>
      </c>
      <c r="AJ1125" t="str">
        <f>"C55-000-586-5237-1"</f>
        <v>C55-000-586-5237-1</v>
      </c>
      <c r="AK1125" t="str">
        <f>"18188"</f>
        <v>18188</v>
      </c>
      <c r="AL1125">
        <v>4</v>
      </c>
      <c r="AM1125">
        <v>1289</v>
      </c>
      <c r="AN1125">
        <v>1940.78</v>
      </c>
      <c r="AQ1125" t="s">
        <v>11532</v>
      </c>
      <c r="AR1125" t="s">
        <v>11532</v>
      </c>
      <c r="AS1125" t="s">
        <v>11532</v>
      </c>
      <c r="AU1125" t="s">
        <v>396</v>
      </c>
      <c r="AV1125">
        <v>2017</v>
      </c>
      <c r="AW1125" t="str">
        <f>"04-2N-27-0000-0004-0010 "</f>
        <v xml:space="preserve">04-2N-27-0000-0004-0010 </v>
      </c>
      <c r="AX1125">
        <v>85765</v>
      </c>
      <c r="AY1125" t="s">
        <v>11533</v>
      </c>
      <c r="AZ1125" t="s">
        <v>11534</v>
      </c>
      <c r="BA1125" t="s">
        <v>496</v>
      </c>
      <c r="BD1125" t="s">
        <v>2387</v>
      </c>
      <c r="BE1125" t="s">
        <v>393</v>
      </c>
      <c r="BF1125">
        <v>32097</v>
      </c>
      <c r="BG1125" t="s">
        <v>11535</v>
      </c>
      <c r="BH1125" t="s">
        <v>2388</v>
      </c>
      <c r="BI1125">
        <v>-81.607187020318804</v>
      </c>
      <c r="BJ1125">
        <v>30.620480384716899</v>
      </c>
      <c r="BK1125" t="s">
        <v>11536</v>
      </c>
      <c r="BM1125" t="s">
        <v>11537</v>
      </c>
      <c r="BN1125" t="s">
        <v>1778</v>
      </c>
      <c r="BO1125">
        <v>32097</v>
      </c>
      <c r="BP1125" t="s">
        <v>416</v>
      </c>
      <c r="BQ1125">
        <v>100</v>
      </c>
      <c r="BR1125" t="s">
        <v>514</v>
      </c>
      <c r="BS1125">
        <v>1001</v>
      </c>
      <c r="BT1125" t="s">
        <v>515</v>
      </c>
      <c r="BW1125">
        <v>304920</v>
      </c>
      <c r="BX1125" t="s">
        <v>407</v>
      </c>
      <c r="BY1125" t="s">
        <v>408</v>
      </c>
      <c r="BZ1125">
        <v>4</v>
      </c>
      <c r="CA1125">
        <v>1970</v>
      </c>
      <c r="CB1125">
        <v>1</v>
      </c>
      <c r="CC1125">
        <v>1</v>
      </c>
      <c r="CD1125">
        <v>2017</v>
      </c>
      <c r="CG1125">
        <v>155688</v>
      </c>
      <c r="CH1125">
        <v>2017</v>
      </c>
      <c r="CI1125">
        <v>87500</v>
      </c>
      <c r="CJ1125">
        <v>81938</v>
      </c>
      <c r="CK1125">
        <v>169438</v>
      </c>
      <c r="CL1125">
        <v>2017</v>
      </c>
      <c r="CM1125">
        <v>1764.94</v>
      </c>
      <c r="CN1125" s="1">
        <v>36598</v>
      </c>
      <c r="CV1125">
        <v>0</v>
      </c>
      <c r="CZ1125" s="1">
        <v>36598</v>
      </c>
      <c r="DA1125">
        <v>0</v>
      </c>
      <c r="DD1125" t="s">
        <v>2387</v>
      </c>
      <c r="DG1125">
        <v>4</v>
      </c>
      <c r="DL1125">
        <v>50301</v>
      </c>
      <c r="DM1125" t="s">
        <v>11492</v>
      </c>
      <c r="DO1125" t="s">
        <v>11538</v>
      </c>
      <c r="DP1125">
        <v>0</v>
      </c>
      <c r="DQ1125">
        <v>0</v>
      </c>
      <c r="DR1125" t="s">
        <v>411</v>
      </c>
    </row>
    <row r="1126" spans="1:284" x14ac:dyDescent="0.25">
      <c r="A1126">
        <v>16486133</v>
      </c>
      <c r="B1126">
        <v>1125</v>
      </c>
      <c r="C1126" t="s">
        <v>393</v>
      </c>
      <c r="D1126" t="s">
        <v>394</v>
      </c>
      <c r="F1126" t="str">
        <f>"04-2N-27-0000-0004-0050"</f>
        <v>04-2N-27-0000-0004-0050</v>
      </c>
      <c r="H1126" t="str">
        <f>"LEE GEORGE D G"</f>
        <v>LEE GEORGE D G</v>
      </c>
      <c r="I1126" t="str">
        <f>"86122 WHIPPOORWILL PLACE"</f>
        <v>86122 WHIPPOORWILL PLACE</v>
      </c>
      <c r="J1126" t="str">
        <f t="shared" si="368"/>
        <v>YULEE FL 32097</v>
      </c>
      <c r="K1126" t="str">
        <f>"86122 WHIPPOORWILL PL"</f>
        <v>86122 WHIPPOORWILL PL</v>
      </c>
      <c r="L1126" t="str">
        <f t="shared" si="365"/>
        <v>YULEE FL 32097</v>
      </c>
      <c r="M1126" t="str">
        <f>"IN OR 617/901 EX 4-16"</f>
        <v>IN OR 617/901 EX 4-16</v>
      </c>
      <c r="N1126" t="str">
        <f>""</f>
        <v/>
      </c>
      <c r="O1126" t="str">
        <f>"20158"</f>
        <v>20158</v>
      </c>
      <c r="P1126" t="str">
        <f t="shared" si="360"/>
        <v>2017</v>
      </c>
      <c r="Q1126" t="str">
        <f>""</f>
        <v/>
      </c>
      <c r="R1126" t="str">
        <f>"Y"</f>
        <v>Y</v>
      </c>
      <c r="S1126" t="str">
        <f>"3.00"</f>
        <v>3.00</v>
      </c>
      <c r="T1126" t="str">
        <f>"1558.16"</f>
        <v>1558.16</v>
      </c>
      <c r="U1126" t="str">
        <f>"142530.00"</f>
        <v>142530.00</v>
      </c>
      <c r="V1126" t="str">
        <f>"142530.00"</f>
        <v>142530.00</v>
      </c>
      <c r="W1126" t="str">
        <f t="shared" si="361"/>
        <v>2017</v>
      </c>
      <c r="X1126" t="str">
        <f>""</f>
        <v/>
      </c>
      <c r="Y1126" t="str">
        <f>"1636.90"</f>
        <v>1636.90</v>
      </c>
      <c r="Z1126" t="str">
        <f>"25500.00"</f>
        <v>25500.00</v>
      </c>
      <c r="AA1126" t="str">
        <f>"117030.00"</f>
        <v>117030.00</v>
      </c>
      <c r="AB1126" t="str">
        <f t="shared" si="367"/>
        <v>Residential</v>
      </c>
      <c r="AC1126" t="str">
        <f t="shared" si="366"/>
        <v>0</v>
      </c>
      <c r="AD1126" t="str">
        <f>"4"</f>
        <v>4</v>
      </c>
      <c r="AE1126" t="str">
        <f>"WOOD (INCLUDE STEEL STUDS)"</f>
        <v>WOOD (INCLUDE STEEL STUDS)</v>
      </c>
      <c r="AF1126" t="str">
        <f>"001"</f>
        <v>001</v>
      </c>
      <c r="AG1126" t="str">
        <f t="shared" si="369"/>
        <v>FL</v>
      </c>
      <c r="AH1126" t="str">
        <f>"130680.00"</f>
        <v>130680.00</v>
      </c>
      <c r="AI1126" t="str">
        <f>"56250.00"</f>
        <v>56250.00</v>
      </c>
      <c r="AJ1126" t="str">
        <f>"C55-000-586-5241-3"</f>
        <v>C55-000-586-5241-3</v>
      </c>
      <c r="AK1126" t="str">
        <f>"18191"</f>
        <v>18191</v>
      </c>
      <c r="AL1126">
        <v>4</v>
      </c>
      <c r="AM1126">
        <v>1290</v>
      </c>
      <c r="AN1126">
        <v>1717.15</v>
      </c>
      <c r="AQ1126" t="s">
        <v>11539</v>
      </c>
      <c r="AR1126" t="s">
        <v>11539</v>
      </c>
      <c r="AS1126" t="s">
        <v>11539</v>
      </c>
      <c r="AU1126" t="s">
        <v>396</v>
      </c>
      <c r="AV1126">
        <v>2017</v>
      </c>
      <c r="AW1126" t="str">
        <f>"04-2N-27-0000-0004-0050 "</f>
        <v xml:space="preserve">04-2N-27-0000-0004-0050 </v>
      </c>
      <c r="AX1126">
        <v>86122</v>
      </c>
      <c r="AZ1126" t="s">
        <v>11540</v>
      </c>
      <c r="BA1126" t="s">
        <v>641</v>
      </c>
      <c r="BD1126" t="s">
        <v>2387</v>
      </c>
      <c r="BE1126" t="s">
        <v>393</v>
      </c>
      <c r="BF1126">
        <v>32097</v>
      </c>
      <c r="BG1126" t="s">
        <v>11541</v>
      </c>
      <c r="BH1126" t="s">
        <v>2388</v>
      </c>
      <c r="BI1126">
        <v>-81.606794136702405</v>
      </c>
      <c r="BJ1126">
        <v>30.6175542221517</v>
      </c>
      <c r="BK1126" t="s">
        <v>11542</v>
      </c>
      <c r="BM1126" t="s">
        <v>11541</v>
      </c>
      <c r="BN1126" t="s">
        <v>1778</v>
      </c>
      <c r="BO1126">
        <v>32097</v>
      </c>
      <c r="BP1126" t="s">
        <v>416</v>
      </c>
      <c r="BQ1126">
        <v>100</v>
      </c>
      <c r="BR1126" t="s">
        <v>514</v>
      </c>
      <c r="BS1126">
        <v>1001</v>
      </c>
      <c r="BT1126" t="s">
        <v>515</v>
      </c>
      <c r="BW1126">
        <v>130680</v>
      </c>
      <c r="BX1126" t="s">
        <v>407</v>
      </c>
      <c r="BY1126" t="s">
        <v>408</v>
      </c>
      <c r="BZ1126">
        <v>4</v>
      </c>
      <c r="CA1126">
        <v>1982</v>
      </c>
      <c r="CB1126">
        <v>1.5</v>
      </c>
      <c r="CC1126">
        <v>1</v>
      </c>
      <c r="CD1126">
        <v>2017</v>
      </c>
      <c r="CG1126">
        <v>142530</v>
      </c>
      <c r="CH1126">
        <v>2017</v>
      </c>
      <c r="CI1126">
        <v>56250</v>
      </c>
      <c r="CJ1126">
        <v>120558</v>
      </c>
      <c r="CK1126">
        <v>176808</v>
      </c>
      <c r="CL1126">
        <v>2017</v>
      </c>
      <c r="CM1126">
        <v>1558.16</v>
      </c>
      <c r="CN1126" s="1">
        <v>38476</v>
      </c>
      <c r="CO1126">
        <v>104000</v>
      </c>
      <c r="CV1126">
        <v>101073</v>
      </c>
      <c r="CX1126" t="s">
        <v>9036</v>
      </c>
      <c r="CZ1126" s="1">
        <v>38476</v>
      </c>
      <c r="DA1126">
        <v>0</v>
      </c>
      <c r="DD1126" t="s">
        <v>2387</v>
      </c>
      <c r="DG1126">
        <v>4</v>
      </c>
      <c r="DL1126">
        <v>50301</v>
      </c>
      <c r="DM1126" t="s">
        <v>11492</v>
      </c>
      <c r="DO1126" t="s">
        <v>11543</v>
      </c>
      <c r="DP1126">
        <v>0</v>
      </c>
      <c r="DQ1126">
        <v>0</v>
      </c>
      <c r="DR1126" t="s">
        <v>411</v>
      </c>
      <c r="EP1126" t="s">
        <v>421</v>
      </c>
      <c r="EQ1126" t="s">
        <v>422</v>
      </c>
      <c r="ER1126">
        <v>2</v>
      </c>
      <c r="ES1126">
        <v>0</v>
      </c>
      <c r="ET1126">
        <v>3379.8</v>
      </c>
      <c r="EU1126">
        <v>181.49</v>
      </c>
      <c r="EV1126">
        <v>3561.29</v>
      </c>
      <c r="EW1126" s="2">
        <v>43222</v>
      </c>
      <c r="EX1126" s="1">
        <v>42879</v>
      </c>
      <c r="EY1126">
        <v>2016</v>
      </c>
      <c r="EZ1126">
        <v>1689.9</v>
      </c>
      <c r="FA1126" t="s">
        <v>11544</v>
      </c>
      <c r="FB1126">
        <v>0.25</v>
      </c>
      <c r="FC1126" t="s">
        <v>424</v>
      </c>
      <c r="FD1126" t="s">
        <v>454</v>
      </c>
      <c r="FF1126">
        <v>12</v>
      </c>
      <c r="FG1126">
        <v>7400234</v>
      </c>
      <c r="FH1126" t="s">
        <v>426</v>
      </c>
      <c r="FJ1126" s="1">
        <v>42879</v>
      </c>
      <c r="FK1126">
        <v>2016</v>
      </c>
      <c r="FL1126">
        <v>1689.9</v>
      </c>
      <c r="FM1126" t="s">
        <v>11544</v>
      </c>
      <c r="FN1126">
        <v>0.25</v>
      </c>
      <c r="FO1126" t="s">
        <v>424</v>
      </c>
      <c r="FP1126" t="s">
        <v>454</v>
      </c>
      <c r="FR1126">
        <v>12</v>
      </c>
      <c r="FS1126">
        <v>7419005</v>
      </c>
      <c r="FT1126" t="s">
        <v>11545</v>
      </c>
    </row>
    <row r="1127" spans="1:284" x14ac:dyDescent="0.25">
      <c r="A1127">
        <v>16486134</v>
      </c>
      <c r="B1127">
        <v>1126</v>
      </c>
      <c r="C1127" t="s">
        <v>393</v>
      </c>
      <c r="D1127" t="s">
        <v>394</v>
      </c>
      <c r="F1127" t="str">
        <f>"04-2N-27-4290-000A-0020"</f>
        <v>04-2N-27-4290-000A-0020</v>
      </c>
      <c r="H1127" t="str">
        <f>"DUNMAN MARSHALL W"</f>
        <v>DUNMAN MARSHALL W</v>
      </c>
      <c r="I1127" t="str">
        <f>"85765 NORTH HARTS RD"</f>
        <v>85765 NORTH HARTS RD</v>
      </c>
      <c r="J1127" t="str">
        <f t="shared" si="368"/>
        <v>YULEE FL 32097</v>
      </c>
      <c r="K1127" t="str">
        <f>"85783 NORTH HARTS RD"</f>
        <v>85783 NORTH HARTS RD</v>
      </c>
      <c r="L1127" t="str">
        <f t="shared" si="365"/>
        <v>YULEE FL 32097</v>
      </c>
      <c r="M1127" t="str">
        <f>"PT OF TRACT A IN OR 935/325 (EX ESMT IN OR 390/469 &amp; OR 463/137) FLOOD ACRES UNIT 1 PBK 4/20 {1981 CONC DW/MH}"</f>
        <v>PT OF TRACT A IN OR 935/325 (EX ESMT IN OR 390/469 &amp; OR 463/137) FLOOD ACRES UNIT 1 PBK 4/20 {1981 CONC DW/MH}</v>
      </c>
      <c r="N1127" t="str">
        <f>""</f>
        <v/>
      </c>
      <c r="O1127" t="str">
        <f>"20174"</f>
        <v>20174</v>
      </c>
      <c r="P1127" t="str">
        <f t="shared" si="360"/>
        <v>2017</v>
      </c>
      <c r="Q1127" t="str">
        <f>""</f>
        <v/>
      </c>
      <c r="R1127" t="str">
        <f>"N"</f>
        <v>N</v>
      </c>
      <c r="S1127" t="str">
        <f>"3.38"</f>
        <v>3.38</v>
      </c>
      <c r="T1127" t="str">
        <f>"1545.21"</f>
        <v>1545.21</v>
      </c>
      <c r="U1127" t="str">
        <f>"101295.00"</f>
        <v>101295.00</v>
      </c>
      <c r="V1127" t="str">
        <f>"101295.00"</f>
        <v>101295.00</v>
      </c>
      <c r="W1127" t="str">
        <f t="shared" si="361"/>
        <v>2017</v>
      </c>
      <c r="X1127" t="str">
        <f>"14.50"</f>
        <v>14.50</v>
      </c>
      <c r="Y1127" t="str">
        <f>"1623.57"</f>
        <v>1623.57</v>
      </c>
      <c r="Z1127" t="str">
        <f>""</f>
        <v/>
      </c>
      <c r="AA1127" t="str">
        <f>"103073.00"</f>
        <v>103073.00</v>
      </c>
      <c r="AB1127" t="str">
        <f t="shared" si="367"/>
        <v>Residential</v>
      </c>
      <c r="AC1127" t="str">
        <f t="shared" si="366"/>
        <v>0</v>
      </c>
      <c r="AD1127" t="str">
        <f>"4"</f>
        <v>4</v>
      </c>
      <c r="AE1127" t="str">
        <f>"WOOD (INCLUDE STEEL STUDS)"</f>
        <v>WOOD (INCLUDE STEEL STUDS)</v>
      </c>
      <c r="AF1127" t="str">
        <f>"002"</f>
        <v>002</v>
      </c>
      <c r="AG1127" t="str">
        <f t="shared" si="369"/>
        <v>FL</v>
      </c>
      <c r="AH1127" t="str">
        <f>"147232.00"</f>
        <v>147232.00</v>
      </c>
      <c r="AI1127" t="str">
        <f>"59150.00"</f>
        <v>59150.00</v>
      </c>
      <c r="AJ1127" t="str">
        <f>"C55-000-586-5255-3"</f>
        <v>C55-000-586-5255-3</v>
      </c>
      <c r="AK1127" t="str">
        <f>"18205"</f>
        <v>18205</v>
      </c>
      <c r="AL1127">
        <v>4</v>
      </c>
      <c r="AM1127">
        <v>1291</v>
      </c>
      <c r="AN1127">
        <v>1703.15</v>
      </c>
      <c r="AQ1127" t="s">
        <v>11546</v>
      </c>
      <c r="AR1127" t="s">
        <v>11546</v>
      </c>
      <c r="AS1127" t="s">
        <v>11546</v>
      </c>
      <c r="AU1127" t="s">
        <v>396</v>
      </c>
      <c r="AV1127">
        <v>2017</v>
      </c>
      <c r="AW1127" t="str">
        <f>"04-2N-27-4290-000A-0020 "</f>
        <v xml:space="preserve">04-2N-27-4290-000A-0020 </v>
      </c>
      <c r="AX1127">
        <v>85783</v>
      </c>
      <c r="AY1127" t="s">
        <v>11533</v>
      </c>
      <c r="AZ1127" t="s">
        <v>11534</v>
      </c>
      <c r="BA1127" t="s">
        <v>496</v>
      </c>
      <c r="BD1127" t="s">
        <v>2387</v>
      </c>
      <c r="BE1127" t="s">
        <v>393</v>
      </c>
      <c r="BF1127">
        <v>32097</v>
      </c>
      <c r="BG1127" t="s">
        <v>11547</v>
      </c>
      <c r="BH1127" t="s">
        <v>2388</v>
      </c>
      <c r="BI1127">
        <v>-81.607187886202993</v>
      </c>
      <c r="BJ1127">
        <v>30.621162522318599</v>
      </c>
      <c r="BK1127" t="s">
        <v>11548</v>
      </c>
      <c r="BM1127" t="s">
        <v>11537</v>
      </c>
      <c r="BN1127" t="s">
        <v>1778</v>
      </c>
      <c r="BO1127">
        <v>32097</v>
      </c>
      <c r="BP1127" t="s">
        <v>404</v>
      </c>
      <c r="BQ1127">
        <v>200</v>
      </c>
      <c r="BR1127" t="s">
        <v>405</v>
      </c>
      <c r="BS1127">
        <v>1006</v>
      </c>
      <c r="BT1127" t="s">
        <v>406</v>
      </c>
      <c r="BW1127">
        <v>147232</v>
      </c>
      <c r="BX1127" t="s">
        <v>407</v>
      </c>
      <c r="BY1127" t="s">
        <v>408</v>
      </c>
      <c r="BZ1127">
        <v>4</v>
      </c>
      <c r="CA1127">
        <v>1981</v>
      </c>
      <c r="CB1127">
        <v>1</v>
      </c>
      <c r="CC1127">
        <v>3</v>
      </c>
      <c r="CD1127">
        <v>2017</v>
      </c>
      <c r="CE1127">
        <v>59150</v>
      </c>
      <c r="CF1127">
        <v>43923</v>
      </c>
      <c r="CG1127">
        <v>103073</v>
      </c>
      <c r="CH1127">
        <v>2017</v>
      </c>
      <c r="CI1127">
        <v>59150</v>
      </c>
      <c r="CJ1127">
        <v>43923</v>
      </c>
      <c r="CK1127">
        <v>103073</v>
      </c>
      <c r="CL1127">
        <v>2017</v>
      </c>
      <c r="CM1127">
        <v>1545.21</v>
      </c>
      <c r="CN1127" s="1">
        <v>36682</v>
      </c>
      <c r="CO1127">
        <v>75000</v>
      </c>
      <c r="CV1127">
        <v>0</v>
      </c>
      <c r="CZ1127" s="1">
        <v>36682</v>
      </c>
      <c r="DA1127">
        <v>0</v>
      </c>
      <c r="DD1127" t="s">
        <v>2387</v>
      </c>
      <c r="DG1127">
        <v>4</v>
      </c>
      <c r="DL1127">
        <v>50301</v>
      </c>
      <c r="DM1127" t="s">
        <v>11492</v>
      </c>
      <c r="DO1127" t="s">
        <v>11549</v>
      </c>
      <c r="DP1127">
        <v>0</v>
      </c>
      <c r="DQ1127">
        <v>0</v>
      </c>
      <c r="DR1127" t="s">
        <v>411</v>
      </c>
      <c r="EP1127" t="s">
        <v>421</v>
      </c>
      <c r="EQ1127" t="s">
        <v>422</v>
      </c>
      <c r="ER1127">
        <v>0</v>
      </c>
      <c r="ES1127">
        <v>1</v>
      </c>
      <c r="ET1127">
        <v>0</v>
      </c>
      <c r="EU1127">
        <v>0</v>
      </c>
      <c r="EV1127">
        <v>0</v>
      </c>
      <c r="EW1127" s="2">
        <v>43222</v>
      </c>
      <c r="EX1127" s="1">
        <v>41052</v>
      </c>
      <c r="EY1127">
        <v>2011</v>
      </c>
      <c r="EZ1127">
        <v>1997.15</v>
      </c>
      <c r="FA1127" t="s">
        <v>11550</v>
      </c>
      <c r="FB1127">
        <v>5.75</v>
      </c>
      <c r="FC1127" t="s">
        <v>424</v>
      </c>
      <c r="FD1127" t="s">
        <v>425</v>
      </c>
      <c r="FE1127" s="1">
        <v>41754</v>
      </c>
      <c r="FF1127">
        <v>23</v>
      </c>
      <c r="FG1127">
        <v>13139</v>
      </c>
      <c r="FH1127" t="s">
        <v>955</v>
      </c>
    </row>
    <row r="1128" spans="1:284" x14ac:dyDescent="0.25">
      <c r="A1128">
        <v>16486135</v>
      </c>
      <c r="B1128">
        <v>1127</v>
      </c>
      <c r="C1128" t="s">
        <v>393</v>
      </c>
      <c r="D1128" t="s">
        <v>394</v>
      </c>
      <c r="F1128" t="str">
        <f>"04-2N-27-4290-000A-0040"</f>
        <v>04-2N-27-4290-000A-0040</v>
      </c>
      <c r="H1128" t="str">
        <f>"WHISENANT WILLIAM TIMOTHY"</f>
        <v>WHISENANT WILLIAM TIMOTHY</v>
      </c>
      <c r="I1128" t="str">
        <f>"8135 KENWOOD DR E"</f>
        <v>8135 KENWOOD DR E</v>
      </c>
      <c r="J1128" t="str">
        <f>"JACKSONVILLE FL 32207"</f>
        <v>JACKSONVILLE FL 32207</v>
      </c>
      <c r="K1128" t="str">
        <f>"HUMMINGBIRD LN"</f>
        <v>HUMMINGBIRD LN</v>
      </c>
      <c r="L1128" t="str">
        <f t="shared" si="365"/>
        <v>YULEE FL 32097</v>
      </c>
      <c r="M1128" t="str">
        <f>"PT OF TRACT A IN OR 2134/300 FLOOD ACRES 1 PBK 4/20"</f>
        <v>PT OF TRACT A IN OR 2134/300 FLOOD ACRES 1 PBK 4/20</v>
      </c>
      <c r="N1128" t="str">
        <f>""</f>
        <v/>
      </c>
      <c r="O1128" t="str">
        <f>"20176"</f>
        <v>20176</v>
      </c>
      <c r="P1128" t="str">
        <f t="shared" si="360"/>
        <v>2017</v>
      </c>
      <c r="Q1128" t="str">
        <f>""</f>
        <v/>
      </c>
      <c r="R1128" t="str">
        <f>"N"</f>
        <v>N</v>
      </c>
      <c r="S1128" t="str">
        <f>"1.00"</f>
        <v>1.00</v>
      </c>
      <c r="T1128" t="str">
        <f>"359.55"</f>
        <v>359.55</v>
      </c>
      <c r="U1128" t="str">
        <f>"23750.00"</f>
        <v>23750.00</v>
      </c>
      <c r="V1128" t="str">
        <f>"23750.00"</f>
        <v>23750.00</v>
      </c>
      <c r="W1128" t="str">
        <f t="shared" si="361"/>
        <v>2017</v>
      </c>
      <c r="X1128" t="str">
        <f>"46.22"</f>
        <v>46.22</v>
      </c>
      <c r="Y1128" t="str">
        <f>"402.34"</f>
        <v>402.34</v>
      </c>
      <c r="Z1128" t="str">
        <f>""</f>
        <v/>
      </c>
      <c r="AA1128" t="str">
        <f>"23750.00"</f>
        <v>23750.00</v>
      </c>
      <c r="AB1128" t="str">
        <f t="shared" si="367"/>
        <v>Residential</v>
      </c>
      <c r="AC1128" t="str">
        <f t="shared" si="366"/>
        <v>0</v>
      </c>
      <c r="AD1128" t="str">
        <f>""</f>
        <v/>
      </c>
      <c r="AE1128" t="str">
        <f>""</f>
        <v/>
      </c>
      <c r="AF1128" t="str">
        <f>"000"</f>
        <v>000</v>
      </c>
      <c r="AG1128" t="str">
        <f t="shared" si="369"/>
        <v>FL</v>
      </c>
      <c r="AH1128" t="str">
        <f>"43560.00"</f>
        <v>43560.00</v>
      </c>
      <c r="AI1128" t="str">
        <f>"23750.00"</f>
        <v>23750.00</v>
      </c>
      <c r="AJ1128" t="str">
        <f>"C55-000-586-5257-9"</f>
        <v>C55-000-586-5257-9</v>
      </c>
      <c r="AK1128" t="str">
        <f>"18207"</f>
        <v>18207</v>
      </c>
      <c r="AL1128">
        <v>4</v>
      </c>
      <c r="AM1128">
        <v>1292</v>
      </c>
      <c r="AN1128">
        <v>420.86</v>
      </c>
      <c r="AQ1128" t="s">
        <v>11551</v>
      </c>
      <c r="AR1128" t="s">
        <v>11551</v>
      </c>
      <c r="AS1128" t="s">
        <v>11551</v>
      </c>
      <c r="AU1128" t="s">
        <v>396</v>
      </c>
      <c r="AV1128">
        <v>2017</v>
      </c>
      <c r="AW1128" t="str">
        <f>"04-2N-27-4290-000A-0040 "</f>
        <v xml:space="preserve">04-2N-27-4290-000A-0040 </v>
      </c>
      <c r="AZ1128" t="s">
        <v>11552</v>
      </c>
      <c r="BA1128" t="s">
        <v>653</v>
      </c>
      <c r="BD1128" t="s">
        <v>2387</v>
      </c>
      <c r="BE1128" t="s">
        <v>393</v>
      </c>
      <c r="BF1128">
        <v>32097</v>
      </c>
      <c r="BG1128" t="s">
        <v>11553</v>
      </c>
      <c r="BH1128" t="s">
        <v>2388</v>
      </c>
      <c r="BI1128">
        <v>-81.608234373662796</v>
      </c>
      <c r="BJ1128">
        <v>30.621698574741899</v>
      </c>
      <c r="BK1128" t="s">
        <v>11554</v>
      </c>
      <c r="BM1128" t="s">
        <v>11555</v>
      </c>
      <c r="BN1128" t="s">
        <v>548</v>
      </c>
      <c r="BO1128">
        <v>32210</v>
      </c>
      <c r="BP1128" t="s">
        <v>404</v>
      </c>
      <c r="BQ1128">
        <v>0</v>
      </c>
      <c r="BR1128" t="s">
        <v>491</v>
      </c>
      <c r="BS1128">
        <v>8001</v>
      </c>
      <c r="BT1128" t="s">
        <v>492</v>
      </c>
      <c r="BW1128">
        <v>43560</v>
      </c>
      <c r="BX1128" t="s">
        <v>407</v>
      </c>
      <c r="CD1128">
        <v>2017</v>
      </c>
      <c r="CE1128">
        <v>23750</v>
      </c>
      <c r="CG1128">
        <v>23750</v>
      </c>
      <c r="CH1128">
        <v>2017</v>
      </c>
      <c r="CI1128">
        <v>23750</v>
      </c>
      <c r="CK1128">
        <v>23750</v>
      </c>
      <c r="CL1128">
        <v>2017</v>
      </c>
      <c r="CM1128">
        <v>359.55</v>
      </c>
      <c r="CN1128" s="1">
        <v>42237</v>
      </c>
      <c r="CZ1128" s="1">
        <v>42237</v>
      </c>
      <c r="DD1128" t="s">
        <v>2387</v>
      </c>
      <c r="DG1128">
        <v>4</v>
      </c>
      <c r="DJ1128" t="s">
        <v>11556</v>
      </c>
      <c r="DL1128">
        <v>50301</v>
      </c>
      <c r="DM1128" t="s">
        <v>11492</v>
      </c>
      <c r="DO1128" t="s">
        <v>11557</v>
      </c>
      <c r="DP1128">
        <v>0</v>
      </c>
      <c r="DQ1128">
        <v>0</v>
      </c>
      <c r="DR1128" t="s">
        <v>411</v>
      </c>
      <c r="DS1128" t="b">
        <v>1</v>
      </c>
      <c r="DT1128" t="s">
        <v>470</v>
      </c>
      <c r="DU1128" t="s">
        <v>471</v>
      </c>
      <c r="DV1128" t="s">
        <v>472</v>
      </c>
      <c r="DX1128">
        <v>-9999</v>
      </c>
      <c r="DZ1128" t="s">
        <v>447</v>
      </c>
      <c r="EA1128" t="s">
        <v>448</v>
      </c>
      <c r="EB1128" t="s">
        <v>742</v>
      </c>
      <c r="EC1128">
        <v>20101217</v>
      </c>
      <c r="ED1128" t="s">
        <v>474</v>
      </c>
      <c r="EF1128">
        <v>4274.8999999999996</v>
      </c>
      <c r="EG1128">
        <v>4274.8999999999996</v>
      </c>
      <c r="EI1128">
        <v>20160407</v>
      </c>
      <c r="EJ1128">
        <v>0</v>
      </c>
      <c r="EK1128">
        <v>0</v>
      </c>
      <c r="EP1128" t="s">
        <v>421</v>
      </c>
      <c r="EQ1128" t="s">
        <v>452</v>
      </c>
      <c r="ER1128">
        <v>0</v>
      </c>
      <c r="ES1128">
        <v>6</v>
      </c>
      <c r="ET1128">
        <v>0</v>
      </c>
      <c r="EU1128">
        <v>0</v>
      </c>
      <c r="EV1128">
        <v>0</v>
      </c>
      <c r="EW1128" s="2">
        <v>43222</v>
      </c>
      <c r="EX1128" s="1">
        <v>42515</v>
      </c>
      <c r="EY1128">
        <v>2015</v>
      </c>
      <c r="EZ1128">
        <v>425.88</v>
      </c>
      <c r="FA1128" t="s">
        <v>11558</v>
      </c>
      <c r="FB1128">
        <v>18</v>
      </c>
      <c r="FC1128" t="s">
        <v>424</v>
      </c>
      <c r="FD1128" t="s">
        <v>425</v>
      </c>
      <c r="FE1128" s="1">
        <v>42816</v>
      </c>
      <c r="FF1128">
        <v>10</v>
      </c>
      <c r="FG1128">
        <v>10125</v>
      </c>
      <c r="FH1128" t="s">
        <v>440</v>
      </c>
      <c r="FI1128" t="s">
        <v>458</v>
      </c>
      <c r="FJ1128" s="1">
        <v>42151</v>
      </c>
      <c r="FK1128">
        <v>2014</v>
      </c>
      <c r="FL1128">
        <v>427.93</v>
      </c>
      <c r="FM1128" t="s">
        <v>11559</v>
      </c>
      <c r="FN1128">
        <v>18</v>
      </c>
      <c r="FO1128" t="s">
        <v>424</v>
      </c>
      <c r="FP1128" t="s">
        <v>425</v>
      </c>
      <c r="FQ1128" s="1">
        <v>42816</v>
      </c>
      <c r="FR1128">
        <v>22</v>
      </c>
      <c r="FS1128">
        <v>10125</v>
      </c>
      <c r="FT1128" t="s">
        <v>440</v>
      </c>
      <c r="FU1128" t="s">
        <v>458</v>
      </c>
      <c r="FV1128" s="1">
        <v>41787</v>
      </c>
      <c r="FW1128">
        <v>2013</v>
      </c>
      <c r="FX1128">
        <v>406.23</v>
      </c>
      <c r="FY1128" t="s">
        <v>11560</v>
      </c>
      <c r="FZ1128">
        <v>16.5</v>
      </c>
      <c r="GA1128" t="s">
        <v>424</v>
      </c>
      <c r="GB1128" t="s">
        <v>425</v>
      </c>
      <c r="GC1128" s="1">
        <v>42816</v>
      </c>
      <c r="GD1128">
        <v>34</v>
      </c>
      <c r="GE1128">
        <v>10125</v>
      </c>
      <c r="GF1128" t="s">
        <v>440</v>
      </c>
      <c r="GG1128" t="s">
        <v>458</v>
      </c>
      <c r="GH1128" s="1">
        <v>41423</v>
      </c>
      <c r="GI1128">
        <v>2012</v>
      </c>
      <c r="GJ1128">
        <v>411.03</v>
      </c>
      <c r="GK1128" t="s">
        <v>11561</v>
      </c>
      <c r="GL1128">
        <v>6</v>
      </c>
      <c r="GM1128" t="s">
        <v>424</v>
      </c>
      <c r="GN1128" t="s">
        <v>425</v>
      </c>
      <c r="GO1128" s="1">
        <v>42816</v>
      </c>
      <c r="GP1128">
        <v>46</v>
      </c>
      <c r="GQ1128">
        <v>10125</v>
      </c>
      <c r="GR1128" t="s">
        <v>440</v>
      </c>
      <c r="GS1128" t="s">
        <v>458</v>
      </c>
      <c r="GT1128" s="1">
        <v>41052</v>
      </c>
      <c r="GU1128">
        <v>2011</v>
      </c>
      <c r="GV1128">
        <v>488.98</v>
      </c>
      <c r="GW1128" t="s">
        <v>11562</v>
      </c>
      <c r="GX1128">
        <v>11.75</v>
      </c>
      <c r="GY1128" t="s">
        <v>424</v>
      </c>
      <c r="GZ1128" t="s">
        <v>425</v>
      </c>
      <c r="HA1128" s="1">
        <v>42816</v>
      </c>
      <c r="HB1128">
        <v>58</v>
      </c>
      <c r="HC1128">
        <v>10125</v>
      </c>
      <c r="HD1128" t="s">
        <v>440</v>
      </c>
      <c r="HE1128" t="s">
        <v>458</v>
      </c>
      <c r="HF1128" s="1">
        <v>40688</v>
      </c>
      <c r="HG1128">
        <v>2010</v>
      </c>
      <c r="HH1128">
        <v>625.9</v>
      </c>
      <c r="HI1128" t="s">
        <v>11563</v>
      </c>
      <c r="HJ1128">
        <v>7.75</v>
      </c>
      <c r="HK1128" t="s">
        <v>424</v>
      </c>
      <c r="HL1128" t="s">
        <v>425</v>
      </c>
      <c r="HM1128" s="1">
        <v>42816</v>
      </c>
      <c r="HN1128">
        <v>70</v>
      </c>
      <c r="HO1128">
        <v>305</v>
      </c>
      <c r="HP1128" t="s">
        <v>1078</v>
      </c>
      <c r="HQ1128" t="s">
        <v>458</v>
      </c>
    </row>
    <row r="1129" spans="1:284" x14ac:dyDescent="0.25">
      <c r="A1129">
        <v>16486136</v>
      </c>
      <c r="B1129">
        <v>1128</v>
      </c>
      <c r="C1129" t="s">
        <v>393</v>
      </c>
      <c r="D1129" t="s">
        <v>394</v>
      </c>
      <c r="F1129" t="str">
        <f>"04-2N-27-4290-0016-0000"</f>
        <v>04-2N-27-4290-0016-0000</v>
      </c>
      <c r="H1129" t="str">
        <f>"MAXWELL KYLE &amp; GENEVA N"</f>
        <v>MAXWELL KYLE &amp; GENEVA N</v>
      </c>
      <c r="I1129" t="str">
        <f>"615720 RIVER ROAD"</f>
        <v>615720 RIVER ROAD</v>
      </c>
      <c r="J1129" t="str">
        <f>"AVENTURA FL 33160"</f>
        <v>AVENTURA FL 33160</v>
      </c>
      <c r="K1129" t="str">
        <f>"CARDINAL RD"</f>
        <v>CARDINAL RD</v>
      </c>
      <c r="L1129" t="str">
        <f t="shared" si="365"/>
        <v>YULEE FL 32097</v>
      </c>
      <c r="M1129" t="str">
        <f>"LOT 16 IN OR 1651/1130 EX ESMT OR 120/624 EX FPL R/W 278/610 EX PT OR 398/362 &amp; OR 533/613 FLOOD ACRES UNIT 1 PB 4/20"</f>
        <v>LOT 16 IN OR 1651/1130 EX ESMT OR 120/624 EX FPL R/W 278/610 EX PT OR 398/362 &amp; OR 533/613 FLOOD ACRES UNIT 1 PB 4/20</v>
      </c>
      <c r="N1129" t="str">
        <f>""</f>
        <v/>
      </c>
      <c r="O1129" t="str">
        <f>"20179"</f>
        <v>20179</v>
      </c>
      <c r="P1129" t="str">
        <f t="shared" si="360"/>
        <v>2017</v>
      </c>
      <c r="Q1129" t="str">
        <f>""</f>
        <v/>
      </c>
      <c r="R1129" t="str">
        <f>"N"</f>
        <v>N</v>
      </c>
      <c r="S1129" t="str">
        <f>"3.11"</f>
        <v>3.11</v>
      </c>
      <c r="T1129" t="str">
        <f>"294.24"</f>
        <v>294.24</v>
      </c>
      <c r="U1129" t="str">
        <f>"19437.00"</f>
        <v>19437.00</v>
      </c>
      <c r="V1129" t="str">
        <f>"19437.00"</f>
        <v>19437.00</v>
      </c>
      <c r="W1129" t="str">
        <f t="shared" si="361"/>
        <v>2017</v>
      </c>
      <c r="X1129" t="str">
        <f>"11.00"</f>
        <v>11.00</v>
      </c>
      <c r="Y1129" t="str">
        <f>"335.07"</f>
        <v>335.07</v>
      </c>
      <c r="Z1129" t="str">
        <f>""</f>
        <v/>
      </c>
      <c r="AA1129" t="str">
        <f>"19437.00"</f>
        <v>19437.00</v>
      </c>
      <c r="AB1129" t="str">
        <f t="shared" si="367"/>
        <v>Residential</v>
      </c>
      <c r="AC1129" t="str">
        <f t="shared" si="366"/>
        <v>0</v>
      </c>
      <c r="AD1129" t="str">
        <f>""</f>
        <v/>
      </c>
      <c r="AE1129" t="str">
        <f>""</f>
        <v/>
      </c>
      <c r="AF1129" t="str">
        <f>"000"</f>
        <v>000</v>
      </c>
      <c r="AG1129" t="str">
        <f t="shared" si="369"/>
        <v>FL</v>
      </c>
      <c r="AH1129" t="str">
        <f>"135471.00"</f>
        <v>135471.00</v>
      </c>
      <c r="AI1129" t="str">
        <f>"19437.00"</f>
        <v>19437.00</v>
      </c>
      <c r="AJ1129" t="str">
        <f>"C55-000-586-5260-3"</f>
        <v>C55-000-586-5260-3</v>
      </c>
      <c r="AK1129" t="str">
        <f>"18210"</f>
        <v>18210</v>
      </c>
      <c r="AL1129">
        <v>4</v>
      </c>
      <c r="AM1129">
        <v>1293</v>
      </c>
      <c r="AN1129">
        <v>350.22</v>
      </c>
      <c r="AQ1129" t="s">
        <v>11564</v>
      </c>
      <c r="AR1129" t="s">
        <v>11564</v>
      </c>
      <c r="AS1129" t="s">
        <v>11564</v>
      </c>
      <c r="AU1129" t="s">
        <v>396</v>
      </c>
      <c r="AV1129">
        <v>2017</v>
      </c>
      <c r="AW1129" t="str">
        <f>"04-2N-27-4290-0016-0000 "</f>
        <v xml:space="preserve">04-2N-27-4290-0016-0000 </v>
      </c>
      <c r="AZ1129" t="s">
        <v>11487</v>
      </c>
      <c r="BA1129" t="s">
        <v>496</v>
      </c>
      <c r="BD1129" t="s">
        <v>2387</v>
      </c>
      <c r="BE1129" t="s">
        <v>393</v>
      </c>
      <c r="BF1129">
        <v>32097</v>
      </c>
      <c r="BG1129" t="s">
        <v>11488</v>
      </c>
      <c r="BH1129" t="s">
        <v>2388</v>
      </c>
      <c r="BI1129">
        <v>-81.608945600906495</v>
      </c>
      <c r="BJ1129">
        <v>30.622268809624899</v>
      </c>
      <c r="BK1129" t="s">
        <v>11565</v>
      </c>
      <c r="BM1129" t="s">
        <v>8403</v>
      </c>
      <c r="BN1129" t="s">
        <v>8404</v>
      </c>
      <c r="BO1129">
        <v>33160</v>
      </c>
      <c r="BP1129" t="s">
        <v>404</v>
      </c>
      <c r="BQ1129">
        <v>0</v>
      </c>
      <c r="BR1129" t="s">
        <v>491</v>
      </c>
      <c r="BS1129">
        <v>8001</v>
      </c>
      <c r="BT1129" t="s">
        <v>492</v>
      </c>
      <c r="BW1129">
        <v>135471</v>
      </c>
      <c r="BX1129" t="s">
        <v>407</v>
      </c>
      <c r="BY1129" t="s">
        <v>408</v>
      </c>
      <c r="CD1129">
        <v>2017</v>
      </c>
      <c r="CE1129">
        <v>19437</v>
      </c>
      <c r="CG1129">
        <v>19437</v>
      </c>
      <c r="CH1129">
        <v>2017</v>
      </c>
      <c r="CI1129">
        <v>19437</v>
      </c>
      <c r="CK1129">
        <v>19437</v>
      </c>
      <c r="CL1129">
        <v>2017</v>
      </c>
      <c r="CM1129">
        <v>294.24</v>
      </c>
      <c r="CN1129" s="1">
        <v>40150</v>
      </c>
      <c r="CO1129">
        <v>2700</v>
      </c>
      <c r="CZ1129" s="1">
        <v>40150</v>
      </c>
      <c r="DD1129" t="s">
        <v>2387</v>
      </c>
      <c r="DF1129">
        <v>16</v>
      </c>
      <c r="DG1129">
        <v>4</v>
      </c>
      <c r="DL1129">
        <v>50301</v>
      </c>
      <c r="DM1129" t="s">
        <v>11492</v>
      </c>
      <c r="DO1129" t="s">
        <v>11566</v>
      </c>
      <c r="DP1129">
        <v>0</v>
      </c>
      <c r="DQ1129">
        <v>0</v>
      </c>
      <c r="DR1129" t="s">
        <v>411</v>
      </c>
      <c r="DS1129" t="b">
        <v>1</v>
      </c>
      <c r="DT1129" t="s">
        <v>470</v>
      </c>
      <c r="DU1129" t="s">
        <v>471</v>
      </c>
      <c r="DV1129" t="s">
        <v>472</v>
      </c>
      <c r="DX1129">
        <v>-9999</v>
      </c>
      <c r="DZ1129" t="s">
        <v>447</v>
      </c>
      <c r="EA1129" t="s">
        <v>448</v>
      </c>
      <c r="EB1129" t="s">
        <v>742</v>
      </c>
      <c r="EC1129">
        <v>20101217</v>
      </c>
      <c r="ED1129" t="s">
        <v>474</v>
      </c>
      <c r="EF1129">
        <v>4489.3</v>
      </c>
      <c r="EG1129">
        <v>4489.3</v>
      </c>
      <c r="EI1129">
        <v>20160407</v>
      </c>
      <c r="EJ1129">
        <v>0</v>
      </c>
      <c r="EK1129">
        <v>0</v>
      </c>
      <c r="EP1129" t="s">
        <v>421</v>
      </c>
      <c r="EQ1129" t="s">
        <v>422</v>
      </c>
      <c r="ER1129">
        <v>8</v>
      </c>
      <c r="ES1129">
        <v>0</v>
      </c>
      <c r="ET1129">
        <v>3165.19</v>
      </c>
      <c r="EU1129">
        <v>1452.29</v>
      </c>
      <c r="EV1129">
        <v>4617.4799999999996</v>
      </c>
      <c r="EW1129" s="2">
        <v>43222</v>
      </c>
      <c r="EX1129" s="1">
        <v>42879</v>
      </c>
      <c r="EY1129">
        <v>2016</v>
      </c>
      <c r="EZ1129">
        <v>349.69</v>
      </c>
      <c r="FA1129" t="s">
        <v>11567</v>
      </c>
      <c r="FB1129">
        <v>18</v>
      </c>
      <c r="FC1129" t="s">
        <v>424</v>
      </c>
      <c r="FD1129" t="s">
        <v>454</v>
      </c>
      <c r="FF1129">
        <v>12</v>
      </c>
      <c r="FG1129">
        <v>10125</v>
      </c>
      <c r="FH1129" t="s">
        <v>440</v>
      </c>
      <c r="FJ1129" s="1">
        <v>42515</v>
      </c>
      <c r="FK1129">
        <v>2015</v>
      </c>
      <c r="FL1129">
        <v>352.53</v>
      </c>
      <c r="FM1129" t="s">
        <v>11568</v>
      </c>
      <c r="FN1129">
        <v>18</v>
      </c>
      <c r="FO1129" t="s">
        <v>424</v>
      </c>
      <c r="FP1129" t="s">
        <v>454</v>
      </c>
      <c r="FR1129">
        <v>24</v>
      </c>
      <c r="FS1129">
        <v>10125</v>
      </c>
      <c r="FT1129" t="s">
        <v>440</v>
      </c>
      <c r="FV1129" s="1">
        <v>42151</v>
      </c>
      <c r="FW1129">
        <v>2014</v>
      </c>
      <c r="FX1129">
        <v>354.21</v>
      </c>
      <c r="FY1129" t="s">
        <v>11569</v>
      </c>
      <c r="FZ1129">
        <v>18</v>
      </c>
      <c r="GA1129" t="s">
        <v>424</v>
      </c>
      <c r="GB1129" t="s">
        <v>454</v>
      </c>
      <c r="GD1129">
        <v>36</v>
      </c>
      <c r="GE1129">
        <v>10125</v>
      </c>
      <c r="GF1129" t="s">
        <v>440</v>
      </c>
      <c r="GH1129" s="1">
        <v>41787</v>
      </c>
      <c r="GI1129">
        <v>2013</v>
      </c>
      <c r="GJ1129">
        <v>336.44</v>
      </c>
      <c r="GK1129" t="s">
        <v>11570</v>
      </c>
      <c r="GL1129">
        <v>6</v>
      </c>
      <c r="GM1129" t="s">
        <v>424</v>
      </c>
      <c r="GN1129" t="s">
        <v>454</v>
      </c>
      <c r="GP1129">
        <v>48</v>
      </c>
      <c r="GQ1129">
        <v>6408</v>
      </c>
      <c r="GR1129" t="s">
        <v>8410</v>
      </c>
      <c r="GT1129" s="1">
        <v>41423</v>
      </c>
      <c r="GU1129">
        <v>2012</v>
      </c>
      <c r="GV1129">
        <v>340.37</v>
      </c>
      <c r="GW1129" t="s">
        <v>11571</v>
      </c>
      <c r="GX1129">
        <v>10</v>
      </c>
      <c r="GY1129" t="s">
        <v>424</v>
      </c>
      <c r="GZ1129" t="s">
        <v>454</v>
      </c>
      <c r="HB1129">
        <v>60</v>
      </c>
      <c r="HC1129">
        <v>10125</v>
      </c>
      <c r="HD1129" t="s">
        <v>440</v>
      </c>
      <c r="HF1129" s="1">
        <v>41052</v>
      </c>
      <c r="HG1129">
        <v>2011</v>
      </c>
      <c r="HH1129">
        <v>402.73</v>
      </c>
      <c r="HI1129" t="s">
        <v>11572</v>
      </c>
      <c r="HJ1129">
        <v>11.75</v>
      </c>
      <c r="HK1129" t="s">
        <v>424</v>
      </c>
      <c r="HL1129" t="s">
        <v>454</v>
      </c>
      <c r="HN1129">
        <v>72</v>
      </c>
      <c r="HO1129">
        <v>10125</v>
      </c>
      <c r="HP1129" t="s">
        <v>440</v>
      </c>
      <c r="HR1129" s="1">
        <v>40688</v>
      </c>
      <c r="HS1129">
        <v>2010</v>
      </c>
      <c r="HT1129">
        <v>514.61</v>
      </c>
      <c r="HU1129" t="s">
        <v>11573</v>
      </c>
      <c r="HV1129">
        <v>6.75</v>
      </c>
      <c r="HW1129" t="s">
        <v>424</v>
      </c>
      <c r="HX1129" t="s">
        <v>454</v>
      </c>
      <c r="HZ1129">
        <v>84</v>
      </c>
      <c r="IA1129">
        <v>375</v>
      </c>
      <c r="IB1129" t="s">
        <v>776</v>
      </c>
      <c r="ID1129" s="1">
        <v>40688</v>
      </c>
      <c r="IE1129">
        <v>2010</v>
      </c>
      <c r="IF1129">
        <v>514.61</v>
      </c>
      <c r="IG1129" t="s">
        <v>11573</v>
      </c>
      <c r="IH1129">
        <v>6.75</v>
      </c>
      <c r="II1129" t="s">
        <v>424</v>
      </c>
      <c r="IJ1129" t="s">
        <v>454</v>
      </c>
      <c r="IL1129">
        <v>84</v>
      </c>
      <c r="IM1129">
        <v>105</v>
      </c>
      <c r="IN1129" t="s">
        <v>946</v>
      </c>
    </row>
    <row r="1130" spans="1:284" x14ac:dyDescent="0.25">
      <c r="A1130">
        <v>16486137</v>
      </c>
      <c r="B1130">
        <v>1129</v>
      </c>
      <c r="C1130" t="s">
        <v>393</v>
      </c>
      <c r="D1130" t="s">
        <v>394</v>
      </c>
      <c r="F1130" t="str">
        <f>"04-2N-27-4290-0018-0000"</f>
        <v>04-2N-27-4290-0018-0000</v>
      </c>
      <c r="H1130" t="str">
        <f>"MCKENDREE ROY V JR"</f>
        <v>MCKENDREE ROY V JR</v>
      </c>
      <c r="I1130" t="str">
        <f>"86318 CARDINAL ROAD"</f>
        <v>86318 CARDINAL ROAD</v>
      </c>
      <c r="J1130" t="str">
        <f>"YULEE FL 32097"</f>
        <v>YULEE FL 32097</v>
      </c>
      <c r="K1130" t="str">
        <f>"86318 CARDINAL RD"</f>
        <v>86318 CARDINAL RD</v>
      </c>
      <c r="L1130" t="str">
        <f t="shared" si="365"/>
        <v>YULEE FL 32097</v>
      </c>
      <c r="M1130" t="str">
        <f>"LOT 18 R 107971 &amp; 107972 IN OR 379 PG 722 FLOOD ACRES UNIT 1 PB 4/20"</f>
        <v>LOT 18 R 107971 &amp; 107972 IN OR 379 PG 722 FLOOD ACRES UNIT 1 PB 4/20</v>
      </c>
      <c r="N1130" t="str">
        <f>""</f>
        <v/>
      </c>
      <c r="O1130" t="str">
        <f>"20182"</f>
        <v>20182</v>
      </c>
      <c r="P1130" t="str">
        <f t="shared" si="360"/>
        <v>2017</v>
      </c>
      <c r="Q1130" t="str">
        <f>""</f>
        <v/>
      </c>
      <c r="R1130" t="str">
        <f>"Y"</f>
        <v>Y</v>
      </c>
      <c r="S1130" t="str">
        <f>"2.00"</f>
        <v>2.00</v>
      </c>
      <c r="T1130" t="str">
        <f>"222.91"</f>
        <v>222.91</v>
      </c>
      <c r="U1130" t="str">
        <f>"39725.00"</f>
        <v>39725.00</v>
      </c>
      <c r="V1130" t="str">
        <f>"39725.00"</f>
        <v>39725.00</v>
      </c>
      <c r="W1130" t="str">
        <f t="shared" si="361"/>
        <v>2017</v>
      </c>
      <c r="X1130" t="str">
        <f>""</f>
        <v/>
      </c>
      <c r="Y1130" t="str">
        <f>"261.60"</f>
        <v>261.60</v>
      </c>
      <c r="Z1130" t="str">
        <f>"25000.00"</f>
        <v>25000.00</v>
      </c>
      <c r="AA1130" t="str">
        <f>"14725.00"</f>
        <v>14725.00</v>
      </c>
      <c r="AB1130" t="str">
        <f t="shared" si="367"/>
        <v>Residential</v>
      </c>
      <c r="AC1130" t="str">
        <f t="shared" si="366"/>
        <v>0</v>
      </c>
      <c r="AD1130" t="str">
        <f>"4"</f>
        <v>4</v>
      </c>
      <c r="AE1130" t="str">
        <f>"WOOD (INCLUDE STEEL STUDS)"</f>
        <v>WOOD (INCLUDE STEEL STUDS)</v>
      </c>
      <c r="AF1130" t="str">
        <f>"002"</f>
        <v>002</v>
      </c>
      <c r="AG1130" t="str">
        <f t="shared" si="369"/>
        <v>FL</v>
      </c>
      <c r="AH1130" t="str">
        <f>"87120.00"</f>
        <v>87120.00</v>
      </c>
      <c r="AI1130" t="str">
        <f>"35000.00"</f>
        <v>35000.00</v>
      </c>
      <c r="AJ1130" t="str">
        <f>"C55-000-586-5263-7"</f>
        <v>C55-000-586-5263-7</v>
      </c>
      <c r="AK1130" t="str">
        <f>"18213"</f>
        <v>18213</v>
      </c>
      <c r="AL1130">
        <v>4</v>
      </c>
      <c r="AM1130">
        <v>1294</v>
      </c>
      <c r="AN1130">
        <v>273.08</v>
      </c>
      <c r="AQ1130" t="s">
        <v>11574</v>
      </c>
      <c r="AR1130" t="s">
        <v>11574</v>
      </c>
      <c r="AS1130" t="s">
        <v>11574</v>
      </c>
      <c r="AU1130" t="s">
        <v>396</v>
      </c>
      <c r="AV1130">
        <v>2017</v>
      </c>
      <c r="AW1130" t="str">
        <f>"04-2N-27-4290-0018-0000 "</f>
        <v xml:space="preserve">04-2N-27-4290-0018-0000 </v>
      </c>
      <c r="AX1130">
        <v>86318</v>
      </c>
      <c r="AZ1130" t="s">
        <v>11487</v>
      </c>
      <c r="BA1130" t="s">
        <v>496</v>
      </c>
      <c r="BD1130" t="s">
        <v>2387</v>
      </c>
      <c r="BE1130" t="s">
        <v>393</v>
      </c>
      <c r="BF1130">
        <v>32097</v>
      </c>
      <c r="BG1130" t="s">
        <v>11575</v>
      </c>
      <c r="BH1130" t="s">
        <v>2388</v>
      </c>
      <c r="BI1130">
        <v>-81.609385074362706</v>
      </c>
      <c r="BJ1130">
        <v>30.6212103687736</v>
      </c>
      <c r="BK1130" t="s">
        <v>11576</v>
      </c>
      <c r="BM1130" t="s">
        <v>11575</v>
      </c>
      <c r="BN1130" t="s">
        <v>1778</v>
      </c>
      <c r="BO1130">
        <v>32097</v>
      </c>
      <c r="BP1130" t="s">
        <v>404</v>
      </c>
      <c r="BQ1130">
        <v>200</v>
      </c>
      <c r="BR1130" t="s">
        <v>405</v>
      </c>
      <c r="BS1130">
        <v>1006</v>
      </c>
      <c r="BT1130" t="s">
        <v>406</v>
      </c>
      <c r="BW1130">
        <v>87120</v>
      </c>
      <c r="BX1130" t="s">
        <v>407</v>
      </c>
      <c r="BY1130" t="s">
        <v>408</v>
      </c>
      <c r="BZ1130">
        <v>4</v>
      </c>
      <c r="CA1130">
        <v>1983</v>
      </c>
      <c r="CB1130">
        <v>1</v>
      </c>
      <c r="CC1130">
        <v>1</v>
      </c>
      <c r="CD1130">
        <v>2017</v>
      </c>
      <c r="CG1130">
        <v>39725</v>
      </c>
      <c r="CH1130">
        <v>2017</v>
      </c>
      <c r="CI1130">
        <v>35000</v>
      </c>
      <c r="CJ1130">
        <v>14447</v>
      </c>
      <c r="CK1130">
        <v>49447</v>
      </c>
      <c r="CL1130">
        <v>2017</v>
      </c>
      <c r="CM1130">
        <v>222.91</v>
      </c>
      <c r="CN1130" s="1">
        <v>30348</v>
      </c>
      <c r="CO1130">
        <v>4200</v>
      </c>
      <c r="CZ1130" s="1">
        <v>30348</v>
      </c>
      <c r="DD1130" t="s">
        <v>2387</v>
      </c>
      <c r="DG1130">
        <v>4</v>
      </c>
      <c r="DI1130">
        <v>1</v>
      </c>
      <c r="DJ1130" t="s">
        <v>11556</v>
      </c>
      <c r="DL1130">
        <v>50301</v>
      </c>
      <c r="DM1130" t="s">
        <v>11492</v>
      </c>
      <c r="DO1130" t="s">
        <v>11577</v>
      </c>
      <c r="DP1130">
        <v>0</v>
      </c>
      <c r="DQ1130">
        <v>0</v>
      </c>
      <c r="DR1130" t="s">
        <v>411</v>
      </c>
    </row>
    <row r="1131" spans="1:284" x14ac:dyDescent="0.25">
      <c r="A1131">
        <v>16486138</v>
      </c>
      <c r="B1131">
        <v>1130</v>
      </c>
      <c r="C1131" t="s">
        <v>393</v>
      </c>
      <c r="D1131" t="s">
        <v>394</v>
      </c>
      <c r="F1131" t="str">
        <f>"04-2N-27-4290-0027-0000"</f>
        <v>04-2N-27-4290-0027-0000</v>
      </c>
      <c r="H1131" t="str">
        <f>"JOHNSON RICHARD FRANCIS III"</f>
        <v>JOHNSON RICHARD FRANCIS III</v>
      </c>
      <c r="I1131" t="str">
        <f>"136 OAK TERRACE DRIVE"</f>
        <v>136 OAK TERRACE DRIVE</v>
      </c>
      <c r="J1131" t="str">
        <f>"CRESTVIEW FL 32539"</f>
        <v>CRESTVIEW FL 32539</v>
      </c>
      <c r="K1131" t="str">
        <f>"CARDINAL RD"</f>
        <v>CARDINAL RD</v>
      </c>
      <c r="L1131" t="str">
        <f t="shared" si="365"/>
        <v>YULEE FL 32097</v>
      </c>
      <c r="M1131" t="str">
        <f>"LOT 27 IN OR 1331/409 FLOOD ACRES UNIT 1 PB 4/20"</f>
        <v>LOT 27 IN OR 1331/409 FLOOD ACRES UNIT 1 PB 4/20</v>
      </c>
      <c r="N1131" t="str">
        <f>""</f>
        <v/>
      </c>
      <c r="O1131" t="str">
        <f>"20191"</f>
        <v>20191</v>
      </c>
      <c r="P1131" t="str">
        <f t="shared" si="360"/>
        <v>2017</v>
      </c>
      <c r="Q1131" t="str">
        <f>""</f>
        <v/>
      </c>
      <c r="R1131" t="str">
        <f>"N"</f>
        <v>N</v>
      </c>
      <c r="S1131" t="str">
        <f>"2.00"</f>
        <v>2.00</v>
      </c>
      <c r="T1131" t="str">
        <f>"506.02"</f>
        <v>506.02</v>
      </c>
      <c r="U1131" t="str">
        <f>"32210.00"</f>
        <v>32210.00</v>
      </c>
      <c r="V1131" t="str">
        <f>"32210.00"</f>
        <v>32210.00</v>
      </c>
      <c r="W1131" t="str">
        <f t="shared" si="361"/>
        <v>2017</v>
      </c>
      <c r="X1131" t="str">
        <f>"14.00"</f>
        <v>14.00</v>
      </c>
      <c r="Y1131" t="str">
        <f>"553.20"</f>
        <v>553.20</v>
      </c>
      <c r="Z1131" t="str">
        <f>""</f>
        <v/>
      </c>
      <c r="AA1131" t="str">
        <f>"35000.00"</f>
        <v>35000.00</v>
      </c>
      <c r="AB1131" t="str">
        <f t="shared" si="367"/>
        <v>Residential</v>
      </c>
      <c r="AC1131" t="str">
        <f t="shared" si="366"/>
        <v>0</v>
      </c>
      <c r="AD1131" t="str">
        <f>""</f>
        <v/>
      </c>
      <c r="AE1131" t="str">
        <f>""</f>
        <v/>
      </c>
      <c r="AF1131" t="str">
        <f>"000"</f>
        <v>000</v>
      </c>
      <c r="AG1131" t="str">
        <f t="shared" si="369"/>
        <v>FL</v>
      </c>
      <c r="AH1131" t="str">
        <f>"87120.00"</f>
        <v>87120.00</v>
      </c>
      <c r="AI1131" t="str">
        <f>"35000.00"</f>
        <v>35000.00</v>
      </c>
      <c r="AJ1131" t="str">
        <f>"C55-000-586-5271-0"</f>
        <v>C55-000-586-5271-0</v>
      </c>
      <c r="AK1131" t="str">
        <f>"18222"</f>
        <v>18222</v>
      </c>
      <c r="AL1131">
        <v>4</v>
      </c>
      <c r="AM1131">
        <v>1295</v>
      </c>
      <c r="AN1131">
        <v>579.26</v>
      </c>
      <c r="AQ1131" t="s">
        <v>11578</v>
      </c>
      <c r="AR1131" t="s">
        <v>11578</v>
      </c>
      <c r="AS1131" t="s">
        <v>11578</v>
      </c>
      <c r="AU1131" t="s">
        <v>396</v>
      </c>
      <c r="AV1131">
        <v>2017</v>
      </c>
      <c r="AW1131" t="str">
        <f>"04-2N-27-4290-0027-0000 "</f>
        <v xml:space="preserve">04-2N-27-4290-0027-0000 </v>
      </c>
      <c r="AZ1131" t="s">
        <v>11487</v>
      </c>
      <c r="BA1131" t="s">
        <v>496</v>
      </c>
      <c r="BD1131" t="s">
        <v>2387</v>
      </c>
      <c r="BE1131" t="s">
        <v>393</v>
      </c>
      <c r="BF1131">
        <v>32097</v>
      </c>
      <c r="BG1131" t="s">
        <v>11488</v>
      </c>
      <c r="BH1131" t="s">
        <v>2388</v>
      </c>
      <c r="BI1131">
        <v>-81.609625457744301</v>
      </c>
      <c r="BJ1131">
        <v>30.616984159918299</v>
      </c>
      <c r="BK1131" t="s">
        <v>11579</v>
      </c>
      <c r="BM1131" t="s">
        <v>11580</v>
      </c>
      <c r="BN1131" t="s">
        <v>8858</v>
      </c>
      <c r="BO1131">
        <v>32539</v>
      </c>
      <c r="BP1131" t="s">
        <v>404</v>
      </c>
      <c r="BQ1131">
        <v>0</v>
      </c>
      <c r="BR1131" t="s">
        <v>491</v>
      </c>
      <c r="BS1131">
        <v>8001</v>
      </c>
      <c r="BT1131" t="s">
        <v>492</v>
      </c>
      <c r="BW1131">
        <v>87120</v>
      </c>
      <c r="BX1131" t="s">
        <v>407</v>
      </c>
      <c r="BY1131" t="s">
        <v>408</v>
      </c>
      <c r="CD1131">
        <v>2017</v>
      </c>
      <c r="CE1131">
        <v>35000</v>
      </c>
      <c r="CG1131">
        <v>35000</v>
      </c>
      <c r="CH1131">
        <v>2017</v>
      </c>
      <c r="CI1131">
        <v>35000</v>
      </c>
      <c r="CK1131">
        <v>35000</v>
      </c>
      <c r="CL1131">
        <v>2017</v>
      </c>
      <c r="CM1131">
        <v>506.02</v>
      </c>
      <c r="CN1131" s="1">
        <v>38495</v>
      </c>
      <c r="CO1131">
        <v>30000</v>
      </c>
      <c r="CV1131">
        <v>0</v>
      </c>
      <c r="CZ1131" s="1">
        <v>38495</v>
      </c>
      <c r="DA1131">
        <v>0</v>
      </c>
      <c r="DD1131" t="s">
        <v>2387</v>
      </c>
      <c r="DF1131">
        <v>27</v>
      </c>
      <c r="DG1131">
        <v>4</v>
      </c>
      <c r="DI1131">
        <v>1</v>
      </c>
      <c r="DJ1131" t="s">
        <v>11556</v>
      </c>
      <c r="DL1131">
        <v>50301</v>
      </c>
      <c r="DM1131" t="s">
        <v>11492</v>
      </c>
      <c r="DO1131" t="s">
        <v>11581</v>
      </c>
      <c r="DP1131">
        <v>0</v>
      </c>
      <c r="DQ1131">
        <v>0</v>
      </c>
      <c r="DR1131" t="s">
        <v>411</v>
      </c>
      <c r="DS1131" t="b">
        <v>1</v>
      </c>
      <c r="DT1131" t="s">
        <v>470</v>
      </c>
      <c r="DU1131" t="s">
        <v>471</v>
      </c>
      <c r="DV1131" t="s">
        <v>472</v>
      </c>
      <c r="DX1131">
        <v>-9999</v>
      </c>
      <c r="DZ1131" t="s">
        <v>447</v>
      </c>
      <c r="EA1131" t="s">
        <v>448</v>
      </c>
      <c r="EB1131" t="s">
        <v>742</v>
      </c>
      <c r="EC1131">
        <v>20101217</v>
      </c>
      <c r="ED1131" t="s">
        <v>474</v>
      </c>
      <c r="EF1131">
        <v>2598</v>
      </c>
      <c r="EG1131">
        <v>2598</v>
      </c>
      <c r="EI1131">
        <v>20160407</v>
      </c>
      <c r="EJ1131">
        <v>0</v>
      </c>
      <c r="EK1131">
        <v>0</v>
      </c>
      <c r="EP1131" t="s">
        <v>421</v>
      </c>
      <c r="EQ1131" t="s">
        <v>422</v>
      </c>
      <c r="ER1131">
        <v>0</v>
      </c>
      <c r="ES1131">
        <v>8</v>
      </c>
      <c r="ET1131">
        <v>0</v>
      </c>
      <c r="EU1131">
        <v>0</v>
      </c>
      <c r="EV1131">
        <v>0</v>
      </c>
      <c r="EW1131" s="2">
        <v>43222</v>
      </c>
      <c r="EX1131" s="1">
        <v>42515</v>
      </c>
      <c r="EY1131">
        <v>2015</v>
      </c>
      <c r="EZ1131">
        <v>539.51</v>
      </c>
      <c r="FA1131" t="s">
        <v>11582</v>
      </c>
      <c r="FB1131">
        <v>0.25</v>
      </c>
      <c r="FC1131" t="s">
        <v>424</v>
      </c>
      <c r="FD1131" t="s">
        <v>425</v>
      </c>
      <c r="FE1131" s="1">
        <v>43045</v>
      </c>
      <c r="FF1131">
        <v>18</v>
      </c>
      <c r="FG1131">
        <v>7336671</v>
      </c>
      <c r="FH1131" t="s">
        <v>437</v>
      </c>
      <c r="FJ1131" s="1">
        <v>42515</v>
      </c>
      <c r="FK1131">
        <v>2015</v>
      </c>
      <c r="FL1131">
        <v>539.51</v>
      </c>
      <c r="FM1131" t="s">
        <v>11582</v>
      </c>
      <c r="FN1131">
        <v>0.25</v>
      </c>
      <c r="FO1131" t="s">
        <v>424</v>
      </c>
      <c r="FP1131" t="s">
        <v>425</v>
      </c>
      <c r="FR1131">
        <v>22</v>
      </c>
      <c r="FS1131">
        <v>6809178</v>
      </c>
      <c r="FT1131" t="s">
        <v>11583</v>
      </c>
      <c r="FV1131" s="1">
        <v>42151</v>
      </c>
      <c r="FW1131">
        <v>2014</v>
      </c>
      <c r="FX1131">
        <v>519.89</v>
      </c>
      <c r="FY1131" t="s">
        <v>11584</v>
      </c>
      <c r="FZ1131">
        <v>4.75</v>
      </c>
      <c r="GA1131" t="s">
        <v>424</v>
      </c>
      <c r="GB1131" t="s">
        <v>425</v>
      </c>
      <c r="GC1131" s="1">
        <v>42480</v>
      </c>
      <c r="GD1131">
        <v>11</v>
      </c>
      <c r="GE1131">
        <v>4975593</v>
      </c>
      <c r="GF1131" t="s">
        <v>505</v>
      </c>
      <c r="GH1131" s="1">
        <v>41787</v>
      </c>
      <c r="GI1131">
        <v>2013</v>
      </c>
      <c r="GJ1131">
        <v>481.36</v>
      </c>
      <c r="GK1131" t="s">
        <v>11585</v>
      </c>
      <c r="GL1131">
        <v>4.75</v>
      </c>
      <c r="GM1131" t="s">
        <v>424</v>
      </c>
      <c r="GN1131" t="s">
        <v>425</v>
      </c>
      <c r="GO1131" s="1">
        <v>42121</v>
      </c>
      <c r="GP1131">
        <v>11</v>
      </c>
      <c r="GQ1131">
        <v>2035919</v>
      </c>
      <c r="GR1131" t="s">
        <v>507</v>
      </c>
      <c r="GT1131" s="1">
        <v>41423</v>
      </c>
      <c r="GU1131">
        <v>2012</v>
      </c>
      <c r="GV1131">
        <v>349.6</v>
      </c>
      <c r="GW1131" t="s">
        <v>11586</v>
      </c>
      <c r="GX1131">
        <v>4.75</v>
      </c>
      <c r="GY1131" t="s">
        <v>424</v>
      </c>
      <c r="GZ1131" t="s">
        <v>425</v>
      </c>
      <c r="HA1131" s="1">
        <v>41745</v>
      </c>
      <c r="HB1131">
        <v>11</v>
      </c>
      <c r="HC1131">
        <v>10125</v>
      </c>
      <c r="HD1131" t="s">
        <v>440</v>
      </c>
      <c r="HF1131" s="1">
        <v>41052</v>
      </c>
      <c r="HG1131">
        <v>2011</v>
      </c>
      <c r="HH1131">
        <v>414</v>
      </c>
      <c r="HI1131" t="s">
        <v>11587</v>
      </c>
      <c r="HJ1131">
        <v>6</v>
      </c>
      <c r="HK1131" t="s">
        <v>424</v>
      </c>
      <c r="HL1131" t="s">
        <v>425</v>
      </c>
      <c r="HM1131" s="1">
        <v>41698</v>
      </c>
      <c r="HN1131">
        <v>21</v>
      </c>
      <c r="HO1131">
        <v>1625515</v>
      </c>
      <c r="HP1131" t="s">
        <v>487</v>
      </c>
      <c r="HR1131" s="1">
        <v>41052</v>
      </c>
      <c r="HS1131">
        <v>2011</v>
      </c>
      <c r="HT1131">
        <v>414</v>
      </c>
      <c r="HU1131" t="s">
        <v>11587</v>
      </c>
      <c r="HV1131">
        <v>6</v>
      </c>
      <c r="HW1131" t="s">
        <v>424</v>
      </c>
      <c r="HX1131" t="s">
        <v>425</v>
      </c>
      <c r="HZ1131">
        <v>22</v>
      </c>
      <c r="IA1131">
        <v>10579</v>
      </c>
      <c r="IB1131" t="s">
        <v>488</v>
      </c>
      <c r="ID1131" s="1">
        <v>40688</v>
      </c>
      <c r="IE1131">
        <v>2010</v>
      </c>
      <c r="IF1131">
        <v>529.14</v>
      </c>
      <c r="IG1131" t="s">
        <v>11588</v>
      </c>
      <c r="IH1131">
        <v>6.75</v>
      </c>
      <c r="II1131" t="s">
        <v>424</v>
      </c>
      <c r="IJ1131" t="s">
        <v>425</v>
      </c>
      <c r="IK1131" s="1">
        <v>41324</v>
      </c>
      <c r="IL1131">
        <v>21</v>
      </c>
      <c r="IM1131">
        <v>105</v>
      </c>
      <c r="IN1131" t="s">
        <v>946</v>
      </c>
    </row>
    <row r="1132" spans="1:284" x14ac:dyDescent="0.25">
      <c r="A1132">
        <v>16486139</v>
      </c>
      <c r="B1132">
        <v>1131</v>
      </c>
      <c r="C1132" t="s">
        <v>393</v>
      </c>
      <c r="D1132" t="s">
        <v>394</v>
      </c>
      <c r="F1132" t="str">
        <f>"04-2N-27-4290-0046-0000"</f>
        <v>04-2N-27-4290-0046-0000</v>
      </c>
      <c r="H1132" t="str">
        <f>"NEAL GEORGE G"</f>
        <v>NEAL GEORGE G</v>
      </c>
      <c r="I1132" t="str">
        <f>"86499 CARDINAL RD"</f>
        <v>86499 CARDINAL RD</v>
      </c>
      <c r="J1132" t="str">
        <f>"YULEE FL 32097"</f>
        <v>YULEE FL 32097</v>
      </c>
      <c r="K1132" t="str">
        <f>"86499 CARDINAL RD"</f>
        <v>86499 CARDINAL RD</v>
      </c>
      <c r="L1132" t="str">
        <f t="shared" si="365"/>
        <v>YULEE FL 32097</v>
      </c>
      <c r="M1132" t="str">
        <f>"LOT 46 (EX S-1) IN OR 1381/1044 FLOOD ACRES UNIT 1 PB 4/20"</f>
        <v>LOT 46 (EX S-1) IN OR 1381/1044 FLOOD ACRES UNIT 1 PB 4/20</v>
      </c>
      <c r="N1132" t="str">
        <f>""</f>
        <v/>
      </c>
      <c r="O1132" t="str">
        <f>"20208"</f>
        <v>20208</v>
      </c>
      <c r="P1132" t="str">
        <f t="shared" si="360"/>
        <v>2017</v>
      </c>
      <c r="Q1132" t="str">
        <f>""</f>
        <v/>
      </c>
      <c r="R1132" t="str">
        <f>"Y"</f>
        <v>Y</v>
      </c>
      <c r="S1132" t="str">
        <f>"1.00"</f>
        <v>1.00</v>
      </c>
      <c r="T1132" t="str">
        <f>"818.96"</f>
        <v>818.96</v>
      </c>
      <c r="U1132" t="str">
        <f>"93201.00"</f>
        <v>93201.00</v>
      </c>
      <c r="V1132" t="str">
        <f>"93201.00"</f>
        <v>93201.00</v>
      </c>
      <c r="W1132" t="str">
        <f t="shared" si="361"/>
        <v>2017</v>
      </c>
      <c r="X1132" t="str">
        <f>"2.00"</f>
        <v>2.00</v>
      </c>
      <c r="Y1132" t="str">
        <f>"875.53"</f>
        <v>875.53</v>
      </c>
      <c r="Z1132" t="str">
        <f>"25000.00"</f>
        <v>25000.00</v>
      </c>
      <c r="AA1132" t="str">
        <f>"68201.00"</f>
        <v>68201.00</v>
      </c>
      <c r="AB1132" t="str">
        <f t="shared" si="367"/>
        <v>Residential</v>
      </c>
      <c r="AC1132" t="str">
        <f t="shared" si="366"/>
        <v>0</v>
      </c>
      <c r="AD1132" t="str">
        <f>"4"</f>
        <v>4</v>
      </c>
      <c r="AE1132" t="str">
        <f>"WOOD (INCLUDE STEEL STUDS)"</f>
        <v>WOOD (INCLUDE STEEL STUDS)</v>
      </c>
      <c r="AF1132" t="str">
        <f>"001"</f>
        <v>001</v>
      </c>
      <c r="AG1132" t="str">
        <f t="shared" si="369"/>
        <v>FL</v>
      </c>
      <c r="AH1132" t="str">
        <f>"43560.00"</f>
        <v>43560.00</v>
      </c>
      <c r="AI1132" t="str">
        <f>"25000.00"</f>
        <v>25000.00</v>
      </c>
      <c r="AJ1132" t="str">
        <f>"C55-000-586-5286-8"</f>
        <v>C55-000-586-5286-8</v>
      </c>
      <c r="AK1132" t="str">
        <f>"18239"</f>
        <v>18239</v>
      </c>
      <c r="AL1132">
        <v>4</v>
      </c>
      <c r="AM1132">
        <v>1296</v>
      </c>
      <c r="AN1132">
        <v>917.71</v>
      </c>
      <c r="AQ1132" t="s">
        <v>11589</v>
      </c>
      <c r="AR1132" t="s">
        <v>11589</v>
      </c>
      <c r="AS1132" t="s">
        <v>11589</v>
      </c>
      <c r="AU1132" t="s">
        <v>396</v>
      </c>
      <c r="AV1132">
        <v>2017</v>
      </c>
      <c r="AW1132" t="str">
        <f>"04-2N-27-4290-0046-0000 "</f>
        <v xml:space="preserve">04-2N-27-4290-0046-0000 </v>
      </c>
      <c r="AX1132">
        <v>86499</v>
      </c>
      <c r="AZ1132" t="s">
        <v>11487</v>
      </c>
      <c r="BA1132" t="s">
        <v>496</v>
      </c>
      <c r="BD1132" t="s">
        <v>2387</v>
      </c>
      <c r="BE1132" t="s">
        <v>393</v>
      </c>
      <c r="BF1132">
        <v>32097</v>
      </c>
      <c r="BG1132" t="s">
        <v>11590</v>
      </c>
      <c r="BH1132" t="s">
        <v>2388</v>
      </c>
      <c r="BI1132">
        <v>-81.6106035406725</v>
      </c>
      <c r="BJ1132">
        <v>30.624559200340801</v>
      </c>
      <c r="BK1132" t="s">
        <v>11591</v>
      </c>
      <c r="BM1132" t="s">
        <v>11590</v>
      </c>
      <c r="BN1132" t="s">
        <v>1778</v>
      </c>
      <c r="BO1132">
        <v>32097</v>
      </c>
      <c r="BP1132" t="s">
        <v>404</v>
      </c>
      <c r="BQ1132">
        <v>100</v>
      </c>
      <c r="BR1132" t="s">
        <v>514</v>
      </c>
      <c r="BS1132">
        <v>1001</v>
      </c>
      <c r="BT1132" t="s">
        <v>515</v>
      </c>
      <c r="BW1132">
        <v>43560</v>
      </c>
      <c r="BX1132" t="s">
        <v>407</v>
      </c>
      <c r="BY1132" t="s">
        <v>408</v>
      </c>
      <c r="BZ1132">
        <v>4</v>
      </c>
      <c r="CA1132">
        <v>1993</v>
      </c>
      <c r="CB1132">
        <v>1</v>
      </c>
      <c r="CC1132">
        <v>1</v>
      </c>
      <c r="CD1132">
        <v>2017</v>
      </c>
      <c r="CG1132">
        <v>93201</v>
      </c>
      <c r="CH1132">
        <v>2017</v>
      </c>
      <c r="CI1132">
        <v>25000</v>
      </c>
      <c r="CJ1132">
        <v>75523</v>
      </c>
      <c r="CK1132">
        <v>100523</v>
      </c>
      <c r="CL1132">
        <v>2017</v>
      </c>
      <c r="CM1132">
        <v>818.96</v>
      </c>
      <c r="CN1132" s="1">
        <v>38730</v>
      </c>
      <c r="CZ1132" s="1">
        <v>38730</v>
      </c>
      <c r="DD1132" t="s">
        <v>2387</v>
      </c>
      <c r="DF1132">
        <v>46</v>
      </c>
      <c r="DG1132">
        <v>4</v>
      </c>
      <c r="DI1132">
        <v>1</v>
      </c>
      <c r="DJ1132" t="s">
        <v>11556</v>
      </c>
      <c r="DL1132">
        <v>50301</v>
      </c>
      <c r="DM1132" t="s">
        <v>11492</v>
      </c>
      <c r="DO1132" t="s">
        <v>11592</v>
      </c>
      <c r="DP1132">
        <v>0</v>
      </c>
      <c r="DQ1132">
        <v>0</v>
      </c>
      <c r="DR1132" t="s">
        <v>411</v>
      </c>
    </row>
    <row r="1133" spans="1:284" x14ac:dyDescent="0.25">
      <c r="A1133">
        <v>16486140</v>
      </c>
      <c r="B1133">
        <v>1132</v>
      </c>
      <c r="C1133" t="s">
        <v>393</v>
      </c>
      <c r="D1133" t="s">
        <v>394</v>
      </c>
      <c r="F1133" t="str">
        <f>"04-2N-27-4290-0046-0010"</f>
        <v>04-2N-27-4290-0046-0010</v>
      </c>
      <c r="H1133" t="str">
        <f>"NEAL GEORGE G"</f>
        <v>NEAL GEORGE G</v>
      </c>
      <c r="I1133" t="str">
        <f>"P O BOX 413"</f>
        <v>P O BOX 413</v>
      </c>
      <c r="J1133" t="str">
        <f>"YULEE FL 32041"</f>
        <v>YULEE FL 32041</v>
      </c>
      <c r="K1133" t="str">
        <f>"86158 WREN RD"</f>
        <v>86158 WREN RD</v>
      </c>
      <c r="L1133" t="str">
        <f t="shared" si="365"/>
        <v>YULEE FL 32097</v>
      </c>
      <c r="M1133" t="str">
        <f>"W1/2 OF LOT 46 IN OR 693 PG 1706 R567875 &amp; R567876 FLOOD ACRES UNIT 1 PB 4/20"</f>
        <v>W1/2 OF LOT 46 IN OR 693 PG 1706 R567875 &amp; R567876 FLOOD ACRES UNIT 1 PB 4/20</v>
      </c>
      <c r="N1133" t="str">
        <f>""</f>
        <v/>
      </c>
      <c r="O1133" t="str">
        <f>"20209"</f>
        <v>20209</v>
      </c>
      <c r="P1133" t="str">
        <f t="shared" si="360"/>
        <v>2017</v>
      </c>
      <c r="Q1133" t="str">
        <f>""</f>
        <v/>
      </c>
      <c r="R1133" t="str">
        <f>"N"</f>
        <v>N</v>
      </c>
      <c r="S1133" t="str">
        <f>"1.00"</f>
        <v>1.00</v>
      </c>
      <c r="T1133" t="str">
        <f>"651.05"</f>
        <v>651.05</v>
      </c>
      <c r="U1133" t="str">
        <f>"42539.00"</f>
        <v>42539.00</v>
      </c>
      <c r="V1133" t="str">
        <f>"42539.00"</f>
        <v>42539.00</v>
      </c>
      <c r="W1133" t="str">
        <f t="shared" si="361"/>
        <v>2017</v>
      </c>
      <c r="X1133" t="str">
        <f>"4.33"</f>
        <v>4.33</v>
      </c>
      <c r="Y1133" t="str">
        <f>"702.58"</f>
        <v>702.58</v>
      </c>
      <c r="Z1133" t="str">
        <f>""</f>
        <v/>
      </c>
      <c r="AA1133" t="str">
        <f>"43610.00"</f>
        <v>43610.00</v>
      </c>
      <c r="AB1133" t="str">
        <f t="shared" si="367"/>
        <v>Residential</v>
      </c>
      <c r="AC1133" t="str">
        <f t="shared" si="366"/>
        <v>0</v>
      </c>
      <c r="AD1133" t="str">
        <f>"4"</f>
        <v>4</v>
      </c>
      <c r="AE1133" t="str">
        <f>"WOOD (INCLUDE STEEL STUDS)"</f>
        <v>WOOD (INCLUDE STEEL STUDS)</v>
      </c>
      <c r="AF1133" t="str">
        <f>"002"</f>
        <v>002</v>
      </c>
      <c r="AG1133" t="str">
        <f t="shared" si="369"/>
        <v>FL</v>
      </c>
      <c r="AH1133" t="str">
        <f>"43560.00"</f>
        <v>43560.00</v>
      </c>
      <c r="AI1133" t="str">
        <f>"25000.00"</f>
        <v>25000.00</v>
      </c>
      <c r="AJ1133" t="str">
        <f>"C55-000-586-5287-6"</f>
        <v>C55-000-586-5287-6</v>
      </c>
      <c r="AK1133" t="str">
        <f>"18240"</f>
        <v>18240</v>
      </c>
      <c r="AL1133">
        <v>4</v>
      </c>
      <c r="AM1133">
        <v>1297</v>
      </c>
      <c r="AN1133">
        <v>736.11</v>
      </c>
      <c r="AQ1133" t="s">
        <v>11593</v>
      </c>
      <c r="AR1133" t="s">
        <v>11593</v>
      </c>
      <c r="AS1133" t="s">
        <v>11593</v>
      </c>
      <c r="AU1133" t="s">
        <v>396</v>
      </c>
      <c r="AV1133">
        <v>2017</v>
      </c>
      <c r="AW1133" t="str">
        <f>"04-2N-27-4290-0046-0010 "</f>
        <v xml:space="preserve">04-2N-27-4290-0046-0010 </v>
      </c>
      <c r="AX1133">
        <v>86158</v>
      </c>
      <c r="AZ1133" t="s">
        <v>11594</v>
      </c>
      <c r="BA1133" t="s">
        <v>496</v>
      </c>
      <c r="BD1133" t="s">
        <v>2387</v>
      </c>
      <c r="BE1133" t="s">
        <v>393</v>
      </c>
      <c r="BF1133">
        <v>32097</v>
      </c>
      <c r="BG1133" t="s">
        <v>11595</v>
      </c>
      <c r="BH1133" t="s">
        <v>2388</v>
      </c>
      <c r="BI1133">
        <v>-81.611413649672599</v>
      </c>
      <c r="BJ1133">
        <v>30.6245948079759</v>
      </c>
      <c r="BK1133" t="s">
        <v>11591</v>
      </c>
      <c r="BM1133" t="s">
        <v>11596</v>
      </c>
      <c r="BN1133" t="s">
        <v>1778</v>
      </c>
      <c r="BO1133">
        <v>32041</v>
      </c>
      <c r="BP1133" t="s">
        <v>404</v>
      </c>
      <c r="BQ1133">
        <v>200</v>
      </c>
      <c r="BR1133" t="s">
        <v>405</v>
      </c>
      <c r="BS1133">
        <v>1006</v>
      </c>
      <c r="BT1133" t="s">
        <v>406</v>
      </c>
      <c r="BW1133">
        <v>43560</v>
      </c>
      <c r="BX1133" t="s">
        <v>407</v>
      </c>
      <c r="BY1133" t="s">
        <v>408</v>
      </c>
      <c r="BZ1133">
        <v>4</v>
      </c>
      <c r="CA1133">
        <v>1987</v>
      </c>
      <c r="CB1133">
        <v>1</v>
      </c>
      <c r="CC1133">
        <v>1</v>
      </c>
      <c r="CD1133">
        <v>2017</v>
      </c>
      <c r="CE1133">
        <v>25000</v>
      </c>
      <c r="CF1133">
        <v>18610</v>
      </c>
      <c r="CG1133">
        <v>43610</v>
      </c>
      <c r="CH1133">
        <v>2017</v>
      </c>
      <c r="CI1133">
        <v>25000</v>
      </c>
      <c r="CJ1133">
        <v>18610</v>
      </c>
      <c r="CK1133">
        <v>43610</v>
      </c>
      <c r="CL1133">
        <v>2017</v>
      </c>
      <c r="CM1133">
        <v>651.04999999999995</v>
      </c>
      <c r="CN1133" s="1">
        <v>34312</v>
      </c>
      <c r="CZ1133" s="1">
        <v>34312</v>
      </c>
      <c r="DD1133" t="s">
        <v>2387</v>
      </c>
      <c r="DF1133">
        <v>46</v>
      </c>
      <c r="DG1133">
        <v>4</v>
      </c>
      <c r="DL1133">
        <v>50301</v>
      </c>
      <c r="DM1133" t="s">
        <v>11492</v>
      </c>
      <c r="DO1133" t="s">
        <v>11597</v>
      </c>
      <c r="DP1133">
        <v>0</v>
      </c>
      <c r="DQ1133">
        <v>0</v>
      </c>
      <c r="DR1133" t="s">
        <v>411</v>
      </c>
      <c r="EP1133" t="s">
        <v>421</v>
      </c>
      <c r="EQ1133" t="s">
        <v>422</v>
      </c>
      <c r="ER1133">
        <v>2</v>
      </c>
      <c r="ES1133">
        <v>2</v>
      </c>
      <c r="ET1133">
        <v>1338.08</v>
      </c>
      <c r="EU1133">
        <v>79.400000000000006</v>
      </c>
      <c r="EV1133">
        <v>1417.48</v>
      </c>
      <c r="EW1133" s="2">
        <v>43222</v>
      </c>
      <c r="EX1133" s="1">
        <v>42879</v>
      </c>
      <c r="EY1133">
        <v>2016</v>
      </c>
      <c r="EZ1133">
        <v>669.04</v>
      </c>
      <c r="FA1133" t="s">
        <v>11598</v>
      </c>
      <c r="FB1133">
        <v>0.25</v>
      </c>
      <c r="FC1133" t="s">
        <v>424</v>
      </c>
      <c r="FD1133" t="s">
        <v>454</v>
      </c>
      <c r="FF1133">
        <v>12</v>
      </c>
      <c r="FG1133">
        <v>2851116</v>
      </c>
      <c r="FH1133" t="s">
        <v>480</v>
      </c>
      <c r="FJ1133" s="1">
        <v>42879</v>
      </c>
      <c r="FK1133">
        <v>2016</v>
      </c>
      <c r="FL1133">
        <v>669.04</v>
      </c>
      <c r="FM1133" t="s">
        <v>11598</v>
      </c>
      <c r="FN1133">
        <v>0.25</v>
      </c>
      <c r="FO1133" t="s">
        <v>424</v>
      </c>
      <c r="FP1133" t="s">
        <v>454</v>
      </c>
      <c r="FR1133">
        <v>12</v>
      </c>
      <c r="FS1133">
        <v>5005756</v>
      </c>
      <c r="FT1133" t="s">
        <v>11599</v>
      </c>
      <c r="FV1133" s="1">
        <v>41787</v>
      </c>
      <c r="FW1133">
        <v>2013</v>
      </c>
      <c r="FX1133">
        <v>755.33</v>
      </c>
      <c r="FY1133" t="s">
        <v>11600</v>
      </c>
      <c r="FZ1133">
        <v>0.25</v>
      </c>
      <c r="GA1133" t="s">
        <v>424</v>
      </c>
      <c r="GB1133" t="s">
        <v>425</v>
      </c>
      <c r="GC1133" s="1">
        <v>41907</v>
      </c>
      <c r="GD1133">
        <v>4</v>
      </c>
      <c r="GE1133">
        <v>2101382</v>
      </c>
      <c r="GF1133" t="s">
        <v>993</v>
      </c>
      <c r="GH1133" s="1">
        <v>40688</v>
      </c>
      <c r="GI1133">
        <v>2010</v>
      </c>
      <c r="GJ1133">
        <v>1123.1400000000001</v>
      </c>
      <c r="GK1133" t="s">
        <v>11601</v>
      </c>
      <c r="GL1133">
        <v>6.75</v>
      </c>
      <c r="GM1133" t="s">
        <v>424</v>
      </c>
      <c r="GN1133" t="s">
        <v>425</v>
      </c>
      <c r="GO1133" s="1">
        <v>40744</v>
      </c>
      <c r="GP1133">
        <v>2</v>
      </c>
      <c r="GQ1133">
        <v>105</v>
      </c>
      <c r="GR1133" t="s">
        <v>946</v>
      </c>
    </row>
    <row r="1134" spans="1:284" x14ac:dyDescent="0.25">
      <c r="A1134">
        <v>16486141</v>
      </c>
      <c r="B1134">
        <v>1133</v>
      </c>
      <c r="C1134" t="s">
        <v>393</v>
      </c>
      <c r="D1134" t="s">
        <v>394</v>
      </c>
      <c r="F1134" t="str">
        <f>"04-2N-27-4300-0014-0000"</f>
        <v>04-2N-27-4300-0014-0000</v>
      </c>
      <c r="H1134" t="str">
        <f>"KRAUSS ANNIE RUTH"</f>
        <v>KRAUSS ANNIE RUTH</v>
      </c>
      <c r="I1134" t="str">
        <f>"86723 CARDINAL RD"</f>
        <v>86723 CARDINAL RD</v>
      </c>
      <c r="J1134" t="str">
        <f>"YULEE FL 32097"</f>
        <v>YULEE FL 32097</v>
      </c>
      <c r="K1134" t="str">
        <f>"86723 CARDINAL RD"</f>
        <v>86723 CARDINAL RD</v>
      </c>
      <c r="L1134" t="str">
        <f t="shared" si="365"/>
        <v>YULEE FL 32097</v>
      </c>
      <c r="M1134" t="str">
        <f>"BLOCK 14 IN OR 1504/1875 TOWN OF YULEE-SNOWBALL ADDITION PB 1/15"</f>
        <v>BLOCK 14 IN OR 1504/1875 TOWN OF YULEE-SNOWBALL ADDITION PB 1/15</v>
      </c>
      <c r="N1134" t="str">
        <f>""</f>
        <v/>
      </c>
      <c r="O1134" t="str">
        <f>"20231"</f>
        <v>20231</v>
      </c>
      <c r="P1134" t="str">
        <f t="shared" si="360"/>
        <v>2017</v>
      </c>
      <c r="Q1134" t="str">
        <f>""</f>
        <v/>
      </c>
      <c r="R1134" t="str">
        <f>"Y"</f>
        <v>Y</v>
      </c>
      <c r="S1134" t="str">
        <f>"1.65"</f>
        <v>1.65</v>
      </c>
      <c r="T1134" t="str">
        <f>"1053.06"</f>
        <v>1053.06</v>
      </c>
      <c r="U1134" t="str">
        <f>"108664.00"</f>
        <v>108664.00</v>
      </c>
      <c r="V1134" t="str">
        <f>"108664.00"</f>
        <v>108664.00</v>
      </c>
      <c r="W1134" t="str">
        <f t="shared" si="361"/>
        <v>2017</v>
      </c>
      <c r="X1134" t="str">
        <f>"8.30"</f>
        <v>8.30</v>
      </c>
      <c r="Y1134" t="str">
        <f>"1116.65"</f>
        <v>1116.65</v>
      </c>
      <c r="Z1134" t="str">
        <f>"25000.00"</f>
        <v>25000.00</v>
      </c>
      <c r="AA1134" t="str">
        <f>"83664.00"</f>
        <v>83664.00</v>
      </c>
      <c r="AB1134" t="str">
        <f t="shared" si="367"/>
        <v>Residential</v>
      </c>
      <c r="AC1134" t="str">
        <f t="shared" si="366"/>
        <v>0</v>
      </c>
      <c r="AD1134" t="str">
        <f>"4"</f>
        <v>4</v>
      </c>
      <c r="AE1134" t="str">
        <f>"WOOD (INCLUDE STEEL STUDS)"</f>
        <v>WOOD (INCLUDE STEEL STUDS)</v>
      </c>
      <c r="AF1134" t="str">
        <f>"001"</f>
        <v>001</v>
      </c>
      <c r="AG1134" t="str">
        <f t="shared" si="369"/>
        <v>FL</v>
      </c>
      <c r="AH1134" t="str">
        <f>"71874.00"</f>
        <v>71874.00</v>
      </c>
      <c r="AI1134" t="str">
        <f>"39187.00"</f>
        <v>39187.00</v>
      </c>
      <c r="AJ1134" t="str">
        <f>"C55-000-586-5312-2"</f>
        <v>C55-000-586-5312-2</v>
      </c>
      <c r="AK1134" t="str">
        <f>"18259"</f>
        <v>18259</v>
      </c>
      <c r="AL1134">
        <v>4</v>
      </c>
      <c r="AM1134">
        <v>1298</v>
      </c>
      <c r="AN1134">
        <v>1170.8800000000001</v>
      </c>
      <c r="AQ1134" t="s">
        <v>11602</v>
      </c>
      <c r="AR1134" t="s">
        <v>11602</v>
      </c>
      <c r="AS1134" t="s">
        <v>11602</v>
      </c>
      <c r="AU1134" t="s">
        <v>396</v>
      </c>
      <c r="AV1134">
        <v>2017</v>
      </c>
      <c r="AW1134" t="str">
        <f>"04-2N-27-4300-0014-0000 "</f>
        <v xml:space="preserve">04-2N-27-4300-0014-0000 </v>
      </c>
      <c r="AX1134">
        <v>86723</v>
      </c>
      <c r="AZ1134" t="s">
        <v>11487</v>
      </c>
      <c r="BA1134" t="s">
        <v>496</v>
      </c>
      <c r="BD1134" t="s">
        <v>2387</v>
      </c>
      <c r="BE1134" t="s">
        <v>393</v>
      </c>
      <c r="BF1134">
        <v>32097</v>
      </c>
      <c r="BG1134" t="s">
        <v>11603</v>
      </c>
      <c r="BH1134" t="s">
        <v>2388</v>
      </c>
      <c r="BI1134">
        <v>-81.609651336534498</v>
      </c>
      <c r="BJ1134">
        <v>30.628611443561901</v>
      </c>
      <c r="BK1134" t="s">
        <v>11604</v>
      </c>
      <c r="BM1134" t="s">
        <v>11603</v>
      </c>
      <c r="BN1134" t="s">
        <v>1778</v>
      </c>
      <c r="BO1134">
        <v>32097</v>
      </c>
      <c r="BP1134" t="s">
        <v>416</v>
      </c>
      <c r="BQ1134">
        <v>100</v>
      </c>
      <c r="BR1134" t="s">
        <v>514</v>
      </c>
      <c r="BS1134">
        <v>1001</v>
      </c>
      <c r="BT1134" t="s">
        <v>515</v>
      </c>
      <c r="BW1134">
        <v>71874</v>
      </c>
      <c r="BX1134" t="s">
        <v>407</v>
      </c>
      <c r="BY1134" t="s">
        <v>7351</v>
      </c>
      <c r="BZ1134">
        <v>4</v>
      </c>
      <c r="CA1134">
        <v>1987</v>
      </c>
      <c r="CB1134">
        <v>1</v>
      </c>
      <c r="CC1134">
        <v>1</v>
      </c>
      <c r="CD1134">
        <v>2017</v>
      </c>
      <c r="CG1134">
        <v>108664</v>
      </c>
      <c r="CH1134">
        <v>2017</v>
      </c>
      <c r="CI1134">
        <v>39187</v>
      </c>
      <c r="CJ1134">
        <v>77467</v>
      </c>
      <c r="CK1134">
        <v>116654</v>
      </c>
      <c r="CL1134">
        <v>2017</v>
      </c>
      <c r="CM1134">
        <v>1053.06</v>
      </c>
      <c r="CN1134" s="1">
        <v>39244</v>
      </c>
      <c r="CO1134">
        <v>12100</v>
      </c>
      <c r="CZ1134" s="1">
        <v>39244</v>
      </c>
      <c r="DD1134" t="s">
        <v>2387</v>
      </c>
      <c r="DG1134">
        <v>4</v>
      </c>
      <c r="DL1134">
        <v>50301</v>
      </c>
      <c r="DM1134" t="s">
        <v>11492</v>
      </c>
      <c r="DO1134" t="s">
        <v>11605</v>
      </c>
      <c r="DP1134">
        <v>0</v>
      </c>
      <c r="DQ1134">
        <v>0</v>
      </c>
      <c r="DR1134" t="s">
        <v>411</v>
      </c>
      <c r="DS1134" t="b">
        <v>1</v>
      </c>
      <c r="DT1134" t="s">
        <v>470</v>
      </c>
      <c r="DU1134" t="s">
        <v>471</v>
      </c>
      <c r="DV1134" t="s">
        <v>472</v>
      </c>
      <c r="DX1134">
        <v>-9999</v>
      </c>
      <c r="DZ1134" t="s">
        <v>447</v>
      </c>
      <c r="EA1134" t="s">
        <v>448</v>
      </c>
      <c r="EB1134" t="s">
        <v>742</v>
      </c>
      <c r="EC1134">
        <v>20101217</v>
      </c>
      <c r="ED1134" t="s">
        <v>474</v>
      </c>
      <c r="EF1134">
        <v>-9999</v>
      </c>
      <c r="EG1134">
        <v>10930.6</v>
      </c>
      <c r="EI1134">
        <v>20160407</v>
      </c>
      <c r="EJ1134">
        <v>0</v>
      </c>
      <c r="EK1134">
        <v>0</v>
      </c>
      <c r="EP1134" t="s">
        <v>421</v>
      </c>
      <c r="EQ1134" t="s">
        <v>422</v>
      </c>
      <c r="ER1134">
        <v>2</v>
      </c>
      <c r="ES1134">
        <v>9</v>
      </c>
      <c r="ET1134">
        <v>2295.06</v>
      </c>
      <c r="EU1134">
        <v>127.25</v>
      </c>
      <c r="EV1134">
        <v>2422.31</v>
      </c>
      <c r="EW1134" s="2">
        <v>43222</v>
      </c>
      <c r="EX1134" s="1">
        <v>42879</v>
      </c>
      <c r="EY1134">
        <v>2016</v>
      </c>
      <c r="EZ1134">
        <v>1147.53</v>
      </c>
      <c r="FA1134" t="s">
        <v>11606</v>
      </c>
      <c r="FB1134">
        <v>0.25</v>
      </c>
      <c r="FC1134" t="s">
        <v>424</v>
      </c>
      <c r="FD1134" t="s">
        <v>454</v>
      </c>
      <c r="FF1134">
        <v>12</v>
      </c>
      <c r="FG1134">
        <v>5857474</v>
      </c>
      <c r="FH1134" t="s">
        <v>900</v>
      </c>
      <c r="FJ1134" s="1">
        <v>42879</v>
      </c>
      <c r="FK1134">
        <v>2016</v>
      </c>
      <c r="FL1134">
        <v>1147.53</v>
      </c>
      <c r="FM1134" t="s">
        <v>11606</v>
      </c>
      <c r="FN1134">
        <v>0.25</v>
      </c>
      <c r="FO1134" t="s">
        <v>424</v>
      </c>
      <c r="FP1134" t="s">
        <v>454</v>
      </c>
      <c r="FR1134">
        <v>12</v>
      </c>
      <c r="FS1134">
        <v>6671198</v>
      </c>
      <c r="FT1134" t="s">
        <v>11607</v>
      </c>
      <c r="FV1134" s="1">
        <v>42515</v>
      </c>
      <c r="FW1134">
        <v>2015</v>
      </c>
      <c r="FX1134">
        <v>1162.3900000000001</v>
      </c>
      <c r="FY1134" t="s">
        <v>11608</v>
      </c>
      <c r="FZ1134">
        <v>0.25</v>
      </c>
      <c r="GA1134" t="s">
        <v>424</v>
      </c>
      <c r="GB1134" t="s">
        <v>425</v>
      </c>
      <c r="GC1134" s="1">
        <v>43109</v>
      </c>
      <c r="GD1134">
        <v>20</v>
      </c>
      <c r="GE1134">
        <v>5894185</v>
      </c>
      <c r="GF1134" t="s">
        <v>7135</v>
      </c>
      <c r="GH1134" s="1">
        <v>42515</v>
      </c>
      <c r="GI1134">
        <v>2015</v>
      </c>
      <c r="GJ1134">
        <v>1162.3900000000001</v>
      </c>
      <c r="GK1134" t="s">
        <v>11608</v>
      </c>
      <c r="GL1134">
        <v>0.25</v>
      </c>
      <c r="GM1134" t="s">
        <v>424</v>
      </c>
      <c r="GN1134" t="s">
        <v>425</v>
      </c>
      <c r="GP1134">
        <v>22</v>
      </c>
      <c r="GQ1134">
        <v>6035085</v>
      </c>
      <c r="GR1134" t="s">
        <v>11609</v>
      </c>
      <c r="GT1134" s="1">
        <v>42151</v>
      </c>
      <c r="GU1134">
        <v>2014</v>
      </c>
      <c r="GV1134">
        <v>1154.56</v>
      </c>
      <c r="GW1134" t="s">
        <v>11610</v>
      </c>
      <c r="GX1134">
        <v>0.25</v>
      </c>
      <c r="GY1134" t="s">
        <v>424</v>
      </c>
      <c r="GZ1134" t="s">
        <v>425</v>
      </c>
      <c r="HB1134">
        <v>22</v>
      </c>
      <c r="HC1134">
        <v>15259</v>
      </c>
      <c r="HD1134" t="s">
        <v>891</v>
      </c>
      <c r="HF1134" s="1">
        <v>42151</v>
      </c>
      <c r="HG1134">
        <v>2014</v>
      </c>
      <c r="HH1134">
        <v>1154.56</v>
      </c>
      <c r="HI1134" t="s">
        <v>11610</v>
      </c>
      <c r="HJ1134">
        <v>0.25</v>
      </c>
      <c r="HK1134" t="s">
        <v>424</v>
      </c>
      <c r="HL1134" t="s">
        <v>425</v>
      </c>
      <c r="HN1134">
        <v>22</v>
      </c>
      <c r="HO1134">
        <v>6921243</v>
      </c>
      <c r="HP1134" t="s">
        <v>11611</v>
      </c>
      <c r="HR1134" s="1">
        <v>42151</v>
      </c>
      <c r="HS1134">
        <v>2014</v>
      </c>
      <c r="HT1134">
        <v>1154.56</v>
      </c>
      <c r="HU1134" t="s">
        <v>11610</v>
      </c>
      <c r="HV1134">
        <v>0.25</v>
      </c>
      <c r="HW1134" t="s">
        <v>424</v>
      </c>
      <c r="HX1134" t="s">
        <v>425</v>
      </c>
      <c r="HY1134" s="1">
        <v>42310</v>
      </c>
      <c r="HZ1134">
        <v>6</v>
      </c>
      <c r="IA1134">
        <v>7045049</v>
      </c>
      <c r="IB1134" t="s">
        <v>1335</v>
      </c>
      <c r="ID1134" s="1">
        <v>41787</v>
      </c>
      <c r="IE1134">
        <v>2013</v>
      </c>
      <c r="IF1134">
        <v>666.45</v>
      </c>
      <c r="IG1134" t="s">
        <v>11612</v>
      </c>
      <c r="IH1134">
        <v>0.25</v>
      </c>
      <c r="II1134" t="s">
        <v>424</v>
      </c>
      <c r="IJ1134" t="s">
        <v>425</v>
      </c>
      <c r="IK1134" s="1">
        <v>41927</v>
      </c>
      <c r="IL1134">
        <v>5</v>
      </c>
      <c r="IM1134">
        <v>2662137</v>
      </c>
      <c r="IN1134" t="s">
        <v>916</v>
      </c>
      <c r="IP1134" s="1">
        <v>41423</v>
      </c>
      <c r="IQ1134">
        <v>2012</v>
      </c>
      <c r="IR1134">
        <v>682.42</v>
      </c>
      <c r="IS1134" t="s">
        <v>11613</v>
      </c>
      <c r="IT1134">
        <v>0.25</v>
      </c>
      <c r="IU1134" t="s">
        <v>424</v>
      </c>
      <c r="IV1134" t="s">
        <v>425</v>
      </c>
      <c r="IW1134" s="1">
        <v>41590</v>
      </c>
      <c r="IX1134">
        <v>6</v>
      </c>
      <c r="IY1134">
        <v>2101382</v>
      </c>
      <c r="IZ1134" t="s">
        <v>993</v>
      </c>
      <c r="JB1134" s="1">
        <v>41052</v>
      </c>
      <c r="JC1134">
        <v>2011</v>
      </c>
      <c r="JD1134">
        <v>828.47</v>
      </c>
      <c r="JE1134" t="s">
        <v>11614</v>
      </c>
      <c r="JF1134">
        <v>0.25</v>
      </c>
      <c r="JG1134" t="s">
        <v>424</v>
      </c>
      <c r="JH1134" t="s">
        <v>425</v>
      </c>
      <c r="JI1134" s="1">
        <v>41584</v>
      </c>
      <c r="JJ1134">
        <v>18</v>
      </c>
      <c r="JK1134">
        <v>13357</v>
      </c>
      <c r="JL1134" t="s">
        <v>11615</v>
      </c>
      <c r="JN1134" s="1">
        <v>40688</v>
      </c>
      <c r="JO1134">
        <v>2010</v>
      </c>
      <c r="JP1134">
        <v>847.4</v>
      </c>
      <c r="JQ1134" t="s">
        <v>11616</v>
      </c>
      <c r="JR1134">
        <v>0.25</v>
      </c>
      <c r="JS1134" t="s">
        <v>424</v>
      </c>
      <c r="JT1134" t="s">
        <v>425</v>
      </c>
      <c r="JU1134" s="1">
        <v>40784</v>
      </c>
      <c r="JV1134">
        <v>3</v>
      </c>
      <c r="JW1134">
        <v>11177</v>
      </c>
      <c r="JX1134" t="s">
        <v>650</v>
      </c>
    </row>
    <row r="1135" spans="1:284" x14ac:dyDescent="0.25">
      <c r="A1135">
        <v>16486142</v>
      </c>
      <c r="B1135">
        <v>1134</v>
      </c>
      <c r="C1135" t="s">
        <v>393</v>
      </c>
      <c r="D1135" t="s">
        <v>394</v>
      </c>
      <c r="F1135" t="str">
        <f>"04-2N-27-4300-0015-0010"</f>
        <v>04-2N-27-4300-0015-0010</v>
      </c>
      <c r="H1135" t="str">
        <f>"ROE C LARRY &amp; PENNY L"</f>
        <v>ROE C LARRY &amp; PENNY L</v>
      </c>
      <c r="I1135" t="str">
        <f>"1721 ANNISTON RD 1025"</f>
        <v>1721 ANNISTON RD 1025</v>
      </c>
      <c r="J1135" t="str">
        <f>"JACKSONVILLE FL 32246"</f>
        <v>JACKSONVILLE FL 32246</v>
      </c>
      <c r="K1135" t="str">
        <f>"CARDINAL RD"</f>
        <v>CARDINAL RD</v>
      </c>
      <c r="L1135" t="str">
        <f t="shared" si="365"/>
        <v>YULEE FL 32097</v>
      </c>
      <c r="M1135" t="str">
        <f>"PT OF BLOCK 15 IN OR 1242/689 TOWN OF YULEE-SNOWBALL ADDITION PB 1/15"</f>
        <v>PT OF BLOCK 15 IN OR 1242/689 TOWN OF YULEE-SNOWBALL ADDITION PB 1/15</v>
      </c>
      <c r="N1135" t="str">
        <f>""</f>
        <v/>
      </c>
      <c r="O1135" t="str">
        <f>"20233"</f>
        <v>20233</v>
      </c>
      <c r="P1135" t="str">
        <f t="shared" si="360"/>
        <v>2017</v>
      </c>
      <c r="Q1135" t="str">
        <f>""</f>
        <v/>
      </c>
      <c r="R1135" t="str">
        <f>"N"</f>
        <v>N</v>
      </c>
      <c r="S1135" t="str">
        <f>"1.54"</f>
        <v>1.54</v>
      </c>
      <c r="T1135" t="str">
        <f>"553.70"</f>
        <v>553.70</v>
      </c>
      <c r="U1135" t="str">
        <f>"36575.00"</f>
        <v>36575.00</v>
      </c>
      <c r="V1135" t="str">
        <f>"36575.00"</f>
        <v>36575.00</v>
      </c>
      <c r="W1135" t="str">
        <f t="shared" si="361"/>
        <v>2017</v>
      </c>
      <c r="X1135" t="str">
        <f>"20.10"</f>
        <v>20.10</v>
      </c>
      <c r="Y1135" t="str">
        <f>"602.31"</f>
        <v>602.31</v>
      </c>
      <c r="Z1135" t="str">
        <f>""</f>
        <v/>
      </c>
      <c r="AA1135" t="str">
        <f>"36575.00"</f>
        <v>36575.00</v>
      </c>
      <c r="AB1135" t="str">
        <f t="shared" si="367"/>
        <v>Residential</v>
      </c>
      <c r="AC1135" t="str">
        <f t="shared" si="366"/>
        <v>0</v>
      </c>
      <c r="AD1135" t="str">
        <f>""</f>
        <v/>
      </c>
      <c r="AE1135" t="str">
        <f>""</f>
        <v/>
      </c>
      <c r="AF1135" t="str">
        <f>"000"</f>
        <v>000</v>
      </c>
      <c r="AG1135" t="str">
        <f t="shared" si="369"/>
        <v>FL</v>
      </c>
      <c r="AH1135" t="str">
        <f>"67082.00"</f>
        <v>67082.00</v>
      </c>
      <c r="AI1135" t="str">
        <f>"36575.00"</f>
        <v>36575.00</v>
      </c>
      <c r="AJ1135" t="str">
        <f>"C55-000-586-5314-8"</f>
        <v>C55-000-586-5314-8</v>
      </c>
      <c r="AK1135" t="str">
        <f>"18260"</f>
        <v>18260</v>
      </c>
      <c r="AL1135">
        <v>4</v>
      </c>
      <c r="AM1135">
        <v>1299</v>
      </c>
      <c r="AN1135">
        <v>630.83000000000004</v>
      </c>
      <c r="AQ1135" t="s">
        <v>11617</v>
      </c>
      <c r="AR1135" t="s">
        <v>11617</v>
      </c>
      <c r="AS1135" t="s">
        <v>11617</v>
      </c>
      <c r="AU1135" t="s">
        <v>396</v>
      </c>
      <c r="AV1135">
        <v>2017</v>
      </c>
      <c r="AW1135" t="str">
        <f>"04-2N-27-4300-0015-0010 "</f>
        <v xml:space="preserve">04-2N-27-4300-0015-0010 </v>
      </c>
      <c r="AZ1135" t="s">
        <v>11487</v>
      </c>
      <c r="BA1135" t="s">
        <v>496</v>
      </c>
      <c r="BD1135" t="s">
        <v>2387</v>
      </c>
      <c r="BE1135" t="s">
        <v>393</v>
      </c>
      <c r="BF1135">
        <v>32097</v>
      </c>
      <c r="BG1135" t="s">
        <v>11488</v>
      </c>
      <c r="BH1135" t="s">
        <v>2388</v>
      </c>
      <c r="BI1135">
        <v>-81.6103650867434</v>
      </c>
      <c r="BJ1135">
        <v>30.628267077207301</v>
      </c>
      <c r="BK1135" t="s">
        <v>11618</v>
      </c>
      <c r="BL1135" t="s">
        <v>11619</v>
      </c>
      <c r="BM1135" t="s">
        <v>11620</v>
      </c>
      <c r="BN1135" t="s">
        <v>548</v>
      </c>
      <c r="BO1135">
        <v>32246</v>
      </c>
      <c r="BP1135" t="s">
        <v>404</v>
      </c>
      <c r="BQ1135">
        <v>0</v>
      </c>
      <c r="BR1135" t="s">
        <v>491</v>
      </c>
      <c r="BS1135">
        <v>8001</v>
      </c>
      <c r="BT1135" t="s">
        <v>492</v>
      </c>
      <c r="BW1135">
        <v>67082</v>
      </c>
      <c r="BX1135" t="s">
        <v>407</v>
      </c>
      <c r="BY1135" t="s">
        <v>7351</v>
      </c>
      <c r="CD1135">
        <v>2017</v>
      </c>
      <c r="CE1135">
        <v>36575</v>
      </c>
      <c r="CG1135">
        <v>36575</v>
      </c>
      <c r="CH1135">
        <v>2017</v>
      </c>
      <c r="CI1135">
        <v>36575</v>
      </c>
      <c r="CK1135">
        <v>36575</v>
      </c>
      <c r="CL1135">
        <v>2017</v>
      </c>
      <c r="CM1135">
        <v>553.70000000000005</v>
      </c>
      <c r="CN1135" s="1">
        <v>38168</v>
      </c>
      <c r="CO1135">
        <v>27000</v>
      </c>
      <c r="CV1135">
        <v>0</v>
      </c>
      <c r="CZ1135" s="1">
        <v>38168</v>
      </c>
      <c r="DA1135">
        <v>0</v>
      </c>
      <c r="DD1135" t="s">
        <v>2387</v>
      </c>
      <c r="DE1135">
        <v>15</v>
      </c>
      <c r="DG1135">
        <v>4</v>
      </c>
      <c r="DL1135">
        <v>50301</v>
      </c>
      <c r="DM1135" t="s">
        <v>11492</v>
      </c>
      <c r="DO1135" t="s">
        <v>11621</v>
      </c>
      <c r="DP1135">
        <v>0</v>
      </c>
      <c r="DQ1135">
        <v>0</v>
      </c>
      <c r="DR1135" t="s">
        <v>411</v>
      </c>
      <c r="DS1135" t="b">
        <v>1</v>
      </c>
      <c r="DT1135" t="s">
        <v>470</v>
      </c>
      <c r="DU1135" t="s">
        <v>471</v>
      </c>
      <c r="DV1135" t="s">
        <v>472</v>
      </c>
      <c r="DX1135">
        <v>-9999</v>
      </c>
      <c r="DZ1135" t="s">
        <v>447</v>
      </c>
      <c r="EA1135" t="s">
        <v>448</v>
      </c>
      <c r="EB1135" t="s">
        <v>742</v>
      </c>
      <c r="EC1135">
        <v>20101217</v>
      </c>
      <c r="ED1135" t="s">
        <v>474</v>
      </c>
      <c r="EF1135">
        <v>-9999</v>
      </c>
      <c r="EG1135">
        <v>11142.1</v>
      </c>
      <c r="EI1135">
        <v>20160407</v>
      </c>
      <c r="EJ1135">
        <v>0</v>
      </c>
      <c r="EK1135">
        <v>0</v>
      </c>
      <c r="EP1135" t="s">
        <v>421</v>
      </c>
      <c r="EQ1135" t="s">
        <v>422</v>
      </c>
      <c r="ER1135">
        <v>1</v>
      </c>
      <c r="ES1135">
        <v>6</v>
      </c>
      <c r="ET1135">
        <v>634.22</v>
      </c>
      <c r="EU1135">
        <v>47.47</v>
      </c>
      <c r="EV1135">
        <v>681.69</v>
      </c>
      <c r="EW1135" s="2">
        <v>43222</v>
      </c>
      <c r="EX1135" s="1">
        <v>42879</v>
      </c>
      <c r="EY1135">
        <v>2016</v>
      </c>
      <c r="EZ1135">
        <v>634.22</v>
      </c>
      <c r="FA1135" t="s">
        <v>11622</v>
      </c>
      <c r="FB1135">
        <v>6.5</v>
      </c>
      <c r="FC1135" t="s">
        <v>424</v>
      </c>
      <c r="FD1135" t="s">
        <v>454</v>
      </c>
      <c r="FF1135">
        <v>12</v>
      </c>
      <c r="FG1135">
        <v>10125</v>
      </c>
      <c r="FH1135" t="s">
        <v>440</v>
      </c>
      <c r="FJ1135" s="1">
        <v>42515</v>
      </c>
      <c r="FK1135">
        <v>2015</v>
      </c>
      <c r="FL1135">
        <v>643.97</v>
      </c>
      <c r="FM1135" t="s">
        <v>11623</v>
      </c>
      <c r="FN1135">
        <v>4.75</v>
      </c>
      <c r="FO1135" t="s">
        <v>424</v>
      </c>
      <c r="FP1135" t="s">
        <v>425</v>
      </c>
      <c r="FQ1135" s="1">
        <v>43157</v>
      </c>
      <c r="FR1135">
        <v>21</v>
      </c>
      <c r="FS1135">
        <v>2035919</v>
      </c>
      <c r="FT1135" t="s">
        <v>507</v>
      </c>
      <c r="FV1135" s="1">
        <v>42151</v>
      </c>
      <c r="FW1135">
        <v>2014</v>
      </c>
      <c r="FX1135">
        <v>647.11</v>
      </c>
      <c r="FY1135" t="s">
        <v>11624</v>
      </c>
      <c r="FZ1135">
        <v>4.75</v>
      </c>
      <c r="GA1135" t="s">
        <v>424</v>
      </c>
      <c r="GB1135" t="s">
        <v>425</v>
      </c>
      <c r="GC1135" s="1">
        <v>42800</v>
      </c>
      <c r="GD1135">
        <v>22</v>
      </c>
      <c r="GE1135">
        <v>4975593</v>
      </c>
      <c r="GF1135" t="s">
        <v>505</v>
      </c>
      <c r="GH1135" s="1">
        <v>41787</v>
      </c>
      <c r="GI1135">
        <v>2013</v>
      </c>
      <c r="GJ1135">
        <v>613.67999999999995</v>
      </c>
      <c r="GK1135" t="s">
        <v>11625</v>
      </c>
      <c r="GL1135">
        <v>6</v>
      </c>
      <c r="GM1135" t="s">
        <v>424</v>
      </c>
      <c r="GN1135" t="s">
        <v>425</v>
      </c>
      <c r="GO1135" s="1">
        <v>42416</v>
      </c>
      <c r="GP1135">
        <v>21</v>
      </c>
      <c r="GQ1135">
        <v>2035919</v>
      </c>
      <c r="GR1135" t="s">
        <v>507</v>
      </c>
      <c r="GT1135" s="1">
        <v>41423</v>
      </c>
      <c r="GU1135">
        <v>2012</v>
      </c>
      <c r="GV1135">
        <v>621.09</v>
      </c>
      <c r="GW1135" t="s">
        <v>11626</v>
      </c>
      <c r="GX1135">
        <v>3.25</v>
      </c>
      <c r="GY1135" t="s">
        <v>424</v>
      </c>
      <c r="GZ1135" t="s">
        <v>425</v>
      </c>
      <c r="HA1135" s="1">
        <v>42086</v>
      </c>
      <c r="HB1135">
        <v>22</v>
      </c>
      <c r="HC1135">
        <v>10125</v>
      </c>
      <c r="HD1135" t="s">
        <v>440</v>
      </c>
      <c r="HF1135" s="1">
        <v>41052</v>
      </c>
      <c r="HG1135">
        <v>2011</v>
      </c>
      <c r="HH1135">
        <v>745.47</v>
      </c>
      <c r="HI1135" t="s">
        <v>11627</v>
      </c>
      <c r="HJ1135">
        <v>5.75</v>
      </c>
      <c r="HK1135" t="s">
        <v>424</v>
      </c>
      <c r="HL1135" t="s">
        <v>425</v>
      </c>
      <c r="HM1135" s="1">
        <v>41681</v>
      </c>
      <c r="HN1135">
        <v>21</v>
      </c>
      <c r="HO1135">
        <v>62</v>
      </c>
      <c r="HP1135" t="s">
        <v>463</v>
      </c>
      <c r="HR1135" s="1">
        <v>40688</v>
      </c>
      <c r="HS1135">
        <v>2010</v>
      </c>
      <c r="HT1135">
        <v>956.87</v>
      </c>
      <c r="HU1135" t="s">
        <v>11628</v>
      </c>
      <c r="HV1135">
        <v>6.75</v>
      </c>
      <c r="HW1135" t="s">
        <v>424</v>
      </c>
      <c r="HX1135" t="s">
        <v>425</v>
      </c>
      <c r="HY1135" s="1">
        <v>41330</v>
      </c>
      <c r="HZ1135">
        <v>21</v>
      </c>
      <c r="IA1135">
        <v>10579</v>
      </c>
      <c r="IB1135" t="s">
        <v>488</v>
      </c>
    </row>
    <row r="1136" spans="1:284" x14ac:dyDescent="0.25">
      <c r="A1136">
        <v>16486143</v>
      </c>
      <c r="B1136">
        <v>1135</v>
      </c>
      <c r="C1136" t="s">
        <v>393</v>
      </c>
      <c r="D1136" t="s">
        <v>394</v>
      </c>
      <c r="F1136" t="str">
        <f>"04-2N-27-4300-0019-0062"</f>
        <v>04-2N-27-4300-0019-0062</v>
      </c>
      <c r="H1136" t="str">
        <f>"MOSLEY JOYCE MICHELLE EST"</f>
        <v>MOSLEY JOYCE MICHELLE EST</v>
      </c>
      <c r="I1136" t="str">
        <f>"86050 OAK TREE LANE"</f>
        <v>86050 OAK TREE LANE</v>
      </c>
      <c r="J1136" t="str">
        <f>"YULEE FL 32097"</f>
        <v>YULEE FL 32097</v>
      </c>
      <c r="K1136" t="str">
        <f>"86050 OAK TREE LN"</f>
        <v>86050 OAK TREE LN</v>
      </c>
      <c r="L1136" t="str">
        <f t="shared" si="365"/>
        <v>YULEE FL 32097</v>
      </c>
      <c r="M1136" t="str">
        <f>"BLOCK 19 S20 FT OF LOT 6 &amp; ALL OF LOT 7 IN OR 1350/1540 TOWN OF YULEE-SNOWBALL ADDITION PB 1/15"</f>
        <v>BLOCK 19 S20 FT OF LOT 6 &amp; ALL OF LOT 7 IN OR 1350/1540 TOWN OF YULEE-SNOWBALL ADDITION PB 1/15</v>
      </c>
      <c r="N1136" t="str">
        <f>""</f>
        <v/>
      </c>
      <c r="O1136" t="str">
        <f>"20242"</f>
        <v>20242</v>
      </c>
      <c r="P1136" t="str">
        <f t="shared" si="360"/>
        <v>2017</v>
      </c>
      <c r="Q1136" t="str">
        <f>""</f>
        <v/>
      </c>
      <c r="R1136" t="str">
        <f>"N"</f>
        <v>N</v>
      </c>
      <c r="S1136" t="str">
        <f>""</f>
        <v/>
      </c>
      <c r="T1136" t="str">
        <f>"367.66"</f>
        <v>367.66</v>
      </c>
      <c r="U1136" t="str">
        <f>"24154.00"</f>
        <v>24154.00</v>
      </c>
      <c r="V1136" t="str">
        <f>"24154.00"</f>
        <v>24154.00</v>
      </c>
      <c r="W1136" t="str">
        <f t="shared" si="361"/>
        <v>2017</v>
      </c>
      <c r="X1136" t="str">
        <f>"3.00"</f>
        <v>3.00</v>
      </c>
      <c r="Y1136" t="str">
        <f>"410.69"</f>
        <v>410.69</v>
      </c>
      <c r="Z1136" t="str">
        <f>""</f>
        <v/>
      </c>
      <c r="AA1136" t="str">
        <f>"24458.00"</f>
        <v>24458.00</v>
      </c>
      <c r="AB1136" t="str">
        <f t="shared" si="367"/>
        <v>Residential</v>
      </c>
      <c r="AC1136" t="str">
        <f t="shared" si="366"/>
        <v>0</v>
      </c>
      <c r="AD1136" t="str">
        <f>""</f>
        <v/>
      </c>
      <c r="AE1136" t="str">
        <f>""</f>
        <v/>
      </c>
      <c r="AF1136" t="str">
        <f>"000"</f>
        <v>000</v>
      </c>
      <c r="AG1136" t="str">
        <f t="shared" si="369"/>
        <v>FL</v>
      </c>
      <c r="AH1136" t="str">
        <f>"9600.00"</f>
        <v>9600.00</v>
      </c>
      <c r="AI1136" t="str">
        <f>"16800.00"</f>
        <v>16800.00</v>
      </c>
      <c r="AJ1136" t="str">
        <f>"C55-000-586-5322-1"</f>
        <v>C55-000-586-5322-1</v>
      </c>
      <c r="AK1136" t="str">
        <f>"18268"</f>
        <v>18268</v>
      </c>
      <c r="AL1136">
        <v>4</v>
      </c>
      <c r="AM1136">
        <v>1300</v>
      </c>
      <c r="AN1136">
        <v>429.62</v>
      </c>
      <c r="AQ1136" t="s">
        <v>11629</v>
      </c>
      <c r="AR1136" t="s">
        <v>11629</v>
      </c>
      <c r="AS1136" t="s">
        <v>11629</v>
      </c>
      <c r="AU1136" t="s">
        <v>396</v>
      </c>
      <c r="AV1136">
        <v>2017</v>
      </c>
      <c r="AW1136" t="str">
        <f>"04-2N-27-4300-0019-0062 "</f>
        <v xml:space="preserve">04-2N-27-4300-0019-0062 </v>
      </c>
      <c r="AX1136">
        <v>86050</v>
      </c>
      <c r="AZ1136" t="s">
        <v>11630</v>
      </c>
      <c r="BA1136" t="s">
        <v>653</v>
      </c>
      <c r="BD1136" t="s">
        <v>2387</v>
      </c>
      <c r="BE1136" t="s">
        <v>393</v>
      </c>
      <c r="BF1136">
        <v>32097</v>
      </c>
      <c r="BG1136" t="s">
        <v>11631</v>
      </c>
      <c r="BH1136" t="s">
        <v>2388</v>
      </c>
      <c r="BI1136">
        <v>-81.608341749270494</v>
      </c>
      <c r="BJ1136">
        <v>30.627693945536301</v>
      </c>
      <c r="BK1136" t="s">
        <v>11632</v>
      </c>
      <c r="BM1136" t="s">
        <v>11631</v>
      </c>
      <c r="BN1136" t="s">
        <v>1778</v>
      </c>
      <c r="BO1136">
        <v>32097</v>
      </c>
      <c r="BP1136" t="s">
        <v>404</v>
      </c>
      <c r="BQ1136">
        <v>1</v>
      </c>
      <c r="BR1136" t="s">
        <v>491</v>
      </c>
      <c r="BS1136">
        <v>8001</v>
      </c>
      <c r="BT1136" t="s">
        <v>492</v>
      </c>
      <c r="BU1136">
        <v>960</v>
      </c>
      <c r="BV1136">
        <v>1000</v>
      </c>
      <c r="BW1136">
        <v>10513</v>
      </c>
      <c r="BX1136" t="s">
        <v>407</v>
      </c>
      <c r="BY1136" t="s">
        <v>7351</v>
      </c>
      <c r="CD1136">
        <v>2017</v>
      </c>
      <c r="CE1136">
        <v>16800</v>
      </c>
      <c r="CF1136">
        <v>7658</v>
      </c>
      <c r="CG1136">
        <v>24458</v>
      </c>
      <c r="CH1136">
        <v>2017</v>
      </c>
      <c r="CI1136">
        <v>16800</v>
      </c>
      <c r="CJ1136">
        <v>7658</v>
      </c>
      <c r="CK1136">
        <v>24458</v>
      </c>
      <c r="CL1136">
        <v>2017</v>
      </c>
      <c r="CM1136">
        <v>367.66</v>
      </c>
      <c r="CN1136" s="1">
        <v>38614</v>
      </c>
      <c r="CZ1136" s="1">
        <v>38614</v>
      </c>
      <c r="DD1136" t="s">
        <v>2387</v>
      </c>
      <c r="DF1136">
        <v>6</v>
      </c>
      <c r="DG1136">
        <v>4</v>
      </c>
      <c r="DL1136">
        <v>50302</v>
      </c>
      <c r="DM1136" t="s">
        <v>11492</v>
      </c>
      <c r="DO1136" t="s">
        <v>11633</v>
      </c>
      <c r="DP1136">
        <v>0</v>
      </c>
      <c r="DQ1136">
        <v>0</v>
      </c>
      <c r="DR1136" t="s">
        <v>411</v>
      </c>
      <c r="EP1136" t="s">
        <v>421</v>
      </c>
      <c r="EQ1136" t="s">
        <v>422</v>
      </c>
      <c r="ER1136">
        <v>1</v>
      </c>
      <c r="ES1136">
        <v>0</v>
      </c>
      <c r="ET1136">
        <v>391.55</v>
      </c>
      <c r="EU1136">
        <v>25.83</v>
      </c>
      <c r="EV1136">
        <v>417.38</v>
      </c>
      <c r="EW1136" s="2">
        <v>43222</v>
      </c>
      <c r="EX1136" s="1">
        <v>42879</v>
      </c>
      <c r="EY1136">
        <v>2016</v>
      </c>
      <c r="EZ1136">
        <v>391.55</v>
      </c>
      <c r="FA1136" t="s">
        <v>11634</v>
      </c>
      <c r="FB1136">
        <v>4.75</v>
      </c>
      <c r="FC1136" t="s">
        <v>424</v>
      </c>
      <c r="FD1136" t="s">
        <v>454</v>
      </c>
      <c r="FF1136">
        <v>12</v>
      </c>
      <c r="FG1136">
        <v>7336143</v>
      </c>
      <c r="FH1136" t="s">
        <v>539</v>
      </c>
    </row>
    <row r="1137" spans="1:284" x14ac:dyDescent="0.25">
      <c r="A1137">
        <v>16486144</v>
      </c>
      <c r="B1137">
        <v>1136</v>
      </c>
      <c r="C1137" t="s">
        <v>393</v>
      </c>
      <c r="D1137" t="s">
        <v>394</v>
      </c>
      <c r="F1137" t="str">
        <f>"05-2N-27-0000-0001-0060"</f>
        <v>05-2N-27-0000-0001-0060</v>
      </c>
      <c r="H1137" t="str">
        <f>"DURRANCE JOLENE JONES"</f>
        <v>DURRANCE JOLENE JONES</v>
      </c>
      <c r="I1137" t="str">
        <f>"P O BOX 866"</f>
        <v>P O BOX 866</v>
      </c>
      <c r="J1137" t="str">
        <f>"YULEE FL 32041"</f>
        <v>YULEE FL 32041</v>
      </c>
      <c r="K1137" t="str">
        <f>"76506 DOVE RD"</f>
        <v>76506 DOVE RD</v>
      </c>
      <c r="L1137" t="str">
        <f t="shared" si="365"/>
        <v>YULEE FL 32097</v>
      </c>
      <c r="M1137" t="str">
        <f>"PT SW1/4 OF SW1/4 OF FRAC SEC 5-2N-27E IN OR 1990/915"</f>
        <v>PT SW1/4 OF SW1/4 OF FRAC SEC 5-2N-27E IN OR 1990/915</v>
      </c>
      <c r="N1137" t="str">
        <f>""</f>
        <v/>
      </c>
      <c r="O1137" t="str">
        <f>"21256"</f>
        <v>21256</v>
      </c>
      <c r="P1137" t="str">
        <f t="shared" si="360"/>
        <v>2017</v>
      </c>
      <c r="Q1137" t="str">
        <f>""</f>
        <v/>
      </c>
      <c r="R1137" t="str">
        <f>"N"</f>
        <v>N</v>
      </c>
      <c r="S1137" t="str">
        <f>"1.00"</f>
        <v>1.00</v>
      </c>
      <c r="T1137" t="str">
        <f>"772.10"</f>
        <v>772.10</v>
      </c>
      <c r="U1137" t="str">
        <f>"51002.00"</f>
        <v>51002.00</v>
      </c>
      <c r="V1137" t="str">
        <f>"51002.00"</f>
        <v>51002.00</v>
      </c>
      <c r="W1137" t="str">
        <f t="shared" si="361"/>
        <v>2017</v>
      </c>
      <c r="X1137" t="str">
        <f>"2.00"</f>
        <v>2.00</v>
      </c>
      <c r="Y1137" t="str">
        <f>"827.26"</f>
        <v>827.26</v>
      </c>
      <c r="Z1137" t="str">
        <f>""</f>
        <v/>
      </c>
      <c r="AA1137" t="str">
        <f>"51002.00"</f>
        <v>51002.00</v>
      </c>
      <c r="AB1137" t="str">
        <f t="shared" si="367"/>
        <v>Residential</v>
      </c>
      <c r="AC1137" t="str">
        <f t="shared" si="366"/>
        <v>0</v>
      </c>
      <c r="AD1137" t="str">
        <f>"4"</f>
        <v>4</v>
      </c>
      <c r="AE1137" t="str">
        <f>"WOOD (INCLUDE STEEL STUDS)"</f>
        <v>WOOD (INCLUDE STEEL STUDS)</v>
      </c>
      <c r="AF1137" t="str">
        <f>"002"</f>
        <v>002</v>
      </c>
      <c r="AG1137" t="str">
        <f t="shared" si="369"/>
        <v>FL</v>
      </c>
      <c r="AH1137" t="str">
        <f>"43560.00"</f>
        <v>43560.00</v>
      </c>
      <c r="AI1137" t="str">
        <f>"25000.00"</f>
        <v>25000.00</v>
      </c>
      <c r="AJ1137" t="str">
        <f>"C55-000-586-6085-3"</f>
        <v>C55-000-586-6085-3</v>
      </c>
      <c r="AK1137" t="str">
        <f>"18285"</f>
        <v>18285</v>
      </c>
      <c r="AL1137">
        <v>4</v>
      </c>
      <c r="AM1137">
        <v>1301</v>
      </c>
      <c r="AN1137">
        <v>867.02</v>
      </c>
      <c r="AQ1137" t="s">
        <v>11635</v>
      </c>
      <c r="AR1137" t="s">
        <v>11635</v>
      </c>
      <c r="AS1137" t="s">
        <v>11635</v>
      </c>
      <c r="AU1137" t="s">
        <v>396</v>
      </c>
      <c r="AV1137">
        <v>2017</v>
      </c>
      <c r="AW1137" t="str">
        <f>"05-2N-27-0000-0001-0060 "</f>
        <v xml:space="preserve">05-2N-27-0000-0001-0060 </v>
      </c>
      <c r="AX1137">
        <v>76506</v>
      </c>
      <c r="AZ1137" t="s">
        <v>11636</v>
      </c>
      <c r="BA1137" t="s">
        <v>496</v>
      </c>
      <c r="BD1137" t="s">
        <v>2387</v>
      </c>
      <c r="BE1137" t="s">
        <v>393</v>
      </c>
      <c r="BF1137">
        <v>32097</v>
      </c>
      <c r="BG1137" t="s">
        <v>11637</v>
      </c>
      <c r="BH1137" t="s">
        <v>2388</v>
      </c>
      <c r="BI1137">
        <v>-81.615103469257093</v>
      </c>
      <c r="BJ1137">
        <v>30.619331420609399</v>
      </c>
      <c r="BK1137" t="s">
        <v>11638</v>
      </c>
      <c r="BM1137" t="s">
        <v>11639</v>
      </c>
      <c r="BN1137" t="s">
        <v>1778</v>
      </c>
      <c r="BO1137">
        <v>32041</v>
      </c>
      <c r="BP1137" t="s">
        <v>404</v>
      </c>
      <c r="BQ1137">
        <v>200</v>
      </c>
      <c r="BR1137" t="s">
        <v>405</v>
      </c>
      <c r="BS1137">
        <v>1006</v>
      </c>
      <c r="BT1137" t="s">
        <v>406</v>
      </c>
      <c r="BW1137">
        <v>43560</v>
      </c>
      <c r="BX1137" t="s">
        <v>407</v>
      </c>
      <c r="BY1137" t="s">
        <v>408</v>
      </c>
      <c r="BZ1137">
        <v>4</v>
      </c>
      <c r="CA1137">
        <v>1984</v>
      </c>
      <c r="CB1137">
        <v>1</v>
      </c>
      <c r="CC1137">
        <v>1</v>
      </c>
      <c r="CD1137">
        <v>2017</v>
      </c>
      <c r="CE1137">
        <v>25000</v>
      </c>
      <c r="CF1137">
        <v>26002</v>
      </c>
      <c r="CG1137">
        <v>51002</v>
      </c>
      <c r="CH1137">
        <v>2017</v>
      </c>
      <c r="CI1137">
        <v>25000</v>
      </c>
      <c r="CJ1137">
        <v>26002</v>
      </c>
      <c r="CK1137">
        <v>51002</v>
      </c>
      <c r="CL1137">
        <v>2017</v>
      </c>
      <c r="CM1137">
        <v>772.1</v>
      </c>
      <c r="CN1137" s="1">
        <v>42193</v>
      </c>
      <c r="CO1137">
        <v>115000</v>
      </c>
      <c r="CZ1137" s="1">
        <v>42193</v>
      </c>
      <c r="DD1137" t="s">
        <v>2387</v>
      </c>
      <c r="DG1137">
        <v>5</v>
      </c>
      <c r="DL1137">
        <v>50301</v>
      </c>
      <c r="DM1137" t="s">
        <v>11640</v>
      </c>
      <c r="DO1137" t="s">
        <v>11641</v>
      </c>
      <c r="DP1137">
        <v>0</v>
      </c>
      <c r="DQ1137">
        <v>0</v>
      </c>
      <c r="DR1137" t="s">
        <v>411</v>
      </c>
      <c r="EP1137" t="s">
        <v>6</v>
      </c>
      <c r="EQ1137" t="s">
        <v>422</v>
      </c>
      <c r="ER1137">
        <v>0</v>
      </c>
      <c r="ES1137">
        <v>1</v>
      </c>
      <c r="ET1137">
        <v>0</v>
      </c>
      <c r="EU1137">
        <v>0</v>
      </c>
      <c r="EV1137">
        <v>0</v>
      </c>
      <c r="EW1137" s="2">
        <v>43222</v>
      </c>
      <c r="EX1137" s="1">
        <v>42151</v>
      </c>
      <c r="EY1137">
        <v>2014</v>
      </c>
      <c r="EZ1137">
        <v>235.17</v>
      </c>
      <c r="FA1137" t="s">
        <v>11642</v>
      </c>
      <c r="FB1137">
        <v>18</v>
      </c>
      <c r="FC1137" t="s">
        <v>603</v>
      </c>
      <c r="FD1137" t="s">
        <v>425</v>
      </c>
      <c r="FE1137" s="1">
        <v>42187</v>
      </c>
      <c r="FF1137">
        <v>2</v>
      </c>
      <c r="FG1137">
        <v>9999999</v>
      </c>
      <c r="FH1137" t="s">
        <v>604</v>
      </c>
    </row>
    <row r="1138" spans="1:284" x14ac:dyDescent="0.25">
      <c r="A1138">
        <v>16486145</v>
      </c>
      <c r="B1138">
        <v>1137</v>
      </c>
      <c r="C1138" t="s">
        <v>393</v>
      </c>
      <c r="D1138" t="s">
        <v>394</v>
      </c>
      <c r="F1138" t="str">
        <f>"05-2N-27-4292-0021-0000"</f>
        <v>05-2N-27-4292-0021-0000</v>
      </c>
      <c r="H1138" t="str">
        <f>"LEONARD CHARLES"</f>
        <v>LEONARD CHARLES</v>
      </c>
      <c r="I1138" t="str">
        <f>"3900 SKIPPER RD"</f>
        <v>3900 SKIPPER RD</v>
      </c>
      <c r="J1138" t="str">
        <f>"MIDDLEBURG FL 32068"</f>
        <v>MIDDLEBURG FL 32068</v>
      </c>
      <c r="K1138" t="str">
        <f>"DOVE RD"</f>
        <v>DOVE RD</v>
      </c>
      <c r="L1138" t="str">
        <f t="shared" si="365"/>
        <v>YULEE FL 32097</v>
      </c>
      <c r="M1138" t="str">
        <f>"LOT 21 EX S-1 IN OR 1511/802 FLOOD ACRES NO 2 UNR"</f>
        <v>LOT 21 EX S-1 IN OR 1511/802 FLOOD ACRES NO 2 UNR</v>
      </c>
      <c r="N1138" t="str">
        <f>""</f>
        <v/>
      </c>
      <c r="O1138" t="str">
        <f>"21268"</f>
        <v>21268</v>
      </c>
      <c r="P1138" t="str">
        <f t="shared" si="360"/>
        <v>2017</v>
      </c>
      <c r="Q1138" t="str">
        <f>""</f>
        <v/>
      </c>
      <c r="R1138" t="str">
        <f>"N"</f>
        <v>N</v>
      </c>
      <c r="S1138" t="str">
        <f>"1.00"</f>
        <v>1.00</v>
      </c>
      <c r="T1138" t="str">
        <f>"218.82"</f>
        <v>218.82</v>
      </c>
      <c r="U1138" t="str">
        <f>"12100.00"</f>
        <v>12100.00</v>
      </c>
      <c r="V1138" t="str">
        <f>"12100.00"</f>
        <v>12100.00</v>
      </c>
      <c r="W1138" t="str">
        <f t="shared" si="361"/>
        <v>2017</v>
      </c>
      <c r="X1138" t="str">
        <f>"21.00"</f>
        <v>21.00</v>
      </c>
      <c r="Y1138" t="str">
        <f>"257.38"</f>
        <v>257.38</v>
      </c>
      <c r="Z1138" t="str">
        <f>""</f>
        <v/>
      </c>
      <c r="AA1138" t="str">
        <f>"17500.00"</f>
        <v>17500.00</v>
      </c>
      <c r="AB1138" t="str">
        <f t="shared" si="367"/>
        <v>Residential</v>
      </c>
      <c r="AC1138" t="str">
        <f t="shared" si="366"/>
        <v>0</v>
      </c>
      <c r="AD1138" t="str">
        <f>""</f>
        <v/>
      </c>
      <c r="AE1138" t="str">
        <f>""</f>
        <v/>
      </c>
      <c r="AF1138" t="str">
        <f>"000"</f>
        <v>000</v>
      </c>
      <c r="AG1138" t="str">
        <f t="shared" si="369"/>
        <v>FL</v>
      </c>
      <c r="AH1138" t="str">
        <f>"43560.00"</f>
        <v>43560.00</v>
      </c>
      <c r="AI1138" t="str">
        <f>"17500.00"</f>
        <v>17500.00</v>
      </c>
      <c r="AJ1138" t="str">
        <f>"C55-000-586-6094-5"</f>
        <v>C55-000-586-6094-5</v>
      </c>
      <c r="AK1138" t="str">
        <f>"18295"</f>
        <v>18295</v>
      </c>
      <c r="AL1138">
        <v>4</v>
      </c>
      <c r="AM1138">
        <v>1302</v>
      </c>
      <c r="AN1138">
        <v>268.64999999999998</v>
      </c>
      <c r="AQ1138" t="s">
        <v>11643</v>
      </c>
      <c r="AR1138" t="s">
        <v>11643</v>
      </c>
      <c r="AS1138" t="s">
        <v>11643</v>
      </c>
      <c r="AU1138" t="s">
        <v>396</v>
      </c>
      <c r="AV1138">
        <v>2017</v>
      </c>
      <c r="AW1138" t="str">
        <f>"05-2N-27-4292-0021-0000 "</f>
        <v xml:space="preserve">05-2N-27-4292-0021-0000 </v>
      </c>
      <c r="AZ1138" t="s">
        <v>11636</v>
      </c>
      <c r="BA1138" t="s">
        <v>496</v>
      </c>
      <c r="BD1138" t="s">
        <v>2387</v>
      </c>
      <c r="BE1138" t="s">
        <v>393</v>
      </c>
      <c r="BF1138">
        <v>32097</v>
      </c>
      <c r="BG1138" t="s">
        <v>11644</v>
      </c>
      <c r="BH1138" t="s">
        <v>2388</v>
      </c>
      <c r="BI1138">
        <v>-81.617893667046602</v>
      </c>
      <c r="BJ1138">
        <v>30.619163362734199</v>
      </c>
      <c r="BK1138" t="s">
        <v>11645</v>
      </c>
      <c r="BM1138" t="s">
        <v>11646</v>
      </c>
      <c r="BN1138" t="s">
        <v>6584</v>
      </c>
      <c r="BO1138">
        <v>32068</v>
      </c>
      <c r="BP1138" t="s">
        <v>404</v>
      </c>
      <c r="BQ1138">
        <v>0</v>
      </c>
      <c r="BR1138" t="s">
        <v>491</v>
      </c>
      <c r="BS1138">
        <v>8001</v>
      </c>
      <c r="BT1138" t="s">
        <v>492</v>
      </c>
      <c r="BW1138">
        <v>43560</v>
      </c>
      <c r="BX1138" t="s">
        <v>407</v>
      </c>
      <c r="BY1138" t="s">
        <v>408</v>
      </c>
      <c r="CD1138">
        <v>2017</v>
      </c>
      <c r="CE1138">
        <v>17500</v>
      </c>
      <c r="CG1138">
        <v>17500</v>
      </c>
      <c r="CH1138">
        <v>2017</v>
      </c>
      <c r="CI1138">
        <v>17500</v>
      </c>
      <c r="CK1138">
        <v>17500</v>
      </c>
      <c r="CL1138">
        <v>2017</v>
      </c>
      <c r="CM1138">
        <v>218.82</v>
      </c>
      <c r="CN1138" s="1">
        <v>36752</v>
      </c>
      <c r="CO1138">
        <v>26000</v>
      </c>
      <c r="CV1138">
        <v>0</v>
      </c>
      <c r="CZ1138" s="1">
        <v>36752</v>
      </c>
      <c r="DA1138">
        <v>0</v>
      </c>
      <c r="DD1138" t="s">
        <v>2387</v>
      </c>
      <c r="DF1138">
        <v>21</v>
      </c>
      <c r="DG1138">
        <v>5</v>
      </c>
      <c r="DJ1138" t="s">
        <v>11556</v>
      </c>
      <c r="DL1138">
        <v>50301</v>
      </c>
      <c r="DM1138" t="s">
        <v>11640</v>
      </c>
      <c r="DO1138" t="s">
        <v>11647</v>
      </c>
      <c r="DP1138">
        <v>0</v>
      </c>
      <c r="DQ1138">
        <v>0</v>
      </c>
      <c r="DR1138" t="s">
        <v>411</v>
      </c>
      <c r="DS1138" t="b">
        <v>1</v>
      </c>
      <c r="DT1138" t="s">
        <v>470</v>
      </c>
      <c r="DU1138" t="s">
        <v>471</v>
      </c>
      <c r="DV1138" t="s">
        <v>472</v>
      </c>
      <c r="DX1138">
        <v>-9999</v>
      </c>
      <c r="DZ1138" t="s">
        <v>447</v>
      </c>
      <c r="EA1138" t="s">
        <v>448</v>
      </c>
      <c r="EB1138" t="s">
        <v>742</v>
      </c>
      <c r="EC1138">
        <v>20101217</v>
      </c>
      <c r="ED1138" t="s">
        <v>474</v>
      </c>
      <c r="EF1138">
        <v>4221.2</v>
      </c>
      <c r="EG1138">
        <v>4221.2</v>
      </c>
      <c r="EI1138">
        <v>20160407</v>
      </c>
      <c r="EJ1138">
        <v>0</v>
      </c>
      <c r="EK1138">
        <v>0</v>
      </c>
      <c r="EP1138" t="s">
        <v>421</v>
      </c>
      <c r="EQ1138" t="s">
        <v>422</v>
      </c>
      <c r="ER1138">
        <v>10</v>
      </c>
      <c r="ES1138">
        <v>0</v>
      </c>
      <c r="ET1138">
        <v>1967.24</v>
      </c>
      <c r="EU1138">
        <v>998.79</v>
      </c>
      <c r="EV1138">
        <v>2966.03</v>
      </c>
      <c r="EW1138" s="2">
        <v>43222</v>
      </c>
      <c r="EX1138" s="1">
        <v>42879</v>
      </c>
      <c r="EY1138">
        <v>2016</v>
      </c>
      <c r="EZ1138">
        <v>239.01</v>
      </c>
      <c r="FA1138" t="s">
        <v>11648</v>
      </c>
      <c r="FB1138">
        <v>18</v>
      </c>
      <c r="FC1138" t="s">
        <v>424</v>
      </c>
      <c r="FD1138" t="s">
        <v>454</v>
      </c>
      <c r="FF1138">
        <v>12</v>
      </c>
      <c r="FG1138">
        <v>10125</v>
      </c>
      <c r="FH1138" t="s">
        <v>440</v>
      </c>
      <c r="FJ1138" s="1">
        <v>42515</v>
      </c>
      <c r="FK1138">
        <v>2015</v>
      </c>
      <c r="FL1138">
        <v>192.05</v>
      </c>
      <c r="FM1138" t="s">
        <v>11649</v>
      </c>
      <c r="FN1138">
        <v>18</v>
      </c>
      <c r="FO1138" t="s">
        <v>424</v>
      </c>
      <c r="FP1138" t="s">
        <v>454</v>
      </c>
      <c r="FR1138">
        <v>24</v>
      </c>
      <c r="FS1138">
        <v>10125</v>
      </c>
      <c r="FT1138" t="s">
        <v>440</v>
      </c>
      <c r="FV1138" s="1">
        <v>42151</v>
      </c>
      <c r="FW1138">
        <v>2014</v>
      </c>
      <c r="FX1138">
        <v>192.91</v>
      </c>
      <c r="FY1138" t="s">
        <v>11650</v>
      </c>
      <c r="FZ1138">
        <v>18</v>
      </c>
      <c r="GA1138" t="s">
        <v>424</v>
      </c>
      <c r="GB1138" t="s">
        <v>454</v>
      </c>
      <c r="GD1138">
        <v>36</v>
      </c>
      <c r="GE1138">
        <v>10125</v>
      </c>
      <c r="GF1138" t="s">
        <v>440</v>
      </c>
      <c r="GH1138" s="1">
        <v>41787</v>
      </c>
      <c r="GI1138">
        <v>2013</v>
      </c>
      <c r="GJ1138">
        <v>180.69</v>
      </c>
      <c r="GK1138" t="s">
        <v>11651</v>
      </c>
      <c r="GL1138">
        <v>16.5</v>
      </c>
      <c r="GM1138" t="s">
        <v>424</v>
      </c>
      <c r="GN1138" t="s">
        <v>454</v>
      </c>
      <c r="GP1138">
        <v>48</v>
      </c>
      <c r="GQ1138">
        <v>10125</v>
      </c>
      <c r="GR1138" t="s">
        <v>440</v>
      </c>
      <c r="GT1138" s="1">
        <v>41423</v>
      </c>
      <c r="GU1138">
        <v>2012</v>
      </c>
      <c r="GV1138">
        <v>165.33</v>
      </c>
      <c r="GW1138" t="s">
        <v>11652</v>
      </c>
      <c r="GX1138">
        <v>9.75</v>
      </c>
      <c r="GY1138" t="s">
        <v>424</v>
      </c>
      <c r="GZ1138" t="s">
        <v>454</v>
      </c>
      <c r="HB1138">
        <v>60</v>
      </c>
      <c r="HC1138">
        <v>1127</v>
      </c>
      <c r="HD1138" t="s">
        <v>1379</v>
      </c>
      <c r="HF1138" s="1">
        <v>41423</v>
      </c>
      <c r="HG1138">
        <v>2012</v>
      </c>
      <c r="HH1138">
        <v>165.33</v>
      </c>
      <c r="HI1138" t="s">
        <v>11652</v>
      </c>
      <c r="HJ1138">
        <v>9.75</v>
      </c>
      <c r="HK1138" t="s">
        <v>424</v>
      </c>
      <c r="HL1138" t="s">
        <v>454</v>
      </c>
      <c r="HN1138">
        <v>60</v>
      </c>
      <c r="HO1138">
        <v>2035919</v>
      </c>
      <c r="HP1138" t="s">
        <v>507</v>
      </c>
      <c r="HR1138" s="1">
        <v>41423</v>
      </c>
      <c r="HS1138">
        <v>2012</v>
      </c>
      <c r="HT1138">
        <v>165.33</v>
      </c>
      <c r="HU1138" t="s">
        <v>11652</v>
      </c>
      <c r="HV1138">
        <v>9.75</v>
      </c>
      <c r="HW1138" t="s">
        <v>424</v>
      </c>
      <c r="HX1138" t="s">
        <v>454</v>
      </c>
      <c r="HZ1138">
        <v>60</v>
      </c>
      <c r="IA1138">
        <v>7336670</v>
      </c>
      <c r="IB1138" t="s">
        <v>2102</v>
      </c>
      <c r="ID1138" s="1">
        <v>41052</v>
      </c>
      <c r="IE1138">
        <v>2011</v>
      </c>
      <c r="IF1138">
        <v>188.99</v>
      </c>
      <c r="IG1138" t="s">
        <v>11653</v>
      </c>
      <c r="IH1138">
        <v>11.75</v>
      </c>
      <c r="II1138" t="s">
        <v>424</v>
      </c>
      <c r="IJ1138" t="s">
        <v>454</v>
      </c>
      <c r="IL1138">
        <v>72</v>
      </c>
      <c r="IM1138">
        <v>10125</v>
      </c>
      <c r="IN1138" t="s">
        <v>440</v>
      </c>
      <c r="IP1138" s="1">
        <v>40688</v>
      </c>
      <c r="IQ1138">
        <v>2010</v>
      </c>
      <c r="IR1138">
        <v>238.8</v>
      </c>
      <c r="IS1138" t="s">
        <v>11654</v>
      </c>
      <c r="IT1138">
        <v>6.75</v>
      </c>
      <c r="IU1138" t="s">
        <v>424</v>
      </c>
      <c r="IV1138" t="s">
        <v>454</v>
      </c>
      <c r="IX1138">
        <v>84</v>
      </c>
      <c r="IY1138">
        <v>375</v>
      </c>
      <c r="IZ1138" t="s">
        <v>776</v>
      </c>
      <c r="JB1138" s="1">
        <v>40688</v>
      </c>
      <c r="JC1138">
        <v>2010</v>
      </c>
      <c r="JD1138">
        <v>238.8</v>
      </c>
      <c r="JE1138" t="s">
        <v>11654</v>
      </c>
      <c r="JF1138">
        <v>6.75</v>
      </c>
      <c r="JG1138" t="s">
        <v>424</v>
      </c>
      <c r="JH1138" t="s">
        <v>454</v>
      </c>
      <c r="JJ1138">
        <v>84</v>
      </c>
      <c r="JK1138">
        <v>105</v>
      </c>
      <c r="JL1138" t="s">
        <v>946</v>
      </c>
    </row>
    <row r="1139" spans="1:284" x14ac:dyDescent="0.25">
      <c r="A1139">
        <v>16486146</v>
      </c>
      <c r="B1139">
        <v>1138</v>
      </c>
      <c r="C1139" t="s">
        <v>393</v>
      </c>
      <c r="D1139" t="s">
        <v>394</v>
      </c>
      <c r="F1139" t="str">
        <f>"05-2N-27-4292-0056-0000"</f>
        <v>05-2N-27-4292-0056-0000</v>
      </c>
      <c r="H1139" t="str">
        <f>"MOORE DON RANDOLPH &amp; HELEN J"</f>
        <v>MOORE DON RANDOLPH &amp; HELEN J</v>
      </c>
      <c r="I1139" t="str">
        <f>"76260 DOVE ROAD"</f>
        <v>76260 DOVE ROAD</v>
      </c>
      <c r="J1139" t="str">
        <f>"YULEE FL 32097"</f>
        <v>YULEE FL 32097</v>
      </c>
      <c r="K1139" t="str">
        <f>"76260 DOVE RD"</f>
        <v>76260 DOVE RD</v>
      </c>
      <c r="L1139" t="str">
        <f t="shared" si="365"/>
        <v>YULEE FL 32097</v>
      </c>
      <c r="M1139" t="str">
        <f>"LOTS 56 &amp; 57 IN OR 359 PG 435 R407685 &amp; R407686 &amp; 1994 GRAN DW/MH FLOOD ACRES 2 UNR"</f>
        <v>LOTS 56 &amp; 57 IN OR 359 PG 435 R407685 &amp; R407686 &amp; 1994 GRAN DW/MH FLOOD ACRES 2 UNR</v>
      </c>
      <c r="N1139" t="str">
        <f>""</f>
        <v/>
      </c>
      <c r="O1139" t="str">
        <f>"21297"</f>
        <v>21297</v>
      </c>
      <c r="P1139" t="str">
        <f t="shared" si="360"/>
        <v>2017</v>
      </c>
      <c r="Q1139" t="str">
        <f>""</f>
        <v/>
      </c>
      <c r="R1139" t="str">
        <f>"Y"</f>
        <v>Y</v>
      </c>
      <c r="S1139" t="str">
        <f>"4.00"</f>
        <v>4.00</v>
      </c>
      <c r="T1139" t="str">
        <f>"833.79"</f>
        <v>833.79</v>
      </c>
      <c r="U1139" t="str">
        <f>"90445.00"</f>
        <v>90445.00</v>
      </c>
      <c r="V1139" t="str">
        <f>"90445.00"</f>
        <v>90445.00</v>
      </c>
      <c r="W1139" t="str">
        <f t="shared" si="361"/>
        <v>2017</v>
      </c>
      <c r="X1139" t="str">
        <f>"4.25"</f>
        <v>4.25</v>
      </c>
      <c r="Y1139" t="str">
        <f>"890.80"</f>
        <v>890.80</v>
      </c>
      <c r="Z1139" t="str">
        <f>"25000.00"</f>
        <v>25000.00</v>
      </c>
      <c r="AA1139" t="str">
        <f>"65445.00"</f>
        <v>65445.00</v>
      </c>
      <c r="AB1139" t="str">
        <f t="shared" si="367"/>
        <v>Residential</v>
      </c>
      <c r="AC1139" t="str">
        <f t="shared" si="366"/>
        <v>0</v>
      </c>
      <c r="AD1139" t="str">
        <f>"4"</f>
        <v>4</v>
      </c>
      <c r="AE1139" t="str">
        <f>"WOOD (INCLUDE STEEL STUDS)"</f>
        <v>WOOD (INCLUDE STEEL STUDS)</v>
      </c>
      <c r="AF1139" t="str">
        <f>"002"</f>
        <v>002</v>
      </c>
      <c r="AG1139" t="str">
        <f t="shared" si="369"/>
        <v>FL</v>
      </c>
      <c r="AH1139" t="str">
        <f>"174240.00"</f>
        <v>174240.00</v>
      </c>
      <c r="AI1139" t="str">
        <f>"80000.00"</f>
        <v>80000.00</v>
      </c>
      <c r="AJ1139" t="str">
        <f>"C55-000-586-6121-6"</f>
        <v>C55-000-586-6121-6</v>
      </c>
      <c r="AK1139" t="str">
        <f>"18322"</f>
        <v>18322</v>
      </c>
      <c r="AL1139">
        <v>4</v>
      </c>
      <c r="AM1139">
        <v>1303</v>
      </c>
      <c r="AN1139">
        <v>933.74</v>
      </c>
      <c r="AQ1139" t="s">
        <v>11655</v>
      </c>
      <c r="AR1139" t="s">
        <v>11655</v>
      </c>
      <c r="AS1139" t="s">
        <v>11655</v>
      </c>
      <c r="AU1139" t="s">
        <v>396</v>
      </c>
      <c r="AV1139">
        <v>2017</v>
      </c>
      <c r="AW1139" t="str">
        <f>"05-2N-27-4292-0056-0000 "</f>
        <v xml:space="preserve">05-2N-27-4292-0056-0000 </v>
      </c>
      <c r="AX1139">
        <v>76260</v>
      </c>
      <c r="AZ1139" t="s">
        <v>11636</v>
      </c>
      <c r="BA1139" t="s">
        <v>496</v>
      </c>
      <c r="BD1139" t="s">
        <v>2387</v>
      </c>
      <c r="BE1139" t="s">
        <v>393</v>
      </c>
      <c r="BF1139">
        <v>32097</v>
      </c>
      <c r="BG1139" t="s">
        <v>11656</v>
      </c>
      <c r="BH1139" t="s">
        <v>2388</v>
      </c>
      <c r="BI1139">
        <v>-81.622362311214502</v>
      </c>
      <c r="BJ1139">
        <v>30.6170013843387</v>
      </c>
      <c r="BK1139" t="s">
        <v>11657</v>
      </c>
      <c r="BL1139" t="s">
        <v>11658</v>
      </c>
      <c r="BM1139" t="s">
        <v>11656</v>
      </c>
      <c r="BN1139" t="s">
        <v>1778</v>
      </c>
      <c r="BO1139">
        <v>32097</v>
      </c>
      <c r="BP1139" t="s">
        <v>416</v>
      </c>
      <c r="BQ1139">
        <v>200</v>
      </c>
      <c r="BR1139" t="s">
        <v>405</v>
      </c>
      <c r="BS1139">
        <v>1006</v>
      </c>
      <c r="BT1139" t="s">
        <v>406</v>
      </c>
      <c r="BW1139">
        <v>174240</v>
      </c>
      <c r="BX1139" t="s">
        <v>407</v>
      </c>
      <c r="BY1139" t="s">
        <v>408</v>
      </c>
      <c r="BZ1139">
        <v>4</v>
      </c>
      <c r="CA1139">
        <v>1994</v>
      </c>
      <c r="CB1139">
        <v>1</v>
      </c>
      <c r="CC1139">
        <v>2</v>
      </c>
      <c r="CD1139">
        <v>2017</v>
      </c>
      <c r="CG1139">
        <v>90445</v>
      </c>
      <c r="CH1139">
        <v>2017</v>
      </c>
      <c r="CI1139">
        <v>80000</v>
      </c>
      <c r="CJ1139">
        <v>55952</v>
      </c>
      <c r="CK1139">
        <v>135952</v>
      </c>
      <c r="CL1139">
        <v>2017</v>
      </c>
      <c r="CM1139">
        <v>833.79</v>
      </c>
      <c r="CN1139" s="1">
        <v>30072</v>
      </c>
      <c r="CO1139">
        <v>14000</v>
      </c>
      <c r="CZ1139" s="1">
        <v>30072</v>
      </c>
      <c r="DD1139" t="s">
        <v>2387</v>
      </c>
      <c r="DG1139">
        <v>5</v>
      </c>
      <c r="DL1139">
        <v>50301</v>
      </c>
      <c r="DM1139" t="s">
        <v>11640</v>
      </c>
      <c r="DO1139" t="s">
        <v>11659</v>
      </c>
      <c r="DP1139">
        <v>0</v>
      </c>
      <c r="DQ1139">
        <v>0</v>
      </c>
      <c r="DR1139" t="s">
        <v>411</v>
      </c>
      <c r="DS1139" t="b">
        <v>1</v>
      </c>
      <c r="DT1139" t="s">
        <v>470</v>
      </c>
      <c r="DU1139" t="s">
        <v>471</v>
      </c>
      <c r="DV1139" t="s">
        <v>472</v>
      </c>
      <c r="DX1139">
        <v>-9999</v>
      </c>
      <c r="DZ1139" t="s">
        <v>447</v>
      </c>
      <c r="EA1139" t="s">
        <v>448</v>
      </c>
      <c r="EB1139" t="s">
        <v>742</v>
      </c>
      <c r="EC1139">
        <v>20101217</v>
      </c>
      <c r="ED1139" t="s">
        <v>474</v>
      </c>
      <c r="EF1139">
        <v>4183.7</v>
      </c>
      <c r="EG1139">
        <v>4183.7</v>
      </c>
      <c r="EI1139">
        <v>20160407</v>
      </c>
      <c r="EJ1139">
        <v>0</v>
      </c>
      <c r="EK1139">
        <v>0</v>
      </c>
      <c r="EP1139" t="s">
        <v>421</v>
      </c>
      <c r="EQ1139" t="s">
        <v>422</v>
      </c>
      <c r="ER1139">
        <v>0</v>
      </c>
      <c r="ES1139">
        <v>5</v>
      </c>
      <c r="ET1139">
        <v>0</v>
      </c>
      <c r="EU1139">
        <v>0</v>
      </c>
      <c r="EV1139">
        <v>0</v>
      </c>
      <c r="EW1139" s="2">
        <v>43222</v>
      </c>
      <c r="EX1139" s="1">
        <v>42879</v>
      </c>
      <c r="EY1139">
        <v>2016</v>
      </c>
      <c r="EZ1139">
        <v>944.6</v>
      </c>
      <c r="FA1139" t="s">
        <v>11660</v>
      </c>
      <c r="FB1139">
        <v>0.25</v>
      </c>
      <c r="FC1139" t="s">
        <v>424</v>
      </c>
      <c r="FD1139" t="s">
        <v>425</v>
      </c>
      <c r="FE1139" s="1">
        <v>42893</v>
      </c>
      <c r="FF1139">
        <v>1</v>
      </c>
      <c r="FG1139">
        <v>11289</v>
      </c>
      <c r="FH1139" t="s">
        <v>787</v>
      </c>
      <c r="FJ1139" s="1">
        <v>42879</v>
      </c>
      <c r="FK1139">
        <v>2016</v>
      </c>
      <c r="FL1139">
        <v>944.6</v>
      </c>
      <c r="FM1139" t="s">
        <v>11660</v>
      </c>
      <c r="FN1139">
        <v>0.25</v>
      </c>
      <c r="FO1139" t="s">
        <v>424</v>
      </c>
      <c r="FP1139" t="s">
        <v>425</v>
      </c>
      <c r="FR1139">
        <v>22</v>
      </c>
      <c r="FS1139">
        <v>7265196</v>
      </c>
      <c r="FT1139" t="s">
        <v>11661</v>
      </c>
      <c r="FV1139" s="1">
        <v>42515</v>
      </c>
      <c r="FW1139">
        <v>2015</v>
      </c>
      <c r="FX1139">
        <v>944.07</v>
      </c>
      <c r="FY1139" t="s">
        <v>11662</v>
      </c>
      <c r="FZ1139">
        <v>0.25</v>
      </c>
      <c r="GA1139" t="s">
        <v>424</v>
      </c>
      <c r="GB1139" t="s">
        <v>425</v>
      </c>
      <c r="GC1139" s="1">
        <v>42555</v>
      </c>
      <c r="GD1139">
        <v>2</v>
      </c>
      <c r="GE1139">
        <v>2851116</v>
      </c>
      <c r="GF1139" t="s">
        <v>480</v>
      </c>
      <c r="GH1139" s="1">
        <v>42515</v>
      </c>
      <c r="GI1139">
        <v>2015</v>
      </c>
      <c r="GJ1139">
        <v>944.07</v>
      </c>
      <c r="GK1139" t="s">
        <v>11662</v>
      </c>
      <c r="GL1139">
        <v>0.25</v>
      </c>
      <c r="GM1139" t="s">
        <v>424</v>
      </c>
      <c r="GN1139" t="s">
        <v>425</v>
      </c>
      <c r="GP1139">
        <v>22</v>
      </c>
      <c r="GQ1139">
        <v>5514099</v>
      </c>
      <c r="GR1139" t="s">
        <v>11663</v>
      </c>
      <c r="GT1139" s="1">
        <v>40688</v>
      </c>
      <c r="GU1139">
        <v>2010</v>
      </c>
      <c r="GV1139">
        <v>989.4</v>
      </c>
      <c r="GW1139" t="s">
        <v>11664</v>
      </c>
      <c r="GX1139">
        <v>6.75</v>
      </c>
      <c r="GY1139" t="s">
        <v>424</v>
      </c>
      <c r="GZ1139" t="s">
        <v>425</v>
      </c>
      <c r="HA1139" s="1">
        <v>40715</v>
      </c>
      <c r="HB1139">
        <v>1</v>
      </c>
      <c r="HC1139">
        <v>375</v>
      </c>
      <c r="HD1139" t="s">
        <v>776</v>
      </c>
    </row>
    <row r="1140" spans="1:284" x14ac:dyDescent="0.25">
      <c r="A1140">
        <v>16486147</v>
      </c>
      <c r="B1140">
        <v>1139</v>
      </c>
      <c r="C1140" t="s">
        <v>393</v>
      </c>
      <c r="D1140" t="s">
        <v>394</v>
      </c>
      <c r="F1140" t="str">
        <f>"05-2N-27-4292-0058-0000"</f>
        <v>05-2N-27-4292-0058-0000</v>
      </c>
      <c r="H1140" t="str">
        <f>"KENNISON RONNIE &amp; LEANNE"</f>
        <v>KENNISON RONNIE &amp; LEANNE</v>
      </c>
      <c r="I1140" t="str">
        <f>"76230 DOVE ROAD"</f>
        <v>76230 DOVE ROAD</v>
      </c>
      <c r="J1140" t="str">
        <f>"YULEE FL 32097"</f>
        <v>YULEE FL 32097</v>
      </c>
      <c r="K1140" t="str">
        <f>"76230 DOVE RD"</f>
        <v>76230 DOVE RD</v>
      </c>
      <c r="L1140" t="str">
        <f t="shared" si="365"/>
        <v>YULEE FL 32097</v>
      </c>
      <c r="M1140" t="str">
        <f>"LOTS 58 &amp; 59 IN OR 259 PG 346 R235909 &amp; R235910 FLOOD ACRES 2 UNR"</f>
        <v>LOTS 58 &amp; 59 IN OR 259 PG 346 R235909 &amp; R235910 FLOOD ACRES 2 UNR</v>
      </c>
      <c r="N1140" t="str">
        <f>""</f>
        <v/>
      </c>
      <c r="O1140" t="str">
        <f>"21298"</f>
        <v>21298</v>
      </c>
      <c r="P1140" t="str">
        <f t="shared" si="360"/>
        <v>2017</v>
      </c>
      <c r="Q1140" t="str">
        <f>""</f>
        <v/>
      </c>
      <c r="R1140" t="str">
        <f>"Y"</f>
        <v>Y</v>
      </c>
      <c r="S1140" t="str">
        <f>"4.00"</f>
        <v>4.00</v>
      </c>
      <c r="T1140" t="str">
        <f>"395.94"</f>
        <v>395.94</v>
      </c>
      <c r="U1140" t="str">
        <f>"52647.00"</f>
        <v>52647.00</v>
      </c>
      <c r="V1140" t="str">
        <f>"52647.00"</f>
        <v>52647.00</v>
      </c>
      <c r="W1140" t="str">
        <f t="shared" si="361"/>
        <v>2017</v>
      </c>
      <c r="X1140" t="str">
        <f>""</f>
        <v/>
      </c>
      <c r="Y1140" t="str">
        <f>"439.82"</f>
        <v>439.82</v>
      </c>
      <c r="Z1140" t="str">
        <f>"25000.00"</f>
        <v>25000.00</v>
      </c>
      <c r="AA1140" t="str">
        <f>"27647.00"</f>
        <v>27647.00</v>
      </c>
      <c r="AB1140" t="str">
        <f t="shared" si="367"/>
        <v>Residential</v>
      </c>
      <c r="AC1140" t="str">
        <f t="shared" si="366"/>
        <v>0</v>
      </c>
      <c r="AD1140" t="str">
        <f>"4"</f>
        <v>4</v>
      </c>
      <c r="AE1140" t="str">
        <f>"WOOD (INCLUDE STEEL STUDS)"</f>
        <v>WOOD (INCLUDE STEEL STUDS)</v>
      </c>
      <c r="AF1140" t="str">
        <f>"002"</f>
        <v>002</v>
      </c>
      <c r="AG1140" t="str">
        <f t="shared" si="369"/>
        <v>FL</v>
      </c>
      <c r="AH1140" t="str">
        <f>"174240.00"</f>
        <v>174240.00</v>
      </c>
      <c r="AI1140" t="str">
        <f>"80000.00"</f>
        <v>80000.00</v>
      </c>
      <c r="AJ1140" t="str">
        <f>"C55-000-586-6122-4"</f>
        <v>C55-000-586-6122-4</v>
      </c>
      <c r="AK1140" t="str">
        <f>"18323"</f>
        <v>18323</v>
      </c>
      <c r="AL1140">
        <v>4</v>
      </c>
      <c r="AM1140">
        <v>1304</v>
      </c>
      <c r="AN1140">
        <v>460.21</v>
      </c>
      <c r="AQ1140" t="s">
        <v>11665</v>
      </c>
      <c r="AR1140" t="s">
        <v>11665</v>
      </c>
      <c r="AS1140" t="s">
        <v>11665</v>
      </c>
      <c r="AU1140" t="s">
        <v>396</v>
      </c>
      <c r="AV1140">
        <v>2017</v>
      </c>
      <c r="AW1140" t="str">
        <f>"05-2N-27-4292-0058-0000 "</f>
        <v xml:space="preserve">05-2N-27-4292-0058-0000 </v>
      </c>
      <c r="AX1140">
        <v>76230</v>
      </c>
      <c r="AZ1140" t="s">
        <v>11636</v>
      </c>
      <c r="BA1140" t="s">
        <v>496</v>
      </c>
      <c r="BD1140" t="s">
        <v>2387</v>
      </c>
      <c r="BE1140" t="s">
        <v>393</v>
      </c>
      <c r="BF1140">
        <v>32097</v>
      </c>
      <c r="BG1140" t="s">
        <v>11666</v>
      </c>
      <c r="BH1140" t="s">
        <v>2388</v>
      </c>
      <c r="BI1140">
        <v>-81.623535017379396</v>
      </c>
      <c r="BJ1140">
        <v>30.616986653712999</v>
      </c>
      <c r="BK1140" t="s">
        <v>11667</v>
      </c>
      <c r="BL1140" t="s">
        <v>11668</v>
      </c>
      <c r="BM1140" t="s">
        <v>11666</v>
      </c>
      <c r="BN1140" t="s">
        <v>1778</v>
      </c>
      <c r="BO1140">
        <v>32097</v>
      </c>
      <c r="BP1140" t="s">
        <v>416</v>
      </c>
      <c r="BQ1140">
        <v>200</v>
      </c>
      <c r="BR1140" t="s">
        <v>405</v>
      </c>
      <c r="BS1140">
        <v>1006</v>
      </c>
      <c r="BT1140" t="s">
        <v>406</v>
      </c>
      <c r="BW1140">
        <v>174240</v>
      </c>
      <c r="BX1140" t="s">
        <v>407</v>
      </c>
      <c r="BY1140" t="s">
        <v>408</v>
      </c>
      <c r="BZ1140">
        <v>4</v>
      </c>
      <c r="CA1140">
        <v>1975</v>
      </c>
      <c r="CB1140">
        <v>1</v>
      </c>
      <c r="CC1140">
        <v>1</v>
      </c>
      <c r="CD1140">
        <v>2017</v>
      </c>
      <c r="CG1140">
        <v>52647</v>
      </c>
      <c r="CH1140">
        <v>2017</v>
      </c>
      <c r="CI1140">
        <v>80000</v>
      </c>
      <c r="CJ1140">
        <v>10412</v>
      </c>
      <c r="CK1140">
        <v>90412</v>
      </c>
      <c r="CL1140">
        <v>2017</v>
      </c>
      <c r="CM1140">
        <v>395.94</v>
      </c>
      <c r="CN1140" s="1">
        <v>28522</v>
      </c>
      <c r="CO1140">
        <v>14000</v>
      </c>
      <c r="CZ1140" s="1">
        <v>28522</v>
      </c>
      <c r="DD1140" t="s">
        <v>2387</v>
      </c>
      <c r="DG1140">
        <v>5</v>
      </c>
      <c r="DL1140">
        <v>50301</v>
      </c>
      <c r="DM1140" t="s">
        <v>11640</v>
      </c>
      <c r="DO1140" t="s">
        <v>11669</v>
      </c>
      <c r="DP1140">
        <v>0</v>
      </c>
      <c r="DQ1140">
        <v>0</v>
      </c>
      <c r="DR1140" t="s">
        <v>411</v>
      </c>
    </row>
    <row r="1141" spans="1:284" x14ac:dyDescent="0.25">
      <c r="A1141">
        <v>16486148</v>
      </c>
      <c r="B1141">
        <v>1140</v>
      </c>
      <c r="C1141" t="s">
        <v>393</v>
      </c>
      <c r="D1141" t="s">
        <v>394</v>
      </c>
      <c r="F1141" t="str">
        <f>"05-2N-27-4292-0075-0000"</f>
        <v>05-2N-27-4292-0075-0000</v>
      </c>
      <c r="H1141" t="str">
        <f>"TESTA ANTHONY MICHAEL"</f>
        <v>TESTA ANTHONY MICHAEL</v>
      </c>
      <c r="I1141" t="str">
        <f>"76461 DOVE RD"</f>
        <v>76461 DOVE RD</v>
      </c>
      <c r="J1141" t="str">
        <f>"YULEE FL 32097"</f>
        <v>YULEE FL 32097</v>
      </c>
      <c r="K1141" t="str">
        <f>"76087 CATHY LN"</f>
        <v>76087 CATHY LN</v>
      </c>
      <c r="L1141" t="str">
        <f t="shared" si="365"/>
        <v>YULEE FL 32097</v>
      </c>
      <c r="M1141" t="str">
        <f>"LOTS 75 83 84 &amp; S-2 OF 76 IN OR 2059/109 R583305 &amp; R359545 ESMT OR 749/987 FLOOD ACRES 3 UNR"</f>
        <v>LOTS 75 83 84 &amp; S-2 OF 76 IN OR 2059/109 R583305 &amp; R359545 ESMT OR 749/987 FLOOD ACRES 3 UNR</v>
      </c>
      <c r="N1141" t="str">
        <f>""</f>
        <v/>
      </c>
      <c r="O1141" t="str">
        <f>"21310"</f>
        <v>21310</v>
      </c>
      <c r="P1141" t="str">
        <f t="shared" si="360"/>
        <v>2017</v>
      </c>
      <c r="Q1141" t="str">
        <f>""</f>
        <v/>
      </c>
      <c r="R1141" t="str">
        <f>"N"</f>
        <v>N</v>
      </c>
      <c r="S1141" t="str">
        <f>"6.47"</f>
        <v>6.47</v>
      </c>
      <c r="T1141" t="str">
        <f>"3137.48"</f>
        <v>3137.48</v>
      </c>
      <c r="U1141" t="str">
        <f>"207248.00"</f>
        <v>207248.00</v>
      </c>
      <c r="V1141" t="str">
        <f>"207248.00"</f>
        <v>207248.00</v>
      </c>
      <c r="W1141" t="str">
        <f t="shared" si="361"/>
        <v>2017</v>
      </c>
      <c r="X1141" t="str">
        <f>"1.00"</f>
        <v>1.00</v>
      </c>
      <c r="Y1141" t="str">
        <f>"3263.60"</f>
        <v>3263.60</v>
      </c>
      <c r="Z1141" t="str">
        <f>""</f>
        <v/>
      </c>
      <c r="AA1141" t="str">
        <f>"207248.00"</f>
        <v>207248.00</v>
      </c>
      <c r="AB1141" t="str">
        <f t="shared" si="367"/>
        <v>Residential</v>
      </c>
      <c r="AC1141" t="str">
        <f t="shared" si="366"/>
        <v>0</v>
      </c>
      <c r="AD1141" t="str">
        <f>"4"</f>
        <v>4</v>
      </c>
      <c r="AE1141" t="str">
        <f>"WOOD (INCLUDE STEEL STUDS)"</f>
        <v>WOOD (INCLUDE STEEL STUDS)</v>
      </c>
      <c r="AF1141" t="str">
        <f>"001"</f>
        <v>001</v>
      </c>
      <c r="AG1141" t="str">
        <f t="shared" si="369"/>
        <v>FL</v>
      </c>
      <c r="AH1141" t="str">
        <f>"281833.00"</f>
        <v>281833.00</v>
      </c>
      <c r="AI1141" t="str">
        <f>"80875.00"</f>
        <v>80875.00</v>
      </c>
      <c r="AJ1141" t="str">
        <f>"C55-000-586-6134-9"</f>
        <v>C55-000-586-6134-9</v>
      </c>
      <c r="AK1141" t="str">
        <f>"18334"</f>
        <v>18334</v>
      </c>
      <c r="AL1141">
        <v>4</v>
      </c>
      <c r="AM1141">
        <v>1305</v>
      </c>
      <c r="AN1141">
        <v>3425.18</v>
      </c>
      <c r="AQ1141" t="s">
        <v>11670</v>
      </c>
      <c r="AR1141" t="s">
        <v>11670</v>
      </c>
      <c r="AS1141" t="s">
        <v>11670</v>
      </c>
      <c r="AU1141" t="s">
        <v>396</v>
      </c>
      <c r="AV1141">
        <v>2017</v>
      </c>
      <c r="AW1141" t="str">
        <f>"05-2N-27-4292-0075-0000 "</f>
        <v xml:space="preserve">05-2N-27-4292-0075-0000 </v>
      </c>
      <c r="AX1141">
        <v>76087</v>
      </c>
      <c r="AZ1141" t="s">
        <v>11671</v>
      </c>
      <c r="BA1141" t="s">
        <v>653</v>
      </c>
      <c r="BD1141" t="s">
        <v>2387</v>
      </c>
      <c r="BE1141" t="s">
        <v>393</v>
      </c>
      <c r="BF1141">
        <v>32097</v>
      </c>
      <c r="BG1141" t="s">
        <v>11672</v>
      </c>
      <c r="BH1141" t="s">
        <v>2388</v>
      </c>
      <c r="BI1141">
        <v>-81.6175193906884</v>
      </c>
      <c r="BJ1141">
        <v>30.621221505285401</v>
      </c>
      <c r="BK1141" t="s">
        <v>11673</v>
      </c>
      <c r="BM1141" t="s">
        <v>11674</v>
      </c>
      <c r="BN1141" t="s">
        <v>1778</v>
      </c>
      <c r="BO1141">
        <v>32097</v>
      </c>
      <c r="BP1141" t="s">
        <v>404</v>
      </c>
      <c r="BQ1141">
        <v>100</v>
      </c>
      <c r="BR1141" t="s">
        <v>514</v>
      </c>
      <c r="BS1141">
        <v>1001</v>
      </c>
      <c r="BT1141" t="s">
        <v>515</v>
      </c>
      <c r="BW1141">
        <v>281833</v>
      </c>
      <c r="BX1141" t="s">
        <v>407</v>
      </c>
      <c r="BY1141" t="s">
        <v>408</v>
      </c>
      <c r="BZ1141">
        <v>4</v>
      </c>
      <c r="CA1141">
        <v>1980</v>
      </c>
      <c r="CB1141">
        <v>1</v>
      </c>
      <c r="CC1141">
        <v>3</v>
      </c>
      <c r="CD1141">
        <v>2017</v>
      </c>
      <c r="CE1141">
        <v>80875</v>
      </c>
      <c r="CF1141">
        <v>126373</v>
      </c>
      <c r="CG1141">
        <v>207248</v>
      </c>
      <c r="CH1141">
        <v>2017</v>
      </c>
      <c r="CI1141">
        <v>80875</v>
      </c>
      <c r="CJ1141">
        <v>126373</v>
      </c>
      <c r="CK1141">
        <v>207248</v>
      </c>
      <c r="CL1141">
        <v>2017</v>
      </c>
      <c r="CM1141">
        <v>3137.48</v>
      </c>
      <c r="CN1141" s="1">
        <v>42643</v>
      </c>
      <c r="CV1141">
        <v>0</v>
      </c>
      <c r="CZ1141" s="1">
        <v>42643</v>
      </c>
      <c r="DA1141">
        <v>0</v>
      </c>
      <c r="DD1141" t="s">
        <v>2387</v>
      </c>
      <c r="DG1141">
        <v>5</v>
      </c>
      <c r="DL1141">
        <v>50301</v>
      </c>
      <c r="DM1141" t="s">
        <v>11640</v>
      </c>
      <c r="DO1141" t="s">
        <v>11675</v>
      </c>
      <c r="DP1141">
        <v>0</v>
      </c>
      <c r="DQ1141">
        <v>0</v>
      </c>
      <c r="DR1141" t="s">
        <v>411</v>
      </c>
      <c r="DS1141" t="b">
        <v>1</v>
      </c>
      <c r="DT1141" t="s">
        <v>470</v>
      </c>
      <c r="DU1141" t="s">
        <v>471</v>
      </c>
      <c r="DV1141" t="s">
        <v>472</v>
      </c>
      <c r="DX1141">
        <v>-9999</v>
      </c>
      <c r="DZ1141" t="s">
        <v>447</v>
      </c>
      <c r="EA1141" t="s">
        <v>448</v>
      </c>
      <c r="EB1141" t="s">
        <v>742</v>
      </c>
      <c r="EC1141">
        <v>20101217</v>
      </c>
      <c r="ED1141" t="s">
        <v>474</v>
      </c>
      <c r="EF1141">
        <v>4874.8999999999996</v>
      </c>
      <c r="EG1141">
        <v>4874.8999999999996</v>
      </c>
      <c r="EI1141">
        <v>20160407</v>
      </c>
      <c r="EJ1141">
        <v>0</v>
      </c>
      <c r="EK1141">
        <v>0</v>
      </c>
      <c r="EP1141" t="s">
        <v>421</v>
      </c>
      <c r="EQ1141" t="s">
        <v>422</v>
      </c>
      <c r="ER1141">
        <v>0</v>
      </c>
      <c r="ES1141">
        <v>2</v>
      </c>
      <c r="ET1141">
        <v>0</v>
      </c>
      <c r="EU1141">
        <v>0</v>
      </c>
      <c r="EV1141">
        <v>0</v>
      </c>
      <c r="EW1141" s="2">
        <v>43222</v>
      </c>
      <c r="EX1141" s="1">
        <v>42879</v>
      </c>
      <c r="EY1141">
        <v>2016</v>
      </c>
      <c r="EZ1141">
        <v>3450.21</v>
      </c>
      <c r="FA1141" t="s">
        <v>11676</v>
      </c>
      <c r="FB1141">
        <v>0.25</v>
      </c>
      <c r="FC1141" t="s">
        <v>424</v>
      </c>
      <c r="FD1141" t="s">
        <v>425</v>
      </c>
      <c r="FE1141" s="1">
        <v>42895</v>
      </c>
      <c r="FF1141">
        <v>1</v>
      </c>
      <c r="FG1141">
        <v>7400234</v>
      </c>
      <c r="FH1141" t="s">
        <v>426</v>
      </c>
      <c r="FJ1141" s="1">
        <v>42879</v>
      </c>
      <c r="FK1141">
        <v>2016</v>
      </c>
      <c r="FL1141">
        <v>3450.21</v>
      </c>
      <c r="FM1141" t="s">
        <v>11676</v>
      </c>
      <c r="FN1141">
        <v>0.25</v>
      </c>
      <c r="FO1141" t="s">
        <v>424</v>
      </c>
      <c r="FP1141" t="s">
        <v>425</v>
      </c>
      <c r="FR1141">
        <v>22</v>
      </c>
      <c r="FS1141">
        <v>7544764</v>
      </c>
      <c r="FT1141" t="s">
        <v>11677</v>
      </c>
    </row>
    <row r="1142" spans="1:284" x14ac:dyDescent="0.25">
      <c r="A1142">
        <v>16486149</v>
      </c>
      <c r="B1142">
        <v>1141</v>
      </c>
      <c r="C1142" t="s">
        <v>393</v>
      </c>
      <c r="D1142" t="s">
        <v>394</v>
      </c>
      <c r="F1142" t="str">
        <f>"05-2N-27-4292-0077-0000"</f>
        <v>05-2N-27-4292-0077-0000</v>
      </c>
      <c r="H1142" t="str">
        <f>"TESTA ANTHONY MICHAEL"</f>
        <v>TESTA ANTHONY MICHAEL</v>
      </c>
      <c r="I1142" t="str">
        <f>"76461 DOVE ROAD"</f>
        <v>76461 DOVE ROAD</v>
      </c>
      <c r="J1142" t="str">
        <f>"YULEE FL 32097"</f>
        <v>YULEE FL 32097</v>
      </c>
      <c r="K1142" t="str">
        <f>"76461 DOVE RD"</f>
        <v>76461 DOVE RD</v>
      </c>
      <c r="L1142" t="str">
        <f t="shared" ref="L1142:L1147" si="370">"YULEE FL 32097"</f>
        <v>YULEE FL 32097</v>
      </c>
      <c r="M1142" t="str">
        <f>"LOTS 77 THRU 82 IN OR 1673/248 R334147 &amp; MH/ID 4546 ESMT IN OR 434/470 FLOOD ACRES 2 UNR"</f>
        <v>LOTS 77 THRU 82 IN OR 1673/248 R334147 &amp; MH/ID 4546 ESMT IN OR 434/470 FLOOD ACRES 2 UNR</v>
      </c>
      <c r="N1142" t="str">
        <f>""</f>
        <v/>
      </c>
      <c r="O1142" t="str">
        <f>"21312"</f>
        <v>21312</v>
      </c>
      <c r="P1142" t="str">
        <f t="shared" si="360"/>
        <v>2017</v>
      </c>
      <c r="Q1142" t="str">
        <f>""</f>
        <v/>
      </c>
      <c r="R1142" t="str">
        <f>"Y"</f>
        <v>Y</v>
      </c>
      <c r="S1142" t="str">
        <f>"12.09"</f>
        <v>12.09</v>
      </c>
      <c r="T1142" t="str">
        <f>"741.89"</f>
        <v>741.89</v>
      </c>
      <c r="U1142" t="str">
        <f>"88111.00"</f>
        <v>88111.00</v>
      </c>
      <c r="V1142" t="str">
        <f>"88111.00"</f>
        <v>88111.00</v>
      </c>
      <c r="W1142" t="str">
        <f t="shared" si="361"/>
        <v>2017</v>
      </c>
      <c r="X1142" t="str">
        <f>"1.00"</f>
        <v>1.00</v>
      </c>
      <c r="Y1142" t="str">
        <f>"796.15"</f>
        <v>796.15</v>
      </c>
      <c r="Z1142" t="str">
        <f>"25000.00"</f>
        <v>25000.00</v>
      </c>
      <c r="AA1142" t="str">
        <f>"63111.00"</f>
        <v>63111.00</v>
      </c>
      <c r="AB1142" t="str">
        <f t="shared" si="367"/>
        <v>Residential</v>
      </c>
      <c r="AC1142" t="str">
        <f t="shared" si="366"/>
        <v>0</v>
      </c>
      <c r="AD1142" t="str">
        <f>"4"</f>
        <v>4</v>
      </c>
      <c r="AE1142" t="str">
        <f>"WOOD (INCLUDE STEEL STUDS)"</f>
        <v>WOOD (INCLUDE STEEL STUDS)</v>
      </c>
      <c r="AF1142" t="str">
        <f>"002"</f>
        <v>002</v>
      </c>
      <c r="AG1142" t="str">
        <f t="shared" si="369"/>
        <v>FL</v>
      </c>
      <c r="AH1142" t="str">
        <f>"526640.00"</f>
        <v>526640.00</v>
      </c>
      <c r="AI1142" t="str">
        <f>"71025.00"</f>
        <v>71025.00</v>
      </c>
      <c r="AJ1142" t="str">
        <f>"C55-000-586-6136-4"</f>
        <v>C55-000-586-6136-4</v>
      </c>
      <c r="AK1142" t="str">
        <f>"18336"</f>
        <v>18336</v>
      </c>
      <c r="AL1142">
        <v>4</v>
      </c>
      <c r="AM1142">
        <v>1306</v>
      </c>
      <c r="AN1142">
        <v>834.36</v>
      </c>
      <c r="AQ1142" t="s">
        <v>11678</v>
      </c>
      <c r="AR1142" t="s">
        <v>11678</v>
      </c>
      <c r="AS1142" t="s">
        <v>11678</v>
      </c>
      <c r="AU1142" t="s">
        <v>396</v>
      </c>
      <c r="AV1142">
        <v>2017</v>
      </c>
      <c r="AW1142" t="str">
        <f>"05-2N-27-4292-0077-0000 "</f>
        <v xml:space="preserve">05-2N-27-4292-0077-0000 </v>
      </c>
      <c r="AX1142">
        <v>76461</v>
      </c>
      <c r="AZ1142" t="s">
        <v>11636</v>
      </c>
      <c r="BA1142" t="s">
        <v>496</v>
      </c>
      <c r="BD1142" t="s">
        <v>2387</v>
      </c>
      <c r="BE1142" t="s">
        <v>393</v>
      </c>
      <c r="BF1142">
        <v>32097</v>
      </c>
      <c r="BG1142" t="s">
        <v>11674</v>
      </c>
      <c r="BH1142" t="s">
        <v>2388</v>
      </c>
      <c r="BI1142">
        <v>-81.616000437319101</v>
      </c>
      <c r="BJ1142">
        <v>30.6210442487262</v>
      </c>
      <c r="BK1142" t="s">
        <v>11673</v>
      </c>
      <c r="BM1142" t="s">
        <v>11674</v>
      </c>
      <c r="BN1142" t="s">
        <v>1778</v>
      </c>
      <c r="BO1142">
        <v>32097</v>
      </c>
      <c r="BP1142" t="s">
        <v>416</v>
      </c>
      <c r="BQ1142">
        <v>200</v>
      </c>
      <c r="BR1142" t="s">
        <v>405</v>
      </c>
      <c r="BS1142">
        <v>1006</v>
      </c>
      <c r="BT1142" t="s">
        <v>406</v>
      </c>
      <c r="BW1142">
        <v>526640</v>
      </c>
      <c r="BX1142" t="s">
        <v>407</v>
      </c>
      <c r="BY1142" t="s">
        <v>408</v>
      </c>
      <c r="BZ1142">
        <v>4</v>
      </c>
      <c r="CA1142">
        <v>1979</v>
      </c>
      <c r="CB1142">
        <v>1</v>
      </c>
      <c r="CC1142">
        <v>2</v>
      </c>
      <c r="CD1142">
        <v>2017</v>
      </c>
      <c r="CE1142">
        <v>71025</v>
      </c>
      <c r="CF1142">
        <v>17086</v>
      </c>
      <c r="CG1142">
        <v>88111</v>
      </c>
      <c r="CH1142">
        <v>2017</v>
      </c>
      <c r="CI1142">
        <v>71025</v>
      </c>
      <c r="CJ1142">
        <v>17086</v>
      </c>
      <c r="CK1142">
        <v>88111</v>
      </c>
      <c r="CL1142">
        <v>2017</v>
      </c>
      <c r="CM1142">
        <v>741.89</v>
      </c>
      <c r="CN1142" s="1">
        <v>40122</v>
      </c>
      <c r="CZ1142" s="1">
        <v>40122</v>
      </c>
      <c r="DD1142" t="s">
        <v>2387</v>
      </c>
      <c r="DG1142">
        <v>5</v>
      </c>
      <c r="DL1142">
        <v>50301</v>
      </c>
      <c r="DM1142" t="s">
        <v>11640</v>
      </c>
      <c r="DO1142" t="s">
        <v>11679</v>
      </c>
      <c r="DP1142">
        <v>0</v>
      </c>
      <c r="DQ1142">
        <v>0</v>
      </c>
      <c r="DR1142" t="s">
        <v>411</v>
      </c>
      <c r="EP1142" t="s">
        <v>421</v>
      </c>
      <c r="EQ1142" t="s">
        <v>422</v>
      </c>
      <c r="ER1142">
        <v>0</v>
      </c>
      <c r="ES1142">
        <v>2</v>
      </c>
      <c r="ET1142">
        <v>0</v>
      </c>
      <c r="EU1142">
        <v>0</v>
      </c>
      <c r="EV1142">
        <v>0</v>
      </c>
      <c r="EW1142" s="2">
        <v>43222</v>
      </c>
      <c r="EX1142" s="1">
        <v>42879</v>
      </c>
      <c r="EY1142">
        <v>2016</v>
      </c>
      <c r="EZ1142">
        <v>862.34</v>
      </c>
      <c r="FA1142" t="s">
        <v>11680</v>
      </c>
      <c r="FB1142">
        <v>0.25</v>
      </c>
      <c r="FC1142" t="s">
        <v>424</v>
      </c>
      <c r="FD1142" t="s">
        <v>425</v>
      </c>
      <c r="FE1142" s="1">
        <v>42895</v>
      </c>
      <c r="FF1142">
        <v>1</v>
      </c>
      <c r="FG1142">
        <v>2851116</v>
      </c>
      <c r="FH1142" t="s">
        <v>480</v>
      </c>
      <c r="FJ1142" s="1">
        <v>42879</v>
      </c>
      <c r="FK1142">
        <v>2016</v>
      </c>
      <c r="FL1142">
        <v>862.34</v>
      </c>
      <c r="FM1142" t="s">
        <v>11680</v>
      </c>
      <c r="FN1142">
        <v>0.25</v>
      </c>
      <c r="FO1142" t="s">
        <v>424</v>
      </c>
      <c r="FP1142" t="s">
        <v>425</v>
      </c>
      <c r="FR1142">
        <v>22</v>
      </c>
      <c r="FS1142">
        <v>4939373</v>
      </c>
      <c r="FT1142" t="s">
        <v>11681</v>
      </c>
    </row>
    <row r="1143" spans="1:284" x14ac:dyDescent="0.25">
      <c r="A1143">
        <v>16486150</v>
      </c>
      <c r="B1143">
        <v>1142</v>
      </c>
      <c r="C1143" t="s">
        <v>393</v>
      </c>
      <c r="D1143" t="s">
        <v>394</v>
      </c>
      <c r="F1143" t="str">
        <f>"06-2N-27-0000-0005-0020"</f>
        <v>06-2N-27-0000-0005-0020</v>
      </c>
      <c r="H1143" t="str">
        <f>"BRYANT GWENDOLYN D &amp; DARRYL J"</f>
        <v>BRYANT GWENDOLYN D &amp; DARRYL J</v>
      </c>
      <c r="I1143" t="str">
        <f>"813 TORTOISE WAY"</f>
        <v>813 TORTOISE WAY</v>
      </c>
      <c r="J1143" t="str">
        <f>"JACKSONVILLE FL 32218"</f>
        <v>JACKSONVILLE FL 32218</v>
      </c>
      <c r="K1143" t="str">
        <f>"75908 MENTORIA RD"</f>
        <v>75908 MENTORIA RD</v>
      </c>
      <c r="L1143" t="str">
        <f t="shared" si="370"/>
        <v>YULEE FL 32097</v>
      </c>
      <c r="M1143" t="str">
        <f>"PT GOVT LOT 4 OF SEC 6-2N-27E IN OR 1019/1021 BEING EXHIBIT A"</f>
        <v>PT GOVT LOT 4 OF SEC 6-2N-27E IN OR 1019/1021 BEING EXHIBIT A</v>
      </c>
      <c r="N1143" t="str">
        <f>""</f>
        <v/>
      </c>
      <c r="O1143" t="str">
        <f>"22138"</f>
        <v>22138</v>
      </c>
      <c r="P1143" t="str">
        <f t="shared" si="360"/>
        <v>2017</v>
      </c>
      <c r="Q1143" t="str">
        <f>""</f>
        <v/>
      </c>
      <c r="R1143" t="str">
        <f>"N"</f>
        <v>N</v>
      </c>
      <c r="S1143" t="str">
        <f>"1.00"</f>
        <v>1.00</v>
      </c>
      <c r="T1143" t="str">
        <f>"336.35"</f>
        <v>336.35</v>
      </c>
      <c r="U1143" t="str">
        <f>"22000.00"</f>
        <v>22000.00</v>
      </c>
      <c r="V1143" t="str">
        <f>"22000.00"</f>
        <v>22000.00</v>
      </c>
      <c r="W1143" t="str">
        <f t="shared" si="361"/>
        <v>2017</v>
      </c>
      <c r="X1143" t="str">
        <f>"21.10"</f>
        <v>21.10</v>
      </c>
      <c r="Y1143" t="str">
        <f>"378.44"</f>
        <v>378.44</v>
      </c>
      <c r="Z1143" t="str">
        <f>""</f>
        <v/>
      </c>
      <c r="AA1143" t="str">
        <f>"22500.00"</f>
        <v>22500.00</v>
      </c>
      <c r="AB1143" t="str">
        <f t="shared" si="367"/>
        <v>Residential</v>
      </c>
      <c r="AC1143" t="str">
        <f t="shared" si="366"/>
        <v>0</v>
      </c>
      <c r="AD1143" t="str">
        <f>""</f>
        <v/>
      </c>
      <c r="AE1143" t="str">
        <f>""</f>
        <v/>
      </c>
      <c r="AF1143" t="str">
        <f>"000"</f>
        <v>000</v>
      </c>
      <c r="AG1143" t="str">
        <f t="shared" si="369"/>
        <v>FL</v>
      </c>
      <c r="AH1143" t="str">
        <f>"43560.00"</f>
        <v>43560.00</v>
      </c>
      <c r="AI1143" t="str">
        <f>"15000.00"</f>
        <v>15000.00</v>
      </c>
      <c r="AJ1143" t="str">
        <f>"C55-000-586-6718-9"</f>
        <v>C55-000-586-6718-9</v>
      </c>
      <c r="AK1143" t="str">
        <f>"18344"</f>
        <v>18344</v>
      </c>
      <c r="AL1143">
        <v>4</v>
      </c>
      <c r="AM1143">
        <v>1307</v>
      </c>
      <c r="AN1143">
        <v>395.76</v>
      </c>
      <c r="AQ1143" t="s">
        <v>11682</v>
      </c>
      <c r="AR1143" t="s">
        <v>11682</v>
      </c>
      <c r="AS1143" t="s">
        <v>11682</v>
      </c>
      <c r="AU1143" t="s">
        <v>396</v>
      </c>
      <c r="AV1143">
        <v>2017</v>
      </c>
      <c r="AW1143" t="str">
        <f>"06-2N-27-0000-0005-0020 "</f>
        <v xml:space="preserve">06-2N-27-0000-0005-0020 </v>
      </c>
      <c r="AX1143">
        <v>75908</v>
      </c>
      <c r="AZ1143" t="s">
        <v>11683</v>
      </c>
      <c r="BA1143" t="s">
        <v>496</v>
      </c>
      <c r="BD1143" t="s">
        <v>2387</v>
      </c>
      <c r="BE1143" t="s">
        <v>393</v>
      </c>
      <c r="BF1143">
        <v>32097</v>
      </c>
      <c r="BG1143" t="s">
        <v>11684</v>
      </c>
      <c r="BH1143" t="s">
        <v>2388</v>
      </c>
      <c r="BI1143">
        <v>-81.6448844894974</v>
      </c>
      <c r="BJ1143">
        <v>30.617554791494999</v>
      </c>
      <c r="BK1143" t="s">
        <v>11685</v>
      </c>
      <c r="BL1143" t="s">
        <v>11686</v>
      </c>
      <c r="BM1143" t="s">
        <v>11687</v>
      </c>
      <c r="BN1143" t="s">
        <v>548</v>
      </c>
      <c r="BO1143">
        <v>32218</v>
      </c>
      <c r="BP1143" t="s">
        <v>404</v>
      </c>
      <c r="BQ1143">
        <v>1</v>
      </c>
      <c r="BR1143" t="s">
        <v>491</v>
      </c>
      <c r="BS1143">
        <v>8001</v>
      </c>
      <c r="BT1143" t="s">
        <v>492</v>
      </c>
      <c r="BW1143">
        <v>43560</v>
      </c>
      <c r="BX1143" t="s">
        <v>407</v>
      </c>
      <c r="BY1143" t="s">
        <v>408</v>
      </c>
      <c r="CD1143">
        <v>2017</v>
      </c>
      <c r="CE1143">
        <v>15000</v>
      </c>
      <c r="CF1143">
        <v>7500</v>
      </c>
      <c r="CG1143">
        <v>22500</v>
      </c>
      <c r="CH1143">
        <v>2017</v>
      </c>
      <c r="CI1143">
        <v>15000</v>
      </c>
      <c r="CJ1143">
        <v>7500</v>
      </c>
      <c r="CK1143">
        <v>22500</v>
      </c>
      <c r="CL1143">
        <v>2017</v>
      </c>
      <c r="CM1143">
        <v>336.35</v>
      </c>
      <c r="CN1143" s="1">
        <v>37209</v>
      </c>
      <c r="CZ1143" s="1">
        <v>37209</v>
      </c>
      <c r="DD1143" t="s">
        <v>2387</v>
      </c>
      <c r="DG1143">
        <v>6</v>
      </c>
      <c r="DL1143">
        <v>50301</v>
      </c>
      <c r="DM1143" t="s">
        <v>11688</v>
      </c>
      <c r="DO1143" t="s">
        <v>11689</v>
      </c>
      <c r="DP1143">
        <v>0</v>
      </c>
      <c r="DQ1143">
        <v>0</v>
      </c>
      <c r="DR1143" t="s">
        <v>411</v>
      </c>
      <c r="DS1143" t="b">
        <v>1</v>
      </c>
      <c r="DT1143" t="s">
        <v>470</v>
      </c>
      <c r="DU1143" t="s">
        <v>471</v>
      </c>
      <c r="DV1143" t="s">
        <v>472</v>
      </c>
      <c r="DX1143">
        <v>-9999</v>
      </c>
      <c r="DZ1143" t="s">
        <v>447</v>
      </c>
      <c r="EA1143" t="s">
        <v>448</v>
      </c>
      <c r="EB1143" t="s">
        <v>742</v>
      </c>
      <c r="EC1143">
        <v>20101217</v>
      </c>
      <c r="ED1143" t="s">
        <v>474</v>
      </c>
      <c r="EF1143">
        <v>3014.1</v>
      </c>
      <c r="EG1143">
        <v>3014.1</v>
      </c>
      <c r="EI1143">
        <v>20160407</v>
      </c>
      <c r="EJ1143">
        <v>0</v>
      </c>
      <c r="EK1143">
        <v>0</v>
      </c>
      <c r="EP1143" t="s">
        <v>421</v>
      </c>
      <c r="EQ1143" t="s">
        <v>422</v>
      </c>
      <c r="ER1143">
        <v>1</v>
      </c>
      <c r="ES1143">
        <v>6</v>
      </c>
      <c r="ET1143">
        <v>359.04</v>
      </c>
      <c r="EU1143">
        <v>29.59</v>
      </c>
      <c r="EV1143">
        <v>388.63</v>
      </c>
      <c r="EW1143" s="2">
        <v>43222</v>
      </c>
      <c r="EX1143" s="1">
        <v>42879</v>
      </c>
      <c r="EY1143">
        <v>2016</v>
      </c>
      <c r="EZ1143">
        <v>359.04</v>
      </c>
      <c r="FA1143" t="s">
        <v>11690</v>
      </c>
      <c r="FB1143">
        <v>6.5</v>
      </c>
      <c r="FC1143" t="s">
        <v>424</v>
      </c>
      <c r="FD1143" t="s">
        <v>454</v>
      </c>
      <c r="FF1143">
        <v>12</v>
      </c>
      <c r="FG1143">
        <v>10125</v>
      </c>
      <c r="FH1143" t="s">
        <v>440</v>
      </c>
      <c r="FJ1143" s="1">
        <v>42515</v>
      </c>
      <c r="FK1143">
        <v>2015</v>
      </c>
      <c r="FL1143">
        <v>362.11</v>
      </c>
      <c r="FM1143" t="s">
        <v>11691</v>
      </c>
      <c r="FN1143">
        <v>6</v>
      </c>
      <c r="FO1143" t="s">
        <v>424</v>
      </c>
      <c r="FP1143" t="s">
        <v>425</v>
      </c>
      <c r="FQ1143" s="1">
        <v>43152</v>
      </c>
      <c r="FR1143">
        <v>21</v>
      </c>
      <c r="FS1143">
        <v>10125</v>
      </c>
      <c r="FT1143" t="s">
        <v>440</v>
      </c>
      <c r="FV1143" s="1">
        <v>42151</v>
      </c>
      <c r="FW1143">
        <v>2014</v>
      </c>
      <c r="FX1143">
        <v>363.83</v>
      </c>
      <c r="FY1143" t="s">
        <v>11692</v>
      </c>
      <c r="FZ1143">
        <v>4.75</v>
      </c>
      <c r="GA1143" t="s">
        <v>424</v>
      </c>
      <c r="GB1143" t="s">
        <v>425</v>
      </c>
      <c r="GC1143" s="1">
        <v>42781</v>
      </c>
      <c r="GD1143">
        <v>21</v>
      </c>
      <c r="GE1143">
        <v>4975593</v>
      </c>
      <c r="GF1143" t="s">
        <v>505</v>
      </c>
      <c r="GH1143" s="1">
        <v>41787</v>
      </c>
      <c r="GI1143">
        <v>2013</v>
      </c>
      <c r="GJ1143">
        <v>345.56</v>
      </c>
      <c r="GK1143" t="s">
        <v>11693</v>
      </c>
      <c r="GL1143">
        <v>6</v>
      </c>
      <c r="GM1143" t="s">
        <v>424</v>
      </c>
      <c r="GN1143" t="s">
        <v>425</v>
      </c>
      <c r="GO1143" s="1">
        <v>42394</v>
      </c>
      <c r="GP1143">
        <v>20</v>
      </c>
      <c r="GQ1143">
        <v>2035919</v>
      </c>
      <c r="GR1143" t="s">
        <v>507</v>
      </c>
      <c r="GT1143" s="1">
        <v>41423</v>
      </c>
      <c r="GU1143">
        <v>2012</v>
      </c>
      <c r="GV1143">
        <v>349.6</v>
      </c>
      <c r="GW1143" t="s">
        <v>11694</v>
      </c>
      <c r="GX1143">
        <v>4.75</v>
      </c>
      <c r="GY1143" t="s">
        <v>424</v>
      </c>
      <c r="GZ1143" t="s">
        <v>425</v>
      </c>
      <c r="HA1143" s="1">
        <v>42053</v>
      </c>
      <c r="HB1143">
        <v>21</v>
      </c>
      <c r="HC1143">
        <v>10125</v>
      </c>
      <c r="HD1143" t="s">
        <v>440</v>
      </c>
      <c r="HF1143" s="1">
        <v>41052</v>
      </c>
      <c r="HG1143">
        <v>2011</v>
      </c>
      <c r="HH1143">
        <v>397.31</v>
      </c>
      <c r="HI1143" t="s">
        <v>11695</v>
      </c>
      <c r="HJ1143">
        <v>6.25</v>
      </c>
      <c r="HK1143" t="s">
        <v>424</v>
      </c>
      <c r="HL1143" t="s">
        <v>425</v>
      </c>
      <c r="HM1143" s="1">
        <v>41689</v>
      </c>
      <c r="HN1143">
        <v>21</v>
      </c>
      <c r="HO1143">
        <v>375</v>
      </c>
      <c r="HP1143" t="s">
        <v>776</v>
      </c>
      <c r="HR1143" s="1">
        <v>40688</v>
      </c>
      <c r="HS1143">
        <v>2010</v>
      </c>
      <c r="HT1143">
        <v>483.87</v>
      </c>
      <c r="HU1143" t="s">
        <v>11696</v>
      </c>
      <c r="HV1143">
        <v>6.75</v>
      </c>
      <c r="HW1143" t="s">
        <v>424</v>
      </c>
      <c r="HX1143" t="s">
        <v>425</v>
      </c>
      <c r="HY1143" s="1">
        <v>41325</v>
      </c>
      <c r="HZ1143">
        <v>21</v>
      </c>
      <c r="IA1143">
        <v>105</v>
      </c>
      <c r="IB1143" t="s">
        <v>946</v>
      </c>
    </row>
    <row r="1144" spans="1:284" x14ac:dyDescent="0.25">
      <c r="A1144">
        <v>16486151</v>
      </c>
      <c r="B1144">
        <v>1143</v>
      </c>
      <c r="C1144" t="s">
        <v>393</v>
      </c>
      <c r="D1144" t="s">
        <v>394</v>
      </c>
      <c r="F1144" t="str">
        <f>"06-2N-27-0000-0005-0090"</f>
        <v>06-2N-27-0000-0005-0090</v>
      </c>
      <c r="H1144" t="str">
        <f>"BRYANT GWENDOLYN D &amp; DARRYL J"</f>
        <v>BRYANT GWENDOLYN D &amp; DARRYL J</v>
      </c>
      <c r="I1144" t="str">
        <f>"813 TORTOISE WAY"</f>
        <v>813 TORTOISE WAY</v>
      </c>
      <c r="J1144" t="str">
        <f>"JACKSONVILLE FL 32218"</f>
        <v>JACKSONVILLE FL 32218</v>
      </c>
      <c r="K1144" t="str">
        <f>"PINE CREST RD"</f>
        <v>PINE CREST RD</v>
      </c>
      <c r="L1144" t="str">
        <f t="shared" si="370"/>
        <v>YULEE FL 32097</v>
      </c>
      <c r="M1144" t="str">
        <f>"PT GOVT LOT 4 OF SEC 6-2N-27E IN OR 1019/1021 BEING EXHIBIT B"</f>
        <v>PT GOVT LOT 4 OF SEC 6-2N-27E IN OR 1019/1021 BEING EXHIBIT B</v>
      </c>
      <c r="N1144" t="str">
        <f>""</f>
        <v/>
      </c>
      <c r="O1144" t="str">
        <f>"22144"</f>
        <v>22144</v>
      </c>
      <c r="P1144" t="str">
        <f t="shared" si="360"/>
        <v>2017</v>
      </c>
      <c r="Q1144" t="str">
        <f>""</f>
        <v/>
      </c>
      <c r="R1144" t="str">
        <f>"N"</f>
        <v>N</v>
      </c>
      <c r="S1144" t="str">
        <f>"1.49"</f>
        <v>1.49</v>
      </c>
      <c r="T1144" t="str">
        <f>"338.35"</f>
        <v>338.35</v>
      </c>
      <c r="U1144" t="str">
        <f>"22350.00"</f>
        <v>22350.00</v>
      </c>
      <c r="V1144" t="str">
        <f>"22350.00"</f>
        <v>22350.00</v>
      </c>
      <c r="W1144" t="str">
        <f t="shared" si="361"/>
        <v>2017</v>
      </c>
      <c r="X1144" t="str">
        <f>"21.30"</f>
        <v>21.30</v>
      </c>
      <c r="Y1144" t="str">
        <f>"380.50"</f>
        <v>380.50</v>
      </c>
      <c r="Z1144" t="str">
        <f>""</f>
        <v/>
      </c>
      <c r="AA1144" t="str">
        <f>"22350.00"</f>
        <v>22350.00</v>
      </c>
      <c r="AB1144" t="str">
        <f t="shared" si="367"/>
        <v>Residential</v>
      </c>
      <c r="AC1144" t="str">
        <f t="shared" si="366"/>
        <v>0</v>
      </c>
      <c r="AD1144" t="str">
        <f>""</f>
        <v/>
      </c>
      <c r="AE1144" t="str">
        <f>""</f>
        <v/>
      </c>
      <c r="AF1144" t="str">
        <f>"000"</f>
        <v>000</v>
      </c>
      <c r="AG1144" t="str">
        <f t="shared" si="369"/>
        <v>FL</v>
      </c>
      <c r="AH1144" t="str">
        <f>"64904.00"</f>
        <v>64904.00</v>
      </c>
      <c r="AI1144" t="str">
        <f>"22350.00"</f>
        <v>22350.00</v>
      </c>
      <c r="AJ1144" t="str">
        <f>"C55-000-586-6724-7"</f>
        <v>C55-000-586-6724-7</v>
      </c>
      <c r="AK1144" t="str">
        <f>"18351"</f>
        <v>18351</v>
      </c>
      <c r="AL1144">
        <v>4</v>
      </c>
      <c r="AM1144">
        <v>1308</v>
      </c>
      <c r="AN1144">
        <v>397.93</v>
      </c>
      <c r="AQ1144" t="s">
        <v>11697</v>
      </c>
      <c r="AR1144" t="s">
        <v>11697</v>
      </c>
      <c r="AS1144" t="s">
        <v>11697</v>
      </c>
      <c r="AU1144" t="s">
        <v>396</v>
      </c>
      <c r="AV1144">
        <v>2017</v>
      </c>
      <c r="AW1144" t="str">
        <f>"06-2N-27-0000-0005-0090 "</f>
        <v xml:space="preserve">06-2N-27-0000-0005-0090 </v>
      </c>
      <c r="AZ1144" t="s">
        <v>11698</v>
      </c>
      <c r="BA1144" t="s">
        <v>496</v>
      </c>
      <c r="BD1144" t="s">
        <v>2387</v>
      </c>
      <c r="BE1144" t="s">
        <v>393</v>
      </c>
      <c r="BF1144">
        <v>32097</v>
      </c>
      <c r="BG1144" t="s">
        <v>11699</v>
      </c>
      <c r="BH1144" t="s">
        <v>2388</v>
      </c>
      <c r="BI1144">
        <v>-81.644229634296707</v>
      </c>
      <c r="BJ1144">
        <v>30.6175881801366</v>
      </c>
      <c r="BK1144" t="s">
        <v>11685</v>
      </c>
      <c r="BL1144" t="s">
        <v>11686</v>
      </c>
      <c r="BM1144" t="s">
        <v>11687</v>
      </c>
      <c r="BN1144" t="s">
        <v>548</v>
      </c>
      <c r="BO1144">
        <v>32218</v>
      </c>
      <c r="BP1144" t="s">
        <v>404</v>
      </c>
      <c r="BQ1144">
        <v>0</v>
      </c>
      <c r="BR1144" t="s">
        <v>491</v>
      </c>
      <c r="BS1144">
        <v>8001</v>
      </c>
      <c r="BT1144" t="s">
        <v>492</v>
      </c>
      <c r="BW1144">
        <v>64904</v>
      </c>
      <c r="BX1144" t="s">
        <v>407</v>
      </c>
      <c r="BY1144" t="s">
        <v>408</v>
      </c>
      <c r="CD1144">
        <v>2017</v>
      </c>
      <c r="CE1144">
        <v>22350</v>
      </c>
      <c r="CG1144">
        <v>22350</v>
      </c>
      <c r="CH1144">
        <v>2017</v>
      </c>
      <c r="CI1144">
        <v>22350</v>
      </c>
      <c r="CK1144">
        <v>22350</v>
      </c>
      <c r="CL1144">
        <v>2017</v>
      </c>
      <c r="CM1144">
        <v>338.35</v>
      </c>
      <c r="CN1144" s="1">
        <v>37209</v>
      </c>
      <c r="CZ1144" s="1">
        <v>37209</v>
      </c>
      <c r="DD1144" t="s">
        <v>2387</v>
      </c>
      <c r="DF1144" t="s">
        <v>11700</v>
      </c>
      <c r="DG1144">
        <v>6</v>
      </c>
      <c r="DL1144">
        <v>50301</v>
      </c>
      <c r="DM1144" t="s">
        <v>11688</v>
      </c>
      <c r="DO1144" t="s">
        <v>11701</v>
      </c>
      <c r="DP1144">
        <v>0</v>
      </c>
      <c r="DQ1144">
        <v>0</v>
      </c>
      <c r="DR1144" t="s">
        <v>411</v>
      </c>
      <c r="DS1144" t="b">
        <v>1</v>
      </c>
      <c r="DT1144" t="s">
        <v>470</v>
      </c>
      <c r="DU1144" t="s">
        <v>471</v>
      </c>
      <c r="DV1144" t="s">
        <v>472</v>
      </c>
      <c r="DX1144">
        <v>-9999</v>
      </c>
      <c r="DZ1144" t="s">
        <v>447</v>
      </c>
      <c r="EA1144" t="s">
        <v>448</v>
      </c>
      <c r="EB1144" t="s">
        <v>742</v>
      </c>
      <c r="EC1144">
        <v>20101217</v>
      </c>
      <c r="ED1144" t="s">
        <v>474</v>
      </c>
      <c r="EF1144">
        <v>3218.4</v>
      </c>
      <c r="EG1144">
        <v>3218.4</v>
      </c>
      <c r="EI1144">
        <v>20160407</v>
      </c>
      <c r="EJ1144">
        <v>0</v>
      </c>
      <c r="EK1144">
        <v>0</v>
      </c>
      <c r="EP1144" t="s">
        <v>421</v>
      </c>
      <c r="EQ1144" t="s">
        <v>422</v>
      </c>
      <c r="ER1144">
        <v>1</v>
      </c>
      <c r="ES1144">
        <v>6</v>
      </c>
      <c r="ET1144">
        <v>398.06</v>
      </c>
      <c r="EU1144">
        <v>32.119999999999997</v>
      </c>
      <c r="EV1144">
        <v>430.18</v>
      </c>
      <c r="EW1144" s="2">
        <v>43222</v>
      </c>
      <c r="EX1144" s="1">
        <v>42879</v>
      </c>
      <c r="EY1144">
        <v>2016</v>
      </c>
      <c r="EZ1144">
        <v>398.06</v>
      </c>
      <c r="FA1144" t="s">
        <v>11702</v>
      </c>
      <c r="FB1144">
        <v>6.5</v>
      </c>
      <c r="FC1144" t="s">
        <v>424</v>
      </c>
      <c r="FD1144" t="s">
        <v>454</v>
      </c>
      <c r="FF1144">
        <v>12</v>
      </c>
      <c r="FG1144">
        <v>10125</v>
      </c>
      <c r="FH1144" t="s">
        <v>440</v>
      </c>
      <c r="FJ1144" s="1">
        <v>42515</v>
      </c>
      <c r="FK1144">
        <v>2015</v>
      </c>
      <c r="FL1144">
        <v>402.07</v>
      </c>
      <c r="FM1144" t="s">
        <v>11703</v>
      </c>
      <c r="FN1144">
        <v>6</v>
      </c>
      <c r="FO1144" t="s">
        <v>424</v>
      </c>
      <c r="FP1144" t="s">
        <v>425</v>
      </c>
      <c r="FQ1144" s="1">
        <v>43152</v>
      </c>
      <c r="FR1144">
        <v>21</v>
      </c>
      <c r="FS1144">
        <v>10125</v>
      </c>
      <c r="FT1144" t="s">
        <v>440</v>
      </c>
      <c r="FV1144" s="1">
        <v>42151</v>
      </c>
      <c r="FW1144">
        <v>2014</v>
      </c>
      <c r="FX1144">
        <v>403.99</v>
      </c>
      <c r="FY1144" t="s">
        <v>11704</v>
      </c>
      <c r="FZ1144">
        <v>9</v>
      </c>
      <c r="GA1144" t="s">
        <v>424</v>
      </c>
      <c r="GB1144" t="s">
        <v>425</v>
      </c>
      <c r="GC1144" s="1">
        <v>42790</v>
      </c>
      <c r="GD1144">
        <v>21</v>
      </c>
      <c r="GE1144">
        <v>10125</v>
      </c>
      <c r="GF1144" t="s">
        <v>440</v>
      </c>
      <c r="GH1144" s="1">
        <v>41787</v>
      </c>
      <c r="GI1144">
        <v>2013</v>
      </c>
      <c r="GJ1144">
        <v>383.57</v>
      </c>
      <c r="GK1144" t="s">
        <v>11705</v>
      </c>
      <c r="GL1144">
        <v>12</v>
      </c>
      <c r="GM1144" t="s">
        <v>424</v>
      </c>
      <c r="GN1144" t="s">
        <v>425</v>
      </c>
      <c r="GO1144" s="1">
        <v>42394</v>
      </c>
      <c r="GP1144">
        <v>20</v>
      </c>
      <c r="GQ1144">
        <v>10125</v>
      </c>
      <c r="GR1144" t="s">
        <v>440</v>
      </c>
      <c r="GT1144" s="1">
        <v>41423</v>
      </c>
      <c r="GU1144">
        <v>2012</v>
      </c>
      <c r="GV1144">
        <v>388.07</v>
      </c>
      <c r="GW1144" t="s">
        <v>11706</v>
      </c>
      <c r="GX1144">
        <v>4.75</v>
      </c>
      <c r="GY1144" t="s">
        <v>424</v>
      </c>
      <c r="GZ1144" t="s">
        <v>425</v>
      </c>
      <c r="HA1144" s="1">
        <v>42053</v>
      </c>
      <c r="HB1144">
        <v>21</v>
      </c>
      <c r="HC1144">
        <v>10125</v>
      </c>
      <c r="HD1144" t="s">
        <v>440</v>
      </c>
      <c r="HF1144" s="1">
        <v>41052</v>
      </c>
      <c r="HG1144">
        <v>2011</v>
      </c>
      <c r="HH1144">
        <v>461</v>
      </c>
      <c r="HI1144" t="s">
        <v>11707</v>
      </c>
      <c r="HJ1144">
        <v>6.25</v>
      </c>
      <c r="HK1144" t="s">
        <v>424</v>
      </c>
      <c r="HL1144" t="s">
        <v>425</v>
      </c>
      <c r="HM1144" s="1">
        <v>41689</v>
      </c>
      <c r="HN1144">
        <v>21</v>
      </c>
      <c r="HO1144">
        <v>375</v>
      </c>
      <c r="HP1144" t="s">
        <v>776</v>
      </c>
      <c r="HR1144" s="1">
        <v>40688</v>
      </c>
      <c r="HS1144">
        <v>2010</v>
      </c>
      <c r="HT1144">
        <v>589.79</v>
      </c>
      <c r="HU1144" t="s">
        <v>11708</v>
      </c>
      <c r="HV1144">
        <v>6.75</v>
      </c>
      <c r="HW1144" t="s">
        <v>424</v>
      </c>
      <c r="HX1144" t="s">
        <v>425</v>
      </c>
      <c r="HY1144" s="1">
        <v>41334</v>
      </c>
      <c r="HZ1144">
        <v>22</v>
      </c>
      <c r="IA1144">
        <v>105</v>
      </c>
      <c r="IB1144" t="s">
        <v>946</v>
      </c>
    </row>
    <row r="1145" spans="1:284" x14ac:dyDescent="0.25">
      <c r="A1145">
        <v>16486152</v>
      </c>
      <c r="B1145">
        <v>1144</v>
      </c>
      <c r="C1145" t="s">
        <v>393</v>
      </c>
      <c r="D1145" t="s">
        <v>394</v>
      </c>
      <c r="F1145" t="str">
        <f>"07-2N-27-0000-0002-0060"</f>
        <v>07-2N-27-0000-0002-0060</v>
      </c>
      <c r="H1145" t="str">
        <f>"DINKINS CLIFFORD N"</f>
        <v>DINKINS CLIFFORD N</v>
      </c>
      <c r="I1145" t="str">
        <f>"76120 HARPER CHAPEL ROAD"</f>
        <v>76120 HARPER CHAPEL ROAD</v>
      </c>
      <c r="J1145" t="str">
        <f>"YULEE FL 32097"</f>
        <v>YULEE FL 32097</v>
      </c>
      <c r="K1145" t="str">
        <f>"76070 WALTHOUR PL"</f>
        <v>76070 WALTHOUR PL</v>
      </c>
      <c r="L1145" t="str">
        <f t="shared" si="370"/>
        <v>YULEE FL 32097</v>
      </c>
      <c r="M1145" t="str">
        <f>"PT NW1/4 OF NW1/4 OF NE1/4 PAR 2-6 IN OR 798/1890"</f>
        <v>PT NW1/4 OF NW1/4 OF NE1/4 PAR 2-6 IN OR 798/1890</v>
      </c>
      <c r="N1145" t="str">
        <f>""</f>
        <v/>
      </c>
      <c r="O1145" t="str">
        <f>"22457"</f>
        <v>22457</v>
      </c>
      <c r="P1145" t="str">
        <f t="shared" si="360"/>
        <v>2017</v>
      </c>
      <c r="Q1145" t="str">
        <f>""</f>
        <v/>
      </c>
      <c r="R1145" t="str">
        <f>"N"</f>
        <v>N</v>
      </c>
      <c r="S1145" t="str">
        <f>"1.00"</f>
        <v>1.00</v>
      </c>
      <c r="T1145" t="str">
        <f>"464.23"</f>
        <v>464.23</v>
      </c>
      <c r="U1145" t="str">
        <f>"30044.00"</f>
        <v>30044.00</v>
      </c>
      <c r="V1145" t="str">
        <f>"30044.00"</f>
        <v>30044.00</v>
      </c>
      <c r="W1145" t="str">
        <f t="shared" si="361"/>
        <v>2017</v>
      </c>
      <c r="X1145" t="str">
        <f>"11.70"</f>
        <v>11.70</v>
      </c>
      <c r="Y1145" t="str">
        <f>"510.16"</f>
        <v>510.16</v>
      </c>
      <c r="Z1145" t="str">
        <f>""</f>
        <v/>
      </c>
      <c r="AA1145" t="str">
        <f>"31470.00"</f>
        <v>31470.00</v>
      </c>
      <c r="AB1145" t="str">
        <f t="shared" si="367"/>
        <v>Residential</v>
      </c>
      <c r="AC1145" t="str">
        <f t="shared" si="366"/>
        <v>0</v>
      </c>
      <c r="AD1145" t="str">
        <f>"4"</f>
        <v>4</v>
      </c>
      <c r="AE1145" t="str">
        <f>"WOOD (INCLUDE STEEL STUDS)"</f>
        <v>WOOD (INCLUDE STEEL STUDS)</v>
      </c>
      <c r="AF1145" t="str">
        <f>"002"</f>
        <v>002</v>
      </c>
      <c r="AG1145" t="str">
        <f t="shared" si="369"/>
        <v>FL</v>
      </c>
      <c r="AH1145" t="str">
        <f>"43560.00"</f>
        <v>43560.00</v>
      </c>
      <c r="AI1145" t="str">
        <f>"17500.00"</f>
        <v>17500.00</v>
      </c>
      <c r="AJ1145" t="str">
        <f>"C55-000-586-6859-1"</f>
        <v>C55-000-586-6859-1</v>
      </c>
      <c r="AK1145" t="str">
        <f>"18378"</f>
        <v>18378</v>
      </c>
      <c r="AL1145">
        <v>4</v>
      </c>
      <c r="AM1145">
        <v>1309</v>
      </c>
      <c r="AN1145">
        <v>534.07000000000005</v>
      </c>
      <c r="AQ1145" t="s">
        <v>11709</v>
      </c>
      <c r="AR1145" t="s">
        <v>11709</v>
      </c>
      <c r="AS1145" t="s">
        <v>11709</v>
      </c>
      <c r="AU1145" t="s">
        <v>396</v>
      </c>
      <c r="AV1145">
        <v>2017</v>
      </c>
      <c r="AW1145" t="str">
        <f>"07-2N-27-0000-0002-0060 "</f>
        <v xml:space="preserve">07-2N-27-0000-0002-0060 </v>
      </c>
      <c r="AX1145">
        <v>76070</v>
      </c>
      <c r="AZ1145" t="s">
        <v>11710</v>
      </c>
      <c r="BA1145" t="s">
        <v>641</v>
      </c>
      <c r="BD1145" t="s">
        <v>2387</v>
      </c>
      <c r="BE1145" t="s">
        <v>393</v>
      </c>
      <c r="BF1145">
        <v>32097</v>
      </c>
      <c r="BG1145" t="s">
        <v>11711</v>
      </c>
      <c r="BH1145" t="s">
        <v>2388</v>
      </c>
      <c r="BI1145">
        <v>-81.637887010044395</v>
      </c>
      <c r="BJ1145">
        <v>30.615633833490801</v>
      </c>
      <c r="BK1145" t="s">
        <v>11712</v>
      </c>
      <c r="BM1145" t="s">
        <v>11713</v>
      </c>
      <c r="BN1145" t="s">
        <v>1778</v>
      </c>
      <c r="BO1145">
        <v>32097</v>
      </c>
      <c r="BP1145" t="s">
        <v>404</v>
      </c>
      <c r="BQ1145">
        <v>200</v>
      </c>
      <c r="BR1145" t="s">
        <v>405</v>
      </c>
      <c r="BS1145">
        <v>1006</v>
      </c>
      <c r="BT1145" t="s">
        <v>406</v>
      </c>
      <c r="BW1145">
        <v>43560</v>
      </c>
      <c r="BX1145" t="s">
        <v>407</v>
      </c>
      <c r="BY1145" t="s">
        <v>408</v>
      </c>
      <c r="BZ1145">
        <v>4</v>
      </c>
      <c r="CA1145">
        <v>1986</v>
      </c>
      <c r="CB1145">
        <v>1</v>
      </c>
      <c r="CC1145">
        <v>1</v>
      </c>
      <c r="CD1145">
        <v>2017</v>
      </c>
      <c r="CE1145">
        <v>17500</v>
      </c>
      <c r="CF1145">
        <v>13970</v>
      </c>
      <c r="CG1145">
        <v>31470</v>
      </c>
      <c r="CH1145">
        <v>2017</v>
      </c>
      <c r="CI1145">
        <v>17500</v>
      </c>
      <c r="CJ1145">
        <v>13970</v>
      </c>
      <c r="CK1145">
        <v>31470</v>
      </c>
      <c r="CL1145">
        <v>2017</v>
      </c>
      <c r="CM1145">
        <v>464.23</v>
      </c>
      <c r="CN1145" s="1">
        <v>35620</v>
      </c>
      <c r="CZ1145" s="1">
        <v>35620</v>
      </c>
      <c r="DD1145" t="s">
        <v>2387</v>
      </c>
      <c r="DG1145">
        <v>7</v>
      </c>
      <c r="DL1145">
        <v>50301</v>
      </c>
      <c r="DM1145" t="s">
        <v>11714</v>
      </c>
      <c r="DO1145" t="s">
        <v>11715</v>
      </c>
      <c r="DP1145">
        <v>0</v>
      </c>
      <c r="DQ1145">
        <v>2</v>
      </c>
      <c r="DR1145" t="s">
        <v>1479</v>
      </c>
      <c r="DS1145" t="s">
        <v>695</v>
      </c>
      <c r="EJ1145">
        <v>0</v>
      </c>
      <c r="EK1145">
        <v>0</v>
      </c>
      <c r="EP1145" t="s">
        <v>421</v>
      </c>
      <c r="EQ1145" t="s">
        <v>422</v>
      </c>
      <c r="ER1145">
        <v>0</v>
      </c>
      <c r="ES1145">
        <v>6</v>
      </c>
      <c r="ET1145">
        <v>0</v>
      </c>
      <c r="EU1145">
        <v>0</v>
      </c>
      <c r="EV1145">
        <v>0</v>
      </c>
      <c r="EW1145" s="2">
        <v>43222</v>
      </c>
      <c r="EX1145" s="1">
        <v>42879</v>
      </c>
      <c r="EY1145">
        <v>2016</v>
      </c>
      <c r="EZ1145">
        <v>480.45</v>
      </c>
      <c r="FA1145" t="s">
        <v>11716</v>
      </c>
      <c r="FB1145">
        <v>5.5</v>
      </c>
      <c r="FC1145" t="s">
        <v>424</v>
      </c>
      <c r="FD1145" t="s">
        <v>425</v>
      </c>
      <c r="FE1145" s="1">
        <v>42962</v>
      </c>
      <c r="FF1145">
        <v>3</v>
      </c>
      <c r="FG1145">
        <v>10125</v>
      </c>
      <c r="FH1145" t="s">
        <v>440</v>
      </c>
      <c r="FJ1145" s="1">
        <v>42151</v>
      </c>
      <c r="FK1145">
        <v>2014</v>
      </c>
      <c r="FL1145">
        <v>359.12</v>
      </c>
      <c r="FM1145" t="s">
        <v>11717</v>
      </c>
      <c r="FN1145">
        <v>15.5</v>
      </c>
      <c r="FO1145" t="s">
        <v>424</v>
      </c>
      <c r="FP1145" t="s">
        <v>425</v>
      </c>
      <c r="FQ1145" s="1">
        <v>42460</v>
      </c>
      <c r="FR1145">
        <v>10</v>
      </c>
      <c r="FS1145">
        <v>10125</v>
      </c>
      <c r="FT1145" t="s">
        <v>440</v>
      </c>
      <c r="FV1145" s="1">
        <v>41787</v>
      </c>
      <c r="FW1145">
        <v>2013</v>
      </c>
      <c r="FX1145">
        <v>326.95</v>
      </c>
      <c r="FY1145" t="s">
        <v>11718</v>
      </c>
      <c r="FZ1145">
        <v>12</v>
      </c>
      <c r="GA1145" t="s">
        <v>424</v>
      </c>
      <c r="GB1145" t="s">
        <v>425</v>
      </c>
      <c r="GC1145" s="1">
        <v>41918</v>
      </c>
      <c r="GD1145">
        <v>5</v>
      </c>
      <c r="GE1145">
        <v>10125</v>
      </c>
      <c r="GF1145" t="s">
        <v>440</v>
      </c>
      <c r="GH1145" s="1">
        <v>41423</v>
      </c>
      <c r="GI1145">
        <v>2012</v>
      </c>
      <c r="GJ1145">
        <v>330.77</v>
      </c>
      <c r="GK1145" t="s">
        <v>11719</v>
      </c>
      <c r="GL1145">
        <v>4.75</v>
      </c>
      <c r="GM1145" t="s">
        <v>424</v>
      </c>
      <c r="GN1145" t="s">
        <v>425</v>
      </c>
      <c r="GO1145" s="1">
        <v>41918</v>
      </c>
      <c r="GP1145">
        <v>17</v>
      </c>
      <c r="GQ1145">
        <v>10125</v>
      </c>
      <c r="GR1145" t="s">
        <v>440</v>
      </c>
      <c r="GT1145" s="1">
        <v>41052</v>
      </c>
      <c r="GU1145">
        <v>2011</v>
      </c>
      <c r="GV1145">
        <v>380.65</v>
      </c>
      <c r="GW1145" t="s">
        <v>11720</v>
      </c>
      <c r="GX1145">
        <v>6.25</v>
      </c>
      <c r="GY1145" t="s">
        <v>424</v>
      </c>
      <c r="GZ1145" t="s">
        <v>425</v>
      </c>
      <c r="HA1145" s="1">
        <v>41698</v>
      </c>
      <c r="HB1145">
        <v>21</v>
      </c>
      <c r="HC1145">
        <v>105</v>
      </c>
      <c r="HD1145" t="s">
        <v>946</v>
      </c>
      <c r="HF1145" s="1">
        <v>40688</v>
      </c>
      <c r="HG1145">
        <v>2010</v>
      </c>
      <c r="HH1145">
        <v>426.23</v>
      </c>
      <c r="HI1145" t="s">
        <v>11721</v>
      </c>
      <c r="HJ1145">
        <v>6.75</v>
      </c>
      <c r="HK1145" t="s">
        <v>424</v>
      </c>
      <c r="HL1145" t="s">
        <v>425</v>
      </c>
      <c r="HM1145" s="1">
        <v>41324</v>
      </c>
      <c r="HN1145">
        <v>21</v>
      </c>
      <c r="HO1145">
        <v>105</v>
      </c>
      <c r="HP1145" t="s">
        <v>946</v>
      </c>
    </row>
    <row r="1146" spans="1:284" x14ac:dyDescent="0.25">
      <c r="A1146">
        <v>16486153</v>
      </c>
      <c r="B1146">
        <v>1145</v>
      </c>
      <c r="C1146" t="s">
        <v>393</v>
      </c>
      <c r="D1146" t="s">
        <v>394</v>
      </c>
      <c r="F1146" t="str">
        <f>"08-2N-27-0000-0005-0340"</f>
        <v>08-2N-27-0000-0005-0340</v>
      </c>
      <c r="H1146" t="str">
        <f>"SCOTT JANICE C"</f>
        <v>SCOTT JANICE C</v>
      </c>
      <c r="I1146" t="str">
        <f>"75294 CLYDE HIGGINBOTHAM ROAD"</f>
        <v>75294 CLYDE HIGGINBOTHAM ROAD</v>
      </c>
      <c r="J1146" t="str">
        <f>"YULEE FL 32097"</f>
        <v>YULEE FL 32097</v>
      </c>
      <c r="K1146" t="str">
        <f>"85119 ETHYL LN"</f>
        <v>85119 ETHYL LN</v>
      </c>
      <c r="L1146" t="str">
        <f t="shared" si="370"/>
        <v>YULEE FL 32097</v>
      </c>
      <c r="M1146" t="str">
        <f>"IN OR 1484/1629 PT OR 810/1210 &amp; 1212 &amp; PT OR 818/1140 &amp; OR 622/404 PARCEL 5-34 SEC 8-2N-27 &amp; PARCEL 4 SEC 9-2N-27 &amp; PARCEL 2-2 SEC 17-2N-27 ESMT OR 918/204 EX 2-3 SEC 17-2N-27"</f>
        <v>IN OR 1484/1629 PT OR 810/1210 &amp; 1212 &amp; PT OR 818/1140 &amp; OR 622/404 PARCEL 5-34 SEC 8-2N-27 &amp; PARCEL 4 SEC 9-2N-27 &amp; PARCEL 2-2 SEC 17-2N-27 ESMT OR 918/204 EX 2-3 SEC 17-2N-27</v>
      </c>
      <c r="N1146" t="str">
        <f>""</f>
        <v/>
      </c>
      <c r="O1146" t="str">
        <f>"23068"</f>
        <v>23068</v>
      </c>
      <c r="P1146" t="str">
        <f t="shared" si="360"/>
        <v>2017</v>
      </c>
      <c r="Q1146" t="str">
        <f>""</f>
        <v/>
      </c>
      <c r="R1146" t="str">
        <f>"N"</f>
        <v>N</v>
      </c>
      <c r="S1146" t="str">
        <f>"1.00"</f>
        <v>1.00</v>
      </c>
      <c r="T1146" t="str">
        <f>"1021.01"</f>
        <v>1021.01</v>
      </c>
      <c r="U1146" t="str">
        <f>"67444.00"</f>
        <v>67444.00</v>
      </c>
      <c r="V1146" t="str">
        <f>"67444.00"</f>
        <v>67444.00</v>
      </c>
      <c r="W1146" t="str">
        <f t="shared" si="361"/>
        <v>2017</v>
      </c>
      <c r="X1146" t="str">
        <f>"20.67"</f>
        <v>20.67</v>
      </c>
      <c r="Y1146" t="str">
        <f>"1083.64"</f>
        <v>1083.64</v>
      </c>
      <c r="Z1146" t="str">
        <f>""</f>
        <v/>
      </c>
      <c r="AA1146" t="str">
        <f>"67444.00"</f>
        <v>67444.00</v>
      </c>
      <c r="AB1146" t="str">
        <f t="shared" si="367"/>
        <v>Residential</v>
      </c>
      <c r="AC1146" t="str">
        <f t="shared" si="366"/>
        <v>0</v>
      </c>
      <c r="AD1146" t="str">
        <f>"4"</f>
        <v>4</v>
      </c>
      <c r="AE1146" t="str">
        <f>"WOOD (INCLUDE STEEL STUDS)"</f>
        <v>WOOD (INCLUDE STEEL STUDS)</v>
      </c>
      <c r="AF1146" t="str">
        <f>"001"</f>
        <v>001</v>
      </c>
      <c r="AG1146" t="str">
        <f t="shared" si="369"/>
        <v>FL</v>
      </c>
      <c r="AH1146" t="str">
        <f>"43560.00"</f>
        <v>43560.00</v>
      </c>
      <c r="AI1146" t="str">
        <f>"25500.00"</f>
        <v>25500.00</v>
      </c>
      <c r="AJ1146" t="str">
        <f>"C55-001-002-4828-5"</f>
        <v>C55-001-002-4828-5</v>
      </c>
      <c r="AK1146" t="str">
        <f>"18425"</f>
        <v>18425</v>
      </c>
      <c r="AL1146">
        <v>4</v>
      </c>
      <c r="AM1146">
        <v>1310</v>
      </c>
      <c r="AN1146">
        <v>1136.22</v>
      </c>
      <c r="AQ1146" t="s">
        <v>11722</v>
      </c>
      <c r="AR1146" t="s">
        <v>11722</v>
      </c>
      <c r="AS1146" t="s">
        <v>11722</v>
      </c>
      <c r="AU1146" t="s">
        <v>396</v>
      </c>
      <c r="AV1146">
        <v>2017</v>
      </c>
      <c r="AW1146" t="str">
        <f>"08-2N-27-0000-0005-0340 "</f>
        <v xml:space="preserve">08-2N-27-0000-0005-0340 </v>
      </c>
      <c r="AX1146">
        <v>85119</v>
      </c>
      <c r="AZ1146" t="s">
        <v>11723</v>
      </c>
      <c r="BA1146" t="s">
        <v>653</v>
      </c>
      <c r="BD1146" t="s">
        <v>2387</v>
      </c>
      <c r="BE1146" t="s">
        <v>393</v>
      </c>
      <c r="BF1146">
        <v>32097</v>
      </c>
      <c r="BG1146" t="s">
        <v>11724</v>
      </c>
      <c r="BH1146" t="s">
        <v>2388</v>
      </c>
      <c r="BI1146">
        <v>-81.613690966463494</v>
      </c>
      <c r="BJ1146">
        <v>30.602177797083701</v>
      </c>
      <c r="BK1146" t="s">
        <v>11725</v>
      </c>
      <c r="BM1146" t="s">
        <v>11726</v>
      </c>
      <c r="BN1146" t="s">
        <v>1778</v>
      </c>
      <c r="BO1146">
        <v>32097</v>
      </c>
      <c r="BP1146" t="s">
        <v>404</v>
      </c>
      <c r="BQ1146">
        <v>100</v>
      </c>
      <c r="BR1146" t="s">
        <v>514</v>
      </c>
      <c r="BS1146">
        <v>1001</v>
      </c>
      <c r="BT1146" t="s">
        <v>515</v>
      </c>
      <c r="BW1146">
        <v>43560</v>
      </c>
      <c r="BX1146" t="s">
        <v>407</v>
      </c>
      <c r="BY1146" t="s">
        <v>408</v>
      </c>
      <c r="BZ1146">
        <v>4</v>
      </c>
      <c r="CA1146">
        <v>1928</v>
      </c>
      <c r="CB1146">
        <v>1</v>
      </c>
      <c r="CC1146">
        <v>1</v>
      </c>
      <c r="CD1146">
        <v>2017</v>
      </c>
      <c r="CE1146">
        <v>25500</v>
      </c>
      <c r="CF1146">
        <v>41944</v>
      </c>
      <c r="CG1146">
        <v>67444</v>
      </c>
      <c r="CH1146">
        <v>2017</v>
      </c>
      <c r="CI1146">
        <v>25500</v>
      </c>
      <c r="CJ1146">
        <v>41944</v>
      </c>
      <c r="CK1146">
        <v>67444</v>
      </c>
      <c r="CL1146">
        <v>2017</v>
      </c>
      <c r="CM1146">
        <v>1021.01</v>
      </c>
      <c r="CN1146" s="1">
        <v>39154</v>
      </c>
      <c r="CZ1146" s="1">
        <v>39154</v>
      </c>
      <c r="DD1146" t="s">
        <v>2387</v>
      </c>
      <c r="DG1146">
        <v>8</v>
      </c>
      <c r="DL1146">
        <v>50301</v>
      </c>
      <c r="DM1146" t="s">
        <v>11727</v>
      </c>
      <c r="DO1146" t="s">
        <v>11728</v>
      </c>
      <c r="DP1146">
        <v>0</v>
      </c>
      <c r="DQ1146">
        <v>0</v>
      </c>
      <c r="DR1146" t="s">
        <v>411</v>
      </c>
      <c r="DS1146" t="b">
        <v>1</v>
      </c>
      <c r="DT1146" t="s">
        <v>470</v>
      </c>
      <c r="DU1146" t="s">
        <v>471</v>
      </c>
      <c r="DV1146" t="s">
        <v>472</v>
      </c>
      <c r="DX1146">
        <v>-9999</v>
      </c>
      <c r="DZ1146" t="s">
        <v>447</v>
      </c>
      <c r="EA1146" t="s">
        <v>448</v>
      </c>
      <c r="EB1146" t="s">
        <v>742</v>
      </c>
      <c r="EC1146">
        <v>20101217</v>
      </c>
      <c r="ED1146" t="s">
        <v>474</v>
      </c>
      <c r="EF1146">
        <v>87.9</v>
      </c>
      <c r="EG1146">
        <v>87.9</v>
      </c>
      <c r="EI1146">
        <v>20160407</v>
      </c>
      <c r="EJ1146">
        <v>0</v>
      </c>
      <c r="EK1146">
        <v>2</v>
      </c>
      <c r="EP1146" t="s">
        <v>421</v>
      </c>
      <c r="EQ1146" t="s">
        <v>422</v>
      </c>
      <c r="ER1146">
        <v>2</v>
      </c>
      <c r="ES1146">
        <v>9</v>
      </c>
      <c r="ET1146">
        <v>2300.2800000000002</v>
      </c>
      <c r="EU1146">
        <v>127.51</v>
      </c>
      <c r="EV1146">
        <v>2427.79</v>
      </c>
      <c r="EW1146" s="2">
        <v>43222</v>
      </c>
      <c r="EX1146" s="1">
        <v>42879</v>
      </c>
      <c r="EY1146">
        <v>2016</v>
      </c>
      <c r="EZ1146">
        <v>1150.1400000000001</v>
      </c>
      <c r="FA1146" t="s">
        <v>11729</v>
      </c>
      <c r="FB1146">
        <v>0.25</v>
      </c>
      <c r="FC1146" t="s">
        <v>424</v>
      </c>
      <c r="FD1146" t="s">
        <v>454</v>
      </c>
      <c r="FF1146">
        <v>12</v>
      </c>
      <c r="FG1146">
        <v>7400234</v>
      </c>
      <c r="FH1146" t="s">
        <v>426</v>
      </c>
      <c r="FJ1146" s="1">
        <v>42879</v>
      </c>
      <c r="FK1146">
        <v>2016</v>
      </c>
      <c r="FL1146">
        <v>1150.1400000000001</v>
      </c>
      <c r="FM1146" t="s">
        <v>11729</v>
      </c>
      <c r="FN1146">
        <v>0.25</v>
      </c>
      <c r="FO1146" t="s">
        <v>424</v>
      </c>
      <c r="FP1146" t="s">
        <v>454</v>
      </c>
      <c r="FR1146">
        <v>12</v>
      </c>
      <c r="FS1146">
        <v>7409991</v>
      </c>
      <c r="FT1146" t="s">
        <v>11730</v>
      </c>
      <c r="FV1146" s="1">
        <v>42515</v>
      </c>
      <c r="FW1146">
        <v>2015</v>
      </c>
      <c r="FX1146">
        <v>1175.93</v>
      </c>
      <c r="FY1146" t="s">
        <v>11731</v>
      </c>
      <c r="FZ1146">
        <v>0.25</v>
      </c>
      <c r="GA1146" t="s">
        <v>424</v>
      </c>
      <c r="GB1146" t="s">
        <v>425</v>
      </c>
      <c r="GC1146" s="1">
        <v>43187</v>
      </c>
      <c r="GD1146">
        <v>22</v>
      </c>
      <c r="GE1146">
        <v>7045074</v>
      </c>
      <c r="GF1146" t="s">
        <v>580</v>
      </c>
      <c r="GH1146" s="1">
        <v>42515</v>
      </c>
      <c r="GI1146">
        <v>2015</v>
      </c>
      <c r="GJ1146">
        <v>1175.93</v>
      </c>
      <c r="GK1146" t="s">
        <v>11731</v>
      </c>
      <c r="GL1146">
        <v>0.25</v>
      </c>
      <c r="GM1146" t="s">
        <v>424</v>
      </c>
      <c r="GN1146" t="s">
        <v>425</v>
      </c>
      <c r="GP1146">
        <v>22</v>
      </c>
      <c r="GQ1146">
        <v>6493790</v>
      </c>
      <c r="GR1146" t="s">
        <v>11732</v>
      </c>
      <c r="GT1146" s="1">
        <v>42151</v>
      </c>
      <c r="GU1146">
        <v>2014</v>
      </c>
      <c r="GV1146">
        <v>1115.74</v>
      </c>
      <c r="GW1146" t="s">
        <v>11733</v>
      </c>
      <c r="GX1146">
        <v>0.25</v>
      </c>
      <c r="GY1146" t="s">
        <v>424</v>
      </c>
      <c r="GZ1146" t="s">
        <v>425</v>
      </c>
      <c r="HA1146" s="1">
        <v>42822</v>
      </c>
      <c r="HB1146">
        <v>22</v>
      </c>
      <c r="HC1146">
        <v>2101382</v>
      </c>
      <c r="HD1146" t="s">
        <v>993</v>
      </c>
      <c r="HF1146" s="1">
        <v>42151</v>
      </c>
      <c r="HG1146">
        <v>2014</v>
      </c>
      <c r="HH1146">
        <v>1115.74</v>
      </c>
      <c r="HI1146" t="s">
        <v>11733</v>
      </c>
      <c r="HJ1146">
        <v>0.25</v>
      </c>
      <c r="HK1146" t="s">
        <v>424</v>
      </c>
      <c r="HL1146" t="s">
        <v>425</v>
      </c>
      <c r="HN1146">
        <v>22</v>
      </c>
      <c r="HO1146">
        <v>5499911</v>
      </c>
      <c r="HP1146" t="s">
        <v>11734</v>
      </c>
      <c r="HR1146" s="1">
        <v>41787</v>
      </c>
      <c r="HS1146">
        <v>2013</v>
      </c>
      <c r="HT1146">
        <v>1498.6</v>
      </c>
      <c r="HU1146" t="s">
        <v>11735</v>
      </c>
      <c r="HV1146">
        <v>0.25</v>
      </c>
      <c r="HW1146" t="s">
        <v>424</v>
      </c>
      <c r="HX1146" t="s">
        <v>425</v>
      </c>
      <c r="HY1146" s="1">
        <v>42411</v>
      </c>
      <c r="HZ1146">
        <v>21</v>
      </c>
      <c r="IA1146">
        <v>2407503</v>
      </c>
      <c r="IB1146" t="s">
        <v>461</v>
      </c>
      <c r="ID1146" s="1">
        <v>41423</v>
      </c>
      <c r="IE1146">
        <v>2012</v>
      </c>
      <c r="IF1146">
        <v>1520.09</v>
      </c>
      <c r="IG1146" t="s">
        <v>11736</v>
      </c>
      <c r="IH1146">
        <v>0.25</v>
      </c>
      <c r="II1146" t="s">
        <v>424</v>
      </c>
      <c r="IJ1146" t="s">
        <v>425</v>
      </c>
      <c r="IK1146" s="1">
        <v>41862</v>
      </c>
      <c r="IL1146">
        <v>15</v>
      </c>
      <c r="IM1146">
        <v>11289</v>
      </c>
      <c r="IN1146" t="s">
        <v>787</v>
      </c>
      <c r="IP1146" s="1">
        <v>41052</v>
      </c>
      <c r="IQ1146">
        <v>2011</v>
      </c>
      <c r="IR1146">
        <v>1624.71</v>
      </c>
      <c r="IS1146" t="s">
        <v>11737</v>
      </c>
      <c r="IT1146">
        <v>0.25</v>
      </c>
      <c r="IU1146" t="s">
        <v>424</v>
      </c>
      <c r="IV1146" t="s">
        <v>425</v>
      </c>
      <c r="IW1146" s="1">
        <v>41697</v>
      </c>
      <c r="IX1146">
        <v>21</v>
      </c>
      <c r="IY1146">
        <v>13104</v>
      </c>
      <c r="IZ1146" t="s">
        <v>888</v>
      </c>
      <c r="JB1146" s="1">
        <v>41052</v>
      </c>
      <c r="JC1146">
        <v>2011</v>
      </c>
      <c r="JD1146">
        <v>1624.71</v>
      </c>
      <c r="JE1146" t="s">
        <v>11737</v>
      </c>
      <c r="JF1146">
        <v>0.25</v>
      </c>
      <c r="JG1146" t="s">
        <v>424</v>
      </c>
      <c r="JH1146" t="s">
        <v>425</v>
      </c>
      <c r="JJ1146">
        <v>22</v>
      </c>
      <c r="JK1146">
        <v>13678</v>
      </c>
      <c r="JL1146" t="s">
        <v>11738</v>
      </c>
      <c r="JN1146" s="1">
        <v>40688</v>
      </c>
      <c r="JO1146">
        <v>2010</v>
      </c>
      <c r="JP1146">
        <v>1845.12</v>
      </c>
      <c r="JQ1146" t="s">
        <v>11739</v>
      </c>
      <c r="JR1146">
        <v>0.25</v>
      </c>
      <c r="JS1146" t="s">
        <v>424</v>
      </c>
      <c r="JT1146" t="s">
        <v>425</v>
      </c>
      <c r="JU1146" s="1">
        <v>41367</v>
      </c>
      <c r="JV1146">
        <v>23</v>
      </c>
      <c r="JW1146">
        <v>11177</v>
      </c>
      <c r="JX1146" t="s">
        <v>650</v>
      </c>
    </row>
    <row r="1147" spans="1:284" x14ac:dyDescent="0.25">
      <c r="A1147">
        <v>16486154</v>
      </c>
      <c r="B1147">
        <v>1146</v>
      </c>
      <c r="C1147" t="s">
        <v>393</v>
      </c>
      <c r="D1147" t="s">
        <v>394</v>
      </c>
      <c r="F1147" t="str">
        <f>"09-2N-27-0230-0073-0000"</f>
        <v>09-2N-27-0230-0073-0000</v>
      </c>
      <c r="H1147" t="str">
        <f>"WALLACE JUDY"</f>
        <v>WALLACE JUDY</v>
      </c>
      <c r="I1147" t="str">
        <f>"86081 JORDAN COURT"</f>
        <v>86081 JORDAN COURT</v>
      </c>
      <c r="J1147" t="str">
        <f>"YULEE FL 32097"</f>
        <v>YULEE FL 32097</v>
      </c>
      <c r="K1147" t="str">
        <f>"86081 JORDAN CT"</f>
        <v>86081 JORDAN CT</v>
      </c>
      <c r="L1147" t="str">
        <f t="shared" si="370"/>
        <v>YULEE FL 32097</v>
      </c>
      <c r="M1147" t="str">
        <f>"LOT 73 IN OR 1222/1435 CARTESIAN POINTE 1 PB 6/345"</f>
        <v>LOT 73 IN OR 1222/1435 CARTESIAN POINTE 1 PB 6/345</v>
      </c>
      <c r="N1147" t="str">
        <f>""</f>
        <v/>
      </c>
      <c r="O1147" t="str">
        <f>"24921"</f>
        <v>24921</v>
      </c>
      <c r="P1147" t="str">
        <f t="shared" si="360"/>
        <v>2017</v>
      </c>
      <c r="Q1147" t="str">
        <f>""</f>
        <v/>
      </c>
      <c r="R1147" t="str">
        <f>"Y"</f>
        <v>Y</v>
      </c>
      <c r="S1147" t="str">
        <f>""</f>
        <v/>
      </c>
      <c r="T1147" t="str">
        <f>"1046.79"</f>
        <v>1046.79</v>
      </c>
      <c r="U1147" t="str">
        <f>"108251.00"</f>
        <v>108251.00</v>
      </c>
      <c r="V1147" t="str">
        <f>"108251.00"</f>
        <v>108251.00</v>
      </c>
      <c r="W1147" t="str">
        <f t="shared" si="361"/>
        <v>2017</v>
      </c>
      <c r="X1147" t="str">
        <f>""</f>
        <v/>
      </c>
      <c r="Y1147" t="str">
        <f>"1110.19"</f>
        <v>1110.19</v>
      </c>
      <c r="Z1147" t="str">
        <f>"25000.00"</f>
        <v>25000.00</v>
      </c>
      <c r="AA1147" t="str">
        <f>"83251.00"</f>
        <v>83251.00</v>
      </c>
      <c r="AB1147" t="str">
        <f t="shared" si="367"/>
        <v>Residential</v>
      </c>
      <c r="AC1147" t="str">
        <f t="shared" si="366"/>
        <v>0</v>
      </c>
      <c r="AD1147" t="str">
        <f>"4"</f>
        <v>4</v>
      </c>
      <c r="AE1147" t="str">
        <f>"WOOD (INCLUDE STEEL STUDS)"</f>
        <v>WOOD (INCLUDE STEEL STUDS)</v>
      </c>
      <c r="AF1147" t="str">
        <f>"001"</f>
        <v>001</v>
      </c>
      <c r="AG1147" t="str">
        <f t="shared" si="369"/>
        <v>FL</v>
      </c>
      <c r="AH1147" t="str">
        <f>"-"</f>
        <v>-</v>
      </c>
      <c r="AI1147" t="str">
        <f>"25000.00"</f>
        <v>25000.00</v>
      </c>
      <c r="AJ1147" t="str">
        <f>"C55-000-588-9414-8"</f>
        <v>C55-000-588-9414-8</v>
      </c>
      <c r="AK1147" t="str">
        <f>"18590"</f>
        <v>18590</v>
      </c>
      <c r="AL1147">
        <v>4</v>
      </c>
      <c r="AM1147">
        <v>1313</v>
      </c>
      <c r="AN1147">
        <v>1164.0999999999999</v>
      </c>
      <c r="AQ1147" t="s">
        <v>11740</v>
      </c>
      <c r="AR1147" t="s">
        <v>11740</v>
      </c>
      <c r="AS1147" t="s">
        <v>11740</v>
      </c>
      <c r="AU1147" t="s">
        <v>396</v>
      </c>
      <c r="AV1147">
        <v>2017</v>
      </c>
      <c r="AW1147" t="str">
        <f>"09-2N-27-0230-0073-0000 "</f>
        <v xml:space="preserve">09-2N-27-0230-0073-0000 </v>
      </c>
      <c r="AX1147">
        <v>86081</v>
      </c>
      <c r="AZ1147" t="s">
        <v>11741</v>
      </c>
      <c r="BA1147" t="s">
        <v>3181</v>
      </c>
      <c r="BD1147" t="s">
        <v>2387</v>
      </c>
      <c r="BE1147" t="s">
        <v>393</v>
      </c>
      <c r="BF1147">
        <v>32097</v>
      </c>
      <c r="BG1147" t="s">
        <v>11742</v>
      </c>
      <c r="BH1147" t="s">
        <v>2388</v>
      </c>
      <c r="BI1147">
        <v>-81.612148304377797</v>
      </c>
      <c r="BJ1147">
        <v>30.6154207088384</v>
      </c>
      <c r="BK1147" t="s">
        <v>11743</v>
      </c>
      <c r="BM1147" t="s">
        <v>11742</v>
      </c>
      <c r="BN1147" t="s">
        <v>1778</v>
      </c>
      <c r="BO1147">
        <v>32097</v>
      </c>
      <c r="BP1147" t="s">
        <v>416</v>
      </c>
      <c r="BQ1147">
        <v>100</v>
      </c>
      <c r="BR1147" t="s">
        <v>514</v>
      </c>
      <c r="BS1147">
        <v>1001</v>
      </c>
      <c r="BT1147" t="s">
        <v>515</v>
      </c>
      <c r="BW1147">
        <v>14156</v>
      </c>
      <c r="BX1147" t="s">
        <v>407</v>
      </c>
      <c r="BY1147" t="s">
        <v>3019</v>
      </c>
      <c r="BZ1147">
        <v>4</v>
      </c>
      <c r="CA1147">
        <v>2004</v>
      </c>
      <c r="CB1147">
        <v>1</v>
      </c>
      <c r="CC1147">
        <v>1</v>
      </c>
      <c r="CD1147">
        <v>2017</v>
      </c>
      <c r="CG1147">
        <v>108251</v>
      </c>
      <c r="CH1147">
        <v>2017</v>
      </c>
      <c r="CI1147">
        <v>25000</v>
      </c>
      <c r="CJ1147">
        <v>91113</v>
      </c>
      <c r="CK1147">
        <v>116113</v>
      </c>
      <c r="CL1147">
        <v>2017</v>
      </c>
      <c r="CM1147">
        <v>1046.79</v>
      </c>
      <c r="CN1147" s="1">
        <v>38092</v>
      </c>
      <c r="CO1147">
        <v>133400</v>
      </c>
      <c r="CV1147">
        <v>0</v>
      </c>
      <c r="CZ1147" s="1">
        <v>38092</v>
      </c>
      <c r="DA1147">
        <v>0</v>
      </c>
      <c r="DD1147" t="s">
        <v>2387</v>
      </c>
      <c r="DF1147">
        <v>73</v>
      </c>
      <c r="DG1147">
        <v>9</v>
      </c>
      <c r="DJ1147" t="s">
        <v>11744</v>
      </c>
      <c r="DL1147">
        <v>50301</v>
      </c>
      <c r="DM1147" t="s">
        <v>11745</v>
      </c>
      <c r="DO1147" t="s">
        <v>11746</v>
      </c>
      <c r="DP1147">
        <v>0</v>
      </c>
      <c r="DQ1147">
        <v>0</v>
      </c>
      <c r="DR1147" t="s">
        <v>411</v>
      </c>
    </row>
    <row r="1148" spans="1:284" x14ac:dyDescent="0.25">
      <c r="A1148">
        <v>16486155</v>
      </c>
      <c r="B1148">
        <v>1147</v>
      </c>
      <c r="C1148" t="s">
        <v>393</v>
      </c>
      <c r="D1148" t="s">
        <v>394</v>
      </c>
      <c r="F1148" t="str">
        <f>"12-2N-27-1460-0040-0000"</f>
        <v>12-2N-27-1460-0040-0000</v>
      </c>
      <c r="H1148" t="str">
        <f>"ANDERSON KELLIN &amp; JOCELYN"</f>
        <v>ANDERSON KELLIN &amp; JOCELYN</v>
      </c>
      <c r="I1148" t="str">
        <f>"86152 MONTAUK DRIVE"</f>
        <v>86152 MONTAUK DRIVE</v>
      </c>
      <c r="J1148" t="str">
        <f>"FERNANDINA BEACH FL 32034"</f>
        <v>FERNANDINA BEACH FL 32034</v>
      </c>
      <c r="K1148" t="str">
        <f>"86152 MONTAUK DR"</f>
        <v>86152 MONTAUK DR</v>
      </c>
      <c r="L1148" t="str">
        <f>"FERNANDINA BEACH FL 32034"</f>
        <v>FERNANDINA BEACH FL 32034</v>
      </c>
      <c r="M1148" t="str">
        <f>"LOT 40 IN OR 1016/1767 NORTH HAMPTON PHASE 1 PB 6/215"</f>
        <v>LOT 40 IN OR 1016/1767 NORTH HAMPTON PHASE 1 PB 6/215</v>
      </c>
      <c r="N1148" t="str">
        <f>""</f>
        <v/>
      </c>
      <c r="O1148" t="str">
        <f>"28243"</f>
        <v>28243</v>
      </c>
      <c r="P1148" t="str">
        <f t="shared" si="360"/>
        <v>2017</v>
      </c>
      <c r="Q1148" t="str">
        <f>""</f>
        <v/>
      </c>
      <c r="R1148" t="str">
        <f>"Y"</f>
        <v>Y</v>
      </c>
      <c r="S1148" t="str">
        <f>""</f>
        <v/>
      </c>
      <c r="T1148" t="str">
        <f>"1793.85"</f>
        <v>1793.85</v>
      </c>
      <c r="U1148" t="str">
        <f>"157598.00"</f>
        <v>157598.00</v>
      </c>
      <c r="V1148" t="str">
        <f>"157598.00"</f>
        <v>157598.00</v>
      </c>
      <c r="W1148" t="str">
        <f t="shared" si="361"/>
        <v>2017</v>
      </c>
      <c r="X1148" t="str">
        <f>""</f>
        <v/>
      </c>
      <c r="Y1148" t="str">
        <f>"1879.67"</f>
        <v>1879.67</v>
      </c>
      <c r="Z1148" t="str">
        <f>"25000.00"</f>
        <v>25000.00</v>
      </c>
      <c r="AA1148" t="str">
        <f>"132598.00"</f>
        <v>132598.00</v>
      </c>
      <c r="AB1148" t="str">
        <f t="shared" si="367"/>
        <v>Residential</v>
      </c>
      <c r="AC1148" t="str">
        <f t="shared" si="366"/>
        <v>0</v>
      </c>
      <c r="AD1148" t="str">
        <f>"4"</f>
        <v>4</v>
      </c>
      <c r="AE1148" t="str">
        <f>"WOOD (INCLUDE STEEL STUDS)"</f>
        <v>WOOD (INCLUDE STEEL STUDS)</v>
      </c>
      <c r="AF1148" t="str">
        <f>"001"</f>
        <v>001</v>
      </c>
      <c r="AG1148" t="str">
        <f t="shared" si="369"/>
        <v>FL</v>
      </c>
      <c r="AH1148" t="str">
        <f>"-"</f>
        <v>-</v>
      </c>
      <c r="AI1148" t="str">
        <f>"45000.00"</f>
        <v>45000.00</v>
      </c>
      <c r="AJ1148" t="str">
        <f>"C55-000-586-9487-8"</f>
        <v>C55-000-586-9487-8</v>
      </c>
      <c r="AK1148" t="str">
        <f>"18867"</f>
        <v>18867</v>
      </c>
      <c r="AL1148">
        <v>4</v>
      </c>
      <c r="AM1148">
        <v>1314</v>
      </c>
      <c r="AN1148">
        <v>1972.05</v>
      </c>
      <c r="AQ1148" t="s">
        <v>11747</v>
      </c>
      <c r="AR1148" t="s">
        <v>11747</v>
      </c>
      <c r="AS1148" t="s">
        <v>11747</v>
      </c>
      <c r="AU1148" t="s">
        <v>396</v>
      </c>
      <c r="AV1148">
        <v>2017</v>
      </c>
      <c r="AW1148" t="str">
        <f>"12-2N-27-1460-0040-0000 "</f>
        <v xml:space="preserve">12-2N-27-1460-0040-0000 </v>
      </c>
      <c r="AX1148">
        <v>86152</v>
      </c>
      <c r="AZ1148" t="s">
        <v>11748</v>
      </c>
      <c r="BA1148" t="s">
        <v>669</v>
      </c>
      <c r="BD1148" t="s">
        <v>11749</v>
      </c>
      <c r="BE1148" t="s">
        <v>393</v>
      </c>
      <c r="BF1148">
        <v>32034</v>
      </c>
      <c r="BG1148" t="s">
        <v>11750</v>
      </c>
      <c r="BH1148" t="s">
        <v>11751</v>
      </c>
      <c r="BI1148">
        <v>-81.547794343768501</v>
      </c>
      <c r="BJ1148">
        <v>30.610417041021702</v>
      </c>
      <c r="BK1148" t="s">
        <v>11752</v>
      </c>
      <c r="BL1148" t="s">
        <v>11753</v>
      </c>
      <c r="BM1148" t="s">
        <v>11750</v>
      </c>
      <c r="BN1148" t="s">
        <v>3983</v>
      </c>
      <c r="BO1148">
        <v>32034</v>
      </c>
      <c r="BP1148" t="s">
        <v>416</v>
      </c>
      <c r="BQ1148">
        <v>100</v>
      </c>
      <c r="BR1148" t="s">
        <v>514</v>
      </c>
      <c r="BS1148">
        <v>1001</v>
      </c>
      <c r="BT1148" t="s">
        <v>515</v>
      </c>
      <c r="BW1148">
        <v>8461</v>
      </c>
      <c r="BX1148" t="s">
        <v>407</v>
      </c>
      <c r="BY1148" t="s">
        <v>3019</v>
      </c>
      <c r="BZ1148">
        <v>4</v>
      </c>
      <c r="CA1148">
        <v>2001</v>
      </c>
      <c r="CB1148">
        <v>1</v>
      </c>
      <c r="CC1148">
        <v>1</v>
      </c>
      <c r="CD1148">
        <v>2017</v>
      </c>
      <c r="CG1148">
        <v>157598</v>
      </c>
      <c r="CH1148">
        <v>2017</v>
      </c>
      <c r="CI1148">
        <v>45000</v>
      </c>
      <c r="CJ1148">
        <v>151383</v>
      </c>
      <c r="CK1148">
        <v>196383</v>
      </c>
      <c r="CL1148">
        <v>2017</v>
      </c>
      <c r="CM1148">
        <v>1793.85</v>
      </c>
      <c r="CN1148" s="1">
        <v>37195</v>
      </c>
      <c r="CO1148">
        <v>188100</v>
      </c>
      <c r="CV1148">
        <v>169273</v>
      </c>
      <c r="CX1148" t="s">
        <v>675</v>
      </c>
      <c r="CZ1148" s="1">
        <v>37195</v>
      </c>
      <c r="DA1148">
        <v>0</v>
      </c>
      <c r="DD1148" t="s">
        <v>11749</v>
      </c>
      <c r="DF1148">
        <v>40</v>
      </c>
      <c r="DG1148">
        <v>12</v>
      </c>
      <c r="DJ1148" t="s">
        <v>11754</v>
      </c>
      <c r="DL1148">
        <v>50303</v>
      </c>
      <c r="DM1148" t="s">
        <v>11755</v>
      </c>
      <c r="DO1148" t="s">
        <v>11756</v>
      </c>
      <c r="DP1148">
        <v>0</v>
      </c>
      <c r="DQ1148">
        <v>0</v>
      </c>
      <c r="DR1148" t="s">
        <v>411</v>
      </c>
    </row>
    <row r="1149" spans="1:284" x14ac:dyDescent="0.25">
      <c r="A1149">
        <v>16486156</v>
      </c>
      <c r="B1149">
        <v>1148</v>
      </c>
      <c r="C1149" t="s">
        <v>393</v>
      </c>
      <c r="D1149" t="s">
        <v>394</v>
      </c>
      <c r="F1149" t="str">
        <f>"12-2N-27-1460-0358-0000"</f>
        <v>12-2N-27-1460-0358-0000</v>
      </c>
      <c r="H1149" t="str">
        <f>"GLEASON MARK &amp; LISA"</f>
        <v>GLEASON MARK &amp; LISA</v>
      </c>
      <c r="I1149" t="str">
        <f>"86142 EASTPORT DR"</f>
        <v>86142 EASTPORT DR</v>
      </c>
      <c r="J1149" t="str">
        <f>"FERNANDINA BEACH FL 32034"</f>
        <v>FERNANDINA BEACH FL 32034</v>
      </c>
      <c r="K1149" t="str">
        <f>"85042 NAPEAGUE DR"</f>
        <v>85042 NAPEAGUE DR</v>
      </c>
      <c r="L1149" t="str">
        <f>"FERNANDINA BEACH FL 32034"</f>
        <v>FERNANDINA BEACH FL 32034</v>
      </c>
      <c r="M1149" t="str">
        <f>"LOT 358 IN OR 2079/408 NORTH HAMPTON PHASE 3 PB 7/16"</f>
        <v>LOT 358 IN OR 2079/408 NORTH HAMPTON PHASE 3 PB 7/16</v>
      </c>
      <c r="N1149" t="str">
        <f>""</f>
        <v/>
      </c>
      <c r="O1149" t="str">
        <f>"28573"</f>
        <v>28573</v>
      </c>
      <c r="P1149" t="str">
        <f t="shared" si="360"/>
        <v>2017</v>
      </c>
      <c r="Q1149" t="str">
        <f>""</f>
        <v/>
      </c>
      <c r="R1149" t="str">
        <f t="shared" ref="R1149:R1160" si="371">"N"</f>
        <v>N</v>
      </c>
      <c r="S1149" t="str">
        <f>""</f>
        <v/>
      </c>
      <c r="T1149" t="str">
        <f>"1135.42"</f>
        <v>1135.42</v>
      </c>
      <c r="U1149" t="str">
        <f>"75000.00"</f>
        <v>75000.00</v>
      </c>
      <c r="V1149" t="str">
        <f>"75000.00"</f>
        <v>75000.00</v>
      </c>
      <c r="W1149" t="str">
        <f t="shared" si="361"/>
        <v>2017</v>
      </c>
      <c r="X1149" t="str">
        <f>"1.50"</f>
        <v>1.50</v>
      </c>
      <c r="Y1149" t="str">
        <f>"1201.48"</f>
        <v>1201.48</v>
      </c>
      <c r="Z1149" t="str">
        <f>""</f>
        <v/>
      </c>
      <c r="AA1149" t="str">
        <f>"75000.00"</f>
        <v>75000.00</v>
      </c>
      <c r="AB1149" t="str">
        <f t="shared" si="367"/>
        <v>Residential</v>
      </c>
      <c r="AC1149" t="str">
        <f t="shared" si="366"/>
        <v>0</v>
      </c>
      <c r="AD1149" t="str">
        <f>""</f>
        <v/>
      </c>
      <c r="AE1149" t="str">
        <f>""</f>
        <v/>
      </c>
      <c r="AF1149" t="str">
        <f>"000"</f>
        <v>000</v>
      </c>
      <c r="AG1149" t="str">
        <f t="shared" si="369"/>
        <v>FL</v>
      </c>
      <c r="AH1149" t="str">
        <f>"-"</f>
        <v>-</v>
      </c>
      <c r="AI1149" t="str">
        <f>"75000.00"</f>
        <v>75000.00</v>
      </c>
      <c r="AJ1149" t="str">
        <f>"C55-000-589-1401-1"</f>
        <v>C55-000-589-1401-1</v>
      </c>
      <c r="AK1149" t="str">
        <f>"19186"</f>
        <v>19186</v>
      </c>
      <c r="AL1149">
        <v>4</v>
      </c>
      <c r="AM1149">
        <v>1315</v>
      </c>
      <c r="AN1149">
        <v>1259.95</v>
      </c>
      <c r="AQ1149" t="s">
        <v>11757</v>
      </c>
      <c r="AR1149" t="s">
        <v>11757</v>
      </c>
      <c r="AS1149" t="s">
        <v>11757</v>
      </c>
      <c r="AU1149" t="s">
        <v>396</v>
      </c>
      <c r="AV1149">
        <v>2017</v>
      </c>
      <c r="AW1149" t="str">
        <f>"12-2N-27-1460-0358-0000 "</f>
        <v xml:space="preserve">12-2N-27-1460-0358-0000 </v>
      </c>
      <c r="AX1149">
        <v>85042</v>
      </c>
      <c r="AZ1149" t="s">
        <v>11758</v>
      </c>
      <c r="BA1149" t="s">
        <v>669</v>
      </c>
      <c r="BD1149" t="s">
        <v>11749</v>
      </c>
      <c r="BE1149" t="s">
        <v>393</v>
      </c>
      <c r="BF1149">
        <v>32034</v>
      </c>
      <c r="BG1149" t="s">
        <v>11759</v>
      </c>
      <c r="BH1149" t="s">
        <v>11751</v>
      </c>
      <c r="BI1149">
        <v>-81.5545406855599</v>
      </c>
      <c r="BJ1149">
        <v>30.598530601760402</v>
      </c>
      <c r="BK1149" t="s">
        <v>11760</v>
      </c>
      <c r="BL1149" t="s">
        <v>11761</v>
      </c>
      <c r="BM1149" t="s">
        <v>11762</v>
      </c>
      <c r="BN1149" t="s">
        <v>3983</v>
      </c>
      <c r="BO1149">
        <v>32034</v>
      </c>
      <c r="BP1149" t="s">
        <v>404</v>
      </c>
      <c r="BQ1149">
        <v>0</v>
      </c>
      <c r="BR1149" t="s">
        <v>491</v>
      </c>
      <c r="BS1149">
        <v>8001</v>
      </c>
      <c r="BT1149" t="s">
        <v>492</v>
      </c>
      <c r="BW1149">
        <v>22857</v>
      </c>
      <c r="BX1149" t="s">
        <v>407</v>
      </c>
      <c r="BY1149" t="s">
        <v>3019</v>
      </c>
      <c r="CD1149">
        <v>2017</v>
      </c>
      <c r="CE1149">
        <v>75000</v>
      </c>
      <c r="CG1149">
        <v>75000</v>
      </c>
      <c r="CH1149">
        <v>2017</v>
      </c>
      <c r="CI1149">
        <v>75000</v>
      </c>
      <c r="CK1149">
        <v>75000</v>
      </c>
      <c r="CL1149">
        <v>2017</v>
      </c>
      <c r="CM1149">
        <v>1135.42</v>
      </c>
      <c r="CN1149" s="1">
        <v>42667</v>
      </c>
      <c r="CO1149">
        <v>92000</v>
      </c>
      <c r="CV1149">
        <v>64400</v>
      </c>
      <c r="CX1149" t="s">
        <v>3031</v>
      </c>
      <c r="CZ1149" s="1">
        <v>42667</v>
      </c>
      <c r="DA1149">
        <v>0</v>
      </c>
      <c r="DD1149" t="s">
        <v>11749</v>
      </c>
      <c r="DF1149">
        <v>358</v>
      </c>
      <c r="DG1149">
        <v>12</v>
      </c>
      <c r="DJ1149" t="s">
        <v>11754</v>
      </c>
      <c r="DL1149">
        <v>50303</v>
      </c>
      <c r="DM1149" t="s">
        <v>11755</v>
      </c>
      <c r="DO1149" t="s">
        <v>11763</v>
      </c>
      <c r="DP1149">
        <v>0</v>
      </c>
      <c r="DQ1149">
        <v>0</v>
      </c>
      <c r="DR1149" t="s">
        <v>411</v>
      </c>
      <c r="EP1149" t="s">
        <v>421</v>
      </c>
      <c r="EQ1149" t="s">
        <v>422</v>
      </c>
      <c r="ER1149">
        <v>0</v>
      </c>
      <c r="ES1149">
        <v>2</v>
      </c>
      <c r="ET1149">
        <v>0</v>
      </c>
      <c r="EU1149">
        <v>0</v>
      </c>
      <c r="EV1149">
        <v>0</v>
      </c>
      <c r="EW1149" s="2">
        <v>43222</v>
      </c>
      <c r="EX1149" s="1">
        <v>42879</v>
      </c>
      <c r="EY1149">
        <v>2016</v>
      </c>
      <c r="EZ1149">
        <v>1272.1600000000001</v>
      </c>
      <c r="FA1149" t="s">
        <v>11764</v>
      </c>
      <c r="FB1149">
        <v>0.25</v>
      </c>
      <c r="FC1149" t="s">
        <v>424</v>
      </c>
      <c r="FD1149" t="s">
        <v>425</v>
      </c>
      <c r="FE1149" s="1">
        <v>42893</v>
      </c>
      <c r="FF1149">
        <v>1</v>
      </c>
      <c r="FG1149">
        <v>7400234</v>
      </c>
      <c r="FH1149" t="s">
        <v>426</v>
      </c>
      <c r="FJ1149" s="1">
        <v>42879</v>
      </c>
      <c r="FK1149">
        <v>2016</v>
      </c>
      <c r="FL1149">
        <v>1272.1600000000001</v>
      </c>
      <c r="FM1149" t="s">
        <v>11764</v>
      </c>
      <c r="FN1149">
        <v>0.25</v>
      </c>
      <c r="FO1149" t="s">
        <v>424</v>
      </c>
      <c r="FP1149" t="s">
        <v>425</v>
      </c>
      <c r="FR1149">
        <v>22</v>
      </c>
      <c r="FS1149">
        <v>7480320</v>
      </c>
      <c r="FT1149" t="s">
        <v>11765</v>
      </c>
    </row>
    <row r="1150" spans="1:284" x14ac:dyDescent="0.25">
      <c r="A1150">
        <v>16486157</v>
      </c>
      <c r="B1150">
        <v>1149</v>
      </c>
      <c r="C1150" t="s">
        <v>393</v>
      </c>
      <c r="D1150" t="s">
        <v>394</v>
      </c>
      <c r="F1150" t="str">
        <f>"12-2N-27-1460-0385-0000"</f>
        <v>12-2N-27-1460-0385-0000</v>
      </c>
      <c r="H1150" t="str">
        <f>"HAM MICHAEL &amp; KAROLINE"</f>
        <v>HAM MICHAEL &amp; KAROLINE</v>
      </c>
      <c r="I1150" t="str">
        <f>"2357 CANEY OAKS DR"</f>
        <v>2357 CANEY OAKS DR</v>
      </c>
      <c r="J1150" t="str">
        <f>"JACKSONVILLE FL 32218"</f>
        <v>JACKSONVILLE FL 32218</v>
      </c>
      <c r="K1150" t="str">
        <f>"85055 NAPEAGUE DR"</f>
        <v>85055 NAPEAGUE DR</v>
      </c>
      <c r="L1150" t="str">
        <f>"FERNANDINA BEACH FL 32034"</f>
        <v>FERNANDINA BEACH FL 32034</v>
      </c>
      <c r="M1150" t="str">
        <f>"LOT 385 IN OR 2001/1833 NORTH HAMPTON PHASE 3 PB 7/16"</f>
        <v>LOT 385 IN OR 2001/1833 NORTH HAMPTON PHASE 3 PB 7/16</v>
      </c>
      <c r="N1150" t="str">
        <f>""</f>
        <v/>
      </c>
      <c r="O1150" t="str">
        <f>"28600"</f>
        <v>28600</v>
      </c>
      <c r="P1150" t="str">
        <f t="shared" si="360"/>
        <v>2017</v>
      </c>
      <c r="Q1150" t="str">
        <f>""</f>
        <v/>
      </c>
      <c r="R1150" t="str">
        <f t="shared" si="371"/>
        <v>N</v>
      </c>
      <c r="S1150" t="str">
        <f>""</f>
        <v/>
      </c>
      <c r="T1150" t="str">
        <f>"898.62"</f>
        <v>898.62</v>
      </c>
      <c r="U1150" t="str">
        <f>"55000.00"</f>
        <v>55000.00</v>
      </c>
      <c r="V1150" t="str">
        <f>"55000.00"</f>
        <v>55000.00</v>
      </c>
      <c r="W1150" t="str">
        <f t="shared" si="361"/>
        <v>2017</v>
      </c>
      <c r="X1150" t="str">
        <f>"21.00"</f>
        <v>21.00</v>
      </c>
      <c r="Y1150" t="str">
        <f>"957.58"</f>
        <v>957.58</v>
      </c>
      <c r="Z1150" t="str">
        <f>""</f>
        <v/>
      </c>
      <c r="AA1150" t="str">
        <f>"65000.00"</f>
        <v>65000.00</v>
      </c>
      <c r="AB1150" t="str">
        <f t="shared" si="367"/>
        <v>Residential</v>
      </c>
      <c r="AC1150" t="str">
        <f t="shared" si="366"/>
        <v>0</v>
      </c>
      <c r="AD1150" t="str">
        <f>""</f>
        <v/>
      </c>
      <c r="AE1150" t="str">
        <f>""</f>
        <v/>
      </c>
      <c r="AF1150" t="str">
        <f>"000"</f>
        <v>000</v>
      </c>
      <c r="AG1150" t="str">
        <f t="shared" si="369"/>
        <v>FL</v>
      </c>
      <c r="AH1150" t="str">
        <f>"-"</f>
        <v>-</v>
      </c>
      <c r="AI1150" t="str">
        <f>"65000.00"</f>
        <v>65000.00</v>
      </c>
      <c r="AJ1150" t="str">
        <f>"C55-000-589-1428-4"</f>
        <v>C55-000-589-1428-4</v>
      </c>
      <c r="AK1150" t="str">
        <f>"19213"</f>
        <v>19213</v>
      </c>
      <c r="AL1150">
        <v>4</v>
      </c>
      <c r="AM1150">
        <v>1316</v>
      </c>
      <c r="AN1150">
        <v>1003.86</v>
      </c>
      <c r="AQ1150" t="s">
        <v>11766</v>
      </c>
      <c r="AR1150" t="s">
        <v>11766</v>
      </c>
      <c r="AS1150" t="s">
        <v>11766</v>
      </c>
      <c r="AU1150" t="s">
        <v>396</v>
      </c>
      <c r="AV1150">
        <v>2017</v>
      </c>
      <c r="AW1150" t="str">
        <f>"12-2N-27-1460-0385-0000 "</f>
        <v xml:space="preserve">12-2N-27-1460-0385-0000 </v>
      </c>
      <c r="AX1150">
        <v>85055</v>
      </c>
      <c r="AZ1150" t="s">
        <v>11758</v>
      </c>
      <c r="BA1150" t="s">
        <v>669</v>
      </c>
      <c r="BD1150" t="s">
        <v>11749</v>
      </c>
      <c r="BE1150" t="s">
        <v>393</v>
      </c>
      <c r="BF1150">
        <v>32034</v>
      </c>
      <c r="BG1150" t="s">
        <v>11767</v>
      </c>
      <c r="BH1150" t="s">
        <v>11751</v>
      </c>
      <c r="BI1150">
        <v>-81.555210764608702</v>
      </c>
      <c r="BJ1150">
        <v>30.5981700580653</v>
      </c>
      <c r="BK1150" t="s">
        <v>11768</v>
      </c>
      <c r="BL1150" t="s">
        <v>10049</v>
      </c>
      <c r="BM1150" t="s">
        <v>11769</v>
      </c>
      <c r="BN1150" t="s">
        <v>548</v>
      </c>
      <c r="BO1150">
        <v>32218</v>
      </c>
      <c r="BP1150" t="s">
        <v>404</v>
      </c>
      <c r="BQ1150">
        <v>0</v>
      </c>
      <c r="BR1150" t="s">
        <v>491</v>
      </c>
      <c r="BS1150">
        <v>8001</v>
      </c>
      <c r="BT1150" t="s">
        <v>492</v>
      </c>
      <c r="BW1150">
        <v>15008</v>
      </c>
      <c r="BX1150" t="s">
        <v>407</v>
      </c>
      <c r="BY1150" t="s">
        <v>3019</v>
      </c>
      <c r="CD1150">
        <v>2017</v>
      </c>
      <c r="CE1150">
        <v>65000</v>
      </c>
      <c r="CG1150">
        <v>65000</v>
      </c>
      <c r="CH1150">
        <v>2017</v>
      </c>
      <c r="CI1150">
        <v>65000</v>
      </c>
      <c r="CK1150">
        <v>65000</v>
      </c>
      <c r="CL1150">
        <v>2017</v>
      </c>
      <c r="CM1150">
        <v>898.62</v>
      </c>
      <c r="CN1150" s="1">
        <v>42256</v>
      </c>
      <c r="CO1150">
        <v>60000</v>
      </c>
      <c r="CV1150">
        <v>0</v>
      </c>
      <c r="CZ1150" s="1">
        <v>42256</v>
      </c>
      <c r="DA1150">
        <v>0</v>
      </c>
      <c r="DD1150" t="s">
        <v>11749</v>
      </c>
      <c r="DF1150">
        <v>385</v>
      </c>
      <c r="DG1150">
        <v>12</v>
      </c>
      <c r="DJ1150" t="s">
        <v>11754</v>
      </c>
      <c r="DL1150">
        <v>50303</v>
      </c>
      <c r="DM1150" t="s">
        <v>11755</v>
      </c>
      <c r="DO1150" t="s">
        <v>11770</v>
      </c>
      <c r="DP1150">
        <v>0</v>
      </c>
      <c r="DQ1150">
        <v>0</v>
      </c>
      <c r="DR1150" t="s">
        <v>411</v>
      </c>
      <c r="DS1150" t="b">
        <v>1</v>
      </c>
      <c r="DT1150" t="s">
        <v>470</v>
      </c>
      <c r="DU1150" t="s">
        <v>471</v>
      </c>
      <c r="DV1150" t="s">
        <v>472</v>
      </c>
      <c r="DX1150">
        <v>-9999</v>
      </c>
      <c r="DZ1150" t="s">
        <v>447</v>
      </c>
      <c r="EA1150" t="s">
        <v>448</v>
      </c>
      <c r="EB1150" t="s">
        <v>11771</v>
      </c>
      <c r="EC1150">
        <v>20101217</v>
      </c>
      <c r="ED1150" t="s">
        <v>474</v>
      </c>
      <c r="EF1150">
        <v>733</v>
      </c>
      <c r="EG1150">
        <v>192.3</v>
      </c>
      <c r="EI1150">
        <v>20160407</v>
      </c>
      <c r="EJ1150">
        <v>0</v>
      </c>
      <c r="EK1150">
        <v>0</v>
      </c>
      <c r="EP1150" t="s">
        <v>421</v>
      </c>
      <c r="EQ1150" t="s">
        <v>422</v>
      </c>
      <c r="ER1150">
        <v>2</v>
      </c>
      <c r="ES1150">
        <v>2</v>
      </c>
      <c r="ET1150">
        <v>1714.22</v>
      </c>
      <c r="EU1150">
        <v>98.21</v>
      </c>
      <c r="EV1150">
        <v>1812.43</v>
      </c>
      <c r="EW1150" s="2">
        <v>43222</v>
      </c>
      <c r="EX1150" s="1">
        <v>42879</v>
      </c>
      <c r="EY1150">
        <v>2016</v>
      </c>
      <c r="EZ1150">
        <v>857.11</v>
      </c>
      <c r="FA1150" t="s">
        <v>11772</v>
      </c>
      <c r="FB1150">
        <v>0.25</v>
      </c>
      <c r="FC1150" t="s">
        <v>424</v>
      </c>
      <c r="FD1150" t="s">
        <v>454</v>
      </c>
      <c r="FF1150">
        <v>12</v>
      </c>
      <c r="FG1150">
        <v>11289</v>
      </c>
      <c r="FH1150" t="s">
        <v>787</v>
      </c>
      <c r="FJ1150" s="1">
        <v>42879</v>
      </c>
      <c r="FK1150">
        <v>2016</v>
      </c>
      <c r="FL1150">
        <v>857.11</v>
      </c>
      <c r="FM1150" t="s">
        <v>11772</v>
      </c>
      <c r="FN1150">
        <v>0.25</v>
      </c>
      <c r="FO1150" t="s">
        <v>424</v>
      </c>
      <c r="FP1150" t="s">
        <v>454</v>
      </c>
      <c r="FR1150">
        <v>12</v>
      </c>
      <c r="FS1150">
        <v>7322676</v>
      </c>
      <c r="FT1150" t="s">
        <v>11773</v>
      </c>
      <c r="FV1150" s="1">
        <v>42515</v>
      </c>
      <c r="FW1150">
        <v>2015</v>
      </c>
      <c r="FX1150">
        <v>702.21</v>
      </c>
      <c r="FY1150" t="s">
        <v>11774</v>
      </c>
      <c r="FZ1150">
        <v>0.25</v>
      </c>
      <c r="GA1150" t="s">
        <v>424</v>
      </c>
      <c r="GB1150" t="s">
        <v>425</v>
      </c>
      <c r="GC1150" s="1">
        <v>43133</v>
      </c>
      <c r="GD1150">
        <v>21</v>
      </c>
      <c r="GE1150">
        <v>2851116</v>
      </c>
      <c r="GF1150" t="s">
        <v>480</v>
      </c>
      <c r="GH1150" s="1">
        <v>42515</v>
      </c>
      <c r="GI1150">
        <v>2015</v>
      </c>
      <c r="GJ1150">
        <v>702.21</v>
      </c>
      <c r="GK1150" t="s">
        <v>11774</v>
      </c>
      <c r="GL1150">
        <v>0.25</v>
      </c>
      <c r="GM1150" t="s">
        <v>424</v>
      </c>
      <c r="GN1150" t="s">
        <v>425</v>
      </c>
      <c r="GP1150">
        <v>22</v>
      </c>
      <c r="GQ1150">
        <v>5616422</v>
      </c>
      <c r="GR1150" t="s">
        <v>11775</v>
      </c>
    </row>
    <row r="1151" spans="1:284" x14ac:dyDescent="0.25">
      <c r="A1151">
        <v>16486158</v>
      </c>
      <c r="B1151">
        <v>1150</v>
      </c>
      <c r="C1151" t="s">
        <v>393</v>
      </c>
      <c r="D1151" t="s">
        <v>394</v>
      </c>
      <c r="F1151" t="str">
        <f>"18-2N-27-4315-0010-0000"</f>
        <v>18-2N-27-4315-0010-0000</v>
      </c>
      <c r="H1151" t="str">
        <f>"GRESHAM ELBERT THOMAS"</f>
        <v>GRESHAM ELBERT THOMAS</v>
      </c>
      <c r="I1151" t="str">
        <f>"75586 JOHNSON LAKE ROAD"</f>
        <v>75586 JOHNSON LAKE ROAD</v>
      </c>
      <c r="J1151" t="str">
        <f>"YULEE FL 32097"</f>
        <v>YULEE FL 32097</v>
      </c>
      <c r="K1151" t="str">
        <f>"75586 JOHNSON LAKE RD"</f>
        <v>75586 JOHNSON LAKE RD</v>
      </c>
      <c r="L1151" t="str">
        <f t="shared" ref="L1151:L1181" si="372">"YULEE FL 32097"</f>
        <v>YULEE FL 32097</v>
      </c>
      <c r="M1151" t="str">
        <f>"LOT 10 IN OR 1602/938 1986 BIRGADAI DW/MH JOHNSONS LAKE EST UNR"</f>
        <v>LOT 10 IN OR 1602/938 1986 BIRGADAI DW/MH JOHNSONS LAKE EST UNR</v>
      </c>
      <c r="N1151" t="str">
        <f>""</f>
        <v/>
      </c>
      <c r="O1151" t="str">
        <f>"32305"</f>
        <v>32305</v>
      </c>
      <c r="P1151" t="str">
        <f t="shared" si="360"/>
        <v>2017</v>
      </c>
      <c r="Q1151" t="str">
        <f>""</f>
        <v/>
      </c>
      <c r="R1151" t="str">
        <f t="shared" si="371"/>
        <v>N</v>
      </c>
      <c r="S1151" t="str">
        <f>""</f>
        <v/>
      </c>
      <c r="T1151" t="str">
        <f>"691.58"</f>
        <v>691.58</v>
      </c>
      <c r="U1151" t="str">
        <f>"44506.00"</f>
        <v>44506.00</v>
      </c>
      <c r="V1151" t="str">
        <f>"44506.00"</f>
        <v>44506.00</v>
      </c>
      <c r="W1151" t="str">
        <f t="shared" si="361"/>
        <v>2017</v>
      </c>
      <c r="X1151" t="str">
        <f>"1.00"</f>
        <v>1.00</v>
      </c>
      <c r="Y1151" t="str">
        <f>"744.33"</f>
        <v>744.33</v>
      </c>
      <c r="Z1151" t="str">
        <f>""</f>
        <v/>
      </c>
      <c r="AA1151" t="str">
        <f>"47208.00"</f>
        <v>47208.00</v>
      </c>
      <c r="AB1151" t="str">
        <f t="shared" si="367"/>
        <v>Residential</v>
      </c>
      <c r="AC1151" t="str">
        <f t="shared" si="366"/>
        <v>0</v>
      </c>
      <c r="AD1151" t="str">
        <f>"4"</f>
        <v>4</v>
      </c>
      <c r="AE1151" t="str">
        <f>"WOOD (INCLUDE STEEL STUDS)"</f>
        <v>WOOD (INCLUDE STEEL STUDS)</v>
      </c>
      <c r="AF1151" t="str">
        <f>"002"</f>
        <v>002</v>
      </c>
      <c r="AG1151" t="str">
        <f t="shared" si="369"/>
        <v>FL</v>
      </c>
      <c r="AH1151" t="str">
        <f>"15000.00"</f>
        <v>15000.00</v>
      </c>
      <c r="AI1151" t="str">
        <f>"25000.00"</f>
        <v>25000.00</v>
      </c>
      <c r="AJ1151" t="str">
        <f>"C55-000-587-1824-8"</f>
        <v>C55-000-587-1824-8</v>
      </c>
      <c r="AK1151" t="str">
        <f>"19698"</f>
        <v>19698</v>
      </c>
      <c r="AL1151">
        <v>5</v>
      </c>
      <c r="AM1151">
        <v>1317</v>
      </c>
      <c r="AN1151">
        <v>779.95</v>
      </c>
      <c r="AQ1151" t="s">
        <v>11776</v>
      </c>
      <c r="AR1151" t="s">
        <v>11776</v>
      </c>
      <c r="AS1151" t="s">
        <v>11776</v>
      </c>
      <c r="AU1151" t="s">
        <v>396</v>
      </c>
      <c r="AV1151">
        <v>2017</v>
      </c>
      <c r="AW1151" t="str">
        <f>"18-2N-27-4315-0010-0000 "</f>
        <v xml:space="preserve">18-2N-27-4315-0010-0000 </v>
      </c>
      <c r="AX1151">
        <v>75586</v>
      </c>
      <c r="AZ1151" t="s">
        <v>11777</v>
      </c>
      <c r="BA1151" t="s">
        <v>496</v>
      </c>
      <c r="BD1151" t="s">
        <v>2387</v>
      </c>
      <c r="BE1151" t="s">
        <v>393</v>
      </c>
      <c r="BF1151">
        <v>32097</v>
      </c>
      <c r="BG1151" t="s">
        <v>11778</v>
      </c>
      <c r="BH1151" t="s">
        <v>2388</v>
      </c>
      <c r="BI1151">
        <v>-81.646040573909204</v>
      </c>
      <c r="BJ1151">
        <v>30.600698582334999</v>
      </c>
      <c r="BK1151" t="s">
        <v>11779</v>
      </c>
      <c r="BM1151" t="s">
        <v>11778</v>
      </c>
      <c r="BN1151" t="s">
        <v>1778</v>
      </c>
      <c r="BO1151">
        <v>32097</v>
      </c>
      <c r="BP1151" t="s">
        <v>416</v>
      </c>
      <c r="BQ1151">
        <v>200</v>
      </c>
      <c r="BR1151" t="s">
        <v>405</v>
      </c>
      <c r="BS1151">
        <v>1006</v>
      </c>
      <c r="BT1151" t="s">
        <v>406</v>
      </c>
      <c r="BU1151">
        <v>1000</v>
      </c>
      <c r="BV1151">
        <v>1500</v>
      </c>
      <c r="BW1151">
        <v>16531</v>
      </c>
      <c r="BX1151" t="s">
        <v>407</v>
      </c>
      <c r="BY1151" t="s">
        <v>4360</v>
      </c>
      <c r="BZ1151">
        <v>4</v>
      </c>
      <c r="CA1151">
        <v>1986</v>
      </c>
      <c r="CB1151">
        <v>1</v>
      </c>
      <c r="CC1151">
        <v>1</v>
      </c>
      <c r="CD1151">
        <v>2017</v>
      </c>
      <c r="CE1151">
        <v>25000</v>
      </c>
      <c r="CF1151">
        <v>22208</v>
      </c>
      <c r="CG1151">
        <v>47208</v>
      </c>
      <c r="CH1151">
        <v>2017</v>
      </c>
      <c r="CI1151">
        <v>25000</v>
      </c>
      <c r="CJ1151">
        <v>22208</v>
      </c>
      <c r="CK1151">
        <v>47208</v>
      </c>
      <c r="CL1151">
        <v>2017</v>
      </c>
      <c r="CM1151">
        <v>691.58</v>
      </c>
      <c r="CN1151" s="1">
        <v>39707</v>
      </c>
      <c r="CV1151">
        <v>0</v>
      </c>
      <c r="CZ1151" s="1">
        <v>39707</v>
      </c>
      <c r="DA1151">
        <v>0</v>
      </c>
      <c r="DD1151" t="s">
        <v>2387</v>
      </c>
      <c r="DF1151">
        <v>10</v>
      </c>
      <c r="DG1151">
        <v>18</v>
      </c>
      <c r="DL1151">
        <v>50301</v>
      </c>
      <c r="DM1151" t="s">
        <v>11780</v>
      </c>
      <c r="DO1151" t="s">
        <v>11781</v>
      </c>
      <c r="DP1151">
        <v>0</v>
      </c>
      <c r="DQ1151">
        <v>0</v>
      </c>
      <c r="DR1151" t="s">
        <v>411</v>
      </c>
    </row>
    <row r="1152" spans="1:284" x14ac:dyDescent="0.25">
      <c r="A1152">
        <v>16486159</v>
      </c>
      <c r="B1152">
        <v>1151</v>
      </c>
      <c r="C1152" t="s">
        <v>393</v>
      </c>
      <c r="D1152" t="s">
        <v>394</v>
      </c>
      <c r="F1152" t="str">
        <f>"18-2N-27-4315-0040-0000"</f>
        <v>18-2N-27-4315-0040-0000</v>
      </c>
      <c r="H1152" t="str">
        <f>"LEE MATTHEW &amp; LACY"</f>
        <v>LEE MATTHEW &amp; LACY</v>
      </c>
      <c r="I1152" t="str">
        <f>"75820 JOHNSON LAKE RD"</f>
        <v>75820 JOHNSON LAKE RD</v>
      </c>
      <c r="J1152" t="str">
        <f>"YULEE FL 32097"</f>
        <v>YULEE FL 32097</v>
      </c>
      <c r="K1152" t="str">
        <f>"75820 JOHNSON LAKE RD"</f>
        <v>75820 JOHNSON LAKE RD</v>
      </c>
      <c r="L1152" t="str">
        <f t="shared" si="372"/>
        <v>YULEE FL 32097</v>
      </c>
      <c r="M1152" t="str">
        <f>"LOT 40 IN OR 2066/837 (EX PT IN OR 2014/1817) JOHNSONS LAKE ESTATES SUB UNR"</f>
        <v>LOT 40 IN OR 2066/837 (EX PT IN OR 2014/1817) JOHNSONS LAKE ESTATES SUB UNR</v>
      </c>
      <c r="N1152" t="str">
        <f>""</f>
        <v/>
      </c>
      <c r="O1152" t="str">
        <f>"56173"</f>
        <v>56173</v>
      </c>
      <c r="P1152" t="str">
        <f t="shared" si="360"/>
        <v>2017</v>
      </c>
      <c r="Q1152" t="str">
        <f>""</f>
        <v/>
      </c>
      <c r="R1152" t="str">
        <f t="shared" si="371"/>
        <v>N</v>
      </c>
      <c r="S1152" t="str">
        <f>""</f>
        <v/>
      </c>
      <c r="T1152" t="str">
        <f>"1142.09"</f>
        <v>1142.09</v>
      </c>
      <c r="U1152" t="str">
        <f>"75442.00"</f>
        <v>75442.00</v>
      </c>
      <c r="V1152" t="str">
        <f>"75442.00"</f>
        <v>75442.00</v>
      </c>
      <c r="W1152" t="str">
        <f t="shared" si="361"/>
        <v>2017</v>
      </c>
      <c r="X1152" t="str">
        <f>"3.00"</f>
        <v>3.00</v>
      </c>
      <c r="Y1152" t="str">
        <f>"1208.35"</f>
        <v>1208.35</v>
      </c>
      <c r="Z1152" t="str">
        <f>""</f>
        <v/>
      </c>
      <c r="AA1152" t="str">
        <f>"75442.00"</f>
        <v>75442.00</v>
      </c>
      <c r="AB1152" t="str">
        <f t="shared" ref="AB1152:AB1183" si="373">"Residential"</f>
        <v>Residential</v>
      </c>
      <c r="AC1152" t="str">
        <f t="shared" si="366"/>
        <v>0</v>
      </c>
      <c r="AD1152" t="str">
        <f>"4"</f>
        <v>4</v>
      </c>
      <c r="AE1152" t="str">
        <f>"WOOD (INCLUDE STEEL STUDS)"</f>
        <v>WOOD (INCLUDE STEEL STUDS)</v>
      </c>
      <c r="AF1152" t="str">
        <f>"008"</f>
        <v>008</v>
      </c>
      <c r="AG1152" t="str">
        <f t="shared" si="369"/>
        <v>FL</v>
      </c>
      <c r="AH1152" t="str">
        <f>"26777.00"</f>
        <v>26777.00</v>
      </c>
      <c r="AI1152" t="str">
        <f>"25000.00"</f>
        <v>25000.00</v>
      </c>
      <c r="AJ1152" t="str">
        <f>"C55-000-587-1837-0"</f>
        <v>C55-000-587-1837-0</v>
      </c>
      <c r="AK1152" t="str">
        <f>"19711"</f>
        <v>19711</v>
      </c>
      <c r="AL1152">
        <v>5</v>
      </c>
      <c r="AM1152">
        <v>1318</v>
      </c>
      <c r="AN1152">
        <v>1267.17</v>
      </c>
      <c r="AQ1152" t="s">
        <v>11782</v>
      </c>
      <c r="AR1152" t="s">
        <v>11782</v>
      </c>
      <c r="AS1152" t="s">
        <v>11782</v>
      </c>
      <c r="AU1152" t="s">
        <v>396</v>
      </c>
      <c r="AV1152">
        <v>2017</v>
      </c>
      <c r="AW1152" t="str">
        <f>"18-2N-27-4315-0040-0000 "</f>
        <v xml:space="preserve">18-2N-27-4315-0040-0000 </v>
      </c>
      <c r="AX1152">
        <v>75820</v>
      </c>
      <c r="AZ1152" t="s">
        <v>11777</v>
      </c>
      <c r="BA1152" t="s">
        <v>496</v>
      </c>
      <c r="BD1152" t="s">
        <v>2387</v>
      </c>
      <c r="BE1152" t="s">
        <v>393</v>
      </c>
      <c r="BF1152">
        <v>32097</v>
      </c>
      <c r="BG1152" t="s">
        <v>11783</v>
      </c>
      <c r="BH1152" t="s">
        <v>2388</v>
      </c>
      <c r="BI1152">
        <v>-81.646232522125203</v>
      </c>
      <c r="BJ1152">
        <v>30.595984735477401</v>
      </c>
      <c r="BK1152" t="s">
        <v>11784</v>
      </c>
      <c r="BL1152" t="s">
        <v>11785</v>
      </c>
      <c r="BM1152" t="s">
        <v>11783</v>
      </c>
      <c r="BN1152" t="s">
        <v>1778</v>
      </c>
      <c r="BO1152">
        <v>32097</v>
      </c>
      <c r="BP1152" t="s">
        <v>416</v>
      </c>
      <c r="BQ1152">
        <v>800</v>
      </c>
      <c r="BR1152" t="s">
        <v>5126</v>
      </c>
      <c r="BS1152">
        <v>1110</v>
      </c>
      <c r="BT1152" t="s">
        <v>5127</v>
      </c>
      <c r="BU1152">
        <v>1000</v>
      </c>
      <c r="BV1152">
        <v>0</v>
      </c>
      <c r="BW1152">
        <v>26777</v>
      </c>
      <c r="BX1152" t="s">
        <v>407</v>
      </c>
      <c r="BY1152" t="s">
        <v>4360</v>
      </c>
      <c r="BZ1152">
        <v>4</v>
      </c>
      <c r="CA1152">
        <v>1976</v>
      </c>
      <c r="CB1152">
        <v>2</v>
      </c>
      <c r="CC1152">
        <v>1</v>
      </c>
      <c r="CD1152">
        <v>2017</v>
      </c>
      <c r="CE1152">
        <v>25000</v>
      </c>
      <c r="CF1152">
        <v>50442</v>
      </c>
      <c r="CG1152">
        <v>75442</v>
      </c>
      <c r="CH1152">
        <v>2017</v>
      </c>
      <c r="CI1152">
        <v>25000</v>
      </c>
      <c r="CJ1152">
        <v>50442</v>
      </c>
      <c r="CK1152">
        <v>75442</v>
      </c>
      <c r="CL1152">
        <v>2017</v>
      </c>
      <c r="CM1152">
        <v>1142.0899999999999</v>
      </c>
      <c r="CN1152" s="1">
        <v>42604</v>
      </c>
      <c r="CO1152">
        <v>55000</v>
      </c>
      <c r="CV1152">
        <v>0</v>
      </c>
      <c r="CZ1152" s="1">
        <v>42604</v>
      </c>
      <c r="DA1152">
        <v>0</v>
      </c>
      <c r="DD1152" t="s">
        <v>2387</v>
      </c>
      <c r="DG1152">
        <v>18</v>
      </c>
      <c r="DL1152">
        <v>50301</v>
      </c>
      <c r="DM1152" t="s">
        <v>11780</v>
      </c>
      <c r="DO1152" t="s">
        <v>11786</v>
      </c>
      <c r="DP1152">
        <v>0</v>
      </c>
      <c r="DQ1152">
        <v>0</v>
      </c>
      <c r="DR1152" t="s">
        <v>411</v>
      </c>
      <c r="DS1152" t="b">
        <v>1</v>
      </c>
      <c r="DT1152" t="s">
        <v>396</v>
      </c>
      <c r="DV1152" t="s">
        <v>446</v>
      </c>
      <c r="DX1152">
        <v>-9999</v>
      </c>
      <c r="DZ1152" t="s">
        <v>447</v>
      </c>
      <c r="EA1152" t="s">
        <v>448</v>
      </c>
      <c r="EB1152" t="s">
        <v>2792</v>
      </c>
      <c r="EC1152">
        <v>20101217</v>
      </c>
      <c r="ED1152" t="s">
        <v>450</v>
      </c>
      <c r="EE1152">
        <v>5.2</v>
      </c>
      <c r="EF1152">
        <v>0</v>
      </c>
      <c r="EG1152">
        <v>0</v>
      </c>
      <c r="EI1152">
        <v>20160407</v>
      </c>
      <c r="EP1152" t="s">
        <v>421</v>
      </c>
      <c r="EQ1152" t="s">
        <v>422</v>
      </c>
      <c r="ER1152">
        <v>2</v>
      </c>
      <c r="ES1152">
        <v>1</v>
      </c>
      <c r="ET1152">
        <v>2226.5</v>
      </c>
      <c r="EU1152">
        <v>123.83</v>
      </c>
      <c r="EV1152">
        <v>2350.33</v>
      </c>
      <c r="EW1152" s="2">
        <v>43222</v>
      </c>
      <c r="EX1152" s="1">
        <v>42879</v>
      </c>
      <c r="EY1152">
        <v>2016</v>
      </c>
      <c r="EZ1152">
        <v>1113.25</v>
      </c>
      <c r="FA1152" t="s">
        <v>11787</v>
      </c>
      <c r="FB1152">
        <v>0.25</v>
      </c>
      <c r="FC1152" t="s">
        <v>424</v>
      </c>
      <c r="FD1152" t="s">
        <v>454</v>
      </c>
      <c r="FF1152">
        <v>12</v>
      </c>
      <c r="FG1152">
        <v>7400234</v>
      </c>
      <c r="FH1152" t="s">
        <v>426</v>
      </c>
      <c r="FJ1152" s="1">
        <v>42879</v>
      </c>
      <c r="FK1152">
        <v>2016</v>
      </c>
      <c r="FL1152">
        <v>1113.25</v>
      </c>
      <c r="FM1152" t="s">
        <v>11787</v>
      </c>
      <c r="FN1152">
        <v>0.25</v>
      </c>
      <c r="FO1152" t="s">
        <v>424</v>
      </c>
      <c r="FP1152" t="s">
        <v>454</v>
      </c>
      <c r="FR1152">
        <v>12</v>
      </c>
      <c r="FS1152">
        <v>7485649</v>
      </c>
      <c r="FT1152" t="s">
        <v>11788</v>
      </c>
      <c r="FV1152" s="1">
        <v>42515</v>
      </c>
      <c r="FW1152">
        <v>2015</v>
      </c>
      <c r="FX1152">
        <v>1667.97</v>
      </c>
      <c r="FY1152" t="s">
        <v>11789</v>
      </c>
      <c r="FZ1152">
        <v>0.25</v>
      </c>
      <c r="GA1152" t="s">
        <v>424</v>
      </c>
      <c r="GB1152" t="s">
        <v>425</v>
      </c>
      <c r="GC1152" s="1">
        <v>42605</v>
      </c>
      <c r="GD1152">
        <v>3</v>
      </c>
      <c r="GE1152">
        <v>2035919</v>
      </c>
      <c r="GF1152" t="s">
        <v>507</v>
      </c>
    </row>
    <row r="1153" spans="1:272" x14ac:dyDescent="0.25">
      <c r="A1153">
        <v>16486160</v>
      </c>
      <c r="B1153">
        <v>1152</v>
      </c>
      <c r="C1153" t="s">
        <v>393</v>
      </c>
      <c r="D1153" t="s">
        <v>394</v>
      </c>
      <c r="F1153" t="str">
        <f>"18-2N-27-4315-0050-0000"</f>
        <v>18-2N-27-4315-0050-0000</v>
      </c>
      <c r="H1153" t="str">
        <f t="shared" ref="H1153:H1159" si="374">"ZELL DONALD D"</f>
        <v>ZELL DONALD D</v>
      </c>
      <c r="I1153" t="str">
        <f t="shared" ref="I1153:I1159" si="375">"8604 SAN SERVERA DR W"</f>
        <v>8604 SAN SERVERA DR W</v>
      </c>
      <c r="J1153" t="str">
        <f t="shared" ref="J1153:J1159" si="376">"JACKSONVILLE FL 32217"</f>
        <v>JACKSONVILLE FL 32217</v>
      </c>
      <c r="K1153" t="str">
        <f t="shared" ref="K1153:K1159" si="377">"JOHNSON LAKE RD"</f>
        <v>JOHNSON LAKE RD</v>
      </c>
      <c r="L1153" t="str">
        <f t="shared" si="372"/>
        <v>YULEE FL 32097</v>
      </c>
      <c r="M1153" t="str">
        <f>"LOT 50 PT OR 800 PG 411 JOHNSONS LAKE EST UNR"</f>
        <v>LOT 50 PT OR 800 PG 411 JOHNSONS LAKE EST UNR</v>
      </c>
      <c r="N1153" t="str">
        <f>""</f>
        <v/>
      </c>
      <c r="O1153" t="str">
        <f>"32323"</f>
        <v>32323</v>
      </c>
      <c r="P1153" t="str">
        <f t="shared" si="360"/>
        <v>2017</v>
      </c>
      <c r="Q1153" t="str">
        <f>""</f>
        <v/>
      </c>
      <c r="R1153" t="str">
        <f t="shared" si="371"/>
        <v>N</v>
      </c>
      <c r="S1153" t="str">
        <f>""</f>
        <v/>
      </c>
      <c r="T1153" t="str">
        <f>"37.85"</f>
        <v>37.85</v>
      </c>
      <c r="U1153" t="str">
        <f t="shared" ref="U1153:V1155" si="378">"2500.00"</f>
        <v>2500.00</v>
      </c>
      <c r="V1153" t="str">
        <f t="shared" si="378"/>
        <v>2500.00</v>
      </c>
      <c r="W1153" t="str">
        <f t="shared" si="361"/>
        <v>2017</v>
      </c>
      <c r="X1153" t="str">
        <f t="shared" ref="X1153:X1159" si="379">"17.00"</f>
        <v>17.00</v>
      </c>
      <c r="Y1153" t="str">
        <f>"70.99"</f>
        <v>70.99</v>
      </c>
      <c r="Z1153" t="str">
        <f>""</f>
        <v/>
      </c>
      <c r="AA1153" t="str">
        <f>"2500.00"</f>
        <v>2500.00</v>
      </c>
      <c r="AB1153" t="str">
        <f t="shared" si="373"/>
        <v>Residential</v>
      </c>
      <c r="AC1153" t="str">
        <f t="shared" si="366"/>
        <v>0</v>
      </c>
      <c r="AD1153" t="str">
        <f>""</f>
        <v/>
      </c>
      <c r="AE1153" t="str">
        <f>""</f>
        <v/>
      </c>
      <c r="AF1153" t="str">
        <f t="shared" ref="AF1153:AF1160" si="380">"000"</f>
        <v>000</v>
      </c>
      <c r="AG1153" t="str">
        <f t="shared" ref="AG1153:AG1184" si="381">"FL"</f>
        <v>FL</v>
      </c>
      <c r="AH1153" t="str">
        <f>"14000.00"</f>
        <v>14000.00</v>
      </c>
      <c r="AI1153" t="str">
        <f>"2500.00"</f>
        <v>2500.00</v>
      </c>
      <c r="AJ1153" t="str">
        <f>"C55-000-587-1843-8"</f>
        <v>C55-000-587-1843-8</v>
      </c>
      <c r="AK1153" t="str">
        <f>"19716"</f>
        <v>19716</v>
      </c>
      <c r="AL1153">
        <v>5</v>
      </c>
      <c r="AM1153">
        <v>1319</v>
      </c>
      <c r="AN1153">
        <v>72.94</v>
      </c>
      <c r="AQ1153" t="s">
        <v>11790</v>
      </c>
      <c r="AR1153" t="s">
        <v>11790</v>
      </c>
      <c r="AS1153" t="s">
        <v>11790</v>
      </c>
      <c r="AU1153" t="s">
        <v>396</v>
      </c>
      <c r="AV1153">
        <v>2017</v>
      </c>
      <c r="AW1153" t="str">
        <f>"18-2N-27-4315-0050-0000 "</f>
        <v xml:space="preserve">18-2N-27-4315-0050-0000 </v>
      </c>
      <c r="AZ1153" t="s">
        <v>11777</v>
      </c>
      <c r="BA1153" t="s">
        <v>496</v>
      </c>
      <c r="BD1153" t="s">
        <v>2387</v>
      </c>
      <c r="BE1153" t="s">
        <v>393</v>
      </c>
      <c r="BF1153">
        <v>32097</v>
      </c>
      <c r="BG1153" t="s">
        <v>11791</v>
      </c>
      <c r="BH1153" t="s">
        <v>2388</v>
      </c>
      <c r="BI1153">
        <v>-81.647090392540207</v>
      </c>
      <c r="BJ1153">
        <v>30.5955673565024</v>
      </c>
      <c r="BK1153" t="s">
        <v>11792</v>
      </c>
      <c r="BM1153" t="s">
        <v>11793</v>
      </c>
      <c r="BN1153" t="s">
        <v>548</v>
      </c>
      <c r="BO1153">
        <v>32217</v>
      </c>
      <c r="BP1153" t="s">
        <v>404</v>
      </c>
      <c r="BQ1153">
        <v>0</v>
      </c>
      <c r="BR1153" t="s">
        <v>491</v>
      </c>
      <c r="BS1153">
        <v>8001</v>
      </c>
      <c r="BT1153" t="s">
        <v>492</v>
      </c>
      <c r="BU1153">
        <v>1000</v>
      </c>
      <c r="BV1153">
        <v>1400</v>
      </c>
      <c r="BW1153">
        <v>10626</v>
      </c>
      <c r="BX1153" t="s">
        <v>407</v>
      </c>
      <c r="BY1153" t="s">
        <v>4360</v>
      </c>
      <c r="CD1153">
        <v>2017</v>
      </c>
      <c r="CE1153">
        <v>2500</v>
      </c>
      <c r="CG1153">
        <v>2500</v>
      </c>
      <c r="CH1153">
        <v>2017</v>
      </c>
      <c r="CI1153">
        <v>2500</v>
      </c>
      <c r="CK1153">
        <v>2500</v>
      </c>
      <c r="CL1153">
        <v>2017</v>
      </c>
      <c r="CM1153">
        <v>37.85</v>
      </c>
      <c r="CN1153" s="1">
        <v>35628</v>
      </c>
      <c r="CZ1153" s="1">
        <v>35628</v>
      </c>
      <c r="DD1153" t="s">
        <v>2387</v>
      </c>
      <c r="DF1153">
        <v>50</v>
      </c>
      <c r="DG1153">
        <v>18</v>
      </c>
      <c r="DL1153">
        <v>50301</v>
      </c>
      <c r="DM1153" t="s">
        <v>11780</v>
      </c>
      <c r="DO1153" t="s">
        <v>11794</v>
      </c>
      <c r="DP1153">
        <v>0</v>
      </c>
      <c r="DQ1153">
        <v>0</v>
      </c>
      <c r="DR1153" t="s">
        <v>411</v>
      </c>
      <c r="DS1153" t="b">
        <v>1</v>
      </c>
      <c r="DT1153" t="s">
        <v>396</v>
      </c>
      <c r="DV1153" t="s">
        <v>446</v>
      </c>
      <c r="DX1153">
        <v>-9999</v>
      </c>
      <c r="DZ1153" t="s">
        <v>447</v>
      </c>
      <c r="EA1153" t="s">
        <v>448</v>
      </c>
      <c r="EB1153" t="s">
        <v>2792</v>
      </c>
      <c r="EC1153">
        <v>20101217</v>
      </c>
      <c r="ED1153" t="s">
        <v>450</v>
      </c>
      <c r="EE1153">
        <v>5.2</v>
      </c>
      <c r="EF1153">
        <v>0</v>
      </c>
      <c r="EG1153">
        <v>0</v>
      </c>
      <c r="EI1153">
        <v>20160407</v>
      </c>
      <c r="EJ1153">
        <v>0</v>
      </c>
      <c r="EK1153">
        <v>0</v>
      </c>
      <c r="EP1153" t="s">
        <v>595</v>
      </c>
      <c r="EQ1153" t="s">
        <v>422</v>
      </c>
      <c r="ER1153">
        <v>9</v>
      </c>
      <c r="ES1153">
        <v>0</v>
      </c>
      <c r="ET1153">
        <v>601.92999999999995</v>
      </c>
      <c r="EU1153">
        <v>331.16</v>
      </c>
      <c r="EV1153">
        <v>933.09</v>
      </c>
      <c r="EW1153" s="2">
        <v>43222</v>
      </c>
      <c r="EX1153" s="1">
        <v>42879</v>
      </c>
      <c r="EY1153">
        <v>2016</v>
      </c>
      <c r="EZ1153">
        <v>68.510000000000005</v>
      </c>
      <c r="FA1153" t="s">
        <v>11795</v>
      </c>
      <c r="FB1153">
        <v>18</v>
      </c>
      <c r="FC1153" t="s">
        <v>603</v>
      </c>
      <c r="FD1153" t="s">
        <v>454</v>
      </c>
      <c r="FF1153">
        <v>12</v>
      </c>
      <c r="FG1153">
        <v>9999999</v>
      </c>
      <c r="FH1153" t="s">
        <v>604</v>
      </c>
      <c r="FJ1153" s="1">
        <v>42879</v>
      </c>
      <c r="FK1153">
        <v>2016</v>
      </c>
      <c r="FL1153">
        <v>75.790000000000006</v>
      </c>
      <c r="FM1153" t="s">
        <v>11795</v>
      </c>
      <c r="FN1153">
        <v>18</v>
      </c>
      <c r="FO1153" t="s">
        <v>424</v>
      </c>
      <c r="FP1153" t="s">
        <v>454</v>
      </c>
      <c r="FR1153">
        <v>12</v>
      </c>
      <c r="FS1153">
        <v>7400230</v>
      </c>
      <c r="FT1153" t="s">
        <v>11796</v>
      </c>
      <c r="FV1153" s="1">
        <v>42515</v>
      </c>
      <c r="FW1153">
        <v>2015</v>
      </c>
      <c r="FX1153">
        <v>64.510000000000005</v>
      </c>
      <c r="FY1153" t="s">
        <v>11797</v>
      </c>
      <c r="FZ1153">
        <v>18</v>
      </c>
      <c r="GA1153" t="s">
        <v>603</v>
      </c>
      <c r="GB1153" t="s">
        <v>454</v>
      </c>
      <c r="GD1153">
        <v>24</v>
      </c>
      <c r="GE1153">
        <v>9999999</v>
      </c>
      <c r="GF1153" t="s">
        <v>604</v>
      </c>
      <c r="GH1153" s="1">
        <v>42515</v>
      </c>
      <c r="GI1153">
        <v>2015</v>
      </c>
      <c r="GJ1153">
        <v>71.73</v>
      </c>
      <c r="GK1153" t="s">
        <v>11797</v>
      </c>
      <c r="GL1153">
        <v>18</v>
      </c>
      <c r="GM1153" t="s">
        <v>424</v>
      </c>
      <c r="GN1153" t="s">
        <v>454</v>
      </c>
      <c r="GP1153">
        <v>24</v>
      </c>
      <c r="GQ1153">
        <v>10647</v>
      </c>
      <c r="GR1153" t="s">
        <v>4602</v>
      </c>
      <c r="GT1153" s="1">
        <v>42151</v>
      </c>
      <c r="GU1153">
        <v>2014</v>
      </c>
      <c r="GV1153">
        <v>64.739999999999995</v>
      </c>
      <c r="GW1153" t="s">
        <v>11798</v>
      </c>
      <c r="GX1153">
        <v>16.75</v>
      </c>
      <c r="GY1153" t="s">
        <v>424</v>
      </c>
      <c r="GZ1153" t="s">
        <v>454</v>
      </c>
      <c r="HB1153">
        <v>36</v>
      </c>
      <c r="HC1153">
        <v>10125</v>
      </c>
      <c r="HD1153" t="s">
        <v>440</v>
      </c>
      <c r="HF1153" s="1">
        <v>41787</v>
      </c>
      <c r="HG1153">
        <v>2013</v>
      </c>
      <c r="HH1153">
        <v>62.45</v>
      </c>
      <c r="HI1153" t="s">
        <v>11799</v>
      </c>
      <c r="HJ1153">
        <v>18</v>
      </c>
      <c r="HK1153" t="s">
        <v>603</v>
      </c>
      <c r="HL1153" t="s">
        <v>454</v>
      </c>
      <c r="HN1153">
        <v>48</v>
      </c>
      <c r="HO1153">
        <v>9999999</v>
      </c>
      <c r="HP1153" t="s">
        <v>604</v>
      </c>
      <c r="HR1153" s="1">
        <v>41787</v>
      </c>
      <c r="HS1153">
        <v>2013</v>
      </c>
      <c r="HT1153">
        <v>71.510000000000005</v>
      </c>
      <c r="HU1153" t="s">
        <v>11799</v>
      </c>
      <c r="HV1153">
        <v>18</v>
      </c>
      <c r="HW1153" t="s">
        <v>424</v>
      </c>
      <c r="HX1153" t="s">
        <v>454</v>
      </c>
      <c r="HZ1153">
        <v>48</v>
      </c>
      <c r="IA1153">
        <v>10647</v>
      </c>
      <c r="IB1153" t="s">
        <v>4602</v>
      </c>
      <c r="ID1153" s="1">
        <v>41423</v>
      </c>
      <c r="IE1153">
        <v>2012</v>
      </c>
      <c r="IF1153">
        <v>62.96</v>
      </c>
      <c r="IG1153" t="s">
        <v>11800</v>
      </c>
      <c r="IH1153">
        <v>10</v>
      </c>
      <c r="II1153" t="s">
        <v>424</v>
      </c>
      <c r="IJ1153" t="s">
        <v>454</v>
      </c>
      <c r="IL1153">
        <v>60</v>
      </c>
      <c r="IM1153">
        <v>10125</v>
      </c>
      <c r="IN1153" t="s">
        <v>440</v>
      </c>
      <c r="IP1153" s="1">
        <v>41052</v>
      </c>
      <c r="IQ1153">
        <v>2011</v>
      </c>
      <c r="IR1153">
        <v>59.73</v>
      </c>
      <c r="IS1153" t="s">
        <v>11801</v>
      </c>
      <c r="IT1153">
        <v>11</v>
      </c>
      <c r="IU1153" t="s">
        <v>424</v>
      </c>
      <c r="IV1153" t="s">
        <v>454</v>
      </c>
      <c r="IX1153">
        <v>72</v>
      </c>
      <c r="IY1153">
        <v>10125</v>
      </c>
      <c r="IZ1153" t="s">
        <v>440</v>
      </c>
    </row>
    <row r="1154" spans="1:272" x14ac:dyDescent="0.25">
      <c r="A1154">
        <v>16486161</v>
      </c>
      <c r="B1154">
        <v>1153</v>
      </c>
      <c r="C1154" t="s">
        <v>393</v>
      </c>
      <c r="D1154" t="s">
        <v>394</v>
      </c>
      <c r="F1154" t="str">
        <f>"18-2N-27-4315-0051-0000"</f>
        <v>18-2N-27-4315-0051-0000</v>
      </c>
      <c r="H1154" t="str">
        <f t="shared" si="374"/>
        <v>ZELL DONALD D</v>
      </c>
      <c r="I1154" t="str">
        <f t="shared" si="375"/>
        <v>8604 SAN SERVERA DR W</v>
      </c>
      <c r="J1154" t="str">
        <f t="shared" si="376"/>
        <v>JACKSONVILLE FL 32217</v>
      </c>
      <c r="K1154" t="str">
        <f t="shared" si="377"/>
        <v>JOHNSON LAKE RD</v>
      </c>
      <c r="L1154" t="str">
        <f t="shared" si="372"/>
        <v>YULEE FL 32097</v>
      </c>
      <c r="M1154" t="str">
        <f>"LOT 51 PT OR 800 PG 411 JOHNSONS LAKE EST UNR"</f>
        <v>LOT 51 PT OR 800 PG 411 JOHNSONS LAKE EST UNR</v>
      </c>
      <c r="N1154" t="str">
        <f>""</f>
        <v/>
      </c>
      <c r="O1154" t="str">
        <f>"32324"</f>
        <v>32324</v>
      </c>
      <c r="P1154" t="str">
        <f t="shared" ref="P1154:P1217" si="382">"2017"</f>
        <v>2017</v>
      </c>
      <c r="Q1154" t="str">
        <f>""</f>
        <v/>
      </c>
      <c r="R1154" t="str">
        <f t="shared" si="371"/>
        <v>N</v>
      </c>
      <c r="S1154" t="str">
        <f>""</f>
        <v/>
      </c>
      <c r="T1154" t="str">
        <f>"37.85"</f>
        <v>37.85</v>
      </c>
      <c r="U1154" t="str">
        <f t="shared" si="378"/>
        <v>2500.00</v>
      </c>
      <c r="V1154" t="str">
        <f t="shared" si="378"/>
        <v>2500.00</v>
      </c>
      <c r="W1154" t="str">
        <f t="shared" ref="W1154:W1217" si="383">"2017"</f>
        <v>2017</v>
      </c>
      <c r="X1154" t="str">
        <f t="shared" si="379"/>
        <v>17.00</v>
      </c>
      <c r="Y1154" t="str">
        <f>"70.99"</f>
        <v>70.99</v>
      </c>
      <c r="Z1154" t="str">
        <f>""</f>
        <v/>
      </c>
      <c r="AA1154" t="str">
        <f>"2500.00"</f>
        <v>2500.00</v>
      </c>
      <c r="AB1154" t="str">
        <f t="shared" si="373"/>
        <v>Residential</v>
      </c>
      <c r="AC1154" t="str">
        <f t="shared" si="366"/>
        <v>0</v>
      </c>
      <c r="AD1154" t="str">
        <f>""</f>
        <v/>
      </c>
      <c r="AE1154" t="str">
        <f>""</f>
        <v/>
      </c>
      <c r="AF1154" t="str">
        <f t="shared" si="380"/>
        <v>000</v>
      </c>
      <c r="AG1154" t="str">
        <f t="shared" si="381"/>
        <v>FL</v>
      </c>
      <c r="AH1154" t="str">
        <f>"14000.00"</f>
        <v>14000.00</v>
      </c>
      <c r="AI1154" t="str">
        <f>"2500.00"</f>
        <v>2500.00</v>
      </c>
      <c r="AJ1154" t="str">
        <f>"C55-000-587-1844-6"</f>
        <v>C55-000-587-1844-6</v>
      </c>
      <c r="AK1154" t="str">
        <f>"19717"</f>
        <v>19717</v>
      </c>
      <c r="AL1154">
        <v>5</v>
      </c>
      <c r="AM1154">
        <v>1320</v>
      </c>
      <c r="AN1154">
        <v>72.94</v>
      </c>
      <c r="AQ1154" t="s">
        <v>11802</v>
      </c>
      <c r="AR1154" t="s">
        <v>11802</v>
      </c>
      <c r="AS1154" t="s">
        <v>11802</v>
      </c>
      <c r="AU1154" t="s">
        <v>396</v>
      </c>
      <c r="AV1154">
        <v>2017</v>
      </c>
      <c r="AW1154" t="str">
        <f>"18-2N-27-4315-0051-0000 "</f>
        <v xml:space="preserve">18-2N-27-4315-0051-0000 </v>
      </c>
      <c r="AZ1154" t="s">
        <v>11777</v>
      </c>
      <c r="BA1154" t="s">
        <v>496</v>
      </c>
      <c r="BD1154" t="s">
        <v>2387</v>
      </c>
      <c r="BE1154" t="s">
        <v>393</v>
      </c>
      <c r="BF1154">
        <v>32097</v>
      </c>
      <c r="BG1154" t="s">
        <v>11791</v>
      </c>
      <c r="BH1154" t="s">
        <v>2388</v>
      </c>
      <c r="BI1154">
        <v>-81.647225595052006</v>
      </c>
      <c r="BJ1154">
        <v>30.5958161808299</v>
      </c>
      <c r="BK1154" t="s">
        <v>11792</v>
      </c>
      <c r="BM1154" t="s">
        <v>11793</v>
      </c>
      <c r="BN1154" t="s">
        <v>548</v>
      </c>
      <c r="BO1154">
        <v>32217</v>
      </c>
      <c r="BP1154" t="s">
        <v>404</v>
      </c>
      <c r="BQ1154">
        <v>0</v>
      </c>
      <c r="BR1154" t="s">
        <v>491</v>
      </c>
      <c r="BS1154">
        <v>8001</v>
      </c>
      <c r="BT1154" t="s">
        <v>492</v>
      </c>
      <c r="BU1154">
        <v>1000</v>
      </c>
      <c r="BV1154">
        <v>1400</v>
      </c>
      <c r="BW1154">
        <v>11640</v>
      </c>
      <c r="BX1154" t="s">
        <v>407</v>
      </c>
      <c r="BY1154" t="s">
        <v>4360</v>
      </c>
      <c r="CD1154">
        <v>2017</v>
      </c>
      <c r="CE1154">
        <v>2500</v>
      </c>
      <c r="CG1154">
        <v>2500</v>
      </c>
      <c r="CH1154">
        <v>2017</v>
      </c>
      <c r="CI1154">
        <v>2500</v>
      </c>
      <c r="CK1154">
        <v>2500</v>
      </c>
      <c r="CL1154">
        <v>2017</v>
      </c>
      <c r="CM1154">
        <v>37.85</v>
      </c>
      <c r="CN1154" s="1">
        <v>35628</v>
      </c>
      <c r="CZ1154" s="1">
        <v>35628</v>
      </c>
      <c r="DD1154" t="s">
        <v>2387</v>
      </c>
      <c r="DF1154">
        <v>51</v>
      </c>
      <c r="DG1154">
        <v>18</v>
      </c>
      <c r="DL1154">
        <v>50301</v>
      </c>
      <c r="DM1154" t="s">
        <v>11780</v>
      </c>
      <c r="DO1154" t="s">
        <v>11803</v>
      </c>
      <c r="DP1154">
        <v>0</v>
      </c>
      <c r="DQ1154">
        <v>0</v>
      </c>
      <c r="DR1154" t="s">
        <v>411</v>
      </c>
      <c r="DS1154" t="b">
        <v>1</v>
      </c>
      <c r="DT1154" t="s">
        <v>396</v>
      </c>
      <c r="DV1154" t="s">
        <v>446</v>
      </c>
      <c r="DX1154">
        <v>-9999</v>
      </c>
      <c r="DZ1154" t="s">
        <v>447</v>
      </c>
      <c r="EA1154" t="s">
        <v>448</v>
      </c>
      <c r="EB1154" t="s">
        <v>2792</v>
      </c>
      <c r="EC1154">
        <v>20101217</v>
      </c>
      <c r="ED1154" t="s">
        <v>450</v>
      </c>
      <c r="EE1154">
        <v>5.2</v>
      </c>
      <c r="EF1154">
        <v>0</v>
      </c>
      <c r="EG1154">
        <v>0</v>
      </c>
      <c r="EI1154">
        <v>20160407</v>
      </c>
      <c r="EJ1154">
        <v>0</v>
      </c>
      <c r="EK1154">
        <v>0</v>
      </c>
      <c r="EP1154" t="s">
        <v>595</v>
      </c>
      <c r="EQ1154" t="s">
        <v>422</v>
      </c>
      <c r="ER1154">
        <v>9</v>
      </c>
      <c r="ES1154">
        <v>0</v>
      </c>
      <c r="ET1154">
        <v>601.92999999999995</v>
      </c>
      <c r="EU1154">
        <v>331.16</v>
      </c>
      <c r="EV1154">
        <v>933.09</v>
      </c>
      <c r="EW1154" s="2">
        <v>43222</v>
      </c>
      <c r="EX1154" s="1">
        <v>42879</v>
      </c>
      <c r="EY1154">
        <v>2016</v>
      </c>
      <c r="EZ1154">
        <v>68.510000000000005</v>
      </c>
      <c r="FA1154" t="s">
        <v>11804</v>
      </c>
      <c r="FB1154">
        <v>18</v>
      </c>
      <c r="FC1154" t="s">
        <v>603</v>
      </c>
      <c r="FD1154" t="s">
        <v>454</v>
      </c>
      <c r="FF1154">
        <v>12</v>
      </c>
      <c r="FG1154">
        <v>9999999</v>
      </c>
      <c r="FH1154" t="s">
        <v>604</v>
      </c>
      <c r="FJ1154" s="1">
        <v>42879</v>
      </c>
      <c r="FK1154">
        <v>2016</v>
      </c>
      <c r="FL1154">
        <v>75.790000000000006</v>
      </c>
      <c r="FM1154" t="s">
        <v>11804</v>
      </c>
      <c r="FN1154">
        <v>18</v>
      </c>
      <c r="FO1154" t="s">
        <v>424</v>
      </c>
      <c r="FP1154" t="s">
        <v>454</v>
      </c>
      <c r="FR1154">
        <v>12</v>
      </c>
      <c r="FS1154">
        <v>7400230</v>
      </c>
      <c r="FT1154" t="s">
        <v>11796</v>
      </c>
      <c r="FV1154" s="1">
        <v>42515</v>
      </c>
      <c r="FW1154">
        <v>2015</v>
      </c>
      <c r="FX1154">
        <v>64.510000000000005</v>
      </c>
      <c r="FY1154" t="s">
        <v>11805</v>
      </c>
      <c r="FZ1154">
        <v>18</v>
      </c>
      <c r="GA1154" t="s">
        <v>603</v>
      </c>
      <c r="GB1154" t="s">
        <v>454</v>
      </c>
      <c r="GD1154">
        <v>24</v>
      </c>
      <c r="GE1154">
        <v>9999999</v>
      </c>
      <c r="GF1154" t="s">
        <v>604</v>
      </c>
      <c r="GH1154" s="1">
        <v>42515</v>
      </c>
      <c r="GI1154">
        <v>2015</v>
      </c>
      <c r="GJ1154">
        <v>71.73</v>
      </c>
      <c r="GK1154" t="s">
        <v>11805</v>
      </c>
      <c r="GL1154">
        <v>18</v>
      </c>
      <c r="GM1154" t="s">
        <v>424</v>
      </c>
      <c r="GN1154" t="s">
        <v>454</v>
      </c>
      <c r="GP1154">
        <v>24</v>
      </c>
      <c r="GQ1154">
        <v>10647</v>
      </c>
      <c r="GR1154" t="s">
        <v>4602</v>
      </c>
      <c r="GT1154" s="1">
        <v>42151</v>
      </c>
      <c r="GU1154">
        <v>2014</v>
      </c>
      <c r="GV1154">
        <v>64.739999999999995</v>
      </c>
      <c r="GW1154" t="s">
        <v>11806</v>
      </c>
      <c r="GX1154">
        <v>16.75</v>
      </c>
      <c r="GY1154" t="s">
        <v>424</v>
      </c>
      <c r="GZ1154" t="s">
        <v>454</v>
      </c>
      <c r="HB1154">
        <v>36</v>
      </c>
      <c r="HC1154">
        <v>10125</v>
      </c>
      <c r="HD1154" t="s">
        <v>440</v>
      </c>
      <c r="HF1154" s="1">
        <v>41787</v>
      </c>
      <c r="HG1154">
        <v>2013</v>
      </c>
      <c r="HH1154">
        <v>62.45</v>
      </c>
      <c r="HI1154" t="s">
        <v>11807</v>
      </c>
      <c r="HJ1154">
        <v>18</v>
      </c>
      <c r="HK1154" t="s">
        <v>603</v>
      </c>
      <c r="HL1154" t="s">
        <v>454</v>
      </c>
      <c r="HN1154">
        <v>48</v>
      </c>
      <c r="HO1154">
        <v>9999999</v>
      </c>
      <c r="HP1154" t="s">
        <v>604</v>
      </c>
      <c r="HR1154" s="1">
        <v>41787</v>
      </c>
      <c r="HS1154">
        <v>2013</v>
      </c>
      <c r="HT1154">
        <v>71.510000000000005</v>
      </c>
      <c r="HU1154" t="s">
        <v>11807</v>
      </c>
      <c r="HV1154">
        <v>18</v>
      </c>
      <c r="HW1154" t="s">
        <v>424</v>
      </c>
      <c r="HX1154" t="s">
        <v>454</v>
      </c>
      <c r="HZ1154">
        <v>48</v>
      </c>
      <c r="IA1154">
        <v>10647</v>
      </c>
      <c r="IB1154" t="s">
        <v>4602</v>
      </c>
      <c r="ID1154" s="1">
        <v>41423</v>
      </c>
      <c r="IE1154">
        <v>2012</v>
      </c>
      <c r="IF1154">
        <v>62.96</v>
      </c>
      <c r="IG1154" t="s">
        <v>11808</v>
      </c>
      <c r="IH1154">
        <v>10</v>
      </c>
      <c r="II1154" t="s">
        <v>424</v>
      </c>
      <c r="IJ1154" t="s">
        <v>454</v>
      </c>
      <c r="IL1154">
        <v>60</v>
      </c>
      <c r="IM1154">
        <v>10125</v>
      </c>
      <c r="IN1154" t="s">
        <v>440</v>
      </c>
      <c r="IP1154" s="1">
        <v>41052</v>
      </c>
      <c r="IQ1154">
        <v>2011</v>
      </c>
      <c r="IR1154">
        <v>59.73</v>
      </c>
      <c r="IS1154" t="s">
        <v>11809</v>
      </c>
      <c r="IT1154">
        <v>11</v>
      </c>
      <c r="IU1154" t="s">
        <v>424</v>
      </c>
      <c r="IV1154" t="s">
        <v>454</v>
      </c>
      <c r="IX1154">
        <v>72</v>
      </c>
      <c r="IY1154">
        <v>10125</v>
      </c>
      <c r="IZ1154" t="s">
        <v>440</v>
      </c>
    </row>
    <row r="1155" spans="1:272" x14ac:dyDescent="0.25">
      <c r="A1155">
        <v>16486162</v>
      </c>
      <c r="B1155">
        <v>1154</v>
      </c>
      <c r="C1155" t="s">
        <v>393</v>
      </c>
      <c r="D1155" t="s">
        <v>394</v>
      </c>
      <c r="F1155" t="str">
        <f>"18-2N-27-4315-0052-0000"</f>
        <v>18-2N-27-4315-0052-0000</v>
      </c>
      <c r="H1155" t="str">
        <f t="shared" si="374"/>
        <v>ZELL DONALD D</v>
      </c>
      <c r="I1155" t="str">
        <f t="shared" si="375"/>
        <v>8604 SAN SERVERA DR W</v>
      </c>
      <c r="J1155" t="str">
        <f t="shared" si="376"/>
        <v>JACKSONVILLE FL 32217</v>
      </c>
      <c r="K1155" t="str">
        <f t="shared" si="377"/>
        <v>JOHNSON LAKE RD</v>
      </c>
      <c r="L1155" t="str">
        <f t="shared" si="372"/>
        <v>YULEE FL 32097</v>
      </c>
      <c r="M1155" t="str">
        <f>"LOT 52 PT OR 800 PG 411 JOHNSONS LAKE EST UNR"</f>
        <v>LOT 52 PT OR 800 PG 411 JOHNSONS LAKE EST UNR</v>
      </c>
      <c r="N1155" t="str">
        <f>""</f>
        <v/>
      </c>
      <c r="O1155" t="str">
        <f>"32325"</f>
        <v>32325</v>
      </c>
      <c r="P1155" t="str">
        <f t="shared" si="382"/>
        <v>2017</v>
      </c>
      <c r="Q1155" t="str">
        <f>""</f>
        <v/>
      </c>
      <c r="R1155" t="str">
        <f t="shared" si="371"/>
        <v>N</v>
      </c>
      <c r="S1155" t="str">
        <f>""</f>
        <v/>
      </c>
      <c r="T1155" t="str">
        <f>"37.85"</f>
        <v>37.85</v>
      </c>
      <c r="U1155" t="str">
        <f t="shared" si="378"/>
        <v>2500.00</v>
      </c>
      <c r="V1155" t="str">
        <f t="shared" si="378"/>
        <v>2500.00</v>
      </c>
      <c r="W1155" t="str">
        <f t="shared" si="383"/>
        <v>2017</v>
      </c>
      <c r="X1155" t="str">
        <f t="shared" si="379"/>
        <v>17.00</v>
      </c>
      <c r="Y1155" t="str">
        <f>"70.99"</f>
        <v>70.99</v>
      </c>
      <c r="Z1155" t="str">
        <f>""</f>
        <v/>
      </c>
      <c r="AA1155" t="str">
        <f>"2500.00"</f>
        <v>2500.00</v>
      </c>
      <c r="AB1155" t="str">
        <f t="shared" si="373"/>
        <v>Residential</v>
      </c>
      <c r="AC1155" t="str">
        <f t="shared" si="366"/>
        <v>0</v>
      </c>
      <c r="AD1155" t="str">
        <f>""</f>
        <v/>
      </c>
      <c r="AE1155" t="str">
        <f>""</f>
        <v/>
      </c>
      <c r="AF1155" t="str">
        <f t="shared" si="380"/>
        <v>000</v>
      </c>
      <c r="AG1155" t="str">
        <f t="shared" si="381"/>
        <v>FL</v>
      </c>
      <c r="AH1155" t="str">
        <f>"14000.00"</f>
        <v>14000.00</v>
      </c>
      <c r="AI1155" t="str">
        <f>"2500.00"</f>
        <v>2500.00</v>
      </c>
      <c r="AJ1155" t="str">
        <f>"C55-000-587-1845-3"</f>
        <v>C55-000-587-1845-3</v>
      </c>
      <c r="AK1155" t="str">
        <f>"19718"</f>
        <v>19718</v>
      </c>
      <c r="AL1155">
        <v>5</v>
      </c>
      <c r="AM1155">
        <v>1321</v>
      </c>
      <c r="AN1155">
        <v>72.94</v>
      </c>
      <c r="AQ1155" t="s">
        <v>11810</v>
      </c>
      <c r="AR1155" t="s">
        <v>11810</v>
      </c>
      <c r="AS1155" t="s">
        <v>11810</v>
      </c>
      <c r="AU1155" t="s">
        <v>396</v>
      </c>
      <c r="AV1155">
        <v>2017</v>
      </c>
      <c r="AW1155" t="str">
        <f>"18-2N-27-4315-0052-0000 "</f>
        <v xml:space="preserve">18-2N-27-4315-0052-0000 </v>
      </c>
      <c r="AZ1155" t="s">
        <v>11777</v>
      </c>
      <c r="BA1155" t="s">
        <v>496</v>
      </c>
      <c r="BD1155" t="s">
        <v>2387</v>
      </c>
      <c r="BE1155" t="s">
        <v>393</v>
      </c>
      <c r="BF1155">
        <v>32097</v>
      </c>
      <c r="BG1155" t="s">
        <v>11791</v>
      </c>
      <c r="BH1155" t="s">
        <v>2388</v>
      </c>
      <c r="BI1155">
        <v>-81.6473691515843</v>
      </c>
      <c r="BJ1155">
        <v>30.596057027652598</v>
      </c>
      <c r="BK1155" t="s">
        <v>11792</v>
      </c>
      <c r="BM1155" t="s">
        <v>11793</v>
      </c>
      <c r="BN1155" t="s">
        <v>548</v>
      </c>
      <c r="BO1155">
        <v>32217</v>
      </c>
      <c r="BP1155" t="s">
        <v>404</v>
      </c>
      <c r="BQ1155">
        <v>0</v>
      </c>
      <c r="BR1155" t="s">
        <v>491</v>
      </c>
      <c r="BS1155">
        <v>8001</v>
      </c>
      <c r="BT1155" t="s">
        <v>492</v>
      </c>
      <c r="BU1155">
        <v>1000</v>
      </c>
      <c r="BV1155">
        <v>1400</v>
      </c>
      <c r="BW1155">
        <v>11895</v>
      </c>
      <c r="BX1155" t="s">
        <v>407</v>
      </c>
      <c r="BY1155" t="s">
        <v>4360</v>
      </c>
      <c r="CD1155">
        <v>2017</v>
      </c>
      <c r="CE1155">
        <v>2500</v>
      </c>
      <c r="CG1155">
        <v>2500</v>
      </c>
      <c r="CH1155">
        <v>2017</v>
      </c>
      <c r="CI1155">
        <v>2500</v>
      </c>
      <c r="CK1155">
        <v>2500</v>
      </c>
      <c r="CL1155">
        <v>2017</v>
      </c>
      <c r="CM1155">
        <v>37.85</v>
      </c>
      <c r="CN1155" s="1">
        <v>35628</v>
      </c>
      <c r="CZ1155" s="1">
        <v>35628</v>
      </c>
      <c r="DD1155" t="s">
        <v>2387</v>
      </c>
      <c r="DF1155">
        <v>52</v>
      </c>
      <c r="DG1155">
        <v>18</v>
      </c>
      <c r="DL1155">
        <v>50301</v>
      </c>
      <c r="DM1155" t="s">
        <v>11780</v>
      </c>
      <c r="DO1155" t="s">
        <v>11811</v>
      </c>
      <c r="DP1155">
        <v>0</v>
      </c>
      <c r="DQ1155">
        <v>0</v>
      </c>
      <c r="DR1155" t="s">
        <v>411</v>
      </c>
      <c r="DS1155" t="b">
        <v>1</v>
      </c>
      <c r="DT1155" t="s">
        <v>396</v>
      </c>
      <c r="DV1155" t="s">
        <v>446</v>
      </c>
      <c r="DX1155">
        <v>-9999</v>
      </c>
      <c r="DZ1155" t="s">
        <v>447</v>
      </c>
      <c r="EA1155" t="s">
        <v>448</v>
      </c>
      <c r="EB1155" t="s">
        <v>2792</v>
      </c>
      <c r="EC1155">
        <v>20101217</v>
      </c>
      <c r="ED1155" t="s">
        <v>450</v>
      </c>
      <c r="EE1155">
        <v>5.3</v>
      </c>
      <c r="EF1155">
        <v>0</v>
      </c>
      <c r="EG1155">
        <v>0</v>
      </c>
      <c r="EI1155">
        <v>20160407</v>
      </c>
      <c r="EJ1155">
        <v>0</v>
      </c>
      <c r="EK1155">
        <v>0</v>
      </c>
      <c r="EP1155" t="s">
        <v>595</v>
      </c>
      <c r="EQ1155" t="s">
        <v>422</v>
      </c>
      <c r="ER1155">
        <v>9</v>
      </c>
      <c r="ES1155">
        <v>0</v>
      </c>
      <c r="ET1155">
        <v>601.92999999999995</v>
      </c>
      <c r="EU1155">
        <v>331.16</v>
      </c>
      <c r="EV1155">
        <v>933.09</v>
      </c>
      <c r="EW1155" s="2">
        <v>43222</v>
      </c>
      <c r="EX1155" s="1">
        <v>42879</v>
      </c>
      <c r="EY1155">
        <v>2016</v>
      </c>
      <c r="EZ1155">
        <v>68.510000000000005</v>
      </c>
      <c r="FA1155" t="s">
        <v>11812</v>
      </c>
      <c r="FB1155">
        <v>18</v>
      </c>
      <c r="FC1155" t="s">
        <v>603</v>
      </c>
      <c r="FD1155" t="s">
        <v>454</v>
      </c>
      <c r="FF1155">
        <v>12</v>
      </c>
      <c r="FG1155">
        <v>9999999</v>
      </c>
      <c r="FH1155" t="s">
        <v>604</v>
      </c>
      <c r="FJ1155" s="1">
        <v>42879</v>
      </c>
      <c r="FK1155">
        <v>2016</v>
      </c>
      <c r="FL1155">
        <v>75.790000000000006</v>
      </c>
      <c r="FM1155" t="s">
        <v>11812</v>
      </c>
      <c r="FN1155">
        <v>18</v>
      </c>
      <c r="FO1155" t="s">
        <v>424</v>
      </c>
      <c r="FP1155" t="s">
        <v>454</v>
      </c>
      <c r="FR1155">
        <v>12</v>
      </c>
      <c r="FS1155">
        <v>7400230</v>
      </c>
      <c r="FT1155" t="s">
        <v>11796</v>
      </c>
      <c r="FV1155" s="1">
        <v>42515</v>
      </c>
      <c r="FW1155">
        <v>2015</v>
      </c>
      <c r="FX1155">
        <v>64.510000000000005</v>
      </c>
      <c r="FY1155" t="s">
        <v>11813</v>
      </c>
      <c r="FZ1155">
        <v>18</v>
      </c>
      <c r="GA1155" t="s">
        <v>603</v>
      </c>
      <c r="GB1155" t="s">
        <v>454</v>
      </c>
      <c r="GD1155">
        <v>24</v>
      </c>
      <c r="GE1155">
        <v>9999999</v>
      </c>
      <c r="GF1155" t="s">
        <v>604</v>
      </c>
      <c r="GH1155" s="1">
        <v>42515</v>
      </c>
      <c r="GI1155">
        <v>2015</v>
      </c>
      <c r="GJ1155">
        <v>71.73</v>
      </c>
      <c r="GK1155" t="s">
        <v>11813</v>
      </c>
      <c r="GL1155">
        <v>18</v>
      </c>
      <c r="GM1155" t="s">
        <v>424</v>
      </c>
      <c r="GN1155" t="s">
        <v>454</v>
      </c>
      <c r="GP1155">
        <v>24</v>
      </c>
      <c r="GQ1155">
        <v>10647</v>
      </c>
      <c r="GR1155" t="s">
        <v>4602</v>
      </c>
      <c r="GT1155" s="1">
        <v>42151</v>
      </c>
      <c r="GU1155">
        <v>2014</v>
      </c>
      <c r="GV1155">
        <v>64.739999999999995</v>
      </c>
      <c r="GW1155" t="s">
        <v>11814</v>
      </c>
      <c r="GX1155">
        <v>16.75</v>
      </c>
      <c r="GY1155" t="s">
        <v>424</v>
      </c>
      <c r="GZ1155" t="s">
        <v>454</v>
      </c>
      <c r="HB1155">
        <v>36</v>
      </c>
      <c r="HC1155">
        <v>10125</v>
      </c>
      <c r="HD1155" t="s">
        <v>440</v>
      </c>
      <c r="HF1155" s="1">
        <v>41787</v>
      </c>
      <c r="HG1155">
        <v>2013</v>
      </c>
      <c r="HH1155">
        <v>62.45</v>
      </c>
      <c r="HI1155" t="s">
        <v>11815</v>
      </c>
      <c r="HJ1155">
        <v>18</v>
      </c>
      <c r="HK1155" t="s">
        <v>603</v>
      </c>
      <c r="HL1155" t="s">
        <v>454</v>
      </c>
      <c r="HN1155">
        <v>48</v>
      </c>
      <c r="HO1155">
        <v>9999999</v>
      </c>
      <c r="HP1155" t="s">
        <v>604</v>
      </c>
      <c r="HR1155" s="1">
        <v>41787</v>
      </c>
      <c r="HS1155">
        <v>2013</v>
      </c>
      <c r="HT1155">
        <v>71.510000000000005</v>
      </c>
      <c r="HU1155" t="s">
        <v>11815</v>
      </c>
      <c r="HV1155">
        <v>18</v>
      </c>
      <c r="HW1155" t="s">
        <v>424</v>
      </c>
      <c r="HX1155" t="s">
        <v>454</v>
      </c>
      <c r="HZ1155">
        <v>48</v>
      </c>
      <c r="IA1155">
        <v>10647</v>
      </c>
      <c r="IB1155" t="s">
        <v>4602</v>
      </c>
      <c r="ID1155" s="1">
        <v>41423</v>
      </c>
      <c r="IE1155">
        <v>2012</v>
      </c>
      <c r="IF1155">
        <v>62.96</v>
      </c>
      <c r="IG1155" t="s">
        <v>11816</v>
      </c>
      <c r="IH1155">
        <v>10</v>
      </c>
      <c r="II1155" t="s">
        <v>424</v>
      </c>
      <c r="IJ1155" t="s">
        <v>454</v>
      </c>
      <c r="IL1155">
        <v>60</v>
      </c>
      <c r="IM1155">
        <v>10125</v>
      </c>
      <c r="IN1155" t="s">
        <v>440</v>
      </c>
      <c r="IP1155" s="1">
        <v>41052</v>
      </c>
      <c r="IQ1155">
        <v>2011</v>
      </c>
      <c r="IR1155">
        <v>59.73</v>
      </c>
      <c r="IS1155" t="s">
        <v>11817</v>
      </c>
      <c r="IT1155">
        <v>11</v>
      </c>
      <c r="IU1155" t="s">
        <v>424</v>
      </c>
      <c r="IV1155" t="s">
        <v>454</v>
      </c>
      <c r="IX1155">
        <v>72</v>
      </c>
      <c r="IY1155">
        <v>10125</v>
      </c>
      <c r="IZ1155" t="s">
        <v>440</v>
      </c>
    </row>
    <row r="1156" spans="1:272" x14ac:dyDescent="0.25">
      <c r="A1156">
        <v>16486163</v>
      </c>
      <c r="B1156">
        <v>1155</v>
      </c>
      <c r="C1156" t="s">
        <v>393</v>
      </c>
      <c r="D1156" t="s">
        <v>394</v>
      </c>
      <c r="F1156" t="str">
        <f>"18-2N-27-4315-0053-0000"</f>
        <v>18-2N-27-4315-0053-0000</v>
      </c>
      <c r="H1156" t="str">
        <f t="shared" si="374"/>
        <v>ZELL DONALD D</v>
      </c>
      <c r="I1156" t="str">
        <f t="shared" si="375"/>
        <v>8604 SAN SERVERA DR W</v>
      </c>
      <c r="J1156" t="str">
        <f t="shared" si="376"/>
        <v>JACKSONVILLE FL 32217</v>
      </c>
      <c r="K1156" t="str">
        <f t="shared" si="377"/>
        <v>JOHNSON LAKE RD</v>
      </c>
      <c r="L1156" t="str">
        <f t="shared" si="372"/>
        <v>YULEE FL 32097</v>
      </c>
      <c r="M1156" t="str">
        <f>"LOT 53 PT OR 800 PG 411 JOHNSONS LAKE EST UNR"</f>
        <v>LOT 53 PT OR 800 PG 411 JOHNSONS LAKE EST UNR</v>
      </c>
      <c r="N1156" t="str">
        <f>""</f>
        <v/>
      </c>
      <c r="O1156" t="str">
        <f>"32326"</f>
        <v>32326</v>
      </c>
      <c r="P1156" t="str">
        <f t="shared" si="382"/>
        <v>2017</v>
      </c>
      <c r="Q1156" t="str">
        <f>""</f>
        <v/>
      </c>
      <c r="R1156" t="str">
        <f t="shared" si="371"/>
        <v>N</v>
      </c>
      <c r="S1156" t="str">
        <f>""</f>
        <v/>
      </c>
      <c r="T1156" t="str">
        <f>"51.09"</f>
        <v>51.09</v>
      </c>
      <c r="U1156" t="str">
        <f>"3375.00"</f>
        <v>3375.00</v>
      </c>
      <c r="V1156" t="str">
        <f>"3375.00"</f>
        <v>3375.00</v>
      </c>
      <c r="W1156" t="str">
        <f t="shared" si="383"/>
        <v>2017</v>
      </c>
      <c r="X1156" t="str">
        <f t="shared" si="379"/>
        <v>17.00</v>
      </c>
      <c r="Y1156" t="str">
        <f>"84.62"</f>
        <v>84.62</v>
      </c>
      <c r="Z1156" t="str">
        <f>""</f>
        <v/>
      </c>
      <c r="AA1156" t="str">
        <f>"3375.00"</f>
        <v>3375.00</v>
      </c>
      <c r="AB1156" t="str">
        <f t="shared" si="373"/>
        <v>Residential</v>
      </c>
      <c r="AC1156" t="str">
        <f t="shared" si="366"/>
        <v>0</v>
      </c>
      <c r="AD1156" t="str">
        <f>""</f>
        <v/>
      </c>
      <c r="AE1156" t="str">
        <f>""</f>
        <v/>
      </c>
      <c r="AF1156" t="str">
        <f t="shared" si="380"/>
        <v>000</v>
      </c>
      <c r="AG1156" t="str">
        <f t="shared" si="381"/>
        <v>FL</v>
      </c>
      <c r="AH1156" t="str">
        <f>"12825.00"</f>
        <v>12825.00</v>
      </c>
      <c r="AI1156" t="str">
        <f>"3375.00"</f>
        <v>3375.00</v>
      </c>
      <c r="AJ1156" t="str">
        <f>"C55-000-587-1846-1"</f>
        <v>C55-000-587-1846-1</v>
      </c>
      <c r="AK1156" t="str">
        <f>"19719"</f>
        <v>19719</v>
      </c>
      <c r="AL1156">
        <v>5</v>
      </c>
      <c r="AM1156">
        <v>1322</v>
      </c>
      <c r="AN1156">
        <v>87.25</v>
      </c>
      <c r="AQ1156" t="s">
        <v>11818</v>
      </c>
      <c r="AR1156" t="s">
        <v>11818</v>
      </c>
      <c r="AS1156" t="s">
        <v>11818</v>
      </c>
      <c r="AU1156" t="s">
        <v>396</v>
      </c>
      <c r="AV1156">
        <v>2017</v>
      </c>
      <c r="AW1156" t="str">
        <f>"18-2N-27-4315-0053-0000 "</f>
        <v xml:space="preserve">18-2N-27-4315-0053-0000 </v>
      </c>
      <c r="AZ1156" t="s">
        <v>11777</v>
      </c>
      <c r="BA1156" t="s">
        <v>496</v>
      </c>
      <c r="BD1156" t="s">
        <v>2387</v>
      </c>
      <c r="BE1156" t="s">
        <v>393</v>
      </c>
      <c r="BF1156">
        <v>32097</v>
      </c>
      <c r="BG1156" t="s">
        <v>11791</v>
      </c>
      <c r="BH1156" t="s">
        <v>2388</v>
      </c>
      <c r="BI1156">
        <v>-81.647588066409099</v>
      </c>
      <c r="BJ1156">
        <v>30.596331133693301</v>
      </c>
      <c r="BK1156" t="s">
        <v>11792</v>
      </c>
      <c r="BM1156" t="s">
        <v>11793</v>
      </c>
      <c r="BN1156" t="s">
        <v>548</v>
      </c>
      <c r="BO1156">
        <v>32217</v>
      </c>
      <c r="BP1156" t="s">
        <v>404</v>
      </c>
      <c r="BQ1156">
        <v>0</v>
      </c>
      <c r="BR1156" t="s">
        <v>491</v>
      </c>
      <c r="BS1156">
        <v>8001</v>
      </c>
      <c r="BT1156" t="s">
        <v>492</v>
      </c>
      <c r="BU1156">
        <v>1350</v>
      </c>
      <c r="BV1156">
        <v>0</v>
      </c>
      <c r="BW1156">
        <v>13435</v>
      </c>
      <c r="BX1156" t="s">
        <v>407</v>
      </c>
      <c r="BY1156" t="s">
        <v>4360</v>
      </c>
      <c r="CD1156">
        <v>2017</v>
      </c>
      <c r="CE1156">
        <v>3375</v>
      </c>
      <c r="CG1156">
        <v>3375</v>
      </c>
      <c r="CH1156">
        <v>2017</v>
      </c>
      <c r="CI1156">
        <v>3375</v>
      </c>
      <c r="CK1156">
        <v>3375</v>
      </c>
      <c r="CL1156">
        <v>2017</v>
      </c>
      <c r="CM1156">
        <v>51.09</v>
      </c>
      <c r="CN1156" s="1">
        <v>35628</v>
      </c>
      <c r="CZ1156" s="1">
        <v>35628</v>
      </c>
      <c r="DD1156" t="s">
        <v>2387</v>
      </c>
      <c r="DF1156">
        <v>53</v>
      </c>
      <c r="DG1156">
        <v>18</v>
      </c>
      <c r="DL1156">
        <v>50301</v>
      </c>
      <c r="DM1156" t="s">
        <v>11780</v>
      </c>
      <c r="DO1156" t="s">
        <v>11819</v>
      </c>
      <c r="DP1156">
        <v>0</v>
      </c>
      <c r="DQ1156">
        <v>0</v>
      </c>
      <c r="DR1156" t="s">
        <v>411</v>
      </c>
      <c r="DS1156" t="b">
        <v>1</v>
      </c>
      <c r="DT1156" t="s">
        <v>396</v>
      </c>
      <c r="DV1156" t="s">
        <v>446</v>
      </c>
      <c r="DX1156">
        <v>-9999</v>
      </c>
      <c r="DZ1156" t="s">
        <v>447</v>
      </c>
      <c r="EA1156" t="s">
        <v>448</v>
      </c>
      <c r="EB1156" t="s">
        <v>2792</v>
      </c>
      <c r="EC1156">
        <v>20101217</v>
      </c>
      <c r="ED1156" t="s">
        <v>450</v>
      </c>
      <c r="EE1156">
        <v>5.3</v>
      </c>
      <c r="EF1156">
        <v>0</v>
      </c>
      <c r="EG1156">
        <v>0</v>
      </c>
      <c r="EI1156">
        <v>20160407</v>
      </c>
      <c r="EJ1156">
        <v>0</v>
      </c>
      <c r="EK1156">
        <v>0</v>
      </c>
      <c r="EP1156" t="s">
        <v>595</v>
      </c>
      <c r="EQ1156" t="s">
        <v>422</v>
      </c>
      <c r="ER1156">
        <v>9</v>
      </c>
      <c r="ES1156">
        <v>0</v>
      </c>
      <c r="ET1156">
        <v>725.89</v>
      </c>
      <c r="EU1156">
        <v>387.04</v>
      </c>
      <c r="EV1156">
        <v>1112.93</v>
      </c>
      <c r="EW1156" s="2">
        <v>43222</v>
      </c>
      <c r="EX1156" s="1">
        <v>42879</v>
      </c>
      <c r="EY1156">
        <v>2016</v>
      </c>
      <c r="EZ1156">
        <v>83.02</v>
      </c>
      <c r="FA1156" t="s">
        <v>11820</v>
      </c>
      <c r="FB1156">
        <v>18</v>
      </c>
      <c r="FC1156" t="s">
        <v>603</v>
      </c>
      <c r="FD1156" t="s">
        <v>454</v>
      </c>
      <c r="FF1156">
        <v>12</v>
      </c>
      <c r="FG1156">
        <v>9999999</v>
      </c>
      <c r="FH1156" t="s">
        <v>604</v>
      </c>
      <c r="FJ1156" s="1">
        <v>42879</v>
      </c>
      <c r="FK1156">
        <v>2016</v>
      </c>
      <c r="FL1156">
        <v>90.52</v>
      </c>
      <c r="FM1156" t="s">
        <v>11820</v>
      </c>
      <c r="FN1156">
        <v>18</v>
      </c>
      <c r="FO1156" t="s">
        <v>424</v>
      </c>
      <c r="FP1156" t="s">
        <v>454</v>
      </c>
      <c r="FR1156">
        <v>12</v>
      </c>
      <c r="FS1156">
        <v>7400230</v>
      </c>
      <c r="FT1156" t="s">
        <v>11796</v>
      </c>
      <c r="FV1156" s="1">
        <v>42515</v>
      </c>
      <c r="FW1156">
        <v>2015</v>
      </c>
      <c r="FX1156">
        <v>79.38</v>
      </c>
      <c r="FY1156" t="s">
        <v>11821</v>
      </c>
      <c r="FZ1156">
        <v>18</v>
      </c>
      <c r="GA1156" t="s">
        <v>603</v>
      </c>
      <c r="GB1156" t="s">
        <v>454</v>
      </c>
      <c r="GD1156">
        <v>24</v>
      </c>
      <c r="GE1156">
        <v>9999999</v>
      </c>
      <c r="GF1156" t="s">
        <v>604</v>
      </c>
      <c r="GH1156" s="1">
        <v>42515</v>
      </c>
      <c r="GI1156">
        <v>2015</v>
      </c>
      <c r="GJ1156">
        <v>86.82</v>
      </c>
      <c r="GK1156" t="s">
        <v>11821</v>
      </c>
      <c r="GL1156">
        <v>18</v>
      </c>
      <c r="GM1156" t="s">
        <v>424</v>
      </c>
      <c r="GN1156" t="s">
        <v>454</v>
      </c>
      <c r="GP1156">
        <v>24</v>
      </c>
      <c r="GQ1156">
        <v>10647</v>
      </c>
      <c r="GR1156" t="s">
        <v>4602</v>
      </c>
      <c r="GT1156" s="1">
        <v>42151</v>
      </c>
      <c r="GU1156">
        <v>2014</v>
      </c>
      <c r="GV1156">
        <v>79.680000000000007</v>
      </c>
      <c r="GW1156" t="s">
        <v>11822</v>
      </c>
      <c r="GX1156">
        <v>16.75</v>
      </c>
      <c r="GY1156" t="s">
        <v>424</v>
      </c>
      <c r="GZ1156" t="s">
        <v>454</v>
      </c>
      <c r="HB1156">
        <v>36</v>
      </c>
      <c r="HC1156">
        <v>10125</v>
      </c>
      <c r="HD1156" t="s">
        <v>440</v>
      </c>
      <c r="HF1156" s="1">
        <v>41787</v>
      </c>
      <c r="HG1156">
        <v>2013</v>
      </c>
      <c r="HH1156">
        <v>76.599999999999994</v>
      </c>
      <c r="HI1156" t="s">
        <v>11823</v>
      </c>
      <c r="HJ1156">
        <v>18</v>
      </c>
      <c r="HK1156" t="s">
        <v>603</v>
      </c>
      <c r="HL1156" t="s">
        <v>454</v>
      </c>
      <c r="HN1156">
        <v>48</v>
      </c>
      <c r="HO1156">
        <v>9999999</v>
      </c>
      <c r="HP1156" t="s">
        <v>604</v>
      </c>
      <c r="HR1156" s="1">
        <v>41787</v>
      </c>
      <c r="HS1156">
        <v>2013</v>
      </c>
      <c r="HT1156">
        <v>86.3</v>
      </c>
      <c r="HU1156" t="s">
        <v>11823</v>
      </c>
      <c r="HV1156">
        <v>18</v>
      </c>
      <c r="HW1156" t="s">
        <v>424</v>
      </c>
      <c r="HX1156" t="s">
        <v>454</v>
      </c>
      <c r="HZ1156">
        <v>48</v>
      </c>
      <c r="IA1156">
        <v>10647</v>
      </c>
      <c r="IB1156" t="s">
        <v>4602</v>
      </c>
      <c r="ID1156" s="1">
        <v>41423</v>
      </c>
      <c r="IE1156">
        <v>2012</v>
      </c>
      <c r="IF1156">
        <v>77.28</v>
      </c>
      <c r="IG1156" t="s">
        <v>11824</v>
      </c>
      <c r="IH1156">
        <v>10</v>
      </c>
      <c r="II1156" t="s">
        <v>424</v>
      </c>
      <c r="IJ1156" t="s">
        <v>454</v>
      </c>
      <c r="IL1156">
        <v>60</v>
      </c>
      <c r="IM1156">
        <v>375</v>
      </c>
      <c r="IN1156" t="s">
        <v>776</v>
      </c>
      <c r="IP1156" s="1">
        <v>41052</v>
      </c>
      <c r="IQ1156">
        <v>2011</v>
      </c>
      <c r="IR1156">
        <v>66.290000000000006</v>
      </c>
      <c r="IS1156" t="s">
        <v>11825</v>
      </c>
      <c r="IT1156">
        <v>11</v>
      </c>
      <c r="IU1156" t="s">
        <v>424</v>
      </c>
      <c r="IV1156" t="s">
        <v>454</v>
      </c>
      <c r="IX1156">
        <v>72</v>
      </c>
      <c r="IY1156">
        <v>10125</v>
      </c>
      <c r="IZ1156" t="s">
        <v>440</v>
      </c>
    </row>
    <row r="1157" spans="1:272" x14ac:dyDescent="0.25">
      <c r="A1157">
        <v>16486164</v>
      </c>
      <c r="B1157">
        <v>1156</v>
      </c>
      <c r="C1157" t="s">
        <v>393</v>
      </c>
      <c r="D1157" t="s">
        <v>394</v>
      </c>
      <c r="F1157" t="str">
        <f>"18-2N-27-4315-0054-0000"</f>
        <v>18-2N-27-4315-0054-0000</v>
      </c>
      <c r="H1157" t="str">
        <f t="shared" si="374"/>
        <v>ZELL DONALD D</v>
      </c>
      <c r="I1157" t="str">
        <f t="shared" si="375"/>
        <v>8604 SAN SERVERA DR W</v>
      </c>
      <c r="J1157" t="str">
        <f t="shared" si="376"/>
        <v>JACKSONVILLE FL 32217</v>
      </c>
      <c r="K1157" t="str">
        <f t="shared" si="377"/>
        <v>JOHNSON LAKE RD</v>
      </c>
      <c r="L1157" t="str">
        <f t="shared" si="372"/>
        <v>YULEE FL 32097</v>
      </c>
      <c r="M1157" t="str">
        <f>"LOT 54 PT OR 800 PG 411 JOHNSONS LAKE EST UNR"</f>
        <v>LOT 54 PT OR 800 PG 411 JOHNSONS LAKE EST UNR</v>
      </c>
      <c r="N1157" t="str">
        <f>""</f>
        <v/>
      </c>
      <c r="O1157" t="str">
        <f>"32327"</f>
        <v>32327</v>
      </c>
      <c r="P1157" t="str">
        <f t="shared" si="382"/>
        <v>2017</v>
      </c>
      <c r="Q1157" t="str">
        <f>""</f>
        <v/>
      </c>
      <c r="R1157" t="str">
        <f t="shared" si="371"/>
        <v>N</v>
      </c>
      <c r="S1157" t="str">
        <f>""</f>
        <v/>
      </c>
      <c r="T1157" t="str">
        <f>"51.09"</f>
        <v>51.09</v>
      </c>
      <c r="U1157" t="str">
        <f>"3375.00"</f>
        <v>3375.00</v>
      </c>
      <c r="V1157" t="str">
        <f>"3375.00"</f>
        <v>3375.00</v>
      </c>
      <c r="W1157" t="str">
        <f t="shared" si="383"/>
        <v>2017</v>
      </c>
      <c r="X1157" t="str">
        <f t="shared" si="379"/>
        <v>17.00</v>
      </c>
      <c r="Y1157" t="str">
        <f>"84.62"</f>
        <v>84.62</v>
      </c>
      <c r="Z1157" t="str">
        <f>""</f>
        <v/>
      </c>
      <c r="AA1157" t="str">
        <f>"3375.00"</f>
        <v>3375.00</v>
      </c>
      <c r="AB1157" t="str">
        <f t="shared" si="373"/>
        <v>Residential</v>
      </c>
      <c r="AC1157" t="str">
        <f t="shared" si="366"/>
        <v>0</v>
      </c>
      <c r="AD1157" t="str">
        <f>""</f>
        <v/>
      </c>
      <c r="AE1157" t="str">
        <f>""</f>
        <v/>
      </c>
      <c r="AF1157" t="str">
        <f t="shared" si="380"/>
        <v>000</v>
      </c>
      <c r="AG1157" t="str">
        <f t="shared" si="381"/>
        <v>FL</v>
      </c>
      <c r="AH1157" t="str">
        <f>"12825.00"</f>
        <v>12825.00</v>
      </c>
      <c r="AI1157" t="str">
        <f>"3375.00"</f>
        <v>3375.00</v>
      </c>
      <c r="AJ1157" t="str">
        <f>"C55-000-587-1847-9"</f>
        <v>C55-000-587-1847-9</v>
      </c>
      <c r="AK1157" t="str">
        <f>"19720"</f>
        <v>19720</v>
      </c>
      <c r="AL1157">
        <v>5</v>
      </c>
      <c r="AM1157">
        <v>1323</v>
      </c>
      <c r="AN1157">
        <v>87.25</v>
      </c>
      <c r="AQ1157" t="s">
        <v>11826</v>
      </c>
      <c r="AR1157" t="s">
        <v>11826</v>
      </c>
      <c r="AS1157" t="s">
        <v>11826</v>
      </c>
      <c r="AU1157" t="s">
        <v>396</v>
      </c>
      <c r="AV1157">
        <v>2017</v>
      </c>
      <c r="AW1157" t="str">
        <f>"18-2N-27-4315-0054-0000 "</f>
        <v xml:space="preserve">18-2N-27-4315-0054-0000 </v>
      </c>
      <c r="AZ1157" t="s">
        <v>11777</v>
      </c>
      <c r="BA1157" t="s">
        <v>496</v>
      </c>
      <c r="BD1157" t="s">
        <v>2387</v>
      </c>
      <c r="BE1157" t="s">
        <v>393</v>
      </c>
      <c r="BF1157">
        <v>32097</v>
      </c>
      <c r="BG1157" t="s">
        <v>11791</v>
      </c>
      <c r="BH1157" t="s">
        <v>2388</v>
      </c>
      <c r="BI1157">
        <v>-81.648044742437605</v>
      </c>
      <c r="BJ1157">
        <v>30.596550349745801</v>
      </c>
      <c r="BK1157" t="s">
        <v>11792</v>
      </c>
      <c r="BM1157" t="s">
        <v>11793</v>
      </c>
      <c r="BN1157" t="s">
        <v>548</v>
      </c>
      <c r="BO1157">
        <v>32217</v>
      </c>
      <c r="BP1157" t="s">
        <v>404</v>
      </c>
      <c r="BQ1157">
        <v>0</v>
      </c>
      <c r="BR1157" t="s">
        <v>491</v>
      </c>
      <c r="BS1157">
        <v>8001</v>
      </c>
      <c r="BT1157" t="s">
        <v>492</v>
      </c>
      <c r="BU1157">
        <v>1350</v>
      </c>
      <c r="BV1157">
        <v>0</v>
      </c>
      <c r="BW1157">
        <v>19539</v>
      </c>
      <c r="BX1157" t="s">
        <v>407</v>
      </c>
      <c r="BY1157" t="s">
        <v>4360</v>
      </c>
      <c r="CD1157">
        <v>2017</v>
      </c>
      <c r="CE1157">
        <v>3375</v>
      </c>
      <c r="CG1157">
        <v>3375</v>
      </c>
      <c r="CH1157">
        <v>2017</v>
      </c>
      <c r="CI1157">
        <v>3375</v>
      </c>
      <c r="CK1157">
        <v>3375</v>
      </c>
      <c r="CL1157">
        <v>2017</v>
      </c>
      <c r="CM1157">
        <v>51.09</v>
      </c>
      <c r="CN1157" s="1">
        <v>35628</v>
      </c>
      <c r="CZ1157" s="1">
        <v>35628</v>
      </c>
      <c r="DD1157" t="s">
        <v>2387</v>
      </c>
      <c r="DF1157">
        <v>54</v>
      </c>
      <c r="DG1157">
        <v>18</v>
      </c>
      <c r="DL1157">
        <v>50301</v>
      </c>
      <c r="DM1157" t="s">
        <v>11780</v>
      </c>
      <c r="DO1157" t="s">
        <v>11827</v>
      </c>
      <c r="DP1157">
        <v>0</v>
      </c>
      <c r="DQ1157">
        <v>0</v>
      </c>
      <c r="DR1157" t="s">
        <v>411</v>
      </c>
      <c r="DS1157" t="b">
        <v>1</v>
      </c>
      <c r="DT1157" t="s">
        <v>396</v>
      </c>
      <c r="DV1157" t="s">
        <v>446</v>
      </c>
      <c r="DX1157">
        <v>-9999</v>
      </c>
      <c r="DZ1157" t="s">
        <v>447</v>
      </c>
      <c r="EA1157" t="s">
        <v>448</v>
      </c>
      <c r="EB1157" t="s">
        <v>2792</v>
      </c>
      <c r="EC1157">
        <v>20101217</v>
      </c>
      <c r="ED1157" t="s">
        <v>450</v>
      </c>
      <c r="EE1157">
        <v>5.3</v>
      </c>
      <c r="EF1157">
        <v>0</v>
      </c>
      <c r="EG1157">
        <v>0</v>
      </c>
      <c r="EI1157">
        <v>20160407</v>
      </c>
      <c r="EJ1157">
        <v>0</v>
      </c>
      <c r="EK1157">
        <v>0</v>
      </c>
      <c r="EP1157" t="s">
        <v>595</v>
      </c>
      <c r="EQ1157" t="s">
        <v>422</v>
      </c>
      <c r="ER1157">
        <v>10</v>
      </c>
      <c r="ES1157">
        <v>0</v>
      </c>
      <c r="ET1157">
        <v>803.17</v>
      </c>
      <c r="EU1157">
        <v>431.93</v>
      </c>
      <c r="EV1157">
        <v>1235.0999999999999</v>
      </c>
      <c r="EW1157" s="2">
        <v>43222</v>
      </c>
      <c r="EX1157" s="1">
        <v>42879</v>
      </c>
      <c r="EY1157">
        <v>2016</v>
      </c>
      <c r="EZ1157">
        <v>83.02</v>
      </c>
      <c r="FA1157" t="s">
        <v>11828</v>
      </c>
      <c r="FB1157">
        <v>18</v>
      </c>
      <c r="FC1157" t="s">
        <v>603</v>
      </c>
      <c r="FD1157" t="s">
        <v>454</v>
      </c>
      <c r="FF1157">
        <v>12</v>
      </c>
      <c r="FG1157">
        <v>9999999</v>
      </c>
      <c r="FH1157" t="s">
        <v>604</v>
      </c>
      <c r="FJ1157" s="1">
        <v>42879</v>
      </c>
      <c r="FK1157">
        <v>2016</v>
      </c>
      <c r="FL1157">
        <v>90.52</v>
      </c>
      <c r="FM1157" t="s">
        <v>11828</v>
      </c>
      <c r="FN1157">
        <v>18</v>
      </c>
      <c r="FO1157" t="s">
        <v>424</v>
      </c>
      <c r="FP1157" t="s">
        <v>454</v>
      </c>
      <c r="FR1157">
        <v>12</v>
      </c>
      <c r="FS1157">
        <v>7400230</v>
      </c>
      <c r="FT1157" t="s">
        <v>11796</v>
      </c>
      <c r="FV1157" s="1">
        <v>42515</v>
      </c>
      <c r="FW1157">
        <v>2015</v>
      </c>
      <c r="FX1157">
        <v>79.38</v>
      </c>
      <c r="FY1157" t="s">
        <v>11829</v>
      </c>
      <c r="FZ1157">
        <v>18</v>
      </c>
      <c r="GA1157" t="s">
        <v>603</v>
      </c>
      <c r="GB1157" t="s">
        <v>454</v>
      </c>
      <c r="GD1157">
        <v>24</v>
      </c>
      <c r="GE1157">
        <v>9999999</v>
      </c>
      <c r="GF1157" t="s">
        <v>604</v>
      </c>
      <c r="GH1157" s="1">
        <v>42515</v>
      </c>
      <c r="GI1157">
        <v>2015</v>
      </c>
      <c r="GJ1157">
        <v>86.82</v>
      </c>
      <c r="GK1157" t="s">
        <v>11829</v>
      </c>
      <c r="GL1157">
        <v>18</v>
      </c>
      <c r="GM1157" t="s">
        <v>424</v>
      </c>
      <c r="GN1157" t="s">
        <v>454</v>
      </c>
      <c r="GP1157">
        <v>24</v>
      </c>
      <c r="GQ1157">
        <v>10647</v>
      </c>
      <c r="GR1157" t="s">
        <v>4602</v>
      </c>
      <c r="GT1157" s="1">
        <v>42151</v>
      </c>
      <c r="GU1157">
        <v>2014</v>
      </c>
      <c r="GV1157">
        <v>79.680000000000007</v>
      </c>
      <c r="GW1157" t="s">
        <v>11830</v>
      </c>
      <c r="GX1157">
        <v>16.75</v>
      </c>
      <c r="GY1157" t="s">
        <v>424</v>
      </c>
      <c r="GZ1157" t="s">
        <v>454</v>
      </c>
      <c r="HB1157">
        <v>36</v>
      </c>
      <c r="HC1157">
        <v>10125</v>
      </c>
      <c r="HD1157" t="s">
        <v>440</v>
      </c>
      <c r="HF1157" s="1">
        <v>41787</v>
      </c>
      <c r="HG1157">
        <v>2013</v>
      </c>
      <c r="HH1157">
        <v>76.599999999999994</v>
      </c>
      <c r="HI1157" t="s">
        <v>11831</v>
      </c>
      <c r="HJ1157">
        <v>18</v>
      </c>
      <c r="HK1157" t="s">
        <v>603</v>
      </c>
      <c r="HL1157" t="s">
        <v>454</v>
      </c>
      <c r="HN1157">
        <v>48</v>
      </c>
      <c r="HO1157">
        <v>9999999</v>
      </c>
      <c r="HP1157" t="s">
        <v>604</v>
      </c>
      <c r="HR1157" s="1">
        <v>41787</v>
      </c>
      <c r="HS1157">
        <v>2013</v>
      </c>
      <c r="HT1157">
        <v>86.3</v>
      </c>
      <c r="HU1157" t="s">
        <v>11831</v>
      </c>
      <c r="HV1157">
        <v>18</v>
      </c>
      <c r="HW1157" t="s">
        <v>424</v>
      </c>
      <c r="HX1157" t="s">
        <v>454</v>
      </c>
      <c r="HZ1157">
        <v>48</v>
      </c>
      <c r="IA1157">
        <v>10647</v>
      </c>
      <c r="IB1157" t="s">
        <v>4602</v>
      </c>
      <c r="ID1157" s="1">
        <v>41423</v>
      </c>
      <c r="IE1157">
        <v>2012</v>
      </c>
      <c r="IF1157">
        <v>77.28</v>
      </c>
      <c r="IG1157" t="s">
        <v>11832</v>
      </c>
      <c r="IH1157">
        <v>10</v>
      </c>
      <c r="II1157" t="s">
        <v>424</v>
      </c>
      <c r="IJ1157" t="s">
        <v>454</v>
      </c>
      <c r="IL1157">
        <v>60</v>
      </c>
      <c r="IM1157">
        <v>375</v>
      </c>
      <c r="IN1157" t="s">
        <v>776</v>
      </c>
      <c r="IP1157" s="1">
        <v>41423</v>
      </c>
      <c r="IQ1157">
        <v>2012</v>
      </c>
      <c r="IR1157">
        <v>77.28</v>
      </c>
      <c r="IS1157" t="s">
        <v>11832</v>
      </c>
      <c r="IT1157">
        <v>10</v>
      </c>
      <c r="IU1157" t="s">
        <v>424</v>
      </c>
      <c r="IV1157" t="s">
        <v>454</v>
      </c>
      <c r="IX1157">
        <v>60</v>
      </c>
      <c r="IY1157">
        <v>1109</v>
      </c>
      <c r="IZ1157" t="s">
        <v>852</v>
      </c>
      <c r="JB1157" s="1">
        <v>41052</v>
      </c>
      <c r="JC1157">
        <v>2011</v>
      </c>
      <c r="JD1157">
        <v>66.290000000000006</v>
      </c>
      <c r="JE1157" t="s">
        <v>11833</v>
      </c>
      <c r="JF1157">
        <v>11</v>
      </c>
      <c r="JG1157" t="s">
        <v>424</v>
      </c>
      <c r="JH1157" t="s">
        <v>454</v>
      </c>
      <c r="JJ1157">
        <v>72</v>
      </c>
      <c r="JK1157">
        <v>10125</v>
      </c>
      <c r="JL1157" t="s">
        <v>440</v>
      </c>
    </row>
    <row r="1158" spans="1:272" x14ac:dyDescent="0.25">
      <c r="A1158">
        <v>16486165</v>
      </c>
      <c r="B1158">
        <v>1157</v>
      </c>
      <c r="C1158" t="s">
        <v>393</v>
      </c>
      <c r="D1158" t="s">
        <v>394</v>
      </c>
      <c r="F1158" t="str">
        <f>"18-2N-27-4315-0055-0000"</f>
        <v>18-2N-27-4315-0055-0000</v>
      </c>
      <c r="H1158" t="str">
        <f t="shared" si="374"/>
        <v>ZELL DONALD D</v>
      </c>
      <c r="I1158" t="str">
        <f t="shared" si="375"/>
        <v>8604 SAN SERVERA DR W</v>
      </c>
      <c r="J1158" t="str">
        <f t="shared" si="376"/>
        <v>JACKSONVILLE FL 32217</v>
      </c>
      <c r="K1158" t="str">
        <f t="shared" si="377"/>
        <v>JOHNSON LAKE RD</v>
      </c>
      <c r="L1158" t="str">
        <f t="shared" si="372"/>
        <v>YULEE FL 32097</v>
      </c>
      <c r="M1158" t="str">
        <f>"LOT 55 PT OR 800 PG 411 JOHNSONS LAKE EST UNR"</f>
        <v>LOT 55 PT OR 800 PG 411 JOHNSONS LAKE EST UNR</v>
      </c>
      <c r="N1158" t="str">
        <f>""</f>
        <v/>
      </c>
      <c r="O1158" t="str">
        <f>"32328"</f>
        <v>32328</v>
      </c>
      <c r="P1158" t="str">
        <f t="shared" si="382"/>
        <v>2017</v>
      </c>
      <c r="Q1158" t="str">
        <f>""</f>
        <v/>
      </c>
      <c r="R1158" t="str">
        <f t="shared" si="371"/>
        <v>N</v>
      </c>
      <c r="S1158" t="str">
        <f>""</f>
        <v/>
      </c>
      <c r="T1158" t="str">
        <f>"41.26"</f>
        <v>41.26</v>
      </c>
      <c r="U1158" t="str">
        <f>"2725.00"</f>
        <v>2725.00</v>
      </c>
      <c r="V1158" t="str">
        <f>"2725.00"</f>
        <v>2725.00</v>
      </c>
      <c r="W1158" t="str">
        <f t="shared" si="383"/>
        <v>2017</v>
      </c>
      <c r="X1158" t="str">
        <f t="shared" si="379"/>
        <v>17.00</v>
      </c>
      <c r="Y1158" t="str">
        <f>"74.50"</f>
        <v>74.50</v>
      </c>
      <c r="Z1158" t="str">
        <f>""</f>
        <v/>
      </c>
      <c r="AA1158" t="str">
        <f>"2725.00"</f>
        <v>2725.00</v>
      </c>
      <c r="AB1158" t="str">
        <f t="shared" si="373"/>
        <v>Residential</v>
      </c>
      <c r="AC1158" t="str">
        <f t="shared" si="366"/>
        <v>0</v>
      </c>
      <c r="AD1158" t="str">
        <f>""</f>
        <v/>
      </c>
      <c r="AE1158" t="str">
        <f>""</f>
        <v/>
      </c>
      <c r="AF1158" t="str">
        <f t="shared" si="380"/>
        <v>000</v>
      </c>
      <c r="AG1158" t="str">
        <f t="shared" si="381"/>
        <v>FL</v>
      </c>
      <c r="AH1158" t="str">
        <f>"13625.00"</f>
        <v>13625.00</v>
      </c>
      <c r="AI1158" t="str">
        <f>"2725.00"</f>
        <v>2725.00</v>
      </c>
      <c r="AJ1158" t="str">
        <f>"C55-000-587-1848-7"</f>
        <v>C55-000-587-1848-7</v>
      </c>
      <c r="AK1158" t="str">
        <f>"19721"</f>
        <v>19721</v>
      </c>
      <c r="AL1158">
        <v>5</v>
      </c>
      <c r="AM1158">
        <v>1324</v>
      </c>
      <c r="AN1158">
        <v>76.63</v>
      </c>
      <c r="AQ1158" t="s">
        <v>11834</v>
      </c>
      <c r="AR1158" t="s">
        <v>11834</v>
      </c>
      <c r="AS1158" t="s">
        <v>11834</v>
      </c>
      <c r="AU1158" t="s">
        <v>396</v>
      </c>
      <c r="AV1158">
        <v>2017</v>
      </c>
      <c r="AW1158" t="str">
        <f>"18-2N-27-4315-0055-0000 "</f>
        <v xml:space="preserve">18-2N-27-4315-0055-0000 </v>
      </c>
      <c r="AZ1158" t="s">
        <v>11777</v>
      </c>
      <c r="BA1158" t="s">
        <v>496</v>
      </c>
      <c r="BD1158" t="s">
        <v>2387</v>
      </c>
      <c r="BE1158" t="s">
        <v>393</v>
      </c>
      <c r="BF1158">
        <v>32097</v>
      </c>
      <c r="BG1158" t="s">
        <v>11791</v>
      </c>
      <c r="BH1158" t="s">
        <v>2388</v>
      </c>
      <c r="BI1158">
        <v>-81.648437641949897</v>
      </c>
      <c r="BJ1158">
        <v>30.596582150223401</v>
      </c>
      <c r="BK1158" t="s">
        <v>11792</v>
      </c>
      <c r="BM1158" t="s">
        <v>11793</v>
      </c>
      <c r="BN1158" t="s">
        <v>548</v>
      </c>
      <c r="BO1158">
        <v>32217</v>
      </c>
      <c r="BP1158" t="s">
        <v>404</v>
      </c>
      <c r="BQ1158">
        <v>0</v>
      </c>
      <c r="BR1158" t="s">
        <v>491</v>
      </c>
      <c r="BS1158">
        <v>8001</v>
      </c>
      <c r="BT1158" t="s">
        <v>492</v>
      </c>
      <c r="BU1158">
        <v>1090</v>
      </c>
      <c r="BV1158">
        <v>1250</v>
      </c>
      <c r="BW1158">
        <v>14870</v>
      </c>
      <c r="BX1158" t="s">
        <v>407</v>
      </c>
      <c r="BY1158" t="s">
        <v>4360</v>
      </c>
      <c r="CD1158">
        <v>2017</v>
      </c>
      <c r="CE1158">
        <v>2725</v>
      </c>
      <c r="CG1158">
        <v>2725</v>
      </c>
      <c r="CH1158">
        <v>2017</v>
      </c>
      <c r="CI1158">
        <v>2725</v>
      </c>
      <c r="CK1158">
        <v>2725</v>
      </c>
      <c r="CL1158">
        <v>2017</v>
      </c>
      <c r="CM1158">
        <v>41.26</v>
      </c>
      <c r="CN1158" s="1">
        <v>35628</v>
      </c>
      <c r="CZ1158" s="1">
        <v>35628</v>
      </c>
      <c r="DD1158" t="s">
        <v>2387</v>
      </c>
      <c r="DF1158">
        <v>55</v>
      </c>
      <c r="DG1158">
        <v>18</v>
      </c>
      <c r="DL1158">
        <v>50301</v>
      </c>
      <c r="DM1158" t="s">
        <v>11780</v>
      </c>
      <c r="DO1158" t="s">
        <v>11835</v>
      </c>
      <c r="DP1158">
        <v>0</v>
      </c>
      <c r="DQ1158">
        <v>0</v>
      </c>
      <c r="DR1158" t="s">
        <v>411</v>
      </c>
      <c r="DS1158" t="b">
        <v>1</v>
      </c>
      <c r="DT1158" t="s">
        <v>396</v>
      </c>
      <c r="DV1158" t="s">
        <v>446</v>
      </c>
      <c r="DX1158">
        <v>-9999</v>
      </c>
      <c r="DZ1158" t="s">
        <v>447</v>
      </c>
      <c r="EA1158" t="s">
        <v>448</v>
      </c>
      <c r="EB1158" t="s">
        <v>2792</v>
      </c>
      <c r="EC1158">
        <v>20101217</v>
      </c>
      <c r="ED1158" t="s">
        <v>450</v>
      </c>
      <c r="EE1158">
        <v>5.3</v>
      </c>
      <c r="EF1158">
        <v>0</v>
      </c>
      <c r="EG1158">
        <v>0</v>
      </c>
      <c r="EI1158">
        <v>20160407</v>
      </c>
      <c r="EJ1158">
        <v>0</v>
      </c>
      <c r="EK1158">
        <v>0</v>
      </c>
      <c r="EP1158" t="s">
        <v>595</v>
      </c>
      <c r="EQ1158" t="s">
        <v>422</v>
      </c>
      <c r="ER1158">
        <v>10</v>
      </c>
      <c r="ES1158">
        <v>0</v>
      </c>
      <c r="ET1158">
        <v>700.83</v>
      </c>
      <c r="EU1158">
        <v>385.33</v>
      </c>
      <c r="EV1158">
        <v>1086.1600000000001</v>
      </c>
      <c r="EW1158" s="2">
        <v>43222</v>
      </c>
      <c r="EX1158" s="1">
        <v>42879</v>
      </c>
      <c r="EY1158">
        <v>2016</v>
      </c>
      <c r="EZ1158">
        <v>72.260000000000005</v>
      </c>
      <c r="FA1158" t="s">
        <v>11836</v>
      </c>
      <c r="FB1158">
        <v>18</v>
      </c>
      <c r="FC1158" t="s">
        <v>603</v>
      </c>
      <c r="FD1158" t="s">
        <v>454</v>
      </c>
      <c r="FF1158">
        <v>12</v>
      </c>
      <c r="FG1158">
        <v>9999999</v>
      </c>
      <c r="FH1158" t="s">
        <v>604</v>
      </c>
      <c r="FJ1158" s="1">
        <v>42879</v>
      </c>
      <c r="FK1158">
        <v>2016</v>
      </c>
      <c r="FL1158">
        <v>79.59</v>
      </c>
      <c r="FM1158" t="s">
        <v>11836</v>
      </c>
      <c r="FN1158">
        <v>18</v>
      </c>
      <c r="FO1158" t="s">
        <v>424</v>
      </c>
      <c r="FP1158" t="s">
        <v>454</v>
      </c>
      <c r="FR1158">
        <v>12</v>
      </c>
      <c r="FS1158">
        <v>7400230</v>
      </c>
      <c r="FT1158" t="s">
        <v>11796</v>
      </c>
      <c r="FV1158" s="1">
        <v>42515</v>
      </c>
      <c r="FW1158">
        <v>2015</v>
      </c>
      <c r="FX1158">
        <v>68.349999999999994</v>
      </c>
      <c r="FY1158" t="s">
        <v>11837</v>
      </c>
      <c r="FZ1158">
        <v>18</v>
      </c>
      <c r="GA1158" t="s">
        <v>603</v>
      </c>
      <c r="GB1158" t="s">
        <v>454</v>
      </c>
      <c r="GD1158">
        <v>24</v>
      </c>
      <c r="GE1158">
        <v>9999999</v>
      </c>
      <c r="GF1158" t="s">
        <v>604</v>
      </c>
      <c r="GH1158" s="1">
        <v>42515</v>
      </c>
      <c r="GI1158">
        <v>2015</v>
      </c>
      <c r="GJ1158">
        <v>75.63</v>
      </c>
      <c r="GK1158" t="s">
        <v>11837</v>
      </c>
      <c r="GL1158">
        <v>18</v>
      </c>
      <c r="GM1158" t="s">
        <v>424</v>
      </c>
      <c r="GN1158" t="s">
        <v>454</v>
      </c>
      <c r="GP1158">
        <v>24</v>
      </c>
      <c r="GQ1158">
        <v>10647</v>
      </c>
      <c r="GR1158" t="s">
        <v>4602</v>
      </c>
      <c r="GT1158" s="1">
        <v>42151</v>
      </c>
      <c r="GU1158">
        <v>2014</v>
      </c>
      <c r="GV1158">
        <v>68.569999999999993</v>
      </c>
      <c r="GW1158" t="s">
        <v>11838</v>
      </c>
      <c r="GX1158">
        <v>16.75</v>
      </c>
      <c r="GY1158" t="s">
        <v>424</v>
      </c>
      <c r="GZ1158" t="s">
        <v>454</v>
      </c>
      <c r="HB1158">
        <v>36</v>
      </c>
      <c r="HC1158">
        <v>10125</v>
      </c>
      <c r="HD1158" t="s">
        <v>440</v>
      </c>
      <c r="HF1158" s="1">
        <v>41787</v>
      </c>
      <c r="HG1158">
        <v>2013</v>
      </c>
      <c r="HH1158">
        <v>66.069999999999993</v>
      </c>
      <c r="HI1158" t="s">
        <v>11839</v>
      </c>
      <c r="HJ1158">
        <v>18</v>
      </c>
      <c r="HK1158" t="s">
        <v>603</v>
      </c>
      <c r="HL1158" t="s">
        <v>454</v>
      </c>
      <c r="HN1158">
        <v>48</v>
      </c>
      <c r="HO1158">
        <v>9999999</v>
      </c>
      <c r="HP1158" t="s">
        <v>604</v>
      </c>
      <c r="HR1158" s="1">
        <v>41787</v>
      </c>
      <c r="HS1158">
        <v>2013</v>
      </c>
      <c r="HT1158">
        <v>75.290000000000006</v>
      </c>
      <c r="HU1158" t="s">
        <v>11839</v>
      </c>
      <c r="HV1158">
        <v>18</v>
      </c>
      <c r="HW1158" t="s">
        <v>424</v>
      </c>
      <c r="HX1158" t="s">
        <v>454</v>
      </c>
      <c r="HZ1158">
        <v>48</v>
      </c>
      <c r="IA1158">
        <v>10647</v>
      </c>
      <c r="IB1158" t="s">
        <v>4602</v>
      </c>
      <c r="ID1158" s="1">
        <v>41423</v>
      </c>
      <c r="IE1158">
        <v>2012</v>
      </c>
      <c r="IF1158">
        <v>66.63</v>
      </c>
      <c r="IG1158" t="s">
        <v>11840</v>
      </c>
      <c r="IH1158">
        <v>10</v>
      </c>
      <c r="II1158" t="s">
        <v>424</v>
      </c>
      <c r="IJ1158" t="s">
        <v>454</v>
      </c>
      <c r="IL1158">
        <v>60</v>
      </c>
      <c r="IM1158">
        <v>375</v>
      </c>
      <c r="IN1158" t="s">
        <v>776</v>
      </c>
      <c r="IP1158" s="1">
        <v>41423</v>
      </c>
      <c r="IQ1158">
        <v>2012</v>
      </c>
      <c r="IR1158">
        <v>66.63</v>
      </c>
      <c r="IS1158" t="s">
        <v>11840</v>
      </c>
      <c r="IT1158">
        <v>10</v>
      </c>
      <c r="IU1158" t="s">
        <v>424</v>
      </c>
      <c r="IV1158" t="s">
        <v>454</v>
      </c>
      <c r="IX1158">
        <v>60</v>
      </c>
      <c r="IY1158">
        <v>1109</v>
      </c>
      <c r="IZ1158" t="s">
        <v>852</v>
      </c>
      <c r="JB1158" s="1">
        <v>41052</v>
      </c>
      <c r="JC1158">
        <v>2011</v>
      </c>
      <c r="JD1158">
        <v>61.81</v>
      </c>
      <c r="JE1158" t="s">
        <v>11841</v>
      </c>
      <c r="JF1158">
        <v>11</v>
      </c>
      <c r="JG1158" t="s">
        <v>424</v>
      </c>
      <c r="JH1158" t="s">
        <v>454</v>
      </c>
      <c r="JJ1158">
        <v>72</v>
      </c>
      <c r="JK1158">
        <v>10125</v>
      </c>
      <c r="JL1158" t="s">
        <v>440</v>
      </c>
    </row>
    <row r="1159" spans="1:272" x14ac:dyDescent="0.25">
      <c r="A1159">
        <v>16486166</v>
      </c>
      <c r="B1159">
        <v>1158</v>
      </c>
      <c r="C1159" t="s">
        <v>393</v>
      </c>
      <c r="D1159" t="s">
        <v>394</v>
      </c>
      <c r="F1159" t="str">
        <f>"18-2N-27-4315-0056-0000"</f>
        <v>18-2N-27-4315-0056-0000</v>
      </c>
      <c r="H1159" t="str">
        <f t="shared" si="374"/>
        <v>ZELL DONALD D</v>
      </c>
      <c r="I1159" t="str">
        <f t="shared" si="375"/>
        <v>8604 SAN SERVERA DR W</v>
      </c>
      <c r="J1159" t="str">
        <f t="shared" si="376"/>
        <v>JACKSONVILLE FL 32217</v>
      </c>
      <c r="K1159" t="str">
        <f t="shared" si="377"/>
        <v>JOHNSON LAKE RD</v>
      </c>
      <c r="L1159" t="str">
        <f t="shared" si="372"/>
        <v>YULEE FL 32097</v>
      </c>
      <c r="M1159" t="str">
        <f>"LOT 56 (EX S-1) PT OR 800 PG 411 JOHNSONS LAKE EST UNR"</f>
        <v>LOT 56 (EX S-1) PT OR 800 PG 411 JOHNSONS LAKE EST UNR</v>
      </c>
      <c r="N1159" t="str">
        <f>""</f>
        <v/>
      </c>
      <c r="O1159" t="str">
        <f>"32329"</f>
        <v>32329</v>
      </c>
      <c r="P1159" t="str">
        <f t="shared" si="382"/>
        <v>2017</v>
      </c>
      <c r="Q1159" t="str">
        <f>""</f>
        <v/>
      </c>
      <c r="R1159" t="str">
        <f t="shared" si="371"/>
        <v>N</v>
      </c>
      <c r="S1159" t="str">
        <f>""</f>
        <v/>
      </c>
      <c r="T1159" t="str">
        <f>"30.27"</f>
        <v>30.27</v>
      </c>
      <c r="U1159" t="str">
        <f>"2000.00"</f>
        <v>2000.00</v>
      </c>
      <c r="V1159" t="str">
        <f>"2000.00"</f>
        <v>2000.00</v>
      </c>
      <c r="W1159" t="str">
        <f t="shared" si="383"/>
        <v>2017</v>
      </c>
      <c r="X1159" t="str">
        <f t="shared" si="379"/>
        <v>17.00</v>
      </c>
      <c r="Y1159" t="str">
        <f>"63.18"</f>
        <v>63.18</v>
      </c>
      <c r="Z1159" t="str">
        <f>""</f>
        <v/>
      </c>
      <c r="AA1159" t="str">
        <f>"2000.00"</f>
        <v>2000.00</v>
      </c>
      <c r="AB1159" t="str">
        <f t="shared" si="373"/>
        <v>Residential</v>
      </c>
      <c r="AC1159" t="str">
        <f t="shared" si="366"/>
        <v>0</v>
      </c>
      <c r="AD1159" t="str">
        <f>""</f>
        <v/>
      </c>
      <c r="AE1159" t="str">
        <f>""</f>
        <v/>
      </c>
      <c r="AF1159" t="str">
        <f t="shared" si="380"/>
        <v>000</v>
      </c>
      <c r="AG1159" t="str">
        <f t="shared" si="381"/>
        <v>FL</v>
      </c>
      <c r="AH1159" t="str">
        <f>"11200.00"</f>
        <v>11200.00</v>
      </c>
      <c r="AI1159" t="str">
        <f>"2000.00"</f>
        <v>2000.00</v>
      </c>
      <c r="AJ1159" t="str">
        <f>"C55-000-587-1849-5"</f>
        <v>C55-000-587-1849-5</v>
      </c>
      <c r="AK1159" t="str">
        <f>"19722"</f>
        <v>19722</v>
      </c>
      <c r="AL1159">
        <v>5</v>
      </c>
      <c r="AM1159">
        <v>1325</v>
      </c>
      <c r="AN1159">
        <v>64.739999999999995</v>
      </c>
      <c r="AQ1159" t="s">
        <v>11842</v>
      </c>
      <c r="AR1159" t="s">
        <v>11842</v>
      </c>
      <c r="AS1159" t="s">
        <v>11842</v>
      </c>
      <c r="AU1159" t="s">
        <v>396</v>
      </c>
      <c r="AV1159">
        <v>2017</v>
      </c>
      <c r="AW1159" t="str">
        <f>"18-2N-27-4315-0056-0000 "</f>
        <v xml:space="preserve">18-2N-27-4315-0056-0000 </v>
      </c>
      <c r="AZ1159" t="s">
        <v>11777</v>
      </c>
      <c r="BA1159" t="s">
        <v>496</v>
      </c>
      <c r="BD1159" t="s">
        <v>2387</v>
      </c>
      <c r="BE1159" t="s">
        <v>393</v>
      </c>
      <c r="BF1159">
        <v>32097</v>
      </c>
      <c r="BG1159" t="s">
        <v>11791</v>
      </c>
      <c r="BH1159" t="s">
        <v>2388</v>
      </c>
      <c r="BI1159">
        <v>-81.648686731922794</v>
      </c>
      <c r="BJ1159">
        <v>30.596674418977901</v>
      </c>
      <c r="BK1159" t="s">
        <v>11792</v>
      </c>
      <c r="BM1159" t="s">
        <v>11793</v>
      </c>
      <c r="BN1159" t="s">
        <v>548</v>
      </c>
      <c r="BO1159">
        <v>32217</v>
      </c>
      <c r="BP1159" t="s">
        <v>404</v>
      </c>
      <c r="BQ1159">
        <v>0</v>
      </c>
      <c r="BR1159" t="s">
        <v>491</v>
      </c>
      <c r="BS1159">
        <v>8001</v>
      </c>
      <c r="BT1159" t="s">
        <v>492</v>
      </c>
      <c r="BU1159">
        <v>800</v>
      </c>
      <c r="BV1159">
        <v>1400</v>
      </c>
      <c r="BW1159">
        <v>12950</v>
      </c>
      <c r="BX1159" t="s">
        <v>407</v>
      </c>
      <c r="BY1159" t="s">
        <v>4360</v>
      </c>
      <c r="CD1159">
        <v>2017</v>
      </c>
      <c r="CE1159">
        <v>2000</v>
      </c>
      <c r="CG1159">
        <v>2000</v>
      </c>
      <c r="CH1159">
        <v>2017</v>
      </c>
      <c r="CI1159">
        <v>2000</v>
      </c>
      <c r="CK1159">
        <v>2000</v>
      </c>
      <c r="CL1159">
        <v>2017</v>
      </c>
      <c r="CM1159">
        <v>30.27</v>
      </c>
      <c r="CN1159" s="1">
        <v>35628</v>
      </c>
      <c r="CZ1159" s="1">
        <v>35628</v>
      </c>
      <c r="DD1159" t="s">
        <v>2387</v>
      </c>
      <c r="DF1159">
        <v>56</v>
      </c>
      <c r="DG1159">
        <v>18</v>
      </c>
      <c r="DL1159">
        <v>50301</v>
      </c>
      <c r="DM1159" t="s">
        <v>11780</v>
      </c>
      <c r="DO1159" t="s">
        <v>11843</v>
      </c>
      <c r="DP1159">
        <v>0</v>
      </c>
      <c r="DQ1159">
        <v>0</v>
      </c>
      <c r="DR1159" t="s">
        <v>411</v>
      </c>
      <c r="DS1159" t="b">
        <v>1</v>
      </c>
      <c r="DT1159" t="s">
        <v>396</v>
      </c>
      <c r="DV1159" t="s">
        <v>446</v>
      </c>
      <c r="DX1159">
        <v>-9999</v>
      </c>
      <c r="DZ1159" t="s">
        <v>447</v>
      </c>
      <c r="EA1159" t="s">
        <v>448</v>
      </c>
      <c r="EB1159" t="s">
        <v>2792</v>
      </c>
      <c r="EC1159">
        <v>20101217</v>
      </c>
      <c r="ED1159" t="s">
        <v>450</v>
      </c>
      <c r="EE1159">
        <v>5.3</v>
      </c>
      <c r="EF1159">
        <v>0</v>
      </c>
      <c r="EG1159">
        <v>0</v>
      </c>
      <c r="EI1159">
        <v>20160407</v>
      </c>
      <c r="EJ1159">
        <v>0</v>
      </c>
      <c r="EK1159">
        <v>0</v>
      </c>
      <c r="EP1159" t="s">
        <v>595</v>
      </c>
      <c r="EQ1159" t="s">
        <v>422</v>
      </c>
      <c r="ER1159">
        <v>9</v>
      </c>
      <c r="ES1159">
        <v>0</v>
      </c>
      <c r="ET1159">
        <v>525.58000000000004</v>
      </c>
      <c r="EU1159">
        <v>313.07</v>
      </c>
      <c r="EV1159">
        <v>838.65</v>
      </c>
      <c r="EW1159" s="2">
        <v>43222</v>
      </c>
      <c r="EX1159" s="1">
        <v>42879</v>
      </c>
      <c r="EY1159">
        <v>2016</v>
      </c>
      <c r="EZ1159">
        <v>60.2</v>
      </c>
      <c r="FA1159" t="s">
        <v>11844</v>
      </c>
      <c r="FB1159">
        <v>18</v>
      </c>
      <c r="FC1159" t="s">
        <v>603</v>
      </c>
      <c r="FD1159" t="s">
        <v>454</v>
      </c>
      <c r="FF1159">
        <v>12</v>
      </c>
      <c r="FG1159">
        <v>9999999</v>
      </c>
      <c r="FH1159" t="s">
        <v>604</v>
      </c>
      <c r="FJ1159" s="1">
        <v>42879</v>
      </c>
      <c r="FK1159">
        <v>2016</v>
      </c>
      <c r="FL1159">
        <v>67.349999999999994</v>
      </c>
      <c r="FM1159" t="s">
        <v>11844</v>
      </c>
      <c r="FN1159">
        <v>18</v>
      </c>
      <c r="FO1159" t="s">
        <v>424</v>
      </c>
      <c r="FP1159" t="s">
        <v>454</v>
      </c>
      <c r="FR1159">
        <v>12</v>
      </c>
      <c r="FS1159">
        <v>7400230</v>
      </c>
      <c r="FT1159" t="s">
        <v>11796</v>
      </c>
      <c r="FV1159" s="1">
        <v>42515</v>
      </c>
      <c r="FW1159">
        <v>2015</v>
      </c>
      <c r="FX1159">
        <v>56</v>
      </c>
      <c r="FY1159" t="s">
        <v>11845</v>
      </c>
      <c r="FZ1159">
        <v>18</v>
      </c>
      <c r="GA1159" t="s">
        <v>603</v>
      </c>
      <c r="GB1159" t="s">
        <v>454</v>
      </c>
      <c r="GD1159">
        <v>24</v>
      </c>
      <c r="GE1159">
        <v>9999999</v>
      </c>
      <c r="GF1159" t="s">
        <v>604</v>
      </c>
      <c r="GH1159" s="1">
        <v>42515</v>
      </c>
      <c r="GI1159">
        <v>2015</v>
      </c>
      <c r="GJ1159">
        <v>63.09</v>
      </c>
      <c r="GK1159" t="s">
        <v>11845</v>
      </c>
      <c r="GL1159">
        <v>18</v>
      </c>
      <c r="GM1159" t="s">
        <v>424</v>
      </c>
      <c r="GN1159" t="s">
        <v>454</v>
      </c>
      <c r="GP1159">
        <v>24</v>
      </c>
      <c r="GQ1159">
        <v>10647</v>
      </c>
      <c r="GR1159" t="s">
        <v>4602</v>
      </c>
      <c r="GT1159" s="1">
        <v>42151</v>
      </c>
      <c r="GU1159">
        <v>2014</v>
      </c>
      <c r="GV1159">
        <v>56.19</v>
      </c>
      <c r="GW1159" t="s">
        <v>11846</v>
      </c>
      <c r="GX1159">
        <v>16.75</v>
      </c>
      <c r="GY1159" t="s">
        <v>424</v>
      </c>
      <c r="GZ1159" t="s">
        <v>454</v>
      </c>
      <c r="HB1159">
        <v>36</v>
      </c>
      <c r="HC1159">
        <v>10125</v>
      </c>
      <c r="HD1159" t="s">
        <v>440</v>
      </c>
      <c r="HF1159" s="1">
        <v>41787</v>
      </c>
      <c r="HG1159">
        <v>2013</v>
      </c>
      <c r="HH1159">
        <v>54.36</v>
      </c>
      <c r="HI1159" t="s">
        <v>11847</v>
      </c>
      <c r="HJ1159">
        <v>18</v>
      </c>
      <c r="HK1159" t="s">
        <v>603</v>
      </c>
      <c r="HL1159" t="s">
        <v>454</v>
      </c>
      <c r="HN1159">
        <v>48</v>
      </c>
      <c r="HO1159">
        <v>9999999</v>
      </c>
      <c r="HP1159" t="s">
        <v>604</v>
      </c>
      <c r="HR1159" s="1">
        <v>41787</v>
      </c>
      <c r="HS1159">
        <v>2013</v>
      </c>
      <c r="HT1159">
        <v>63.06</v>
      </c>
      <c r="HU1159" t="s">
        <v>11847</v>
      </c>
      <c r="HV1159">
        <v>18</v>
      </c>
      <c r="HW1159" t="s">
        <v>424</v>
      </c>
      <c r="HX1159" t="s">
        <v>454</v>
      </c>
      <c r="HZ1159">
        <v>48</v>
      </c>
      <c r="IA1159">
        <v>10647</v>
      </c>
      <c r="IB1159" t="s">
        <v>4602</v>
      </c>
      <c r="ID1159" s="1">
        <v>41423</v>
      </c>
      <c r="IE1159">
        <v>2012</v>
      </c>
      <c r="IF1159">
        <v>54.75</v>
      </c>
      <c r="IG1159" t="s">
        <v>11848</v>
      </c>
      <c r="IH1159">
        <v>10</v>
      </c>
      <c r="II1159" t="s">
        <v>424</v>
      </c>
      <c r="IJ1159" t="s">
        <v>454</v>
      </c>
      <c r="IL1159">
        <v>60</v>
      </c>
      <c r="IM1159">
        <v>375</v>
      </c>
      <c r="IN1159" t="s">
        <v>776</v>
      </c>
      <c r="IP1159" s="1">
        <v>41052</v>
      </c>
      <c r="IQ1159">
        <v>2011</v>
      </c>
      <c r="IR1159">
        <v>50.58</v>
      </c>
      <c r="IS1159" t="s">
        <v>11849</v>
      </c>
      <c r="IT1159">
        <v>16.75</v>
      </c>
      <c r="IU1159" t="s">
        <v>424</v>
      </c>
      <c r="IV1159" t="s">
        <v>454</v>
      </c>
      <c r="IX1159">
        <v>72</v>
      </c>
      <c r="IY1159">
        <v>10125</v>
      </c>
      <c r="IZ1159" t="s">
        <v>440</v>
      </c>
    </row>
    <row r="1160" spans="1:272" x14ac:dyDescent="0.25">
      <c r="A1160">
        <v>16486167</v>
      </c>
      <c r="B1160">
        <v>1159</v>
      </c>
      <c r="C1160" t="s">
        <v>393</v>
      </c>
      <c r="D1160" t="s">
        <v>394</v>
      </c>
      <c r="F1160" t="str">
        <f>"18-2N-27-4315-0061-0000"</f>
        <v>18-2N-27-4315-0061-0000</v>
      </c>
      <c r="H1160" t="str">
        <f>"YOUNG JAMES M &amp; PATRICIA S"</f>
        <v>YOUNG JAMES M &amp; PATRICIA S</v>
      </c>
      <c r="I1160" t="str">
        <f>"86058 JEAN ROAD"</f>
        <v>86058 JEAN ROAD</v>
      </c>
      <c r="J1160" t="str">
        <f t="shared" ref="J1160:J1166" si="384">"YULEE FL 32097"</f>
        <v>YULEE FL 32097</v>
      </c>
      <c r="K1160" t="str">
        <f>"75072 JOHNSON LAKE RD"</f>
        <v>75072 JOHNSON LAKE RD</v>
      </c>
      <c r="L1160" t="str">
        <f t="shared" si="372"/>
        <v>YULEE FL 32097</v>
      </c>
      <c r="M1160" t="str">
        <f>"LOT 61 IN OR 1744/1823 JOHNSONS LAKE EST UNR"</f>
        <v>LOT 61 IN OR 1744/1823 JOHNSONS LAKE EST UNR</v>
      </c>
      <c r="N1160" t="str">
        <f>""</f>
        <v/>
      </c>
      <c r="O1160" t="str">
        <f>"32334"</f>
        <v>32334</v>
      </c>
      <c r="P1160" t="str">
        <f t="shared" si="382"/>
        <v>2017</v>
      </c>
      <c r="Q1160" t="str">
        <f>""</f>
        <v/>
      </c>
      <c r="R1160" t="str">
        <f t="shared" si="371"/>
        <v>N</v>
      </c>
      <c r="S1160" t="str">
        <f>""</f>
        <v/>
      </c>
      <c r="T1160" t="str">
        <f>"529.86"</f>
        <v>529.86</v>
      </c>
      <c r="U1160" t="str">
        <f>"35000.00"</f>
        <v>35000.00</v>
      </c>
      <c r="V1160" t="str">
        <f>"35000.00"</f>
        <v>35000.00</v>
      </c>
      <c r="W1160" t="str">
        <f t="shared" si="383"/>
        <v>2017</v>
      </c>
      <c r="X1160" t="str">
        <f>"1.00"</f>
        <v>1.00</v>
      </c>
      <c r="Y1160" t="str">
        <f>"577.76"</f>
        <v>577.76</v>
      </c>
      <c r="Z1160" t="str">
        <f>""</f>
        <v/>
      </c>
      <c r="AA1160" t="str">
        <f>"35000.00"</f>
        <v>35000.00</v>
      </c>
      <c r="AB1160" t="str">
        <f t="shared" si="373"/>
        <v>Residential</v>
      </c>
      <c r="AC1160" t="str">
        <f t="shared" si="366"/>
        <v>0</v>
      </c>
      <c r="AD1160" t="str">
        <f>""</f>
        <v/>
      </c>
      <c r="AE1160" t="str">
        <f>""</f>
        <v/>
      </c>
      <c r="AF1160" t="str">
        <f t="shared" si="380"/>
        <v>000</v>
      </c>
      <c r="AG1160" t="str">
        <f t="shared" si="381"/>
        <v>FL</v>
      </c>
      <c r="AH1160" t="str">
        <f>"15400.00"</f>
        <v>15400.00</v>
      </c>
      <c r="AI1160" t="str">
        <f>"27500.00"</f>
        <v>27500.00</v>
      </c>
      <c r="AJ1160" t="str">
        <f>"C55-000-587-1854-5"</f>
        <v>C55-000-587-1854-5</v>
      </c>
      <c r="AK1160" t="str">
        <f>"19727"</f>
        <v>19727</v>
      </c>
      <c r="AL1160">
        <v>5</v>
      </c>
      <c r="AM1160">
        <v>1326</v>
      </c>
      <c r="AN1160">
        <v>605.04999999999995</v>
      </c>
      <c r="AQ1160" t="s">
        <v>11850</v>
      </c>
      <c r="AR1160" t="s">
        <v>11850</v>
      </c>
      <c r="AS1160" t="s">
        <v>11850</v>
      </c>
      <c r="AU1160" t="s">
        <v>396</v>
      </c>
      <c r="AV1160">
        <v>2017</v>
      </c>
      <c r="AW1160" t="str">
        <f>"18-2N-27-4315-0061-0000 "</f>
        <v xml:space="preserve">18-2N-27-4315-0061-0000 </v>
      </c>
      <c r="AX1160">
        <v>75072</v>
      </c>
      <c r="AZ1160" t="s">
        <v>11777</v>
      </c>
      <c r="BA1160" t="s">
        <v>496</v>
      </c>
      <c r="BD1160" t="s">
        <v>2387</v>
      </c>
      <c r="BE1160" t="s">
        <v>393</v>
      </c>
      <c r="BF1160">
        <v>32097</v>
      </c>
      <c r="BG1160" t="s">
        <v>11851</v>
      </c>
      <c r="BH1160" t="s">
        <v>2388</v>
      </c>
      <c r="BI1160">
        <v>-81.649050319535803</v>
      </c>
      <c r="BJ1160">
        <v>30.597698739990602</v>
      </c>
      <c r="BK1160" t="s">
        <v>11852</v>
      </c>
      <c r="BL1160" t="s">
        <v>11853</v>
      </c>
      <c r="BM1160" t="s">
        <v>11854</v>
      </c>
      <c r="BN1160" t="s">
        <v>1778</v>
      </c>
      <c r="BO1160">
        <v>32097</v>
      </c>
      <c r="BP1160" t="s">
        <v>404</v>
      </c>
      <c r="BQ1160">
        <v>1</v>
      </c>
      <c r="BR1160" t="s">
        <v>491</v>
      </c>
      <c r="BS1160">
        <v>8001</v>
      </c>
      <c r="BT1160" t="s">
        <v>492</v>
      </c>
      <c r="BU1160">
        <v>1100</v>
      </c>
      <c r="BV1160">
        <v>1400</v>
      </c>
      <c r="BW1160">
        <v>16592</v>
      </c>
      <c r="BX1160" t="s">
        <v>407</v>
      </c>
      <c r="BY1160" t="s">
        <v>4360</v>
      </c>
      <c r="CD1160">
        <v>2017</v>
      </c>
      <c r="CE1160">
        <v>27500</v>
      </c>
      <c r="CF1160">
        <v>7500</v>
      </c>
      <c r="CG1160">
        <v>35000</v>
      </c>
      <c r="CH1160">
        <v>2017</v>
      </c>
      <c r="CI1160">
        <v>27500</v>
      </c>
      <c r="CJ1160">
        <v>7500</v>
      </c>
      <c r="CK1160">
        <v>35000</v>
      </c>
      <c r="CL1160">
        <v>2017</v>
      </c>
      <c r="CM1160">
        <v>529.86</v>
      </c>
      <c r="CN1160" s="1">
        <v>40722</v>
      </c>
      <c r="CO1160">
        <v>40000</v>
      </c>
      <c r="CV1160">
        <v>0</v>
      </c>
      <c r="CZ1160" s="1">
        <v>40722</v>
      </c>
      <c r="DA1160">
        <v>0</v>
      </c>
      <c r="DD1160" t="s">
        <v>2387</v>
      </c>
      <c r="DF1160">
        <v>61</v>
      </c>
      <c r="DG1160">
        <v>18</v>
      </c>
      <c r="DL1160">
        <v>50301</v>
      </c>
      <c r="DM1160" t="s">
        <v>11780</v>
      </c>
      <c r="DO1160" t="s">
        <v>11855</v>
      </c>
      <c r="DP1160">
        <v>0</v>
      </c>
      <c r="DQ1160">
        <v>0</v>
      </c>
      <c r="DR1160" t="s">
        <v>411</v>
      </c>
      <c r="DS1160" t="b">
        <v>1</v>
      </c>
      <c r="DT1160" t="s">
        <v>396</v>
      </c>
      <c r="DV1160" t="s">
        <v>446</v>
      </c>
      <c r="DX1160">
        <v>-9999</v>
      </c>
      <c r="DZ1160" t="s">
        <v>447</v>
      </c>
      <c r="EA1160" t="s">
        <v>448</v>
      </c>
      <c r="EB1160" t="s">
        <v>2792</v>
      </c>
      <c r="EC1160">
        <v>20101217</v>
      </c>
      <c r="ED1160" t="s">
        <v>450</v>
      </c>
      <c r="EE1160">
        <v>5.3</v>
      </c>
      <c r="EF1160">
        <v>0</v>
      </c>
      <c r="EG1160">
        <v>0</v>
      </c>
      <c r="EH1160" t="s">
        <v>451</v>
      </c>
      <c r="EI1160">
        <v>20140731</v>
      </c>
      <c r="EJ1160">
        <v>0</v>
      </c>
      <c r="EK1160">
        <v>0</v>
      </c>
      <c r="EP1160" t="s">
        <v>421</v>
      </c>
      <c r="EQ1160" t="s">
        <v>422</v>
      </c>
      <c r="ER1160">
        <v>0</v>
      </c>
      <c r="ES1160">
        <v>1</v>
      </c>
      <c r="ET1160">
        <v>0</v>
      </c>
      <c r="EU1160">
        <v>0</v>
      </c>
      <c r="EV1160">
        <v>0</v>
      </c>
      <c r="EW1160" s="2">
        <v>43222</v>
      </c>
      <c r="EX1160" s="1">
        <v>41787</v>
      </c>
      <c r="EY1160">
        <v>2013</v>
      </c>
      <c r="EZ1160">
        <v>547.77</v>
      </c>
      <c r="FA1160" t="s">
        <v>11856</v>
      </c>
      <c r="FB1160">
        <v>0.25</v>
      </c>
      <c r="FC1160" t="s">
        <v>424</v>
      </c>
      <c r="FD1160" t="s">
        <v>425</v>
      </c>
      <c r="FE1160" s="1">
        <v>41809</v>
      </c>
      <c r="FF1160">
        <v>1</v>
      </c>
      <c r="FG1160">
        <v>2101385</v>
      </c>
      <c r="FH1160" t="s">
        <v>810</v>
      </c>
    </row>
    <row r="1161" spans="1:272" x14ac:dyDescent="0.25">
      <c r="A1161">
        <v>16486168</v>
      </c>
      <c r="B1161">
        <v>1160</v>
      </c>
      <c r="C1161" t="s">
        <v>393</v>
      </c>
      <c r="D1161" t="s">
        <v>394</v>
      </c>
      <c r="F1161" t="str">
        <f>"18-2N-27-4316-0012-0000"</f>
        <v>18-2N-27-4316-0012-0000</v>
      </c>
      <c r="H1161" t="str">
        <f>"MEADOWS MELISSA"</f>
        <v>MEADOWS MELISSA</v>
      </c>
      <c r="I1161" t="str">
        <f>"75229 JOHNSON LAKE RD"</f>
        <v>75229 JOHNSON LAKE RD</v>
      </c>
      <c r="J1161" t="str">
        <f t="shared" si="384"/>
        <v>YULEE FL 32097</v>
      </c>
      <c r="K1161" t="str">
        <f>"75229 JOHNSON LAKE RD"</f>
        <v>75229 JOHNSON LAKE RD</v>
      </c>
      <c r="L1161" t="str">
        <f t="shared" si="372"/>
        <v>YULEE FL 32097</v>
      </c>
      <c r="M1161" t="str">
        <f>"LOT 12 2001 SCHT DW IN OR 2061/1967 FPL ESMT PT OR 943/796 JOHNSON LAKE EST 2 PB 5/168"</f>
        <v>LOT 12 2001 SCHT DW IN OR 2061/1967 FPL ESMT PT OR 943/796 JOHNSON LAKE EST 2 PB 5/168</v>
      </c>
      <c r="N1161" t="str">
        <f>""</f>
        <v/>
      </c>
      <c r="O1161" t="str">
        <f>"32362"</f>
        <v>32362</v>
      </c>
      <c r="P1161" t="str">
        <f t="shared" si="382"/>
        <v>2017</v>
      </c>
      <c r="Q1161" t="str">
        <f>""</f>
        <v/>
      </c>
      <c r="R1161" t="str">
        <f>"Y"</f>
        <v>Y</v>
      </c>
      <c r="S1161" t="str">
        <f>""</f>
        <v/>
      </c>
      <c r="T1161" t="str">
        <f>"374.70"</f>
        <v>374.70</v>
      </c>
      <c r="U1161" t="str">
        <f>"49751.00"</f>
        <v>49751.00</v>
      </c>
      <c r="V1161" t="str">
        <f>"49751.00"</f>
        <v>49751.00</v>
      </c>
      <c r="W1161" t="str">
        <f t="shared" si="383"/>
        <v>2017</v>
      </c>
      <c r="X1161" t="str">
        <f>"1.00"</f>
        <v>1.00</v>
      </c>
      <c r="Y1161" t="str">
        <f>"417.94"</f>
        <v>417.94</v>
      </c>
      <c r="Z1161" t="str">
        <f>"25000.00"</f>
        <v>25000.00</v>
      </c>
      <c r="AA1161" t="str">
        <f>"24751.00"</f>
        <v>24751.00</v>
      </c>
      <c r="AB1161" t="str">
        <f t="shared" si="373"/>
        <v>Residential</v>
      </c>
      <c r="AC1161" t="str">
        <f t="shared" si="366"/>
        <v>0</v>
      </c>
      <c r="AD1161" t="str">
        <f t="shared" ref="AD1161:AD1168" si="385">"4"</f>
        <v>4</v>
      </c>
      <c r="AE1161" t="str">
        <f t="shared" ref="AE1161:AE1168" si="386">"WOOD (INCLUDE STEEL STUDS)"</f>
        <v>WOOD (INCLUDE STEEL STUDS)</v>
      </c>
      <c r="AF1161" t="str">
        <f t="shared" ref="AF1161:AF1168" si="387">"002"</f>
        <v>002</v>
      </c>
      <c r="AG1161" t="str">
        <f t="shared" si="381"/>
        <v>FL</v>
      </c>
      <c r="AH1161" t="str">
        <f t="shared" ref="AH1161:AH1168" si="388">"-"</f>
        <v>-</v>
      </c>
      <c r="AI1161" t="str">
        <f t="shared" ref="AI1161:AI1166" si="389">"18500.00"</f>
        <v>18500.00</v>
      </c>
      <c r="AJ1161" t="str">
        <f>"C55-000-587-1881-8"</f>
        <v>C55-000-587-1881-8</v>
      </c>
      <c r="AK1161" t="str">
        <f>"19753"</f>
        <v>19753</v>
      </c>
      <c r="AL1161">
        <v>5</v>
      </c>
      <c r="AM1161">
        <v>1327</v>
      </c>
      <c r="AN1161">
        <v>437.24</v>
      </c>
      <c r="AQ1161" t="s">
        <v>11857</v>
      </c>
      <c r="AR1161" t="s">
        <v>11857</v>
      </c>
      <c r="AS1161" t="s">
        <v>11857</v>
      </c>
      <c r="AU1161" t="s">
        <v>396</v>
      </c>
      <c r="AV1161">
        <v>2017</v>
      </c>
      <c r="AW1161" t="str">
        <f>"18-2N-27-4316-0012-0000 "</f>
        <v xml:space="preserve">18-2N-27-4316-0012-0000 </v>
      </c>
      <c r="AX1161">
        <v>75229</v>
      </c>
      <c r="AZ1161" t="s">
        <v>11777</v>
      </c>
      <c r="BA1161" t="s">
        <v>496</v>
      </c>
      <c r="BD1161" t="s">
        <v>2387</v>
      </c>
      <c r="BE1161" t="s">
        <v>393</v>
      </c>
      <c r="BF1161">
        <v>32097</v>
      </c>
      <c r="BG1161" t="s">
        <v>11858</v>
      </c>
      <c r="BH1161" t="s">
        <v>2388</v>
      </c>
      <c r="BI1161">
        <v>-81.651408321728198</v>
      </c>
      <c r="BJ1161">
        <v>30.600119031941301</v>
      </c>
      <c r="BK1161" t="s">
        <v>11859</v>
      </c>
      <c r="BM1161" t="s">
        <v>11858</v>
      </c>
      <c r="BN1161" t="s">
        <v>1778</v>
      </c>
      <c r="BO1161">
        <v>32097</v>
      </c>
      <c r="BP1161" t="s">
        <v>416</v>
      </c>
      <c r="BQ1161">
        <v>200</v>
      </c>
      <c r="BR1161" t="s">
        <v>405</v>
      </c>
      <c r="BS1161">
        <v>1006</v>
      </c>
      <c r="BT1161" t="s">
        <v>406</v>
      </c>
      <c r="BW1161">
        <v>44000</v>
      </c>
      <c r="BX1161" t="s">
        <v>407</v>
      </c>
      <c r="BY1161" t="s">
        <v>4360</v>
      </c>
      <c r="BZ1161">
        <v>4</v>
      </c>
      <c r="CA1161">
        <v>2001</v>
      </c>
      <c r="CB1161">
        <v>1</v>
      </c>
      <c r="CC1161">
        <v>1</v>
      </c>
      <c r="CD1161">
        <v>2017</v>
      </c>
      <c r="CE1161">
        <v>18500</v>
      </c>
      <c r="CF1161">
        <v>31251</v>
      </c>
      <c r="CG1161">
        <v>49751</v>
      </c>
      <c r="CH1161">
        <v>2017</v>
      </c>
      <c r="CI1161">
        <v>18500</v>
      </c>
      <c r="CJ1161">
        <v>31251</v>
      </c>
      <c r="CK1161">
        <v>49751</v>
      </c>
      <c r="CL1161">
        <v>2017</v>
      </c>
      <c r="CM1161">
        <v>374.7</v>
      </c>
      <c r="CN1161" s="1">
        <v>42583</v>
      </c>
      <c r="CO1161">
        <v>42000</v>
      </c>
      <c r="CV1161">
        <v>0</v>
      </c>
      <c r="CZ1161" s="1">
        <v>42583</v>
      </c>
      <c r="DA1161">
        <v>0</v>
      </c>
      <c r="DD1161" t="s">
        <v>2387</v>
      </c>
      <c r="DF1161">
        <v>12</v>
      </c>
      <c r="DG1161">
        <v>18</v>
      </c>
      <c r="DL1161">
        <v>50301</v>
      </c>
      <c r="DM1161" t="s">
        <v>11780</v>
      </c>
      <c r="DO1161" t="s">
        <v>11860</v>
      </c>
      <c r="DP1161">
        <v>0</v>
      </c>
      <c r="DQ1161">
        <v>0</v>
      </c>
      <c r="DR1161" t="s">
        <v>411</v>
      </c>
      <c r="DS1161" t="b">
        <v>1</v>
      </c>
      <c r="DT1161" t="s">
        <v>396</v>
      </c>
      <c r="DV1161" t="s">
        <v>446</v>
      </c>
      <c r="DX1161">
        <v>-9999</v>
      </c>
      <c r="DZ1161" t="s">
        <v>447</v>
      </c>
      <c r="EA1161" t="s">
        <v>448</v>
      </c>
      <c r="EB1161" t="s">
        <v>2792</v>
      </c>
      <c r="EC1161">
        <v>20101217</v>
      </c>
      <c r="ED1161" t="s">
        <v>450</v>
      </c>
      <c r="EE1161">
        <v>5.3</v>
      </c>
      <c r="EF1161">
        <v>0</v>
      </c>
      <c r="EG1161">
        <v>0</v>
      </c>
      <c r="EI1161">
        <v>20160407</v>
      </c>
      <c r="EJ1161">
        <v>0</v>
      </c>
      <c r="EK1161">
        <v>1</v>
      </c>
      <c r="EP1161" t="s">
        <v>421</v>
      </c>
      <c r="EQ1161" t="s">
        <v>422</v>
      </c>
      <c r="ER1161">
        <v>2</v>
      </c>
      <c r="ES1161">
        <v>2</v>
      </c>
      <c r="ET1161">
        <v>1400.74</v>
      </c>
      <c r="EU1161">
        <v>82.54</v>
      </c>
      <c r="EV1161">
        <v>1483.28</v>
      </c>
      <c r="EW1161" s="2">
        <v>43222</v>
      </c>
      <c r="EX1161" s="1">
        <v>42879</v>
      </c>
      <c r="EY1161">
        <v>2016</v>
      </c>
      <c r="EZ1161">
        <v>700.37</v>
      </c>
      <c r="FA1161" t="s">
        <v>11861</v>
      </c>
      <c r="FB1161">
        <v>0.25</v>
      </c>
      <c r="FC1161" t="s">
        <v>424</v>
      </c>
      <c r="FD1161" t="s">
        <v>454</v>
      </c>
      <c r="FF1161">
        <v>12</v>
      </c>
      <c r="FG1161">
        <v>2851116</v>
      </c>
      <c r="FH1161" t="s">
        <v>480</v>
      </c>
      <c r="FJ1161" s="1">
        <v>42879</v>
      </c>
      <c r="FK1161">
        <v>2016</v>
      </c>
      <c r="FL1161">
        <v>700.37</v>
      </c>
      <c r="FM1161" t="s">
        <v>11861</v>
      </c>
      <c r="FN1161">
        <v>0.25</v>
      </c>
      <c r="FO1161" t="s">
        <v>424</v>
      </c>
      <c r="FP1161" t="s">
        <v>454</v>
      </c>
      <c r="FR1161">
        <v>12</v>
      </c>
      <c r="FS1161">
        <v>5337310</v>
      </c>
      <c r="FT1161" t="s">
        <v>11862</v>
      </c>
      <c r="FV1161" s="1">
        <v>42515</v>
      </c>
      <c r="FW1161">
        <v>2015</v>
      </c>
      <c r="FX1161">
        <v>327.27999999999997</v>
      </c>
      <c r="FY1161" t="s">
        <v>11863</v>
      </c>
      <c r="FZ1161">
        <v>0.25</v>
      </c>
      <c r="GA1161" t="s">
        <v>424</v>
      </c>
      <c r="GB1161" t="s">
        <v>425</v>
      </c>
      <c r="GC1161" s="1">
        <v>42542</v>
      </c>
      <c r="GD1161">
        <v>1</v>
      </c>
      <c r="GE1161">
        <v>2851116</v>
      </c>
      <c r="GF1161" t="s">
        <v>480</v>
      </c>
      <c r="GH1161" s="1">
        <v>42515</v>
      </c>
      <c r="GI1161">
        <v>2015</v>
      </c>
      <c r="GJ1161">
        <v>327.27999999999997</v>
      </c>
      <c r="GK1161" t="s">
        <v>11863</v>
      </c>
      <c r="GL1161">
        <v>0.25</v>
      </c>
      <c r="GM1161" t="s">
        <v>424</v>
      </c>
      <c r="GN1161" t="s">
        <v>425</v>
      </c>
      <c r="GP1161">
        <v>22</v>
      </c>
      <c r="GQ1161">
        <v>5052717</v>
      </c>
      <c r="GR1161" t="s">
        <v>11864</v>
      </c>
    </row>
    <row r="1162" spans="1:272" x14ac:dyDescent="0.25">
      <c r="A1162">
        <v>16486169</v>
      </c>
      <c r="B1162">
        <v>1161</v>
      </c>
      <c r="C1162" t="s">
        <v>393</v>
      </c>
      <c r="D1162" t="s">
        <v>394</v>
      </c>
      <c r="F1162" t="str">
        <f>"18-2N-27-4316-0021-0000"</f>
        <v>18-2N-27-4316-0021-0000</v>
      </c>
      <c r="H1162" t="str">
        <f>"MILES MATTHEW S"</f>
        <v>MILES MATTHEW S</v>
      </c>
      <c r="I1162" t="str">
        <f>"75343 JOHNSON LAKE RD"</f>
        <v>75343 JOHNSON LAKE RD</v>
      </c>
      <c r="J1162" t="str">
        <f t="shared" si="384"/>
        <v>YULEE FL 32097</v>
      </c>
      <c r="K1162" t="str">
        <f>"75343 JOHNSON LAKE RD"</f>
        <v>75343 JOHNSON LAKE RD</v>
      </c>
      <c r="L1162" t="str">
        <f t="shared" si="372"/>
        <v>YULEE FL 32097</v>
      </c>
      <c r="M1162" t="str">
        <f>"LOT 21 IN OR 1158/785 &amp; OR 1988/31 R621644 &amp; R621645 JOHNSON LAKE EST 3 PB 5/168"</f>
        <v>LOT 21 IN OR 1158/785 &amp; OR 1988/31 R621644 &amp; R621645 JOHNSON LAKE EST 3 PB 5/168</v>
      </c>
      <c r="N1162" t="str">
        <f>""</f>
        <v/>
      </c>
      <c r="O1162" t="str">
        <f>"32371"</f>
        <v>32371</v>
      </c>
      <c r="P1162" t="str">
        <f t="shared" si="382"/>
        <v>2017</v>
      </c>
      <c r="Q1162" t="str">
        <f>""</f>
        <v/>
      </c>
      <c r="R1162" t="str">
        <f>"N"</f>
        <v>N</v>
      </c>
      <c r="S1162" t="str">
        <f>""</f>
        <v/>
      </c>
      <c r="T1162" t="str">
        <f>"1366.00"</f>
        <v>1366.00</v>
      </c>
      <c r="U1162" t="str">
        <f>"90232.00"</f>
        <v>90232.00</v>
      </c>
      <c r="V1162" t="str">
        <f>"90232.00"</f>
        <v>90232.00</v>
      </c>
      <c r="W1162" t="str">
        <f t="shared" si="383"/>
        <v>2017</v>
      </c>
      <c r="X1162" t="str">
        <f>"16.75"</f>
        <v>16.75</v>
      </c>
      <c r="Y1162" t="str">
        <f>"1438.98"</f>
        <v>1438.98</v>
      </c>
      <c r="Z1162" t="str">
        <f>""</f>
        <v/>
      </c>
      <c r="AA1162" t="str">
        <f>"90232.00"</f>
        <v>90232.00</v>
      </c>
      <c r="AB1162" t="str">
        <f t="shared" si="373"/>
        <v>Residential</v>
      </c>
      <c r="AC1162" t="str">
        <f t="shared" si="366"/>
        <v>0</v>
      </c>
      <c r="AD1162" t="str">
        <f t="shared" si="385"/>
        <v>4</v>
      </c>
      <c r="AE1162" t="str">
        <f t="shared" si="386"/>
        <v>WOOD (INCLUDE STEEL STUDS)</v>
      </c>
      <c r="AF1162" t="str">
        <f t="shared" si="387"/>
        <v>002</v>
      </c>
      <c r="AG1162" t="str">
        <f t="shared" si="381"/>
        <v>FL</v>
      </c>
      <c r="AH1162" t="str">
        <f t="shared" si="388"/>
        <v>-</v>
      </c>
      <c r="AI1162" t="str">
        <f t="shared" si="389"/>
        <v>18500.00</v>
      </c>
      <c r="AJ1162" t="str">
        <f>"C55-000-587-1890-9"</f>
        <v>C55-000-587-1890-9</v>
      </c>
      <c r="AK1162" t="str">
        <f>"19762"</f>
        <v>19762</v>
      </c>
      <c r="AL1162">
        <v>5</v>
      </c>
      <c r="AM1162">
        <v>1329</v>
      </c>
      <c r="AN1162">
        <v>1509.33</v>
      </c>
      <c r="AQ1162" t="s">
        <v>11865</v>
      </c>
      <c r="AR1162" t="s">
        <v>11865</v>
      </c>
      <c r="AS1162" t="s">
        <v>11865</v>
      </c>
      <c r="AU1162" t="s">
        <v>396</v>
      </c>
      <c r="AV1162">
        <v>2017</v>
      </c>
      <c r="AW1162" t="str">
        <f>"18-2N-27-4316-0021-0000 "</f>
        <v xml:space="preserve">18-2N-27-4316-0021-0000 </v>
      </c>
      <c r="AX1162">
        <v>75343</v>
      </c>
      <c r="AZ1162" t="s">
        <v>11777</v>
      </c>
      <c r="BA1162" t="s">
        <v>496</v>
      </c>
      <c r="BD1162" t="s">
        <v>2387</v>
      </c>
      <c r="BE1162" t="s">
        <v>393</v>
      </c>
      <c r="BF1162">
        <v>32097</v>
      </c>
      <c r="BG1162" t="s">
        <v>11866</v>
      </c>
      <c r="BH1162" t="s">
        <v>2388</v>
      </c>
      <c r="BI1162">
        <v>-81.649728900953093</v>
      </c>
      <c r="BJ1162">
        <v>30.602715843992499</v>
      </c>
      <c r="BK1162" t="s">
        <v>11867</v>
      </c>
      <c r="BM1162" t="s">
        <v>11866</v>
      </c>
      <c r="BN1162" t="s">
        <v>1778</v>
      </c>
      <c r="BO1162">
        <v>32097</v>
      </c>
      <c r="BP1162" t="s">
        <v>416</v>
      </c>
      <c r="BQ1162">
        <v>200</v>
      </c>
      <c r="BR1162" t="s">
        <v>405</v>
      </c>
      <c r="BS1162">
        <v>1006</v>
      </c>
      <c r="BT1162" t="s">
        <v>406</v>
      </c>
      <c r="BW1162">
        <v>49998</v>
      </c>
      <c r="BX1162" t="s">
        <v>407</v>
      </c>
      <c r="BY1162" t="s">
        <v>4360</v>
      </c>
      <c r="BZ1162">
        <v>4</v>
      </c>
      <c r="CA1162">
        <v>2016</v>
      </c>
      <c r="CB1162">
        <v>1</v>
      </c>
      <c r="CC1162">
        <v>1</v>
      </c>
      <c r="CD1162">
        <v>2017</v>
      </c>
      <c r="CE1162">
        <v>18500</v>
      </c>
      <c r="CF1162">
        <v>71732</v>
      </c>
      <c r="CG1162">
        <v>90232</v>
      </c>
      <c r="CH1162">
        <v>2017</v>
      </c>
      <c r="CI1162">
        <v>18500</v>
      </c>
      <c r="CJ1162">
        <v>71732</v>
      </c>
      <c r="CK1162">
        <v>90232</v>
      </c>
      <c r="CL1162">
        <v>2017</v>
      </c>
      <c r="CM1162">
        <v>1366</v>
      </c>
      <c r="CN1162" s="1">
        <v>42151</v>
      </c>
      <c r="CZ1162" s="1">
        <v>42151</v>
      </c>
      <c r="DD1162" t="s">
        <v>2387</v>
      </c>
      <c r="DG1162">
        <v>18</v>
      </c>
      <c r="DL1162">
        <v>50301</v>
      </c>
      <c r="DM1162" t="s">
        <v>11780</v>
      </c>
      <c r="DO1162" t="s">
        <v>11868</v>
      </c>
      <c r="DP1162">
        <v>0</v>
      </c>
      <c r="DQ1162">
        <v>0</v>
      </c>
      <c r="DR1162" t="s">
        <v>411</v>
      </c>
      <c r="DS1162" t="b">
        <v>1</v>
      </c>
      <c r="DT1162" t="s">
        <v>470</v>
      </c>
      <c r="DU1162" t="s">
        <v>471</v>
      </c>
      <c r="DV1162" t="s">
        <v>472</v>
      </c>
      <c r="DX1162">
        <v>-9999</v>
      </c>
      <c r="DZ1162" t="s">
        <v>447</v>
      </c>
      <c r="EA1162" t="s">
        <v>448</v>
      </c>
      <c r="EB1162" t="s">
        <v>742</v>
      </c>
      <c r="EC1162">
        <v>20101217</v>
      </c>
      <c r="ED1162" t="s">
        <v>474</v>
      </c>
      <c r="EF1162">
        <v>116.6</v>
      </c>
      <c r="EG1162">
        <v>116.6</v>
      </c>
      <c r="EI1162">
        <v>20160407</v>
      </c>
      <c r="EJ1162">
        <v>0</v>
      </c>
      <c r="EK1162">
        <v>0</v>
      </c>
      <c r="EP1162" t="s">
        <v>421</v>
      </c>
      <c r="EQ1162" t="s">
        <v>422</v>
      </c>
      <c r="ER1162">
        <v>2</v>
      </c>
      <c r="ES1162">
        <v>7</v>
      </c>
      <c r="ET1162">
        <v>1172.06</v>
      </c>
      <c r="EU1162">
        <v>71.099999999999994</v>
      </c>
      <c r="EV1162">
        <v>1243.1600000000001</v>
      </c>
      <c r="EW1162" s="2">
        <v>43222</v>
      </c>
      <c r="EX1162" s="1">
        <v>42879</v>
      </c>
      <c r="EY1162">
        <v>2016</v>
      </c>
      <c r="EZ1162">
        <v>586.03</v>
      </c>
      <c r="FA1162" t="s">
        <v>11869</v>
      </c>
      <c r="FB1162">
        <v>0.25</v>
      </c>
      <c r="FC1162" t="s">
        <v>424</v>
      </c>
      <c r="FD1162" t="s">
        <v>454</v>
      </c>
      <c r="FF1162">
        <v>12</v>
      </c>
      <c r="FG1162">
        <v>2851116</v>
      </c>
      <c r="FH1162" t="s">
        <v>480</v>
      </c>
      <c r="FJ1162" s="1">
        <v>42879</v>
      </c>
      <c r="FK1162">
        <v>2016</v>
      </c>
      <c r="FL1162">
        <v>586.03</v>
      </c>
      <c r="FM1162" t="s">
        <v>11869</v>
      </c>
      <c r="FN1162">
        <v>0.25</v>
      </c>
      <c r="FO1162" t="s">
        <v>424</v>
      </c>
      <c r="FP1162" t="s">
        <v>454</v>
      </c>
      <c r="FR1162">
        <v>12</v>
      </c>
      <c r="FS1162">
        <v>5280745</v>
      </c>
      <c r="FT1162" t="s">
        <v>11870</v>
      </c>
      <c r="FV1162" s="1">
        <v>42515</v>
      </c>
      <c r="FW1162">
        <v>2015</v>
      </c>
      <c r="FX1162">
        <v>586.46</v>
      </c>
      <c r="FY1162" t="s">
        <v>11871</v>
      </c>
      <c r="FZ1162">
        <v>0.25</v>
      </c>
      <c r="GA1162" t="s">
        <v>424</v>
      </c>
      <c r="GB1162" t="s">
        <v>425</v>
      </c>
      <c r="GC1162" s="1">
        <v>42606</v>
      </c>
      <c r="GD1162">
        <v>3</v>
      </c>
      <c r="GE1162">
        <v>2851116</v>
      </c>
      <c r="GF1162" t="s">
        <v>480</v>
      </c>
      <c r="GH1162" s="1">
        <v>42515</v>
      </c>
      <c r="GI1162">
        <v>2015</v>
      </c>
      <c r="GJ1162">
        <v>586.46</v>
      </c>
      <c r="GK1162" t="s">
        <v>11871</v>
      </c>
      <c r="GL1162">
        <v>0.25</v>
      </c>
      <c r="GM1162" t="s">
        <v>424</v>
      </c>
      <c r="GN1162" t="s">
        <v>425</v>
      </c>
      <c r="GP1162">
        <v>22</v>
      </c>
      <c r="GQ1162">
        <v>5534286</v>
      </c>
      <c r="GR1162" t="s">
        <v>11872</v>
      </c>
      <c r="GT1162" s="1">
        <v>42151</v>
      </c>
      <c r="GU1162">
        <v>2014</v>
      </c>
      <c r="GV1162">
        <v>511.85</v>
      </c>
      <c r="GW1162" t="s">
        <v>11873</v>
      </c>
      <c r="GX1162">
        <v>3.75</v>
      </c>
      <c r="GY1162" t="s">
        <v>424</v>
      </c>
      <c r="GZ1162" t="s">
        <v>425</v>
      </c>
      <c r="HA1162" s="1">
        <v>42606</v>
      </c>
      <c r="HB1162">
        <v>15</v>
      </c>
      <c r="HC1162">
        <v>4975593</v>
      </c>
      <c r="HD1162" t="s">
        <v>505</v>
      </c>
      <c r="HF1162" s="1">
        <v>41787</v>
      </c>
      <c r="HG1162">
        <v>2013</v>
      </c>
      <c r="HH1162">
        <v>622.62</v>
      </c>
      <c r="HI1162" t="s">
        <v>11874</v>
      </c>
      <c r="HJ1162">
        <v>6</v>
      </c>
      <c r="HK1162" t="s">
        <v>424</v>
      </c>
      <c r="HL1162" t="s">
        <v>425</v>
      </c>
      <c r="HM1162" s="1">
        <v>42426</v>
      </c>
      <c r="HN1162">
        <v>21</v>
      </c>
      <c r="HO1162">
        <v>2035919</v>
      </c>
      <c r="HP1162" t="s">
        <v>507</v>
      </c>
      <c r="HR1162" s="1">
        <v>41423</v>
      </c>
      <c r="HS1162">
        <v>2012</v>
      </c>
      <c r="HT1162">
        <v>641.22</v>
      </c>
      <c r="HU1162" t="s">
        <v>11875</v>
      </c>
      <c r="HV1162">
        <v>0.25</v>
      </c>
      <c r="HW1162" t="s">
        <v>424</v>
      </c>
      <c r="HX1162" t="s">
        <v>425</v>
      </c>
      <c r="HY1162" s="1">
        <v>42062</v>
      </c>
      <c r="HZ1162">
        <v>21</v>
      </c>
      <c r="IA1162">
        <v>10125</v>
      </c>
      <c r="IB1162" t="s">
        <v>440</v>
      </c>
      <c r="ID1162" s="1">
        <v>41052</v>
      </c>
      <c r="IE1162">
        <v>2011</v>
      </c>
      <c r="IF1162">
        <v>719.92</v>
      </c>
      <c r="IG1162" t="s">
        <v>11876</v>
      </c>
      <c r="IH1162">
        <v>6</v>
      </c>
      <c r="II1162" t="s">
        <v>424</v>
      </c>
      <c r="IJ1162" t="s">
        <v>425</v>
      </c>
      <c r="IK1162" s="1">
        <v>41698</v>
      </c>
      <c r="IL1162">
        <v>21</v>
      </c>
      <c r="IM1162">
        <v>10125</v>
      </c>
      <c r="IN1162" t="s">
        <v>440</v>
      </c>
      <c r="IP1162" s="1">
        <v>40688</v>
      </c>
      <c r="IQ1162">
        <v>2010</v>
      </c>
      <c r="IR1162">
        <v>819.81</v>
      </c>
      <c r="IS1162" t="s">
        <v>11877</v>
      </c>
      <c r="IT1162">
        <v>6.5</v>
      </c>
      <c r="IU1162" t="s">
        <v>424</v>
      </c>
      <c r="IV1162" t="s">
        <v>425</v>
      </c>
      <c r="IW1162" s="1">
        <v>41313</v>
      </c>
      <c r="IX1162">
        <v>21</v>
      </c>
      <c r="IY1162">
        <v>62</v>
      </c>
      <c r="IZ1162" t="s">
        <v>463</v>
      </c>
    </row>
    <row r="1163" spans="1:272" x14ac:dyDescent="0.25">
      <c r="A1163">
        <v>16486170</v>
      </c>
      <c r="B1163">
        <v>1162</v>
      </c>
      <c r="C1163" t="s">
        <v>393</v>
      </c>
      <c r="D1163" t="s">
        <v>394</v>
      </c>
      <c r="F1163" t="str">
        <f>"18-2N-27-4316-0022-0000"</f>
        <v>18-2N-27-4316-0022-0000</v>
      </c>
      <c r="H1163" t="str">
        <f>"BULLOCK DARYL D &amp; MISTY D BULLOCK RETTA R EST"</f>
        <v>BULLOCK DARYL D &amp; MISTY D BULLOCK RETTA R EST</v>
      </c>
      <c r="I1163" t="str">
        <f>"75353 JOHNSON LAKE ROAD"</f>
        <v>75353 JOHNSON LAKE ROAD</v>
      </c>
      <c r="J1163" t="str">
        <f t="shared" si="384"/>
        <v>YULEE FL 32097</v>
      </c>
      <c r="K1163" t="str">
        <f>"75353 JOHNSON LAKE RD"</f>
        <v>75353 JOHNSON LAKE RD</v>
      </c>
      <c r="L1163" t="str">
        <f t="shared" si="372"/>
        <v>YULEE FL 32097</v>
      </c>
      <c r="M1163" t="str">
        <f>"LOT 22 R583802 IN OR 1247/334 JOHNSON LAKE EST 2 PB 5/168"</f>
        <v>LOT 22 R583802 IN OR 1247/334 JOHNSON LAKE EST 2 PB 5/168</v>
      </c>
      <c r="N1163" t="str">
        <f>""</f>
        <v/>
      </c>
      <c r="O1163" t="str">
        <f>"32372"</f>
        <v>32372</v>
      </c>
      <c r="P1163" t="str">
        <f t="shared" si="382"/>
        <v>2017</v>
      </c>
      <c r="Q1163" t="str">
        <f>""</f>
        <v/>
      </c>
      <c r="R1163" t="str">
        <f>"Y"</f>
        <v>Y</v>
      </c>
      <c r="S1163" t="str">
        <f>""</f>
        <v/>
      </c>
      <c r="T1163" t="str">
        <f>"240.06"</f>
        <v>240.06</v>
      </c>
      <c r="U1163" t="str">
        <f>"28895.00"</f>
        <v>28895.00</v>
      </c>
      <c r="V1163" t="str">
        <f>"28895.00"</f>
        <v>28895.00</v>
      </c>
      <c r="W1163" t="str">
        <f t="shared" si="383"/>
        <v>2017</v>
      </c>
      <c r="X1163" t="str">
        <f>"21.80"</f>
        <v>21.80</v>
      </c>
      <c r="Y1163" t="str">
        <f>"279.26"</f>
        <v>279.26</v>
      </c>
      <c r="Z1163" t="str">
        <f>"13683.00"</f>
        <v>13683.00</v>
      </c>
      <c r="AA1163" t="str">
        <f>"16693.00"</f>
        <v>16693.00</v>
      </c>
      <c r="AB1163" t="str">
        <f t="shared" si="373"/>
        <v>Residential</v>
      </c>
      <c r="AC1163" t="str">
        <f t="shared" si="366"/>
        <v>0</v>
      </c>
      <c r="AD1163" t="str">
        <f t="shared" si="385"/>
        <v>4</v>
      </c>
      <c r="AE1163" t="str">
        <f t="shared" si="386"/>
        <v>WOOD (INCLUDE STEEL STUDS)</v>
      </c>
      <c r="AF1163" t="str">
        <f t="shared" si="387"/>
        <v>002</v>
      </c>
      <c r="AG1163" t="str">
        <f t="shared" si="381"/>
        <v>FL</v>
      </c>
      <c r="AH1163" t="str">
        <f t="shared" si="388"/>
        <v>-</v>
      </c>
      <c r="AI1163" t="str">
        <f t="shared" si="389"/>
        <v>18500.00</v>
      </c>
      <c r="AJ1163" t="str">
        <f>"C55-000-587-1891-7"</f>
        <v>C55-000-587-1891-7</v>
      </c>
      <c r="AK1163" t="str">
        <f>"19763"</f>
        <v>19763</v>
      </c>
      <c r="AL1163">
        <v>5</v>
      </c>
      <c r="AM1163">
        <v>1330</v>
      </c>
      <c r="AN1163">
        <v>291.62</v>
      </c>
      <c r="AQ1163" t="s">
        <v>11878</v>
      </c>
      <c r="AR1163" t="s">
        <v>11878</v>
      </c>
      <c r="AS1163" t="s">
        <v>11878</v>
      </c>
      <c r="AU1163" t="s">
        <v>396</v>
      </c>
      <c r="AV1163">
        <v>2017</v>
      </c>
      <c r="AW1163" t="str">
        <f>"18-2N-27-4316-0022-0000 "</f>
        <v xml:space="preserve">18-2N-27-4316-0022-0000 </v>
      </c>
      <c r="AX1163">
        <v>75353</v>
      </c>
      <c r="AZ1163" t="s">
        <v>11777</v>
      </c>
      <c r="BA1163" t="s">
        <v>496</v>
      </c>
      <c r="BD1163" t="s">
        <v>2387</v>
      </c>
      <c r="BE1163" t="s">
        <v>393</v>
      </c>
      <c r="BF1163">
        <v>32097</v>
      </c>
      <c r="BG1163" t="s">
        <v>11879</v>
      </c>
      <c r="BH1163" t="s">
        <v>2388</v>
      </c>
      <c r="BI1163">
        <v>-81.649413748979995</v>
      </c>
      <c r="BJ1163">
        <v>30.6026801514118</v>
      </c>
      <c r="BK1163" t="s">
        <v>11880</v>
      </c>
      <c r="BL1163" t="s">
        <v>11881</v>
      </c>
      <c r="BM1163" t="s">
        <v>11879</v>
      </c>
      <c r="BN1163" t="s">
        <v>1778</v>
      </c>
      <c r="BO1163">
        <v>32097</v>
      </c>
      <c r="BP1163" t="s">
        <v>416</v>
      </c>
      <c r="BQ1163">
        <v>200</v>
      </c>
      <c r="BR1163" t="s">
        <v>405</v>
      </c>
      <c r="BS1163">
        <v>1006</v>
      </c>
      <c r="BT1163" t="s">
        <v>406</v>
      </c>
      <c r="BW1163">
        <v>50002</v>
      </c>
      <c r="BX1163" t="s">
        <v>407</v>
      </c>
      <c r="BY1163" t="s">
        <v>4360</v>
      </c>
      <c r="BZ1163">
        <v>4</v>
      </c>
      <c r="CA1163">
        <v>1989</v>
      </c>
      <c r="CB1163">
        <v>1</v>
      </c>
      <c r="CC1163">
        <v>1</v>
      </c>
      <c r="CD1163">
        <v>2017</v>
      </c>
      <c r="CG1163">
        <v>30376</v>
      </c>
      <c r="CH1163">
        <v>2017</v>
      </c>
      <c r="CI1163">
        <v>18500</v>
      </c>
      <c r="CJ1163">
        <v>14888</v>
      </c>
      <c r="CK1163">
        <v>33388</v>
      </c>
      <c r="CL1163">
        <v>2017</v>
      </c>
      <c r="CM1163">
        <v>240.06</v>
      </c>
      <c r="CN1163" s="1">
        <v>38189</v>
      </c>
      <c r="CO1163">
        <v>60000</v>
      </c>
      <c r="CV1163">
        <v>45000</v>
      </c>
      <c r="CX1163" t="s">
        <v>675</v>
      </c>
      <c r="CZ1163" s="1">
        <v>38189</v>
      </c>
      <c r="DA1163">
        <v>15000</v>
      </c>
      <c r="DD1163" t="s">
        <v>2387</v>
      </c>
      <c r="DF1163">
        <v>22</v>
      </c>
      <c r="DG1163">
        <v>18</v>
      </c>
      <c r="DJ1163" t="s">
        <v>11882</v>
      </c>
      <c r="DL1163">
        <v>50301</v>
      </c>
      <c r="DM1163" t="s">
        <v>11780</v>
      </c>
      <c r="DO1163" t="s">
        <v>11883</v>
      </c>
      <c r="DP1163">
        <v>0</v>
      </c>
      <c r="DQ1163">
        <v>0</v>
      </c>
      <c r="DR1163" t="s">
        <v>411</v>
      </c>
      <c r="DS1163" t="b">
        <v>1</v>
      </c>
      <c r="DT1163" t="s">
        <v>470</v>
      </c>
      <c r="DU1163" t="s">
        <v>471</v>
      </c>
      <c r="DV1163" t="s">
        <v>472</v>
      </c>
      <c r="DX1163">
        <v>-9999</v>
      </c>
      <c r="DZ1163" t="s">
        <v>447</v>
      </c>
      <c r="EA1163" t="s">
        <v>448</v>
      </c>
      <c r="EB1163" t="s">
        <v>742</v>
      </c>
      <c r="EC1163">
        <v>20101217</v>
      </c>
      <c r="ED1163" t="s">
        <v>474</v>
      </c>
      <c r="EF1163">
        <v>216.3</v>
      </c>
      <c r="EG1163">
        <v>216.3</v>
      </c>
      <c r="EI1163">
        <v>20160407</v>
      </c>
      <c r="EJ1163">
        <v>0</v>
      </c>
      <c r="EK1163">
        <v>0</v>
      </c>
      <c r="EP1163" t="s">
        <v>595</v>
      </c>
      <c r="EQ1163" t="s">
        <v>422</v>
      </c>
      <c r="ER1163">
        <v>1</v>
      </c>
      <c r="ES1163">
        <v>8</v>
      </c>
      <c r="ET1163">
        <v>256.58999999999997</v>
      </c>
      <c r="EU1163">
        <v>28.06</v>
      </c>
      <c r="EV1163">
        <v>284.64999999999998</v>
      </c>
      <c r="EW1163" s="2">
        <v>43222</v>
      </c>
      <c r="EX1163" s="1">
        <v>42879</v>
      </c>
      <c r="EY1163">
        <v>2016</v>
      </c>
      <c r="EZ1163">
        <v>256.58999999999997</v>
      </c>
      <c r="FA1163" t="s">
        <v>11884</v>
      </c>
      <c r="FB1163">
        <v>8.5</v>
      </c>
      <c r="FC1163" t="s">
        <v>424</v>
      </c>
      <c r="FD1163" t="s">
        <v>454</v>
      </c>
      <c r="FF1163">
        <v>12</v>
      </c>
      <c r="FG1163">
        <v>10125</v>
      </c>
      <c r="FH1163" t="s">
        <v>440</v>
      </c>
      <c r="FJ1163" s="1">
        <v>42515</v>
      </c>
      <c r="FK1163">
        <v>2015</v>
      </c>
      <c r="FL1163">
        <v>281.54000000000002</v>
      </c>
      <c r="FM1163" t="s">
        <v>11885</v>
      </c>
      <c r="FN1163">
        <v>14.75</v>
      </c>
      <c r="FO1163" t="s">
        <v>424</v>
      </c>
      <c r="FP1163" t="s">
        <v>425</v>
      </c>
      <c r="FQ1163" s="1">
        <v>43182</v>
      </c>
      <c r="FR1163">
        <v>22</v>
      </c>
      <c r="FS1163">
        <v>2035919</v>
      </c>
      <c r="FT1163" t="s">
        <v>507</v>
      </c>
      <c r="FV1163" s="1">
        <v>42151</v>
      </c>
      <c r="FW1163">
        <v>2014</v>
      </c>
      <c r="FX1163">
        <v>247.66</v>
      </c>
      <c r="FY1163" t="s">
        <v>11886</v>
      </c>
      <c r="FZ1163">
        <v>18</v>
      </c>
      <c r="GA1163" t="s">
        <v>603</v>
      </c>
      <c r="GB1163" t="s">
        <v>425</v>
      </c>
      <c r="GD1163">
        <v>22</v>
      </c>
      <c r="GE1163">
        <v>9999999</v>
      </c>
      <c r="GF1163" t="s">
        <v>604</v>
      </c>
      <c r="GH1163" s="1">
        <v>42151</v>
      </c>
      <c r="GI1163">
        <v>2014</v>
      </c>
      <c r="GJ1163">
        <v>257.62</v>
      </c>
      <c r="GK1163" t="s">
        <v>11886</v>
      </c>
      <c r="GL1163">
        <v>18</v>
      </c>
      <c r="GM1163" t="s">
        <v>424</v>
      </c>
      <c r="GN1163" t="s">
        <v>425</v>
      </c>
      <c r="GO1163" s="1">
        <v>42789</v>
      </c>
      <c r="GP1163">
        <v>21</v>
      </c>
      <c r="GQ1163">
        <v>4844964</v>
      </c>
      <c r="GR1163" t="s">
        <v>1788</v>
      </c>
      <c r="GT1163" s="1">
        <v>41787</v>
      </c>
      <c r="GU1163">
        <v>2013</v>
      </c>
      <c r="GV1163">
        <v>292.97000000000003</v>
      </c>
      <c r="GW1163" t="s">
        <v>11887</v>
      </c>
      <c r="GX1163">
        <v>2.25</v>
      </c>
      <c r="GY1163" t="s">
        <v>424</v>
      </c>
      <c r="GZ1163" t="s">
        <v>425</v>
      </c>
      <c r="HA1163" s="1">
        <v>42450</v>
      </c>
      <c r="HB1163">
        <v>22</v>
      </c>
      <c r="HC1163">
        <v>62</v>
      </c>
      <c r="HD1163" t="s">
        <v>463</v>
      </c>
      <c r="HF1163" s="1">
        <v>41423</v>
      </c>
      <c r="HG1163">
        <v>2012</v>
      </c>
      <c r="HH1163">
        <v>299.06</v>
      </c>
      <c r="HI1163" t="s">
        <v>11888</v>
      </c>
      <c r="HJ1163">
        <v>2.75</v>
      </c>
      <c r="HK1163" t="s">
        <v>424</v>
      </c>
      <c r="HL1163" t="s">
        <v>425</v>
      </c>
      <c r="HN1163">
        <v>22</v>
      </c>
      <c r="HO1163">
        <v>15399</v>
      </c>
      <c r="HP1163" t="s">
        <v>485</v>
      </c>
      <c r="HR1163" s="1">
        <v>41423</v>
      </c>
      <c r="HS1163">
        <v>2012</v>
      </c>
      <c r="HT1163">
        <v>299.06</v>
      </c>
      <c r="HU1163" t="s">
        <v>11888</v>
      </c>
      <c r="HV1163">
        <v>2.75</v>
      </c>
      <c r="HW1163" t="s">
        <v>424</v>
      </c>
      <c r="HX1163" t="s">
        <v>425</v>
      </c>
      <c r="HY1163" s="1">
        <v>42093</v>
      </c>
      <c r="HZ1163">
        <v>22</v>
      </c>
      <c r="IA1163">
        <v>13027</v>
      </c>
      <c r="IB1163" t="s">
        <v>826</v>
      </c>
      <c r="ID1163" s="1">
        <v>41052</v>
      </c>
      <c r="IE1163">
        <v>2011</v>
      </c>
      <c r="IF1163">
        <v>258</v>
      </c>
      <c r="IG1163" t="s">
        <v>11889</v>
      </c>
      <c r="IH1163">
        <v>18</v>
      </c>
      <c r="II1163" t="s">
        <v>424</v>
      </c>
      <c r="IJ1163" t="s">
        <v>425</v>
      </c>
      <c r="IK1163" s="1">
        <v>41725</v>
      </c>
      <c r="IL1163">
        <v>22</v>
      </c>
      <c r="IM1163">
        <v>15375</v>
      </c>
      <c r="IN1163" t="s">
        <v>11890</v>
      </c>
      <c r="IP1163" s="1">
        <v>41052</v>
      </c>
      <c r="IQ1163">
        <v>2011</v>
      </c>
      <c r="IR1163">
        <v>221.81</v>
      </c>
      <c r="IS1163" t="s">
        <v>11889</v>
      </c>
      <c r="IT1163">
        <v>18</v>
      </c>
      <c r="IU1163" t="s">
        <v>603</v>
      </c>
      <c r="IV1163" t="s">
        <v>425</v>
      </c>
      <c r="IX1163">
        <v>22</v>
      </c>
      <c r="IY1163">
        <v>9999999</v>
      </c>
      <c r="IZ1163" t="s">
        <v>604</v>
      </c>
    </row>
    <row r="1164" spans="1:272" x14ac:dyDescent="0.25">
      <c r="A1164">
        <v>16486171</v>
      </c>
      <c r="B1164">
        <v>1163</v>
      </c>
      <c r="C1164" t="s">
        <v>393</v>
      </c>
      <c r="D1164" t="s">
        <v>394</v>
      </c>
      <c r="F1164" t="str">
        <f>"18-2N-27-4316-0024-0000"</f>
        <v>18-2N-27-4316-0024-0000</v>
      </c>
      <c r="H1164" t="str">
        <f>"WILLIAMSON KENNETH &amp; JANICE F"</f>
        <v>WILLIAMSON KENNETH &amp; JANICE F</v>
      </c>
      <c r="I1164" t="str">
        <f>"75389 JOHNSON LAKE ROAD"</f>
        <v>75389 JOHNSON LAKE ROAD</v>
      </c>
      <c r="J1164" t="str">
        <f t="shared" si="384"/>
        <v>YULEE FL 32097</v>
      </c>
      <c r="K1164" t="str">
        <f>"75389 JOHNSON LAKE RD"</f>
        <v>75389 JOHNSON LAKE RD</v>
      </c>
      <c r="L1164" t="str">
        <f t="shared" si="372"/>
        <v>YULEE FL 32097</v>
      </c>
      <c r="M1164" t="str">
        <f>"LOT 24 IN OR 843/1435 R672993 &amp; R672994 JOHNSON LAKE EST 2 PB 5/168"</f>
        <v>LOT 24 IN OR 843/1435 R672993 &amp; R672994 JOHNSON LAKE EST 2 PB 5/168</v>
      </c>
      <c r="N1164" t="str">
        <f>""</f>
        <v/>
      </c>
      <c r="O1164" t="str">
        <f>"32374"</f>
        <v>32374</v>
      </c>
      <c r="P1164" t="str">
        <f t="shared" si="382"/>
        <v>2017</v>
      </c>
      <c r="Q1164" t="str">
        <f>""</f>
        <v/>
      </c>
      <c r="R1164" t="str">
        <f>"Y"</f>
        <v>Y</v>
      </c>
      <c r="S1164" t="str">
        <f>""</f>
        <v/>
      </c>
      <c r="T1164" t="str">
        <f>"386.90"</f>
        <v>386.90</v>
      </c>
      <c r="U1164" t="str">
        <f>"51277.00"</f>
        <v>51277.00</v>
      </c>
      <c r="V1164" t="str">
        <f>"51277.00"</f>
        <v>51277.00</v>
      </c>
      <c r="W1164" t="str">
        <f t="shared" si="383"/>
        <v>2017</v>
      </c>
      <c r="X1164" t="str">
        <f>"10.45"</f>
        <v>10.45</v>
      </c>
      <c r="Y1164" t="str">
        <f>"430.51"</f>
        <v>430.51</v>
      </c>
      <c r="Z1164" t="str">
        <f>"25000.00"</f>
        <v>25000.00</v>
      </c>
      <c r="AA1164" t="str">
        <f>"26277.00"</f>
        <v>26277.00</v>
      </c>
      <c r="AB1164" t="str">
        <f t="shared" si="373"/>
        <v>Residential</v>
      </c>
      <c r="AC1164" t="str">
        <f t="shared" si="366"/>
        <v>0</v>
      </c>
      <c r="AD1164" t="str">
        <f t="shared" si="385"/>
        <v>4</v>
      </c>
      <c r="AE1164" t="str">
        <f t="shared" si="386"/>
        <v>WOOD (INCLUDE STEEL STUDS)</v>
      </c>
      <c r="AF1164" t="str">
        <f t="shared" si="387"/>
        <v>002</v>
      </c>
      <c r="AG1164" t="str">
        <f t="shared" si="381"/>
        <v>FL</v>
      </c>
      <c r="AH1164" t="str">
        <f t="shared" si="388"/>
        <v>-</v>
      </c>
      <c r="AI1164" t="str">
        <f t="shared" si="389"/>
        <v>18500.00</v>
      </c>
      <c r="AJ1164" t="str">
        <f>"C55-000-587-1893-3"</f>
        <v>C55-000-587-1893-3</v>
      </c>
      <c r="AK1164" t="str">
        <f>"19765"</f>
        <v>19765</v>
      </c>
      <c r="AL1164">
        <v>5</v>
      </c>
      <c r="AM1164">
        <v>1331</v>
      </c>
      <c r="AN1164">
        <v>450.44</v>
      </c>
      <c r="AQ1164" t="s">
        <v>11891</v>
      </c>
      <c r="AR1164" t="s">
        <v>11891</v>
      </c>
      <c r="AS1164" t="s">
        <v>11891</v>
      </c>
      <c r="AU1164" t="s">
        <v>396</v>
      </c>
      <c r="AV1164">
        <v>2017</v>
      </c>
      <c r="AW1164" t="str">
        <f>"18-2N-27-4316-0024-0000 "</f>
        <v xml:space="preserve">18-2N-27-4316-0024-0000 </v>
      </c>
      <c r="AX1164">
        <v>75389</v>
      </c>
      <c r="AZ1164" t="s">
        <v>11777</v>
      </c>
      <c r="BA1164" t="s">
        <v>496</v>
      </c>
      <c r="BD1164" t="s">
        <v>2387</v>
      </c>
      <c r="BE1164" t="s">
        <v>393</v>
      </c>
      <c r="BF1164">
        <v>32097</v>
      </c>
      <c r="BG1164" t="s">
        <v>11892</v>
      </c>
      <c r="BH1164" t="s">
        <v>2388</v>
      </c>
      <c r="BI1164">
        <v>-81.648783436868101</v>
      </c>
      <c r="BJ1164">
        <v>30.602608775355002</v>
      </c>
      <c r="BK1164" t="s">
        <v>11893</v>
      </c>
      <c r="BL1164" t="s">
        <v>11894</v>
      </c>
      <c r="BM1164" t="s">
        <v>11892</v>
      </c>
      <c r="BN1164" t="s">
        <v>1778</v>
      </c>
      <c r="BO1164">
        <v>32097</v>
      </c>
      <c r="BP1164" t="s">
        <v>416</v>
      </c>
      <c r="BQ1164">
        <v>200</v>
      </c>
      <c r="BR1164" t="s">
        <v>405</v>
      </c>
      <c r="BS1164">
        <v>1006</v>
      </c>
      <c r="BT1164" t="s">
        <v>406</v>
      </c>
      <c r="BW1164">
        <v>49999</v>
      </c>
      <c r="BX1164" t="s">
        <v>407</v>
      </c>
      <c r="BY1164" t="s">
        <v>4360</v>
      </c>
      <c r="BZ1164">
        <v>4</v>
      </c>
      <c r="CA1164">
        <v>1998</v>
      </c>
      <c r="CB1164">
        <v>1</v>
      </c>
      <c r="CC1164">
        <v>1</v>
      </c>
      <c r="CD1164">
        <v>2017</v>
      </c>
      <c r="CG1164">
        <v>51277</v>
      </c>
      <c r="CH1164">
        <v>2017</v>
      </c>
      <c r="CI1164">
        <v>18500</v>
      </c>
      <c r="CJ1164">
        <v>38933</v>
      </c>
      <c r="CK1164">
        <v>57433</v>
      </c>
      <c r="CL1164">
        <v>2017</v>
      </c>
      <c r="CM1164">
        <v>386.9</v>
      </c>
      <c r="CN1164" s="1">
        <v>36012</v>
      </c>
      <c r="CO1164">
        <v>26000</v>
      </c>
      <c r="CZ1164" s="1">
        <v>36012</v>
      </c>
      <c r="DD1164" t="s">
        <v>2387</v>
      </c>
      <c r="DF1164">
        <v>24</v>
      </c>
      <c r="DG1164">
        <v>18</v>
      </c>
      <c r="DL1164">
        <v>50301</v>
      </c>
      <c r="DM1164" t="s">
        <v>11780</v>
      </c>
      <c r="DO1164" t="s">
        <v>11895</v>
      </c>
      <c r="DP1164">
        <v>0</v>
      </c>
      <c r="DQ1164">
        <v>0</v>
      </c>
      <c r="DR1164" t="s">
        <v>411</v>
      </c>
      <c r="DS1164" t="b">
        <v>1</v>
      </c>
      <c r="DT1164" t="s">
        <v>470</v>
      </c>
      <c r="DU1164" t="s">
        <v>471</v>
      </c>
      <c r="DV1164" t="s">
        <v>472</v>
      </c>
      <c r="DX1164">
        <v>-9999</v>
      </c>
      <c r="DZ1164" t="s">
        <v>447</v>
      </c>
      <c r="EA1164" t="s">
        <v>448</v>
      </c>
      <c r="EB1164" t="s">
        <v>742</v>
      </c>
      <c r="EC1164">
        <v>20101217</v>
      </c>
      <c r="ED1164" t="s">
        <v>474</v>
      </c>
      <c r="EF1164">
        <v>416.2</v>
      </c>
      <c r="EG1164">
        <v>416.2</v>
      </c>
      <c r="EI1164">
        <v>20160407</v>
      </c>
      <c r="EJ1164">
        <v>0</v>
      </c>
      <c r="EK1164">
        <v>0</v>
      </c>
      <c r="EP1164" t="s">
        <v>421</v>
      </c>
      <c r="EQ1164" t="s">
        <v>422</v>
      </c>
      <c r="ER1164">
        <v>0</v>
      </c>
      <c r="ES1164">
        <v>10</v>
      </c>
      <c r="ET1164">
        <v>0</v>
      </c>
      <c r="EU1164">
        <v>0</v>
      </c>
      <c r="EV1164">
        <v>0</v>
      </c>
      <c r="EW1164" s="2">
        <v>43222</v>
      </c>
      <c r="EX1164" s="1">
        <v>42879</v>
      </c>
      <c r="EY1164">
        <v>2016</v>
      </c>
      <c r="EZ1164">
        <v>443.69</v>
      </c>
      <c r="FA1164" t="s">
        <v>11896</v>
      </c>
      <c r="FB1164">
        <v>0.25</v>
      </c>
      <c r="FC1164" t="s">
        <v>424</v>
      </c>
      <c r="FD1164" t="s">
        <v>425</v>
      </c>
      <c r="FE1164" s="1">
        <v>42899</v>
      </c>
      <c r="FF1164">
        <v>1</v>
      </c>
      <c r="FG1164">
        <v>7400234</v>
      </c>
      <c r="FH1164" t="s">
        <v>426</v>
      </c>
      <c r="FJ1164" s="1">
        <v>42879</v>
      </c>
      <c r="FK1164">
        <v>2016</v>
      </c>
      <c r="FL1164">
        <v>443.69</v>
      </c>
      <c r="FM1164" t="s">
        <v>11896</v>
      </c>
      <c r="FN1164">
        <v>0.25</v>
      </c>
      <c r="FO1164" t="s">
        <v>424</v>
      </c>
      <c r="FP1164" t="s">
        <v>425</v>
      </c>
      <c r="FR1164">
        <v>22</v>
      </c>
      <c r="FS1164">
        <v>7551074</v>
      </c>
      <c r="FT1164" t="s">
        <v>11897</v>
      </c>
      <c r="FV1164" s="1">
        <v>42515</v>
      </c>
      <c r="FW1164">
        <v>2015</v>
      </c>
      <c r="FX1164">
        <v>444.97</v>
      </c>
      <c r="FY1164" t="s">
        <v>11898</v>
      </c>
      <c r="FZ1164">
        <v>0.25</v>
      </c>
      <c r="GA1164" t="s">
        <v>424</v>
      </c>
      <c r="GB1164" t="s">
        <v>425</v>
      </c>
      <c r="GC1164" s="1">
        <v>42899</v>
      </c>
      <c r="GD1164">
        <v>13</v>
      </c>
      <c r="GE1164">
        <v>2851116</v>
      </c>
      <c r="GF1164" t="s">
        <v>480</v>
      </c>
      <c r="GH1164" s="1">
        <v>42515</v>
      </c>
      <c r="GI1164">
        <v>2015</v>
      </c>
      <c r="GJ1164">
        <v>444.97</v>
      </c>
      <c r="GK1164" t="s">
        <v>11898</v>
      </c>
      <c r="GL1164">
        <v>0.25</v>
      </c>
      <c r="GM1164" t="s">
        <v>424</v>
      </c>
      <c r="GN1164" t="s">
        <v>425</v>
      </c>
      <c r="GP1164">
        <v>22</v>
      </c>
      <c r="GQ1164">
        <v>5503150</v>
      </c>
      <c r="GR1164" t="s">
        <v>11899</v>
      </c>
      <c r="GT1164" s="1">
        <v>42151</v>
      </c>
      <c r="GU1164">
        <v>2014</v>
      </c>
      <c r="GV1164">
        <v>457.16</v>
      </c>
      <c r="GW1164" t="s">
        <v>11900</v>
      </c>
      <c r="GX1164">
        <v>0.25</v>
      </c>
      <c r="GY1164" t="s">
        <v>424</v>
      </c>
      <c r="GZ1164" t="s">
        <v>425</v>
      </c>
      <c r="HA1164" s="1">
        <v>42517</v>
      </c>
      <c r="HB1164">
        <v>12</v>
      </c>
      <c r="HC1164">
        <v>2851116</v>
      </c>
      <c r="HD1164" t="s">
        <v>480</v>
      </c>
      <c r="HF1164" s="1">
        <v>42151</v>
      </c>
      <c r="HG1164">
        <v>2014</v>
      </c>
      <c r="HH1164">
        <v>457.16</v>
      </c>
      <c r="HI1164" t="s">
        <v>11900</v>
      </c>
      <c r="HJ1164">
        <v>0.25</v>
      </c>
      <c r="HK1164" t="s">
        <v>424</v>
      </c>
      <c r="HL1164" t="s">
        <v>425</v>
      </c>
      <c r="HN1164">
        <v>22</v>
      </c>
      <c r="HO1164">
        <v>5095809</v>
      </c>
      <c r="HP1164" t="s">
        <v>11901</v>
      </c>
      <c r="HR1164" s="1">
        <v>41787</v>
      </c>
      <c r="HS1164">
        <v>2013</v>
      </c>
      <c r="HT1164">
        <v>476.69</v>
      </c>
      <c r="HU1164" t="s">
        <v>11902</v>
      </c>
      <c r="HV1164">
        <v>0.25</v>
      </c>
      <c r="HW1164" t="s">
        <v>424</v>
      </c>
      <c r="HX1164" t="s">
        <v>425</v>
      </c>
      <c r="HY1164" s="1">
        <v>42150</v>
      </c>
      <c r="HZ1164">
        <v>12</v>
      </c>
      <c r="IA1164">
        <v>15399</v>
      </c>
      <c r="IB1164" t="s">
        <v>485</v>
      </c>
      <c r="ID1164" s="1">
        <v>41423</v>
      </c>
      <c r="IE1164">
        <v>2012</v>
      </c>
      <c r="IF1164">
        <v>493.24</v>
      </c>
      <c r="IG1164" t="s">
        <v>11903</v>
      </c>
      <c r="IH1164">
        <v>0.25</v>
      </c>
      <c r="II1164" t="s">
        <v>424</v>
      </c>
      <c r="IJ1164" t="s">
        <v>425</v>
      </c>
      <c r="IK1164" s="1">
        <v>41789</v>
      </c>
      <c r="IL1164">
        <v>12</v>
      </c>
      <c r="IM1164">
        <v>10125</v>
      </c>
      <c r="IN1164" t="s">
        <v>440</v>
      </c>
      <c r="IP1164" s="1">
        <v>41052</v>
      </c>
      <c r="IQ1164">
        <v>2011</v>
      </c>
      <c r="IR1164">
        <v>504.95</v>
      </c>
      <c r="IS1164" t="s">
        <v>11904</v>
      </c>
      <c r="IT1164">
        <v>6</v>
      </c>
      <c r="IU1164" t="s">
        <v>424</v>
      </c>
      <c r="IV1164" t="s">
        <v>425</v>
      </c>
      <c r="IW1164" s="1">
        <v>41424</v>
      </c>
      <c r="IX1164">
        <v>12</v>
      </c>
      <c r="IY1164">
        <v>10125</v>
      </c>
      <c r="IZ1164" t="s">
        <v>440</v>
      </c>
      <c r="JB1164" s="1">
        <v>40688</v>
      </c>
      <c r="JC1164">
        <v>2010</v>
      </c>
      <c r="JD1164">
        <v>553.08000000000004</v>
      </c>
      <c r="JE1164" t="s">
        <v>11905</v>
      </c>
      <c r="JF1164">
        <v>6.5</v>
      </c>
      <c r="JG1164" t="s">
        <v>424</v>
      </c>
      <c r="JH1164" t="s">
        <v>425</v>
      </c>
      <c r="JI1164" s="1">
        <v>41058</v>
      </c>
      <c r="JJ1164">
        <v>12</v>
      </c>
      <c r="JK1164">
        <v>62</v>
      </c>
      <c r="JL1164" t="s">
        <v>463</v>
      </c>
    </row>
    <row r="1165" spans="1:272" x14ac:dyDescent="0.25">
      <c r="A1165">
        <v>16486172</v>
      </c>
      <c r="B1165">
        <v>1164</v>
      </c>
      <c r="C1165" t="s">
        <v>393</v>
      </c>
      <c r="D1165" t="s">
        <v>394</v>
      </c>
      <c r="F1165" t="str">
        <f>"18-2N-27-4316-0030-0000"</f>
        <v>18-2N-27-4316-0030-0000</v>
      </c>
      <c r="H1165" t="str">
        <f>"KNAUSS DENNIS M &amp; JUDITH A"</f>
        <v>KNAUSS DENNIS M &amp; JUDITH A</v>
      </c>
      <c r="I1165" t="str">
        <f>"75014 SEMPERFI DRIVE"</f>
        <v>75014 SEMPERFI DRIVE</v>
      </c>
      <c r="J1165" t="str">
        <f t="shared" si="384"/>
        <v>YULEE FL 32097</v>
      </c>
      <c r="K1165" t="str">
        <f>"75014 SEMPER FI DR"</f>
        <v>75014 SEMPER FI DR</v>
      </c>
      <c r="L1165" t="str">
        <f t="shared" si="372"/>
        <v>YULEE FL 32097</v>
      </c>
      <c r="M1165" t="str">
        <f>"LOT 30 IN OR 697 PG 272 JOHNSON LAKE EST 2 PB 5/168"</f>
        <v>LOT 30 IN OR 697 PG 272 JOHNSON LAKE EST 2 PB 5/168</v>
      </c>
      <c r="N1165" t="str">
        <f>""</f>
        <v/>
      </c>
      <c r="O1165" t="str">
        <f>"32380"</f>
        <v>32380</v>
      </c>
      <c r="P1165" t="str">
        <f t="shared" si="382"/>
        <v>2017</v>
      </c>
      <c r="Q1165" t="str">
        <f>""</f>
        <v/>
      </c>
      <c r="R1165" t="str">
        <f t="shared" ref="R1165:R1184" si="390">"N"</f>
        <v>N</v>
      </c>
      <c r="S1165" t="str">
        <f>""</f>
        <v/>
      </c>
      <c r="T1165" t="str">
        <f>"706.66"</f>
        <v>706.66</v>
      </c>
      <c r="U1165" t="str">
        <f>"46679.00"</f>
        <v>46679.00</v>
      </c>
      <c r="V1165" t="str">
        <f>"46679.00"</f>
        <v>46679.00</v>
      </c>
      <c r="W1165" t="str">
        <f t="shared" si="383"/>
        <v>2017</v>
      </c>
      <c r="X1165" t="str">
        <f>"3.00"</f>
        <v>3.00</v>
      </c>
      <c r="Y1165" t="str">
        <f>"759.86"</f>
        <v>759.86</v>
      </c>
      <c r="Z1165" t="str">
        <f>""</f>
        <v/>
      </c>
      <c r="AA1165" t="str">
        <f>"46679.00"</f>
        <v>46679.00</v>
      </c>
      <c r="AB1165" t="str">
        <f t="shared" si="373"/>
        <v>Residential</v>
      </c>
      <c r="AC1165" t="str">
        <f t="shared" si="366"/>
        <v>0</v>
      </c>
      <c r="AD1165" t="str">
        <f t="shared" si="385"/>
        <v>4</v>
      </c>
      <c r="AE1165" t="str">
        <f t="shared" si="386"/>
        <v>WOOD (INCLUDE STEEL STUDS)</v>
      </c>
      <c r="AF1165" t="str">
        <f t="shared" si="387"/>
        <v>002</v>
      </c>
      <c r="AG1165" t="str">
        <f t="shared" si="381"/>
        <v>FL</v>
      </c>
      <c r="AH1165" t="str">
        <f t="shared" si="388"/>
        <v>-</v>
      </c>
      <c r="AI1165" t="str">
        <f t="shared" si="389"/>
        <v>18500.00</v>
      </c>
      <c r="AJ1165" t="str">
        <f>"C55-000-587-1899-0"</f>
        <v>C55-000-587-1899-0</v>
      </c>
      <c r="AK1165" t="str">
        <f>"19771"</f>
        <v>19771</v>
      </c>
      <c r="AL1165">
        <v>5</v>
      </c>
      <c r="AM1165">
        <v>1332</v>
      </c>
      <c r="AN1165">
        <v>796.25</v>
      </c>
      <c r="AQ1165" t="s">
        <v>11906</v>
      </c>
      <c r="AR1165" t="s">
        <v>11906</v>
      </c>
      <c r="AS1165" t="s">
        <v>11906</v>
      </c>
      <c r="AU1165" t="s">
        <v>396</v>
      </c>
      <c r="AV1165">
        <v>2017</v>
      </c>
      <c r="AW1165" t="str">
        <f>"18-2N-27-4316-0030-0000 "</f>
        <v xml:space="preserve">18-2N-27-4316-0030-0000 </v>
      </c>
      <c r="AX1165">
        <v>75014</v>
      </c>
      <c r="AZ1165" t="s">
        <v>11907</v>
      </c>
      <c r="BA1165" t="s">
        <v>669</v>
      </c>
      <c r="BD1165" t="s">
        <v>2387</v>
      </c>
      <c r="BE1165" t="s">
        <v>393</v>
      </c>
      <c r="BF1165">
        <v>32097</v>
      </c>
      <c r="BG1165" t="s">
        <v>11908</v>
      </c>
      <c r="BH1165" t="s">
        <v>2388</v>
      </c>
      <c r="BI1165">
        <v>-81.646544278503598</v>
      </c>
      <c r="BJ1165">
        <v>30.602323896314999</v>
      </c>
      <c r="BK1165" t="s">
        <v>11909</v>
      </c>
      <c r="BL1165" t="s">
        <v>11910</v>
      </c>
      <c r="BM1165" t="s">
        <v>11908</v>
      </c>
      <c r="BN1165" t="s">
        <v>1778</v>
      </c>
      <c r="BO1165">
        <v>32097</v>
      </c>
      <c r="BP1165" t="s">
        <v>416</v>
      </c>
      <c r="BQ1165">
        <v>200</v>
      </c>
      <c r="BR1165" t="s">
        <v>405</v>
      </c>
      <c r="BS1165">
        <v>1006</v>
      </c>
      <c r="BT1165" t="s">
        <v>406</v>
      </c>
      <c r="BW1165">
        <v>43615</v>
      </c>
      <c r="BX1165" t="s">
        <v>407</v>
      </c>
      <c r="BY1165" t="s">
        <v>4360</v>
      </c>
      <c r="BZ1165">
        <v>4</v>
      </c>
      <c r="CA1165">
        <v>2000</v>
      </c>
      <c r="CB1165">
        <v>1</v>
      </c>
      <c r="CC1165">
        <v>1</v>
      </c>
      <c r="CD1165">
        <v>2017</v>
      </c>
      <c r="CE1165">
        <v>18500</v>
      </c>
      <c r="CF1165">
        <v>28179</v>
      </c>
      <c r="CG1165">
        <v>46679</v>
      </c>
      <c r="CH1165">
        <v>2017</v>
      </c>
      <c r="CI1165">
        <v>18500</v>
      </c>
      <c r="CJ1165">
        <v>28179</v>
      </c>
      <c r="CK1165">
        <v>46679</v>
      </c>
      <c r="CL1165">
        <v>2017</v>
      </c>
      <c r="CM1165">
        <v>706.66</v>
      </c>
      <c r="CN1165" s="1">
        <v>34360</v>
      </c>
      <c r="CO1165">
        <v>15000</v>
      </c>
      <c r="CZ1165" s="1">
        <v>34360</v>
      </c>
      <c r="DD1165" t="s">
        <v>2387</v>
      </c>
      <c r="DF1165">
        <v>30</v>
      </c>
      <c r="DG1165">
        <v>18</v>
      </c>
      <c r="DL1165">
        <v>50301</v>
      </c>
      <c r="DM1165" t="s">
        <v>11780</v>
      </c>
      <c r="DO1165" t="s">
        <v>11911</v>
      </c>
      <c r="DP1165">
        <v>0</v>
      </c>
      <c r="DQ1165">
        <v>0</v>
      </c>
      <c r="DR1165" t="s">
        <v>411</v>
      </c>
      <c r="DS1165" t="b">
        <v>1</v>
      </c>
      <c r="DT1165" t="s">
        <v>470</v>
      </c>
      <c r="DU1165" t="s">
        <v>471</v>
      </c>
      <c r="DV1165" t="s">
        <v>472</v>
      </c>
      <c r="DX1165">
        <v>-9999</v>
      </c>
      <c r="DZ1165" t="s">
        <v>447</v>
      </c>
      <c r="EA1165" t="s">
        <v>448</v>
      </c>
      <c r="EB1165" t="s">
        <v>742</v>
      </c>
      <c r="EC1165">
        <v>20101217</v>
      </c>
      <c r="ED1165" t="s">
        <v>474</v>
      </c>
      <c r="EF1165">
        <v>303</v>
      </c>
      <c r="EG1165">
        <v>303</v>
      </c>
      <c r="EI1165">
        <v>20160407</v>
      </c>
      <c r="EJ1165">
        <v>0</v>
      </c>
      <c r="EK1165">
        <v>0</v>
      </c>
      <c r="EP1165" t="s">
        <v>421</v>
      </c>
      <c r="EQ1165" t="s">
        <v>422</v>
      </c>
      <c r="ER1165">
        <v>2</v>
      </c>
      <c r="ES1165">
        <v>2</v>
      </c>
      <c r="ET1165">
        <v>1527.02</v>
      </c>
      <c r="EU1165">
        <v>88.85</v>
      </c>
      <c r="EV1165">
        <v>1615.87</v>
      </c>
      <c r="EW1165" s="2">
        <v>43222</v>
      </c>
      <c r="EX1165" s="1">
        <v>42879</v>
      </c>
      <c r="EY1165">
        <v>2016</v>
      </c>
      <c r="EZ1165">
        <v>763.51</v>
      </c>
      <c r="FA1165" t="s">
        <v>11912</v>
      </c>
      <c r="FB1165">
        <v>0.25</v>
      </c>
      <c r="FC1165" t="s">
        <v>424</v>
      </c>
      <c r="FD1165" t="s">
        <v>454</v>
      </c>
      <c r="FF1165">
        <v>12</v>
      </c>
      <c r="FG1165">
        <v>2851116</v>
      </c>
      <c r="FH1165" t="s">
        <v>480</v>
      </c>
      <c r="FJ1165" s="1">
        <v>42879</v>
      </c>
      <c r="FK1165">
        <v>2016</v>
      </c>
      <c r="FL1165">
        <v>763.51</v>
      </c>
      <c r="FM1165" t="s">
        <v>11912</v>
      </c>
      <c r="FN1165">
        <v>0.25</v>
      </c>
      <c r="FO1165" t="s">
        <v>424</v>
      </c>
      <c r="FP1165" t="s">
        <v>454</v>
      </c>
      <c r="FR1165">
        <v>12</v>
      </c>
      <c r="FS1165">
        <v>5267846</v>
      </c>
      <c r="FT1165" t="s">
        <v>11913</v>
      </c>
      <c r="FV1165" s="1">
        <v>42515</v>
      </c>
      <c r="FW1165">
        <v>2015</v>
      </c>
      <c r="FX1165">
        <v>705.5</v>
      </c>
      <c r="FY1165" t="s">
        <v>11914</v>
      </c>
      <c r="FZ1165">
        <v>0.25</v>
      </c>
      <c r="GA1165" t="s">
        <v>424</v>
      </c>
      <c r="GB1165" t="s">
        <v>425</v>
      </c>
      <c r="GC1165" s="1">
        <v>42590</v>
      </c>
      <c r="GD1165">
        <v>3</v>
      </c>
      <c r="GE1165">
        <v>2851116</v>
      </c>
      <c r="GF1165" t="s">
        <v>480</v>
      </c>
      <c r="GH1165" s="1">
        <v>42515</v>
      </c>
      <c r="GI1165">
        <v>2015</v>
      </c>
      <c r="GJ1165">
        <v>705.5</v>
      </c>
      <c r="GK1165" t="s">
        <v>11914</v>
      </c>
      <c r="GL1165">
        <v>0.25</v>
      </c>
      <c r="GM1165" t="s">
        <v>424</v>
      </c>
      <c r="GN1165" t="s">
        <v>425</v>
      </c>
      <c r="GP1165">
        <v>22</v>
      </c>
      <c r="GQ1165">
        <v>5453190</v>
      </c>
      <c r="GR1165" t="s">
        <v>11915</v>
      </c>
    </row>
    <row r="1166" spans="1:272" x14ac:dyDescent="0.25">
      <c r="A1166">
        <v>16486173</v>
      </c>
      <c r="B1166">
        <v>1165</v>
      </c>
      <c r="C1166" t="s">
        <v>393</v>
      </c>
      <c r="D1166" t="s">
        <v>394</v>
      </c>
      <c r="F1166" t="str">
        <f>"18-2N-27-4316-0031-0000"</f>
        <v>18-2N-27-4316-0031-0000</v>
      </c>
      <c r="H1166" t="str">
        <f>"WESLEY ALFRED L &amp; MELANIE S"</f>
        <v>WESLEY ALFRED L &amp; MELANIE S</v>
      </c>
      <c r="I1166" t="str">
        <f>"75523 JOHNSON LAKE ROAD  EAST"</f>
        <v>75523 JOHNSON LAKE ROAD  EAST</v>
      </c>
      <c r="J1166" t="str">
        <f t="shared" si="384"/>
        <v>YULEE FL 32097</v>
      </c>
      <c r="K1166" t="str">
        <f>"75523 JOHNSON LAKE RD"</f>
        <v>75523 JOHNSON LAKE RD</v>
      </c>
      <c r="L1166" t="str">
        <f t="shared" si="372"/>
        <v>YULEE FL 32097</v>
      </c>
      <c r="M1166" t="str">
        <f>"LOT 31 IN OR 800 PG 413 JOHNSON LAKE EST 2 PB 5/168"</f>
        <v>LOT 31 IN OR 800 PG 413 JOHNSON LAKE EST 2 PB 5/168</v>
      </c>
      <c r="N1166" t="str">
        <f>""</f>
        <v/>
      </c>
      <c r="O1166" t="str">
        <f>"32381"</f>
        <v>32381</v>
      </c>
      <c r="P1166" t="str">
        <f t="shared" si="382"/>
        <v>2017</v>
      </c>
      <c r="Q1166" t="str">
        <f>""</f>
        <v/>
      </c>
      <c r="R1166" t="str">
        <f t="shared" si="390"/>
        <v>N</v>
      </c>
      <c r="S1166" t="str">
        <f>""</f>
        <v/>
      </c>
      <c r="T1166" t="str">
        <f>"1111.51"</f>
        <v>1111.51</v>
      </c>
      <c r="U1166" t="str">
        <f>"73192.00"</f>
        <v>73192.00</v>
      </c>
      <c r="V1166" t="str">
        <f>"73192.00"</f>
        <v>73192.00</v>
      </c>
      <c r="W1166" t="str">
        <f t="shared" si="383"/>
        <v>2017</v>
      </c>
      <c r="X1166" t="str">
        <f>"18.00"</f>
        <v>18.00</v>
      </c>
      <c r="Y1166" t="str">
        <f>"1176.86"</f>
        <v>1176.86</v>
      </c>
      <c r="Z1166" t="str">
        <f>""</f>
        <v/>
      </c>
      <c r="AA1166" t="str">
        <f>"73718.00"</f>
        <v>73718.00</v>
      </c>
      <c r="AB1166" t="str">
        <f t="shared" si="373"/>
        <v>Residential</v>
      </c>
      <c r="AC1166" t="str">
        <f t="shared" si="366"/>
        <v>0</v>
      </c>
      <c r="AD1166" t="str">
        <f t="shared" si="385"/>
        <v>4</v>
      </c>
      <c r="AE1166" t="str">
        <f t="shared" si="386"/>
        <v>WOOD (INCLUDE STEEL STUDS)</v>
      </c>
      <c r="AF1166" t="str">
        <f t="shared" si="387"/>
        <v>002</v>
      </c>
      <c r="AG1166" t="str">
        <f t="shared" si="381"/>
        <v>FL</v>
      </c>
      <c r="AH1166" t="str">
        <f t="shared" si="388"/>
        <v>-</v>
      </c>
      <c r="AI1166" t="str">
        <f t="shared" si="389"/>
        <v>18500.00</v>
      </c>
      <c r="AJ1166" t="str">
        <f>"C55-000-587-1900-6"</f>
        <v>C55-000-587-1900-6</v>
      </c>
      <c r="AK1166" t="str">
        <f>"19772"</f>
        <v>19772</v>
      </c>
      <c r="AL1166">
        <v>5</v>
      </c>
      <c r="AM1166">
        <v>1333</v>
      </c>
      <c r="AN1166">
        <v>1234.0999999999999</v>
      </c>
      <c r="AQ1166" t="s">
        <v>11916</v>
      </c>
      <c r="AR1166" t="s">
        <v>11916</v>
      </c>
      <c r="AS1166" t="s">
        <v>11916</v>
      </c>
      <c r="AU1166" t="s">
        <v>396</v>
      </c>
      <c r="AV1166">
        <v>2017</v>
      </c>
      <c r="AW1166" t="str">
        <f>"18-2N-27-4316-0031-0000 "</f>
        <v xml:space="preserve">18-2N-27-4316-0031-0000 </v>
      </c>
      <c r="AX1166">
        <v>75523</v>
      </c>
      <c r="AZ1166" t="s">
        <v>11777</v>
      </c>
      <c r="BA1166" t="s">
        <v>496</v>
      </c>
      <c r="BD1166" t="s">
        <v>2387</v>
      </c>
      <c r="BE1166" t="s">
        <v>393</v>
      </c>
      <c r="BF1166">
        <v>32097</v>
      </c>
      <c r="BG1166" t="s">
        <v>11917</v>
      </c>
      <c r="BH1166" t="s">
        <v>2388</v>
      </c>
      <c r="BI1166">
        <v>-81.6459185719701</v>
      </c>
      <c r="BJ1166">
        <v>30.602514287133701</v>
      </c>
      <c r="BK1166" t="s">
        <v>11918</v>
      </c>
      <c r="BL1166" t="s">
        <v>11919</v>
      </c>
      <c r="BM1166" t="s">
        <v>11917</v>
      </c>
      <c r="BN1166" t="s">
        <v>1778</v>
      </c>
      <c r="BO1166">
        <v>32097</v>
      </c>
      <c r="BP1166" t="s">
        <v>416</v>
      </c>
      <c r="BQ1166">
        <v>200</v>
      </c>
      <c r="BR1166" t="s">
        <v>405</v>
      </c>
      <c r="BS1166">
        <v>1006</v>
      </c>
      <c r="BT1166" t="s">
        <v>406</v>
      </c>
      <c r="BW1166">
        <v>43757</v>
      </c>
      <c r="BX1166" t="s">
        <v>407</v>
      </c>
      <c r="BY1166" t="s">
        <v>4360</v>
      </c>
      <c r="BZ1166">
        <v>4</v>
      </c>
      <c r="CA1166">
        <v>2006</v>
      </c>
      <c r="CC1166">
        <v>2</v>
      </c>
      <c r="CD1166">
        <v>2017</v>
      </c>
      <c r="CE1166">
        <v>18500</v>
      </c>
      <c r="CF1166">
        <v>55218</v>
      </c>
      <c r="CG1166">
        <v>73718</v>
      </c>
      <c r="CH1166">
        <v>2017</v>
      </c>
      <c r="CI1166">
        <v>18500</v>
      </c>
      <c r="CJ1166">
        <v>55218</v>
      </c>
      <c r="CK1166">
        <v>73718</v>
      </c>
      <c r="CL1166">
        <v>2017</v>
      </c>
      <c r="CM1166">
        <v>1111.51</v>
      </c>
      <c r="CN1166" s="1">
        <v>35628</v>
      </c>
      <c r="CO1166">
        <v>26400</v>
      </c>
      <c r="CZ1166" s="1">
        <v>35628</v>
      </c>
      <c r="DD1166" t="s">
        <v>2387</v>
      </c>
      <c r="DF1166">
        <v>31</v>
      </c>
      <c r="DG1166">
        <v>18</v>
      </c>
      <c r="DL1166">
        <v>50301</v>
      </c>
      <c r="DM1166" t="s">
        <v>11780</v>
      </c>
      <c r="DO1166" t="s">
        <v>11920</v>
      </c>
      <c r="DP1166">
        <v>0</v>
      </c>
      <c r="DQ1166">
        <v>0</v>
      </c>
      <c r="DR1166" t="s">
        <v>411</v>
      </c>
      <c r="DS1166" t="b">
        <v>1</v>
      </c>
      <c r="DT1166" t="s">
        <v>470</v>
      </c>
      <c r="DU1166" t="s">
        <v>471</v>
      </c>
      <c r="DV1166" t="s">
        <v>472</v>
      </c>
      <c r="DX1166">
        <v>-9999</v>
      </c>
      <c r="DZ1166" t="s">
        <v>447</v>
      </c>
      <c r="EA1166" t="s">
        <v>448</v>
      </c>
      <c r="EB1166" t="s">
        <v>742</v>
      </c>
      <c r="EC1166">
        <v>20101217</v>
      </c>
      <c r="ED1166" t="s">
        <v>474</v>
      </c>
      <c r="EF1166">
        <v>409</v>
      </c>
      <c r="EG1166">
        <v>409</v>
      </c>
      <c r="EI1166">
        <v>20160407</v>
      </c>
      <c r="EJ1166">
        <v>0</v>
      </c>
      <c r="EK1166">
        <v>0</v>
      </c>
      <c r="EP1166" t="s">
        <v>421</v>
      </c>
      <c r="EQ1166" t="s">
        <v>452</v>
      </c>
      <c r="ER1166">
        <v>0</v>
      </c>
      <c r="ES1166">
        <v>10</v>
      </c>
      <c r="ET1166">
        <v>0</v>
      </c>
      <c r="EU1166">
        <v>0</v>
      </c>
      <c r="EV1166">
        <v>0</v>
      </c>
      <c r="EW1166" s="2">
        <v>43222</v>
      </c>
      <c r="EX1166" s="1">
        <v>42879</v>
      </c>
      <c r="EY1166">
        <v>2016</v>
      </c>
      <c r="EZ1166">
        <v>1131.67</v>
      </c>
      <c r="FA1166" t="s">
        <v>11921</v>
      </c>
      <c r="FB1166">
        <v>0.25</v>
      </c>
      <c r="FC1166" t="s">
        <v>424</v>
      </c>
      <c r="FD1166" t="s">
        <v>425</v>
      </c>
      <c r="FE1166" s="1">
        <v>42914</v>
      </c>
      <c r="FF1166">
        <v>1</v>
      </c>
      <c r="FG1166">
        <v>7400234</v>
      </c>
      <c r="FH1166" t="s">
        <v>426</v>
      </c>
      <c r="FI1166" t="s">
        <v>458</v>
      </c>
      <c r="FJ1166" s="1">
        <v>42879</v>
      </c>
      <c r="FK1166">
        <v>2016</v>
      </c>
      <c r="FL1166">
        <v>1131.67</v>
      </c>
      <c r="FM1166" t="s">
        <v>11921</v>
      </c>
      <c r="FN1166">
        <v>0.25</v>
      </c>
      <c r="FO1166" t="s">
        <v>424</v>
      </c>
      <c r="FP1166" t="s">
        <v>425</v>
      </c>
      <c r="FR1166">
        <v>22</v>
      </c>
      <c r="FS1166">
        <v>7401170</v>
      </c>
      <c r="FT1166" t="s">
        <v>11922</v>
      </c>
      <c r="FU1166" t="s">
        <v>458</v>
      </c>
      <c r="FV1166" s="1">
        <v>42515</v>
      </c>
      <c r="FW1166">
        <v>2015</v>
      </c>
      <c r="FX1166">
        <v>1134.83</v>
      </c>
      <c r="FY1166" t="s">
        <v>11923</v>
      </c>
      <c r="FZ1166">
        <v>0.25</v>
      </c>
      <c r="GA1166" t="s">
        <v>424</v>
      </c>
      <c r="GB1166" t="s">
        <v>425</v>
      </c>
      <c r="GC1166" s="1">
        <v>42914</v>
      </c>
      <c r="GD1166">
        <v>13</v>
      </c>
      <c r="GE1166">
        <v>2851116</v>
      </c>
      <c r="GF1166" t="s">
        <v>480</v>
      </c>
      <c r="GG1166" t="s">
        <v>458</v>
      </c>
      <c r="GH1166" s="1">
        <v>42515</v>
      </c>
      <c r="GI1166">
        <v>2015</v>
      </c>
      <c r="GJ1166">
        <v>1134.83</v>
      </c>
      <c r="GK1166" t="s">
        <v>11923</v>
      </c>
      <c r="GL1166">
        <v>0.25</v>
      </c>
      <c r="GM1166" t="s">
        <v>424</v>
      </c>
      <c r="GN1166" t="s">
        <v>425</v>
      </c>
      <c r="GP1166">
        <v>22</v>
      </c>
      <c r="GQ1166">
        <v>5494601</v>
      </c>
      <c r="GR1166" t="s">
        <v>11924</v>
      </c>
      <c r="GS1166" t="s">
        <v>458</v>
      </c>
      <c r="GT1166" s="1">
        <v>42151</v>
      </c>
      <c r="GU1166">
        <v>2014</v>
      </c>
      <c r="GV1166">
        <v>1014.37</v>
      </c>
      <c r="GW1166" t="s">
        <v>11925</v>
      </c>
      <c r="GX1166">
        <v>0.25</v>
      </c>
      <c r="GY1166" t="s">
        <v>424</v>
      </c>
      <c r="GZ1166" t="s">
        <v>425</v>
      </c>
      <c r="HB1166">
        <v>22</v>
      </c>
      <c r="HC1166">
        <v>4975594</v>
      </c>
      <c r="HD1166" t="s">
        <v>457</v>
      </c>
      <c r="HE1166" t="s">
        <v>458</v>
      </c>
      <c r="HF1166" s="1">
        <v>42151</v>
      </c>
      <c r="HG1166">
        <v>2014</v>
      </c>
      <c r="HH1166">
        <v>1014.37</v>
      </c>
      <c r="HI1166" t="s">
        <v>11925</v>
      </c>
      <c r="HJ1166">
        <v>0.25</v>
      </c>
      <c r="HK1166" t="s">
        <v>424</v>
      </c>
      <c r="HL1166" t="s">
        <v>425</v>
      </c>
      <c r="HN1166">
        <v>22</v>
      </c>
      <c r="HO1166">
        <v>6431392</v>
      </c>
      <c r="HP1166" t="s">
        <v>11926</v>
      </c>
      <c r="HQ1166" t="s">
        <v>458</v>
      </c>
      <c r="HR1166" s="1">
        <v>41787</v>
      </c>
      <c r="HS1166">
        <v>2013</v>
      </c>
      <c r="HT1166">
        <v>1113.53</v>
      </c>
      <c r="HU1166" t="s">
        <v>11927</v>
      </c>
      <c r="HV1166">
        <v>0.25</v>
      </c>
      <c r="HW1166" t="s">
        <v>424</v>
      </c>
      <c r="HX1166" t="s">
        <v>425</v>
      </c>
      <c r="HY1166" s="1">
        <v>42429</v>
      </c>
      <c r="HZ1166">
        <v>21</v>
      </c>
      <c r="IA1166">
        <v>2851116</v>
      </c>
      <c r="IB1166" t="s">
        <v>480</v>
      </c>
      <c r="ID1166" s="1">
        <v>41423</v>
      </c>
      <c r="IE1166">
        <v>2012</v>
      </c>
      <c r="IF1166">
        <v>643.42999999999995</v>
      </c>
      <c r="IG1166" t="s">
        <v>11928</v>
      </c>
      <c r="IH1166">
        <v>0.25</v>
      </c>
      <c r="II1166" t="s">
        <v>424</v>
      </c>
      <c r="IJ1166" t="s">
        <v>425</v>
      </c>
      <c r="IK1166" s="1">
        <v>42062</v>
      </c>
      <c r="IL1166">
        <v>21</v>
      </c>
      <c r="IM1166">
        <v>10125</v>
      </c>
      <c r="IN1166" t="s">
        <v>440</v>
      </c>
      <c r="IP1166" s="1">
        <v>41052</v>
      </c>
      <c r="IQ1166">
        <v>2011</v>
      </c>
      <c r="IR1166">
        <v>688.38</v>
      </c>
      <c r="IS1166" t="s">
        <v>11929</v>
      </c>
      <c r="IT1166">
        <v>6</v>
      </c>
      <c r="IU1166" t="s">
        <v>424</v>
      </c>
      <c r="IV1166" t="s">
        <v>425</v>
      </c>
      <c r="IW1166" s="1">
        <v>41698</v>
      </c>
      <c r="IX1166">
        <v>21</v>
      </c>
      <c r="IY1166">
        <v>10125</v>
      </c>
      <c r="IZ1166" t="s">
        <v>440</v>
      </c>
      <c r="JB1166" s="1">
        <v>40688</v>
      </c>
      <c r="JC1166">
        <v>2010</v>
      </c>
      <c r="JD1166">
        <v>783.45</v>
      </c>
      <c r="JE1166" t="s">
        <v>11930</v>
      </c>
      <c r="JF1166">
        <v>6.5</v>
      </c>
      <c r="JG1166" t="s">
        <v>424</v>
      </c>
      <c r="JH1166" t="s">
        <v>425</v>
      </c>
      <c r="JI1166" s="1">
        <v>41331</v>
      </c>
      <c r="JJ1166">
        <v>21</v>
      </c>
      <c r="JK1166">
        <v>62</v>
      </c>
      <c r="JL1166" t="s">
        <v>463</v>
      </c>
    </row>
    <row r="1167" spans="1:272" x14ac:dyDescent="0.25">
      <c r="A1167">
        <v>16486174</v>
      </c>
      <c r="B1167">
        <v>1166</v>
      </c>
      <c r="C1167" t="s">
        <v>393</v>
      </c>
      <c r="D1167" t="s">
        <v>394</v>
      </c>
      <c r="F1167" t="str">
        <f>"18-2N-27-431A-000C-0000"</f>
        <v>18-2N-27-431A-000C-0000</v>
      </c>
      <c r="H1167" t="str">
        <f>"HALL LINDA LEIGH &amp; GRESHAM TOM"</f>
        <v>HALL LINDA LEIGH &amp; GRESHAM TOM</v>
      </c>
      <c r="I1167" t="str">
        <f>"PO BOX 1132"</f>
        <v>PO BOX 1132</v>
      </c>
      <c r="J1167" t="str">
        <f>"INTERLACHEN FL 32148"</f>
        <v>INTERLACHEN FL 32148</v>
      </c>
      <c r="K1167" t="str">
        <f>"75625 JOHNSON LAKE RD"</f>
        <v>75625 JOHNSON LAKE RD</v>
      </c>
      <c r="L1167" t="str">
        <f t="shared" si="372"/>
        <v>YULEE FL 32097</v>
      </c>
      <c r="M1167" t="str">
        <f>"LOT C IN OR 1043/683 1984 CHAM DW/MH JOHNSON LAKE EST 1A PB 6/63"</f>
        <v>LOT C IN OR 1043/683 1984 CHAM DW/MH JOHNSON LAKE EST 1A PB 6/63</v>
      </c>
      <c r="N1167" t="str">
        <f>""</f>
        <v/>
      </c>
      <c r="O1167" t="str">
        <f>"32392"</f>
        <v>32392</v>
      </c>
      <c r="P1167" t="str">
        <f t="shared" si="382"/>
        <v>2017</v>
      </c>
      <c r="Q1167" t="str">
        <f>""</f>
        <v/>
      </c>
      <c r="R1167" t="str">
        <f t="shared" si="390"/>
        <v>N</v>
      </c>
      <c r="S1167" t="str">
        <f>""</f>
        <v/>
      </c>
      <c r="T1167" t="str">
        <f>"689.28"</f>
        <v>689.28</v>
      </c>
      <c r="U1167" t="str">
        <f>"45531.00"</f>
        <v>45531.00</v>
      </c>
      <c r="V1167" t="str">
        <f>"45531.00"</f>
        <v>45531.00</v>
      </c>
      <c r="W1167" t="str">
        <f t="shared" si="383"/>
        <v>2017</v>
      </c>
      <c r="X1167" t="str">
        <f>"1.00"</f>
        <v>1.00</v>
      </c>
      <c r="Y1167" t="str">
        <f>"741.96"</f>
        <v>741.96</v>
      </c>
      <c r="Z1167" t="str">
        <f>""</f>
        <v/>
      </c>
      <c r="AA1167" t="str">
        <f>"45531.00"</f>
        <v>45531.00</v>
      </c>
      <c r="AB1167" t="str">
        <f t="shared" si="373"/>
        <v>Residential</v>
      </c>
      <c r="AC1167" t="str">
        <f t="shared" si="366"/>
        <v>0</v>
      </c>
      <c r="AD1167" t="str">
        <f t="shared" si="385"/>
        <v>4</v>
      </c>
      <c r="AE1167" t="str">
        <f t="shared" si="386"/>
        <v>WOOD (INCLUDE STEEL STUDS)</v>
      </c>
      <c r="AF1167" t="str">
        <f t="shared" si="387"/>
        <v>002</v>
      </c>
      <c r="AG1167" t="str">
        <f t="shared" si="381"/>
        <v>FL</v>
      </c>
      <c r="AH1167" t="str">
        <f t="shared" si="388"/>
        <v>-</v>
      </c>
      <c r="AI1167" t="str">
        <f>"19425.00"</f>
        <v>19425.00</v>
      </c>
      <c r="AJ1167" t="str">
        <f>"C55-000-587-1909-7"</f>
        <v>C55-000-587-1909-7</v>
      </c>
      <c r="AK1167" t="str">
        <f>"19687"</f>
        <v>19687</v>
      </c>
      <c r="AL1167">
        <v>5</v>
      </c>
      <c r="AM1167">
        <v>1334</v>
      </c>
      <c r="AN1167">
        <v>777.46</v>
      </c>
      <c r="AQ1167" t="s">
        <v>11931</v>
      </c>
      <c r="AR1167" t="s">
        <v>11931</v>
      </c>
      <c r="AS1167" t="s">
        <v>11931</v>
      </c>
      <c r="AU1167" t="s">
        <v>396</v>
      </c>
      <c r="AV1167">
        <v>2017</v>
      </c>
      <c r="AW1167" t="str">
        <f>"18-2N-27-431A-000C-0000 "</f>
        <v xml:space="preserve">18-2N-27-431A-000C-0000 </v>
      </c>
      <c r="AX1167">
        <v>75625</v>
      </c>
      <c r="AZ1167" t="s">
        <v>11777</v>
      </c>
      <c r="BA1167" t="s">
        <v>496</v>
      </c>
      <c r="BD1167" t="s">
        <v>2387</v>
      </c>
      <c r="BE1167" t="s">
        <v>393</v>
      </c>
      <c r="BF1167">
        <v>32097</v>
      </c>
      <c r="BG1167" t="s">
        <v>11932</v>
      </c>
      <c r="BH1167" t="s">
        <v>2388</v>
      </c>
      <c r="BI1167">
        <v>-81.645340979140997</v>
      </c>
      <c r="BJ1167">
        <v>30.600066835710798</v>
      </c>
      <c r="BK1167" t="s">
        <v>11933</v>
      </c>
      <c r="BL1167" t="s">
        <v>11779</v>
      </c>
      <c r="BM1167" t="s">
        <v>11934</v>
      </c>
      <c r="BN1167" t="s">
        <v>11935</v>
      </c>
      <c r="BO1167">
        <v>32148</v>
      </c>
      <c r="BP1167" t="s">
        <v>404</v>
      </c>
      <c r="BQ1167">
        <v>200</v>
      </c>
      <c r="BR1167" t="s">
        <v>405</v>
      </c>
      <c r="BS1167">
        <v>1006</v>
      </c>
      <c r="BT1167" t="s">
        <v>406</v>
      </c>
      <c r="BW1167">
        <v>32559</v>
      </c>
      <c r="BX1167" t="s">
        <v>407</v>
      </c>
      <c r="BY1167" t="s">
        <v>4360</v>
      </c>
      <c r="BZ1167">
        <v>4</v>
      </c>
      <c r="CA1167">
        <v>1984</v>
      </c>
      <c r="CB1167">
        <v>1</v>
      </c>
      <c r="CC1167">
        <v>1</v>
      </c>
      <c r="CD1167">
        <v>2017</v>
      </c>
      <c r="CE1167">
        <v>19425</v>
      </c>
      <c r="CF1167">
        <v>26106</v>
      </c>
      <c r="CG1167">
        <v>45531</v>
      </c>
      <c r="CH1167">
        <v>2017</v>
      </c>
      <c r="CI1167">
        <v>19425</v>
      </c>
      <c r="CJ1167">
        <v>26106</v>
      </c>
      <c r="CK1167">
        <v>45531</v>
      </c>
      <c r="CL1167">
        <v>2017</v>
      </c>
      <c r="CM1167">
        <v>689.28</v>
      </c>
      <c r="CN1167" s="1">
        <v>37328</v>
      </c>
      <c r="CO1167">
        <v>59000</v>
      </c>
      <c r="CV1167">
        <v>0</v>
      </c>
      <c r="CZ1167" s="1">
        <v>37328</v>
      </c>
      <c r="DA1167">
        <v>0</v>
      </c>
      <c r="DD1167" t="s">
        <v>2387</v>
      </c>
      <c r="DF1167" t="s">
        <v>603</v>
      </c>
      <c r="DG1167">
        <v>18</v>
      </c>
      <c r="DL1167">
        <v>50301</v>
      </c>
      <c r="DM1167" t="s">
        <v>11780</v>
      </c>
      <c r="DO1167" t="s">
        <v>11936</v>
      </c>
      <c r="DP1167">
        <v>0</v>
      </c>
      <c r="DQ1167">
        <v>0</v>
      </c>
      <c r="DR1167" t="s">
        <v>411</v>
      </c>
    </row>
    <row r="1168" spans="1:272" x14ac:dyDescent="0.25">
      <c r="A1168">
        <v>16486175</v>
      </c>
      <c r="B1168">
        <v>1167</v>
      </c>
      <c r="C1168" t="s">
        <v>393</v>
      </c>
      <c r="D1168" t="s">
        <v>394</v>
      </c>
      <c r="F1168" t="str">
        <f>"18-2N-27-431A-000D-0000"</f>
        <v>18-2N-27-431A-000D-0000</v>
      </c>
      <c r="H1168" t="str">
        <f>"COKER TAMMIE"</f>
        <v>COKER TAMMIE</v>
      </c>
      <c r="I1168" t="str">
        <f>"75586 JOHNSON LAKE ROAD"</f>
        <v>75586 JOHNSON LAKE ROAD</v>
      </c>
      <c r="J1168" t="str">
        <f>"YULEE FL 32097"</f>
        <v>YULEE FL 32097</v>
      </c>
      <c r="K1168" t="str">
        <f>"75641 JOHNSON LAKE RD"</f>
        <v>75641 JOHNSON LAKE RD</v>
      </c>
      <c r="L1168" t="str">
        <f t="shared" si="372"/>
        <v>YULEE FL 32097</v>
      </c>
      <c r="M1168" t="str">
        <f>"LOT D IN OR 1253/1957 1972 FTWD SW/MH JOHNSON LAKE EST 1A PB 6/63"</f>
        <v>LOT D IN OR 1253/1957 1972 FTWD SW/MH JOHNSON LAKE EST 1A PB 6/63</v>
      </c>
      <c r="N1168" t="str">
        <f>""</f>
        <v/>
      </c>
      <c r="O1168" t="str">
        <f>"32393"</f>
        <v>32393</v>
      </c>
      <c r="P1168" t="str">
        <f t="shared" si="382"/>
        <v>2017</v>
      </c>
      <c r="Q1168" t="str">
        <f>""</f>
        <v/>
      </c>
      <c r="R1168" t="str">
        <f t="shared" si="390"/>
        <v>N</v>
      </c>
      <c r="S1168" t="str">
        <f>""</f>
        <v/>
      </c>
      <c r="T1168" t="str">
        <f>"425.56"</f>
        <v>425.56</v>
      </c>
      <c r="U1168" t="str">
        <f>"28110.00"</f>
        <v>28110.00</v>
      </c>
      <c r="V1168" t="str">
        <f>"28110.00"</f>
        <v>28110.00</v>
      </c>
      <c r="W1168" t="str">
        <f t="shared" si="383"/>
        <v>2017</v>
      </c>
      <c r="X1168" t="str">
        <f>""</f>
        <v/>
      </c>
      <c r="Y1168" t="str">
        <f>"470.33"</f>
        <v>470.33</v>
      </c>
      <c r="Z1168" t="str">
        <f>""</f>
        <v/>
      </c>
      <c r="AA1168" t="str">
        <f>"28110.00"</f>
        <v>28110.00</v>
      </c>
      <c r="AB1168" t="str">
        <f t="shared" si="373"/>
        <v>Residential</v>
      </c>
      <c r="AC1168" t="str">
        <f t="shared" si="366"/>
        <v>0</v>
      </c>
      <c r="AD1168" t="str">
        <f t="shared" si="385"/>
        <v>4</v>
      </c>
      <c r="AE1168" t="str">
        <f t="shared" si="386"/>
        <v>WOOD (INCLUDE STEEL STUDS)</v>
      </c>
      <c r="AF1168" t="str">
        <f t="shared" si="387"/>
        <v>002</v>
      </c>
      <c r="AG1168" t="str">
        <f t="shared" si="381"/>
        <v>FL</v>
      </c>
      <c r="AH1168" t="str">
        <f t="shared" si="388"/>
        <v>-</v>
      </c>
      <c r="AI1168" t="str">
        <f>"19425.00"</f>
        <v>19425.00</v>
      </c>
      <c r="AJ1168" t="str">
        <f>"C55-000-587-1910-5"</f>
        <v>C55-000-587-1910-5</v>
      </c>
      <c r="AK1168" t="str">
        <f>"19688"</f>
        <v>19688</v>
      </c>
      <c r="AL1168">
        <v>5</v>
      </c>
      <c r="AM1168">
        <v>1335</v>
      </c>
      <c r="AN1168">
        <v>492.25</v>
      </c>
      <c r="AQ1168" t="s">
        <v>11937</v>
      </c>
      <c r="AR1168" t="s">
        <v>11937</v>
      </c>
      <c r="AS1168" t="s">
        <v>11937</v>
      </c>
      <c r="AU1168" t="s">
        <v>396</v>
      </c>
      <c r="AV1168">
        <v>2017</v>
      </c>
      <c r="AW1168" t="str">
        <f>"18-2N-27-431A-000D-0000 "</f>
        <v xml:space="preserve">18-2N-27-431A-000D-0000 </v>
      </c>
      <c r="AX1168">
        <v>75641</v>
      </c>
      <c r="AZ1168" t="s">
        <v>11777</v>
      </c>
      <c r="BA1168" t="s">
        <v>496</v>
      </c>
      <c r="BD1168" t="s">
        <v>2387</v>
      </c>
      <c r="BE1168" t="s">
        <v>393</v>
      </c>
      <c r="BF1168">
        <v>32097</v>
      </c>
      <c r="BG1168" t="s">
        <v>11938</v>
      </c>
      <c r="BH1168" t="s">
        <v>2388</v>
      </c>
      <c r="BI1168">
        <v>-81.645373298966106</v>
      </c>
      <c r="BJ1168">
        <v>30.599559992812999</v>
      </c>
      <c r="BK1168" t="s">
        <v>11939</v>
      </c>
      <c r="BM1168" t="s">
        <v>11778</v>
      </c>
      <c r="BN1168" t="s">
        <v>1778</v>
      </c>
      <c r="BO1168">
        <v>32097</v>
      </c>
      <c r="BP1168" t="s">
        <v>404</v>
      </c>
      <c r="BQ1168">
        <v>200</v>
      </c>
      <c r="BR1168" t="s">
        <v>405</v>
      </c>
      <c r="BS1168">
        <v>1006</v>
      </c>
      <c r="BT1168" t="s">
        <v>406</v>
      </c>
      <c r="BW1168">
        <v>32501</v>
      </c>
      <c r="BX1168" t="s">
        <v>407</v>
      </c>
      <c r="BY1168" t="s">
        <v>4360</v>
      </c>
      <c r="BZ1168">
        <v>4</v>
      </c>
      <c r="CA1168">
        <v>1972</v>
      </c>
      <c r="CB1168">
        <v>1</v>
      </c>
      <c r="CC1168">
        <v>1</v>
      </c>
      <c r="CD1168">
        <v>2017</v>
      </c>
      <c r="CE1168">
        <v>19425</v>
      </c>
      <c r="CF1168">
        <v>8685</v>
      </c>
      <c r="CG1168">
        <v>28110</v>
      </c>
      <c r="CH1168">
        <v>2017</v>
      </c>
      <c r="CI1168">
        <v>19425</v>
      </c>
      <c r="CJ1168">
        <v>8685</v>
      </c>
      <c r="CK1168">
        <v>28110</v>
      </c>
      <c r="CL1168">
        <v>2017</v>
      </c>
      <c r="CM1168">
        <v>425.56</v>
      </c>
      <c r="CN1168" s="1">
        <v>37672</v>
      </c>
      <c r="CO1168">
        <v>32700</v>
      </c>
      <c r="CV1168">
        <v>25612</v>
      </c>
      <c r="CX1168" t="s">
        <v>707</v>
      </c>
      <c r="CZ1168" s="1">
        <v>37672</v>
      </c>
      <c r="DA1168">
        <v>0</v>
      </c>
      <c r="DD1168" t="s">
        <v>2387</v>
      </c>
      <c r="DF1168" t="s">
        <v>11940</v>
      </c>
      <c r="DG1168">
        <v>18</v>
      </c>
      <c r="DJ1168" t="s">
        <v>11941</v>
      </c>
      <c r="DL1168">
        <v>50301</v>
      </c>
      <c r="DM1168" t="s">
        <v>11780</v>
      </c>
      <c r="DO1168" t="s">
        <v>11942</v>
      </c>
      <c r="DP1168">
        <v>0</v>
      </c>
      <c r="DQ1168">
        <v>0</v>
      </c>
      <c r="DR1168" t="s">
        <v>411</v>
      </c>
    </row>
    <row r="1169" spans="1:237" x14ac:dyDescent="0.25">
      <c r="A1169">
        <v>16486176</v>
      </c>
      <c r="B1169">
        <v>1168</v>
      </c>
      <c r="C1169" t="s">
        <v>393</v>
      </c>
      <c r="D1169" t="s">
        <v>394</v>
      </c>
      <c r="F1169" t="str">
        <f>"21-2N-27-0000-0001-0020"</f>
        <v>21-2N-27-0000-0001-0020</v>
      </c>
      <c r="H1169" t="str">
        <f>"BRYAN FREDERICK SR &amp; CATHERINE"</f>
        <v>BRYAN FREDERICK SR &amp; CATHERINE</v>
      </c>
      <c r="I1169" t="str">
        <f t="shared" ref="I1169:I1177" si="391">"2003 FAYE ROAD"</f>
        <v>2003 FAYE ROAD</v>
      </c>
      <c r="J1169" t="str">
        <f t="shared" ref="J1169:J1177" si="392">"JACKSONVILLE FL 32218"</f>
        <v>JACKSONVILLE FL 32218</v>
      </c>
      <c r="K1169" t="str">
        <f>"US HWY 17"</f>
        <v>US HWY 17</v>
      </c>
      <c r="L1169" t="str">
        <f t="shared" si="372"/>
        <v>YULEE FL 32097</v>
      </c>
      <c r="M1169" t="str">
        <f>"IN OR 643 PG 1113"</f>
        <v>IN OR 643 PG 1113</v>
      </c>
      <c r="N1169" t="str">
        <f>""</f>
        <v/>
      </c>
      <c r="O1169" t="str">
        <f>"33426"</f>
        <v>33426</v>
      </c>
      <c r="P1169" t="str">
        <f t="shared" si="382"/>
        <v>2017</v>
      </c>
      <c r="Q1169" t="str">
        <f>""</f>
        <v/>
      </c>
      <c r="R1169" t="str">
        <f t="shared" si="390"/>
        <v>N</v>
      </c>
      <c r="S1169" t="str">
        <f>""</f>
        <v/>
      </c>
      <c r="T1169" t="str">
        <f>"124.42"</f>
        <v>124.42</v>
      </c>
      <c r="U1169" t="str">
        <f>"8219.00"</f>
        <v>8219.00</v>
      </c>
      <c r="V1169" t="str">
        <f>"8219.00"</f>
        <v>8219.00</v>
      </c>
      <c r="W1169" t="str">
        <f t="shared" si="383"/>
        <v>2017</v>
      </c>
      <c r="X1169" t="str">
        <f>"8.60"</f>
        <v>8.60</v>
      </c>
      <c r="Y1169" t="str">
        <f>"160.15"</f>
        <v>160.15</v>
      </c>
      <c r="Z1169" t="str">
        <f>""</f>
        <v/>
      </c>
      <c r="AA1169" t="str">
        <f>"8219.00"</f>
        <v>8219.00</v>
      </c>
      <c r="AB1169" t="str">
        <f t="shared" si="373"/>
        <v>Residential</v>
      </c>
      <c r="AC1169" t="str">
        <f t="shared" si="366"/>
        <v>0</v>
      </c>
      <c r="AD1169" t="str">
        <f>""</f>
        <v/>
      </c>
      <c r="AE1169" t="str">
        <f>""</f>
        <v/>
      </c>
      <c r="AF1169" t="str">
        <f t="shared" ref="AF1169:AF1184" si="393">"000"</f>
        <v>000</v>
      </c>
      <c r="AG1169" t="str">
        <f t="shared" si="381"/>
        <v>FL</v>
      </c>
      <c r="AH1169" t="str">
        <f>"20895.00"</f>
        <v>20895.00</v>
      </c>
      <c r="AI1169" t="str">
        <f>"5025.00"</f>
        <v>5025.00</v>
      </c>
      <c r="AJ1169" t="str">
        <f>"C55-000-587-2810-6"</f>
        <v>C55-000-587-2810-6</v>
      </c>
      <c r="AK1169" t="str">
        <f>"19788"</f>
        <v>19788</v>
      </c>
      <c r="AL1169">
        <v>5</v>
      </c>
      <c r="AM1169">
        <v>1336</v>
      </c>
      <c r="AN1169">
        <v>166.56</v>
      </c>
      <c r="AQ1169" t="s">
        <v>11943</v>
      </c>
      <c r="AR1169" t="s">
        <v>11943</v>
      </c>
      <c r="AS1169" t="s">
        <v>11943</v>
      </c>
      <c r="AU1169" t="s">
        <v>396</v>
      </c>
      <c r="AV1169">
        <v>2017</v>
      </c>
      <c r="AW1169" t="str">
        <f>"21-2N-27-0000-0001-0020 "</f>
        <v xml:space="preserve">21-2N-27-0000-0001-0020 </v>
      </c>
      <c r="AZ1169" t="s">
        <v>11185</v>
      </c>
      <c r="BD1169" t="s">
        <v>2387</v>
      </c>
      <c r="BE1169" t="s">
        <v>393</v>
      </c>
      <c r="BF1169">
        <v>32097</v>
      </c>
      <c r="BG1169" t="s">
        <v>11185</v>
      </c>
      <c r="BH1169" t="s">
        <v>2388</v>
      </c>
      <c r="BI1169">
        <v>-81.603932120693898</v>
      </c>
      <c r="BJ1169">
        <v>30.5822350673985</v>
      </c>
      <c r="BK1169" t="s">
        <v>11944</v>
      </c>
      <c r="BL1169" t="s">
        <v>11945</v>
      </c>
      <c r="BM1169" t="s">
        <v>11946</v>
      </c>
      <c r="BN1169" t="s">
        <v>548</v>
      </c>
      <c r="BO1169">
        <v>32218</v>
      </c>
      <c r="BP1169" t="s">
        <v>404</v>
      </c>
      <c r="BQ1169">
        <v>1</v>
      </c>
      <c r="BR1169" t="s">
        <v>491</v>
      </c>
      <c r="BS1169">
        <v>8001</v>
      </c>
      <c r="BT1169" t="s">
        <v>492</v>
      </c>
      <c r="BW1169">
        <v>20895</v>
      </c>
      <c r="BX1169" t="s">
        <v>407</v>
      </c>
      <c r="BY1169" t="s">
        <v>408</v>
      </c>
      <c r="CD1169">
        <v>2017</v>
      </c>
      <c r="CE1169">
        <v>5025</v>
      </c>
      <c r="CF1169">
        <v>3194</v>
      </c>
      <c r="CG1169">
        <v>8219</v>
      </c>
      <c r="CH1169">
        <v>2017</v>
      </c>
      <c r="CI1169">
        <v>5025</v>
      </c>
      <c r="CJ1169">
        <v>3194</v>
      </c>
      <c r="CK1169">
        <v>8219</v>
      </c>
      <c r="CL1169">
        <v>2017</v>
      </c>
      <c r="CM1169">
        <v>124.42</v>
      </c>
      <c r="CN1169" s="1">
        <v>33583</v>
      </c>
      <c r="CO1169">
        <v>2500</v>
      </c>
      <c r="CZ1169" s="1">
        <v>33583</v>
      </c>
      <c r="DD1169" t="s">
        <v>2387</v>
      </c>
      <c r="DG1169">
        <v>21</v>
      </c>
      <c r="DL1169">
        <v>50303</v>
      </c>
      <c r="DM1169" t="s">
        <v>11947</v>
      </c>
      <c r="DO1169" t="s">
        <v>11948</v>
      </c>
      <c r="DP1169">
        <v>0</v>
      </c>
      <c r="DQ1169">
        <v>0</v>
      </c>
      <c r="DR1169" t="s">
        <v>411</v>
      </c>
      <c r="DS1169" t="b">
        <v>1</v>
      </c>
      <c r="DT1169" t="s">
        <v>8902</v>
      </c>
      <c r="DV1169" t="s">
        <v>446</v>
      </c>
      <c r="DX1169">
        <v>8</v>
      </c>
      <c r="DY1169" t="s">
        <v>11438</v>
      </c>
      <c r="DZ1169" t="s">
        <v>447</v>
      </c>
      <c r="EA1169" t="s">
        <v>448</v>
      </c>
      <c r="EB1169" t="s">
        <v>11949</v>
      </c>
      <c r="EC1169">
        <v>20101217</v>
      </c>
      <c r="ED1169" t="s">
        <v>450</v>
      </c>
      <c r="EE1169">
        <v>5</v>
      </c>
      <c r="EF1169">
        <v>0</v>
      </c>
      <c r="EG1169">
        <v>0</v>
      </c>
      <c r="EI1169">
        <v>20160407</v>
      </c>
      <c r="EJ1169">
        <v>0</v>
      </c>
      <c r="EK1169">
        <v>0</v>
      </c>
      <c r="EP1169" t="s">
        <v>421</v>
      </c>
      <c r="EQ1169" t="s">
        <v>422</v>
      </c>
      <c r="ER1169">
        <v>0</v>
      </c>
      <c r="ES1169">
        <v>7</v>
      </c>
      <c r="ET1169">
        <v>0</v>
      </c>
      <c r="EU1169">
        <v>0</v>
      </c>
      <c r="EV1169">
        <v>0</v>
      </c>
      <c r="EW1169" s="2">
        <v>43222</v>
      </c>
      <c r="EX1169" s="1">
        <v>42515</v>
      </c>
      <c r="EY1169">
        <v>2015</v>
      </c>
      <c r="EZ1169">
        <v>173.9</v>
      </c>
      <c r="FA1169" t="s">
        <v>11950</v>
      </c>
      <c r="FB1169">
        <v>16</v>
      </c>
      <c r="FC1169" t="s">
        <v>424</v>
      </c>
      <c r="FD1169" t="s">
        <v>425</v>
      </c>
      <c r="FE1169" s="1">
        <v>42809</v>
      </c>
      <c r="FF1169">
        <v>10</v>
      </c>
      <c r="FG1169">
        <v>10364</v>
      </c>
      <c r="FH1169" t="s">
        <v>4653</v>
      </c>
      <c r="FJ1169" s="1">
        <v>42515</v>
      </c>
      <c r="FK1169">
        <v>2015</v>
      </c>
      <c r="FL1169">
        <v>173.9</v>
      </c>
      <c r="FM1169" t="s">
        <v>11950</v>
      </c>
      <c r="FN1169">
        <v>16</v>
      </c>
      <c r="FO1169" t="s">
        <v>424</v>
      </c>
      <c r="FP1169" t="s">
        <v>425</v>
      </c>
      <c r="FR1169">
        <v>22</v>
      </c>
      <c r="FS1169">
        <v>5432900</v>
      </c>
      <c r="FT1169" t="s">
        <v>11951</v>
      </c>
      <c r="FV1169" s="1">
        <v>42151</v>
      </c>
      <c r="FW1169">
        <v>2014</v>
      </c>
      <c r="FX1169">
        <v>181.53</v>
      </c>
      <c r="FY1169" t="s">
        <v>11952</v>
      </c>
      <c r="FZ1169">
        <v>0.25</v>
      </c>
      <c r="GA1169" t="s">
        <v>424</v>
      </c>
      <c r="GB1169" t="s">
        <v>425</v>
      </c>
      <c r="GC1169" s="1">
        <v>42481</v>
      </c>
      <c r="GD1169">
        <v>11</v>
      </c>
      <c r="GE1169">
        <v>13026</v>
      </c>
      <c r="GF1169" t="s">
        <v>2129</v>
      </c>
      <c r="GH1169" s="1">
        <v>42151</v>
      </c>
      <c r="GI1169">
        <v>2014</v>
      </c>
      <c r="GJ1169">
        <v>181.53</v>
      </c>
      <c r="GK1169" t="s">
        <v>11952</v>
      </c>
      <c r="GL1169">
        <v>0.25</v>
      </c>
      <c r="GM1169" t="s">
        <v>424</v>
      </c>
      <c r="GN1169" t="s">
        <v>425</v>
      </c>
      <c r="GP1169">
        <v>22</v>
      </c>
      <c r="GQ1169">
        <v>4699040</v>
      </c>
      <c r="GR1169" t="s">
        <v>11953</v>
      </c>
      <c r="GT1169" s="1">
        <v>41787</v>
      </c>
      <c r="GU1169">
        <v>2013</v>
      </c>
      <c r="GV1169">
        <v>179.5</v>
      </c>
      <c r="GW1169" t="s">
        <v>11954</v>
      </c>
      <c r="GX1169">
        <v>5.75</v>
      </c>
      <c r="GY1169" t="s">
        <v>424</v>
      </c>
      <c r="GZ1169" t="s">
        <v>425</v>
      </c>
      <c r="HA1169" s="1">
        <v>42111</v>
      </c>
      <c r="HB1169">
        <v>11</v>
      </c>
      <c r="HC1169">
        <v>2035919</v>
      </c>
      <c r="HD1169" t="s">
        <v>507</v>
      </c>
      <c r="HF1169" s="1">
        <v>41423</v>
      </c>
      <c r="HG1169">
        <v>2012</v>
      </c>
      <c r="HH1169">
        <v>188.53</v>
      </c>
      <c r="HI1169" t="s">
        <v>11955</v>
      </c>
      <c r="HJ1169">
        <v>6.25</v>
      </c>
      <c r="HK1169" t="s">
        <v>424</v>
      </c>
      <c r="HL1169" t="s">
        <v>425</v>
      </c>
      <c r="HM1169" s="1">
        <v>41729</v>
      </c>
      <c r="HN1169">
        <v>10</v>
      </c>
      <c r="HO1169">
        <v>2101381</v>
      </c>
      <c r="HP1169" t="s">
        <v>605</v>
      </c>
      <c r="HR1169" s="1">
        <v>41052</v>
      </c>
      <c r="HS1169">
        <v>2011</v>
      </c>
      <c r="HT1169">
        <v>190.63</v>
      </c>
      <c r="HU1169" t="s">
        <v>11956</v>
      </c>
      <c r="HV1169">
        <v>16</v>
      </c>
      <c r="HW1169" t="s">
        <v>424</v>
      </c>
      <c r="HX1169" t="s">
        <v>425</v>
      </c>
      <c r="HY1169" s="1">
        <v>41082</v>
      </c>
      <c r="HZ1169">
        <v>1</v>
      </c>
      <c r="IA1169">
        <v>10125</v>
      </c>
      <c r="IB1169" t="s">
        <v>440</v>
      </c>
    </row>
    <row r="1170" spans="1:237" x14ac:dyDescent="0.25">
      <c r="A1170">
        <v>16486177</v>
      </c>
      <c r="B1170">
        <v>1169</v>
      </c>
      <c r="C1170" t="s">
        <v>393</v>
      </c>
      <c r="D1170" t="s">
        <v>394</v>
      </c>
      <c r="F1170" t="str">
        <f>"21-2N-27-0000-0001-0030"</f>
        <v>21-2N-27-0000-0001-0030</v>
      </c>
      <c r="H1170" t="str">
        <f>"BRYAN F A &amp; CATHERINE B"</f>
        <v>BRYAN F A &amp; CATHERINE B</v>
      </c>
      <c r="I1170" t="str">
        <f t="shared" si="391"/>
        <v>2003 FAYE ROAD</v>
      </c>
      <c r="J1170" t="str">
        <f t="shared" si="392"/>
        <v>JACKSONVILLE FL 32218</v>
      </c>
      <c r="K1170" t="str">
        <f>"850117 US HWY 17"</f>
        <v>850117 US HWY 17</v>
      </c>
      <c r="L1170" t="str">
        <f t="shared" si="372"/>
        <v>YULEE FL 32097</v>
      </c>
      <c r="M1170" t="str">
        <f>"IN OR 749/1192 &amp; OR 1295/473 PARCELS 1-3 &amp; 1-4"</f>
        <v>IN OR 749/1192 &amp; OR 1295/473 PARCELS 1-3 &amp; 1-4</v>
      </c>
      <c r="N1170" t="str">
        <f>""</f>
        <v/>
      </c>
      <c r="O1170" t="str">
        <f>"33427"</f>
        <v>33427</v>
      </c>
      <c r="P1170" t="str">
        <f t="shared" si="382"/>
        <v>2017</v>
      </c>
      <c r="Q1170" t="str">
        <f>""</f>
        <v/>
      </c>
      <c r="R1170" t="str">
        <f t="shared" si="390"/>
        <v>N</v>
      </c>
      <c r="S1170" t="str">
        <f>""</f>
        <v/>
      </c>
      <c r="T1170" t="str">
        <f>"152.15"</f>
        <v>152.15</v>
      </c>
      <c r="U1170" t="str">
        <f>"10050.00"</f>
        <v>10050.00</v>
      </c>
      <c r="V1170" t="str">
        <f>"10050.00"</f>
        <v>10050.00</v>
      </c>
      <c r="W1170" t="str">
        <f t="shared" si="383"/>
        <v>2017</v>
      </c>
      <c r="X1170" t="str">
        <f>"8.60"</f>
        <v>8.60</v>
      </c>
      <c r="Y1170" t="str">
        <f>"188.71"</f>
        <v>188.71</v>
      </c>
      <c r="Z1170" t="str">
        <f>""</f>
        <v/>
      </c>
      <c r="AA1170" t="str">
        <f>"10050.00"</f>
        <v>10050.00</v>
      </c>
      <c r="AB1170" t="str">
        <f t="shared" si="373"/>
        <v>Residential</v>
      </c>
      <c r="AC1170" t="str">
        <f t="shared" si="366"/>
        <v>0</v>
      </c>
      <c r="AD1170" t="str">
        <f>""</f>
        <v/>
      </c>
      <c r="AE1170" t="str">
        <f>""</f>
        <v/>
      </c>
      <c r="AF1170" t="str">
        <f t="shared" si="393"/>
        <v>000</v>
      </c>
      <c r="AG1170" t="str">
        <f t="shared" si="381"/>
        <v>FL</v>
      </c>
      <c r="AH1170" t="str">
        <f>"77881.00"</f>
        <v>77881.00</v>
      </c>
      <c r="AI1170" t="str">
        <f>"10050.00"</f>
        <v>10050.00</v>
      </c>
      <c r="AJ1170" t="str">
        <f>"C55-000-587-2811-4"</f>
        <v>C55-000-587-2811-4</v>
      </c>
      <c r="AK1170" t="str">
        <f>"19789"</f>
        <v>19789</v>
      </c>
      <c r="AL1170">
        <v>5</v>
      </c>
      <c r="AM1170">
        <v>1337</v>
      </c>
      <c r="AN1170">
        <v>196.55</v>
      </c>
      <c r="AQ1170" t="s">
        <v>11957</v>
      </c>
      <c r="AR1170" t="s">
        <v>11957</v>
      </c>
      <c r="AS1170" t="s">
        <v>11957</v>
      </c>
      <c r="AU1170" t="s">
        <v>396</v>
      </c>
      <c r="AV1170">
        <v>2017</v>
      </c>
      <c r="AW1170" t="str">
        <f>"21-2N-27-0000-0001-0030 "</f>
        <v xml:space="preserve">21-2N-27-0000-0001-0030 </v>
      </c>
      <c r="AX1170">
        <v>850117</v>
      </c>
      <c r="AZ1170" t="s">
        <v>11185</v>
      </c>
      <c r="BD1170" t="s">
        <v>2387</v>
      </c>
      <c r="BE1170" t="s">
        <v>393</v>
      </c>
      <c r="BF1170">
        <v>32097</v>
      </c>
      <c r="BG1170" t="s">
        <v>11958</v>
      </c>
      <c r="BH1170" t="s">
        <v>2388</v>
      </c>
      <c r="BI1170">
        <v>-81.604340197837303</v>
      </c>
      <c r="BJ1170">
        <v>30.5816411339765</v>
      </c>
      <c r="BK1170" t="s">
        <v>11959</v>
      </c>
      <c r="BL1170" t="s">
        <v>11960</v>
      </c>
      <c r="BM1170" t="s">
        <v>11946</v>
      </c>
      <c r="BN1170" t="s">
        <v>548</v>
      </c>
      <c r="BO1170">
        <v>32218</v>
      </c>
      <c r="BP1170" t="s">
        <v>404</v>
      </c>
      <c r="BQ1170">
        <v>0</v>
      </c>
      <c r="BR1170" t="s">
        <v>491</v>
      </c>
      <c r="BS1170">
        <v>8001</v>
      </c>
      <c r="BT1170" t="s">
        <v>492</v>
      </c>
      <c r="BW1170">
        <v>77881</v>
      </c>
      <c r="BX1170" t="s">
        <v>407</v>
      </c>
      <c r="BY1170" t="s">
        <v>408</v>
      </c>
      <c r="CD1170">
        <v>2017</v>
      </c>
      <c r="CE1170">
        <v>10050</v>
      </c>
      <c r="CG1170">
        <v>10050</v>
      </c>
      <c r="CH1170">
        <v>2017</v>
      </c>
      <c r="CI1170">
        <v>10050</v>
      </c>
      <c r="CK1170">
        <v>10050</v>
      </c>
      <c r="CL1170">
        <v>2017</v>
      </c>
      <c r="CM1170">
        <v>152.15</v>
      </c>
      <c r="CN1170" s="1">
        <v>38397</v>
      </c>
      <c r="CO1170">
        <v>10000</v>
      </c>
      <c r="CV1170">
        <v>0</v>
      </c>
      <c r="CZ1170" s="1">
        <v>38397</v>
      </c>
      <c r="DA1170">
        <v>0</v>
      </c>
      <c r="DD1170" t="s">
        <v>2387</v>
      </c>
      <c r="DG1170">
        <v>21</v>
      </c>
      <c r="DL1170">
        <v>50303</v>
      </c>
      <c r="DM1170" t="s">
        <v>11947</v>
      </c>
      <c r="DO1170" t="s">
        <v>11961</v>
      </c>
      <c r="DP1170">
        <v>0</v>
      </c>
      <c r="DQ1170">
        <v>0</v>
      </c>
      <c r="DR1170" t="s">
        <v>411</v>
      </c>
      <c r="DS1170" t="b">
        <v>1</v>
      </c>
      <c r="DT1170" t="s">
        <v>8902</v>
      </c>
      <c r="DV1170" t="s">
        <v>446</v>
      </c>
      <c r="DX1170">
        <v>8</v>
      </c>
      <c r="DY1170" t="s">
        <v>11438</v>
      </c>
      <c r="DZ1170" t="s">
        <v>447</v>
      </c>
      <c r="EA1170" t="s">
        <v>448</v>
      </c>
      <c r="EB1170" t="s">
        <v>11949</v>
      </c>
      <c r="EC1170">
        <v>20101217</v>
      </c>
      <c r="ED1170" t="s">
        <v>450</v>
      </c>
      <c r="EE1170">
        <v>5</v>
      </c>
      <c r="EF1170">
        <v>0</v>
      </c>
      <c r="EG1170">
        <v>0</v>
      </c>
      <c r="EI1170">
        <v>20160407</v>
      </c>
      <c r="EJ1170">
        <v>0</v>
      </c>
      <c r="EK1170">
        <v>0</v>
      </c>
      <c r="EP1170" t="s">
        <v>421</v>
      </c>
      <c r="EQ1170" t="s">
        <v>422</v>
      </c>
      <c r="ER1170">
        <v>0</v>
      </c>
      <c r="ES1170">
        <v>7</v>
      </c>
      <c r="ET1170">
        <v>0</v>
      </c>
      <c r="EU1170">
        <v>0</v>
      </c>
      <c r="EV1170">
        <v>0</v>
      </c>
      <c r="EW1170" s="2">
        <v>43222</v>
      </c>
      <c r="EX1170" s="1">
        <v>42515</v>
      </c>
      <c r="EY1170">
        <v>2015</v>
      </c>
      <c r="EZ1170">
        <v>192.91</v>
      </c>
      <c r="FA1170" t="s">
        <v>11962</v>
      </c>
      <c r="FB1170">
        <v>0.25</v>
      </c>
      <c r="FC1170" t="s">
        <v>424</v>
      </c>
      <c r="FD1170" t="s">
        <v>425</v>
      </c>
      <c r="FE1170" s="1">
        <v>42809</v>
      </c>
      <c r="FF1170">
        <v>10</v>
      </c>
      <c r="FG1170">
        <v>7336671</v>
      </c>
      <c r="FH1170" t="s">
        <v>437</v>
      </c>
      <c r="FJ1170" s="1">
        <v>42515</v>
      </c>
      <c r="FK1170">
        <v>2015</v>
      </c>
      <c r="FL1170">
        <v>192.91</v>
      </c>
      <c r="FM1170" t="s">
        <v>11962</v>
      </c>
      <c r="FN1170">
        <v>0.25</v>
      </c>
      <c r="FO1170" t="s">
        <v>424</v>
      </c>
      <c r="FP1170" t="s">
        <v>425</v>
      </c>
      <c r="FR1170">
        <v>22</v>
      </c>
      <c r="FS1170">
        <v>6925977</v>
      </c>
      <c r="FT1170" t="s">
        <v>11963</v>
      </c>
      <c r="FV1170" s="1">
        <v>42151</v>
      </c>
      <c r="FW1170">
        <v>2014</v>
      </c>
      <c r="FX1170">
        <v>193.77</v>
      </c>
      <c r="FY1170" t="s">
        <v>11964</v>
      </c>
      <c r="FZ1170">
        <v>0.25</v>
      </c>
      <c r="GA1170" t="s">
        <v>424</v>
      </c>
      <c r="GB1170" t="s">
        <v>425</v>
      </c>
      <c r="GC1170" s="1">
        <v>42481</v>
      </c>
      <c r="GD1170">
        <v>11</v>
      </c>
      <c r="GE1170">
        <v>13026</v>
      </c>
      <c r="GF1170" t="s">
        <v>2129</v>
      </c>
      <c r="GH1170" s="1">
        <v>42151</v>
      </c>
      <c r="GI1170">
        <v>2014</v>
      </c>
      <c r="GJ1170">
        <v>193.77</v>
      </c>
      <c r="GK1170" t="s">
        <v>11964</v>
      </c>
      <c r="GL1170">
        <v>0.25</v>
      </c>
      <c r="GM1170" t="s">
        <v>424</v>
      </c>
      <c r="GN1170" t="s">
        <v>425</v>
      </c>
      <c r="GP1170">
        <v>22</v>
      </c>
      <c r="GQ1170">
        <v>4699290</v>
      </c>
      <c r="GR1170" t="s">
        <v>11965</v>
      </c>
      <c r="GT1170" s="1">
        <v>41787</v>
      </c>
      <c r="GU1170">
        <v>2013</v>
      </c>
      <c r="GV1170">
        <v>184.59</v>
      </c>
      <c r="GW1170" t="s">
        <v>11966</v>
      </c>
      <c r="GX1170">
        <v>15.75</v>
      </c>
      <c r="GY1170" t="s">
        <v>424</v>
      </c>
      <c r="GZ1170" t="s">
        <v>425</v>
      </c>
      <c r="HA1170" s="1">
        <v>42111</v>
      </c>
      <c r="HB1170">
        <v>11</v>
      </c>
      <c r="HC1170">
        <v>10125</v>
      </c>
      <c r="HD1170" t="s">
        <v>440</v>
      </c>
      <c r="HF1170" s="1">
        <v>41423</v>
      </c>
      <c r="HG1170">
        <v>2012</v>
      </c>
      <c r="HH1170">
        <v>186.62</v>
      </c>
      <c r="HI1170" t="s">
        <v>11967</v>
      </c>
      <c r="HJ1170">
        <v>9.75</v>
      </c>
      <c r="HK1170" t="s">
        <v>424</v>
      </c>
      <c r="HL1170" t="s">
        <v>425</v>
      </c>
      <c r="HM1170" s="1">
        <v>41729</v>
      </c>
      <c r="HN1170">
        <v>10</v>
      </c>
      <c r="HO1170">
        <v>10021</v>
      </c>
      <c r="HP1170" t="s">
        <v>597</v>
      </c>
      <c r="HR1170" s="1">
        <v>41052</v>
      </c>
      <c r="HS1170">
        <v>2011</v>
      </c>
      <c r="HT1170">
        <v>181.51</v>
      </c>
      <c r="HU1170" t="s">
        <v>11968</v>
      </c>
      <c r="HV1170">
        <v>16</v>
      </c>
      <c r="HW1170" t="s">
        <v>424</v>
      </c>
      <c r="HX1170" t="s">
        <v>425</v>
      </c>
      <c r="HY1170" s="1">
        <v>41082</v>
      </c>
      <c r="HZ1170">
        <v>1</v>
      </c>
      <c r="IA1170">
        <v>10125</v>
      </c>
      <c r="IB1170" t="s">
        <v>440</v>
      </c>
    </row>
    <row r="1171" spans="1:237" x14ac:dyDescent="0.25">
      <c r="A1171">
        <v>16486178</v>
      </c>
      <c r="B1171">
        <v>1170</v>
      </c>
      <c r="C1171" t="s">
        <v>393</v>
      </c>
      <c r="D1171" t="s">
        <v>394</v>
      </c>
      <c r="F1171" t="str">
        <f>"21-2N-27-0000-0001-0050"</f>
        <v>21-2N-27-0000-0001-0050</v>
      </c>
      <c r="H1171" t="str">
        <f>"BRYAN F A"</f>
        <v>BRYAN F A</v>
      </c>
      <c r="I1171" t="str">
        <f t="shared" si="391"/>
        <v>2003 FAYE ROAD</v>
      </c>
      <c r="J1171" t="str">
        <f t="shared" si="392"/>
        <v>JACKSONVILLE FL 32218</v>
      </c>
      <c r="K1171" t="str">
        <f t="shared" ref="K1171:K1176" si="394">"US HWY 17"</f>
        <v>US HWY 17</v>
      </c>
      <c r="L1171" t="str">
        <f t="shared" si="372"/>
        <v>YULEE FL 32097</v>
      </c>
      <c r="M1171" t="str">
        <f>"IN OR 1407/1811"</f>
        <v>IN OR 1407/1811</v>
      </c>
      <c r="N1171" t="str">
        <f>""</f>
        <v/>
      </c>
      <c r="O1171" t="str">
        <f>"33428"</f>
        <v>33428</v>
      </c>
      <c r="P1171" t="str">
        <f t="shared" si="382"/>
        <v>2017</v>
      </c>
      <c r="Q1171" t="str">
        <f>""</f>
        <v/>
      </c>
      <c r="R1171" t="str">
        <f t="shared" si="390"/>
        <v>N</v>
      </c>
      <c r="S1171" t="str">
        <f>""</f>
        <v/>
      </c>
      <c r="T1171" t="str">
        <f>"113.92"</f>
        <v>113.92</v>
      </c>
      <c r="U1171" t="str">
        <f>"7525.00"</f>
        <v>7525.00</v>
      </c>
      <c r="V1171" t="str">
        <f>"7525.00"</f>
        <v>7525.00</v>
      </c>
      <c r="W1171" t="str">
        <f t="shared" si="383"/>
        <v>2017</v>
      </c>
      <c r="X1171" t="str">
        <f>"10.60"</f>
        <v>10.60</v>
      </c>
      <c r="Y1171" t="str">
        <f>"149.34"</f>
        <v>149.34</v>
      </c>
      <c r="Z1171" t="str">
        <f>""</f>
        <v/>
      </c>
      <c r="AA1171" t="str">
        <f>"7525.00"</f>
        <v>7525.00</v>
      </c>
      <c r="AB1171" t="str">
        <f t="shared" si="373"/>
        <v>Residential</v>
      </c>
      <c r="AC1171" t="str">
        <f t="shared" si="366"/>
        <v>0</v>
      </c>
      <c r="AD1171" t="str">
        <f>""</f>
        <v/>
      </c>
      <c r="AE1171" t="str">
        <f>""</f>
        <v/>
      </c>
      <c r="AF1171" t="str">
        <f t="shared" si="393"/>
        <v>000</v>
      </c>
      <c r="AG1171" t="str">
        <f t="shared" si="381"/>
        <v>FL</v>
      </c>
      <c r="AH1171" t="str">
        <f>"69723.00"</f>
        <v>69723.00</v>
      </c>
      <c r="AI1171" t="str">
        <f>"7525.00"</f>
        <v>7525.00</v>
      </c>
      <c r="AJ1171" t="str">
        <f>"C55-000-976-7998-9"</f>
        <v>C55-000-976-7998-9</v>
      </c>
      <c r="AK1171" t="str">
        <f>"19790"</f>
        <v>19790</v>
      </c>
      <c r="AL1171">
        <v>5</v>
      </c>
      <c r="AM1171">
        <v>1338</v>
      </c>
      <c r="AN1171">
        <v>155.21</v>
      </c>
      <c r="AQ1171" t="s">
        <v>11969</v>
      </c>
      <c r="AR1171" t="s">
        <v>11969</v>
      </c>
      <c r="AS1171" t="s">
        <v>11969</v>
      </c>
      <c r="AU1171" t="s">
        <v>396</v>
      </c>
      <c r="AV1171">
        <v>2017</v>
      </c>
      <c r="AW1171" t="str">
        <f>"21-2N-27-0000-0001-0050 "</f>
        <v xml:space="preserve">21-2N-27-0000-0001-0050 </v>
      </c>
      <c r="AZ1171" t="s">
        <v>11185</v>
      </c>
      <c r="BD1171" t="s">
        <v>2387</v>
      </c>
      <c r="BE1171" t="s">
        <v>393</v>
      </c>
      <c r="BF1171">
        <v>32097</v>
      </c>
      <c r="BG1171" t="s">
        <v>11185</v>
      </c>
      <c r="BH1171" t="s">
        <v>2388</v>
      </c>
      <c r="BI1171">
        <v>-81.604990677230205</v>
      </c>
      <c r="BJ1171">
        <v>30.580850480315199</v>
      </c>
      <c r="BK1171" t="s">
        <v>11959</v>
      </c>
      <c r="BM1171" t="s">
        <v>11946</v>
      </c>
      <c r="BN1171" t="s">
        <v>548</v>
      </c>
      <c r="BO1171">
        <v>32218</v>
      </c>
      <c r="BP1171" t="s">
        <v>404</v>
      </c>
      <c r="BQ1171">
        <v>0</v>
      </c>
      <c r="BR1171" t="s">
        <v>491</v>
      </c>
      <c r="BS1171">
        <v>8001</v>
      </c>
      <c r="BT1171" t="s">
        <v>492</v>
      </c>
      <c r="BW1171">
        <v>69723</v>
      </c>
      <c r="BX1171" t="s">
        <v>407</v>
      </c>
      <c r="BY1171" t="s">
        <v>408</v>
      </c>
      <c r="CD1171">
        <v>2017</v>
      </c>
      <c r="CE1171">
        <v>7525</v>
      </c>
      <c r="CG1171">
        <v>7525</v>
      </c>
      <c r="CH1171">
        <v>2017</v>
      </c>
      <c r="CI1171">
        <v>7525</v>
      </c>
      <c r="CK1171">
        <v>7525</v>
      </c>
      <c r="CL1171">
        <v>2017</v>
      </c>
      <c r="CM1171">
        <v>113.92</v>
      </c>
      <c r="CN1171" s="1">
        <v>38835</v>
      </c>
      <c r="CO1171">
        <v>22500</v>
      </c>
      <c r="CZ1171" s="1">
        <v>38835</v>
      </c>
      <c r="DD1171" t="s">
        <v>2387</v>
      </c>
      <c r="DG1171">
        <v>21</v>
      </c>
      <c r="DL1171">
        <v>50303</v>
      </c>
      <c r="DM1171" t="s">
        <v>11947</v>
      </c>
      <c r="DO1171" t="s">
        <v>11970</v>
      </c>
      <c r="DP1171">
        <v>0</v>
      </c>
      <c r="DQ1171">
        <v>0</v>
      </c>
      <c r="DR1171" t="s">
        <v>411</v>
      </c>
      <c r="DS1171" t="b">
        <v>1</v>
      </c>
      <c r="DT1171" t="s">
        <v>8902</v>
      </c>
      <c r="DV1171" t="s">
        <v>446</v>
      </c>
      <c r="DX1171">
        <v>8</v>
      </c>
      <c r="DY1171" t="s">
        <v>11438</v>
      </c>
      <c r="DZ1171" t="s">
        <v>447</v>
      </c>
      <c r="EA1171" t="s">
        <v>448</v>
      </c>
      <c r="EB1171" t="s">
        <v>11949</v>
      </c>
      <c r="EC1171">
        <v>20101217</v>
      </c>
      <c r="ED1171" t="s">
        <v>450</v>
      </c>
      <c r="EE1171">
        <v>5</v>
      </c>
      <c r="EF1171">
        <v>0</v>
      </c>
      <c r="EG1171">
        <v>0</v>
      </c>
      <c r="EI1171">
        <v>20160407</v>
      </c>
      <c r="EJ1171">
        <v>0</v>
      </c>
      <c r="EK1171">
        <v>0</v>
      </c>
      <c r="EP1171" t="s">
        <v>595</v>
      </c>
      <c r="EQ1171" t="s">
        <v>422</v>
      </c>
      <c r="ER1171">
        <v>0</v>
      </c>
      <c r="ES1171">
        <v>6</v>
      </c>
      <c r="ET1171">
        <v>0</v>
      </c>
      <c r="EU1171">
        <v>0</v>
      </c>
      <c r="EV1171">
        <v>0</v>
      </c>
      <c r="EW1171" s="2">
        <v>43222</v>
      </c>
      <c r="EX1171" s="1">
        <v>42515</v>
      </c>
      <c r="EY1171">
        <v>2015</v>
      </c>
      <c r="EZ1171">
        <v>149.94999999999999</v>
      </c>
      <c r="FA1171" t="s">
        <v>11971</v>
      </c>
      <c r="FB1171">
        <v>18</v>
      </c>
      <c r="FC1171" t="s">
        <v>603</v>
      </c>
      <c r="FD1171" t="s">
        <v>425</v>
      </c>
      <c r="FF1171">
        <v>22</v>
      </c>
      <c r="FG1171">
        <v>9999999</v>
      </c>
      <c r="FH1171" t="s">
        <v>604</v>
      </c>
      <c r="FJ1171" s="1">
        <v>42515</v>
      </c>
      <c r="FK1171">
        <v>2015</v>
      </c>
      <c r="FL1171">
        <v>158.44999999999999</v>
      </c>
      <c r="FM1171" t="s">
        <v>11971</v>
      </c>
      <c r="FN1171">
        <v>18</v>
      </c>
      <c r="FO1171" t="s">
        <v>424</v>
      </c>
      <c r="FP1171" t="s">
        <v>425</v>
      </c>
      <c r="FQ1171" s="1">
        <v>42809</v>
      </c>
      <c r="FR1171">
        <v>10</v>
      </c>
      <c r="FS1171">
        <v>7045081</v>
      </c>
      <c r="FT1171" t="s">
        <v>4351</v>
      </c>
      <c r="FV1171" s="1">
        <v>42151</v>
      </c>
      <c r="FW1171">
        <v>2014</v>
      </c>
      <c r="FX1171">
        <v>150.61000000000001</v>
      </c>
      <c r="FY1171" t="s">
        <v>11972</v>
      </c>
      <c r="FZ1171">
        <v>18</v>
      </c>
      <c r="GA1171" t="s">
        <v>424</v>
      </c>
      <c r="GB1171" t="s">
        <v>425</v>
      </c>
      <c r="GC1171" s="1">
        <v>42481</v>
      </c>
      <c r="GD1171">
        <v>11</v>
      </c>
      <c r="GE1171">
        <v>10125</v>
      </c>
      <c r="GF1171" t="s">
        <v>440</v>
      </c>
      <c r="GH1171" s="1">
        <v>41787</v>
      </c>
      <c r="GI1171">
        <v>2013</v>
      </c>
      <c r="GJ1171">
        <v>143.72999999999999</v>
      </c>
      <c r="GK1171" t="s">
        <v>11973</v>
      </c>
      <c r="GL1171">
        <v>5.75</v>
      </c>
      <c r="GM1171" t="s">
        <v>424</v>
      </c>
      <c r="GN1171" t="s">
        <v>425</v>
      </c>
      <c r="GO1171" s="1">
        <v>42409</v>
      </c>
      <c r="GP1171">
        <v>21</v>
      </c>
      <c r="GQ1171">
        <v>2035919</v>
      </c>
      <c r="GR1171" t="s">
        <v>507</v>
      </c>
      <c r="GT1171" s="1">
        <v>41423</v>
      </c>
      <c r="GU1171">
        <v>2012</v>
      </c>
      <c r="GV1171">
        <v>145.25</v>
      </c>
      <c r="GW1171" t="s">
        <v>11974</v>
      </c>
      <c r="GX1171">
        <v>7.5</v>
      </c>
      <c r="GY1171" t="s">
        <v>424</v>
      </c>
      <c r="GZ1171" t="s">
        <v>425</v>
      </c>
      <c r="HA1171" s="1">
        <v>41729</v>
      </c>
      <c r="HB1171">
        <v>10</v>
      </c>
      <c r="HC1171">
        <v>2101381</v>
      </c>
      <c r="HD1171" t="s">
        <v>605</v>
      </c>
      <c r="HF1171" s="1">
        <v>41052</v>
      </c>
      <c r="HG1171">
        <v>2011</v>
      </c>
      <c r="HH1171">
        <v>139.4</v>
      </c>
      <c r="HI1171" t="s">
        <v>11975</v>
      </c>
      <c r="HJ1171">
        <v>16</v>
      </c>
      <c r="HK1171" t="s">
        <v>424</v>
      </c>
      <c r="HL1171" t="s">
        <v>425</v>
      </c>
      <c r="HM1171" s="1">
        <v>41082</v>
      </c>
      <c r="HN1171">
        <v>1</v>
      </c>
      <c r="HO1171">
        <v>10125</v>
      </c>
      <c r="HP1171" t="s">
        <v>440</v>
      </c>
    </row>
    <row r="1172" spans="1:237" x14ac:dyDescent="0.25">
      <c r="A1172">
        <v>16486179</v>
      </c>
      <c r="B1172">
        <v>1171</v>
      </c>
      <c r="C1172" t="s">
        <v>393</v>
      </c>
      <c r="D1172" t="s">
        <v>394</v>
      </c>
      <c r="F1172" t="str">
        <f>"21-2N-27-0000-0001-0070"</f>
        <v>21-2N-27-0000-0001-0070</v>
      </c>
      <c r="H1172" t="str">
        <f t="shared" ref="H1172:H1177" si="395">"BRYAN F A &amp; CATHERINE B"</f>
        <v>BRYAN F A &amp; CATHERINE B</v>
      </c>
      <c r="I1172" t="str">
        <f t="shared" si="391"/>
        <v>2003 FAYE ROAD</v>
      </c>
      <c r="J1172" t="str">
        <f t="shared" si="392"/>
        <v>JACKSONVILLE FL 32218</v>
      </c>
      <c r="K1172" t="str">
        <f t="shared" si="394"/>
        <v>US HWY 17</v>
      </c>
      <c r="L1172" t="str">
        <f t="shared" si="372"/>
        <v>YULEE FL 32097</v>
      </c>
      <c r="M1172" t="str">
        <f>"IN OR 1466/329"</f>
        <v>IN OR 1466/329</v>
      </c>
      <c r="N1172" t="str">
        <f>""</f>
        <v/>
      </c>
      <c r="O1172" t="str">
        <f>"33430"</f>
        <v>33430</v>
      </c>
      <c r="P1172" t="str">
        <f t="shared" si="382"/>
        <v>2017</v>
      </c>
      <c r="Q1172" t="str">
        <f>""</f>
        <v/>
      </c>
      <c r="R1172" t="str">
        <f t="shared" si="390"/>
        <v>N</v>
      </c>
      <c r="S1172" t="str">
        <f>""</f>
        <v/>
      </c>
      <c r="T1172" t="str">
        <f>"76.08"</f>
        <v>76.08</v>
      </c>
      <c r="U1172" t="str">
        <f t="shared" ref="U1172:V1174" si="396">"5025.00"</f>
        <v>5025.00</v>
      </c>
      <c r="V1172" t="str">
        <f t="shared" si="396"/>
        <v>5025.00</v>
      </c>
      <c r="W1172" t="str">
        <f t="shared" si="383"/>
        <v>2017</v>
      </c>
      <c r="X1172" t="str">
        <f t="shared" ref="X1172:X1177" si="397">"8.60"</f>
        <v>8.60</v>
      </c>
      <c r="Y1172" t="str">
        <f>"110.36"</f>
        <v>110.36</v>
      </c>
      <c r="Z1172" t="str">
        <f>""</f>
        <v/>
      </c>
      <c r="AA1172" t="str">
        <f>"5025.00"</f>
        <v>5025.00</v>
      </c>
      <c r="AB1172" t="str">
        <f t="shared" si="373"/>
        <v>Residential</v>
      </c>
      <c r="AC1172" t="str">
        <f t="shared" si="366"/>
        <v>0</v>
      </c>
      <c r="AD1172" t="str">
        <f>""</f>
        <v/>
      </c>
      <c r="AE1172" t="str">
        <f>""</f>
        <v/>
      </c>
      <c r="AF1172" t="str">
        <f t="shared" si="393"/>
        <v>000</v>
      </c>
      <c r="AG1172" t="str">
        <f t="shared" si="381"/>
        <v>FL</v>
      </c>
      <c r="AH1172" t="str">
        <f>"24690.00"</f>
        <v>24690.00</v>
      </c>
      <c r="AI1172" t="str">
        <f>"5025.00"</f>
        <v>5025.00</v>
      </c>
      <c r="AJ1172" t="str">
        <f>"C55-000-988-1793-5"</f>
        <v>C55-000-988-1793-5</v>
      </c>
      <c r="AK1172" t="str">
        <f>"19792"</f>
        <v>19792</v>
      </c>
      <c r="AL1172">
        <v>5</v>
      </c>
      <c r="AM1172">
        <v>1339</v>
      </c>
      <c r="AN1172">
        <v>114.28</v>
      </c>
      <c r="AQ1172" t="s">
        <v>11976</v>
      </c>
      <c r="AR1172" t="s">
        <v>11976</v>
      </c>
      <c r="AS1172" t="s">
        <v>11976</v>
      </c>
      <c r="AU1172" t="s">
        <v>396</v>
      </c>
      <c r="AV1172">
        <v>2017</v>
      </c>
      <c r="AW1172" t="str">
        <f>"21-2N-27-0000-0001-0070 "</f>
        <v xml:space="preserve">21-2N-27-0000-0001-0070 </v>
      </c>
      <c r="AZ1172" t="s">
        <v>11185</v>
      </c>
      <c r="BD1172" t="s">
        <v>2387</v>
      </c>
      <c r="BE1172" t="s">
        <v>393</v>
      </c>
      <c r="BF1172">
        <v>32097</v>
      </c>
      <c r="BG1172" t="s">
        <v>11185</v>
      </c>
      <c r="BH1172" t="s">
        <v>2388</v>
      </c>
      <c r="BI1172">
        <v>-81.606022741168601</v>
      </c>
      <c r="BJ1172">
        <v>30.5794733274764</v>
      </c>
      <c r="BK1172" t="s">
        <v>11977</v>
      </c>
      <c r="BM1172" t="s">
        <v>11946</v>
      </c>
      <c r="BN1172" t="s">
        <v>548</v>
      </c>
      <c r="BO1172">
        <v>32218</v>
      </c>
      <c r="BP1172" t="s">
        <v>404</v>
      </c>
      <c r="BQ1172">
        <v>0</v>
      </c>
      <c r="BR1172" t="s">
        <v>491</v>
      </c>
      <c r="BS1172">
        <v>8001</v>
      </c>
      <c r="BT1172" t="s">
        <v>492</v>
      </c>
      <c r="BW1172">
        <v>24690</v>
      </c>
      <c r="BX1172" t="s">
        <v>407</v>
      </c>
      <c r="BY1172" t="s">
        <v>408</v>
      </c>
      <c r="CD1172">
        <v>2017</v>
      </c>
      <c r="CE1172">
        <v>5025</v>
      </c>
      <c r="CG1172">
        <v>5025</v>
      </c>
      <c r="CH1172">
        <v>2017</v>
      </c>
      <c r="CI1172">
        <v>5025</v>
      </c>
      <c r="CK1172">
        <v>5025</v>
      </c>
      <c r="CL1172">
        <v>2017</v>
      </c>
      <c r="CM1172">
        <v>76.08</v>
      </c>
      <c r="CN1172" s="1">
        <v>39069</v>
      </c>
      <c r="CZ1172" s="1">
        <v>39069</v>
      </c>
      <c r="DD1172" t="s">
        <v>2387</v>
      </c>
      <c r="DG1172">
        <v>21</v>
      </c>
      <c r="DL1172">
        <v>50303</v>
      </c>
      <c r="DM1172" t="s">
        <v>11947</v>
      </c>
      <c r="DO1172" t="s">
        <v>11978</v>
      </c>
      <c r="DP1172">
        <v>0</v>
      </c>
      <c r="DQ1172">
        <v>0</v>
      </c>
      <c r="DR1172" t="s">
        <v>411</v>
      </c>
      <c r="DS1172" t="b">
        <v>1</v>
      </c>
      <c r="DT1172" t="s">
        <v>8902</v>
      </c>
      <c r="DV1172" t="s">
        <v>446</v>
      </c>
      <c r="DX1172">
        <v>8</v>
      </c>
      <c r="DY1172" t="s">
        <v>11438</v>
      </c>
      <c r="DZ1172" t="s">
        <v>447</v>
      </c>
      <c r="EA1172" t="s">
        <v>448</v>
      </c>
      <c r="EB1172" t="s">
        <v>11949</v>
      </c>
      <c r="EC1172">
        <v>20101217</v>
      </c>
      <c r="ED1172" t="s">
        <v>450</v>
      </c>
      <c r="EE1172">
        <v>7.5</v>
      </c>
      <c r="EF1172">
        <v>0</v>
      </c>
      <c r="EG1172">
        <v>0</v>
      </c>
      <c r="EI1172">
        <v>20160407</v>
      </c>
      <c r="EJ1172">
        <v>0</v>
      </c>
      <c r="EK1172">
        <v>0</v>
      </c>
      <c r="EP1172" t="s">
        <v>595</v>
      </c>
      <c r="EQ1172" t="s">
        <v>422</v>
      </c>
      <c r="ER1172">
        <v>0</v>
      </c>
      <c r="ES1172">
        <v>7</v>
      </c>
      <c r="ET1172">
        <v>0</v>
      </c>
      <c r="EU1172">
        <v>0</v>
      </c>
      <c r="EV1172">
        <v>0</v>
      </c>
      <c r="EW1172" s="2">
        <v>43222</v>
      </c>
      <c r="EX1172" s="1">
        <v>42515</v>
      </c>
      <c r="EY1172">
        <v>2015</v>
      </c>
      <c r="EZ1172">
        <v>107.45</v>
      </c>
      <c r="FA1172" t="s">
        <v>11979</v>
      </c>
      <c r="FB1172">
        <v>18</v>
      </c>
      <c r="FC1172" t="s">
        <v>603</v>
      </c>
      <c r="FD1172" t="s">
        <v>425</v>
      </c>
      <c r="FF1172">
        <v>22</v>
      </c>
      <c r="FG1172">
        <v>9999999</v>
      </c>
      <c r="FH1172" t="s">
        <v>604</v>
      </c>
      <c r="FJ1172" s="1">
        <v>42515</v>
      </c>
      <c r="FK1172">
        <v>2015</v>
      </c>
      <c r="FL1172">
        <v>115.31</v>
      </c>
      <c r="FM1172" t="s">
        <v>11979</v>
      </c>
      <c r="FN1172">
        <v>18</v>
      </c>
      <c r="FO1172" t="s">
        <v>424</v>
      </c>
      <c r="FP1172" t="s">
        <v>425</v>
      </c>
      <c r="FQ1172" s="1">
        <v>42809</v>
      </c>
      <c r="FR1172">
        <v>10</v>
      </c>
      <c r="FS1172">
        <v>7045081</v>
      </c>
      <c r="FT1172" t="s">
        <v>4351</v>
      </c>
      <c r="FV1172" s="1">
        <v>42151</v>
      </c>
      <c r="FW1172">
        <v>2014</v>
      </c>
      <c r="FX1172">
        <v>107.88</v>
      </c>
      <c r="FY1172" t="s">
        <v>11980</v>
      </c>
      <c r="FZ1172">
        <v>0.25</v>
      </c>
      <c r="GA1172" t="s">
        <v>424</v>
      </c>
      <c r="GB1172" t="s">
        <v>425</v>
      </c>
      <c r="GC1172" s="1">
        <v>42481</v>
      </c>
      <c r="GD1172">
        <v>11</v>
      </c>
      <c r="GE1172">
        <v>13026</v>
      </c>
      <c r="GF1172" t="s">
        <v>2129</v>
      </c>
      <c r="GH1172" s="1">
        <v>42151</v>
      </c>
      <c r="GI1172">
        <v>2014</v>
      </c>
      <c r="GJ1172">
        <v>107.88</v>
      </c>
      <c r="GK1172" t="s">
        <v>11980</v>
      </c>
      <c r="GL1172">
        <v>0.25</v>
      </c>
      <c r="GM1172" t="s">
        <v>424</v>
      </c>
      <c r="GN1172" t="s">
        <v>425</v>
      </c>
      <c r="GP1172">
        <v>22</v>
      </c>
      <c r="GQ1172">
        <v>4699256</v>
      </c>
      <c r="GR1172" t="s">
        <v>11981</v>
      </c>
      <c r="GT1172" s="1">
        <v>41787</v>
      </c>
      <c r="GU1172">
        <v>2013</v>
      </c>
      <c r="GV1172">
        <v>103.28</v>
      </c>
      <c r="GW1172" t="s">
        <v>11982</v>
      </c>
      <c r="GX1172">
        <v>5.75</v>
      </c>
      <c r="GY1172" t="s">
        <v>424</v>
      </c>
      <c r="GZ1172" t="s">
        <v>425</v>
      </c>
      <c r="HA1172" s="1">
        <v>42111</v>
      </c>
      <c r="HB1172">
        <v>11</v>
      </c>
      <c r="HC1172">
        <v>2035919</v>
      </c>
      <c r="HD1172" t="s">
        <v>507</v>
      </c>
      <c r="HF1172" s="1">
        <v>41423</v>
      </c>
      <c r="HG1172">
        <v>2012</v>
      </c>
      <c r="HH1172">
        <v>104.3</v>
      </c>
      <c r="HI1172" t="s">
        <v>11983</v>
      </c>
      <c r="HJ1172">
        <v>7.5</v>
      </c>
      <c r="HK1172" t="s">
        <v>424</v>
      </c>
      <c r="HL1172" t="s">
        <v>425</v>
      </c>
      <c r="HM1172" s="1">
        <v>41729</v>
      </c>
      <c r="HN1172">
        <v>10</v>
      </c>
      <c r="HO1172">
        <v>2101381</v>
      </c>
      <c r="HP1172" t="s">
        <v>605</v>
      </c>
      <c r="HR1172" s="1">
        <v>41052</v>
      </c>
      <c r="HS1172">
        <v>2011</v>
      </c>
      <c r="HT1172">
        <v>97.73</v>
      </c>
      <c r="HU1172" t="s">
        <v>11984</v>
      </c>
      <c r="HV1172">
        <v>16.75</v>
      </c>
      <c r="HW1172" t="s">
        <v>424</v>
      </c>
      <c r="HX1172" t="s">
        <v>425</v>
      </c>
      <c r="HY1172" s="1">
        <v>41082</v>
      </c>
      <c r="HZ1172">
        <v>1</v>
      </c>
      <c r="IA1172">
        <v>10125</v>
      </c>
      <c r="IB1172" t="s">
        <v>440</v>
      </c>
    </row>
    <row r="1173" spans="1:237" x14ac:dyDescent="0.25">
      <c r="A1173">
        <v>16486180</v>
      </c>
      <c r="B1173">
        <v>1172</v>
      </c>
      <c r="C1173" t="s">
        <v>393</v>
      </c>
      <c r="D1173" t="s">
        <v>394</v>
      </c>
      <c r="F1173" t="str">
        <f>"21-2N-27-0000-0001-0080"</f>
        <v>21-2N-27-0000-0001-0080</v>
      </c>
      <c r="H1173" t="str">
        <f t="shared" si="395"/>
        <v>BRYAN F A &amp; CATHERINE B</v>
      </c>
      <c r="I1173" t="str">
        <f t="shared" si="391"/>
        <v>2003 FAYE ROAD</v>
      </c>
      <c r="J1173" t="str">
        <f t="shared" si="392"/>
        <v>JACKSONVILLE FL 32218</v>
      </c>
      <c r="K1173" t="str">
        <f t="shared" si="394"/>
        <v>US HWY 17</v>
      </c>
      <c r="L1173" t="str">
        <f t="shared" si="372"/>
        <v>YULEE FL 32097</v>
      </c>
      <c r="M1173" t="str">
        <f>"IN OR 1466/327"</f>
        <v>IN OR 1466/327</v>
      </c>
      <c r="N1173" t="str">
        <f>""</f>
        <v/>
      </c>
      <c r="O1173" t="str">
        <f>"33431"</f>
        <v>33431</v>
      </c>
      <c r="P1173" t="str">
        <f t="shared" si="382"/>
        <v>2017</v>
      </c>
      <c r="Q1173" t="str">
        <f>""</f>
        <v/>
      </c>
      <c r="R1173" t="str">
        <f t="shared" si="390"/>
        <v>N</v>
      </c>
      <c r="S1173" t="str">
        <f>""</f>
        <v/>
      </c>
      <c r="T1173" t="str">
        <f>"76.08"</f>
        <v>76.08</v>
      </c>
      <c r="U1173" t="str">
        <f t="shared" si="396"/>
        <v>5025.00</v>
      </c>
      <c r="V1173" t="str">
        <f t="shared" si="396"/>
        <v>5025.00</v>
      </c>
      <c r="W1173" t="str">
        <f t="shared" si="383"/>
        <v>2017</v>
      </c>
      <c r="X1173" t="str">
        <f t="shared" si="397"/>
        <v>8.60</v>
      </c>
      <c r="Y1173" t="str">
        <f>"110.36"</f>
        <v>110.36</v>
      </c>
      <c r="Z1173" t="str">
        <f>""</f>
        <v/>
      </c>
      <c r="AA1173" t="str">
        <f>"5025.00"</f>
        <v>5025.00</v>
      </c>
      <c r="AB1173" t="str">
        <f t="shared" si="373"/>
        <v>Residential</v>
      </c>
      <c r="AC1173" t="str">
        <f t="shared" si="366"/>
        <v>0</v>
      </c>
      <c r="AD1173" t="str">
        <f>""</f>
        <v/>
      </c>
      <c r="AE1173" t="str">
        <f>""</f>
        <v/>
      </c>
      <c r="AF1173" t="str">
        <f t="shared" si="393"/>
        <v>000</v>
      </c>
      <c r="AG1173" t="str">
        <f t="shared" si="381"/>
        <v>FL</v>
      </c>
      <c r="AH1173" t="str">
        <f>"22636.00"</f>
        <v>22636.00</v>
      </c>
      <c r="AI1173" t="str">
        <f>"5025.00"</f>
        <v>5025.00</v>
      </c>
      <c r="AJ1173" t="str">
        <f>"C55-000-988-1794-3"</f>
        <v>C55-000-988-1794-3</v>
      </c>
      <c r="AK1173" t="str">
        <f>"19793"</f>
        <v>19793</v>
      </c>
      <c r="AL1173">
        <v>5</v>
      </c>
      <c r="AM1173">
        <v>1340</v>
      </c>
      <c r="AN1173">
        <v>114.28</v>
      </c>
      <c r="AQ1173" t="s">
        <v>11985</v>
      </c>
      <c r="AR1173" t="s">
        <v>11985</v>
      </c>
      <c r="AS1173" t="s">
        <v>11985</v>
      </c>
      <c r="AU1173" t="s">
        <v>396</v>
      </c>
      <c r="AV1173">
        <v>2017</v>
      </c>
      <c r="AW1173" t="str">
        <f>"21-2N-27-0000-0001-0080 "</f>
        <v xml:space="preserve">21-2N-27-0000-0001-0080 </v>
      </c>
      <c r="AZ1173" t="s">
        <v>11185</v>
      </c>
      <c r="BD1173" t="s">
        <v>2387</v>
      </c>
      <c r="BE1173" t="s">
        <v>393</v>
      </c>
      <c r="BF1173">
        <v>32097</v>
      </c>
      <c r="BG1173" t="s">
        <v>11185</v>
      </c>
      <c r="BH1173" t="s">
        <v>2388</v>
      </c>
      <c r="BI1173">
        <v>-81.605656243508506</v>
      </c>
      <c r="BJ1173">
        <v>30.579922955805898</v>
      </c>
      <c r="BK1173" t="s">
        <v>11977</v>
      </c>
      <c r="BM1173" t="s">
        <v>11946</v>
      </c>
      <c r="BN1173" t="s">
        <v>548</v>
      </c>
      <c r="BO1173">
        <v>32218</v>
      </c>
      <c r="BP1173" t="s">
        <v>404</v>
      </c>
      <c r="BQ1173">
        <v>0</v>
      </c>
      <c r="BR1173" t="s">
        <v>491</v>
      </c>
      <c r="BS1173">
        <v>8001</v>
      </c>
      <c r="BT1173" t="s">
        <v>492</v>
      </c>
      <c r="BW1173">
        <v>22636</v>
      </c>
      <c r="BX1173" t="s">
        <v>407</v>
      </c>
      <c r="BY1173" t="s">
        <v>408</v>
      </c>
      <c r="CD1173">
        <v>2017</v>
      </c>
      <c r="CE1173">
        <v>5025</v>
      </c>
      <c r="CG1173">
        <v>5025</v>
      </c>
      <c r="CH1173">
        <v>2017</v>
      </c>
      <c r="CI1173">
        <v>5025</v>
      </c>
      <c r="CK1173">
        <v>5025</v>
      </c>
      <c r="CL1173">
        <v>2017</v>
      </c>
      <c r="CM1173">
        <v>76.08</v>
      </c>
      <c r="CN1173" s="1">
        <v>39069</v>
      </c>
      <c r="CZ1173" s="1">
        <v>39069</v>
      </c>
      <c r="DD1173" t="s">
        <v>2387</v>
      </c>
      <c r="DG1173">
        <v>21</v>
      </c>
      <c r="DL1173">
        <v>50303</v>
      </c>
      <c r="DM1173" t="s">
        <v>11947</v>
      </c>
      <c r="DO1173" t="s">
        <v>11986</v>
      </c>
      <c r="DP1173">
        <v>0</v>
      </c>
      <c r="DQ1173">
        <v>0</v>
      </c>
      <c r="DR1173" t="s">
        <v>411</v>
      </c>
      <c r="DS1173" t="b">
        <v>1</v>
      </c>
      <c r="DT1173" t="s">
        <v>8902</v>
      </c>
      <c r="DV1173" t="s">
        <v>446</v>
      </c>
      <c r="DX1173">
        <v>8</v>
      </c>
      <c r="DY1173" t="s">
        <v>11438</v>
      </c>
      <c r="DZ1173" t="s">
        <v>447</v>
      </c>
      <c r="EA1173" t="s">
        <v>448</v>
      </c>
      <c r="EB1173" t="s">
        <v>11949</v>
      </c>
      <c r="EC1173">
        <v>20101217</v>
      </c>
      <c r="ED1173" t="s">
        <v>450</v>
      </c>
      <c r="EE1173">
        <v>5</v>
      </c>
      <c r="EF1173">
        <v>0</v>
      </c>
      <c r="EG1173">
        <v>0</v>
      </c>
      <c r="EI1173">
        <v>20160407</v>
      </c>
      <c r="EJ1173">
        <v>0</v>
      </c>
      <c r="EK1173">
        <v>0</v>
      </c>
      <c r="EP1173" t="s">
        <v>595</v>
      </c>
      <c r="EQ1173" t="s">
        <v>422</v>
      </c>
      <c r="ER1173">
        <v>0</v>
      </c>
      <c r="ES1173">
        <v>7</v>
      </c>
      <c r="ET1173">
        <v>0</v>
      </c>
      <c r="EU1173">
        <v>0</v>
      </c>
      <c r="EV1173">
        <v>0</v>
      </c>
      <c r="EW1173" s="2">
        <v>43222</v>
      </c>
      <c r="EX1173" s="1">
        <v>42515</v>
      </c>
      <c r="EY1173">
        <v>2015</v>
      </c>
      <c r="EZ1173">
        <v>107.45</v>
      </c>
      <c r="FA1173" t="s">
        <v>11987</v>
      </c>
      <c r="FB1173">
        <v>18</v>
      </c>
      <c r="FC1173" t="s">
        <v>603</v>
      </c>
      <c r="FD1173" t="s">
        <v>425</v>
      </c>
      <c r="FF1173">
        <v>22</v>
      </c>
      <c r="FG1173">
        <v>9999999</v>
      </c>
      <c r="FH1173" t="s">
        <v>604</v>
      </c>
      <c r="FJ1173" s="1">
        <v>42515</v>
      </c>
      <c r="FK1173">
        <v>2015</v>
      </c>
      <c r="FL1173">
        <v>115.31</v>
      </c>
      <c r="FM1173" t="s">
        <v>11987</v>
      </c>
      <c r="FN1173">
        <v>18</v>
      </c>
      <c r="FO1173" t="s">
        <v>424</v>
      </c>
      <c r="FP1173" t="s">
        <v>425</v>
      </c>
      <c r="FQ1173" s="1">
        <v>42809</v>
      </c>
      <c r="FR1173">
        <v>10</v>
      </c>
      <c r="FS1173">
        <v>7045081</v>
      </c>
      <c r="FT1173" t="s">
        <v>4351</v>
      </c>
      <c r="FV1173" s="1">
        <v>42151</v>
      </c>
      <c r="FW1173">
        <v>2014</v>
      </c>
      <c r="FX1173">
        <v>107.88</v>
      </c>
      <c r="FY1173" t="s">
        <v>11988</v>
      </c>
      <c r="FZ1173">
        <v>0.25</v>
      </c>
      <c r="GA1173" t="s">
        <v>424</v>
      </c>
      <c r="GB1173" t="s">
        <v>425</v>
      </c>
      <c r="GC1173" s="1">
        <v>42481</v>
      </c>
      <c r="GD1173">
        <v>11</v>
      </c>
      <c r="GE1173">
        <v>13026</v>
      </c>
      <c r="GF1173" t="s">
        <v>2129</v>
      </c>
      <c r="GH1173" s="1">
        <v>42151</v>
      </c>
      <c r="GI1173">
        <v>2014</v>
      </c>
      <c r="GJ1173">
        <v>107.88</v>
      </c>
      <c r="GK1173" t="s">
        <v>11988</v>
      </c>
      <c r="GL1173">
        <v>0.25</v>
      </c>
      <c r="GM1173" t="s">
        <v>424</v>
      </c>
      <c r="GN1173" t="s">
        <v>425</v>
      </c>
      <c r="GP1173">
        <v>22</v>
      </c>
      <c r="GQ1173">
        <v>4699226</v>
      </c>
      <c r="GR1173" t="s">
        <v>11989</v>
      </c>
      <c r="GT1173" s="1">
        <v>41787</v>
      </c>
      <c r="GU1173">
        <v>2013</v>
      </c>
      <c r="GV1173">
        <v>103.28</v>
      </c>
      <c r="GW1173" t="s">
        <v>11990</v>
      </c>
      <c r="GX1173">
        <v>5.75</v>
      </c>
      <c r="GY1173" t="s">
        <v>424</v>
      </c>
      <c r="GZ1173" t="s">
        <v>425</v>
      </c>
      <c r="HA1173" s="1">
        <v>42111</v>
      </c>
      <c r="HB1173">
        <v>11</v>
      </c>
      <c r="HC1173">
        <v>2035919</v>
      </c>
      <c r="HD1173" t="s">
        <v>507</v>
      </c>
      <c r="HF1173" s="1">
        <v>41423</v>
      </c>
      <c r="HG1173">
        <v>2012</v>
      </c>
      <c r="HH1173">
        <v>104.3</v>
      </c>
      <c r="HI1173" t="s">
        <v>11991</v>
      </c>
      <c r="HJ1173">
        <v>7.5</v>
      </c>
      <c r="HK1173" t="s">
        <v>424</v>
      </c>
      <c r="HL1173" t="s">
        <v>425</v>
      </c>
      <c r="HM1173" s="1">
        <v>41729</v>
      </c>
      <c r="HN1173">
        <v>10</v>
      </c>
      <c r="HO1173">
        <v>2101381</v>
      </c>
      <c r="HP1173" t="s">
        <v>605</v>
      </c>
      <c r="HR1173" s="1">
        <v>41052</v>
      </c>
      <c r="HS1173">
        <v>2011</v>
      </c>
      <c r="HT1173">
        <v>97.73</v>
      </c>
      <c r="HU1173" t="s">
        <v>11992</v>
      </c>
      <c r="HV1173">
        <v>17.75</v>
      </c>
      <c r="HW1173" t="s">
        <v>424</v>
      </c>
      <c r="HX1173" t="s">
        <v>425</v>
      </c>
      <c r="HY1173" s="1">
        <v>41082</v>
      </c>
      <c r="HZ1173">
        <v>1</v>
      </c>
      <c r="IA1173">
        <v>10125</v>
      </c>
      <c r="IB1173" t="s">
        <v>440</v>
      </c>
    </row>
    <row r="1174" spans="1:237" x14ac:dyDescent="0.25">
      <c r="A1174">
        <v>16486181</v>
      </c>
      <c r="B1174">
        <v>1173</v>
      </c>
      <c r="C1174" t="s">
        <v>393</v>
      </c>
      <c r="D1174" t="s">
        <v>394</v>
      </c>
      <c r="F1174" t="str">
        <f>"21-2N-27-0000-0001-0090"</f>
        <v>21-2N-27-0000-0001-0090</v>
      </c>
      <c r="H1174" t="str">
        <f t="shared" si="395"/>
        <v>BRYAN F A &amp; CATHERINE B</v>
      </c>
      <c r="I1174" t="str">
        <f t="shared" si="391"/>
        <v>2003 FAYE ROAD</v>
      </c>
      <c r="J1174" t="str">
        <f t="shared" si="392"/>
        <v>JACKSONVILLE FL 32218</v>
      </c>
      <c r="K1174" t="str">
        <f t="shared" si="394"/>
        <v>US HWY 17</v>
      </c>
      <c r="L1174" t="str">
        <f t="shared" si="372"/>
        <v>YULEE FL 32097</v>
      </c>
      <c r="M1174" t="str">
        <f>"PT OR 1460/362"</f>
        <v>PT OR 1460/362</v>
      </c>
      <c r="N1174" t="str">
        <f>""</f>
        <v/>
      </c>
      <c r="O1174" t="str">
        <f>"33432"</f>
        <v>33432</v>
      </c>
      <c r="P1174" t="str">
        <f t="shared" si="382"/>
        <v>2017</v>
      </c>
      <c r="Q1174" t="str">
        <f>""</f>
        <v/>
      </c>
      <c r="R1174" t="str">
        <f t="shared" si="390"/>
        <v>N</v>
      </c>
      <c r="S1174" t="str">
        <f>""</f>
        <v/>
      </c>
      <c r="T1174" t="str">
        <f>"76.08"</f>
        <v>76.08</v>
      </c>
      <c r="U1174" t="str">
        <f t="shared" si="396"/>
        <v>5025.00</v>
      </c>
      <c r="V1174" t="str">
        <f t="shared" si="396"/>
        <v>5025.00</v>
      </c>
      <c r="W1174" t="str">
        <f t="shared" si="383"/>
        <v>2017</v>
      </c>
      <c r="X1174" t="str">
        <f t="shared" si="397"/>
        <v>8.60</v>
      </c>
      <c r="Y1174" t="str">
        <f>"110.36"</f>
        <v>110.36</v>
      </c>
      <c r="Z1174" t="str">
        <f>""</f>
        <v/>
      </c>
      <c r="AA1174" t="str">
        <f>"5025.00"</f>
        <v>5025.00</v>
      </c>
      <c r="AB1174" t="str">
        <f t="shared" si="373"/>
        <v>Residential</v>
      </c>
      <c r="AC1174" t="str">
        <f t="shared" si="366"/>
        <v>0</v>
      </c>
      <c r="AD1174" t="str">
        <f>""</f>
        <v/>
      </c>
      <c r="AE1174" t="str">
        <f>""</f>
        <v/>
      </c>
      <c r="AF1174" t="str">
        <f t="shared" si="393"/>
        <v>000</v>
      </c>
      <c r="AG1174" t="str">
        <f t="shared" si="381"/>
        <v>FL</v>
      </c>
      <c r="AH1174" t="str">
        <f>"23681.00"</f>
        <v>23681.00</v>
      </c>
      <c r="AI1174" t="str">
        <f>"5025.00"</f>
        <v>5025.00</v>
      </c>
      <c r="AJ1174" t="str">
        <f>"C55-000-988-1795-0"</f>
        <v>C55-000-988-1795-0</v>
      </c>
      <c r="AK1174" t="str">
        <f>"19794"</f>
        <v>19794</v>
      </c>
      <c r="AL1174">
        <v>5</v>
      </c>
      <c r="AM1174">
        <v>1341</v>
      </c>
      <c r="AN1174">
        <v>114.28</v>
      </c>
      <c r="AQ1174" t="s">
        <v>11993</v>
      </c>
      <c r="AR1174" t="s">
        <v>11993</v>
      </c>
      <c r="AS1174" t="s">
        <v>11993</v>
      </c>
      <c r="AU1174" t="s">
        <v>396</v>
      </c>
      <c r="AV1174">
        <v>2017</v>
      </c>
      <c r="AW1174" t="str">
        <f>"21-2N-27-0000-0001-0090 "</f>
        <v xml:space="preserve">21-2N-27-0000-0001-0090 </v>
      </c>
      <c r="AZ1174" t="s">
        <v>11185</v>
      </c>
      <c r="BD1174" t="s">
        <v>2387</v>
      </c>
      <c r="BE1174" t="s">
        <v>393</v>
      </c>
      <c r="BF1174">
        <v>32097</v>
      </c>
      <c r="BG1174" t="s">
        <v>11185</v>
      </c>
      <c r="BH1174" t="s">
        <v>2388</v>
      </c>
      <c r="BI1174">
        <v>-81.605328611899196</v>
      </c>
      <c r="BJ1174">
        <v>30.5803973467718</v>
      </c>
      <c r="BK1174" t="s">
        <v>11977</v>
      </c>
      <c r="BM1174" t="s">
        <v>11946</v>
      </c>
      <c r="BN1174" t="s">
        <v>548</v>
      </c>
      <c r="BO1174">
        <v>32218</v>
      </c>
      <c r="BP1174" t="s">
        <v>404</v>
      </c>
      <c r="BQ1174">
        <v>0</v>
      </c>
      <c r="BR1174" t="s">
        <v>491</v>
      </c>
      <c r="BS1174">
        <v>8001</v>
      </c>
      <c r="BT1174" t="s">
        <v>492</v>
      </c>
      <c r="BW1174">
        <v>23681</v>
      </c>
      <c r="BX1174" t="s">
        <v>407</v>
      </c>
      <c r="BY1174" t="s">
        <v>408</v>
      </c>
      <c r="CD1174">
        <v>2017</v>
      </c>
      <c r="CE1174">
        <v>5025</v>
      </c>
      <c r="CG1174">
        <v>5025</v>
      </c>
      <c r="CH1174">
        <v>2017</v>
      </c>
      <c r="CI1174">
        <v>5025</v>
      </c>
      <c r="CK1174">
        <v>5025</v>
      </c>
      <c r="CL1174">
        <v>2017</v>
      </c>
      <c r="CM1174">
        <v>76.08</v>
      </c>
      <c r="CN1174" s="1">
        <v>39041</v>
      </c>
      <c r="CO1174">
        <v>22500</v>
      </c>
      <c r="CZ1174" s="1">
        <v>39041</v>
      </c>
      <c r="DD1174" t="s">
        <v>2387</v>
      </c>
      <c r="DG1174">
        <v>21</v>
      </c>
      <c r="DL1174">
        <v>50303</v>
      </c>
      <c r="DM1174" t="s">
        <v>11947</v>
      </c>
      <c r="DO1174" t="s">
        <v>11994</v>
      </c>
      <c r="DP1174">
        <v>0</v>
      </c>
      <c r="DQ1174">
        <v>0</v>
      </c>
      <c r="DR1174" t="s">
        <v>411</v>
      </c>
      <c r="DS1174" t="b">
        <v>1</v>
      </c>
      <c r="DT1174" t="s">
        <v>8902</v>
      </c>
      <c r="DV1174" t="s">
        <v>446</v>
      </c>
      <c r="DX1174">
        <v>8</v>
      </c>
      <c r="DY1174" t="s">
        <v>11438</v>
      </c>
      <c r="DZ1174" t="s">
        <v>447</v>
      </c>
      <c r="EA1174" t="s">
        <v>448</v>
      </c>
      <c r="EB1174" t="s">
        <v>11949</v>
      </c>
      <c r="EC1174">
        <v>20101217</v>
      </c>
      <c r="ED1174" t="s">
        <v>450</v>
      </c>
      <c r="EE1174">
        <v>5</v>
      </c>
      <c r="EF1174">
        <v>0</v>
      </c>
      <c r="EG1174">
        <v>0</v>
      </c>
      <c r="EI1174">
        <v>20160407</v>
      </c>
      <c r="EJ1174">
        <v>0</v>
      </c>
      <c r="EK1174">
        <v>0</v>
      </c>
      <c r="EP1174" t="s">
        <v>595</v>
      </c>
      <c r="EQ1174" t="s">
        <v>422</v>
      </c>
      <c r="ER1174">
        <v>0</v>
      </c>
      <c r="ES1174">
        <v>7</v>
      </c>
      <c r="ET1174">
        <v>0</v>
      </c>
      <c r="EU1174">
        <v>0</v>
      </c>
      <c r="EV1174">
        <v>0</v>
      </c>
      <c r="EW1174" s="2">
        <v>43222</v>
      </c>
      <c r="EX1174" s="1">
        <v>42515</v>
      </c>
      <c r="EY1174">
        <v>2015</v>
      </c>
      <c r="EZ1174">
        <v>107.45</v>
      </c>
      <c r="FA1174" t="s">
        <v>11995</v>
      </c>
      <c r="FB1174">
        <v>18</v>
      </c>
      <c r="FC1174" t="s">
        <v>603</v>
      </c>
      <c r="FD1174" t="s">
        <v>425</v>
      </c>
      <c r="FF1174">
        <v>22</v>
      </c>
      <c r="FG1174">
        <v>9999999</v>
      </c>
      <c r="FH1174" t="s">
        <v>604</v>
      </c>
      <c r="FJ1174" s="1">
        <v>42515</v>
      </c>
      <c r="FK1174">
        <v>2015</v>
      </c>
      <c r="FL1174">
        <v>115.31</v>
      </c>
      <c r="FM1174" t="s">
        <v>11995</v>
      </c>
      <c r="FN1174">
        <v>18</v>
      </c>
      <c r="FO1174" t="s">
        <v>424</v>
      </c>
      <c r="FP1174" t="s">
        <v>425</v>
      </c>
      <c r="FQ1174" s="1">
        <v>42809</v>
      </c>
      <c r="FR1174">
        <v>10</v>
      </c>
      <c r="FS1174">
        <v>7045081</v>
      </c>
      <c r="FT1174" t="s">
        <v>4351</v>
      </c>
      <c r="FV1174" s="1">
        <v>42151</v>
      </c>
      <c r="FW1174">
        <v>2014</v>
      </c>
      <c r="FX1174">
        <v>107.88</v>
      </c>
      <c r="FY1174" t="s">
        <v>11996</v>
      </c>
      <c r="FZ1174">
        <v>0.25</v>
      </c>
      <c r="GA1174" t="s">
        <v>424</v>
      </c>
      <c r="GB1174" t="s">
        <v>425</v>
      </c>
      <c r="GC1174" s="1">
        <v>42481</v>
      </c>
      <c r="GD1174">
        <v>11</v>
      </c>
      <c r="GE1174">
        <v>13026</v>
      </c>
      <c r="GF1174" t="s">
        <v>2129</v>
      </c>
      <c r="GH1174" s="1">
        <v>42151</v>
      </c>
      <c r="GI1174">
        <v>2014</v>
      </c>
      <c r="GJ1174">
        <v>107.88</v>
      </c>
      <c r="GK1174" t="s">
        <v>11996</v>
      </c>
      <c r="GL1174">
        <v>0.25</v>
      </c>
      <c r="GM1174" t="s">
        <v>424</v>
      </c>
      <c r="GN1174" t="s">
        <v>425</v>
      </c>
      <c r="GP1174">
        <v>22</v>
      </c>
      <c r="GQ1174">
        <v>4699157</v>
      </c>
      <c r="GR1174" t="s">
        <v>11997</v>
      </c>
      <c r="GT1174" s="1">
        <v>41787</v>
      </c>
      <c r="GU1174">
        <v>2013</v>
      </c>
      <c r="GV1174">
        <v>103.28</v>
      </c>
      <c r="GW1174" t="s">
        <v>11998</v>
      </c>
      <c r="GX1174">
        <v>5.75</v>
      </c>
      <c r="GY1174" t="s">
        <v>424</v>
      </c>
      <c r="GZ1174" t="s">
        <v>425</v>
      </c>
      <c r="HA1174" s="1">
        <v>42111</v>
      </c>
      <c r="HB1174">
        <v>11</v>
      </c>
      <c r="HC1174">
        <v>2035919</v>
      </c>
      <c r="HD1174" t="s">
        <v>507</v>
      </c>
      <c r="HF1174" s="1">
        <v>41423</v>
      </c>
      <c r="HG1174">
        <v>2012</v>
      </c>
      <c r="HH1174">
        <v>104.3</v>
      </c>
      <c r="HI1174" t="s">
        <v>11999</v>
      </c>
      <c r="HJ1174">
        <v>9.75</v>
      </c>
      <c r="HK1174" t="s">
        <v>424</v>
      </c>
      <c r="HL1174" t="s">
        <v>425</v>
      </c>
      <c r="HM1174" s="1">
        <v>41729</v>
      </c>
      <c r="HN1174">
        <v>10</v>
      </c>
      <c r="HO1174">
        <v>10021</v>
      </c>
      <c r="HP1174" t="s">
        <v>597</v>
      </c>
      <c r="HR1174" s="1">
        <v>41052</v>
      </c>
      <c r="HS1174">
        <v>2011</v>
      </c>
      <c r="HT1174">
        <v>97.73</v>
      </c>
      <c r="HU1174" t="s">
        <v>12000</v>
      </c>
      <c r="HV1174">
        <v>17.75</v>
      </c>
      <c r="HW1174" t="s">
        <v>424</v>
      </c>
      <c r="HX1174" t="s">
        <v>425</v>
      </c>
      <c r="HY1174" s="1">
        <v>41082</v>
      </c>
      <c r="HZ1174">
        <v>1</v>
      </c>
      <c r="IA1174">
        <v>10125</v>
      </c>
      <c r="IB1174" t="s">
        <v>440</v>
      </c>
    </row>
    <row r="1175" spans="1:237" x14ac:dyDescent="0.25">
      <c r="A1175">
        <v>16486182</v>
      </c>
      <c r="B1175">
        <v>1174</v>
      </c>
      <c r="C1175" t="s">
        <v>393</v>
      </c>
      <c r="D1175" t="s">
        <v>394</v>
      </c>
      <c r="F1175" t="str">
        <f>"21-2N-27-0000-0001-0100"</f>
        <v>21-2N-27-0000-0001-0100</v>
      </c>
      <c r="H1175" t="str">
        <f t="shared" si="395"/>
        <v>BRYAN F A &amp; CATHERINE B</v>
      </c>
      <c r="I1175" t="str">
        <f t="shared" si="391"/>
        <v>2003 FAYE ROAD</v>
      </c>
      <c r="J1175" t="str">
        <f t="shared" si="392"/>
        <v>JACKSONVILLE FL 32218</v>
      </c>
      <c r="K1175" t="str">
        <f t="shared" si="394"/>
        <v>US HWY 17</v>
      </c>
      <c r="L1175" t="str">
        <f t="shared" si="372"/>
        <v>YULEE FL 32097</v>
      </c>
      <c r="M1175" t="str">
        <f>"PT OR 1460/362"</f>
        <v>PT OR 1460/362</v>
      </c>
      <c r="N1175" t="str">
        <f>""</f>
        <v/>
      </c>
      <c r="O1175" t="str">
        <f>"33434"</f>
        <v>33434</v>
      </c>
      <c r="P1175" t="str">
        <f t="shared" si="382"/>
        <v>2017</v>
      </c>
      <c r="Q1175" t="str">
        <f>""</f>
        <v/>
      </c>
      <c r="R1175" t="str">
        <f t="shared" si="390"/>
        <v>N</v>
      </c>
      <c r="S1175" t="str">
        <f>""</f>
        <v/>
      </c>
      <c r="T1175" t="str">
        <f>"113.92"</f>
        <v>113.92</v>
      </c>
      <c r="U1175" t="str">
        <f>"7525.00"</f>
        <v>7525.00</v>
      </c>
      <c r="V1175" t="str">
        <f>"7525.00"</f>
        <v>7525.00</v>
      </c>
      <c r="W1175" t="str">
        <f t="shared" si="383"/>
        <v>2017</v>
      </c>
      <c r="X1175" t="str">
        <f t="shared" si="397"/>
        <v>8.60</v>
      </c>
      <c r="Y1175" t="str">
        <f>"149.34"</f>
        <v>149.34</v>
      </c>
      <c r="Z1175" t="str">
        <f>""</f>
        <v/>
      </c>
      <c r="AA1175" t="str">
        <f>"7525.00"</f>
        <v>7525.00</v>
      </c>
      <c r="AB1175" t="str">
        <f t="shared" si="373"/>
        <v>Residential</v>
      </c>
      <c r="AC1175" t="str">
        <f t="shared" si="366"/>
        <v>0</v>
      </c>
      <c r="AD1175" t="str">
        <f>""</f>
        <v/>
      </c>
      <c r="AE1175" t="str">
        <f>""</f>
        <v/>
      </c>
      <c r="AF1175" t="str">
        <f t="shared" si="393"/>
        <v>000</v>
      </c>
      <c r="AG1175" t="str">
        <f t="shared" si="381"/>
        <v>FL</v>
      </c>
      <c r="AH1175" t="str">
        <f>"22759.00"</f>
        <v>22759.00</v>
      </c>
      <c r="AI1175" t="str">
        <f>"7525.00"</f>
        <v>7525.00</v>
      </c>
      <c r="AJ1175" t="str">
        <f>"C55-000-988-1796-8"</f>
        <v>C55-000-988-1796-8</v>
      </c>
      <c r="AK1175" t="str">
        <f>"19795"</f>
        <v>19795</v>
      </c>
      <c r="AL1175">
        <v>5</v>
      </c>
      <c r="AM1175">
        <v>1343</v>
      </c>
      <c r="AN1175">
        <v>155.21</v>
      </c>
      <c r="AQ1175" t="s">
        <v>12001</v>
      </c>
      <c r="AR1175" t="s">
        <v>12001</v>
      </c>
      <c r="AS1175" t="s">
        <v>12001</v>
      </c>
      <c r="AU1175" t="s">
        <v>396</v>
      </c>
      <c r="AV1175">
        <v>2017</v>
      </c>
      <c r="AW1175" t="str">
        <f>"21-2N-27-0000-0001-0100 "</f>
        <v xml:space="preserve">21-2N-27-0000-0001-0100 </v>
      </c>
      <c r="AZ1175" t="s">
        <v>11185</v>
      </c>
      <c r="BD1175" t="s">
        <v>2387</v>
      </c>
      <c r="BE1175" t="s">
        <v>393</v>
      </c>
      <c r="BF1175">
        <v>32097</v>
      </c>
      <c r="BG1175" t="s">
        <v>11185</v>
      </c>
      <c r="BH1175" t="s">
        <v>2388</v>
      </c>
      <c r="BI1175">
        <v>-81.6054861986471</v>
      </c>
      <c r="BJ1175">
        <v>30.5801580263382</v>
      </c>
      <c r="BK1175" t="s">
        <v>11977</v>
      </c>
      <c r="BM1175" t="s">
        <v>11946</v>
      </c>
      <c r="BN1175" t="s">
        <v>548</v>
      </c>
      <c r="BO1175">
        <v>32218</v>
      </c>
      <c r="BP1175" t="s">
        <v>404</v>
      </c>
      <c r="BQ1175">
        <v>0</v>
      </c>
      <c r="BR1175" t="s">
        <v>491</v>
      </c>
      <c r="BS1175">
        <v>8001</v>
      </c>
      <c r="BT1175" t="s">
        <v>492</v>
      </c>
      <c r="BW1175">
        <v>22759</v>
      </c>
      <c r="BX1175" t="s">
        <v>407</v>
      </c>
      <c r="BY1175" t="s">
        <v>408</v>
      </c>
      <c r="CD1175">
        <v>2017</v>
      </c>
      <c r="CE1175">
        <v>7525</v>
      </c>
      <c r="CG1175">
        <v>7525</v>
      </c>
      <c r="CH1175">
        <v>2017</v>
      </c>
      <c r="CI1175">
        <v>7525</v>
      </c>
      <c r="CK1175">
        <v>7525</v>
      </c>
      <c r="CL1175">
        <v>2017</v>
      </c>
      <c r="CM1175">
        <v>113.92</v>
      </c>
      <c r="CN1175" s="1">
        <v>39041</v>
      </c>
      <c r="CO1175">
        <v>22500</v>
      </c>
      <c r="CZ1175" s="1">
        <v>39041</v>
      </c>
      <c r="DD1175" t="s">
        <v>2387</v>
      </c>
      <c r="DG1175">
        <v>21</v>
      </c>
      <c r="DL1175">
        <v>50303</v>
      </c>
      <c r="DM1175" t="s">
        <v>11947</v>
      </c>
      <c r="DO1175" t="s">
        <v>11994</v>
      </c>
      <c r="DP1175">
        <v>0</v>
      </c>
      <c r="DQ1175">
        <v>0</v>
      </c>
      <c r="DR1175" t="s">
        <v>411</v>
      </c>
      <c r="DS1175" t="b">
        <v>1</v>
      </c>
      <c r="DT1175" t="s">
        <v>8902</v>
      </c>
      <c r="DV1175" t="s">
        <v>446</v>
      </c>
      <c r="DX1175">
        <v>8</v>
      </c>
      <c r="DY1175" t="s">
        <v>11438</v>
      </c>
      <c r="DZ1175" t="s">
        <v>447</v>
      </c>
      <c r="EA1175" t="s">
        <v>448</v>
      </c>
      <c r="EB1175" t="s">
        <v>11949</v>
      </c>
      <c r="EC1175">
        <v>20101217</v>
      </c>
      <c r="ED1175" t="s">
        <v>450</v>
      </c>
      <c r="EE1175">
        <v>5</v>
      </c>
      <c r="EF1175">
        <v>0</v>
      </c>
      <c r="EG1175">
        <v>0</v>
      </c>
      <c r="EI1175">
        <v>20160407</v>
      </c>
      <c r="EJ1175">
        <v>0</v>
      </c>
      <c r="EK1175">
        <v>0</v>
      </c>
      <c r="EP1175" t="s">
        <v>595</v>
      </c>
      <c r="EQ1175" t="s">
        <v>422</v>
      </c>
      <c r="ER1175">
        <v>0</v>
      </c>
      <c r="ES1175">
        <v>7</v>
      </c>
      <c r="ET1175">
        <v>0</v>
      </c>
      <c r="EU1175">
        <v>0</v>
      </c>
      <c r="EV1175">
        <v>0</v>
      </c>
      <c r="EW1175" s="2">
        <v>43222</v>
      </c>
      <c r="EX1175" s="1">
        <v>42515</v>
      </c>
      <c r="EY1175">
        <v>2015</v>
      </c>
      <c r="EZ1175">
        <v>149.94999999999999</v>
      </c>
      <c r="FA1175" t="s">
        <v>12002</v>
      </c>
      <c r="FB1175">
        <v>18</v>
      </c>
      <c r="FC1175" t="s">
        <v>603</v>
      </c>
      <c r="FD1175" t="s">
        <v>425</v>
      </c>
      <c r="FF1175">
        <v>22</v>
      </c>
      <c r="FG1175">
        <v>9999999</v>
      </c>
      <c r="FH1175" t="s">
        <v>604</v>
      </c>
      <c r="FJ1175" s="1">
        <v>42515</v>
      </c>
      <c r="FK1175">
        <v>2015</v>
      </c>
      <c r="FL1175">
        <v>158.44999999999999</v>
      </c>
      <c r="FM1175" t="s">
        <v>12002</v>
      </c>
      <c r="FN1175">
        <v>18</v>
      </c>
      <c r="FO1175" t="s">
        <v>424</v>
      </c>
      <c r="FP1175" t="s">
        <v>425</v>
      </c>
      <c r="FQ1175" s="1">
        <v>42809</v>
      </c>
      <c r="FR1175">
        <v>10</v>
      </c>
      <c r="FS1175">
        <v>7045081</v>
      </c>
      <c r="FT1175" t="s">
        <v>4351</v>
      </c>
      <c r="FV1175" s="1">
        <v>42151</v>
      </c>
      <c r="FW1175">
        <v>2014</v>
      </c>
      <c r="FX1175">
        <v>150.61000000000001</v>
      </c>
      <c r="FY1175" t="s">
        <v>12003</v>
      </c>
      <c r="FZ1175">
        <v>0.25</v>
      </c>
      <c r="GA1175" t="s">
        <v>424</v>
      </c>
      <c r="GB1175" t="s">
        <v>425</v>
      </c>
      <c r="GC1175" s="1">
        <v>42481</v>
      </c>
      <c r="GD1175">
        <v>11</v>
      </c>
      <c r="GE1175">
        <v>13026</v>
      </c>
      <c r="GF1175" t="s">
        <v>2129</v>
      </c>
      <c r="GH1175" s="1">
        <v>42151</v>
      </c>
      <c r="GI1175">
        <v>2014</v>
      </c>
      <c r="GJ1175">
        <v>150.61000000000001</v>
      </c>
      <c r="GK1175" t="s">
        <v>12003</v>
      </c>
      <c r="GL1175">
        <v>0.25</v>
      </c>
      <c r="GM1175" t="s">
        <v>424</v>
      </c>
      <c r="GN1175" t="s">
        <v>425</v>
      </c>
      <c r="GP1175">
        <v>22</v>
      </c>
      <c r="GQ1175">
        <v>4699181</v>
      </c>
      <c r="GR1175" t="s">
        <v>12004</v>
      </c>
      <c r="GT1175" s="1">
        <v>41787</v>
      </c>
      <c r="GU1175">
        <v>2013</v>
      </c>
      <c r="GV1175">
        <v>143.72999999999999</v>
      </c>
      <c r="GW1175" t="s">
        <v>12005</v>
      </c>
      <c r="GX1175">
        <v>12.5</v>
      </c>
      <c r="GY1175" t="s">
        <v>424</v>
      </c>
      <c r="GZ1175" t="s">
        <v>425</v>
      </c>
      <c r="HA1175" s="1">
        <v>42111</v>
      </c>
      <c r="HB1175">
        <v>11</v>
      </c>
      <c r="HC1175">
        <v>10125</v>
      </c>
      <c r="HD1175" t="s">
        <v>440</v>
      </c>
      <c r="HF1175" s="1">
        <v>41423</v>
      </c>
      <c r="HG1175">
        <v>2012</v>
      </c>
      <c r="HH1175">
        <v>145.25</v>
      </c>
      <c r="HI1175" t="s">
        <v>12006</v>
      </c>
      <c r="HJ1175">
        <v>9.75</v>
      </c>
      <c r="HK1175" t="s">
        <v>424</v>
      </c>
      <c r="HL1175" t="s">
        <v>425</v>
      </c>
      <c r="HM1175" s="1">
        <v>41729</v>
      </c>
      <c r="HN1175">
        <v>10</v>
      </c>
      <c r="HO1175">
        <v>10021</v>
      </c>
      <c r="HP1175" t="s">
        <v>597</v>
      </c>
      <c r="HR1175" s="1">
        <v>41052</v>
      </c>
      <c r="HS1175">
        <v>2011</v>
      </c>
      <c r="HT1175">
        <v>139.4</v>
      </c>
      <c r="HU1175" t="s">
        <v>12007</v>
      </c>
      <c r="HV1175">
        <v>15.75</v>
      </c>
      <c r="HW1175" t="s">
        <v>424</v>
      </c>
      <c r="HX1175" t="s">
        <v>425</v>
      </c>
      <c r="HY1175" s="1">
        <v>41082</v>
      </c>
      <c r="HZ1175">
        <v>1</v>
      </c>
      <c r="IA1175">
        <v>10125</v>
      </c>
      <c r="IB1175" t="s">
        <v>440</v>
      </c>
    </row>
    <row r="1176" spans="1:237" x14ac:dyDescent="0.25">
      <c r="A1176">
        <v>16486183</v>
      </c>
      <c r="B1176">
        <v>1175</v>
      </c>
      <c r="C1176" t="s">
        <v>393</v>
      </c>
      <c r="D1176" t="s">
        <v>394</v>
      </c>
      <c r="F1176" t="str">
        <f>"21-2N-27-0000-0001-0110"</f>
        <v>21-2N-27-0000-0001-0110</v>
      </c>
      <c r="H1176" t="str">
        <f t="shared" si="395"/>
        <v>BRYAN F A &amp; CATHERINE B</v>
      </c>
      <c r="I1176" t="str">
        <f t="shared" si="391"/>
        <v>2003 FAYE ROAD</v>
      </c>
      <c r="J1176" t="str">
        <f t="shared" si="392"/>
        <v>JACKSONVILLE FL 32218</v>
      </c>
      <c r="K1176" t="str">
        <f t="shared" si="394"/>
        <v>US HWY 17</v>
      </c>
      <c r="L1176" t="str">
        <f t="shared" si="372"/>
        <v>YULEE FL 32097</v>
      </c>
      <c r="M1176" t="str">
        <f>"PT OR 1460/362"</f>
        <v>PT OR 1460/362</v>
      </c>
      <c r="N1176" t="str">
        <f>""</f>
        <v/>
      </c>
      <c r="O1176" t="str">
        <f>"33435"</f>
        <v>33435</v>
      </c>
      <c r="P1176" t="str">
        <f t="shared" si="382"/>
        <v>2017</v>
      </c>
      <c r="Q1176" t="str">
        <f>""</f>
        <v/>
      </c>
      <c r="R1176" t="str">
        <f t="shared" si="390"/>
        <v>N</v>
      </c>
      <c r="S1176" t="str">
        <f>""</f>
        <v/>
      </c>
      <c r="T1176" t="str">
        <f>"86.97"</f>
        <v>86.97</v>
      </c>
      <c r="U1176" t="str">
        <f t="shared" ref="U1176:V1180" si="398">"5528.00"</f>
        <v>5528.00</v>
      </c>
      <c r="V1176" t="str">
        <f t="shared" si="398"/>
        <v>5528.00</v>
      </c>
      <c r="W1176" t="str">
        <f t="shared" si="383"/>
        <v>2017</v>
      </c>
      <c r="X1176" t="str">
        <f t="shared" si="397"/>
        <v>8.60</v>
      </c>
      <c r="Y1176" t="str">
        <f>"121.58"</f>
        <v>121.58</v>
      </c>
      <c r="Z1176" t="str">
        <f>""</f>
        <v/>
      </c>
      <c r="AA1176" t="str">
        <f>"6025.00"</f>
        <v>6025.00</v>
      </c>
      <c r="AB1176" t="str">
        <f t="shared" si="373"/>
        <v>Residential</v>
      </c>
      <c r="AC1176" t="str">
        <f t="shared" ref="AC1176:AC1239" si="399">"0"</f>
        <v>0</v>
      </c>
      <c r="AD1176" t="str">
        <f>""</f>
        <v/>
      </c>
      <c r="AE1176" t="str">
        <f>""</f>
        <v/>
      </c>
      <c r="AF1176" t="str">
        <f t="shared" si="393"/>
        <v>000</v>
      </c>
      <c r="AG1176" t="str">
        <f t="shared" si="381"/>
        <v>FL</v>
      </c>
      <c r="AH1176" t="str">
        <f>"27656.00"</f>
        <v>27656.00</v>
      </c>
      <c r="AI1176" t="str">
        <f>"6025.00"</f>
        <v>6025.00</v>
      </c>
      <c r="AJ1176" t="str">
        <f>"C55-000-988-1797-6"</f>
        <v>C55-000-988-1797-6</v>
      </c>
      <c r="AK1176" t="str">
        <f>"19796"</f>
        <v>19796</v>
      </c>
      <c r="AL1176">
        <v>5</v>
      </c>
      <c r="AM1176">
        <v>1344</v>
      </c>
      <c r="AN1176">
        <v>126.06</v>
      </c>
      <c r="AQ1176" t="s">
        <v>12008</v>
      </c>
      <c r="AR1176" t="s">
        <v>12008</v>
      </c>
      <c r="AS1176" t="s">
        <v>12008</v>
      </c>
      <c r="AU1176" t="s">
        <v>396</v>
      </c>
      <c r="AV1176">
        <v>2017</v>
      </c>
      <c r="AW1176" t="str">
        <f>"21-2N-27-0000-0001-0110 "</f>
        <v xml:space="preserve">21-2N-27-0000-0001-0110 </v>
      </c>
      <c r="AZ1176" t="s">
        <v>11185</v>
      </c>
      <c r="BD1176" t="s">
        <v>2387</v>
      </c>
      <c r="BE1176" t="s">
        <v>393</v>
      </c>
      <c r="BF1176">
        <v>32097</v>
      </c>
      <c r="BG1176" t="s">
        <v>11185</v>
      </c>
      <c r="BH1176" t="s">
        <v>2388</v>
      </c>
      <c r="BI1176">
        <v>-81.606402453113404</v>
      </c>
      <c r="BJ1176">
        <v>30.579030381092799</v>
      </c>
      <c r="BK1176" t="s">
        <v>11977</v>
      </c>
      <c r="BM1176" t="s">
        <v>11946</v>
      </c>
      <c r="BN1176" t="s">
        <v>548</v>
      </c>
      <c r="BO1176">
        <v>32218</v>
      </c>
      <c r="BP1176" t="s">
        <v>404</v>
      </c>
      <c r="BQ1176">
        <v>0</v>
      </c>
      <c r="BR1176" t="s">
        <v>491</v>
      </c>
      <c r="BS1176">
        <v>8001</v>
      </c>
      <c r="BT1176" t="s">
        <v>492</v>
      </c>
      <c r="BW1176">
        <v>27656</v>
      </c>
      <c r="BX1176" t="s">
        <v>407</v>
      </c>
      <c r="BY1176" t="s">
        <v>408</v>
      </c>
      <c r="CD1176">
        <v>2017</v>
      </c>
      <c r="CE1176">
        <v>6025</v>
      </c>
      <c r="CG1176">
        <v>6025</v>
      </c>
      <c r="CH1176">
        <v>2017</v>
      </c>
      <c r="CI1176">
        <v>6025</v>
      </c>
      <c r="CK1176">
        <v>6025</v>
      </c>
      <c r="CL1176">
        <v>2017</v>
      </c>
      <c r="CM1176">
        <v>86.97</v>
      </c>
      <c r="CN1176" s="1">
        <v>39041</v>
      </c>
      <c r="CO1176">
        <v>22500</v>
      </c>
      <c r="CZ1176" s="1">
        <v>39041</v>
      </c>
      <c r="DD1176" t="s">
        <v>2387</v>
      </c>
      <c r="DG1176">
        <v>21</v>
      </c>
      <c r="DL1176">
        <v>50303</v>
      </c>
      <c r="DM1176" t="s">
        <v>11947</v>
      </c>
      <c r="DO1176" t="s">
        <v>11994</v>
      </c>
      <c r="DP1176">
        <v>0</v>
      </c>
      <c r="DQ1176">
        <v>0</v>
      </c>
      <c r="DR1176" t="s">
        <v>411</v>
      </c>
      <c r="DS1176" t="b">
        <v>1</v>
      </c>
      <c r="DT1176" t="s">
        <v>8902</v>
      </c>
      <c r="DV1176" t="s">
        <v>446</v>
      </c>
      <c r="DX1176">
        <v>8</v>
      </c>
      <c r="DY1176" t="s">
        <v>11438</v>
      </c>
      <c r="DZ1176" t="s">
        <v>447</v>
      </c>
      <c r="EA1176" t="s">
        <v>448</v>
      </c>
      <c r="EB1176" t="s">
        <v>11949</v>
      </c>
      <c r="EC1176">
        <v>20101217</v>
      </c>
      <c r="ED1176" t="s">
        <v>450</v>
      </c>
      <c r="EE1176">
        <v>7.5</v>
      </c>
      <c r="EF1176">
        <v>0</v>
      </c>
      <c r="EG1176">
        <v>0</v>
      </c>
      <c r="EI1176">
        <v>20160407</v>
      </c>
      <c r="EJ1176">
        <v>0</v>
      </c>
      <c r="EK1176">
        <v>0</v>
      </c>
      <c r="EP1176" t="s">
        <v>595</v>
      </c>
      <c r="EQ1176" t="s">
        <v>422</v>
      </c>
      <c r="ER1176">
        <v>0</v>
      </c>
      <c r="ES1176">
        <v>7</v>
      </c>
      <c r="ET1176">
        <v>0</v>
      </c>
      <c r="EU1176">
        <v>0</v>
      </c>
      <c r="EV1176">
        <v>0</v>
      </c>
      <c r="EW1176" s="2">
        <v>43222</v>
      </c>
      <c r="EX1176" s="1">
        <v>42515</v>
      </c>
      <c r="EY1176">
        <v>2015</v>
      </c>
      <c r="EZ1176">
        <v>107.45</v>
      </c>
      <c r="FA1176" t="s">
        <v>12009</v>
      </c>
      <c r="FB1176">
        <v>18</v>
      </c>
      <c r="FC1176" t="s">
        <v>603</v>
      </c>
      <c r="FD1176" t="s">
        <v>425</v>
      </c>
      <c r="FF1176">
        <v>22</v>
      </c>
      <c r="FG1176">
        <v>9999999</v>
      </c>
      <c r="FH1176" t="s">
        <v>604</v>
      </c>
      <c r="FJ1176" s="1">
        <v>42515</v>
      </c>
      <c r="FK1176">
        <v>2015</v>
      </c>
      <c r="FL1176">
        <v>115.31</v>
      </c>
      <c r="FM1176" t="s">
        <v>12009</v>
      </c>
      <c r="FN1176">
        <v>18</v>
      </c>
      <c r="FO1176" t="s">
        <v>424</v>
      </c>
      <c r="FP1176" t="s">
        <v>425</v>
      </c>
      <c r="FQ1176" s="1">
        <v>42809</v>
      </c>
      <c r="FR1176">
        <v>10</v>
      </c>
      <c r="FS1176">
        <v>7045081</v>
      </c>
      <c r="FT1176" t="s">
        <v>4351</v>
      </c>
      <c r="FV1176" s="1">
        <v>42151</v>
      </c>
      <c r="FW1176">
        <v>2014</v>
      </c>
      <c r="FX1176">
        <v>107.88</v>
      </c>
      <c r="FY1176" t="s">
        <v>12010</v>
      </c>
      <c r="FZ1176">
        <v>0.25</v>
      </c>
      <c r="GA1176" t="s">
        <v>424</v>
      </c>
      <c r="GB1176" t="s">
        <v>425</v>
      </c>
      <c r="GC1176" s="1">
        <v>42481</v>
      </c>
      <c r="GD1176">
        <v>11</v>
      </c>
      <c r="GE1176">
        <v>13026</v>
      </c>
      <c r="GF1176" t="s">
        <v>2129</v>
      </c>
      <c r="GH1176" s="1">
        <v>42151</v>
      </c>
      <c r="GI1176">
        <v>2014</v>
      </c>
      <c r="GJ1176">
        <v>107.88</v>
      </c>
      <c r="GK1176" t="s">
        <v>12010</v>
      </c>
      <c r="GL1176">
        <v>0.25</v>
      </c>
      <c r="GM1176" t="s">
        <v>424</v>
      </c>
      <c r="GN1176" t="s">
        <v>425</v>
      </c>
      <c r="GP1176">
        <v>22</v>
      </c>
      <c r="GQ1176">
        <v>4699028</v>
      </c>
      <c r="GR1176" t="s">
        <v>12011</v>
      </c>
      <c r="GT1176" s="1">
        <v>41787</v>
      </c>
      <c r="GU1176">
        <v>2013</v>
      </c>
      <c r="GV1176">
        <v>103.28</v>
      </c>
      <c r="GW1176" t="s">
        <v>12012</v>
      </c>
      <c r="GX1176">
        <v>12.5</v>
      </c>
      <c r="GY1176" t="s">
        <v>424</v>
      </c>
      <c r="GZ1176" t="s">
        <v>425</v>
      </c>
      <c r="HA1176" s="1">
        <v>42111</v>
      </c>
      <c r="HB1176">
        <v>11</v>
      </c>
      <c r="HC1176">
        <v>10125</v>
      </c>
      <c r="HD1176" t="s">
        <v>440</v>
      </c>
      <c r="HF1176" s="1">
        <v>41423</v>
      </c>
      <c r="HG1176">
        <v>2012</v>
      </c>
      <c r="HH1176">
        <v>104.3</v>
      </c>
      <c r="HI1176" t="s">
        <v>12013</v>
      </c>
      <c r="HJ1176">
        <v>7.5</v>
      </c>
      <c r="HK1176" t="s">
        <v>424</v>
      </c>
      <c r="HL1176" t="s">
        <v>425</v>
      </c>
      <c r="HM1176" s="1">
        <v>41729</v>
      </c>
      <c r="HN1176">
        <v>10</v>
      </c>
      <c r="HO1176">
        <v>2101381</v>
      </c>
      <c r="HP1176" t="s">
        <v>605</v>
      </c>
      <c r="HR1176" s="1">
        <v>41052</v>
      </c>
      <c r="HS1176">
        <v>2011</v>
      </c>
      <c r="HT1176">
        <v>97.73</v>
      </c>
      <c r="HU1176" t="s">
        <v>12014</v>
      </c>
      <c r="HV1176">
        <v>15.75</v>
      </c>
      <c r="HW1176" t="s">
        <v>424</v>
      </c>
      <c r="HX1176" t="s">
        <v>425</v>
      </c>
      <c r="HY1176" s="1">
        <v>41082</v>
      </c>
      <c r="HZ1176">
        <v>1</v>
      </c>
      <c r="IA1176">
        <v>10125</v>
      </c>
      <c r="IB1176" t="s">
        <v>440</v>
      </c>
    </row>
    <row r="1177" spans="1:237" x14ac:dyDescent="0.25">
      <c r="A1177">
        <v>16486184</v>
      </c>
      <c r="B1177">
        <v>1176</v>
      </c>
      <c r="C1177" t="s">
        <v>393</v>
      </c>
      <c r="D1177" t="s">
        <v>394</v>
      </c>
      <c r="F1177" t="str">
        <f>"21-2N-27-0000-0001-0120"</f>
        <v>21-2N-27-0000-0001-0120</v>
      </c>
      <c r="H1177" t="str">
        <f t="shared" si="395"/>
        <v>BRYAN F A &amp; CATHERINE B</v>
      </c>
      <c r="I1177" t="str">
        <f t="shared" si="391"/>
        <v>2003 FAYE ROAD</v>
      </c>
      <c r="J1177" t="str">
        <f t="shared" si="392"/>
        <v>JACKSONVILLE FL 32218</v>
      </c>
      <c r="K1177" t="str">
        <f>"850075 US HWY 17"</f>
        <v>850075 US HWY 17</v>
      </c>
      <c r="L1177" t="str">
        <f t="shared" si="372"/>
        <v>YULEE FL 32097</v>
      </c>
      <c r="M1177" t="str">
        <f>"IN OR 1466/325"</f>
        <v>IN OR 1466/325</v>
      </c>
      <c r="N1177" t="str">
        <f>""</f>
        <v/>
      </c>
      <c r="O1177" t="str">
        <f>"33436"</f>
        <v>33436</v>
      </c>
      <c r="P1177" t="str">
        <f t="shared" si="382"/>
        <v>2017</v>
      </c>
      <c r="Q1177" t="str">
        <f>""</f>
        <v/>
      </c>
      <c r="R1177" t="str">
        <f t="shared" si="390"/>
        <v>N</v>
      </c>
      <c r="S1177" t="str">
        <f>""</f>
        <v/>
      </c>
      <c r="T1177" t="str">
        <f>"86.97"</f>
        <v>86.97</v>
      </c>
      <c r="U1177" t="str">
        <f t="shared" si="398"/>
        <v>5528.00</v>
      </c>
      <c r="V1177" t="str">
        <f t="shared" si="398"/>
        <v>5528.00</v>
      </c>
      <c r="W1177" t="str">
        <f t="shared" si="383"/>
        <v>2017</v>
      </c>
      <c r="X1177" t="str">
        <f t="shared" si="397"/>
        <v>8.60</v>
      </c>
      <c r="Y1177" t="str">
        <f>"121.58"</f>
        <v>121.58</v>
      </c>
      <c r="Z1177" t="str">
        <f>""</f>
        <v/>
      </c>
      <c r="AA1177" t="str">
        <f>"6025.00"</f>
        <v>6025.00</v>
      </c>
      <c r="AB1177" t="str">
        <f t="shared" si="373"/>
        <v>Residential</v>
      </c>
      <c r="AC1177" t="str">
        <f t="shared" si="399"/>
        <v>0</v>
      </c>
      <c r="AD1177" t="str">
        <f>""</f>
        <v/>
      </c>
      <c r="AE1177" t="str">
        <f>""</f>
        <v/>
      </c>
      <c r="AF1177" t="str">
        <f t="shared" si="393"/>
        <v>000</v>
      </c>
      <c r="AG1177" t="str">
        <f t="shared" si="381"/>
        <v>FL</v>
      </c>
      <c r="AH1177" t="str">
        <f>"25978.00"</f>
        <v>25978.00</v>
      </c>
      <c r="AI1177" t="str">
        <f>"6025.00"</f>
        <v>6025.00</v>
      </c>
      <c r="AJ1177" t="str">
        <f>"C55-000-988-1798-4"</f>
        <v>C55-000-988-1798-4</v>
      </c>
      <c r="AK1177" t="str">
        <f>"19797"</f>
        <v>19797</v>
      </c>
      <c r="AL1177">
        <v>5</v>
      </c>
      <c r="AM1177">
        <v>1345</v>
      </c>
      <c r="AN1177">
        <v>126.06</v>
      </c>
      <c r="AQ1177" t="s">
        <v>12015</v>
      </c>
      <c r="AR1177" t="s">
        <v>12015</v>
      </c>
      <c r="AS1177" t="s">
        <v>12015</v>
      </c>
      <c r="AU1177" t="s">
        <v>396</v>
      </c>
      <c r="AV1177">
        <v>2017</v>
      </c>
      <c r="AW1177" t="str">
        <f>"21-2N-27-0000-0001-0120 "</f>
        <v xml:space="preserve">21-2N-27-0000-0001-0120 </v>
      </c>
      <c r="AX1177">
        <v>850075</v>
      </c>
      <c r="AZ1177" t="s">
        <v>11185</v>
      </c>
      <c r="BD1177" t="s">
        <v>2387</v>
      </c>
      <c r="BE1177" t="s">
        <v>393</v>
      </c>
      <c r="BF1177">
        <v>32097</v>
      </c>
      <c r="BG1177" t="s">
        <v>12016</v>
      </c>
      <c r="BH1177" t="s">
        <v>2388</v>
      </c>
      <c r="BI1177">
        <v>-81.606210206191093</v>
      </c>
      <c r="BJ1177">
        <v>30.579250114423601</v>
      </c>
      <c r="BK1177" t="s">
        <v>11977</v>
      </c>
      <c r="BM1177" t="s">
        <v>11946</v>
      </c>
      <c r="BN1177" t="s">
        <v>548</v>
      </c>
      <c r="BO1177">
        <v>32218</v>
      </c>
      <c r="BP1177" t="s">
        <v>404</v>
      </c>
      <c r="BQ1177">
        <v>0</v>
      </c>
      <c r="BR1177" t="s">
        <v>491</v>
      </c>
      <c r="BS1177">
        <v>8001</v>
      </c>
      <c r="BT1177" t="s">
        <v>492</v>
      </c>
      <c r="BW1177">
        <v>25978</v>
      </c>
      <c r="BX1177" t="s">
        <v>407</v>
      </c>
      <c r="BY1177" t="s">
        <v>408</v>
      </c>
      <c r="CD1177">
        <v>2017</v>
      </c>
      <c r="CE1177">
        <v>6025</v>
      </c>
      <c r="CG1177">
        <v>6025</v>
      </c>
      <c r="CH1177">
        <v>2017</v>
      </c>
      <c r="CI1177">
        <v>6025</v>
      </c>
      <c r="CK1177">
        <v>6025</v>
      </c>
      <c r="CL1177">
        <v>2017</v>
      </c>
      <c r="CM1177">
        <v>86.97</v>
      </c>
      <c r="CN1177" s="1">
        <v>39069</v>
      </c>
      <c r="CZ1177" s="1">
        <v>39069</v>
      </c>
      <c r="DD1177" t="s">
        <v>2387</v>
      </c>
      <c r="DG1177">
        <v>21</v>
      </c>
      <c r="DL1177">
        <v>50303</v>
      </c>
      <c r="DM1177" t="s">
        <v>11947</v>
      </c>
      <c r="DO1177" t="s">
        <v>12017</v>
      </c>
      <c r="DP1177">
        <v>0</v>
      </c>
      <c r="DQ1177">
        <v>0</v>
      </c>
      <c r="DR1177" t="s">
        <v>411</v>
      </c>
      <c r="DS1177" t="b">
        <v>1</v>
      </c>
      <c r="DT1177" t="s">
        <v>8902</v>
      </c>
      <c r="DV1177" t="s">
        <v>446</v>
      </c>
      <c r="DX1177">
        <v>8</v>
      </c>
      <c r="DY1177" t="s">
        <v>11438</v>
      </c>
      <c r="DZ1177" t="s">
        <v>447</v>
      </c>
      <c r="EA1177" t="s">
        <v>448</v>
      </c>
      <c r="EB1177" t="s">
        <v>11949</v>
      </c>
      <c r="EC1177">
        <v>20101217</v>
      </c>
      <c r="ED1177" t="s">
        <v>450</v>
      </c>
      <c r="EE1177">
        <v>7.5</v>
      </c>
      <c r="EF1177">
        <v>0</v>
      </c>
      <c r="EG1177">
        <v>0</v>
      </c>
      <c r="EI1177">
        <v>20160407</v>
      </c>
      <c r="EJ1177">
        <v>0</v>
      </c>
      <c r="EK1177">
        <v>0</v>
      </c>
      <c r="EP1177" t="s">
        <v>595</v>
      </c>
      <c r="EQ1177" t="s">
        <v>422</v>
      </c>
      <c r="ER1177">
        <v>0</v>
      </c>
      <c r="ES1177">
        <v>7</v>
      </c>
      <c r="ET1177">
        <v>0</v>
      </c>
      <c r="EU1177">
        <v>0</v>
      </c>
      <c r="EV1177">
        <v>0</v>
      </c>
      <c r="EW1177" s="2">
        <v>43222</v>
      </c>
      <c r="EX1177" s="1">
        <v>42515</v>
      </c>
      <c r="EY1177">
        <v>2015</v>
      </c>
      <c r="EZ1177">
        <v>107.45</v>
      </c>
      <c r="FA1177" t="s">
        <v>12018</v>
      </c>
      <c r="FB1177">
        <v>18</v>
      </c>
      <c r="FC1177" t="s">
        <v>603</v>
      </c>
      <c r="FD1177" t="s">
        <v>425</v>
      </c>
      <c r="FF1177">
        <v>22</v>
      </c>
      <c r="FG1177">
        <v>9999999</v>
      </c>
      <c r="FH1177" t="s">
        <v>604</v>
      </c>
      <c r="FJ1177" s="1">
        <v>42515</v>
      </c>
      <c r="FK1177">
        <v>2015</v>
      </c>
      <c r="FL1177">
        <v>115.31</v>
      </c>
      <c r="FM1177" t="s">
        <v>12018</v>
      </c>
      <c r="FN1177">
        <v>18</v>
      </c>
      <c r="FO1177" t="s">
        <v>424</v>
      </c>
      <c r="FP1177" t="s">
        <v>425</v>
      </c>
      <c r="FQ1177" s="1">
        <v>42809</v>
      </c>
      <c r="FR1177">
        <v>10</v>
      </c>
      <c r="FS1177">
        <v>7045081</v>
      </c>
      <c r="FT1177" t="s">
        <v>4351</v>
      </c>
      <c r="FV1177" s="1">
        <v>42151</v>
      </c>
      <c r="FW1177">
        <v>2014</v>
      </c>
      <c r="FX1177">
        <v>107.88</v>
      </c>
      <c r="FY1177" t="s">
        <v>12019</v>
      </c>
      <c r="FZ1177">
        <v>0.25</v>
      </c>
      <c r="GA1177" t="s">
        <v>424</v>
      </c>
      <c r="GB1177" t="s">
        <v>425</v>
      </c>
      <c r="GC1177" s="1">
        <v>42481</v>
      </c>
      <c r="GD1177">
        <v>11</v>
      </c>
      <c r="GE1177">
        <v>13026</v>
      </c>
      <c r="GF1177" t="s">
        <v>2129</v>
      </c>
      <c r="GH1177" s="1">
        <v>42151</v>
      </c>
      <c r="GI1177">
        <v>2014</v>
      </c>
      <c r="GJ1177">
        <v>107.88</v>
      </c>
      <c r="GK1177" t="s">
        <v>12019</v>
      </c>
      <c r="GL1177">
        <v>0.25</v>
      </c>
      <c r="GM1177" t="s">
        <v>424</v>
      </c>
      <c r="GN1177" t="s">
        <v>425</v>
      </c>
      <c r="GP1177">
        <v>22</v>
      </c>
      <c r="GQ1177">
        <v>4699360</v>
      </c>
      <c r="GR1177" t="s">
        <v>3168</v>
      </c>
      <c r="GT1177" s="1">
        <v>41787</v>
      </c>
      <c r="GU1177">
        <v>2013</v>
      </c>
      <c r="GV1177">
        <v>103.28</v>
      </c>
      <c r="GW1177" t="s">
        <v>12020</v>
      </c>
      <c r="GX1177">
        <v>5.75</v>
      </c>
      <c r="GY1177" t="s">
        <v>424</v>
      </c>
      <c r="GZ1177" t="s">
        <v>425</v>
      </c>
      <c r="HA1177" s="1">
        <v>42111</v>
      </c>
      <c r="HB1177">
        <v>11</v>
      </c>
      <c r="HC1177">
        <v>2035919</v>
      </c>
      <c r="HD1177" t="s">
        <v>507</v>
      </c>
      <c r="HF1177" s="1">
        <v>41423</v>
      </c>
      <c r="HG1177">
        <v>2012</v>
      </c>
      <c r="HH1177">
        <v>104.3</v>
      </c>
      <c r="HI1177" t="s">
        <v>12021</v>
      </c>
      <c r="HJ1177">
        <v>7.5</v>
      </c>
      <c r="HK1177" t="s">
        <v>424</v>
      </c>
      <c r="HL1177" t="s">
        <v>425</v>
      </c>
      <c r="HM1177" s="1">
        <v>41729</v>
      </c>
      <c r="HN1177">
        <v>10</v>
      </c>
      <c r="HO1177">
        <v>2101381</v>
      </c>
      <c r="HP1177" t="s">
        <v>605</v>
      </c>
      <c r="HR1177" s="1">
        <v>41052</v>
      </c>
      <c r="HS1177">
        <v>2011</v>
      </c>
      <c r="HT1177">
        <v>97.73</v>
      </c>
      <c r="HU1177" t="s">
        <v>12022</v>
      </c>
      <c r="HV1177">
        <v>15.75</v>
      </c>
      <c r="HW1177" t="s">
        <v>424</v>
      </c>
      <c r="HX1177" t="s">
        <v>425</v>
      </c>
      <c r="HY1177" s="1">
        <v>41082</v>
      </c>
      <c r="HZ1177">
        <v>1</v>
      </c>
      <c r="IA1177">
        <v>10125</v>
      </c>
      <c r="IB1177" t="s">
        <v>440</v>
      </c>
    </row>
    <row r="1178" spans="1:237" x14ac:dyDescent="0.25">
      <c r="A1178">
        <v>16486185</v>
      </c>
      <c r="B1178">
        <v>1177</v>
      </c>
      <c r="C1178" t="s">
        <v>393</v>
      </c>
      <c r="D1178" t="s">
        <v>394</v>
      </c>
      <c r="F1178" t="str">
        <f>"21-2N-27-0000-0001-0130"</f>
        <v>21-2N-27-0000-0001-0130</v>
      </c>
      <c r="H1178" t="str">
        <f t="shared" ref="H1178:H1184" si="400">"HAIR TONY RAY"</f>
        <v>HAIR TONY RAY</v>
      </c>
      <c r="I1178" t="str">
        <f t="shared" ref="I1178:I1184" si="401">"2638 MCGREGOR BLVD"</f>
        <v>2638 MCGREGOR BLVD</v>
      </c>
      <c r="J1178" t="str">
        <f t="shared" ref="J1178:J1188" si="402">"FERNANDINA BEACH FL 32034"</f>
        <v>FERNANDINA BEACH FL 32034</v>
      </c>
      <c r="K1178" t="str">
        <f t="shared" ref="K1178:K1184" si="403">"US HWY 17"</f>
        <v>US HWY 17</v>
      </c>
      <c r="L1178" t="str">
        <f t="shared" si="372"/>
        <v>YULEE FL 32097</v>
      </c>
      <c r="M1178" t="str">
        <f>"PT OR 1477/936"</f>
        <v>PT OR 1477/936</v>
      </c>
      <c r="N1178" t="str">
        <f>""</f>
        <v/>
      </c>
      <c r="O1178" t="str">
        <f>"33437"</f>
        <v>33437</v>
      </c>
      <c r="P1178" t="str">
        <f t="shared" si="382"/>
        <v>2017</v>
      </c>
      <c r="Q1178" t="str">
        <f>""</f>
        <v/>
      </c>
      <c r="R1178" t="str">
        <f t="shared" si="390"/>
        <v>N</v>
      </c>
      <c r="S1178" t="str">
        <f>""</f>
        <v/>
      </c>
      <c r="T1178" t="str">
        <f>"86.97"</f>
        <v>86.97</v>
      </c>
      <c r="U1178" t="str">
        <f t="shared" si="398"/>
        <v>5528.00</v>
      </c>
      <c r="V1178" t="str">
        <f t="shared" si="398"/>
        <v>5528.00</v>
      </c>
      <c r="W1178" t="str">
        <f t="shared" si="383"/>
        <v>2017</v>
      </c>
      <c r="X1178" t="str">
        <f>"14.25"</f>
        <v>14.25</v>
      </c>
      <c r="Y1178" t="str">
        <f>"121.58"</f>
        <v>121.58</v>
      </c>
      <c r="Z1178" t="str">
        <f>""</f>
        <v/>
      </c>
      <c r="AA1178" t="str">
        <f>"6025.00"</f>
        <v>6025.00</v>
      </c>
      <c r="AB1178" t="str">
        <f t="shared" si="373"/>
        <v>Residential</v>
      </c>
      <c r="AC1178" t="str">
        <f t="shared" si="399"/>
        <v>0</v>
      </c>
      <c r="AD1178" t="str">
        <f>""</f>
        <v/>
      </c>
      <c r="AE1178" t="str">
        <f>""</f>
        <v/>
      </c>
      <c r="AF1178" t="str">
        <f t="shared" si="393"/>
        <v>000</v>
      </c>
      <c r="AG1178" t="str">
        <f t="shared" si="381"/>
        <v>FL</v>
      </c>
      <c r="AH1178" t="str">
        <f>"21846.00"</f>
        <v>21846.00</v>
      </c>
      <c r="AI1178" t="str">
        <f>"6025.00"</f>
        <v>6025.00</v>
      </c>
      <c r="AJ1178" t="str">
        <f>"C55-001-002-4853-3"</f>
        <v>C55-001-002-4853-3</v>
      </c>
      <c r="AK1178" t="str">
        <f>"19798"</f>
        <v>19798</v>
      </c>
      <c r="AL1178">
        <v>5</v>
      </c>
      <c r="AM1178">
        <v>1346</v>
      </c>
      <c r="AN1178">
        <v>126.06</v>
      </c>
      <c r="AQ1178" t="s">
        <v>12023</v>
      </c>
      <c r="AR1178" t="s">
        <v>12023</v>
      </c>
      <c r="AS1178" t="s">
        <v>12023</v>
      </c>
      <c r="AU1178" t="s">
        <v>396</v>
      </c>
      <c r="AV1178">
        <v>2017</v>
      </c>
      <c r="AW1178" t="str">
        <f>"21-2N-27-0000-0001-0130 "</f>
        <v xml:space="preserve">21-2N-27-0000-0001-0130 </v>
      </c>
      <c r="AZ1178" t="s">
        <v>11185</v>
      </c>
      <c r="BD1178" t="s">
        <v>2387</v>
      </c>
      <c r="BE1178" t="s">
        <v>393</v>
      </c>
      <c r="BF1178">
        <v>32097</v>
      </c>
      <c r="BG1178" t="s">
        <v>11185</v>
      </c>
      <c r="BH1178" t="s">
        <v>2388</v>
      </c>
      <c r="BI1178">
        <v>-81.603778879133799</v>
      </c>
      <c r="BJ1178">
        <v>30.582478161786099</v>
      </c>
      <c r="BK1178" t="s">
        <v>12024</v>
      </c>
      <c r="BM1178" t="s">
        <v>12025</v>
      </c>
      <c r="BN1178" t="s">
        <v>3983</v>
      </c>
      <c r="BO1178">
        <v>32034</v>
      </c>
      <c r="BP1178" t="s">
        <v>404</v>
      </c>
      <c r="BQ1178">
        <v>0</v>
      </c>
      <c r="BR1178" t="s">
        <v>491</v>
      </c>
      <c r="BS1178">
        <v>8001</v>
      </c>
      <c r="BT1178" t="s">
        <v>492</v>
      </c>
      <c r="BW1178">
        <v>21846</v>
      </c>
      <c r="BX1178" t="s">
        <v>407</v>
      </c>
      <c r="BY1178" t="s">
        <v>408</v>
      </c>
      <c r="CD1178">
        <v>2017</v>
      </c>
      <c r="CE1178">
        <v>6025</v>
      </c>
      <c r="CG1178">
        <v>6025</v>
      </c>
      <c r="CH1178">
        <v>2017</v>
      </c>
      <c r="CI1178">
        <v>6025</v>
      </c>
      <c r="CK1178">
        <v>6025</v>
      </c>
      <c r="CL1178">
        <v>2017</v>
      </c>
      <c r="CM1178">
        <v>86.97</v>
      </c>
      <c r="CN1178" s="1">
        <v>39121</v>
      </c>
      <c r="CO1178">
        <v>30000</v>
      </c>
      <c r="CZ1178" s="1">
        <v>39121</v>
      </c>
      <c r="DD1178" t="s">
        <v>2387</v>
      </c>
      <c r="DG1178">
        <v>21</v>
      </c>
      <c r="DL1178">
        <v>50303</v>
      </c>
      <c r="DM1178" t="s">
        <v>11947</v>
      </c>
      <c r="DO1178" t="s">
        <v>12026</v>
      </c>
      <c r="DP1178">
        <v>0</v>
      </c>
      <c r="DQ1178">
        <v>0</v>
      </c>
      <c r="DR1178" t="s">
        <v>411</v>
      </c>
      <c r="DS1178" t="b">
        <v>1</v>
      </c>
      <c r="DT1178" t="s">
        <v>8902</v>
      </c>
      <c r="DV1178" t="s">
        <v>446</v>
      </c>
      <c r="DX1178">
        <v>8</v>
      </c>
      <c r="DY1178" t="s">
        <v>11438</v>
      </c>
      <c r="DZ1178" t="s">
        <v>447</v>
      </c>
      <c r="EA1178" t="s">
        <v>448</v>
      </c>
      <c r="EB1178" t="s">
        <v>11949</v>
      </c>
      <c r="EC1178">
        <v>20101217</v>
      </c>
      <c r="ED1178" t="s">
        <v>450</v>
      </c>
      <c r="EE1178">
        <v>5</v>
      </c>
      <c r="EF1178">
        <v>0</v>
      </c>
      <c r="EG1178">
        <v>0</v>
      </c>
      <c r="EI1178">
        <v>20160407</v>
      </c>
      <c r="EJ1178">
        <v>0</v>
      </c>
      <c r="EK1178">
        <v>0</v>
      </c>
      <c r="EP1178" t="s">
        <v>595</v>
      </c>
      <c r="EQ1178" t="s">
        <v>452</v>
      </c>
      <c r="ER1178">
        <v>4</v>
      </c>
      <c r="ES1178">
        <v>3</v>
      </c>
      <c r="ET1178">
        <v>444.08</v>
      </c>
      <c r="EU1178">
        <v>163.11000000000001</v>
      </c>
      <c r="EV1178">
        <v>607.19000000000005</v>
      </c>
      <c r="EW1178" s="2">
        <v>43222</v>
      </c>
      <c r="EX1178" s="1">
        <v>42879</v>
      </c>
      <c r="EY1178">
        <v>2016</v>
      </c>
      <c r="EZ1178">
        <v>110.42</v>
      </c>
      <c r="FA1178" t="s">
        <v>12027</v>
      </c>
      <c r="FB1178">
        <v>18</v>
      </c>
      <c r="FC1178" t="s">
        <v>603</v>
      </c>
      <c r="FD1178" t="s">
        <v>454</v>
      </c>
      <c r="FF1178">
        <v>12</v>
      </c>
      <c r="FG1178">
        <v>9999999</v>
      </c>
      <c r="FH1178" t="s">
        <v>604</v>
      </c>
      <c r="FJ1178" s="1">
        <v>42879</v>
      </c>
      <c r="FK1178">
        <v>2016</v>
      </c>
      <c r="FL1178">
        <v>118.33</v>
      </c>
      <c r="FM1178" t="s">
        <v>12027</v>
      </c>
      <c r="FN1178">
        <v>18</v>
      </c>
      <c r="FO1178" t="s">
        <v>424</v>
      </c>
      <c r="FP1178" t="s">
        <v>454</v>
      </c>
      <c r="FR1178">
        <v>12</v>
      </c>
      <c r="FS1178">
        <v>7336669</v>
      </c>
      <c r="FT1178" t="s">
        <v>2230</v>
      </c>
      <c r="FV1178" s="1">
        <v>42515</v>
      </c>
      <c r="FW1178">
        <v>2015</v>
      </c>
      <c r="FX1178">
        <v>107.45</v>
      </c>
      <c r="FY1178" t="s">
        <v>12028</v>
      </c>
      <c r="FZ1178">
        <v>18</v>
      </c>
      <c r="GA1178" t="s">
        <v>424</v>
      </c>
      <c r="GB1178" t="s">
        <v>454</v>
      </c>
      <c r="GD1178">
        <v>24</v>
      </c>
      <c r="GE1178">
        <v>13139</v>
      </c>
      <c r="GF1178" t="s">
        <v>955</v>
      </c>
      <c r="GH1178" s="1">
        <v>42151</v>
      </c>
      <c r="GI1178">
        <v>2014</v>
      </c>
      <c r="GJ1178">
        <v>107.88</v>
      </c>
      <c r="GK1178" t="s">
        <v>12029</v>
      </c>
      <c r="GL1178">
        <v>18</v>
      </c>
      <c r="GM1178" t="s">
        <v>424</v>
      </c>
      <c r="GN1178" t="s">
        <v>454</v>
      </c>
      <c r="GP1178">
        <v>36</v>
      </c>
      <c r="GQ1178">
        <v>10125</v>
      </c>
      <c r="GR1178" t="s">
        <v>440</v>
      </c>
      <c r="GT1178" s="1">
        <v>41787</v>
      </c>
      <c r="GU1178">
        <v>2013</v>
      </c>
      <c r="GV1178">
        <v>103.28</v>
      </c>
      <c r="GW1178" t="s">
        <v>12030</v>
      </c>
      <c r="GX1178">
        <v>5.75</v>
      </c>
      <c r="GY1178" t="s">
        <v>424</v>
      </c>
      <c r="GZ1178" t="s">
        <v>425</v>
      </c>
      <c r="HA1178" s="1">
        <v>42408</v>
      </c>
      <c r="HB1178">
        <v>21</v>
      </c>
      <c r="HC1178">
        <v>13139</v>
      </c>
      <c r="HD1178" t="s">
        <v>955</v>
      </c>
      <c r="HF1178" s="1">
        <v>41052</v>
      </c>
      <c r="HG1178">
        <v>2011</v>
      </c>
      <c r="HH1178">
        <v>97.73</v>
      </c>
      <c r="HI1178" t="s">
        <v>12031</v>
      </c>
      <c r="HJ1178">
        <v>18</v>
      </c>
      <c r="HK1178" t="s">
        <v>424</v>
      </c>
      <c r="HL1178" t="s">
        <v>425</v>
      </c>
      <c r="HM1178" s="1">
        <v>41256</v>
      </c>
      <c r="HN1178">
        <v>7</v>
      </c>
      <c r="HO1178">
        <v>10125</v>
      </c>
      <c r="HP1178" t="s">
        <v>440</v>
      </c>
      <c r="HQ1178" t="s">
        <v>458</v>
      </c>
      <c r="HR1178" s="1">
        <v>40688</v>
      </c>
      <c r="HS1178">
        <v>2010</v>
      </c>
      <c r="HT1178">
        <v>96.78</v>
      </c>
      <c r="HU1178" t="s">
        <v>12032</v>
      </c>
      <c r="HV1178">
        <v>6.75</v>
      </c>
      <c r="HW1178" t="s">
        <v>424</v>
      </c>
      <c r="HX1178" t="s">
        <v>425</v>
      </c>
      <c r="HY1178" s="1">
        <v>41256</v>
      </c>
      <c r="HZ1178">
        <v>19</v>
      </c>
      <c r="IA1178">
        <v>375</v>
      </c>
      <c r="IB1178" t="s">
        <v>776</v>
      </c>
      <c r="IC1178" t="s">
        <v>458</v>
      </c>
    </row>
    <row r="1179" spans="1:237" x14ac:dyDescent="0.25">
      <c r="A1179">
        <v>16486186</v>
      </c>
      <c r="B1179">
        <v>1178</v>
      </c>
      <c r="C1179" t="s">
        <v>393</v>
      </c>
      <c r="D1179" t="s">
        <v>394</v>
      </c>
      <c r="F1179" t="str">
        <f>"21-2N-27-0000-0001-0140"</f>
        <v>21-2N-27-0000-0001-0140</v>
      </c>
      <c r="H1179" t="str">
        <f t="shared" si="400"/>
        <v>HAIR TONY RAY</v>
      </c>
      <c r="I1179" t="str">
        <f t="shared" si="401"/>
        <v>2638 MCGREGOR BLVD</v>
      </c>
      <c r="J1179" t="str">
        <f t="shared" si="402"/>
        <v>FERNANDINA BEACH FL 32034</v>
      </c>
      <c r="K1179" t="str">
        <f t="shared" si="403"/>
        <v>US HWY 17</v>
      </c>
      <c r="L1179" t="str">
        <f t="shared" si="372"/>
        <v>YULEE FL 32097</v>
      </c>
      <c r="M1179" t="str">
        <f>"PT OR 1477/936"</f>
        <v>PT OR 1477/936</v>
      </c>
      <c r="N1179" t="str">
        <f>""</f>
        <v/>
      </c>
      <c r="O1179" t="str">
        <f>"33438"</f>
        <v>33438</v>
      </c>
      <c r="P1179" t="str">
        <f t="shared" si="382"/>
        <v>2017</v>
      </c>
      <c r="Q1179" t="str">
        <f>""</f>
        <v/>
      </c>
      <c r="R1179" t="str">
        <f t="shared" si="390"/>
        <v>N</v>
      </c>
      <c r="S1179" t="str">
        <f>""</f>
        <v/>
      </c>
      <c r="T1179" t="str">
        <f>"86.97"</f>
        <v>86.97</v>
      </c>
      <c r="U1179" t="str">
        <f t="shared" si="398"/>
        <v>5528.00</v>
      </c>
      <c r="V1179" t="str">
        <f t="shared" si="398"/>
        <v>5528.00</v>
      </c>
      <c r="W1179" t="str">
        <f t="shared" si="383"/>
        <v>2017</v>
      </c>
      <c r="X1179" t="str">
        <f>"14.25"</f>
        <v>14.25</v>
      </c>
      <c r="Y1179" t="str">
        <f>"121.58"</f>
        <v>121.58</v>
      </c>
      <c r="Z1179" t="str">
        <f>""</f>
        <v/>
      </c>
      <c r="AA1179" t="str">
        <f>"6025.00"</f>
        <v>6025.00</v>
      </c>
      <c r="AB1179" t="str">
        <f t="shared" si="373"/>
        <v>Residential</v>
      </c>
      <c r="AC1179" t="str">
        <f t="shared" si="399"/>
        <v>0</v>
      </c>
      <c r="AD1179" t="str">
        <f>""</f>
        <v/>
      </c>
      <c r="AE1179" t="str">
        <f>""</f>
        <v/>
      </c>
      <c r="AF1179" t="str">
        <f t="shared" si="393"/>
        <v>000</v>
      </c>
      <c r="AG1179" t="str">
        <f t="shared" si="381"/>
        <v>FL</v>
      </c>
      <c r="AH1179" t="str">
        <f>"23410.00"</f>
        <v>23410.00</v>
      </c>
      <c r="AI1179" t="str">
        <f>"6025.00"</f>
        <v>6025.00</v>
      </c>
      <c r="AJ1179" t="str">
        <f>"C55-001-002-4854-1"</f>
        <v>C55-001-002-4854-1</v>
      </c>
      <c r="AK1179" t="str">
        <f>"19799"</f>
        <v>19799</v>
      </c>
      <c r="AL1179">
        <v>5</v>
      </c>
      <c r="AM1179">
        <v>1347</v>
      </c>
      <c r="AN1179">
        <v>126.06</v>
      </c>
      <c r="AQ1179" t="s">
        <v>12033</v>
      </c>
      <c r="AR1179" t="s">
        <v>12033</v>
      </c>
      <c r="AS1179" t="s">
        <v>12033</v>
      </c>
      <c r="AU1179" t="s">
        <v>396</v>
      </c>
      <c r="AV1179">
        <v>2017</v>
      </c>
      <c r="AW1179" t="str">
        <f>"21-2N-27-0000-0001-0140 "</f>
        <v xml:space="preserve">21-2N-27-0000-0001-0140 </v>
      </c>
      <c r="AZ1179" t="s">
        <v>11185</v>
      </c>
      <c r="BD1179" t="s">
        <v>2387</v>
      </c>
      <c r="BE1179" t="s">
        <v>393</v>
      </c>
      <c r="BF1179">
        <v>32097</v>
      </c>
      <c r="BG1179" t="s">
        <v>11185</v>
      </c>
      <c r="BH1179" t="s">
        <v>2388</v>
      </c>
      <c r="BI1179">
        <v>-81.603626554600595</v>
      </c>
      <c r="BJ1179">
        <v>30.582717286009899</v>
      </c>
      <c r="BK1179" t="s">
        <v>12024</v>
      </c>
      <c r="BM1179" t="s">
        <v>12025</v>
      </c>
      <c r="BN1179" t="s">
        <v>3983</v>
      </c>
      <c r="BO1179">
        <v>32034</v>
      </c>
      <c r="BP1179" t="s">
        <v>404</v>
      </c>
      <c r="BQ1179">
        <v>0</v>
      </c>
      <c r="BR1179" t="s">
        <v>491</v>
      </c>
      <c r="BS1179">
        <v>8001</v>
      </c>
      <c r="BT1179" t="s">
        <v>492</v>
      </c>
      <c r="BW1179">
        <v>23410</v>
      </c>
      <c r="BX1179" t="s">
        <v>407</v>
      </c>
      <c r="BY1179" t="s">
        <v>408</v>
      </c>
      <c r="CD1179">
        <v>2017</v>
      </c>
      <c r="CE1179">
        <v>6025</v>
      </c>
      <c r="CG1179">
        <v>6025</v>
      </c>
      <c r="CH1179">
        <v>2017</v>
      </c>
      <c r="CI1179">
        <v>6025</v>
      </c>
      <c r="CK1179">
        <v>6025</v>
      </c>
      <c r="CL1179">
        <v>2017</v>
      </c>
      <c r="CM1179">
        <v>86.97</v>
      </c>
      <c r="CN1179" s="1">
        <v>39121</v>
      </c>
      <c r="CO1179">
        <v>30000</v>
      </c>
      <c r="CZ1179" s="1">
        <v>39121</v>
      </c>
      <c r="DD1179" t="s">
        <v>2387</v>
      </c>
      <c r="DG1179">
        <v>21</v>
      </c>
      <c r="DL1179">
        <v>50303</v>
      </c>
      <c r="DM1179" t="s">
        <v>11947</v>
      </c>
      <c r="DO1179" t="s">
        <v>12026</v>
      </c>
      <c r="DP1179">
        <v>0</v>
      </c>
      <c r="DQ1179">
        <v>0</v>
      </c>
      <c r="DR1179" t="s">
        <v>411</v>
      </c>
      <c r="DS1179" t="b">
        <v>1</v>
      </c>
      <c r="DT1179" t="s">
        <v>8902</v>
      </c>
      <c r="DV1179" t="s">
        <v>446</v>
      </c>
      <c r="DX1179">
        <v>8</v>
      </c>
      <c r="DY1179" t="s">
        <v>11438</v>
      </c>
      <c r="DZ1179" t="s">
        <v>447</v>
      </c>
      <c r="EA1179" t="s">
        <v>448</v>
      </c>
      <c r="EB1179" t="s">
        <v>11949</v>
      </c>
      <c r="EC1179">
        <v>20101217</v>
      </c>
      <c r="ED1179" t="s">
        <v>450</v>
      </c>
      <c r="EE1179">
        <v>5</v>
      </c>
      <c r="EF1179">
        <v>0</v>
      </c>
      <c r="EG1179">
        <v>0</v>
      </c>
      <c r="EI1179">
        <v>20160407</v>
      </c>
      <c r="EJ1179">
        <v>0</v>
      </c>
      <c r="EK1179">
        <v>0</v>
      </c>
      <c r="EP1179" t="s">
        <v>595</v>
      </c>
      <c r="EQ1179" t="s">
        <v>452</v>
      </c>
      <c r="ER1179">
        <v>4</v>
      </c>
      <c r="ES1179">
        <v>3</v>
      </c>
      <c r="ET1179">
        <v>444.08</v>
      </c>
      <c r="EU1179">
        <v>163.11000000000001</v>
      </c>
      <c r="EV1179">
        <v>607.19000000000005</v>
      </c>
      <c r="EW1179" s="2">
        <v>43222</v>
      </c>
      <c r="EX1179" s="1">
        <v>42879</v>
      </c>
      <c r="EY1179">
        <v>2016</v>
      </c>
      <c r="EZ1179">
        <v>110.42</v>
      </c>
      <c r="FA1179" t="s">
        <v>12034</v>
      </c>
      <c r="FB1179">
        <v>18</v>
      </c>
      <c r="FC1179" t="s">
        <v>603</v>
      </c>
      <c r="FD1179" t="s">
        <v>454</v>
      </c>
      <c r="FF1179">
        <v>12</v>
      </c>
      <c r="FG1179">
        <v>9999999</v>
      </c>
      <c r="FH1179" t="s">
        <v>604</v>
      </c>
      <c r="FJ1179" s="1">
        <v>42879</v>
      </c>
      <c r="FK1179">
        <v>2016</v>
      </c>
      <c r="FL1179">
        <v>118.33</v>
      </c>
      <c r="FM1179" t="s">
        <v>12034</v>
      </c>
      <c r="FN1179">
        <v>18</v>
      </c>
      <c r="FO1179" t="s">
        <v>424</v>
      </c>
      <c r="FP1179" t="s">
        <v>454</v>
      </c>
      <c r="FR1179">
        <v>12</v>
      </c>
      <c r="FS1179">
        <v>7336669</v>
      </c>
      <c r="FT1179" t="s">
        <v>2230</v>
      </c>
      <c r="FV1179" s="1">
        <v>42515</v>
      </c>
      <c r="FW1179">
        <v>2015</v>
      </c>
      <c r="FX1179">
        <v>107.45</v>
      </c>
      <c r="FY1179" t="s">
        <v>12035</v>
      </c>
      <c r="FZ1179">
        <v>18</v>
      </c>
      <c r="GA1179" t="s">
        <v>424</v>
      </c>
      <c r="GB1179" t="s">
        <v>454</v>
      </c>
      <c r="GD1179">
        <v>24</v>
      </c>
      <c r="GE1179">
        <v>13139</v>
      </c>
      <c r="GF1179" t="s">
        <v>955</v>
      </c>
      <c r="GH1179" s="1">
        <v>42151</v>
      </c>
      <c r="GI1179">
        <v>2014</v>
      </c>
      <c r="GJ1179">
        <v>107.88</v>
      </c>
      <c r="GK1179" t="s">
        <v>12036</v>
      </c>
      <c r="GL1179">
        <v>18</v>
      </c>
      <c r="GM1179" t="s">
        <v>424</v>
      </c>
      <c r="GN1179" t="s">
        <v>454</v>
      </c>
      <c r="GP1179">
        <v>36</v>
      </c>
      <c r="GQ1179">
        <v>10125</v>
      </c>
      <c r="GR1179" t="s">
        <v>440</v>
      </c>
      <c r="GT1179" s="1">
        <v>41787</v>
      </c>
      <c r="GU1179">
        <v>2013</v>
      </c>
      <c r="GV1179">
        <v>103.28</v>
      </c>
      <c r="GW1179" t="s">
        <v>12037</v>
      </c>
      <c r="GX1179">
        <v>5.75</v>
      </c>
      <c r="GY1179" t="s">
        <v>424</v>
      </c>
      <c r="GZ1179" t="s">
        <v>425</v>
      </c>
      <c r="HA1179" s="1">
        <v>42408</v>
      </c>
      <c r="HB1179">
        <v>21</v>
      </c>
      <c r="HC1179">
        <v>13139</v>
      </c>
      <c r="HD1179" t="s">
        <v>955</v>
      </c>
      <c r="HF1179" s="1">
        <v>41052</v>
      </c>
      <c r="HG1179">
        <v>2011</v>
      </c>
      <c r="HH1179">
        <v>97.73</v>
      </c>
      <c r="HI1179" t="s">
        <v>12038</v>
      </c>
      <c r="HJ1179">
        <v>18</v>
      </c>
      <c r="HK1179" t="s">
        <v>424</v>
      </c>
      <c r="HL1179" t="s">
        <v>425</v>
      </c>
      <c r="HM1179" s="1">
        <v>41256</v>
      </c>
      <c r="HN1179">
        <v>7</v>
      </c>
      <c r="HO1179">
        <v>10125</v>
      </c>
      <c r="HP1179" t="s">
        <v>440</v>
      </c>
      <c r="HQ1179" t="s">
        <v>458</v>
      </c>
      <c r="HR1179" s="1">
        <v>40688</v>
      </c>
      <c r="HS1179">
        <v>2010</v>
      </c>
      <c r="HT1179">
        <v>96.78</v>
      </c>
      <c r="HU1179" t="s">
        <v>12039</v>
      </c>
      <c r="HV1179">
        <v>6.75</v>
      </c>
      <c r="HW1179" t="s">
        <v>424</v>
      </c>
      <c r="HX1179" t="s">
        <v>425</v>
      </c>
      <c r="HY1179" s="1">
        <v>41256</v>
      </c>
      <c r="HZ1179">
        <v>19</v>
      </c>
      <c r="IA1179">
        <v>105</v>
      </c>
      <c r="IB1179" t="s">
        <v>946</v>
      </c>
      <c r="IC1179" t="s">
        <v>458</v>
      </c>
    </row>
    <row r="1180" spans="1:237" x14ac:dyDescent="0.25">
      <c r="A1180">
        <v>16486187</v>
      </c>
      <c r="B1180">
        <v>1179</v>
      </c>
      <c r="C1180" t="s">
        <v>393</v>
      </c>
      <c r="D1180" t="s">
        <v>394</v>
      </c>
      <c r="F1180" t="str">
        <f>"21-2N-27-0000-0001-0150"</f>
        <v>21-2N-27-0000-0001-0150</v>
      </c>
      <c r="H1180" t="str">
        <f t="shared" si="400"/>
        <v>HAIR TONY RAY</v>
      </c>
      <c r="I1180" t="str">
        <f t="shared" si="401"/>
        <v>2638 MCGREGOR BLVD</v>
      </c>
      <c r="J1180" t="str">
        <f t="shared" si="402"/>
        <v>FERNANDINA BEACH FL 32034</v>
      </c>
      <c r="K1180" t="str">
        <f t="shared" si="403"/>
        <v>US HWY 17</v>
      </c>
      <c r="L1180" t="str">
        <f t="shared" si="372"/>
        <v>YULEE FL 32097</v>
      </c>
      <c r="M1180" t="str">
        <f>"PT OR 1477/936"</f>
        <v>PT OR 1477/936</v>
      </c>
      <c r="N1180" t="str">
        <f>""</f>
        <v/>
      </c>
      <c r="O1180" t="str">
        <f>"33439"</f>
        <v>33439</v>
      </c>
      <c r="P1180" t="str">
        <f t="shared" si="382"/>
        <v>2017</v>
      </c>
      <c r="Q1180" t="str">
        <f>""</f>
        <v/>
      </c>
      <c r="R1180" t="str">
        <f t="shared" si="390"/>
        <v>N</v>
      </c>
      <c r="S1180" t="str">
        <f>""</f>
        <v/>
      </c>
      <c r="T1180" t="str">
        <f>"86.97"</f>
        <v>86.97</v>
      </c>
      <c r="U1180" t="str">
        <f t="shared" si="398"/>
        <v>5528.00</v>
      </c>
      <c r="V1180" t="str">
        <f t="shared" si="398"/>
        <v>5528.00</v>
      </c>
      <c r="W1180" t="str">
        <f t="shared" si="383"/>
        <v>2017</v>
      </c>
      <c r="X1180" t="str">
        <f>"14.25"</f>
        <v>14.25</v>
      </c>
      <c r="Y1180" t="str">
        <f>"121.58"</f>
        <v>121.58</v>
      </c>
      <c r="Z1180" t="str">
        <f>""</f>
        <v/>
      </c>
      <c r="AA1180" t="str">
        <f>"6025.00"</f>
        <v>6025.00</v>
      </c>
      <c r="AB1180" t="str">
        <f t="shared" si="373"/>
        <v>Residential</v>
      </c>
      <c r="AC1180" t="str">
        <f t="shared" si="399"/>
        <v>0</v>
      </c>
      <c r="AD1180" t="str">
        <f>""</f>
        <v/>
      </c>
      <c r="AE1180" t="str">
        <f>""</f>
        <v/>
      </c>
      <c r="AF1180" t="str">
        <f t="shared" si="393"/>
        <v>000</v>
      </c>
      <c r="AG1180" t="str">
        <f t="shared" si="381"/>
        <v>FL</v>
      </c>
      <c r="AH1180" t="str">
        <f>"24168.00"</f>
        <v>24168.00</v>
      </c>
      <c r="AI1180" t="str">
        <f>"6025.00"</f>
        <v>6025.00</v>
      </c>
      <c r="AJ1180" t="str">
        <f>"C55-001-002-4855-8"</f>
        <v>C55-001-002-4855-8</v>
      </c>
      <c r="AK1180" t="str">
        <f>"19800"</f>
        <v>19800</v>
      </c>
      <c r="AL1180">
        <v>5</v>
      </c>
      <c r="AM1180">
        <v>1348</v>
      </c>
      <c r="AN1180">
        <v>126.06</v>
      </c>
      <c r="AQ1180" t="s">
        <v>12040</v>
      </c>
      <c r="AR1180" t="s">
        <v>12040</v>
      </c>
      <c r="AS1180" t="s">
        <v>12040</v>
      </c>
      <c r="AU1180" t="s">
        <v>396</v>
      </c>
      <c r="AV1180">
        <v>2017</v>
      </c>
      <c r="AW1180" t="str">
        <f>"21-2N-27-0000-0001-0150 "</f>
        <v xml:space="preserve">21-2N-27-0000-0001-0150 </v>
      </c>
      <c r="AZ1180" t="s">
        <v>11185</v>
      </c>
      <c r="BD1180" t="s">
        <v>2387</v>
      </c>
      <c r="BE1180" t="s">
        <v>393</v>
      </c>
      <c r="BF1180">
        <v>32097</v>
      </c>
      <c r="BG1180" t="s">
        <v>11185</v>
      </c>
      <c r="BH1180" t="s">
        <v>2388</v>
      </c>
      <c r="BI1180">
        <v>-81.603465640284497</v>
      </c>
      <c r="BJ1180">
        <v>30.582957004575199</v>
      </c>
      <c r="BK1180" t="s">
        <v>12024</v>
      </c>
      <c r="BM1180" t="s">
        <v>12025</v>
      </c>
      <c r="BN1180" t="s">
        <v>3983</v>
      </c>
      <c r="BO1180">
        <v>32034</v>
      </c>
      <c r="BP1180" t="s">
        <v>404</v>
      </c>
      <c r="BQ1180">
        <v>0</v>
      </c>
      <c r="BR1180" t="s">
        <v>491</v>
      </c>
      <c r="BS1180">
        <v>8001</v>
      </c>
      <c r="BT1180" t="s">
        <v>492</v>
      </c>
      <c r="BW1180">
        <v>24168</v>
      </c>
      <c r="BX1180" t="s">
        <v>407</v>
      </c>
      <c r="BY1180" t="s">
        <v>408</v>
      </c>
      <c r="CD1180">
        <v>2017</v>
      </c>
      <c r="CE1180">
        <v>6025</v>
      </c>
      <c r="CG1180">
        <v>6025</v>
      </c>
      <c r="CH1180">
        <v>2017</v>
      </c>
      <c r="CI1180">
        <v>6025</v>
      </c>
      <c r="CK1180">
        <v>6025</v>
      </c>
      <c r="CL1180">
        <v>2017</v>
      </c>
      <c r="CM1180">
        <v>86.97</v>
      </c>
      <c r="CN1180" s="1">
        <v>39121</v>
      </c>
      <c r="CO1180">
        <v>30000</v>
      </c>
      <c r="CZ1180" s="1">
        <v>39121</v>
      </c>
      <c r="DD1180" t="s">
        <v>2387</v>
      </c>
      <c r="DG1180">
        <v>21</v>
      </c>
      <c r="DL1180">
        <v>50303</v>
      </c>
      <c r="DM1180" t="s">
        <v>11947</v>
      </c>
      <c r="DO1180" t="s">
        <v>12026</v>
      </c>
      <c r="DP1180">
        <v>0</v>
      </c>
      <c r="DQ1180">
        <v>0</v>
      </c>
      <c r="DR1180" t="s">
        <v>411</v>
      </c>
      <c r="DS1180" t="b">
        <v>1</v>
      </c>
      <c r="DT1180" t="s">
        <v>8902</v>
      </c>
      <c r="DV1180" t="s">
        <v>446</v>
      </c>
      <c r="DX1180">
        <v>8</v>
      </c>
      <c r="DY1180" t="s">
        <v>11438</v>
      </c>
      <c r="DZ1180" t="s">
        <v>447</v>
      </c>
      <c r="EA1180" t="s">
        <v>448</v>
      </c>
      <c r="EB1180" t="s">
        <v>11949</v>
      </c>
      <c r="EC1180">
        <v>20101217</v>
      </c>
      <c r="ED1180" t="s">
        <v>450</v>
      </c>
      <c r="EE1180">
        <v>5</v>
      </c>
      <c r="EF1180">
        <v>0</v>
      </c>
      <c r="EG1180">
        <v>0</v>
      </c>
      <c r="EI1180">
        <v>20160407</v>
      </c>
      <c r="EJ1180">
        <v>0</v>
      </c>
      <c r="EK1180">
        <v>0</v>
      </c>
      <c r="EP1180" t="s">
        <v>595</v>
      </c>
      <c r="EQ1180" t="s">
        <v>452</v>
      </c>
      <c r="ER1180">
        <v>4</v>
      </c>
      <c r="ES1180">
        <v>3</v>
      </c>
      <c r="ET1180">
        <v>444.08</v>
      </c>
      <c r="EU1180">
        <v>163.11000000000001</v>
      </c>
      <c r="EV1180">
        <v>607.19000000000005</v>
      </c>
      <c r="EW1180" s="2">
        <v>43222</v>
      </c>
      <c r="EX1180" s="1">
        <v>42879</v>
      </c>
      <c r="EY1180">
        <v>2016</v>
      </c>
      <c r="EZ1180">
        <v>110.42</v>
      </c>
      <c r="FA1180" t="s">
        <v>12041</v>
      </c>
      <c r="FB1180">
        <v>18</v>
      </c>
      <c r="FC1180" t="s">
        <v>603</v>
      </c>
      <c r="FD1180" t="s">
        <v>454</v>
      </c>
      <c r="FF1180">
        <v>12</v>
      </c>
      <c r="FG1180">
        <v>9999999</v>
      </c>
      <c r="FH1180" t="s">
        <v>604</v>
      </c>
      <c r="FJ1180" s="1">
        <v>42879</v>
      </c>
      <c r="FK1180">
        <v>2016</v>
      </c>
      <c r="FL1180">
        <v>118.33</v>
      </c>
      <c r="FM1180" t="s">
        <v>12041</v>
      </c>
      <c r="FN1180">
        <v>18</v>
      </c>
      <c r="FO1180" t="s">
        <v>424</v>
      </c>
      <c r="FP1180" t="s">
        <v>454</v>
      </c>
      <c r="FR1180">
        <v>12</v>
      </c>
      <c r="FS1180">
        <v>7336669</v>
      </c>
      <c r="FT1180" t="s">
        <v>2230</v>
      </c>
      <c r="FV1180" s="1">
        <v>42515</v>
      </c>
      <c r="FW1180">
        <v>2015</v>
      </c>
      <c r="FX1180">
        <v>107.45</v>
      </c>
      <c r="FY1180" t="s">
        <v>12042</v>
      </c>
      <c r="FZ1180">
        <v>18</v>
      </c>
      <c r="GA1180" t="s">
        <v>424</v>
      </c>
      <c r="GB1180" t="s">
        <v>454</v>
      </c>
      <c r="GD1180">
        <v>24</v>
      </c>
      <c r="GE1180">
        <v>13139</v>
      </c>
      <c r="GF1180" t="s">
        <v>955</v>
      </c>
      <c r="GH1180" s="1">
        <v>42151</v>
      </c>
      <c r="GI1180">
        <v>2014</v>
      </c>
      <c r="GJ1180">
        <v>107.88</v>
      </c>
      <c r="GK1180" t="s">
        <v>12043</v>
      </c>
      <c r="GL1180">
        <v>18</v>
      </c>
      <c r="GM1180" t="s">
        <v>424</v>
      </c>
      <c r="GN1180" t="s">
        <v>454</v>
      </c>
      <c r="GP1180">
        <v>36</v>
      </c>
      <c r="GQ1180">
        <v>10125</v>
      </c>
      <c r="GR1180" t="s">
        <v>440</v>
      </c>
      <c r="GT1180" s="1">
        <v>41787</v>
      </c>
      <c r="GU1180">
        <v>2013</v>
      </c>
      <c r="GV1180">
        <v>103.28</v>
      </c>
      <c r="GW1180" t="s">
        <v>12044</v>
      </c>
      <c r="GX1180">
        <v>3.75</v>
      </c>
      <c r="GY1180" t="s">
        <v>424</v>
      </c>
      <c r="GZ1180" t="s">
        <v>425</v>
      </c>
      <c r="HA1180" s="1">
        <v>42408</v>
      </c>
      <c r="HB1180">
        <v>21</v>
      </c>
      <c r="HC1180">
        <v>13139</v>
      </c>
      <c r="HD1180" t="s">
        <v>955</v>
      </c>
      <c r="HF1180" s="1">
        <v>41052</v>
      </c>
      <c r="HG1180">
        <v>2011</v>
      </c>
      <c r="HH1180">
        <v>97.73</v>
      </c>
      <c r="HI1180" t="s">
        <v>12045</v>
      </c>
      <c r="HJ1180">
        <v>18</v>
      </c>
      <c r="HK1180" t="s">
        <v>424</v>
      </c>
      <c r="HL1180" t="s">
        <v>425</v>
      </c>
      <c r="HM1180" s="1">
        <v>41256</v>
      </c>
      <c r="HN1180">
        <v>7</v>
      </c>
      <c r="HO1180">
        <v>10125</v>
      </c>
      <c r="HP1180" t="s">
        <v>440</v>
      </c>
      <c r="HQ1180" t="s">
        <v>458</v>
      </c>
      <c r="HR1180" s="1">
        <v>40688</v>
      </c>
      <c r="HS1180">
        <v>2010</v>
      </c>
      <c r="HT1180">
        <v>96.78</v>
      </c>
      <c r="HU1180" t="s">
        <v>12046</v>
      </c>
      <c r="HV1180">
        <v>6.75</v>
      </c>
      <c r="HW1180" t="s">
        <v>424</v>
      </c>
      <c r="HX1180" t="s">
        <v>425</v>
      </c>
      <c r="HY1180" s="1">
        <v>41256</v>
      </c>
      <c r="HZ1180">
        <v>19</v>
      </c>
      <c r="IA1180">
        <v>105</v>
      </c>
      <c r="IB1180" t="s">
        <v>946</v>
      </c>
      <c r="IC1180" t="s">
        <v>458</v>
      </c>
    </row>
    <row r="1181" spans="1:237" x14ac:dyDescent="0.25">
      <c r="A1181">
        <v>16486188</v>
      </c>
      <c r="B1181">
        <v>1180</v>
      </c>
      <c r="C1181" t="s">
        <v>393</v>
      </c>
      <c r="D1181" t="s">
        <v>394</v>
      </c>
      <c r="F1181" t="str">
        <f>"21-2N-27-0000-0001-0160"</f>
        <v>21-2N-27-0000-0001-0160</v>
      </c>
      <c r="H1181" t="str">
        <f t="shared" si="400"/>
        <v>HAIR TONY RAY</v>
      </c>
      <c r="I1181" t="str">
        <f t="shared" si="401"/>
        <v>2638 MCGREGOR BLVD</v>
      </c>
      <c r="J1181" t="str">
        <f t="shared" si="402"/>
        <v>FERNANDINA BEACH FL 32034</v>
      </c>
      <c r="K1181" t="str">
        <f t="shared" si="403"/>
        <v>US HWY 17</v>
      </c>
      <c r="L1181" t="str">
        <f t="shared" si="372"/>
        <v>YULEE FL 32097</v>
      </c>
      <c r="M1181" t="str">
        <f>"PT OR 1477/936"</f>
        <v>PT OR 1477/936</v>
      </c>
      <c r="N1181" t="str">
        <f>""</f>
        <v/>
      </c>
      <c r="O1181" t="str">
        <f>"33440"</f>
        <v>33440</v>
      </c>
      <c r="P1181" t="str">
        <f t="shared" si="382"/>
        <v>2017</v>
      </c>
      <c r="Q1181" t="str">
        <f>""</f>
        <v/>
      </c>
      <c r="R1181" t="str">
        <f t="shared" si="390"/>
        <v>N</v>
      </c>
      <c r="S1181" t="str">
        <f>""</f>
        <v/>
      </c>
      <c r="T1181" t="str">
        <f>"121.12"</f>
        <v>121.12</v>
      </c>
      <c r="U1181" t="str">
        <f>"8000.00"</f>
        <v>8000.00</v>
      </c>
      <c r="V1181" t="str">
        <f>"8000.00"</f>
        <v>8000.00</v>
      </c>
      <c r="W1181" t="str">
        <f t="shared" si="383"/>
        <v>2017</v>
      </c>
      <c r="X1181" t="str">
        <f>"14.25"</f>
        <v>14.25</v>
      </c>
      <c r="Y1181" t="str">
        <f>"156.75"</f>
        <v>156.75</v>
      </c>
      <c r="Z1181" t="str">
        <f>""</f>
        <v/>
      </c>
      <c r="AA1181" t="str">
        <f>"8000.00"</f>
        <v>8000.00</v>
      </c>
      <c r="AB1181" t="str">
        <f t="shared" si="373"/>
        <v>Residential</v>
      </c>
      <c r="AC1181" t="str">
        <f t="shared" si="399"/>
        <v>0</v>
      </c>
      <c r="AD1181" t="str">
        <f>""</f>
        <v/>
      </c>
      <c r="AE1181" t="str">
        <f>""</f>
        <v/>
      </c>
      <c r="AF1181" t="str">
        <f t="shared" si="393"/>
        <v>000</v>
      </c>
      <c r="AG1181" t="str">
        <f t="shared" si="381"/>
        <v>FL</v>
      </c>
      <c r="AH1181" t="str">
        <f>"62268.00"</f>
        <v>62268.00</v>
      </c>
      <c r="AI1181" t="str">
        <f>"8000.00"</f>
        <v>8000.00</v>
      </c>
      <c r="AJ1181" t="str">
        <f>"C55-001-002-4856-6"</f>
        <v>C55-001-002-4856-6</v>
      </c>
      <c r="AK1181" t="str">
        <f>"19801"</f>
        <v>19801</v>
      </c>
      <c r="AL1181">
        <v>5</v>
      </c>
      <c r="AM1181">
        <v>1349</v>
      </c>
      <c r="AN1181">
        <v>162.99</v>
      </c>
      <c r="AQ1181" t="s">
        <v>12047</v>
      </c>
      <c r="AR1181" t="s">
        <v>12047</v>
      </c>
      <c r="AS1181" t="s">
        <v>12047</v>
      </c>
      <c r="AU1181" t="s">
        <v>396</v>
      </c>
      <c r="AV1181">
        <v>2017</v>
      </c>
      <c r="AW1181" t="str">
        <f>"21-2N-27-0000-0001-0160 "</f>
        <v xml:space="preserve">21-2N-27-0000-0001-0160 </v>
      </c>
      <c r="AZ1181" t="s">
        <v>11185</v>
      </c>
      <c r="BD1181" t="s">
        <v>2387</v>
      </c>
      <c r="BE1181" t="s">
        <v>393</v>
      </c>
      <c r="BF1181">
        <v>32097</v>
      </c>
      <c r="BG1181" t="s">
        <v>11185</v>
      </c>
      <c r="BH1181" t="s">
        <v>2388</v>
      </c>
      <c r="BI1181">
        <v>-81.608349394393599</v>
      </c>
      <c r="BJ1181">
        <v>30.5772468063827</v>
      </c>
      <c r="BK1181" t="s">
        <v>12024</v>
      </c>
      <c r="BM1181" t="s">
        <v>12025</v>
      </c>
      <c r="BN1181" t="s">
        <v>3983</v>
      </c>
      <c r="BO1181">
        <v>32034</v>
      </c>
      <c r="BP1181" t="s">
        <v>404</v>
      </c>
      <c r="BQ1181">
        <v>0</v>
      </c>
      <c r="BR1181" t="s">
        <v>491</v>
      </c>
      <c r="BS1181">
        <v>8001</v>
      </c>
      <c r="BT1181" t="s">
        <v>492</v>
      </c>
      <c r="BW1181">
        <v>62268</v>
      </c>
      <c r="BX1181" t="s">
        <v>407</v>
      </c>
      <c r="BY1181" t="s">
        <v>408</v>
      </c>
      <c r="CD1181">
        <v>2017</v>
      </c>
      <c r="CE1181">
        <v>8000</v>
      </c>
      <c r="CG1181">
        <v>8000</v>
      </c>
      <c r="CH1181">
        <v>2017</v>
      </c>
      <c r="CI1181">
        <v>8000</v>
      </c>
      <c r="CK1181">
        <v>8000</v>
      </c>
      <c r="CL1181">
        <v>2017</v>
      </c>
      <c r="CM1181">
        <v>121.12</v>
      </c>
      <c r="CN1181" s="1">
        <v>39121</v>
      </c>
      <c r="CO1181">
        <v>30000</v>
      </c>
      <c r="CZ1181" s="1">
        <v>39121</v>
      </c>
      <c r="DD1181" t="s">
        <v>2387</v>
      </c>
      <c r="DG1181">
        <v>21</v>
      </c>
      <c r="DL1181">
        <v>50303</v>
      </c>
      <c r="DM1181" t="s">
        <v>11947</v>
      </c>
      <c r="DO1181" t="s">
        <v>12026</v>
      </c>
      <c r="DP1181">
        <v>0</v>
      </c>
      <c r="DQ1181">
        <v>0</v>
      </c>
      <c r="DR1181" t="s">
        <v>411</v>
      </c>
      <c r="DS1181" t="b">
        <v>1</v>
      </c>
      <c r="DT1181" t="s">
        <v>8902</v>
      </c>
      <c r="DV1181" t="s">
        <v>446</v>
      </c>
      <c r="DX1181">
        <v>8</v>
      </c>
      <c r="DY1181" t="s">
        <v>11438</v>
      </c>
      <c r="DZ1181" t="s">
        <v>447</v>
      </c>
      <c r="EA1181" t="s">
        <v>448</v>
      </c>
      <c r="EB1181" t="s">
        <v>11949</v>
      </c>
      <c r="EC1181">
        <v>20101217</v>
      </c>
      <c r="ED1181" t="s">
        <v>450</v>
      </c>
      <c r="EE1181">
        <v>7.5</v>
      </c>
      <c r="EF1181">
        <v>0</v>
      </c>
      <c r="EG1181">
        <v>0</v>
      </c>
      <c r="EI1181">
        <v>20160407</v>
      </c>
      <c r="EJ1181">
        <v>0</v>
      </c>
      <c r="EK1181">
        <v>0</v>
      </c>
      <c r="EP1181" t="s">
        <v>421</v>
      </c>
      <c r="EQ1181" t="s">
        <v>452</v>
      </c>
      <c r="ER1181">
        <v>3</v>
      </c>
      <c r="ES1181">
        <v>3</v>
      </c>
      <c r="ET1181">
        <v>452.49</v>
      </c>
      <c r="EU1181">
        <v>181.41</v>
      </c>
      <c r="EV1181">
        <v>633.9</v>
      </c>
      <c r="EW1181" s="2">
        <v>43222</v>
      </c>
      <c r="EX1181" s="1">
        <v>42879</v>
      </c>
      <c r="EY1181">
        <v>2016</v>
      </c>
      <c r="EZ1181">
        <v>151.93</v>
      </c>
      <c r="FA1181" t="s">
        <v>12048</v>
      </c>
      <c r="FB1181">
        <v>18</v>
      </c>
      <c r="FC1181" t="s">
        <v>424</v>
      </c>
      <c r="FD1181" t="s">
        <v>454</v>
      </c>
      <c r="FF1181">
        <v>12</v>
      </c>
      <c r="FG1181">
        <v>7685283</v>
      </c>
      <c r="FH1181" t="s">
        <v>6726</v>
      </c>
      <c r="FJ1181" s="1">
        <v>42515</v>
      </c>
      <c r="FK1181">
        <v>2015</v>
      </c>
      <c r="FL1181">
        <v>149.94999999999999</v>
      </c>
      <c r="FM1181" t="s">
        <v>12049</v>
      </c>
      <c r="FN1181">
        <v>18</v>
      </c>
      <c r="FO1181" t="s">
        <v>424</v>
      </c>
      <c r="FP1181" t="s">
        <v>454</v>
      </c>
      <c r="FR1181">
        <v>24</v>
      </c>
      <c r="FS1181">
        <v>13139</v>
      </c>
      <c r="FT1181" t="s">
        <v>955</v>
      </c>
      <c r="FV1181" s="1">
        <v>42151</v>
      </c>
      <c r="FW1181">
        <v>2014</v>
      </c>
      <c r="FX1181">
        <v>150.61000000000001</v>
      </c>
      <c r="FY1181" t="s">
        <v>12050</v>
      </c>
      <c r="FZ1181">
        <v>18</v>
      </c>
      <c r="GA1181" t="s">
        <v>424</v>
      </c>
      <c r="GB1181" t="s">
        <v>454</v>
      </c>
      <c r="GD1181">
        <v>36</v>
      </c>
      <c r="GE1181">
        <v>10125</v>
      </c>
      <c r="GF1181" t="s">
        <v>440</v>
      </c>
      <c r="GH1181" s="1">
        <v>41787</v>
      </c>
      <c r="GI1181">
        <v>2013</v>
      </c>
      <c r="GJ1181">
        <v>143.72999999999999</v>
      </c>
      <c r="GK1181" t="s">
        <v>12051</v>
      </c>
      <c r="GL1181">
        <v>5.75</v>
      </c>
      <c r="GM1181" t="s">
        <v>424</v>
      </c>
      <c r="GN1181" t="s">
        <v>425</v>
      </c>
      <c r="GO1181" s="1">
        <v>42408</v>
      </c>
      <c r="GP1181">
        <v>21</v>
      </c>
      <c r="GQ1181">
        <v>13139</v>
      </c>
      <c r="GR1181" t="s">
        <v>955</v>
      </c>
      <c r="GT1181" s="1">
        <v>41052</v>
      </c>
      <c r="GU1181">
        <v>2011</v>
      </c>
      <c r="GV1181">
        <v>139.4</v>
      </c>
      <c r="GW1181" t="s">
        <v>12052</v>
      </c>
      <c r="GX1181">
        <v>16</v>
      </c>
      <c r="GY1181" t="s">
        <v>424</v>
      </c>
      <c r="GZ1181" t="s">
        <v>425</v>
      </c>
      <c r="HA1181" s="1">
        <v>41256</v>
      </c>
      <c r="HB1181">
        <v>7</v>
      </c>
      <c r="HC1181">
        <v>10125</v>
      </c>
      <c r="HD1181" t="s">
        <v>440</v>
      </c>
      <c r="HE1181" t="s">
        <v>458</v>
      </c>
      <c r="HF1181" s="1">
        <v>40688</v>
      </c>
      <c r="HG1181">
        <v>2010</v>
      </c>
      <c r="HH1181">
        <v>138.47999999999999</v>
      </c>
      <c r="HI1181" t="s">
        <v>12053</v>
      </c>
      <c r="HJ1181">
        <v>6.75</v>
      </c>
      <c r="HK1181" t="s">
        <v>424</v>
      </c>
      <c r="HL1181" t="s">
        <v>425</v>
      </c>
      <c r="HM1181" s="1">
        <v>41256</v>
      </c>
      <c r="HN1181">
        <v>19</v>
      </c>
      <c r="HO1181">
        <v>375</v>
      </c>
      <c r="HP1181" t="s">
        <v>776</v>
      </c>
      <c r="HQ1181" t="s">
        <v>458</v>
      </c>
    </row>
    <row r="1182" spans="1:237" x14ac:dyDescent="0.25">
      <c r="A1182">
        <v>16486189</v>
      </c>
      <c r="B1182">
        <v>1181</v>
      </c>
      <c r="C1182" t="s">
        <v>393</v>
      </c>
      <c r="D1182" t="s">
        <v>394</v>
      </c>
      <c r="F1182" t="str">
        <f>"21-2N-27-0000-0001-0170"</f>
        <v>21-2N-27-0000-0001-0170</v>
      </c>
      <c r="H1182" t="str">
        <f t="shared" si="400"/>
        <v>HAIR TONY RAY</v>
      </c>
      <c r="I1182" t="str">
        <f t="shared" si="401"/>
        <v>2638 MCGREGOR BLVD</v>
      </c>
      <c r="J1182" t="str">
        <f t="shared" si="402"/>
        <v>FERNANDINA BEACH FL 32034</v>
      </c>
      <c r="K1182" t="str">
        <f t="shared" si="403"/>
        <v>US HWY 17</v>
      </c>
      <c r="L1182" t="str">
        <f>"YULEE FL 32037"</f>
        <v>YULEE FL 32037</v>
      </c>
      <c r="M1182" t="str">
        <f>"IN OR 1487/75"</f>
        <v>IN OR 1487/75</v>
      </c>
      <c r="N1182" t="str">
        <f>""</f>
        <v/>
      </c>
      <c r="O1182" t="str">
        <f>"33441"</f>
        <v>33441</v>
      </c>
      <c r="P1182" t="str">
        <f t="shared" si="382"/>
        <v>2017</v>
      </c>
      <c r="Q1182" t="str">
        <f>""</f>
        <v/>
      </c>
      <c r="R1182" t="str">
        <f t="shared" si="390"/>
        <v>N</v>
      </c>
      <c r="S1182" t="str">
        <f>""</f>
        <v/>
      </c>
      <c r="T1182" t="str">
        <f>"272.50"</f>
        <v>272.50</v>
      </c>
      <c r="U1182" t="str">
        <f>"18000.00"</f>
        <v>18000.00</v>
      </c>
      <c r="V1182" t="str">
        <f>"18000.00"</f>
        <v>18000.00</v>
      </c>
      <c r="W1182" t="str">
        <f t="shared" si="383"/>
        <v>2017</v>
      </c>
      <c r="X1182" t="str">
        <f>"22.50"</f>
        <v>22.50</v>
      </c>
      <c r="Y1182" t="str">
        <f>"312.68"</f>
        <v>312.68</v>
      </c>
      <c r="Z1182" t="str">
        <f>""</f>
        <v/>
      </c>
      <c r="AA1182" t="str">
        <f>"18000.00"</f>
        <v>18000.00</v>
      </c>
      <c r="AB1182" t="str">
        <f t="shared" si="373"/>
        <v>Residential</v>
      </c>
      <c r="AC1182" t="str">
        <f t="shared" si="399"/>
        <v>0</v>
      </c>
      <c r="AD1182" t="str">
        <f>""</f>
        <v/>
      </c>
      <c r="AE1182" t="str">
        <f>""</f>
        <v/>
      </c>
      <c r="AF1182" t="str">
        <f t="shared" si="393"/>
        <v>000</v>
      </c>
      <c r="AG1182" t="str">
        <f t="shared" si="381"/>
        <v>FL</v>
      </c>
      <c r="AH1182" t="str">
        <f>"150771.00"</f>
        <v>150771.00</v>
      </c>
      <c r="AI1182" t="str">
        <f>"18000.00"</f>
        <v>18000.00</v>
      </c>
      <c r="AJ1182" t="str">
        <f>"C55-001-002-4857-4"</f>
        <v>C55-001-002-4857-4</v>
      </c>
      <c r="AK1182" t="str">
        <f>"19802"</f>
        <v>19802</v>
      </c>
      <c r="AL1182">
        <v>5</v>
      </c>
      <c r="AM1182">
        <v>1350</v>
      </c>
      <c r="AN1182">
        <v>326.70999999999998</v>
      </c>
      <c r="AQ1182" t="s">
        <v>12054</v>
      </c>
      <c r="AR1182" t="s">
        <v>12054</v>
      </c>
      <c r="AS1182" t="s">
        <v>12054</v>
      </c>
      <c r="AU1182" t="s">
        <v>396</v>
      </c>
      <c r="AV1182">
        <v>2017</v>
      </c>
      <c r="AW1182" t="str">
        <f>"21-2N-27-0000-0001-0170 "</f>
        <v xml:space="preserve">21-2N-27-0000-0001-0170 </v>
      </c>
      <c r="AZ1182" t="s">
        <v>11185</v>
      </c>
      <c r="BD1182" t="s">
        <v>2387</v>
      </c>
      <c r="BE1182" t="s">
        <v>393</v>
      </c>
      <c r="BF1182">
        <v>32037</v>
      </c>
      <c r="BG1182" t="s">
        <v>11185</v>
      </c>
      <c r="BH1182" t="s">
        <v>12055</v>
      </c>
      <c r="BI1182">
        <v>-81.602597669753493</v>
      </c>
      <c r="BJ1182">
        <v>30.584799763425401</v>
      </c>
      <c r="BK1182" t="s">
        <v>12024</v>
      </c>
      <c r="BM1182" t="s">
        <v>12025</v>
      </c>
      <c r="BN1182" t="s">
        <v>3983</v>
      </c>
      <c r="BO1182">
        <v>32034</v>
      </c>
      <c r="BP1182" t="s">
        <v>404</v>
      </c>
      <c r="BQ1182">
        <v>0</v>
      </c>
      <c r="BR1182" t="s">
        <v>491</v>
      </c>
      <c r="BS1182">
        <v>8001</v>
      </c>
      <c r="BT1182" t="s">
        <v>492</v>
      </c>
      <c r="BW1182">
        <v>150771</v>
      </c>
      <c r="BX1182" t="s">
        <v>407</v>
      </c>
      <c r="BY1182" t="s">
        <v>408</v>
      </c>
      <c r="CD1182">
        <v>2017</v>
      </c>
      <c r="CE1182">
        <v>18000</v>
      </c>
      <c r="CG1182">
        <v>18000</v>
      </c>
      <c r="CH1182">
        <v>2017</v>
      </c>
      <c r="CI1182">
        <v>18000</v>
      </c>
      <c r="CK1182">
        <v>18000</v>
      </c>
      <c r="CL1182">
        <v>2017</v>
      </c>
      <c r="CM1182">
        <v>272.5</v>
      </c>
      <c r="CN1182" s="1">
        <v>39163</v>
      </c>
      <c r="CO1182">
        <v>22500</v>
      </c>
      <c r="CZ1182" s="1">
        <v>39163</v>
      </c>
      <c r="DD1182" t="s">
        <v>2387</v>
      </c>
      <c r="DG1182">
        <v>21</v>
      </c>
      <c r="DL1182">
        <v>50303</v>
      </c>
      <c r="DM1182" t="s">
        <v>11947</v>
      </c>
      <c r="DO1182" t="s">
        <v>12056</v>
      </c>
      <c r="DP1182">
        <v>0</v>
      </c>
      <c r="DQ1182">
        <v>0</v>
      </c>
      <c r="DR1182" t="s">
        <v>411</v>
      </c>
      <c r="DS1182" t="b">
        <v>1</v>
      </c>
      <c r="DT1182" t="s">
        <v>8902</v>
      </c>
      <c r="DV1182" t="s">
        <v>446</v>
      </c>
      <c r="DX1182">
        <v>8</v>
      </c>
      <c r="DY1182" t="s">
        <v>11438</v>
      </c>
      <c r="DZ1182" t="s">
        <v>447</v>
      </c>
      <c r="EA1182" t="s">
        <v>448</v>
      </c>
      <c r="EB1182" t="s">
        <v>11949</v>
      </c>
      <c r="EC1182">
        <v>20101217</v>
      </c>
      <c r="ED1182" t="s">
        <v>450</v>
      </c>
      <c r="EE1182">
        <v>5</v>
      </c>
      <c r="EF1182">
        <v>0</v>
      </c>
      <c r="EG1182">
        <v>0</v>
      </c>
      <c r="EI1182">
        <v>20160407</v>
      </c>
      <c r="EJ1182">
        <v>0</v>
      </c>
      <c r="EK1182">
        <v>0</v>
      </c>
      <c r="EP1182" t="s">
        <v>421</v>
      </c>
      <c r="EQ1182" t="s">
        <v>422</v>
      </c>
      <c r="ER1182">
        <v>3</v>
      </c>
      <c r="ES1182">
        <v>4</v>
      </c>
      <c r="ET1182">
        <v>1010.18</v>
      </c>
      <c r="EU1182">
        <v>179.68</v>
      </c>
      <c r="EV1182">
        <v>1189.8599999999999</v>
      </c>
      <c r="EW1182" s="2">
        <v>43222</v>
      </c>
      <c r="EX1182" s="1">
        <v>42879</v>
      </c>
      <c r="EY1182">
        <v>2016</v>
      </c>
      <c r="EZ1182">
        <v>334.55</v>
      </c>
      <c r="FA1182" t="s">
        <v>12057</v>
      </c>
      <c r="FB1182">
        <v>14</v>
      </c>
      <c r="FC1182" t="s">
        <v>424</v>
      </c>
      <c r="FD1182" t="s">
        <v>454</v>
      </c>
      <c r="FF1182">
        <v>12</v>
      </c>
      <c r="FG1182">
        <v>7685283</v>
      </c>
      <c r="FH1182" t="s">
        <v>6726</v>
      </c>
      <c r="FJ1182" s="1">
        <v>42515</v>
      </c>
      <c r="FK1182">
        <v>2015</v>
      </c>
      <c r="FL1182">
        <v>337.02</v>
      </c>
      <c r="FM1182" t="s">
        <v>12058</v>
      </c>
      <c r="FN1182">
        <v>6</v>
      </c>
      <c r="FO1182" t="s">
        <v>424</v>
      </c>
      <c r="FP1182" t="s">
        <v>454</v>
      </c>
      <c r="FR1182">
        <v>24</v>
      </c>
      <c r="FS1182">
        <v>13139</v>
      </c>
      <c r="FT1182" t="s">
        <v>955</v>
      </c>
      <c r="FV1182" s="1">
        <v>42151</v>
      </c>
      <c r="FW1182">
        <v>2014</v>
      </c>
      <c r="FX1182">
        <v>338.61</v>
      </c>
      <c r="FY1182" t="s">
        <v>12059</v>
      </c>
      <c r="FZ1182">
        <v>7.25</v>
      </c>
      <c r="GA1182" t="s">
        <v>424</v>
      </c>
      <c r="GB1182" t="s">
        <v>454</v>
      </c>
      <c r="GD1182">
        <v>36</v>
      </c>
      <c r="GE1182">
        <v>10125</v>
      </c>
      <c r="GF1182" t="s">
        <v>440</v>
      </c>
      <c r="GH1182" s="1">
        <v>41787</v>
      </c>
      <c r="GI1182">
        <v>2013</v>
      </c>
      <c r="GJ1182">
        <v>321.68</v>
      </c>
      <c r="GK1182" t="s">
        <v>12060</v>
      </c>
      <c r="GL1182">
        <v>6</v>
      </c>
      <c r="GM1182" t="s">
        <v>424</v>
      </c>
      <c r="GN1182" t="s">
        <v>425</v>
      </c>
      <c r="GO1182" s="1">
        <v>42408</v>
      </c>
      <c r="GP1182">
        <v>21</v>
      </c>
      <c r="GQ1182">
        <v>13139</v>
      </c>
      <c r="GR1182" t="s">
        <v>955</v>
      </c>
      <c r="GT1182" s="1">
        <v>41423</v>
      </c>
      <c r="GU1182">
        <v>2012</v>
      </c>
      <c r="GV1182">
        <v>325.45</v>
      </c>
      <c r="GW1182" t="s">
        <v>12061</v>
      </c>
      <c r="GX1182">
        <v>4.75</v>
      </c>
      <c r="GY1182" t="s">
        <v>424</v>
      </c>
      <c r="GZ1182" t="s">
        <v>425</v>
      </c>
      <c r="HA1182" s="1">
        <v>42061</v>
      </c>
      <c r="HB1182">
        <v>21</v>
      </c>
      <c r="HC1182">
        <v>10125</v>
      </c>
      <c r="HD1182" t="s">
        <v>440</v>
      </c>
      <c r="HF1182" s="1">
        <v>41052</v>
      </c>
      <c r="HG1182">
        <v>2011</v>
      </c>
      <c r="HH1182">
        <v>322.74</v>
      </c>
      <c r="HI1182" t="s">
        <v>12062</v>
      </c>
      <c r="HJ1182">
        <v>16</v>
      </c>
      <c r="HK1182" t="s">
        <v>424</v>
      </c>
      <c r="HL1182" t="s">
        <v>425</v>
      </c>
      <c r="HM1182" s="1">
        <v>42061</v>
      </c>
      <c r="HN1182">
        <v>33</v>
      </c>
      <c r="HO1182">
        <v>10125</v>
      </c>
      <c r="HP1182" t="s">
        <v>440</v>
      </c>
      <c r="HR1182" s="1">
        <v>40688</v>
      </c>
      <c r="HS1182">
        <v>2010</v>
      </c>
      <c r="HT1182">
        <v>321.89</v>
      </c>
      <c r="HU1182" t="s">
        <v>12063</v>
      </c>
      <c r="HV1182">
        <v>6.75</v>
      </c>
      <c r="HW1182" t="s">
        <v>424</v>
      </c>
      <c r="HX1182" t="s">
        <v>425</v>
      </c>
      <c r="HY1182" s="1">
        <v>41269</v>
      </c>
      <c r="HZ1182">
        <v>19</v>
      </c>
      <c r="IA1182">
        <v>105</v>
      </c>
      <c r="IB1182" t="s">
        <v>946</v>
      </c>
    </row>
    <row r="1183" spans="1:237" x14ac:dyDescent="0.25">
      <c r="A1183">
        <v>16486190</v>
      </c>
      <c r="B1183">
        <v>1182</v>
      </c>
      <c r="C1183" t="s">
        <v>393</v>
      </c>
      <c r="D1183" t="s">
        <v>394</v>
      </c>
      <c r="F1183" t="str">
        <f>"21-2N-27-0000-0001-0180"</f>
        <v>21-2N-27-0000-0001-0180</v>
      </c>
      <c r="H1183" t="str">
        <f t="shared" si="400"/>
        <v>HAIR TONY RAY</v>
      </c>
      <c r="I1183" t="str">
        <f t="shared" si="401"/>
        <v>2638 MCGREGOR BLVD</v>
      </c>
      <c r="J1183" t="str">
        <f t="shared" si="402"/>
        <v>FERNANDINA BEACH FL 32034</v>
      </c>
      <c r="K1183" t="str">
        <f t="shared" si="403"/>
        <v>US HWY 17</v>
      </c>
      <c r="L1183" t="str">
        <f>"YULEE FL 32097"</f>
        <v>YULEE FL 32097</v>
      </c>
      <c r="M1183" t="str">
        <f>"PT OR 1527/1286"</f>
        <v>PT OR 1527/1286</v>
      </c>
      <c r="N1183" t="str">
        <f>""</f>
        <v/>
      </c>
      <c r="O1183" t="str">
        <f>"33442"</f>
        <v>33442</v>
      </c>
      <c r="P1183" t="str">
        <f t="shared" si="382"/>
        <v>2017</v>
      </c>
      <c r="Q1183" t="str">
        <f>""</f>
        <v/>
      </c>
      <c r="R1183" t="str">
        <f t="shared" si="390"/>
        <v>N</v>
      </c>
      <c r="S1183" t="str">
        <f>""</f>
        <v/>
      </c>
      <c r="T1183" t="str">
        <f>"76.08"</f>
        <v>76.08</v>
      </c>
      <c r="U1183" t="str">
        <f>"5025.00"</f>
        <v>5025.00</v>
      </c>
      <c r="V1183" t="str">
        <f>"5025.00"</f>
        <v>5025.00</v>
      </c>
      <c r="W1183" t="str">
        <f t="shared" si="383"/>
        <v>2017</v>
      </c>
      <c r="X1183" t="str">
        <f>"22.50"</f>
        <v>22.50</v>
      </c>
      <c r="Y1183" t="str">
        <f>"110.36"</f>
        <v>110.36</v>
      </c>
      <c r="Z1183" t="str">
        <f>""</f>
        <v/>
      </c>
      <c r="AA1183" t="str">
        <f>"5025.00"</f>
        <v>5025.00</v>
      </c>
      <c r="AB1183" t="str">
        <f t="shared" si="373"/>
        <v>Residential</v>
      </c>
      <c r="AC1183" t="str">
        <f t="shared" si="399"/>
        <v>0</v>
      </c>
      <c r="AD1183" t="str">
        <f>""</f>
        <v/>
      </c>
      <c r="AE1183" t="str">
        <f>""</f>
        <v/>
      </c>
      <c r="AF1183" t="str">
        <f t="shared" si="393"/>
        <v>000</v>
      </c>
      <c r="AG1183" t="str">
        <f t="shared" si="381"/>
        <v>FL</v>
      </c>
      <c r="AH1183" t="str">
        <f>"26583.00"</f>
        <v>26583.00</v>
      </c>
      <c r="AI1183" t="str">
        <f>"5025.00"</f>
        <v>5025.00</v>
      </c>
      <c r="AJ1183" t="str">
        <f>"C55-001-011-3244-7"</f>
        <v>C55-001-011-3244-7</v>
      </c>
      <c r="AK1183" t="str">
        <f>"19803"</f>
        <v>19803</v>
      </c>
      <c r="AL1183">
        <v>5</v>
      </c>
      <c r="AM1183">
        <v>1351</v>
      </c>
      <c r="AN1183">
        <v>114.28</v>
      </c>
      <c r="AQ1183" t="s">
        <v>12064</v>
      </c>
      <c r="AR1183" t="s">
        <v>12064</v>
      </c>
      <c r="AS1183" t="s">
        <v>12064</v>
      </c>
      <c r="AU1183" t="s">
        <v>396</v>
      </c>
      <c r="AV1183">
        <v>2017</v>
      </c>
      <c r="AW1183" t="str">
        <f>"21-2N-27-0000-0001-0180 "</f>
        <v xml:space="preserve">21-2N-27-0000-0001-0180 </v>
      </c>
      <c r="AZ1183" t="s">
        <v>11185</v>
      </c>
      <c r="BD1183" t="s">
        <v>2387</v>
      </c>
      <c r="BE1183" t="s">
        <v>393</v>
      </c>
      <c r="BF1183">
        <v>32097</v>
      </c>
      <c r="BG1183" t="s">
        <v>11185</v>
      </c>
      <c r="BH1183" t="s">
        <v>2388</v>
      </c>
      <c r="BI1183">
        <v>-81.609226028740807</v>
      </c>
      <c r="BJ1183">
        <v>30.576697799832001</v>
      </c>
      <c r="BK1183" t="s">
        <v>12024</v>
      </c>
      <c r="BM1183" t="s">
        <v>12025</v>
      </c>
      <c r="BN1183" t="s">
        <v>3983</v>
      </c>
      <c r="BO1183">
        <v>32034</v>
      </c>
      <c r="BP1183" t="s">
        <v>404</v>
      </c>
      <c r="BQ1183">
        <v>0</v>
      </c>
      <c r="BR1183" t="s">
        <v>491</v>
      </c>
      <c r="BS1183">
        <v>8001</v>
      </c>
      <c r="BT1183" t="s">
        <v>492</v>
      </c>
      <c r="BW1183">
        <v>26583</v>
      </c>
      <c r="BX1183" t="s">
        <v>407</v>
      </c>
      <c r="BY1183" t="s">
        <v>408</v>
      </c>
      <c r="CD1183">
        <v>2017</v>
      </c>
      <c r="CE1183">
        <v>5025</v>
      </c>
      <c r="CG1183">
        <v>5025</v>
      </c>
      <c r="CH1183">
        <v>2017</v>
      </c>
      <c r="CI1183">
        <v>5025</v>
      </c>
      <c r="CK1183">
        <v>5025</v>
      </c>
      <c r="CL1183">
        <v>2017</v>
      </c>
      <c r="CM1183">
        <v>76.08</v>
      </c>
      <c r="CN1183" s="1">
        <v>39352</v>
      </c>
      <c r="CO1183">
        <v>22800</v>
      </c>
      <c r="CZ1183" s="1">
        <v>39352</v>
      </c>
      <c r="DD1183" t="s">
        <v>2387</v>
      </c>
      <c r="DG1183">
        <v>21</v>
      </c>
      <c r="DL1183">
        <v>50303</v>
      </c>
      <c r="DM1183" t="s">
        <v>11947</v>
      </c>
      <c r="DO1183" t="s">
        <v>12065</v>
      </c>
      <c r="DP1183">
        <v>0</v>
      </c>
      <c r="DQ1183">
        <v>0</v>
      </c>
      <c r="DR1183" t="s">
        <v>411</v>
      </c>
      <c r="DS1183" t="b">
        <v>1</v>
      </c>
      <c r="DT1183" t="s">
        <v>8902</v>
      </c>
      <c r="DV1183" t="s">
        <v>446</v>
      </c>
      <c r="DX1183">
        <v>8</v>
      </c>
      <c r="DY1183" t="s">
        <v>11438</v>
      </c>
      <c r="DZ1183" t="s">
        <v>447</v>
      </c>
      <c r="EA1183" t="s">
        <v>448</v>
      </c>
      <c r="EB1183" t="s">
        <v>11949</v>
      </c>
      <c r="EC1183">
        <v>20101217</v>
      </c>
      <c r="ED1183" t="s">
        <v>450</v>
      </c>
      <c r="EE1183">
        <v>6.8</v>
      </c>
      <c r="EF1183">
        <v>0</v>
      </c>
      <c r="EG1183">
        <v>0</v>
      </c>
      <c r="EI1183">
        <v>20160407</v>
      </c>
      <c r="EJ1183">
        <v>0</v>
      </c>
      <c r="EK1183">
        <v>0</v>
      </c>
      <c r="EP1183" t="s">
        <v>595</v>
      </c>
      <c r="EQ1183" t="s">
        <v>422</v>
      </c>
      <c r="ER1183">
        <v>3</v>
      </c>
      <c r="ES1183">
        <v>4</v>
      </c>
      <c r="ET1183">
        <v>325.75</v>
      </c>
      <c r="EU1183">
        <v>135.56</v>
      </c>
      <c r="EV1183">
        <v>461.31</v>
      </c>
      <c r="EW1183" s="2">
        <v>43222</v>
      </c>
      <c r="EX1183" s="1">
        <v>42879</v>
      </c>
      <c r="EY1183">
        <v>2016</v>
      </c>
      <c r="EZ1183">
        <v>110.42</v>
      </c>
      <c r="FA1183" t="s">
        <v>12066</v>
      </c>
      <c r="FB1183">
        <v>18</v>
      </c>
      <c r="FC1183" t="s">
        <v>603</v>
      </c>
      <c r="FD1183" t="s">
        <v>454</v>
      </c>
      <c r="FF1183">
        <v>12</v>
      </c>
      <c r="FG1183">
        <v>9999999</v>
      </c>
      <c r="FH1183" t="s">
        <v>604</v>
      </c>
      <c r="FJ1183" s="1">
        <v>42515</v>
      </c>
      <c r="FK1183">
        <v>2015</v>
      </c>
      <c r="FL1183">
        <v>107.45</v>
      </c>
      <c r="FM1183" t="s">
        <v>12067</v>
      </c>
      <c r="FN1183">
        <v>18</v>
      </c>
      <c r="FO1183" t="s">
        <v>424</v>
      </c>
      <c r="FP1183" t="s">
        <v>454</v>
      </c>
      <c r="FR1183">
        <v>24</v>
      </c>
      <c r="FS1183">
        <v>13139</v>
      </c>
      <c r="FT1183" t="s">
        <v>955</v>
      </c>
      <c r="FV1183" s="1">
        <v>42151</v>
      </c>
      <c r="FW1183">
        <v>2014</v>
      </c>
      <c r="FX1183">
        <v>107.88</v>
      </c>
      <c r="FY1183" t="s">
        <v>12068</v>
      </c>
      <c r="FZ1183">
        <v>18</v>
      </c>
      <c r="GA1183" t="s">
        <v>424</v>
      </c>
      <c r="GB1183" t="s">
        <v>454</v>
      </c>
      <c r="GD1183">
        <v>36</v>
      </c>
      <c r="GE1183">
        <v>10125</v>
      </c>
      <c r="GF1183" t="s">
        <v>440</v>
      </c>
      <c r="GH1183" s="1">
        <v>41787</v>
      </c>
      <c r="GI1183">
        <v>2013</v>
      </c>
      <c r="GJ1183">
        <v>103.28</v>
      </c>
      <c r="GK1183" t="s">
        <v>12069</v>
      </c>
      <c r="GL1183">
        <v>4.75</v>
      </c>
      <c r="GM1183" t="s">
        <v>424</v>
      </c>
      <c r="GN1183" t="s">
        <v>425</v>
      </c>
      <c r="GO1183" s="1">
        <v>42408</v>
      </c>
      <c r="GP1183">
        <v>21</v>
      </c>
      <c r="GQ1183">
        <v>13139</v>
      </c>
      <c r="GR1183" t="s">
        <v>955</v>
      </c>
      <c r="GT1183" s="1">
        <v>41423</v>
      </c>
      <c r="GU1183">
        <v>2012</v>
      </c>
      <c r="GV1183">
        <v>104.3</v>
      </c>
      <c r="GW1183" t="s">
        <v>12070</v>
      </c>
      <c r="GX1183">
        <v>7.5</v>
      </c>
      <c r="GY1183" t="s">
        <v>424</v>
      </c>
      <c r="GZ1183" t="s">
        <v>425</v>
      </c>
      <c r="HA1183" s="1">
        <v>42061</v>
      </c>
      <c r="HB1183">
        <v>21</v>
      </c>
      <c r="HC1183">
        <v>10003</v>
      </c>
      <c r="HD1183" t="s">
        <v>4341</v>
      </c>
      <c r="HF1183" s="1">
        <v>41052</v>
      </c>
      <c r="HG1183">
        <v>2011</v>
      </c>
      <c r="HH1183">
        <v>97.73</v>
      </c>
      <c r="HI1183" t="s">
        <v>12071</v>
      </c>
      <c r="HJ1183">
        <v>18</v>
      </c>
      <c r="HK1183" t="s">
        <v>424</v>
      </c>
      <c r="HL1183" t="s">
        <v>425</v>
      </c>
      <c r="HM1183" s="1">
        <v>42061</v>
      </c>
      <c r="HN1183">
        <v>33</v>
      </c>
      <c r="HO1183">
        <v>10125</v>
      </c>
      <c r="HP1183" t="s">
        <v>440</v>
      </c>
      <c r="HR1183" s="1">
        <v>40688</v>
      </c>
      <c r="HS1183">
        <v>2010</v>
      </c>
      <c r="HT1183">
        <v>96.78</v>
      </c>
      <c r="HU1183" t="s">
        <v>12072</v>
      </c>
      <c r="HV1183">
        <v>6.75</v>
      </c>
      <c r="HW1183" t="s">
        <v>424</v>
      </c>
      <c r="HX1183" t="s">
        <v>425</v>
      </c>
      <c r="HY1183" s="1">
        <v>41269</v>
      </c>
      <c r="HZ1183">
        <v>19</v>
      </c>
      <c r="IA1183">
        <v>375</v>
      </c>
      <c r="IB1183" t="s">
        <v>776</v>
      </c>
    </row>
    <row r="1184" spans="1:237" x14ac:dyDescent="0.25">
      <c r="A1184">
        <v>16486191</v>
      </c>
      <c r="B1184">
        <v>1183</v>
      </c>
      <c r="C1184" t="s">
        <v>393</v>
      </c>
      <c r="D1184" t="s">
        <v>394</v>
      </c>
      <c r="F1184" t="str">
        <f>"21-2N-27-0000-0001-0190"</f>
        <v>21-2N-27-0000-0001-0190</v>
      </c>
      <c r="H1184" t="str">
        <f t="shared" si="400"/>
        <v>HAIR TONY RAY</v>
      </c>
      <c r="I1184" t="str">
        <f t="shared" si="401"/>
        <v>2638 MCGREGOR BLVD</v>
      </c>
      <c r="J1184" t="str">
        <f t="shared" si="402"/>
        <v>FERNANDINA BEACH FL 32034</v>
      </c>
      <c r="K1184" t="str">
        <f t="shared" si="403"/>
        <v>US HWY 17</v>
      </c>
      <c r="L1184" t="str">
        <f>"YULEE FL 32097"</f>
        <v>YULEE FL 32097</v>
      </c>
      <c r="M1184" t="str">
        <f>"PT OR 1527/1286"</f>
        <v>PT OR 1527/1286</v>
      </c>
      <c r="N1184" t="str">
        <f>""</f>
        <v/>
      </c>
      <c r="O1184" t="str">
        <f>"33443"</f>
        <v>33443</v>
      </c>
      <c r="P1184" t="str">
        <f t="shared" si="382"/>
        <v>2017</v>
      </c>
      <c r="Q1184" t="str">
        <f>""</f>
        <v/>
      </c>
      <c r="R1184" t="str">
        <f t="shared" si="390"/>
        <v>N</v>
      </c>
      <c r="S1184" t="str">
        <f>""</f>
        <v/>
      </c>
      <c r="T1184" t="str">
        <f>"181.66"</f>
        <v>181.66</v>
      </c>
      <c r="U1184" t="str">
        <f>"12000.00"</f>
        <v>12000.00</v>
      </c>
      <c r="V1184" t="str">
        <f>"12000.00"</f>
        <v>12000.00</v>
      </c>
      <c r="W1184" t="str">
        <f t="shared" si="383"/>
        <v>2017</v>
      </c>
      <c r="X1184" t="str">
        <f>"22.50"</f>
        <v>22.50</v>
      </c>
      <c r="Y1184" t="str">
        <f>"219.11"</f>
        <v>219.11</v>
      </c>
      <c r="Z1184" t="str">
        <f>""</f>
        <v/>
      </c>
      <c r="AA1184" t="str">
        <f>"12000.00"</f>
        <v>12000.00</v>
      </c>
      <c r="AB1184" t="str">
        <f t="shared" ref="AB1184:AB1207" si="404">"Residential"</f>
        <v>Residential</v>
      </c>
      <c r="AC1184" t="str">
        <f t="shared" si="399"/>
        <v>0</v>
      </c>
      <c r="AD1184" t="str">
        <f>""</f>
        <v/>
      </c>
      <c r="AE1184" t="str">
        <f>""</f>
        <v/>
      </c>
      <c r="AF1184" t="str">
        <f t="shared" si="393"/>
        <v>000</v>
      </c>
      <c r="AG1184" t="str">
        <f t="shared" si="381"/>
        <v>FL</v>
      </c>
      <c r="AH1184" t="str">
        <f>"77204.00"</f>
        <v>77204.00</v>
      </c>
      <c r="AI1184" t="str">
        <f>"12000.00"</f>
        <v>12000.00</v>
      </c>
      <c r="AJ1184" t="str">
        <f>"C55-001-011-3245-4"</f>
        <v>C55-001-011-3245-4</v>
      </c>
      <c r="AK1184" t="str">
        <f>"19804"</f>
        <v>19804</v>
      </c>
      <c r="AL1184">
        <v>5</v>
      </c>
      <c r="AM1184">
        <v>1352</v>
      </c>
      <c r="AN1184">
        <v>228.47</v>
      </c>
      <c r="AQ1184" t="s">
        <v>12073</v>
      </c>
      <c r="AR1184" t="s">
        <v>12073</v>
      </c>
      <c r="AS1184" t="s">
        <v>12073</v>
      </c>
      <c r="AU1184" t="s">
        <v>396</v>
      </c>
      <c r="AV1184">
        <v>2017</v>
      </c>
      <c r="AW1184" t="str">
        <f>"21-2N-27-0000-0001-0190 "</f>
        <v xml:space="preserve">21-2N-27-0000-0001-0190 </v>
      </c>
      <c r="AZ1184" t="s">
        <v>11185</v>
      </c>
      <c r="BD1184" t="s">
        <v>2387</v>
      </c>
      <c r="BE1184" t="s">
        <v>393</v>
      </c>
      <c r="BF1184">
        <v>32097</v>
      </c>
      <c r="BG1184" t="s">
        <v>11185</v>
      </c>
      <c r="BH1184" t="s">
        <v>2388</v>
      </c>
      <c r="BI1184">
        <v>-81.606915885399701</v>
      </c>
      <c r="BJ1184">
        <v>30.575959918525001</v>
      </c>
      <c r="BK1184" t="s">
        <v>12024</v>
      </c>
      <c r="BM1184" t="s">
        <v>12025</v>
      </c>
      <c r="BN1184" t="s">
        <v>3983</v>
      </c>
      <c r="BO1184">
        <v>32034</v>
      </c>
      <c r="BP1184" t="s">
        <v>404</v>
      </c>
      <c r="BQ1184">
        <v>0</v>
      </c>
      <c r="BR1184" t="s">
        <v>491</v>
      </c>
      <c r="BS1184">
        <v>8001</v>
      </c>
      <c r="BT1184" t="s">
        <v>492</v>
      </c>
      <c r="BW1184">
        <v>77204</v>
      </c>
      <c r="BX1184" t="s">
        <v>407</v>
      </c>
      <c r="BY1184" t="s">
        <v>408</v>
      </c>
      <c r="CD1184">
        <v>2017</v>
      </c>
      <c r="CE1184">
        <v>12000</v>
      </c>
      <c r="CG1184">
        <v>12000</v>
      </c>
      <c r="CH1184">
        <v>2017</v>
      </c>
      <c r="CI1184">
        <v>12000</v>
      </c>
      <c r="CK1184">
        <v>12000</v>
      </c>
      <c r="CL1184">
        <v>2017</v>
      </c>
      <c r="CM1184">
        <v>181.66</v>
      </c>
      <c r="CN1184" s="1">
        <v>39352</v>
      </c>
      <c r="CO1184">
        <v>22800</v>
      </c>
      <c r="CZ1184" s="1">
        <v>39352</v>
      </c>
      <c r="DD1184" t="s">
        <v>2387</v>
      </c>
      <c r="DG1184">
        <v>21</v>
      </c>
      <c r="DL1184">
        <v>50303</v>
      </c>
      <c r="DM1184" t="s">
        <v>11947</v>
      </c>
      <c r="DO1184" t="s">
        <v>12065</v>
      </c>
      <c r="DP1184">
        <v>0</v>
      </c>
      <c r="DQ1184">
        <v>0</v>
      </c>
      <c r="DR1184" t="s">
        <v>411</v>
      </c>
      <c r="DS1184" t="b">
        <v>1</v>
      </c>
      <c r="DT1184" t="s">
        <v>8902</v>
      </c>
      <c r="DV1184" t="s">
        <v>446</v>
      </c>
      <c r="DX1184">
        <v>9</v>
      </c>
      <c r="DY1184" t="s">
        <v>11438</v>
      </c>
      <c r="DZ1184" t="s">
        <v>447</v>
      </c>
      <c r="EA1184" t="s">
        <v>448</v>
      </c>
      <c r="EB1184" t="s">
        <v>12074</v>
      </c>
      <c r="EC1184">
        <v>20101217</v>
      </c>
      <c r="ED1184" t="s">
        <v>450</v>
      </c>
      <c r="EE1184">
        <v>7.5</v>
      </c>
      <c r="EF1184">
        <v>0</v>
      </c>
      <c r="EG1184">
        <v>0</v>
      </c>
      <c r="EI1184">
        <v>20160407</v>
      </c>
      <c r="EJ1184">
        <v>0</v>
      </c>
      <c r="EK1184">
        <v>0</v>
      </c>
      <c r="EP1184" t="s">
        <v>421</v>
      </c>
      <c r="EQ1184" t="s">
        <v>422</v>
      </c>
      <c r="ER1184">
        <v>3</v>
      </c>
      <c r="ES1184">
        <v>4</v>
      </c>
      <c r="ET1184">
        <v>705.98</v>
      </c>
      <c r="EU1184">
        <v>127.13</v>
      </c>
      <c r="EV1184">
        <v>833.11</v>
      </c>
      <c r="EW1184" s="2">
        <v>43222</v>
      </c>
      <c r="EX1184" s="1">
        <v>42879</v>
      </c>
      <c r="EY1184">
        <v>2016</v>
      </c>
      <c r="EZ1184">
        <v>234.93</v>
      </c>
      <c r="FA1184" t="s">
        <v>12075</v>
      </c>
      <c r="FB1184">
        <v>14</v>
      </c>
      <c r="FC1184" t="s">
        <v>424</v>
      </c>
      <c r="FD1184" t="s">
        <v>454</v>
      </c>
      <c r="FF1184">
        <v>12</v>
      </c>
      <c r="FG1184">
        <v>7685283</v>
      </c>
      <c r="FH1184" t="s">
        <v>6726</v>
      </c>
      <c r="FJ1184" s="1">
        <v>42515</v>
      </c>
      <c r="FK1184">
        <v>2015</v>
      </c>
      <c r="FL1184">
        <v>234.99</v>
      </c>
      <c r="FM1184" t="s">
        <v>12076</v>
      </c>
      <c r="FN1184">
        <v>0.25</v>
      </c>
      <c r="FO1184" t="s">
        <v>424</v>
      </c>
      <c r="FP1184" t="s">
        <v>454</v>
      </c>
      <c r="FR1184">
        <v>24</v>
      </c>
      <c r="FS1184">
        <v>13139</v>
      </c>
      <c r="FT1184" t="s">
        <v>955</v>
      </c>
      <c r="FV1184" s="1">
        <v>42151</v>
      </c>
      <c r="FW1184">
        <v>2014</v>
      </c>
      <c r="FX1184">
        <v>236.06</v>
      </c>
      <c r="FY1184" t="s">
        <v>12077</v>
      </c>
      <c r="FZ1184">
        <v>9</v>
      </c>
      <c r="GA1184" t="s">
        <v>424</v>
      </c>
      <c r="GB1184" t="s">
        <v>454</v>
      </c>
      <c r="GD1184">
        <v>36</v>
      </c>
      <c r="GE1184">
        <v>10125</v>
      </c>
      <c r="GF1184" t="s">
        <v>440</v>
      </c>
      <c r="GH1184" s="1">
        <v>41787</v>
      </c>
      <c r="GI1184">
        <v>2013</v>
      </c>
      <c r="GJ1184">
        <v>224.62</v>
      </c>
      <c r="GK1184" t="s">
        <v>12078</v>
      </c>
      <c r="GL1184">
        <v>5.75</v>
      </c>
      <c r="GM1184" t="s">
        <v>424</v>
      </c>
      <c r="GN1184" t="s">
        <v>425</v>
      </c>
      <c r="GO1184" s="1">
        <v>42408</v>
      </c>
      <c r="GP1184">
        <v>21</v>
      </c>
      <c r="GQ1184">
        <v>13139</v>
      </c>
      <c r="GR1184" t="s">
        <v>955</v>
      </c>
      <c r="GT1184" s="1">
        <v>41423</v>
      </c>
      <c r="GU1184">
        <v>2012</v>
      </c>
      <c r="GV1184">
        <v>227.16</v>
      </c>
      <c r="GW1184" t="s">
        <v>12079</v>
      </c>
      <c r="GX1184">
        <v>5.75</v>
      </c>
      <c r="GY1184" t="s">
        <v>424</v>
      </c>
      <c r="GZ1184" t="s">
        <v>425</v>
      </c>
      <c r="HA1184" s="1">
        <v>42061</v>
      </c>
      <c r="HB1184">
        <v>21</v>
      </c>
      <c r="HC1184">
        <v>2101381</v>
      </c>
      <c r="HD1184" t="s">
        <v>605</v>
      </c>
      <c r="HF1184" s="1">
        <v>41052</v>
      </c>
      <c r="HG1184">
        <v>2011</v>
      </c>
      <c r="HH1184">
        <v>222.75</v>
      </c>
      <c r="HI1184" t="s">
        <v>12080</v>
      </c>
      <c r="HJ1184">
        <v>14.75</v>
      </c>
      <c r="HK1184" t="s">
        <v>424</v>
      </c>
      <c r="HL1184" t="s">
        <v>425</v>
      </c>
      <c r="HM1184" s="1">
        <v>42061</v>
      </c>
      <c r="HN1184">
        <v>33</v>
      </c>
      <c r="HO1184">
        <v>10125</v>
      </c>
      <c r="HP1184" t="s">
        <v>440</v>
      </c>
      <c r="HR1184" s="1">
        <v>40688</v>
      </c>
      <c r="HS1184">
        <v>2010</v>
      </c>
      <c r="HT1184">
        <v>221.85</v>
      </c>
      <c r="HU1184" t="s">
        <v>12081</v>
      </c>
      <c r="HV1184">
        <v>6.75</v>
      </c>
      <c r="HW1184" t="s">
        <v>424</v>
      </c>
      <c r="HX1184" t="s">
        <v>425</v>
      </c>
      <c r="HY1184" s="1">
        <v>41269</v>
      </c>
      <c r="HZ1184">
        <v>19</v>
      </c>
      <c r="IA1184">
        <v>375</v>
      </c>
      <c r="IB1184" t="s">
        <v>776</v>
      </c>
    </row>
    <row r="1185" spans="1:272" x14ac:dyDescent="0.25">
      <c r="A1185">
        <v>16486192</v>
      </c>
      <c r="B1185">
        <v>1184</v>
      </c>
      <c r="C1185" t="s">
        <v>393</v>
      </c>
      <c r="D1185" t="s">
        <v>394</v>
      </c>
      <c r="F1185" t="str">
        <f>"25-2N-27-1475-0001-0100"</f>
        <v>25-2N-27-1475-0001-0100</v>
      </c>
      <c r="H1185" t="str">
        <f>"MENTER DOROTHY J EST C/O GARY CARAWAY"</f>
        <v>MENTER DOROTHY J EST C/O GARY CARAWAY</v>
      </c>
      <c r="I1185" t="str">
        <f>"85324 LIL WILLIAM RD"</f>
        <v>85324 LIL WILLIAM RD</v>
      </c>
      <c r="J1185" t="str">
        <f t="shared" si="402"/>
        <v>FERNANDINA BEACH FL 32034</v>
      </c>
      <c r="K1185" t="str">
        <f>"85324 LIL WILLIAM RD"</f>
        <v>85324 LIL WILLIAM RD</v>
      </c>
      <c r="L1185" t="str">
        <f t="shared" ref="L1185:L1207" si="405">"FERNANDINA BEACH FL 32034"</f>
        <v>FERNANDINA BEACH FL 32034</v>
      </c>
      <c r="M1185" t="str">
        <f>"BLOCK 1 LOT 10 IN OR 908/225 R787442 &amp; R787443 NASSAUVILLE WOODS PB 5/126"</f>
        <v>BLOCK 1 LOT 10 IN OR 908/225 R787442 &amp; R787443 NASSAUVILLE WOODS PB 5/126</v>
      </c>
      <c r="N1185" t="str">
        <f>""</f>
        <v/>
      </c>
      <c r="O1185" t="str">
        <f>"35076"</f>
        <v>35076</v>
      </c>
      <c r="P1185" t="str">
        <f t="shared" si="382"/>
        <v>2017</v>
      </c>
      <c r="Q1185" t="str">
        <f>""</f>
        <v/>
      </c>
      <c r="R1185" t="str">
        <f>"Y"</f>
        <v>Y</v>
      </c>
      <c r="S1185" t="str">
        <f>""</f>
        <v/>
      </c>
      <c r="T1185" t="str">
        <f>"419.67"</f>
        <v>419.67</v>
      </c>
      <c r="U1185" t="str">
        <f>"57393.00"</f>
        <v>57393.00</v>
      </c>
      <c r="V1185" t="str">
        <f>"57393.00"</f>
        <v>57393.00</v>
      </c>
      <c r="W1185" t="str">
        <f t="shared" si="383"/>
        <v>2017</v>
      </c>
      <c r="X1185" t="str">
        <f>"3.50"</f>
        <v>3.50</v>
      </c>
      <c r="Y1185" t="str">
        <f>"464.26"</f>
        <v>464.26</v>
      </c>
      <c r="Z1185" t="str">
        <f>"25500.00"</f>
        <v>25500.00</v>
      </c>
      <c r="AA1185" t="str">
        <f>"31893.00"</f>
        <v>31893.00</v>
      </c>
      <c r="AB1185" t="str">
        <f t="shared" si="404"/>
        <v>Residential</v>
      </c>
      <c r="AC1185" t="str">
        <f t="shared" si="399"/>
        <v>0</v>
      </c>
      <c r="AD1185" t="str">
        <f>"4"</f>
        <v>4</v>
      </c>
      <c r="AE1185" t="str">
        <f>"WOOD (INCLUDE STEEL STUDS)"</f>
        <v>WOOD (INCLUDE STEEL STUDS)</v>
      </c>
      <c r="AF1185" t="str">
        <f>"002"</f>
        <v>002</v>
      </c>
      <c r="AG1185" t="str">
        <f t="shared" ref="AG1185:AG1207" si="406">"FL"</f>
        <v>FL</v>
      </c>
      <c r="AH1185" t="str">
        <f t="shared" ref="AH1185:AH1202" si="407">"-"</f>
        <v>-</v>
      </c>
      <c r="AI1185" t="str">
        <f>"25000.00"</f>
        <v>25000.00</v>
      </c>
      <c r="AJ1185" t="str">
        <f>"C55-000-587-3994-7"</f>
        <v>C55-000-587-3994-7</v>
      </c>
      <c r="AK1185" t="str">
        <f>"19967"</f>
        <v>19967</v>
      </c>
      <c r="AL1185">
        <v>5</v>
      </c>
      <c r="AM1185">
        <v>1353</v>
      </c>
      <c r="AN1185">
        <v>485.87</v>
      </c>
      <c r="AQ1185" t="s">
        <v>12082</v>
      </c>
      <c r="AR1185" t="s">
        <v>12082</v>
      </c>
      <c r="AS1185" t="s">
        <v>12082</v>
      </c>
      <c r="AU1185" t="s">
        <v>396</v>
      </c>
      <c r="AV1185">
        <v>2017</v>
      </c>
      <c r="AW1185" t="str">
        <f>"25-2N-27-1475-0001-0100 "</f>
        <v xml:space="preserve">25-2N-27-1475-0001-0100 </v>
      </c>
      <c r="AX1185">
        <v>85324</v>
      </c>
      <c r="AZ1185" t="s">
        <v>12083</v>
      </c>
      <c r="BA1185" t="s">
        <v>496</v>
      </c>
      <c r="BD1185" t="s">
        <v>11749</v>
      </c>
      <c r="BE1185" t="s">
        <v>393</v>
      </c>
      <c r="BF1185">
        <v>32034</v>
      </c>
      <c r="BG1185" t="s">
        <v>12084</v>
      </c>
      <c r="BH1185" t="s">
        <v>11751</v>
      </c>
      <c r="BI1185">
        <v>-81.5476207563554</v>
      </c>
      <c r="BJ1185">
        <v>30.566162508369398</v>
      </c>
      <c r="BK1185" t="s">
        <v>12085</v>
      </c>
      <c r="BM1185" t="s">
        <v>12084</v>
      </c>
      <c r="BN1185" t="s">
        <v>3983</v>
      </c>
      <c r="BO1185">
        <v>32034</v>
      </c>
      <c r="BP1185" t="s">
        <v>416</v>
      </c>
      <c r="BQ1185">
        <v>200</v>
      </c>
      <c r="BR1185" t="s">
        <v>405</v>
      </c>
      <c r="BS1185">
        <v>1006</v>
      </c>
      <c r="BT1185" t="s">
        <v>406</v>
      </c>
      <c r="BW1185">
        <v>88665</v>
      </c>
      <c r="BX1185" t="s">
        <v>407</v>
      </c>
      <c r="BY1185" t="s">
        <v>408</v>
      </c>
      <c r="BZ1185">
        <v>4</v>
      </c>
      <c r="CA1185">
        <v>1999</v>
      </c>
      <c r="CB1185">
        <v>1</v>
      </c>
      <c r="CC1185">
        <v>1</v>
      </c>
      <c r="CD1185">
        <v>2017</v>
      </c>
      <c r="CG1185">
        <v>57393</v>
      </c>
      <c r="CH1185">
        <v>2017</v>
      </c>
      <c r="CI1185">
        <v>25000</v>
      </c>
      <c r="CJ1185">
        <v>47420</v>
      </c>
      <c r="CK1185">
        <v>72420</v>
      </c>
      <c r="CL1185">
        <v>2017</v>
      </c>
      <c r="CM1185">
        <v>419.67</v>
      </c>
      <c r="CN1185" s="1">
        <v>36480</v>
      </c>
      <c r="CO1185">
        <v>15000</v>
      </c>
      <c r="CZ1185" s="1">
        <v>36480</v>
      </c>
      <c r="DD1185" t="s">
        <v>11749</v>
      </c>
      <c r="DF1185">
        <v>10</v>
      </c>
      <c r="DG1185">
        <v>25</v>
      </c>
      <c r="DL1185">
        <v>50303</v>
      </c>
      <c r="DM1185" t="s">
        <v>12086</v>
      </c>
      <c r="DO1185" t="s">
        <v>12087</v>
      </c>
      <c r="DP1185">
        <v>0</v>
      </c>
      <c r="DQ1185">
        <v>0</v>
      </c>
      <c r="DR1185" t="s">
        <v>411</v>
      </c>
      <c r="EP1185" t="s">
        <v>421</v>
      </c>
      <c r="EQ1185" t="s">
        <v>422</v>
      </c>
      <c r="ER1185">
        <v>2</v>
      </c>
      <c r="ES1185">
        <v>1</v>
      </c>
      <c r="ET1185">
        <v>958.92</v>
      </c>
      <c r="EU1185">
        <v>60.45</v>
      </c>
      <c r="EV1185">
        <v>1019.37</v>
      </c>
      <c r="EW1185" s="2">
        <v>43222</v>
      </c>
      <c r="EX1185" s="1">
        <v>42879</v>
      </c>
      <c r="EY1185">
        <v>2016</v>
      </c>
      <c r="EZ1185">
        <v>479.46</v>
      </c>
      <c r="FA1185" t="s">
        <v>12088</v>
      </c>
      <c r="FB1185">
        <v>0.25</v>
      </c>
      <c r="FC1185" t="s">
        <v>424</v>
      </c>
      <c r="FD1185" t="s">
        <v>454</v>
      </c>
      <c r="FF1185">
        <v>12</v>
      </c>
      <c r="FG1185">
        <v>2851116</v>
      </c>
      <c r="FH1185" t="s">
        <v>480</v>
      </c>
      <c r="FJ1185" s="1">
        <v>42879</v>
      </c>
      <c r="FK1185">
        <v>2016</v>
      </c>
      <c r="FL1185">
        <v>479.46</v>
      </c>
      <c r="FM1185" t="s">
        <v>12088</v>
      </c>
      <c r="FN1185">
        <v>0.25</v>
      </c>
      <c r="FO1185" t="s">
        <v>424</v>
      </c>
      <c r="FP1185" t="s">
        <v>454</v>
      </c>
      <c r="FR1185">
        <v>12</v>
      </c>
      <c r="FS1185">
        <v>5339055</v>
      </c>
      <c r="FT1185" t="s">
        <v>12089</v>
      </c>
      <c r="FV1185" s="1">
        <v>41423</v>
      </c>
      <c r="FW1185">
        <v>2012</v>
      </c>
      <c r="FX1185">
        <v>566.62</v>
      </c>
      <c r="FY1185" t="s">
        <v>12090</v>
      </c>
      <c r="FZ1185">
        <v>0.25</v>
      </c>
      <c r="GA1185" t="s">
        <v>424</v>
      </c>
      <c r="GB1185" t="s">
        <v>425</v>
      </c>
      <c r="GC1185" s="1">
        <v>41585</v>
      </c>
      <c r="GD1185">
        <v>6</v>
      </c>
      <c r="GE1185">
        <v>10125</v>
      </c>
      <c r="GF1185" t="s">
        <v>440</v>
      </c>
    </row>
    <row r="1186" spans="1:272" x14ac:dyDescent="0.25">
      <c r="A1186">
        <v>16486193</v>
      </c>
      <c r="B1186">
        <v>1185</v>
      </c>
      <c r="C1186" t="s">
        <v>393</v>
      </c>
      <c r="D1186" t="s">
        <v>394</v>
      </c>
      <c r="F1186" t="str">
        <f>"25-2N-27-1475-0001-0310"</f>
        <v>25-2N-27-1475-0001-0310</v>
      </c>
      <c r="H1186" t="str">
        <f>"TAYLOR OSCAR VINCE"</f>
        <v>TAYLOR OSCAR VINCE</v>
      </c>
      <c r="I1186" t="str">
        <f>"85257 BURMEISTER ROAD"</f>
        <v>85257 BURMEISTER ROAD</v>
      </c>
      <c r="J1186" t="str">
        <f t="shared" si="402"/>
        <v>FERNANDINA BEACH FL 32034</v>
      </c>
      <c r="K1186" t="str">
        <f>"85257 BURMEISTER RD"</f>
        <v>85257 BURMEISTER RD</v>
      </c>
      <c r="L1186" t="str">
        <f t="shared" si="405"/>
        <v>FERNANDINA BEACH FL 32034</v>
      </c>
      <c r="M1186" t="str">
        <f>"BLOCK 1 LOT 31 PT OR 1361/1011 1992 HORT DW/MH NASSAUVILLE WOODS PB 5/126"</f>
        <v>BLOCK 1 LOT 31 PT OR 1361/1011 1992 HORT DW/MH NASSAUVILLE WOODS PB 5/126</v>
      </c>
      <c r="N1186" t="str">
        <f>""</f>
        <v/>
      </c>
      <c r="O1186" t="str">
        <f>"35096"</f>
        <v>35096</v>
      </c>
      <c r="P1186" t="str">
        <f t="shared" si="382"/>
        <v>2017</v>
      </c>
      <c r="Q1186" t="str">
        <f>""</f>
        <v/>
      </c>
      <c r="R1186" t="str">
        <f>"Y"</f>
        <v>Y</v>
      </c>
      <c r="S1186" t="str">
        <f>""</f>
        <v/>
      </c>
      <c r="T1186" t="str">
        <f>"223.59"</f>
        <v>223.59</v>
      </c>
      <c r="U1186" t="str">
        <f>"39770.00"</f>
        <v>39770.00</v>
      </c>
      <c r="V1186" t="str">
        <f>"39770.00"</f>
        <v>39770.00</v>
      </c>
      <c r="W1186" t="str">
        <f t="shared" si="383"/>
        <v>2017</v>
      </c>
      <c r="X1186" t="str">
        <f>"19.63"</f>
        <v>19.63</v>
      </c>
      <c r="Y1186" t="str">
        <f>"262.30"</f>
        <v>262.30</v>
      </c>
      <c r="Z1186" t="str">
        <f>"25000.00"</f>
        <v>25000.00</v>
      </c>
      <c r="AA1186" t="str">
        <f>"14770.00"</f>
        <v>14770.00</v>
      </c>
      <c r="AB1186" t="str">
        <f t="shared" si="404"/>
        <v>Residential</v>
      </c>
      <c r="AC1186" t="str">
        <f t="shared" si="399"/>
        <v>0</v>
      </c>
      <c r="AD1186" t="str">
        <f>"4"</f>
        <v>4</v>
      </c>
      <c r="AE1186" t="str">
        <f>"WOOD (INCLUDE STEEL STUDS)"</f>
        <v>WOOD (INCLUDE STEEL STUDS)</v>
      </c>
      <c r="AF1186" t="str">
        <f>"002"</f>
        <v>002</v>
      </c>
      <c r="AG1186" t="str">
        <f t="shared" si="406"/>
        <v>FL</v>
      </c>
      <c r="AH1186" t="str">
        <f t="shared" si="407"/>
        <v>-</v>
      </c>
      <c r="AI1186" t="str">
        <f>"25000.00"</f>
        <v>25000.00</v>
      </c>
      <c r="AJ1186" t="str">
        <f>"C55-000-587-4014-3"</f>
        <v>C55-000-587-4014-3</v>
      </c>
      <c r="AK1186" t="str">
        <f>"19987"</f>
        <v>19987</v>
      </c>
      <c r="AL1186">
        <v>5</v>
      </c>
      <c r="AM1186">
        <v>1354</v>
      </c>
      <c r="AN1186">
        <v>273.82</v>
      </c>
      <c r="AQ1186" t="s">
        <v>12091</v>
      </c>
      <c r="AR1186" t="s">
        <v>12091</v>
      </c>
      <c r="AS1186" t="s">
        <v>12091</v>
      </c>
      <c r="AU1186" t="s">
        <v>396</v>
      </c>
      <c r="AV1186">
        <v>2017</v>
      </c>
      <c r="AW1186" t="str">
        <f>"25-2N-27-1475-0001-0310 "</f>
        <v xml:space="preserve">25-2N-27-1475-0001-0310 </v>
      </c>
      <c r="AX1186">
        <v>85257</v>
      </c>
      <c r="AZ1186" t="s">
        <v>12092</v>
      </c>
      <c r="BA1186" t="s">
        <v>496</v>
      </c>
      <c r="BD1186" t="s">
        <v>11749</v>
      </c>
      <c r="BE1186" t="s">
        <v>393</v>
      </c>
      <c r="BF1186">
        <v>32034</v>
      </c>
      <c r="BG1186" t="s">
        <v>12093</v>
      </c>
      <c r="BH1186" t="s">
        <v>11751</v>
      </c>
      <c r="BI1186">
        <v>-81.550200744046606</v>
      </c>
      <c r="BJ1186">
        <v>30.563633151803899</v>
      </c>
      <c r="BK1186" t="s">
        <v>12094</v>
      </c>
      <c r="BM1186" t="s">
        <v>12093</v>
      </c>
      <c r="BN1186" t="s">
        <v>3983</v>
      </c>
      <c r="BO1186">
        <v>32034</v>
      </c>
      <c r="BP1186" t="s">
        <v>416</v>
      </c>
      <c r="BQ1186">
        <v>200</v>
      </c>
      <c r="BR1186" t="s">
        <v>405</v>
      </c>
      <c r="BS1186">
        <v>1006</v>
      </c>
      <c r="BT1186" t="s">
        <v>406</v>
      </c>
      <c r="BW1186">
        <v>43305</v>
      </c>
      <c r="BX1186" t="s">
        <v>407</v>
      </c>
      <c r="BY1186" t="s">
        <v>408</v>
      </c>
      <c r="BZ1186">
        <v>4</v>
      </c>
      <c r="CA1186">
        <v>1992</v>
      </c>
      <c r="CB1186">
        <v>1</v>
      </c>
      <c r="CC1186">
        <v>1</v>
      </c>
      <c r="CD1186">
        <v>2017</v>
      </c>
      <c r="CG1186">
        <v>39770</v>
      </c>
      <c r="CH1186">
        <v>2017</v>
      </c>
      <c r="CI1186">
        <v>25000</v>
      </c>
      <c r="CJ1186">
        <v>33277</v>
      </c>
      <c r="CK1186">
        <v>58277</v>
      </c>
      <c r="CL1186">
        <v>2017</v>
      </c>
      <c r="CM1186">
        <v>223.59</v>
      </c>
      <c r="CN1186" s="1">
        <v>38650</v>
      </c>
      <c r="CZ1186" s="1">
        <v>38650</v>
      </c>
      <c r="DD1186" t="s">
        <v>11749</v>
      </c>
      <c r="DF1186">
        <v>31</v>
      </c>
      <c r="DG1186">
        <v>25</v>
      </c>
      <c r="DL1186">
        <v>50303</v>
      </c>
      <c r="DM1186" t="s">
        <v>12086</v>
      </c>
      <c r="DO1186" t="s">
        <v>12095</v>
      </c>
      <c r="DP1186">
        <v>0</v>
      </c>
      <c r="DQ1186">
        <v>0</v>
      </c>
      <c r="DR1186" t="s">
        <v>411</v>
      </c>
      <c r="DS1186" t="b">
        <v>1</v>
      </c>
      <c r="DT1186" t="s">
        <v>470</v>
      </c>
      <c r="DU1186" t="s">
        <v>10249</v>
      </c>
      <c r="DV1186" t="s">
        <v>472</v>
      </c>
      <c r="DX1186">
        <v>-9999</v>
      </c>
      <c r="DZ1186" t="s">
        <v>447</v>
      </c>
      <c r="EA1186" t="s">
        <v>448</v>
      </c>
      <c r="EB1186" t="s">
        <v>12096</v>
      </c>
      <c r="EC1186">
        <v>20101217</v>
      </c>
      <c r="ED1186" t="s">
        <v>10251</v>
      </c>
      <c r="EE1186">
        <v>7.5</v>
      </c>
      <c r="EF1186">
        <v>229.2</v>
      </c>
      <c r="EG1186">
        <v>0</v>
      </c>
      <c r="EI1186">
        <v>20160407</v>
      </c>
      <c r="EJ1186">
        <v>0</v>
      </c>
      <c r="EK1186">
        <v>0</v>
      </c>
      <c r="EP1186" t="s">
        <v>421</v>
      </c>
      <c r="EQ1186" t="s">
        <v>422</v>
      </c>
      <c r="ER1186">
        <v>0</v>
      </c>
      <c r="ES1186">
        <v>9</v>
      </c>
      <c r="ET1186">
        <v>0</v>
      </c>
      <c r="EU1186">
        <v>0</v>
      </c>
      <c r="EV1186">
        <v>0</v>
      </c>
      <c r="EW1186" s="2">
        <v>43222</v>
      </c>
      <c r="EX1186" s="1">
        <v>42879</v>
      </c>
      <c r="EY1186">
        <v>2016</v>
      </c>
      <c r="EZ1186">
        <v>258.64</v>
      </c>
      <c r="FA1186" t="s">
        <v>12097</v>
      </c>
      <c r="FB1186">
        <v>0.25</v>
      </c>
      <c r="FC1186" t="s">
        <v>424</v>
      </c>
      <c r="FD1186" t="s">
        <v>425</v>
      </c>
      <c r="FE1186" s="1">
        <v>43143</v>
      </c>
      <c r="FF1186">
        <v>9</v>
      </c>
      <c r="FG1186">
        <v>7400234</v>
      </c>
      <c r="FH1186" t="s">
        <v>426</v>
      </c>
      <c r="FJ1186" s="1">
        <v>42879</v>
      </c>
      <c r="FK1186">
        <v>2016</v>
      </c>
      <c r="FL1186">
        <v>258.64</v>
      </c>
      <c r="FM1186" t="s">
        <v>12097</v>
      </c>
      <c r="FN1186">
        <v>0.25</v>
      </c>
      <c r="FO1186" t="s">
        <v>424</v>
      </c>
      <c r="FP1186" t="s">
        <v>425</v>
      </c>
      <c r="FR1186">
        <v>22</v>
      </c>
      <c r="FS1186">
        <v>7524946</v>
      </c>
      <c r="FT1186" t="s">
        <v>12098</v>
      </c>
      <c r="FV1186" s="1">
        <v>42515</v>
      </c>
      <c r="FW1186">
        <v>2015</v>
      </c>
      <c r="FX1186">
        <v>295.14</v>
      </c>
      <c r="FY1186" t="s">
        <v>12099</v>
      </c>
      <c r="FZ1186">
        <v>0.25</v>
      </c>
      <c r="GA1186" t="s">
        <v>424</v>
      </c>
      <c r="GB1186" t="s">
        <v>425</v>
      </c>
      <c r="GC1186" s="1">
        <v>43143</v>
      </c>
      <c r="GD1186">
        <v>21</v>
      </c>
      <c r="GE1186">
        <v>2851116</v>
      </c>
      <c r="GF1186" t="s">
        <v>480</v>
      </c>
      <c r="GH1186" s="1">
        <v>42515</v>
      </c>
      <c r="GI1186">
        <v>2015</v>
      </c>
      <c r="GJ1186">
        <v>295.14</v>
      </c>
      <c r="GK1186" t="s">
        <v>12099</v>
      </c>
      <c r="GL1186">
        <v>0.25</v>
      </c>
      <c r="GM1186" t="s">
        <v>424</v>
      </c>
      <c r="GN1186" t="s">
        <v>425</v>
      </c>
      <c r="GP1186">
        <v>22</v>
      </c>
      <c r="GQ1186">
        <v>5086951</v>
      </c>
      <c r="GR1186" t="s">
        <v>12100</v>
      </c>
      <c r="GT1186" s="1">
        <v>42151</v>
      </c>
      <c r="GU1186">
        <v>2014</v>
      </c>
      <c r="GV1186">
        <v>290.95</v>
      </c>
      <c r="GW1186" t="s">
        <v>12101</v>
      </c>
      <c r="GX1186">
        <v>0.25</v>
      </c>
      <c r="GY1186" t="s">
        <v>424</v>
      </c>
      <c r="GZ1186" t="s">
        <v>425</v>
      </c>
      <c r="HA1186" s="1">
        <v>42787</v>
      </c>
      <c r="HB1186">
        <v>21</v>
      </c>
      <c r="HC1186">
        <v>2851116</v>
      </c>
      <c r="HD1186" t="s">
        <v>480</v>
      </c>
      <c r="HF1186" s="1">
        <v>42151</v>
      </c>
      <c r="HG1186">
        <v>2014</v>
      </c>
      <c r="HH1186">
        <v>290.95</v>
      </c>
      <c r="HI1186" t="s">
        <v>12101</v>
      </c>
      <c r="HJ1186">
        <v>0.25</v>
      </c>
      <c r="HK1186" t="s">
        <v>424</v>
      </c>
      <c r="HL1186" t="s">
        <v>425</v>
      </c>
      <c r="HN1186">
        <v>22</v>
      </c>
      <c r="HO1186">
        <v>5030274</v>
      </c>
      <c r="HP1186" t="s">
        <v>12102</v>
      </c>
      <c r="HR1186" s="1">
        <v>41787</v>
      </c>
      <c r="HS1186">
        <v>2013</v>
      </c>
      <c r="HT1186">
        <v>452.3</v>
      </c>
      <c r="HU1186" t="s">
        <v>12103</v>
      </c>
      <c r="HV1186">
        <v>2.5</v>
      </c>
      <c r="HW1186" t="s">
        <v>424</v>
      </c>
      <c r="HX1186" t="s">
        <v>425</v>
      </c>
      <c r="HY1186" s="1">
        <v>42426</v>
      </c>
      <c r="HZ1186">
        <v>21</v>
      </c>
      <c r="IA1186">
        <v>2035919</v>
      </c>
      <c r="IB1186" t="s">
        <v>507</v>
      </c>
      <c r="ID1186" s="1">
        <v>41423</v>
      </c>
      <c r="IE1186">
        <v>2012</v>
      </c>
      <c r="IF1186">
        <v>467.2</v>
      </c>
      <c r="IG1186" t="s">
        <v>12104</v>
      </c>
      <c r="IH1186">
        <v>0.25</v>
      </c>
      <c r="II1186" t="s">
        <v>424</v>
      </c>
      <c r="IJ1186" t="s">
        <v>425</v>
      </c>
      <c r="IK1186" s="1">
        <v>42062</v>
      </c>
      <c r="IL1186">
        <v>21</v>
      </c>
      <c r="IM1186">
        <v>10125</v>
      </c>
      <c r="IN1186" t="s">
        <v>440</v>
      </c>
      <c r="IP1186" s="1">
        <v>40688</v>
      </c>
      <c r="IQ1186">
        <v>2010</v>
      </c>
      <c r="IR1186">
        <v>524.88</v>
      </c>
      <c r="IS1186" t="s">
        <v>12105</v>
      </c>
      <c r="IT1186">
        <v>5</v>
      </c>
      <c r="IU1186" t="s">
        <v>424</v>
      </c>
      <c r="IV1186" t="s">
        <v>425</v>
      </c>
      <c r="IW1186" s="1">
        <v>41332</v>
      </c>
      <c r="IX1186">
        <v>21</v>
      </c>
      <c r="IY1186">
        <v>10003</v>
      </c>
      <c r="IZ1186" t="s">
        <v>4341</v>
      </c>
    </row>
    <row r="1187" spans="1:272" x14ac:dyDescent="0.25">
      <c r="A1187">
        <v>16486194</v>
      </c>
      <c r="B1187">
        <v>1186</v>
      </c>
      <c r="C1187" t="s">
        <v>393</v>
      </c>
      <c r="D1187" t="s">
        <v>394</v>
      </c>
      <c r="F1187" t="str">
        <f>"25-2N-27-1475-0001-0320"</f>
        <v>25-2N-27-1475-0001-0320</v>
      </c>
      <c r="H1187" t="str">
        <f>"TAYLOR OSCAR VINCE"</f>
        <v>TAYLOR OSCAR VINCE</v>
      </c>
      <c r="I1187" t="str">
        <f>"85257 BURMEISTER ROAD"</f>
        <v>85257 BURMEISTER ROAD</v>
      </c>
      <c r="J1187" t="str">
        <f t="shared" si="402"/>
        <v>FERNANDINA BEACH FL 32034</v>
      </c>
      <c r="K1187" t="str">
        <f>"BURMEISTER RD"</f>
        <v>BURMEISTER RD</v>
      </c>
      <c r="L1187" t="str">
        <f t="shared" si="405"/>
        <v>FERNANDINA BEACH FL 32034</v>
      </c>
      <c r="M1187" t="str">
        <f>"BLOCK 1 LOT 32 PT OR 1361/1011 EX ESMT PT OR 556/654 NASSAUVILLE WOODS PB 5/126"</f>
        <v>BLOCK 1 LOT 32 PT OR 1361/1011 EX ESMT PT OR 556/654 NASSAUVILLE WOODS PB 5/126</v>
      </c>
      <c r="N1187" t="str">
        <f>""</f>
        <v/>
      </c>
      <c r="O1187" t="str">
        <f>"35097"</f>
        <v>35097</v>
      </c>
      <c r="P1187" t="str">
        <f t="shared" si="382"/>
        <v>2017</v>
      </c>
      <c r="Q1187" t="str">
        <f>""</f>
        <v/>
      </c>
      <c r="R1187" t="str">
        <f>"N"</f>
        <v>N</v>
      </c>
      <c r="S1187" t="str">
        <f>""</f>
        <v/>
      </c>
      <c r="T1187" t="str">
        <f>"352.84"</f>
        <v>352.84</v>
      </c>
      <c r="U1187" t="str">
        <f>"22000.00"</f>
        <v>22000.00</v>
      </c>
      <c r="V1187" t="str">
        <f>"22000.00"</f>
        <v>22000.00</v>
      </c>
      <c r="W1187" t="str">
        <f t="shared" si="383"/>
        <v>2017</v>
      </c>
      <c r="X1187" t="str">
        <f>"19.63"</f>
        <v>19.63</v>
      </c>
      <c r="Y1187" t="str">
        <f>"395.43"</f>
        <v>395.43</v>
      </c>
      <c r="Z1187" t="str">
        <f>""</f>
        <v/>
      </c>
      <c r="AA1187" t="str">
        <f>"25000.00"</f>
        <v>25000.00</v>
      </c>
      <c r="AB1187" t="str">
        <f t="shared" si="404"/>
        <v>Residential</v>
      </c>
      <c r="AC1187" t="str">
        <f t="shared" si="399"/>
        <v>0</v>
      </c>
      <c r="AD1187" t="str">
        <f>""</f>
        <v/>
      </c>
      <c r="AE1187" t="str">
        <f>""</f>
        <v/>
      </c>
      <c r="AF1187" t="str">
        <f>"000"</f>
        <v>000</v>
      </c>
      <c r="AG1187" t="str">
        <f t="shared" si="406"/>
        <v>FL</v>
      </c>
      <c r="AH1187" t="str">
        <f t="shared" si="407"/>
        <v>-</v>
      </c>
      <c r="AI1187" t="str">
        <f>"25000.00"</f>
        <v>25000.00</v>
      </c>
      <c r="AJ1187" t="str">
        <f>"C55-000-587-4015-0"</f>
        <v>C55-000-587-4015-0</v>
      </c>
      <c r="AK1187" t="str">
        <f>"19988"</f>
        <v>19988</v>
      </c>
      <c r="AL1187">
        <v>5</v>
      </c>
      <c r="AM1187">
        <v>1355</v>
      </c>
      <c r="AN1187">
        <v>413.6</v>
      </c>
      <c r="AQ1187" t="s">
        <v>12106</v>
      </c>
      <c r="AR1187" t="s">
        <v>12106</v>
      </c>
      <c r="AS1187" t="s">
        <v>12106</v>
      </c>
      <c r="AU1187" t="s">
        <v>396</v>
      </c>
      <c r="AV1187">
        <v>2017</v>
      </c>
      <c r="AW1187" t="str">
        <f>"25-2N-27-1475-0001-0320 "</f>
        <v xml:space="preserve">25-2N-27-1475-0001-0320 </v>
      </c>
      <c r="AZ1187" t="s">
        <v>12092</v>
      </c>
      <c r="BA1187" t="s">
        <v>496</v>
      </c>
      <c r="BD1187" t="s">
        <v>11749</v>
      </c>
      <c r="BE1187" t="s">
        <v>393</v>
      </c>
      <c r="BF1187">
        <v>32034</v>
      </c>
      <c r="BG1187" t="s">
        <v>12107</v>
      </c>
      <c r="BH1187" t="s">
        <v>11751</v>
      </c>
      <c r="BI1187">
        <v>-81.550269963972596</v>
      </c>
      <c r="BJ1187">
        <v>30.5631809924528</v>
      </c>
      <c r="BK1187" t="s">
        <v>12094</v>
      </c>
      <c r="BL1187" t="s">
        <v>12108</v>
      </c>
      <c r="BM1187" t="s">
        <v>12093</v>
      </c>
      <c r="BN1187" t="s">
        <v>3983</v>
      </c>
      <c r="BO1187">
        <v>32034</v>
      </c>
      <c r="BP1187" t="s">
        <v>404</v>
      </c>
      <c r="BQ1187">
        <v>0</v>
      </c>
      <c r="BR1187" t="s">
        <v>491</v>
      </c>
      <c r="BS1187">
        <v>8001</v>
      </c>
      <c r="BT1187" t="s">
        <v>492</v>
      </c>
      <c r="BW1187">
        <v>46572</v>
      </c>
      <c r="BX1187" t="s">
        <v>407</v>
      </c>
      <c r="BY1187" t="s">
        <v>408</v>
      </c>
      <c r="CD1187">
        <v>2017</v>
      </c>
      <c r="CE1187">
        <v>25000</v>
      </c>
      <c r="CG1187">
        <v>25000</v>
      </c>
      <c r="CH1187">
        <v>2017</v>
      </c>
      <c r="CI1187">
        <v>25000</v>
      </c>
      <c r="CK1187">
        <v>25000</v>
      </c>
      <c r="CL1187">
        <v>2017</v>
      </c>
      <c r="CM1187">
        <v>352.84</v>
      </c>
      <c r="CN1187" s="1">
        <v>38650</v>
      </c>
      <c r="CZ1187" s="1">
        <v>38650</v>
      </c>
      <c r="DD1187" t="s">
        <v>11749</v>
      </c>
      <c r="DF1187">
        <v>32</v>
      </c>
      <c r="DG1187">
        <v>25</v>
      </c>
      <c r="DL1187">
        <v>50303</v>
      </c>
      <c r="DM1187" t="s">
        <v>12086</v>
      </c>
      <c r="DO1187" t="s">
        <v>12109</v>
      </c>
      <c r="DP1187">
        <v>0</v>
      </c>
      <c r="DQ1187">
        <v>0</v>
      </c>
      <c r="DR1187" t="s">
        <v>411</v>
      </c>
      <c r="DS1187" t="b">
        <v>1</v>
      </c>
      <c r="DT1187" t="s">
        <v>470</v>
      </c>
      <c r="DU1187" t="s">
        <v>10249</v>
      </c>
      <c r="DV1187" t="s">
        <v>472</v>
      </c>
      <c r="DX1187">
        <v>-9999</v>
      </c>
      <c r="DZ1187" t="s">
        <v>447</v>
      </c>
      <c r="EA1187" t="s">
        <v>448</v>
      </c>
      <c r="EB1187" t="s">
        <v>12096</v>
      </c>
      <c r="EC1187">
        <v>20101217</v>
      </c>
      <c r="ED1187" t="s">
        <v>10251</v>
      </c>
      <c r="EE1187">
        <v>7.5</v>
      </c>
      <c r="EF1187">
        <v>157.30000000000001</v>
      </c>
      <c r="EG1187">
        <v>0</v>
      </c>
      <c r="EI1187">
        <v>20160407</v>
      </c>
      <c r="EJ1187">
        <v>0</v>
      </c>
      <c r="EK1187">
        <v>0</v>
      </c>
      <c r="EP1187" t="s">
        <v>421</v>
      </c>
      <c r="EQ1187" t="s">
        <v>422</v>
      </c>
      <c r="ER1187">
        <v>0</v>
      </c>
      <c r="ES1187">
        <v>6</v>
      </c>
      <c r="ET1187">
        <v>0</v>
      </c>
      <c r="EU1187">
        <v>0</v>
      </c>
      <c r="EV1187">
        <v>0</v>
      </c>
      <c r="EW1187" s="2">
        <v>43222</v>
      </c>
      <c r="EX1187" s="1">
        <v>42879</v>
      </c>
      <c r="EY1187">
        <v>2016</v>
      </c>
      <c r="EZ1187">
        <v>359.04</v>
      </c>
      <c r="FA1187" t="s">
        <v>12110</v>
      </c>
      <c r="FB1187">
        <v>9.75</v>
      </c>
      <c r="FC1187" t="s">
        <v>424</v>
      </c>
      <c r="FD1187" t="s">
        <v>425</v>
      </c>
      <c r="FE1187" s="1">
        <v>43143</v>
      </c>
      <c r="FF1187">
        <v>9</v>
      </c>
      <c r="FG1187">
        <v>10021</v>
      </c>
      <c r="FH1187" t="s">
        <v>597</v>
      </c>
      <c r="FJ1187" s="1">
        <v>42515</v>
      </c>
      <c r="FK1187">
        <v>2015</v>
      </c>
      <c r="FL1187">
        <v>362.11</v>
      </c>
      <c r="FM1187" t="s">
        <v>12111</v>
      </c>
      <c r="FN1187">
        <v>15.25</v>
      </c>
      <c r="FO1187" t="s">
        <v>424</v>
      </c>
      <c r="FP1187" t="s">
        <v>425</v>
      </c>
      <c r="FQ1187" s="1">
        <v>43143</v>
      </c>
      <c r="FR1187">
        <v>21</v>
      </c>
      <c r="FS1187">
        <v>7336143</v>
      </c>
      <c r="FT1187" t="s">
        <v>539</v>
      </c>
      <c r="FV1187" s="1">
        <v>42151</v>
      </c>
      <c r="FW1187">
        <v>2014</v>
      </c>
      <c r="FX1187">
        <v>363.83</v>
      </c>
      <c r="FY1187" t="s">
        <v>12112</v>
      </c>
      <c r="FZ1187">
        <v>4.75</v>
      </c>
      <c r="GA1187" t="s">
        <v>424</v>
      </c>
      <c r="GB1187" t="s">
        <v>425</v>
      </c>
      <c r="GC1187" s="1">
        <v>42787</v>
      </c>
      <c r="GD1187">
        <v>21</v>
      </c>
      <c r="GE1187">
        <v>4975593</v>
      </c>
      <c r="GF1187" t="s">
        <v>505</v>
      </c>
      <c r="GH1187" s="1">
        <v>41787</v>
      </c>
      <c r="GI1187">
        <v>2013</v>
      </c>
      <c r="GJ1187">
        <v>345.56</v>
      </c>
      <c r="GK1187" t="s">
        <v>12113</v>
      </c>
      <c r="GL1187">
        <v>6</v>
      </c>
      <c r="GM1187" t="s">
        <v>424</v>
      </c>
      <c r="GN1187" t="s">
        <v>425</v>
      </c>
      <c r="GO1187" s="1">
        <v>42426</v>
      </c>
      <c r="GP1187">
        <v>21</v>
      </c>
      <c r="GQ1187">
        <v>2035919</v>
      </c>
      <c r="GR1187" t="s">
        <v>507</v>
      </c>
      <c r="GT1187" s="1">
        <v>41423</v>
      </c>
      <c r="GU1187">
        <v>2012</v>
      </c>
      <c r="GV1187">
        <v>349.6</v>
      </c>
      <c r="GW1187" t="s">
        <v>12114</v>
      </c>
      <c r="GX1187">
        <v>4.75</v>
      </c>
      <c r="GY1187" t="s">
        <v>424</v>
      </c>
      <c r="GZ1187" t="s">
        <v>425</v>
      </c>
      <c r="HA1187" s="1">
        <v>42062</v>
      </c>
      <c r="HB1187">
        <v>21</v>
      </c>
      <c r="HC1187">
        <v>10125</v>
      </c>
      <c r="HD1187" t="s">
        <v>440</v>
      </c>
      <c r="HF1187" s="1">
        <v>40688</v>
      </c>
      <c r="HG1187">
        <v>2010</v>
      </c>
      <c r="HH1187">
        <v>599.52</v>
      </c>
      <c r="HI1187" t="s">
        <v>12115</v>
      </c>
      <c r="HJ1187">
        <v>5</v>
      </c>
      <c r="HK1187" t="s">
        <v>424</v>
      </c>
      <c r="HL1187" t="s">
        <v>425</v>
      </c>
      <c r="HM1187" s="1">
        <v>41332</v>
      </c>
      <c r="HN1187">
        <v>21</v>
      </c>
      <c r="HO1187">
        <v>10003</v>
      </c>
      <c r="HP1187" t="s">
        <v>4341</v>
      </c>
    </row>
    <row r="1188" spans="1:272" x14ac:dyDescent="0.25">
      <c r="A1188">
        <v>16486195</v>
      </c>
      <c r="B1188">
        <v>1187</v>
      </c>
      <c r="C1188" t="s">
        <v>393</v>
      </c>
      <c r="D1188" t="s">
        <v>394</v>
      </c>
      <c r="F1188" t="str">
        <f>"25-2N-27-1475-0001-0340"</f>
        <v>25-2N-27-1475-0001-0340</v>
      </c>
      <c r="H1188" t="str">
        <f>"BALLARD JOHN M"</f>
        <v>BALLARD JOHN M</v>
      </c>
      <c r="I1188" t="str">
        <f>"85129 BURMEISTER RD"</f>
        <v>85129 BURMEISTER RD</v>
      </c>
      <c r="J1188" t="str">
        <f t="shared" si="402"/>
        <v>FERNANDINA BEACH FL 32034</v>
      </c>
      <c r="K1188" t="str">
        <f>"85129 BURMEISTER RD"</f>
        <v>85129 BURMEISTER RD</v>
      </c>
      <c r="L1188" t="str">
        <f t="shared" si="405"/>
        <v>FERNANDINA BEACH FL 32034</v>
      </c>
      <c r="M1188" t="str">
        <f>"BLOCK 1 LOT 34 IN OR 632 PG 820 R621759 &amp; R621760 DRAINAGE ESMT IN OR 744/1139 NASSAUVILLE WOODS PB 5/126"</f>
        <v>BLOCK 1 LOT 34 IN OR 632 PG 820 R621759 &amp; R621760 DRAINAGE ESMT IN OR 744/1139 NASSAUVILLE WOODS PB 5/126</v>
      </c>
      <c r="N1188" t="str">
        <f>""</f>
        <v/>
      </c>
      <c r="O1188" t="str">
        <f>"35099"</f>
        <v>35099</v>
      </c>
      <c r="P1188" t="str">
        <f t="shared" si="382"/>
        <v>2017</v>
      </c>
      <c r="Q1188" t="str">
        <f>""</f>
        <v/>
      </c>
      <c r="R1188" t="str">
        <f>"Y"</f>
        <v>Y</v>
      </c>
      <c r="S1188" t="str">
        <f>""</f>
        <v/>
      </c>
      <c r="T1188" t="str">
        <f>"325.26"</f>
        <v>325.26</v>
      </c>
      <c r="U1188" t="str">
        <f>"46985.00"</f>
        <v>46985.00</v>
      </c>
      <c r="V1188" t="str">
        <f>"46985.00"</f>
        <v>46985.00</v>
      </c>
      <c r="W1188" t="str">
        <f t="shared" si="383"/>
        <v>2017</v>
      </c>
      <c r="X1188" t="str">
        <f>"10.00"</f>
        <v>10.00</v>
      </c>
      <c r="Y1188" t="str">
        <f>"367.02"</f>
        <v>367.02</v>
      </c>
      <c r="Z1188" t="str">
        <f>"25500.00"</f>
        <v>25500.00</v>
      </c>
      <c r="AA1188" t="str">
        <f>"21485.00"</f>
        <v>21485.00</v>
      </c>
      <c r="AB1188" t="str">
        <f t="shared" si="404"/>
        <v>Residential</v>
      </c>
      <c r="AC1188" t="str">
        <f t="shared" si="399"/>
        <v>0</v>
      </c>
      <c r="AD1188" t="str">
        <f>"4"</f>
        <v>4</v>
      </c>
      <c r="AE1188" t="str">
        <f>"WOOD (INCLUDE STEEL STUDS)"</f>
        <v>WOOD (INCLUDE STEEL STUDS)</v>
      </c>
      <c r="AF1188" t="str">
        <f>"002"</f>
        <v>002</v>
      </c>
      <c r="AG1188" t="str">
        <f t="shared" si="406"/>
        <v>FL</v>
      </c>
      <c r="AH1188" t="str">
        <f t="shared" si="407"/>
        <v>-</v>
      </c>
      <c r="AI1188" t="str">
        <f>"25000.00"</f>
        <v>25000.00</v>
      </c>
      <c r="AJ1188" t="str">
        <f>"C55-000-587-4017-6"</f>
        <v>C55-000-587-4017-6</v>
      </c>
      <c r="AK1188" t="str">
        <f>"19990"</f>
        <v>19990</v>
      </c>
      <c r="AL1188">
        <v>5</v>
      </c>
      <c r="AM1188">
        <v>1356</v>
      </c>
      <c r="AN1188">
        <v>383.77</v>
      </c>
      <c r="AQ1188" t="s">
        <v>12116</v>
      </c>
      <c r="AR1188" t="s">
        <v>12116</v>
      </c>
      <c r="AS1188" t="s">
        <v>12116</v>
      </c>
      <c r="AU1188" t="s">
        <v>396</v>
      </c>
      <c r="AV1188">
        <v>2017</v>
      </c>
      <c r="AW1188" t="str">
        <f>"25-2N-27-1475-0001-0340 "</f>
        <v xml:space="preserve">25-2N-27-1475-0001-0340 </v>
      </c>
      <c r="AX1188">
        <v>85129</v>
      </c>
      <c r="AZ1188" t="s">
        <v>12092</v>
      </c>
      <c r="BA1188" t="s">
        <v>496</v>
      </c>
      <c r="BD1188" t="s">
        <v>11749</v>
      </c>
      <c r="BE1188" t="s">
        <v>393</v>
      </c>
      <c r="BF1188">
        <v>32034</v>
      </c>
      <c r="BG1188" t="s">
        <v>12117</v>
      </c>
      <c r="BH1188" t="s">
        <v>11751</v>
      </c>
      <c r="BI1188">
        <v>-81.550214024335006</v>
      </c>
      <c r="BJ1188">
        <v>30.562359629617699</v>
      </c>
      <c r="BK1188" t="s">
        <v>12118</v>
      </c>
      <c r="BM1188" t="s">
        <v>12117</v>
      </c>
      <c r="BN1188" t="s">
        <v>3983</v>
      </c>
      <c r="BO1188">
        <v>32034</v>
      </c>
      <c r="BP1188" t="s">
        <v>416</v>
      </c>
      <c r="BQ1188">
        <v>200</v>
      </c>
      <c r="BR1188" t="s">
        <v>405</v>
      </c>
      <c r="BS1188">
        <v>1006</v>
      </c>
      <c r="BT1188" t="s">
        <v>406</v>
      </c>
      <c r="BW1188">
        <v>43887</v>
      </c>
      <c r="BX1188" t="s">
        <v>407</v>
      </c>
      <c r="BY1188" t="s">
        <v>408</v>
      </c>
      <c r="BZ1188">
        <v>4</v>
      </c>
      <c r="CA1188">
        <v>1994</v>
      </c>
      <c r="CB1188">
        <v>1</v>
      </c>
      <c r="CC1188">
        <v>1</v>
      </c>
      <c r="CD1188">
        <v>2017</v>
      </c>
      <c r="CG1188">
        <v>46985</v>
      </c>
      <c r="CH1188">
        <v>2017</v>
      </c>
      <c r="CI1188">
        <v>25000</v>
      </c>
      <c r="CJ1188">
        <v>38312</v>
      </c>
      <c r="CK1188">
        <v>63312</v>
      </c>
      <c r="CL1188">
        <v>2017</v>
      </c>
      <c r="CM1188">
        <v>325.26</v>
      </c>
      <c r="CN1188" s="1">
        <v>33451</v>
      </c>
      <c r="CO1188">
        <v>11800</v>
      </c>
      <c r="CZ1188" s="1">
        <v>33451</v>
      </c>
      <c r="DD1188" t="s">
        <v>11749</v>
      </c>
      <c r="DF1188">
        <v>34</v>
      </c>
      <c r="DG1188">
        <v>25</v>
      </c>
      <c r="DL1188">
        <v>50303</v>
      </c>
      <c r="DM1188" t="s">
        <v>12086</v>
      </c>
      <c r="DO1188" t="s">
        <v>12119</v>
      </c>
      <c r="DP1188">
        <v>0</v>
      </c>
      <c r="DQ1188">
        <v>0</v>
      </c>
      <c r="DR1188" t="s">
        <v>411</v>
      </c>
      <c r="DS1188" t="b">
        <v>1</v>
      </c>
      <c r="DT1188" t="s">
        <v>470</v>
      </c>
      <c r="DU1188" t="s">
        <v>10249</v>
      </c>
      <c r="DV1188" t="s">
        <v>472</v>
      </c>
      <c r="DX1188">
        <v>-9999</v>
      </c>
      <c r="DZ1188" t="s">
        <v>447</v>
      </c>
      <c r="EA1188" t="s">
        <v>448</v>
      </c>
      <c r="EB1188" t="s">
        <v>12096</v>
      </c>
      <c r="EC1188">
        <v>20101217</v>
      </c>
      <c r="ED1188" t="s">
        <v>10251</v>
      </c>
      <c r="EE1188">
        <v>7.5</v>
      </c>
      <c r="EF1188">
        <v>176.6</v>
      </c>
      <c r="EG1188">
        <v>0</v>
      </c>
      <c r="EI1188">
        <v>20160407</v>
      </c>
      <c r="EJ1188">
        <v>0</v>
      </c>
      <c r="EK1188">
        <v>0</v>
      </c>
      <c r="EP1188" t="s">
        <v>421</v>
      </c>
      <c r="EQ1188" t="s">
        <v>422</v>
      </c>
      <c r="ER1188">
        <v>0</v>
      </c>
      <c r="ES1188">
        <v>3</v>
      </c>
      <c r="ET1188">
        <v>0</v>
      </c>
      <c r="EU1188">
        <v>0</v>
      </c>
      <c r="EV1188">
        <v>0</v>
      </c>
      <c r="EW1188" s="2">
        <v>43222</v>
      </c>
      <c r="EX1188" s="1">
        <v>42515</v>
      </c>
      <c r="EY1188">
        <v>2015</v>
      </c>
      <c r="EZ1188">
        <v>398.7</v>
      </c>
      <c r="FA1188" t="s">
        <v>12120</v>
      </c>
      <c r="FB1188">
        <v>0.25</v>
      </c>
      <c r="FC1188" t="s">
        <v>424</v>
      </c>
      <c r="FD1188" t="s">
        <v>425</v>
      </c>
      <c r="FE1188" s="1">
        <v>42763</v>
      </c>
      <c r="FF1188">
        <v>8</v>
      </c>
      <c r="FG1188">
        <v>2851116</v>
      </c>
      <c r="FH1188" t="s">
        <v>480</v>
      </c>
      <c r="FJ1188" s="1">
        <v>42515</v>
      </c>
      <c r="FK1188">
        <v>2015</v>
      </c>
      <c r="FL1188">
        <v>398.7</v>
      </c>
      <c r="FM1188" t="s">
        <v>12120</v>
      </c>
      <c r="FN1188">
        <v>0.25</v>
      </c>
      <c r="FO1188" t="s">
        <v>424</v>
      </c>
      <c r="FP1188" t="s">
        <v>425</v>
      </c>
      <c r="FR1188">
        <v>22</v>
      </c>
      <c r="FS1188">
        <v>5233926</v>
      </c>
      <c r="FT1188" t="s">
        <v>12121</v>
      </c>
      <c r="FV1188" s="1">
        <v>41787</v>
      </c>
      <c r="FW1188">
        <v>2013</v>
      </c>
      <c r="FX1188">
        <v>498.14</v>
      </c>
      <c r="FY1188" t="s">
        <v>12122</v>
      </c>
      <c r="FZ1188">
        <v>0.25</v>
      </c>
      <c r="GA1188" t="s">
        <v>424</v>
      </c>
      <c r="GB1188" t="s">
        <v>425</v>
      </c>
      <c r="GC1188" s="1">
        <v>42144</v>
      </c>
      <c r="GD1188">
        <v>12</v>
      </c>
      <c r="GE1188">
        <v>4844940</v>
      </c>
      <c r="GF1188" t="s">
        <v>1707</v>
      </c>
    </row>
    <row r="1189" spans="1:272" x14ac:dyDescent="0.25">
      <c r="A1189">
        <v>16486196</v>
      </c>
      <c r="B1189">
        <v>1188</v>
      </c>
      <c r="C1189" t="s">
        <v>393</v>
      </c>
      <c r="D1189" t="s">
        <v>394</v>
      </c>
      <c r="F1189" t="str">
        <f>"25-2N-27-1475-0001-0640"</f>
        <v>25-2N-27-1475-0001-0640</v>
      </c>
      <c r="H1189" t="str">
        <f>"WALKER STACEY R &amp; THERESA C"</f>
        <v>WALKER STACEY R &amp; THERESA C</v>
      </c>
      <c r="I1189" t="str">
        <f>"85132 LINA RD"</f>
        <v>85132 LINA RD</v>
      </c>
      <c r="J1189" t="str">
        <f>"FERNANDINA BEACH FL 32035"</f>
        <v>FERNANDINA BEACH FL 32035</v>
      </c>
      <c r="K1189" t="str">
        <f>"85132 LINA RD"</f>
        <v>85132 LINA RD</v>
      </c>
      <c r="L1189" t="str">
        <f t="shared" si="405"/>
        <v>FERNANDINA BEACH FL 32034</v>
      </c>
      <c r="M1189" t="str">
        <f>"BLOCK 1 LOT 64 IN OR 790 PG 236 R673679 &amp; R673680 NASSAUVILLE WOODS PB 5/126"</f>
        <v>BLOCK 1 LOT 64 IN OR 790 PG 236 R673679 &amp; R673680 NASSAUVILLE WOODS PB 5/126</v>
      </c>
      <c r="N1189" t="str">
        <f>""</f>
        <v/>
      </c>
      <c r="O1189" t="str">
        <f>"35127"</f>
        <v>35127</v>
      </c>
      <c r="P1189" t="str">
        <f t="shared" si="382"/>
        <v>2017</v>
      </c>
      <c r="Q1189" t="str">
        <f>""</f>
        <v/>
      </c>
      <c r="R1189" t="str">
        <f>"N"</f>
        <v>N</v>
      </c>
      <c r="S1189" t="str">
        <f>""</f>
        <v/>
      </c>
      <c r="T1189" t="str">
        <f>"1066.43"</f>
        <v>1066.43</v>
      </c>
      <c r="U1189" t="str">
        <f>"70443.00"</f>
        <v>70443.00</v>
      </c>
      <c r="V1189" t="str">
        <f>"70443.00"</f>
        <v>70443.00</v>
      </c>
      <c r="W1189" t="str">
        <f t="shared" si="383"/>
        <v>2017</v>
      </c>
      <c r="X1189" t="str">
        <f>"11.67"</f>
        <v>11.67</v>
      </c>
      <c r="Y1189" t="str">
        <f>"1130.42"</f>
        <v>1130.42</v>
      </c>
      <c r="Z1189" t="str">
        <f>""</f>
        <v/>
      </c>
      <c r="AA1189" t="str">
        <f>"70443.00"</f>
        <v>70443.00</v>
      </c>
      <c r="AB1189" t="str">
        <f t="shared" si="404"/>
        <v>Residential</v>
      </c>
      <c r="AC1189" t="str">
        <f t="shared" si="399"/>
        <v>0</v>
      </c>
      <c r="AD1189" t="str">
        <f>"4"</f>
        <v>4</v>
      </c>
      <c r="AE1189" t="str">
        <f>"WOOD (INCLUDE STEEL STUDS)"</f>
        <v>WOOD (INCLUDE STEEL STUDS)</v>
      </c>
      <c r="AF1189" t="str">
        <f>"002"</f>
        <v>002</v>
      </c>
      <c r="AG1189" t="str">
        <f t="shared" si="406"/>
        <v>FL</v>
      </c>
      <c r="AH1189" t="str">
        <f t="shared" si="407"/>
        <v>-</v>
      </c>
      <c r="AI1189" t="str">
        <f>"23750.00"</f>
        <v>23750.00</v>
      </c>
      <c r="AJ1189" t="str">
        <f>"C55-000-587-4046-5"</f>
        <v>C55-000-587-4046-5</v>
      </c>
      <c r="AK1189" t="str">
        <f>"20014"</f>
        <v>20014</v>
      </c>
      <c r="AL1189">
        <v>5</v>
      </c>
      <c r="AM1189">
        <v>1357</v>
      </c>
      <c r="AN1189">
        <v>1185.3399999999999</v>
      </c>
      <c r="AQ1189" t="s">
        <v>12123</v>
      </c>
      <c r="AR1189" t="s">
        <v>12123</v>
      </c>
      <c r="AS1189" t="s">
        <v>12123</v>
      </c>
      <c r="AU1189" t="s">
        <v>396</v>
      </c>
      <c r="AV1189">
        <v>2017</v>
      </c>
      <c r="AW1189" t="str">
        <f>"25-2N-27-1475-0001-0640 "</f>
        <v xml:space="preserve">25-2N-27-1475-0001-0640 </v>
      </c>
      <c r="AX1189">
        <v>85132</v>
      </c>
      <c r="AZ1189" t="s">
        <v>12124</v>
      </c>
      <c r="BA1189" t="s">
        <v>496</v>
      </c>
      <c r="BD1189" t="s">
        <v>11749</v>
      </c>
      <c r="BE1189" t="s">
        <v>393</v>
      </c>
      <c r="BF1189">
        <v>32034</v>
      </c>
      <c r="BG1189" t="s">
        <v>12125</v>
      </c>
      <c r="BH1189" t="s">
        <v>11751</v>
      </c>
      <c r="BI1189">
        <v>-81.551727213632006</v>
      </c>
      <c r="BJ1189">
        <v>30.558923986298499</v>
      </c>
      <c r="BK1189" t="s">
        <v>12126</v>
      </c>
      <c r="BL1189" t="s">
        <v>12127</v>
      </c>
      <c r="BM1189" t="s">
        <v>12125</v>
      </c>
      <c r="BN1189" t="s">
        <v>3983</v>
      </c>
      <c r="BO1189">
        <v>32034</v>
      </c>
      <c r="BP1189" t="s">
        <v>416</v>
      </c>
      <c r="BQ1189">
        <v>200</v>
      </c>
      <c r="BR1189" t="s">
        <v>405</v>
      </c>
      <c r="BS1189">
        <v>1006</v>
      </c>
      <c r="BT1189" t="s">
        <v>406</v>
      </c>
      <c r="BW1189">
        <v>44863</v>
      </c>
      <c r="BX1189" t="s">
        <v>407</v>
      </c>
      <c r="BY1189" t="s">
        <v>408</v>
      </c>
      <c r="BZ1189">
        <v>4</v>
      </c>
      <c r="CA1189">
        <v>1998</v>
      </c>
      <c r="CB1189">
        <v>1</v>
      </c>
      <c r="CC1189">
        <v>1</v>
      </c>
      <c r="CD1189">
        <v>2017</v>
      </c>
      <c r="CE1189">
        <v>23750</v>
      </c>
      <c r="CF1189">
        <v>46693</v>
      </c>
      <c r="CG1189">
        <v>70443</v>
      </c>
      <c r="CH1189">
        <v>2017</v>
      </c>
      <c r="CI1189">
        <v>23750</v>
      </c>
      <c r="CJ1189">
        <v>46693</v>
      </c>
      <c r="CK1189">
        <v>70443</v>
      </c>
      <c r="CL1189">
        <v>2017</v>
      </c>
      <c r="CM1189">
        <v>1066.43</v>
      </c>
      <c r="CN1189" s="1">
        <v>35531</v>
      </c>
      <c r="CO1189">
        <v>11900</v>
      </c>
      <c r="CZ1189" s="1">
        <v>35531</v>
      </c>
      <c r="DD1189" t="s">
        <v>11749</v>
      </c>
      <c r="DF1189">
        <v>64</v>
      </c>
      <c r="DG1189">
        <v>25</v>
      </c>
      <c r="DL1189">
        <v>50303</v>
      </c>
      <c r="DM1189" t="s">
        <v>12086</v>
      </c>
      <c r="DO1189" t="s">
        <v>12128</v>
      </c>
      <c r="DP1189">
        <v>0</v>
      </c>
      <c r="DQ1189">
        <v>0</v>
      </c>
      <c r="DR1189" t="s">
        <v>411</v>
      </c>
      <c r="DS1189" t="b">
        <v>1</v>
      </c>
      <c r="DT1189" t="s">
        <v>470</v>
      </c>
      <c r="DU1189" t="s">
        <v>10249</v>
      </c>
      <c r="DV1189" t="s">
        <v>472</v>
      </c>
      <c r="DX1189">
        <v>-9999</v>
      </c>
      <c r="DZ1189" t="s">
        <v>447</v>
      </c>
      <c r="EA1189" t="s">
        <v>448</v>
      </c>
      <c r="EB1189" t="s">
        <v>12096</v>
      </c>
      <c r="EC1189">
        <v>20101217</v>
      </c>
      <c r="ED1189" t="s">
        <v>10251</v>
      </c>
      <c r="EE1189">
        <v>7.5</v>
      </c>
      <c r="EF1189">
        <v>38.6</v>
      </c>
      <c r="EG1189">
        <v>0</v>
      </c>
      <c r="EI1189">
        <v>20160407</v>
      </c>
      <c r="EJ1189">
        <v>0</v>
      </c>
      <c r="EK1189">
        <v>0</v>
      </c>
      <c r="EP1189" t="s">
        <v>421</v>
      </c>
      <c r="EQ1189" t="s">
        <v>422</v>
      </c>
      <c r="ER1189">
        <v>0</v>
      </c>
      <c r="ES1189">
        <v>5</v>
      </c>
      <c r="ET1189">
        <v>0</v>
      </c>
      <c r="EU1189">
        <v>0</v>
      </c>
      <c r="EV1189">
        <v>0</v>
      </c>
      <c r="EW1189" s="2">
        <v>43222</v>
      </c>
      <c r="EX1189" s="1">
        <v>42515</v>
      </c>
      <c r="EY1189">
        <v>2015</v>
      </c>
      <c r="EZ1189">
        <v>497.67</v>
      </c>
      <c r="FA1189" t="s">
        <v>12129</v>
      </c>
      <c r="FB1189">
        <v>0.25</v>
      </c>
      <c r="FC1189" t="s">
        <v>424</v>
      </c>
      <c r="FD1189" t="s">
        <v>425</v>
      </c>
      <c r="FE1189" s="1">
        <v>42832</v>
      </c>
      <c r="FF1189">
        <v>11</v>
      </c>
      <c r="FG1189">
        <v>11289</v>
      </c>
      <c r="FH1189" t="s">
        <v>787</v>
      </c>
      <c r="FJ1189" s="1">
        <v>42515</v>
      </c>
      <c r="FK1189">
        <v>2015</v>
      </c>
      <c r="FL1189">
        <v>497.67</v>
      </c>
      <c r="FM1189" t="s">
        <v>12129</v>
      </c>
      <c r="FN1189">
        <v>0.25</v>
      </c>
      <c r="FO1189" t="s">
        <v>424</v>
      </c>
      <c r="FP1189" t="s">
        <v>425</v>
      </c>
      <c r="FR1189">
        <v>22</v>
      </c>
      <c r="FS1189">
        <v>7064145</v>
      </c>
      <c r="FT1189" t="s">
        <v>12130</v>
      </c>
      <c r="FV1189" s="1">
        <v>42151</v>
      </c>
      <c r="FW1189">
        <v>2014</v>
      </c>
      <c r="FX1189">
        <v>499.02</v>
      </c>
      <c r="FY1189" t="s">
        <v>12131</v>
      </c>
      <c r="FZ1189">
        <v>0.25</v>
      </c>
      <c r="GA1189" t="s">
        <v>424</v>
      </c>
      <c r="GB1189" t="s">
        <v>425</v>
      </c>
      <c r="GC1189" s="1">
        <v>42832</v>
      </c>
      <c r="GD1189">
        <v>23</v>
      </c>
      <c r="GE1189">
        <v>2851116</v>
      </c>
      <c r="GF1189" t="s">
        <v>480</v>
      </c>
      <c r="GH1189" s="1">
        <v>42151</v>
      </c>
      <c r="GI1189">
        <v>2014</v>
      </c>
      <c r="GJ1189">
        <v>499.02</v>
      </c>
      <c r="GK1189" t="s">
        <v>12131</v>
      </c>
      <c r="GL1189">
        <v>0.25</v>
      </c>
      <c r="GM1189" t="s">
        <v>424</v>
      </c>
      <c r="GN1189" t="s">
        <v>425</v>
      </c>
      <c r="GP1189">
        <v>22</v>
      </c>
      <c r="GQ1189">
        <v>5400360</v>
      </c>
      <c r="GR1189" t="s">
        <v>12132</v>
      </c>
      <c r="GT1189" s="1">
        <v>41787</v>
      </c>
      <c r="GU1189">
        <v>2013</v>
      </c>
      <c r="GV1189">
        <v>525.03</v>
      </c>
      <c r="GW1189" t="s">
        <v>12133</v>
      </c>
      <c r="GX1189">
        <v>0.25</v>
      </c>
      <c r="GY1189" t="s">
        <v>424</v>
      </c>
      <c r="GZ1189" t="s">
        <v>425</v>
      </c>
      <c r="HA1189" s="1">
        <v>41802</v>
      </c>
      <c r="HB1189">
        <v>1</v>
      </c>
      <c r="HC1189">
        <v>2407503</v>
      </c>
      <c r="HD1189" t="s">
        <v>461</v>
      </c>
    </row>
    <row r="1190" spans="1:272" x14ac:dyDescent="0.25">
      <c r="A1190">
        <v>16486197</v>
      </c>
      <c r="B1190">
        <v>1189</v>
      </c>
      <c r="C1190" t="s">
        <v>393</v>
      </c>
      <c r="D1190" t="s">
        <v>394</v>
      </c>
      <c r="F1190" t="str">
        <f>"25-2N-27-1475-0001-0690"</f>
        <v>25-2N-27-1475-0001-0690</v>
      </c>
      <c r="H1190" t="str">
        <f>"DUBBERLY WILLIAM O &amp; CYNTHIA J"</f>
        <v>DUBBERLY WILLIAM O &amp; CYNTHIA J</v>
      </c>
      <c r="I1190" t="str">
        <f>"85288 LINA ROAD"</f>
        <v>85288 LINA ROAD</v>
      </c>
      <c r="J1190" t="str">
        <f>"FERNANDINA BEACH FL 32034"</f>
        <v>FERNANDINA BEACH FL 32034</v>
      </c>
      <c r="K1190" t="str">
        <f>"85288 LINA RD"</f>
        <v>85288 LINA RD</v>
      </c>
      <c r="L1190" t="str">
        <f t="shared" si="405"/>
        <v>FERNANDINA BEACH FL 32034</v>
      </c>
      <c r="M1190" t="str">
        <f>"BLOCK 1 LOT 69 IN OR 791 PG 1107 NASSAUVILLE WOODS PB 5/126"</f>
        <v>BLOCK 1 LOT 69 IN OR 791 PG 1107 NASSAUVILLE WOODS PB 5/126</v>
      </c>
      <c r="N1190" t="str">
        <f>""</f>
        <v/>
      </c>
      <c r="O1190" t="str">
        <f>"35132"</f>
        <v>35132</v>
      </c>
      <c r="P1190" t="str">
        <f t="shared" si="382"/>
        <v>2017</v>
      </c>
      <c r="Q1190" t="str">
        <f>""</f>
        <v/>
      </c>
      <c r="R1190" t="str">
        <f>"N"</f>
        <v>N</v>
      </c>
      <c r="S1190" t="str">
        <f>""</f>
        <v/>
      </c>
      <c r="T1190" t="str">
        <f>"520.08"</f>
        <v>520.08</v>
      </c>
      <c r="U1190" t="str">
        <f>"32578.00"</f>
        <v>32578.00</v>
      </c>
      <c r="V1190" t="str">
        <f>"32578.00"</f>
        <v>32578.00</v>
      </c>
      <c r="W1190" t="str">
        <f t="shared" si="383"/>
        <v>2017</v>
      </c>
      <c r="X1190" t="str">
        <f>"17.00"</f>
        <v>17.00</v>
      </c>
      <c r="Y1190" t="str">
        <f>"567.68"</f>
        <v>567.68</v>
      </c>
      <c r="Z1190" t="str">
        <f>""</f>
        <v/>
      </c>
      <c r="AA1190" t="str">
        <f>"36654.00"</f>
        <v>36654.00</v>
      </c>
      <c r="AB1190" t="str">
        <f t="shared" si="404"/>
        <v>Residential</v>
      </c>
      <c r="AC1190" t="str">
        <f t="shared" si="399"/>
        <v>0</v>
      </c>
      <c r="AD1190" t="str">
        <f>""</f>
        <v/>
      </c>
      <c r="AE1190" t="str">
        <f>""</f>
        <v/>
      </c>
      <c r="AF1190" t="str">
        <f>"000"</f>
        <v>000</v>
      </c>
      <c r="AG1190" t="str">
        <f t="shared" si="406"/>
        <v>FL</v>
      </c>
      <c r="AH1190" t="str">
        <f t="shared" si="407"/>
        <v>-</v>
      </c>
      <c r="AI1190" t="str">
        <f>"25000.00"</f>
        <v>25000.00</v>
      </c>
      <c r="AJ1190" t="str">
        <f>"C55-000-587-4051-5"</f>
        <v>C55-000-587-4051-5</v>
      </c>
      <c r="AK1190" t="str">
        <f>"20019"</f>
        <v>20019</v>
      </c>
      <c r="AL1190">
        <v>5</v>
      </c>
      <c r="AM1190">
        <v>1358</v>
      </c>
      <c r="AN1190">
        <v>594.46</v>
      </c>
      <c r="AQ1190" t="s">
        <v>12134</v>
      </c>
      <c r="AR1190" t="s">
        <v>12134</v>
      </c>
      <c r="AS1190" t="s">
        <v>12134</v>
      </c>
      <c r="AU1190" t="s">
        <v>396</v>
      </c>
      <c r="AV1190">
        <v>2017</v>
      </c>
      <c r="AW1190" t="str">
        <f>"25-2N-27-1475-0001-0690 "</f>
        <v xml:space="preserve">25-2N-27-1475-0001-0690 </v>
      </c>
      <c r="AX1190">
        <v>85288</v>
      </c>
      <c r="AZ1190" t="s">
        <v>12124</v>
      </c>
      <c r="BA1190" t="s">
        <v>496</v>
      </c>
      <c r="BD1190" t="s">
        <v>11749</v>
      </c>
      <c r="BE1190" t="s">
        <v>393</v>
      </c>
      <c r="BF1190">
        <v>32034</v>
      </c>
      <c r="BG1190" t="s">
        <v>12135</v>
      </c>
      <c r="BH1190" t="s">
        <v>11751</v>
      </c>
      <c r="BI1190">
        <v>-81.549459235457206</v>
      </c>
      <c r="BJ1190">
        <v>30.559961311683001</v>
      </c>
      <c r="BK1190" t="s">
        <v>12136</v>
      </c>
      <c r="BL1190" t="s">
        <v>12137</v>
      </c>
      <c r="BM1190" t="s">
        <v>12135</v>
      </c>
      <c r="BN1190" t="s">
        <v>3983</v>
      </c>
      <c r="BO1190">
        <v>32034</v>
      </c>
      <c r="BP1190" t="s">
        <v>404</v>
      </c>
      <c r="BQ1190">
        <v>1</v>
      </c>
      <c r="BR1190" t="s">
        <v>491</v>
      </c>
      <c r="BS1190">
        <v>8001</v>
      </c>
      <c r="BT1190" t="s">
        <v>492</v>
      </c>
      <c r="BW1190">
        <v>91499</v>
      </c>
      <c r="BX1190" t="s">
        <v>407</v>
      </c>
      <c r="BY1190" t="s">
        <v>408</v>
      </c>
      <c r="CD1190">
        <v>2017</v>
      </c>
      <c r="CE1190">
        <v>25000</v>
      </c>
      <c r="CF1190">
        <v>11654</v>
      </c>
      <c r="CG1190">
        <v>36654</v>
      </c>
      <c r="CH1190">
        <v>2017</v>
      </c>
      <c r="CI1190">
        <v>25000</v>
      </c>
      <c r="CJ1190">
        <v>11654</v>
      </c>
      <c r="CK1190">
        <v>36654</v>
      </c>
      <c r="CL1190">
        <v>2017</v>
      </c>
      <c r="CM1190">
        <v>520.08000000000004</v>
      </c>
      <c r="CN1190" s="1">
        <v>35548</v>
      </c>
      <c r="CO1190">
        <v>22500</v>
      </c>
      <c r="CZ1190" s="1">
        <v>35548</v>
      </c>
      <c r="DD1190" t="s">
        <v>11749</v>
      </c>
      <c r="DF1190">
        <v>69</v>
      </c>
      <c r="DG1190">
        <v>25</v>
      </c>
      <c r="DJ1190" t="s">
        <v>12138</v>
      </c>
      <c r="DL1190">
        <v>50303</v>
      </c>
      <c r="DM1190" t="s">
        <v>12086</v>
      </c>
      <c r="DO1190" t="s">
        <v>12139</v>
      </c>
      <c r="DP1190">
        <v>0</v>
      </c>
      <c r="DQ1190">
        <v>0</v>
      </c>
      <c r="DR1190" t="s">
        <v>411</v>
      </c>
      <c r="DS1190" t="b">
        <v>1</v>
      </c>
      <c r="DT1190" t="s">
        <v>470</v>
      </c>
      <c r="DU1190" t="s">
        <v>10249</v>
      </c>
      <c r="DV1190" t="s">
        <v>472</v>
      </c>
      <c r="DX1190">
        <v>-9999</v>
      </c>
      <c r="DZ1190" t="s">
        <v>447</v>
      </c>
      <c r="EA1190" t="s">
        <v>448</v>
      </c>
      <c r="EB1190" t="s">
        <v>12096</v>
      </c>
      <c r="EC1190">
        <v>20101217</v>
      </c>
      <c r="ED1190" t="s">
        <v>10251</v>
      </c>
      <c r="EE1190">
        <v>7.5</v>
      </c>
      <c r="EF1190">
        <v>506.9</v>
      </c>
      <c r="EG1190">
        <v>0</v>
      </c>
      <c r="EI1190">
        <v>20160407</v>
      </c>
      <c r="EJ1190">
        <v>0</v>
      </c>
      <c r="EK1190">
        <v>0</v>
      </c>
      <c r="EP1190" t="s">
        <v>421</v>
      </c>
      <c r="EQ1190" t="s">
        <v>422</v>
      </c>
      <c r="ER1190">
        <v>2</v>
      </c>
      <c r="ES1190">
        <v>2</v>
      </c>
      <c r="ET1190">
        <v>1052.17</v>
      </c>
      <c r="EU1190">
        <v>203.59</v>
      </c>
      <c r="EV1190">
        <v>1255.76</v>
      </c>
      <c r="EW1190" s="2">
        <v>43222</v>
      </c>
      <c r="EX1190" s="1">
        <v>42879</v>
      </c>
      <c r="EY1190">
        <v>2016</v>
      </c>
      <c r="EZ1190">
        <v>518.69000000000005</v>
      </c>
      <c r="FA1190" t="s">
        <v>12140</v>
      </c>
      <c r="FB1190">
        <v>6.5</v>
      </c>
      <c r="FC1190" t="s">
        <v>424</v>
      </c>
      <c r="FD1190" t="s">
        <v>454</v>
      </c>
      <c r="FF1190">
        <v>12</v>
      </c>
      <c r="FG1190">
        <v>10125</v>
      </c>
      <c r="FH1190" t="s">
        <v>440</v>
      </c>
      <c r="FJ1190" s="1">
        <v>42515</v>
      </c>
      <c r="FK1190">
        <v>2015</v>
      </c>
      <c r="FL1190">
        <v>533.48</v>
      </c>
      <c r="FM1190" t="s">
        <v>12141</v>
      </c>
      <c r="FN1190">
        <v>14.75</v>
      </c>
      <c r="FO1190" t="s">
        <v>424</v>
      </c>
      <c r="FP1190" t="s">
        <v>454</v>
      </c>
      <c r="FR1190">
        <v>24</v>
      </c>
      <c r="FS1190">
        <v>7336676</v>
      </c>
      <c r="FT1190" t="s">
        <v>12142</v>
      </c>
      <c r="FV1190" s="1">
        <v>41787</v>
      </c>
      <c r="FW1190">
        <v>2013</v>
      </c>
      <c r="FX1190">
        <v>523.51</v>
      </c>
      <c r="FY1190" t="s">
        <v>12143</v>
      </c>
      <c r="FZ1190">
        <v>6</v>
      </c>
      <c r="GA1190" t="s">
        <v>424</v>
      </c>
      <c r="GB1190" t="s">
        <v>425</v>
      </c>
      <c r="GC1190" s="1">
        <v>42109</v>
      </c>
      <c r="GD1190">
        <v>11</v>
      </c>
      <c r="GE1190">
        <v>2035919</v>
      </c>
      <c r="GF1190" t="s">
        <v>507</v>
      </c>
      <c r="GH1190" s="1">
        <v>41423</v>
      </c>
      <c r="GI1190">
        <v>2012</v>
      </c>
      <c r="GJ1190">
        <v>537.34</v>
      </c>
      <c r="GK1190" t="s">
        <v>12144</v>
      </c>
      <c r="GL1190">
        <v>0.25</v>
      </c>
      <c r="GM1190" t="s">
        <v>424</v>
      </c>
      <c r="GN1190" t="s">
        <v>425</v>
      </c>
      <c r="GO1190" s="1">
        <v>42109</v>
      </c>
      <c r="GP1190">
        <v>23</v>
      </c>
      <c r="GQ1190">
        <v>2101385</v>
      </c>
      <c r="GR1190" t="s">
        <v>810</v>
      </c>
    </row>
    <row r="1191" spans="1:272" x14ac:dyDescent="0.25">
      <c r="A1191">
        <v>16486198</v>
      </c>
      <c r="B1191">
        <v>1190</v>
      </c>
      <c r="C1191" t="s">
        <v>393</v>
      </c>
      <c r="D1191" t="s">
        <v>394</v>
      </c>
      <c r="F1191" t="str">
        <f>"25-2N-27-1475-0002-0210"</f>
        <v>25-2N-27-1475-0002-0210</v>
      </c>
      <c r="H1191" t="str">
        <f>"LUCAS DALE A"</f>
        <v>LUCAS DALE A</v>
      </c>
      <c r="I1191" t="str">
        <f>"86723 CARDINAL RD"</f>
        <v>86723 CARDINAL RD</v>
      </c>
      <c r="J1191" t="str">
        <f>"YULEE FL 32097"</f>
        <v>YULEE FL 32097</v>
      </c>
      <c r="K1191" t="str">
        <f>"85262 BURMEISTER RD"</f>
        <v>85262 BURMEISTER RD</v>
      </c>
      <c r="L1191" t="str">
        <f t="shared" si="405"/>
        <v>FERNANDINA BEACH FL 32034</v>
      </c>
      <c r="M1191" t="str">
        <f>"BLOCK 2 LOT 21 IN OR 677 PG 183 NASSAUVILLE WOODS PB 5/126"</f>
        <v>BLOCK 2 LOT 21 IN OR 677 PG 183 NASSAUVILLE WOODS PB 5/126</v>
      </c>
      <c r="N1191" t="str">
        <f>""</f>
        <v/>
      </c>
      <c r="O1191" t="str">
        <f>"35156"</f>
        <v>35156</v>
      </c>
      <c r="P1191" t="str">
        <f t="shared" si="382"/>
        <v>2017</v>
      </c>
      <c r="Q1191" t="str">
        <f>""</f>
        <v/>
      </c>
      <c r="R1191" t="str">
        <f>"N"</f>
        <v>N</v>
      </c>
      <c r="S1191" t="str">
        <f>""</f>
        <v/>
      </c>
      <c r="T1191" t="str">
        <f>"354.46"</f>
        <v>354.46</v>
      </c>
      <c r="U1191" t="str">
        <f>"22111.00"</f>
        <v>22111.00</v>
      </c>
      <c r="V1191" t="str">
        <f>"22111.00"</f>
        <v>22111.00</v>
      </c>
      <c r="W1191" t="str">
        <f t="shared" si="383"/>
        <v>2017</v>
      </c>
      <c r="X1191" t="str">
        <f>"11.88"</f>
        <v>11.88</v>
      </c>
      <c r="Y1191" t="str">
        <f>"397.09"</f>
        <v>397.09</v>
      </c>
      <c r="Z1191" t="str">
        <f>""</f>
        <v/>
      </c>
      <c r="AA1191" t="str">
        <f>"25101.00"</f>
        <v>25101.00</v>
      </c>
      <c r="AB1191" t="str">
        <f t="shared" si="404"/>
        <v>Residential</v>
      </c>
      <c r="AC1191" t="str">
        <f t="shared" si="399"/>
        <v>0</v>
      </c>
      <c r="AD1191" t="str">
        <f>""</f>
        <v/>
      </c>
      <c r="AE1191" t="str">
        <f>""</f>
        <v/>
      </c>
      <c r="AF1191" t="str">
        <f>"000"</f>
        <v>000</v>
      </c>
      <c r="AG1191" t="str">
        <f t="shared" si="406"/>
        <v>FL</v>
      </c>
      <c r="AH1191" t="str">
        <f t="shared" si="407"/>
        <v>-</v>
      </c>
      <c r="AI1191" t="str">
        <f>"25000.00"</f>
        <v>25000.00</v>
      </c>
      <c r="AJ1191" t="str">
        <f>"C55-000-587-4075-4"</f>
        <v>C55-000-587-4075-4</v>
      </c>
      <c r="AK1191" t="str">
        <f>"20043"</f>
        <v>20043</v>
      </c>
      <c r="AL1191">
        <v>5</v>
      </c>
      <c r="AM1191">
        <v>1359</v>
      </c>
      <c r="AN1191">
        <v>415.34</v>
      </c>
      <c r="AQ1191" t="s">
        <v>12145</v>
      </c>
      <c r="AR1191" t="s">
        <v>12145</v>
      </c>
      <c r="AS1191" t="s">
        <v>12145</v>
      </c>
      <c r="AU1191" t="s">
        <v>396</v>
      </c>
      <c r="AV1191">
        <v>2017</v>
      </c>
      <c r="AW1191" t="str">
        <f>"25-2N-27-1475-0002-0210 "</f>
        <v xml:space="preserve">25-2N-27-1475-0002-0210 </v>
      </c>
      <c r="AX1191">
        <v>85262</v>
      </c>
      <c r="AZ1191" t="s">
        <v>12092</v>
      </c>
      <c r="BA1191" t="s">
        <v>496</v>
      </c>
      <c r="BD1191" t="s">
        <v>11749</v>
      </c>
      <c r="BE1191" t="s">
        <v>393</v>
      </c>
      <c r="BF1191">
        <v>32034</v>
      </c>
      <c r="BG1191" t="s">
        <v>12146</v>
      </c>
      <c r="BH1191" t="s">
        <v>11751</v>
      </c>
      <c r="BI1191">
        <v>-81.550178793574204</v>
      </c>
      <c r="BJ1191">
        <v>30.564530493100001</v>
      </c>
      <c r="BK1191" t="s">
        <v>12147</v>
      </c>
      <c r="BM1191" t="s">
        <v>11603</v>
      </c>
      <c r="BN1191" t="s">
        <v>1778</v>
      </c>
      <c r="BO1191">
        <v>32097</v>
      </c>
      <c r="BP1191" t="s">
        <v>404</v>
      </c>
      <c r="BQ1191">
        <v>1</v>
      </c>
      <c r="BR1191" t="s">
        <v>491</v>
      </c>
      <c r="BS1191">
        <v>8001</v>
      </c>
      <c r="BT1191" t="s">
        <v>492</v>
      </c>
      <c r="BW1191">
        <v>44990</v>
      </c>
      <c r="BX1191" t="s">
        <v>407</v>
      </c>
      <c r="BY1191" t="s">
        <v>408</v>
      </c>
      <c r="CD1191">
        <v>2017</v>
      </c>
      <c r="CE1191">
        <v>25000</v>
      </c>
      <c r="CF1191">
        <v>101</v>
      </c>
      <c r="CG1191">
        <v>25101</v>
      </c>
      <c r="CH1191">
        <v>2017</v>
      </c>
      <c r="CI1191">
        <v>25000</v>
      </c>
      <c r="CJ1191">
        <v>101</v>
      </c>
      <c r="CK1191">
        <v>25101</v>
      </c>
      <c r="CL1191">
        <v>2017</v>
      </c>
      <c r="CM1191">
        <v>354.46</v>
      </c>
      <c r="CN1191" s="1">
        <v>34045</v>
      </c>
      <c r="CO1191">
        <v>12800</v>
      </c>
      <c r="CZ1191" s="1">
        <v>34045</v>
      </c>
      <c r="DD1191" t="s">
        <v>11749</v>
      </c>
      <c r="DF1191">
        <v>21</v>
      </c>
      <c r="DG1191">
        <v>25</v>
      </c>
      <c r="DJ1191" t="s">
        <v>12138</v>
      </c>
      <c r="DL1191">
        <v>50303</v>
      </c>
      <c r="DM1191" t="s">
        <v>12086</v>
      </c>
      <c r="DO1191" t="s">
        <v>12148</v>
      </c>
      <c r="DP1191">
        <v>0</v>
      </c>
      <c r="DQ1191">
        <v>0</v>
      </c>
      <c r="DR1191" t="s">
        <v>411</v>
      </c>
      <c r="DS1191" t="b">
        <v>1</v>
      </c>
      <c r="DT1191" t="s">
        <v>470</v>
      </c>
      <c r="DU1191" t="s">
        <v>10249</v>
      </c>
      <c r="DV1191" t="s">
        <v>472</v>
      </c>
      <c r="DX1191">
        <v>-9999</v>
      </c>
      <c r="DZ1191" t="s">
        <v>447</v>
      </c>
      <c r="EA1191" t="s">
        <v>448</v>
      </c>
      <c r="EB1191" t="s">
        <v>12096</v>
      </c>
      <c r="EC1191">
        <v>20101217</v>
      </c>
      <c r="ED1191" t="s">
        <v>10251</v>
      </c>
      <c r="EE1191">
        <v>7.5</v>
      </c>
      <c r="EF1191">
        <v>503.8</v>
      </c>
      <c r="EG1191">
        <v>0</v>
      </c>
      <c r="EI1191">
        <v>20160407</v>
      </c>
      <c r="EJ1191">
        <v>0</v>
      </c>
      <c r="EK1191">
        <v>0</v>
      </c>
      <c r="EP1191" t="s">
        <v>421</v>
      </c>
      <c r="EQ1191" t="s">
        <v>422</v>
      </c>
      <c r="ER1191">
        <v>1</v>
      </c>
      <c r="ES1191">
        <v>6</v>
      </c>
      <c r="ET1191">
        <v>360.72</v>
      </c>
      <c r="EU1191">
        <v>33.299999999999997</v>
      </c>
      <c r="EV1191">
        <v>394.02</v>
      </c>
      <c r="EW1191" s="2">
        <v>43222</v>
      </c>
      <c r="EX1191" s="1">
        <v>42879</v>
      </c>
      <c r="EY1191">
        <v>2016</v>
      </c>
      <c r="EZ1191">
        <v>360.72</v>
      </c>
      <c r="FA1191" t="s">
        <v>12149</v>
      </c>
      <c r="FB1191">
        <v>7.5</v>
      </c>
      <c r="FC1191" t="s">
        <v>424</v>
      </c>
      <c r="FD1191" t="s">
        <v>454</v>
      </c>
      <c r="FF1191">
        <v>12</v>
      </c>
      <c r="FG1191">
        <v>10021</v>
      </c>
      <c r="FH1191" t="s">
        <v>597</v>
      </c>
      <c r="FJ1191" s="1">
        <v>42515</v>
      </c>
      <c r="FK1191">
        <v>2015</v>
      </c>
      <c r="FL1191">
        <v>363.9</v>
      </c>
      <c r="FM1191" t="s">
        <v>12150</v>
      </c>
      <c r="FN1191">
        <v>15.25</v>
      </c>
      <c r="FO1191" t="s">
        <v>424</v>
      </c>
      <c r="FP1191" t="s">
        <v>425</v>
      </c>
      <c r="FQ1191" s="1">
        <v>43158</v>
      </c>
      <c r="FR1191">
        <v>21</v>
      </c>
      <c r="FS1191">
        <v>7336143</v>
      </c>
      <c r="FT1191" t="s">
        <v>539</v>
      </c>
      <c r="FV1191" s="1">
        <v>42151</v>
      </c>
      <c r="FW1191">
        <v>2014</v>
      </c>
      <c r="FX1191">
        <v>365.71</v>
      </c>
      <c r="FY1191" t="s">
        <v>12151</v>
      </c>
      <c r="FZ1191">
        <v>4.75</v>
      </c>
      <c r="GA1191" t="s">
        <v>424</v>
      </c>
      <c r="GB1191" t="s">
        <v>425</v>
      </c>
      <c r="GC1191" s="1">
        <v>42811</v>
      </c>
      <c r="GD1191">
        <v>22</v>
      </c>
      <c r="GE1191">
        <v>4975593</v>
      </c>
      <c r="GF1191" t="s">
        <v>505</v>
      </c>
      <c r="GH1191" s="1">
        <v>41787</v>
      </c>
      <c r="GI1191">
        <v>2013</v>
      </c>
      <c r="GJ1191">
        <v>347.5</v>
      </c>
      <c r="GK1191" t="s">
        <v>12152</v>
      </c>
      <c r="GL1191">
        <v>6</v>
      </c>
      <c r="GM1191" t="s">
        <v>424</v>
      </c>
      <c r="GN1191" t="s">
        <v>425</v>
      </c>
      <c r="GO1191" s="1">
        <v>41929</v>
      </c>
      <c r="GP1191">
        <v>5</v>
      </c>
      <c r="GQ1191">
        <v>2035919</v>
      </c>
      <c r="GR1191" t="s">
        <v>507</v>
      </c>
      <c r="GT1191" s="1">
        <v>41423</v>
      </c>
      <c r="GU1191">
        <v>2012</v>
      </c>
      <c r="GV1191">
        <v>351.82</v>
      </c>
      <c r="GW1191" t="s">
        <v>12153</v>
      </c>
      <c r="GX1191">
        <v>4.75</v>
      </c>
      <c r="GY1191" t="s">
        <v>424</v>
      </c>
      <c r="GZ1191" t="s">
        <v>425</v>
      </c>
      <c r="HA1191" s="1">
        <v>41929</v>
      </c>
      <c r="HB1191">
        <v>17</v>
      </c>
      <c r="HC1191">
        <v>10125</v>
      </c>
      <c r="HD1191" t="s">
        <v>440</v>
      </c>
      <c r="HF1191" s="1">
        <v>41052</v>
      </c>
      <c r="HG1191">
        <v>2011</v>
      </c>
      <c r="HH1191">
        <v>433.25</v>
      </c>
      <c r="HI1191" t="s">
        <v>12154</v>
      </c>
      <c r="HJ1191">
        <v>5.75</v>
      </c>
      <c r="HK1191" t="s">
        <v>424</v>
      </c>
      <c r="HL1191" t="s">
        <v>425</v>
      </c>
      <c r="HM1191" s="1">
        <v>41250</v>
      </c>
      <c r="HN1191">
        <v>7</v>
      </c>
      <c r="HO1191">
        <v>10125</v>
      </c>
      <c r="HP1191" t="s">
        <v>440</v>
      </c>
      <c r="HR1191" s="1">
        <v>40688</v>
      </c>
      <c r="HS1191">
        <v>2010</v>
      </c>
      <c r="HT1191">
        <v>602.46</v>
      </c>
      <c r="HU1191" t="s">
        <v>12155</v>
      </c>
      <c r="HV1191">
        <v>6.75</v>
      </c>
      <c r="HW1191" t="s">
        <v>424</v>
      </c>
      <c r="HX1191" t="s">
        <v>425</v>
      </c>
      <c r="HY1191" s="1">
        <v>41250</v>
      </c>
      <c r="HZ1191">
        <v>19</v>
      </c>
      <c r="IA1191">
        <v>375</v>
      </c>
      <c r="IB1191" t="s">
        <v>776</v>
      </c>
    </row>
    <row r="1192" spans="1:272" x14ac:dyDescent="0.25">
      <c r="A1192">
        <v>16486199</v>
      </c>
      <c r="B1192">
        <v>1191</v>
      </c>
      <c r="C1192" t="s">
        <v>393</v>
      </c>
      <c r="D1192" t="s">
        <v>394</v>
      </c>
      <c r="F1192" t="str">
        <f>"25-2N-27-1475-0002-0220"</f>
        <v>25-2N-27-1475-0002-0220</v>
      </c>
      <c r="H1192" t="str">
        <f>"PAULK PATRICIA &amp; DORSEY"</f>
        <v>PAULK PATRICIA &amp; DORSEY</v>
      </c>
      <c r="I1192" t="str">
        <f>"85244 BURMESITER RD"</f>
        <v>85244 BURMESITER RD</v>
      </c>
      <c r="J1192" t="str">
        <f t="shared" ref="J1192:J1198" si="408">"FERNANDINA BEACH FL 32034"</f>
        <v>FERNANDINA BEACH FL 32034</v>
      </c>
      <c r="K1192" t="str">
        <f>"85244 BURMEISTER RD"</f>
        <v>85244 BURMEISTER RD</v>
      </c>
      <c r="L1192" t="str">
        <f t="shared" si="405"/>
        <v>FERNANDINA BEACH FL 32034</v>
      </c>
      <c r="M1192" t="str">
        <f>"BLOCK 2 LOT 22 IN OR 1524/262 2008 JACO DW/MH NASSAUVILLE WOODS PB 5/126"</f>
        <v>BLOCK 2 LOT 22 IN OR 1524/262 2008 JACO DW/MH NASSAUVILLE WOODS PB 5/126</v>
      </c>
      <c r="N1192" t="str">
        <f>""</f>
        <v/>
      </c>
      <c r="O1192" t="str">
        <f>"35157"</f>
        <v>35157</v>
      </c>
      <c r="P1192" t="str">
        <f t="shared" si="382"/>
        <v>2017</v>
      </c>
      <c r="Q1192" t="str">
        <f>""</f>
        <v/>
      </c>
      <c r="R1192" t="str">
        <f>"Y"</f>
        <v>Y</v>
      </c>
      <c r="S1192" t="str">
        <f>""</f>
        <v/>
      </c>
      <c r="T1192" t="str">
        <f>"746.25"</f>
        <v>746.25</v>
      </c>
      <c r="U1192" t="str">
        <f>"88398.00"</f>
        <v>88398.00</v>
      </c>
      <c r="V1192" t="str">
        <f>"88398.00"</f>
        <v>88398.00</v>
      </c>
      <c r="W1192" t="str">
        <f t="shared" si="383"/>
        <v>2017</v>
      </c>
      <c r="X1192" t="str">
        <f>"11.29"</f>
        <v>11.29</v>
      </c>
      <c r="Y1192" t="str">
        <f>"800.64"</f>
        <v>800.64</v>
      </c>
      <c r="Z1192" t="str">
        <f>"25000.00"</f>
        <v>25000.00</v>
      </c>
      <c r="AA1192" t="str">
        <f>"63398.00"</f>
        <v>63398.00</v>
      </c>
      <c r="AB1192" t="str">
        <f t="shared" si="404"/>
        <v>Residential</v>
      </c>
      <c r="AC1192" t="str">
        <f t="shared" si="399"/>
        <v>0</v>
      </c>
      <c r="AD1192" t="str">
        <f>"4"</f>
        <v>4</v>
      </c>
      <c r="AE1192" t="str">
        <f>"WOOD (INCLUDE STEEL STUDS)"</f>
        <v>WOOD (INCLUDE STEEL STUDS)</v>
      </c>
      <c r="AF1192" t="str">
        <f>"002"</f>
        <v>002</v>
      </c>
      <c r="AG1192" t="str">
        <f t="shared" si="406"/>
        <v>FL</v>
      </c>
      <c r="AH1192" t="str">
        <f t="shared" si="407"/>
        <v>-</v>
      </c>
      <c r="AI1192" t="str">
        <f>"25000.00"</f>
        <v>25000.00</v>
      </c>
      <c r="AJ1192" t="str">
        <f>"C55-000-587-4076-2"</f>
        <v>C55-000-587-4076-2</v>
      </c>
      <c r="AK1192" t="str">
        <f>"20044"</f>
        <v>20044</v>
      </c>
      <c r="AL1192">
        <v>5</v>
      </c>
      <c r="AM1192">
        <v>1360</v>
      </c>
      <c r="AN1192">
        <v>839.07</v>
      </c>
      <c r="AQ1192" t="s">
        <v>12156</v>
      </c>
      <c r="AR1192" t="s">
        <v>12156</v>
      </c>
      <c r="AS1192" t="s">
        <v>12156</v>
      </c>
      <c r="AU1192" t="s">
        <v>396</v>
      </c>
      <c r="AV1192">
        <v>2017</v>
      </c>
      <c r="AW1192" t="str">
        <f>"25-2N-27-1475-0002-0220 "</f>
        <v xml:space="preserve">25-2N-27-1475-0002-0220 </v>
      </c>
      <c r="AX1192">
        <v>85244</v>
      </c>
      <c r="AZ1192" t="s">
        <v>12092</v>
      </c>
      <c r="BA1192" t="s">
        <v>496</v>
      </c>
      <c r="BD1192" t="s">
        <v>11749</v>
      </c>
      <c r="BE1192" t="s">
        <v>393</v>
      </c>
      <c r="BF1192">
        <v>32034</v>
      </c>
      <c r="BG1192" t="s">
        <v>12157</v>
      </c>
      <c r="BH1192" t="s">
        <v>11751</v>
      </c>
      <c r="BI1192">
        <v>-81.5496112570832</v>
      </c>
      <c r="BJ1192">
        <v>30.5644821299699</v>
      </c>
      <c r="BK1192" t="s">
        <v>12158</v>
      </c>
      <c r="BL1192" t="s">
        <v>12159</v>
      </c>
      <c r="BM1192" t="s">
        <v>12157</v>
      </c>
      <c r="BN1192" t="s">
        <v>3983</v>
      </c>
      <c r="BO1192">
        <v>32034</v>
      </c>
      <c r="BP1192" t="s">
        <v>416</v>
      </c>
      <c r="BQ1192">
        <v>200</v>
      </c>
      <c r="BR1192" t="s">
        <v>405</v>
      </c>
      <c r="BS1192">
        <v>1006</v>
      </c>
      <c r="BT1192" t="s">
        <v>406</v>
      </c>
      <c r="BW1192">
        <v>61902</v>
      </c>
      <c r="BX1192" t="s">
        <v>407</v>
      </c>
      <c r="BY1192" t="s">
        <v>408</v>
      </c>
      <c r="BZ1192">
        <v>4</v>
      </c>
      <c r="CA1192">
        <v>2007</v>
      </c>
      <c r="CC1192">
        <v>1</v>
      </c>
      <c r="CD1192">
        <v>2017</v>
      </c>
      <c r="CG1192">
        <v>88398</v>
      </c>
      <c r="CH1192">
        <v>2017</v>
      </c>
      <c r="CI1192">
        <v>25000</v>
      </c>
      <c r="CJ1192">
        <v>67529</v>
      </c>
      <c r="CK1192">
        <v>92529</v>
      </c>
      <c r="CL1192">
        <v>2017</v>
      </c>
      <c r="CM1192">
        <v>746.25</v>
      </c>
      <c r="CN1192" s="1">
        <v>39335</v>
      </c>
      <c r="CO1192">
        <v>132000</v>
      </c>
      <c r="CV1192">
        <v>145000</v>
      </c>
      <c r="CX1192" t="s">
        <v>693</v>
      </c>
      <c r="CZ1192" s="1">
        <v>39335</v>
      </c>
      <c r="DA1192">
        <v>0</v>
      </c>
      <c r="DD1192" t="s">
        <v>11749</v>
      </c>
      <c r="DF1192">
        <v>22</v>
      </c>
      <c r="DG1192">
        <v>25</v>
      </c>
      <c r="DL1192">
        <v>50303</v>
      </c>
      <c r="DM1192" t="s">
        <v>12086</v>
      </c>
      <c r="DO1192" t="s">
        <v>12160</v>
      </c>
      <c r="DP1192">
        <v>0</v>
      </c>
      <c r="DQ1192">
        <v>0</v>
      </c>
      <c r="DR1192" t="s">
        <v>411</v>
      </c>
      <c r="DS1192" t="b">
        <v>1</v>
      </c>
      <c r="DT1192" t="s">
        <v>470</v>
      </c>
      <c r="DU1192" t="s">
        <v>10249</v>
      </c>
      <c r="DV1192" t="s">
        <v>472</v>
      </c>
      <c r="DX1192">
        <v>-9999</v>
      </c>
      <c r="DZ1192" t="s">
        <v>447</v>
      </c>
      <c r="EA1192" t="s">
        <v>448</v>
      </c>
      <c r="EB1192" t="s">
        <v>12096</v>
      </c>
      <c r="EC1192">
        <v>20101217</v>
      </c>
      <c r="ED1192" t="s">
        <v>10251</v>
      </c>
      <c r="EE1192">
        <v>7.5</v>
      </c>
      <c r="EF1192">
        <v>580.1</v>
      </c>
      <c r="EG1192">
        <v>0</v>
      </c>
      <c r="EI1192">
        <v>20160407</v>
      </c>
      <c r="EJ1192">
        <v>0</v>
      </c>
      <c r="EK1192">
        <v>0</v>
      </c>
      <c r="EP1192" t="s">
        <v>421</v>
      </c>
      <c r="EQ1192" t="s">
        <v>422</v>
      </c>
      <c r="ER1192">
        <v>2</v>
      </c>
      <c r="ES1192">
        <v>8</v>
      </c>
      <c r="ET1192">
        <v>1637.62</v>
      </c>
      <c r="EU1192">
        <v>94.38</v>
      </c>
      <c r="EV1192">
        <v>1732</v>
      </c>
      <c r="EW1192" s="2">
        <v>43222</v>
      </c>
      <c r="EX1192" s="1">
        <v>42879</v>
      </c>
      <c r="EY1192">
        <v>2016</v>
      </c>
      <c r="EZ1192">
        <v>818.81</v>
      </c>
      <c r="FA1192" t="s">
        <v>12161</v>
      </c>
      <c r="FB1192">
        <v>0.25</v>
      </c>
      <c r="FC1192" t="s">
        <v>424</v>
      </c>
      <c r="FD1192" t="s">
        <v>454</v>
      </c>
      <c r="FF1192">
        <v>12</v>
      </c>
      <c r="FG1192">
        <v>11289</v>
      </c>
      <c r="FH1192" t="s">
        <v>787</v>
      </c>
      <c r="FJ1192" s="1">
        <v>42879</v>
      </c>
      <c r="FK1192">
        <v>2016</v>
      </c>
      <c r="FL1192">
        <v>818.81</v>
      </c>
      <c r="FM1192" t="s">
        <v>12161</v>
      </c>
      <c r="FN1192">
        <v>0.25</v>
      </c>
      <c r="FO1192" t="s">
        <v>424</v>
      </c>
      <c r="FP1192" t="s">
        <v>454</v>
      </c>
      <c r="FR1192">
        <v>12</v>
      </c>
      <c r="FS1192">
        <v>7085444</v>
      </c>
      <c r="FT1192" t="s">
        <v>12162</v>
      </c>
      <c r="FV1192" s="1">
        <v>42515</v>
      </c>
      <c r="FW1192">
        <v>2015</v>
      </c>
      <c r="FX1192">
        <v>828.74</v>
      </c>
      <c r="FY1192" t="s">
        <v>12163</v>
      </c>
      <c r="FZ1192">
        <v>0.25</v>
      </c>
      <c r="GA1192" t="s">
        <v>424</v>
      </c>
      <c r="GB1192" t="s">
        <v>425</v>
      </c>
      <c r="GC1192" s="1">
        <v>42979</v>
      </c>
      <c r="GD1192">
        <v>16</v>
      </c>
      <c r="GE1192">
        <v>2851116</v>
      </c>
      <c r="GF1192" t="s">
        <v>480</v>
      </c>
      <c r="GH1192" s="1">
        <v>42515</v>
      </c>
      <c r="GI1192">
        <v>2015</v>
      </c>
      <c r="GJ1192">
        <v>828.74</v>
      </c>
      <c r="GK1192" t="s">
        <v>12163</v>
      </c>
      <c r="GL1192">
        <v>0.25</v>
      </c>
      <c r="GM1192" t="s">
        <v>424</v>
      </c>
      <c r="GN1192" t="s">
        <v>425</v>
      </c>
      <c r="GP1192">
        <v>22</v>
      </c>
      <c r="GQ1192">
        <v>5613873</v>
      </c>
      <c r="GR1192" t="s">
        <v>12164</v>
      </c>
      <c r="GT1192" s="1">
        <v>42151</v>
      </c>
      <c r="GU1192">
        <v>2014</v>
      </c>
      <c r="GV1192">
        <v>822.58</v>
      </c>
      <c r="GW1192" t="s">
        <v>12165</v>
      </c>
      <c r="GX1192">
        <v>0.25</v>
      </c>
      <c r="GY1192" t="s">
        <v>424</v>
      </c>
      <c r="GZ1192" t="s">
        <v>425</v>
      </c>
      <c r="HA1192" s="1">
        <v>42738</v>
      </c>
      <c r="HB1192">
        <v>20</v>
      </c>
      <c r="HC1192">
        <v>4975594</v>
      </c>
      <c r="HD1192" t="s">
        <v>457</v>
      </c>
      <c r="HF1192" s="1">
        <v>42151</v>
      </c>
      <c r="HG1192">
        <v>2014</v>
      </c>
      <c r="HH1192">
        <v>822.58</v>
      </c>
      <c r="HI1192" t="s">
        <v>12165</v>
      </c>
      <c r="HJ1192">
        <v>0.25</v>
      </c>
      <c r="HK1192" t="s">
        <v>424</v>
      </c>
      <c r="HL1192" t="s">
        <v>425</v>
      </c>
      <c r="HN1192">
        <v>22</v>
      </c>
      <c r="HO1192">
        <v>6358945</v>
      </c>
      <c r="HP1192" t="s">
        <v>12166</v>
      </c>
      <c r="HR1192" s="1">
        <v>41787</v>
      </c>
      <c r="HS1192">
        <v>2013</v>
      </c>
      <c r="HT1192">
        <v>846.23</v>
      </c>
      <c r="HU1192" t="s">
        <v>12167</v>
      </c>
      <c r="HV1192">
        <v>0.25</v>
      </c>
      <c r="HW1192" t="s">
        <v>424</v>
      </c>
      <c r="HX1192" t="s">
        <v>425</v>
      </c>
      <c r="HY1192" s="1">
        <v>41865</v>
      </c>
      <c r="HZ1192">
        <v>3</v>
      </c>
      <c r="IA1192">
        <v>11289</v>
      </c>
      <c r="IB1192" t="s">
        <v>787</v>
      </c>
      <c r="ID1192" s="1">
        <v>41052</v>
      </c>
      <c r="IE1192">
        <v>2011</v>
      </c>
      <c r="IF1192">
        <v>1255.55</v>
      </c>
      <c r="IG1192" t="s">
        <v>12168</v>
      </c>
      <c r="IH1192">
        <v>0.25</v>
      </c>
      <c r="II1192" t="s">
        <v>424</v>
      </c>
      <c r="IJ1192" t="s">
        <v>425</v>
      </c>
      <c r="IK1192" s="1">
        <v>41436</v>
      </c>
      <c r="IL1192">
        <v>13</v>
      </c>
      <c r="IM1192">
        <v>13067</v>
      </c>
      <c r="IN1192" t="s">
        <v>429</v>
      </c>
      <c r="IP1192" s="1">
        <v>41052</v>
      </c>
      <c r="IQ1192">
        <v>2011</v>
      </c>
      <c r="IR1192">
        <v>1255.55</v>
      </c>
      <c r="IS1192" t="s">
        <v>12168</v>
      </c>
      <c r="IT1192">
        <v>0.25</v>
      </c>
      <c r="IU1192" t="s">
        <v>424</v>
      </c>
      <c r="IV1192" t="s">
        <v>425</v>
      </c>
      <c r="IX1192">
        <v>22</v>
      </c>
      <c r="IY1192">
        <v>13432</v>
      </c>
      <c r="IZ1192" t="s">
        <v>12169</v>
      </c>
      <c r="JB1192" s="1">
        <v>40688</v>
      </c>
      <c r="JC1192">
        <v>2010</v>
      </c>
      <c r="JD1192">
        <v>1369.16</v>
      </c>
      <c r="JE1192" t="s">
        <v>12170</v>
      </c>
      <c r="JF1192">
        <v>5</v>
      </c>
      <c r="JG1192" t="s">
        <v>424</v>
      </c>
      <c r="JH1192" t="s">
        <v>425</v>
      </c>
      <c r="JI1192" s="1">
        <v>41436</v>
      </c>
      <c r="JJ1192">
        <v>25</v>
      </c>
      <c r="JK1192">
        <v>287</v>
      </c>
      <c r="JL1192" t="s">
        <v>572</v>
      </c>
    </row>
    <row r="1193" spans="1:272" x14ac:dyDescent="0.25">
      <c r="A1193">
        <v>16486200</v>
      </c>
      <c r="B1193">
        <v>1192</v>
      </c>
      <c r="C1193" t="s">
        <v>393</v>
      </c>
      <c r="D1193" t="s">
        <v>394</v>
      </c>
      <c r="F1193" t="str">
        <f>"36-2N-27-525N-0005-0000"</f>
        <v>36-2N-27-525N-0005-0000</v>
      </c>
      <c r="H1193" t="str">
        <f>"JESSE JEAN"</f>
        <v>JESSE JEAN</v>
      </c>
      <c r="I1193" t="str">
        <f>"85336 SCHUBERT RD"</f>
        <v>85336 SCHUBERT RD</v>
      </c>
      <c r="J1193" t="str">
        <f t="shared" si="408"/>
        <v>FERNANDINA BEACH FL 32034</v>
      </c>
      <c r="K1193" t="str">
        <f>"85336 SCHUBERT RD"</f>
        <v>85336 SCHUBERT RD</v>
      </c>
      <c r="L1193" t="str">
        <f t="shared" si="405"/>
        <v>FERNANDINA BEACH FL 32034</v>
      </c>
      <c r="M1193" t="str">
        <f>"LOT 5 L/E OR 1643/1813 1984 PARK DW/MH HOLLY POINT NORTH UNR"</f>
        <v>LOT 5 L/E OR 1643/1813 1984 PARK DW/MH HOLLY POINT NORTH UNR</v>
      </c>
      <c r="N1193" t="str">
        <f>""</f>
        <v/>
      </c>
      <c r="O1193" t="str">
        <f>"42037"</f>
        <v>42037</v>
      </c>
      <c r="P1193" t="str">
        <f t="shared" si="382"/>
        <v>2017</v>
      </c>
      <c r="Q1193" t="str">
        <f>""</f>
        <v/>
      </c>
      <c r="R1193" t="str">
        <f>"Y"</f>
        <v>Y</v>
      </c>
      <c r="S1193" t="str">
        <f>""</f>
        <v/>
      </c>
      <c r="T1193" t="str">
        <f>"576.06"</f>
        <v>576.06</v>
      </c>
      <c r="U1193" t="str">
        <f>"77156.00"</f>
        <v>77156.00</v>
      </c>
      <c r="V1193" t="str">
        <f>"77156.00"</f>
        <v>77156.00</v>
      </c>
      <c r="W1193" t="str">
        <f t="shared" si="383"/>
        <v>2017</v>
      </c>
      <c r="X1193" t="str">
        <f>"10.00"</f>
        <v>10.00</v>
      </c>
      <c r="Y1193" t="str">
        <f>"625.34"</f>
        <v>625.34</v>
      </c>
      <c r="Z1193" t="str">
        <f>"25000.00"</f>
        <v>25000.00</v>
      </c>
      <c r="AA1193" t="str">
        <f>"52156.00"</f>
        <v>52156.00</v>
      </c>
      <c r="AB1193" t="str">
        <f t="shared" si="404"/>
        <v>Residential</v>
      </c>
      <c r="AC1193" t="str">
        <f t="shared" si="399"/>
        <v>0</v>
      </c>
      <c r="AD1193" t="str">
        <f>"4"</f>
        <v>4</v>
      </c>
      <c r="AE1193" t="str">
        <f>"WOOD (INCLUDE STEEL STUDS)"</f>
        <v>WOOD (INCLUDE STEEL STUDS)</v>
      </c>
      <c r="AF1193" t="str">
        <f>"002"</f>
        <v>002</v>
      </c>
      <c r="AG1193" t="str">
        <f t="shared" si="406"/>
        <v>FL</v>
      </c>
      <c r="AH1193" t="str">
        <f t="shared" si="407"/>
        <v>-</v>
      </c>
      <c r="AI1193" t="str">
        <f>"58500.00"</f>
        <v>58500.00</v>
      </c>
      <c r="AJ1193" t="str">
        <f>"C55-000-587-8060-2"</f>
        <v>C55-000-587-8060-2</v>
      </c>
      <c r="AK1193" t="str">
        <f>"20082"</f>
        <v>20082</v>
      </c>
      <c r="AL1193">
        <v>5</v>
      </c>
      <c r="AM1193">
        <v>1361</v>
      </c>
      <c r="AN1193">
        <v>655.01</v>
      </c>
      <c r="AQ1193" t="s">
        <v>12171</v>
      </c>
      <c r="AR1193" t="s">
        <v>12171</v>
      </c>
      <c r="AS1193" t="s">
        <v>12171</v>
      </c>
      <c r="AU1193" t="s">
        <v>396</v>
      </c>
      <c r="AV1193">
        <v>2017</v>
      </c>
      <c r="AW1193" t="str">
        <f>"36-2N-27-525N-0005-0000 "</f>
        <v xml:space="preserve">36-2N-27-525N-0005-0000 </v>
      </c>
      <c r="AX1193">
        <v>85336</v>
      </c>
      <c r="AZ1193" t="s">
        <v>12172</v>
      </c>
      <c r="BA1193" t="s">
        <v>496</v>
      </c>
      <c r="BD1193" t="s">
        <v>11749</v>
      </c>
      <c r="BE1193" t="s">
        <v>393</v>
      </c>
      <c r="BF1193">
        <v>32034</v>
      </c>
      <c r="BG1193" t="s">
        <v>12173</v>
      </c>
      <c r="BH1193" t="s">
        <v>11751</v>
      </c>
      <c r="BI1193">
        <v>-81.547014987345193</v>
      </c>
      <c r="BJ1193">
        <v>30.5534634544717</v>
      </c>
      <c r="BK1193" t="s">
        <v>12174</v>
      </c>
      <c r="BL1193" t="s">
        <v>12175</v>
      </c>
      <c r="BM1193" t="s">
        <v>12173</v>
      </c>
      <c r="BN1193" t="s">
        <v>3983</v>
      </c>
      <c r="BO1193">
        <v>32034</v>
      </c>
      <c r="BP1193" t="s">
        <v>416</v>
      </c>
      <c r="BQ1193">
        <v>200</v>
      </c>
      <c r="BR1193" t="s">
        <v>405</v>
      </c>
      <c r="BS1193">
        <v>1006</v>
      </c>
      <c r="BT1193" t="s">
        <v>406</v>
      </c>
      <c r="BW1193">
        <v>48658</v>
      </c>
      <c r="BX1193" t="s">
        <v>407</v>
      </c>
      <c r="BY1193" t="s">
        <v>408</v>
      </c>
      <c r="BZ1193">
        <v>4</v>
      </c>
      <c r="CA1193">
        <v>1984</v>
      </c>
      <c r="CB1193">
        <v>1</v>
      </c>
      <c r="CC1193">
        <v>1</v>
      </c>
      <c r="CD1193">
        <v>2017</v>
      </c>
      <c r="CE1193">
        <v>58500</v>
      </c>
      <c r="CF1193">
        <v>18656</v>
      </c>
      <c r="CG1193">
        <v>77156</v>
      </c>
      <c r="CH1193">
        <v>2017</v>
      </c>
      <c r="CI1193">
        <v>58500</v>
      </c>
      <c r="CJ1193">
        <v>18656</v>
      </c>
      <c r="CK1193">
        <v>77156</v>
      </c>
      <c r="CL1193">
        <v>2017</v>
      </c>
      <c r="CM1193">
        <v>576.05999999999995</v>
      </c>
      <c r="CN1193" s="1">
        <v>40100</v>
      </c>
      <c r="CZ1193" s="1">
        <v>40100</v>
      </c>
      <c r="DD1193" t="s">
        <v>11749</v>
      </c>
      <c r="DF1193">
        <v>5</v>
      </c>
      <c r="DG1193">
        <v>36</v>
      </c>
      <c r="DL1193">
        <v>50303</v>
      </c>
      <c r="DM1193" t="s">
        <v>12176</v>
      </c>
      <c r="DO1193" t="s">
        <v>12177</v>
      </c>
      <c r="DP1193">
        <v>0</v>
      </c>
      <c r="DQ1193">
        <v>0</v>
      </c>
      <c r="DR1193" t="s">
        <v>411</v>
      </c>
      <c r="DS1193" t="b">
        <v>1</v>
      </c>
      <c r="DT1193" t="s">
        <v>8902</v>
      </c>
      <c r="DV1193" t="s">
        <v>446</v>
      </c>
      <c r="DX1193">
        <v>9</v>
      </c>
      <c r="DY1193" t="s">
        <v>11438</v>
      </c>
      <c r="DZ1193" t="s">
        <v>447</v>
      </c>
      <c r="EA1193" t="s">
        <v>448</v>
      </c>
      <c r="EB1193" t="s">
        <v>12074</v>
      </c>
      <c r="EC1193">
        <v>20101217</v>
      </c>
      <c r="ED1193" t="s">
        <v>450</v>
      </c>
      <c r="EE1193">
        <v>7.5</v>
      </c>
      <c r="EF1193">
        <v>0</v>
      </c>
      <c r="EG1193">
        <v>0</v>
      </c>
      <c r="EI1193">
        <v>20160407</v>
      </c>
      <c r="EJ1193">
        <v>0</v>
      </c>
      <c r="EK1193">
        <v>0</v>
      </c>
      <c r="EP1193" t="s">
        <v>421</v>
      </c>
      <c r="EQ1193" t="s">
        <v>422</v>
      </c>
      <c r="ER1193">
        <v>0</v>
      </c>
      <c r="ES1193">
        <v>6</v>
      </c>
      <c r="ET1193">
        <v>0</v>
      </c>
      <c r="EU1193">
        <v>0</v>
      </c>
      <c r="EV1193">
        <v>0</v>
      </c>
      <c r="EW1193" s="2">
        <v>43222</v>
      </c>
      <c r="EX1193" s="1">
        <v>42515</v>
      </c>
      <c r="EY1193">
        <v>2015</v>
      </c>
      <c r="EZ1193">
        <v>1218.1600000000001</v>
      </c>
      <c r="FA1193" t="s">
        <v>12178</v>
      </c>
      <c r="FB1193">
        <v>0.25</v>
      </c>
      <c r="FC1193" t="s">
        <v>424</v>
      </c>
      <c r="FD1193" t="s">
        <v>425</v>
      </c>
      <c r="FE1193" s="1">
        <v>42570</v>
      </c>
      <c r="FF1193">
        <v>2</v>
      </c>
      <c r="FG1193">
        <v>2851116</v>
      </c>
      <c r="FH1193" t="s">
        <v>480</v>
      </c>
      <c r="FJ1193" s="1">
        <v>42515</v>
      </c>
      <c r="FK1193">
        <v>2015</v>
      </c>
      <c r="FL1193">
        <v>1218.1600000000001</v>
      </c>
      <c r="FM1193" t="s">
        <v>12178</v>
      </c>
      <c r="FN1193">
        <v>0.25</v>
      </c>
      <c r="FO1193" t="s">
        <v>424</v>
      </c>
      <c r="FP1193" t="s">
        <v>425</v>
      </c>
      <c r="FR1193">
        <v>22</v>
      </c>
      <c r="FS1193">
        <v>5077637</v>
      </c>
      <c r="FT1193" t="s">
        <v>12179</v>
      </c>
      <c r="FV1193" s="1">
        <v>42151</v>
      </c>
      <c r="FW1193">
        <v>2014</v>
      </c>
      <c r="FX1193">
        <v>547.54</v>
      </c>
      <c r="FY1193" t="s">
        <v>12180</v>
      </c>
      <c r="FZ1193">
        <v>0.25</v>
      </c>
      <c r="GA1193" t="s">
        <v>424</v>
      </c>
      <c r="GB1193" t="s">
        <v>425</v>
      </c>
      <c r="GC1193" s="1">
        <v>42570</v>
      </c>
      <c r="GD1193">
        <v>14</v>
      </c>
      <c r="GE1193">
        <v>2851116</v>
      </c>
      <c r="GF1193" t="s">
        <v>480</v>
      </c>
      <c r="GH1193" s="1">
        <v>42151</v>
      </c>
      <c r="GI1193">
        <v>2014</v>
      </c>
      <c r="GJ1193">
        <v>547.54</v>
      </c>
      <c r="GK1193" t="s">
        <v>12180</v>
      </c>
      <c r="GL1193">
        <v>0.25</v>
      </c>
      <c r="GM1193" t="s">
        <v>424</v>
      </c>
      <c r="GN1193" t="s">
        <v>425</v>
      </c>
      <c r="GP1193">
        <v>22</v>
      </c>
      <c r="GQ1193">
        <v>5330899</v>
      </c>
      <c r="GR1193" t="s">
        <v>12181</v>
      </c>
      <c r="GT1193" s="1">
        <v>41787</v>
      </c>
      <c r="GU1193">
        <v>2013</v>
      </c>
      <c r="GV1193">
        <v>1157.3499999999999</v>
      </c>
      <c r="GW1193" t="s">
        <v>12182</v>
      </c>
      <c r="GX1193">
        <v>0.25</v>
      </c>
      <c r="GY1193" t="s">
        <v>424</v>
      </c>
      <c r="GZ1193" t="s">
        <v>425</v>
      </c>
      <c r="HA1193" s="1">
        <v>42177</v>
      </c>
      <c r="HB1193">
        <v>13</v>
      </c>
      <c r="HC1193">
        <v>2851116</v>
      </c>
      <c r="HD1193" t="s">
        <v>480</v>
      </c>
      <c r="HF1193" s="1">
        <v>41423</v>
      </c>
      <c r="HG1193">
        <v>2012</v>
      </c>
      <c r="HH1193">
        <v>412.22</v>
      </c>
      <c r="HI1193" t="s">
        <v>12183</v>
      </c>
      <c r="HJ1193">
        <v>0.25</v>
      </c>
      <c r="HK1193" t="s">
        <v>424</v>
      </c>
      <c r="HL1193" t="s">
        <v>425</v>
      </c>
      <c r="HM1193" s="1">
        <v>41732</v>
      </c>
      <c r="HN1193">
        <v>11</v>
      </c>
      <c r="HO1193">
        <v>15399</v>
      </c>
      <c r="HP1193" t="s">
        <v>485</v>
      </c>
    </row>
    <row r="1194" spans="1:272" x14ac:dyDescent="0.25">
      <c r="A1194">
        <v>16486201</v>
      </c>
      <c r="B1194">
        <v>1193</v>
      </c>
      <c r="C1194" t="s">
        <v>393</v>
      </c>
      <c r="D1194" t="s">
        <v>394</v>
      </c>
      <c r="F1194" t="str">
        <f>"36-2N-27-525N-0015-0000"</f>
        <v>36-2N-27-525N-0015-0000</v>
      </c>
      <c r="H1194" t="str">
        <f>"THEOBALD THOMAS ANDREW"</f>
        <v>THEOBALD THOMAS ANDREW</v>
      </c>
      <c r="I1194" t="str">
        <f>"96568 CALHOUN RD"</f>
        <v>96568 CALHOUN RD</v>
      </c>
      <c r="J1194" t="str">
        <f t="shared" si="408"/>
        <v>FERNANDINA BEACH FL 32034</v>
      </c>
      <c r="K1194" t="str">
        <f>"2901 SCHUBERT RD"</f>
        <v>2901 SCHUBERT RD</v>
      </c>
      <c r="L1194" t="str">
        <f t="shared" si="405"/>
        <v>FERNANDINA BEACH FL 32034</v>
      </c>
      <c r="M1194" t="str">
        <f>"LOTS 15 &amp; 16 IN OR 543/190 &amp; OR 543/193 HOLLY POINT NORTH UNR"</f>
        <v>LOTS 15 &amp; 16 IN OR 543/190 &amp; OR 543/193 HOLLY POINT NORTH UNR</v>
      </c>
      <c r="N1194" t="str">
        <f>""</f>
        <v/>
      </c>
      <c r="O1194" t="str">
        <f>"42047"</f>
        <v>42047</v>
      </c>
      <c r="P1194" t="str">
        <f t="shared" si="382"/>
        <v>2017</v>
      </c>
      <c r="Q1194" t="str">
        <f>""</f>
        <v/>
      </c>
      <c r="R1194" t="str">
        <f>"N"</f>
        <v>N</v>
      </c>
      <c r="S1194" t="str">
        <f>""</f>
        <v/>
      </c>
      <c r="T1194" t="str">
        <f>"1603.10"</f>
        <v>1603.10</v>
      </c>
      <c r="U1194" t="str">
        <f>"105039.00"</f>
        <v>105039.00</v>
      </c>
      <c r="V1194" t="str">
        <f>"105039.00"</f>
        <v>105039.00</v>
      </c>
      <c r="W1194" t="str">
        <f t="shared" si="383"/>
        <v>2017</v>
      </c>
      <c r="X1194" t="str">
        <f>"21.00"</f>
        <v>21.00</v>
      </c>
      <c r="Y1194" t="str">
        <f>"1683.19"</f>
        <v>1683.19</v>
      </c>
      <c r="Z1194" t="str">
        <f>""</f>
        <v/>
      </c>
      <c r="AA1194" t="str">
        <f>"107000.00"</f>
        <v>107000.00</v>
      </c>
      <c r="AB1194" t="str">
        <f t="shared" si="404"/>
        <v>Residential</v>
      </c>
      <c r="AC1194" t="str">
        <f t="shared" si="399"/>
        <v>0</v>
      </c>
      <c r="AD1194" t="str">
        <f>""</f>
        <v/>
      </c>
      <c r="AE1194" t="str">
        <f>""</f>
        <v/>
      </c>
      <c r="AF1194" t="str">
        <f>"000"</f>
        <v>000</v>
      </c>
      <c r="AG1194" t="str">
        <f t="shared" si="406"/>
        <v>FL</v>
      </c>
      <c r="AH1194" t="str">
        <f t="shared" si="407"/>
        <v>-</v>
      </c>
      <c r="AI1194" t="str">
        <f>"104000.00"</f>
        <v>104000.00</v>
      </c>
      <c r="AJ1194" t="str">
        <f>"C55-000-587-8070-1"</f>
        <v>C55-000-587-8070-1</v>
      </c>
      <c r="AK1194" t="str">
        <f>"20092"</f>
        <v>20092</v>
      </c>
      <c r="AL1194">
        <v>5</v>
      </c>
      <c r="AM1194">
        <v>1362</v>
      </c>
      <c r="AN1194">
        <v>1765.75</v>
      </c>
      <c r="AQ1194" t="s">
        <v>12184</v>
      </c>
      <c r="AR1194" t="s">
        <v>12184</v>
      </c>
      <c r="AS1194" t="s">
        <v>12184</v>
      </c>
      <c r="AU1194" t="s">
        <v>396</v>
      </c>
      <c r="AV1194">
        <v>2017</v>
      </c>
      <c r="AW1194" t="str">
        <f>"36-2N-27-525N-0015-0000 "</f>
        <v xml:space="preserve">36-2N-27-525N-0015-0000 </v>
      </c>
      <c r="AX1194">
        <v>2901</v>
      </c>
      <c r="AZ1194" t="s">
        <v>12172</v>
      </c>
      <c r="BA1194" t="s">
        <v>496</v>
      </c>
      <c r="BD1194" t="s">
        <v>11749</v>
      </c>
      <c r="BE1194" t="s">
        <v>393</v>
      </c>
      <c r="BF1194">
        <v>32034</v>
      </c>
      <c r="BG1194" t="s">
        <v>12185</v>
      </c>
      <c r="BH1194" t="s">
        <v>11751</v>
      </c>
      <c r="BI1194">
        <v>-81.552531875825096</v>
      </c>
      <c r="BJ1194">
        <v>30.552137476557199</v>
      </c>
      <c r="BK1194" t="s">
        <v>12186</v>
      </c>
      <c r="BM1194" t="s">
        <v>12187</v>
      </c>
      <c r="BN1194" t="s">
        <v>3983</v>
      </c>
      <c r="BO1194">
        <v>32034</v>
      </c>
      <c r="BP1194" t="s">
        <v>404</v>
      </c>
      <c r="BQ1194">
        <v>1</v>
      </c>
      <c r="BR1194" t="s">
        <v>491</v>
      </c>
      <c r="BS1194">
        <v>8001</v>
      </c>
      <c r="BT1194" t="s">
        <v>492</v>
      </c>
      <c r="BW1194">
        <v>137649</v>
      </c>
      <c r="BX1194" t="s">
        <v>407</v>
      </c>
      <c r="BY1194" t="s">
        <v>408</v>
      </c>
      <c r="CD1194">
        <v>2017</v>
      </c>
      <c r="CE1194">
        <v>104000</v>
      </c>
      <c r="CF1194">
        <v>3000</v>
      </c>
      <c r="CG1194">
        <v>107000</v>
      </c>
      <c r="CH1194">
        <v>2017</v>
      </c>
      <c r="CI1194">
        <v>104000</v>
      </c>
      <c r="CJ1194">
        <v>3000</v>
      </c>
      <c r="CK1194">
        <v>107000</v>
      </c>
      <c r="CL1194">
        <v>2017</v>
      </c>
      <c r="CM1194">
        <v>1603.1</v>
      </c>
      <c r="CN1194" s="1">
        <v>32276</v>
      </c>
      <c r="CO1194">
        <v>7500</v>
      </c>
      <c r="CZ1194" s="1">
        <v>32276</v>
      </c>
      <c r="DD1194" t="s">
        <v>11749</v>
      </c>
      <c r="DG1194">
        <v>36</v>
      </c>
      <c r="DJ1194" t="s">
        <v>12188</v>
      </c>
      <c r="DL1194">
        <v>50303</v>
      </c>
      <c r="DM1194" t="s">
        <v>12176</v>
      </c>
      <c r="DO1194" t="s">
        <v>12189</v>
      </c>
      <c r="DP1194">
        <v>0</v>
      </c>
      <c r="DQ1194">
        <v>0</v>
      </c>
      <c r="DR1194" t="s">
        <v>411</v>
      </c>
      <c r="EP1194" t="s">
        <v>421</v>
      </c>
      <c r="EQ1194" t="s">
        <v>422</v>
      </c>
      <c r="ER1194">
        <v>0</v>
      </c>
      <c r="ES1194">
        <v>1</v>
      </c>
      <c r="ET1194">
        <v>0</v>
      </c>
      <c r="EU1194">
        <v>0</v>
      </c>
      <c r="EV1194">
        <v>0</v>
      </c>
      <c r="EW1194" s="2">
        <v>43222</v>
      </c>
      <c r="EX1194" s="1">
        <v>41052</v>
      </c>
      <c r="EY1194">
        <v>2011</v>
      </c>
      <c r="EZ1194">
        <v>1487.79</v>
      </c>
      <c r="FA1194" t="s">
        <v>12190</v>
      </c>
      <c r="FB1194">
        <v>6</v>
      </c>
      <c r="FC1194" t="s">
        <v>424</v>
      </c>
      <c r="FD1194" t="s">
        <v>425</v>
      </c>
      <c r="FE1194" s="1">
        <v>41698</v>
      </c>
      <c r="FF1194">
        <v>21</v>
      </c>
      <c r="FG1194">
        <v>375</v>
      </c>
      <c r="FH1194" t="s">
        <v>776</v>
      </c>
    </row>
    <row r="1195" spans="1:272" x14ac:dyDescent="0.25">
      <c r="A1195">
        <v>16486202</v>
      </c>
      <c r="B1195">
        <v>1194</v>
      </c>
      <c r="C1195" t="s">
        <v>393</v>
      </c>
      <c r="D1195" t="s">
        <v>394</v>
      </c>
      <c r="F1195" t="str">
        <f>"36-2N-27-525N-0019-0000"</f>
        <v>36-2N-27-525N-0019-0000</v>
      </c>
      <c r="H1195" t="str">
        <f>"THEOBALD THOMAS A"</f>
        <v>THEOBALD THOMAS A</v>
      </c>
      <c r="I1195" t="str">
        <f>"96568 CALHOUN RD"</f>
        <v>96568 CALHOUN RD</v>
      </c>
      <c r="J1195" t="str">
        <f t="shared" si="408"/>
        <v>FERNANDINA BEACH FL 32034</v>
      </c>
      <c r="K1195" t="str">
        <f>"SCHUBERT CT"</f>
        <v>SCHUBERT CT</v>
      </c>
      <c r="L1195" t="str">
        <f t="shared" si="405"/>
        <v>FERNANDINA BEACH FL 32034</v>
      </c>
      <c r="M1195" t="str">
        <f>"LOT 19 IN OR 654 PG 775 HOLLY POINT NORTH UNR"</f>
        <v>LOT 19 IN OR 654 PG 775 HOLLY POINT NORTH UNR</v>
      </c>
      <c r="N1195" t="str">
        <f>""</f>
        <v/>
      </c>
      <c r="O1195" t="str">
        <f>"42050"</f>
        <v>42050</v>
      </c>
      <c r="P1195" t="str">
        <f t="shared" si="382"/>
        <v>2017</v>
      </c>
      <c r="Q1195" t="str">
        <f>""</f>
        <v/>
      </c>
      <c r="R1195" t="str">
        <f>"N"</f>
        <v>N</v>
      </c>
      <c r="S1195" t="str">
        <f>""</f>
        <v/>
      </c>
      <c r="T1195" t="str">
        <f>"947.94"</f>
        <v>947.94</v>
      </c>
      <c r="U1195" t="str">
        <f>"60775.00"</f>
        <v>60775.00</v>
      </c>
      <c r="V1195" t="str">
        <f>"60775.00"</f>
        <v>60775.00</v>
      </c>
      <c r="W1195" t="str">
        <f t="shared" si="383"/>
        <v>2017</v>
      </c>
      <c r="X1195" t="str">
        <f>"21.00"</f>
        <v>21.00</v>
      </c>
      <c r="Y1195" t="str">
        <f>"1008.38"</f>
        <v>1008.38</v>
      </c>
      <c r="Z1195" t="str">
        <f>""</f>
        <v/>
      </c>
      <c r="AA1195" t="str">
        <f>"65000.00"</f>
        <v>65000.00</v>
      </c>
      <c r="AB1195" t="str">
        <f t="shared" si="404"/>
        <v>Residential</v>
      </c>
      <c r="AC1195" t="str">
        <f t="shared" si="399"/>
        <v>0</v>
      </c>
      <c r="AD1195" t="str">
        <f>""</f>
        <v/>
      </c>
      <c r="AE1195" t="str">
        <f>""</f>
        <v/>
      </c>
      <c r="AF1195" t="str">
        <f>"000"</f>
        <v>000</v>
      </c>
      <c r="AG1195" t="str">
        <f t="shared" si="406"/>
        <v>FL</v>
      </c>
      <c r="AH1195" t="str">
        <f t="shared" si="407"/>
        <v>-</v>
      </c>
      <c r="AI1195" t="str">
        <f>"65000.00"</f>
        <v>65000.00</v>
      </c>
      <c r="AJ1195" t="str">
        <f>"C55-000-587-8073-5"</f>
        <v>C55-000-587-8073-5</v>
      </c>
      <c r="AK1195" t="str">
        <f>"20095"</f>
        <v>20095</v>
      </c>
      <c r="AL1195">
        <v>5</v>
      </c>
      <c r="AM1195">
        <v>1363</v>
      </c>
      <c r="AN1195">
        <v>1057.2</v>
      </c>
      <c r="AQ1195" t="s">
        <v>12191</v>
      </c>
      <c r="AR1195" t="s">
        <v>12191</v>
      </c>
      <c r="AS1195" t="s">
        <v>12191</v>
      </c>
      <c r="AU1195" t="s">
        <v>396</v>
      </c>
      <c r="AV1195">
        <v>2017</v>
      </c>
      <c r="AW1195" t="str">
        <f>"36-2N-27-525N-0019-0000 "</f>
        <v xml:space="preserve">36-2N-27-525N-0019-0000 </v>
      </c>
      <c r="AZ1195" t="s">
        <v>12172</v>
      </c>
      <c r="BA1195" t="s">
        <v>3181</v>
      </c>
      <c r="BD1195" t="s">
        <v>11749</v>
      </c>
      <c r="BE1195" t="s">
        <v>393</v>
      </c>
      <c r="BF1195">
        <v>32034</v>
      </c>
      <c r="BG1195" t="s">
        <v>12192</v>
      </c>
      <c r="BH1195" t="s">
        <v>11751</v>
      </c>
      <c r="BI1195">
        <v>-81.552126663157594</v>
      </c>
      <c r="BJ1195">
        <v>30.552815143961599</v>
      </c>
      <c r="BK1195" t="s">
        <v>12193</v>
      </c>
      <c r="BM1195" t="s">
        <v>12187</v>
      </c>
      <c r="BN1195" t="s">
        <v>3983</v>
      </c>
      <c r="BO1195">
        <v>32034</v>
      </c>
      <c r="BP1195" t="s">
        <v>404</v>
      </c>
      <c r="BQ1195">
        <v>0</v>
      </c>
      <c r="BR1195" t="s">
        <v>491</v>
      </c>
      <c r="BS1195">
        <v>8001</v>
      </c>
      <c r="BT1195" t="s">
        <v>492</v>
      </c>
      <c r="BW1195">
        <v>113463</v>
      </c>
      <c r="BX1195" t="s">
        <v>407</v>
      </c>
      <c r="BY1195" t="s">
        <v>408</v>
      </c>
      <c r="CD1195">
        <v>2017</v>
      </c>
      <c r="CE1195">
        <v>65000</v>
      </c>
      <c r="CG1195">
        <v>65000</v>
      </c>
      <c r="CH1195">
        <v>2017</v>
      </c>
      <c r="CI1195">
        <v>65000</v>
      </c>
      <c r="CK1195">
        <v>65000</v>
      </c>
      <c r="CL1195">
        <v>2017</v>
      </c>
      <c r="CM1195">
        <v>947.94</v>
      </c>
      <c r="CN1195" s="1">
        <v>33704</v>
      </c>
      <c r="CO1195">
        <v>6750</v>
      </c>
      <c r="CZ1195" s="1">
        <v>33704</v>
      </c>
      <c r="DD1195" t="s">
        <v>11749</v>
      </c>
      <c r="DF1195">
        <v>19</v>
      </c>
      <c r="DG1195">
        <v>36</v>
      </c>
      <c r="DJ1195" t="s">
        <v>12188</v>
      </c>
      <c r="DL1195">
        <v>50303</v>
      </c>
      <c r="DM1195" t="s">
        <v>12176</v>
      </c>
      <c r="DO1195" t="s">
        <v>12194</v>
      </c>
      <c r="DP1195">
        <v>0</v>
      </c>
      <c r="DQ1195">
        <v>0</v>
      </c>
      <c r="DR1195" t="s">
        <v>411</v>
      </c>
      <c r="EP1195" t="s">
        <v>421</v>
      </c>
      <c r="EQ1195" t="s">
        <v>422</v>
      </c>
      <c r="ER1195">
        <v>0</v>
      </c>
      <c r="ES1195">
        <v>2</v>
      </c>
      <c r="ET1195">
        <v>0</v>
      </c>
      <c r="EU1195">
        <v>0</v>
      </c>
      <c r="EV1195">
        <v>0</v>
      </c>
      <c r="EW1195" s="2">
        <v>43222</v>
      </c>
      <c r="EX1195" s="1">
        <v>41052</v>
      </c>
      <c r="EY1195">
        <v>2011</v>
      </c>
      <c r="EZ1195">
        <v>934.8</v>
      </c>
      <c r="FA1195" t="s">
        <v>12195</v>
      </c>
      <c r="FB1195">
        <v>5.75</v>
      </c>
      <c r="FC1195" t="s">
        <v>424</v>
      </c>
      <c r="FD1195" t="s">
        <v>425</v>
      </c>
      <c r="FE1195" s="1">
        <v>41698</v>
      </c>
      <c r="FF1195">
        <v>21</v>
      </c>
      <c r="FG1195">
        <v>1625515</v>
      </c>
      <c r="FH1195" t="s">
        <v>487</v>
      </c>
      <c r="FJ1195" s="1">
        <v>41052</v>
      </c>
      <c r="FK1195">
        <v>2011</v>
      </c>
      <c r="FL1195">
        <v>934.8</v>
      </c>
      <c r="FM1195" t="s">
        <v>12195</v>
      </c>
      <c r="FN1195">
        <v>5.75</v>
      </c>
      <c r="FO1195" t="s">
        <v>424</v>
      </c>
      <c r="FP1195" t="s">
        <v>425</v>
      </c>
      <c r="FR1195">
        <v>22</v>
      </c>
      <c r="FS1195">
        <v>10579</v>
      </c>
      <c r="FT1195" t="s">
        <v>488</v>
      </c>
    </row>
    <row r="1196" spans="1:272" x14ac:dyDescent="0.25">
      <c r="A1196">
        <v>16486203</v>
      </c>
      <c r="B1196">
        <v>1195</v>
      </c>
      <c r="C1196" t="s">
        <v>393</v>
      </c>
      <c r="D1196" t="s">
        <v>394</v>
      </c>
      <c r="F1196" t="str">
        <f>"36-2N-27-525N-0041-0000"</f>
        <v>36-2N-27-525N-0041-0000</v>
      </c>
      <c r="H1196" t="str">
        <f>"DUNCUM BRIAN E &amp; FELICIA W"</f>
        <v>DUNCUM BRIAN E &amp; FELICIA W</v>
      </c>
      <c r="I1196" t="str">
        <f>"95221 GERALD CIR"</f>
        <v>95221 GERALD CIR</v>
      </c>
      <c r="J1196" t="str">
        <f t="shared" si="408"/>
        <v>FERNANDINA BEACH FL 32034</v>
      </c>
      <c r="K1196" t="str">
        <f>"85216 LINDA HALL RD"</f>
        <v>85216 LINDA HALL RD</v>
      </c>
      <c r="L1196" t="str">
        <f t="shared" si="405"/>
        <v>FERNANDINA BEACH FL 32034</v>
      </c>
      <c r="M1196" t="str">
        <f>"LOT 41 IN OR 581/888 HOLLY POINT NORTH UNR"</f>
        <v>LOT 41 IN OR 581/888 HOLLY POINT NORTH UNR</v>
      </c>
      <c r="N1196" t="str">
        <f>""</f>
        <v/>
      </c>
      <c r="O1196" t="str">
        <f>"42071"</f>
        <v>42071</v>
      </c>
      <c r="P1196" t="str">
        <f t="shared" si="382"/>
        <v>2017</v>
      </c>
      <c r="Q1196" t="str">
        <f>""</f>
        <v/>
      </c>
      <c r="R1196" t="str">
        <f>"N"</f>
        <v>N</v>
      </c>
      <c r="S1196" t="str">
        <f>""</f>
        <v/>
      </c>
      <c r="T1196" t="str">
        <f>"1240.56"</f>
        <v>1240.56</v>
      </c>
      <c r="U1196" t="str">
        <f>"81946.00"</f>
        <v>81946.00</v>
      </c>
      <c r="V1196" t="str">
        <f>"81946.00"</f>
        <v>81946.00</v>
      </c>
      <c r="W1196" t="str">
        <f t="shared" si="383"/>
        <v>2017</v>
      </c>
      <c r="X1196" t="str">
        <f>""</f>
        <v/>
      </c>
      <c r="Y1196" t="str">
        <f>"1309.78"</f>
        <v>1309.78</v>
      </c>
      <c r="Z1196" t="str">
        <f>""</f>
        <v/>
      </c>
      <c r="AA1196" t="str">
        <f>"81946.00"</f>
        <v>81946.00</v>
      </c>
      <c r="AB1196" t="str">
        <f t="shared" si="404"/>
        <v>Residential</v>
      </c>
      <c r="AC1196" t="str">
        <f t="shared" si="399"/>
        <v>0</v>
      </c>
      <c r="AD1196" t="str">
        <f>"4"</f>
        <v>4</v>
      </c>
      <c r="AE1196" t="str">
        <f>"WOOD (INCLUDE STEEL STUDS)"</f>
        <v>WOOD (INCLUDE STEEL STUDS)</v>
      </c>
      <c r="AF1196" t="str">
        <f>"001"</f>
        <v>001</v>
      </c>
      <c r="AG1196" t="str">
        <f t="shared" si="406"/>
        <v>FL</v>
      </c>
      <c r="AH1196" t="str">
        <f t="shared" si="407"/>
        <v>-</v>
      </c>
      <c r="AI1196" t="str">
        <f>"25000.00"</f>
        <v>25000.00</v>
      </c>
      <c r="AJ1196" t="str">
        <f>"C55-000-587-8094-1"</f>
        <v>C55-000-587-8094-1</v>
      </c>
      <c r="AK1196" t="str">
        <f>"20110"</f>
        <v>20110</v>
      </c>
      <c r="AL1196">
        <v>5</v>
      </c>
      <c r="AM1196">
        <v>1364</v>
      </c>
      <c r="AN1196">
        <v>1373.67</v>
      </c>
      <c r="AQ1196" t="s">
        <v>12196</v>
      </c>
      <c r="AR1196" t="s">
        <v>12196</v>
      </c>
      <c r="AS1196" t="s">
        <v>12196</v>
      </c>
      <c r="AU1196" t="s">
        <v>396</v>
      </c>
      <c r="AV1196">
        <v>2017</v>
      </c>
      <c r="AW1196" t="str">
        <f>"36-2N-27-525N-0041-0000 "</f>
        <v xml:space="preserve">36-2N-27-525N-0041-0000 </v>
      </c>
      <c r="AX1196">
        <v>85216</v>
      </c>
      <c r="AZ1196" t="s">
        <v>12197</v>
      </c>
      <c r="BA1196" t="s">
        <v>496</v>
      </c>
      <c r="BD1196" t="s">
        <v>11749</v>
      </c>
      <c r="BE1196" t="s">
        <v>393</v>
      </c>
      <c r="BF1196">
        <v>32034</v>
      </c>
      <c r="BG1196" t="s">
        <v>12198</v>
      </c>
      <c r="BH1196" t="s">
        <v>11751</v>
      </c>
      <c r="BI1196">
        <v>-81.549937592501607</v>
      </c>
      <c r="BJ1196">
        <v>30.554445514970901</v>
      </c>
      <c r="BK1196" t="s">
        <v>12199</v>
      </c>
      <c r="BL1196" t="s">
        <v>12200</v>
      </c>
      <c r="BM1196" t="s">
        <v>12201</v>
      </c>
      <c r="BN1196" t="s">
        <v>3983</v>
      </c>
      <c r="BO1196">
        <v>32034</v>
      </c>
      <c r="BP1196" t="s">
        <v>404</v>
      </c>
      <c r="BQ1196">
        <v>100</v>
      </c>
      <c r="BR1196" t="s">
        <v>514</v>
      </c>
      <c r="BS1196">
        <v>1001</v>
      </c>
      <c r="BT1196" t="s">
        <v>515</v>
      </c>
      <c r="BW1196">
        <v>44456</v>
      </c>
      <c r="BX1196" t="s">
        <v>407</v>
      </c>
      <c r="BY1196" t="s">
        <v>408</v>
      </c>
      <c r="BZ1196">
        <v>4</v>
      </c>
      <c r="CA1196">
        <v>1900</v>
      </c>
      <c r="CB1196">
        <v>2</v>
      </c>
      <c r="CC1196">
        <v>1</v>
      </c>
      <c r="CD1196">
        <v>2017</v>
      </c>
      <c r="CE1196">
        <v>25000</v>
      </c>
      <c r="CF1196">
        <v>56946</v>
      </c>
      <c r="CG1196">
        <v>81946</v>
      </c>
      <c r="CH1196">
        <v>2017</v>
      </c>
      <c r="CI1196">
        <v>25000</v>
      </c>
      <c r="CJ1196">
        <v>56946</v>
      </c>
      <c r="CK1196">
        <v>81946</v>
      </c>
      <c r="CL1196">
        <v>2017</v>
      </c>
      <c r="CM1196">
        <v>1240.56</v>
      </c>
      <c r="CN1196" s="1">
        <v>32794</v>
      </c>
      <c r="CO1196">
        <v>6800</v>
      </c>
      <c r="CZ1196" s="1">
        <v>32794</v>
      </c>
      <c r="DD1196" t="s">
        <v>11749</v>
      </c>
      <c r="DF1196">
        <v>41</v>
      </c>
      <c r="DG1196">
        <v>36</v>
      </c>
      <c r="DJ1196" t="s">
        <v>12188</v>
      </c>
      <c r="DL1196">
        <v>50303</v>
      </c>
      <c r="DM1196" t="s">
        <v>12176</v>
      </c>
      <c r="DO1196" t="s">
        <v>12202</v>
      </c>
      <c r="DP1196">
        <v>0</v>
      </c>
      <c r="DQ1196">
        <v>0</v>
      </c>
      <c r="DR1196" t="s">
        <v>411</v>
      </c>
    </row>
    <row r="1197" spans="1:272" x14ac:dyDescent="0.25">
      <c r="A1197">
        <v>16486204</v>
      </c>
      <c r="B1197">
        <v>1196</v>
      </c>
      <c r="C1197" t="s">
        <v>393</v>
      </c>
      <c r="D1197" t="s">
        <v>394</v>
      </c>
      <c r="F1197" t="str">
        <f>"36-2N-27-525N-0045-0000"</f>
        <v>36-2N-27-525N-0045-0000</v>
      </c>
      <c r="H1197" t="str">
        <f>"KOHLENBERGER GLENDA"</f>
        <v>KOHLENBERGER GLENDA</v>
      </c>
      <c r="I1197" t="str">
        <f>"85034 ADMIRAL AV"</f>
        <v>85034 ADMIRAL AV</v>
      </c>
      <c r="J1197" t="str">
        <f t="shared" si="408"/>
        <v>FERNANDINA BEACH FL 32034</v>
      </c>
      <c r="K1197" t="str">
        <f>"85034 ADMIRAL AVE"</f>
        <v>85034 ADMIRAL AVE</v>
      </c>
      <c r="L1197" t="str">
        <f t="shared" si="405"/>
        <v>FERNANDINA BEACH FL 32034</v>
      </c>
      <c r="M1197" t="str">
        <f>"LOT 45 PT OR 735/853 R621701 &amp; R621702 HOLLY POINT NORTH UNR"</f>
        <v>LOT 45 PT OR 735/853 R621701 &amp; R621702 HOLLY POINT NORTH UNR</v>
      </c>
      <c r="N1197" t="str">
        <f>""</f>
        <v/>
      </c>
      <c r="O1197" t="str">
        <f>"42074"</f>
        <v>42074</v>
      </c>
      <c r="P1197" t="str">
        <f t="shared" si="382"/>
        <v>2017</v>
      </c>
      <c r="Q1197" t="str">
        <f>""</f>
        <v/>
      </c>
      <c r="R1197" t="str">
        <f>"Y"</f>
        <v>Y</v>
      </c>
      <c r="S1197" t="str">
        <f>""</f>
        <v/>
      </c>
      <c r="T1197" t="str">
        <f>"232.80"</f>
        <v>232.80</v>
      </c>
      <c r="U1197" t="str">
        <f>"40878.00"</f>
        <v>40878.00</v>
      </c>
      <c r="V1197" t="str">
        <f>"40878.00"</f>
        <v>40878.00</v>
      </c>
      <c r="W1197" t="str">
        <f t="shared" si="383"/>
        <v>2017</v>
      </c>
      <c r="X1197" t="str">
        <f>"9.80"</f>
        <v>9.80</v>
      </c>
      <c r="Y1197" t="str">
        <f>"271.78"</f>
        <v>271.78</v>
      </c>
      <c r="Z1197" t="str">
        <f>"25500.00"</f>
        <v>25500.00</v>
      </c>
      <c r="AA1197" t="str">
        <f>"15378.00"</f>
        <v>15378.00</v>
      </c>
      <c r="AB1197" t="str">
        <f t="shared" si="404"/>
        <v>Residential</v>
      </c>
      <c r="AC1197" t="str">
        <f t="shared" si="399"/>
        <v>0</v>
      </c>
      <c r="AD1197" t="str">
        <f>"4"</f>
        <v>4</v>
      </c>
      <c r="AE1197" t="str">
        <f>"WOOD (INCLUDE STEEL STUDS)"</f>
        <v>WOOD (INCLUDE STEEL STUDS)</v>
      </c>
      <c r="AF1197" t="str">
        <f>"002"</f>
        <v>002</v>
      </c>
      <c r="AG1197" t="str">
        <f t="shared" si="406"/>
        <v>FL</v>
      </c>
      <c r="AH1197" t="str">
        <f t="shared" si="407"/>
        <v>-</v>
      </c>
      <c r="AI1197" t="str">
        <f>"25000.00"</f>
        <v>25000.00</v>
      </c>
      <c r="AJ1197" t="str">
        <f>"C55-000-587-8097-4"</f>
        <v>C55-000-587-8097-4</v>
      </c>
      <c r="AK1197" t="str">
        <f>"20113"</f>
        <v>20113</v>
      </c>
      <c r="AL1197">
        <v>5</v>
      </c>
      <c r="AM1197">
        <v>1365</v>
      </c>
      <c r="AN1197">
        <v>283.77</v>
      </c>
      <c r="AQ1197" t="s">
        <v>12203</v>
      </c>
      <c r="AR1197" t="s">
        <v>12203</v>
      </c>
      <c r="AS1197" t="s">
        <v>12203</v>
      </c>
      <c r="AU1197" t="s">
        <v>396</v>
      </c>
      <c r="AV1197">
        <v>2017</v>
      </c>
      <c r="AW1197" t="str">
        <f>"36-2N-27-525N-0045-0000 "</f>
        <v xml:space="preserve">36-2N-27-525N-0045-0000 </v>
      </c>
      <c r="AX1197">
        <v>85034</v>
      </c>
      <c r="AZ1197" t="s">
        <v>12204</v>
      </c>
      <c r="BA1197" t="s">
        <v>1112</v>
      </c>
      <c r="BD1197" t="s">
        <v>11749</v>
      </c>
      <c r="BE1197" t="s">
        <v>393</v>
      </c>
      <c r="BF1197">
        <v>32034</v>
      </c>
      <c r="BG1197" t="s">
        <v>12205</v>
      </c>
      <c r="BH1197" t="s">
        <v>11751</v>
      </c>
      <c r="BI1197">
        <v>-81.550303863659707</v>
      </c>
      <c r="BJ1197">
        <v>30.552953981594399</v>
      </c>
      <c r="BK1197" t="s">
        <v>12206</v>
      </c>
      <c r="BM1197" t="s">
        <v>12205</v>
      </c>
      <c r="BN1197" t="s">
        <v>3983</v>
      </c>
      <c r="BO1197">
        <v>32034</v>
      </c>
      <c r="BP1197" t="s">
        <v>416</v>
      </c>
      <c r="BQ1197">
        <v>200</v>
      </c>
      <c r="BR1197" t="s">
        <v>405</v>
      </c>
      <c r="BS1197">
        <v>1006</v>
      </c>
      <c r="BT1197" t="s">
        <v>406</v>
      </c>
      <c r="BW1197">
        <v>52626</v>
      </c>
      <c r="BX1197" t="s">
        <v>407</v>
      </c>
      <c r="BY1197" t="s">
        <v>408</v>
      </c>
      <c r="BZ1197">
        <v>4</v>
      </c>
      <c r="CA1197">
        <v>1991</v>
      </c>
      <c r="CB1197">
        <v>1</v>
      </c>
      <c r="CC1197">
        <v>1</v>
      </c>
      <c r="CD1197">
        <v>2017</v>
      </c>
      <c r="CG1197">
        <v>40878</v>
      </c>
      <c r="CH1197">
        <v>2017</v>
      </c>
      <c r="CI1197">
        <v>25000</v>
      </c>
      <c r="CJ1197">
        <v>31585</v>
      </c>
      <c r="CK1197">
        <v>56585</v>
      </c>
      <c r="CL1197">
        <v>2017</v>
      </c>
      <c r="CM1197">
        <v>232.8</v>
      </c>
      <c r="CN1197" s="1">
        <v>34913</v>
      </c>
      <c r="CO1197">
        <v>6000</v>
      </c>
      <c r="CZ1197" s="1">
        <v>34913</v>
      </c>
      <c r="DD1197" t="s">
        <v>11749</v>
      </c>
      <c r="DF1197">
        <v>45</v>
      </c>
      <c r="DG1197">
        <v>36</v>
      </c>
      <c r="DL1197">
        <v>50303</v>
      </c>
      <c r="DM1197" t="s">
        <v>12176</v>
      </c>
      <c r="DO1197" t="s">
        <v>12207</v>
      </c>
      <c r="DP1197">
        <v>0</v>
      </c>
      <c r="DQ1197">
        <v>0</v>
      </c>
      <c r="DR1197" t="s">
        <v>411</v>
      </c>
      <c r="DS1197" t="b">
        <v>1</v>
      </c>
      <c r="DT1197" t="s">
        <v>8902</v>
      </c>
      <c r="DV1197" t="s">
        <v>446</v>
      </c>
      <c r="DX1197">
        <v>9</v>
      </c>
      <c r="DY1197" t="s">
        <v>11438</v>
      </c>
      <c r="DZ1197" t="s">
        <v>447</v>
      </c>
      <c r="EA1197" t="s">
        <v>448</v>
      </c>
      <c r="EB1197" t="s">
        <v>12074</v>
      </c>
      <c r="EC1197">
        <v>20101217</v>
      </c>
      <c r="ED1197" t="s">
        <v>450</v>
      </c>
      <c r="EE1197">
        <v>7.5</v>
      </c>
      <c r="EF1197">
        <v>0</v>
      </c>
      <c r="EG1197">
        <v>0</v>
      </c>
      <c r="EI1197">
        <v>20160407</v>
      </c>
      <c r="EJ1197">
        <v>0</v>
      </c>
      <c r="EK1197">
        <v>0</v>
      </c>
      <c r="EP1197" t="s">
        <v>421</v>
      </c>
      <c r="EQ1197" t="s">
        <v>422</v>
      </c>
      <c r="ER1197">
        <v>0</v>
      </c>
      <c r="ES1197">
        <v>9</v>
      </c>
      <c r="ET1197">
        <v>0</v>
      </c>
      <c r="EU1197">
        <v>0</v>
      </c>
      <c r="EV1197">
        <v>0</v>
      </c>
      <c r="EW1197" s="2">
        <v>43222</v>
      </c>
      <c r="EX1197" s="1">
        <v>42879</v>
      </c>
      <c r="EY1197">
        <v>2016</v>
      </c>
      <c r="EZ1197">
        <v>268.33999999999997</v>
      </c>
      <c r="FA1197" t="s">
        <v>12208</v>
      </c>
      <c r="FB1197">
        <v>0.25</v>
      </c>
      <c r="FC1197" t="s">
        <v>424</v>
      </c>
      <c r="FD1197" t="s">
        <v>425</v>
      </c>
      <c r="FE1197" s="1">
        <v>43192</v>
      </c>
      <c r="FF1197">
        <v>11</v>
      </c>
      <c r="FG1197">
        <v>2851116</v>
      </c>
      <c r="FH1197" t="s">
        <v>480</v>
      </c>
      <c r="FJ1197" s="1">
        <v>42879</v>
      </c>
      <c r="FK1197">
        <v>2016</v>
      </c>
      <c r="FL1197">
        <v>268.33999999999997</v>
      </c>
      <c r="FM1197" t="s">
        <v>12208</v>
      </c>
      <c r="FN1197">
        <v>0.25</v>
      </c>
      <c r="FO1197" t="s">
        <v>424</v>
      </c>
      <c r="FP1197" t="s">
        <v>425</v>
      </c>
      <c r="FR1197">
        <v>22</v>
      </c>
      <c r="FS1197">
        <v>5404670</v>
      </c>
      <c r="FT1197" t="s">
        <v>12209</v>
      </c>
      <c r="FV1197" s="1">
        <v>42515</v>
      </c>
      <c r="FW1197">
        <v>2015</v>
      </c>
      <c r="FX1197">
        <v>373.02</v>
      </c>
      <c r="FY1197" t="s">
        <v>12210</v>
      </c>
      <c r="FZ1197">
        <v>0.25</v>
      </c>
      <c r="GA1197" t="s">
        <v>424</v>
      </c>
      <c r="GB1197" t="s">
        <v>425</v>
      </c>
      <c r="GC1197" s="1">
        <v>42705</v>
      </c>
      <c r="GD1197">
        <v>7</v>
      </c>
      <c r="GE1197">
        <v>2851116</v>
      </c>
      <c r="GF1197" t="s">
        <v>480</v>
      </c>
      <c r="GH1197" s="1">
        <v>42515</v>
      </c>
      <c r="GI1197">
        <v>2015</v>
      </c>
      <c r="GJ1197">
        <v>373.02</v>
      </c>
      <c r="GK1197" t="s">
        <v>12210</v>
      </c>
      <c r="GL1197">
        <v>0.25</v>
      </c>
      <c r="GM1197" t="s">
        <v>424</v>
      </c>
      <c r="GN1197" t="s">
        <v>425</v>
      </c>
      <c r="GP1197">
        <v>22</v>
      </c>
      <c r="GQ1197">
        <v>5074175</v>
      </c>
      <c r="GR1197" t="s">
        <v>12211</v>
      </c>
      <c r="GT1197" s="1">
        <v>42151</v>
      </c>
      <c r="GU1197">
        <v>2014</v>
      </c>
      <c r="GV1197">
        <v>368.53</v>
      </c>
      <c r="GW1197" t="s">
        <v>12212</v>
      </c>
      <c r="GX1197">
        <v>0.25</v>
      </c>
      <c r="GY1197" t="s">
        <v>424</v>
      </c>
      <c r="GZ1197" t="s">
        <v>425</v>
      </c>
      <c r="HA1197" s="1">
        <v>42353</v>
      </c>
      <c r="HB1197">
        <v>7</v>
      </c>
      <c r="HC1197">
        <v>2851116</v>
      </c>
      <c r="HD1197" t="s">
        <v>480</v>
      </c>
      <c r="HF1197" s="1">
        <v>42151</v>
      </c>
      <c r="HG1197">
        <v>2014</v>
      </c>
      <c r="HH1197">
        <v>368.53</v>
      </c>
      <c r="HI1197" t="s">
        <v>12212</v>
      </c>
      <c r="HJ1197">
        <v>0.25</v>
      </c>
      <c r="HK1197" t="s">
        <v>424</v>
      </c>
      <c r="HL1197" t="s">
        <v>425</v>
      </c>
      <c r="HN1197">
        <v>22</v>
      </c>
      <c r="HO1197">
        <v>4959811</v>
      </c>
      <c r="HP1197" t="s">
        <v>12213</v>
      </c>
      <c r="HR1197" s="1">
        <v>41423</v>
      </c>
      <c r="HS1197">
        <v>2012</v>
      </c>
      <c r="HT1197">
        <v>490.27</v>
      </c>
      <c r="HU1197" t="s">
        <v>12214</v>
      </c>
      <c r="HV1197">
        <v>0.25</v>
      </c>
      <c r="HW1197" t="s">
        <v>424</v>
      </c>
      <c r="HX1197" t="s">
        <v>425</v>
      </c>
      <c r="HY1197" s="1">
        <v>41591</v>
      </c>
      <c r="HZ1197">
        <v>6</v>
      </c>
      <c r="IA1197">
        <v>15399</v>
      </c>
      <c r="IB1197" t="s">
        <v>485</v>
      </c>
      <c r="ID1197" s="1">
        <v>41052</v>
      </c>
      <c r="IE1197">
        <v>2011</v>
      </c>
      <c r="IF1197">
        <v>494.05</v>
      </c>
      <c r="IG1197" t="s">
        <v>12215</v>
      </c>
      <c r="IH1197">
        <v>6</v>
      </c>
      <c r="II1197" t="s">
        <v>424</v>
      </c>
      <c r="IJ1197" t="s">
        <v>425</v>
      </c>
      <c r="IK1197" s="1">
        <v>41120</v>
      </c>
      <c r="IL1197">
        <v>2</v>
      </c>
      <c r="IM1197">
        <v>375</v>
      </c>
      <c r="IN1197" t="s">
        <v>776</v>
      </c>
      <c r="IP1197" s="1">
        <v>40688</v>
      </c>
      <c r="IQ1197">
        <v>2010</v>
      </c>
      <c r="IR1197">
        <v>560.35</v>
      </c>
      <c r="IS1197" t="s">
        <v>12216</v>
      </c>
      <c r="IT1197">
        <v>6.5</v>
      </c>
      <c r="IU1197" t="s">
        <v>424</v>
      </c>
      <c r="IV1197" t="s">
        <v>425</v>
      </c>
      <c r="IW1197" s="1">
        <v>40876</v>
      </c>
      <c r="IX1197">
        <v>6</v>
      </c>
      <c r="IY1197">
        <v>62</v>
      </c>
      <c r="IZ1197" t="s">
        <v>463</v>
      </c>
    </row>
    <row r="1198" spans="1:272" x14ac:dyDescent="0.25">
      <c r="A1198">
        <v>16486205</v>
      </c>
      <c r="B1198">
        <v>1197</v>
      </c>
      <c r="C1198" t="s">
        <v>393</v>
      </c>
      <c r="D1198" t="s">
        <v>394</v>
      </c>
      <c r="F1198" t="str">
        <f>"36-2N-27-525N-0046-0000"</f>
        <v>36-2N-27-525N-0046-0000</v>
      </c>
      <c r="H1198" t="str">
        <f>"KOHLENBERGER ALAN"</f>
        <v>KOHLENBERGER ALAN</v>
      </c>
      <c r="I1198" t="str">
        <f>"85034 ADMIRAL AV"</f>
        <v>85034 ADMIRAL AV</v>
      </c>
      <c r="J1198" t="str">
        <f t="shared" si="408"/>
        <v>FERNANDINA BEACH FL 32034</v>
      </c>
      <c r="K1198" t="str">
        <f>"85165 SCHUBERT RD"</f>
        <v>85165 SCHUBERT RD</v>
      </c>
      <c r="L1198" t="str">
        <f t="shared" si="405"/>
        <v>FERNANDINA BEACH FL 32034</v>
      </c>
      <c r="M1198" t="str">
        <f>"LOT 46 IN OR 1079/905 HOLLY POINT NORTH UNR"</f>
        <v>LOT 46 IN OR 1079/905 HOLLY POINT NORTH UNR</v>
      </c>
      <c r="N1198" t="str">
        <f>""</f>
        <v/>
      </c>
      <c r="O1198" t="str">
        <f>"42075"</f>
        <v>42075</v>
      </c>
      <c r="P1198" t="str">
        <f t="shared" si="382"/>
        <v>2017</v>
      </c>
      <c r="Q1198" t="str">
        <f>""</f>
        <v/>
      </c>
      <c r="R1198" t="str">
        <f>"N"</f>
        <v>N</v>
      </c>
      <c r="S1198" t="str">
        <f>""</f>
        <v/>
      </c>
      <c r="T1198" t="str">
        <f>"352.84"</f>
        <v>352.84</v>
      </c>
      <c r="U1198" t="str">
        <f>"22000.00"</f>
        <v>22000.00</v>
      </c>
      <c r="V1198" t="str">
        <f>"22000.00"</f>
        <v>22000.00</v>
      </c>
      <c r="W1198" t="str">
        <f t="shared" si="383"/>
        <v>2017</v>
      </c>
      <c r="X1198" t="str">
        <f>"16.11"</f>
        <v>16.11</v>
      </c>
      <c r="Y1198" t="str">
        <f>"395.43"</f>
        <v>395.43</v>
      </c>
      <c r="Z1198" t="str">
        <f>""</f>
        <v/>
      </c>
      <c r="AA1198" t="str">
        <f>"25000.00"</f>
        <v>25000.00</v>
      </c>
      <c r="AB1198" t="str">
        <f t="shared" si="404"/>
        <v>Residential</v>
      </c>
      <c r="AC1198" t="str">
        <f t="shared" si="399"/>
        <v>0</v>
      </c>
      <c r="AD1198" t="str">
        <f>""</f>
        <v/>
      </c>
      <c r="AE1198" t="str">
        <f>""</f>
        <v/>
      </c>
      <c r="AF1198" t="str">
        <f>"000"</f>
        <v>000</v>
      </c>
      <c r="AG1198" t="str">
        <f t="shared" si="406"/>
        <v>FL</v>
      </c>
      <c r="AH1198" t="str">
        <f t="shared" si="407"/>
        <v>-</v>
      </c>
      <c r="AI1198" t="str">
        <f>"25000.00"</f>
        <v>25000.00</v>
      </c>
      <c r="AJ1198" t="str">
        <f>"C55-000-588-8794-4"</f>
        <v>C55-000-588-8794-4</v>
      </c>
      <c r="AK1198" t="str">
        <f>"20114"</f>
        <v>20114</v>
      </c>
      <c r="AL1198">
        <v>5</v>
      </c>
      <c r="AM1198">
        <v>1366</v>
      </c>
      <c r="AN1198">
        <v>413.6</v>
      </c>
      <c r="AQ1198" t="s">
        <v>12217</v>
      </c>
      <c r="AR1198" t="s">
        <v>12217</v>
      </c>
      <c r="AS1198" t="s">
        <v>12217</v>
      </c>
      <c r="AU1198" t="s">
        <v>396</v>
      </c>
      <c r="AV1198">
        <v>2017</v>
      </c>
      <c r="AW1198" t="str">
        <f>"36-2N-27-525N-0046-0000 "</f>
        <v xml:space="preserve">36-2N-27-525N-0046-0000 </v>
      </c>
      <c r="AX1198">
        <v>85165</v>
      </c>
      <c r="AZ1198" t="s">
        <v>12172</v>
      </c>
      <c r="BA1198" t="s">
        <v>496</v>
      </c>
      <c r="BD1198" t="s">
        <v>11749</v>
      </c>
      <c r="BE1198" t="s">
        <v>393</v>
      </c>
      <c r="BF1198">
        <v>32034</v>
      </c>
      <c r="BG1198" t="s">
        <v>12218</v>
      </c>
      <c r="BH1198" t="s">
        <v>11751</v>
      </c>
      <c r="BI1198">
        <v>-81.5498881605983</v>
      </c>
      <c r="BJ1198">
        <v>30.553211118339899</v>
      </c>
      <c r="BK1198" t="s">
        <v>12219</v>
      </c>
      <c r="BM1198" t="s">
        <v>12205</v>
      </c>
      <c r="BN1198" t="s">
        <v>3983</v>
      </c>
      <c r="BO1198">
        <v>32034</v>
      </c>
      <c r="BP1198" t="s">
        <v>404</v>
      </c>
      <c r="BQ1198">
        <v>0</v>
      </c>
      <c r="BR1198" t="s">
        <v>491</v>
      </c>
      <c r="BS1198">
        <v>8001</v>
      </c>
      <c r="BT1198" t="s">
        <v>492</v>
      </c>
      <c r="BW1198">
        <v>45092</v>
      </c>
      <c r="BX1198" t="s">
        <v>407</v>
      </c>
      <c r="CD1198">
        <v>2017</v>
      </c>
      <c r="CE1198">
        <v>25000</v>
      </c>
      <c r="CG1198">
        <v>25000</v>
      </c>
      <c r="CH1198">
        <v>2017</v>
      </c>
      <c r="CI1198">
        <v>25000</v>
      </c>
      <c r="CK1198">
        <v>25000</v>
      </c>
      <c r="CL1198">
        <v>2017</v>
      </c>
      <c r="CM1198">
        <v>352.84</v>
      </c>
      <c r="CN1198" s="1">
        <v>37505</v>
      </c>
      <c r="CZ1198" s="1">
        <v>37505</v>
      </c>
      <c r="DD1198" t="s">
        <v>11749</v>
      </c>
      <c r="DF1198">
        <v>46</v>
      </c>
      <c r="DG1198">
        <v>36</v>
      </c>
      <c r="DJ1198" t="s">
        <v>12188</v>
      </c>
      <c r="DL1198">
        <v>50303</v>
      </c>
      <c r="DM1198" t="s">
        <v>12176</v>
      </c>
      <c r="DO1198" t="s">
        <v>12220</v>
      </c>
      <c r="DP1198">
        <v>0</v>
      </c>
      <c r="DQ1198">
        <v>0</v>
      </c>
      <c r="DR1198" t="s">
        <v>411</v>
      </c>
      <c r="DS1198" t="b">
        <v>1</v>
      </c>
      <c r="DT1198" t="s">
        <v>8902</v>
      </c>
      <c r="DV1198" t="s">
        <v>446</v>
      </c>
      <c r="DX1198">
        <v>9</v>
      </c>
      <c r="DY1198" t="s">
        <v>11438</v>
      </c>
      <c r="DZ1198" t="s">
        <v>447</v>
      </c>
      <c r="EA1198" t="s">
        <v>448</v>
      </c>
      <c r="EB1198" t="s">
        <v>12074</v>
      </c>
      <c r="EC1198">
        <v>20101217</v>
      </c>
      <c r="ED1198" t="s">
        <v>450</v>
      </c>
      <c r="EE1198">
        <v>7.5</v>
      </c>
      <c r="EF1198">
        <v>0</v>
      </c>
      <c r="EG1198">
        <v>0</v>
      </c>
      <c r="EI1198">
        <v>20160407</v>
      </c>
      <c r="EJ1198">
        <v>0</v>
      </c>
      <c r="EK1198">
        <v>0</v>
      </c>
      <c r="EP1198" t="s">
        <v>421</v>
      </c>
      <c r="EQ1198" t="s">
        <v>422</v>
      </c>
      <c r="ER1198">
        <v>0</v>
      </c>
      <c r="ES1198">
        <v>5</v>
      </c>
      <c r="ET1198">
        <v>0</v>
      </c>
      <c r="EU1198">
        <v>0</v>
      </c>
      <c r="EV1198">
        <v>0</v>
      </c>
      <c r="EW1198" s="2">
        <v>43222</v>
      </c>
      <c r="EX1198" s="1">
        <v>42879</v>
      </c>
      <c r="EY1198">
        <v>2016</v>
      </c>
      <c r="EZ1198">
        <v>359.04</v>
      </c>
      <c r="FA1198" t="s">
        <v>12221</v>
      </c>
      <c r="FB1198">
        <v>6.5</v>
      </c>
      <c r="FC1198" t="s">
        <v>424</v>
      </c>
      <c r="FD1198" t="s">
        <v>425</v>
      </c>
      <c r="FE1198" s="1">
        <v>43192</v>
      </c>
      <c r="FF1198">
        <v>11</v>
      </c>
      <c r="FG1198">
        <v>10125</v>
      </c>
      <c r="FH1198" t="s">
        <v>440</v>
      </c>
      <c r="FJ1198" s="1">
        <v>42515</v>
      </c>
      <c r="FK1198">
        <v>2015</v>
      </c>
      <c r="FL1198">
        <v>362.11</v>
      </c>
      <c r="FM1198" t="s">
        <v>12222</v>
      </c>
      <c r="FN1198">
        <v>15.25</v>
      </c>
      <c r="FO1198" t="s">
        <v>424</v>
      </c>
      <c r="FP1198" t="s">
        <v>425</v>
      </c>
      <c r="FQ1198" s="1">
        <v>43157</v>
      </c>
      <c r="FR1198">
        <v>21</v>
      </c>
      <c r="FS1198">
        <v>7336143</v>
      </c>
      <c r="FT1198" t="s">
        <v>539</v>
      </c>
      <c r="FV1198" s="1">
        <v>42151</v>
      </c>
      <c r="FW1198">
        <v>2014</v>
      </c>
      <c r="FX1198">
        <v>449.29</v>
      </c>
      <c r="FY1198" t="s">
        <v>12223</v>
      </c>
      <c r="FZ1198">
        <v>4.75</v>
      </c>
      <c r="GA1198" t="s">
        <v>424</v>
      </c>
      <c r="GB1198" t="s">
        <v>425</v>
      </c>
      <c r="GC1198" s="1">
        <v>42779</v>
      </c>
      <c r="GD1198">
        <v>21</v>
      </c>
      <c r="GE1198">
        <v>4975593</v>
      </c>
      <c r="GF1198" t="s">
        <v>505</v>
      </c>
      <c r="GH1198" s="1">
        <v>41787</v>
      </c>
      <c r="GI1198">
        <v>2013</v>
      </c>
      <c r="GJ1198">
        <v>426.45</v>
      </c>
      <c r="GK1198" t="s">
        <v>12224</v>
      </c>
      <c r="GL1198">
        <v>0.25</v>
      </c>
      <c r="GM1198" t="s">
        <v>424</v>
      </c>
      <c r="GN1198" t="s">
        <v>425</v>
      </c>
      <c r="GO1198" s="1">
        <v>42042</v>
      </c>
      <c r="GP1198">
        <v>9</v>
      </c>
      <c r="GQ1198">
        <v>2101385</v>
      </c>
      <c r="GR1198" t="s">
        <v>810</v>
      </c>
      <c r="GT1198" s="1">
        <v>41052</v>
      </c>
      <c r="GU1198">
        <v>2011</v>
      </c>
      <c r="GV1198">
        <v>430.67</v>
      </c>
      <c r="GW1198" t="s">
        <v>12225</v>
      </c>
      <c r="GX1198">
        <v>5.75</v>
      </c>
      <c r="GY1198" t="s">
        <v>424</v>
      </c>
      <c r="GZ1198" t="s">
        <v>425</v>
      </c>
      <c r="HA1198" s="1">
        <v>41358</v>
      </c>
      <c r="HB1198">
        <v>10</v>
      </c>
      <c r="HC1198">
        <v>10579</v>
      </c>
      <c r="HD1198" t="s">
        <v>488</v>
      </c>
    </row>
    <row r="1199" spans="1:272" x14ac:dyDescent="0.25">
      <c r="A1199">
        <v>16486206</v>
      </c>
      <c r="B1199">
        <v>1198</v>
      </c>
      <c r="C1199" t="s">
        <v>393</v>
      </c>
      <c r="D1199" t="s">
        <v>394</v>
      </c>
      <c r="F1199" t="str">
        <f>"36-2N-27-525P-0001-0070"</f>
        <v>36-2N-27-525P-0001-0070</v>
      </c>
      <c r="H1199" t="str">
        <f>"NUNEZ JEFFREY L"</f>
        <v>NUNEZ JEFFREY L</v>
      </c>
      <c r="I1199" t="str">
        <f>"PO BOX 15016"</f>
        <v>PO BOX 15016</v>
      </c>
      <c r="J1199" t="str">
        <f>"FERNANDINA BEACH FL 32035"</f>
        <v>FERNANDINA BEACH FL 32035</v>
      </c>
      <c r="K1199" t="str">
        <f>"85367 SCHUBERT RD"</f>
        <v>85367 SCHUBERT RD</v>
      </c>
      <c r="L1199" t="str">
        <f t="shared" si="405"/>
        <v>FERNANDINA BEACH FL 32034</v>
      </c>
      <c r="M1199" t="str">
        <f>"BLOCK 1 LOTS 7 &amp; 8 PT OR 1356/1808 HOLLY POINT NORTH 2 PB 4/80"</f>
        <v>BLOCK 1 LOTS 7 &amp; 8 PT OR 1356/1808 HOLLY POINT NORTH 2 PB 4/80</v>
      </c>
      <c r="N1199" t="str">
        <f>""</f>
        <v/>
      </c>
      <c r="O1199" t="str">
        <f>"42085"</f>
        <v>42085</v>
      </c>
      <c r="P1199" t="str">
        <f t="shared" si="382"/>
        <v>2017</v>
      </c>
      <c r="Q1199" t="str">
        <f>""</f>
        <v/>
      </c>
      <c r="R1199" t="str">
        <f>"Y"</f>
        <v>Y</v>
      </c>
      <c r="S1199" t="str">
        <f>""</f>
        <v/>
      </c>
      <c r="T1199" t="str">
        <f>"398.38"</f>
        <v>398.38</v>
      </c>
      <c r="U1199" t="str">
        <f>"53016.00"</f>
        <v>53016.00</v>
      </c>
      <c r="V1199" t="str">
        <f>"53016.00"</f>
        <v>53016.00</v>
      </c>
      <c r="W1199" t="str">
        <f t="shared" si="383"/>
        <v>2017</v>
      </c>
      <c r="X1199" t="str">
        <f>"11.22"</f>
        <v>11.22</v>
      </c>
      <c r="Y1199" t="str">
        <f>"442.33"</f>
        <v>442.33</v>
      </c>
      <c r="Z1199" t="str">
        <f>"25000.00"</f>
        <v>25000.00</v>
      </c>
      <c r="AA1199" t="str">
        <f>"28016.00"</f>
        <v>28016.00</v>
      </c>
      <c r="AB1199" t="str">
        <f t="shared" si="404"/>
        <v>Residential</v>
      </c>
      <c r="AC1199" t="str">
        <f t="shared" si="399"/>
        <v>0</v>
      </c>
      <c r="AD1199" t="str">
        <f t="shared" ref="AD1199:AD1206" si="409">"4"</f>
        <v>4</v>
      </c>
      <c r="AE1199" t="str">
        <f t="shared" ref="AE1199:AE1206" si="410">"WOOD (INCLUDE STEEL STUDS)"</f>
        <v>WOOD (INCLUDE STEEL STUDS)</v>
      </c>
      <c r="AF1199" t="str">
        <f>"001"</f>
        <v>001</v>
      </c>
      <c r="AG1199" t="str">
        <f t="shared" si="406"/>
        <v>FL</v>
      </c>
      <c r="AH1199" t="str">
        <f t="shared" si="407"/>
        <v>-</v>
      </c>
      <c r="AI1199" t="str">
        <f>"38750.00"</f>
        <v>38750.00</v>
      </c>
      <c r="AJ1199" t="str">
        <f>"C55-000-587-8105-5"</f>
        <v>C55-000-587-8105-5</v>
      </c>
      <c r="AK1199" t="str">
        <f>"20123"</f>
        <v>20123</v>
      </c>
      <c r="AL1199">
        <v>5</v>
      </c>
      <c r="AM1199">
        <v>1367</v>
      </c>
      <c r="AN1199">
        <v>462.85</v>
      </c>
      <c r="AQ1199" t="s">
        <v>12226</v>
      </c>
      <c r="AR1199" t="s">
        <v>12226</v>
      </c>
      <c r="AS1199" t="s">
        <v>12226</v>
      </c>
      <c r="AU1199" t="s">
        <v>396</v>
      </c>
      <c r="AV1199">
        <v>2017</v>
      </c>
      <c r="AW1199" t="str">
        <f>"36-2N-27-525P-0001-0070 "</f>
        <v xml:space="preserve">36-2N-27-525P-0001-0070 </v>
      </c>
      <c r="AX1199">
        <v>85367</v>
      </c>
      <c r="AZ1199" t="s">
        <v>12172</v>
      </c>
      <c r="BA1199" t="s">
        <v>496</v>
      </c>
      <c r="BD1199" t="s">
        <v>11749</v>
      </c>
      <c r="BE1199" t="s">
        <v>393</v>
      </c>
      <c r="BF1199">
        <v>32034</v>
      </c>
      <c r="BG1199" t="s">
        <v>12227</v>
      </c>
      <c r="BH1199" t="s">
        <v>11751</v>
      </c>
      <c r="BI1199">
        <v>-81.546769429373001</v>
      </c>
      <c r="BJ1199">
        <v>30.554566678598299</v>
      </c>
      <c r="BK1199" t="s">
        <v>12228</v>
      </c>
      <c r="BM1199" t="s">
        <v>12229</v>
      </c>
      <c r="BN1199" t="s">
        <v>3983</v>
      </c>
      <c r="BO1199">
        <v>32035</v>
      </c>
      <c r="BP1199" t="s">
        <v>404</v>
      </c>
      <c r="BQ1199">
        <v>100</v>
      </c>
      <c r="BR1199" t="s">
        <v>514</v>
      </c>
      <c r="BS1199">
        <v>1001</v>
      </c>
      <c r="BT1199" t="s">
        <v>515</v>
      </c>
      <c r="BW1199">
        <v>86303</v>
      </c>
      <c r="BX1199" t="s">
        <v>407</v>
      </c>
      <c r="BY1199" t="s">
        <v>408</v>
      </c>
      <c r="BZ1199">
        <v>4</v>
      </c>
      <c r="CA1199">
        <v>1983</v>
      </c>
      <c r="CB1199">
        <v>1</v>
      </c>
      <c r="CC1199">
        <v>1</v>
      </c>
      <c r="CD1199">
        <v>2017</v>
      </c>
      <c r="CG1199">
        <v>53016</v>
      </c>
      <c r="CH1199">
        <v>2017</v>
      </c>
      <c r="CI1199">
        <v>38750</v>
      </c>
      <c r="CJ1199">
        <v>20562</v>
      </c>
      <c r="CK1199">
        <v>59312</v>
      </c>
      <c r="CL1199">
        <v>2017</v>
      </c>
      <c r="CM1199">
        <v>398.38</v>
      </c>
      <c r="CN1199" s="1">
        <v>38632</v>
      </c>
      <c r="CZ1199" s="1">
        <v>38632</v>
      </c>
      <c r="DD1199" t="s">
        <v>11749</v>
      </c>
      <c r="DG1199">
        <v>36</v>
      </c>
      <c r="DJ1199" t="s">
        <v>12188</v>
      </c>
      <c r="DL1199">
        <v>50303</v>
      </c>
      <c r="DM1199" t="s">
        <v>12176</v>
      </c>
      <c r="DO1199" t="s">
        <v>12230</v>
      </c>
      <c r="DP1199">
        <v>0</v>
      </c>
      <c r="DQ1199">
        <v>0</v>
      </c>
      <c r="DR1199" t="s">
        <v>411</v>
      </c>
      <c r="DS1199" t="b">
        <v>1</v>
      </c>
      <c r="DT1199" t="s">
        <v>8902</v>
      </c>
      <c r="DV1199" t="s">
        <v>446</v>
      </c>
      <c r="DX1199">
        <v>9</v>
      </c>
      <c r="DY1199" t="s">
        <v>11438</v>
      </c>
      <c r="DZ1199" t="s">
        <v>447</v>
      </c>
      <c r="EA1199" t="s">
        <v>448</v>
      </c>
      <c r="EB1199" t="s">
        <v>12074</v>
      </c>
      <c r="EC1199">
        <v>20101217</v>
      </c>
      <c r="ED1199" t="s">
        <v>450</v>
      </c>
      <c r="EE1199">
        <v>7.5</v>
      </c>
      <c r="EF1199">
        <v>0</v>
      </c>
      <c r="EG1199">
        <v>0</v>
      </c>
      <c r="EI1199">
        <v>20160407</v>
      </c>
      <c r="EJ1199">
        <v>0</v>
      </c>
      <c r="EK1199">
        <v>0</v>
      </c>
      <c r="EP1199" t="s">
        <v>421</v>
      </c>
      <c r="EQ1199" t="s">
        <v>422</v>
      </c>
      <c r="ER1199">
        <v>2</v>
      </c>
      <c r="ES1199">
        <v>8</v>
      </c>
      <c r="ET1199">
        <v>912.44</v>
      </c>
      <c r="EU1199">
        <v>58.12</v>
      </c>
      <c r="EV1199">
        <v>970.56</v>
      </c>
      <c r="EW1199" s="2">
        <v>43222</v>
      </c>
      <c r="EX1199" s="1">
        <v>42879</v>
      </c>
      <c r="EY1199">
        <v>2016</v>
      </c>
      <c r="EZ1199">
        <v>456.22</v>
      </c>
      <c r="FA1199" t="s">
        <v>12231</v>
      </c>
      <c r="FB1199">
        <v>0.25</v>
      </c>
      <c r="FC1199" t="s">
        <v>424</v>
      </c>
      <c r="FD1199" t="s">
        <v>454</v>
      </c>
      <c r="FF1199">
        <v>12</v>
      </c>
      <c r="FG1199">
        <v>7400234</v>
      </c>
      <c r="FH1199" t="s">
        <v>426</v>
      </c>
      <c r="FJ1199" s="1">
        <v>42879</v>
      </c>
      <c r="FK1199">
        <v>2016</v>
      </c>
      <c r="FL1199">
        <v>456.22</v>
      </c>
      <c r="FM1199" t="s">
        <v>12231</v>
      </c>
      <c r="FN1199">
        <v>0.25</v>
      </c>
      <c r="FO1199" t="s">
        <v>424</v>
      </c>
      <c r="FP1199" t="s">
        <v>454</v>
      </c>
      <c r="FR1199">
        <v>12</v>
      </c>
      <c r="FS1199">
        <v>7526545</v>
      </c>
      <c r="FT1199" t="s">
        <v>12232</v>
      </c>
      <c r="FV1199" s="1">
        <v>42515</v>
      </c>
      <c r="FW1199">
        <v>2015</v>
      </c>
      <c r="FX1199">
        <v>464.88</v>
      </c>
      <c r="FY1199" t="s">
        <v>12233</v>
      </c>
      <c r="FZ1199">
        <v>0.25</v>
      </c>
      <c r="GA1199" t="s">
        <v>424</v>
      </c>
      <c r="GB1199" t="s">
        <v>425</v>
      </c>
      <c r="GC1199" s="1">
        <v>42681</v>
      </c>
      <c r="GD1199">
        <v>6</v>
      </c>
      <c r="GE1199">
        <v>11289</v>
      </c>
      <c r="GF1199" t="s">
        <v>787</v>
      </c>
      <c r="GH1199" s="1">
        <v>42515</v>
      </c>
      <c r="GI1199">
        <v>2015</v>
      </c>
      <c r="GJ1199">
        <v>464.88</v>
      </c>
      <c r="GK1199" t="s">
        <v>12233</v>
      </c>
      <c r="GL1199">
        <v>0.25</v>
      </c>
      <c r="GM1199" t="s">
        <v>424</v>
      </c>
      <c r="GN1199" t="s">
        <v>425</v>
      </c>
      <c r="GP1199">
        <v>22</v>
      </c>
      <c r="GQ1199">
        <v>7272821</v>
      </c>
      <c r="GR1199" t="s">
        <v>12234</v>
      </c>
      <c r="GT1199" s="1">
        <v>42151</v>
      </c>
      <c r="GU1199">
        <v>2014</v>
      </c>
      <c r="GV1199">
        <v>514.75</v>
      </c>
      <c r="GW1199" t="s">
        <v>12235</v>
      </c>
      <c r="GX1199">
        <v>0.25</v>
      </c>
      <c r="GY1199" t="s">
        <v>424</v>
      </c>
      <c r="GZ1199" t="s">
        <v>425</v>
      </c>
      <c r="HA1199" s="1">
        <v>42451</v>
      </c>
      <c r="HB1199">
        <v>10</v>
      </c>
      <c r="HC1199">
        <v>2101382</v>
      </c>
      <c r="HD1199" t="s">
        <v>993</v>
      </c>
      <c r="HF1199" s="1">
        <v>42151</v>
      </c>
      <c r="HG1199">
        <v>2014</v>
      </c>
      <c r="HH1199">
        <v>514.75</v>
      </c>
      <c r="HI1199" t="s">
        <v>12235</v>
      </c>
      <c r="HJ1199">
        <v>0.25</v>
      </c>
      <c r="HK1199" t="s">
        <v>424</v>
      </c>
      <c r="HL1199" t="s">
        <v>425</v>
      </c>
      <c r="HN1199">
        <v>22</v>
      </c>
      <c r="HO1199">
        <v>5582181</v>
      </c>
      <c r="HP1199" t="s">
        <v>12236</v>
      </c>
      <c r="HR1199" s="1">
        <v>41787</v>
      </c>
      <c r="HS1199">
        <v>2013</v>
      </c>
      <c r="HT1199">
        <v>497.91</v>
      </c>
      <c r="HU1199" t="s">
        <v>12237</v>
      </c>
      <c r="HV1199">
        <v>0.25</v>
      </c>
      <c r="HW1199" t="s">
        <v>424</v>
      </c>
      <c r="HX1199" t="s">
        <v>425</v>
      </c>
      <c r="HY1199" s="1">
        <v>42439</v>
      </c>
      <c r="HZ1199">
        <v>22</v>
      </c>
      <c r="IA1199">
        <v>2101382</v>
      </c>
      <c r="IB1199" t="s">
        <v>993</v>
      </c>
      <c r="ID1199" s="1">
        <v>41423</v>
      </c>
      <c r="IE1199">
        <v>2012</v>
      </c>
      <c r="IF1199">
        <v>508.7</v>
      </c>
      <c r="IG1199" t="s">
        <v>12238</v>
      </c>
      <c r="IH1199">
        <v>0.25</v>
      </c>
      <c r="II1199" t="s">
        <v>424</v>
      </c>
      <c r="IJ1199" t="s">
        <v>425</v>
      </c>
      <c r="IK1199" s="1">
        <v>41514</v>
      </c>
      <c r="IL1199">
        <v>3</v>
      </c>
      <c r="IM1199">
        <v>10125</v>
      </c>
      <c r="IN1199" t="s">
        <v>440</v>
      </c>
      <c r="IP1199" s="1">
        <v>41052</v>
      </c>
      <c r="IQ1199">
        <v>2011</v>
      </c>
      <c r="IR1199">
        <v>514.66</v>
      </c>
      <c r="IS1199" t="s">
        <v>12239</v>
      </c>
      <c r="IT1199">
        <v>5.75</v>
      </c>
      <c r="IU1199" t="s">
        <v>424</v>
      </c>
      <c r="IV1199" t="s">
        <v>425</v>
      </c>
      <c r="IW1199" s="1">
        <v>41333</v>
      </c>
      <c r="IX1199">
        <v>9</v>
      </c>
      <c r="IY1199">
        <v>11141</v>
      </c>
      <c r="IZ1199" t="s">
        <v>1723</v>
      </c>
      <c r="JB1199" s="1">
        <v>40688</v>
      </c>
      <c r="JC1199">
        <v>2010</v>
      </c>
      <c r="JD1199">
        <v>1255.56</v>
      </c>
      <c r="JE1199" t="s">
        <v>12240</v>
      </c>
      <c r="JF1199">
        <v>6.5</v>
      </c>
      <c r="JG1199" t="s">
        <v>424</v>
      </c>
      <c r="JH1199" t="s">
        <v>425</v>
      </c>
      <c r="JI1199" s="1">
        <v>41333</v>
      </c>
      <c r="JJ1199">
        <v>21</v>
      </c>
      <c r="JK1199">
        <v>62</v>
      </c>
      <c r="JL1199" t="s">
        <v>463</v>
      </c>
    </row>
    <row r="1200" spans="1:272" x14ac:dyDescent="0.25">
      <c r="A1200">
        <v>16486207</v>
      </c>
      <c r="B1200">
        <v>1199</v>
      </c>
      <c r="C1200" t="s">
        <v>393</v>
      </c>
      <c r="D1200" t="s">
        <v>394</v>
      </c>
      <c r="F1200" t="str">
        <f>"36-2N-27-525P-0002-0030"</f>
        <v>36-2N-27-525P-0002-0030</v>
      </c>
      <c r="H1200" t="str">
        <f>"MANN RANDALL W"</f>
        <v>MANN RANDALL W</v>
      </c>
      <c r="I1200" t="str">
        <f>"85423 LINDA HALL ROAD"</f>
        <v>85423 LINDA HALL ROAD</v>
      </c>
      <c r="J1200" t="str">
        <f>"FERNANDINA BEACH FL 32034"</f>
        <v>FERNANDINA BEACH FL 32034</v>
      </c>
      <c r="K1200" t="str">
        <f>"85423 LINDA HALL RD"</f>
        <v>85423 LINDA HALL RD</v>
      </c>
      <c r="L1200" t="str">
        <f t="shared" si="405"/>
        <v>FERNANDINA BEACH FL 32034</v>
      </c>
      <c r="M1200" t="str">
        <f>"BLOCK 2 LOT 3 1999 SPRING HILL DW IN OR 835 PG 2001 HOLLY POINT NORTH 2 PB 4/80"</f>
        <v>BLOCK 2 LOT 3 1999 SPRING HILL DW IN OR 835 PG 2001 HOLLY POINT NORTH 2 PB 4/80</v>
      </c>
      <c r="N1200" t="str">
        <f>""</f>
        <v/>
      </c>
      <c r="O1200" t="str">
        <f>"42095"</f>
        <v>42095</v>
      </c>
      <c r="P1200" t="str">
        <f t="shared" si="382"/>
        <v>2017</v>
      </c>
      <c r="Q1200" t="str">
        <f>""</f>
        <v/>
      </c>
      <c r="R1200" t="str">
        <f>"Y"</f>
        <v>Y</v>
      </c>
      <c r="S1200" t="str">
        <f>""</f>
        <v/>
      </c>
      <c r="T1200" t="str">
        <f>"470.33"</f>
        <v>470.33</v>
      </c>
      <c r="U1200" t="str">
        <f>"63921.00"</f>
        <v>63921.00</v>
      </c>
      <c r="V1200" t="str">
        <f>"63921.00"</f>
        <v>63921.00</v>
      </c>
      <c r="W1200" t="str">
        <f t="shared" si="383"/>
        <v>2017</v>
      </c>
      <c r="X1200" t="str">
        <f>"16.75"</f>
        <v>16.75</v>
      </c>
      <c r="Y1200" t="str">
        <f>"516.44"</f>
        <v>516.44</v>
      </c>
      <c r="Z1200" t="str">
        <f>"25000.00"</f>
        <v>25000.00</v>
      </c>
      <c r="AA1200" t="str">
        <f>"38921.00"</f>
        <v>38921.00</v>
      </c>
      <c r="AB1200" t="str">
        <f t="shared" si="404"/>
        <v>Residential</v>
      </c>
      <c r="AC1200" t="str">
        <f t="shared" si="399"/>
        <v>0</v>
      </c>
      <c r="AD1200" t="str">
        <f t="shared" si="409"/>
        <v>4</v>
      </c>
      <c r="AE1200" t="str">
        <f t="shared" si="410"/>
        <v>WOOD (INCLUDE STEEL STUDS)</v>
      </c>
      <c r="AF1200" t="str">
        <f t="shared" ref="AF1200:AF1206" si="411">"002"</f>
        <v>002</v>
      </c>
      <c r="AG1200" t="str">
        <f t="shared" si="406"/>
        <v>FL</v>
      </c>
      <c r="AH1200" t="str">
        <f t="shared" si="407"/>
        <v>-</v>
      </c>
      <c r="AI1200" t="str">
        <f t="shared" ref="AI1200:AI1206" si="412">"25000.00"</f>
        <v>25000.00</v>
      </c>
      <c r="AJ1200" t="str">
        <f>"C55-000-587-8114-7"</f>
        <v>C55-000-587-8114-7</v>
      </c>
      <c r="AK1200" t="str">
        <f>"20131"</f>
        <v>20131</v>
      </c>
      <c r="AL1200">
        <v>5</v>
      </c>
      <c r="AM1200">
        <v>1368</v>
      </c>
      <c r="AN1200">
        <v>540.66</v>
      </c>
      <c r="AQ1200" t="s">
        <v>12241</v>
      </c>
      <c r="AR1200" t="s">
        <v>12241</v>
      </c>
      <c r="AS1200" t="s">
        <v>12241</v>
      </c>
      <c r="AU1200" t="s">
        <v>396</v>
      </c>
      <c r="AV1200">
        <v>2017</v>
      </c>
      <c r="AW1200" t="str">
        <f>"36-2N-27-525P-0002-0030 "</f>
        <v xml:space="preserve">36-2N-27-525P-0002-0030 </v>
      </c>
      <c r="AX1200">
        <v>85423</v>
      </c>
      <c r="AZ1200" t="s">
        <v>12197</v>
      </c>
      <c r="BA1200" t="s">
        <v>496</v>
      </c>
      <c r="BD1200" t="s">
        <v>11749</v>
      </c>
      <c r="BE1200" t="s">
        <v>393</v>
      </c>
      <c r="BF1200">
        <v>32034</v>
      </c>
      <c r="BG1200" t="s">
        <v>12242</v>
      </c>
      <c r="BH1200" t="s">
        <v>11751</v>
      </c>
      <c r="BI1200">
        <v>-81.547095298922301</v>
      </c>
      <c r="BJ1200">
        <v>30.556374986907201</v>
      </c>
      <c r="BK1200" t="s">
        <v>12243</v>
      </c>
      <c r="BM1200" t="s">
        <v>12242</v>
      </c>
      <c r="BN1200" t="s">
        <v>3983</v>
      </c>
      <c r="BO1200">
        <v>32034</v>
      </c>
      <c r="BP1200" t="s">
        <v>416</v>
      </c>
      <c r="BQ1200">
        <v>200</v>
      </c>
      <c r="BR1200" t="s">
        <v>405</v>
      </c>
      <c r="BS1200">
        <v>1006</v>
      </c>
      <c r="BT1200" t="s">
        <v>406</v>
      </c>
      <c r="BW1200">
        <v>43650</v>
      </c>
      <c r="BX1200" t="s">
        <v>407</v>
      </c>
      <c r="BY1200" t="s">
        <v>408</v>
      </c>
      <c r="BZ1200">
        <v>4</v>
      </c>
      <c r="CA1200">
        <v>1998</v>
      </c>
      <c r="CB1200">
        <v>1</v>
      </c>
      <c r="CC1200">
        <v>1</v>
      </c>
      <c r="CD1200">
        <v>2017</v>
      </c>
      <c r="CG1200">
        <v>63921</v>
      </c>
      <c r="CH1200">
        <v>2017</v>
      </c>
      <c r="CI1200">
        <v>25000</v>
      </c>
      <c r="CJ1200">
        <v>49998</v>
      </c>
      <c r="CK1200">
        <v>74998</v>
      </c>
      <c r="CL1200">
        <v>2017</v>
      </c>
      <c r="CM1200">
        <v>470.33</v>
      </c>
      <c r="CN1200" s="1">
        <v>35949</v>
      </c>
      <c r="CO1200">
        <v>18900</v>
      </c>
      <c r="CZ1200" s="1">
        <v>35949</v>
      </c>
      <c r="DD1200" t="s">
        <v>11749</v>
      </c>
      <c r="DF1200">
        <v>3</v>
      </c>
      <c r="DG1200">
        <v>36</v>
      </c>
      <c r="DJ1200" t="s">
        <v>12244</v>
      </c>
      <c r="DL1200">
        <v>50303</v>
      </c>
      <c r="DM1200" t="s">
        <v>12176</v>
      </c>
      <c r="DO1200" t="s">
        <v>12245</v>
      </c>
      <c r="DP1200">
        <v>0</v>
      </c>
      <c r="DQ1200">
        <v>0</v>
      </c>
      <c r="DR1200" t="s">
        <v>411</v>
      </c>
      <c r="DS1200" t="b">
        <v>1</v>
      </c>
      <c r="DT1200" t="s">
        <v>470</v>
      </c>
      <c r="DU1200" t="s">
        <v>10249</v>
      </c>
      <c r="DV1200" t="s">
        <v>472</v>
      </c>
      <c r="DX1200">
        <v>-9999</v>
      </c>
      <c r="DZ1200" t="s">
        <v>447</v>
      </c>
      <c r="EA1200" t="s">
        <v>448</v>
      </c>
      <c r="EB1200" t="s">
        <v>12096</v>
      </c>
      <c r="EC1200">
        <v>20101217</v>
      </c>
      <c r="ED1200" t="s">
        <v>10251</v>
      </c>
      <c r="EE1200">
        <v>7.5</v>
      </c>
      <c r="EF1200">
        <v>230.4</v>
      </c>
      <c r="EG1200">
        <v>0</v>
      </c>
      <c r="EI1200">
        <v>20160407</v>
      </c>
      <c r="EJ1200">
        <v>0</v>
      </c>
      <c r="EK1200">
        <v>0</v>
      </c>
      <c r="EP1200" t="s">
        <v>421</v>
      </c>
      <c r="EQ1200" t="s">
        <v>422</v>
      </c>
      <c r="ER1200">
        <v>2</v>
      </c>
      <c r="ES1200">
        <v>8</v>
      </c>
      <c r="ET1200">
        <v>1069.3800000000001</v>
      </c>
      <c r="EU1200">
        <v>65.97</v>
      </c>
      <c r="EV1200">
        <v>1135.3499999999999</v>
      </c>
      <c r="EW1200" s="2">
        <v>43222</v>
      </c>
      <c r="EX1200" s="1">
        <v>42879</v>
      </c>
      <c r="EY1200">
        <v>2016</v>
      </c>
      <c r="EZ1200">
        <v>534.69000000000005</v>
      </c>
      <c r="FA1200" t="s">
        <v>12246</v>
      </c>
      <c r="FB1200">
        <v>0.25</v>
      </c>
      <c r="FC1200" t="s">
        <v>424</v>
      </c>
      <c r="FD1200" t="s">
        <v>454</v>
      </c>
      <c r="FF1200">
        <v>12</v>
      </c>
      <c r="FG1200">
        <v>11289</v>
      </c>
      <c r="FH1200" t="s">
        <v>787</v>
      </c>
      <c r="FJ1200" s="1">
        <v>42879</v>
      </c>
      <c r="FK1200">
        <v>2016</v>
      </c>
      <c r="FL1200">
        <v>534.69000000000005</v>
      </c>
      <c r="FM1200" t="s">
        <v>12246</v>
      </c>
      <c r="FN1200">
        <v>0.25</v>
      </c>
      <c r="FO1200" t="s">
        <v>424</v>
      </c>
      <c r="FP1200" t="s">
        <v>454</v>
      </c>
      <c r="FR1200">
        <v>12</v>
      </c>
      <c r="FS1200">
        <v>7045678</v>
      </c>
      <c r="FT1200" t="s">
        <v>12247</v>
      </c>
      <c r="FV1200" s="1">
        <v>42515</v>
      </c>
      <c r="FW1200">
        <v>2015</v>
      </c>
      <c r="FX1200">
        <v>542.59</v>
      </c>
      <c r="FY1200" t="s">
        <v>12248</v>
      </c>
      <c r="FZ1200">
        <v>0.25</v>
      </c>
      <c r="GA1200" t="s">
        <v>424</v>
      </c>
      <c r="GB1200" t="s">
        <v>425</v>
      </c>
      <c r="GC1200" s="1">
        <v>43151</v>
      </c>
      <c r="GD1200">
        <v>21</v>
      </c>
      <c r="GE1200">
        <v>7045074</v>
      </c>
      <c r="GF1200" t="s">
        <v>580</v>
      </c>
      <c r="GH1200" s="1">
        <v>42515</v>
      </c>
      <c r="GI1200">
        <v>2015</v>
      </c>
      <c r="GJ1200">
        <v>542.59</v>
      </c>
      <c r="GK1200" t="s">
        <v>12248</v>
      </c>
      <c r="GL1200">
        <v>0.25</v>
      </c>
      <c r="GM1200" t="s">
        <v>424</v>
      </c>
      <c r="GN1200" t="s">
        <v>425</v>
      </c>
      <c r="GP1200">
        <v>22</v>
      </c>
      <c r="GQ1200">
        <v>6670288</v>
      </c>
      <c r="GR1200" t="s">
        <v>12249</v>
      </c>
      <c r="GT1200" s="1">
        <v>42151</v>
      </c>
      <c r="GU1200">
        <v>2014</v>
      </c>
      <c r="GV1200">
        <v>596.38</v>
      </c>
      <c r="GW1200" t="s">
        <v>12250</v>
      </c>
      <c r="GX1200">
        <v>0.25</v>
      </c>
      <c r="GY1200" t="s">
        <v>424</v>
      </c>
      <c r="GZ1200" t="s">
        <v>425</v>
      </c>
      <c r="HA1200" s="1">
        <v>42718</v>
      </c>
      <c r="HB1200">
        <v>19</v>
      </c>
      <c r="HC1200">
        <v>2851116</v>
      </c>
      <c r="HD1200" t="s">
        <v>480</v>
      </c>
      <c r="HF1200" s="1">
        <v>42151</v>
      </c>
      <c r="HG1200">
        <v>2014</v>
      </c>
      <c r="HH1200">
        <v>596.38</v>
      </c>
      <c r="HI1200" t="s">
        <v>12250</v>
      </c>
      <c r="HJ1200">
        <v>0.25</v>
      </c>
      <c r="HK1200" t="s">
        <v>424</v>
      </c>
      <c r="HL1200" t="s">
        <v>425</v>
      </c>
      <c r="HN1200">
        <v>22</v>
      </c>
      <c r="HO1200">
        <v>5273827</v>
      </c>
      <c r="HP1200" t="s">
        <v>12251</v>
      </c>
      <c r="HR1200" s="1">
        <v>41787</v>
      </c>
      <c r="HS1200">
        <v>2013</v>
      </c>
      <c r="HT1200">
        <v>624.79</v>
      </c>
      <c r="HU1200" t="s">
        <v>12252</v>
      </c>
      <c r="HV1200">
        <v>0.25</v>
      </c>
      <c r="HW1200" t="s">
        <v>424</v>
      </c>
      <c r="HX1200" t="s">
        <v>425</v>
      </c>
      <c r="HY1200" s="1">
        <v>42447</v>
      </c>
      <c r="HZ1200">
        <v>22</v>
      </c>
      <c r="IA1200">
        <v>2407503</v>
      </c>
      <c r="IB1200" t="s">
        <v>461</v>
      </c>
      <c r="ID1200" s="1">
        <v>41423</v>
      </c>
      <c r="IE1200">
        <v>2012</v>
      </c>
      <c r="IF1200">
        <v>661.06</v>
      </c>
      <c r="IG1200" t="s">
        <v>12253</v>
      </c>
      <c r="IH1200">
        <v>0.25</v>
      </c>
      <c r="II1200" t="s">
        <v>424</v>
      </c>
      <c r="IJ1200" t="s">
        <v>425</v>
      </c>
      <c r="IK1200" s="1">
        <v>42047</v>
      </c>
      <c r="IL1200">
        <v>21</v>
      </c>
      <c r="IM1200">
        <v>10125</v>
      </c>
      <c r="IN1200" t="s">
        <v>440</v>
      </c>
      <c r="IP1200" s="1">
        <v>41052</v>
      </c>
      <c r="IQ1200">
        <v>2011</v>
      </c>
      <c r="IR1200">
        <v>662.34</v>
      </c>
      <c r="IS1200" t="s">
        <v>12254</v>
      </c>
      <c r="IT1200">
        <v>6</v>
      </c>
      <c r="IU1200" t="s">
        <v>424</v>
      </c>
      <c r="IV1200" t="s">
        <v>425</v>
      </c>
      <c r="IW1200" s="1">
        <v>41698</v>
      </c>
      <c r="IX1200">
        <v>21</v>
      </c>
      <c r="IY1200">
        <v>105</v>
      </c>
      <c r="IZ1200" t="s">
        <v>946</v>
      </c>
      <c r="JB1200" s="1">
        <v>40688</v>
      </c>
      <c r="JC1200">
        <v>2010</v>
      </c>
      <c r="JD1200">
        <v>844.46</v>
      </c>
      <c r="JE1200" t="s">
        <v>12255</v>
      </c>
      <c r="JF1200">
        <v>6.5</v>
      </c>
      <c r="JG1200" t="s">
        <v>424</v>
      </c>
      <c r="JH1200" t="s">
        <v>425</v>
      </c>
      <c r="JI1200" s="1">
        <v>41152</v>
      </c>
      <c r="JJ1200">
        <v>15</v>
      </c>
      <c r="JK1200">
        <v>62</v>
      </c>
      <c r="JL1200" t="s">
        <v>463</v>
      </c>
    </row>
    <row r="1201" spans="1:260" x14ac:dyDescent="0.25">
      <c r="A1201">
        <v>16486208</v>
      </c>
      <c r="B1201">
        <v>1200</v>
      </c>
      <c r="C1201" t="s">
        <v>393</v>
      </c>
      <c r="D1201" t="s">
        <v>394</v>
      </c>
      <c r="F1201" t="str">
        <f>"36-2N-27-525P-0002-0050"</f>
        <v>36-2N-27-525P-0002-0050</v>
      </c>
      <c r="H1201" t="str">
        <f>"MCKINNEY JAMES A"</f>
        <v>MCKINNEY JAMES A</v>
      </c>
      <c r="I1201" t="str">
        <f>"85363 LINDA HALL ROAD"</f>
        <v>85363 LINDA HALL ROAD</v>
      </c>
      <c r="J1201" t="str">
        <f>"FERNANDINA BEACH FL 32034"</f>
        <v>FERNANDINA BEACH FL 32034</v>
      </c>
      <c r="K1201" t="str">
        <f>"85363 LINDA HALL RD"</f>
        <v>85363 LINDA HALL RD</v>
      </c>
      <c r="L1201" t="str">
        <f t="shared" si="405"/>
        <v>FERNANDINA BEACH FL 32034</v>
      </c>
      <c r="M1201" t="str">
        <f>"BLOCK 2 LOT 5 IN OR 1964/1345 R673783 &amp; R673784 HOLLY POINT NORTH 2 PB 4/80"</f>
        <v>BLOCK 2 LOT 5 IN OR 1964/1345 R673783 &amp; R673784 HOLLY POINT NORTH 2 PB 4/80</v>
      </c>
      <c r="N1201" t="str">
        <f>""</f>
        <v/>
      </c>
      <c r="O1201" t="str">
        <f>"42098"</f>
        <v>42098</v>
      </c>
      <c r="P1201" t="str">
        <f t="shared" si="382"/>
        <v>2017</v>
      </c>
      <c r="Q1201" t="str">
        <f>""</f>
        <v/>
      </c>
      <c r="R1201" t="str">
        <f>"Y"</f>
        <v>Y</v>
      </c>
      <c r="S1201" t="str">
        <f>""</f>
        <v/>
      </c>
      <c r="T1201" t="str">
        <f>"435.53"</f>
        <v>435.53</v>
      </c>
      <c r="U1201" t="str">
        <f>"58647.00"</f>
        <v>58647.00</v>
      </c>
      <c r="V1201" t="str">
        <f>"58647.00"</f>
        <v>58647.00</v>
      </c>
      <c r="W1201" t="str">
        <f t="shared" si="383"/>
        <v>2017</v>
      </c>
      <c r="X1201" t="str">
        <f>"16.00"</f>
        <v>16.00</v>
      </c>
      <c r="Y1201" t="str">
        <f>"480.60"</f>
        <v>480.60</v>
      </c>
      <c r="Z1201" t="str">
        <f>"25000.00"</f>
        <v>25000.00</v>
      </c>
      <c r="AA1201" t="str">
        <f>"33647.00"</f>
        <v>33647.00</v>
      </c>
      <c r="AB1201" t="str">
        <f t="shared" si="404"/>
        <v>Residential</v>
      </c>
      <c r="AC1201" t="str">
        <f t="shared" si="399"/>
        <v>0</v>
      </c>
      <c r="AD1201" t="str">
        <f t="shared" si="409"/>
        <v>4</v>
      </c>
      <c r="AE1201" t="str">
        <f t="shared" si="410"/>
        <v>WOOD (INCLUDE STEEL STUDS)</v>
      </c>
      <c r="AF1201" t="str">
        <f t="shared" si="411"/>
        <v>002</v>
      </c>
      <c r="AG1201" t="str">
        <f t="shared" si="406"/>
        <v>FL</v>
      </c>
      <c r="AH1201" t="str">
        <f t="shared" si="407"/>
        <v>-</v>
      </c>
      <c r="AI1201" t="str">
        <f t="shared" si="412"/>
        <v>25000.00</v>
      </c>
      <c r="AJ1201" t="str">
        <f>"C55-000-587-8116-2"</f>
        <v>C55-000-587-8116-2</v>
      </c>
      <c r="AK1201" t="str">
        <f>"20133"</f>
        <v>20133</v>
      </c>
      <c r="AL1201">
        <v>5</v>
      </c>
      <c r="AM1201">
        <v>1369</v>
      </c>
      <c r="AN1201">
        <v>503.03</v>
      </c>
      <c r="AQ1201" t="s">
        <v>12256</v>
      </c>
      <c r="AR1201" t="s">
        <v>12256</v>
      </c>
      <c r="AS1201" t="s">
        <v>12256</v>
      </c>
      <c r="AU1201" t="s">
        <v>396</v>
      </c>
      <c r="AV1201">
        <v>2017</v>
      </c>
      <c r="AW1201" t="str">
        <f>"36-2N-27-525P-0002-0050 "</f>
        <v xml:space="preserve">36-2N-27-525P-0002-0050 </v>
      </c>
      <c r="AX1201">
        <v>85363</v>
      </c>
      <c r="AZ1201" t="s">
        <v>12197</v>
      </c>
      <c r="BA1201" t="s">
        <v>496</v>
      </c>
      <c r="BD1201" t="s">
        <v>11749</v>
      </c>
      <c r="BE1201" t="s">
        <v>393</v>
      </c>
      <c r="BF1201">
        <v>32034</v>
      </c>
      <c r="BG1201" t="s">
        <v>12257</v>
      </c>
      <c r="BH1201" t="s">
        <v>11751</v>
      </c>
      <c r="BI1201">
        <v>-81.548045211937506</v>
      </c>
      <c r="BJ1201">
        <v>30.556046541186401</v>
      </c>
      <c r="BK1201" t="s">
        <v>12258</v>
      </c>
      <c r="BM1201" t="s">
        <v>12257</v>
      </c>
      <c r="BN1201" t="s">
        <v>3983</v>
      </c>
      <c r="BO1201">
        <v>32034</v>
      </c>
      <c r="BP1201" t="s">
        <v>416</v>
      </c>
      <c r="BQ1201">
        <v>200</v>
      </c>
      <c r="BR1201" t="s">
        <v>405</v>
      </c>
      <c r="BS1201">
        <v>1006</v>
      </c>
      <c r="BT1201" t="s">
        <v>406</v>
      </c>
      <c r="BW1201">
        <v>46695</v>
      </c>
      <c r="BX1201" t="s">
        <v>407</v>
      </c>
      <c r="BY1201" t="s">
        <v>408</v>
      </c>
      <c r="BZ1201">
        <v>4</v>
      </c>
      <c r="CA1201">
        <v>1998</v>
      </c>
      <c r="CB1201">
        <v>1</v>
      </c>
      <c r="CC1201">
        <v>1</v>
      </c>
      <c r="CD1201">
        <v>2017</v>
      </c>
      <c r="CG1201">
        <v>58647</v>
      </c>
      <c r="CH1201">
        <v>2017</v>
      </c>
      <c r="CI1201">
        <v>25000</v>
      </c>
      <c r="CJ1201">
        <v>45285</v>
      </c>
      <c r="CK1201">
        <v>70285</v>
      </c>
      <c r="CL1201">
        <v>2017</v>
      </c>
      <c r="CM1201">
        <v>435.53</v>
      </c>
      <c r="CN1201" s="1">
        <v>41297</v>
      </c>
      <c r="CZ1201" s="1">
        <v>41297</v>
      </c>
      <c r="DD1201" t="s">
        <v>11749</v>
      </c>
      <c r="DF1201">
        <v>5</v>
      </c>
      <c r="DG1201">
        <v>36</v>
      </c>
      <c r="DL1201">
        <v>50303</v>
      </c>
      <c r="DM1201" t="s">
        <v>12176</v>
      </c>
      <c r="DO1201" t="s">
        <v>12259</v>
      </c>
      <c r="DP1201">
        <v>0</v>
      </c>
      <c r="DQ1201">
        <v>0</v>
      </c>
      <c r="DR1201" t="s">
        <v>411</v>
      </c>
      <c r="DS1201" t="b">
        <v>1</v>
      </c>
      <c r="DT1201" t="s">
        <v>470</v>
      </c>
      <c r="DU1201" t="s">
        <v>10249</v>
      </c>
      <c r="DV1201" t="s">
        <v>472</v>
      </c>
      <c r="DX1201">
        <v>-9999</v>
      </c>
      <c r="DZ1201" t="s">
        <v>447</v>
      </c>
      <c r="EA1201" t="s">
        <v>448</v>
      </c>
      <c r="EB1201" t="s">
        <v>12096</v>
      </c>
      <c r="EC1201">
        <v>20101217</v>
      </c>
      <c r="ED1201" t="s">
        <v>10251</v>
      </c>
      <c r="EE1201">
        <v>7.5</v>
      </c>
      <c r="EF1201">
        <v>222.8</v>
      </c>
      <c r="EG1201">
        <v>0</v>
      </c>
      <c r="EI1201">
        <v>20160407</v>
      </c>
      <c r="EJ1201">
        <v>0</v>
      </c>
      <c r="EK1201">
        <v>0</v>
      </c>
      <c r="EP1201" t="s">
        <v>421</v>
      </c>
      <c r="EQ1201" t="s">
        <v>422</v>
      </c>
      <c r="ER1201">
        <v>2</v>
      </c>
      <c r="ES1201">
        <v>7</v>
      </c>
      <c r="ET1201">
        <v>993.46</v>
      </c>
      <c r="EU1201">
        <v>62.17</v>
      </c>
      <c r="EV1201">
        <v>1055.6300000000001</v>
      </c>
      <c r="EW1201" s="2">
        <v>43222</v>
      </c>
      <c r="EX1201" s="1">
        <v>42879</v>
      </c>
      <c r="EY1201">
        <v>2016</v>
      </c>
      <c r="EZ1201">
        <v>496.73</v>
      </c>
      <c r="FA1201" t="s">
        <v>12260</v>
      </c>
      <c r="FB1201">
        <v>0.25</v>
      </c>
      <c r="FC1201" t="s">
        <v>424</v>
      </c>
      <c r="FD1201" t="s">
        <v>454</v>
      </c>
      <c r="FF1201">
        <v>12</v>
      </c>
      <c r="FG1201">
        <v>2851116</v>
      </c>
      <c r="FH1201" t="s">
        <v>480</v>
      </c>
      <c r="FJ1201" s="1">
        <v>42879</v>
      </c>
      <c r="FK1201">
        <v>2016</v>
      </c>
      <c r="FL1201">
        <v>496.73</v>
      </c>
      <c r="FM1201" t="s">
        <v>12260</v>
      </c>
      <c r="FN1201">
        <v>0.25</v>
      </c>
      <c r="FO1201" t="s">
        <v>424</v>
      </c>
      <c r="FP1201" t="s">
        <v>454</v>
      </c>
      <c r="FR1201">
        <v>12</v>
      </c>
      <c r="FS1201">
        <v>5258552</v>
      </c>
      <c r="FT1201" t="s">
        <v>12261</v>
      </c>
      <c r="FV1201" s="1">
        <v>42515</v>
      </c>
      <c r="FW1201">
        <v>2015</v>
      </c>
      <c r="FX1201">
        <v>501.62</v>
      </c>
      <c r="FY1201" t="s">
        <v>12262</v>
      </c>
      <c r="FZ1201">
        <v>0.25</v>
      </c>
      <c r="GA1201" t="s">
        <v>424</v>
      </c>
      <c r="GB1201" t="s">
        <v>425</v>
      </c>
      <c r="GC1201" s="1">
        <v>42853</v>
      </c>
      <c r="GD1201">
        <v>11</v>
      </c>
      <c r="GE1201">
        <v>11289</v>
      </c>
      <c r="GF1201" t="s">
        <v>787</v>
      </c>
      <c r="GH1201" s="1">
        <v>42515</v>
      </c>
      <c r="GI1201">
        <v>2015</v>
      </c>
      <c r="GJ1201">
        <v>501.62</v>
      </c>
      <c r="GK1201" t="s">
        <v>12262</v>
      </c>
      <c r="GL1201">
        <v>0.25</v>
      </c>
      <c r="GM1201" t="s">
        <v>424</v>
      </c>
      <c r="GN1201" t="s">
        <v>425</v>
      </c>
      <c r="GP1201">
        <v>22</v>
      </c>
      <c r="GQ1201">
        <v>5219946</v>
      </c>
      <c r="GR1201" t="s">
        <v>12263</v>
      </c>
      <c r="GT1201" s="1">
        <v>42151</v>
      </c>
      <c r="GU1201">
        <v>2014</v>
      </c>
      <c r="GV1201">
        <v>552.80999999999995</v>
      </c>
      <c r="GW1201" t="s">
        <v>12264</v>
      </c>
      <c r="GX1201">
        <v>0.25</v>
      </c>
      <c r="GY1201" t="s">
        <v>424</v>
      </c>
      <c r="GZ1201" t="s">
        <v>425</v>
      </c>
      <c r="HA1201" s="1">
        <v>42491</v>
      </c>
      <c r="HB1201">
        <v>12</v>
      </c>
      <c r="HC1201">
        <v>4975594</v>
      </c>
      <c r="HD1201" t="s">
        <v>457</v>
      </c>
      <c r="HF1201" s="1">
        <v>42151</v>
      </c>
      <c r="HG1201">
        <v>2014</v>
      </c>
      <c r="HH1201">
        <v>552.80999999999995</v>
      </c>
      <c r="HI1201" t="s">
        <v>12264</v>
      </c>
      <c r="HJ1201">
        <v>0.25</v>
      </c>
      <c r="HK1201" t="s">
        <v>424</v>
      </c>
      <c r="HL1201" t="s">
        <v>425</v>
      </c>
      <c r="HN1201">
        <v>22</v>
      </c>
      <c r="HO1201">
        <v>6616051</v>
      </c>
      <c r="HP1201" t="s">
        <v>12265</v>
      </c>
      <c r="HR1201" s="1">
        <v>41423</v>
      </c>
      <c r="HS1201">
        <v>2012</v>
      </c>
      <c r="HT1201">
        <v>597.20000000000005</v>
      </c>
      <c r="HU1201" t="s">
        <v>12266</v>
      </c>
      <c r="HV1201">
        <v>0.25</v>
      </c>
      <c r="HW1201" t="s">
        <v>424</v>
      </c>
      <c r="HX1201" t="s">
        <v>425</v>
      </c>
      <c r="HY1201" s="1">
        <v>41470</v>
      </c>
      <c r="HZ1201">
        <v>2</v>
      </c>
      <c r="IA1201">
        <v>15399</v>
      </c>
      <c r="IB1201" t="s">
        <v>485</v>
      </c>
      <c r="ID1201" s="1">
        <v>41052</v>
      </c>
      <c r="IE1201">
        <v>2011</v>
      </c>
      <c r="IF1201">
        <v>576.08000000000004</v>
      </c>
      <c r="IG1201" t="s">
        <v>12267</v>
      </c>
      <c r="IH1201">
        <v>6</v>
      </c>
      <c r="II1201" t="s">
        <v>424</v>
      </c>
      <c r="IJ1201" t="s">
        <v>425</v>
      </c>
      <c r="IK1201" s="1">
        <v>41470</v>
      </c>
      <c r="IL1201">
        <v>14</v>
      </c>
      <c r="IM1201">
        <v>375</v>
      </c>
      <c r="IN1201" t="s">
        <v>776</v>
      </c>
      <c r="IP1201" s="1">
        <v>40688</v>
      </c>
      <c r="IQ1201">
        <v>2010</v>
      </c>
      <c r="IR1201">
        <v>628.32000000000005</v>
      </c>
      <c r="IS1201" t="s">
        <v>12268</v>
      </c>
      <c r="IT1201">
        <v>6.5</v>
      </c>
      <c r="IU1201" t="s">
        <v>424</v>
      </c>
      <c r="IV1201" t="s">
        <v>425</v>
      </c>
      <c r="IW1201" s="1">
        <v>41330</v>
      </c>
      <c r="IX1201">
        <v>21</v>
      </c>
      <c r="IY1201">
        <v>62</v>
      </c>
      <c r="IZ1201" t="s">
        <v>463</v>
      </c>
    </row>
    <row r="1202" spans="1:260" x14ac:dyDescent="0.25">
      <c r="A1202">
        <v>16486209</v>
      </c>
      <c r="B1202">
        <v>1201</v>
      </c>
      <c r="C1202" t="s">
        <v>393</v>
      </c>
      <c r="D1202" t="s">
        <v>394</v>
      </c>
      <c r="F1202" t="str">
        <f>"36-2N-27-525P-0004-0020"</f>
        <v>36-2N-27-525P-0004-0020</v>
      </c>
      <c r="H1202" t="str">
        <f>"WAY ELIPHUS JEROME"</f>
        <v>WAY ELIPHUS JEROME</v>
      </c>
      <c r="I1202" t="str">
        <f>"85182 LONNIE CREWS RD"</f>
        <v>85182 LONNIE CREWS RD</v>
      </c>
      <c r="J1202" t="str">
        <f>"FERNANDINA BEACH FL 32034"</f>
        <v>FERNANDINA BEACH FL 32034</v>
      </c>
      <c r="K1202" t="str">
        <f>"85182 LONNIE CREWS RD"</f>
        <v>85182 LONNIE CREWS RD</v>
      </c>
      <c r="L1202" t="str">
        <f t="shared" si="405"/>
        <v>FERNANDINA BEACH FL 32034</v>
      </c>
      <c r="M1202" t="str">
        <f>"BLOCK 4 LOT 2 IN OR 804 PG 368 R672483 &amp; R672484 HOLLY POINT NORTH 2 PB 4/80"</f>
        <v>BLOCK 4 LOT 2 IN OR 804 PG 368 R672483 &amp; R672484 HOLLY POINT NORTH 2 PB 4/80</v>
      </c>
      <c r="N1202" t="str">
        <f>""</f>
        <v/>
      </c>
      <c r="O1202" t="str">
        <f>"42113"</f>
        <v>42113</v>
      </c>
      <c r="P1202" t="str">
        <f t="shared" si="382"/>
        <v>2017</v>
      </c>
      <c r="Q1202" t="str">
        <f>""</f>
        <v/>
      </c>
      <c r="R1202" t="str">
        <f>"N"</f>
        <v>N</v>
      </c>
      <c r="S1202" t="str">
        <f>""</f>
        <v/>
      </c>
      <c r="T1202" t="str">
        <f>"967.97"</f>
        <v>967.97</v>
      </c>
      <c r="U1202" t="str">
        <f>"59686.00"</f>
        <v>59686.00</v>
      </c>
      <c r="V1202" t="str">
        <f>"59686.00"</f>
        <v>59686.00</v>
      </c>
      <c r="W1202" t="str">
        <f t="shared" si="383"/>
        <v>2017</v>
      </c>
      <c r="X1202" t="str">
        <f>"31.10"</f>
        <v>31.10</v>
      </c>
      <c r="Y1202" t="str">
        <f>"1029.01"</f>
        <v>1029.01</v>
      </c>
      <c r="Z1202" t="str">
        <f>""</f>
        <v/>
      </c>
      <c r="AA1202" t="str">
        <f>"69446.00"</f>
        <v>69446.00</v>
      </c>
      <c r="AB1202" t="str">
        <f t="shared" si="404"/>
        <v>Residential</v>
      </c>
      <c r="AC1202" t="str">
        <f t="shared" si="399"/>
        <v>0</v>
      </c>
      <c r="AD1202" t="str">
        <f t="shared" si="409"/>
        <v>4</v>
      </c>
      <c r="AE1202" t="str">
        <f t="shared" si="410"/>
        <v>WOOD (INCLUDE STEEL STUDS)</v>
      </c>
      <c r="AF1202" t="str">
        <f t="shared" si="411"/>
        <v>002</v>
      </c>
      <c r="AG1202" t="str">
        <f t="shared" si="406"/>
        <v>FL</v>
      </c>
      <c r="AH1202" t="str">
        <f t="shared" si="407"/>
        <v>-</v>
      </c>
      <c r="AI1202" t="str">
        <f t="shared" si="412"/>
        <v>25000.00</v>
      </c>
      <c r="AJ1202" t="str">
        <f>"C55-000-587-8131-1"</f>
        <v>C55-000-587-8131-1</v>
      </c>
      <c r="AK1202" t="str">
        <f>"20148"</f>
        <v>20148</v>
      </c>
      <c r="AL1202">
        <v>5</v>
      </c>
      <c r="AM1202">
        <v>1370</v>
      </c>
      <c r="AN1202">
        <v>1078.8599999999999</v>
      </c>
      <c r="AQ1202" t="s">
        <v>12269</v>
      </c>
      <c r="AR1202" t="s">
        <v>12269</v>
      </c>
      <c r="AS1202" t="s">
        <v>12269</v>
      </c>
      <c r="AU1202" t="s">
        <v>396</v>
      </c>
      <c r="AV1202">
        <v>2017</v>
      </c>
      <c r="AW1202" t="str">
        <f>"36-2N-27-525P-0004-0020 "</f>
        <v xml:space="preserve">36-2N-27-525P-0004-0020 </v>
      </c>
      <c r="AX1202">
        <v>85182</v>
      </c>
      <c r="AZ1202" t="s">
        <v>12270</v>
      </c>
      <c r="BA1202" t="s">
        <v>496</v>
      </c>
      <c r="BD1202" t="s">
        <v>11749</v>
      </c>
      <c r="BE1202" t="s">
        <v>393</v>
      </c>
      <c r="BF1202">
        <v>32034</v>
      </c>
      <c r="BG1202" t="s">
        <v>12271</v>
      </c>
      <c r="BH1202" t="s">
        <v>11751</v>
      </c>
      <c r="BI1202">
        <v>-81.546473356014104</v>
      </c>
      <c r="BJ1202">
        <v>30.559294756193701</v>
      </c>
      <c r="BK1202" t="s">
        <v>12272</v>
      </c>
      <c r="BM1202" t="s">
        <v>12271</v>
      </c>
      <c r="BN1202" t="s">
        <v>3983</v>
      </c>
      <c r="BO1202">
        <v>32034</v>
      </c>
      <c r="BP1202" t="s">
        <v>416</v>
      </c>
      <c r="BQ1202">
        <v>200</v>
      </c>
      <c r="BR1202" t="s">
        <v>405</v>
      </c>
      <c r="BS1202">
        <v>1006</v>
      </c>
      <c r="BT1202" t="s">
        <v>406</v>
      </c>
      <c r="BW1202">
        <v>44964</v>
      </c>
      <c r="BX1202" t="s">
        <v>407</v>
      </c>
      <c r="BY1202" t="s">
        <v>408</v>
      </c>
      <c r="BZ1202">
        <v>4</v>
      </c>
      <c r="CA1202">
        <v>1997</v>
      </c>
      <c r="CB1202">
        <v>1</v>
      </c>
      <c r="CC1202">
        <v>1</v>
      </c>
      <c r="CD1202">
        <v>2017</v>
      </c>
      <c r="CE1202">
        <v>25000</v>
      </c>
      <c r="CF1202">
        <v>44446</v>
      </c>
      <c r="CG1202">
        <v>69446</v>
      </c>
      <c r="CH1202">
        <v>2017</v>
      </c>
      <c r="CI1202">
        <v>25000</v>
      </c>
      <c r="CJ1202">
        <v>44446</v>
      </c>
      <c r="CK1202">
        <v>69446</v>
      </c>
      <c r="CL1202">
        <v>2017</v>
      </c>
      <c r="CM1202">
        <v>967.97</v>
      </c>
      <c r="CN1202" s="1">
        <v>35664</v>
      </c>
      <c r="CO1202">
        <v>28000</v>
      </c>
      <c r="CZ1202" s="1">
        <v>35664</v>
      </c>
      <c r="DD1202" t="s">
        <v>11749</v>
      </c>
      <c r="DF1202">
        <v>2</v>
      </c>
      <c r="DG1202">
        <v>36</v>
      </c>
      <c r="DL1202">
        <v>50303</v>
      </c>
      <c r="DM1202" t="s">
        <v>12176</v>
      </c>
      <c r="DO1202" t="s">
        <v>12273</v>
      </c>
      <c r="DP1202">
        <v>0</v>
      </c>
      <c r="DQ1202">
        <v>0</v>
      </c>
      <c r="DR1202" t="s">
        <v>411</v>
      </c>
      <c r="DS1202" t="b">
        <v>1</v>
      </c>
      <c r="DT1202" t="s">
        <v>470</v>
      </c>
      <c r="DU1202" t="s">
        <v>471</v>
      </c>
      <c r="DV1202" t="s">
        <v>472</v>
      </c>
      <c r="DX1202">
        <v>-9999</v>
      </c>
      <c r="DZ1202" t="s">
        <v>447</v>
      </c>
      <c r="EA1202" t="s">
        <v>448</v>
      </c>
      <c r="EB1202" t="s">
        <v>742</v>
      </c>
      <c r="EC1202">
        <v>20101217</v>
      </c>
      <c r="ED1202" t="s">
        <v>474</v>
      </c>
      <c r="EF1202">
        <v>708.3</v>
      </c>
      <c r="EG1202">
        <v>282.3</v>
      </c>
      <c r="EI1202">
        <v>20160407</v>
      </c>
      <c r="EJ1202">
        <v>0</v>
      </c>
      <c r="EK1202">
        <v>0</v>
      </c>
      <c r="EP1202" t="s">
        <v>421</v>
      </c>
      <c r="EQ1202" t="s">
        <v>452</v>
      </c>
      <c r="ER1202">
        <v>0</v>
      </c>
      <c r="ES1202">
        <v>7</v>
      </c>
      <c r="ET1202">
        <v>0</v>
      </c>
      <c r="EU1202">
        <v>0</v>
      </c>
      <c r="EV1202">
        <v>0</v>
      </c>
      <c r="EW1202" s="2">
        <v>43222</v>
      </c>
      <c r="EX1202" s="1">
        <v>42879</v>
      </c>
      <c r="EY1202">
        <v>2016</v>
      </c>
      <c r="EZ1202">
        <v>927.83</v>
      </c>
      <c r="FA1202" t="s">
        <v>12274</v>
      </c>
      <c r="FB1202">
        <v>4.75</v>
      </c>
      <c r="FC1202" t="s">
        <v>424</v>
      </c>
      <c r="FD1202" t="s">
        <v>425</v>
      </c>
      <c r="FE1202" s="1">
        <v>42946</v>
      </c>
      <c r="FF1202">
        <v>2</v>
      </c>
      <c r="FG1202">
        <v>2035919</v>
      </c>
      <c r="FH1202" t="s">
        <v>507</v>
      </c>
      <c r="FI1202" t="s">
        <v>458</v>
      </c>
      <c r="FJ1202" s="1">
        <v>42515</v>
      </c>
      <c r="FK1202">
        <v>2015</v>
      </c>
      <c r="FL1202">
        <v>970.27</v>
      </c>
      <c r="FM1202" t="s">
        <v>12275</v>
      </c>
      <c r="FN1202">
        <v>14.75</v>
      </c>
      <c r="FO1202" t="s">
        <v>424</v>
      </c>
      <c r="FP1202" t="s">
        <v>425</v>
      </c>
      <c r="FQ1202" s="1">
        <v>42946</v>
      </c>
      <c r="FR1202">
        <v>14</v>
      </c>
      <c r="FS1202">
        <v>2035919</v>
      </c>
      <c r="FT1202" t="s">
        <v>507</v>
      </c>
      <c r="FU1202" t="s">
        <v>458</v>
      </c>
      <c r="FV1202" s="1">
        <v>42151</v>
      </c>
      <c r="FW1202">
        <v>2014</v>
      </c>
      <c r="FX1202">
        <v>1047.92</v>
      </c>
      <c r="FY1202" t="s">
        <v>12276</v>
      </c>
      <c r="FZ1202">
        <v>0.25</v>
      </c>
      <c r="GA1202" t="s">
        <v>424</v>
      </c>
      <c r="GB1202" t="s">
        <v>425</v>
      </c>
      <c r="GD1202">
        <v>22</v>
      </c>
      <c r="GE1202">
        <v>2851116</v>
      </c>
      <c r="GF1202" t="s">
        <v>480</v>
      </c>
      <c r="GG1202" t="s">
        <v>458</v>
      </c>
      <c r="GH1202" s="1">
        <v>42151</v>
      </c>
      <c r="GI1202">
        <v>2014</v>
      </c>
      <c r="GJ1202">
        <v>1047.92</v>
      </c>
      <c r="GK1202" t="s">
        <v>12276</v>
      </c>
      <c r="GL1202">
        <v>0.25</v>
      </c>
      <c r="GM1202" t="s">
        <v>424</v>
      </c>
      <c r="GN1202" t="s">
        <v>425</v>
      </c>
      <c r="GP1202">
        <v>22</v>
      </c>
      <c r="GQ1202">
        <v>5350888</v>
      </c>
      <c r="GR1202" t="s">
        <v>12277</v>
      </c>
      <c r="GS1202" t="s">
        <v>458</v>
      </c>
      <c r="GT1202" s="1">
        <v>41423</v>
      </c>
      <c r="GU1202">
        <v>2012</v>
      </c>
      <c r="GV1202">
        <v>1157.58</v>
      </c>
      <c r="GW1202" t="s">
        <v>12278</v>
      </c>
      <c r="GX1202">
        <v>0.25</v>
      </c>
      <c r="GY1202" t="s">
        <v>424</v>
      </c>
      <c r="GZ1202" t="s">
        <v>425</v>
      </c>
      <c r="HA1202" s="1">
        <v>41786</v>
      </c>
      <c r="HB1202">
        <v>12</v>
      </c>
      <c r="HC1202">
        <v>606981</v>
      </c>
      <c r="HD1202" t="s">
        <v>792</v>
      </c>
      <c r="HE1202" t="s">
        <v>458</v>
      </c>
      <c r="HF1202" s="1">
        <v>41052</v>
      </c>
      <c r="HG1202">
        <v>2011</v>
      </c>
      <c r="HH1202">
        <v>1126.6400000000001</v>
      </c>
      <c r="HI1202" t="s">
        <v>12279</v>
      </c>
      <c r="HJ1202">
        <v>18</v>
      </c>
      <c r="HK1202" t="s">
        <v>424</v>
      </c>
      <c r="HL1202" t="s">
        <v>425</v>
      </c>
      <c r="HN1202">
        <v>22</v>
      </c>
      <c r="HO1202">
        <v>13042</v>
      </c>
      <c r="HP1202" t="s">
        <v>5881</v>
      </c>
      <c r="HQ1202" t="s">
        <v>458</v>
      </c>
      <c r="HR1202" s="1">
        <v>40688</v>
      </c>
      <c r="HS1202">
        <v>2010</v>
      </c>
      <c r="HT1202">
        <v>1309.02</v>
      </c>
      <c r="HU1202" t="s">
        <v>12280</v>
      </c>
      <c r="HV1202">
        <v>6.5</v>
      </c>
      <c r="HW1202" t="s">
        <v>424</v>
      </c>
      <c r="HX1202" t="s">
        <v>425</v>
      </c>
      <c r="HY1202" s="1">
        <v>41382</v>
      </c>
      <c r="HZ1202">
        <v>23</v>
      </c>
      <c r="IA1202">
        <v>62</v>
      </c>
      <c r="IB1202" t="s">
        <v>463</v>
      </c>
    </row>
    <row r="1203" spans="1:260" x14ac:dyDescent="0.25">
      <c r="A1203">
        <v>16486210</v>
      </c>
      <c r="B1203">
        <v>1202</v>
      </c>
      <c r="C1203" t="s">
        <v>393</v>
      </c>
      <c r="D1203" t="s">
        <v>394</v>
      </c>
      <c r="F1203" t="str">
        <f>"36-2N-27-525Q-0002-0050"</f>
        <v>36-2N-27-525Q-0002-0050</v>
      </c>
      <c r="H1203" t="str">
        <f>"NIX CLAUDE EDWARD"</f>
        <v>NIX CLAUDE EDWARD</v>
      </c>
      <c r="I1203" t="str">
        <f>"85355 LONNIE CREWS ROAD"</f>
        <v>85355 LONNIE CREWS ROAD</v>
      </c>
      <c r="J1203" t="str">
        <f>"FERNANDINA BEACH FL 32034"</f>
        <v>FERNANDINA BEACH FL 32034</v>
      </c>
      <c r="K1203" t="str">
        <f>"85355 LONNIE CREWS RD"</f>
        <v>85355 LONNIE CREWS RD</v>
      </c>
      <c r="L1203" t="str">
        <f t="shared" si="405"/>
        <v>FERNANDINA BEACH FL 32034</v>
      </c>
      <c r="M1203" t="str">
        <f>"BLOCK 2 LOT 5 R497460 IN OR 2142/1199 HOLLY POINT NORTH 3 PB 5/24"</f>
        <v>BLOCK 2 LOT 5 R497460 IN OR 2142/1199 HOLLY POINT NORTH 3 PB 5/24</v>
      </c>
      <c r="N1203" t="str">
        <f>""</f>
        <v/>
      </c>
      <c r="O1203" t="str">
        <f>"42137"</f>
        <v>42137</v>
      </c>
      <c r="P1203" t="str">
        <f t="shared" si="382"/>
        <v>2017</v>
      </c>
      <c r="Q1203" t="str">
        <f>""</f>
        <v/>
      </c>
      <c r="R1203" t="str">
        <f>"Y"</f>
        <v>Y</v>
      </c>
      <c r="S1203" t="str">
        <f>""</f>
        <v/>
      </c>
      <c r="T1203" t="str">
        <f>"239.09"</f>
        <v>239.09</v>
      </c>
      <c r="U1203" t="str">
        <f>"29439.00"</f>
        <v>29439.00</v>
      </c>
      <c r="V1203" t="str">
        <f>"29439.00"</f>
        <v>29439.00</v>
      </c>
      <c r="W1203" t="str">
        <f t="shared" si="383"/>
        <v>2017</v>
      </c>
      <c r="X1203" t="str">
        <f>"9.00"</f>
        <v>9.00</v>
      </c>
      <c r="Y1203" t="str">
        <f>"278.26"</f>
        <v>278.26</v>
      </c>
      <c r="Z1203" t="str">
        <f>"14127.00"</f>
        <v>14127.00</v>
      </c>
      <c r="AA1203" t="str">
        <f>"16417.00"</f>
        <v>16417.00</v>
      </c>
      <c r="AB1203" t="str">
        <f t="shared" si="404"/>
        <v>Residential</v>
      </c>
      <c r="AC1203" t="str">
        <f t="shared" si="399"/>
        <v>0</v>
      </c>
      <c r="AD1203" t="str">
        <f t="shared" si="409"/>
        <v>4</v>
      </c>
      <c r="AE1203" t="str">
        <f t="shared" si="410"/>
        <v>WOOD (INCLUDE STEEL STUDS)</v>
      </c>
      <c r="AF1203" t="str">
        <f t="shared" si="411"/>
        <v>002</v>
      </c>
      <c r="AG1203" t="str">
        <f t="shared" si="406"/>
        <v>FL</v>
      </c>
      <c r="AH1203" t="str">
        <f>"43650.00"</f>
        <v>43650.00</v>
      </c>
      <c r="AI1203" t="str">
        <f t="shared" si="412"/>
        <v>25000.00</v>
      </c>
      <c r="AJ1203" t="str">
        <f>"C55-000-587-8153-5"</f>
        <v>C55-000-587-8153-5</v>
      </c>
      <c r="AK1203" t="str">
        <f>"20171"</f>
        <v>20171</v>
      </c>
      <c r="AL1203">
        <v>5</v>
      </c>
      <c r="AM1203">
        <v>1371</v>
      </c>
      <c r="AN1203">
        <v>290.57</v>
      </c>
      <c r="AQ1203" t="s">
        <v>12281</v>
      </c>
      <c r="AR1203" t="s">
        <v>12281</v>
      </c>
      <c r="AS1203" t="s">
        <v>12281</v>
      </c>
      <c r="AU1203" t="s">
        <v>396</v>
      </c>
      <c r="AV1203">
        <v>2017</v>
      </c>
      <c r="AW1203" t="str">
        <f>"36-2N-27-525Q-0002-0050 "</f>
        <v xml:space="preserve">36-2N-27-525Q-0002-0050 </v>
      </c>
      <c r="AX1203">
        <v>85355</v>
      </c>
      <c r="AZ1203" t="s">
        <v>12270</v>
      </c>
      <c r="BA1203" t="s">
        <v>496</v>
      </c>
      <c r="BD1203" t="s">
        <v>11749</v>
      </c>
      <c r="BE1203" t="s">
        <v>393</v>
      </c>
      <c r="BF1203">
        <v>32034</v>
      </c>
      <c r="BG1203" t="s">
        <v>12282</v>
      </c>
      <c r="BH1203" t="s">
        <v>11751</v>
      </c>
      <c r="BI1203">
        <v>-81.546177694127707</v>
      </c>
      <c r="BJ1203">
        <v>30.5631970883043</v>
      </c>
      <c r="BK1203" t="s">
        <v>12283</v>
      </c>
      <c r="BL1203" t="s">
        <v>12284</v>
      </c>
      <c r="BM1203" t="s">
        <v>12282</v>
      </c>
      <c r="BN1203" t="s">
        <v>3983</v>
      </c>
      <c r="BO1203">
        <v>32034</v>
      </c>
      <c r="BP1203" t="s">
        <v>416</v>
      </c>
      <c r="BQ1203">
        <v>200</v>
      </c>
      <c r="BR1203" t="s">
        <v>405</v>
      </c>
      <c r="BS1203">
        <v>1006</v>
      </c>
      <c r="BT1203" t="s">
        <v>406</v>
      </c>
      <c r="BW1203">
        <v>44230</v>
      </c>
      <c r="BX1203" t="s">
        <v>407</v>
      </c>
      <c r="BY1203" t="s">
        <v>408</v>
      </c>
      <c r="BZ1203">
        <v>4</v>
      </c>
      <c r="CA1203">
        <v>1981</v>
      </c>
      <c r="CB1203">
        <v>1</v>
      </c>
      <c r="CC1203">
        <v>1</v>
      </c>
      <c r="CD1203">
        <v>2017</v>
      </c>
      <c r="CG1203">
        <v>30544</v>
      </c>
      <c r="CH1203">
        <v>2017</v>
      </c>
      <c r="CI1203">
        <v>25000</v>
      </c>
      <c r="CJ1203">
        <v>7837</v>
      </c>
      <c r="CK1203">
        <v>32837</v>
      </c>
      <c r="CL1203">
        <v>2017</v>
      </c>
      <c r="CM1203">
        <v>239.09</v>
      </c>
      <c r="CN1203" s="1">
        <v>41698</v>
      </c>
      <c r="CZ1203" s="1">
        <v>41698</v>
      </c>
      <c r="DD1203" t="s">
        <v>11749</v>
      </c>
      <c r="DF1203">
        <v>5</v>
      </c>
      <c r="DG1203">
        <v>36</v>
      </c>
      <c r="DJ1203" t="s">
        <v>12188</v>
      </c>
      <c r="DL1203">
        <v>50303</v>
      </c>
      <c r="DM1203" t="s">
        <v>12176</v>
      </c>
      <c r="DO1203" t="s">
        <v>12285</v>
      </c>
      <c r="DP1203">
        <v>0</v>
      </c>
      <c r="DQ1203">
        <v>0</v>
      </c>
      <c r="DR1203" t="s">
        <v>411</v>
      </c>
      <c r="EP1203" t="s">
        <v>6</v>
      </c>
      <c r="EQ1203" t="s">
        <v>422</v>
      </c>
      <c r="ER1203">
        <v>0</v>
      </c>
      <c r="ES1203">
        <v>3</v>
      </c>
      <c r="ET1203">
        <v>0</v>
      </c>
      <c r="EU1203">
        <v>0</v>
      </c>
      <c r="EV1203">
        <v>0</v>
      </c>
      <c r="EW1203" s="2">
        <v>43222</v>
      </c>
      <c r="EX1203" s="1">
        <v>42151</v>
      </c>
      <c r="EY1203">
        <v>2014</v>
      </c>
      <c r="EZ1203">
        <v>60.58</v>
      </c>
      <c r="FA1203" t="s">
        <v>12286</v>
      </c>
      <c r="FB1203">
        <v>18</v>
      </c>
      <c r="FC1203" t="s">
        <v>603</v>
      </c>
      <c r="FD1203" t="s">
        <v>425</v>
      </c>
      <c r="FE1203" s="1">
        <v>42521</v>
      </c>
      <c r="FF1203">
        <v>12</v>
      </c>
      <c r="FG1203">
        <v>9999999</v>
      </c>
      <c r="FH1203" t="s">
        <v>604</v>
      </c>
      <c r="FJ1203" s="1">
        <v>41423</v>
      </c>
      <c r="FK1203">
        <v>2012</v>
      </c>
      <c r="FL1203">
        <v>45.03</v>
      </c>
      <c r="FM1203" t="s">
        <v>12287</v>
      </c>
      <c r="FN1203">
        <v>18</v>
      </c>
      <c r="FO1203" t="s">
        <v>603</v>
      </c>
      <c r="FP1203" t="s">
        <v>425</v>
      </c>
      <c r="FQ1203" s="1">
        <v>41614</v>
      </c>
      <c r="FR1203">
        <v>7</v>
      </c>
      <c r="FS1203">
        <v>9999999</v>
      </c>
      <c r="FT1203" t="s">
        <v>604</v>
      </c>
      <c r="FV1203" s="1">
        <v>41052</v>
      </c>
      <c r="FW1203">
        <v>2011</v>
      </c>
      <c r="FX1203">
        <v>24.59</v>
      </c>
      <c r="FY1203" t="s">
        <v>12288</v>
      </c>
      <c r="FZ1203">
        <v>18</v>
      </c>
      <c r="GA1203" t="s">
        <v>603</v>
      </c>
      <c r="GB1203" t="s">
        <v>425</v>
      </c>
      <c r="GC1203" s="1">
        <v>41288</v>
      </c>
      <c r="GD1203">
        <v>8</v>
      </c>
      <c r="GE1203">
        <v>9999999</v>
      </c>
      <c r="GF1203" t="s">
        <v>604</v>
      </c>
    </row>
    <row r="1204" spans="1:260" x14ac:dyDescent="0.25">
      <c r="A1204">
        <v>16486211</v>
      </c>
      <c r="B1204">
        <v>1203</v>
      </c>
      <c r="C1204" t="s">
        <v>393</v>
      </c>
      <c r="D1204" t="s">
        <v>394</v>
      </c>
      <c r="F1204" t="str">
        <f>"36-2N-27-525Q-0002-0110"</f>
        <v>36-2N-27-525Q-0002-0110</v>
      </c>
      <c r="H1204" t="str">
        <f>"PARKER ALMA JEAN"</f>
        <v>PARKER ALMA JEAN</v>
      </c>
      <c r="I1204" t="str">
        <f>"PO BOX 2034"</f>
        <v>PO BOX 2034</v>
      </c>
      <c r="J1204" t="str">
        <f>"YULEE FL 32041"</f>
        <v>YULEE FL 32041</v>
      </c>
      <c r="K1204" t="str">
        <f>"85441 LONNIE CREWS RD"</f>
        <v>85441 LONNIE CREWS RD</v>
      </c>
      <c r="L1204" t="str">
        <f t="shared" si="405"/>
        <v>FERNANDINA BEACH FL 32034</v>
      </c>
      <c r="M1204" t="str">
        <f>"BLOCK 2 LOT 11 IN OR 1479/1534 1998 JAGU DW/MH ESMT OR 1488/382 HOLLY POINT NORTH 3 PB 5/24"</f>
        <v>BLOCK 2 LOT 11 IN OR 1479/1534 1998 JAGU DW/MH ESMT OR 1488/382 HOLLY POINT NORTH 3 PB 5/24</v>
      </c>
      <c r="N1204" t="str">
        <f>""</f>
        <v/>
      </c>
      <c r="O1204" t="str">
        <f>"42143"</f>
        <v>42143</v>
      </c>
      <c r="P1204" t="str">
        <f t="shared" si="382"/>
        <v>2017</v>
      </c>
      <c r="Q1204" t="str">
        <f>""</f>
        <v/>
      </c>
      <c r="R1204" t="str">
        <f>"N"</f>
        <v>N</v>
      </c>
      <c r="S1204" t="str">
        <f>""</f>
        <v/>
      </c>
      <c r="T1204" t="str">
        <f>"804.93"</f>
        <v>804.93</v>
      </c>
      <c r="U1204" t="str">
        <f>"53170.00"</f>
        <v>53170.00</v>
      </c>
      <c r="V1204" t="str">
        <f>"53170.00"</f>
        <v>53170.00</v>
      </c>
      <c r="W1204" t="str">
        <f t="shared" si="383"/>
        <v>2017</v>
      </c>
      <c r="X1204" t="str">
        <f>""</f>
        <v/>
      </c>
      <c r="Y1204" t="str">
        <f>"861.08"</f>
        <v>861.08</v>
      </c>
      <c r="Z1204" t="str">
        <f>""</f>
        <v/>
      </c>
      <c r="AA1204" t="str">
        <f>"53170.00"</f>
        <v>53170.00</v>
      </c>
      <c r="AB1204" t="str">
        <f t="shared" si="404"/>
        <v>Residential</v>
      </c>
      <c r="AC1204" t="str">
        <f t="shared" si="399"/>
        <v>0</v>
      </c>
      <c r="AD1204" t="str">
        <f t="shared" si="409"/>
        <v>4</v>
      </c>
      <c r="AE1204" t="str">
        <f t="shared" si="410"/>
        <v>WOOD (INCLUDE STEEL STUDS)</v>
      </c>
      <c r="AF1204" t="str">
        <f t="shared" si="411"/>
        <v>002</v>
      </c>
      <c r="AG1204" t="str">
        <f t="shared" si="406"/>
        <v>FL</v>
      </c>
      <c r="AH1204" t="str">
        <f>"-"</f>
        <v>-</v>
      </c>
      <c r="AI1204" t="str">
        <f t="shared" si="412"/>
        <v>25000.00</v>
      </c>
      <c r="AJ1204" t="str">
        <f>"C55-001-002-4901-0"</f>
        <v>C55-001-002-4901-0</v>
      </c>
      <c r="AK1204" t="str">
        <f>"20177"</f>
        <v>20177</v>
      </c>
      <c r="AL1204">
        <v>5</v>
      </c>
      <c r="AM1204">
        <v>1372</v>
      </c>
      <c r="AN1204">
        <v>902.53</v>
      </c>
      <c r="AQ1204" t="s">
        <v>12289</v>
      </c>
      <c r="AR1204" t="s">
        <v>12289</v>
      </c>
      <c r="AS1204" t="s">
        <v>12289</v>
      </c>
      <c r="AU1204" t="s">
        <v>396</v>
      </c>
      <c r="AV1204">
        <v>2017</v>
      </c>
      <c r="AW1204" t="str">
        <f>"36-2N-27-525Q-0002-0110 "</f>
        <v xml:space="preserve">36-2N-27-525Q-0002-0110 </v>
      </c>
      <c r="AX1204">
        <v>85441</v>
      </c>
      <c r="AZ1204" t="s">
        <v>12270</v>
      </c>
      <c r="BA1204" t="s">
        <v>496</v>
      </c>
      <c r="BD1204" t="s">
        <v>11749</v>
      </c>
      <c r="BE1204" t="s">
        <v>393</v>
      </c>
      <c r="BF1204">
        <v>32034</v>
      </c>
      <c r="BG1204" t="s">
        <v>12290</v>
      </c>
      <c r="BH1204" t="s">
        <v>11751</v>
      </c>
      <c r="BI1204">
        <v>-81.546244264917107</v>
      </c>
      <c r="BJ1204">
        <v>30.565865306229799</v>
      </c>
      <c r="BK1204" t="s">
        <v>12291</v>
      </c>
      <c r="BM1204" t="s">
        <v>12292</v>
      </c>
      <c r="BN1204" t="s">
        <v>1778</v>
      </c>
      <c r="BO1204">
        <v>32041</v>
      </c>
      <c r="BP1204" t="s">
        <v>404</v>
      </c>
      <c r="BQ1204">
        <v>200</v>
      </c>
      <c r="BR1204" t="s">
        <v>405</v>
      </c>
      <c r="BS1204">
        <v>1006</v>
      </c>
      <c r="BT1204" t="s">
        <v>406</v>
      </c>
      <c r="BW1204">
        <v>43569</v>
      </c>
      <c r="BX1204" t="s">
        <v>407</v>
      </c>
      <c r="BY1204" t="s">
        <v>408</v>
      </c>
      <c r="BZ1204">
        <v>4</v>
      </c>
      <c r="CA1204">
        <v>1998</v>
      </c>
      <c r="CB1204">
        <v>1</v>
      </c>
      <c r="CC1204">
        <v>1</v>
      </c>
      <c r="CD1204">
        <v>2017</v>
      </c>
      <c r="CE1204">
        <v>25000</v>
      </c>
      <c r="CF1204">
        <v>28170</v>
      </c>
      <c r="CG1204">
        <v>53170</v>
      </c>
      <c r="CH1204">
        <v>2017</v>
      </c>
      <c r="CI1204">
        <v>25000</v>
      </c>
      <c r="CJ1204">
        <v>28170</v>
      </c>
      <c r="CK1204">
        <v>53170</v>
      </c>
      <c r="CL1204">
        <v>2017</v>
      </c>
      <c r="CM1204">
        <v>804.93</v>
      </c>
      <c r="CN1204" s="1">
        <v>38741</v>
      </c>
      <c r="CO1204">
        <v>30000</v>
      </c>
      <c r="CV1204">
        <v>20998</v>
      </c>
      <c r="CX1204" t="s">
        <v>675</v>
      </c>
      <c r="CZ1204" s="1">
        <v>38741</v>
      </c>
      <c r="DA1204">
        <v>0</v>
      </c>
      <c r="DD1204" t="s">
        <v>11749</v>
      </c>
      <c r="DG1204">
        <v>36</v>
      </c>
      <c r="DL1204">
        <v>50303</v>
      </c>
      <c r="DM1204" t="s">
        <v>12176</v>
      </c>
      <c r="DO1204" t="s">
        <v>12293</v>
      </c>
      <c r="DP1204">
        <v>0</v>
      </c>
      <c r="DQ1204">
        <v>0</v>
      </c>
      <c r="DR1204" t="s">
        <v>411</v>
      </c>
    </row>
    <row r="1205" spans="1:260" x14ac:dyDescent="0.25">
      <c r="A1205">
        <v>16486212</v>
      </c>
      <c r="B1205">
        <v>1204</v>
      </c>
      <c r="C1205" t="s">
        <v>393</v>
      </c>
      <c r="D1205" t="s">
        <v>394</v>
      </c>
      <c r="F1205" t="str">
        <f>"36-2N-27-525Q-0003-0020"</f>
        <v>36-2N-27-525Q-0003-0020</v>
      </c>
      <c r="H1205" t="str">
        <f>"CRAWFORD STEVE M &amp; DEBBIE M"</f>
        <v>CRAWFORD STEVE M &amp; DEBBIE M</v>
      </c>
      <c r="I1205" t="str">
        <f>"85505 LONNIE CREWS ROAD"</f>
        <v>85505 LONNIE CREWS ROAD</v>
      </c>
      <c r="J1205" t="str">
        <f>"FERNANDINA BEACH FL 32034"</f>
        <v>FERNANDINA BEACH FL 32034</v>
      </c>
      <c r="K1205" t="str">
        <f>"85505 LONNIE CREWS RD"</f>
        <v>85505 LONNIE CREWS RD</v>
      </c>
      <c r="L1205" t="str">
        <f t="shared" si="405"/>
        <v>FERNANDINA BEACH FL 32034</v>
      </c>
      <c r="M1205" t="str">
        <f>"BLOCK 3 LOT 2 R359755 EX FPL ESMT OR 385/127 IN OR 568 PG 794 HOLLY POINT NORTH 3 PB 5/24"</f>
        <v>BLOCK 3 LOT 2 R359755 EX FPL ESMT OR 385/127 IN OR 568 PG 794 HOLLY POINT NORTH 3 PB 5/24</v>
      </c>
      <c r="N1205" t="str">
        <f>""</f>
        <v/>
      </c>
      <c r="O1205" t="str">
        <f>"42147"</f>
        <v>42147</v>
      </c>
      <c r="P1205" t="str">
        <f t="shared" si="382"/>
        <v>2017</v>
      </c>
      <c r="Q1205" t="str">
        <f>""</f>
        <v/>
      </c>
      <c r="R1205" t="str">
        <f>"Y"</f>
        <v>Y</v>
      </c>
      <c r="S1205" t="str">
        <f>""</f>
        <v/>
      </c>
      <c r="T1205" t="str">
        <f>"475.79"</f>
        <v>475.79</v>
      </c>
      <c r="U1205" t="str">
        <f>"56428.00"</f>
        <v>56428.00</v>
      </c>
      <c r="V1205" t="str">
        <f>"56428.00"</f>
        <v>56428.00</v>
      </c>
      <c r="W1205" t="str">
        <f t="shared" si="383"/>
        <v>2017</v>
      </c>
      <c r="X1205" t="str">
        <f>"11.75"</f>
        <v>11.75</v>
      </c>
      <c r="Y1205" t="str">
        <f>"522.06"</f>
        <v>522.06</v>
      </c>
      <c r="Z1205" t="str">
        <f>"25000.00"</f>
        <v>25000.00</v>
      </c>
      <c r="AA1205" t="str">
        <f>"31428.00"</f>
        <v>31428.00</v>
      </c>
      <c r="AB1205" t="str">
        <f t="shared" si="404"/>
        <v>Residential</v>
      </c>
      <c r="AC1205" t="str">
        <f t="shared" si="399"/>
        <v>0</v>
      </c>
      <c r="AD1205" t="str">
        <f t="shared" si="409"/>
        <v>4</v>
      </c>
      <c r="AE1205" t="str">
        <f t="shared" si="410"/>
        <v>WOOD (INCLUDE STEEL STUDS)</v>
      </c>
      <c r="AF1205" t="str">
        <f t="shared" si="411"/>
        <v>002</v>
      </c>
      <c r="AG1205" t="str">
        <f t="shared" si="406"/>
        <v>FL</v>
      </c>
      <c r="AH1205" t="str">
        <f>"45000.00"</f>
        <v>45000.00</v>
      </c>
      <c r="AI1205" t="str">
        <f t="shared" si="412"/>
        <v>25000.00</v>
      </c>
      <c r="AJ1205" t="str">
        <f>"C55-000-587-8161-8"</f>
        <v>C55-000-587-8161-8</v>
      </c>
      <c r="AK1205" t="str">
        <f>"20181"</f>
        <v>20181</v>
      </c>
      <c r="AL1205">
        <v>5</v>
      </c>
      <c r="AM1205">
        <v>1373</v>
      </c>
      <c r="AN1205">
        <v>546.55999999999995</v>
      </c>
      <c r="AQ1205" t="s">
        <v>12294</v>
      </c>
      <c r="AR1205" t="s">
        <v>12294</v>
      </c>
      <c r="AS1205" t="s">
        <v>12294</v>
      </c>
      <c r="AU1205" t="s">
        <v>396</v>
      </c>
      <c r="AV1205">
        <v>2017</v>
      </c>
      <c r="AW1205" t="str">
        <f>"36-2N-27-525Q-0003-0020 "</f>
        <v xml:space="preserve">36-2N-27-525Q-0003-0020 </v>
      </c>
      <c r="AX1205">
        <v>85505</v>
      </c>
      <c r="AZ1205" t="s">
        <v>12270</v>
      </c>
      <c r="BA1205" t="s">
        <v>496</v>
      </c>
      <c r="BD1205" t="s">
        <v>11749</v>
      </c>
      <c r="BE1205" t="s">
        <v>393</v>
      </c>
      <c r="BF1205">
        <v>32034</v>
      </c>
      <c r="BG1205" t="s">
        <v>12295</v>
      </c>
      <c r="BH1205" t="s">
        <v>11751</v>
      </c>
      <c r="BI1205">
        <v>-81.544924997124795</v>
      </c>
      <c r="BJ1205">
        <v>30.567738597712701</v>
      </c>
      <c r="BK1205" t="s">
        <v>12296</v>
      </c>
      <c r="BL1205" t="s">
        <v>12297</v>
      </c>
      <c r="BM1205" t="s">
        <v>12295</v>
      </c>
      <c r="BN1205" t="s">
        <v>3983</v>
      </c>
      <c r="BO1205">
        <v>32034</v>
      </c>
      <c r="BP1205" t="s">
        <v>416</v>
      </c>
      <c r="BQ1205">
        <v>200</v>
      </c>
      <c r="BR1205" t="s">
        <v>405</v>
      </c>
      <c r="BS1205">
        <v>1006</v>
      </c>
      <c r="BT1205" t="s">
        <v>406</v>
      </c>
      <c r="BW1205">
        <v>45070</v>
      </c>
      <c r="BX1205" t="s">
        <v>407</v>
      </c>
      <c r="BY1205" t="s">
        <v>408</v>
      </c>
      <c r="BZ1205">
        <v>4</v>
      </c>
      <c r="CA1205">
        <v>1983</v>
      </c>
      <c r="CB1205">
        <v>1</v>
      </c>
      <c r="CC1205">
        <v>2</v>
      </c>
      <c r="CD1205">
        <v>2017</v>
      </c>
      <c r="CG1205">
        <v>56428</v>
      </c>
      <c r="CH1205">
        <v>2017</v>
      </c>
      <c r="CI1205">
        <v>25000</v>
      </c>
      <c r="CJ1205">
        <v>36887</v>
      </c>
      <c r="CK1205">
        <v>61887</v>
      </c>
      <c r="CL1205">
        <v>2017</v>
      </c>
      <c r="CM1205">
        <v>475.79</v>
      </c>
      <c r="CN1205" s="1">
        <v>32625</v>
      </c>
      <c r="CO1205">
        <v>7000</v>
      </c>
      <c r="CZ1205" s="1">
        <v>32625</v>
      </c>
      <c r="DD1205" t="s">
        <v>11749</v>
      </c>
      <c r="DF1205">
        <v>2</v>
      </c>
      <c r="DG1205">
        <v>36</v>
      </c>
      <c r="DL1205">
        <v>50303</v>
      </c>
      <c r="DM1205" t="s">
        <v>12176</v>
      </c>
      <c r="DO1205" t="s">
        <v>12298</v>
      </c>
      <c r="DP1205">
        <v>0</v>
      </c>
      <c r="DQ1205">
        <v>0</v>
      </c>
      <c r="DR1205" t="s">
        <v>411</v>
      </c>
      <c r="EP1205" t="s">
        <v>421</v>
      </c>
      <c r="EQ1205" t="s">
        <v>422</v>
      </c>
      <c r="ER1205">
        <v>0</v>
      </c>
      <c r="ES1205">
        <v>4</v>
      </c>
      <c r="ET1205">
        <v>0</v>
      </c>
      <c r="EU1205">
        <v>0</v>
      </c>
      <c r="EV1205">
        <v>0</v>
      </c>
      <c r="EW1205" s="2">
        <v>43222</v>
      </c>
      <c r="EX1205" s="1">
        <v>41787</v>
      </c>
      <c r="EY1205">
        <v>2013</v>
      </c>
      <c r="EZ1205">
        <v>459.51</v>
      </c>
      <c r="FA1205" t="s">
        <v>12299</v>
      </c>
      <c r="FB1205">
        <v>0.25</v>
      </c>
      <c r="FC1205" t="s">
        <v>424</v>
      </c>
      <c r="FD1205" t="s">
        <v>425</v>
      </c>
      <c r="FE1205" s="1">
        <v>42006</v>
      </c>
      <c r="FF1205">
        <v>8</v>
      </c>
      <c r="FG1205">
        <v>2101382</v>
      </c>
      <c r="FH1205" t="s">
        <v>993</v>
      </c>
      <c r="FJ1205" s="1">
        <v>41423</v>
      </c>
      <c r="FK1205">
        <v>2012</v>
      </c>
      <c r="FL1205">
        <v>457.42</v>
      </c>
      <c r="FM1205" t="s">
        <v>12300</v>
      </c>
      <c r="FN1205">
        <v>0.25</v>
      </c>
      <c r="FO1205" t="s">
        <v>424</v>
      </c>
      <c r="FP1205" t="s">
        <v>425</v>
      </c>
      <c r="FQ1205" s="1">
        <v>41662</v>
      </c>
      <c r="FR1205">
        <v>8</v>
      </c>
      <c r="FS1205">
        <v>10125</v>
      </c>
      <c r="FT1205" t="s">
        <v>440</v>
      </c>
      <c r="FV1205" s="1">
        <v>41052</v>
      </c>
      <c r="FW1205">
        <v>2011</v>
      </c>
      <c r="FX1205">
        <v>442.13</v>
      </c>
      <c r="FY1205" t="s">
        <v>12301</v>
      </c>
      <c r="FZ1205">
        <v>6</v>
      </c>
      <c r="GA1205" t="s">
        <v>424</v>
      </c>
      <c r="GB1205" t="s">
        <v>425</v>
      </c>
      <c r="GC1205" s="1">
        <v>41339</v>
      </c>
      <c r="GD1205">
        <v>10</v>
      </c>
      <c r="GE1205">
        <v>375</v>
      </c>
      <c r="GF1205" t="s">
        <v>776</v>
      </c>
      <c r="GH1205" s="1">
        <v>40688</v>
      </c>
      <c r="GI1205">
        <v>2010</v>
      </c>
      <c r="GJ1205">
        <v>437.32</v>
      </c>
      <c r="GK1205" t="s">
        <v>12302</v>
      </c>
      <c r="GL1205">
        <v>6.5</v>
      </c>
      <c r="GM1205" t="s">
        <v>424</v>
      </c>
      <c r="GN1205" t="s">
        <v>425</v>
      </c>
      <c r="GO1205" s="1">
        <v>40912</v>
      </c>
      <c r="GP1205">
        <v>8</v>
      </c>
      <c r="GQ1205">
        <v>62</v>
      </c>
      <c r="GR1205" t="s">
        <v>463</v>
      </c>
    </row>
    <row r="1206" spans="1:260" x14ac:dyDescent="0.25">
      <c r="A1206">
        <v>16486213</v>
      </c>
      <c r="B1206">
        <v>1205</v>
      </c>
      <c r="C1206" t="s">
        <v>393</v>
      </c>
      <c r="D1206" t="s">
        <v>394</v>
      </c>
      <c r="F1206" t="str">
        <f>"36-2N-27-525Q-0004-0010"</f>
        <v>36-2N-27-525Q-0004-0010</v>
      </c>
      <c r="H1206" t="str">
        <f>"ALLISON VENTURES LLC"</f>
        <v>ALLISON VENTURES LLC</v>
      </c>
      <c r="I1206" t="str">
        <f>"96034 SANDY POINTE CR"</f>
        <v>96034 SANDY POINTE CR</v>
      </c>
      <c r="J1206" t="str">
        <f>"FERNANDINA BEACH FL 32034"</f>
        <v>FERNANDINA BEACH FL 32034</v>
      </c>
      <c r="K1206" t="str">
        <f>"85502 LONNIE CREWS RD"</f>
        <v>85502 LONNIE CREWS RD</v>
      </c>
      <c r="L1206" t="str">
        <f t="shared" si="405"/>
        <v>FERNANDINA BEACH FL 32034</v>
      </c>
      <c r="M1206" t="str">
        <f>"BLOCK 4 LOT 1 IN OR 1779/1862 R434348 &amp; R434349 HOLLY POINT NORTH 3 PB 5/24"</f>
        <v>BLOCK 4 LOT 1 IN OR 1779/1862 R434348 &amp; R434349 HOLLY POINT NORTH 3 PB 5/24</v>
      </c>
      <c r="N1206" t="str">
        <f>""</f>
        <v/>
      </c>
      <c r="O1206" t="str">
        <f>"42148"</f>
        <v>42148</v>
      </c>
      <c r="P1206" t="str">
        <f t="shared" si="382"/>
        <v>2017</v>
      </c>
      <c r="Q1206" t="str">
        <f>""</f>
        <v/>
      </c>
      <c r="R1206" t="str">
        <f t="shared" ref="R1206:R1214" si="413">"N"</f>
        <v>N</v>
      </c>
      <c r="S1206" t="str">
        <f>""</f>
        <v/>
      </c>
      <c r="T1206" t="str">
        <f>"811.63"</f>
        <v>811.63</v>
      </c>
      <c r="U1206" t="str">
        <f>"49205.00"</f>
        <v>49205.00</v>
      </c>
      <c r="V1206" t="str">
        <f>"49205.00"</f>
        <v>49205.00</v>
      </c>
      <c r="W1206" t="str">
        <f t="shared" si="383"/>
        <v>2017</v>
      </c>
      <c r="X1206" t="str">
        <f>"15.50"</f>
        <v>15.50</v>
      </c>
      <c r="Y1206" t="str">
        <f>"867.98"</f>
        <v>867.98</v>
      </c>
      <c r="Z1206" t="str">
        <f>""</f>
        <v/>
      </c>
      <c r="AA1206" t="str">
        <f>"59320.00"</f>
        <v>59320.00</v>
      </c>
      <c r="AB1206" t="str">
        <f t="shared" si="404"/>
        <v>Residential</v>
      </c>
      <c r="AC1206" t="str">
        <f t="shared" si="399"/>
        <v>0</v>
      </c>
      <c r="AD1206" t="str">
        <f t="shared" si="409"/>
        <v>4</v>
      </c>
      <c r="AE1206" t="str">
        <f t="shared" si="410"/>
        <v>WOOD (INCLUDE STEEL STUDS)</v>
      </c>
      <c r="AF1206" t="str">
        <f t="shared" si="411"/>
        <v>002</v>
      </c>
      <c r="AG1206" t="str">
        <f t="shared" si="406"/>
        <v>FL</v>
      </c>
      <c r="AH1206" t="str">
        <f>"38969.00"</f>
        <v>38969.00</v>
      </c>
      <c r="AI1206" t="str">
        <f t="shared" si="412"/>
        <v>25000.00</v>
      </c>
      <c r="AJ1206" t="str">
        <f>"C55-000-587-8162-6"</f>
        <v>C55-000-587-8162-6</v>
      </c>
      <c r="AK1206" t="str">
        <f>"20182"</f>
        <v>20182</v>
      </c>
      <c r="AL1206">
        <v>5</v>
      </c>
      <c r="AM1206">
        <v>1374</v>
      </c>
      <c r="AN1206">
        <v>909.78</v>
      </c>
      <c r="AQ1206" t="s">
        <v>12303</v>
      </c>
      <c r="AR1206" t="s">
        <v>12303</v>
      </c>
      <c r="AS1206" t="s">
        <v>12303</v>
      </c>
      <c r="AU1206" t="s">
        <v>396</v>
      </c>
      <c r="AV1206">
        <v>2017</v>
      </c>
      <c r="AW1206" t="str">
        <f>"36-2N-27-525Q-0004-0010 "</f>
        <v xml:space="preserve">36-2N-27-525Q-0004-0010 </v>
      </c>
      <c r="AX1206">
        <v>85502</v>
      </c>
      <c r="AZ1206" t="s">
        <v>12270</v>
      </c>
      <c r="BA1206" t="s">
        <v>496</v>
      </c>
      <c r="BD1206" t="s">
        <v>11749</v>
      </c>
      <c r="BE1206" t="s">
        <v>393</v>
      </c>
      <c r="BF1206">
        <v>32034</v>
      </c>
      <c r="BG1206" t="s">
        <v>12304</v>
      </c>
      <c r="BH1206" t="s">
        <v>11751</v>
      </c>
      <c r="BI1206">
        <v>-81.545380654270105</v>
      </c>
      <c r="BJ1206">
        <v>30.5667775270894</v>
      </c>
      <c r="BK1206" t="s">
        <v>12305</v>
      </c>
      <c r="BM1206" t="s">
        <v>12306</v>
      </c>
      <c r="BN1206" t="s">
        <v>3983</v>
      </c>
      <c r="BO1206">
        <v>32034</v>
      </c>
      <c r="BP1206" t="s">
        <v>404</v>
      </c>
      <c r="BQ1206">
        <v>200</v>
      </c>
      <c r="BR1206" t="s">
        <v>405</v>
      </c>
      <c r="BS1206">
        <v>1006</v>
      </c>
      <c r="BT1206" t="s">
        <v>406</v>
      </c>
      <c r="BW1206">
        <v>43789</v>
      </c>
      <c r="BX1206" t="s">
        <v>407</v>
      </c>
      <c r="BY1206" t="s">
        <v>408</v>
      </c>
      <c r="BZ1206">
        <v>4</v>
      </c>
      <c r="CA1206">
        <v>1996</v>
      </c>
      <c r="CB1206">
        <v>1</v>
      </c>
      <c r="CC1206">
        <v>1</v>
      </c>
      <c r="CD1206">
        <v>2017</v>
      </c>
      <c r="CE1206">
        <v>25000</v>
      </c>
      <c r="CF1206">
        <v>34320</v>
      </c>
      <c r="CG1206">
        <v>59320</v>
      </c>
      <c r="CH1206">
        <v>2017</v>
      </c>
      <c r="CI1206">
        <v>25000</v>
      </c>
      <c r="CJ1206">
        <v>34320</v>
      </c>
      <c r="CK1206">
        <v>59320</v>
      </c>
      <c r="CL1206">
        <v>2017</v>
      </c>
      <c r="CM1206">
        <v>811.63</v>
      </c>
      <c r="CN1206" s="1">
        <v>40962</v>
      </c>
      <c r="CO1206">
        <v>16900</v>
      </c>
      <c r="CV1206">
        <v>0</v>
      </c>
      <c r="CZ1206" s="1">
        <v>40962</v>
      </c>
      <c r="DA1206">
        <v>0</v>
      </c>
      <c r="DD1206" t="s">
        <v>11749</v>
      </c>
      <c r="DF1206">
        <v>1</v>
      </c>
      <c r="DG1206">
        <v>36</v>
      </c>
      <c r="DL1206">
        <v>50303</v>
      </c>
      <c r="DM1206" t="s">
        <v>12176</v>
      </c>
      <c r="DO1206" t="s">
        <v>12307</v>
      </c>
      <c r="DP1206">
        <v>0</v>
      </c>
      <c r="DQ1206">
        <v>0</v>
      </c>
      <c r="DR1206" t="s">
        <v>411</v>
      </c>
      <c r="DS1206" t="b">
        <v>1</v>
      </c>
      <c r="DT1206" t="s">
        <v>470</v>
      </c>
      <c r="DU1206" t="s">
        <v>10249</v>
      </c>
      <c r="DV1206" t="s">
        <v>472</v>
      </c>
      <c r="DX1206">
        <v>-9999</v>
      </c>
      <c r="DZ1206" t="s">
        <v>447</v>
      </c>
      <c r="EA1206" t="s">
        <v>448</v>
      </c>
      <c r="EB1206" t="s">
        <v>12096</v>
      </c>
      <c r="EC1206">
        <v>20101217</v>
      </c>
      <c r="ED1206" t="s">
        <v>10251</v>
      </c>
      <c r="EE1206">
        <v>5</v>
      </c>
      <c r="EF1206">
        <v>585.1</v>
      </c>
      <c r="EG1206">
        <v>0</v>
      </c>
      <c r="EI1206">
        <v>20160407</v>
      </c>
      <c r="EJ1206">
        <v>0</v>
      </c>
      <c r="EK1206">
        <v>0</v>
      </c>
      <c r="EP1206" t="s">
        <v>421</v>
      </c>
      <c r="EQ1206" t="s">
        <v>422</v>
      </c>
      <c r="ER1206">
        <v>1</v>
      </c>
      <c r="ES1206">
        <v>5</v>
      </c>
      <c r="ET1206">
        <v>769.64</v>
      </c>
      <c r="EU1206">
        <v>44.73</v>
      </c>
      <c r="EV1206">
        <v>814.37</v>
      </c>
      <c r="EW1206" s="2">
        <v>43222</v>
      </c>
      <c r="EX1206" s="1">
        <v>42879</v>
      </c>
      <c r="EY1206">
        <v>2016</v>
      </c>
      <c r="EZ1206">
        <v>769.64</v>
      </c>
      <c r="FA1206" t="s">
        <v>12308</v>
      </c>
      <c r="FB1206">
        <v>4.5</v>
      </c>
      <c r="FC1206" t="s">
        <v>424</v>
      </c>
      <c r="FD1206" t="s">
        <v>454</v>
      </c>
      <c r="FF1206">
        <v>12</v>
      </c>
      <c r="FG1206">
        <v>2035919</v>
      </c>
      <c r="FH1206" t="s">
        <v>507</v>
      </c>
      <c r="FJ1206" s="1">
        <v>42515</v>
      </c>
      <c r="FK1206">
        <v>2015</v>
      </c>
      <c r="FL1206">
        <v>830.97</v>
      </c>
      <c r="FM1206" t="s">
        <v>12309</v>
      </c>
      <c r="FN1206">
        <v>12.75</v>
      </c>
      <c r="FO1206" t="s">
        <v>424</v>
      </c>
      <c r="FP1206" t="s">
        <v>425</v>
      </c>
      <c r="FQ1206" s="1">
        <v>43145</v>
      </c>
      <c r="FR1206">
        <v>21</v>
      </c>
      <c r="FS1206">
        <v>2035919</v>
      </c>
      <c r="FT1206" t="s">
        <v>507</v>
      </c>
      <c r="FV1206" s="1">
        <v>42151</v>
      </c>
      <c r="FW1206">
        <v>2014</v>
      </c>
      <c r="FX1206">
        <v>805.62</v>
      </c>
      <c r="FY1206" t="s">
        <v>12310</v>
      </c>
      <c r="FZ1206">
        <v>0.25</v>
      </c>
      <c r="GA1206" t="s">
        <v>424</v>
      </c>
      <c r="GB1206" t="s">
        <v>425</v>
      </c>
      <c r="GC1206" s="1">
        <v>42787</v>
      </c>
      <c r="GD1206">
        <v>21</v>
      </c>
      <c r="GE1206">
        <v>4975594</v>
      </c>
      <c r="GF1206" t="s">
        <v>457</v>
      </c>
      <c r="GH1206" s="1">
        <v>42151</v>
      </c>
      <c r="GI1206">
        <v>2014</v>
      </c>
      <c r="GJ1206">
        <v>805.62</v>
      </c>
      <c r="GK1206" t="s">
        <v>12310</v>
      </c>
      <c r="GL1206">
        <v>0.25</v>
      </c>
      <c r="GM1206" t="s">
        <v>424</v>
      </c>
      <c r="GN1206" t="s">
        <v>425</v>
      </c>
      <c r="GP1206">
        <v>22</v>
      </c>
      <c r="GQ1206">
        <v>6308908</v>
      </c>
      <c r="GR1206" t="s">
        <v>12311</v>
      </c>
      <c r="GT1206" s="1">
        <v>41787</v>
      </c>
      <c r="GU1206">
        <v>2013</v>
      </c>
      <c r="GV1206">
        <v>851.43</v>
      </c>
      <c r="GW1206" t="s">
        <v>12312</v>
      </c>
      <c r="GX1206">
        <v>0.25</v>
      </c>
      <c r="GY1206" t="s">
        <v>424</v>
      </c>
      <c r="GZ1206" t="s">
        <v>425</v>
      </c>
      <c r="HA1206" s="1">
        <v>41886</v>
      </c>
      <c r="HB1206">
        <v>4</v>
      </c>
      <c r="HC1206">
        <v>2407503</v>
      </c>
      <c r="HD1206" t="s">
        <v>461</v>
      </c>
      <c r="HF1206" s="1">
        <v>41423</v>
      </c>
      <c r="HG1206">
        <v>2012</v>
      </c>
      <c r="HH1206">
        <v>555.38</v>
      </c>
      <c r="HI1206" t="s">
        <v>12313</v>
      </c>
      <c r="HJ1206">
        <v>0.25</v>
      </c>
      <c r="HK1206" t="s">
        <v>424</v>
      </c>
      <c r="HL1206" t="s">
        <v>425</v>
      </c>
      <c r="HM1206" s="1">
        <v>41886</v>
      </c>
      <c r="HN1206">
        <v>16</v>
      </c>
      <c r="HO1206">
        <v>10125</v>
      </c>
      <c r="HP1206" t="s">
        <v>440</v>
      </c>
    </row>
    <row r="1207" spans="1:260" x14ac:dyDescent="0.25">
      <c r="A1207">
        <v>16486214</v>
      </c>
      <c r="B1207">
        <v>1206</v>
      </c>
      <c r="C1207" t="s">
        <v>393</v>
      </c>
      <c r="D1207" t="s">
        <v>394</v>
      </c>
      <c r="F1207" t="str">
        <f>"36-2N-27-525Q-0004-0050"</f>
        <v>36-2N-27-525Q-0004-0050</v>
      </c>
      <c r="H1207" t="str">
        <f>"GRIFFIN ROBERT B III"</f>
        <v>GRIFFIN ROBERT B III</v>
      </c>
      <c r="I1207" t="str">
        <f>"97175 LAFFITES WAY"</f>
        <v>97175 LAFFITES WAY</v>
      </c>
      <c r="J1207" t="str">
        <f>"YULEE FL 32097"</f>
        <v>YULEE FL 32097</v>
      </c>
      <c r="K1207" t="str">
        <f>"OFF LONNIE CREWS RD"</f>
        <v>OFF LONNIE CREWS RD</v>
      </c>
      <c r="L1207" t="str">
        <f t="shared" si="405"/>
        <v>FERNANDINA BEACH FL 32034</v>
      </c>
      <c r="M1207" t="str">
        <f>"BLOCK 4 LOT 5 PT OR 1876/1244 HOLLY POINT NORTH 3 PB 5/24"</f>
        <v>BLOCK 4 LOT 5 PT OR 1876/1244 HOLLY POINT NORTH 3 PB 5/24</v>
      </c>
      <c r="N1207" t="str">
        <f>""</f>
        <v/>
      </c>
      <c r="O1207" t="str">
        <f>"42152"</f>
        <v>42152</v>
      </c>
      <c r="P1207" t="str">
        <f t="shared" si="382"/>
        <v>2017</v>
      </c>
      <c r="Q1207" t="str">
        <f>""</f>
        <v/>
      </c>
      <c r="R1207" t="str">
        <f t="shared" si="413"/>
        <v>N</v>
      </c>
      <c r="S1207" t="str">
        <f>""</f>
        <v/>
      </c>
      <c r="T1207" t="str">
        <f>"299.92"</f>
        <v>299.92</v>
      </c>
      <c r="U1207" t="str">
        <f>"18700.00"</f>
        <v>18700.00</v>
      </c>
      <c r="V1207" t="str">
        <f>"18700.00"</f>
        <v>18700.00</v>
      </c>
      <c r="W1207" t="str">
        <f t="shared" si="383"/>
        <v>2017</v>
      </c>
      <c r="X1207" t="str">
        <f>""</f>
        <v/>
      </c>
      <c r="Y1207" t="str">
        <f>"340.92"</f>
        <v>340.92</v>
      </c>
      <c r="Z1207" t="str">
        <f>""</f>
        <v/>
      </c>
      <c r="AA1207" t="str">
        <f>"21250.00"</f>
        <v>21250.00</v>
      </c>
      <c r="AB1207" t="str">
        <f t="shared" si="404"/>
        <v>Residential</v>
      </c>
      <c r="AC1207" t="str">
        <f t="shared" si="399"/>
        <v>0</v>
      </c>
      <c r="AD1207" t="str">
        <f>""</f>
        <v/>
      </c>
      <c r="AE1207" t="str">
        <f>""</f>
        <v/>
      </c>
      <c r="AF1207" t="str">
        <f>"000"</f>
        <v>000</v>
      </c>
      <c r="AG1207" t="str">
        <f t="shared" si="406"/>
        <v>FL</v>
      </c>
      <c r="AH1207" t="str">
        <f>"79714.00"</f>
        <v>79714.00</v>
      </c>
      <c r="AI1207" t="str">
        <f>"21250.00"</f>
        <v>21250.00</v>
      </c>
      <c r="AJ1207" t="str">
        <f>"C55-001-047-5048-4"</f>
        <v>C55-001-047-5048-4</v>
      </c>
      <c r="AK1207" t="str">
        <f>"20186"</f>
        <v>20186</v>
      </c>
      <c r="AL1207">
        <v>5</v>
      </c>
      <c r="AM1207">
        <v>1375</v>
      </c>
      <c r="AN1207">
        <v>356.37</v>
      </c>
      <c r="AQ1207" t="s">
        <v>12314</v>
      </c>
      <c r="AR1207" t="s">
        <v>12314</v>
      </c>
      <c r="AS1207" t="s">
        <v>12314</v>
      </c>
      <c r="AU1207" t="s">
        <v>396</v>
      </c>
      <c r="AV1207">
        <v>2017</v>
      </c>
      <c r="AW1207" t="str">
        <f>"36-2N-27-525Q-0004-0050 "</f>
        <v xml:space="preserve">36-2N-27-525Q-0004-0050 </v>
      </c>
      <c r="AZ1207" t="s">
        <v>12315</v>
      </c>
      <c r="BA1207" t="s">
        <v>496</v>
      </c>
      <c r="BD1207" t="s">
        <v>11749</v>
      </c>
      <c r="BE1207" t="s">
        <v>393</v>
      </c>
      <c r="BF1207">
        <v>32034</v>
      </c>
      <c r="BG1207" t="s">
        <v>12316</v>
      </c>
      <c r="BH1207" t="s">
        <v>11751</v>
      </c>
      <c r="BI1207">
        <v>-81.545106533162595</v>
      </c>
      <c r="BJ1207">
        <v>30.565145935973</v>
      </c>
      <c r="BK1207" t="s">
        <v>12317</v>
      </c>
      <c r="BM1207" t="s">
        <v>12318</v>
      </c>
      <c r="BN1207" t="s">
        <v>1778</v>
      </c>
      <c r="BO1207">
        <v>32097</v>
      </c>
      <c r="BP1207" t="s">
        <v>404</v>
      </c>
      <c r="BQ1207">
        <v>0</v>
      </c>
      <c r="BR1207" t="s">
        <v>491</v>
      </c>
      <c r="BS1207">
        <v>8001</v>
      </c>
      <c r="BT1207" t="s">
        <v>492</v>
      </c>
      <c r="BW1207">
        <v>79714</v>
      </c>
      <c r="BX1207" t="s">
        <v>407</v>
      </c>
      <c r="BY1207" t="s">
        <v>408</v>
      </c>
      <c r="CD1207">
        <v>2017</v>
      </c>
      <c r="CE1207">
        <v>21250</v>
      </c>
      <c r="CG1207">
        <v>21250</v>
      </c>
      <c r="CH1207">
        <v>2017</v>
      </c>
      <c r="CI1207">
        <v>21250</v>
      </c>
      <c r="CK1207">
        <v>21250</v>
      </c>
      <c r="CL1207">
        <v>2017</v>
      </c>
      <c r="CM1207">
        <v>299.92</v>
      </c>
      <c r="CN1207" s="1">
        <v>41284</v>
      </c>
      <c r="CZ1207" s="1">
        <v>41284</v>
      </c>
      <c r="DD1207" t="s">
        <v>11749</v>
      </c>
      <c r="DF1207">
        <v>5</v>
      </c>
      <c r="DG1207">
        <v>25</v>
      </c>
      <c r="DI1207" t="s">
        <v>12319</v>
      </c>
      <c r="DJ1207" t="s">
        <v>12188</v>
      </c>
      <c r="DL1207">
        <v>50303</v>
      </c>
      <c r="DM1207" t="s">
        <v>12086</v>
      </c>
      <c r="DO1207" t="s">
        <v>12320</v>
      </c>
      <c r="DP1207">
        <v>0</v>
      </c>
      <c r="DQ1207">
        <v>0</v>
      </c>
      <c r="DR1207" t="s">
        <v>411</v>
      </c>
      <c r="DS1207" t="b">
        <v>1</v>
      </c>
      <c r="DT1207" t="s">
        <v>470</v>
      </c>
      <c r="DU1207" t="s">
        <v>10249</v>
      </c>
      <c r="DV1207" t="s">
        <v>472</v>
      </c>
      <c r="DX1207">
        <v>-9999</v>
      </c>
      <c r="DZ1207" t="s">
        <v>447</v>
      </c>
      <c r="EA1207" t="s">
        <v>448</v>
      </c>
      <c r="EB1207" t="s">
        <v>12096</v>
      </c>
      <c r="EC1207">
        <v>20101217</v>
      </c>
      <c r="ED1207" t="s">
        <v>10251</v>
      </c>
      <c r="EE1207">
        <v>7.5</v>
      </c>
      <c r="EF1207">
        <v>818.4</v>
      </c>
      <c r="EG1207">
        <v>0</v>
      </c>
      <c r="EI1207">
        <v>20160407</v>
      </c>
      <c r="EJ1207">
        <v>0</v>
      </c>
      <c r="EK1207">
        <v>0</v>
      </c>
      <c r="EP1207" t="s">
        <v>421</v>
      </c>
      <c r="EQ1207" t="s">
        <v>422</v>
      </c>
      <c r="ER1207">
        <v>3</v>
      </c>
      <c r="ES1207">
        <v>0</v>
      </c>
      <c r="ET1207">
        <v>1005.51</v>
      </c>
      <c r="EU1207">
        <v>196.52</v>
      </c>
      <c r="EV1207">
        <v>1202.03</v>
      </c>
      <c r="EW1207" s="2">
        <v>43222</v>
      </c>
      <c r="EX1207" s="1">
        <v>42879</v>
      </c>
      <c r="EY1207">
        <v>2016</v>
      </c>
      <c r="EZ1207">
        <v>309.23</v>
      </c>
      <c r="FA1207" t="s">
        <v>12321</v>
      </c>
      <c r="FB1207">
        <v>6.25</v>
      </c>
      <c r="FC1207" t="s">
        <v>424</v>
      </c>
      <c r="FD1207" t="s">
        <v>454</v>
      </c>
      <c r="FF1207">
        <v>12</v>
      </c>
      <c r="FG1207">
        <v>10125</v>
      </c>
      <c r="FH1207" t="s">
        <v>440</v>
      </c>
      <c r="FJ1207" s="1">
        <v>42515</v>
      </c>
      <c r="FK1207">
        <v>2015</v>
      </c>
      <c r="FL1207">
        <v>311.10000000000002</v>
      </c>
      <c r="FM1207" t="s">
        <v>12322</v>
      </c>
      <c r="FN1207">
        <v>15.25</v>
      </c>
      <c r="FO1207" t="s">
        <v>424</v>
      </c>
      <c r="FP1207" t="s">
        <v>454</v>
      </c>
      <c r="FR1207">
        <v>24</v>
      </c>
      <c r="FS1207">
        <v>10003</v>
      </c>
      <c r="FT1207" t="s">
        <v>4341</v>
      </c>
      <c r="FV1207" s="1">
        <v>42151</v>
      </c>
      <c r="FW1207">
        <v>2014</v>
      </c>
      <c r="FX1207">
        <v>385.18</v>
      </c>
      <c r="FY1207" t="s">
        <v>12323</v>
      </c>
      <c r="FZ1207">
        <v>5.5</v>
      </c>
      <c r="GA1207" t="s">
        <v>424</v>
      </c>
      <c r="GB1207" t="s">
        <v>454</v>
      </c>
      <c r="GD1207">
        <v>36</v>
      </c>
      <c r="GE1207">
        <v>10125</v>
      </c>
      <c r="GF1207" t="s">
        <v>440</v>
      </c>
    </row>
    <row r="1208" spans="1:260" x14ac:dyDescent="0.25">
      <c r="A1208">
        <v>16486215</v>
      </c>
      <c r="B1208">
        <v>1207</v>
      </c>
      <c r="C1208" t="s">
        <v>393</v>
      </c>
      <c r="D1208" t="s">
        <v>394</v>
      </c>
      <c r="F1208" t="str">
        <f>"37-2N-27-0000-0001-0220"</f>
        <v>37-2N-27-0000-0001-0220</v>
      </c>
      <c r="H1208" t="str">
        <f>"KIMCO NASSAU LLC"</f>
        <v>KIMCO NASSAU LLC</v>
      </c>
      <c r="I1208" t="str">
        <f>"3333 NEW HYDE PARK RD  STE 100"</f>
        <v>3333 NEW HYDE PARK RD  STE 100</v>
      </c>
      <c r="J1208" t="str">
        <f>"NEW HYDE PARK NY 11042"</f>
        <v>NEW HYDE PARK NY 11042</v>
      </c>
      <c r="K1208" t="str">
        <f>"463773 EAST SR 200"</f>
        <v>463773 EAST SR 200</v>
      </c>
      <c r="L1208" t="str">
        <f t="shared" ref="L1208:L1271" si="414">"YULEE FL 32097"</f>
        <v>YULEE FL 32097</v>
      </c>
      <c r="M1208" t="str">
        <f>"PT JOHN LOWE MILL GRANTS SEC 37-2N-27E &amp; 51-3N-27E IN OR 1196/1796 BEING PARCEL F (EX PT IN OR 2050/272 &amp; EX ESMT IN OR 1196/1811 &amp; EX CNSVTN ESMT IN OR 1355/1195 &amp; EX R/W IN OR 2108/1050)"</f>
        <v>PT JOHN LOWE MILL GRANTS SEC 37-2N-27E &amp; 51-3N-27E IN OR 1196/1796 BEING PARCEL F (EX PT IN OR 2050/272 &amp; EX ESMT IN OR 1196/1811 &amp; EX CNSVTN ESMT IN OR 1355/1195 &amp; EX R/W IN OR 2108/1050)</v>
      </c>
      <c r="N1208" t="str">
        <f>""</f>
        <v/>
      </c>
      <c r="O1208" t="str">
        <f>"43435"</f>
        <v>43435</v>
      </c>
      <c r="P1208" t="str">
        <f t="shared" si="382"/>
        <v>2017</v>
      </c>
      <c r="Q1208" t="str">
        <f>""</f>
        <v/>
      </c>
      <c r="R1208" t="str">
        <f t="shared" si="413"/>
        <v>N</v>
      </c>
      <c r="S1208" t="str">
        <f>"20.29"</f>
        <v>20.29</v>
      </c>
      <c r="T1208" t="str">
        <f>"7.69"</f>
        <v>7.69</v>
      </c>
      <c r="U1208" t="str">
        <f>"507.00"</f>
        <v>507.00</v>
      </c>
      <c r="V1208" t="str">
        <f>"507.00"</f>
        <v>507.00</v>
      </c>
      <c r="W1208" t="str">
        <f t="shared" si="383"/>
        <v>2017</v>
      </c>
      <c r="X1208" t="str">
        <f>""</f>
        <v/>
      </c>
      <c r="Y1208" t="str">
        <f>"39.92"</f>
        <v>39.92</v>
      </c>
      <c r="Z1208" t="str">
        <f>""</f>
        <v/>
      </c>
      <c r="AA1208" t="str">
        <f>"507.00"</f>
        <v>507.00</v>
      </c>
      <c r="AB1208" t="str">
        <f>"Miscellaneous"</f>
        <v>Miscellaneous</v>
      </c>
      <c r="AC1208" t="str">
        <f t="shared" si="399"/>
        <v>0</v>
      </c>
      <c r="AD1208" t="str">
        <f>""</f>
        <v/>
      </c>
      <c r="AE1208" t="str">
        <f>""</f>
        <v/>
      </c>
      <c r="AF1208" t="str">
        <f>"096"</f>
        <v>096</v>
      </c>
      <c r="AG1208" t="str">
        <f>"NY"</f>
        <v>NY</v>
      </c>
      <c r="AH1208" t="str">
        <f>"883832.00"</f>
        <v>883832.00</v>
      </c>
      <c r="AI1208" t="str">
        <f>"507.00"</f>
        <v>507.00</v>
      </c>
      <c r="AJ1208" t="str">
        <f>"C55-000-588-9674-7"</f>
        <v>C55-000-588-9674-7</v>
      </c>
      <c r="AK1208" t="str">
        <f>"20203"</f>
        <v>20203</v>
      </c>
      <c r="AL1208">
        <v>5</v>
      </c>
      <c r="AM1208">
        <v>1376</v>
      </c>
      <c r="AN1208">
        <v>40.32</v>
      </c>
      <c r="AQ1208" t="s">
        <v>12324</v>
      </c>
      <c r="AR1208" t="s">
        <v>12324</v>
      </c>
      <c r="AS1208" t="s">
        <v>12324</v>
      </c>
      <c r="AU1208" t="s">
        <v>396</v>
      </c>
      <c r="AV1208">
        <v>2017</v>
      </c>
      <c r="AW1208" t="str">
        <f>"37-2N-27-0000-0001-0220 "</f>
        <v xml:space="preserve">37-2N-27-0000-0001-0220 </v>
      </c>
      <c r="AX1208">
        <v>463773</v>
      </c>
      <c r="AY1208" t="s">
        <v>12325</v>
      </c>
      <c r="AZ1208" t="s">
        <v>8071</v>
      </c>
      <c r="BD1208" t="s">
        <v>2387</v>
      </c>
      <c r="BE1208" t="s">
        <v>393</v>
      </c>
      <c r="BF1208">
        <v>32097</v>
      </c>
      <c r="BG1208" t="s">
        <v>12326</v>
      </c>
      <c r="BH1208" t="s">
        <v>2388</v>
      </c>
      <c r="BI1208">
        <v>-81.554742138242503</v>
      </c>
      <c r="BJ1208">
        <v>30.6341397799055</v>
      </c>
      <c r="BK1208" t="s">
        <v>12327</v>
      </c>
      <c r="BM1208" t="s">
        <v>12328</v>
      </c>
      <c r="BN1208" t="s">
        <v>12329</v>
      </c>
      <c r="BO1208">
        <v>11042</v>
      </c>
      <c r="BP1208" t="s">
        <v>404</v>
      </c>
      <c r="BQ1208">
        <v>9600</v>
      </c>
      <c r="BR1208" t="s">
        <v>12330</v>
      </c>
      <c r="BS1208">
        <v>6013</v>
      </c>
      <c r="BT1208" t="s">
        <v>12331</v>
      </c>
      <c r="BW1208">
        <v>870328</v>
      </c>
      <c r="BX1208" t="s">
        <v>407</v>
      </c>
      <c r="BY1208" t="s">
        <v>11188</v>
      </c>
      <c r="CD1208">
        <v>2017</v>
      </c>
      <c r="CE1208">
        <v>507</v>
      </c>
      <c r="CG1208">
        <v>507</v>
      </c>
      <c r="CH1208">
        <v>2017</v>
      </c>
      <c r="CI1208">
        <v>507</v>
      </c>
      <c r="CK1208">
        <v>507</v>
      </c>
      <c r="CL1208">
        <v>2017</v>
      </c>
      <c r="CM1208">
        <v>7.69</v>
      </c>
      <c r="CN1208" s="1">
        <v>37977</v>
      </c>
      <c r="CO1208">
        <v>1925000</v>
      </c>
      <c r="CV1208">
        <v>0</v>
      </c>
      <c r="CZ1208" s="1">
        <v>37977</v>
      </c>
      <c r="DA1208">
        <v>0</v>
      </c>
      <c r="DD1208" t="s">
        <v>2387</v>
      </c>
      <c r="DG1208">
        <v>37</v>
      </c>
      <c r="DL1208">
        <v>50301</v>
      </c>
      <c r="DM1208" t="s">
        <v>12332</v>
      </c>
      <c r="DO1208" t="s">
        <v>12333</v>
      </c>
      <c r="DP1208">
        <v>0</v>
      </c>
      <c r="DQ1208">
        <v>0</v>
      </c>
      <c r="DR1208" t="s">
        <v>411</v>
      </c>
    </row>
    <row r="1209" spans="1:260" x14ac:dyDescent="0.25">
      <c r="A1209">
        <v>16486216</v>
      </c>
      <c r="B1209">
        <v>1208</v>
      </c>
      <c r="C1209" t="s">
        <v>393</v>
      </c>
      <c r="D1209" t="s">
        <v>394</v>
      </c>
      <c r="F1209" t="str">
        <f>"38-2N-27-0000-0008-0020"</f>
        <v>38-2N-27-0000-0008-0020</v>
      </c>
      <c r="H1209" t="str">
        <f>"HILLIARD TRUCK &amp; AUTO INC"</f>
        <v>HILLIARD TRUCK &amp; AUTO INC</v>
      </c>
      <c r="I1209" t="str">
        <f>"15928 CR 108"</f>
        <v>15928 CR 108</v>
      </c>
      <c r="J1209" t="str">
        <f>"HILLIARD FL 32046"</f>
        <v>HILLIARD FL 32046</v>
      </c>
      <c r="K1209" t="str">
        <f>"463471 SR 200"</f>
        <v>463471 SR 200</v>
      </c>
      <c r="L1209" t="str">
        <f t="shared" si="414"/>
        <v>YULEE FL 32097</v>
      </c>
      <c r="M1209" t="str">
        <f>"IN OR 1812/1516 ESMT OR 1457/915"</f>
        <v>IN OR 1812/1516 ESMT OR 1457/915</v>
      </c>
      <c r="N1209" t="str">
        <f>""</f>
        <v/>
      </c>
      <c r="O1209" t="str">
        <f>"44978"</f>
        <v>44978</v>
      </c>
      <c r="P1209" t="str">
        <f t="shared" si="382"/>
        <v>2017</v>
      </c>
      <c r="Q1209" t="str">
        <f>""</f>
        <v/>
      </c>
      <c r="R1209" t="str">
        <f t="shared" si="413"/>
        <v>N</v>
      </c>
      <c r="S1209" t="str">
        <f>""</f>
        <v/>
      </c>
      <c r="T1209" t="str">
        <f>"3185.79"</f>
        <v>3185.79</v>
      </c>
      <c r="U1209" t="str">
        <f>"210439.00"</f>
        <v>210439.00</v>
      </c>
      <c r="V1209" t="str">
        <f>"210439.00"</f>
        <v>210439.00</v>
      </c>
      <c r="W1209" t="str">
        <f t="shared" si="383"/>
        <v>2017</v>
      </c>
      <c r="X1209" t="str">
        <f>"12.00"</f>
        <v>12.00</v>
      </c>
      <c r="Y1209" t="str">
        <f>"3313.36"</f>
        <v>3313.36</v>
      </c>
      <c r="Z1209" t="str">
        <f>""</f>
        <v/>
      </c>
      <c r="AA1209" t="str">
        <f>"210439.00"</f>
        <v>210439.00</v>
      </c>
      <c r="AB1209" t="str">
        <f>"Commercial"</f>
        <v>Commercial</v>
      </c>
      <c r="AC1209" t="str">
        <f t="shared" si="399"/>
        <v>0</v>
      </c>
      <c r="AD1209" t="str">
        <f>"4"</f>
        <v>4</v>
      </c>
      <c r="AE1209" t="str">
        <f>"WOOD (INCLUDE STEEL STUDS)"</f>
        <v>WOOD (INCLUDE STEEL STUDS)</v>
      </c>
      <c r="AF1209" t="str">
        <f>"025"</f>
        <v>025</v>
      </c>
      <c r="AG1209" t="str">
        <f>"FL"</f>
        <v>FL</v>
      </c>
      <c r="AH1209" t="str">
        <f>"24353.00"</f>
        <v>24353.00</v>
      </c>
      <c r="AI1209" t="str">
        <f>"121766.00"</f>
        <v>121766.00</v>
      </c>
      <c r="AJ1209" t="str">
        <f>"C55-000-587-9984-2"</f>
        <v>C55-000-587-9984-2</v>
      </c>
      <c r="AK1209" t="str">
        <f>"20260"</f>
        <v>20260</v>
      </c>
      <c r="AL1209">
        <v>5</v>
      </c>
      <c r="AM1209">
        <v>1377</v>
      </c>
      <c r="AN1209">
        <v>3477.43</v>
      </c>
      <c r="AQ1209" t="s">
        <v>12334</v>
      </c>
      <c r="AR1209" t="s">
        <v>12334</v>
      </c>
      <c r="AS1209" t="s">
        <v>12334</v>
      </c>
      <c r="AU1209" t="s">
        <v>396</v>
      </c>
      <c r="AV1209">
        <v>2017</v>
      </c>
      <c r="AW1209" t="str">
        <f>"38-2N-27-0000-0008-0020 "</f>
        <v xml:space="preserve">38-2N-27-0000-0008-0020 </v>
      </c>
      <c r="AX1209">
        <v>463471</v>
      </c>
      <c r="AZ1209" t="s">
        <v>8071</v>
      </c>
      <c r="BD1209" t="s">
        <v>2387</v>
      </c>
      <c r="BE1209" t="s">
        <v>393</v>
      </c>
      <c r="BF1209">
        <v>32097</v>
      </c>
      <c r="BG1209" t="s">
        <v>12335</v>
      </c>
      <c r="BH1209" t="s">
        <v>2388</v>
      </c>
      <c r="BI1209">
        <v>-81.576225452604504</v>
      </c>
      <c r="BJ1209">
        <v>30.630469439196101</v>
      </c>
      <c r="BK1209" t="s">
        <v>12336</v>
      </c>
      <c r="BM1209" t="s">
        <v>12337</v>
      </c>
      <c r="BN1209" t="s">
        <v>403</v>
      </c>
      <c r="BO1209">
        <v>32046</v>
      </c>
      <c r="BP1209" t="s">
        <v>404</v>
      </c>
      <c r="BQ1209">
        <v>2500</v>
      </c>
      <c r="BR1209" t="s">
        <v>8066</v>
      </c>
      <c r="BS1209">
        <v>2027</v>
      </c>
      <c r="BT1209" t="s">
        <v>8067</v>
      </c>
      <c r="BW1209">
        <v>24354</v>
      </c>
      <c r="BX1209" t="s">
        <v>407</v>
      </c>
      <c r="BY1209" t="s">
        <v>2221</v>
      </c>
      <c r="BZ1209">
        <v>4</v>
      </c>
      <c r="CA1209">
        <v>1956</v>
      </c>
      <c r="CB1209">
        <v>1</v>
      </c>
      <c r="CC1209">
        <v>1</v>
      </c>
      <c r="CD1209">
        <v>2017</v>
      </c>
      <c r="CE1209">
        <v>121766</v>
      </c>
      <c r="CF1209">
        <v>88673</v>
      </c>
      <c r="CG1209">
        <v>210439</v>
      </c>
      <c r="CH1209">
        <v>2017</v>
      </c>
      <c r="CI1209">
        <v>121766</v>
      </c>
      <c r="CJ1209">
        <v>88673</v>
      </c>
      <c r="CK1209">
        <v>210439</v>
      </c>
      <c r="CL1209">
        <v>2017</v>
      </c>
      <c r="CM1209">
        <v>3185.79</v>
      </c>
      <c r="CN1209" s="1">
        <v>41128</v>
      </c>
      <c r="CO1209">
        <v>235300</v>
      </c>
      <c r="CV1209">
        <v>236446</v>
      </c>
      <c r="CX1209" t="s">
        <v>3031</v>
      </c>
      <c r="CZ1209" s="1">
        <v>41128</v>
      </c>
      <c r="DA1209">
        <v>0</v>
      </c>
      <c r="DD1209" t="s">
        <v>2387</v>
      </c>
      <c r="DG1209">
        <v>38</v>
      </c>
      <c r="DL1209">
        <v>50302</v>
      </c>
      <c r="DM1209" t="s">
        <v>12338</v>
      </c>
      <c r="DO1209" t="s">
        <v>12339</v>
      </c>
      <c r="DP1209">
        <v>0</v>
      </c>
      <c r="DQ1209">
        <v>1</v>
      </c>
      <c r="DR1209" t="s">
        <v>1479</v>
      </c>
      <c r="DS1209" t="b">
        <v>1</v>
      </c>
      <c r="DT1209" t="s">
        <v>470</v>
      </c>
      <c r="DU1209" t="s">
        <v>471</v>
      </c>
      <c r="DV1209" t="s">
        <v>472</v>
      </c>
      <c r="DX1209">
        <v>-9999</v>
      </c>
      <c r="DZ1209" t="s">
        <v>447</v>
      </c>
      <c r="EA1209" t="s">
        <v>448</v>
      </c>
      <c r="EB1209" t="s">
        <v>742</v>
      </c>
      <c r="EC1209">
        <v>20101217</v>
      </c>
      <c r="ED1209" t="s">
        <v>474</v>
      </c>
      <c r="EF1209">
        <v>4239.6000000000004</v>
      </c>
      <c r="EG1209">
        <v>4216.1000000000004</v>
      </c>
      <c r="EH1209" t="s">
        <v>451</v>
      </c>
      <c r="EI1209">
        <v>20140731</v>
      </c>
      <c r="EJ1209">
        <v>0</v>
      </c>
      <c r="EK1209">
        <v>0</v>
      </c>
      <c r="EP1209" t="s">
        <v>421</v>
      </c>
      <c r="EQ1209" t="s">
        <v>452</v>
      </c>
      <c r="ER1209">
        <v>2</v>
      </c>
      <c r="ES1209">
        <v>6</v>
      </c>
      <c r="ET1209">
        <v>7049.52</v>
      </c>
      <c r="EU1209">
        <v>364.98</v>
      </c>
      <c r="EV1209">
        <v>7414.5</v>
      </c>
      <c r="EW1209" s="2">
        <v>43222</v>
      </c>
      <c r="EX1209" s="1">
        <v>42879</v>
      </c>
      <c r="EY1209">
        <v>2016</v>
      </c>
      <c r="EZ1209">
        <v>3524.76</v>
      </c>
      <c r="FA1209" t="s">
        <v>12340</v>
      </c>
      <c r="FB1209">
        <v>0.25</v>
      </c>
      <c r="FC1209" t="s">
        <v>424</v>
      </c>
      <c r="FD1209" t="s">
        <v>454</v>
      </c>
      <c r="FF1209">
        <v>12</v>
      </c>
      <c r="FG1209">
        <v>2851116</v>
      </c>
      <c r="FH1209" t="s">
        <v>480</v>
      </c>
      <c r="FJ1209" s="1">
        <v>42879</v>
      </c>
      <c r="FK1209">
        <v>2016</v>
      </c>
      <c r="FL1209">
        <v>3524.76</v>
      </c>
      <c r="FM1209" t="s">
        <v>12340</v>
      </c>
      <c r="FN1209">
        <v>0.25</v>
      </c>
      <c r="FO1209" t="s">
        <v>424</v>
      </c>
      <c r="FP1209" t="s">
        <v>454</v>
      </c>
      <c r="FR1209">
        <v>12</v>
      </c>
      <c r="FS1209">
        <v>5075671</v>
      </c>
      <c r="FT1209" t="s">
        <v>12341</v>
      </c>
      <c r="FV1209" s="1">
        <v>42151</v>
      </c>
      <c r="FW1209">
        <v>2014</v>
      </c>
      <c r="FX1209">
        <v>3572.16</v>
      </c>
      <c r="FY1209" t="s">
        <v>12342</v>
      </c>
      <c r="FZ1209">
        <v>0.25</v>
      </c>
      <c r="GA1209" t="s">
        <v>424</v>
      </c>
      <c r="GB1209" t="s">
        <v>425</v>
      </c>
      <c r="GC1209" s="1">
        <v>42475</v>
      </c>
      <c r="GD1209">
        <v>11</v>
      </c>
      <c r="GE1209">
        <v>2851116</v>
      </c>
      <c r="GF1209" t="s">
        <v>480</v>
      </c>
      <c r="GG1209" t="s">
        <v>458</v>
      </c>
      <c r="GH1209" s="1">
        <v>42151</v>
      </c>
      <c r="GI1209">
        <v>2014</v>
      </c>
      <c r="GJ1209">
        <v>3572.16</v>
      </c>
      <c r="GK1209" t="s">
        <v>12342</v>
      </c>
      <c r="GL1209">
        <v>0.25</v>
      </c>
      <c r="GM1209" t="s">
        <v>424</v>
      </c>
      <c r="GN1209" t="s">
        <v>425</v>
      </c>
      <c r="GP1209">
        <v>22</v>
      </c>
      <c r="GQ1209">
        <v>5280260</v>
      </c>
      <c r="GR1209" t="s">
        <v>12343</v>
      </c>
      <c r="GS1209" t="s">
        <v>458</v>
      </c>
      <c r="GT1209" s="1">
        <v>41787</v>
      </c>
      <c r="GU1209">
        <v>2013</v>
      </c>
      <c r="GV1209">
        <v>3254.52</v>
      </c>
      <c r="GW1209" t="s">
        <v>12344</v>
      </c>
      <c r="GX1209">
        <v>0.25</v>
      </c>
      <c r="GY1209" t="s">
        <v>424</v>
      </c>
      <c r="GZ1209" t="s">
        <v>425</v>
      </c>
      <c r="HB1209">
        <v>22</v>
      </c>
      <c r="HC1209">
        <v>2407503</v>
      </c>
      <c r="HD1209" t="s">
        <v>461</v>
      </c>
      <c r="HE1209" t="s">
        <v>458</v>
      </c>
      <c r="HF1209" s="1">
        <v>41423</v>
      </c>
      <c r="HG1209">
        <v>2012</v>
      </c>
      <c r="HH1209">
        <v>3411.95</v>
      </c>
      <c r="HI1209" t="s">
        <v>12345</v>
      </c>
      <c r="HJ1209">
        <v>0.25</v>
      </c>
      <c r="HK1209" t="s">
        <v>424</v>
      </c>
      <c r="HL1209" t="s">
        <v>425</v>
      </c>
      <c r="HM1209" s="1">
        <v>41759</v>
      </c>
      <c r="HN1209">
        <v>11</v>
      </c>
      <c r="HO1209">
        <v>11303</v>
      </c>
      <c r="HP1209" t="s">
        <v>918</v>
      </c>
      <c r="HR1209" s="1">
        <v>41052</v>
      </c>
      <c r="HS1209">
        <v>2011</v>
      </c>
      <c r="HT1209">
        <v>3852.65</v>
      </c>
      <c r="HU1209" t="s">
        <v>12346</v>
      </c>
      <c r="HV1209">
        <v>0.25</v>
      </c>
      <c r="HW1209" t="s">
        <v>424</v>
      </c>
      <c r="HX1209" t="s">
        <v>425</v>
      </c>
      <c r="HY1209" s="1">
        <v>41128</v>
      </c>
      <c r="HZ1209">
        <v>3</v>
      </c>
      <c r="IA1209">
        <v>13297</v>
      </c>
      <c r="IB1209" t="s">
        <v>1471</v>
      </c>
      <c r="ID1209" s="1">
        <v>41052</v>
      </c>
      <c r="IE1209">
        <v>2011</v>
      </c>
      <c r="IF1209">
        <v>3852.65</v>
      </c>
      <c r="IG1209" t="s">
        <v>12346</v>
      </c>
      <c r="IH1209">
        <v>0.25</v>
      </c>
      <c r="II1209" t="s">
        <v>424</v>
      </c>
      <c r="IJ1209" t="s">
        <v>425</v>
      </c>
      <c r="IL1209">
        <v>22</v>
      </c>
      <c r="IM1209">
        <v>13588</v>
      </c>
      <c r="IN1209" t="s">
        <v>6680</v>
      </c>
    </row>
    <row r="1210" spans="1:260" x14ac:dyDescent="0.25">
      <c r="A1210">
        <v>16486217</v>
      </c>
      <c r="B1210">
        <v>1209</v>
      </c>
      <c r="C1210" t="s">
        <v>393</v>
      </c>
      <c r="D1210" t="s">
        <v>394</v>
      </c>
      <c r="F1210" t="str">
        <f>"38-2N-27-0000-0008-0040"</f>
        <v>38-2N-27-0000-0008-0040</v>
      </c>
      <c r="H1210" t="str">
        <f>"DICHARIA ANNA MARIE"</f>
        <v>DICHARIA ANNA MARIE</v>
      </c>
      <c r="I1210" t="str">
        <f>"86128 DI CHARIA ST"</f>
        <v>86128 DI CHARIA ST</v>
      </c>
      <c r="J1210" t="str">
        <f>"YULEE FL 32097"</f>
        <v>YULEE FL 32097</v>
      </c>
      <c r="K1210" t="str">
        <f>"DICHARIA ST"</f>
        <v>DICHARIA ST</v>
      </c>
      <c r="L1210" t="str">
        <f t="shared" si="414"/>
        <v>YULEE FL 32097</v>
      </c>
      <c r="M1210" t="str">
        <f>"IN OR 1550/32"</f>
        <v>IN OR 1550/32</v>
      </c>
      <c r="N1210" t="str">
        <f>""</f>
        <v/>
      </c>
      <c r="O1210" t="str">
        <f>"44980"</f>
        <v>44980</v>
      </c>
      <c r="P1210" t="str">
        <f t="shared" si="382"/>
        <v>2017</v>
      </c>
      <c r="Q1210" t="str">
        <f>""</f>
        <v/>
      </c>
      <c r="R1210" t="str">
        <f t="shared" si="413"/>
        <v>N</v>
      </c>
      <c r="S1210" t="str">
        <f>"1.87"</f>
        <v>1.87</v>
      </c>
      <c r="T1210" t="str">
        <f>"674.11"</f>
        <v>674.11</v>
      </c>
      <c r="U1210" t="str">
        <f>"44097.00"</f>
        <v>44097.00</v>
      </c>
      <c r="V1210" t="str">
        <f>"44097.00"</f>
        <v>44097.00</v>
      </c>
      <c r="W1210" t="str">
        <f t="shared" si="383"/>
        <v>2017</v>
      </c>
      <c r="X1210" t="str">
        <f>"16.80"</f>
        <v>16.80</v>
      </c>
      <c r="Y1210" t="str">
        <f>"726.33"</f>
        <v>726.33</v>
      </c>
      <c r="Z1210" t="str">
        <f>""</f>
        <v/>
      </c>
      <c r="AA1210" t="str">
        <f>"45088.00"</f>
        <v>45088.00</v>
      </c>
      <c r="AB1210" t="str">
        <f>"Residential"</f>
        <v>Residential</v>
      </c>
      <c r="AC1210" t="str">
        <f t="shared" si="399"/>
        <v>0</v>
      </c>
      <c r="AD1210" t="str">
        <f>""</f>
        <v/>
      </c>
      <c r="AE1210" t="str">
        <f>""</f>
        <v/>
      </c>
      <c r="AF1210" t="str">
        <f>"000"</f>
        <v>000</v>
      </c>
      <c r="AG1210" t="str">
        <f>"FL"</f>
        <v>FL</v>
      </c>
      <c r="AH1210" t="str">
        <f>"81457.00"</f>
        <v>81457.00</v>
      </c>
      <c r="AI1210" t="str">
        <f>"29920.00"</f>
        <v>29920.00</v>
      </c>
      <c r="AJ1210" t="str">
        <f>"C55-000-587-9986-7"</f>
        <v>C55-000-587-9986-7</v>
      </c>
      <c r="AK1210" t="str">
        <f>"20262"</f>
        <v>20262</v>
      </c>
      <c r="AL1210">
        <v>5</v>
      </c>
      <c r="AM1210">
        <v>1378</v>
      </c>
      <c r="AN1210">
        <v>761.05</v>
      </c>
      <c r="AQ1210" t="s">
        <v>12347</v>
      </c>
      <c r="AR1210" t="s">
        <v>12347</v>
      </c>
      <c r="AS1210" t="s">
        <v>12347</v>
      </c>
      <c r="AU1210" t="s">
        <v>396</v>
      </c>
      <c r="AV1210">
        <v>2017</v>
      </c>
      <c r="AW1210" t="str">
        <f>"38-2N-27-0000-0008-0040 "</f>
        <v xml:space="preserve">38-2N-27-0000-0008-0040 </v>
      </c>
      <c r="AZ1210" t="s">
        <v>12348</v>
      </c>
      <c r="BA1210" t="s">
        <v>1942</v>
      </c>
      <c r="BD1210" t="s">
        <v>2387</v>
      </c>
      <c r="BE1210" t="s">
        <v>393</v>
      </c>
      <c r="BF1210">
        <v>32097</v>
      </c>
      <c r="BG1210" t="s">
        <v>12349</v>
      </c>
      <c r="BH1210" t="s">
        <v>2388</v>
      </c>
      <c r="BI1210">
        <v>-81.576828332721107</v>
      </c>
      <c r="BJ1210">
        <v>30.6311698158128</v>
      </c>
      <c r="BK1210" t="s">
        <v>12350</v>
      </c>
      <c r="BM1210" t="s">
        <v>12351</v>
      </c>
      <c r="BN1210" t="s">
        <v>1778</v>
      </c>
      <c r="BO1210">
        <v>32097</v>
      </c>
      <c r="BP1210" t="s">
        <v>404</v>
      </c>
      <c r="BQ1210">
        <v>1</v>
      </c>
      <c r="BR1210" t="s">
        <v>491</v>
      </c>
      <c r="BS1210">
        <v>8001</v>
      </c>
      <c r="BT1210" t="s">
        <v>492</v>
      </c>
      <c r="BW1210">
        <v>81457</v>
      </c>
      <c r="BX1210" t="s">
        <v>407</v>
      </c>
      <c r="BY1210" t="s">
        <v>408</v>
      </c>
      <c r="CD1210">
        <v>2017</v>
      </c>
      <c r="CE1210">
        <v>29920</v>
      </c>
      <c r="CF1210">
        <v>15168</v>
      </c>
      <c r="CG1210">
        <v>45088</v>
      </c>
      <c r="CH1210">
        <v>2017</v>
      </c>
      <c r="CI1210">
        <v>29920</v>
      </c>
      <c r="CJ1210">
        <v>15168</v>
      </c>
      <c r="CK1210">
        <v>45088</v>
      </c>
      <c r="CL1210">
        <v>2017</v>
      </c>
      <c r="CM1210">
        <v>674.11</v>
      </c>
      <c r="CN1210" s="1">
        <v>39485</v>
      </c>
      <c r="CZ1210" s="1">
        <v>39485</v>
      </c>
      <c r="DD1210" t="s">
        <v>2387</v>
      </c>
      <c r="DG1210">
        <v>38</v>
      </c>
      <c r="DL1210">
        <v>50302</v>
      </c>
      <c r="DM1210" t="s">
        <v>12338</v>
      </c>
      <c r="DO1210" t="s">
        <v>12352</v>
      </c>
      <c r="DP1210">
        <v>0</v>
      </c>
      <c r="DQ1210">
        <v>1</v>
      </c>
      <c r="DR1210" t="s">
        <v>1479</v>
      </c>
      <c r="DS1210" t="b">
        <v>1</v>
      </c>
      <c r="DT1210" t="s">
        <v>470</v>
      </c>
      <c r="DU1210" t="s">
        <v>471</v>
      </c>
      <c r="DV1210" t="s">
        <v>472</v>
      </c>
      <c r="DX1210">
        <v>-9999</v>
      </c>
      <c r="DZ1210" t="s">
        <v>447</v>
      </c>
      <c r="EA1210" t="s">
        <v>448</v>
      </c>
      <c r="EB1210" t="s">
        <v>742</v>
      </c>
      <c r="EC1210">
        <v>20101217</v>
      </c>
      <c r="ED1210" t="s">
        <v>474</v>
      </c>
      <c r="EF1210">
        <v>1126.0999999999999</v>
      </c>
      <c r="EG1210">
        <v>1126.0999999999999</v>
      </c>
      <c r="EI1210">
        <v>20160407</v>
      </c>
      <c r="EJ1210">
        <v>0</v>
      </c>
      <c r="EK1210">
        <v>0</v>
      </c>
      <c r="EP1210" t="s">
        <v>421</v>
      </c>
      <c r="EQ1210" t="s">
        <v>422</v>
      </c>
      <c r="ER1210">
        <v>1</v>
      </c>
      <c r="ES1210">
        <v>5</v>
      </c>
      <c r="ET1210">
        <v>692.54</v>
      </c>
      <c r="EU1210">
        <v>68.58</v>
      </c>
      <c r="EV1210">
        <v>761.12</v>
      </c>
      <c r="EW1210" s="2">
        <v>43222</v>
      </c>
      <c r="EX1210" s="1">
        <v>42879</v>
      </c>
      <c r="EY1210">
        <v>2016</v>
      </c>
      <c r="EZ1210">
        <v>692.54</v>
      </c>
      <c r="FA1210" t="s">
        <v>12353</v>
      </c>
      <c r="FB1210">
        <v>9</v>
      </c>
      <c r="FC1210" t="s">
        <v>424</v>
      </c>
      <c r="FD1210" t="s">
        <v>454</v>
      </c>
      <c r="FF1210">
        <v>12</v>
      </c>
      <c r="FG1210">
        <v>10125</v>
      </c>
      <c r="FH1210" t="s">
        <v>440</v>
      </c>
      <c r="FJ1210" s="1">
        <v>42515</v>
      </c>
      <c r="FK1210">
        <v>2015</v>
      </c>
      <c r="FL1210">
        <v>703.7</v>
      </c>
      <c r="FM1210" t="s">
        <v>12354</v>
      </c>
      <c r="FN1210">
        <v>4.75</v>
      </c>
      <c r="FO1210" t="s">
        <v>424</v>
      </c>
      <c r="FP1210" t="s">
        <v>425</v>
      </c>
      <c r="FQ1210" s="1">
        <v>43143</v>
      </c>
      <c r="FR1210">
        <v>21</v>
      </c>
      <c r="FS1210">
        <v>2035919</v>
      </c>
      <c r="FT1210" t="s">
        <v>507</v>
      </c>
      <c r="FV1210" s="1">
        <v>42151</v>
      </c>
      <c r="FW1210">
        <v>2014</v>
      </c>
      <c r="FX1210">
        <v>803.05</v>
      </c>
      <c r="FY1210" t="s">
        <v>12355</v>
      </c>
      <c r="FZ1210">
        <v>0.25</v>
      </c>
      <c r="GA1210" t="s">
        <v>424</v>
      </c>
      <c r="GB1210" t="s">
        <v>425</v>
      </c>
      <c r="GC1210" s="1">
        <v>43143</v>
      </c>
      <c r="GD1210">
        <v>33</v>
      </c>
      <c r="GE1210">
        <v>2101382</v>
      </c>
      <c r="GF1210" t="s">
        <v>993</v>
      </c>
      <c r="GH1210" s="1">
        <v>42151</v>
      </c>
      <c r="GI1210">
        <v>2014</v>
      </c>
      <c r="GJ1210">
        <v>803.05</v>
      </c>
      <c r="GK1210" t="s">
        <v>12355</v>
      </c>
      <c r="GL1210">
        <v>0.25</v>
      </c>
      <c r="GM1210" t="s">
        <v>424</v>
      </c>
      <c r="GN1210" t="s">
        <v>425</v>
      </c>
      <c r="GP1210">
        <v>22</v>
      </c>
      <c r="GQ1210">
        <v>5495500</v>
      </c>
      <c r="GR1210" t="s">
        <v>12356</v>
      </c>
      <c r="GT1210" s="1">
        <v>41052</v>
      </c>
      <c r="GU1210">
        <v>2011</v>
      </c>
      <c r="GV1210">
        <v>856.7</v>
      </c>
      <c r="GW1210" t="s">
        <v>12357</v>
      </c>
      <c r="GX1210">
        <v>6</v>
      </c>
      <c r="GY1210" t="s">
        <v>424</v>
      </c>
      <c r="GZ1210" t="s">
        <v>425</v>
      </c>
      <c r="HA1210" s="1">
        <v>41149</v>
      </c>
      <c r="HB1210">
        <v>3</v>
      </c>
      <c r="HC1210">
        <v>105</v>
      </c>
      <c r="HD1210" t="s">
        <v>946</v>
      </c>
      <c r="HF1210" s="1">
        <v>40688</v>
      </c>
      <c r="HG1210">
        <v>2010</v>
      </c>
      <c r="HH1210">
        <v>955.64</v>
      </c>
      <c r="HI1210" t="s">
        <v>12358</v>
      </c>
      <c r="HJ1210">
        <v>6.5</v>
      </c>
      <c r="HK1210" t="s">
        <v>424</v>
      </c>
      <c r="HL1210" t="s">
        <v>425</v>
      </c>
      <c r="HM1210" s="1">
        <v>41149</v>
      </c>
      <c r="HN1210">
        <v>15</v>
      </c>
      <c r="HO1210">
        <v>62</v>
      </c>
      <c r="HP1210" t="s">
        <v>463</v>
      </c>
    </row>
    <row r="1211" spans="1:260" x14ac:dyDescent="0.25">
      <c r="A1211">
        <v>16486218</v>
      </c>
      <c r="B1211">
        <v>1210</v>
      </c>
      <c r="C1211" t="s">
        <v>393</v>
      </c>
      <c r="D1211" t="s">
        <v>394</v>
      </c>
      <c r="F1211" t="str">
        <f>"38-2N-27-0000-0011-0010"</f>
        <v>38-2N-27-0000-0011-0010</v>
      </c>
      <c r="H1211" t="str">
        <f>"THOMAS ANDREW EST C/O GLORIA THOMAS"</f>
        <v>THOMAS ANDREW EST C/O GLORIA THOMAS</v>
      </c>
      <c r="I1211" t="str">
        <f>"PO BOX 24"</f>
        <v>PO BOX 24</v>
      </c>
      <c r="J1211" t="str">
        <f>"YULEE FL 32041"</f>
        <v>YULEE FL 32041</v>
      </c>
      <c r="K1211" t="str">
        <f>"463400 SR 200"</f>
        <v>463400 SR 200</v>
      </c>
      <c r="L1211" t="str">
        <f t="shared" si="414"/>
        <v>YULEE FL 32097</v>
      </c>
      <c r="M1211" t="str">
        <f>"OR 729/1670 &amp; PT OR 749/1649 EX R/W IN OR 203/470"</f>
        <v>OR 729/1670 &amp; PT OR 749/1649 EX R/W IN OR 203/470</v>
      </c>
      <c r="N1211" t="str">
        <f>""</f>
        <v/>
      </c>
      <c r="O1211" t="str">
        <f>"44983"</f>
        <v>44983</v>
      </c>
      <c r="P1211" t="str">
        <f t="shared" si="382"/>
        <v>2017</v>
      </c>
      <c r="Q1211" t="str">
        <f>""</f>
        <v/>
      </c>
      <c r="R1211" t="str">
        <f t="shared" si="413"/>
        <v>N</v>
      </c>
      <c r="S1211" t="str">
        <f>""</f>
        <v/>
      </c>
      <c r="T1211" t="str">
        <f>"2113.31"</f>
        <v>2113.31</v>
      </c>
      <c r="U1211" t="str">
        <f>"139595.00"</f>
        <v>139595.00</v>
      </c>
      <c r="V1211" t="str">
        <f>"139595.00"</f>
        <v>139595.00</v>
      </c>
      <c r="W1211" t="str">
        <f t="shared" si="383"/>
        <v>2017</v>
      </c>
      <c r="X1211" t="str">
        <f>"23.78"</f>
        <v>23.78</v>
      </c>
      <c r="Y1211" t="str">
        <f>"2208.71"</f>
        <v>2208.71</v>
      </c>
      <c r="Z1211" t="str">
        <f>""</f>
        <v/>
      </c>
      <c r="AA1211" t="str">
        <f>"139595.00"</f>
        <v>139595.00</v>
      </c>
      <c r="AB1211" t="str">
        <f>"Residential"</f>
        <v>Residential</v>
      </c>
      <c r="AC1211" t="str">
        <f t="shared" si="399"/>
        <v>0</v>
      </c>
      <c r="AD1211" t="str">
        <f>"4"</f>
        <v>4</v>
      </c>
      <c r="AE1211" t="str">
        <f>"WOOD (INCLUDE STEEL STUDS)"</f>
        <v>WOOD (INCLUDE STEEL STUDS)</v>
      </c>
      <c r="AF1211" t="str">
        <f>"001"</f>
        <v>001</v>
      </c>
      <c r="AG1211" t="str">
        <f>"FL"</f>
        <v>FL</v>
      </c>
      <c r="AH1211" t="str">
        <f>"25830.00"</f>
        <v>25830.00</v>
      </c>
      <c r="AI1211" t="str">
        <f>"124740.00"</f>
        <v>124740.00</v>
      </c>
      <c r="AJ1211" t="str">
        <f>"C55-000-587-9988-3"</f>
        <v>C55-000-587-9988-3</v>
      </c>
      <c r="AK1211" t="str">
        <f>"20264"</f>
        <v>20264</v>
      </c>
      <c r="AL1211">
        <v>5</v>
      </c>
      <c r="AM1211">
        <v>1379</v>
      </c>
      <c r="AN1211">
        <v>2317.5500000000002</v>
      </c>
      <c r="AQ1211" t="s">
        <v>12359</v>
      </c>
      <c r="AR1211" t="s">
        <v>12359</v>
      </c>
      <c r="AS1211" t="s">
        <v>12359</v>
      </c>
      <c r="AU1211" t="s">
        <v>396</v>
      </c>
      <c r="AV1211">
        <v>2017</v>
      </c>
      <c r="AW1211" t="str">
        <f>"38-2N-27-0000-0011-0010 "</f>
        <v xml:space="preserve">38-2N-27-0000-0011-0010 </v>
      </c>
      <c r="AX1211">
        <v>463400</v>
      </c>
      <c r="AZ1211" t="s">
        <v>8071</v>
      </c>
      <c r="BD1211" t="s">
        <v>2387</v>
      </c>
      <c r="BE1211" t="s">
        <v>393</v>
      </c>
      <c r="BF1211">
        <v>32097</v>
      </c>
      <c r="BG1211" t="s">
        <v>12360</v>
      </c>
      <c r="BH1211" t="s">
        <v>2388</v>
      </c>
      <c r="BI1211">
        <v>-81.581957970398506</v>
      </c>
      <c r="BJ1211">
        <v>30.630027035059499</v>
      </c>
      <c r="BK1211" t="s">
        <v>12361</v>
      </c>
      <c r="BM1211" t="s">
        <v>12362</v>
      </c>
      <c r="BN1211" t="s">
        <v>1778</v>
      </c>
      <c r="BO1211">
        <v>32041</v>
      </c>
      <c r="BP1211" t="s">
        <v>404</v>
      </c>
      <c r="BQ1211">
        <v>100</v>
      </c>
      <c r="BR1211" t="s">
        <v>514</v>
      </c>
      <c r="BS1211">
        <v>1001</v>
      </c>
      <c r="BT1211" t="s">
        <v>515</v>
      </c>
      <c r="BU1211">
        <v>2100</v>
      </c>
      <c r="BV1211">
        <v>1230</v>
      </c>
      <c r="BW1211">
        <v>29837</v>
      </c>
      <c r="BX1211" t="s">
        <v>407</v>
      </c>
      <c r="BY1211" t="s">
        <v>408</v>
      </c>
      <c r="BZ1211">
        <v>4</v>
      </c>
      <c r="CA1211">
        <v>1900</v>
      </c>
      <c r="CB1211">
        <v>1</v>
      </c>
      <c r="CC1211">
        <v>1</v>
      </c>
      <c r="CD1211">
        <v>2017</v>
      </c>
      <c r="CE1211">
        <v>124740</v>
      </c>
      <c r="CF1211">
        <v>14855</v>
      </c>
      <c r="CG1211">
        <v>139595</v>
      </c>
      <c r="CH1211">
        <v>2017</v>
      </c>
      <c r="CI1211">
        <v>124740</v>
      </c>
      <c r="CJ1211">
        <v>14855</v>
      </c>
      <c r="CK1211">
        <v>139595</v>
      </c>
      <c r="CL1211">
        <v>2017</v>
      </c>
      <c r="CM1211">
        <v>2113.31</v>
      </c>
      <c r="CN1211" s="1">
        <v>35093</v>
      </c>
      <c r="CZ1211" s="1">
        <v>35093</v>
      </c>
      <c r="DD1211" t="s">
        <v>2387</v>
      </c>
      <c r="DG1211">
        <v>38</v>
      </c>
      <c r="DL1211">
        <v>50302</v>
      </c>
      <c r="DM1211" t="s">
        <v>12338</v>
      </c>
      <c r="DO1211" t="s">
        <v>12363</v>
      </c>
      <c r="DP1211">
        <v>0</v>
      </c>
      <c r="DQ1211">
        <v>1</v>
      </c>
      <c r="DR1211" t="s">
        <v>411</v>
      </c>
      <c r="DS1211" t="b">
        <v>1</v>
      </c>
      <c r="DT1211" t="s">
        <v>470</v>
      </c>
      <c r="DU1211" t="s">
        <v>471</v>
      </c>
      <c r="DV1211" t="s">
        <v>472</v>
      </c>
      <c r="DX1211">
        <v>-9999</v>
      </c>
      <c r="DZ1211" t="s">
        <v>447</v>
      </c>
      <c r="EA1211" t="s">
        <v>448</v>
      </c>
      <c r="EB1211" t="s">
        <v>742</v>
      </c>
      <c r="EC1211">
        <v>20101217</v>
      </c>
      <c r="ED1211" t="s">
        <v>474</v>
      </c>
      <c r="EF1211">
        <v>4239.6000000000004</v>
      </c>
      <c r="EG1211">
        <v>4216.1000000000004</v>
      </c>
      <c r="EH1211" t="s">
        <v>451</v>
      </c>
      <c r="EI1211">
        <v>20140731</v>
      </c>
      <c r="EJ1211">
        <v>2</v>
      </c>
      <c r="EK1211">
        <v>0</v>
      </c>
      <c r="EP1211" t="s">
        <v>421</v>
      </c>
      <c r="EQ1211" t="s">
        <v>452</v>
      </c>
      <c r="ER1211">
        <v>2</v>
      </c>
      <c r="ES1211">
        <v>7</v>
      </c>
      <c r="ET1211">
        <v>4689.12</v>
      </c>
      <c r="EU1211">
        <v>246.96</v>
      </c>
      <c r="EV1211">
        <v>4936.08</v>
      </c>
      <c r="EW1211" s="2">
        <v>43222</v>
      </c>
      <c r="EX1211" s="1">
        <v>42879</v>
      </c>
      <c r="EY1211">
        <v>2016</v>
      </c>
      <c r="EZ1211">
        <v>2344.56</v>
      </c>
      <c r="FA1211" t="s">
        <v>12364</v>
      </c>
      <c r="FB1211">
        <v>0.25</v>
      </c>
      <c r="FC1211" t="s">
        <v>424</v>
      </c>
      <c r="FD1211" t="s">
        <v>454</v>
      </c>
      <c r="FF1211">
        <v>12</v>
      </c>
      <c r="FG1211">
        <v>2851116</v>
      </c>
      <c r="FH1211" t="s">
        <v>480</v>
      </c>
      <c r="FJ1211" s="1">
        <v>42879</v>
      </c>
      <c r="FK1211">
        <v>2016</v>
      </c>
      <c r="FL1211">
        <v>2344.56</v>
      </c>
      <c r="FM1211" t="s">
        <v>12364</v>
      </c>
      <c r="FN1211">
        <v>0.25</v>
      </c>
      <c r="FO1211" t="s">
        <v>424</v>
      </c>
      <c r="FP1211" t="s">
        <v>454</v>
      </c>
      <c r="FR1211">
        <v>12</v>
      </c>
      <c r="FS1211">
        <v>5359328</v>
      </c>
      <c r="FT1211" t="s">
        <v>12365</v>
      </c>
      <c r="FV1211" s="1">
        <v>42151</v>
      </c>
      <c r="FW1211">
        <v>2014</v>
      </c>
      <c r="FX1211">
        <v>2766.73</v>
      </c>
      <c r="FY1211" t="s">
        <v>12366</v>
      </c>
      <c r="FZ1211">
        <v>0.25</v>
      </c>
      <c r="GA1211" t="s">
        <v>424</v>
      </c>
      <c r="GB1211" t="s">
        <v>425</v>
      </c>
      <c r="GD1211">
        <v>22</v>
      </c>
      <c r="GE1211">
        <v>15259</v>
      </c>
      <c r="GF1211" t="s">
        <v>891</v>
      </c>
      <c r="GG1211" t="s">
        <v>458</v>
      </c>
      <c r="GH1211" s="1">
        <v>42151</v>
      </c>
      <c r="GI1211">
        <v>2014</v>
      </c>
      <c r="GJ1211">
        <v>2766.73</v>
      </c>
      <c r="GK1211" t="s">
        <v>12366</v>
      </c>
      <c r="GL1211">
        <v>0.25</v>
      </c>
      <c r="GM1211" t="s">
        <v>424</v>
      </c>
      <c r="GN1211" t="s">
        <v>425</v>
      </c>
      <c r="GP1211">
        <v>22</v>
      </c>
      <c r="GQ1211">
        <v>6989887</v>
      </c>
      <c r="GR1211" t="s">
        <v>12367</v>
      </c>
      <c r="GS1211" t="s">
        <v>458</v>
      </c>
      <c r="GT1211" s="1">
        <v>42151</v>
      </c>
      <c r="GU1211">
        <v>2014</v>
      </c>
      <c r="GV1211">
        <v>2766.73</v>
      </c>
      <c r="GW1211" t="s">
        <v>12366</v>
      </c>
      <c r="GX1211">
        <v>0.25</v>
      </c>
      <c r="GY1211" t="s">
        <v>424</v>
      </c>
      <c r="GZ1211" t="s">
        <v>425</v>
      </c>
      <c r="HA1211" s="1">
        <v>42479</v>
      </c>
      <c r="HB1211">
        <v>11</v>
      </c>
      <c r="HC1211">
        <v>7045049</v>
      </c>
      <c r="HD1211" t="s">
        <v>1335</v>
      </c>
      <c r="HE1211" t="s">
        <v>458</v>
      </c>
      <c r="HF1211" s="1">
        <v>41787</v>
      </c>
      <c r="HG1211">
        <v>2013</v>
      </c>
      <c r="HH1211">
        <v>2588.75</v>
      </c>
      <c r="HI1211" t="s">
        <v>12368</v>
      </c>
      <c r="HJ1211">
        <v>0.25</v>
      </c>
      <c r="HK1211" t="s">
        <v>424</v>
      </c>
      <c r="HL1211" t="s">
        <v>425</v>
      </c>
      <c r="HN1211">
        <v>22</v>
      </c>
      <c r="HO1211">
        <v>2662137</v>
      </c>
      <c r="HP1211" t="s">
        <v>916</v>
      </c>
      <c r="HQ1211" t="s">
        <v>458</v>
      </c>
      <c r="HR1211" s="1">
        <v>41423</v>
      </c>
      <c r="HS1211">
        <v>2012</v>
      </c>
      <c r="HT1211">
        <v>2624.64</v>
      </c>
      <c r="HU1211" t="s">
        <v>12369</v>
      </c>
      <c r="HV1211">
        <v>0.25</v>
      </c>
      <c r="HW1211" t="s">
        <v>424</v>
      </c>
      <c r="HX1211" t="s">
        <v>425</v>
      </c>
      <c r="HY1211" s="1">
        <v>42094</v>
      </c>
      <c r="HZ1211">
        <v>22</v>
      </c>
      <c r="IA1211">
        <v>15970</v>
      </c>
      <c r="IB1211" t="s">
        <v>1435</v>
      </c>
      <c r="ID1211" s="1">
        <v>41052</v>
      </c>
      <c r="IE1211">
        <v>2011</v>
      </c>
      <c r="IF1211">
        <v>2638.87</v>
      </c>
      <c r="IG1211" t="s">
        <v>12370</v>
      </c>
      <c r="IH1211">
        <v>8.75</v>
      </c>
      <c r="II1211" t="s">
        <v>424</v>
      </c>
      <c r="IJ1211" t="s">
        <v>425</v>
      </c>
      <c r="IK1211" s="1">
        <v>41726</v>
      </c>
      <c r="IL1211">
        <v>22</v>
      </c>
      <c r="IM1211">
        <v>443</v>
      </c>
      <c r="IN1211" t="s">
        <v>12371</v>
      </c>
      <c r="IP1211" s="1">
        <v>40688</v>
      </c>
      <c r="IQ1211">
        <v>2010</v>
      </c>
      <c r="IR1211">
        <v>2656.12</v>
      </c>
      <c r="IS1211" t="s">
        <v>12372</v>
      </c>
      <c r="IT1211">
        <v>4.75</v>
      </c>
      <c r="IU1211" t="s">
        <v>424</v>
      </c>
      <c r="IV1211" t="s">
        <v>425</v>
      </c>
      <c r="IW1211" s="1">
        <v>41053</v>
      </c>
      <c r="IX1211">
        <v>12</v>
      </c>
      <c r="IY1211">
        <v>443</v>
      </c>
      <c r="IZ1211" t="s">
        <v>12371</v>
      </c>
    </row>
    <row r="1212" spans="1:260" x14ac:dyDescent="0.25">
      <c r="A1212">
        <v>16486219</v>
      </c>
      <c r="B1212">
        <v>1211</v>
      </c>
      <c r="C1212" t="s">
        <v>393</v>
      </c>
      <c r="D1212" t="s">
        <v>394</v>
      </c>
      <c r="F1212" t="str">
        <f>"38-2N-27-0000-0011-0030"</f>
        <v>38-2N-27-0000-0011-0030</v>
      </c>
      <c r="H1212" t="str">
        <f>"THOMAS ANDREW EST C/O GLORIA THOMAS"</f>
        <v>THOMAS ANDREW EST C/O GLORIA THOMAS</v>
      </c>
      <c r="I1212" t="str">
        <f>"PO BOX 24"</f>
        <v>PO BOX 24</v>
      </c>
      <c r="J1212" t="str">
        <f>"YULEE FL 32041"</f>
        <v>YULEE FL 32041</v>
      </c>
      <c r="K1212" t="str">
        <f>"EAST SR 200"</f>
        <v>EAST SR 200</v>
      </c>
      <c r="L1212" t="str">
        <f t="shared" si="414"/>
        <v>YULEE FL 32097</v>
      </c>
      <c r="M1212" t="str">
        <f>"OR 677/441 &amp; PT OR 749/1649"</f>
        <v>OR 677/441 &amp; PT OR 749/1649</v>
      </c>
      <c r="N1212" t="str">
        <f>""</f>
        <v/>
      </c>
      <c r="O1212" t="str">
        <f>"44985"</f>
        <v>44985</v>
      </c>
      <c r="P1212" t="str">
        <f t="shared" si="382"/>
        <v>2017</v>
      </c>
      <c r="Q1212" t="str">
        <f>""</f>
        <v/>
      </c>
      <c r="R1212" t="str">
        <f t="shared" si="413"/>
        <v>N</v>
      </c>
      <c r="S1212" t="str">
        <f>"2.00"</f>
        <v>2.00</v>
      </c>
      <c r="T1212" t="str">
        <f>"2270.82"</f>
        <v>2270.82</v>
      </c>
      <c r="U1212" t="str">
        <f>"150000.00"</f>
        <v>150000.00</v>
      </c>
      <c r="V1212" t="str">
        <f>"150000.00"</f>
        <v>150000.00</v>
      </c>
      <c r="W1212" t="str">
        <f t="shared" si="383"/>
        <v>2017</v>
      </c>
      <c r="X1212" t="str">
        <f>"28.60"</f>
        <v>28.60</v>
      </c>
      <c r="Y1212" t="str">
        <f>"2370.94"</f>
        <v>2370.94</v>
      </c>
      <c r="Z1212" t="str">
        <f>""</f>
        <v/>
      </c>
      <c r="AA1212" t="str">
        <f>"150000.00"</f>
        <v>150000.00</v>
      </c>
      <c r="AB1212" t="str">
        <f>"Residential"</f>
        <v>Residential</v>
      </c>
      <c r="AC1212" t="str">
        <f t="shared" si="399"/>
        <v>0</v>
      </c>
      <c r="AD1212" t="str">
        <f>""</f>
        <v/>
      </c>
      <c r="AE1212" t="str">
        <f>""</f>
        <v/>
      </c>
      <c r="AF1212" t="str">
        <f>"000"</f>
        <v>000</v>
      </c>
      <c r="AG1212" t="str">
        <f>"FL"</f>
        <v>FL</v>
      </c>
      <c r="AH1212" t="str">
        <f>"87120.00"</f>
        <v>87120.00</v>
      </c>
      <c r="AI1212" t="str">
        <f>"150000.00"</f>
        <v>150000.00</v>
      </c>
      <c r="AJ1212" t="str">
        <f>"C55-000-587-9990-9"</f>
        <v>C55-000-587-9990-9</v>
      </c>
      <c r="AK1212" t="str">
        <f>"20266"</f>
        <v>20266</v>
      </c>
      <c r="AL1212">
        <v>5</v>
      </c>
      <c r="AM1212">
        <v>1380</v>
      </c>
      <c r="AN1212">
        <v>2487.89</v>
      </c>
      <c r="AQ1212" t="s">
        <v>12373</v>
      </c>
      <c r="AR1212" t="s">
        <v>12373</v>
      </c>
      <c r="AS1212" t="s">
        <v>12373</v>
      </c>
      <c r="AU1212" t="s">
        <v>396</v>
      </c>
      <c r="AV1212">
        <v>2017</v>
      </c>
      <c r="AW1212" t="str">
        <f>"38-2N-27-0000-0011-0030 "</f>
        <v xml:space="preserve">38-2N-27-0000-0011-0030 </v>
      </c>
      <c r="AY1212" t="s">
        <v>12325</v>
      </c>
      <c r="AZ1212" t="s">
        <v>8071</v>
      </c>
      <c r="BD1212" t="s">
        <v>2387</v>
      </c>
      <c r="BE1212" t="s">
        <v>393</v>
      </c>
      <c r="BF1212">
        <v>32097</v>
      </c>
      <c r="BG1212" t="s">
        <v>12374</v>
      </c>
      <c r="BH1212" t="s">
        <v>2388</v>
      </c>
      <c r="BI1212">
        <v>-81.582274918131901</v>
      </c>
      <c r="BJ1212">
        <v>30.629774034780102</v>
      </c>
      <c r="BK1212" t="s">
        <v>12361</v>
      </c>
      <c r="BM1212" t="s">
        <v>12362</v>
      </c>
      <c r="BN1212" t="s">
        <v>1778</v>
      </c>
      <c r="BO1212">
        <v>32041</v>
      </c>
      <c r="BP1212" t="s">
        <v>404</v>
      </c>
      <c r="BQ1212">
        <v>0</v>
      </c>
      <c r="BR1212" t="s">
        <v>491</v>
      </c>
      <c r="BS1212">
        <v>8001</v>
      </c>
      <c r="BT1212" t="s">
        <v>492</v>
      </c>
      <c r="BW1212">
        <v>87120</v>
      </c>
      <c r="BX1212" t="s">
        <v>407</v>
      </c>
      <c r="BY1212" t="s">
        <v>408</v>
      </c>
      <c r="CD1212">
        <v>2017</v>
      </c>
      <c r="CE1212">
        <v>150000</v>
      </c>
      <c r="CG1212">
        <v>150000</v>
      </c>
      <c r="CH1212">
        <v>2017</v>
      </c>
      <c r="CI1212">
        <v>150000</v>
      </c>
      <c r="CK1212">
        <v>150000</v>
      </c>
      <c r="CL1212">
        <v>2017</v>
      </c>
      <c r="CM1212">
        <v>2270.8200000000002</v>
      </c>
      <c r="CN1212" s="1">
        <v>35093</v>
      </c>
      <c r="CZ1212" s="1">
        <v>35093</v>
      </c>
      <c r="DD1212" t="s">
        <v>2387</v>
      </c>
      <c r="DG1212">
        <v>38</v>
      </c>
      <c r="DL1212">
        <v>50302</v>
      </c>
      <c r="DM1212" t="s">
        <v>12338</v>
      </c>
      <c r="DO1212" t="s">
        <v>12375</v>
      </c>
      <c r="DP1212">
        <v>0</v>
      </c>
      <c r="DQ1212">
        <v>2</v>
      </c>
      <c r="DR1212" t="s">
        <v>1479</v>
      </c>
      <c r="DS1212" t="b">
        <v>1</v>
      </c>
      <c r="DT1212" t="s">
        <v>470</v>
      </c>
      <c r="DU1212" t="s">
        <v>471</v>
      </c>
      <c r="DV1212" t="s">
        <v>472</v>
      </c>
      <c r="DX1212">
        <v>-9999</v>
      </c>
      <c r="DZ1212" t="s">
        <v>447</v>
      </c>
      <c r="EA1212" t="s">
        <v>448</v>
      </c>
      <c r="EB1212" t="s">
        <v>742</v>
      </c>
      <c r="EC1212">
        <v>20101217</v>
      </c>
      <c r="ED1212" t="s">
        <v>474</v>
      </c>
      <c r="EF1212">
        <v>2855.9</v>
      </c>
      <c r="EG1212">
        <v>2724.9</v>
      </c>
      <c r="EI1212">
        <v>20160407</v>
      </c>
      <c r="EJ1212">
        <v>0</v>
      </c>
      <c r="EK1212">
        <v>0</v>
      </c>
      <c r="EP1212" t="s">
        <v>421</v>
      </c>
      <c r="EQ1212" t="s">
        <v>422</v>
      </c>
      <c r="ER1212">
        <v>2</v>
      </c>
      <c r="ES1212">
        <v>6</v>
      </c>
      <c r="ET1212">
        <v>5034.62</v>
      </c>
      <c r="EU1212">
        <v>264.23</v>
      </c>
      <c r="EV1212">
        <v>5298.85</v>
      </c>
      <c r="EW1212" s="2">
        <v>43222</v>
      </c>
      <c r="EX1212" s="1">
        <v>42879</v>
      </c>
      <c r="EY1212">
        <v>2016</v>
      </c>
      <c r="EZ1212">
        <v>2517.31</v>
      </c>
      <c r="FA1212" t="s">
        <v>12376</v>
      </c>
      <c r="FB1212">
        <v>0.25</v>
      </c>
      <c r="FC1212" t="s">
        <v>424</v>
      </c>
      <c r="FD1212" t="s">
        <v>454</v>
      </c>
      <c r="FF1212">
        <v>12</v>
      </c>
      <c r="FG1212">
        <v>7400234</v>
      </c>
      <c r="FH1212" t="s">
        <v>426</v>
      </c>
      <c r="FJ1212" s="1">
        <v>42879</v>
      </c>
      <c r="FK1212">
        <v>2016</v>
      </c>
      <c r="FL1212">
        <v>2517.31</v>
      </c>
      <c r="FM1212" t="s">
        <v>12376</v>
      </c>
      <c r="FN1212">
        <v>0.25</v>
      </c>
      <c r="FO1212" t="s">
        <v>424</v>
      </c>
      <c r="FP1212" t="s">
        <v>454</v>
      </c>
      <c r="FR1212">
        <v>12</v>
      </c>
      <c r="FS1212">
        <v>7548657</v>
      </c>
      <c r="FT1212" t="s">
        <v>12377</v>
      </c>
      <c r="FV1212" s="1">
        <v>42515</v>
      </c>
      <c r="FW1212">
        <v>2015</v>
      </c>
      <c r="FX1212">
        <v>2572.79</v>
      </c>
      <c r="FY1212" t="s">
        <v>12378</v>
      </c>
      <c r="FZ1212">
        <v>4.75</v>
      </c>
      <c r="GA1212" t="s">
        <v>424</v>
      </c>
      <c r="GB1212" t="s">
        <v>425</v>
      </c>
      <c r="GC1212" s="1">
        <v>43187</v>
      </c>
      <c r="GD1212">
        <v>22</v>
      </c>
      <c r="GE1212">
        <v>2035919</v>
      </c>
      <c r="GF1212" t="s">
        <v>507</v>
      </c>
      <c r="GH1212" s="1">
        <v>42151</v>
      </c>
      <c r="GI1212">
        <v>2014</v>
      </c>
      <c r="GJ1212">
        <v>2585.6999999999998</v>
      </c>
      <c r="GK1212" t="s">
        <v>12379</v>
      </c>
      <c r="GL1212">
        <v>4.75</v>
      </c>
      <c r="GM1212" t="s">
        <v>424</v>
      </c>
      <c r="GN1212" t="s">
        <v>425</v>
      </c>
      <c r="GO1212" s="1">
        <v>42835</v>
      </c>
      <c r="GP1212">
        <v>23</v>
      </c>
      <c r="GQ1212">
        <v>4975593</v>
      </c>
      <c r="GR1212" t="s">
        <v>505</v>
      </c>
      <c r="GT1212" s="1">
        <v>41787</v>
      </c>
      <c r="GU1212">
        <v>2013</v>
      </c>
      <c r="GV1212">
        <v>2448.6</v>
      </c>
      <c r="GW1212" t="s">
        <v>12380</v>
      </c>
      <c r="GX1212">
        <v>6</v>
      </c>
      <c r="GY1212" t="s">
        <v>424</v>
      </c>
      <c r="GZ1212" t="s">
        <v>425</v>
      </c>
      <c r="HA1212" s="1">
        <v>42835</v>
      </c>
      <c r="HB1212">
        <v>35</v>
      </c>
      <c r="HC1212">
        <v>1155951</v>
      </c>
      <c r="HD1212" t="s">
        <v>1451</v>
      </c>
      <c r="HF1212" s="1">
        <v>41423</v>
      </c>
      <c r="HG1212">
        <v>2012</v>
      </c>
      <c r="HH1212">
        <v>2478.94</v>
      </c>
      <c r="HI1212" t="s">
        <v>12381</v>
      </c>
      <c r="HJ1212">
        <v>0.25</v>
      </c>
      <c r="HK1212" t="s">
        <v>424</v>
      </c>
      <c r="HL1212" t="s">
        <v>425</v>
      </c>
      <c r="HM1212" s="1">
        <v>42135</v>
      </c>
      <c r="HN1212">
        <v>24</v>
      </c>
      <c r="HO1212">
        <v>10125</v>
      </c>
      <c r="HP1212" t="s">
        <v>440</v>
      </c>
      <c r="HR1212" s="1">
        <v>41052</v>
      </c>
      <c r="HS1212">
        <v>2011</v>
      </c>
      <c r="HT1212">
        <v>2513.9299999999998</v>
      </c>
      <c r="HU1212" t="s">
        <v>12382</v>
      </c>
      <c r="HV1212">
        <v>8.75</v>
      </c>
      <c r="HW1212" t="s">
        <v>424</v>
      </c>
      <c r="HX1212" t="s">
        <v>425</v>
      </c>
      <c r="HY1212" s="1">
        <v>41726</v>
      </c>
      <c r="HZ1212">
        <v>22</v>
      </c>
      <c r="IA1212">
        <v>318</v>
      </c>
      <c r="IB1212" t="s">
        <v>1083</v>
      </c>
      <c r="ID1212" s="1">
        <v>40688</v>
      </c>
      <c r="IE1212">
        <v>2010</v>
      </c>
      <c r="IF1212">
        <v>2514.16</v>
      </c>
      <c r="IG1212" t="s">
        <v>12383</v>
      </c>
      <c r="IH1212">
        <v>6.75</v>
      </c>
      <c r="II1212" t="s">
        <v>424</v>
      </c>
      <c r="IJ1212" t="s">
        <v>425</v>
      </c>
      <c r="IK1212" s="1">
        <v>41053</v>
      </c>
      <c r="IL1212">
        <v>12</v>
      </c>
      <c r="IM1212">
        <v>105</v>
      </c>
      <c r="IN1212" t="s">
        <v>946</v>
      </c>
    </row>
    <row r="1213" spans="1:260" x14ac:dyDescent="0.25">
      <c r="A1213">
        <v>16486220</v>
      </c>
      <c r="B1213">
        <v>1212</v>
      </c>
      <c r="C1213" t="s">
        <v>393</v>
      </c>
      <c r="D1213" t="s">
        <v>394</v>
      </c>
      <c r="F1213" t="str">
        <f>"38-2N-27-0000-0014-0060"</f>
        <v>38-2N-27-0000-0014-0060</v>
      </c>
      <c r="H1213" t="str">
        <f>"HAYWOOD FRED"</f>
        <v>HAYWOOD FRED</v>
      </c>
      <c r="I1213" t="str">
        <f>"1790 FREDERICA RD"</f>
        <v>1790 FREDERICA RD</v>
      </c>
      <c r="J1213" t="str">
        <f>"ST SIMONS ISLAND GA 31522"</f>
        <v>ST SIMONS ISLAND GA 31522</v>
      </c>
      <c r="K1213" t="str">
        <f>"85798 MINER RD"</f>
        <v>85798 MINER RD</v>
      </c>
      <c r="L1213" t="str">
        <f t="shared" si="414"/>
        <v>YULEE FL 32097</v>
      </c>
      <c r="M1213" t="str">
        <f>"IN OR 137/612 &amp; OR 329/781"</f>
        <v>IN OR 137/612 &amp; OR 329/781</v>
      </c>
      <c r="N1213" t="str">
        <f>""</f>
        <v/>
      </c>
      <c r="O1213" t="str">
        <f>"45000"</f>
        <v>45000</v>
      </c>
      <c r="P1213" t="str">
        <f t="shared" si="382"/>
        <v>2017</v>
      </c>
      <c r="Q1213" t="str">
        <f>""</f>
        <v/>
      </c>
      <c r="R1213" t="str">
        <f t="shared" si="413"/>
        <v>N</v>
      </c>
      <c r="S1213" t="str">
        <f>"2.00"</f>
        <v>2.00</v>
      </c>
      <c r="T1213" t="str">
        <f>"1732.01"</f>
        <v>1732.01</v>
      </c>
      <c r="U1213" t="str">
        <f>"114409.00"</f>
        <v>114409.00</v>
      </c>
      <c r="V1213" t="str">
        <f>"114409.00"</f>
        <v>114409.00</v>
      </c>
      <c r="W1213" t="str">
        <f t="shared" si="383"/>
        <v>2017</v>
      </c>
      <c r="X1213" t="str">
        <f>"22.00"</f>
        <v>22.00</v>
      </c>
      <c r="Y1213" t="str">
        <f>"1815.97"</f>
        <v>1815.97</v>
      </c>
      <c r="Z1213" t="str">
        <f>""</f>
        <v/>
      </c>
      <c r="AA1213" t="str">
        <f>"114409.00"</f>
        <v>114409.00</v>
      </c>
      <c r="AB1213" t="str">
        <f>"Residential"</f>
        <v>Residential</v>
      </c>
      <c r="AC1213" t="str">
        <f t="shared" si="399"/>
        <v>0</v>
      </c>
      <c r="AD1213" t="str">
        <f>"4"</f>
        <v>4</v>
      </c>
      <c r="AE1213" t="str">
        <f>"WOOD (INCLUDE STEEL STUDS)"</f>
        <v>WOOD (INCLUDE STEEL STUDS)</v>
      </c>
      <c r="AF1213" t="str">
        <f>"001"</f>
        <v>001</v>
      </c>
      <c r="AG1213" t="str">
        <f>"GA"</f>
        <v>GA</v>
      </c>
      <c r="AH1213" t="str">
        <f>"87120.00"</f>
        <v>87120.00</v>
      </c>
      <c r="AI1213" t="str">
        <f>"32000.00"</f>
        <v>32000.00</v>
      </c>
      <c r="AJ1213" t="str">
        <f>"C55-000-588-0004-6"</f>
        <v>C55-000-588-0004-6</v>
      </c>
      <c r="AK1213" t="str">
        <f>"20280"</f>
        <v>20280</v>
      </c>
      <c r="AL1213">
        <v>5</v>
      </c>
      <c r="AM1213">
        <v>1381</v>
      </c>
      <c r="AN1213">
        <v>1905.17</v>
      </c>
      <c r="AQ1213" t="s">
        <v>12384</v>
      </c>
      <c r="AR1213" t="s">
        <v>12384</v>
      </c>
      <c r="AS1213" t="s">
        <v>12384</v>
      </c>
      <c r="AU1213" t="s">
        <v>396</v>
      </c>
      <c r="AV1213">
        <v>2017</v>
      </c>
      <c r="AW1213" t="str">
        <f>"38-2N-27-0000-0014-0060 "</f>
        <v xml:space="preserve">38-2N-27-0000-0014-0060 </v>
      </c>
      <c r="AX1213">
        <v>85798</v>
      </c>
      <c r="AZ1213" t="s">
        <v>12385</v>
      </c>
      <c r="BA1213" t="s">
        <v>496</v>
      </c>
      <c r="BD1213" t="s">
        <v>2387</v>
      </c>
      <c r="BE1213" t="s">
        <v>393</v>
      </c>
      <c r="BF1213">
        <v>32097</v>
      </c>
      <c r="BG1213" t="s">
        <v>12386</v>
      </c>
      <c r="BH1213" t="s">
        <v>2388</v>
      </c>
      <c r="BI1213">
        <v>-81.581779062446302</v>
      </c>
      <c r="BJ1213">
        <v>30.626944215499201</v>
      </c>
      <c r="BK1213" t="s">
        <v>12387</v>
      </c>
      <c r="BM1213" t="s">
        <v>12388</v>
      </c>
      <c r="BN1213" t="s">
        <v>12389</v>
      </c>
      <c r="BO1213">
        <v>31522</v>
      </c>
      <c r="BP1213" t="s">
        <v>404</v>
      </c>
      <c r="BQ1213">
        <v>100</v>
      </c>
      <c r="BR1213" t="s">
        <v>514</v>
      </c>
      <c r="BS1213">
        <v>1001</v>
      </c>
      <c r="BT1213" t="s">
        <v>515</v>
      </c>
      <c r="BW1213">
        <v>87120</v>
      </c>
      <c r="BX1213" t="s">
        <v>407</v>
      </c>
      <c r="BY1213" t="s">
        <v>408</v>
      </c>
      <c r="BZ1213">
        <v>4</v>
      </c>
      <c r="CA1213">
        <v>1973</v>
      </c>
      <c r="CB1213">
        <v>1</v>
      </c>
      <c r="CC1213">
        <v>1</v>
      </c>
      <c r="CD1213">
        <v>2017</v>
      </c>
      <c r="CE1213">
        <v>32000</v>
      </c>
      <c r="CF1213">
        <v>82409</v>
      </c>
      <c r="CG1213">
        <v>114409</v>
      </c>
      <c r="CH1213">
        <v>2017</v>
      </c>
      <c r="CI1213">
        <v>32000</v>
      </c>
      <c r="CJ1213">
        <v>82409</v>
      </c>
      <c r="CK1213">
        <v>114409</v>
      </c>
      <c r="CL1213">
        <v>2017</v>
      </c>
      <c r="CM1213">
        <v>1732.01</v>
      </c>
      <c r="CN1213" s="1">
        <v>29587</v>
      </c>
      <c r="CZ1213" s="1">
        <v>29587</v>
      </c>
      <c r="DD1213" t="s">
        <v>2387</v>
      </c>
      <c r="DG1213">
        <v>38</v>
      </c>
      <c r="DL1213">
        <v>50302</v>
      </c>
      <c r="DM1213" t="s">
        <v>12338</v>
      </c>
      <c r="DO1213" t="s">
        <v>12390</v>
      </c>
      <c r="DP1213">
        <v>0</v>
      </c>
      <c r="DQ1213">
        <v>1</v>
      </c>
      <c r="DR1213" t="s">
        <v>411</v>
      </c>
      <c r="DS1213" t="b">
        <v>1</v>
      </c>
      <c r="DT1213" t="s">
        <v>470</v>
      </c>
      <c r="DU1213" t="s">
        <v>471</v>
      </c>
      <c r="DV1213" t="s">
        <v>472</v>
      </c>
      <c r="DX1213">
        <v>-9999</v>
      </c>
      <c r="DZ1213" t="s">
        <v>447</v>
      </c>
      <c r="EA1213" t="s">
        <v>448</v>
      </c>
      <c r="EB1213" t="s">
        <v>742</v>
      </c>
      <c r="EC1213">
        <v>20101217</v>
      </c>
      <c r="ED1213" t="s">
        <v>474</v>
      </c>
      <c r="EF1213">
        <v>2524.1</v>
      </c>
      <c r="EG1213">
        <v>2166.6999999999998</v>
      </c>
      <c r="EI1213">
        <v>20160407</v>
      </c>
      <c r="EJ1213">
        <v>0</v>
      </c>
      <c r="EK1213">
        <v>0</v>
      </c>
      <c r="EP1213" t="s">
        <v>421</v>
      </c>
      <c r="EQ1213" t="s">
        <v>422</v>
      </c>
      <c r="ER1213">
        <v>2</v>
      </c>
      <c r="ES1213">
        <v>4</v>
      </c>
      <c r="ET1213">
        <v>3873.4</v>
      </c>
      <c r="EU1213">
        <v>206.17</v>
      </c>
      <c r="EV1213">
        <v>4079.57</v>
      </c>
      <c r="EW1213" s="2">
        <v>43222</v>
      </c>
      <c r="EX1213" s="1">
        <v>42879</v>
      </c>
      <c r="EY1213">
        <v>2016</v>
      </c>
      <c r="EZ1213">
        <v>1936.7</v>
      </c>
      <c r="FA1213" t="s">
        <v>12391</v>
      </c>
      <c r="FB1213">
        <v>0.25</v>
      </c>
      <c r="FC1213" t="s">
        <v>424</v>
      </c>
      <c r="FD1213" t="s">
        <v>454</v>
      </c>
      <c r="FF1213">
        <v>12</v>
      </c>
      <c r="FG1213">
        <v>2851116</v>
      </c>
      <c r="FH1213" t="s">
        <v>480</v>
      </c>
      <c r="FJ1213" s="1">
        <v>42879</v>
      </c>
      <c r="FK1213">
        <v>2016</v>
      </c>
      <c r="FL1213">
        <v>1936.7</v>
      </c>
      <c r="FM1213" t="s">
        <v>12391</v>
      </c>
      <c r="FN1213">
        <v>0.25</v>
      </c>
      <c r="FO1213" t="s">
        <v>424</v>
      </c>
      <c r="FP1213" t="s">
        <v>454</v>
      </c>
      <c r="FR1213">
        <v>12</v>
      </c>
      <c r="FS1213">
        <v>5732010</v>
      </c>
      <c r="FT1213" t="s">
        <v>12392</v>
      </c>
      <c r="FV1213" s="1">
        <v>42515</v>
      </c>
      <c r="FW1213">
        <v>2015</v>
      </c>
      <c r="FX1213">
        <v>1988.59</v>
      </c>
      <c r="FY1213" t="s">
        <v>12393</v>
      </c>
      <c r="FZ1213">
        <v>0.25</v>
      </c>
      <c r="GA1213" t="s">
        <v>424</v>
      </c>
      <c r="GB1213" t="s">
        <v>425</v>
      </c>
      <c r="GC1213" s="1">
        <v>43190</v>
      </c>
      <c r="GD1213">
        <v>22</v>
      </c>
      <c r="GE1213">
        <v>11289</v>
      </c>
      <c r="GF1213" t="s">
        <v>787</v>
      </c>
      <c r="GH1213" s="1">
        <v>42515</v>
      </c>
      <c r="GI1213">
        <v>2015</v>
      </c>
      <c r="GJ1213">
        <v>1988.59</v>
      </c>
      <c r="GK1213" t="s">
        <v>12393</v>
      </c>
      <c r="GL1213">
        <v>0.25</v>
      </c>
      <c r="GM1213" t="s">
        <v>424</v>
      </c>
      <c r="GN1213" t="s">
        <v>425</v>
      </c>
      <c r="GP1213">
        <v>22</v>
      </c>
      <c r="GQ1213">
        <v>7257732</v>
      </c>
      <c r="GR1213" t="s">
        <v>12394</v>
      </c>
      <c r="GT1213" s="1">
        <v>42151</v>
      </c>
      <c r="GU1213">
        <v>2014</v>
      </c>
      <c r="GV1213">
        <v>2003.23</v>
      </c>
      <c r="GW1213" t="s">
        <v>12395</v>
      </c>
      <c r="GX1213">
        <v>0.25</v>
      </c>
      <c r="GY1213" t="s">
        <v>424</v>
      </c>
      <c r="GZ1213" t="s">
        <v>425</v>
      </c>
      <c r="HA1213" s="1">
        <v>42795</v>
      </c>
      <c r="HB1213">
        <v>22</v>
      </c>
      <c r="HC1213">
        <v>4975594</v>
      </c>
      <c r="HD1213" t="s">
        <v>457</v>
      </c>
      <c r="HF1213" s="1">
        <v>42151</v>
      </c>
      <c r="HG1213">
        <v>2014</v>
      </c>
      <c r="HH1213">
        <v>2003.23</v>
      </c>
      <c r="HI1213" t="s">
        <v>12395</v>
      </c>
      <c r="HJ1213">
        <v>0.25</v>
      </c>
      <c r="HK1213" t="s">
        <v>424</v>
      </c>
      <c r="HL1213" t="s">
        <v>425</v>
      </c>
      <c r="HN1213">
        <v>22</v>
      </c>
      <c r="HO1213">
        <v>6515938</v>
      </c>
      <c r="HP1213" t="s">
        <v>12396</v>
      </c>
    </row>
    <row r="1214" spans="1:260" x14ac:dyDescent="0.25">
      <c r="A1214">
        <v>16486221</v>
      </c>
      <c r="B1214">
        <v>1213</v>
      </c>
      <c r="C1214" t="s">
        <v>393</v>
      </c>
      <c r="D1214" t="s">
        <v>394</v>
      </c>
      <c r="F1214" t="str">
        <f>"38-2N-27-0000-0014-0170"</f>
        <v>38-2N-27-0000-0014-0170</v>
      </c>
      <c r="H1214" t="str">
        <f>"CASTLE USED CARS INC"</f>
        <v>CASTLE USED CARS INC</v>
      </c>
      <c r="I1214" t="str">
        <f>"463493 STATE ROAD 200"</f>
        <v>463493 STATE ROAD 200</v>
      </c>
      <c r="J1214" t="str">
        <f>"YULEE FL 32097"</f>
        <v>YULEE FL 32097</v>
      </c>
      <c r="K1214" t="str">
        <f>"463493 SR 200"</f>
        <v>463493 SR 200</v>
      </c>
      <c r="L1214" t="str">
        <f t="shared" si="414"/>
        <v>YULEE FL 32097</v>
      </c>
      <c r="M1214" t="str">
        <f>"IN OR 2038/608 R568144 &amp; R568145 &amp; R622392 PARCELS 14-17 14-18 &amp; 14-19 EX ESMT OR 1016/4 ESMT OR 1457/903"</f>
        <v>IN OR 2038/608 R568144 &amp; R568145 &amp; R622392 PARCELS 14-17 14-18 &amp; 14-19 EX ESMT OR 1016/4 ESMT OR 1457/903</v>
      </c>
      <c r="N1214" t="str">
        <f>""</f>
        <v/>
      </c>
      <c r="O1214" t="str">
        <f>"45010"</f>
        <v>45010</v>
      </c>
      <c r="P1214" t="str">
        <f t="shared" si="382"/>
        <v>2017</v>
      </c>
      <c r="Q1214" t="str">
        <f>""</f>
        <v/>
      </c>
      <c r="R1214" t="str">
        <f t="shared" si="413"/>
        <v>N</v>
      </c>
      <c r="S1214" t="str">
        <f>"0.96"</f>
        <v>0.96</v>
      </c>
      <c r="T1214" t="str">
        <f>"8702.84"</f>
        <v>8702.84</v>
      </c>
      <c r="U1214" t="str">
        <f>"574870.00"</f>
        <v>574870.00</v>
      </c>
      <c r="V1214" t="str">
        <f>"574870.00"</f>
        <v>574870.00</v>
      </c>
      <c r="W1214" t="str">
        <f t="shared" si="383"/>
        <v>2017</v>
      </c>
      <c r="X1214" t="str">
        <f>"13.00"</f>
        <v>13.00</v>
      </c>
      <c r="Y1214" t="str">
        <f>"8995.93"</f>
        <v>8995.93</v>
      </c>
      <c r="Z1214" t="str">
        <f>""</f>
        <v/>
      </c>
      <c r="AA1214" t="str">
        <f>"574870.00"</f>
        <v>574870.00</v>
      </c>
      <c r="AB1214" t="str">
        <f>"Commercial"</f>
        <v>Commercial</v>
      </c>
      <c r="AC1214" t="str">
        <f t="shared" si="399"/>
        <v>0</v>
      </c>
      <c r="AD1214" t="str">
        <f>"4"</f>
        <v>4</v>
      </c>
      <c r="AE1214" t="str">
        <f>"WOOD (INCLUDE STEEL STUDS)"</f>
        <v>WOOD (INCLUDE STEEL STUDS)</v>
      </c>
      <c r="AF1214" t="str">
        <f>"027"</f>
        <v>027</v>
      </c>
      <c r="AG1214" t="str">
        <f>"FL"</f>
        <v>FL</v>
      </c>
      <c r="AH1214" t="str">
        <f>"162043.00"</f>
        <v>162043.00</v>
      </c>
      <c r="AI1214" t="str">
        <f>"480928.00"</f>
        <v>480928.00</v>
      </c>
      <c r="AJ1214" t="str">
        <f>"C55-000-588-0014-5"</f>
        <v>C55-000-588-0014-5</v>
      </c>
      <c r="AK1214" t="str">
        <f>"20290"</f>
        <v>20290</v>
      </c>
      <c r="AL1214">
        <v>5</v>
      </c>
      <c r="AM1214">
        <v>1382</v>
      </c>
      <c r="AN1214">
        <v>9444.1299999999992</v>
      </c>
      <c r="AQ1214" t="s">
        <v>12397</v>
      </c>
      <c r="AR1214" t="s">
        <v>12397</v>
      </c>
      <c r="AS1214" t="s">
        <v>12397</v>
      </c>
      <c r="AU1214" t="s">
        <v>396</v>
      </c>
      <c r="AV1214">
        <v>2017</v>
      </c>
      <c r="AW1214" t="str">
        <f>"38-2N-27-0000-0014-0170 "</f>
        <v xml:space="preserve">38-2N-27-0000-0014-0170 </v>
      </c>
      <c r="AX1214">
        <v>463493</v>
      </c>
      <c r="AZ1214" t="s">
        <v>8071</v>
      </c>
      <c r="BD1214" t="s">
        <v>2387</v>
      </c>
      <c r="BE1214" t="s">
        <v>393</v>
      </c>
      <c r="BF1214">
        <v>32097</v>
      </c>
      <c r="BG1214" t="s">
        <v>12398</v>
      </c>
      <c r="BH1214" t="s">
        <v>2388</v>
      </c>
      <c r="BI1214">
        <v>-81.574449085074306</v>
      </c>
      <c r="BJ1214">
        <v>30.630895184198</v>
      </c>
      <c r="BK1214" t="s">
        <v>12399</v>
      </c>
      <c r="BM1214" t="s">
        <v>12400</v>
      </c>
      <c r="BN1214" t="s">
        <v>548</v>
      </c>
      <c r="BO1214">
        <v>32258</v>
      </c>
      <c r="BP1214" t="s">
        <v>404</v>
      </c>
      <c r="BQ1214">
        <v>2700</v>
      </c>
      <c r="BR1214" t="s">
        <v>4567</v>
      </c>
      <c r="BS1214">
        <v>2023</v>
      </c>
      <c r="BT1214" t="s">
        <v>4568</v>
      </c>
      <c r="BW1214">
        <v>162043</v>
      </c>
      <c r="BX1214" t="s">
        <v>407</v>
      </c>
      <c r="BY1214" t="s">
        <v>2221</v>
      </c>
      <c r="BZ1214">
        <v>4</v>
      </c>
      <c r="CA1214">
        <v>1973</v>
      </c>
      <c r="CB1214">
        <v>1</v>
      </c>
      <c r="CC1214">
        <v>1</v>
      </c>
      <c r="CD1214">
        <v>2017</v>
      </c>
      <c r="CE1214">
        <v>480928</v>
      </c>
      <c r="CF1214">
        <v>93942</v>
      </c>
      <c r="CG1214">
        <v>574870</v>
      </c>
      <c r="CH1214">
        <v>2017</v>
      </c>
      <c r="CI1214">
        <v>480928</v>
      </c>
      <c r="CJ1214">
        <v>93942</v>
      </c>
      <c r="CK1214">
        <v>574870</v>
      </c>
      <c r="CL1214">
        <v>2017</v>
      </c>
      <c r="CM1214">
        <v>8702.84</v>
      </c>
      <c r="CN1214" s="1">
        <v>43136</v>
      </c>
      <c r="CO1214">
        <v>150000</v>
      </c>
      <c r="CV1214">
        <v>0</v>
      </c>
      <c r="CZ1214" s="1">
        <v>43136</v>
      </c>
      <c r="DA1214">
        <v>0</v>
      </c>
      <c r="DD1214" t="s">
        <v>2387</v>
      </c>
      <c r="DG1214">
        <v>38</v>
      </c>
      <c r="DL1214">
        <v>50302</v>
      </c>
      <c r="DM1214" t="s">
        <v>12338</v>
      </c>
      <c r="DO1214" t="s">
        <v>12401</v>
      </c>
      <c r="DP1214">
        <v>0</v>
      </c>
      <c r="DQ1214">
        <v>1</v>
      </c>
      <c r="DR1214" t="s">
        <v>411</v>
      </c>
      <c r="DS1214" t="b">
        <v>1</v>
      </c>
      <c r="DT1214" t="s">
        <v>470</v>
      </c>
      <c r="DU1214" t="s">
        <v>471</v>
      </c>
      <c r="DV1214" t="s">
        <v>472</v>
      </c>
      <c r="DX1214">
        <v>-9999</v>
      </c>
      <c r="DZ1214" t="s">
        <v>447</v>
      </c>
      <c r="EA1214" t="s">
        <v>448</v>
      </c>
      <c r="EB1214" t="s">
        <v>742</v>
      </c>
      <c r="EC1214">
        <v>20101217</v>
      </c>
      <c r="ED1214" t="s">
        <v>474</v>
      </c>
      <c r="EF1214">
        <v>444.4</v>
      </c>
      <c r="EG1214">
        <v>366.7</v>
      </c>
      <c r="EH1214" t="s">
        <v>451</v>
      </c>
      <c r="EI1214">
        <v>20140731</v>
      </c>
      <c r="EJ1214">
        <v>0</v>
      </c>
      <c r="EK1214">
        <v>1</v>
      </c>
      <c r="EP1214" t="s">
        <v>421</v>
      </c>
      <c r="EQ1214" t="s">
        <v>422</v>
      </c>
      <c r="ER1214">
        <v>2</v>
      </c>
      <c r="ES1214">
        <v>5</v>
      </c>
      <c r="ET1214">
        <v>19204.62</v>
      </c>
      <c r="EU1214">
        <v>972.73</v>
      </c>
      <c r="EV1214">
        <v>20177.349999999999</v>
      </c>
      <c r="EW1214" s="2">
        <v>43222</v>
      </c>
      <c r="EX1214" s="1">
        <v>42879</v>
      </c>
      <c r="EY1214">
        <v>2016</v>
      </c>
      <c r="EZ1214">
        <v>9602.31</v>
      </c>
      <c r="FA1214" t="s">
        <v>12402</v>
      </c>
      <c r="FB1214">
        <v>0.25</v>
      </c>
      <c r="FC1214" t="s">
        <v>424</v>
      </c>
      <c r="FD1214" t="s">
        <v>454</v>
      </c>
      <c r="FF1214">
        <v>12</v>
      </c>
      <c r="FG1214">
        <v>2851116</v>
      </c>
      <c r="FH1214" t="s">
        <v>480</v>
      </c>
      <c r="FJ1214" s="1">
        <v>42879</v>
      </c>
      <c r="FK1214">
        <v>2016</v>
      </c>
      <c r="FL1214">
        <v>9602.31</v>
      </c>
      <c r="FM1214" t="s">
        <v>12402</v>
      </c>
      <c r="FN1214">
        <v>0.25</v>
      </c>
      <c r="FO1214" t="s">
        <v>424</v>
      </c>
      <c r="FP1214" t="s">
        <v>454</v>
      </c>
      <c r="FR1214">
        <v>12</v>
      </c>
      <c r="FS1214">
        <v>5030348</v>
      </c>
      <c r="FT1214" t="s">
        <v>12403</v>
      </c>
      <c r="FV1214" s="1">
        <v>42151</v>
      </c>
      <c r="FW1214">
        <v>2014</v>
      </c>
      <c r="FX1214">
        <v>7759.89</v>
      </c>
      <c r="FY1214" t="s">
        <v>12404</v>
      </c>
      <c r="FZ1214">
        <v>11.75</v>
      </c>
      <c r="GA1214" t="s">
        <v>424</v>
      </c>
      <c r="GB1214" t="s">
        <v>425</v>
      </c>
      <c r="GC1214" s="1">
        <v>42166</v>
      </c>
      <c r="GD1214">
        <v>1</v>
      </c>
      <c r="GE1214">
        <v>10125</v>
      </c>
      <c r="GF1214" t="s">
        <v>440</v>
      </c>
      <c r="GH1214" s="1">
        <v>41787</v>
      </c>
      <c r="GI1214">
        <v>2013</v>
      </c>
      <c r="GJ1214">
        <v>6642.79</v>
      </c>
      <c r="GK1214" t="s">
        <v>12405</v>
      </c>
      <c r="GL1214">
        <v>0.25</v>
      </c>
      <c r="GM1214" t="s">
        <v>424</v>
      </c>
      <c r="GN1214" t="s">
        <v>425</v>
      </c>
      <c r="GO1214" s="1">
        <v>42166</v>
      </c>
      <c r="GP1214">
        <v>13</v>
      </c>
      <c r="GQ1214">
        <v>2101382</v>
      </c>
      <c r="GR1214" t="s">
        <v>993</v>
      </c>
      <c r="GT1214" s="1">
        <v>41423</v>
      </c>
      <c r="GU1214">
        <v>2012</v>
      </c>
      <c r="GV1214">
        <v>6801.61</v>
      </c>
      <c r="GW1214" t="s">
        <v>12406</v>
      </c>
      <c r="GX1214">
        <v>0.25</v>
      </c>
      <c r="GY1214" t="s">
        <v>424</v>
      </c>
      <c r="GZ1214" t="s">
        <v>425</v>
      </c>
      <c r="HA1214" s="1">
        <v>42166</v>
      </c>
      <c r="HB1214">
        <v>25</v>
      </c>
      <c r="HC1214">
        <v>606981</v>
      </c>
      <c r="HD1214" t="s">
        <v>792</v>
      </c>
      <c r="HF1214" s="1">
        <v>41052</v>
      </c>
      <c r="HG1214">
        <v>2011</v>
      </c>
      <c r="HH1214">
        <v>6443.56</v>
      </c>
      <c r="HI1214" t="s">
        <v>12407</v>
      </c>
      <c r="HJ1214">
        <v>6</v>
      </c>
      <c r="HK1214" t="s">
        <v>424</v>
      </c>
      <c r="HL1214" t="s">
        <v>425</v>
      </c>
      <c r="HM1214" s="1">
        <v>41088</v>
      </c>
      <c r="HN1214">
        <v>1</v>
      </c>
      <c r="HO1214">
        <v>1109</v>
      </c>
      <c r="HP1214" t="s">
        <v>852</v>
      </c>
      <c r="HR1214" s="1">
        <v>40688</v>
      </c>
      <c r="HS1214">
        <v>2010</v>
      </c>
      <c r="HT1214">
        <v>6518.54</v>
      </c>
      <c r="HU1214" t="s">
        <v>12408</v>
      </c>
      <c r="HV1214">
        <v>5</v>
      </c>
      <c r="HW1214" t="s">
        <v>424</v>
      </c>
      <c r="HX1214" t="s">
        <v>425</v>
      </c>
      <c r="HY1214" s="1">
        <v>41088</v>
      </c>
      <c r="HZ1214">
        <v>13</v>
      </c>
      <c r="IA1214">
        <v>10579</v>
      </c>
      <c r="IB1214" t="s">
        <v>488</v>
      </c>
    </row>
    <row r="1215" spans="1:260" x14ac:dyDescent="0.25">
      <c r="A1215">
        <v>16486222</v>
      </c>
      <c r="B1215">
        <v>1214</v>
      </c>
      <c r="C1215" t="s">
        <v>393</v>
      </c>
      <c r="D1215" t="s">
        <v>394</v>
      </c>
      <c r="F1215" t="str">
        <f>"38-2N-27-0000-0018-0030"</f>
        <v>38-2N-27-0000-0018-0030</v>
      </c>
      <c r="H1215" t="str">
        <f>"PAINTER PAMELA G &amp; MINER STEVEN M"</f>
        <v>PAINTER PAMELA G &amp; MINER STEVEN M</v>
      </c>
      <c r="I1215" t="str">
        <f>"86187 APPALOOSA AVE"</f>
        <v>86187 APPALOOSA AVE</v>
      </c>
      <c r="J1215" t="str">
        <f>"YULEE FL 32097"</f>
        <v>YULEE FL 32097</v>
      </c>
      <c r="K1215" t="str">
        <f>"86187 APPALOOSA AVE"</f>
        <v>86187 APPALOOSA AVE</v>
      </c>
      <c r="L1215" t="str">
        <f t="shared" si="414"/>
        <v>YULEE FL 32097</v>
      </c>
      <c r="M1215" t="str">
        <f>"IN OR 1922/30 R583888 &amp; R583889"</f>
        <v>IN OR 1922/30 R583888 &amp; R583889</v>
      </c>
      <c r="N1215" t="str">
        <f>""</f>
        <v/>
      </c>
      <c r="O1215" t="str">
        <f>"45036"</f>
        <v>45036</v>
      </c>
      <c r="P1215" t="str">
        <f t="shared" si="382"/>
        <v>2017</v>
      </c>
      <c r="Q1215" t="str">
        <f>""</f>
        <v/>
      </c>
      <c r="R1215" t="str">
        <f>"Y"</f>
        <v>Y</v>
      </c>
      <c r="S1215" t="str">
        <f>"1.47"</f>
        <v>1.47</v>
      </c>
      <c r="T1215" t="str">
        <f>"676.60"</f>
        <v>676.60</v>
      </c>
      <c r="U1215" t="str">
        <f>"68367.00"</f>
        <v>68367.00</v>
      </c>
      <c r="V1215" t="str">
        <f>"68367.00"</f>
        <v>68367.00</v>
      </c>
      <c r="W1215" t="str">
        <f t="shared" si="383"/>
        <v>2017</v>
      </c>
      <c r="X1215" t="str">
        <f>"27.47"</f>
        <v>27.47</v>
      </c>
      <c r="Y1215" t="str">
        <f>"728.90"</f>
        <v>728.90</v>
      </c>
      <c r="Z1215" t="str">
        <f>"25000.00"</f>
        <v>25000.00</v>
      </c>
      <c r="AA1215" t="str">
        <f>"46410.00"</f>
        <v>46410.00</v>
      </c>
      <c r="AB1215" t="str">
        <f>"Residential"</f>
        <v>Residential</v>
      </c>
      <c r="AC1215" t="str">
        <f t="shared" si="399"/>
        <v>0</v>
      </c>
      <c r="AD1215" t="str">
        <f>"4"</f>
        <v>4</v>
      </c>
      <c r="AE1215" t="str">
        <f>"WOOD (INCLUDE STEEL STUDS)"</f>
        <v>WOOD (INCLUDE STEEL STUDS)</v>
      </c>
      <c r="AF1215" t="str">
        <f>"002"</f>
        <v>002</v>
      </c>
      <c r="AG1215" t="str">
        <f>"FL"</f>
        <v>FL</v>
      </c>
      <c r="AH1215" t="str">
        <f>"64033.00"</f>
        <v>64033.00</v>
      </c>
      <c r="AI1215" t="str">
        <f>"29400.00"</f>
        <v>29400.00</v>
      </c>
      <c r="AJ1215" t="str">
        <f>"C55-000-588-0036-8"</f>
        <v>C55-000-588-0036-8</v>
      </c>
      <c r="AK1215" t="str">
        <f>"20309"</f>
        <v>20309</v>
      </c>
      <c r="AL1215">
        <v>5</v>
      </c>
      <c r="AM1215">
        <v>1384</v>
      </c>
      <c r="AN1215">
        <v>763.75</v>
      </c>
      <c r="AQ1215" t="s">
        <v>12409</v>
      </c>
      <c r="AR1215" t="s">
        <v>12409</v>
      </c>
      <c r="AS1215" t="s">
        <v>12409</v>
      </c>
      <c r="AU1215" t="s">
        <v>396</v>
      </c>
      <c r="AV1215">
        <v>2017</v>
      </c>
      <c r="AW1215" t="str">
        <f>"38-2N-27-0000-0018-0030 "</f>
        <v xml:space="preserve">38-2N-27-0000-0018-0030 </v>
      </c>
      <c r="AX1215">
        <v>86187</v>
      </c>
      <c r="AZ1215" t="s">
        <v>12410</v>
      </c>
      <c r="BA1215" t="s">
        <v>1112</v>
      </c>
      <c r="BD1215" t="s">
        <v>2387</v>
      </c>
      <c r="BE1215" t="s">
        <v>393</v>
      </c>
      <c r="BF1215">
        <v>32097</v>
      </c>
      <c r="BG1215" t="s">
        <v>12411</v>
      </c>
      <c r="BH1215" t="s">
        <v>2388</v>
      </c>
      <c r="BI1215">
        <v>-81.576097134616603</v>
      </c>
      <c r="BJ1215">
        <v>30.6171979936383</v>
      </c>
      <c r="BK1215" t="s">
        <v>12412</v>
      </c>
      <c r="BL1215" t="s">
        <v>12413</v>
      </c>
      <c r="BM1215" t="s">
        <v>12411</v>
      </c>
      <c r="BN1215" t="s">
        <v>1778</v>
      </c>
      <c r="BO1215">
        <v>32097</v>
      </c>
      <c r="BP1215" t="s">
        <v>416</v>
      </c>
      <c r="BQ1215">
        <v>200</v>
      </c>
      <c r="BR1215" t="s">
        <v>405</v>
      </c>
      <c r="BS1215">
        <v>1006</v>
      </c>
      <c r="BT1215" t="s">
        <v>406</v>
      </c>
      <c r="BW1215">
        <v>64033</v>
      </c>
      <c r="BX1215" t="s">
        <v>407</v>
      </c>
      <c r="BY1215" t="s">
        <v>408</v>
      </c>
      <c r="BZ1215">
        <v>4</v>
      </c>
      <c r="CA1215">
        <v>1996</v>
      </c>
      <c r="CB1215">
        <v>1</v>
      </c>
      <c r="CC1215">
        <v>1</v>
      </c>
      <c r="CD1215">
        <v>2017</v>
      </c>
      <c r="CG1215">
        <v>71410</v>
      </c>
      <c r="CH1215">
        <v>2017</v>
      </c>
      <c r="CI1215">
        <v>29400</v>
      </c>
      <c r="CJ1215">
        <v>47599</v>
      </c>
      <c r="CK1215">
        <v>76999</v>
      </c>
      <c r="CL1215">
        <v>2017</v>
      </c>
      <c r="CM1215">
        <v>676.6</v>
      </c>
      <c r="CN1215" s="1">
        <v>41800</v>
      </c>
      <c r="CZ1215" s="1">
        <v>41800</v>
      </c>
      <c r="DD1215" t="s">
        <v>2387</v>
      </c>
      <c r="DG1215">
        <v>38</v>
      </c>
      <c r="DL1215">
        <v>50302</v>
      </c>
      <c r="DM1215" t="s">
        <v>12338</v>
      </c>
      <c r="DO1215" t="s">
        <v>12414</v>
      </c>
      <c r="DP1215">
        <v>0</v>
      </c>
      <c r="DQ1215">
        <v>0</v>
      </c>
      <c r="DR1215" t="s">
        <v>411</v>
      </c>
      <c r="DS1215" t="b">
        <v>1</v>
      </c>
      <c r="DT1215" t="s">
        <v>470</v>
      </c>
      <c r="DU1215" t="s">
        <v>471</v>
      </c>
      <c r="DV1215" t="s">
        <v>472</v>
      </c>
      <c r="DX1215">
        <v>-9999</v>
      </c>
      <c r="DZ1215" t="s">
        <v>447</v>
      </c>
      <c r="EA1215" t="s">
        <v>448</v>
      </c>
      <c r="EB1215" t="s">
        <v>742</v>
      </c>
      <c r="EC1215">
        <v>20101217</v>
      </c>
      <c r="ED1215" t="s">
        <v>474</v>
      </c>
      <c r="EF1215">
        <v>890.8</v>
      </c>
      <c r="EG1215">
        <v>522.9</v>
      </c>
      <c r="EI1215">
        <v>20160407</v>
      </c>
      <c r="EJ1215">
        <v>0</v>
      </c>
      <c r="EK1215">
        <v>0</v>
      </c>
      <c r="EP1215" t="s">
        <v>421</v>
      </c>
      <c r="EQ1215" t="s">
        <v>422</v>
      </c>
      <c r="ER1215">
        <v>0</v>
      </c>
      <c r="ES1215">
        <v>6</v>
      </c>
      <c r="ET1215">
        <v>0</v>
      </c>
      <c r="EU1215">
        <v>0</v>
      </c>
      <c r="EV1215">
        <v>0</v>
      </c>
      <c r="EW1215" s="2">
        <v>43222</v>
      </c>
      <c r="EX1215" s="1">
        <v>42515</v>
      </c>
      <c r="EY1215">
        <v>2015</v>
      </c>
      <c r="EZ1215">
        <v>758.58</v>
      </c>
      <c r="FA1215" t="s">
        <v>12415</v>
      </c>
      <c r="FB1215">
        <v>0.25</v>
      </c>
      <c r="FC1215" t="s">
        <v>424</v>
      </c>
      <c r="FD1215" t="s">
        <v>425</v>
      </c>
      <c r="FE1215" s="1">
        <v>42898</v>
      </c>
      <c r="FF1215">
        <v>13</v>
      </c>
      <c r="FG1215">
        <v>2851116</v>
      </c>
      <c r="FH1215" t="s">
        <v>480</v>
      </c>
      <c r="FJ1215" s="1">
        <v>42515</v>
      </c>
      <c r="FK1215">
        <v>2015</v>
      </c>
      <c r="FL1215">
        <v>758.58</v>
      </c>
      <c r="FM1215" t="s">
        <v>12415</v>
      </c>
      <c r="FN1215">
        <v>0.25</v>
      </c>
      <c r="FO1215" t="s">
        <v>424</v>
      </c>
      <c r="FP1215" t="s">
        <v>425</v>
      </c>
      <c r="FR1215">
        <v>22</v>
      </c>
      <c r="FS1215">
        <v>5683694</v>
      </c>
      <c r="FT1215" t="s">
        <v>12416</v>
      </c>
      <c r="FV1215" s="1">
        <v>42151</v>
      </c>
      <c r="FW1215">
        <v>2014</v>
      </c>
      <c r="FX1215">
        <v>628.96</v>
      </c>
      <c r="FY1215" t="s">
        <v>12417</v>
      </c>
      <c r="FZ1215">
        <v>0.25</v>
      </c>
      <c r="GA1215" t="s">
        <v>424</v>
      </c>
      <c r="GB1215" t="s">
        <v>425</v>
      </c>
      <c r="GC1215" s="1">
        <v>42779</v>
      </c>
      <c r="GD1215">
        <v>21</v>
      </c>
      <c r="GE1215">
        <v>4975594</v>
      </c>
      <c r="GF1215" t="s">
        <v>457</v>
      </c>
      <c r="GH1215" s="1">
        <v>42151</v>
      </c>
      <c r="GI1215">
        <v>2014</v>
      </c>
      <c r="GJ1215">
        <v>628.96</v>
      </c>
      <c r="GK1215" t="s">
        <v>12417</v>
      </c>
      <c r="GL1215">
        <v>0.25</v>
      </c>
      <c r="GM1215" t="s">
        <v>424</v>
      </c>
      <c r="GN1215" t="s">
        <v>425</v>
      </c>
      <c r="GP1215">
        <v>22</v>
      </c>
      <c r="GQ1215">
        <v>6687379</v>
      </c>
      <c r="GR1215" t="s">
        <v>12418</v>
      </c>
      <c r="GT1215" s="1">
        <v>41787</v>
      </c>
      <c r="GU1215">
        <v>2013</v>
      </c>
      <c r="GV1215">
        <v>695.58</v>
      </c>
      <c r="GW1215" t="s">
        <v>12419</v>
      </c>
      <c r="GX1215">
        <v>0.25</v>
      </c>
      <c r="GY1215" t="s">
        <v>424</v>
      </c>
      <c r="GZ1215" t="s">
        <v>425</v>
      </c>
      <c r="HA1215" s="1">
        <v>42429</v>
      </c>
      <c r="HB1215">
        <v>21</v>
      </c>
      <c r="HC1215">
        <v>2407503</v>
      </c>
      <c r="HD1215" t="s">
        <v>461</v>
      </c>
      <c r="HF1215" s="1">
        <v>40688</v>
      </c>
      <c r="HG1215">
        <v>2010</v>
      </c>
      <c r="HH1215">
        <v>1065.96</v>
      </c>
      <c r="HI1215" t="s">
        <v>12420</v>
      </c>
      <c r="HJ1215">
        <v>6.5</v>
      </c>
      <c r="HK1215" t="s">
        <v>424</v>
      </c>
      <c r="HL1215" t="s">
        <v>425</v>
      </c>
      <c r="HM1215" s="1">
        <v>41044</v>
      </c>
      <c r="HN1215">
        <v>12</v>
      </c>
      <c r="HO1215">
        <v>62</v>
      </c>
      <c r="HP1215" t="s">
        <v>463</v>
      </c>
    </row>
    <row r="1216" spans="1:260" x14ac:dyDescent="0.25">
      <c r="A1216">
        <v>16486223</v>
      </c>
      <c r="B1216">
        <v>1215</v>
      </c>
      <c r="C1216" t="s">
        <v>393</v>
      </c>
      <c r="D1216" t="s">
        <v>394</v>
      </c>
      <c r="F1216" t="str">
        <f>"38-2N-27-1270-000D-0010"</f>
        <v>38-2N-27-1270-000D-0010</v>
      </c>
      <c r="H1216" t="str">
        <f>"GOTCH JOHN JR C/O KATHERINE L GRONAGER"</f>
        <v>GOTCH JOHN JR C/O KATHERINE L GRONAGER</v>
      </c>
      <c r="I1216" t="str">
        <f>"94182 RIVER MARSH DRIVE"</f>
        <v>94182 RIVER MARSH DRIVE</v>
      </c>
      <c r="J1216" t="str">
        <f>"FERNANDINA BEACH FL 32034"</f>
        <v>FERNANDINA BEACH FL 32034</v>
      </c>
      <c r="K1216" t="str">
        <f>"ST PAUL BLVD"</f>
        <v>ST PAUL BLVD</v>
      </c>
      <c r="L1216" t="str">
        <f t="shared" si="414"/>
        <v>YULEE FL 32097</v>
      </c>
      <c r="M1216" t="str">
        <f>"SW1/2 OF TRACT D IN OR 1326/608 LOFTON OAKS at YULEE HOME PARK 1 PBK 5/323"</f>
        <v>SW1/2 OF TRACT D IN OR 1326/608 LOFTON OAKS at YULEE HOME PARK 1 PBK 5/323</v>
      </c>
      <c r="N1216" t="str">
        <f>""</f>
        <v/>
      </c>
      <c r="O1216" t="str">
        <f>"45079"</f>
        <v>45079</v>
      </c>
      <c r="P1216" t="str">
        <f t="shared" si="382"/>
        <v>2017</v>
      </c>
      <c r="Q1216" t="str">
        <f>""</f>
        <v/>
      </c>
      <c r="R1216" t="str">
        <f>"N"</f>
        <v>N</v>
      </c>
      <c r="S1216" t="str">
        <f>""</f>
        <v/>
      </c>
      <c r="T1216" t="str">
        <f>"63.57"</f>
        <v>63.57</v>
      </c>
      <c r="U1216" t="str">
        <f>"4200.00"</f>
        <v>4200.00</v>
      </c>
      <c r="V1216" t="str">
        <f>"4200.00"</f>
        <v>4200.00</v>
      </c>
      <c r="W1216" t="str">
        <f t="shared" si="383"/>
        <v>2017</v>
      </c>
      <c r="X1216" t="str">
        <f>""</f>
        <v/>
      </c>
      <c r="Y1216" t="str">
        <f>"97.48"</f>
        <v>97.48</v>
      </c>
      <c r="Z1216" t="str">
        <f>""</f>
        <v/>
      </c>
      <c r="AA1216" t="str">
        <f>"4200.00"</f>
        <v>4200.00</v>
      </c>
      <c r="AB1216" t="str">
        <f>"Miscellaneous"</f>
        <v>Miscellaneous</v>
      </c>
      <c r="AC1216" t="str">
        <f t="shared" si="399"/>
        <v>0</v>
      </c>
      <c r="AD1216" t="str">
        <f>""</f>
        <v/>
      </c>
      <c r="AE1216" t="str">
        <f>""</f>
        <v/>
      </c>
      <c r="AF1216" t="str">
        <f>"091"</f>
        <v>091</v>
      </c>
      <c r="AG1216" t="str">
        <f>"FL"</f>
        <v>FL</v>
      </c>
      <c r="AH1216" t="str">
        <f>"3600.00"</f>
        <v>3600.00</v>
      </c>
      <c r="AI1216" t="str">
        <f>"4200.00"</f>
        <v>4200.00</v>
      </c>
      <c r="AJ1216" t="str">
        <f>"C55-000-589-2898-7"</f>
        <v>C55-000-589-2898-7</v>
      </c>
      <c r="AK1216" t="str">
        <f>"20427"</f>
        <v>20427</v>
      </c>
      <c r="AL1216">
        <v>5</v>
      </c>
      <c r="AM1216">
        <v>1386</v>
      </c>
      <c r="AN1216">
        <v>100.75</v>
      </c>
      <c r="AQ1216" t="s">
        <v>12421</v>
      </c>
      <c r="AR1216" t="s">
        <v>12421</v>
      </c>
      <c r="AS1216" t="s">
        <v>12421</v>
      </c>
      <c r="AU1216" t="s">
        <v>396</v>
      </c>
      <c r="AV1216">
        <v>2017</v>
      </c>
      <c r="AW1216" t="str">
        <f>"38-2N-27-1270-000D-0010 "</f>
        <v xml:space="preserve">38-2N-27-1270-000D-0010 </v>
      </c>
      <c r="AZ1216" t="s">
        <v>12422</v>
      </c>
      <c r="BA1216" t="s">
        <v>6622</v>
      </c>
      <c r="BD1216" t="s">
        <v>2387</v>
      </c>
      <c r="BE1216" t="s">
        <v>393</v>
      </c>
      <c r="BF1216">
        <v>32097</v>
      </c>
      <c r="BG1216" t="s">
        <v>12423</v>
      </c>
      <c r="BH1216" t="s">
        <v>2388</v>
      </c>
      <c r="BI1216">
        <v>-81.576773194834004</v>
      </c>
      <c r="BJ1216">
        <v>30.6246227262803</v>
      </c>
      <c r="BK1216" t="s">
        <v>12424</v>
      </c>
      <c r="BM1216" t="s">
        <v>12425</v>
      </c>
      <c r="BN1216" t="s">
        <v>3983</v>
      </c>
      <c r="BO1216">
        <v>32034</v>
      </c>
      <c r="BP1216" t="s">
        <v>404</v>
      </c>
      <c r="BQ1216">
        <v>9100</v>
      </c>
      <c r="BR1216" t="s">
        <v>12426</v>
      </c>
      <c r="BS1216">
        <v>9216</v>
      </c>
      <c r="BT1216" t="s">
        <v>12427</v>
      </c>
      <c r="BW1216">
        <v>3600</v>
      </c>
      <c r="BX1216" t="s">
        <v>407</v>
      </c>
      <c r="BY1216" t="s">
        <v>3019</v>
      </c>
      <c r="CD1216">
        <v>2017</v>
      </c>
      <c r="CE1216">
        <v>4200</v>
      </c>
      <c r="CG1216">
        <v>4200</v>
      </c>
      <c r="CH1216">
        <v>2017</v>
      </c>
      <c r="CI1216">
        <v>4200</v>
      </c>
      <c r="CK1216">
        <v>4200</v>
      </c>
      <c r="CL1216">
        <v>2017</v>
      </c>
      <c r="CM1216">
        <v>63.57</v>
      </c>
      <c r="CN1216" s="1">
        <v>38517</v>
      </c>
      <c r="CO1216">
        <v>2600</v>
      </c>
      <c r="CZ1216" s="1">
        <v>38517</v>
      </c>
      <c r="DD1216" t="s">
        <v>2387</v>
      </c>
      <c r="DG1216">
        <v>38</v>
      </c>
      <c r="DL1216">
        <v>50302</v>
      </c>
      <c r="DM1216" t="s">
        <v>12338</v>
      </c>
      <c r="DO1216" t="s">
        <v>12428</v>
      </c>
      <c r="DP1216">
        <v>0</v>
      </c>
      <c r="DQ1216">
        <v>0</v>
      </c>
      <c r="DR1216" t="s">
        <v>411</v>
      </c>
      <c r="DS1216" t="b">
        <v>1</v>
      </c>
      <c r="DT1216" t="s">
        <v>470</v>
      </c>
      <c r="DU1216" t="s">
        <v>471</v>
      </c>
      <c r="DV1216" t="s">
        <v>472</v>
      </c>
      <c r="DX1216">
        <v>-9999</v>
      </c>
      <c r="DZ1216" t="s">
        <v>447</v>
      </c>
      <c r="EA1216" t="s">
        <v>448</v>
      </c>
      <c r="EB1216" t="s">
        <v>742</v>
      </c>
      <c r="EC1216">
        <v>20101217</v>
      </c>
      <c r="ED1216" t="s">
        <v>474</v>
      </c>
      <c r="EF1216">
        <v>858.7</v>
      </c>
      <c r="EG1216">
        <v>600.79999999999995</v>
      </c>
      <c r="EI1216">
        <v>20160407</v>
      </c>
      <c r="EJ1216">
        <v>0</v>
      </c>
      <c r="EK1216">
        <v>0</v>
      </c>
      <c r="EP1216" t="s">
        <v>421</v>
      </c>
      <c r="EQ1216" t="s">
        <v>422</v>
      </c>
      <c r="ER1216">
        <v>2</v>
      </c>
      <c r="ES1216">
        <v>0</v>
      </c>
      <c r="ET1216">
        <v>183.43</v>
      </c>
      <c r="EU1216">
        <v>60.09</v>
      </c>
      <c r="EV1216">
        <v>243.52</v>
      </c>
      <c r="EW1216" s="2">
        <v>43222</v>
      </c>
      <c r="EX1216" s="1">
        <v>42879</v>
      </c>
      <c r="EY1216">
        <v>2016</v>
      </c>
      <c r="EZ1216">
        <v>93.4</v>
      </c>
      <c r="FA1216" t="s">
        <v>12429</v>
      </c>
      <c r="FB1216">
        <v>16.25</v>
      </c>
      <c r="FC1216" t="s">
        <v>424</v>
      </c>
      <c r="FD1216" t="s">
        <v>454</v>
      </c>
      <c r="FF1216">
        <v>12</v>
      </c>
      <c r="FG1216">
        <v>10021</v>
      </c>
      <c r="FH1216" t="s">
        <v>597</v>
      </c>
      <c r="FJ1216" s="1">
        <v>42515</v>
      </c>
      <c r="FK1216">
        <v>2015</v>
      </c>
      <c r="FL1216">
        <v>90.03</v>
      </c>
      <c r="FM1216" t="s">
        <v>12430</v>
      </c>
      <c r="FN1216">
        <v>18</v>
      </c>
      <c r="FO1216" t="s">
        <v>424</v>
      </c>
      <c r="FP1216" t="s">
        <v>454</v>
      </c>
      <c r="FR1216">
        <v>24</v>
      </c>
      <c r="FS1216">
        <v>3039821</v>
      </c>
      <c r="FT1216" t="s">
        <v>721</v>
      </c>
    </row>
    <row r="1217" spans="1:272" x14ac:dyDescent="0.25">
      <c r="A1217">
        <v>16486224</v>
      </c>
      <c r="B1217">
        <v>1216</v>
      </c>
      <c r="C1217" t="s">
        <v>393</v>
      </c>
      <c r="D1217" t="s">
        <v>394</v>
      </c>
      <c r="F1217" t="str">
        <f>"38-2N-27-127C-0071-0000"</f>
        <v>38-2N-27-127C-0071-0000</v>
      </c>
      <c r="H1217" t="str">
        <f>"HOLZENDORF DWAYNE K"</f>
        <v>HOLZENDORF DWAYNE K</v>
      </c>
      <c r="I1217" t="str">
        <f>"83151 ST MARK TRAIL"</f>
        <v>83151 ST MARK TRAIL</v>
      </c>
      <c r="J1217" t="str">
        <f>"YULEE FL 32097"</f>
        <v>YULEE FL 32097</v>
      </c>
      <c r="K1217" t="str">
        <f>"83151 ST MARK DR"</f>
        <v>83151 ST MARK DR</v>
      </c>
      <c r="L1217" t="str">
        <f t="shared" si="414"/>
        <v>YULEE FL 32097</v>
      </c>
      <c r="M1217" t="str">
        <f>"LOT 71 IN OR 812/609 LOFTON CREEK PB 6/33-36"</f>
        <v>LOT 71 IN OR 812/609 LOFTON CREEK PB 6/33-36</v>
      </c>
      <c r="N1217" t="str">
        <f>""</f>
        <v/>
      </c>
      <c r="O1217" t="str">
        <f>"45244"</f>
        <v>45244</v>
      </c>
      <c r="P1217" t="str">
        <f t="shared" si="382"/>
        <v>2017</v>
      </c>
      <c r="Q1217" t="str">
        <f>""</f>
        <v/>
      </c>
      <c r="R1217" t="str">
        <f>"Y"</f>
        <v>Y</v>
      </c>
      <c r="S1217" t="str">
        <f>""</f>
        <v/>
      </c>
      <c r="T1217" t="str">
        <f>"814.70"</f>
        <v>814.70</v>
      </c>
      <c r="U1217" t="str">
        <f>"93420.00"</f>
        <v>93420.00</v>
      </c>
      <c r="V1217" t="str">
        <f>"93420.00"</f>
        <v>93420.00</v>
      </c>
      <c r="W1217" t="str">
        <f t="shared" si="383"/>
        <v>2017</v>
      </c>
      <c r="X1217" t="str">
        <f>"12.00"</f>
        <v>12.00</v>
      </c>
      <c r="Y1217" t="str">
        <f>"871.14"</f>
        <v>871.14</v>
      </c>
      <c r="Z1217" t="str">
        <f>"25500.00"</f>
        <v>25500.00</v>
      </c>
      <c r="AA1217" t="str">
        <f>"67920.00"</f>
        <v>67920.00</v>
      </c>
      <c r="AB1217" t="str">
        <f t="shared" ref="AB1217:AB1222" si="415">"Residential"</f>
        <v>Residential</v>
      </c>
      <c r="AC1217" t="str">
        <f t="shared" si="399"/>
        <v>0</v>
      </c>
      <c r="AD1217" t="str">
        <f>"4"</f>
        <v>4</v>
      </c>
      <c r="AE1217" t="str">
        <f>"WOOD (INCLUDE STEEL STUDS)"</f>
        <v>WOOD (INCLUDE STEEL STUDS)</v>
      </c>
      <c r="AF1217" t="str">
        <f>"001"</f>
        <v>001</v>
      </c>
      <c r="AG1217" t="str">
        <f>"FL"</f>
        <v>FL</v>
      </c>
      <c r="AH1217" t="str">
        <f>"-"</f>
        <v>-</v>
      </c>
      <c r="AI1217" t="str">
        <f>"26775.00"</f>
        <v>26775.00</v>
      </c>
      <c r="AJ1217" t="str">
        <f>"C55-000-588-0237-2"</f>
        <v>C55-000-588-0237-2</v>
      </c>
      <c r="AK1217" t="str">
        <f>"20409"</f>
        <v>20409</v>
      </c>
      <c r="AL1217">
        <v>5</v>
      </c>
      <c r="AM1217">
        <v>1387</v>
      </c>
      <c r="AN1217">
        <v>913.1</v>
      </c>
      <c r="AQ1217" t="s">
        <v>12431</v>
      </c>
      <c r="AR1217" t="s">
        <v>12431</v>
      </c>
      <c r="AS1217" t="s">
        <v>12431</v>
      </c>
      <c r="AU1217" t="s">
        <v>396</v>
      </c>
      <c r="AV1217">
        <v>2017</v>
      </c>
      <c r="AW1217" t="str">
        <f>"38-2N-27-127C-0071-0000 "</f>
        <v xml:space="preserve">38-2N-27-127C-0071-0000 </v>
      </c>
      <c r="AX1217">
        <v>83151</v>
      </c>
      <c r="AZ1217" t="s">
        <v>12432</v>
      </c>
      <c r="BA1217" t="s">
        <v>669</v>
      </c>
      <c r="BD1217" t="s">
        <v>2387</v>
      </c>
      <c r="BE1217" t="s">
        <v>393</v>
      </c>
      <c r="BF1217">
        <v>32097</v>
      </c>
      <c r="BG1217" t="s">
        <v>12433</v>
      </c>
      <c r="BH1217" t="s">
        <v>2388</v>
      </c>
      <c r="BI1217">
        <v>-81.577261847809893</v>
      </c>
      <c r="BJ1217">
        <v>30.627085218603199</v>
      </c>
      <c r="BK1217" t="s">
        <v>12434</v>
      </c>
      <c r="BM1217" t="s">
        <v>12435</v>
      </c>
      <c r="BN1217" t="s">
        <v>1778</v>
      </c>
      <c r="BO1217">
        <v>32097</v>
      </c>
      <c r="BP1217" t="s">
        <v>416</v>
      </c>
      <c r="BQ1217">
        <v>100</v>
      </c>
      <c r="BR1217" t="s">
        <v>514</v>
      </c>
      <c r="BS1217">
        <v>1001</v>
      </c>
      <c r="BT1217" t="s">
        <v>515</v>
      </c>
      <c r="BW1217">
        <v>8800</v>
      </c>
      <c r="BX1217" t="s">
        <v>407</v>
      </c>
      <c r="BZ1217">
        <v>4</v>
      </c>
      <c r="CA1217">
        <v>1997</v>
      </c>
      <c r="CB1217">
        <v>1</v>
      </c>
      <c r="CC1217">
        <v>1</v>
      </c>
      <c r="CD1217">
        <v>2017</v>
      </c>
      <c r="CG1217">
        <v>93420</v>
      </c>
      <c r="CH1217">
        <v>2017</v>
      </c>
      <c r="CI1217">
        <v>26775</v>
      </c>
      <c r="CJ1217">
        <v>77751</v>
      </c>
      <c r="CK1217">
        <v>104526</v>
      </c>
      <c r="CL1217">
        <v>2017</v>
      </c>
      <c r="CM1217">
        <v>814.7</v>
      </c>
      <c r="CN1217" s="1">
        <v>35738</v>
      </c>
      <c r="CO1217">
        <v>75000</v>
      </c>
      <c r="CZ1217" s="1">
        <v>35738</v>
      </c>
      <c r="DD1217" t="s">
        <v>2387</v>
      </c>
      <c r="DF1217">
        <v>71</v>
      </c>
      <c r="DG1217">
        <v>38</v>
      </c>
      <c r="DJ1217" t="s">
        <v>12436</v>
      </c>
      <c r="DL1217">
        <v>50302</v>
      </c>
      <c r="DM1217" t="s">
        <v>12338</v>
      </c>
      <c r="DO1217" t="s">
        <v>12437</v>
      </c>
      <c r="DP1217">
        <v>0</v>
      </c>
      <c r="DQ1217">
        <v>0</v>
      </c>
      <c r="DR1217" t="s">
        <v>411</v>
      </c>
      <c r="DS1217" t="b">
        <v>1</v>
      </c>
      <c r="DT1217" t="s">
        <v>470</v>
      </c>
      <c r="DU1217" t="s">
        <v>471</v>
      </c>
      <c r="DV1217" t="s">
        <v>472</v>
      </c>
      <c r="DX1217">
        <v>-9999</v>
      </c>
      <c r="DZ1217" t="s">
        <v>447</v>
      </c>
      <c r="EA1217" t="s">
        <v>448</v>
      </c>
      <c r="EB1217" t="s">
        <v>742</v>
      </c>
      <c r="EC1217">
        <v>20101217</v>
      </c>
      <c r="ED1217" t="s">
        <v>474</v>
      </c>
      <c r="EF1217">
        <v>1110</v>
      </c>
      <c r="EG1217">
        <v>881.5</v>
      </c>
      <c r="EI1217">
        <v>20160407</v>
      </c>
      <c r="EJ1217">
        <v>0</v>
      </c>
      <c r="EK1217">
        <v>0</v>
      </c>
      <c r="EP1217" t="s">
        <v>421</v>
      </c>
      <c r="EQ1217" t="s">
        <v>422</v>
      </c>
      <c r="ER1217">
        <v>0</v>
      </c>
      <c r="ES1217">
        <v>2</v>
      </c>
      <c r="ET1217">
        <v>0</v>
      </c>
      <c r="EU1217">
        <v>0</v>
      </c>
      <c r="EV1217">
        <v>0</v>
      </c>
      <c r="EW1217" s="2">
        <v>43222</v>
      </c>
      <c r="EX1217" s="1">
        <v>42151</v>
      </c>
      <c r="EY1217">
        <v>2014</v>
      </c>
      <c r="EZ1217">
        <v>894.64</v>
      </c>
      <c r="FA1217" t="s">
        <v>12438</v>
      </c>
      <c r="FB1217">
        <v>0.25</v>
      </c>
      <c r="FC1217" t="s">
        <v>424</v>
      </c>
      <c r="FD1217" t="s">
        <v>425</v>
      </c>
      <c r="FE1217" s="1">
        <v>42514</v>
      </c>
      <c r="FF1217">
        <v>12</v>
      </c>
      <c r="FG1217">
        <v>2101382</v>
      </c>
      <c r="FH1217" t="s">
        <v>993</v>
      </c>
      <c r="FJ1217" s="1">
        <v>42151</v>
      </c>
      <c r="FK1217">
        <v>2014</v>
      </c>
      <c r="FL1217">
        <v>894.64</v>
      </c>
      <c r="FM1217" t="s">
        <v>12438</v>
      </c>
      <c r="FN1217">
        <v>0.25</v>
      </c>
      <c r="FO1217" t="s">
        <v>424</v>
      </c>
      <c r="FP1217" t="s">
        <v>425</v>
      </c>
      <c r="FR1217">
        <v>22</v>
      </c>
      <c r="FS1217">
        <v>5453487</v>
      </c>
      <c r="FT1217" t="s">
        <v>12439</v>
      </c>
    </row>
    <row r="1218" spans="1:272" x14ac:dyDescent="0.25">
      <c r="A1218">
        <v>16486225</v>
      </c>
      <c r="B1218">
        <v>1217</v>
      </c>
      <c r="C1218" t="s">
        <v>393</v>
      </c>
      <c r="D1218" t="s">
        <v>394</v>
      </c>
      <c r="F1218" t="str">
        <f>"38-2N-27-1330-0028-0000"</f>
        <v>38-2N-27-1330-0028-0000</v>
      </c>
      <c r="H1218" t="str">
        <f>"BARNARD DENISE R"</f>
        <v>BARNARD DENISE R</v>
      </c>
      <c r="I1218" t="str">
        <f>"762 GEIGER ROAD"</f>
        <v>762 GEIGER ROAD</v>
      </c>
      <c r="J1218" t="str">
        <f>"FERNANDINA BEACH FL 32034"</f>
        <v>FERNANDINA BEACH FL 32034</v>
      </c>
      <c r="K1218" t="str">
        <f>"86253 MEADOWFIELD BLUFFS RD"</f>
        <v>86253 MEADOWFIELD BLUFFS RD</v>
      </c>
      <c r="L1218" t="str">
        <f t="shared" si="414"/>
        <v>YULEE FL 32097</v>
      </c>
      <c r="M1218" t="str">
        <f>"LOT 28 IN OR 726 PG 426 MEADOWFIELD BLUFFS PB 5/105"</f>
        <v>LOT 28 IN OR 726 PG 426 MEADOWFIELD BLUFFS PB 5/105</v>
      </c>
      <c r="N1218" t="str">
        <f>""</f>
        <v/>
      </c>
      <c r="O1218" t="str">
        <f>"45286"</f>
        <v>45286</v>
      </c>
      <c r="P1218" t="str">
        <f t="shared" ref="P1218:P1281" si="416">"2017"</f>
        <v>2017</v>
      </c>
      <c r="Q1218" t="str">
        <f>""</f>
        <v/>
      </c>
      <c r="R1218" t="str">
        <f t="shared" ref="R1218:R1241" si="417">"N"</f>
        <v>N</v>
      </c>
      <c r="S1218" t="str">
        <f>""</f>
        <v/>
      </c>
      <c r="T1218" t="str">
        <f>"2187.54"</f>
        <v>2187.54</v>
      </c>
      <c r="U1218" t="str">
        <f>"140250.00"</f>
        <v>140250.00</v>
      </c>
      <c r="V1218" t="str">
        <f>"140250.00"</f>
        <v>140250.00</v>
      </c>
      <c r="W1218" t="str">
        <f t="shared" ref="W1218:W1281" si="418">"2017"</f>
        <v>2017</v>
      </c>
      <c r="X1218" t="str">
        <f>"14.50"</f>
        <v>14.50</v>
      </c>
      <c r="Y1218" t="str">
        <f>"2285.17"</f>
        <v>2285.17</v>
      </c>
      <c r="Z1218" t="str">
        <f>""</f>
        <v/>
      </c>
      <c r="AA1218" t="str">
        <f>"150000.00"</f>
        <v>150000.00</v>
      </c>
      <c r="AB1218" t="str">
        <f t="shared" si="415"/>
        <v>Residential</v>
      </c>
      <c r="AC1218" t="str">
        <f t="shared" si="399"/>
        <v>0</v>
      </c>
      <c r="AD1218" t="str">
        <f>""</f>
        <v/>
      </c>
      <c r="AE1218" t="str">
        <f>""</f>
        <v/>
      </c>
      <c r="AF1218" t="str">
        <f>"000"</f>
        <v>000</v>
      </c>
      <c r="AG1218" t="str">
        <f>"FL"</f>
        <v>FL</v>
      </c>
      <c r="AH1218" t="str">
        <f>"-"</f>
        <v>-</v>
      </c>
      <c r="AI1218" t="str">
        <f>"150000.00"</f>
        <v>150000.00</v>
      </c>
      <c r="AJ1218" t="str">
        <f>"C55-000-588-0265-3"</f>
        <v>C55-000-588-0265-3</v>
      </c>
      <c r="AK1218" t="str">
        <f>"20553"</f>
        <v>20553</v>
      </c>
      <c r="AL1218">
        <v>5</v>
      </c>
      <c r="AM1218">
        <v>1388</v>
      </c>
      <c r="AN1218">
        <v>2397.83</v>
      </c>
      <c r="AQ1218" t="s">
        <v>12440</v>
      </c>
      <c r="AR1218" t="s">
        <v>12440</v>
      </c>
      <c r="AS1218" t="s">
        <v>12440</v>
      </c>
      <c r="AU1218" t="s">
        <v>396</v>
      </c>
      <c r="AV1218">
        <v>2017</v>
      </c>
      <c r="AW1218" t="str">
        <f>"38-2N-27-1330-0028-0000 "</f>
        <v xml:space="preserve">38-2N-27-1330-0028-0000 </v>
      </c>
      <c r="AX1218">
        <v>86253</v>
      </c>
      <c r="AZ1218" t="s">
        <v>12441</v>
      </c>
      <c r="BA1218" t="s">
        <v>496</v>
      </c>
      <c r="BD1218" t="s">
        <v>2387</v>
      </c>
      <c r="BE1218" t="s">
        <v>393</v>
      </c>
      <c r="BF1218">
        <v>32097</v>
      </c>
      <c r="BG1218" t="s">
        <v>12442</v>
      </c>
      <c r="BH1218" t="s">
        <v>2388</v>
      </c>
      <c r="BI1218">
        <v>-81.566660313631104</v>
      </c>
      <c r="BJ1218">
        <v>30.617657171401401</v>
      </c>
      <c r="BK1218" t="s">
        <v>12443</v>
      </c>
      <c r="BM1218" t="s">
        <v>12444</v>
      </c>
      <c r="BN1218" t="s">
        <v>3983</v>
      </c>
      <c r="BO1218">
        <v>32034</v>
      </c>
      <c r="BP1218" t="s">
        <v>404</v>
      </c>
      <c r="BQ1218">
        <v>0</v>
      </c>
      <c r="BR1218" t="s">
        <v>491</v>
      </c>
      <c r="BS1218">
        <v>8001</v>
      </c>
      <c r="BT1218" t="s">
        <v>492</v>
      </c>
      <c r="BW1218">
        <v>42053</v>
      </c>
      <c r="BX1218" t="s">
        <v>407</v>
      </c>
      <c r="BY1218" t="s">
        <v>2729</v>
      </c>
      <c r="CD1218">
        <v>2017</v>
      </c>
      <c r="CE1218">
        <v>150000</v>
      </c>
      <c r="CG1218">
        <v>150000</v>
      </c>
      <c r="CH1218">
        <v>2017</v>
      </c>
      <c r="CI1218">
        <v>150000</v>
      </c>
      <c r="CK1218">
        <v>150000</v>
      </c>
      <c r="CL1218">
        <v>2017</v>
      </c>
      <c r="CM1218">
        <v>2187.54</v>
      </c>
      <c r="CN1218" s="1">
        <v>34780</v>
      </c>
      <c r="CO1218">
        <v>52500</v>
      </c>
      <c r="CZ1218" s="1">
        <v>34780</v>
      </c>
      <c r="DD1218" t="s">
        <v>2387</v>
      </c>
      <c r="DF1218">
        <v>28</v>
      </c>
      <c r="DG1218">
        <v>38</v>
      </c>
      <c r="DJ1218" t="s">
        <v>12441</v>
      </c>
      <c r="DL1218">
        <v>50303</v>
      </c>
      <c r="DM1218" t="s">
        <v>12338</v>
      </c>
      <c r="DO1218" t="s">
        <v>12445</v>
      </c>
      <c r="DP1218">
        <v>0</v>
      </c>
      <c r="DQ1218">
        <v>0</v>
      </c>
      <c r="DR1218" t="s">
        <v>411</v>
      </c>
      <c r="EP1218" t="s">
        <v>421</v>
      </c>
      <c r="EQ1218" t="s">
        <v>422</v>
      </c>
      <c r="ER1218">
        <v>0</v>
      </c>
      <c r="ES1218">
        <v>3</v>
      </c>
      <c r="ET1218">
        <v>0</v>
      </c>
      <c r="EU1218">
        <v>0</v>
      </c>
      <c r="EV1218">
        <v>0</v>
      </c>
      <c r="EW1218" s="2">
        <v>43222</v>
      </c>
      <c r="EX1218" s="1">
        <v>41787</v>
      </c>
      <c r="EY1218">
        <v>2013</v>
      </c>
      <c r="EZ1218">
        <v>2084.61</v>
      </c>
      <c r="FA1218" t="s">
        <v>12446</v>
      </c>
      <c r="FB1218">
        <v>3</v>
      </c>
      <c r="FC1218" t="s">
        <v>424</v>
      </c>
      <c r="FD1218" t="s">
        <v>425</v>
      </c>
      <c r="FE1218" s="1">
        <v>42426</v>
      </c>
      <c r="FF1218">
        <v>21</v>
      </c>
      <c r="FG1218">
        <v>1155951</v>
      </c>
      <c r="FH1218" t="s">
        <v>1451</v>
      </c>
      <c r="FJ1218" s="1">
        <v>41423</v>
      </c>
      <c r="FK1218">
        <v>2012</v>
      </c>
      <c r="FL1218">
        <v>2110.39</v>
      </c>
      <c r="FM1218" t="s">
        <v>12447</v>
      </c>
      <c r="FN1218">
        <v>0.25</v>
      </c>
      <c r="FO1218" t="s">
        <v>424</v>
      </c>
      <c r="FP1218" t="s">
        <v>425</v>
      </c>
      <c r="FQ1218" s="1">
        <v>42061</v>
      </c>
      <c r="FR1218">
        <v>21</v>
      </c>
      <c r="FS1218">
        <v>10125</v>
      </c>
      <c r="FT1218" t="s">
        <v>440</v>
      </c>
      <c r="FV1218" s="1">
        <v>41052</v>
      </c>
      <c r="FW1218">
        <v>2011</v>
      </c>
      <c r="FX1218">
        <v>2493.08</v>
      </c>
      <c r="FY1218" t="s">
        <v>12448</v>
      </c>
      <c r="FZ1218">
        <v>5.75</v>
      </c>
      <c r="GA1218" t="s">
        <v>424</v>
      </c>
      <c r="GB1218" t="s">
        <v>425</v>
      </c>
      <c r="GC1218" s="1">
        <v>41337</v>
      </c>
      <c r="GD1218">
        <v>10</v>
      </c>
      <c r="GE1218">
        <v>10579</v>
      </c>
      <c r="GF1218" t="s">
        <v>488</v>
      </c>
    </row>
    <row r="1219" spans="1:272" x14ac:dyDescent="0.25">
      <c r="A1219">
        <v>16486226</v>
      </c>
      <c r="B1219">
        <v>1218</v>
      </c>
      <c r="C1219" t="s">
        <v>393</v>
      </c>
      <c r="D1219" t="s">
        <v>394</v>
      </c>
      <c r="F1219" t="str">
        <f>"38-2N-27-1331-0031-0000"</f>
        <v>38-2N-27-1331-0031-0000</v>
      </c>
      <c r="H1219" t="str">
        <f>"STRICKLAND ARLENE L"</f>
        <v>STRICKLAND ARLENE L</v>
      </c>
      <c r="I1219" t="str">
        <f>"P O BOX 458"</f>
        <v>P O BOX 458</v>
      </c>
      <c r="J1219" t="str">
        <f>"WAYCROSS GA 31502"</f>
        <v>WAYCROSS GA 31502</v>
      </c>
      <c r="K1219" t="str">
        <f>"86239 FIELDSTONE DR"</f>
        <v>86239 FIELDSTONE DR</v>
      </c>
      <c r="L1219" t="str">
        <f t="shared" si="414"/>
        <v>YULEE FL 32097</v>
      </c>
      <c r="M1219" t="str">
        <f>"LOT 31 IN OR 1863/200 MEADOWFIELD UNIT 1B PB 6/203"</f>
        <v>LOT 31 IN OR 1863/200 MEADOWFIELD UNIT 1B PB 6/203</v>
      </c>
      <c r="N1219" t="str">
        <f>""</f>
        <v/>
      </c>
      <c r="O1219" t="str">
        <f>"45341"</f>
        <v>45341</v>
      </c>
      <c r="P1219" t="str">
        <f t="shared" si="416"/>
        <v>2017</v>
      </c>
      <c r="Q1219" t="str">
        <f>""</f>
        <v/>
      </c>
      <c r="R1219" t="str">
        <f t="shared" si="417"/>
        <v>N</v>
      </c>
      <c r="S1219" t="str">
        <f>""</f>
        <v/>
      </c>
      <c r="T1219" t="str">
        <f>"2547.30"</f>
        <v>2547.30</v>
      </c>
      <c r="U1219" t="str">
        <f>"164954.00"</f>
        <v>164954.00</v>
      </c>
      <c r="V1219" t="str">
        <f>"164954.00"</f>
        <v>164954.00</v>
      </c>
      <c r="W1219" t="str">
        <f t="shared" si="418"/>
        <v>2017</v>
      </c>
      <c r="X1219" t="str">
        <f>""</f>
        <v/>
      </c>
      <c r="Y1219" t="str">
        <f>"751.09"</f>
        <v>751.09</v>
      </c>
      <c r="Z1219" t="str">
        <f>""</f>
        <v/>
      </c>
      <c r="AA1219" t="str">
        <f>"172547.00"</f>
        <v>172547.00</v>
      </c>
      <c r="AB1219" t="str">
        <f t="shared" si="415"/>
        <v>Residential</v>
      </c>
      <c r="AC1219" t="str">
        <f t="shared" si="399"/>
        <v>0</v>
      </c>
      <c r="AD1219" t="str">
        <f>"4"</f>
        <v>4</v>
      </c>
      <c r="AE1219" t="str">
        <f>"WOOD (INCLUDE STEEL STUDS)"</f>
        <v>WOOD (INCLUDE STEEL STUDS)</v>
      </c>
      <c r="AF1219" t="str">
        <f>"001"</f>
        <v>001</v>
      </c>
      <c r="AG1219" t="str">
        <f>"GA"</f>
        <v>GA</v>
      </c>
      <c r="AH1219" t="str">
        <f>"-"</f>
        <v>-</v>
      </c>
      <c r="AI1219" t="str">
        <f>"35000.00"</f>
        <v>35000.00</v>
      </c>
      <c r="AJ1219" t="str">
        <f>"C55-000-588-0318-0"</f>
        <v>C55-000-588-0318-0</v>
      </c>
      <c r="AK1219" t="str">
        <f>"20605"</f>
        <v>20605</v>
      </c>
      <c r="AL1219">
        <v>5</v>
      </c>
      <c r="AM1219">
        <v>1389</v>
      </c>
      <c r="AN1219">
        <v>787.04</v>
      </c>
      <c r="AQ1219" t="s">
        <v>12449</v>
      </c>
      <c r="AR1219" t="s">
        <v>12449</v>
      </c>
      <c r="AS1219" t="s">
        <v>12449</v>
      </c>
      <c r="AU1219" t="s">
        <v>396</v>
      </c>
      <c r="AV1219">
        <v>2017</v>
      </c>
      <c r="AW1219" t="str">
        <f>"38-2N-27-1331-0031-0000 "</f>
        <v xml:space="preserve">38-2N-27-1331-0031-0000 </v>
      </c>
      <c r="AX1219">
        <v>86239</v>
      </c>
      <c r="AZ1219" t="s">
        <v>12450</v>
      </c>
      <c r="BA1219" t="s">
        <v>669</v>
      </c>
      <c r="BD1219" t="s">
        <v>2387</v>
      </c>
      <c r="BE1219" t="s">
        <v>393</v>
      </c>
      <c r="BF1219">
        <v>32097</v>
      </c>
      <c r="BG1219" t="s">
        <v>12451</v>
      </c>
      <c r="BH1219" t="s">
        <v>2388</v>
      </c>
      <c r="BI1219">
        <v>-81.566572194105206</v>
      </c>
      <c r="BJ1219">
        <v>30.621360507595298</v>
      </c>
      <c r="BK1219" t="s">
        <v>12452</v>
      </c>
      <c r="BM1219" t="s">
        <v>12453</v>
      </c>
      <c r="BN1219" t="s">
        <v>12454</v>
      </c>
      <c r="BO1219">
        <v>31502</v>
      </c>
      <c r="BP1219" t="s">
        <v>404</v>
      </c>
      <c r="BQ1219">
        <v>100</v>
      </c>
      <c r="BR1219" t="s">
        <v>514</v>
      </c>
      <c r="BS1219">
        <v>1001</v>
      </c>
      <c r="BT1219" t="s">
        <v>515</v>
      </c>
      <c r="BW1219">
        <v>10800</v>
      </c>
      <c r="BX1219" t="s">
        <v>407</v>
      </c>
      <c r="BZ1219">
        <v>4</v>
      </c>
      <c r="CA1219">
        <v>2002</v>
      </c>
      <c r="CC1219">
        <v>1</v>
      </c>
      <c r="CD1219">
        <v>2017</v>
      </c>
      <c r="CE1219">
        <v>35000</v>
      </c>
      <c r="CF1219">
        <v>137547</v>
      </c>
      <c r="CG1219">
        <v>172547</v>
      </c>
      <c r="CH1219">
        <v>2017</v>
      </c>
      <c r="CI1219">
        <v>35000</v>
      </c>
      <c r="CJ1219">
        <v>137547</v>
      </c>
      <c r="CK1219">
        <v>172547</v>
      </c>
      <c r="CL1219">
        <v>2017</v>
      </c>
      <c r="CM1219">
        <v>2547.3000000000002</v>
      </c>
      <c r="CN1219" s="1">
        <v>41444</v>
      </c>
      <c r="CO1219">
        <v>170000</v>
      </c>
      <c r="CV1219">
        <v>0</v>
      </c>
      <c r="CZ1219" s="1">
        <v>41444</v>
      </c>
      <c r="DA1219">
        <v>0</v>
      </c>
      <c r="DD1219" t="s">
        <v>2387</v>
      </c>
      <c r="DF1219">
        <v>31</v>
      </c>
      <c r="DG1219">
        <v>38</v>
      </c>
      <c r="DI1219" t="s">
        <v>12455</v>
      </c>
      <c r="DJ1219" t="s">
        <v>12456</v>
      </c>
      <c r="DL1219">
        <v>50303</v>
      </c>
      <c r="DM1219" t="s">
        <v>12338</v>
      </c>
      <c r="DO1219" t="s">
        <v>12457</v>
      </c>
      <c r="DP1219">
        <v>0</v>
      </c>
      <c r="DQ1219">
        <v>0</v>
      </c>
      <c r="DR1219" t="s">
        <v>411</v>
      </c>
    </row>
    <row r="1220" spans="1:272" x14ac:dyDescent="0.25">
      <c r="A1220">
        <v>16486227</v>
      </c>
      <c r="B1220">
        <v>1219</v>
      </c>
      <c r="C1220" t="s">
        <v>393</v>
      </c>
      <c r="D1220" t="s">
        <v>394</v>
      </c>
      <c r="F1220" t="str">
        <f>"38-2N-27-1525-0010-0000"</f>
        <v>38-2N-27-1525-0010-0000</v>
      </c>
      <c r="H1220" t="str">
        <f>"KUCHES CHRISTOPHER E EST"</f>
        <v>KUCHES CHRISTOPHER E EST</v>
      </c>
      <c r="I1220" t="str">
        <f>"85642 MINER ROAD"</f>
        <v>85642 MINER ROAD</v>
      </c>
      <c r="J1220" t="str">
        <f>"YULEE FL 32097"</f>
        <v>YULEE FL 32097</v>
      </c>
      <c r="K1220" t="str">
        <f>"CREEK DR"</f>
        <v>CREEK DR</v>
      </c>
      <c r="L1220" t="str">
        <f t="shared" si="414"/>
        <v>YULEE FL 32097</v>
      </c>
      <c r="M1220" t="str">
        <f>"LOT 10 PT OR 1546/1141 OAK WOODS PB 5/370"</f>
        <v>LOT 10 PT OR 1546/1141 OAK WOODS PB 5/370</v>
      </c>
      <c r="N1220" t="str">
        <f>""</f>
        <v/>
      </c>
      <c r="O1220" t="str">
        <f>"45551"</f>
        <v>45551</v>
      </c>
      <c r="P1220" t="str">
        <f t="shared" si="416"/>
        <v>2017</v>
      </c>
      <c r="Q1220" t="str">
        <f>""</f>
        <v/>
      </c>
      <c r="R1220" t="str">
        <f t="shared" si="417"/>
        <v>N</v>
      </c>
      <c r="S1220" t="str">
        <f>""</f>
        <v/>
      </c>
      <c r="T1220" t="str">
        <f>"685.40"</f>
        <v>685.40</v>
      </c>
      <c r="U1220" t="str">
        <f>"44289.00"</f>
        <v>44289.00</v>
      </c>
      <c r="V1220" t="str">
        <f>"44289.00"</f>
        <v>44289.00</v>
      </c>
      <c r="W1220" t="str">
        <f t="shared" si="418"/>
        <v>2017</v>
      </c>
      <c r="X1220" t="str">
        <f>""</f>
        <v/>
      </c>
      <c r="Y1220" t="str">
        <f>"737.96"</f>
        <v>737.96</v>
      </c>
      <c r="Z1220" t="str">
        <f>""</f>
        <v/>
      </c>
      <c r="AA1220" t="str">
        <f>"46550.00"</f>
        <v>46550.00</v>
      </c>
      <c r="AB1220" t="str">
        <f t="shared" si="415"/>
        <v>Residential</v>
      </c>
      <c r="AC1220" t="str">
        <f t="shared" si="399"/>
        <v>0</v>
      </c>
      <c r="AD1220" t="str">
        <f>""</f>
        <v/>
      </c>
      <c r="AE1220" t="str">
        <f>""</f>
        <v/>
      </c>
      <c r="AF1220" t="str">
        <f>"000"</f>
        <v>000</v>
      </c>
      <c r="AG1220" t="str">
        <f t="shared" ref="AG1220:AG1229" si="419">"FL"</f>
        <v>FL</v>
      </c>
      <c r="AH1220" t="str">
        <f>"-"</f>
        <v>-</v>
      </c>
      <c r="AI1220" t="str">
        <f>"46550.00"</f>
        <v>46550.00</v>
      </c>
      <c r="AJ1220" t="str">
        <f>"C55-000-588-0408-9"</f>
        <v>C55-000-588-0408-9</v>
      </c>
      <c r="AK1220" t="str">
        <f>"20812"</f>
        <v>20812</v>
      </c>
      <c r="AL1220">
        <v>5</v>
      </c>
      <c r="AM1220">
        <v>1390</v>
      </c>
      <c r="AN1220">
        <v>773.26</v>
      </c>
      <c r="AQ1220" t="s">
        <v>12458</v>
      </c>
      <c r="AR1220" t="s">
        <v>12458</v>
      </c>
      <c r="AS1220" t="s">
        <v>12458</v>
      </c>
      <c r="AU1220" t="s">
        <v>396</v>
      </c>
      <c r="AV1220">
        <v>2017</v>
      </c>
      <c r="AW1220" t="str">
        <f>"38-2N-27-1525-0010-0000 "</f>
        <v xml:space="preserve">38-2N-27-1525-0010-0000 </v>
      </c>
      <c r="AZ1220" t="s">
        <v>12459</v>
      </c>
      <c r="BA1220" t="s">
        <v>669</v>
      </c>
      <c r="BD1220" t="s">
        <v>2387</v>
      </c>
      <c r="BE1220" t="s">
        <v>393</v>
      </c>
      <c r="BF1220">
        <v>32097</v>
      </c>
      <c r="BG1220" t="s">
        <v>12460</v>
      </c>
      <c r="BH1220" t="s">
        <v>2388</v>
      </c>
      <c r="BI1220">
        <v>-81.578297030611907</v>
      </c>
      <c r="BJ1220">
        <v>30.620371999376701</v>
      </c>
      <c r="BK1220" t="s">
        <v>12461</v>
      </c>
      <c r="BM1220" t="s">
        <v>12462</v>
      </c>
      <c r="BN1220" t="s">
        <v>1778</v>
      </c>
      <c r="BO1220">
        <v>32097</v>
      </c>
      <c r="BP1220" t="s">
        <v>404</v>
      </c>
      <c r="BQ1220">
        <v>0</v>
      </c>
      <c r="BR1220" t="s">
        <v>491</v>
      </c>
      <c r="BS1220">
        <v>8001</v>
      </c>
      <c r="BT1220" t="s">
        <v>492</v>
      </c>
      <c r="BW1220">
        <v>115899</v>
      </c>
      <c r="BX1220" t="s">
        <v>407</v>
      </c>
      <c r="BY1220" t="s">
        <v>408</v>
      </c>
      <c r="CD1220">
        <v>2017</v>
      </c>
      <c r="CE1220">
        <v>46550</v>
      </c>
      <c r="CG1220">
        <v>46550</v>
      </c>
      <c r="CH1220">
        <v>2017</v>
      </c>
      <c r="CI1220">
        <v>46550</v>
      </c>
      <c r="CK1220">
        <v>46550</v>
      </c>
      <c r="CL1220">
        <v>2017</v>
      </c>
      <c r="CM1220">
        <v>685.4</v>
      </c>
      <c r="CN1220" s="1">
        <v>39463</v>
      </c>
      <c r="CO1220">
        <v>226600</v>
      </c>
      <c r="CV1220">
        <v>226600</v>
      </c>
      <c r="CX1220" t="s">
        <v>675</v>
      </c>
      <c r="CZ1220" s="1">
        <v>39463</v>
      </c>
      <c r="DA1220">
        <v>0</v>
      </c>
      <c r="DD1220" t="s">
        <v>2387</v>
      </c>
      <c r="DF1220">
        <v>10</v>
      </c>
      <c r="DG1220">
        <v>38</v>
      </c>
      <c r="DJ1220" t="s">
        <v>12463</v>
      </c>
      <c r="DL1220">
        <v>50302</v>
      </c>
      <c r="DM1220" t="s">
        <v>12338</v>
      </c>
      <c r="DO1220" t="s">
        <v>12464</v>
      </c>
      <c r="DP1220">
        <v>0</v>
      </c>
      <c r="DQ1220">
        <v>0</v>
      </c>
      <c r="DR1220" t="s">
        <v>411</v>
      </c>
    </row>
    <row r="1221" spans="1:272" x14ac:dyDescent="0.25">
      <c r="A1221">
        <v>16486228</v>
      </c>
      <c r="B1221">
        <v>1220</v>
      </c>
      <c r="C1221" t="s">
        <v>393</v>
      </c>
      <c r="D1221" t="s">
        <v>394</v>
      </c>
      <c r="F1221" t="str">
        <f>"42-2N-27-0000-0001-0310"</f>
        <v>42-2N-27-0000-0001-0310</v>
      </c>
      <c r="H1221" t="str">
        <f>"DAVIS BRETT L"</f>
        <v>DAVIS BRETT L</v>
      </c>
      <c r="I1221" t="str">
        <f>"85115 HADDOCK RD"</f>
        <v>85115 HADDOCK RD</v>
      </c>
      <c r="J1221" t="str">
        <f>"YULEE FL 32097"</f>
        <v>YULEE FL 32097</v>
      </c>
      <c r="K1221" t="str">
        <f>"85115 HADDOCK RD"</f>
        <v>85115 HADDOCK RD</v>
      </c>
      <c r="L1221" t="str">
        <f t="shared" si="414"/>
        <v>YULEE FL 32097</v>
      </c>
      <c r="M1221" t="str">
        <f>"IN OR 1877/1264"</f>
        <v>IN OR 1877/1264</v>
      </c>
      <c r="N1221" t="str">
        <f>""</f>
        <v/>
      </c>
      <c r="O1221" t="str">
        <f>"47170"</f>
        <v>47170</v>
      </c>
      <c r="P1221" t="str">
        <f t="shared" si="416"/>
        <v>2017</v>
      </c>
      <c r="Q1221" t="str">
        <f>""</f>
        <v/>
      </c>
      <c r="R1221" t="str">
        <f t="shared" si="417"/>
        <v>N</v>
      </c>
      <c r="S1221" t="str">
        <f>"2.79"</f>
        <v>2.79</v>
      </c>
      <c r="T1221" t="str">
        <f>"1752.21"</f>
        <v>1752.21</v>
      </c>
      <c r="U1221" t="str">
        <f>"114230.00"</f>
        <v>114230.00</v>
      </c>
      <c r="V1221" t="str">
        <f>"114230.00"</f>
        <v>114230.00</v>
      </c>
      <c r="W1221" t="str">
        <f t="shared" si="418"/>
        <v>2017</v>
      </c>
      <c r="X1221" t="str">
        <f>"14.50"</f>
        <v>14.50</v>
      </c>
      <c r="Y1221" t="str">
        <f>"1836.78"</f>
        <v>1836.78</v>
      </c>
      <c r="Z1221" t="str">
        <f>""</f>
        <v/>
      </c>
      <c r="AA1221" t="str">
        <f>"117699.00"</f>
        <v>117699.00</v>
      </c>
      <c r="AB1221" t="str">
        <f t="shared" si="415"/>
        <v>Residential</v>
      </c>
      <c r="AC1221" t="str">
        <f t="shared" si="399"/>
        <v>0</v>
      </c>
      <c r="AD1221" t="str">
        <f>"4"</f>
        <v>4</v>
      </c>
      <c r="AE1221" t="str">
        <f>"WOOD (INCLUDE STEEL STUDS)"</f>
        <v>WOOD (INCLUDE STEEL STUDS)</v>
      </c>
      <c r="AF1221" t="str">
        <f>"002"</f>
        <v>002</v>
      </c>
      <c r="AG1221" t="str">
        <f t="shared" si="419"/>
        <v>FL</v>
      </c>
      <c r="AH1221" t="str">
        <f>"121532.00"</f>
        <v>121532.00</v>
      </c>
      <c r="AI1221" t="str">
        <f>"49104.00"</f>
        <v>49104.00</v>
      </c>
      <c r="AJ1221" t="str">
        <f>"C55-000-988-2739-7"</f>
        <v>C55-000-988-2739-7</v>
      </c>
      <c r="AK1221" t="str">
        <f>"20862"</f>
        <v>20862</v>
      </c>
      <c r="AL1221">
        <v>5</v>
      </c>
      <c r="AM1221">
        <v>1392</v>
      </c>
      <c r="AN1221">
        <v>1927.02</v>
      </c>
      <c r="AQ1221" t="s">
        <v>12465</v>
      </c>
      <c r="AR1221" t="s">
        <v>12465</v>
      </c>
      <c r="AS1221" t="s">
        <v>12465</v>
      </c>
      <c r="AU1221" t="s">
        <v>396</v>
      </c>
      <c r="AV1221">
        <v>2017</v>
      </c>
      <c r="AW1221" t="str">
        <f>"42-2N-27-0000-0001-0310 "</f>
        <v xml:space="preserve">42-2N-27-0000-0001-0310 </v>
      </c>
      <c r="AX1221">
        <v>85115</v>
      </c>
      <c r="AZ1221" t="s">
        <v>10626</v>
      </c>
      <c r="BA1221" t="s">
        <v>496</v>
      </c>
      <c r="BD1221" t="s">
        <v>2387</v>
      </c>
      <c r="BE1221" t="s">
        <v>393</v>
      </c>
      <c r="BF1221">
        <v>32097</v>
      </c>
      <c r="BG1221" t="s">
        <v>12466</v>
      </c>
      <c r="BH1221" t="s">
        <v>2388</v>
      </c>
      <c r="BI1221">
        <v>-81.586530022690198</v>
      </c>
      <c r="BJ1221">
        <v>30.5908781330895</v>
      </c>
      <c r="BK1221" t="s">
        <v>12467</v>
      </c>
      <c r="BM1221" t="s">
        <v>12466</v>
      </c>
      <c r="BN1221" t="s">
        <v>1778</v>
      </c>
      <c r="BO1221">
        <v>32097</v>
      </c>
      <c r="BP1221" t="s">
        <v>416</v>
      </c>
      <c r="BQ1221">
        <v>200</v>
      </c>
      <c r="BR1221" t="s">
        <v>405</v>
      </c>
      <c r="BS1221">
        <v>1006</v>
      </c>
      <c r="BT1221" t="s">
        <v>406</v>
      </c>
      <c r="BW1221">
        <v>121532</v>
      </c>
      <c r="BX1221" t="s">
        <v>407</v>
      </c>
      <c r="BZ1221">
        <v>4</v>
      </c>
      <c r="CA1221">
        <v>1999</v>
      </c>
      <c r="CC1221">
        <v>1</v>
      </c>
      <c r="CD1221">
        <v>2017</v>
      </c>
      <c r="CE1221">
        <v>49104</v>
      </c>
      <c r="CF1221">
        <v>68595</v>
      </c>
      <c r="CG1221">
        <v>117699</v>
      </c>
      <c r="CH1221">
        <v>2017</v>
      </c>
      <c r="CI1221">
        <v>49104</v>
      </c>
      <c r="CJ1221">
        <v>68595</v>
      </c>
      <c r="CK1221">
        <v>117699</v>
      </c>
      <c r="CL1221">
        <v>2017</v>
      </c>
      <c r="CM1221">
        <v>1752.21</v>
      </c>
      <c r="CN1221" s="1">
        <v>41507</v>
      </c>
      <c r="CZ1221" s="1">
        <v>41507</v>
      </c>
      <c r="DD1221" t="s">
        <v>2387</v>
      </c>
      <c r="DG1221">
        <v>42</v>
      </c>
      <c r="DL1221">
        <v>50302</v>
      </c>
      <c r="DM1221" t="s">
        <v>12468</v>
      </c>
      <c r="DO1221" t="s">
        <v>12469</v>
      </c>
      <c r="DP1221">
        <v>0</v>
      </c>
      <c r="DQ1221">
        <v>0</v>
      </c>
      <c r="DR1221" t="s">
        <v>411</v>
      </c>
      <c r="DS1221" t="b">
        <v>1</v>
      </c>
      <c r="DT1221" t="s">
        <v>470</v>
      </c>
      <c r="DU1221" t="s">
        <v>471</v>
      </c>
      <c r="DV1221" t="s">
        <v>472</v>
      </c>
      <c r="DX1221">
        <v>-9999</v>
      </c>
      <c r="DZ1221" t="s">
        <v>447</v>
      </c>
      <c r="EA1221" t="s">
        <v>448</v>
      </c>
      <c r="EB1221" t="s">
        <v>742</v>
      </c>
      <c r="EC1221">
        <v>20101217</v>
      </c>
      <c r="ED1221" t="s">
        <v>474</v>
      </c>
      <c r="EF1221">
        <v>1609.6</v>
      </c>
      <c r="EG1221">
        <v>564.20000000000005</v>
      </c>
      <c r="EI1221">
        <v>20160407</v>
      </c>
      <c r="EJ1221">
        <v>0</v>
      </c>
      <c r="EK1221">
        <v>0</v>
      </c>
      <c r="EP1221" t="s">
        <v>421</v>
      </c>
      <c r="EQ1221" t="s">
        <v>452</v>
      </c>
      <c r="ER1221">
        <v>0</v>
      </c>
      <c r="ES1221">
        <v>8</v>
      </c>
      <c r="ET1221">
        <v>0</v>
      </c>
      <c r="EU1221">
        <v>0</v>
      </c>
      <c r="EV1221">
        <v>0</v>
      </c>
      <c r="EW1221" s="2">
        <v>43222</v>
      </c>
      <c r="EX1221" s="1">
        <v>42515</v>
      </c>
      <c r="EY1221">
        <v>2015</v>
      </c>
      <c r="EZ1221">
        <v>1729.41</v>
      </c>
      <c r="FA1221" t="s">
        <v>12470</v>
      </c>
      <c r="FB1221">
        <v>0.25</v>
      </c>
      <c r="FC1221" t="s">
        <v>424</v>
      </c>
      <c r="FD1221" t="s">
        <v>425</v>
      </c>
      <c r="FE1221" s="1">
        <v>42852</v>
      </c>
      <c r="FF1221">
        <v>11</v>
      </c>
      <c r="FG1221">
        <v>7045074</v>
      </c>
      <c r="FH1221" t="s">
        <v>580</v>
      </c>
      <c r="FI1221" t="s">
        <v>458</v>
      </c>
      <c r="FJ1221" s="1">
        <v>42515</v>
      </c>
      <c r="FK1221">
        <v>2015</v>
      </c>
      <c r="FL1221">
        <v>1729.41</v>
      </c>
      <c r="FM1221" t="s">
        <v>12470</v>
      </c>
      <c r="FN1221">
        <v>0.25</v>
      </c>
      <c r="FO1221" t="s">
        <v>424</v>
      </c>
      <c r="FP1221" t="s">
        <v>425</v>
      </c>
      <c r="FR1221">
        <v>22</v>
      </c>
      <c r="FS1221">
        <v>6409396</v>
      </c>
      <c r="FT1221" t="s">
        <v>12471</v>
      </c>
      <c r="FU1221" t="s">
        <v>458</v>
      </c>
      <c r="FV1221" s="1">
        <v>42151</v>
      </c>
      <c r="FW1221">
        <v>2014</v>
      </c>
      <c r="FX1221">
        <v>1674.06</v>
      </c>
      <c r="FY1221" t="s">
        <v>12472</v>
      </c>
      <c r="FZ1221">
        <v>4.75</v>
      </c>
      <c r="GA1221" t="s">
        <v>424</v>
      </c>
      <c r="GB1221" t="s">
        <v>425</v>
      </c>
      <c r="GD1221">
        <v>22</v>
      </c>
      <c r="GE1221">
        <v>4975593</v>
      </c>
      <c r="GF1221" t="s">
        <v>505</v>
      </c>
      <c r="GG1221" t="s">
        <v>458</v>
      </c>
      <c r="GH1221" s="1">
        <v>41787</v>
      </c>
      <c r="GI1221">
        <v>2013</v>
      </c>
      <c r="GJ1221">
        <v>1644.46</v>
      </c>
      <c r="GK1221" t="s">
        <v>12473</v>
      </c>
      <c r="GL1221">
        <v>0.25</v>
      </c>
      <c r="GM1221" t="s">
        <v>424</v>
      </c>
      <c r="GN1221" t="s">
        <v>425</v>
      </c>
      <c r="GO1221" s="1">
        <v>42164</v>
      </c>
      <c r="GP1221">
        <v>13</v>
      </c>
      <c r="GQ1221">
        <v>2407503</v>
      </c>
      <c r="GR1221" t="s">
        <v>461</v>
      </c>
      <c r="GT1221" s="1">
        <v>41423</v>
      </c>
      <c r="GU1221">
        <v>2012</v>
      </c>
      <c r="GV1221">
        <v>1705.85</v>
      </c>
      <c r="GW1221" t="s">
        <v>12474</v>
      </c>
      <c r="GX1221">
        <v>0.25</v>
      </c>
      <c r="GY1221" t="s">
        <v>424</v>
      </c>
      <c r="GZ1221" t="s">
        <v>425</v>
      </c>
      <c r="HA1221" s="1">
        <v>41486</v>
      </c>
      <c r="HB1221">
        <v>2</v>
      </c>
      <c r="HC1221">
        <v>606981</v>
      </c>
      <c r="HD1221" t="s">
        <v>792</v>
      </c>
      <c r="HF1221" s="1">
        <v>41052</v>
      </c>
      <c r="HG1221">
        <v>2011</v>
      </c>
      <c r="HH1221">
        <v>1858.24</v>
      </c>
      <c r="HI1221" t="s">
        <v>12475</v>
      </c>
      <c r="HJ1221">
        <v>5.75</v>
      </c>
      <c r="HK1221" t="s">
        <v>424</v>
      </c>
      <c r="HL1221" t="s">
        <v>425</v>
      </c>
      <c r="HM1221" s="1">
        <v>41486</v>
      </c>
      <c r="HN1221">
        <v>14</v>
      </c>
      <c r="HO1221">
        <v>1625515</v>
      </c>
      <c r="HP1221" t="s">
        <v>487</v>
      </c>
      <c r="HR1221" s="1">
        <v>41052</v>
      </c>
      <c r="HS1221">
        <v>2011</v>
      </c>
      <c r="HT1221">
        <v>1858.24</v>
      </c>
      <c r="HU1221" t="s">
        <v>12475</v>
      </c>
      <c r="HV1221">
        <v>5.75</v>
      </c>
      <c r="HW1221" t="s">
        <v>424</v>
      </c>
      <c r="HX1221" t="s">
        <v>425</v>
      </c>
      <c r="HZ1221">
        <v>22</v>
      </c>
      <c r="IA1221">
        <v>10579</v>
      </c>
      <c r="IB1221" t="s">
        <v>488</v>
      </c>
      <c r="ID1221" s="1">
        <v>40688</v>
      </c>
      <c r="IE1221">
        <v>2010</v>
      </c>
      <c r="IF1221">
        <v>2384.2600000000002</v>
      </c>
      <c r="IG1221" t="s">
        <v>12476</v>
      </c>
      <c r="IH1221">
        <v>6.5</v>
      </c>
      <c r="II1221" t="s">
        <v>424</v>
      </c>
      <c r="IJ1221" t="s">
        <v>425</v>
      </c>
      <c r="IK1221" s="1">
        <v>41316</v>
      </c>
      <c r="IL1221">
        <v>21</v>
      </c>
      <c r="IM1221">
        <v>62</v>
      </c>
      <c r="IN1221" t="s">
        <v>463</v>
      </c>
    </row>
    <row r="1222" spans="1:272" x14ac:dyDescent="0.25">
      <c r="A1222">
        <v>16486229</v>
      </c>
      <c r="B1222">
        <v>1221</v>
      </c>
      <c r="C1222" t="s">
        <v>393</v>
      </c>
      <c r="D1222" t="s">
        <v>394</v>
      </c>
      <c r="F1222" t="str">
        <f>"42-2N-27-0000-0001-0350"</f>
        <v>42-2N-27-0000-0001-0350</v>
      </c>
      <c r="H1222" t="str">
        <f>"PIKULA BYRON KYLE &amp; JENNIFER B"</f>
        <v>PIKULA BYRON KYLE &amp; JENNIFER B</v>
      </c>
      <c r="I1222" t="str">
        <f>"85538 MINER RD"</f>
        <v>85538 MINER RD</v>
      </c>
      <c r="J1222" t="str">
        <f>"YULEE FL 32097"</f>
        <v>YULEE FL 32097</v>
      </c>
      <c r="K1222" t="str">
        <f>"TURK LN"</f>
        <v>TURK LN</v>
      </c>
      <c r="L1222" t="str">
        <f t="shared" si="414"/>
        <v>YULEE FL 32097</v>
      </c>
      <c r="M1222" t="str">
        <f>"PT JOHN LOW MILL GRANT SEC 42-2N-27E IN OR 2029/567"</f>
        <v>PT JOHN LOW MILL GRANT SEC 42-2N-27E IN OR 2029/567</v>
      </c>
      <c r="N1222" t="str">
        <f>""</f>
        <v/>
      </c>
      <c r="O1222" t="str">
        <f>"56678"</f>
        <v>56678</v>
      </c>
      <c r="P1222" t="str">
        <f t="shared" si="416"/>
        <v>2017</v>
      </c>
      <c r="Q1222" t="str">
        <f>""</f>
        <v/>
      </c>
      <c r="R1222" t="str">
        <f t="shared" si="417"/>
        <v>N</v>
      </c>
      <c r="S1222" t="str">
        <f>"1.71"</f>
        <v>1.71</v>
      </c>
      <c r="T1222" t="str">
        <f>"258.89"</f>
        <v>258.89</v>
      </c>
      <c r="U1222" t="str">
        <f>"17100.00"</f>
        <v>17100.00</v>
      </c>
      <c r="V1222" t="str">
        <f>"17100.00"</f>
        <v>17100.00</v>
      </c>
      <c r="W1222" t="str">
        <f t="shared" si="418"/>
        <v>2017</v>
      </c>
      <c r="X1222" t="str">
        <f>""</f>
        <v/>
      </c>
      <c r="Y1222" t="str">
        <f>"298.66"</f>
        <v>298.66</v>
      </c>
      <c r="Z1222" t="str">
        <f>""</f>
        <v/>
      </c>
      <c r="AA1222" t="str">
        <f>"17100.00"</f>
        <v>17100.00</v>
      </c>
      <c r="AB1222" t="str">
        <f t="shared" si="415"/>
        <v>Residential</v>
      </c>
      <c r="AC1222" t="str">
        <f t="shared" si="399"/>
        <v>0</v>
      </c>
      <c r="AD1222" t="str">
        <f>""</f>
        <v/>
      </c>
      <c r="AE1222" t="str">
        <f>""</f>
        <v/>
      </c>
      <c r="AF1222" t="str">
        <f>"000"</f>
        <v>000</v>
      </c>
      <c r="AG1222" t="str">
        <f t="shared" si="419"/>
        <v>FL</v>
      </c>
      <c r="AH1222" t="str">
        <f>"74487.00"</f>
        <v>74487.00</v>
      </c>
      <c r="AI1222" t="str">
        <f>"17100.00"</f>
        <v>17100.00</v>
      </c>
      <c r="AJ1222" t="str">
        <f>"C55-001-080-5454-5"</f>
        <v>C55-001-080-5454-5</v>
      </c>
      <c r="AK1222" t="str">
        <f>"20865"</f>
        <v>20865</v>
      </c>
      <c r="AL1222">
        <v>5</v>
      </c>
      <c r="AM1222">
        <v>1393</v>
      </c>
      <c r="AN1222">
        <v>311.99</v>
      </c>
      <c r="AQ1222" t="s">
        <v>12477</v>
      </c>
      <c r="AR1222" t="s">
        <v>12477</v>
      </c>
      <c r="AS1222" t="s">
        <v>12477</v>
      </c>
      <c r="AU1222" t="s">
        <v>396</v>
      </c>
      <c r="AV1222">
        <v>2017</v>
      </c>
      <c r="AW1222" t="str">
        <f>"42-2N-27-0000-0001-0350 "</f>
        <v xml:space="preserve">42-2N-27-0000-0001-0350 </v>
      </c>
      <c r="AZ1222" t="s">
        <v>12478</v>
      </c>
      <c r="BA1222" t="s">
        <v>653</v>
      </c>
      <c r="BD1222" t="s">
        <v>2387</v>
      </c>
      <c r="BE1222" t="s">
        <v>393</v>
      </c>
      <c r="BF1222">
        <v>32097</v>
      </c>
      <c r="BG1222" t="s">
        <v>12479</v>
      </c>
      <c r="BH1222" t="s">
        <v>2388</v>
      </c>
      <c r="BI1222">
        <v>-81.581863286762996</v>
      </c>
      <c r="BJ1222">
        <v>30.623481059524799</v>
      </c>
      <c r="BK1222" t="s">
        <v>12480</v>
      </c>
      <c r="BL1222" t="s">
        <v>12481</v>
      </c>
      <c r="BM1222" t="s">
        <v>12482</v>
      </c>
      <c r="BN1222" t="s">
        <v>1778</v>
      </c>
      <c r="BO1222">
        <v>32097</v>
      </c>
      <c r="BP1222" t="s">
        <v>404</v>
      </c>
      <c r="BQ1222">
        <v>0</v>
      </c>
      <c r="BR1222" t="s">
        <v>491</v>
      </c>
      <c r="BS1222">
        <v>8001</v>
      </c>
      <c r="BT1222" t="s">
        <v>492</v>
      </c>
      <c r="BW1222">
        <v>74487</v>
      </c>
      <c r="BX1222" t="s">
        <v>407</v>
      </c>
      <c r="CD1222">
        <v>2017</v>
      </c>
      <c r="CE1222">
        <v>17100</v>
      </c>
      <c r="CG1222">
        <v>17100</v>
      </c>
      <c r="CH1222">
        <v>2017</v>
      </c>
      <c r="CI1222">
        <v>17100</v>
      </c>
      <c r="CK1222">
        <v>17100</v>
      </c>
      <c r="CL1222">
        <v>2017</v>
      </c>
      <c r="CM1222">
        <v>258.89</v>
      </c>
      <c r="CN1222" s="1">
        <v>42412</v>
      </c>
      <c r="CZ1222" s="1">
        <v>42412</v>
      </c>
      <c r="DD1222" t="s">
        <v>2387</v>
      </c>
      <c r="DG1222">
        <v>42</v>
      </c>
      <c r="DM1222" t="s">
        <v>12468</v>
      </c>
      <c r="DO1222" t="s">
        <v>12483</v>
      </c>
      <c r="DP1222">
        <v>0</v>
      </c>
      <c r="DQ1222">
        <v>0</v>
      </c>
      <c r="DR1222" t="s">
        <v>411</v>
      </c>
    </row>
    <row r="1223" spans="1:272" x14ac:dyDescent="0.25">
      <c r="A1223">
        <v>16486230</v>
      </c>
      <c r="B1223">
        <v>1222</v>
      </c>
      <c r="C1223" t="s">
        <v>393</v>
      </c>
      <c r="D1223" t="s">
        <v>394</v>
      </c>
      <c r="F1223" t="str">
        <f>"42-2N-27-0000-0002-0220"</f>
        <v>42-2N-27-0000-0002-0220</v>
      </c>
      <c r="H1223" t="str">
        <f>"MIRSCHEL JO D &amp; MIRSCHEL JOHN H III (JT/RS)"</f>
        <v>MIRSCHEL JO D &amp; MIRSCHEL JOHN H III (JT/RS)</v>
      </c>
      <c r="I1223" t="str">
        <f>"1224 HARRISON POINT TRAIL"</f>
        <v>1224 HARRISON POINT TRAIL</v>
      </c>
      <c r="J1223" t="str">
        <f>"FERNANDINA BEACH FL 32034"</f>
        <v>FERNANDINA BEACH FL 32034</v>
      </c>
      <c r="K1223" t="str">
        <f>"850709 US HWY 17"</f>
        <v>850709 US HWY 17</v>
      </c>
      <c r="L1223" t="str">
        <f t="shared" si="414"/>
        <v>YULEE FL 32097</v>
      </c>
      <c r="M1223" t="str">
        <f>"IN OR 973/813 &amp; OR 1683/716"</f>
        <v>IN OR 973/813 &amp; OR 1683/716</v>
      </c>
      <c r="N1223" t="str">
        <f>""</f>
        <v/>
      </c>
      <c r="O1223" t="str">
        <f>"47194"</f>
        <v>47194</v>
      </c>
      <c r="P1223" t="str">
        <f t="shared" si="416"/>
        <v>2017</v>
      </c>
      <c r="Q1223" t="str">
        <f>""</f>
        <v/>
      </c>
      <c r="R1223" t="str">
        <f t="shared" si="417"/>
        <v>N</v>
      </c>
      <c r="S1223" t="str">
        <f>"2.94"</f>
        <v>2.94</v>
      </c>
      <c r="T1223" t="str">
        <f>"3460.03"</f>
        <v>3460.03</v>
      </c>
      <c r="U1223" t="str">
        <f>"228554.00"</f>
        <v>228554.00</v>
      </c>
      <c r="V1223" t="str">
        <f>"228554.00"</f>
        <v>228554.00</v>
      </c>
      <c r="W1223" t="str">
        <f t="shared" si="418"/>
        <v>2017</v>
      </c>
      <c r="X1223" t="str">
        <f>""</f>
        <v/>
      </c>
      <c r="Y1223" t="str">
        <f>"3595.83"</f>
        <v>3595.83</v>
      </c>
      <c r="Z1223" t="str">
        <f>""</f>
        <v/>
      </c>
      <c r="AA1223" t="str">
        <f>"228554.00"</f>
        <v>228554.00</v>
      </c>
      <c r="AB1223" t="str">
        <f>"Industrial"</f>
        <v>Industrial</v>
      </c>
      <c r="AC1223" t="str">
        <f t="shared" si="399"/>
        <v>0</v>
      </c>
      <c r="AD1223" t="str">
        <f>"3"</f>
        <v>3</v>
      </c>
      <c r="AE1223" t="str">
        <f>"MASONRY"</f>
        <v>MASONRY</v>
      </c>
      <c r="AF1223" t="str">
        <f>"041"</f>
        <v>041</v>
      </c>
      <c r="AG1223" t="str">
        <f t="shared" si="419"/>
        <v>FL</v>
      </c>
      <c r="AH1223" t="str">
        <f>"128196.00"</f>
        <v>128196.00</v>
      </c>
      <c r="AI1223" t="str">
        <f>"73500.00"</f>
        <v>73500.00</v>
      </c>
      <c r="AJ1223" t="str">
        <f>"C55-000-588-1444-3"</f>
        <v>C55-000-588-1444-3</v>
      </c>
      <c r="AK1223" t="str">
        <f>"20883"</f>
        <v>20883</v>
      </c>
      <c r="AL1223">
        <v>5</v>
      </c>
      <c r="AM1223">
        <v>1394</v>
      </c>
      <c r="AN1223">
        <v>3774.02</v>
      </c>
      <c r="AQ1223" t="s">
        <v>12484</v>
      </c>
      <c r="AR1223" t="s">
        <v>12484</v>
      </c>
      <c r="AS1223" t="s">
        <v>12484</v>
      </c>
      <c r="AU1223" t="s">
        <v>396</v>
      </c>
      <c r="AV1223">
        <v>2017</v>
      </c>
      <c r="AW1223" t="str">
        <f>"42-2N-27-0000-0002-0220 "</f>
        <v xml:space="preserve">42-2N-27-0000-0002-0220 </v>
      </c>
      <c r="AX1223">
        <v>850709</v>
      </c>
      <c r="AZ1223" t="s">
        <v>11185</v>
      </c>
      <c r="BD1223" t="s">
        <v>2387</v>
      </c>
      <c r="BE1223" t="s">
        <v>393</v>
      </c>
      <c r="BF1223">
        <v>32097</v>
      </c>
      <c r="BG1223" t="s">
        <v>12485</v>
      </c>
      <c r="BH1223" t="s">
        <v>2388</v>
      </c>
      <c r="BI1223">
        <v>-81.599255133581707</v>
      </c>
      <c r="BJ1223">
        <v>30.620732488703599</v>
      </c>
      <c r="BK1223" t="s">
        <v>12486</v>
      </c>
      <c r="BM1223" t="s">
        <v>12487</v>
      </c>
      <c r="BN1223" t="s">
        <v>1778</v>
      </c>
      <c r="BO1223">
        <v>32041</v>
      </c>
      <c r="BP1223" t="s">
        <v>404</v>
      </c>
      <c r="BQ1223">
        <v>4100</v>
      </c>
      <c r="BR1223" t="s">
        <v>4242</v>
      </c>
      <c r="BS1223">
        <v>5001</v>
      </c>
      <c r="BT1223" t="s">
        <v>4243</v>
      </c>
      <c r="BW1223">
        <v>128196</v>
      </c>
      <c r="BX1223" t="s">
        <v>407</v>
      </c>
      <c r="BY1223" t="s">
        <v>11188</v>
      </c>
      <c r="BZ1223">
        <v>3</v>
      </c>
      <c r="CA1223">
        <v>1993</v>
      </c>
      <c r="CB1223">
        <v>2</v>
      </c>
      <c r="CD1223">
        <v>2017</v>
      </c>
      <c r="CE1223">
        <v>73500</v>
      </c>
      <c r="CF1223">
        <v>155054</v>
      </c>
      <c r="CG1223">
        <v>228554</v>
      </c>
      <c r="CH1223">
        <v>2017</v>
      </c>
      <c r="CI1223">
        <v>73500</v>
      </c>
      <c r="CJ1223">
        <v>155054</v>
      </c>
      <c r="CK1223">
        <v>228554</v>
      </c>
      <c r="CL1223">
        <v>2017</v>
      </c>
      <c r="CM1223">
        <v>3460.03</v>
      </c>
      <c r="CN1223" s="1">
        <v>43007</v>
      </c>
      <c r="CO1223">
        <v>650000</v>
      </c>
      <c r="CV1223">
        <v>0</v>
      </c>
      <c r="CZ1223" s="1">
        <v>43007</v>
      </c>
      <c r="DA1223">
        <v>0</v>
      </c>
      <c r="DD1223" t="s">
        <v>2387</v>
      </c>
      <c r="DG1223">
        <v>42</v>
      </c>
      <c r="DL1223">
        <v>50302</v>
      </c>
      <c r="DM1223" t="s">
        <v>12468</v>
      </c>
      <c r="DO1223" t="s">
        <v>12488</v>
      </c>
      <c r="DP1223">
        <v>0</v>
      </c>
      <c r="DQ1223">
        <v>0</v>
      </c>
      <c r="DR1223" t="s">
        <v>411</v>
      </c>
    </row>
    <row r="1224" spans="1:272" x14ac:dyDescent="0.25">
      <c r="A1224">
        <v>16486231</v>
      </c>
      <c r="B1224">
        <v>1223</v>
      </c>
      <c r="C1224" t="s">
        <v>393</v>
      </c>
      <c r="D1224" t="s">
        <v>394</v>
      </c>
      <c r="F1224" t="str">
        <f>"42-2N-27-0000-0002-0310"</f>
        <v>42-2N-27-0000-0002-0310</v>
      </c>
      <c r="H1224" t="str">
        <f>"PEARCE CAROLEE J &amp; DANIEL MACARTHUR H"</f>
        <v>PEARCE CAROLEE J &amp; DANIEL MACARTHUR H</v>
      </c>
      <c r="I1224" t="str">
        <f>"PO BOX 876"</f>
        <v>PO BOX 876</v>
      </c>
      <c r="J1224" t="str">
        <f>"FERNANDINA BEACH FL 32035"</f>
        <v>FERNANDINA BEACH FL 32035</v>
      </c>
      <c r="K1224" t="str">
        <f>"850646 US HWY 17"</f>
        <v>850646 US HWY 17</v>
      </c>
      <c r="L1224" t="str">
        <f t="shared" si="414"/>
        <v>YULEE FL 32097</v>
      </c>
      <c r="M1224" t="str">
        <f>"IN OR 1341/1231 ESMT OR 1226/654 ESMT OR 1463/789"</f>
        <v>IN OR 1341/1231 ESMT OR 1226/654 ESMT OR 1463/789</v>
      </c>
      <c r="N1224" t="str">
        <f>""</f>
        <v/>
      </c>
      <c r="O1224" t="str">
        <f>"47202"</f>
        <v>47202</v>
      </c>
      <c r="P1224" t="str">
        <f t="shared" si="416"/>
        <v>2017</v>
      </c>
      <c r="Q1224" t="str">
        <f>""</f>
        <v/>
      </c>
      <c r="R1224" t="str">
        <f t="shared" si="417"/>
        <v>N</v>
      </c>
      <c r="S1224" t="str">
        <f>"4.00"</f>
        <v>4.00</v>
      </c>
      <c r="T1224" t="str">
        <f>"2475.86"</f>
        <v>2475.86</v>
      </c>
      <c r="U1224" t="str">
        <f>"163544.00"</f>
        <v>163544.00</v>
      </c>
      <c r="V1224" t="str">
        <f>"163544.00"</f>
        <v>163544.00</v>
      </c>
      <c r="W1224" t="str">
        <f t="shared" si="418"/>
        <v>2017</v>
      </c>
      <c r="X1224" t="str">
        <f>"22.29"</f>
        <v>22.29</v>
      </c>
      <c r="Y1224" t="str">
        <f>"2582.14"</f>
        <v>2582.14</v>
      </c>
      <c r="Z1224" t="str">
        <f>""</f>
        <v/>
      </c>
      <c r="AA1224" t="str">
        <f>"163544.00"</f>
        <v>163544.00</v>
      </c>
      <c r="AB1224" t="str">
        <f t="shared" ref="AB1224:AB1238" si="420">"Residential"</f>
        <v>Residential</v>
      </c>
      <c r="AC1224" t="str">
        <f t="shared" si="399"/>
        <v>0</v>
      </c>
      <c r="AD1224" t="str">
        <f>"4"</f>
        <v>4</v>
      </c>
      <c r="AE1224" t="str">
        <f>"WOOD (INCLUDE STEEL STUDS)"</f>
        <v>WOOD (INCLUDE STEEL STUDS)</v>
      </c>
      <c r="AF1224" t="str">
        <f>"002"</f>
        <v>002</v>
      </c>
      <c r="AG1224" t="str">
        <f t="shared" si="419"/>
        <v>FL</v>
      </c>
      <c r="AH1224" t="str">
        <f>"174240.00"</f>
        <v>174240.00</v>
      </c>
      <c r="AI1224" t="str">
        <f>"97120.00"</f>
        <v>97120.00</v>
      </c>
      <c r="AJ1224" t="str">
        <f>"C55-000-588-1452-6"</f>
        <v>C55-000-588-1452-6</v>
      </c>
      <c r="AK1224" t="str">
        <f>"20891"</f>
        <v>20891</v>
      </c>
      <c r="AL1224">
        <v>5</v>
      </c>
      <c r="AM1224">
        <v>1395</v>
      </c>
      <c r="AN1224">
        <v>2709.65</v>
      </c>
      <c r="AQ1224" t="s">
        <v>12489</v>
      </c>
      <c r="AR1224" t="s">
        <v>12489</v>
      </c>
      <c r="AS1224" t="s">
        <v>12489</v>
      </c>
      <c r="AU1224" t="s">
        <v>396</v>
      </c>
      <c r="AV1224">
        <v>2017</v>
      </c>
      <c r="AW1224" t="str">
        <f>"42-2N-27-0000-0002-0310 "</f>
        <v xml:space="preserve">42-2N-27-0000-0002-0310 </v>
      </c>
      <c r="AX1224">
        <v>850646</v>
      </c>
      <c r="AZ1224" t="s">
        <v>11185</v>
      </c>
      <c r="BD1224" t="s">
        <v>2387</v>
      </c>
      <c r="BE1224" t="s">
        <v>393</v>
      </c>
      <c r="BF1224">
        <v>32097</v>
      </c>
      <c r="BG1224" t="s">
        <v>12490</v>
      </c>
      <c r="BH1224" t="s">
        <v>2388</v>
      </c>
      <c r="BI1224">
        <v>-81.595829365398799</v>
      </c>
      <c r="BJ1224">
        <v>30.6167798547526</v>
      </c>
      <c r="BK1224" t="s">
        <v>12491</v>
      </c>
      <c r="BL1224" t="s">
        <v>12492</v>
      </c>
      <c r="BM1224" t="s">
        <v>12493</v>
      </c>
      <c r="BN1224" t="s">
        <v>3983</v>
      </c>
      <c r="BO1224">
        <v>32035</v>
      </c>
      <c r="BP1224" t="s">
        <v>404</v>
      </c>
      <c r="BQ1224">
        <v>200</v>
      </c>
      <c r="BR1224" t="s">
        <v>405</v>
      </c>
      <c r="BS1224">
        <v>1006</v>
      </c>
      <c r="BT1224" t="s">
        <v>406</v>
      </c>
      <c r="BW1224">
        <v>174240</v>
      </c>
      <c r="BX1224" t="s">
        <v>407</v>
      </c>
      <c r="BY1224" t="s">
        <v>4413</v>
      </c>
      <c r="BZ1224">
        <v>4</v>
      </c>
      <c r="CA1224">
        <v>1999</v>
      </c>
      <c r="CC1224">
        <v>2</v>
      </c>
      <c r="CD1224">
        <v>2017</v>
      </c>
      <c r="CE1224">
        <v>97120</v>
      </c>
      <c r="CF1224">
        <v>66424</v>
      </c>
      <c r="CG1224">
        <v>163544</v>
      </c>
      <c r="CH1224">
        <v>2017</v>
      </c>
      <c r="CI1224">
        <v>97120</v>
      </c>
      <c r="CJ1224">
        <v>66424</v>
      </c>
      <c r="CK1224">
        <v>163544</v>
      </c>
      <c r="CL1224">
        <v>2017</v>
      </c>
      <c r="CM1224">
        <v>2475.86</v>
      </c>
      <c r="CN1224" s="1">
        <v>37532</v>
      </c>
      <c r="CO1224">
        <v>120000</v>
      </c>
      <c r="CV1224">
        <v>74574</v>
      </c>
      <c r="CZ1224" s="1">
        <v>37532</v>
      </c>
      <c r="DA1224">
        <v>0</v>
      </c>
      <c r="DD1224" t="s">
        <v>2387</v>
      </c>
      <c r="DG1224">
        <v>42</v>
      </c>
      <c r="DL1224">
        <v>50302</v>
      </c>
      <c r="DM1224" t="s">
        <v>12468</v>
      </c>
      <c r="DO1224" t="s">
        <v>12494</v>
      </c>
      <c r="DP1224">
        <v>0</v>
      </c>
      <c r="DQ1224">
        <v>0</v>
      </c>
      <c r="DR1224" t="s">
        <v>411</v>
      </c>
      <c r="DS1224" t="b">
        <v>1</v>
      </c>
      <c r="DT1224" t="s">
        <v>470</v>
      </c>
      <c r="DU1224" t="s">
        <v>471</v>
      </c>
      <c r="DV1224" t="s">
        <v>472</v>
      </c>
      <c r="DX1224">
        <v>-9999</v>
      </c>
      <c r="DZ1224" t="s">
        <v>447</v>
      </c>
      <c r="EA1224" t="s">
        <v>448</v>
      </c>
      <c r="EB1224" t="s">
        <v>742</v>
      </c>
      <c r="EC1224">
        <v>20101217</v>
      </c>
      <c r="ED1224" t="s">
        <v>474</v>
      </c>
      <c r="EF1224">
        <v>4383.3</v>
      </c>
      <c r="EG1224">
        <v>4383.3</v>
      </c>
      <c r="EI1224">
        <v>20160407</v>
      </c>
      <c r="EJ1224">
        <v>0</v>
      </c>
      <c r="EK1224">
        <v>0</v>
      </c>
      <c r="EP1224" t="s">
        <v>421</v>
      </c>
      <c r="EQ1224" t="s">
        <v>422</v>
      </c>
      <c r="ER1224">
        <v>2</v>
      </c>
      <c r="ES1224">
        <v>7</v>
      </c>
      <c r="ET1224">
        <v>5078.76</v>
      </c>
      <c r="EU1224">
        <v>266.44</v>
      </c>
      <c r="EV1224">
        <v>5345.2</v>
      </c>
      <c r="EW1224" s="2">
        <v>43222</v>
      </c>
      <c r="EX1224" s="1">
        <v>42879</v>
      </c>
      <c r="EY1224">
        <v>2016</v>
      </c>
      <c r="EZ1224">
        <v>2539.38</v>
      </c>
      <c r="FA1224" t="s">
        <v>12495</v>
      </c>
      <c r="FB1224">
        <v>0.25</v>
      </c>
      <c r="FC1224" t="s">
        <v>424</v>
      </c>
      <c r="FD1224" t="s">
        <v>454</v>
      </c>
      <c r="FF1224">
        <v>12</v>
      </c>
      <c r="FG1224">
        <v>2851116</v>
      </c>
      <c r="FH1224" t="s">
        <v>480</v>
      </c>
      <c r="FJ1224" s="1">
        <v>42879</v>
      </c>
      <c r="FK1224">
        <v>2016</v>
      </c>
      <c r="FL1224">
        <v>2539.38</v>
      </c>
      <c r="FM1224" t="s">
        <v>12495</v>
      </c>
      <c r="FN1224">
        <v>0.25</v>
      </c>
      <c r="FO1224" t="s">
        <v>424</v>
      </c>
      <c r="FP1224" t="s">
        <v>454</v>
      </c>
      <c r="FR1224">
        <v>12</v>
      </c>
      <c r="FS1224">
        <v>5351868</v>
      </c>
      <c r="FT1224" t="s">
        <v>12496</v>
      </c>
      <c r="FV1224" s="1">
        <v>42515</v>
      </c>
      <c r="FW1224">
        <v>2015</v>
      </c>
      <c r="FX1224">
        <v>2606.0100000000002</v>
      </c>
      <c r="FY1224" t="s">
        <v>12497</v>
      </c>
      <c r="FZ1224">
        <v>0.25</v>
      </c>
      <c r="GA1224" t="s">
        <v>424</v>
      </c>
      <c r="GB1224" t="s">
        <v>425</v>
      </c>
      <c r="GC1224" s="1">
        <v>43192</v>
      </c>
      <c r="GD1224">
        <v>23</v>
      </c>
      <c r="GE1224">
        <v>2851116</v>
      </c>
      <c r="GF1224" t="s">
        <v>480</v>
      </c>
      <c r="GH1224" s="1">
        <v>42515</v>
      </c>
      <c r="GI1224">
        <v>2015</v>
      </c>
      <c r="GJ1224">
        <v>2606.0100000000002</v>
      </c>
      <c r="GK1224" t="s">
        <v>12497</v>
      </c>
      <c r="GL1224">
        <v>0.25</v>
      </c>
      <c r="GM1224" t="s">
        <v>424</v>
      </c>
      <c r="GN1224" t="s">
        <v>425</v>
      </c>
      <c r="GP1224">
        <v>22</v>
      </c>
      <c r="GQ1224">
        <v>5304460</v>
      </c>
      <c r="GR1224" t="s">
        <v>12498</v>
      </c>
      <c r="GT1224" s="1">
        <v>42151</v>
      </c>
      <c r="GU1224">
        <v>2014</v>
      </c>
      <c r="GV1224">
        <v>2524.3200000000002</v>
      </c>
      <c r="GW1224" t="s">
        <v>12499</v>
      </c>
      <c r="GX1224">
        <v>0.25</v>
      </c>
      <c r="GY1224" t="s">
        <v>424</v>
      </c>
      <c r="GZ1224" t="s">
        <v>425</v>
      </c>
      <c r="HA1224" s="1">
        <v>42825</v>
      </c>
      <c r="HB1224">
        <v>22</v>
      </c>
      <c r="HC1224">
        <v>4975594</v>
      </c>
      <c r="HD1224" t="s">
        <v>457</v>
      </c>
      <c r="HF1224" s="1">
        <v>42151</v>
      </c>
      <c r="HG1224">
        <v>2014</v>
      </c>
      <c r="HH1224">
        <v>2524.3200000000002</v>
      </c>
      <c r="HI1224" t="s">
        <v>12499</v>
      </c>
      <c r="HJ1224">
        <v>0.25</v>
      </c>
      <c r="HK1224" t="s">
        <v>424</v>
      </c>
      <c r="HL1224" t="s">
        <v>425</v>
      </c>
      <c r="HN1224">
        <v>22</v>
      </c>
      <c r="HO1224">
        <v>6318002</v>
      </c>
      <c r="HP1224" t="s">
        <v>12500</v>
      </c>
      <c r="HR1224" s="1">
        <v>41787</v>
      </c>
      <c r="HS1224">
        <v>2013</v>
      </c>
      <c r="HT1224">
        <v>2447.23</v>
      </c>
      <c r="HU1224" t="s">
        <v>12501</v>
      </c>
      <c r="HV1224">
        <v>0.25</v>
      </c>
      <c r="HW1224" t="s">
        <v>424</v>
      </c>
      <c r="HX1224" t="s">
        <v>425</v>
      </c>
      <c r="HY1224" s="1">
        <v>42457</v>
      </c>
      <c r="HZ1224">
        <v>22</v>
      </c>
      <c r="IA1224">
        <v>2407503</v>
      </c>
      <c r="IB1224" t="s">
        <v>461</v>
      </c>
      <c r="ID1224" s="1">
        <v>41052</v>
      </c>
      <c r="IE1224">
        <v>2011</v>
      </c>
      <c r="IF1224">
        <v>2522.65</v>
      </c>
      <c r="IG1224" t="s">
        <v>12502</v>
      </c>
      <c r="IH1224">
        <v>6</v>
      </c>
      <c r="II1224" t="s">
        <v>424</v>
      </c>
      <c r="IJ1224" t="s">
        <v>425</v>
      </c>
      <c r="IK1224" s="1">
        <v>41533</v>
      </c>
      <c r="IL1224">
        <v>16</v>
      </c>
      <c r="IM1224">
        <v>105</v>
      </c>
      <c r="IN1224" t="s">
        <v>946</v>
      </c>
      <c r="IP1224" s="1">
        <v>40688</v>
      </c>
      <c r="IQ1224">
        <v>2010</v>
      </c>
      <c r="IR1224">
        <v>2716.63</v>
      </c>
      <c r="IS1224" t="s">
        <v>12503</v>
      </c>
      <c r="IT1224">
        <v>6.5</v>
      </c>
      <c r="IU1224" t="s">
        <v>424</v>
      </c>
      <c r="IV1224" t="s">
        <v>425</v>
      </c>
      <c r="IW1224" s="1">
        <v>41533</v>
      </c>
      <c r="IX1224">
        <v>28</v>
      </c>
      <c r="IY1224">
        <v>62</v>
      </c>
      <c r="IZ1224" t="s">
        <v>463</v>
      </c>
    </row>
    <row r="1225" spans="1:272" x14ac:dyDescent="0.25">
      <c r="A1225">
        <v>16486232</v>
      </c>
      <c r="B1225">
        <v>1224</v>
      </c>
      <c r="C1225" t="s">
        <v>393</v>
      </c>
      <c r="D1225" t="s">
        <v>394</v>
      </c>
      <c r="F1225" t="str">
        <f>"42-2N-27-0000-0009-0010"</f>
        <v>42-2N-27-0000-0009-0010</v>
      </c>
      <c r="H1225" t="str">
        <f>"GILBERT BESSIE LEE EST C/O LILLIE MARIE FAVORS JONES"</f>
        <v>GILBERT BESSIE LEE EST C/O LILLIE MARIE FAVORS JONES</v>
      </c>
      <c r="I1225" t="str">
        <f>"86153 KUTANA DRIVE"</f>
        <v>86153 KUTANA DRIVE</v>
      </c>
      <c r="J1225" t="str">
        <f>"YULEE FL 32097"</f>
        <v>YULEE FL 32097</v>
      </c>
      <c r="K1225" t="str">
        <f>"86153 KUTANA DR"</f>
        <v>86153 KUTANA DR</v>
      </c>
      <c r="L1225" t="str">
        <f t="shared" si="414"/>
        <v>YULEE FL 32097</v>
      </c>
      <c r="M1225" t="str">
        <f>"PT JOHN LOW MILL GRANT SEC 42-2N-27E IN OR 958/1673"</f>
        <v>PT JOHN LOW MILL GRANT SEC 42-2N-27E IN OR 958/1673</v>
      </c>
      <c r="N1225" t="str">
        <f>""</f>
        <v/>
      </c>
      <c r="O1225" t="str">
        <f>"47247"</f>
        <v>47247</v>
      </c>
      <c r="P1225" t="str">
        <f t="shared" si="416"/>
        <v>2017</v>
      </c>
      <c r="Q1225" t="str">
        <f>""</f>
        <v/>
      </c>
      <c r="R1225" t="str">
        <f t="shared" si="417"/>
        <v>N</v>
      </c>
      <c r="S1225" t="str">
        <f>""</f>
        <v/>
      </c>
      <c r="T1225" t="str">
        <f>"175.54"</f>
        <v>175.54</v>
      </c>
      <c r="U1225" t="str">
        <f>"11595.00"</f>
        <v>11595.00</v>
      </c>
      <c r="V1225" t="str">
        <f>"11595.00"</f>
        <v>11595.00</v>
      </c>
      <c r="W1225" t="str">
        <f t="shared" si="418"/>
        <v>2017</v>
      </c>
      <c r="X1225" t="str">
        <f>"21.00"</f>
        <v>21.00</v>
      </c>
      <c r="Y1225" t="str">
        <f>"212.81"</f>
        <v>212.81</v>
      </c>
      <c r="Z1225" t="str">
        <f>""</f>
        <v/>
      </c>
      <c r="AA1225" t="str">
        <f>"11595.00"</f>
        <v>11595.00</v>
      </c>
      <c r="AB1225" t="str">
        <f t="shared" si="420"/>
        <v>Residential</v>
      </c>
      <c r="AC1225" t="str">
        <f t="shared" si="399"/>
        <v>0</v>
      </c>
      <c r="AD1225" t="str">
        <f>"4"</f>
        <v>4</v>
      </c>
      <c r="AE1225" t="str">
        <f>"WOOD (INCLUDE STEEL STUDS)"</f>
        <v>WOOD (INCLUDE STEEL STUDS)</v>
      </c>
      <c r="AF1225" t="str">
        <f>"002"</f>
        <v>002</v>
      </c>
      <c r="AG1225" t="str">
        <f t="shared" si="419"/>
        <v>FL</v>
      </c>
      <c r="AH1225" t="str">
        <f>"5000.00"</f>
        <v>5000.00</v>
      </c>
      <c r="AI1225" t="str">
        <f>"8750.00"</f>
        <v>8750.00</v>
      </c>
      <c r="AJ1225" t="str">
        <f>"C55-000-588-1477-3"</f>
        <v>C55-000-588-1477-3</v>
      </c>
      <c r="AK1225" t="str">
        <f>"20927"</f>
        <v>20927</v>
      </c>
      <c r="AL1225">
        <v>5</v>
      </c>
      <c r="AM1225">
        <v>1396</v>
      </c>
      <c r="AN1225">
        <v>221.85</v>
      </c>
      <c r="AQ1225" t="s">
        <v>12504</v>
      </c>
      <c r="AR1225" t="s">
        <v>12504</v>
      </c>
      <c r="AS1225" t="s">
        <v>12504</v>
      </c>
      <c r="AU1225" t="s">
        <v>396</v>
      </c>
      <c r="AV1225">
        <v>2017</v>
      </c>
      <c r="AW1225" t="str">
        <f>"42-2N-27-0000-0009-0010 "</f>
        <v xml:space="preserve">42-2N-27-0000-0009-0010 </v>
      </c>
      <c r="AX1225">
        <v>86153</v>
      </c>
      <c r="AZ1225" t="s">
        <v>12505</v>
      </c>
      <c r="BA1225" t="s">
        <v>669</v>
      </c>
      <c r="BD1225" t="s">
        <v>2387</v>
      </c>
      <c r="BE1225" t="s">
        <v>393</v>
      </c>
      <c r="BF1225">
        <v>32097</v>
      </c>
      <c r="BG1225" t="s">
        <v>12506</v>
      </c>
      <c r="BH1225" t="s">
        <v>2388</v>
      </c>
      <c r="BI1225">
        <v>-81.586765515390496</v>
      </c>
      <c r="BJ1225">
        <v>30.6303261505285</v>
      </c>
      <c r="BK1225" t="s">
        <v>12507</v>
      </c>
      <c r="BM1225" t="s">
        <v>12506</v>
      </c>
      <c r="BN1225" t="s">
        <v>1778</v>
      </c>
      <c r="BO1225">
        <v>32097</v>
      </c>
      <c r="BP1225" t="s">
        <v>416</v>
      </c>
      <c r="BQ1225">
        <v>200</v>
      </c>
      <c r="BR1225" t="s">
        <v>405</v>
      </c>
      <c r="BS1225">
        <v>1006</v>
      </c>
      <c r="BT1225" t="s">
        <v>406</v>
      </c>
      <c r="BU1225">
        <v>500</v>
      </c>
      <c r="BV1225">
        <v>1000</v>
      </c>
      <c r="BW1225">
        <v>5261</v>
      </c>
      <c r="BX1225" t="s">
        <v>407</v>
      </c>
      <c r="BY1225" t="s">
        <v>408</v>
      </c>
      <c r="BZ1225">
        <v>4</v>
      </c>
      <c r="CA1225">
        <v>1970</v>
      </c>
      <c r="CB1225">
        <v>1</v>
      </c>
      <c r="CC1225">
        <v>1</v>
      </c>
      <c r="CD1225">
        <v>2017</v>
      </c>
      <c r="CE1225">
        <v>8750</v>
      </c>
      <c r="CF1225">
        <v>2845</v>
      </c>
      <c r="CG1225">
        <v>11595</v>
      </c>
      <c r="CH1225">
        <v>2017</v>
      </c>
      <c r="CI1225">
        <v>8750</v>
      </c>
      <c r="CJ1225">
        <v>2845</v>
      </c>
      <c r="CK1225">
        <v>11595</v>
      </c>
      <c r="CL1225">
        <v>2017</v>
      </c>
      <c r="CM1225">
        <v>175.54</v>
      </c>
      <c r="CN1225" s="1">
        <v>36838</v>
      </c>
      <c r="CZ1225" s="1">
        <v>36838</v>
      </c>
      <c r="DD1225" t="s">
        <v>2387</v>
      </c>
      <c r="DG1225">
        <v>42</v>
      </c>
      <c r="DL1225">
        <v>50302</v>
      </c>
      <c r="DM1225" t="s">
        <v>12468</v>
      </c>
      <c r="DO1225" t="s">
        <v>12508</v>
      </c>
      <c r="DP1225">
        <v>0</v>
      </c>
      <c r="DQ1225">
        <v>1</v>
      </c>
      <c r="DR1225" t="s">
        <v>1479</v>
      </c>
      <c r="DS1225" t="b">
        <v>1</v>
      </c>
      <c r="DT1225" t="s">
        <v>470</v>
      </c>
      <c r="DU1225" t="s">
        <v>471</v>
      </c>
      <c r="DV1225" t="s">
        <v>472</v>
      </c>
      <c r="DX1225">
        <v>-9999</v>
      </c>
      <c r="DZ1225" t="s">
        <v>447</v>
      </c>
      <c r="EA1225" t="s">
        <v>448</v>
      </c>
      <c r="EB1225" t="s">
        <v>742</v>
      </c>
      <c r="EC1225">
        <v>20101217</v>
      </c>
      <c r="ED1225" t="s">
        <v>474</v>
      </c>
      <c r="EF1225">
        <v>3970</v>
      </c>
      <c r="EG1225">
        <v>3970</v>
      </c>
      <c r="EI1225">
        <v>20160407</v>
      </c>
      <c r="EJ1225">
        <v>0</v>
      </c>
      <c r="EK1225">
        <v>0</v>
      </c>
      <c r="EP1225" t="s">
        <v>421</v>
      </c>
      <c r="EQ1225" t="s">
        <v>422</v>
      </c>
      <c r="ER1225">
        <v>1</v>
      </c>
      <c r="ES1225">
        <v>1</v>
      </c>
      <c r="ET1225">
        <v>219.75</v>
      </c>
      <c r="EU1225">
        <v>25.48</v>
      </c>
      <c r="EV1225">
        <v>245.23</v>
      </c>
      <c r="EW1225" s="2">
        <v>43222</v>
      </c>
      <c r="EX1225" s="1">
        <v>42879</v>
      </c>
      <c r="EY1225">
        <v>2016</v>
      </c>
      <c r="EZ1225">
        <v>219.75</v>
      </c>
      <c r="FA1225" t="s">
        <v>12509</v>
      </c>
      <c r="FB1225">
        <v>8.75</v>
      </c>
      <c r="FC1225" t="s">
        <v>424</v>
      </c>
      <c r="FD1225" t="s">
        <v>454</v>
      </c>
      <c r="FF1225">
        <v>12</v>
      </c>
      <c r="FG1225">
        <v>10021</v>
      </c>
      <c r="FH1225" t="s">
        <v>597</v>
      </c>
      <c r="FJ1225" s="1">
        <v>42515</v>
      </c>
      <c r="FK1225">
        <v>2015</v>
      </c>
      <c r="FL1225">
        <v>219.78</v>
      </c>
      <c r="FM1225" t="s">
        <v>12510</v>
      </c>
      <c r="FN1225">
        <v>16</v>
      </c>
      <c r="FO1225" t="s">
        <v>424</v>
      </c>
      <c r="FP1225" t="s">
        <v>425</v>
      </c>
      <c r="FQ1225" s="1">
        <v>43152</v>
      </c>
      <c r="FR1225">
        <v>21</v>
      </c>
      <c r="FS1225">
        <v>3039821</v>
      </c>
      <c r="FT1225" t="s">
        <v>721</v>
      </c>
    </row>
    <row r="1226" spans="1:272" x14ac:dyDescent="0.25">
      <c r="A1226">
        <v>16486233</v>
      </c>
      <c r="B1226">
        <v>1225</v>
      </c>
      <c r="C1226" t="s">
        <v>393</v>
      </c>
      <c r="D1226" t="s">
        <v>394</v>
      </c>
      <c r="F1226" t="str">
        <f>"42-2N-27-0000-0018-0000"</f>
        <v>42-2N-27-0000-0018-0000</v>
      </c>
      <c r="H1226" t="str">
        <f>"COLLINS FRANK ETAL COLLINS GLENISE A/K/A GLENISE NORTON ESTATE"</f>
        <v>COLLINS FRANK ETAL COLLINS GLENISE A/K/A GLENISE NORTON ESTATE</v>
      </c>
      <c r="I1226" t="str">
        <f>""</f>
        <v/>
      </c>
      <c r="J1226" t="str">
        <f>"YULEE FL 32097"</f>
        <v>YULEE FL 32097</v>
      </c>
      <c r="K1226" t="str">
        <f>"86013 KUTANA DR"</f>
        <v>86013 KUTANA DR</v>
      </c>
      <c r="L1226" t="str">
        <f t="shared" si="414"/>
        <v>YULEE FL 32097</v>
      </c>
      <c r="M1226" t="str">
        <f>"PT JOHN LOW MILL GRANT SEC 42-2N-27E IN OR 1380/468"</f>
        <v>PT JOHN LOW MILL GRANT SEC 42-2N-27E IN OR 1380/468</v>
      </c>
      <c r="N1226" t="str">
        <f>""</f>
        <v/>
      </c>
      <c r="O1226" t="str">
        <f>"47265"</f>
        <v>47265</v>
      </c>
      <c r="P1226" t="str">
        <f t="shared" si="416"/>
        <v>2017</v>
      </c>
      <c r="Q1226" t="str">
        <f>""</f>
        <v/>
      </c>
      <c r="R1226" t="str">
        <f t="shared" si="417"/>
        <v>N</v>
      </c>
      <c r="S1226" t="str">
        <f>""</f>
        <v/>
      </c>
      <c r="T1226" t="str">
        <f>"352.73"</f>
        <v>352.73</v>
      </c>
      <c r="U1226" t="str">
        <f>"23106.00"</f>
        <v>23106.00</v>
      </c>
      <c r="V1226" t="str">
        <f>"23106.00"</f>
        <v>23106.00</v>
      </c>
      <c r="W1226" t="str">
        <f t="shared" si="418"/>
        <v>2017</v>
      </c>
      <c r="X1226" t="str">
        <f>"14.86"</f>
        <v>14.86</v>
      </c>
      <c r="Y1226" t="str">
        <f>"395.31"</f>
        <v>395.31</v>
      </c>
      <c r="Z1226" t="str">
        <f>""</f>
        <v/>
      </c>
      <c r="AA1226" t="str">
        <f>"23552.00"</f>
        <v>23552.00</v>
      </c>
      <c r="AB1226" t="str">
        <f t="shared" si="420"/>
        <v>Residential</v>
      </c>
      <c r="AC1226" t="str">
        <f t="shared" si="399"/>
        <v>0</v>
      </c>
      <c r="AD1226" t="str">
        <f>"4"</f>
        <v>4</v>
      </c>
      <c r="AE1226" t="str">
        <f>"WOOD (INCLUDE STEEL STUDS)"</f>
        <v>WOOD (INCLUDE STEEL STUDS)</v>
      </c>
      <c r="AF1226" t="str">
        <f>"002"</f>
        <v>002</v>
      </c>
      <c r="AG1226" t="str">
        <f t="shared" si="419"/>
        <v>FL</v>
      </c>
      <c r="AH1226" t="str">
        <f>"14260.00"</f>
        <v>14260.00</v>
      </c>
      <c r="AI1226" t="str">
        <f>"14506.00"</f>
        <v>14506.00</v>
      </c>
      <c r="AJ1226" t="str">
        <f>"C55-000-588-1494-8"</f>
        <v>C55-000-588-1494-8</v>
      </c>
      <c r="AK1226" t="str">
        <f>"20945"</f>
        <v>20945</v>
      </c>
      <c r="AL1226">
        <v>5</v>
      </c>
      <c r="AM1226">
        <v>1397</v>
      </c>
      <c r="AN1226">
        <v>413.48</v>
      </c>
      <c r="AQ1226" t="s">
        <v>12511</v>
      </c>
      <c r="AR1226" t="s">
        <v>12511</v>
      </c>
      <c r="AS1226" t="s">
        <v>12511</v>
      </c>
      <c r="AU1226" t="s">
        <v>396</v>
      </c>
      <c r="AV1226">
        <v>2017</v>
      </c>
      <c r="AW1226" t="str">
        <f>"42-2N-27-0000-0018-0000 "</f>
        <v xml:space="preserve">42-2N-27-0000-0018-0000 </v>
      </c>
      <c r="AX1226">
        <v>86013</v>
      </c>
      <c r="AZ1226" t="s">
        <v>12505</v>
      </c>
      <c r="BA1226" t="s">
        <v>669</v>
      </c>
      <c r="BD1226" t="s">
        <v>2387</v>
      </c>
      <c r="BE1226" t="s">
        <v>393</v>
      </c>
      <c r="BF1226">
        <v>32097</v>
      </c>
      <c r="BG1226" t="s">
        <v>12512</v>
      </c>
      <c r="BH1226" t="s">
        <v>2388</v>
      </c>
      <c r="BI1226">
        <v>-81.586679163609801</v>
      </c>
      <c r="BJ1226">
        <v>30.628497312706099</v>
      </c>
      <c r="BK1226" t="s">
        <v>12513</v>
      </c>
      <c r="BM1226" t="s">
        <v>12512</v>
      </c>
      <c r="BN1226" t="s">
        <v>1778</v>
      </c>
      <c r="BO1226">
        <v>32097</v>
      </c>
      <c r="BP1226" t="s">
        <v>416</v>
      </c>
      <c r="BQ1226">
        <v>200</v>
      </c>
      <c r="BR1226" t="s">
        <v>405</v>
      </c>
      <c r="BS1226">
        <v>1006</v>
      </c>
      <c r="BT1226" t="s">
        <v>406</v>
      </c>
      <c r="BU1226">
        <v>920</v>
      </c>
      <c r="BV1226">
        <v>1550</v>
      </c>
      <c r="BW1226">
        <v>14302</v>
      </c>
      <c r="BX1226" t="s">
        <v>407</v>
      </c>
      <c r="BY1226" t="s">
        <v>408</v>
      </c>
      <c r="BZ1226">
        <v>4</v>
      </c>
      <c r="CA1226">
        <v>1990</v>
      </c>
      <c r="CB1226">
        <v>1</v>
      </c>
      <c r="CC1226">
        <v>1</v>
      </c>
      <c r="CD1226">
        <v>2017</v>
      </c>
      <c r="CE1226">
        <v>14506</v>
      </c>
      <c r="CF1226">
        <v>9046</v>
      </c>
      <c r="CG1226">
        <v>23552</v>
      </c>
      <c r="CH1226">
        <v>2017</v>
      </c>
      <c r="CI1226">
        <v>14506</v>
      </c>
      <c r="CJ1226">
        <v>9046</v>
      </c>
      <c r="CK1226">
        <v>23552</v>
      </c>
      <c r="CL1226">
        <v>2017</v>
      </c>
      <c r="CM1226">
        <v>352.73</v>
      </c>
      <c r="CN1226" s="1">
        <v>40505</v>
      </c>
      <c r="CZ1226" s="1">
        <v>40505</v>
      </c>
      <c r="DD1226" t="s">
        <v>2387</v>
      </c>
      <c r="DG1226">
        <v>42</v>
      </c>
      <c r="DL1226">
        <v>50302</v>
      </c>
      <c r="DM1226" t="s">
        <v>12468</v>
      </c>
      <c r="DO1226" t="s">
        <v>12514</v>
      </c>
      <c r="DP1226">
        <v>0</v>
      </c>
      <c r="DQ1226">
        <v>0</v>
      </c>
      <c r="DR1226" t="s">
        <v>411</v>
      </c>
      <c r="DS1226" t="b">
        <v>1</v>
      </c>
      <c r="DT1226" t="s">
        <v>470</v>
      </c>
      <c r="DU1226" t="s">
        <v>471</v>
      </c>
      <c r="DV1226" t="s">
        <v>472</v>
      </c>
      <c r="DX1226">
        <v>-9999</v>
      </c>
      <c r="DZ1226" t="s">
        <v>447</v>
      </c>
      <c r="EA1226" t="s">
        <v>448</v>
      </c>
      <c r="EB1226" t="s">
        <v>742</v>
      </c>
      <c r="EC1226">
        <v>20101217</v>
      </c>
      <c r="ED1226" t="s">
        <v>474</v>
      </c>
      <c r="EF1226">
        <v>4325.1000000000004</v>
      </c>
      <c r="EG1226">
        <v>3798.2</v>
      </c>
      <c r="EH1226" t="s">
        <v>451</v>
      </c>
      <c r="EI1226">
        <v>20140731</v>
      </c>
      <c r="EJ1226">
        <v>0</v>
      </c>
      <c r="EK1226">
        <v>0</v>
      </c>
      <c r="EP1226" t="s">
        <v>421</v>
      </c>
      <c r="EQ1226" t="s">
        <v>422</v>
      </c>
      <c r="ER1226">
        <v>0</v>
      </c>
      <c r="ES1226">
        <v>5</v>
      </c>
      <c r="ET1226">
        <v>0</v>
      </c>
      <c r="EU1226">
        <v>0</v>
      </c>
      <c r="EV1226">
        <v>0</v>
      </c>
      <c r="EW1226" s="2">
        <v>43222</v>
      </c>
      <c r="EX1226" s="1">
        <v>42879</v>
      </c>
      <c r="EY1226">
        <v>2016</v>
      </c>
      <c r="EZ1226">
        <v>375.73</v>
      </c>
      <c r="FA1226" t="s">
        <v>12515</v>
      </c>
      <c r="FB1226">
        <v>5.5</v>
      </c>
      <c r="FC1226" t="s">
        <v>424</v>
      </c>
      <c r="FD1226" t="s">
        <v>425</v>
      </c>
      <c r="FE1226" s="1">
        <v>43052</v>
      </c>
      <c r="FF1226">
        <v>6</v>
      </c>
      <c r="FG1226">
        <v>10125</v>
      </c>
      <c r="FH1226" t="s">
        <v>440</v>
      </c>
      <c r="FJ1226" s="1">
        <v>42151</v>
      </c>
      <c r="FK1226">
        <v>2014</v>
      </c>
      <c r="FL1226">
        <v>352.36</v>
      </c>
      <c r="FM1226" t="s">
        <v>12516</v>
      </c>
      <c r="FN1226">
        <v>4</v>
      </c>
      <c r="FO1226" t="s">
        <v>424</v>
      </c>
      <c r="FP1226" t="s">
        <v>425</v>
      </c>
      <c r="FQ1226" s="1">
        <v>42432</v>
      </c>
      <c r="FR1226">
        <v>10</v>
      </c>
      <c r="FS1226">
        <v>15399</v>
      </c>
      <c r="FT1226" t="s">
        <v>485</v>
      </c>
      <c r="FV1226" s="1">
        <v>42151</v>
      </c>
      <c r="FW1226">
        <v>2014</v>
      </c>
      <c r="FX1226">
        <v>352.36</v>
      </c>
      <c r="FY1226" t="s">
        <v>12516</v>
      </c>
      <c r="FZ1226">
        <v>4</v>
      </c>
      <c r="GA1226" t="s">
        <v>424</v>
      </c>
      <c r="GB1226" t="s">
        <v>425</v>
      </c>
      <c r="GD1226">
        <v>22</v>
      </c>
      <c r="GE1226">
        <v>7045019</v>
      </c>
      <c r="GF1226" t="s">
        <v>1489</v>
      </c>
      <c r="GH1226" s="1">
        <v>41423</v>
      </c>
      <c r="GI1226">
        <v>2012</v>
      </c>
      <c r="GJ1226">
        <v>316.69</v>
      </c>
      <c r="GK1226" t="s">
        <v>12517</v>
      </c>
      <c r="GL1226">
        <v>0.25</v>
      </c>
      <c r="GM1226" t="s">
        <v>424</v>
      </c>
      <c r="GN1226" t="s">
        <v>425</v>
      </c>
      <c r="GO1226" s="1">
        <v>41498</v>
      </c>
      <c r="GP1226">
        <v>3</v>
      </c>
      <c r="GQ1226">
        <v>15399</v>
      </c>
      <c r="GR1226" t="s">
        <v>485</v>
      </c>
      <c r="GT1226" s="1">
        <v>41052</v>
      </c>
      <c r="GU1226">
        <v>2011</v>
      </c>
      <c r="GV1226">
        <v>415.52</v>
      </c>
      <c r="GW1226" t="s">
        <v>12518</v>
      </c>
      <c r="GX1226">
        <v>6</v>
      </c>
      <c r="GY1226" t="s">
        <v>424</v>
      </c>
      <c r="GZ1226" t="s">
        <v>425</v>
      </c>
      <c r="HA1226" s="1">
        <v>41100</v>
      </c>
      <c r="HB1226">
        <v>2</v>
      </c>
      <c r="HC1226">
        <v>105</v>
      </c>
      <c r="HD1226" t="s">
        <v>946</v>
      </c>
    </row>
    <row r="1227" spans="1:272" x14ac:dyDescent="0.25">
      <c r="A1227">
        <v>16486234</v>
      </c>
      <c r="B1227">
        <v>1226</v>
      </c>
      <c r="C1227" t="s">
        <v>393</v>
      </c>
      <c r="D1227" t="s">
        <v>394</v>
      </c>
      <c r="F1227" t="str">
        <f>"42-2N-27-0000-0019-0010"</f>
        <v>42-2N-27-0000-0019-0010</v>
      </c>
      <c r="H1227" t="str">
        <f>"THOMAS ANDREW C"</f>
        <v>THOMAS ANDREW C</v>
      </c>
      <c r="I1227" t="str">
        <f>"1204 EAST 14TH STREET"</f>
        <v>1204 EAST 14TH STREET</v>
      </c>
      <c r="J1227" t="str">
        <f>"PANAMA CITY FL 32401"</f>
        <v>PANAMA CITY FL 32401</v>
      </c>
      <c r="K1227" t="str">
        <f>"86002 HENDERSON AVE"</f>
        <v>86002 HENDERSON AVE</v>
      </c>
      <c r="L1227" t="str">
        <f t="shared" si="414"/>
        <v>YULEE FL 32097</v>
      </c>
      <c r="M1227" t="str">
        <f>"PT JOHN LOW MILL GRANT SEC 42-2N-27E IN OR 1496/729"</f>
        <v>PT JOHN LOW MILL GRANT SEC 42-2N-27E IN OR 1496/729</v>
      </c>
      <c r="N1227" t="str">
        <f>""</f>
        <v/>
      </c>
      <c r="O1227" t="str">
        <f>"47267"</f>
        <v>47267</v>
      </c>
      <c r="P1227" t="str">
        <f t="shared" si="416"/>
        <v>2017</v>
      </c>
      <c r="Q1227" t="str">
        <f>""</f>
        <v/>
      </c>
      <c r="R1227" t="str">
        <f t="shared" si="417"/>
        <v>N</v>
      </c>
      <c r="S1227" t="str">
        <f>"2.05"</f>
        <v>2.05</v>
      </c>
      <c r="T1227" t="str">
        <f>"864.41"</f>
        <v>864.41</v>
      </c>
      <c r="U1227" t="str">
        <f>"57099.00"</f>
        <v>57099.00</v>
      </c>
      <c r="V1227" t="str">
        <f>"57099.00"</f>
        <v>57099.00</v>
      </c>
      <c r="W1227" t="str">
        <f t="shared" si="418"/>
        <v>2017</v>
      </c>
      <c r="X1227" t="str">
        <f>"22.38"</f>
        <v>22.38</v>
      </c>
      <c r="Y1227" t="str">
        <f>"922.34"</f>
        <v>922.34</v>
      </c>
      <c r="Z1227" t="str">
        <f>""</f>
        <v/>
      </c>
      <c r="AA1227" t="str">
        <f>"57099.00"</f>
        <v>57099.00</v>
      </c>
      <c r="AB1227" t="str">
        <f t="shared" si="420"/>
        <v>Residential</v>
      </c>
      <c r="AC1227" t="str">
        <f t="shared" si="399"/>
        <v>0</v>
      </c>
      <c r="AD1227" t="str">
        <f>"4"</f>
        <v>4</v>
      </c>
      <c r="AE1227" t="str">
        <f>"WOOD (INCLUDE STEEL STUDS)"</f>
        <v>WOOD (INCLUDE STEEL STUDS)</v>
      </c>
      <c r="AF1227" t="str">
        <f>"001"</f>
        <v>001</v>
      </c>
      <c r="AG1227" t="str">
        <f t="shared" si="419"/>
        <v>FL</v>
      </c>
      <c r="AH1227" t="str">
        <f>"89298.00"</f>
        <v>89298.00</v>
      </c>
      <c r="AI1227" t="str">
        <f>"35875.00"</f>
        <v>35875.00</v>
      </c>
      <c r="AJ1227" t="str">
        <f>"C55-000-588-1496-3"</f>
        <v>C55-000-588-1496-3</v>
      </c>
      <c r="AK1227" t="str">
        <f>"20947"</f>
        <v>20947</v>
      </c>
      <c r="AL1227">
        <v>5</v>
      </c>
      <c r="AM1227">
        <v>1398</v>
      </c>
      <c r="AN1227">
        <v>966.91</v>
      </c>
      <c r="AQ1227" t="s">
        <v>12519</v>
      </c>
      <c r="AR1227" t="s">
        <v>12519</v>
      </c>
      <c r="AS1227" t="s">
        <v>12519</v>
      </c>
      <c r="AU1227" t="s">
        <v>396</v>
      </c>
      <c r="AV1227">
        <v>2017</v>
      </c>
      <c r="AW1227" t="str">
        <f>"42-2N-27-0000-0019-0010 "</f>
        <v xml:space="preserve">42-2N-27-0000-0019-0010 </v>
      </c>
      <c r="AX1227">
        <v>86002</v>
      </c>
      <c r="AZ1227" t="s">
        <v>12520</v>
      </c>
      <c r="BA1227" t="s">
        <v>1112</v>
      </c>
      <c r="BD1227" t="s">
        <v>2387</v>
      </c>
      <c r="BE1227" t="s">
        <v>393</v>
      </c>
      <c r="BF1227">
        <v>32097</v>
      </c>
      <c r="BG1227" t="s">
        <v>12521</v>
      </c>
      <c r="BH1227" t="s">
        <v>2388</v>
      </c>
      <c r="BI1227">
        <v>-81.587214727801694</v>
      </c>
      <c r="BJ1227">
        <v>30.628446732797201</v>
      </c>
      <c r="BK1227" t="s">
        <v>12522</v>
      </c>
      <c r="BM1227" t="s">
        <v>12523</v>
      </c>
      <c r="BN1227" t="s">
        <v>12524</v>
      </c>
      <c r="BO1227">
        <v>32401</v>
      </c>
      <c r="BP1227" t="s">
        <v>404</v>
      </c>
      <c r="BQ1227">
        <v>100</v>
      </c>
      <c r="BR1227" t="s">
        <v>514</v>
      </c>
      <c r="BS1227">
        <v>1001</v>
      </c>
      <c r="BT1227" t="s">
        <v>515</v>
      </c>
      <c r="BW1227">
        <v>89298</v>
      </c>
      <c r="BX1227" t="s">
        <v>407</v>
      </c>
      <c r="BY1227" t="s">
        <v>408</v>
      </c>
      <c r="BZ1227">
        <v>4</v>
      </c>
      <c r="CA1227">
        <v>1940</v>
      </c>
      <c r="CB1227">
        <v>1</v>
      </c>
      <c r="CC1227">
        <v>1</v>
      </c>
      <c r="CD1227">
        <v>2017</v>
      </c>
      <c r="CE1227">
        <v>35875</v>
      </c>
      <c r="CF1227">
        <v>21224</v>
      </c>
      <c r="CG1227">
        <v>57099</v>
      </c>
      <c r="CH1227">
        <v>2017</v>
      </c>
      <c r="CI1227">
        <v>35875</v>
      </c>
      <c r="CJ1227">
        <v>21224</v>
      </c>
      <c r="CK1227">
        <v>57099</v>
      </c>
      <c r="CL1227">
        <v>2017</v>
      </c>
      <c r="CM1227">
        <v>864.41</v>
      </c>
      <c r="CN1227" s="1">
        <v>39204</v>
      </c>
      <c r="CV1227">
        <v>25000</v>
      </c>
      <c r="CZ1227" s="1">
        <v>39204</v>
      </c>
      <c r="DA1227">
        <v>0</v>
      </c>
      <c r="DD1227" t="s">
        <v>2387</v>
      </c>
      <c r="DG1227">
        <v>42</v>
      </c>
      <c r="DL1227">
        <v>50302</v>
      </c>
      <c r="DM1227" t="s">
        <v>12468</v>
      </c>
      <c r="DO1227" t="s">
        <v>12525</v>
      </c>
      <c r="DP1227">
        <v>0</v>
      </c>
      <c r="DQ1227">
        <v>0</v>
      </c>
      <c r="DR1227" t="s">
        <v>411</v>
      </c>
      <c r="DS1227" t="b">
        <v>1</v>
      </c>
      <c r="DT1227" t="s">
        <v>470</v>
      </c>
      <c r="DU1227" t="s">
        <v>471</v>
      </c>
      <c r="DV1227" t="s">
        <v>472</v>
      </c>
      <c r="DX1227">
        <v>-9999</v>
      </c>
      <c r="DZ1227" t="s">
        <v>447</v>
      </c>
      <c r="EA1227" t="s">
        <v>448</v>
      </c>
      <c r="EB1227" t="s">
        <v>742</v>
      </c>
      <c r="EC1227">
        <v>20101217</v>
      </c>
      <c r="ED1227" t="s">
        <v>474</v>
      </c>
      <c r="EF1227">
        <v>4488.5</v>
      </c>
      <c r="EG1227">
        <v>3958.8</v>
      </c>
      <c r="EI1227">
        <v>20160407</v>
      </c>
      <c r="EJ1227">
        <v>0</v>
      </c>
      <c r="EK1227">
        <v>0</v>
      </c>
      <c r="EP1227" t="s">
        <v>421</v>
      </c>
      <c r="EQ1227" t="s">
        <v>422</v>
      </c>
      <c r="ER1227">
        <v>2</v>
      </c>
      <c r="ES1227">
        <v>6</v>
      </c>
      <c r="ET1227">
        <v>1899.6</v>
      </c>
      <c r="EU1227">
        <v>107.48</v>
      </c>
      <c r="EV1227">
        <v>2007.08</v>
      </c>
      <c r="EW1227" s="2">
        <v>43222</v>
      </c>
      <c r="EX1227" s="1">
        <v>42879</v>
      </c>
      <c r="EY1227">
        <v>2016</v>
      </c>
      <c r="EZ1227">
        <v>949.8</v>
      </c>
      <c r="FA1227" t="s">
        <v>12526</v>
      </c>
      <c r="FB1227">
        <v>0.25</v>
      </c>
      <c r="FC1227" t="s">
        <v>424</v>
      </c>
      <c r="FD1227" t="s">
        <v>454</v>
      </c>
      <c r="FF1227">
        <v>12</v>
      </c>
      <c r="FG1227">
        <v>2851116</v>
      </c>
      <c r="FH1227" t="s">
        <v>480</v>
      </c>
      <c r="FJ1227" s="1">
        <v>42879</v>
      </c>
      <c r="FK1227">
        <v>2016</v>
      </c>
      <c r="FL1227">
        <v>949.8</v>
      </c>
      <c r="FM1227" t="s">
        <v>12526</v>
      </c>
      <c r="FN1227">
        <v>0.25</v>
      </c>
      <c r="FO1227" t="s">
        <v>424</v>
      </c>
      <c r="FP1227" t="s">
        <v>454</v>
      </c>
      <c r="FR1227">
        <v>12</v>
      </c>
      <c r="FS1227">
        <v>5232913</v>
      </c>
      <c r="FT1227" t="s">
        <v>12527</v>
      </c>
      <c r="FV1227" s="1">
        <v>42515</v>
      </c>
      <c r="FW1227">
        <v>2015</v>
      </c>
      <c r="FX1227">
        <v>921.98</v>
      </c>
      <c r="FY1227" t="s">
        <v>12528</v>
      </c>
      <c r="FZ1227">
        <v>0.25</v>
      </c>
      <c r="GA1227" t="s">
        <v>424</v>
      </c>
      <c r="GB1227" t="s">
        <v>425</v>
      </c>
      <c r="GC1227" s="1">
        <v>43187</v>
      </c>
      <c r="GD1227">
        <v>22</v>
      </c>
      <c r="GE1227">
        <v>2851116</v>
      </c>
      <c r="GF1227" t="s">
        <v>480</v>
      </c>
      <c r="GH1227" s="1">
        <v>42515</v>
      </c>
      <c r="GI1227">
        <v>2015</v>
      </c>
      <c r="GJ1227">
        <v>921.98</v>
      </c>
      <c r="GK1227" t="s">
        <v>12528</v>
      </c>
      <c r="GL1227">
        <v>0.25</v>
      </c>
      <c r="GM1227" t="s">
        <v>424</v>
      </c>
      <c r="GN1227" t="s">
        <v>425</v>
      </c>
      <c r="GP1227">
        <v>22</v>
      </c>
      <c r="GQ1227">
        <v>5666573</v>
      </c>
      <c r="GR1227" t="s">
        <v>12529</v>
      </c>
      <c r="GT1227" s="1">
        <v>41787</v>
      </c>
      <c r="GU1227">
        <v>2013</v>
      </c>
      <c r="GV1227">
        <v>682.89</v>
      </c>
      <c r="GW1227" t="s">
        <v>12530</v>
      </c>
      <c r="GX1227">
        <v>0.25</v>
      </c>
      <c r="GY1227" t="s">
        <v>424</v>
      </c>
      <c r="GZ1227" t="s">
        <v>425</v>
      </c>
      <c r="HA1227" s="1">
        <v>42039</v>
      </c>
      <c r="HB1227">
        <v>9</v>
      </c>
      <c r="HC1227">
        <v>15259</v>
      </c>
      <c r="HD1227" t="s">
        <v>891</v>
      </c>
      <c r="HF1227" s="1">
        <v>41423</v>
      </c>
      <c r="HG1227">
        <v>2012</v>
      </c>
      <c r="HH1227">
        <v>691.22</v>
      </c>
      <c r="HI1227" t="s">
        <v>12531</v>
      </c>
      <c r="HJ1227">
        <v>0.25</v>
      </c>
      <c r="HK1227" t="s">
        <v>424</v>
      </c>
      <c r="HL1227" t="s">
        <v>425</v>
      </c>
      <c r="HM1227" s="1">
        <v>42039</v>
      </c>
      <c r="HN1227">
        <v>21</v>
      </c>
      <c r="HO1227">
        <v>1625515</v>
      </c>
      <c r="HP1227" t="s">
        <v>487</v>
      </c>
      <c r="HR1227" s="1">
        <v>41052</v>
      </c>
      <c r="HS1227">
        <v>2011</v>
      </c>
      <c r="HT1227">
        <v>988.75</v>
      </c>
      <c r="HU1227" t="s">
        <v>12532</v>
      </c>
      <c r="HV1227">
        <v>9</v>
      </c>
      <c r="HW1227" t="s">
        <v>424</v>
      </c>
      <c r="HX1227" t="s">
        <v>425</v>
      </c>
      <c r="HY1227" s="1">
        <v>41725</v>
      </c>
      <c r="HZ1227">
        <v>22</v>
      </c>
      <c r="IA1227">
        <v>13042</v>
      </c>
      <c r="IB1227" t="s">
        <v>5881</v>
      </c>
      <c r="ID1227" s="1">
        <v>40688</v>
      </c>
      <c r="IE1227">
        <v>2010</v>
      </c>
      <c r="IF1227">
        <v>1219.1500000000001</v>
      </c>
      <c r="IG1227" t="s">
        <v>12533</v>
      </c>
      <c r="IH1227">
        <v>7.5</v>
      </c>
      <c r="II1227" t="s">
        <v>424</v>
      </c>
      <c r="IJ1227" t="s">
        <v>425</v>
      </c>
      <c r="IK1227" s="1">
        <v>41334</v>
      </c>
      <c r="IL1227">
        <v>22</v>
      </c>
      <c r="IM1227">
        <v>11302</v>
      </c>
      <c r="IN1227" t="s">
        <v>3940</v>
      </c>
    </row>
    <row r="1228" spans="1:272" x14ac:dyDescent="0.25">
      <c r="A1228">
        <v>16486235</v>
      </c>
      <c r="B1228">
        <v>1227</v>
      </c>
      <c r="C1228" t="s">
        <v>393</v>
      </c>
      <c r="D1228" t="s">
        <v>394</v>
      </c>
      <c r="F1228" t="str">
        <f>"42-2N-27-0000-0023-0010"</f>
        <v>42-2N-27-0000-0023-0010</v>
      </c>
      <c r="H1228" t="str">
        <f>"ALBERT LILLIE MAE EST ALBERT LEONARD L/E SIMMONS MARY A ET AL PER/REP"</f>
        <v>ALBERT LILLIE MAE EST ALBERT LEONARD L/E SIMMONS MARY A ET AL PER/REP</v>
      </c>
      <c r="I1228" t="str">
        <f>""</f>
        <v/>
      </c>
      <c r="J1228" t="str">
        <f>"YULEE FL 32097"</f>
        <v>YULEE FL 32097</v>
      </c>
      <c r="K1228" t="str">
        <f>"PINEWOOD DR"</f>
        <v>PINEWOOD DR</v>
      </c>
      <c r="L1228" t="str">
        <f t="shared" si="414"/>
        <v>YULEE FL 32097</v>
      </c>
      <c r="M1228" t="str">
        <f>"IN OR 20/358 L/E BY WILL"</f>
        <v>IN OR 20/358 L/E BY WILL</v>
      </c>
      <c r="N1228" t="str">
        <f>""</f>
        <v/>
      </c>
      <c r="O1228" t="str">
        <f>"47283"</f>
        <v>47283</v>
      </c>
      <c r="P1228" t="str">
        <f t="shared" si="416"/>
        <v>2017</v>
      </c>
      <c r="Q1228" t="str">
        <f>""</f>
        <v/>
      </c>
      <c r="R1228" t="str">
        <f t="shared" si="417"/>
        <v>N</v>
      </c>
      <c r="S1228" t="str">
        <f>""</f>
        <v/>
      </c>
      <c r="T1228" t="str">
        <f>"189.25"</f>
        <v>189.25</v>
      </c>
      <c r="U1228" t="str">
        <f>"12500.00"</f>
        <v>12500.00</v>
      </c>
      <c r="V1228" t="str">
        <f>"12500.00"</f>
        <v>12500.00</v>
      </c>
      <c r="W1228" t="str">
        <f t="shared" si="418"/>
        <v>2017</v>
      </c>
      <c r="X1228" t="str">
        <f>"31.67"</f>
        <v>31.67</v>
      </c>
      <c r="Y1228" t="str">
        <f>"226.93"</f>
        <v>226.93</v>
      </c>
      <c r="Z1228" t="str">
        <f>""</f>
        <v/>
      </c>
      <c r="AA1228" t="str">
        <f>"12500.00"</f>
        <v>12500.00</v>
      </c>
      <c r="AB1228" t="str">
        <f t="shared" si="420"/>
        <v>Residential</v>
      </c>
      <c r="AC1228" t="str">
        <f t="shared" si="399"/>
        <v>0</v>
      </c>
      <c r="AD1228" t="str">
        <f>""</f>
        <v/>
      </c>
      <c r="AE1228" t="str">
        <f>""</f>
        <v/>
      </c>
      <c r="AF1228" t="str">
        <f>"000"</f>
        <v>000</v>
      </c>
      <c r="AG1228" t="str">
        <f t="shared" si="419"/>
        <v>FL</v>
      </c>
      <c r="AH1228" t="str">
        <f>"-"</f>
        <v>-</v>
      </c>
      <c r="AI1228" t="str">
        <f>"12500.00"</f>
        <v>12500.00</v>
      </c>
      <c r="AJ1228" t="str">
        <f>"C55-000-588-1508-5"</f>
        <v>C55-000-588-1508-5</v>
      </c>
      <c r="AK1228" t="str">
        <f>"20959"</f>
        <v>20959</v>
      </c>
      <c r="AL1228">
        <v>5</v>
      </c>
      <c r="AM1228">
        <v>1400</v>
      </c>
      <c r="AN1228">
        <v>236.68</v>
      </c>
      <c r="AQ1228" t="s">
        <v>12534</v>
      </c>
      <c r="AR1228" t="s">
        <v>12534</v>
      </c>
      <c r="AS1228" t="s">
        <v>12534</v>
      </c>
      <c r="AU1228" t="s">
        <v>396</v>
      </c>
      <c r="AV1228">
        <v>2017</v>
      </c>
      <c r="AW1228" t="str">
        <f>"42-2N-27-0000-0023-0010 "</f>
        <v xml:space="preserve">42-2N-27-0000-0023-0010 </v>
      </c>
      <c r="AZ1228" t="s">
        <v>7118</v>
      </c>
      <c r="BA1228" t="s">
        <v>669</v>
      </c>
      <c r="BD1228" t="s">
        <v>2387</v>
      </c>
      <c r="BE1228" t="s">
        <v>393</v>
      </c>
      <c r="BF1228">
        <v>32097</v>
      </c>
      <c r="BG1228" t="s">
        <v>12535</v>
      </c>
      <c r="BH1228" t="s">
        <v>2388</v>
      </c>
      <c r="BI1228">
        <v>-81.5945528334572</v>
      </c>
      <c r="BJ1228">
        <v>30.628681549603002</v>
      </c>
      <c r="BK1228" t="s">
        <v>12536</v>
      </c>
      <c r="BM1228" t="s">
        <v>12537</v>
      </c>
      <c r="BN1228" t="s">
        <v>1778</v>
      </c>
      <c r="BO1228">
        <v>32097</v>
      </c>
      <c r="BP1228" t="s">
        <v>404</v>
      </c>
      <c r="BQ1228">
        <v>0</v>
      </c>
      <c r="BR1228" t="s">
        <v>491</v>
      </c>
      <c r="BS1228">
        <v>8001</v>
      </c>
      <c r="BT1228" t="s">
        <v>492</v>
      </c>
      <c r="BW1228">
        <v>5010</v>
      </c>
      <c r="BX1228" t="s">
        <v>407</v>
      </c>
      <c r="BY1228" t="s">
        <v>408</v>
      </c>
      <c r="CD1228">
        <v>2017</v>
      </c>
      <c r="CE1228">
        <v>12500</v>
      </c>
      <c r="CG1228">
        <v>12500</v>
      </c>
      <c r="CH1228">
        <v>2017</v>
      </c>
      <c r="CI1228">
        <v>12500</v>
      </c>
      <c r="CK1228">
        <v>12500</v>
      </c>
      <c r="CL1228">
        <v>2017</v>
      </c>
      <c r="CM1228">
        <v>189.25</v>
      </c>
      <c r="DD1228" t="s">
        <v>2387</v>
      </c>
      <c r="DG1228">
        <v>42</v>
      </c>
      <c r="DL1228">
        <v>50302</v>
      </c>
      <c r="DM1228" t="s">
        <v>12468</v>
      </c>
      <c r="DO1228" t="s">
        <v>12538</v>
      </c>
      <c r="DP1228">
        <v>0</v>
      </c>
      <c r="DQ1228">
        <v>0</v>
      </c>
      <c r="DR1228" t="s">
        <v>411</v>
      </c>
      <c r="DS1228" t="b">
        <v>1</v>
      </c>
      <c r="DT1228" t="s">
        <v>470</v>
      </c>
      <c r="DU1228" t="s">
        <v>471</v>
      </c>
      <c r="DV1228" t="s">
        <v>472</v>
      </c>
      <c r="DX1228">
        <v>-9999</v>
      </c>
      <c r="DZ1228" t="s">
        <v>447</v>
      </c>
      <c r="EA1228" t="s">
        <v>448</v>
      </c>
      <c r="EB1228" t="s">
        <v>742</v>
      </c>
      <c r="EC1228">
        <v>20101217</v>
      </c>
      <c r="ED1228" t="s">
        <v>474</v>
      </c>
      <c r="EF1228">
        <v>-9999</v>
      </c>
      <c r="EG1228">
        <v>6229.6</v>
      </c>
      <c r="EI1228">
        <v>20160407</v>
      </c>
      <c r="EJ1228">
        <v>0</v>
      </c>
      <c r="EK1228">
        <v>0</v>
      </c>
      <c r="EP1228" t="s">
        <v>595</v>
      </c>
      <c r="EQ1228" t="s">
        <v>422</v>
      </c>
      <c r="ER1228">
        <v>9</v>
      </c>
      <c r="ES1228">
        <v>0</v>
      </c>
      <c r="ET1228">
        <v>2234.36</v>
      </c>
      <c r="EU1228">
        <v>1822.08</v>
      </c>
      <c r="EV1228">
        <v>4056.44</v>
      </c>
      <c r="EW1228" s="2">
        <v>43222</v>
      </c>
      <c r="EX1228" s="1">
        <v>42879</v>
      </c>
      <c r="EY1228">
        <v>2016</v>
      </c>
      <c r="EZ1228">
        <v>234.54</v>
      </c>
      <c r="FA1228" t="s">
        <v>12539</v>
      </c>
      <c r="FB1228">
        <v>18</v>
      </c>
      <c r="FC1228" t="s">
        <v>424</v>
      </c>
      <c r="FD1228" t="s">
        <v>454</v>
      </c>
      <c r="FF1228">
        <v>12</v>
      </c>
      <c r="FG1228">
        <v>7685287</v>
      </c>
      <c r="FH1228" t="s">
        <v>6806</v>
      </c>
      <c r="FJ1228" s="1">
        <v>42515</v>
      </c>
      <c r="FK1228">
        <v>2015</v>
      </c>
      <c r="FL1228">
        <v>234.57</v>
      </c>
      <c r="FM1228" t="s">
        <v>12540</v>
      </c>
      <c r="FN1228">
        <v>18</v>
      </c>
      <c r="FO1228" t="s">
        <v>603</v>
      </c>
      <c r="FP1228" t="s">
        <v>454</v>
      </c>
      <c r="FR1228">
        <v>24</v>
      </c>
      <c r="FS1228">
        <v>9999999</v>
      </c>
      <c r="FT1228" t="s">
        <v>604</v>
      </c>
      <c r="FV1228" s="1">
        <v>42151</v>
      </c>
      <c r="FW1228">
        <v>2014</v>
      </c>
      <c r="FX1228">
        <v>235.65</v>
      </c>
      <c r="FY1228" t="s">
        <v>12541</v>
      </c>
      <c r="FZ1228">
        <v>18</v>
      </c>
      <c r="GA1228" t="s">
        <v>424</v>
      </c>
      <c r="GB1228" t="s">
        <v>454</v>
      </c>
      <c r="GD1228">
        <v>36</v>
      </c>
      <c r="GE1228">
        <v>10125</v>
      </c>
      <c r="GF1228" t="s">
        <v>440</v>
      </c>
      <c r="GH1228" s="1">
        <v>41787</v>
      </c>
      <c r="GI1228">
        <v>2013</v>
      </c>
      <c r="GJ1228">
        <v>224.22</v>
      </c>
      <c r="GK1228" t="s">
        <v>12542</v>
      </c>
      <c r="GL1228">
        <v>6.75</v>
      </c>
      <c r="GM1228" t="s">
        <v>424</v>
      </c>
      <c r="GN1228" t="s">
        <v>454</v>
      </c>
      <c r="GP1228">
        <v>48</v>
      </c>
      <c r="GQ1228">
        <v>10125</v>
      </c>
      <c r="GR1228" t="s">
        <v>440</v>
      </c>
      <c r="GT1228" s="1">
        <v>41423</v>
      </c>
      <c r="GU1228">
        <v>2012</v>
      </c>
      <c r="GV1228">
        <v>226.75</v>
      </c>
      <c r="GW1228" t="s">
        <v>12543</v>
      </c>
      <c r="GX1228">
        <v>16.75</v>
      </c>
      <c r="GY1228" t="s">
        <v>424</v>
      </c>
      <c r="GZ1228" t="s">
        <v>454</v>
      </c>
      <c r="HB1228">
        <v>60</v>
      </c>
      <c r="HC1228">
        <v>10125</v>
      </c>
      <c r="HD1228" t="s">
        <v>440</v>
      </c>
      <c r="HF1228" s="1">
        <v>41052</v>
      </c>
      <c r="HG1228">
        <v>2011</v>
      </c>
      <c r="HH1228">
        <v>278.19</v>
      </c>
      <c r="HI1228" t="s">
        <v>12544</v>
      </c>
      <c r="HJ1228">
        <v>18</v>
      </c>
      <c r="HK1228" t="s">
        <v>424</v>
      </c>
      <c r="HL1228" t="s">
        <v>454</v>
      </c>
      <c r="HN1228">
        <v>72</v>
      </c>
      <c r="HO1228">
        <v>10125</v>
      </c>
      <c r="HP1228" t="s">
        <v>440</v>
      </c>
      <c r="HR1228" s="1">
        <v>41052</v>
      </c>
      <c r="HS1228">
        <v>2011</v>
      </c>
      <c r="HT1228">
        <v>264.02</v>
      </c>
      <c r="HU1228" t="s">
        <v>12544</v>
      </c>
      <c r="HV1228">
        <v>18</v>
      </c>
      <c r="HW1228" t="s">
        <v>603</v>
      </c>
      <c r="HX1228" t="s">
        <v>454</v>
      </c>
      <c r="HZ1228">
        <v>72</v>
      </c>
      <c r="IA1228">
        <v>9999999</v>
      </c>
      <c r="IB1228" t="s">
        <v>604</v>
      </c>
      <c r="ID1228" s="1">
        <v>40688</v>
      </c>
      <c r="IE1228">
        <v>2010</v>
      </c>
      <c r="IF1228">
        <v>273.31</v>
      </c>
      <c r="IG1228" t="s">
        <v>12545</v>
      </c>
      <c r="IH1228">
        <v>18</v>
      </c>
      <c r="II1228" t="s">
        <v>424</v>
      </c>
      <c r="IJ1228" t="s">
        <v>454</v>
      </c>
      <c r="IL1228">
        <v>84</v>
      </c>
      <c r="IM1228">
        <v>555</v>
      </c>
      <c r="IN1228" t="s">
        <v>12546</v>
      </c>
      <c r="IP1228" s="1">
        <v>40688</v>
      </c>
      <c r="IQ1228">
        <v>2010</v>
      </c>
      <c r="IR1228">
        <v>263.11</v>
      </c>
      <c r="IS1228" t="s">
        <v>12545</v>
      </c>
      <c r="IT1228">
        <v>18</v>
      </c>
      <c r="IU1228" t="s">
        <v>603</v>
      </c>
      <c r="IV1228" t="s">
        <v>454</v>
      </c>
      <c r="IX1228">
        <v>84</v>
      </c>
      <c r="IY1228">
        <v>9999999</v>
      </c>
      <c r="IZ1228" t="s">
        <v>604</v>
      </c>
    </row>
    <row r="1229" spans="1:272" x14ac:dyDescent="0.25">
      <c r="A1229">
        <v>16486236</v>
      </c>
      <c r="B1229">
        <v>1228</v>
      </c>
      <c r="C1229" t="s">
        <v>393</v>
      </c>
      <c r="D1229" t="s">
        <v>394</v>
      </c>
      <c r="F1229" t="str">
        <f>"42-2N-27-0000-0023-0030"</f>
        <v>42-2N-27-0000-0023-0030</v>
      </c>
      <c r="H1229" t="str">
        <f>"SIMMONS EDDIE &amp; SIMMONS CHARMAINE"</f>
        <v>SIMMONS EDDIE &amp; SIMMONS CHARMAINE</v>
      </c>
      <c r="I1229" t="str">
        <f>"86220 PINEWOOD DR"</f>
        <v>86220 PINEWOOD DR</v>
      </c>
      <c r="J1229" t="str">
        <f>"YULEE FL 32097"</f>
        <v>YULEE FL 32097</v>
      </c>
      <c r="K1229" t="str">
        <f>"86220 PINEWOOD DR"</f>
        <v>86220 PINEWOOD DR</v>
      </c>
      <c r="L1229" t="str">
        <f t="shared" si="414"/>
        <v>YULEE FL 32097</v>
      </c>
      <c r="M1229" t="str">
        <f>"IN OR 1946/407 R408037 &amp; R408038"</f>
        <v>IN OR 1946/407 R408037 &amp; R408038</v>
      </c>
      <c r="N1229" t="str">
        <f>""</f>
        <v/>
      </c>
      <c r="O1229" t="str">
        <f>"47285"</f>
        <v>47285</v>
      </c>
      <c r="P1229" t="str">
        <f t="shared" si="416"/>
        <v>2017</v>
      </c>
      <c r="Q1229" t="str">
        <f>""</f>
        <v/>
      </c>
      <c r="R1229" t="str">
        <f t="shared" si="417"/>
        <v>N</v>
      </c>
      <c r="S1229" t="str">
        <f>""</f>
        <v/>
      </c>
      <c r="T1229" t="str">
        <f>"412.99"</f>
        <v>412.99</v>
      </c>
      <c r="U1229" t="str">
        <f>"27281.00"</f>
        <v>27281.00</v>
      </c>
      <c r="V1229" t="str">
        <f>"27281.00"</f>
        <v>27281.00</v>
      </c>
      <c r="W1229" t="str">
        <f t="shared" si="418"/>
        <v>2017</v>
      </c>
      <c r="X1229" t="str">
        <f>"45.54"</f>
        <v>45.54</v>
      </c>
      <c r="Y1229" t="str">
        <f>"457.38"</f>
        <v>457.38</v>
      </c>
      <c r="Z1229" t="str">
        <f>""</f>
        <v/>
      </c>
      <c r="AA1229" t="str">
        <f>"27281.00"</f>
        <v>27281.00</v>
      </c>
      <c r="AB1229" t="str">
        <f t="shared" si="420"/>
        <v>Residential</v>
      </c>
      <c r="AC1229" t="str">
        <f t="shared" si="399"/>
        <v>0</v>
      </c>
      <c r="AD1229" t="str">
        <f>"4"</f>
        <v>4</v>
      </c>
      <c r="AE1229" t="str">
        <f>"WOOD (INCLUDE STEEL STUDS)"</f>
        <v>WOOD (INCLUDE STEEL STUDS)</v>
      </c>
      <c r="AF1229" t="str">
        <f>"002"</f>
        <v>002</v>
      </c>
      <c r="AG1229" t="str">
        <f t="shared" si="419"/>
        <v>FL</v>
      </c>
      <c r="AH1229" t="str">
        <f>"-"</f>
        <v>-</v>
      </c>
      <c r="AI1229" t="str">
        <f>"15000.00"</f>
        <v>15000.00</v>
      </c>
      <c r="AJ1229" t="str">
        <f>"C55-000-588-1510-1"</f>
        <v>C55-000-588-1510-1</v>
      </c>
      <c r="AK1229" t="str">
        <f>"20961"</f>
        <v>20961</v>
      </c>
      <c r="AL1229">
        <v>5</v>
      </c>
      <c r="AM1229">
        <v>1401</v>
      </c>
      <c r="AN1229">
        <v>478.65</v>
      </c>
      <c r="AQ1229" t="s">
        <v>12547</v>
      </c>
      <c r="AR1229" t="s">
        <v>12547</v>
      </c>
      <c r="AS1229" t="s">
        <v>12547</v>
      </c>
      <c r="AU1229" t="s">
        <v>396</v>
      </c>
      <c r="AV1229">
        <v>2017</v>
      </c>
      <c r="AW1229" t="str">
        <f>"42-2N-27-0000-0023-0030 "</f>
        <v xml:space="preserve">42-2N-27-0000-0023-0030 </v>
      </c>
      <c r="AX1229">
        <v>86220</v>
      </c>
      <c r="AZ1229" t="s">
        <v>7118</v>
      </c>
      <c r="BA1229" t="s">
        <v>669</v>
      </c>
      <c r="BD1229" t="s">
        <v>2387</v>
      </c>
      <c r="BE1229" t="s">
        <v>393</v>
      </c>
      <c r="BF1229">
        <v>32097</v>
      </c>
      <c r="BG1229" t="s">
        <v>12537</v>
      </c>
      <c r="BH1229" t="s">
        <v>2388</v>
      </c>
      <c r="BI1229">
        <v>-81.5947564387738</v>
      </c>
      <c r="BJ1229">
        <v>30.628384960696501</v>
      </c>
      <c r="BK1229" t="s">
        <v>12548</v>
      </c>
      <c r="BL1229" t="s">
        <v>12549</v>
      </c>
      <c r="BM1229" t="s">
        <v>12537</v>
      </c>
      <c r="BN1229" t="s">
        <v>1778</v>
      </c>
      <c r="BO1229">
        <v>32097</v>
      </c>
      <c r="BP1229" t="s">
        <v>416</v>
      </c>
      <c r="BQ1229">
        <v>200</v>
      </c>
      <c r="BR1229" t="s">
        <v>405</v>
      </c>
      <c r="BS1229">
        <v>1006</v>
      </c>
      <c r="BT1229" t="s">
        <v>406</v>
      </c>
      <c r="BW1229">
        <v>25505</v>
      </c>
      <c r="BX1229" t="s">
        <v>407</v>
      </c>
      <c r="BY1229" t="s">
        <v>408</v>
      </c>
      <c r="BZ1229">
        <v>4</v>
      </c>
      <c r="CA1229">
        <v>1990</v>
      </c>
      <c r="CB1229">
        <v>1</v>
      </c>
      <c r="CC1229">
        <v>1</v>
      </c>
      <c r="CD1229">
        <v>2017</v>
      </c>
      <c r="CE1229">
        <v>15000</v>
      </c>
      <c r="CF1229">
        <v>12281</v>
      </c>
      <c r="CG1229">
        <v>27281</v>
      </c>
      <c r="CH1229">
        <v>2017</v>
      </c>
      <c r="CI1229">
        <v>15000</v>
      </c>
      <c r="CJ1229">
        <v>12281</v>
      </c>
      <c r="CK1229">
        <v>27281</v>
      </c>
      <c r="CL1229">
        <v>2017</v>
      </c>
      <c r="CM1229">
        <v>412.99</v>
      </c>
      <c r="CN1229" s="1">
        <v>41949</v>
      </c>
      <c r="CZ1229" s="1">
        <v>41949</v>
      </c>
      <c r="DD1229" t="s">
        <v>2387</v>
      </c>
      <c r="DG1229">
        <v>42</v>
      </c>
      <c r="DL1229">
        <v>50302</v>
      </c>
      <c r="DM1229" t="s">
        <v>12468</v>
      </c>
      <c r="DO1229" t="s">
        <v>12550</v>
      </c>
      <c r="DP1229">
        <v>0</v>
      </c>
      <c r="DQ1229">
        <v>0</v>
      </c>
      <c r="DR1229" t="s">
        <v>411</v>
      </c>
      <c r="EP1229" t="s">
        <v>421</v>
      </c>
      <c r="EQ1229" t="s">
        <v>422</v>
      </c>
      <c r="ER1229">
        <v>1</v>
      </c>
      <c r="ES1229">
        <v>5</v>
      </c>
      <c r="ET1229">
        <v>480.53</v>
      </c>
      <c r="EU1229">
        <v>30.28</v>
      </c>
      <c r="EV1229">
        <v>510.81</v>
      </c>
      <c r="EW1229" s="2">
        <v>43222</v>
      </c>
      <c r="EX1229" s="1">
        <v>42879</v>
      </c>
      <c r="EY1229">
        <v>2016</v>
      </c>
      <c r="EZ1229">
        <v>480.53</v>
      </c>
      <c r="FA1229" t="s">
        <v>12551</v>
      </c>
      <c r="FB1229">
        <v>4.75</v>
      </c>
      <c r="FC1229" t="s">
        <v>424</v>
      </c>
      <c r="FD1229" t="s">
        <v>454</v>
      </c>
      <c r="FF1229">
        <v>12</v>
      </c>
      <c r="FG1229">
        <v>2035919</v>
      </c>
      <c r="FH1229" t="s">
        <v>507</v>
      </c>
      <c r="FJ1229" s="1">
        <v>41787</v>
      </c>
      <c r="FK1229">
        <v>2013</v>
      </c>
      <c r="FL1229">
        <v>722.55</v>
      </c>
      <c r="FM1229" t="s">
        <v>12552</v>
      </c>
      <c r="FN1229">
        <v>0.25</v>
      </c>
      <c r="FO1229" t="s">
        <v>424</v>
      </c>
      <c r="FP1229" t="s">
        <v>425</v>
      </c>
      <c r="FQ1229" s="1">
        <v>42376</v>
      </c>
      <c r="FR1229">
        <v>20</v>
      </c>
      <c r="FS1229">
        <v>2407503</v>
      </c>
      <c r="FT1229" t="s">
        <v>461</v>
      </c>
      <c r="FV1229" s="1">
        <v>41423</v>
      </c>
      <c r="FW1229">
        <v>2012</v>
      </c>
      <c r="FX1229">
        <v>727.74</v>
      </c>
      <c r="FY1229" t="s">
        <v>12553</v>
      </c>
      <c r="FZ1229">
        <v>0.25</v>
      </c>
      <c r="GA1229" t="s">
        <v>424</v>
      </c>
      <c r="GB1229" t="s">
        <v>425</v>
      </c>
      <c r="GC1229" s="1">
        <v>41949</v>
      </c>
      <c r="GD1229">
        <v>18</v>
      </c>
      <c r="GE1229">
        <v>10125</v>
      </c>
      <c r="GF1229" t="s">
        <v>440</v>
      </c>
      <c r="GH1229" s="1">
        <v>41052</v>
      </c>
      <c r="GI1229">
        <v>2011</v>
      </c>
      <c r="GJ1229">
        <v>949.3</v>
      </c>
      <c r="GK1229" t="s">
        <v>12554</v>
      </c>
      <c r="GL1229">
        <v>5.75</v>
      </c>
      <c r="GM1229" t="s">
        <v>424</v>
      </c>
      <c r="GN1229" t="s">
        <v>425</v>
      </c>
      <c r="GO1229" s="1">
        <v>41689</v>
      </c>
      <c r="GP1229">
        <v>21</v>
      </c>
      <c r="GQ1229">
        <v>1625515</v>
      </c>
      <c r="GR1229" t="s">
        <v>487</v>
      </c>
      <c r="GT1229" s="1">
        <v>41052</v>
      </c>
      <c r="GU1229">
        <v>2011</v>
      </c>
      <c r="GV1229">
        <v>949.3</v>
      </c>
      <c r="GW1229" t="s">
        <v>12554</v>
      </c>
      <c r="GX1229">
        <v>5.75</v>
      </c>
      <c r="GY1229" t="s">
        <v>424</v>
      </c>
      <c r="GZ1229" t="s">
        <v>425</v>
      </c>
      <c r="HB1229">
        <v>22</v>
      </c>
      <c r="HC1229">
        <v>10579</v>
      </c>
      <c r="HD1229" t="s">
        <v>488</v>
      </c>
      <c r="HF1229" s="1">
        <v>40688</v>
      </c>
      <c r="HG1229">
        <v>2010</v>
      </c>
      <c r="HH1229">
        <v>849.27</v>
      </c>
      <c r="HI1229" t="s">
        <v>12555</v>
      </c>
      <c r="HJ1229">
        <v>6.25</v>
      </c>
      <c r="HK1229" t="s">
        <v>424</v>
      </c>
      <c r="HL1229" t="s">
        <v>425</v>
      </c>
      <c r="HM1229" s="1">
        <v>41340</v>
      </c>
      <c r="HN1229">
        <v>22</v>
      </c>
      <c r="HO1229">
        <v>10591</v>
      </c>
      <c r="HP1229" t="s">
        <v>4254</v>
      </c>
    </row>
    <row r="1230" spans="1:272" x14ac:dyDescent="0.25">
      <c r="A1230">
        <v>16486237</v>
      </c>
      <c r="B1230">
        <v>1229</v>
      </c>
      <c r="C1230" t="s">
        <v>393</v>
      </c>
      <c r="D1230" t="s">
        <v>394</v>
      </c>
      <c r="F1230" t="str">
        <f>"42-2N-27-0000-0026-0000"</f>
        <v>42-2N-27-0000-0026-0000</v>
      </c>
      <c r="H1230" t="str">
        <f>"WOODBURY MARIE G EST C/O PRINCE WOODBURY III"</f>
        <v>WOODBURY MARIE G EST C/O PRINCE WOODBURY III</v>
      </c>
      <c r="I1230" t="str">
        <f>"916 STRAWBERRY COURT"</f>
        <v>916 STRAWBERRY COURT</v>
      </c>
      <c r="J1230" t="str">
        <f>"ELLENWOOD GA 30294"</f>
        <v>ELLENWOOD GA 30294</v>
      </c>
      <c r="K1230" t="str">
        <f>"86394 PINEWOOD DR"</f>
        <v>86394 PINEWOOD DR</v>
      </c>
      <c r="L1230" t="str">
        <f t="shared" si="414"/>
        <v>YULEE FL 32097</v>
      </c>
      <c r="M1230" t="str">
        <f>"IN OR 100 PG 97"</f>
        <v>IN OR 100 PG 97</v>
      </c>
      <c r="N1230" t="str">
        <f>""</f>
        <v/>
      </c>
      <c r="O1230" t="str">
        <f>"47291"</f>
        <v>47291</v>
      </c>
      <c r="P1230" t="str">
        <f t="shared" si="416"/>
        <v>2017</v>
      </c>
      <c r="Q1230" t="str">
        <f>""</f>
        <v/>
      </c>
      <c r="R1230" t="str">
        <f t="shared" si="417"/>
        <v>N</v>
      </c>
      <c r="S1230" t="str">
        <f>""</f>
        <v/>
      </c>
      <c r="T1230" t="str">
        <f>"352.35"</f>
        <v>352.35</v>
      </c>
      <c r="U1230" t="str">
        <f>"23100.00"</f>
        <v>23100.00</v>
      </c>
      <c r="V1230" t="str">
        <f>"23100.00"</f>
        <v>23100.00</v>
      </c>
      <c r="W1230" t="str">
        <f t="shared" si="418"/>
        <v>2017</v>
      </c>
      <c r="X1230" t="str">
        <f>"15.40"</f>
        <v>15.40</v>
      </c>
      <c r="Y1230" t="str">
        <f>"394.92"</f>
        <v>394.92</v>
      </c>
      <c r="Z1230" t="str">
        <f>""</f>
        <v/>
      </c>
      <c r="AA1230" t="str">
        <f>"23500.00"</f>
        <v>23500.00</v>
      </c>
      <c r="AB1230" t="str">
        <f t="shared" si="420"/>
        <v>Residential</v>
      </c>
      <c r="AC1230" t="str">
        <f t="shared" si="399"/>
        <v>0</v>
      </c>
      <c r="AD1230" t="str">
        <f>""</f>
        <v/>
      </c>
      <c r="AE1230" t="str">
        <f>""</f>
        <v/>
      </c>
      <c r="AF1230" t="str">
        <f>"000"</f>
        <v>000</v>
      </c>
      <c r="AG1230" t="str">
        <f>"GA"</f>
        <v>GA</v>
      </c>
      <c r="AH1230" t="str">
        <f>"-"</f>
        <v>-</v>
      </c>
      <c r="AI1230" t="str">
        <f>"16000.00"</f>
        <v>16000.00</v>
      </c>
      <c r="AJ1230" t="str">
        <f>"C55-000-588-1516-8"</f>
        <v>C55-000-588-1516-8</v>
      </c>
      <c r="AK1230" t="str">
        <f>"20966"</f>
        <v>20966</v>
      </c>
      <c r="AL1230">
        <v>5</v>
      </c>
      <c r="AM1230">
        <v>1402</v>
      </c>
      <c r="AN1230">
        <v>413.07</v>
      </c>
      <c r="AQ1230" t="s">
        <v>12556</v>
      </c>
      <c r="AR1230" t="s">
        <v>12556</v>
      </c>
      <c r="AS1230" t="s">
        <v>12556</v>
      </c>
      <c r="AU1230" t="s">
        <v>396</v>
      </c>
      <c r="AV1230">
        <v>2017</v>
      </c>
      <c r="AW1230" t="str">
        <f>"42-2N-27-0000-0026-0000 "</f>
        <v xml:space="preserve">42-2N-27-0000-0026-0000 </v>
      </c>
      <c r="AX1230">
        <v>86394</v>
      </c>
      <c r="AZ1230" t="s">
        <v>7118</v>
      </c>
      <c r="BA1230" t="s">
        <v>669</v>
      </c>
      <c r="BD1230" t="s">
        <v>2387</v>
      </c>
      <c r="BE1230" t="s">
        <v>393</v>
      </c>
      <c r="BF1230">
        <v>32097</v>
      </c>
      <c r="BG1230" t="s">
        <v>12557</v>
      </c>
      <c r="BH1230" t="s">
        <v>2388</v>
      </c>
      <c r="BI1230">
        <v>-81.596950194486197</v>
      </c>
      <c r="BJ1230">
        <v>30.629636591788099</v>
      </c>
      <c r="BK1230" t="s">
        <v>12558</v>
      </c>
      <c r="BM1230" t="s">
        <v>12559</v>
      </c>
      <c r="BN1230" t="s">
        <v>12560</v>
      </c>
      <c r="BO1230">
        <v>30294</v>
      </c>
      <c r="BP1230" t="s">
        <v>404</v>
      </c>
      <c r="BQ1230">
        <v>1</v>
      </c>
      <c r="BR1230" t="s">
        <v>491</v>
      </c>
      <c r="BS1230">
        <v>8001</v>
      </c>
      <c r="BT1230" t="s">
        <v>492</v>
      </c>
      <c r="BW1230">
        <v>26883</v>
      </c>
      <c r="BX1230" t="s">
        <v>407</v>
      </c>
      <c r="BY1230" t="s">
        <v>4360</v>
      </c>
      <c r="CD1230">
        <v>2017</v>
      </c>
      <c r="CE1230">
        <v>16000</v>
      </c>
      <c r="CF1230">
        <v>7500</v>
      </c>
      <c r="CG1230">
        <v>23500</v>
      </c>
      <c r="CH1230">
        <v>2017</v>
      </c>
      <c r="CI1230">
        <v>16000</v>
      </c>
      <c r="CJ1230">
        <v>7500</v>
      </c>
      <c r="CK1230">
        <v>23500</v>
      </c>
      <c r="CL1230">
        <v>2017</v>
      </c>
      <c r="CM1230">
        <v>352.35</v>
      </c>
      <c r="DD1230" t="s">
        <v>2387</v>
      </c>
      <c r="DG1230">
        <v>42</v>
      </c>
      <c r="DL1230">
        <v>50302</v>
      </c>
      <c r="DM1230" t="s">
        <v>12468</v>
      </c>
      <c r="DO1230" t="s">
        <v>12561</v>
      </c>
      <c r="DP1230">
        <v>0</v>
      </c>
      <c r="DQ1230">
        <v>0</v>
      </c>
      <c r="DR1230" t="s">
        <v>411</v>
      </c>
      <c r="DS1230" t="b">
        <v>1</v>
      </c>
      <c r="DT1230" t="s">
        <v>470</v>
      </c>
      <c r="DU1230" t="s">
        <v>471</v>
      </c>
      <c r="DV1230" t="s">
        <v>472</v>
      </c>
      <c r="DX1230">
        <v>-9999</v>
      </c>
      <c r="DZ1230" t="s">
        <v>447</v>
      </c>
      <c r="EA1230" t="s">
        <v>448</v>
      </c>
      <c r="EB1230" t="s">
        <v>742</v>
      </c>
      <c r="EC1230">
        <v>20101217</v>
      </c>
      <c r="ED1230" t="s">
        <v>474</v>
      </c>
      <c r="EF1230">
        <v>-9999</v>
      </c>
      <c r="EG1230">
        <v>7037.3</v>
      </c>
      <c r="EI1230">
        <v>20160407</v>
      </c>
      <c r="EJ1230">
        <v>0</v>
      </c>
      <c r="EK1230">
        <v>0</v>
      </c>
      <c r="EP1230" t="s">
        <v>421</v>
      </c>
      <c r="EQ1230" t="s">
        <v>422</v>
      </c>
      <c r="ER1230">
        <v>1</v>
      </c>
      <c r="ES1230">
        <v>7</v>
      </c>
      <c r="ET1230">
        <v>375.65</v>
      </c>
      <c r="EU1230">
        <v>37.24</v>
      </c>
      <c r="EV1230">
        <v>412.89</v>
      </c>
      <c r="EW1230" s="2">
        <v>43222</v>
      </c>
      <c r="EX1230" s="1">
        <v>42879</v>
      </c>
      <c r="EY1230">
        <v>2016</v>
      </c>
      <c r="EZ1230">
        <v>375.65</v>
      </c>
      <c r="FA1230" t="s">
        <v>12562</v>
      </c>
      <c r="FB1230">
        <v>8.25</v>
      </c>
      <c r="FC1230" t="s">
        <v>424</v>
      </c>
      <c r="FD1230" t="s">
        <v>454</v>
      </c>
      <c r="FF1230">
        <v>12</v>
      </c>
      <c r="FG1230">
        <v>10021</v>
      </c>
      <c r="FH1230" t="s">
        <v>597</v>
      </c>
      <c r="FJ1230" s="1">
        <v>42515</v>
      </c>
      <c r="FK1230">
        <v>2015</v>
      </c>
      <c r="FL1230">
        <v>375.14</v>
      </c>
      <c r="FM1230" t="s">
        <v>12563</v>
      </c>
      <c r="FN1230">
        <v>0.25</v>
      </c>
      <c r="FO1230" t="s">
        <v>424</v>
      </c>
      <c r="FP1230" t="s">
        <v>425</v>
      </c>
      <c r="FQ1230" s="1">
        <v>43145</v>
      </c>
      <c r="FR1230">
        <v>21</v>
      </c>
      <c r="FS1230">
        <v>7336671</v>
      </c>
      <c r="FT1230" t="s">
        <v>437</v>
      </c>
      <c r="FV1230" s="1">
        <v>42515</v>
      </c>
      <c r="FW1230">
        <v>2015</v>
      </c>
      <c r="FX1230">
        <v>375.14</v>
      </c>
      <c r="FY1230" t="s">
        <v>12563</v>
      </c>
      <c r="FZ1230">
        <v>0.25</v>
      </c>
      <c r="GA1230" t="s">
        <v>424</v>
      </c>
      <c r="GB1230" t="s">
        <v>425</v>
      </c>
      <c r="GD1230">
        <v>22</v>
      </c>
      <c r="GE1230">
        <v>6798890</v>
      </c>
      <c r="GF1230" t="s">
        <v>12564</v>
      </c>
      <c r="GH1230" s="1">
        <v>42151</v>
      </c>
      <c r="GI1230">
        <v>2014</v>
      </c>
      <c r="GJ1230">
        <v>347.08</v>
      </c>
      <c r="GK1230" t="s">
        <v>12565</v>
      </c>
      <c r="GL1230">
        <v>4.75</v>
      </c>
      <c r="GM1230" t="s">
        <v>424</v>
      </c>
      <c r="GN1230" t="s">
        <v>425</v>
      </c>
      <c r="GO1230" s="1">
        <v>42164</v>
      </c>
      <c r="GP1230">
        <v>1</v>
      </c>
      <c r="GQ1230">
        <v>4975593</v>
      </c>
      <c r="GR1230" t="s">
        <v>505</v>
      </c>
      <c r="GT1230" s="1">
        <v>41787</v>
      </c>
      <c r="GU1230">
        <v>2013</v>
      </c>
      <c r="GV1230">
        <v>297.02999999999997</v>
      </c>
      <c r="GW1230" t="s">
        <v>12566</v>
      </c>
      <c r="GX1230">
        <v>6.75</v>
      </c>
      <c r="GY1230" t="s">
        <v>424</v>
      </c>
      <c r="GZ1230" t="s">
        <v>425</v>
      </c>
      <c r="HA1230" s="1">
        <v>42131</v>
      </c>
      <c r="HB1230">
        <v>12</v>
      </c>
      <c r="HC1230">
        <v>10125</v>
      </c>
      <c r="HD1230" t="s">
        <v>440</v>
      </c>
      <c r="HF1230" s="1">
        <v>41423</v>
      </c>
      <c r="HG1230">
        <v>2012</v>
      </c>
      <c r="HH1230">
        <v>300.45</v>
      </c>
      <c r="HI1230" t="s">
        <v>12567</v>
      </c>
      <c r="HJ1230">
        <v>4.75</v>
      </c>
      <c r="HK1230" t="s">
        <v>424</v>
      </c>
      <c r="HL1230" t="s">
        <v>425</v>
      </c>
      <c r="HM1230" s="1">
        <v>41895</v>
      </c>
      <c r="HN1230">
        <v>16</v>
      </c>
      <c r="HO1230">
        <v>10125</v>
      </c>
      <c r="HP1230" t="s">
        <v>440</v>
      </c>
      <c r="HR1230" s="1">
        <v>41052</v>
      </c>
      <c r="HS1230">
        <v>2011</v>
      </c>
      <c r="HT1230">
        <v>364</v>
      </c>
      <c r="HU1230" t="s">
        <v>12568</v>
      </c>
      <c r="HV1230">
        <v>6</v>
      </c>
      <c r="HW1230" t="s">
        <v>424</v>
      </c>
      <c r="HX1230" t="s">
        <v>425</v>
      </c>
      <c r="HY1230" s="1">
        <v>41360</v>
      </c>
      <c r="HZ1230">
        <v>10</v>
      </c>
      <c r="IA1230">
        <v>105</v>
      </c>
      <c r="IB1230" t="s">
        <v>946</v>
      </c>
      <c r="ID1230" s="1">
        <v>40688</v>
      </c>
      <c r="IE1230">
        <v>2010</v>
      </c>
      <c r="IF1230">
        <v>364.91</v>
      </c>
      <c r="IG1230" t="s">
        <v>12569</v>
      </c>
      <c r="IH1230">
        <v>6.75</v>
      </c>
      <c r="II1230" t="s">
        <v>424</v>
      </c>
      <c r="IJ1230" t="s">
        <v>425</v>
      </c>
      <c r="IK1230" s="1">
        <v>41360</v>
      </c>
      <c r="IL1230">
        <v>22</v>
      </c>
      <c r="IM1230">
        <v>105</v>
      </c>
      <c r="IN1230" t="s">
        <v>946</v>
      </c>
    </row>
    <row r="1231" spans="1:272" x14ac:dyDescent="0.25">
      <c r="A1231">
        <v>16486238</v>
      </c>
      <c r="B1231">
        <v>1230</v>
      </c>
      <c r="C1231" t="s">
        <v>393</v>
      </c>
      <c r="D1231" t="s">
        <v>394</v>
      </c>
      <c r="F1231" t="str">
        <f>"42-2N-27-0000-0026-0030"</f>
        <v>42-2N-27-0000-0026-0030</v>
      </c>
      <c r="H1231" t="str">
        <f>"GILYARD ELIZABETH EST C/O CLAUDETTE BROWN"</f>
        <v>GILYARD ELIZABETH EST C/O CLAUDETTE BROWN</v>
      </c>
      <c r="I1231" t="str">
        <f>"462974 SR 200"</f>
        <v>462974 SR 200</v>
      </c>
      <c r="J1231" t="str">
        <f>"YULEE FL 32097"</f>
        <v>YULEE FL 32097</v>
      </c>
      <c r="K1231" t="str">
        <f>"PINEWOOD DR"</f>
        <v>PINEWOOD DR</v>
      </c>
      <c r="L1231" t="str">
        <f t="shared" si="414"/>
        <v>YULEE FL 32097</v>
      </c>
      <c r="M1231" t="str">
        <f>"IN OR 67 PG 667"</f>
        <v>IN OR 67 PG 667</v>
      </c>
      <c r="N1231" t="str">
        <f>""</f>
        <v/>
      </c>
      <c r="O1231" t="str">
        <f>"47294"</f>
        <v>47294</v>
      </c>
      <c r="P1231" t="str">
        <f t="shared" si="416"/>
        <v>2017</v>
      </c>
      <c r="Q1231" t="str">
        <f>""</f>
        <v/>
      </c>
      <c r="R1231" t="str">
        <f t="shared" si="417"/>
        <v>N</v>
      </c>
      <c r="S1231" t="str">
        <f>""</f>
        <v/>
      </c>
      <c r="T1231" t="str">
        <f>"242.22"</f>
        <v>242.22</v>
      </c>
      <c r="U1231" t="str">
        <f>"16000.00"</f>
        <v>16000.00</v>
      </c>
      <c r="V1231" t="str">
        <f>"16000.00"</f>
        <v>16000.00</v>
      </c>
      <c r="W1231" t="str">
        <f t="shared" si="418"/>
        <v>2017</v>
      </c>
      <c r="X1231" t="str">
        <f>"22.00"</f>
        <v>22.00</v>
      </c>
      <c r="Y1231" t="str">
        <f>"281.49"</f>
        <v>281.49</v>
      </c>
      <c r="Z1231" t="str">
        <f>""</f>
        <v/>
      </c>
      <c r="AA1231" t="str">
        <f>"16000.00"</f>
        <v>16000.00</v>
      </c>
      <c r="AB1231" t="str">
        <f t="shared" si="420"/>
        <v>Residential</v>
      </c>
      <c r="AC1231" t="str">
        <f t="shared" si="399"/>
        <v>0</v>
      </c>
      <c r="AD1231" t="str">
        <f>""</f>
        <v/>
      </c>
      <c r="AE1231" t="str">
        <f>""</f>
        <v/>
      </c>
      <c r="AF1231" t="str">
        <f>"000"</f>
        <v>000</v>
      </c>
      <c r="AG1231" t="str">
        <f t="shared" ref="AG1231:AG1248" si="421">"FL"</f>
        <v>FL</v>
      </c>
      <c r="AH1231" t="str">
        <f>"-"</f>
        <v>-</v>
      </c>
      <c r="AI1231" t="str">
        <f>"16000.00"</f>
        <v>16000.00</v>
      </c>
      <c r="AJ1231" t="str">
        <f>"C55-000-588-1519-2"</f>
        <v>C55-000-588-1519-2</v>
      </c>
      <c r="AK1231" t="str">
        <f>"20969"</f>
        <v>20969</v>
      </c>
      <c r="AL1231">
        <v>5</v>
      </c>
      <c r="AM1231">
        <v>1403</v>
      </c>
      <c r="AN1231">
        <v>293.95999999999998</v>
      </c>
      <c r="AQ1231" t="s">
        <v>12570</v>
      </c>
      <c r="AR1231" t="s">
        <v>12570</v>
      </c>
      <c r="AS1231" t="s">
        <v>12570</v>
      </c>
      <c r="AU1231" t="s">
        <v>396</v>
      </c>
      <c r="AV1231">
        <v>2017</v>
      </c>
      <c r="AW1231" t="str">
        <f>"42-2N-27-0000-0026-0030 "</f>
        <v xml:space="preserve">42-2N-27-0000-0026-0030 </v>
      </c>
      <c r="AZ1231" t="s">
        <v>7118</v>
      </c>
      <c r="BA1231" t="s">
        <v>669</v>
      </c>
      <c r="BD1231" t="s">
        <v>2387</v>
      </c>
      <c r="BE1231" t="s">
        <v>393</v>
      </c>
      <c r="BF1231">
        <v>32097</v>
      </c>
      <c r="BG1231" t="s">
        <v>12535</v>
      </c>
      <c r="BH1231" t="s">
        <v>2388</v>
      </c>
      <c r="BI1231">
        <v>-81.596924414175803</v>
      </c>
      <c r="BJ1231">
        <v>30.629436526897699</v>
      </c>
      <c r="BK1231" t="s">
        <v>12571</v>
      </c>
      <c r="BM1231" t="s">
        <v>12572</v>
      </c>
      <c r="BN1231" t="s">
        <v>1778</v>
      </c>
      <c r="BO1231">
        <v>32097</v>
      </c>
      <c r="BP1231" t="s">
        <v>404</v>
      </c>
      <c r="BQ1231">
        <v>0</v>
      </c>
      <c r="BR1231" t="s">
        <v>491</v>
      </c>
      <c r="BS1231">
        <v>8001</v>
      </c>
      <c r="BT1231" t="s">
        <v>492</v>
      </c>
      <c r="BW1231">
        <v>31014</v>
      </c>
      <c r="BX1231" t="s">
        <v>407</v>
      </c>
      <c r="BY1231" t="s">
        <v>4360</v>
      </c>
      <c r="CD1231">
        <v>2017</v>
      </c>
      <c r="CE1231">
        <v>16000</v>
      </c>
      <c r="CG1231">
        <v>16000</v>
      </c>
      <c r="CH1231">
        <v>2017</v>
      </c>
      <c r="CI1231">
        <v>16000</v>
      </c>
      <c r="CK1231">
        <v>16000</v>
      </c>
      <c r="CL1231">
        <v>2017</v>
      </c>
      <c r="CM1231">
        <v>242.22</v>
      </c>
      <c r="DD1231" t="s">
        <v>2387</v>
      </c>
      <c r="DG1231">
        <v>42</v>
      </c>
      <c r="DL1231">
        <v>50302</v>
      </c>
      <c r="DM1231" t="s">
        <v>12468</v>
      </c>
      <c r="DO1231" t="s">
        <v>12573</v>
      </c>
      <c r="DP1231">
        <v>0</v>
      </c>
      <c r="DQ1231">
        <v>0</v>
      </c>
      <c r="DR1231" t="s">
        <v>411</v>
      </c>
      <c r="DS1231" t="b">
        <v>1</v>
      </c>
      <c r="DT1231" t="s">
        <v>470</v>
      </c>
      <c r="DU1231" t="s">
        <v>471</v>
      </c>
      <c r="DV1231" t="s">
        <v>472</v>
      </c>
      <c r="DX1231">
        <v>-9999</v>
      </c>
      <c r="DZ1231" t="s">
        <v>447</v>
      </c>
      <c r="EA1231" t="s">
        <v>448</v>
      </c>
      <c r="EB1231" t="s">
        <v>742</v>
      </c>
      <c r="EC1231">
        <v>20101217</v>
      </c>
      <c r="ED1231" t="s">
        <v>474</v>
      </c>
      <c r="EF1231">
        <v>-9999</v>
      </c>
      <c r="EG1231">
        <v>7014.4</v>
      </c>
      <c r="EI1231">
        <v>20160407</v>
      </c>
      <c r="EJ1231">
        <v>0</v>
      </c>
      <c r="EK1231">
        <v>0</v>
      </c>
      <c r="EP1231" t="s">
        <v>595</v>
      </c>
      <c r="EQ1231" t="s">
        <v>422</v>
      </c>
      <c r="ER1231">
        <v>7</v>
      </c>
      <c r="ES1231">
        <v>3</v>
      </c>
      <c r="ET1231">
        <v>1782.14</v>
      </c>
      <c r="EU1231">
        <v>488.27</v>
      </c>
      <c r="EV1231">
        <v>2270.41</v>
      </c>
      <c r="EW1231" s="2">
        <v>43222</v>
      </c>
      <c r="EX1231" s="1">
        <v>42879</v>
      </c>
      <c r="EY1231">
        <v>2016</v>
      </c>
      <c r="EZ1231">
        <v>292.38</v>
      </c>
      <c r="FA1231" t="s">
        <v>12574</v>
      </c>
      <c r="FB1231">
        <v>15.75</v>
      </c>
      <c r="FC1231" t="s">
        <v>424</v>
      </c>
      <c r="FD1231" t="s">
        <v>454</v>
      </c>
      <c r="FF1231">
        <v>12</v>
      </c>
      <c r="FG1231">
        <v>10003</v>
      </c>
      <c r="FH1231" t="s">
        <v>4341</v>
      </c>
      <c r="FJ1231" s="1">
        <v>42515</v>
      </c>
      <c r="FK1231">
        <v>2015</v>
      </c>
      <c r="FL1231">
        <v>280.36</v>
      </c>
      <c r="FM1231" t="s">
        <v>12575</v>
      </c>
      <c r="FN1231">
        <v>18</v>
      </c>
      <c r="FO1231" t="s">
        <v>603</v>
      </c>
      <c r="FP1231" t="s">
        <v>454</v>
      </c>
      <c r="FR1231">
        <v>24</v>
      </c>
      <c r="FS1231">
        <v>9999999</v>
      </c>
      <c r="FT1231" t="s">
        <v>604</v>
      </c>
      <c r="FV1231" s="1">
        <v>42515</v>
      </c>
      <c r="FW1231">
        <v>2015</v>
      </c>
      <c r="FX1231">
        <v>299.23</v>
      </c>
      <c r="FY1231" t="s">
        <v>12575</v>
      </c>
      <c r="FZ1231">
        <v>18</v>
      </c>
      <c r="GA1231" t="s">
        <v>424</v>
      </c>
      <c r="GB1231" t="s">
        <v>454</v>
      </c>
      <c r="GD1231">
        <v>24</v>
      </c>
      <c r="GE1231">
        <v>14851</v>
      </c>
      <c r="GF1231" t="s">
        <v>4401</v>
      </c>
      <c r="GH1231" s="1">
        <v>42151</v>
      </c>
      <c r="GI1231">
        <v>2014</v>
      </c>
      <c r="GJ1231">
        <v>256.98</v>
      </c>
      <c r="GK1231" t="s">
        <v>12576</v>
      </c>
      <c r="GL1231">
        <v>4.25</v>
      </c>
      <c r="GM1231" t="s">
        <v>424</v>
      </c>
      <c r="GN1231" t="s">
        <v>454</v>
      </c>
      <c r="GP1231">
        <v>36</v>
      </c>
      <c r="GQ1231">
        <v>10003</v>
      </c>
      <c r="GR1231" t="s">
        <v>4341</v>
      </c>
      <c r="GT1231" s="1">
        <v>41787</v>
      </c>
      <c r="GU1231">
        <v>2013</v>
      </c>
      <c r="GV1231">
        <v>216.11</v>
      </c>
      <c r="GW1231" t="s">
        <v>12577</v>
      </c>
      <c r="GX1231">
        <v>3</v>
      </c>
      <c r="GY1231" t="s">
        <v>424</v>
      </c>
      <c r="GZ1231" t="s">
        <v>454</v>
      </c>
      <c r="HB1231">
        <v>48</v>
      </c>
      <c r="HC1231">
        <v>10125</v>
      </c>
      <c r="HD1231" t="s">
        <v>440</v>
      </c>
      <c r="HF1231" s="1">
        <v>41423</v>
      </c>
      <c r="HG1231">
        <v>2012</v>
      </c>
      <c r="HH1231">
        <v>218.54</v>
      </c>
      <c r="HI1231" t="s">
        <v>12578</v>
      </c>
      <c r="HJ1231">
        <v>6</v>
      </c>
      <c r="HK1231" t="s">
        <v>424</v>
      </c>
      <c r="HL1231" t="s">
        <v>454</v>
      </c>
      <c r="HN1231">
        <v>60</v>
      </c>
      <c r="HO1231">
        <v>375</v>
      </c>
      <c r="HP1231" t="s">
        <v>776</v>
      </c>
      <c r="HR1231" s="1">
        <v>41423</v>
      </c>
      <c r="HS1231">
        <v>2012</v>
      </c>
      <c r="HT1231">
        <v>218.54</v>
      </c>
      <c r="HU1231" t="s">
        <v>12578</v>
      </c>
      <c r="HV1231">
        <v>6</v>
      </c>
      <c r="HW1231" t="s">
        <v>424</v>
      </c>
      <c r="HX1231" t="s">
        <v>454</v>
      </c>
      <c r="HZ1231">
        <v>60</v>
      </c>
      <c r="IA1231">
        <v>105</v>
      </c>
      <c r="IB1231" t="s">
        <v>946</v>
      </c>
      <c r="ID1231" s="1">
        <v>41052</v>
      </c>
      <c r="IE1231">
        <v>2011</v>
      </c>
      <c r="IF1231">
        <v>280.66000000000003</v>
      </c>
      <c r="IG1231" t="s">
        <v>12579</v>
      </c>
      <c r="IH1231">
        <v>6</v>
      </c>
      <c r="II1231" t="s">
        <v>424</v>
      </c>
      <c r="IJ1231" t="s">
        <v>425</v>
      </c>
      <c r="IK1231" s="1">
        <v>41729</v>
      </c>
      <c r="IL1231">
        <v>22</v>
      </c>
      <c r="IM1231">
        <v>1109</v>
      </c>
      <c r="IN1231" t="s">
        <v>852</v>
      </c>
      <c r="IP1231" s="1">
        <v>40688</v>
      </c>
      <c r="IQ1231">
        <v>2010</v>
      </c>
      <c r="IR1231">
        <v>279.79000000000002</v>
      </c>
      <c r="IS1231" t="s">
        <v>12580</v>
      </c>
      <c r="IT1231">
        <v>6.75</v>
      </c>
      <c r="IU1231" t="s">
        <v>424</v>
      </c>
      <c r="IV1231" t="s">
        <v>425</v>
      </c>
      <c r="IW1231" s="1">
        <v>41729</v>
      </c>
      <c r="IX1231">
        <v>34</v>
      </c>
      <c r="IY1231">
        <v>375</v>
      </c>
      <c r="IZ1231" t="s">
        <v>776</v>
      </c>
      <c r="JB1231" s="1">
        <v>40688</v>
      </c>
      <c r="JC1231">
        <v>2010</v>
      </c>
      <c r="JD1231">
        <v>279.79000000000002</v>
      </c>
      <c r="JE1231" t="s">
        <v>12580</v>
      </c>
      <c r="JF1231">
        <v>6.75</v>
      </c>
      <c r="JG1231" t="s">
        <v>424</v>
      </c>
      <c r="JH1231" t="s">
        <v>425</v>
      </c>
      <c r="JJ1231">
        <v>22</v>
      </c>
      <c r="JK1231">
        <v>105</v>
      </c>
      <c r="JL1231" t="s">
        <v>946</v>
      </c>
    </row>
    <row r="1232" spans="1:272" x14ac:dyDescent="0.25">
      <c r="A1232">
        <v>16486239</v>
      </c>
      <c r="B1232">
        <v>1231</v>
      </c>
      <c r="C1232" t="s">
        <v>393</v>
      </c>
      <c r="D1232" t="s">
        <v>394</v>
      </c>
      <c r="F1232" t="str">
        <f>"42-2N-27-0000-0031-0000"</f>
        <v>42-2N-27-0000-0031-0000</v>
      </c>
      <c r="H1232" t="str">
        <f>"MOBLEY MARGARET EST C/O GRANDVILLE MOBLEY"</f>
        <v>MOBLEY MARGARET EST C/O GRANDVILLE MOBLEY</v>
      </c>
      <c r="I1232" t="str">
        <f>"PO BOX 51"</f>
        <v>PO BOX 51</v>
      </c>
      <c r="J1232" t="str">
        <f>"YULEE FL 32041"</f>
        <v>YULEE FL 32041</v>
      </c>
      <c r="K1232" t="str">
        <f>"PALM TREE DR"</f>
        <v>PALM TREE DR</v>
      </c>
      <c r="L1232" t="str">
        <f t="shared" si="414"/>
        <v>YULEE FL 32097</v>
      </c>
      <c r="M1232" t="str">
        <f>"PT JOHN LOW GRANTS SECS 42-2N-27E &amp; 51-3N-27E IN OR 133/639 (EX R/W ESMT IN OR 1856/483)"</f>
        <v>PT JOHN LOW GRANTS SECS 42-2N-27E &amp; 51-3N-27E IN OR 133/639 (EX R/W ESMT IN OR 1856/483)</v>
      </c>
      <c r="N1232" t="str">
        <f>""</f>
        <v/>
      </c>
      <c r="O1232" t="str">
        <f>"47305"</f>
        <v>47305</v>
      </c>
      <c r="P1232" t="str">
        <f t="shared" si="416"/>
        <v>2017</v>
      </c>
      <c r="Q1232" t="str">
        <f>""</f>
        <v/>
      </c>
      <c r="R1232" t="str">
        <f t="shared" si="417"/>
        <v>N</v>
      </c>
      <c r="S1232" t="str">
        <f>""</f>
        <v/>
      </c>
      <c r="T1232" t="str">
        <f>"278.19"</f>
        <v>278.19</v>
      </c>
      <c r="U1232" t="str">
        <f>"18375.00"</f>
        <v>18375.00</v>
      </c>
      <c r="V1232" t="str">
        <f>"18375.00"</f>
        <v>18375.00</v>
      </c>
      <c r="W1232" t="str">
        <f t="shared" si="418"/>
        <v>2017</v>
      </c>
      <c r="X1232" t="str">
        <f>"15.00"</f>
        <v>15.00</v>
      </c>
      <c r="Y1232" t="str">
        <f>"318.54"</f>
        <v>318.54</v>
      </c>
      <c r="Z1232" t="str">
        <f>""</f>
        <v/>
      </c>
      <c r="AA1232" t="str">
        <f>"18375.00"</f>
        <v>18375.00</v>
      </c>
      <c r="AB1232" t="str">
        <f t="shared" si="420"/>
        <v>Residential</v>
      </c>
      <c r="AC1232" t="str">
        <f t="shared" si="399"/>
        <v>0</v>
      </c>
      <c r="AD1232" t="str">
        <f>""</f>
        <v/>
      </c>
      <c r="AE1232" t="str">
        <f>""</f>
        <v/>
      </c>
      <c r="AF1232" t="str">
        <f>"000"</f>
        <v>000</v>
      </c>
      <c r="AG1232" t="str">
        <f t="shared" si="421"/>
        <v>FL</v>
      </c>
      <c r="AH1232" t="str">
        <f>"4500.00"</f>
        <v>4500.00</v>
      </c>
      <c r="AI1232" t="str">
        <f>"18375.00"</f>
        <v>18375.00</v>
      </c>
      <c r="AJ1232" t="str">
        <f>"C55-000-588-1530-9"</f>
        <v>C55-000-588-1530-9</v>
      </c>
      <c r="AK1232" t="str">
        <f>"20979"</f>
        <v>20979</v>
      </c>
      <c r="AL1232">
        <v>5</v>
      </c>
      <c r="AM1232">
        <v>1404</v>
      </c>
      <c r="AN1232">
        <v>332.87</v>
      </c>
      <c r="AQ1232" t="s">
        <v>12581</v>
      </c>
      <c r="AR1232" t="s">
        <v>12581</v>
      </c>
      <c r="AS1232" t="s">
        <v>12581</v>
      </c>
      <c r="AU1232" t="s">
        <v>396</v>
      </c>
      <c r="AV1232">
        <v>2017</v>
      </c>
      <c r="AW1232" t="str">
        <f>"42-2N-27-0000-0031-0000 "</f>
        <v xml:space="preserve">42-2N-27-0000-0031-0000 </v>
      </c>
      <c r="AZ1232" t="s">
        <v>12582</v>
      </c>
      <c r="BA1232" t="s">
        <v>669</v>
      </c>
      <c r="BD1232" t="s">
        <v>2387</v>
      </c>
      <c r="BE1232" t="s">
        <v>393</v>
      </c>
      <c r="BF1232">
        <v>32097</v>
      </c>
      <c r="BG1232" t="s">
        <v>12583</v>
      </c>
      <c r="BH1232" t="s">
        <v>2388</v>
      </c>
      <c r="BI1232">
        <v>-81.597240423488699</v>
      </c>
      <c r="BJ1232">
        <v>30.631421823431101</v>
      </c>
      <c r="BK1232" t="s">
        <v>12584</v>
      </c>
      <c r="BM1232" t="s">
        <v>12585</v>
      </c>
      <c r="BN1232" t="s">
        <v>1778</v>
      </c>
      <c r="BO1232">
        <v>32041</v>
      </c>
      <c r="BP1232" t="s">
        <v>404</v>
      </c>
      <c r="BQ1232">
        <v>0</v>
      </c>
      <c r="BR1232" t="s">
        <v>491</v>
      </c>
      <c r="BS1232">
        <v>8001</v>
      </c>
      <c r="BT1232" t="s">
        <v>492</v>
      </c>
      <c r="BU1232">
        <v>500</v>
      </c>
      <c r="BV1232">
        <v>0</v>
      </c>
      <c r="BW1232">
        <v>2922</v>
      </c>
      <c r="BX1232" t="s">
        <v>407</v>
      </c>
      <c r="BY1232" t="s">
        <v>4360</v>
      </c>
      <c r="CD1232">
        <v>2017</v>
      </c>
      <c r="CE1232">
        <v>18375</v>
      </c>
      <c r="CG1232">
        <v>18375</v>
      </c>
      <c r="CH1232">
        <v>2017</v>
      </c>
      <c r="CI1232">
        <v>18375</v>
      </c>
      <c r="CK1232">
        <v>18375</v>
      </c>
      <c r="CL1232">
        <v>2017</v>
      </c>
      <c r="CM1232">
        <v>278.19</v>
      </c>
      <c r="CN1232" s="1">
        <v>28724</v>
      </c>
      <c r="CZ1232" s="1">
        <v>28724</v>
      </c>
      <c r="DD1232" t="s">
        <v>2387</v>
      </c>
      <c r="DG1232">
        <v>42</v>
      </c>
      <c r="DL1232">
        <v>50302</v>
      </c>
      <c r="DM1232" t="s">
        <v>12468</v>
      </c>
      <c r="DO1232" t="s">
        <v>12586</v>
      </c>
      <c r="DP1232">
        <v>0</v>
      </c>
      <c r="DQ1232">
        <v>4</v>
      </c>
      <c r="DR1232" t="s">
        <v>1479</v>
      </c>
      <c r="DS1232" t="b">
        <v>1</v>
      </c>
      <c r="DT1232" t="s">
        <v>470</v>
      </c>
      <c r="DU1232" t="s">
        <v>471</v>
      </c>
      <c r="DV1232" t="s">
        <v>472</v>
      </c>
      <c r="DX1232">
        <v>-9999</v>
      </c>
      <c r="DZ1232" t="s">
        <v>447</v>
      </c>
      <c r="EA1232" t="s">
        <v>448</v>
      </c>
      <c r="EB1232" t="s">
        <v>742</v>
      </c>
      <c r="EC1232">
        <v>20101217</v>
      </c>
      <c r="ED1232" t="s">
        <v>474</v>
      </c>
      <c r="EF1232">
        <v>3943.2</v>
      </c>
      <c r="EG1232">
        <v>3943.2</v>
      </c>
      <c r="EI1232">
        <v>20160407</v>
      </c>
      <c r="EJ1232">
        <v>0</v>
      </c>
      <c r="EK1232">
        <v>0</v>
      </c>
      <c r="EP1232" t="s">
        <v>421</v>
      </c>
      <c r="EQ1232" t="s">
        <v>422</v>
      </c>
      <c r="ER1232">
        <v>3</v>
      </c>
      <c r="ES1232">
        <v>2</v>
      </c>
      <c r="ET1232">
        <v>1001.03</v>
      </c>
      <c r="EU1232">
        <v>76.27</v>
      </c>
      <c r="EV1232">
        <v>1077.3</v>
      </c>
      <c r="EW1232" s="2">
        <v>43222</v>
      </c>
      <c r="EX1232" s="1">
        <v>42879</v>
      </c>
      <c r="EY1232">
        <v>2016</v>
      </c>
      <c r="EZ1232">
        <v>332.07</v>
      </c>
      <c r="FA1232" t="s">
        <v>12587</v>
      </c>
      <c r="FB1232">
        <v>7.25</v>
      </c>
      <c r="FC1232" t="s">
        <v>424</v>
      </c>
      <c r="FD1232" t="s">
        <v>454</v>
      </c>
      <c r="FF1232">
        <v>12</v>
      </c>
      <c r="FG1232">
        <v>10021</v>
      </c>
      <c r="FH1232" t="s">
        <v>597</v>
      </c>
      <c r="FJ1232" s="1">
        <v>42515</v>
      </c>
      <c r="FK1232">
        <v>2015</v>
      </c>
      <c r="FL1232">
        <v>334.48</v>
      </c>
      <c r="FM1232" t="s">
        <v>12588</v>
      </c>
      <c r="FN1232">
        <v>0.25</v>
      </c>
      <c r="FO1232" t="s">
        <v>424</v>
      </c>
      <c r="FP1232" t="s">
        <v>454</v>
      </c>
      <c r="FR1232">
        <v>24</v>
      </c>
      <c r="FS1232">
        <v>7336671</v>
      </c>
      <c r="FT1232" t="s">
        <v>437</v>
      </c>
      <c r="FV1232" s="1">
        <v>42515</v>
      </c>
      <c r="FW1232">
        <v>2015</v>
      </c>
      <c r="FX1232">
        <v>334.48</v>
      </c>
      <c r="FY1232" t="s">
        <v>12588</v>
      </c>
      <c r="FZ1232">
        <v>0.25</v>
      </c>
      <c r="GA1232" t="s">
        <v>424</v>
      </c>
      <c r="GB1232" t="s">
        <v>454</v>
      </c>
      <c r="GD1232">
        <v>24</v>
      </c>
      <c r="GE1232">
        <v>6801226</v>
      </c>
      <c r="GF1232" t="s">
        <v>12589</v>
      </c>
      <c r="GH1232" s="1">
        <v>42151</v>
      </c>
      <c r="GI1232">
        <v>2014</v>
      </c>
      <c r="GJ1232">
        <v>336.04</v>
      </c>
      <c r="GK1232" t="s">
        <v>12590</v>
      </c>
      <c r="GL1232">
        <v>11.75</v>
      </c>
      <c r="GM1232" t="s">
        <v>424</v>
      </c>
      <c r="GN1232" t="s">
        <v>425</v>
      </c>
      <c r="GO1232" s="1">
        <v>42404</v>
      </c>
      <c r="GP1232">
        <v>9</v>
      </c>
      <c r="GQ1232">
        <v>10125</v>
      </c>
      <c r="GR1232" t="s">
        <v>440</v>
      </c>
      <c r="GT1232" s="1">
        <v>41787</v>
      </c>
      <c r="GU1232">
        <v>2013</v>
      </c>
      <c r="GV1232">
        <v>319.26</v>
      </c>
      <c r="GW1232" t="s">
        <v>12591</v>
      </c>
      <c r="GX1232">
        <v>6.75</v>
      </c>
      <c r="GY1232" t="s">
        <v>424</v>
      </c>
      <c r="GZ1232" t="s">
        <v>425</v>
      </c>
      <c r="HA1232" s="1">
        <v>42404</v>
      </c>
      <c r="HB1232">
        <v>21</v>
      </c>
      <c r="HC1232">
        <v>10125</v>
      </c>
      <c r="HD1232" t="s">
        <v>440</v>
      </c>
    </row>
    <row r="1233" spans="1:272" x14ac:dyDescent="0.25">
      <c r="A1233">
        <v>16486240</v>
      </c>
      <c r="B1233">
        <v>1232</v>
      </c>
      <c r="C1233" t="s">
        <v>393</v>
      </c>
      <c r="D1233" t="s">
        <v>394</v>
      </c>
      <c r="F1233" t="str">
        <f>"42-2N-27-0000-0032-0000"</f>
        <v>42-2N-27-0000-0032-0000</v>
      </c>
      <c r="H1233" t="str">
        <f>"MOBLEY GRANDVILLE EST C/O GAIL MOBLEY"</f>
        <v>MOBLEY GRANDVILLE EST C/O GAIL MOBLEY</v>
      </c>
      <c r="I1233" t="str">
        <f>"PO BOX 51"</f>
        <v>PO BOX 51</v>
      </c>
      <c r="J1233" t="str">
        <f>"YULEE FL 32041"</f>
        <v>YULEE FL 32041</v>
      </c>
      <c r="K1233" t="str">
        <f>"PALM TREE DR"</f>
        <v>PALM TREE DR</v>
      </c>
      <c r="L1233" t="str">
        <f t="shared" si="414"/>
        <v>YULEE FL 32097</v>
      </c>
      <c r="M1233" t="str">
        <f>"PT JOHN LOW GRANTS SECS 42-2N-27E &amp; 51-3N-27E IN DBK 182/482"</f>
        <v>PT JOHN LOW GRANTS SECS 42-2N-27E &amp; 51-3N-27E IN DBK 182/482</v>
      </c>
      <c r="N1233" t="str">
        <f>""</f>
        <v/>
      </c>
      <c r="O1233" t="str">
        <f>"47306"</f>
        <v>47306</v>
      </c>
      <c r="P1233" t="str">
        <f t="shared" si="416"/>
        <v>2017</v>
      </c>
      <c r="Q1233" t="str">
        <f>""</f>
        <v/>
      </c>
      <c r="R1233" t="str">
        <f t="shared" si="417"/>
        <v>N</v>
      </c>
      <c r="S1233" t="str">
        <f>""</f>
        <v/>
      </c>
      <c r="T1233" t="str">
        <f>"163.65"</f>
        <v>163.65</v>
      </c>
      <c r="U1233" t="str">
        <f>"10810.00"</f>
        <v>10810.00</v>
      </c>
      <c r="V1233" t="str">
        <f>"10810.00"</f>
        <v>10810.00</v>
      </c>
      <c r="W1233" t="str">
        <f t="shared" si="418"/>
        <v>2017</v>
      </c>
      <c r="X1233" t="str">
        <f>"24.00"</f>
        <v>24.00</v>
      </c>
      <c r="Y1233" t="str">
        <f>"200.56"</f>
        <v>200.56</v>
      </c>
      <c r="Z1233" t="str">
        <f>""</f>
        <v/>
      </c>
      <c r="AA1233" t="str">
        <f>"10810.00"</f>
        <v>10810.00</v>
      </c>
      <c r="AB1233" t="str">
        <f t="shared" si="420"/>
        <v>Residential</v>
      </c>
      <c r="AC1233" t="str">
        <f t="shared" si="399"/>
        <v>0</v>
      </c>
      <c r="AD1233" t="str">
        <f>""</f>
        <v/>
      </c>
      <c r="AE1233" t="str">
        <f>""</f>
        <v/>
      </c>
      <c r="AF1233" t="str">
        <f>"000"</f>
        <v>000</v>
      </c>
      <c r="AG1233" t="str">
        <f t="shared" si="421"/>
        <v>FL</v>
      </c>
      <c r="AH1233" t="str">
        <f>"5000.00"</f>
        <v>5000.00</v>
      </c>
      <c r="AI1233" t="str">
        <f>"10710.00"</f>
        <v>10710.00</v>
      </c>
      <c r="AJ1233" t="str">
        <f>"C55-000-588-1531-7"</f>
        <v>C55-000-588-1531-7</v>
      </c>
      <c r="AK1233" t="str">
        <f>"20980"</f>
        <v>20980</v>
      </c>
      <c r="AL1233">
        <v>5</v>
      </c>
      <c r="AM1233">
        <v>1405</v>
      </c>
      <c r="AN1233">
        <v>208.99</v>
      </c>
      <c r="AQ1233" t="s">
        <v>12592</v>
      </c>
      <c r="AR1233" t="s">
        <v>12592</v>
      </c>
      <c r="AS1233" t="s">
        <v>12592</v>
      </c>
      <c r="AU1233" t="s">
        <v>396</v>
      </c>
      <c r="AV1233">
        <v>2017</v>
      </c>
      <c r="AW1233" t="str">
        <f>"42-2N-27-0000-0032-0000 "</f>
        <v xml:space="preserve">42-2N-27-0000-0032-0000 </v>
      </c>
      <c r="AZ1233" t="s">
        <v>12582</v>
      </c>
      <c r="BA1233" t="s">
        <v>669</v>
      </c>
      <c r="BD1233" t="s">
        <v>2387</v>
      </c>
      <c r="BE1233" t="s">
        <v>393</v>
      </c>
      <c r="BF1233">
        <v>32097</v>
      </c>
      <c r="BG1233" t="s">
        <v>12583</v>
      </c>
      <c r="BH1233" t="s">
        <v>2388</v>
      </c>
      <c r="BI1233">
        <v>-81.597233471016906</v>
      </c>
      <c r="BJ1233">
        <v>30.631167266193</v>
      </c>
      <c r="BK1233" t="s">
        <v>12593</v>
      </c>
      <c r="BM1233" t="s">
        <v>12585</v>
      </c>
      <c r="BN1233" t="s">
        <v>1778</v>
      </c>
      <c r="BO1233">
        <v>32041</v>
      </c>
      <c r="BP1233" t="s">
        <v>404</v>
      </c>
      <c r="BQ1233">
        <v>1</v>
      </c>
      <c r="BR1233" t="s">
        <v>491</v>
      </c>
      <c r="BS1233">
        <v>8001</v>
      </c>
      <c r="BT1233" t="s">
        <v>492</v>
      </c>
      <c r="BU1233">
        <v>1000</v>
      </c>
      <c r="BV1233">
        <v>0</v>
      </c>
      <c r="BW1233">
        <v>4967</v>
      </c>
      <c r="BX1233" t="s">
        <v>407</v>
      </c>
      <c r="BY1233" t="s">
        <v>4360</v>
      </c>
      <c r="CD1233">
        <v>2017</v>
      </c>
      <c r="CE1233">
        <v>10710</v>
      </c>
      <c r="CF1233">
        <v>100</v>
      </c>
      <c r="CG1233">
        <v>10810</v>
      </c>
      <c r="CH1233">
        <v>2017</v>
      </c>
      <c r="CI1233">
        <v>10710</v>
      </c>
      <c r="CJ1233">
        <v>100</v>
      </c>
      <c r="CK1233">
        <v>10810</v>
      </c>
      <c r="CL1233">
        <v>2017</v>
      </c>
      <c r="CM1233">
        <v>163.65</v>
      </c>
      <c r="DD1233" t="s">
        <v>2387</v>
      </c>
      <c r="DG1233">
        <v>42</v>
      </c>
      <c r="DL1233">
        <v>50302</v>
      </c>
      <c r="DM1233" t="s">
        <v>12468</v>
      </c>
      <c r="DO1233" t="s">
        <v>12594</v>
      </c>
      <c r="DP1233">
        <v>0</v>
      </c>
      <c r="DQ1233">
        <v>4</v>
      </c>
      <c r="DR1233" t="s">
        <v>1479</v>
      </c>
      <c r="DS1233" t="b">
        <v>1</v>
      </c>
      <c r="DT1233" t="s">
        <v>470</v>
      </c>
      <c r="DU1233" t="s">
        <v>471</v>
      </c>
      <c r="DV1233" t="s">
        <v>472</v>
      </c>
      <c r="DX1233">
        <v>-9999</v>
      </c>
      <c r="DZ1233" t="s">
        <v>447</v>
      </c>
      <c r="EA1233" t="s">
        <v>448</v>
      </c>
      <c r="EB1233" t="s">
        <v>742</v>
      </c>
      <c r="EC1233">
        <v>20101217</v>
      </c>
      <c r="ED1233" t="s">
        <v>474</v>
      </c>
      <c r="EF1233">
        <v>4015.8</v>
      </c>
      <c r="EG1233">
        <v>4015.8</v>
      </c>
      <c r="EI1233">
        <v>20160407</v>
      </c>
      <c r="EJ1233">
        <v>0</v>
      </c>
      <c r="EK1233">
        <v>0</v>
      </c>
      <c r="EP1233" t="s">
        <v>421</v>
      </c>
      <c r="EQ1233" t="s">
        <v>422</v>
      </c>
      <c r="ER1233">
        <v>3</v>
      </c>
      <c r="ES1233">
        <v>5</v>
      </c>
      <c r="ET1233">
        <v>618.14</v>
      </c>
      <c r="EU1233">
        <v>56.88</v>
      </c>
      <c r="EV1233">
        <v>675.02</v>
      </c>
      <c r="EW1233" s="2">
        <v>43222</v>
      </c>
      <c r="EX1233" s="1">
        <v>42879</v>
      </c>
      <c r="EY1233">
        <v>2016</v>
      </c>
      <c r="EZ1233">
        <v>206.48</v>
      </c>
      <c r="FA1233" t="s">
        <v>12595</v>
      </c>
      <c r="FB1233">
        <v>8.5</v>
      </c>
      <c r="FC1233" t="s">
        <v>424</v>
      </c>
      <c r="FD1233" t="s">
        <v>454</v>
      </c>
      <c r="FF1233">
        <v>12</v>
      </c>
      <c r="FG1233">
        <v>10003</v>
      </c>
      <c r="FH1233" t="s">
        <v>4341</v>
      </c>
      <c r="FJ1233" s="1">
        <v>42515</v>
      </c>
      <c r="FK1233">
        <v>2015</v>
      </c>
      <c r="FL1233">
        <v>205.83</v>
      </c>
      <c r="FM1233" t="s">
        <v>12596</v>
      </c>
      <c r="FN1233">
        <v>0.25</v>
      </c>
      <c r="FO1233" t="s">
        <v>424</v>
      </c>
      <c r="FP1233" t="s">
        <v>454</v>
      </c>
      <c r="FR1233">
        <v>24</v>
      </c>
      <c r="FS1233">
        <v>7336671</v>
      </c>
      <c r="FT1233" t="s">
        <v>437</v>
      </c>
      <c r="FV1233" s="1">
        <v>42515</v>
      </c>
      <c r="FW1233">
        <v>2015</v>
      </c>
      <c r="FX1233">
        <v>205.83</v>
      </c>
      <c r="FY1233" t="s">
        <v>12596</v>
      </c>
      <c r="FZ1233">
        <v>0.25</v>
      </c>
      <c r="GA1233" t="s">
        <v>424</v>
      </c>
      <c r="GB1233" t="s">
        <v>454</v>
      </c>
      <c r="GD1233">
        <v>24</v>
      </c>
      <c r="GE1233">
        <v>6959047</v>
      </c>
      <c r="GF1233" t="s">
        <v>12597</v>
      </c>
      <c r="GH1233" s="1">
        <v>42151</v>
      </c>
      <c r="GI1233">
        <v>2014</v>
      </c>
      <c r="GJ1233">
        <v>206.77</v>
      </c>
      <c r="GK1233" t="s">
        <v>12598</v>
      </c>
      <c r="GL1233">
        <v>11.75</v>
      </c>
      <c r="GM1233" t="s">
        <v>424</v>
      </c>
      <c r="GN1233" t="s">
        <v>425</v>
      </c>
      <c r="GO1233" s="1">
        <v>42404</v>
      </c>
      <c r="GP1233">
        <v>9</v>
      </c>
      <c r="GQ1233">
        <v>10125</v>
      </c>
      <c r="GR1233" t="s">
        <v>440</v>
      </c>
      <c r="GT1233" s="1">
        <v>41787</v>
      </c>
      <c r="GU1233">
        <v>2013</v>
      </c>
      <c r="GV1233">
        <v>196.88</v>
      </c>
      <c r="GW1233" t="s">
        <v>12599</v>
      </c>
      <c r="GX1233">
        <v>3.75</v>
      </c>
      <c r="GY1233" t="s">
        <v>424</v>
      </c>
      <c r="GZ1233" t="s">
        <v>425</v>
      </c>
      <c r="HA1233" s="1">
        <v>42404</v>
      </c>
      <c r="HB1233">
        <v>21</v>
      </c>
      <c r="HC1233">
        <v>10125</v>
      </c>
      <c r="HD1233" t="s">
        <v>440</v>
      </c>
      <c r="HF1233" s="1">
        <v>41423</v>
      </c>
      <c r="HG1233">
        <v>2012</v>
      </c>
      <c r="HH1233">
        <v>199.06</v>
      </c>
      <c r="HI1233" t="s">
        <v>12600</v>
      </c>
      <c r="HJ1233">
        <v>7.5</v>
      </c>
      <c r="HK1233" t="s">
        <v>424</v>
      </c>
      <c r="HL1233" t="s">
        <v>425</v>
      </c>
      <c r="HM1233" s="1">
        <v>42404</v>
      </c>
      <c r="HN1233">
        <v>33</v>
      </c>
      <c r="HO1233">
        <v>1127</v>
      </c>
      <c r="HP1233" t="s">
        <v>1379</v>
      </c>
      <c r="HR1233" s="1">
        <v>41423</v>
      </c>
      <c r="HS1233">
        <v>2012</v>
      </c>
      <c r="HT1233">
        <v>199.06</v>
      </c>
      <c r="HU1233" t="s">
        <v>12600</v>
      </c>
      <c r="HV1233">
        <v>7.5</v>
      </c>
      <c r="HW1233" t="s">
        <v>424</v>
      </c>
      <c r="HX1233" t="s">
        <v>425</v>
      </c>
      <c r="HZ1233">
        <v>22</v>
      </c>
      <c r="IA1233">
        <v>2035919</v>
      </c>
      <c r="IB1233" t="s">
        <v>507</v>
      </c>
      <c r="ID1233" s="1">
        <v>41423</v>
      </c>
      <c r="IE1233">
        <v>2011</v>
      </c>
      <c r="IF1233">
        <v>263.62</v>
      </c>
      <c r="IG1233" t="s">
        <v>12601</v>
      </c>
      <c r="IH1233">
        <v>6</v>
      </c>
      <c r="II1233" t="s">
        <v>424</v>
      </c>
      <c r="IJ1233" t="s">
        <v>425</v>
      </c>
      <c r="IK1233" s="1">
        <v>42404</v>
      </c>
      <c r="IL1233">
        <v>33</v>
      </c>
      <c r="IM1233">
        <v>375</v>
      </c>
      <c r="IN1233" t="s">
        <v>776</v>
      </c>
    </row>
    <row r="1234" spans="1:272" x14ac:dyDescent="0.25">
      <c r="A1234">
        <v>16486241</v>
      </c>
      <c r="B1234">
        <v>1233</v>
      </c>
      <c r="C1234" t="s">
        <v>393</v>
      </c>
      <c r="D1234" t="s">
        <v>394</v>
      </c>
      <c r="F1234" t="str">
        <f>"42-2N-27-0000-0033-0000"</f>
        <v>42-2N-27-0000-0033-0000</v>
      </c>
      <c r="H1234" t="str">
        <f>"JACKSON FRANCENA EST C/O PETREACE NICOLE PONDER"</f>
        <v>JACKSON FRANCENA EST C/O PETREACE NICOLE PONDER</v>
      </c>
      <c r="I1234" t="str">
        <f>"86129 PALM TREE DRIVE"</f>
        <v>86129 PALM TREE DRIVE</v>
      </c>
      <c r="J1234" t="str">
        <f>"YULEE FL 32097"</f>
        <v>YULEE FL 32097</v>
      </c>
      <c r="K1234" t="str">
        <f>"86129 PALM TREE DR"</f>
        <v>86129 PALM TREE DR</v>
      </c>
      <c r="L1234" t="str">
        <f t="shared" si="414"/>
        <v>YULEE FL 32097</v>
      </c>
      <c r="M1234" t="str">
        <f>"PT JOHN LOW GRANTS SECS 42-2N-27E &amp; 51-3N-27E IN DBK 167/154"</f>
        <v>PT JOHN LOW GRANTS SECS 42-2N-27E &amp; 51-3N-27E IN DBK 167/154</v>
      </c>
      <c r="N1234" t="str">
        <f>""</f>
        <v/>
      </c>
      <c r="O1234" t="str">
        <f>"47307"</f>
        <v>47307</v>
      </c>
      <c r="P1234" t="str">
        <f t="shared" si="416"/>
        <v>2017</v>
      </c>
      <c r="Q1234" t="str">
        <f>""</f>
        <v/>
      </c>
      <c r="R1234" t="str">
        <f t="shared" si="417"/>
        <v>N</v>
      </c>
      <c r="S1234" t="str">
        <f>""</f>
        <v/>
      </c>
      <c r="T1234" t="str">
        <f>"268.77"</f>
        <v>268.77</v>
      </c>
      <c r="U1234" t="str">
        <f>"17351.00"</f>
        <v>17351.00</v>
      </c>
      <c r="V1234" t="str">
        <f>"17351.00"</f>
        <v>17351.00</v>
      </c>
      <c r="W1234" t="str">
        <f t="shared" si="418"/>
        <v>2017</v>
      </c>
      <c r="X1234" t="str">
        <f>"9.00"</f>
        <v>9.00</v>
      </c>
      <c r="Y1234" t="str">
        <f>"308.83"</f>
        <v>308.83</v>
      </c>
      <c r="Z1234" t="str">
        <f>""</f>
        <v/>
      </c>
      <c r="AA1234" t="str">
        <f>"18274.00"</f>
        <v>18274.00</v>
      </c>
      <c r="AB1234" t="str">
        <f t="shared" si="420"/>
        <v>Residential</v>
      </c>
      <c r="AC1234" t="str">
        <f t="shared" si="399"/>
        <v>0</v>
      </c>
      <c r="AD1234" t="str">
        <f>""</f>
        <v/>
      </c>
      <c r="AE1234" t="str">
        <f>""</f>
        <v/>
      </c>
      <c r="AF1234" t="str">
        <f>"000"</f>
        <v>000</v>
      </c>
      <c r="AG1234" t="str">
        <f t="shared" si="421"/>
        <v>FL</v>
      </c>
      <c r="AH1234" t="str">
        <f>"5000.00"</f>
        <v>5000.00</v>
      </c>
      <c r="AI1234" t="str">
        <f>"10710.00"</f>
        <v>10710.00</v>
      </c>
      <c r="AJ1234" t="str">
        <f>"C55-000-588-1532-5"</f>
        <v>C55-000-588-1532-5</v>
      </c>
      <c r="AK1234" t="str">
        <f>"20981"</f>
        <v>20981</v>
      </c>
      <c r="AL1234">
        <v>5</v>
      </c>
      <c r="AM1234">
        <v>1406</v>
      </c>
      <c r="AN1234">
        <v>322.67</v>
      </c>
      <c r="AQ1234" t="s">
        <v>12602</v>
      </c>
      <c r="AR1234" t="s">
        <v>12602</v>
      </c>
      <c r="AS1234" t="s">
        <v>12602</v>
      </c>
      <c r="AU1234" t="s">
        <v>396</v>
      </c>
      <c r="AV1234">
        <v>2017</v>
      </c>
      <c r="AW1234" t="str">
        <f>"42-2N-27-0000-0033-0000 "</f>
        <v xml:space="preserve">42-2N-27-0000-0033-0000 </v>
      </c>
      <c r="AX1234">
        <v>86129</v>
      </c>
      <c r="AZ1234" t="s">
        <v>12582</v>
      </c>
      <c r="BA1234" t="s">
        <v>669</v>
      </c>
      <c r="BD1234" t="s">
        <v>2387</v>
      </c>
      <c r="BE1234" t="s">
        <v>393</v>
      </c>
      <c r="BF1234">
        <v>32097</v>
      </c>
      <c r="BG1234" t="s">
        <v>12603</v>
      </c>
      <c r="BH1234" t="s">
        <v>2388</v>
      </c>
      <c r="BI1234">
        <v>-81.597226105105406</v>
      </c>
      <c r="BJ1234">
        <v>30.630893308012698</v>
      </c>
      <c r="BK1234" t="s">
        <v>12604</v>
      </c>
      <c r="BM1234" t="s">
        <v>12603</v>
      </c>
      <c r="BN1234" t="s">
        <v>1778</v>
      </c>
      <c r="BO1234">
        <v>32097</v>
      </c>
      <c r="BP1234" t="s">
        <v>404</v>
      </c>
      <c r="BQ1234">
        <v>1</v>
      </c>
      <c r="BR1234" t="s">
        <v>491</v>
      </c>
      <c r="BS1234">
        <v>8001</v>
      </c>
      <c r="BT1234" t="s">
        <v>492</v>
      </c>
      <c r="BU1234">
        <v>1000</v>
      </c>
      <c r="BV1234">
        <v>0</v>
      </c>
      <c r="BW1234">
        <v>4799</v>
      </c>
      <c r="BX1234" t="s">
        <v>407</v>
      </c>
      <c r="BY1234" t="s">
        <v>4360</v>
      </c>
      <c r="CD1234">
        <v>2017</v>
      </c>
      <c r="CE1234">
        <v>10710</v>
      </c>
      <c r="CF1234">
        <v>7564</v>
      </c>
      <c r="CG1234">
        <v>18274</v>
      </c>
      <c r="CH1234">
        <v>2017</v>
      </c>
      <c r="CI1234">
        <v>10710</v>
      </c>
      <c r="CJ1234">
        <v>7564</v>
      </c>
      <c r="CK1234">
        <v>18274</v>
      </c>
      <c r="CL1234">
        <v>2017</v>
      </c>
      <c r="CM1234">
        <v>268.77</v>
      </c>
      <c r="CN1234" s="1">
        <v>41512</v>
      </c>
      <c r="CZ1234" s="1">
        <v>41512</v>
      </c>
      <c r="DD1234" t="s">
        <v>2387</v>
      </c>
      <c r="DG1234">
        <v>42</v>
      </c>
      <c r="DL1234">
        <v>50302</v>
      </c>
      <c r="DM1234" t="s">
        <v>12468</v>
      </c>
      <c r="DO1234" t="s">
        <v>12605</v>
      </c>
      <c r="DP1234">
        <v>0</v>
      </c>
      <c r="DQ1234">
        <v>4</v>
      </c>
      <c r="DR1234" t="s">
        <v>1479</v>
      </c>
      <c r="DS1234" t="b">
        <v>1</v>
      </c>
      <c r="DT1234" t="s">
        <v>470</v>
      </c>
      <c r="DU1234" t="s">
        <v>471</v>
      </c>
      <c r="DV1234" t="s">
        <v>472</v>
      </c>
      <c r="DX1234">
        <v>-9999</v>
      </c>
      <c r="DZ1234" t="s">
        <v>447</v>
      </c>
      <c r="EA1234" t="s">
        <v>448</v>
      </c>
      <c r="EB1234" t="s">
        <v>742</v>
      </c>
      <c r="EC1234">
        <v>20101217</v>
      </c>
      <c r="ED1234" t="s">
        <v>474</v>
      </c>
      <c r="EF1234">
        <v>4066</v>
      </c>
      <c r="EG1234">
        <v>4066</v>
      </c>
      <c r="EH1234" t="s">
        <v>451</v>
      </c>
      <c r="EI1234">
        <v>20140731</v>
      </c>
      <c r="EJ1234">
        <v>0</v>
      </c>
      <c r="EK1234">
        <v>0</v>
      </c>
      <c r="EP1234" t="s">
        <v>421</v>
      </c>
      <c r="EQ1234" t="s">
        <v>422</v>
      </c>
      <c r="ER1234">
        <v>1</v>
      </c>
      <c r="ES1234">
        <v>1</v>
      </c>
      <c r="ET1234">
        <v>288.87</v>
      </c>
      <c r="EU1234">
        <v>30.8</v>
      </c>
      <c r="EV1234">
        <v>319.67</v>
      </c>
      <c r="EW1234" s="2">
        <v>43222</v>
      </c>
      <c r="EX1234" s="1">
        <v>42879</v>
      </c>
      <c r="EY1234">
        <v>2016</v>
      </c>
      <c r="EZ1234">
        <v>288.87</v>
      </c>
      <c r="FA1234" t="s">
        <v>12606</v>
      </c>
      <c r="FB1234">
        <v>8.5</v>
      </c>
      <c r="FC1234" t="s">
        <v>424</v>
      </c>
      <c r="FD1234" t="s">
        <v>454</v>
      </c>
      <c r="FF1234">
        <v>12</v>
      </c>
      <c r="FG1234">
        <v>10003</v>
      </c>
      <c r="FH1234" t="s">
        <v>4341</v>
      </c>
      <c r="FJ1234" s="1">
        <v>42151</v>
      </c>
      <c r="FK1234">
        <v>2014</v>
      </c>
      <c r="FL1234">
        <v>291.58999999999997</v>
      </c>
      <c r="FM1234" t="s">
        <v>12607</v>
      </c>
      <c r="FN1234">
        <v>5.5</v>
      </c>
      <c r="FO1234" t="s">
        <v>424</v>
      </c>
      <c r="FP1234" t="s">
        <v>425</v>
      </c>
      <c r="FQ1234" s="1">
        <v>42412</v>
      </c>
      <c r="FR1234">
        <v>9</v>
      </c>
      <c r="FS1234">
        <v>10125</v>
      </c>
      <c r="FT1234" t="s">
        <v>440</v>
      </c>
    </row>
    <row r="1235" spans="1:272" x14ac:dyDescent="0.25">
      <c r="A1235">
        <v>16486242</v>
      </c>
      <c r="B1235">
        <v>1234</v>
      </c>
      <c r="C1235" t="s">
        <v>393</v>
      </c>
      <c r="D1235" t="s">
        <v>394</v>
      </c>
      <c r="F1235" t="str">
        <f>"42-2N-27-0000-0039-0000"</f>
        <v>42-2N-27-0000-0039-0000</v>
      </c>
      <c r="H1235" t="str">
        <f>"MOBLEY GAIL &amp; MOBLEY MAGGIE EST"</f>
        <v>MOBLEY GAIL &amp; MOBLEY MAGGIE EST</v>
      </c>
      <c r="I1235" t="str">
        <f>"PO BOX 51"</f>
        <v>PO BOX 51</v>
      </c>
      <c r="J1235" t="str">
        <f>"YULEE FL 32041"</f>
        <v>YULEE FL 32041</v>
      </c>
      <c r="K1235" t="str">
        <f>"463200 SR 200"</f>
        <v>463200 SR 200</v>
      </c>
      <c r="L1235" t="str">
        <f t="shared" si="414"/>
        <v>YULEE FL 32097</v>
      </c>
      <c r="M1235" t="str">
        <f>"PT JOHN LOWE GRANTS SECS 42-2N-27E &amp; 51-3N-27E IN OR 187/316 (EX R/W IN OR 1856/483)"</f>
        <v>PT JOHN LOWE GRANTS SECS 42-2N-27E &amp; 51-3N-27E IN OR 187/316 (EX R/W IN OR 1856/483)</v>
      </c>
      <c r="N1235" t="str">
        <f>""</f>
        <v/>
      </c>
      <c r="O1235" t="str">
        <f>"47314"</f>
        <v>47314</v>
      </c>
      <c r="P1235" t="str">
        <f t="shared" si="416"/>
        <v>2017</v>
      </c>
      <c r="Q1235" t="str">
        <f>""</f>
        <v/>
      </c>
      <c r="R1235" t="str">
        <f t="shared" si="417"/>
        <v>N</v>
      </c>
      <c r="S1235" t="str">
        <f>""</f>
        <v/>
      </c>
      <c r="T1235" t="str">
        <f>"1486.74"</f>
        <v>1486.74</v>
      </c>
      <c r="U1235" t="str">
        <f>"98207.00"</f>
        <v>98207.00</v>
      </c>
      <c r="V1235" t="str">
        <f>"98207.00"</f>
        <v>98207.00</v>
      </c>
      <c r="W1235" t="str">
        <f t="shared" si="418"/>
        <v>2017</v>
      </c>
      <c r="X1235" t="str">
        <f>"21.00"</f>
        <v>21.00</v>
      </c>
      <c r="Y1235" t="str">
        <f>"1563.34"</f>
        <v>1563.34</v>
      </c>
      <c r="Z1235" t="str">
        <f>""</f>
        <v/>
      </c>
      <c r="AA1235" t="str">
        <f>"98207.00"</f>
        <v>98207.00</v>
      </c>
      <c r="AB1235" t="str">
        <f t="shared" si="420"/>
        <v>Residential</v>
      </c>
      <c r="AC1235" t="str">
        <f t="shared" si="399"/>
        <v>0</v>
      </c>
      <c r="AD1235" t="str">
        <f>"4"</f>
        <v>4</v>
      </c>
      <c r="AE1235" t="str">
        <f>"WOOD (INCLUDE STEEL STUDS)"</f>
        <v>WOOD (INCLUDE STEEL STUDS)</v>
      </c>
      <c r="AF1235" t="str">
        <f>"001"</f>
        <v>001</v>
      </c>
      <c r="AG1235" t="str">
        <f t="shared" si="421"/>
        <v>FL</v>
      </c>
      <c r="AH1235" t="str">
        <f>"17100.00"</f>
        <v>17100.00</v>
      </c>
      <c r="AI1235" t="str">
        <f>"54000.00"</f>
        <v>54000.00</v>
      </c>
      <c r="AJ1235" t="str">
        <f>"C55-000-588-1538-2"</f>
        <v>C55-000-588-1538-2</v>
      </c>
      <c r="AK1235" t="str">
        <f>"20987"</f>
        <v>20987</v>
      </c>
      <c r="AL1235">
        <v>5</v>
      </c>
      <c r="AM1235">
        <v>1407</v>
      </c>
      <c r="AN1235">
        <v>1639.91</v>
      </c>
      <c r="AQ1235" t="s">
        <v>12608</v>
      </c>
      <c r="AR1235" t="s">
        <v>12608</v>
      </c>
      <c r="AS1235" t="s">
        <v>12608</v>
      </c>
      <c r="AU1235" t="s">
        <v>396</v>
      </c>
      <c r="AV1235">
        <v>2017</v>
      </c>
      <c r="AW1235" t="str">
        <f>"42-2N-27-0000-0039-0000 "</f>
        <v xml:space="preserve">42-2N-27-0000-0039-0000 </v>
      </c>
      <c r="AX1235">
        <v>463200</v>
      </c>
      <c r="AZ1235" t="s">
        <v>8071</v>
      </c>
      <c r="BD1235" t="s">
        <v>2387</v>
      </c>
      <c r="BE1235" t="s">
        <v>393</v>
      </c>
      <c r="BF1235">
        <v>32097</v>
      </c>
      <c r="BG1235" t="s">
        <v>12609</v>
      </c>
      <c r="BH1235" t="s">
        <v>2388</v>
      </c>
      <c r="BI1235">
        <v>-81.597666996624099</v>
      </c>
      <c r="BJ1235">
        <v>30.631334108531401</v>
      </c>
      <c r="BK1235" t="s">
        <v>12610</v>
      </c>
      <c r="BL1235" t="s">
        <v>12611</v>
      </c>
      <c r="BM1235" t="s">
        <v>12585</v>
      </c>
      <c r="BN1235" t="s">
        <v>1778</v>
      </c>
      <c r="BO1235">
        <v>32041</v>
      </c>
      <c r="BP1235" t="s">
        <v>404</v>
      </c>
      <c r="BQ1235">
        <v>100</v>
      </c>
      <c r="BR1235" t="s">
        <v>514</v>
      </c>
      <c r="BS1235">
        <v>1001</v>
      </c>
      <c r="BT1235" t="s">
        <v>515</v>
      </c>
      <c r="BU1235">
        <v>900</v>
      </c>
      <c r="BV1235">
        <v>1900</v>
      </c>
      <c r="BW1235">
        <v>15645</v>
      </c>
      <c r="BX1235" t="s">
        <v>407</v>
      </c>
      <c r="BY1235" t="s">
        <v>4360</v>
      </c>
      <c r="BZ1235">
        <v>4</v>
      </c>
      <c r="CA1235">
        <v>1945</v>
      </c>
      <c r="CB1235">
        <v>1</v>
      </c>
      <c r="CC1235">
        <v>1</v>
      </c>
      <c r="CD1235">
        <v>2017</v>
      </c>
      <c r="CE1235">
        <v>54000</v>
      </c>
      <c r="CF1235">
        <v>44207</v>
      </c>
      <c r="CG1235">
        <v>98207</v>
      </c>
      <c r="CH1235">
        <v>2017</v>
      </c>
      <c r="CI1235">
        <v>54000</v>
      </c>
      <c r="CJ1235">
        <v>44207</v>
      </c>
      <c r="CK1235">
        <v>98207</v>
      </c>
      <c r="CL1235">
        <v>2017</v>
      </c>
      <c r="CM1235">
        <v>1486.74</v>
      </c>
      <c r="CN1235" s="1">
        <v>27395</v>
      </c>
      <c r="CO1235">
        <v>6000</v>
      </c>
      <c r="CZ1235" s="1">
        <v>27395</v>
      </c>
      <c r="DD1235" t="s">
        <v>2387</v>
      </c>
      <c r="DG1235">
        <v>42</v>
      </c>
      <c r="DL1235">
        <v>50302</v>
      </c>
      <c r="DM1235" t="s">
        <v>12468</v>
      </c>
      <c r="DO1235" t="s">
        <v>12612</v>
      </c>
      <c r="DP1235">
        <v>0</v>
      </c>
      <c r="DQ1235">
        <v>4</v>
      </c>
      <c r="DR1235" t="s">
        <v>1479</v>
      </c>
      <c r="DS1235" t="b">
        <v>1</v>
      </c>
      <c r="DT1235" t="s">
        <v>470</v>
      </c>
      <c r="DU1235" t="s">
        <v>471</v>
      </c>
      <c r="DV1235" t="s">
        <v>472</v>
      </c>
      <c r="DX1235">
        <v>-9999</v>
      </c>
      <c r="DZ1235" t="s">
        <v>447</v>
      </c>
      <c r="EA1235" t="s">
        <v>448</v>
      </c>
      <c r="EB1235" t="s">
        <v>742</v>
      </c>
      <c r="EC1235">
        <v>20101217</v>
      </c>
      <c r="ED1235" t="s">
        <v>474</v>
      </c>
      <c r="EF1235">
        <v>4051.1</v>
      </c>
      <c r="EG1235">
        <v>4051.1</v>
      </c>
      <c r="EI1235">
        <v>20160407</v>
      </c>
      <c r="EJ1235">
        <v>0</v>
      </c>
      <c r="EK1235">
        <v>0</v>
      </c>
      <c r="EP1235" t="s">
        <v>421</v>
      </c>
      <c r="EQ1235" t="s">
        <v>422</v>
      </c>
      <c r="ER1235">
        <v>4</v>
      </c>
      <c r="ES1235">
        <v>4</v>
      </c>
      <c r="ET1235">
        <v>5041.7</v>
      </c>
      <c r="EU1235">
        <v>277.08999999999997</v>
      </c>
      <c r="EV1235">
        <v>5318.79</v>
      </c>
      <c r="EW1235" s="2">
        <v>43222</v>
      </c>
      <c r="EX1235" s="1">
        <v>42879</v>
      </c>
      <c r="EY1235">
        <v>2016</v>
      </c>
      <c r="EZ1235">
        <v>1660.62</v>
      </c>
      <c r="FA1235" t="s">
        <v>12613</v>
      </c>
      <c r="FB1235">
        <v>0.25</v>
      </c>
      <c r="FC1235" t="s">
        <v>424</v>
      </c>
      <c r="FD1235" t="s">
        <v>454</v>
      </c>
      <c r="FF1235">
        <v>12</v>
      </c>
      <c r="FG1235">
        <v>2851116</v>
      </c>
      <c r="FH1235" t="s">
        <v>480</v>
      </c>
      <c r="FJ1235" s="1">
        <v>42879</v>
      </c>
      <c r="FK1235">
        <v>2016</v>
      </c>
      <c r="FL1235">
        <v>1660.62</v>
      </c>
      <c r="FM1235" t="s">
        <v>12613</v>
      </c>
      <c r="FN1235">
        <v>0.25</v>
      </c>
      <c r="FO1235" t="s">
        <v>424</v>
      </c>
      <c r="FP1235" t="s">
        <v>454</v>
      </c>
      <c r="FR1235">
        <v>12</v>
      </c>
      <c r="FS1235">
        <v>5096497</v>
      </c>
      <c r="FT1235" t="s">
        <v>12614</v>
      </c>
      <c r="FV1235" s="1">
        <v>42515</v>
      </c>
      <c r="FW1235">
        <v>2015</v>
      </c>
      <c r="FX1235">
        <v>860.23</v>
      </c>
      <c r="FY1235" t="s">
        <v>12615</v>
      </c>
      <c r="FZ1235">
        <v>0.25</v>
      </c>
      <c r="GA1235" t="s">
        <v>424</v>
      </c>
      <c r="GB1235" t="s">
        <v>454</v>
      </c>
      <c r="GD1235">
        <v>24</v>
      </c>
      <c r="GE1235">
        <v>11289</v>
      </c>
      <c r="GF1235" t="s">
        <v>787</v>
      </c>
      <c r="GH1235" s="1">
        <v>42515</v>
      </c>
      <c r="GI1235">
        <v>2015</v>
      </c>
      <c r="GJ1235">
        <v>860.23</v>
      </c>
      <c r="GK1235" t="s">
        <v>12615</v>
      </c>
      <c r="GL1235">
        <v>0.25</v>
      </c>
      <c r="GM1235" t="s">
        <v>424</v>
      </c>
      <c r="GN1235" t="s">
        <v>454</v>
      </c>
      <c r="GP1235">
        <v>24</v>
      </c>
      <c r="GQ1235">
        <v>7094487</v>
      </c>
      <c r="GR1235" t="s">
        <v>12616</v>
      </c>
      <c r="GT1235" s="1">
        <v>42151</v>
      </c>
      <c r="GU1235">
        <v>2014</v>
      </c>
      <c r="GV1235">
        <v>820.65</v>
      </c>
      <c r="GW1235" t="s">
        <v>12617</v>
      </c>
      <c r="GX1235">
        <v>0.25</v>
      </c>
      <c r="GY1235" t="s">
        <v>424</v>
      </c>
      <c r="GZ1235" t="s">
        <v>425</v>
      </c>
      <c r="HB1235">
        <v>22</v>
      </c>
      <c r="HC1235">
        <v>5160653</v>
      </c>
      <c r="HD1235" t="s">
        <v>12618</v>
      </c>
      <c r="HF1235" s="1">
        <v>42151</v>
      </c>
      <c r="HG1235">
        <v>2014</v>
      </c>
      <c r="HH1235">
        <v>820.65</v>
      </c>
      <c r="HI1235" t="s">
        <v>12617</v>
      </c>
      <c r="HJ1235">
        <v>0.25</v>
      </c>
      <c r="HK1235" t="s">
        <v>424</v>
      </c>
      <c r="HL1235" t="s">
        <v>425</v>
      </c>
      <c r="HM1235" s="1">
        <v>42404</v>
      </c>
      <c r="HN1235">
        <v>9</v>
      </c>
      <c r="HO1235">
        <v>11289</v>
      </c>
      <c r="HP1235" t="s">
        <v>787</v>
      </c>
      <c r="HR1235" s="1">
        <v>41787</v>
      </c>
      <c r="HS1235">
        <v>2013</v>
      </c>
      <c r="HT1235">
        <v>702.25</v>
      </c>
      <c r="HU1235" t="s">
        <v>12619</v>
      </c>
      <c r="HV1235">
        <v>0.25</v>
      </c>
      <c r="HW1235" t="s">
        <v>424</v>
      </c>
      <c r="HX1235" t="s">
        <v>425</v>
      </c>
      <c r="HY1235" s="1">
        <v>42404</v>
      </c>
      <c r="HZ1235">
        <v>21</v>
      </c>
      <c r="IA1235">
        <v>2101382</v>
      </c>
      <c r="IB1235" t="s">
        <v>993</v>
      </c>
      <c r="ID1235" s="1">
        <v>41423</v>
      </c>
      <c r="IE1235">
        <v>2012</v>
      </c>
      <c r="IF1235">
        <v>711.89</v>
      </c>
      <c r="IG1235" t="s">
        <v>12620</v>
      </c>
      <c r="IH1235">
        <v>0.25</v>
      </c>
      <c r="II1235" t="s">
        <v>424</v>
      </c>
      <c r="IJ1235" t="s">
        <v>425</v>
      </c>
      <c r="IK1235" s="1">
        <v>42404</v>
      </c>
      <c r="IL1235">
        <v>33</v>
      </c>
      <c r="IM1235">
        <v>2101382</v>
      </c>
      <c r="IN1235" t="s">
        <v>993</v>
      </c>
    </row>
    <row r="1236" spans="1:272" x14ac:dyDescent="0.25">
      <c r="A1236">
        <v>16486243</v>
      </c>
      <c r="B1236">
        <v>1235</v>
      </c>
      <c r="C1236" t="s">
        <v>393</v>
      </c>
      <c r="D1236" t="s">
        <v>394</v>
      </c>
      <c r="F1236" t="str">
        <f>"42-2N-27-0000-0043-0000"</f>
        <v>42-2N-27-0000-0043-0000</v>
      </c>
      <c r="H1236" t="str">
        <f>"PRINCE G A EST C/O MICHAEL COLLYMORE"</f>
        <v>PRINCE G A EST C/O MICHAEL COLLYMORE</v>
      </c>
      <c r="I1236" t="str">
        <f>"P O BOX 2097"</f>
        <v>P O BOX 2097</v>
      </c>
      <c r="J1236" t="str">
        <f>"YULEE FL 32041"</f>
        <v>YULEE FL 32041</v>
      </c>
      <c r="K1236" t="str">
        <f>"SPICEWOOD DR"</f>
        <v>SPICEWOOD DR</v>
      </c>
      <c r="L1236" t="str">
        <f t="shared" si="414"/>
        <v>YULEE FL 32097</v>
      </c>
      <c r="M1236" t="str">
        <f>"PT JOHN LOWE GRANTS SECS 42-2N-27E &amp; 51-3N-27E IN DBK 180/360 (EX PT IN OR 1554/87)"</f>
        <v>PT JOHN LOWE GRANTS SECS 42-2N-27E &amp; 51-3N-27E IN DBK 180/360 (EX PT IN OR 1554/87)</v>
      </c>
      <c r="N1236" t="str">
        <f>""</f>
        <v/>
      </c>
      <c r="O1236" t="str">
        <f>"47322"</f>
        <v>47322</v>
      </c>
      <c r="P1236" t="str">
        <f t="shared" si="416"/>
        <v>2017</v>
      </c>
      <c r="Q1236" t="str">
        <f>""</f>
        <v/>
      </c>
      <c r="R1236" t="str">
        <f t="shared" si="417"/>
        <v>N</v>
      </c>
      <c r="S1236" t="str">
        <f>""</f>
        <v/>
      </c>
      <c r="T1236" t="str">
        <f>"112.60"</f>
        <v>112.60</v>
      </c>
      <c r="U1236" t="str">
        <f>"7437.00"</f>
        <v>7437.00</v>
      </c>
      <c r="V1236" t="str">
        <f>"7437.00"</f>
        <v>7437.00</v>
      </c>
      <c r="W1236" t="str">
        <f t="shared" si="418"/>
        <v>2017</v>
      </c>
      <c r="X1236" t="str">
        <f>"28.29"</f>
        <v>28.29</v>
      </c>
      <c r="Y1236" t="str">
        <f>"147.98"</f>
        <v>147.98</v>
      </c>
      <c r="Z1236" t="str">
        <f>""</f>
        <v/>
      </c>
      <c r="AA1236" t="str">
        <f>"7437.00"</f>
        <v>7437.00</v>
      </c>
      <c r="AB1236" t="str">
        <f t="shared" si="420"/>
        <v>Residential</v>
      </c>
      <c r="AC1236" t="str">
        <f t="shared" si="399"/>
        <v>0</v>
      </c>
      <c r="AD1236" t="str">
        <f>""</f>
        <v/>
      </c>
      <c r="AE1236" t="str">
        <f>""</f>
        <v/>
      </c>
      <c r="AF1236" t="str">
        <f>"000"</f>
        <v>000</v>
      </c>
      <c r="AG1236" t="str">
        <f t="shared" si="421"/>
        <v>FL</v>
      </c>
      <c r="AH1236" t="str">
        <f>"5000.00"</f>
        <v>5000.00</v>
      </c>
      <c r="AI1236" t="str">
        <f>"7437.00"</f>
        <v>7437.00</v>
      </c>
      <c r="AJ1236" t="str">
        <f>"C55-000-588-1546-5"</f>
        <v>C55-000-588-1546-5</v>
      </c>
      <c r="AK1236" t="str">
        <f>"20995"</f>
        <v>20995</v>
      </c>
      <c r="AL1236">
        <v>5</v>
      </c>
      <c r="AM1236">
        <v>1408</v>
      </c>
      <c r="AN1236">
        <v>153.78</v>
      </c>
      <c r="AQ1236" t="s">
        <v>12621</v>
      </c>
      <c r="AR1236" t="s">
        <v>12621</v>
      </c>
      <c r="AS1236" t="s">
        <v>12621</v>
      </c>
      <c r="AU1236" t="s">
        <v>396</v>
      </c>
      <c r="AV1236">
        <v>2017</v>
      </c>
      <c r="AW1236" t="str">
        <f>"42-2N-27-0000-0043-0000 "</f>
        <v xml:space="preserve">42-2N-27-0000-0043-0000 </v>
      </c>
      <c r="AZ1236" t="s">
        <v>12622</v>
      </c>
      <c r="BA1236" t="s">
        <v>669</v>
      </c>
      <c r="BD1236" t="s">
        <v>2387</v>
      </c>
      <c r="BE1236" t="s">
        <v>393</v>
      </c>
      <c r="BF1236">
        <v>32097</v>
      </c>
      <c r="BG1236" t="s">
        <v>12623</v>
      </c>
      <c r="BH1236" t="s">
        <v>2388</v>
      </c>
      <c r="BI1236">
        <v>-81.5979876115275</v>
      </c>
      <c r="BJ1236">
        <v>30.6309290771623</v>
      </c>
      <c r="BK1236" t="s">
        <v>12624</v>
      </c>
      <c r="BM1236" t="s">
        <v>12625</v>
      </c>
      <c r="BN1236" t="s">
        <v>1778</v>
      </c>
      <c r="BO1236">
        <v>32041</v>
      </c>
      <c r="BP1236" t="s">
        <v>404</v>
      </c>
      <c r="BQ1236">
        <v>0</v>
      </c>
      <c r="BR1236" t="s">
        <v>491</v>
      </c>
      <c r="BS1236">
        <v>8001</v>
      </c>
      <c r="BT1236" t="s">
        <v>492</v>
      </c>
      <c r="BU1236">
        <v>500</v>
      </c>
      <c r="BV1236">
        <v>1000</v>
      </c>
      <c r="BW1236">
        <v>4997</v>
      </c>
      <c r="BX1236" t="s">
        <v>407</v>
      </c>
      <c r="BY1236" t="s">
        <v>4360</v>
      </c>
      <c r="CD1236">
        <v>2017</v>
      </c>
      <c r="CE1236">
        <v>7437</v>
      </c>
      <c r="CG1236">
        <v>7437</v>
      </c>
      <c r="CH1236">
        <v>2017</v>
      </c>
      <c r="CI1236">
        <v>7437</v>
      </c>
      <c r="CK1236">
        <v>7437</v>
      </c>
      <c r="CL1236">
        <v>2017</v>
      </c>
      <c r="CM1236">
        <v>112.6</v>
      </c>
      <c r="DD1236" t="s">
        <v>2387</v>
      </c>
      <c r="DG1236">
        <v>42</v>
      </c>
      <c r="DL1236">
        <v>50302</v>
      </c>
      <c r="DM1236" t="s">
        <v>12468</v>
      </c>
      <c r="DO1236" t="s">
        <v>12626</v>
      </c>
      <c r="DP1236">
        <v>0</v>
      </c>
      <c r="DQ1236">
        <v>4</v>
      </c>
      <c r="DR1236" t="s">
        <v>1479</v>
      </c>
      <c r="DS1236" t="b">
        <v>1</v>
      </c>
      <c r="DT1236" t="s">
        <v>470</v>
      </c>
      <c r="DU1236" t="s">
        <v>471</v>
      </c>
      <c r="DV1236" t="s">
        <v>472</v>
      </c>
      <c r="DX1236">
        <v>-9999</v>
      </c>
      <c r="DZ1236" t="s">
        <v>447</v>
      </c>
      <c r="EA1236" t="s">
        <v>448</v>
      </c>
      <c r="EB1236" t="s">
        <v>742</v>
      </c>
      <c r="EC1236">
        <v>20101217</v>
      </c>
      <c r="ED1236" t="s">
        <v>474</v>
      </c>
      <c r="EF1236">
        <v>4229.2</v>
      </c>
      <c r="EG1236">
        <v>4229.2</v>
      </c>
      <c r="EI1236">
        <v>20160407</v>
      </c>
      <c r="EJ1236">
        <v>0</v>
      </c>
      <c r="EK1236">
        <v>0</v>
      </c>
      <c r="EP1236" t="s">
        <v>595</v>
      </c>
      <c r="EQ1236" t="s">
        <v>422</v>
      </c>
      <c r="ER1236">
        <v>9</v>
      </c>
      <c r="ES1236">
        <v>0</v>
      </c>
      <c r="ET1236">
        <v>1272.1199999999999</v>
      </c>
      <c r="EU1236">
        <v>846.84</v>
      </c>
      <c r="EV1236">
        <v>2118.96</v>
      </c>
      <c r="EW1236" s="2">
        <v>43222</v>
      </c>
      <c r="EX1236" s="1">
        <v>42879</v>
      </c>
      <c r="EY1236">
        <v>2016</v>
      </c>
      <c r="EZ1236">
        <v>150.38999999999999</v>
      </c>
      <c r="FA1236" t="s">
        <v>12627</v>
      </c>
      <c r="FB1236">
        <v>17.75</v>
      </c>
      <c r="FC1236" t="s">
        <v>424</v>
      </c>
      <c r="FD1236" t="s">
        <v>454</v>
      </c>
      <c r="FF1236">
        <v>12</v>
      </c>
      <c r="FG1236">
        <v>10003</v>
      </c>
      <c r="FH1236" t="s">
        <v>4341</v>
      </c>
      <c r="FJ1236" s="1">
        <v>42515</v>
      </c>
      <c r="FK1236">
        <v>2015</v>
      </c>
      <c r="FL1236">
        <v>142.13</v>
      </c>
      <c r="FM1236" t="s">
        <v>12628</v>
      </c>
      <c r="FN1236">
        <v>18</v>
      </c>
      <c r="FO1236" t="s">
        <v>603</v>
      </c>
      <c r="FP1236" t="s">
        <v>454</v>
      </c>
      <c r="FR1236">
        <v>24</v>
      </c>
      <c r="FS1236">
        <v>9999999</v>
      </c>
      <c r="FT1236" t="s">
        <v>604</v>
      </c>
      <c r="FV1236" s="1">
        <v>42151</v>
      </c>
      <c r="FW1236">
        <v>2014</v>
      </c>
      <c r="FX1236">
        <v>131.25</v>
      </c>
      <c r="FY1236" t="s">
        <v>12629</v>
      </c>
      <c r="FZ1236">
        <v>18</v>
      </c>
      <c r="GA1236" t="s">
        <v>424</v>
      </c>
      <c r="GB1236" t="s">
        <v>454</v>
      </c>
      <c r="GD1236">
        <v>36</v>
      </c>
      <c r="GE1236">
        <v>10125</v>
      </c>
      <c r="GF1236" t="s">
        <v>440</v>
      </c>
      <c r="GH1236" s="1">
        <v>41787</v>
      </c>
      <c r="GI1236">
        <v>2013</v>
      </c>
      <c r="GJ1236">
        <v>112.29</v>
      </c>
      <c r="GK1236" t="s">
        <v>12630</v>
      </c>
      <c r="GL1236">
        <v>3.75</v>
      </c>
      <c r="GM1236" t="s">
        <v>424</v>
      </c>
      <c r="GN1236" t="s">
        <v>454</v>
      </c>
      <c r="GP1236">
        <v>48</v>
      </c>
      <c r="GQ1236">
        <v>10125</v>
      </c>
      <c r="GR1236" t="s">
        <v>440</v>
      </c>
      <c r="GT1236" s="1">
        <v>41423</v>
      </c>
      <c r="GU1236">
        <v>2012</v>
      </c>
      <c r="GV1236">
        <v>113.42</v>
      </c>
      <c r="GW1236" t="s">
        <v>12631</v>
      </c>
      <c r="GX1236">
        <v>9.75</v>
      </c>
      <c r="GY1236" t="s">
        <v>424</v>
      </c>
      <c r="GZ1236" t="s">
        <v>454</v>
      </c>
      <c r="HB1236">
        <v>60</v>
      </c>
      <c r="HC1236">
        <v>10021</v>
      </c>
      <c r="HD1236" t="s">
        <v>597</v>
      </c>
      <c r="HF1236" s="1">
        <v>41052</v>
      </c>
      <c r="HG1236">
        <v>2011</v>
      </c>
      <c r="HH1236">
        <v>155.66</v>
      </c>
      <c r="HI1236" t="s">
        <v>12632</v>
      </c>
      <c r="HJ1236">
        <v>15.25</v>
      </c>
      <c r="HK1236" t="s">
        <v>424</v>
      </c>
      <c r="HL1236" t="s">
        <v>454</v>
      </c>
      <c r="HN1236">
        <v>72</v>
      </c>
      <c r="HO1236">
        <v>12430</v>
      </c>
      <c r="HP1236" t="s">
        <v>10797</v>
      </c>
      <c r="HR1236" s="1">
        <v>41052</v>
      </c>
      <c r="HS1236">
        <v>2011</v>
      </c>
      <c r="HT1236">
        <v>155.66</v>
      </c>
      <c r="HU1236" t="s">
        <v>12632</v>
      </c>
      <c r="HV1236">
        <v>15.25</v>
      </c>
      <c r="HW1236" t="s">
        <v>424</v>
      </c>
      <c r="HX1236" t="s">
        <v>454</v>
      </c>
      <c r="HZ1236">
        <v>72</v>
      </c>
      <c r="IA1236">
        <v>14996</v>
      </c>
      <c r="IB1236" t="s">
        <v>3439</v>
      </c>
      <c r="ID1236" s="1">
        <v>41052</v>
      </c>
      <c r="IE1236">
        <v>2011</v>
      </c>
      <c r="IF1236">
        <v>155.66</v>
      </c>
      <c r="IG1236" t="s">
        <v>12632</v>
      </c>
      <c r="IH1236">
        <v>15.25</v>
      </c>
      <c r="II1236" t="s">
        <v>424</v>
      </c>
      <c r="IJ1236" t="s">
        <v>454</v>
      </c>
      <c r="IL1236">
        <v>72</v>
      </c>
      <c r="IM1236">
        <v>12259</v>
      </c>
      <c r="IN1236" t="s">
        <v>1032</v>
      </c>
      <c r="IP1236" s="1">
        <v>41052</v>
      </c>
      <c r="IQ1236">
        <v>2011</v>
      </c>
      <c r="IR1236">
        <v>155.66</v>
      </c>
      <c r="IS1236" t="s">
        <v>12632</v>
      </c>
      <c r="IT1236">
        <v>15.25</v>
      </c>
      <c r="IU1236" t="s">
        <v>424</v>
      </c>
      <c r="IV1236" t="s">
        <v>454</v>
      </c>
      <c r="IX1236">
        <v>72</v>
      </c>
      <c r="IY1236">
        <v>7336670</v>
      </c>
      <c r="IZ1236" t="s">
        <v>2102</v>
      </c>
    </row>
    <row r="1237" spans="1:272" x14ac:dyDescent="0.25">
      <c r="A1237">
        <v>16486244</v>
      </c>
      <c r="B1237">
        <v>1236</v>
      </c>
      <c r="C1237" t="s">
        <v>393</v>
      </c>
      <c r="D1237" t="s">
        <v>394</v>
      </c>
      <c r="F1237" t="str">
        <f>"42-2N-27-0000-0044-0020"</f>
        <v>42-2N-27-0000-0044-0020</v>
      </c>
      <c r="H1237" t="str">
        <f>"COLLYMORE MICHAEL EST"</f>
        <v>COLLYMORE MICHAEL EST</v>
      </c>
      <c r="I1237" t="str">
        <f>"PO BOX 2097"</f>
        <v>PO BOX 2097</v>
      </c>
      <c r="J1237" t="str">
        <f>"YULEE FL 32041"</f>
        <v>YULEE FL 32041</v>
      </c>
      <c r="K1237" t="str">
        <f>"SPICEWOOD ST"</f>
        <v>SPICEWOOD ST</v>
      </c>
      <c r="L1237" t="str">
        <f t="shared" si="414"/>
        <v>YULEE FL 32097</v>
      </c>
      <c r="M1237" t="str">
        <f>"PT JOHN LOWE GRANTS SECS 42-2N-27E &amp; 51-3N-27E IN OR 569/1133"</f>
        <v>PT JOHN LOWE GRANTS SECS 42-2N-27E &amp; 51-3N-27E IN OR 569/1133</v>
      </c>
      <c r="N1237" t="str">
        <f>""</f>
        <v/>
      </c>
      <c r="O1237" t="str">
        <f>"47325"</f>
        <v>47325</v>
      </c>
      <c r="P1237" t="str">
        <f t="shared" si="416"/>
        <v>2017</v>
      </c>
      <c r="Q1237" t="str">
        <f>""</f>
        <v/>
      </c>
      <c r="R1237" t="str">
        <f t="shared" si="417"/>
        <v>N</v>
      </c>
      <c r="S1237" t="str">
        <f>""</f>
        <v/>
      </c>
      <c r="T1237" t="str">
        <f>"27.02"</f>
        <v>27.02</v>
      </c>
      <c r="U1237" t="str">
        <f>"1785.00"</f>
        <v>1785.00</v>
      </c>
      <c r="V1237" t="str">
        <f>"1785.00"</f>
        <v>1785.00</v>
      </c>
      <c r="W1237" t="str">
        <f t="shared" si="418"/>
        <v>2017</v>
      </c>
      <c r="X1237" t="str">
        <f>"28.10"</f>
        <v>28.10</v>
      </c>
      <c r="Y1237" t="str">
        <f>"59.83"</f>
        <v>59.83</v>
      </c>
      <c r="Z1237" t="str">
        <f>""</f>
        <v/>
      </c>
      <c r="AA1237" t="str">
        <f>"1785.00"</f>
        <v>1785.00</v>
      </c>
      <c r="AB1237" t="str">
        <f t="shared" si="420"/>
        <v>Residential</v>
      </c>
      <c r="AC1237" t="str">
        <f t="shared" si="399"/>
        <v>0</v>
      </c>
      <c r="AD1237" t="str">
        <f>""</f>
        <v/>
      </c>
      <c r="AE1237" t="str">
        <f>""</f>
        <v/>
      </c>
      <c r="AF1237" t="str">
        <f>"000"</f>
        <v>000</v>
      </c>
      <c r="AG1237" t="str">
        <f t="shared" si="421"/>
        <v>FL</v>
      </c>
      <c r="AH1237" t="str">
        <f>"1200.00"</f>
        <v>1200.00</v>
      </c>
      <c r="AI1237" t="str">
        <f>"1785.00"</f>
        <v>1785.00</v>
      </c>
      <c r="AJ1237" t="str">
        <f>"C55-000-588-1549-9"</f>
        <v>C55-000-588-1549-9</v>
      </c>
      <c r="AK1237" t="str">
        <f>"20998"</f>
        <v>20998</v>
      </c>
      <c r="AL1237">
        <v>5</v>
      </c>
      <c r="AM1237">
        <v>1409</v>
      </c>
      <c r="AN1237">
        <v>61.22</v>
      </c>
      <c r="AQ1237" t="s">
        <v>12633</v>
      </c>
      <c r="AR1237" t="s">
        <v>12633</v>
      </c>
      <c r="AS1237" t="s">
        <v>12633</v>
      </c>
      <c r="AU1237" t="s">
        <v>396</v>
      </c>
      <c r="AV1237">
        <v>2017</v>
      </c>
      <c r="AW1237" t="str">
        <f>"42-2N-27-0000-0044-0020 "</f>
        <v xml:space="preserve">42-2N-27-0000-0044-0020 </v>
      </c>
      <c r="AZ1237" t="s">
        <v>12622</v>
      </c>
      <c r="BA1237" t="s">
        <v>1942</v>
      </c>
      <c r="BD1237" t="s">
        <v>2387</v>
      </c>
      <c r="BE1237" t="s">
        <v>393</v>
      </c>
      <c r="BF1237">
        <v>32097</v>
      </c>
      <c r="BG1237" t="s">
        <v>12634</v>
      </c>
      <c r="BH1237" t="s">
        <v>2388</v>
      </c>
      <c r="BI1237">
        <v>-81.597981421750504</v>
      </c>
      <c r="BJ1237">
        <v>30.630720126160899</v>
      </c>
      <c r="BK1237" t="s">
        <v>12635</v>
      </c>
      <c r="BM1237" t="s">
        <v>12625</v>
      </c>
      <c r="BN1237" t="s">
        <v>1778</v>
      </c>
      <c r="BO1237">
        <v>32041</v>
      </c>
      <c r="BP1237" t="s">
        <v>404</v>
      </c>
      <c r="BQ1237">
        <v>0</v>
      </c>
      <c r="BR1237" t="s">
        <v>491</v>
      </c>
      <c r="BS1237">
        <v>8001</v>
      </c>
      <c r="BT1237" t="s">
        <v>492</v>
      </c>
      <c r="BU1237">
        <v>120</v>
      </c>
      <c r="BV1237">
        <v>1000</v>
      </c>
      <c r="BW1237">
        <v>1200</v>
      </c>
      <c r="BX1237" t="s">
        <v>407</v>
      </c>
      <c r="BY1237" t="s">
        <v>4360</v>
      </c>
      <c r="CD1237">
        <v>2017</v>
      </c>
      <c r="CE1237">
        <v>1785</v>
      </c>
      <c r="CG1237">
        <v>1785</v>
      </c>
      <c r="CH1237">
        <v>2017</v>
      </c>
      <c r="CI1237">
        <v>1785</v>
      </c>
      <c r="CK1237">
        <v>1785</v>
      </c>
      <c r="CL1237">
        <v>2017</v>
      </c>
      <c r="CM1237">
        <v>27.02</v>
      </c>
      <c r="CN1237" s="1">
        <v>32639</v>
      </c>
      <c r="CO1237">
        <v>600</v>
      </c>
      <c r="CZ1237" s="1">
        <v>32639</v>
      </c>
      <c r="DD1237" t="s">
        <v>2387</v>
      </c>
      <c r="DG1237">
        <v>42</v>
      </c>
      <c r="DL1237">
        <v>50302</v>
      </c>
      <c r="DM1237" t="s">
        <v>12468</v>
      </c>
      <c r="DO1237" t="s">
        <v>12636</v>
      </c>
      <c r="DP1237">
        <v>0</v>
      </c>
      <c r="DQ1237">
        <v>4</v>
      </c>
      <c r="DR1237" t="s">
        <v>1479</v>
      </c>
      <c r="DS1237" t="b">
        <v>1</v>
      </c>
      <c r="DT1237" t="s">
        <v>470</v>
      </c>
      <c r="DU1237" t="s">
        <v>471</v>
      </c>
      <c r="DV1237" t="s">
        <v>472</v>
      </c>
      <c r="DX1237">
        <v>-9999</v>
      </c>
      <c r="DZ1237" t="s">
        <v>447</v>
      </c>
      <c r="EA1237" t="s">
        <v>448</v>
      </c>
      <c r="EB1237" t="s">
        <v>742</v>
      </c>
      <c r="EC1237">
        <v>20101217</v>
      </c>
      <c r="ED1237" t="s">
        <v>474</v>
      </c>
      <c r="EF1237">
        <v>-9999</v>
      </c>
      <c r="EG1237">
        <v>7444.1</v>
      </c>
      <c r="EI1237">
        <v>20160407</v>
      </c>
      <c r="EJ1237">
        <v>0</v>
      </c>
      <c r="EK1237">
        <v>0</v>
      </c>
      <c r="EP1237" t="s">
        <v>595</v>
      </c>
      <c r="EQ1237" t="s">
        <v>422</v>
      </c>
      <c r="ER1237">
        <v>1</v>
      </c>
      <c r="ES1237">
        <v>8</v>
      </c>
      <c r="ET1237">
        <v>56.59</v>
      </c>
      <c r="EU1237">
        <v>16.29</v>
      </c>
      <c r="EV1237">
        <v>72.88</v>
      </c>
      <c r="EW1237" s="2">
        <v>43222</v>
      </c>
      <c r="EX1237" s="1">
        <v>42879</v>
      </c>
      <c r="EY1237">
        <v>2016</v>
      </c>
      <c r="EZ1237">
        <v>56.59</v>
      </c>
      <c r="FA1237" t="s">
        <v>12637</v>
      </c>
      <c r="FB1237">
        <v>17.75</v>
      </c>
      <c r="FC1237" t="s">
        <v>424</v>
      </c>
      <c r="FD1237" t="s">
        <v>454</v>
      </c>
      <c r="FF1237">
        <v>12</v>
      </c>
      <c r="FG1237">
        <v>10021</v>
      </c>
      <c r="FH1237" t="s">
        <v>597</v>
      </c>
      <c r="FJ1237" s="1">
        <v>42515</v>
      </c>
      <c r="FK1237">
        <v>2015</v>
      </c>
      <c r="FL1237">
        <v>50.81</v>
      </c>
      <c r="FM1237" t="s">
        <v>12638</v>
      </c>
      <c r="FN1237">
        <v>18</v>
      </c>
      <c r="FO1237" t="s">
        <v>603</v>
      </c>
      <c r="FP1237" t="s">
        <v>425</v>
      </c>
      <c r="FQ1237" s="1">
        <v>42575</v>
      </c>
      <c r="FR1237">
        <v>2</v>
      </c>
      <c r="FS1237">
        <v>9999999</v>
      </c>
      <c r="FT1237" t="s">
        <v>604</v>
      </c>
      <c r="FV1237" s="1">
        <v>42151</v>
      </c>
      <c r="FW1237">
        <v>2014</v>
      </c>
      <c r="FX1237">
        <v>48.22</v>
      </c>
      <c r="FY1237" t="s">
        <v>12639</v>
      </c>
      <c r="FZ1237">
        <v>18</v>
      </c>
      <c r="GA1237" t="s">
        <v>603</v>
      </c>
      <c r="GB1237" t="s">
        <v>425</v>
      </c>
      <c r="GC1237" s="1">
        <v>42575</v>
      </c>
      <c r="GD1237">
        <v>14</v>
      </c>
      <c r="GE1237">
        <v>9999999</v>
      </c>
      <c r="GF1237" t="s">
        <v>604</v>
      </c>
      <c r="GH1237" s="1">
        <v>41787</v>
      </c>
      <c r="GI1237">
        <v>2013</v>
      </c>
      <c r="GJ1237">
        <v>43.67</v>
      </c>
      <c r="GK1237" t="s">
        <v>12640</v>
      </c>
      <c r="GL1237">
        <v>18</v>
      </c>
      <c r="GM1237" t="s">
        <v>603</v>
      </c>
      <c r="GN1237" t="s">
        <v>425</v>
      </c>
      <c r="GO1237" s="1">
        <v>42575</v>
      </c>
      <c r="GP1237">
        <v>26</v>
      </c>
      <c r="GQ1237">
        <v>9999999</v>
      </c>
      <c r="GR1237" t="s">
        <v>604</v>
      </c>
      <c r="GT1237" s="1">
        <v>41423</v>
      </c>
      <c r="GU1237">
        <v>2012</v>
      </c>
      <c r="GV1237">
        <v>43.93</v>
      </c>
      <c r="GW1237" t="s">
        <v>12641</v>
      </c>
      <c r="GX1237">
        <v>16.75</v>
      </c>
      <c r="GY1237" t="s">
        <v>424</v>
      </c>
      <c r="GZ1237" t="s">
        <v>425</v>
      </c>
      <c r="HA1237" s="1">
        <v>42575</v>
      </c>
      <c r="HB1237">
        <v>38</v>
      </c>
      <c r="HC1237">
        <v>10125</v>
      </c>
      <c r="HD1237" t="s">
        <v>440</v>
      </c>
      <c r="HF1237" s="1">
        <v>41052</v>
      </c>
      <c r="HG1237">
        <v>2011</v>
      </c>
      <c r="HH1237">
        <v>57.14</v>
      </c>
      <c r="HI1237" t="s">
        <v>12642</v>
      </c>
      <c r="HJ1237">
        <v>18</v>
      </c>
      <c r="HK1237" t="s">
        <v>424</v>
      </c>
      <c r="HL1237" t="s">
        <v>425</v>
      </c>
      <c r="HM1237" s="1">
        <v>42575</v>
      </c>
      <c r="HN1237">
        <v>50</v>
      </c>
      <c r="HO1237">
        <v>15192</v>
      </c>
      <c r="HP1237" t="s">
        <v>12643</v>
      </c>
      <c r="HR1237" s="1">
        <v>41052</v>
      </c>
      <c r="HS1237">
        <v>2011</v>
      </c>
      <c r="HT1237">
        <v>48.01</v>
      </c>
      <c r="HU1237" t="s">
        <v>12642</v>
      </c>
      <c r="HV1237">
        <v>18</v>
      </c>
      <c r="HW1237" t="s">
        <v>603</v>
      </c>
      <c r="HX1237" t="s">
        <v>425</v>
      </c>
      <c r="HZ1237">
        <v>22</v>
      </c>
      <c r="IA1237">
        <v>9999999</v>
      </c>
      <c r="IB1237" t="s">
        <v>604</v>
      </c>
      <c r="ID1237" s="1">
        <v>40688</v>
      </c>
      <c r="IE1237">
        <v>2010</v>
      </c>
      <c r="IF1237">
        <v>47.01</v>
      </c>
      <c r="IG1237" t="s">
        <v>12644</v>
      </c>
      <c r="IH1237">
        <v>6.75</v>
      </c>
      <c r="II1237" t="s">
        <v>424</v>
      </c>
      <c r="IJ1237" t="s">
        <v>425</v>
      </c>
      <c r="IK1237" s="1">
        <v>42575</v>
      </c>
      <c r="IL1237">
        <v>62</v>
      </c>
      <c r="IM1237">
        <v>375</v>
      </c>
      <c r="IN1237" t="s">
        <v>776</v>
      </c>
      <c r="IP1237" s="1">
        <v>40688</v>
      </c>
      <c r="IQ1237">
        <v>2010</v>
      </c>
      <c r="IR1237">
        <v>47.01</v>
      </c>
      <c r="IS1237" t="s">
        <v>12644</v>
      </c>
      <c r="IT1237">
        <v>6.75</v>
      </c>
      <c r="IU1237" t="s">
        <v>424</v>
      </c>
      <c r="IV1237" t="s">
        <v>425</v>
      </c>
      <c r="IX1237">
        <v>22</v>
      </c>
      <c r="IY1237">
        <v>105</v>
      </c>
      <c r="IZ1237" t="s">
        <v>946</v>
      </c>
    </row>
    <row r="1238" spans="1:272" x14ac:dyDescent="0.25">
      <c r="A1238">
        <v>16486245</v>
      </c>
      <c r="B1238">
        <v>1237</v>
      </c>
      <c r="C1238" t="s">
        <v>393</v>
      </c>
      <c r="D1238" t="s">
        <v>394</v>
      </c>
      <c r="F1238" t="str">
        <f>"42-2N-27-0000-0056-0010"</f>
        <v>42-2N-27-0000-0056-0010</v>
      </c>
      <c r="H1238" t="str">
        <f>"EVANS JOSEPH"</f>
        <v>EVANS JOSEPH</v>
      </c>
      <c r="I1238" t="str">
        <f>"PO BOX 81"</f>
        <v>PO BOX 81</v>
      </c>
      <c r="J1238" t="str">
        <f>"YULEE FL 32041"</f>
        <v>YULEE FL 32041</v>
      </c>
      <c r="K1238" t="str">
        <f>"86075 SOWELL RD"</f>
        <v>86075 SOWELL RD</v>
      </c>
      <c r="L1238" t="str">
        <f t="shared" si="414"/>
        <v>YULEE FL 32097</v>
      </c>
      <c r="M1238" t="str">
        <f>"IN OR 253 PG 289"</f>
        <v>IN OR 253 PG 289</v>
      </c>
      <c r="N1238" t="str">
        <f>""</f>
        <v/>
      </c>
      <c r="O1238" t="str">
        <f>"47333"</f>
        <v>47333</v>
      </c>
      <c r="P1238" t="str">
        <f t="shared" si="416"/>
        <v>2017</v>
      </c>
      <c r="Q1238" t="str">
        <f>""</f>
        <v/>
      </c>
      <c r="R1238" t="str">
        <f t="shared" si="417"/>
        <v>N</v>
      </c>
      <c r="S1238" t="str">
        <f>""</f>
        <v/>
      </c>
      <c r="T1238" t="str">
        <f>"296.24"</f>
        <v>296.24</v>
      </c>
      <c r="U1238" t="str">
        <f>"19556.00"</f>
        <v>19556.00</v>
      </c>
      <c r="V1238" t="str">
        <f>"19556.00"</f>
        <v>19556.00</v>
      </c>
      <c r="W1238" t="str">
        <f t="shared" si="418"/>
        <v>2017</v>
      </c>
      <c r="X1238" t="str">
        <f>"21.50"</f>
        <v>21.50</v>
      </c>
      <c r="Y1238" t="str">
        <f>"337.13"</f>
        <v>337.13</v>
      </c>
      <c r="Z1238" t="str">
        <f>""</f>
        <v/>
      </c>
      <c r="AA1238" t="str">
        <f>"19583.00"</f>
        <v>19583.00</v>
      </c>
      <c r="AB1238" t="str">
        <f t="shared" si="420"/>
        <v>Residential</v>
      </c>
      <c r="AC1238" t="str">
        <f t="shared" si="399"/>
        <v>0</v>
      </c>
      <c r="AD1238" t="str">
        <f>"4"</f>
        <v>4</v>
      </c>
      <c r="AE1238" t="str">
        <f>"WOOD (INCLUDE STEEL STUDS)"</f>
        <v>WOOD (INCLUDE STEEL STUDS)</v>
      </c>
      <c r="AF1238" t="str">
        <f>"002"</f>
        <v>002</v>
      </c>
      <c r="AG1238" t="str">
        <f t="shared" si="421"/>
        <v>FL</v>
      </c>
      <c r="AH1238" t="str">
        <f>"-"</f>
        <v>-</v>
      </c>
      <c r="AI1238" t="str">
        <f>"10000.00"</f>
        <v>10000.00</v>
      </c>
      <c r="AJ1238" t="str">
        <f>"C55-000-588-1557-2"</f>
        <v>C55-000-588-1557-2</v>
      </c>
      <c r="AK1238" t="str">
        <f>"21006"</f>
        <v>21006</v>
      </c>
      <c r="AL1238">
        <v>5</v>
      </c>
      <c r="AM1238">
        <v>1410</v>
      </c>
      <c r="AN1238">
        <v>352.39</v>
      </c>
      <c r="AQ1238" t="s">
        <v>12645</v>
      </c>
      <c r="AR1238" t="s">
        <v>12645</v>
      </c>
      <c r="AS1238" t="s">
        <v>12645</v>
      </c>
      <c r="AU1238" t="s">
        <v>396</v>
      </c>
      <c r="AV1238">
        <v>2017</v>
      </c>
      <c r="AW1238" t="str">
        <f>"42-2N-27-0000-0056-0010 "</f>
        <v xml:space="preserve">42-2N-27-0000-0056-0010 </v>
      </c>
      <c r="AX1238">
        <v>86075</v>
      </c>
      <c r="AZ1238" t="s">
        <v>12646</v>
      </c>
      <c r="BA1238" t="s">
        <v>496</v>
      </c>
      <c r="BD1238" t="s">
        <v>2387</v>
      </c>
      <c r="BE1238" t="s">
        <v>393</v>
      </c>
      <c r="BF1238">
        <v>32097</v>
      </c>
      <c r="BG1238" t="s">
        <v>12647</v>
      </c>
      <c r="BH1238" t="s">
        <v>2388</v>
      </c>
      <c r="BI1238">
        <v>-81.602561244416606</v>
      </c>
      <c r="BJ1238">
        <v>30.630442940505301</v>
      </c>
      <c r="BK1238" t="s">
        <v>12648</v>
      </c>
      <c r="BM1238" t="s">
        <v>12649</v>
      </c>
      <c r="BN1238" t="s">
        <v>1778</v>
      </c>
      <c r="BO1238">
        <v>32041</v>
      </c>
      <c r="BP1238" t="s">
        <v>404</v>
      </c>
      <c r="BQ1238">
        <v>200</v>
      </c>
      <c r="BR1238" t="s">
        <v>405</v>
      </c>
      <c r="BS1238">
        <v>1006</v>
      </c>
      <c r="BT1238" t="s">
        <v>406</v>
      </c>
      <c r="BW1238">
        <v>18364</v>
      </c>
      <c r="BX1238" t="s">
        <v>407</v>
      </c>
      <c r="BY1238" t="s">
        <v>4413</v>
      </c>
      <c r="BZ1238">
        <v>4</v>
      </c>
      <c r="CA1238">
        <v>1980</v>
      </c>
      <c r="CB1238">
        <v>1</v>
      </c>
      <c r="CC1238">
        <v>1</v>
      </c>
      <c r="CD1238">
        <v>2017</v>
      </c>
      <c r="CE1238">
        <v>10000</v>
      </c>
      <c r="CF1238">
        <v>9583</v>
      </c>
      <c r="CG1238">
        <v>19583</v>
      </c>
      <c r="CH1238">
        <v>2017</v>
      </c>
      <c r="CI1238">
        <v>10000</v>
      </c>
      <c r="CJ1238">
        <v>9583</v>
      </c>
      <c r="CK1238">
        <v>19583</v>
      </c>
      <c r="CL1238">
        <v>2017</v>
      </c>
      <c r="CM1238">
        <v>296.24</v>
      </c>
      <c r="CN1238" s="1">
        <v>29221</v>
      </c>
      <c r="CZ1238" s="1">
        <v>29221</v>
      </c>
      <c r="DD1238" t="s">
        <v>2387</v>
      </c>
      <c r="DG1238">
        <v>42</v>
      </c>
      <c r="DL1238">
        <v>50302</v>
      </c>
      <c r="DM1238" t="s">
        <v>12468</v>
      </c>
      <c r="DO1238" t="s">
        <v>12650</v>
      </c>
      <c r="DP1238">
        <v>0</v>
      </c>
      <c r="DQ1238">
        <v>4</v>
      </c>
      <c r="DR1238" t="s">
        <v>1479</v>
      </c>
      <c r="DS1238" t="b">
        <v>1</v>
      </c>
      <c r="DT1238" t="s">
        <v>470</v>
      </c>
      <c r="DU1238" t="s">
        <v>471</v>
      </c>
      <c r="DV1238" t="s">
        <v>472</v>
      </c>
      <c r="DX1238">
        <v>-9999</v>
      </c>
      <c r="DZ1238" t="s">
        <v>447</v>
      </c>
      <c r="EA1238" t="s">
        <v>448</v>
      </c>
      <c r="EB1238" t="s">
        <v>742</v>
      </c>
      <c r="EC1238">
        <v>20101217</v>
      </c>
      <c r="ED1238" t="s">
        <v>474</v>
      </c>
      <c r="EF1238">
        <v>-9999</v>
      </c>
      <c r="EG1238">
        <v>8824.7999999999993</v>
      </c>
      <c r="EI1238">
        <v>20160407</v>
      </c>
      <c r="EJ1238">
        <v>0</v>
      </c>
      <c r="EK1238">
        <v>0</v>
      </c>
      <c r="EP1238" t="s">
        <v>421</v>
      </c>
      <c r="EQ1238" t="s">
        <v>422</v>
      </c>
      <c r="ER1238">
        <v>2</v>
      </c>
      <c r="ES1238">
        <v>2</v>
      </c>
      <c r="ET1238">
        <v>645.69000000000005</v>
      </c>
      <c r="EU1238">
        <v>49.62</v>
      </c>
      <c r="EV1238">
        <v>695.31</v>
      </c>
      <c r="EW1238" s="2">
        <v>43222</v>
      </c>
      <c r="EX1238" s="1">
        <v>42879</v>
      </c>
      <c r="EY1238">
        <v>2016</v>
      </c>
      <c r="EZ1238">
        <v>322.17</v>
      </c>
      <c r="FA1238" t="s">
        <v>12651</v>
      </c>
      <c r="FB1238">
        <v>6.5</v>
      </c>
      <c r="FC1238" t="s">
        <v>424</v>
      </c>
      <c r="FD1238" t="s">
        <v>454</v>
      </c>
      <c r="FF1238">
        <v>12</v>
      </c>
      <c r="FG1238">
        <v>10125</v>
      </c>
      <c r="FH1238" t="s">
        <v>440</v>
      </c>
      <c r="FJ1238" s="1">
        <v>42515</v>
      </c>
      <c r="FK1238">
        <v>2015</v>
      </c>
      <c r="FL1238">
        <v>323.52</v>
      </c>
      <c r="FM1238" t="s">
        <v>12652</v>
      </c>
      <c r="FN1238">
        <v>0.25</v>
      </c>
      <c r="FO1238" t="s">
        <v>424</v>
      </c>
      <c r="FP1238" t="s">
        <v>454</v>
      </c>
      <c r="FR1238">
        <v>24</v>
      </c>
      <c r="FS1238">
        <v>13139</v>
      </c>
      <c r="FT1238" t="s">
        <v>955</v>
      </c>
      <c r="FV1238" s="1">
        <v>42151</v>
      </c>
      <c r="FW1238">
        <v>2014</v>
      </c>
      <c r="FX1238">
        <v>296.89</v>
      </c>
      <c r="FY1238" t="s">
        <v>12653</v>
      </c>
      <c r="FZ1238">
        <v>15.75</v>
      </c>
      <c r="GA1238" t="s">
        <v>424</v>
      </c>
      <c r="GB1238" t="s">
        <v>425</v>
      </c>
      <c r="GC1238" s="1">
        <v>42807</v>
      </c>
      <c r="GD1238">
        <v>22</v>
      </c>
      <c r="GE1238">
        <v>10125</v>
      </c>
      <c r="GF1238" t="s">
        <v>440</v>
      </c>
      <c r="GH1238" s="1">
        <v>41787</v>
      </c>
      <c r="GI1238">
        <v>2013</v>
      </c>
      <c r="GJ1238">
        <v>282.87</v>
      </c>
      <c r="GK1238" t="s">
        <v>12654</v>
      </c>
      <c r="GL1238">
        <v>0.25</v>
      </c>
      <c r="GM1238" t="s">
        <v>424</v>
      </c>
      <c r="GN1238" t="s">
        <v>425</v>
      </c>
      <c r="GO1238" s="1">
        <v>42429</v>
      </c>
      <c r="GP1238">
        <v>21</v>
      </c>
      <c r="GQ1238">
        <v>10125</v>
      </c>
      <c r="GR1238" t="s">
        <v>440</v>
      </c>
    </row>
    <row r="1239" spans="1:272" x14ac:dyDescent="0.25">
      <c r="A1239">
        <v>16486246</v>
      </c>
      <c r="B1239">
        <v>1238</v>
      </c>
      <c r="C1239" t="s">
        <v>393</v>
      </c>
      <c r="D1239" t="s">
        <v>394</v>
      </c>
      <c r="F1239" t="str">
        <f>"42-2N-27-0000-0066-0000"</f>
        <v>42-2N-27-0000-0066-0000</v>
      </c>
      <c r="H1239" t="str">
        <f>"YULEE REPO HOME CENTER"</f>
        <v>YULEE REPO HOME CENTER</v>
      </c>
      <c r="I1239" t="str">
        <f>"PO BOX 1748"</f>
        <v>PO BOX 1748</v>
      </c>
      <c r="J1239" t="str">
        <f>"YULEE FL 32041"</f>
        <v>YULEE FL 32041</v>
      </c>
      <c r="K1239" t="str">
        <f>"850568 US HWY 17"</f>
        <v>850568 US HWY 17</v>
      </c>
      <c r="L1239" t="str">
        <f t="shared" si="414"/>
        <v>YULEE FL 32097</v>
      </c>
      <c r="M1239" t="str">
        <f>"OR 879/1195 PARCELS 66 &amp; 66-1"</f>
        <v>OR 879/1195 PARCELS 66 &amp; 66-1</v>
      </c>
      <c r="N1239" t="str">
        <f>""</f>
        <v/>
      </c>
      <c r="O1239" t="str">
        <f>"47345"</f>
        <v>47345</v>
      </c>
      <c r="P1239" t="str">
        <f t="shared" si="416"/>
        <v>2017</v>
      </c>
      <c r="Q1239" t="str">
        <f>""</f>
        <v/>
      </c>
      <c r="R1239" t="str">
        <f t="shared" si="417"/>
        <v>N</v>
      </c>
      <c r="S1239" t="str">
        <f>"1.86"</f>
        <v>1.86</v>
      </c>
      <c r="T1239" t="str">
        <f>"1167.38"</f>
        <v>1167.38</v>
      </c>
      <c r="U1239" t="str">
        <f>"77111.00"</f>
        <v>77111.00</v>
      </c>
      <c r="V1239" t="str">
        <f>"77111.00"</f>
        <v>77111.00</v>
      </c>
      <c r="W1239" t="str">
        <f t="shared" si="418"/>
        <v>2017</v>
      </c>
      <c r="X1239" t="str">
        <f>"18.78"</f>
        <v>18.78</v>
      </c>
      <c r="Y1239" t="str">
        <f>"1234.40"</f>
        <v>1234.40</v>
      </c>
      <c r="Z1239" t="str">
        <f>""</f>
        <v/>
      </c>
      <c r="AA1239" t="str">
        <f>"77111.00"</f>
        <v>77111.00</v>
      </c>
      <c r="AB1239" t="str">
        <f>"Commercial"</f>
        <v>Commercial</v>
      </c>
      <c r="AC1239" t="str">
        <f t="shared" si="399"/>
        <v>0</v>
      </c>
      <c r="AD1239" t="str">
        <f>"3"</f>
        <v>3</v>
      </c>
      <c r="AE1239" t="str">
        <f>"MASONRY"</f>
        <v>MASONRY</v>
      </c>
      <c r="AF1239" t="str">
        <f>"011"</f>
        <v>011</v>
      </c>
      <c r="AG1239" t="str">
        <f t="shared" si="421"/>
        <v>FL</v>
      </c>
      <c r="AH1239" t="str">
        <f>"81021.00"</f>
        <v>81021.00</v>
      </c>
      <c r="AI1239" t="str">
        <f>"46500.00"</f>
        <v>46500.00</v>
      </c>
      <c r="AJ1239" t="str">
        <f>"C55-000-588-1566-3"</f>
        <v>C55-000-588-1566-3</v>
      </c>
      <c r="AK1239" t="str">
        <f>"21016"</f>
        <v>21016</v>
      </c>
      <c r="AL1239">
        <v>5</v>
      </c>
      <c r="AM1239">
        <v>1413</v>
      </c>
      <c r="AN1239">
        <v>1294.52</v>
      </c>
      <c r="AQ1239" t="s">
        <v>12655</v>
      </c>
      <c r="AR1239" t="s">
        <v>12655</v>
      </c>
      <c r="AS1239" t="s">
        <v>12655</v>
      </c>
      <c r="AU1239" t="s">
        <v>396</v>
      </c>
      <c r="AV1239">
        <v>2017</v>
      </c>
      <c r="AW1239" t="str">
        <f>"42-2N-27-0000-0066-0000 "</f>
        <v xml:space="preserve">42-2N-27-0000-0066-0000 </v>
      </c>
      <c r="AX1239">
        <v>850568</v>
      </c>
      <c r="AZ1239" t="s">
        <v>11185</v>
      </c>
      <c r="BD1239" t="s">
        <v>2387</v>
      </c>
      <c r="BE1239" t="s">
        <v>393</v>
      </c>
      <c r="BF1239">
        <v>32097</v>
      </c>
      <c r="BG1239" t="s">
        <v>12656</v>
      </c>
      <c r="BH1239" t="s">
        <v>2388</v>
      </c>
      <c r="BI1239">
        <v>-81.596561395087207</v>
      </c>
      <c r="BJ1239">
        <v>30.611556452064601</v>
      </c>
      <c r="BK1239" t="s">
        <v>12657</v>
      </c>
      <c r="BM1239" t="s">
        <v>12658</v>
      </c>
      <c r="BN1239" t="s">
        <v>1778</v>
      </c>
      <c r="BO1239">
        <v>32041</v>
      </c>
      <c r="BP1239" t="s">
        <v>404</v>
      </c>
      <c r="BQ1239">
        <v>1100</v>
      </c>
      <c r="BR1239" t="s">
        <v>4474</v>
      </c>
      <c r="BS1239">
        <v>2000</v>
      </c>
      <c r="BT1239" t="s">
        <v>4475</v>
      </c>
      <c r="BW1239">
        <v>81021</v>
      </c>
      <c r="BX1239" t="s">
        <v>407</v>
      </c>
      <c r="BY1239" t="s">
        <v>4413</v>
      </c>
      <c r="BZ1239">
        <v>3</v>
      </c>
      <c r="CA1239">
        <v>1958</v>
      </c>
      <c r="CB1239">
        <v>1</v>
      </c>
      <c r="CD1239">
        <v>2017</v>
      </c>
      <c r="CE1239">
        <v>46500</v>
      </c>
      <c r="CF1239">
        <v>30611</v>
      </c>
      <c r="CG1239">
        <v>77111</v>
      </c>
      <c r="CH1239">
        <v>2017</v>
      </c>
      <c r="CI1239">
        <v>46500</v>
      </c>
      <c r="CJ1239">
        <v>30611</v>
      </c>
      <c r="CK1239">
        <v>77111</v>
      </c>
      <c r="CL1239">
        <v>2017</v>
      </c>
      <c r="CM1239">
        <v>1167.3800000000001</v>
      </c>
      <c r="CN1239" s="1">
        <v>36270</v>
      </c>
      <c r="CO1239">
        <v>149000</v>
      </c>
      <c r="CZ1239" s="1">
        <v>36270</v>
      </c>
      <c r="DD1239" t="s">
        <v>2387</v>
      </c>
      <c r="DG1239">
        <v>42</v>
      </c>
      <c r="DL1239">
        <v>50302</v>
      </c>
      <c r="DM1239" t="s">
        <v>12468</v>
      </c>
      <c r="DO1239" t="s">
        <v>12659</v>
      </c>
      <c r="DP1239">
        <v>1</v>
      </c>
      <c r="DQ1239">
        <v>2</v>
      </c>
      <c r="DR1239" t="s">
        <v>1174</v>
      </c>
      <c r="DS1239" t="b">
        <v>1</v>
      </c>
      <c r="DT1239" t="s">
        <v>470</v>
      </c>
      <c r="DU1239" t="s">
        <v>471</v>
      </c>
      <c r="DV1239" t="s">
        <v>472</v>
      </c>
      <c r="DX1239">
        <v>-9999</v>
      </c>
      <c r="DZ1239" t="s">
        <v>447</v>
      </c>
      <c r="EA1239" t="s">
        <v>448</v>
      </c>
      <c r="EB1239" t="s">
        <v>742</v>
      </c>
      <c r="EC1239">
        <v>20101217</v>
      </c>
      <c r="ED1239" t="s">
        <v>474</v>
      </c>
      <c r="EF1239">
        <v>3196.9</v>
      </c>
      <c r="EG1239">
        <v>3196.9</v>
      </c>
      <c r="EH1239" t="s">
        <v>451</v>
      </c>
      <c r="EI1239">
        <v>20140731</v>
      </c>
      <c r="EJ1239">
        <v>3</v>
      </c>
      <c r="EK1239">
        <v>0</v>
      </c>
      <c r="EP1239" t="s">
        <v>421</v>
      </c>
      <c r="EQ1239" t="s">
        <v>452</v>
      </c>
      <c r="ER1239">
        <v>2</v>
      </c>
      <c r="ES1239">
        <v>8</v>
      </c>
      <c r="ET1239">
        <v>2589.36</v>
      </c>
      <c r="EU1239">
        <v>141.97</v>
      </c>
      <c r="EV1239">
        <v>2731.33</v>
      </c>
      <c r="EW1239" s="2">
        <v>43222</v>
      </c>
      <c r="EX1239" s="1">
        <v>42879</v>
      </c>
      <c r="EY1239">
        <v>2016</v>
      </c>
      <c r="EZ1239">
        <v>1294.68</v>
      </c>
      <c r="FA1239" t="s">
        <v>12660</v>
      </c>
      <c r="FB1239">
        <v>0.25</v>
      </c>
      <c r="FC1239" t="s">
        <v>424</v>
      </c>
      <c r="FD1239" t="s">
        <v>454</v>
      </c>
      <c r="FF1239">
        <v>12</v>
      </c>
      <c r="FG1239">
        <v>7336671</v>
      </c>
      <c r="FH1239" t="s">
        <v>437</v>
      </c>
      <c r="FJ1239" s="1">
        <v>42879</v>
      </c>
      <c r="FK1239">
        <v>2016</v>
      </c>
      <c r="FL1239">
        <v>1294.68</v>
      </c>
      <c r="FM1239" t="s">
        <v>12660</v>
      </c>
      <c r="FN1239">
        <v>0.25</v>
      </c>
      <c r="FO1239" t="s">
        <v>424</v>
      </c>
      <c r="FP1239" t="s">
        <v>454</v>
      </c>
      <c r="FR1239">
        <v>12</v>
      </c>
      <c r="FS1239">
        <v>6902228</v>
      </c>
      <c r="FT1239" t="s">
        <v>12661</v>
      </c>
      <c r="FV1239" s="1">
        <v>42151</v>
      </c>
      <c r="FW1239">
        <v>2014</v>
      </c>
      <c r="FX1239">
        <v>2200.6</v>
      </c>
      <c r="FY1239" t="s">
        <v>12662</v>
      </c>
      <c r="FZ1239">
        <v>4.75</v>
      </c>
      <c r="GA1239" t="s">
        <v>424</v>
      </c>
      <c r="GB1239" t="s">
        <v>425</v>
      </c>
      <c r="GC1239" s="1">
        <v>42311</v>
      </c>
      <c r="GD1239">
        <v>6</v>
      </c>
      <c r="GE1239">
        <v>4844942</v>
      </c>
      <c r="GF1239" t="s">
        <v>2472</v>
      </c>
      <c r="GG1239" t="s">
        <v>458</v>
      </c>
      <c r="GH1239" s="1">
        <v>41787</v>
      </c>
      <c r="GI1239">
        <v>2013</v>
      </c>
      <c r="GJ1239">
        <v>2087.41</v>
      </c>
      <c r="GK1239" t="s">
        <v>12663</v>
      </c>
      <c r="GL1239">
        <v>0.25</v>
      </c>
      <c r="GM1239" t="s">
        <v>424</v>
      </c>
      <c r="GN1239" t="s">
        <v>425</v>
      </c>
      <c r="GO1239" s="1">
        <v>42311</v>
      </c>
      <c r="GP1239">
        <v>18</v>
      </c>
      <c r="GQ1239">
        <v>2851116</v>
      </c>
      <c r="GR1239" t="s">
        <v>480</v>
      </c>
      <c r="GS1239" t="s">
        <v>458</v>
      </c>
      <c r="GT1239" s="1">
        <v>41423</v>
      </c>
      <c r="GU1239">
        <v>2012</v>
      </c>
      <c r="GV1239">
        <v>2116.21</v>
      </c>
      <c r="GW1239" t="s">
        <v>12664</v>
      </c>
      <c r="GX1239">
        <v>0.25</v>
      </c>
      <c r="GY1239" t="s">
        <v>424</v>
      </c>
      <c r="GZ1239" t="s">
        <v>425</v>
      </c>
      <c r="HB1239">
        <v>22</v>
      </c>
      <c r="HC1239">
        <v>606981</v>
      </c>
      <c r="HD1239" t="s">
        <v>792</v>
      </c>
      <c r="HE1239" t="s">
        <v>458</v>
      </c>
      <c r="HF1239" s="1">
        <v>41423</v>
      </c>
      <c r="HG1239">
        <v>2012</v>
      </c>
      <c r="HH1239">
        <v>2116.21</v>
      </c>
      <c r="HI1239" t="s">
        <v>12664</v>
      </c>
      <c r="HJ1239">
        <v>0.25</v>
      </c>
      <c r="HK1239" t="s">
        <v>424</v>
      </c>
      <c r="HL1239" t="s">
        <v>425</v>
      </c>
      <c r="HN1239">
        <v>22</v>
      </c>
      <c r="HO1239">
        <v>10594</v>
      </c>
      <c r="HP1239" t="s">
        <v>4543</v>
      </c>
      <c r="HQ1239" t="s">
        <v>458</v>
      </c>
      <c r="HR1239" s="1">
        <v>41423</v>
      </c>
      <c r="HS1239">
        <v>2012</v>
      </c>
      <c r="HT1239">
        <v>2116.21</v>
      </c>
      <c r="HU1239" t="s">
        <v>12664</v>
      </c>
      <c r="HV1239">
        <v>0.25</v>
      </c>
      <c r="HW1239" t="s">
        <v>424</v>
      </c>
      <c r="HX1239" t="s">
        <v>425</v>
      </c>
      <c r="HZ1239">
        <v>22</v>
      </c>
      <c r="IA1239">
        <v>7045052</v>
      </c>
      <c r="IB1239" t="s">
        <v>4544</v>
      </c>
      <c r="IC1239" t="s">
        <v>458</v>
      </c>
      <c r="ID1239" s="1">
        <v>41052</v>
      </c>
      <c r="IE1239">
        <v>2011</v>
      </c>
      <c r="IF1239">
        <v>2855.12</v>
      </c>
      <c r="IG1239" t="s">
        <v>12665</v>
      </c>
      <c r="IH1239">
        <v>4.75</v>
      </c>
      <c r="II1239" t="s">
        <v>424</v>
      </c>
      <c r="IJ1239" t="s">
        <v>425</v>
      </c>
      <c r="IK1239" s="1">
        <v>41698</v>
      </c>
      <c r="IL1239">
        <v>21</v>
      </c>
      <c r="IM1239">
        <v>1625515</v>
      </c>
      <c r="IN1239" t="s">
        <v>487</v>
      </c>
      <c r="IP1239" s="1">
        <v>41052</v>
      </c>
      <c r="IQ1239">
        <v>2011</v>
      </c>
      <c r="IR1239">
        <v>2855.12</v>
      </c>
      <c r="IS1239" t="s">
        <v>12665</v>
      </c>
      <c r="IT1239">
        <v>4.75</v>
      </c>
      <c r="IU1239" t="s">
        <v>424</v>
      </c>
      <c r="IV1239" t="s">
        <v>425</v>
      </c>
      <c r="IX1239">
        <v>22</v>
      </c>
      <c r="IY1239">
        <v>10579</v>
      </c>
      <c r="IZ1239" t="s">
        <v>488</v>
      </c>
      <c r="JB1239" s="1">
        <v>40688</v>
      </c>
      <c r="JC1239">
        <v>2010</v>
      </c>
      <c r="JD1239">
        <v>3090.45</v>
      </c>
      <c r="JE1239" t="s">
        <v>12666</v>
      </c>
      <c r="JF1239">
        <v>5</v>
      </c>
      <c r="JG1239" t="s">
        <v>424</v>
      </c>
      <c r="JH1239" t="s">
        <v>425</v>
      </c>
      <c r="JI1239" s="1">
        <v>41334</v>
      </c>
      <c r="JJ1239">
        <v>22</v>
      </c>
      <c r="JK1239">
        <v>287</v>
      </c>
      <c r="JL1239" t="s">
        <v>572</v>
      </c>
    </row>
    <row r="1240" spans="1:272" x14ac:dyDescent="0.25">
      <c r="A1240">
        <v>16486247</v>
      </c>
      <c r="B1240">
        <v>1239</v>
      </c>
      <c r="C1240" t="s">
        <v>393</v>
      </c>
      <c r="D1240" t="s">
        <v>394</v>
      </c>
      <c r="F1240" t="str">
        <f>"42-2N-27-0000-0079-0010"</f>
        <v>42-2N-27-0000-0079-0010</v>
      </c>
      <c r="H1240" t="str">
        <f>"CLAXTON JOHN L"</f>
        <v>CLAXTON JOHN L</v>
      </c>
      <c r="I1240" t="str">
        <f>"85127 HARTS ROAD"</f>
        <v>85127 HARTS ROAD</v>
      </c>
      <c r="J1240" t="str">
        <f>"YULEE FL 32097"</f>
        <v>YULEE FL 32097</v>
      </c>
      <c r="K1240" t="str">
        <f>"HARTS RD"</f>
        <v>HARTS RD</v>
      </c>
      <c r="L1240" t="str">
        <f t="shared" si="414"/>
        <v>YULEE FL 32097</v>
      </c>
      <c r="M1240" t="str">
        <f>"IN OR 2128/946 RP 434356"</f>
        <v>IN OR 2128/946 RP 434356</v>
      </c>
      <c r="N1240" t="str">
        <f>""</f>
        <v/>
      </c>
      <c r="O1240" t="str">
        <f>"47393"</f>
        <v>47393</v>
      </c>
      <c r="P1240" t="str">
        <f t="shared" si="416"/>
        <v>2017</v>
      </c>
      <c r="Q1240" t="str">
        <f>""</f>
        <v/>
      </c>
      <c r="R1240" t="str">
        <f t="shared" si="417"/>
        <v>N</v>
      </c>
      <c r="S1240" t="str">
        <f>""</f>
        <v/>
      </c>
      <c r="T1240" t="str">
        <f>"1597.45"</f>
        <v>1597.45</v>
      </c>
      <c r="U1240" t="str">
        <f>"105520.00"</f>
        <v>105520.00</v>
      </c>
      <c r="V1240" t="str">
        <f>"105520.00"</f>
        <v>105520.00</v>
      </c>
      <c r="W1240" t="str">
        <f t="shared" si="418"/>
        <v>2017</v>
      </c>
      <c r="X1240" t="str">
        <f>""</f>
        <v/>
      </c>
      <c r="Y1240" t="str">
        <f>"1677.37"</f>
        <v>1677.37</v>
      </c>
      <c r="Z1240" t="str">
        <f>""</f>
        <v/>
      </c>
      <c r="AA1240" t="str">
        <f>"105520.00"</f>
        <v>105520.00</v>
      </c>
      <c r="AB1240" t="str">
        <f>"Residential"</f>
        <v>Residential</v>
      </c>
      <c r="AC1240" t="str">
        <f t="shared" ref="AC1240:AC1303" si="422">"0"</f>
        <v>0</v>
      </c>
      <c r="AD1240" t="str">
        <f>""</f>
        <v/>
      </c>
      <c r="AE1240" t="str">
        <f>""</f>
        <v/>
      </c>
      <c r="AF1240" t="str">
        <f>"000"</f>
        <v>000</v>
      </c>
      <c r="AG1240" t="str">
        <f t="shared" si="421"/>
        <v>FL</v>
      </c>
      <c r="AH1240" t="str">
        <f>"63357.00"</f>
        <v>63357.00</v>
      </c>
      <c r="AI1240" t="str">
        <f>"98020.00"</f>
        <v>98020.00</v>
      </c>
      <c r="AJ1240" t="str">
        <f>"C55-001-028-2452-1"</f>
        <v>C55-001-028-2452-1</v>
      </c>
      <c r="AK1240" t="str">
        <f>"21059"</f>
        <v>21059</v>
      </c>
      <c r="AL1240">
        <v>5</v>
      </c>
      <c r="AM1240">
        <v>1414</v>
      </c>
      <c r="AN1240">
        <v>1759.64</v>
      </c>
      <c r="AQ1240" t="s">
        <v>12667</v>
      </c>
      <c r="AR1240" t="s">
        <v>12667</v>
      </c>
      <c r="AS1240" t="s">
        <v>12667</v>
      </c>
      <c r="AU1240" t="s">
        <v>396</v>
      </c>
      <c r="AV1240">
        <v>2017</v>
      </c>
      <c r="AW1240" t="str">
        <f>"42-2N-27-0000-0079-0010 "</f>
        <v xml:space="preserve">42-2N-27-0000-0079-0010 </v>
      </c>
      <c r="AZ1240" t="s">
        <v>11534</v>
      </c>
      <c r="BA1240" t="s">
        <v>496</v>
      </c>
      <c r="BD1240" t="s">
        <v>2387</v>
      </c>
      <c r="BE1240" t="s">
        <v>393</v>
      </c>
      <c r="BF1240">
        <v>32097</v>
      </c>
      <c r="BG1240" t="s">
        <v>12668</v>
      </c>
      <c r="BH1240" t="s">
        <v>2388</v>
      </c>
      <c r="BI1240">
        <v>-81.593601149409693</v>
      </c>
      <c r="BJ1240">
        <v>30.592466976603699</v>
      </c>
      <c r="BK1240" t="s">
        <v>12669</v>
      </c>
      <c r="BM1240" t="s">
        <v>12670</v>
      </c>
      <c r="BN1240" t="s">
        <v>1778</v>
      </c>
      <c r="BO1240">
        <v>32097</v>
      </c>
      <c r="BP1240" t="s">
        <v>416</v>
      </c>
      <c r="BQ1240">
        <v>1</v>
      </c>
      <c r="BR1240" t="s">
        <v>491</v>
      </c>
      <c r="BS1240">
        <v>8001</v>
      </c>
      <c r="BT1240" t="s">
        <v>492</v>
      </c>
      <c r="BU1240">
        <v>2320</v>
      </c>
      <c r="BV1240">
        <v>0</v>
      </c>
      <c r="BW1240">
        <v>63357</v>
      </c>
      <c r="BX1240" t="s">
        <v>407</v>
      </c>
      <c r="BY1240" t="s">
        <v>4360</v>
      </c>
      <c r="CD1240">
        <v>2017</v>
      </c>
      <c r="CE1240">
        <v>98020</v>
      </c>
      <c r="CF1240">
        <v>7500</v>
      </c>
      <c r="CG1240">
        <v>105520</v>
      </c>
      <c r="CH1240">
        <v>2017</v>
      </c>
      <c r="CI1240">
        <v>98020</v>
      </c>
      <c r="CJ1240">
        <v>7500</v>
      </c>
      <c r="CK1240">
        <v>105520</v>
      </c>
      <c r="CL1240">
        <v>2017</v>
      </c>
      <c r="CM1240">
        <v>1597.45</v>
      </c>
      <c r="CN1240" s="1">
        <v>39759</v>
      </c>
      <c r="CZ1240" s="1">
        <v>39759</v>
      </c>
      <c r="DD1240" t="s">
        <v>2387</v>
      </c>
      <c r="DG1240">
        <v>42</v>
      </c>
      <c r="DL1240">
        <v>50302</v>
      </c>
      <c r="DM1240" t="s">
        <v>12468</v>
      </c>
      <c r="DO1240" t="s">
        <v>12671</v>
      </c>
      <c r="DP1240">
        <v>0</v>
      </c>
      <c r="DQ1240">
        <v>0</v>
      </c>
      <c r="DR1240" t="s">
        <v>411</v>
      </c>
    </row>
    <row r="1241" spans="1:272" x14ac:dyDescent="0.25">
      <c r="A1241">
        <v>16486248</v>
      </c>
      <c r="B1241">
        <v>1240</v>
      </c>
      <c r="C1241" t="s">
        <v>393</v>
      </c>
      <c r="D1241" t="s">
        <v>394</v>
      </c>
      <c r="F1241" t="str">
        <f>"42-2N-27-0000-0084-0000"</f>
        <v>42-2N-27-0000-0084-0000</v>
      </c>
      <c r="H1241" t="str">
        <f>"CARTER IVEY J TRUSTEE F/B/O TRAE NORMAN"</f>
        <v>CARTER IVEY J TRUSTEE F/B/O TRAE NORMAN</v>
      </c>
      <c r="I1241" t="str">
        <f>"85558 WILSON NECK RD"</f>
        <v>85558 WILSON NECK RD</v>
      </c>
      <c r="J1241" t="str">
        <f>"YULEE FL 32097"</f>
        <v>YULEE FL 32097</v>
      </c>
      <c r="K1241" t="str">
        <f>"85043 HARTS RD"</f>
        <v>85043 HARTS RD</v>
      </c>
      <c r="L1241" t="str">
        <f t="shared" si="414"/>
        <v>YULEE FL 32097</v>
      </c>
      <c r="M1241" t="str">
        <f>"IN OR 2017/1050 &amp; OR 2017/1070"</f>
        <v>IN OR 2017/1050 &amp; OR 2017/1070</v>
      </c>
      <c r="N1241" t="str">
        <f>""</f>
        <v/>
      </c>
      <c r="O1241" t="str">
        <f>"47407"</f>
        <v>47407</v>
      </c>
      <c r="P1241" t="str">
        <f t="shared" si="416"/>
        <v>2017</v>
      </c>
      <c r="Q1241" t="str">
        <f>""</f>
        <v/>
      </c>
      <c r="R1241" t="str">
        <f t="shared" si="417"/>
        <v>N</v>
      </c>
      <c r="S1241" t="str">
        <f>"3.00"</f>
        <v>3.00</v>
      </c>
      <c r="T1241" t="str">
        <f>"3213.38"</f>
        <v>3213.38</v>
      </c>
      <c r="U1241" t="str">
        <f>"212261.00"</f>
        <v>212261.00</v>
      </c>
      <c r="V1241" t="str">
        <f>"212261.00"</f>
        <v>212261.00</v>
      </c>
      <c r="W1241" t="str">
        <f t="shared" si="418"/>
        <v>2017</v>
      </c>
      <c r="X1241" t="str">
        <f>""</f>
        <v/>
      </c>
      <c r="Y1241" t="str">
        <f>"3341.78"</f>
        <v>3341.78</v>
      </c>
      <c r="Z1241" t="str">
        <f>""</f>
        <v/>
      </c>
      <c r="AA1241" t="str">
        <f>"212261.00"</f>
        <v>212261.00</v>
      </c>
      <c r="AB1241" t="str">
        <f>"Residential"</f>
        <v>Residential</v>
      </c>
      <c r="AC1241" t="str">
        <f t="shared" si="422"/>
        <v>0</v>
      </c>
      <c r="AD1241" t="str">
        <f>"4"</f>
        <v>4</v>
      </c>
      <c r="AE1241" t="str">
        <f>"WOOD (INCLUDE STEEL STUDS)"</f>
        <v>WOOD (INCLUDE STEEL STUDS)</v>
      </c>
      <c r="AF1241" t="str">
        <f>"001"</f>
        <v>001</v>
      </c>
      <c r="AG1241" t="str">
        <f t="shared" si="421"/>
        <v>FL</v>
      </c>
      <c r="AH1241" t="str">
        <f>"130680.00"</f>
        <v>130680.00</v>
      </c>
      <c r="AI1241" t="str">
        <f>"146250.00"</f>
        <v>146250.00</v>
      </c>
      <c r="AJ1241" t="str">
        <f>"C55-000-588-1616-6"</f>
        <v>C55-000-588-1616-6</v>
      </c>
      <c r="AK1241" t="str">
        <f>"21070"</f>
        <v>21070</v>
      </c>
      <c r="AL1241">
        <v>5</v>
      </c>
      <c r="AM1241">
        <v>1415</v>
      </c>
      <c r="AN1241">
        <v>3507.27</v>
      </c>
      <c r="AQ1241" t="s">
        <v>12672</v>
      </c>
      <c r="AR1241" t="s">
        <v>12672</v>
      </c>
      <c r="AS1241" t="s">
        <v>12672</v>
      </c>
      <c r="AU1241" t="s">
        <v>396</v>
      </c>
      <c r="AV1241">
        <v>2017</v>
      </c>
      <c r="AW1241" t="str">
        <f>"42-2N-27-0000-0084-0000 "</f>
        <v xml:space="preserve">42-2N-27-0000-0084-0000 </v>
      </c>
      <c r="AX1241">
        <v>85043</v>
      </c>
      <c r="AZ1241" t="s">
        <v>11534</v>
      </c>
      <c r="BA1241" t="s">
        <v>496</v>
      </c>
      <c r="BD1241" t="s">
        <v>2387</v>
      </c>
      <c r="BE1241" t="s">
        <v>393</v>
      </c>
      <c r="BF1241">
        <v>32097</v>
      </c>
      <c r="BG1241" t="s">
        <v>12673</v>
      </c>
      <c r="BH1241" t="s">
        <v>2388</v>
      </c>
      <c r="BI1241">
        <v>-81.589910161067493</v>
      </c>
      <c r="BJ1241">
        <v>30.588179679722199</v>
      </c>
      <c r="BK1241" t="s">
        <v>12674</v>
      </c>
      <c r="BM1241" t="s">
        <v>12673</v>
      </c>
      <c r="BN1241" t="s">
        <v>1778</v>
      </c>
      <c r="BO1241">
        <v>32097</v>
      </c>
      <c r="BP1241" t="s">
        <v>416</v>
      </c>
      <c r="BQ1241">
        <v>100</v>
      </c>
      <c r="BR1241" t="s">
        <v>514</v>
      </c>
      <c r="BS1241">
        <v>1001</v>
      </c>
      <c r="BT1241" t="s">
        <v>515</v>
      </c>
      <c r="BW1241">
        <v>130680</v>
      </c>
      <c r="BX1241" t="s">
        <v>407</v>
      </c>
      <c r="BY1241" t="s">
        <v>4360</v>
      </c>
      <c r="BZ1241">
        <v>4</v>
      </c>
      <c r="CA1241">
        <v>1955</v>
      </c>
      <c r="CB1241">
        <v>1</v>
      </c>
      <c r="CC1241">
        <v>2</v>
      </c>
      <c r="CD1241">
        <v>2017</v>
      </c>
      <c r="CE1241">
        <v>146250</v>
      </c>
      <c r="CF1241">
        <v>66011</v>
      </c>
      <c r="CG1241">
        <v>212261</v>
      </c>
      <c r="CH1241">
        <v>2017</v>
      </c>
      <c r="CI1241">
        <v>146250</v>
      </c>
      <c r="CJ1241">
        <v>66011</v>
      </c>
      <c r="CK1241">
        <v>212261</v>
      </c>
      <c r="CL1241">
        <v>2017</v>
      </c>
      <c r="CM1241">
        <v>3213.38</v>
      </c>
      <c r="CN1241" s="1">
        <v>42346</v>
      </c>
      <c r="CZ1241" s="1">
        <v>42346</v>
      </c>
      <c r="DD1241" t="s">
        <v>2387</v>
      </c>
      <c r="DG1241">
        <v>42</v>
      </c>
      <c r="DL1241">
        <v>50303</v>
      </c>
      <c r="DM1241" t="s">
        <v>12468</v>
      </c>
      <c r="DO1241" t="s">
        <v>12675</v>
      </c>
      <c r="DP1241">
        <v>0</v>
      </c>
      <c r="DQ1241">
        <v>1</v>
      </c>
      <c r="DR1241" t="s">
        <v>411</v>
      </c>
      <c r="DS1241" t="b">
        <v>1</v>
      </c>
      <c r="DT1241" t="s">
        <v>470</v>
      </c>
      <c r="DU1241" t="s">
        <v>471</v>
      </c>
      <c r="DV1241" t="s">
        <v>472</v>
      </c>
      <c r="DX1241">
        <v>-9999</v>
      </c>
      <c r="DZ1241" t="s">
        <v>447</v>
      </c>
      <c r="EA1241" t="s">
        <v>448</v>
      </c>
      <c r="EB1241" t="s">
        <v>742</v>
      </c>
      <c r="EC1241">
        <v>20101217</v>
      </c>
      <c r="ED1241" t="s">
        <v>474</v>
      </c>
      <c r="EF1241">
        <v>207.4</v>
      </c>
      <c r="EG1241">
        <v>154.30000000000001</v>
      </c>
      <c r="EI1241">
        <v>20160407</v>
      </c>
      <c r="EJ1241">
        <v>0</v>
      </c>
      <c r="EK1241">
        <v>0</v>
      </c>
    </row>
    <row r="1242" spans="1:272" x14ac:dyDescent="0.25">
      <c r="A1242">
        <v>16486249</v>
      </c>
      <c r="B1242">
        <v>1241</v>
      </c>
      <c r="C1242" t="s">
        <v>393</v>
      </c>
      <c r="D1242" t="s">
        <v>394</v>
      </c>
      <c r="F1242" t="str">
        <f>"42-2N-27-0000-0085-0010"</f>
        <v>42-2N-27-0000-0085-0010</v>
      </c>
      <c r="H1242" t="str">
        <f>"WILSON DAVID GLEN"</f>
        <v>WILSON DAVID GLEN</v>
      </c>
      <c r="I1242" t="str">
        <f>"85011 HARTS ROAD"</f>
        <v>85011 HARTS ROAD</v>
      </c>
      <c r="J1242" t="str">
        <f>"YULEE FL 32097"</f>
        <v>YULEE FL 32097</v>
      </c>
      <c r="K1242" t="str">
        <f>"85011 HARTS RD"</f>
        <v>85011 HARTS RD</v>
      </c>
      <c r="L1242" t="str">
        <f t="shared" si="414"/>
        <v>YULEE FL 32097</v>
      </c>
      <c r="M1242" t="str">
        <f>"IN OR 1461/727 PARCELS 85-1 &amp; 85-2"</f>
        <v>IN OR 1461/727 PARCELS 85-1 &amp; 85-2</v>
      </c>
      <c r="N1242" t="str">
        <f>""</f>
        <v/>
      </c>
      <c r="O1242" t="str">
        <f>"47409"</f>
        <v>47409</v>
      </c>
      <c r="P1242" t="str">
        <f t="shared" si="416"/>
        <v>2017</v>
      </c>
      <c r="Q1242" t="str">
        <f>""</f>
        <v/>
      </c>
      <c r="R1242" t="str">
        <f>"Y"</f>
        <v>Y</v>
      </c>
      <c r="S1242" t="str">
        <f>"1.00"</f>
        <v>1.00</v>
      </c>
      <c r="T1242" t="str">
        <f>"1031.27"</f>
        <v>1031.27</v>
      </c>
      <c r="U1242" t="str">
        <f>"107226.00"</f>
        <v>107226.00</v>
      </c>
      <c r="V1242" t="str">
        <f>"107226.00"</f>
        <v>107226.00</v>
      </c>
      <c r="W1242" t="str">
        <f t="shared" si="418"/>
        <v>2017</v>
      </c>
      <c r="X1242" t="str">
        <f>""</f>
        <v/>
      </c>
      <c r="Y1242" t="str">
        <f>"1094.21"</f>
        <v>1094.21</v>
      </c>
      <c r="Z1242" t="str">
        <f>"25000.00"</f>
        <v>25000.00</v>
      </c>
      <c r="AA1242" t="str">
        <f>"82226.00"</f>
        <v>82226.00</v>
      </c>
      <c r="AB1242" t="str">
        <f>"Residential"</f>
        <v>Residential</v>
      </c>
      <c r="AC1242" t="str">
        <f t="shared" si="422"/>
        <v>0</v>
      </c>
      <c r="AD1242" t="str">
        <f>"4"</f>
        <v>4</v>
      </c>
      <c r="AE1242" t="str">
        <f>"WOOD (INCLUDE STEEL STUDS)"</f>
        <v>WOOD (INCLUDE STEEL STUDS)</v>
      </c>
      <c r="AF1242" t="str">
        <f>"001"</f>
        <v>001</v>
      </c>
      <c r="AG1242" t="str">
        <f t="shared" si="421"/>
        <v>FL</v>
      </c>
      <c r="AH1242" t="str">
        <f>"43560.00"</f>
        <v>43560.00</v>
      </c>
      <c r="AI1242" t="str">
        <f>"28000.00"</f>
        <v>28000.00</v>
      </c>
      <c r="AJ1242" t="str">
        <f>"C55-000-588-1618-2"</f>
        <v>C55-000-588-1618-2</v>
      </c>
      <c r="AK1242" t="str">
        <f>"21072"</f>
        <v>21072</v>
      </c>
      <c r="AL1242">
        <v>5</v>
      </c>
      <c r="AM1242">
        <v>1416</v>
      </c>
      <c r="AN1242">
        <v>1147.32</v>
      </c>
      <c r="AQ1242" t="s">
        <v>12676</v>
      </c>
      <c r="AR1242" t="s">
        <v>12676</v>
      </c>
      <c r="AS1242" t="s">
        <v>12676</v>
      </c>
      <c r="AU1242" t="s">
        <v>396</v>
      </c>
      <c r="AV1242">
        <v>2017</v>
      </c>
      <c r="AW1242" t="str">
        <f>"42-2N-27-0000-0085-0010 "</f>
        <v xml:space="preserve">42-2N-27-0000-0085-0010 </v>
      </c>
      <c r="AX1242">
        <v>85011</v>
      </c>
      <c r="AZ1242" t="s">
        <v>11534</v>
      </c>
      <c r="BA1242" t="s">
        <v>496</v>
      </c>
      <c r="BD1242" t="s">
        <v>2387</v>
      </c>
      <c r="BE1242" t="s">
        <v>393</v>
      </c>
      <c r="BF1242">
        <v>32097</v>
      </c>
      <c r="BG1242" t="s">
        <v>12677</v>
      </c>
      <c r="BH1242" t="s">
        <v>2388</v>
      </c>
      <c r="BI1242">
        <v>-81.588775269246</v>
      </c>
      <c r="BJ1242">
        <v>30.588956343204501</v>
      </c>
      <c r="BK1242" t="s">
        <v>12678</v>
      </c>
      <c r="BM1242" t="s">
        <v>12677</v>
      </c>
      <c r="BN1242" t="s">
        <v>1778</v>
      </c>
      <c r="BO1242">
        <v>32097</v>
      </c>
      <c r="BP1242" t="s">
        <v>416</v>
      </c>
      <c r="BQ1242">
        <v>100</v>
      </c>
      <c r="BR1242" t="s">
        <v>514</v>
      </c>
      <c r="BS1242">
        <v>1001</v>
      </c>
      <c r="BT1242" t="s">
        <v>515</v>
      </c>
      <c r="BW1242">
        <v>43560</v>
      </c>
      <c r="BX1242" t="s">
        <v>407</v>
      </c>
      <c r="BY1242" t="s">
        <v>4360</v>
      </c>
      <c r="BZ1242">
        <v>4</v>
      </c>
      <c r="CA1242">
        <v>1977</v>
      </c>
      <c r="CB1242">
        <v>1</v>
      </c>
      <c r="CC1242">
        <v>1</v>
      </c>
      <c r="CD1242">
        <v>2017</v>
      </c>
      <c r="CG1242">
        <v>107226</v>
      </c>
      <c r="CH1242">
        <v>2017</v>
      </c>
      <c r="CI1242">
        <v>28000</v>
      </c>
      <c r="CJ1242">
        <v>88169</v>
      </c>
      <c r="CK1242">
        <v>116169</v>
      </c>
      <c r="CL1242">
        <v>2017</v>
      </c>
      <c r="CM1242">
        <v>1031.27</v>
      </c>
      <c r="CN1242" s="1">
        <v>39048</v>
      </c>
      <c r="CZ1242" s="1">
        <v>39048</v>
      </c>
      <c r="DD1242" t="s">
        <v>2387</v>
      </c>
      <c r="DG1242">
        <v>42</v>
      </c>
      <c r="DL1242">
        <v>50303</v>
      </c>
      <c r="DM1242" t="s">
        <v>12468</v>
      </c>
      <c r="DO1242" t="s">
        <v>12679</v>
      </c>
      <c r="DP1242">
        <v>0</v>
      </c>
      <c r="DQ1242">
        <v>0</v>
      </c>
      <c r="DR1242" t="s">
        <v>411</v>
      </c>
    </row>
    <row r="1243" spans="1:272" x14ac:dyDescent="0.25">
      <c r="A1243">
        <v>16486250</v>
      </c>
      <c r="B1243">
        <v>1242</v>
      </c>
      <c r="C1243" t="s">
        <v>393</v>
      </c>
      <c r="D1243" t="s">
        <v>394</v>
      </c>
      <c r="F1243" t="str">
        <f>"42-2N-27-0000-0086-0000"</f>
        <v>42-2N-27-0000-0086-0000</v>
      </c>
      <c r="H1243" t="str">
        <f>"JOHNNY L DUDLEY LLC"</f>
        <v>JOHNNY L DUDLEY LLC</v>
      </c>
      <c r="I1243" t="str">
        <f>"11478 PINE ST"</f>
        <v>11478 PINE ST</v>
      </c>
      <c r="J1243" t="str">
        <f>"JACKSONVILLE FL 32258"</f>
        <v>JACKSONVILLE FL 32258</v>
      </c>
      <c r="K1243" t="str">
        <f>"US HWY 17"</f>
        <v>US HWY 17</v>
      </c>
      <c r="L1243" t="str">
        <f t="shared" si="414"/>
        <v>YULEE FL 32097</v>
      </c>
      <c r="M1243" t="str">
        <f>"PT OR 1732/1480 (EX 86-1 &amp; 86-3 &amp; OR 2116/1726 EX R/W PT OR 1006/1213) RECIPRICAL ESMT PT 1010/302"</f>
        <v>PT OR 1732/1480 (EX 86-1 &amp; 86-3 &amp; OR 2116/1726 EX R/W PT OR 1006/1213) RECIPRICAL ESMT PT 1010/302</v>
      </c>
      <c r="N1243" t="str">
        <f>""</f>
        <v/>
      </c>
      <c r="O1243" t="str">
        <f>"47410"</f>
        <v>47410</v>
      </c>
      <c r="P1243" t="str">
        <f t="shared" si="416"/>
        <v>2017</v>
      </c>
      <c r="Q1243" t="str">
        <f>""</f>
        <v/>
      </c>
      <c r="R1243" t="str">
        <f>"N"</f>
        <v>N</v>
      </c>
      <c r="S1243" t="str">
        <f>""</f>
        <v/>
      </c>
      <c r="T1243" t="str">
        <f>"1099.19"</f>
        <v>1099.19</v>
      </c>
      <c r="U1243" t="str">
        <f>"72608.00"</f>
        <v>72608.00</v>
      </c>
      <c r="V1243" t="str">
        <f>"72608.00"</f>
        <v>72608.00</v>
      </c>
      <c r="W1243" t="str">
        <f t="shared" si="418"/>
        <v>2017</v>
      </c>
      <c r="X1243" t="str">
        <f>"22.00"</f>
        <v>22.00</v>
      </c>
      <c r="Y1243" t="str">
        <f>"1164.17"</f>
        <v>1164.17</v>
      </c>
      <c r="Z1243" t="str">
        <f>""</f>
        <v/>
      </c>
      <c r="AA1243" t="str">
        <f>"72608.00"</f>
        <v>72608.00</v>
      </c>
      <c r="AB1243" t="str">
        <f>"Commercial"</f>
        <v>Commercial</v>
      </c>
      <c r="AC1243" t="str">
        <f t="shared" si="422"/>
        <v>0</v>
      </c>
      <c r="AD1243" t="str">
        <f>""</f>
        <v/>
      </c>
      <c r="AE1243" t="str">
        <f>""</f>
        <v/>
      </c>
      <c r="AF1243" t="str">
        <f>"010"</f>
        <v>010</v>
      </c>
      <c r="AG1243" t="str">
        <f t="shared" si="421"/>
        <v>FL</v>
      </c>
      <c r="AH1243" t="str">
        <f>"36304.00"</f>
        <v>36304.00</v>
      </c>
      <c r="AI1243" t="str">
        <f>"72608.00"</f>
        <v>72608.00</v>
      </c>
      <c r="AJ1243" t="str">
        <f>"C55-000-588-1619-0"</f>
        <v>C55-000-588-1619-0</v>
      </c>
      <c r="AK1243" t="str">
        <f>"21073"</f>
        <v>21073</v>
      </c>
      <c r="AL1243">
        <v>5</v>
      </c>
      <c r="AM1243">
        <v>1417</v>
      </c>
      <c r="AN1243">
        <v>1220.78</v>
      </c>
      <c r="AQ1243" t="s">
        <v>12680</v>
      </c>
      <c r="AR1243" t="s">
        <v>12680</v>
      </c>
      <c r="AS1243" t="s">
        <v>12680</v>
      </c>
      <c r="AU1243" t="s">
        <v>396</v>
      </c>
      <c r="AV1243">
        <v>2017</v>
      </c>
      <c r="AW1243" t="str">
        <f>"42-2N-27-0000-0086-0000 "</f>
        <v xml:space="preserve">42-2N-27-0000-0086-0000 </v>
      </c>
      <c r="AZ1243" t="s">
        <v>11185</v>
      </c>
      <c r="BD1243" t="s">
        <v>2387</v>
      </c>
      <c r="BE1243" t="s">
        <v>393</v>
      </c>
      <c r="BF1243">
        <v>32097</v>
      </c>
      <c r="BG1243" t="s">
        <v>11185</v>
      </c>
      <c r="BH1243" t="s">
        <v>2388</v>
      </c>
      <c r="BI1243">
        <v>-81.599035722851497</v>
      </c>
      <c r="BJ1243">
        <v>30.601338316779099</v>
      </c>
      <c r="BK1243" t="s">
        <v>12681</v>
      </c>
      <c r="BM1243" t="s">
        <v>12682</v>
      </c>
      <c r="BN1243" t="s">
        <v>2756</v>
      </c>
      <c r="BO1243">
        <v>32080</v>
      </c>
      <c r="BP1243" t="s">
        <v>404</v>
      </c>
      <c r="BQ1243">
        <v>1000</v>
      </c>
      <c r="BR1243" t="s">
        <v>2391</v>
      </c>
      <c r="BS1243">
        <v>8002</v>
      </c>
      <c r="BT1243" t="s">
        <v>2392</v>
      </c>
      <c r="BW1243">
        <v>60047</v>
      </c>
      <c r="BX1243" t="s">
        <v>407</v>
      </c>
      <c r="BY1243" t="s">
        <v>2221</v>
      </c>
      <c r="CD1243">
        <v>2017</v>
      </c>
      <c r="CE1243">
        <v>72608</v>
      </c>
      <c r="CG1243">
        <v>72608</v>
      </c>
      <c r="CH1243">
        <v>2017</v>
      </c>
      <c r="CI1243">
        <v>72608</v>
      </c>
      <c r="CK1243">
        <v>72608</v>
      </c>
      <c r="CL1243">
        <v>2017</v>
      </c>
      <c r="CM1243">
        <v>1099.19</v>
      </c>
      <c r="CN1243" s="1">
        <v>42976</v>
      </c>
      <c r="CO1243">
        <v>300000</v>
      </c>
      <c r="CV1243">
        <v>0</v>
      </c>
      <c r="CZ1243" s="1">
        <v>42976</v>
      </c>
      <c r="DA1243">
        <v>0</v>
      </c>
      <c r="DD1243" t="s">
        <v>2387</v>
      </c>
      <c r="DG1243">
        <v>42</v>
      </c>
      <c r="DM1243" t="s">
        <v>12468</v>
      </c>
      <c r="DO1243" t="s">
        <v>12683</v>
      </c>
      <c r="DP1243">
        <v>0</v>
      </c>
      <c r="DQ1243">
        <v>1</v>
      </c>
      <c r="DR1243" t="s">
        <v>411</v>
      </c>
      <c r="DS1243" t="b">
        <v>1</v>
      </c>
      <c r="DT1243" t="s">
        <v>470</v>
      </c>
      <c r="DU1243" t="s">
        <v>471</v>
      </c>
      <c r="DV1243" t="s">
        <v>472</v>
      </c>
      <c r="DX1243">
        <v>-9999</v>
      </c>
      <c r="DZ1243" t="s">
        <v>447</v>
      </c>
      <c r="EA1243" t="s">
        <v>448</v>
      </c>
      <c r="EB1243" t="s">
        <v>742</v>
      </c>
      <c r="EC1243">
        <v>20101217</v>
      </c>
      <c r="ED1243" t="s">
        <v>474</v>
      </c>
      <c r="EF1243">
        <v>1867.6</v>
      </c>
      <c r="EG1243">
        <v>1867.6</v>
      </c>
      <c r="EI1243">
        <v>20160407</v>
      </c>
      <c r="EJ1243">
        <v>0</v>
      </c>
      <c r="EK1243">
        <v>0</v>
      </c>
      <c r="EP1243" t="s">
        <v>421</v>
      </c>
      <c r="EQ1243" t="s">
        <v>422</v>
      </c>
      <c r="ER1243">
        <v>0</v>
      </c>
      <c r="ES1243">
        <v>7</v>
      </c>
      <c r="ET1243">
        <v>0</v>
      </c>
      <c r="EU1243">
        <v>0</v>
      </c>
      <c r="EV1243">
        <v>0</v>
      </c>
      <c r="EW1243" s="2">
        <v>43222</v>
      </c>
      <c r="EX1243" s="1">
        <v>42515</v>
      </c>
      <c r="EY1243">
        <v>2015</v>
      </c>
      <c r="EZ1243">
        <v>2184.29</v>
      </c>
      <c r="FA1243" t="s">
        <v>12684</v>
      </c>
      <c r="FB1243">
        <v>0.25</v>
      </c>
      <c r="FC1243" t="s">
        <v>424</v>
      </c>
      <c r="FD1243" t="s">
        <v>425</v>
      </c>
      <c r="FE1243" s="1">
        <v>42852</v>
      </c>
      <c r="FF1243">
        <v>11</v>
      </c>
      <c r="FG1243">
        <v>7045074</v>
      </c>
      <c r="FH1243" t="s">
        <v>580</v>
      </c>
      <c r="FJ1243" s="1">
        <v>42515</v>
      </c>
      <c r="FK1243">
        <v>2015</v>
      </c>
      <c r="FL1243">
        <v>2184.29</v>
      </c>
      <c r="FM1243" t="s">
        <v>12684</v>
      </c>
      <c r="FN1243">
        <v>0.25</v>
      </c>
      <c r="FO1243" t="s">
        <v>424</v>
      </c>
      <c r="FP1243" t="s">
        <v>425</v>
      </c>
      <c r="FR1243">
        <v>22</v>
      </c>
      <c r="FS1243">
        <v>6501766</v>
      </c>
      <c r="FT1243" t="s">
        <v>12685</v>
      </c>
      <c r="FV1243" s="1">
        <v>42151</v>
      </c>
      <c r="FW1243">
        <v>2014</v>
      </c>
      <c r="FX1243">
        <v>1963.25</v>
      </c>
      <c r="FY1243" t="s">
        <v>12686</v>
      </c>
      <c r="FZ1243">
        <v>0.25</v>
      </c>
      <c r="GA1243" t="s">
        <v>424</v>
      </c>
      <c r="GB1243" t="s">
        <v>425</v>
      </c>
      <c r="GC1243" s="1">
        <v>42779</v>
      </c>
      <c r="GD1243">
        <v>21</v>
      </c>
      <c r="GE1243">
        <v>2851116</v>
      </c>
      <c r="GF1243" t="s">
        <v>480</v>
      </c>
      <c r="GH1243" s="1">
        <v>42151</v>
      </c>
      <c r="GI1243">
        <v>2014</v>
      </c>
      <c r="GJ1243">
        <v>1963.25</v>
      </c>
      <c r="GK1243" t="s">
        <v>12686</v>
      </c>
      <c r="GL1243">
        <v>0.25</v>
      </c>
      <c r="GM1243" t="s">
        <v>424</v>
      </c>
      <c r="GN1243" t="s">
        <v>425</v>
      </c>
      <c r="GP1243">
        <v>22</v>
      </c>
      <c r="GQ1243">
        <v>5227894</v>
      </c>
      <c r="GR1243" t="s">
        <v>12687</v>
      </c>
      <c r="GT1243" s="1">
        <v>41423</v>
      </c>
      <c r="GU1243">
        <v>2012</v>
      </c>
      <c r="GV1243">
        <v>1882.42</v>
      </c>
      <c r="GW1243" t="s">
        <v>12688</v>
      </c>
      <c r="GX1243">
        <v>2.5</v>
      </c>
      <c r="GY1243" t="s">
        <v>424</v>
      </c>
      <c r="GZ1243" t="s">
        <v>425</v>
      </c>
      <c r="HA1243" s="1">
        <v>41626</v>
      </c>
      <c r="HB1243">
        <v>7</v>
      </c>
      <c r="HC1243">
        <v>10125</v>
      </c>
      <c r="HD1243" t="s">
        <v>440</v>
      </c>
      <c r="HF1243" s="1">
        <v>41052</v>
      </c>
      <c r="HG1243">
        <v>2011</v>
      </c>
      <c r="HH1243">
        <v>3129.32</v>
      </c>
      <c r="HI1243" t="s">
        <v>12689</v>
      </c>
      <c r="HJ1243">
        <v>6</v>
      </c>
      <c r="HK1243" t="s">
        <v>424</v>
      </c>
      <c r="HL1243" t="s">
        <v>425</v>
      </c>
      <c r="HM1243" s="1">
        <v>41626</v>
      </c>
      <c r="HN1243">
        <v>19</v>
      </c>
      <c r="HO1243">
        <v>375</v>
      </c>
      <c r="HP1243" t="s">
        <v>776</v>
      </c>
      <c r="HR1243" s="1">
        <v>40688</v>
      </c>
      <c r="HS1243">
        <v>2010</v>
      </c>
      <c r="HT1243">
        <v>3493.42</v>
      </c>
      <c r="HU1243" t="s">
        <v>12690</v>
      </c>
      <c r="HV1243">
        <v>6.25</v>
      </c>
      <c r="HW1243" t="s">
        <v>424</v>
      </c>
      <c r="HX1243" t="s">
        <v>425</v>
      </c>
      <c r="HY1243" s="1">
        <v>41626</v>
      </c>
      <c r="HZ1243">
        <v>31</v>
      </c>
      <c r="IA1243">
        <v>10591</v>
      </c>
      <c r="IB1243" t="s">
        <v>4254</v>
      </c>
    </row>
    <row r="1244" spans="1:272" x14ac:dyDescent="0.25">
      <c r="A1244">
        <v>16486251</v>
      </c>
      <c r="B1244">
        <v>1243</v>
      </c>
      <c r="C1244" t="s">
        <v>393</v>
      </c>
      <c r="D1244" t="s">
        <v>394</v>
      </c>
      <c r="F1244" t="str">
        <f>"42-2N-27-0000-0086-0020"</f>
        <v>42-2N-27-0000-0086-0020</v>
      </c>
      <c r="H1244" t="str">
        <f>"ANDREWS KIMBER L"</f>
        <v>ANDREWS KIMBER L</v>
      </c>
      <c r="I1244" t="str">
        <f>"11478 PINE ST"</f>
        <v>11478 PINE ST</v>
      </c>
      <c r="J1244" t="str">
        <f>"JACKSONVILLE FL 32258"</f>
        <v>JACKSONVILLE FL 32258</v>
      </c>
      <c r="K1244" t="str">
        <f>"US HWY 17"</f>
        <v>US HWY 17</v>
      </c>
      <c r="L1244" t="str">
        <f t="shared" si="414"/>
        <v>YULEE FL 32097</v>
      </c>
      <c r="M1244" t="str">
        <f>"IN OR 2110/105 RECIPRICAL ESMT PT 1010/302 EX 86-4 EX R/W PT OR 1006/1213"</f>
        <v>IN OR 2110/105 RECIPRICAL ESMT PT 1010/302 EX 86-4 EX R/W PT OR 1006/1213</v>
      </c>
      <c r="N1244" t="str">
        <f>""</f>
        <v/>
      </c>
      <c r="O1244" t="str">
        <f>"47412"</f>
        <v>47412</v>
      </c>
      <c r="P1244" t="str">
        <f t="shared" si="416"/>
        <v>2017</v>
      </c>
      <c r="Q1244" t="str">
        <f>""</f>
        <v/>
      </c>
      <c r="R1244" t="str">
        <f>"N"</f>
        <v>N</v>
      </c>
      <c r="S1244" t="str">
        <f>""</f>
        <v/>
      </c>
      <c r="T1244" t="str">
        <f>"1136.10"</f>
        <v>1136.10</v>
      </c>
      <c r="U1244" t="str">
        <f>"75046.00"</f>
        <v>75046.00</v>
      </c>
      <c r="V1244" t="str">
        <f>"75046.00"</f>
        <v>75046.00</v>
      </c>
      <c r="W1244" t="str">
        <f t="shared" si="418"/>
        <v>2017</v>
      </c>
      <c r="X1244" t="str">
        <f>"15.13"</f>
        <v>15.13</v>
      </c>
      <c r="Y1244" t="str">
        <f>"1202.18"</f>
        <v>1202.18</v>
      </c>
      <c r="Z1244" t="str">
        <f>""</f>
        <v/>
      </c>
      <c r="AA1244" t="str">
        <f>"75046.00"</f>
        <v>75046.00</v>
      </c>
      <c r="AB1244" t="str">
        <f>"Commercial"</f>
        <v>Commercial</v>
      </c>
      <c r="AC1244" t="str">
        <f t="shared" si="422"/>
        <v>0</v>
      </c>
      <c r="AD1244" t="str">
        <f>""</f>
        <v/>
      </c>
      <c r="AE1244" t="str">
        <f>""</f>
        <v/>
      </c>
      <c r="AF1244" t="str">
        <f>"010"</f>
        <v>010</v>
      </c>
      <c r="AG1244" t="str">
        <f t="shared" si="421"/>
        <v>FL</v>
      </c>
      <c r="AH1244" t="str">
        <f>"44145.00"</f>
        <v>44145.00</v>
      </c>
      <c r="AI1244" t="str">
        <f>"75046.00"</f>
        <v>75046.00</v>
      </c>
      <c r="AJ1244" t="str">
        <f>"C55-000-588-1621-6"</f>
        <v>C55-000-588-1621-6</v>
      </c>
      <c r="AK1244" t="str">
        <f>"21075"</f>
        <v>21075</v>
      </c>
      <c r="AL1244">
        <v>5</v>
      </c>
      <c r="AM1244">
        <v>1418</v>
      </c>
      <c r="AN1244">
        <v>1260.69</v>
      </c>
      <c r="AQ1244" t="s">
        <v>12691</v>
      </c>
      <c r="AR1244" t="s">
        <v>12691</v>
      </c>
      <c r="AS1244" t="s">
        <v>12691</v>
      </c>
      <c r="AU1244" t="s">
        <v>396</v>
      </c>
      <c r="AV1244">
        <v>2017</v>
      </c>
      <c r="AW1244" t="str">
        <f>"42-2N-27-0000-0086-0020 "</f>
        <v xml:space="preserve">42-2N-27-0000-0086-0020 </v>
      </c>
      <c r="AZ1244" t="s">
        <v>11185</v>
      </c>
      <c r="BD1244" t="s">
        <v>2387</v>
      </c>
      <c r="BE1244" t="s">
        <v>393</v>
      </c>
      <c r="BF1244">
        <v>32097</v>
      </c>
      <c r="BG1244" t="s">
        <v>11185</v>
      </c>
      <c r="BH1244" t="s">
        <v>2388</v>
      </c>
      <c r="BI1244">
        <v>-81.599521888436897</v>
      </c>
      <c r="BJ1244">
        <v>30.6008297514107</v>
      </c>
      <c r="BK1244" t="s">
        <v>12692</v>
      </c>
      <c r="BM1244" t="s">
        <v>12693</v>
      </c>
      <c r="BN1244" t="s">
        <v>548</v>
      </c>
      <c r="BO1244">
        <v>32258</v>
      </c>
      <c r="BP1244" t="s">
        <v>404</v>
      </c>
      <c r="BQ1244">
        <v>1000</v>
      </c>
      <c r="BR1244" t="s">
        <v>2391</v>
      </c>
      <c r="BS1244">
        <v>8002</v>
      </c>
      <c r="BT1244" t="s">
        <v>2392</v>
      </c>
      <c r="BW1244">
        <v>44148</v>
      </c>
      <c r="BX1244" t="s">
        <v>407</v>
      </c>
      <c r="BY1244" t="s">
        <v>4413</v>
      </c>
      <c r="CD1244">
        <v>2017</v>
      </c>
      <c r="CE1244">
        <v>75046</v>
      </c>
      <c r="CG1244">
        <v>75046</v>
      </c>
      <c r="CH1244">
        <v>2017</v>
      </c>
      <c r="CI1244">
        <v>75046</v>
      </c>
      <c r="CK1244">
        <v>75046</v>
      </c>
      <c r="CL1244">
        <v>2017</v>
      </c>
      <c r="CM1244">
        <v>1136.0999999999999</v>
      </c>
      <c r="CN1244" s="1">
        <v>41205</v>
      </c>
      <c r="CO1244">
        <v>5400</v>
      </c>
      <c r="CZ1244" s="1">
        <v>41205</v>
      </c>
      <c r="DD1244" t="s">
        <v>2387</v>
      </c>
      <c r="DG1244">
        <v>42</v>
      </c>
      <c r="DM1244" t="s">
        <v>12468</v>
      </c>
      <c r="DO1244" t="s">
        <v>12694</v>
      </c>
      <c r="DP1244">
        <v>0</v>
      </c>
      <c r="DQ1244">
        <v>1</v>
      </c>
      <c r="DR1244" t="s">
        <v>411</v>
      </c>
      <c r="DS1244" t="b">
        <v>1</v>
      </c>
      <c r="DT1244" t="s">
        <v>470</v>
      </c>
      <c r="DU1244" t="s">
        <v>471</v>
      </c>
      <c r="DV1244" t="s">
        <v>472</v>
      </c>
      <c r="DX1244">
        <v>-9999</v>
      </c>
      <c r="DZ1244" t="s">
        <v>447</v>
      </c>
      <c r="EA1244" t="s">
        <v>448</v>
      </c>
      <c r="EB1244" t="s">
        <v>742</v>
      </c>
      <c r="EC1244">
        <v>20101217</v>
      </c>
      <c r="ED1244" t="s">
        <v>474</v>
      </c>
      <c r="EF1244">
        <v>1716.3</v>
      </c>
      <c r="EG1244">
        <v>1716.3</v>
      </c>
      <c r="EI1244">
        <v>20160407</v>
      </c>
      <c r="EJ1244">
        <v>0</v>
      </c>
      <c r="EK1244">
        <v>0</v>
      </c>
      <c r="EP1244" t="s">
        <v>421</v>
      </c>
      <c r="EQ1244" t="s">
        <v>452</v>
      </c>
      <c r="ER1244">
        <v>0</v>
      </c>
      <c r="ES1244">
        <v>5</v>
      </c>
      <c r="ET1244">
        <v>0</v>
      </c>
      <c r="EU1244">
        <v>0</v>
      </c>
      <c r="EV1244">
        <v>0</v>
      </c>
      <c r="EW1244" s="2">
        <v>43222</v>
      </c>
      <c r="EX1244" s="1">
        <v>42515</v>
      </c>
      <c r="EY1244">
        <v>2015</v>
      </c>
      <c r="EZ1244">
        <v>1298.18</v>
      </c>
      <c r="FA1244" t="s">
        <v>12695</v>
      </c>
      <c r="FB1244">
        <v>4.75</v>
      </c>
      <c r="FC1244" t="s">
        <v>424</v>
      </c>
      <c r="FD1244" t="s">
        <v>425</v>
      </c>
      <c r="FE1244" s="1">
        <v>42852</v>
      </c>
      <c r="FF1244">
        <v>11</v>
      </c>
      <c r="FG1244">
        <v>2035919</v>
      </c>
      <c r="FH1244" t="s">
        <v>507</v>
      </c>
      <c r="FJ1244" s="1">
        <v>42151</v>
      </c>
      <c r="FK1244">
        <v>2014</v>
      </c>
      <c r="FL1244">
        <v>1342.36</v>
      </c>
      <c r="FM1244" t="s">
        <v>12696</v>
      </c>
      <c r="FN1244">
        <v>4.75</v>
      </c>
      <c r="FO1244" t="s">
        <v>424</v>
      </c>
      <c r="FP1244" t="s">
        <v>425</v>
      </c>
      <c r="FQ1244" s="1">
        <v>42779</v>
      </c>
      <c r="FR1244">
        <v>21</v>
      </c>
      <c r="FS1244">
        <v>4975593</v>
      </c>
      <c r="FT1244" t="s">
        <v>505</v>
      </c>
      <c r="FV1244" s="1">
        <v>41423</v>
      </c>
      <c r="FW1244">
        <v>2012</v>
      </c>
      <c r="FX1244">
        <v>1083.3900000000001</v>
      </c>
      <c r="FY1244" t="s">
        <v>12697</v>
      </c>
      <c r="FZ1244">
        <v>0.25</v>
      </c>
      <c r="GA1244" t="s">
        <v>424</v>
      </c>
      <c r="GB1244" t="s">
        <v>425</v>
      </c>
      <c r="GC1244" s="1">
        <v>41677</v>
      </c>
      <c r="GD1244">
        <v>9</v>
      </c>
      <c r="GE1244">
        <v>2101385</v>
      </c>
      <c r="GF1244" t="s">
        <v>810</v>
      </c>
      <c r="GH1244" s="1">
        <v>41052</v>
      </c>
      <c r="GI1244">
        <v>2011</v>
      </c>
      <c r="GJ1244">
        <v>808.57</v>
      </c>
      <c r="GK1244" t="s">
        <v>12698</v>
      </c>
      <c r="GL1244">
        <v>6</v>
      </c>
      <c r="GM1244" t="s">
        <v>424</v>
      </c>
      <c r="GN1244" t="s">
        <v>425</v>
      </c>
      <c r="GO1244" s="1">
        <v>41086</v>
      </c>
      <c r="GP1244">
        <v>1</v>
      </c>
      <c r="GQ1244">
        <v>375</v>
      </c>
      <c r="GR1244" t="s">
        <v>776</v>
      </c>
      <c r="GS1244" t="s">
        <v>458</v>
      </c>
      <c r="GT1244" s="1">
        <v>40688</v>
      </c>
      <c r="GU1244">
        <v>2010</v>
      </c>
      <c r="GV1244">
        <v>900.69</v>
      </c>
      <c r="GW1244" t="s">
        <v>12699</v>
      </c>
      <c r="GX1244">
        <v>6.25</v>
      </c>
      <c r="GY1244" t="s">
        <v>424</v>
      </c>
      <c r="GZ1244" t="s">
        <v>425</v>
      </c>
      <c r="HA1244" s="1">
        <v>41086</v>
      </c>
      <c r="HB1244">
        <v>13</v>
      </c>
      <c r="HC1244">
        <v>10591</v>
      </c>
      <c r="HD1244" t="s">
        <v>4254</v>
      </c>
      <c r="HE1244" t="s">
        <v>458</v>
      </c>
    </row>
    <row r="1245" spans="1:272" x14ac:dyDescent="0.25">
      <c r="A1245">
        <v>16486252</v>
      </c>
      <c r="B1245">
        <v>1244</v>
      </c>
      <c r="C1245" t="s">
        <v>393</v>
      </c>
      <c r="D1245" t="s">
        <v>394</v>
      </c>
      <c r="F1245" t="str">
        <f>"42-2N-27-0000-0091-0010"</f>
        <v>42-2N-27-0000-0091-0010</v>
      </c>
      <c r="H1245" t="str">
        <f>"WARREN SHIRLEY ANN HALL"</f>
        <v>WARREN SHIRLEY ANN HALL</v>
      </c>
      <c r="I1245" t="str">
        <f>"85020 HALLS LANE"</f>
        <v>85020 HALLS LANE</v>
      </c>
      <c r="J1245" t="str">
        <f>"YULEE FL 32097"</f>
        <v>YULEE FL 32097</v>
      </c>
      <c r="K1245" t="str">
        <f>"85006 DURRANCE AVE"</f>
        <v>85006 DURRANCE AVE</v>
      </c>
      <c r="L1245" t="str">
        <f t="shared" si="414"/>
        <v>YULEE FL 32097</v>
      </c>
      <c r="M1245" t="str">
        <f>"IN OR 2071/1905 ESMT PT OR 852/1653"</f>
        <v>IN OR 2071/1905 ESMT PT OR 852/1653</v>
      </c>
      <c r="N1245" t="str">
        <f>""</f>
        <v/>
      </c>
      <c r="O1245" t="str">
        <f>"47422"</f>
        <v>47422</v>
      </c>
      <c r="P1245" t="str">
        <f t="shared" si="416"/>
        <v>2017</v>
      </c>
      <c r="Q1245" t="str">
        <f>""</f>
        <v/>
      </c>
      <c r="R1245" t="str">
        <f>"N"</f>
        <v>N</v>
      </c>
      <c r="S1245" t="str">
        <f>""</f>
        <v/>
      </c>
      <c r="T1245" t="str">
        <f>"453.45"</f>
        <v>453.45</v>
      </c>
      <c r="U1245" t="str">
        <f>"29953.00"</f>
        <v>29953.00</v>
      </c>
      <c r="V1245" t="str">
        <f>"29953.00"</f>
        <v>29953.00</v>
      </c>
      <c r="W1245" t="str">
        <f t="shared" si="418"/>
        <v>2017</v>
      </c>
      <c r="X1245" t="str">
        <f>"32.00"</f>
        <v>32.00</v>
      </c>
      <c r="Y1245" t="str">
        <f>"499.05"</f>
        <v>499.05</v>
      </c>
      <c r="Z1245" t="str">
        <f>""</f>
        <v/>
      </c>
      <c r="AA1245" t="str">
        <f>"29953.00"</f>
        <v>29953.00</v>
      </c>
      <c r="AB1245" t="str">
        <f>"Residential"</f>
        <v>Residential</v>
      </c>
      <c r="AC1245" t="str">
        <f t="shared" si="422"/>
        <v>0</v>
      </c>
      <c r="AD1245" t="str">
        <f>"4"</f>
        <v>4</v>
      </c>
      <c r="AE1245" t="str">
        <f>"WOOD (INCLUDE STEEL STUDS)"</f>
        <v>WOOD (INCLUDE STEEL STUDS)</v>
      </c>
      <c r="AF1245" t="str">
        <f>"001"</f>
        <v>001</v>
      </c>
      <c r="AG1245" t="str">
        <f t="shared" si="421"/>
        <v>FL</v>
      </c>
      <c r="AH1245" t="str">
        <f>"-"</f>
        <v>-</v>
      </c>
      <c r="AI1245" t="str">
        <f>"10000.00"</f>
        <v>10000.00</v>
      </c>
      <c r="AJ1245" t="str">
        <f>"C55-000-588-1630-7"</f>
        <v>C55-000-588-1630-7</v>
      </c>
      <c r="AK1245" t="str">
        <f>"21084"</f>
        <v>21084</v>
      </c>
      <c r="AL1245">
        <v>5</v>
      </c>
      <c r="AM1245">
        <v>1419</v>
      </c>
      <c r="AN1245">
        <v>522.4</v>
      </c>
      <c r="AQ1245" t="s">
        <v>12700</v>
      </c>
      <c r="AR1245" t="s">
        <v>12700</v>
      </c>
      <c r="AS1245" t="s">
        <v>12700</v>
      </c>
      <c r="AU1245" t="s">
        <v>396</v>
      </c>
      <c r="AV1245">
        <v>2017</v>
      </c>
      <c r="AW1245" t="str">
        <f>"42-2N-27-0000-0091-0010 "</f>
        <v xml:space="preserve">42-2N-27-0000-0091-0010 </v>
      </c>
      <c r="AX1245">
        <v>85006</v>
      </c>
      <c r="AZ1245" t="s">
        <v>12701</v>
      </c>
      <c r="BA1245" t="s">
        <v>1112</v>
      </c>
      <c r="BD1245" t="s">
        <v>2387</v>
      </c>
      <c r="BE1245" t="s">
        <v>393</v>
      </c>
      <c r="BF1245">
        <v>32097</v>
      </c>
      <c r="BG1245" t="s">
        <v>12702</v>
      </c>
      <c r="BH1245" t="s">
        <v>2388</v>
      </c>
      <c r="BI1245">
        <v>-81.600415993607797</v>
      </c>
      <c r="BJ1245">
        <v>30.599817012749899</v>
      </c>
      <c r="BK1245" t="s">
        <v>12703</v>
      </c>
      <c r="BM1245" t="s">
        <v>12702</v>
      </c>
      <c r="BN1245" t="s">
        <v>1778</v>
      </c>
      <c r="BO1245">
        <v>32097</v>
      </c>
      <c r="BP1245" t="s">
        <v>416</v>
      </c>
      <c r="BQ1245">
        <v>100</v>
      </c>
      <c r="BR1245" t="s">
        <v>514</v>
      </c>
      <c r="BS1245">
        <v>1001</v>
      </c>
      <c r="BT1245" t="s">
        <v>515</v>
      </c>
      <c r="BW1245">
        <v>11815</v>
      </c>
      <c r="BX1245" t="s">
        <v>407</v>
      </c>
      <c r="BY1245" t="s">
        <v>408</v>
      </c>
      <c r="BZ1245">
        <v>4</v>
      </c>
      <c r="CA1245">
        <v>1935</v>
      </c>
      <c r="CB1245">
        <v>1</v>
      </c>
      <c r="CC1245">
        <v>1</v>
      </c>
      <c r="CD1245">
        <v>2017</v>
      </c>
      <c r="CE1245">
        <v>10000</v>
      </c>
      <c r="CF1245">
        <v>19953</v>
      </c>
      <c r="CG1245">
        <v>29953</v>
      </c>
      <c r="CH1245">
        <v>2017</v>
      </c>
      <c r="CI1245">
        <v>10000</v>
      </c>
      <c r="CJ1245">
        <v>19953</v>
      </c>
      <c r="CK1245">
        <v>29953</v>
      </c>
      <c r="CL1245">
        <v>2017</v>
      </c>
      <c r="CM1245">
        <v>453.45</v>
      </c>
      <c r="CN1245" s="1">
        <v>41359</v>
      </c>
      <c r="CZ1245" s="1">
        <v>41359</v>
      </c>
      <c r="DD1245" t="s">
        <v>2387</v>
      </c>
      <c r="DG1245">
        <v>42</v>
      </c>
      <c r="DL1245">
        <v>50302</v>
      </c>
      <c r="DM1245" t="s">
        <v>12468</v>
      </c>
      <c r="DO1245" t="s">
        <v>12704</v>
      </c>
      <c r="DP1245">
        <v>0</v>
      </c>
      <c r="DQ1245">
        <v>0</v>
      </c>
      <c r="DR1245" t="s">
        <v>411</v>
      </c>
      <c r="EP1245" t="s">
        <v>421</v>
      </c>
      <c r="EQ1245" t="s">
        <v>422</v>
      </c>
      <c r="ER1245">
        <v>2</v>
      </c>
      <c r="ES1245">
        <v>7</v>
      </c>
      <c r="ET1245">
        <v>1289.48</v>
      </c>
      <c r="EU1245">
        <v>76.97</v>
      </c>
      <c r="EV1245">
        <v>1366.45</v>
      </c>
      <c r="EW1245" s="2">
        <v>43222</v>
      </c>
      <c r="EX1245" s="1">
        <v>42879</v>
      </c>
      <c r="EY1245">
        <v>2016</v>
      </c>
      <c r="EZ1245">
        <v>644.74</v>
      </c>
      <c r="FA1245" t="s">
        <v>12705</v>
      </c>
      <c r="FB1245">
        <v>0.25</v>
      </c>
      <c r="FC1245" t="s">
        <v>424</v>
      </c>
      <c r="FD1245" t="s">
        <v>454</v>
      </c>
      <c r="FF1245">
        <v>12</v>
      </c>
      <c r="FG1245">
        <v>2851116</v>
      </c>
      <c r="FH1245" t="s">
        <v>480</v>
      </c>
      <c r="FJ1245" s="1">
        <v>42879</v>
      </c>
      <c r="FK1245">
        <v>2016</v>
      </c>
      <c r="FL1245">
        <v>644.74</v>
      </c>
      <c r="FM1245" t="s">
        <v>12705</v>
      </c>
      <c r="FN1245">
        <v>0.25</v>
      </c>
      <c r="FO1245" t="s">
        <v>424</v>
      </c>
      <c r="FP1245" t="s">
        <v>454</v>
      </c>
      <c r="FR1245">
        <v>12</v>
      </c>
      <c r="FS1245">
        <v>5430923</v>
      </c>
      <c r="FT1245" t="s">
        <v>12706</v>
      </c>
      <c r="FV1245" s="1">
        <v>41787</v>
      </c>
      <c r="FW1245">
        <v>2013</v>
      </c>
      <c r="FX1245">
        <v>572.19000000000005</v>
      </c>
      <c r="FY1245" t="s">
        <v>12707</v>
      </c>
      <c r="FZ1245">
        <v>0.25</v>
      </c>
      <c r="GA1245" t="s">
        <v>424</v>
      </c>
      <c r="GB1245" t="s">
        <v>425</v>
      </c>
      <c r="GC1245" s="1">
        <v>42583</v>
      </c>
      <c r="GD1245">
        <v>27</v>
      </c>
      <c r="GE1245">
        <v>10125</v>
      </c>
      <c r="GF1245" t="s">
        <v>440</v>
      </c>
      <c r="GH1245" s="1">
        <v>41423</v>
      </c>
      <c r="GI1245">
        <v>2012</v>
      </c>
      <c r="GJ1245">
        <v>580.77</v>
      </c>
      <c r="GK1245" t="s">
        <v>12708</v>
      </c>
      <c r="GL1245">
        <v>0.25</v>
      </c>
      <c r="GM1245" t="s">
        <v>424</v>
      </c>
      <c r="GN1245" t="s">
        <v>425</v>
      </c>
      <c r="GP1245">
        <v>22</v>
      </c>
      <c r="GQ1245">
        <v>15399</v>
      </c>
      <c r="GR1245" t="s">
        <v>485</v>
      </c>
      <c r="GT1245" s="1">
        <v>41423</v>
      </c>
      <c r="GU1245">
        <v>2012</v>
      </c>
      <c r="GV1245">
        <v>580.77</v>
      </c>
      <c r="GW1245" t="s">
        <v>12708</v>
      </c>
      <c r="GX1245">
        <v>0.25</v>
      </c>
      <c r="GY1245" t="s">
        <v>424</v>
      </c>
      <c r="GZ1245" t="s">
        <v>425</v>
      </c>
      <c r="HB1245">
        <v>22</v>
      </c>
      <c r="HC1245">
        <v>13027</v>
      </c>
      <c r="HD1245" t="s">
        <v>826</v>
      </c>
      <c r="HF1245" s="1">
        <v>41423</v>
      </c>
      <c r="HG1245">
        <v>2012</v>
      </c>
      <c r="HH1245">
        <v>580.77</v>
      </c>
      <c r="HI1245" t="s">
        <v>12708</v>
      </c>
      <c r="HJ1245">
        <v>0.25</v>
      </c>
      <c r="HK1245" t="s">
        <v>424</v>
      </c>
      <c r="HL1245" t="s">
        <v>425</v>
      </c>
      <c r="HN1245">
        <v>22</v>
      </c>
      <c r="HO1245">
        <v>7336692</v>
      </c>
      <c r="HP1245" t="s">
        <v>822</v>
      </c>
      <c r="HR1245" s="1">
        <v>41423</v>
      </c>
      <c r="HS1245">
        <v>2012</v>
      </c>
      <c r="HT1245">
        <v>580.77</v>
      </c>
      <c r="HU1245" t="s">
        <v>12708</v>
      </c>
      <c r="HV1245">
        <v>0.25</v>
      </c>
      <c r="HW1245" t="s">
        <v>424</v>
      </c>
      <c r="HX1245" t="s">
        <v>425</v>
      </c>
      <c r="HY1245" s="1">
        <v>42797</v>
      </c>
      <c r="HZ1245">
        <v>46</v>
      </c>
      <c r="IA1245">
        <v>7336698</v>
      </c>
      <c r="IB1245" t="s">
        <v>823</v>
      </c>
      <c r="ID1245" s="1">
        <v>41052</v>
      </c>
      <c r="IE1245">
        <v>2011</v>
      </c>
      <c r="IF1245">
        <v>586.12</v>
      </c>
      <c r="IG1245" t="s">
        <v>12709</v>
      </c>
      <c r="IH1245">
        <v>4.75</v>
      </c>
      <c r="II1245" t="s">
        <v>424</v>
      </c>
      <c r="IJ1245" t="s">
        <v>425</v>
      </c>
      <c r="IK1245" s="1">
        <v>41745</v>
      </c>
      <c r="IL1245">
        <v>23</v>
      </c>
      <c r="IM1245">
        <v>1625515</v>
      </c>
      <c r="IN1245" t="s">
        <v>487</v>
      </c>
      <c r="IP1245" s="1">
        <v>41052</v>
      </c>
      <c r="IQ1245">
        <v>2011</v>
      </c>
      <c r="IR1245">
        <v>586.12</v>
      </c>
      <c r="IS1245" t="s">
        <v>12709</v>
      </c>
      <c r="IT1245">
        <v>4.75</v>
      </c>
      <c r="IU1245" t="s">
        <v>424</v>
      </c>
      <c r="IV1245" t="s">
        <v>425</v>
      </c>
      <c r="IX1245">
        <v>22</v>
      </c>
      <c r="IY1245">
        <v>10579</v>
      </c>
      <c r="IZ1245" t="s">
        <v>488</v>
      </c>
    </row>
    <row r="1246" spans="1:272" x14ac:dyDescent="0.25">
      <c r="A1246">
        <v>16486253</v>
      </c>
      <c r="B1246">
        <v>1245</v>
      </c>
      <c r="C1246" t="s">
        <v>393</v>
      </c>
      <c r="D1246" t="s">
        <v>394</v>
      </c>
      <c r="F1246" t="str">
        <f>"42-2N-27-0000-0095-0000"</f>
        <v>42-2N-27-0000-0095-0000</v>
      </c>
      <c r="H1246" t="str">
        <f>"WARREN RICKY LAMAR"</f>
        <v>WARREN RICKY LAMAR</v>
      </c>
      <c r="I1246" t="str">
        <f>"85020 HALLS LN"</f>
        <v>85020 HALLS LN</v>
      </c>
      <c r="J1246" t="str">
        <f>"YULEE FL 32097"</f>
        <v>YULEE FL 32097</v>
      </c>
      <c r="K1246" t="str">
        <f>"85020 HALLS LN"</f>
        <v>85020 HALLS LN</v>
      </c>
      <c r="L1246" t="str">
        <f t="shared" si="414"/>
        <v>YULEE FL 32097</v>
      </c>
      <c r="M1246" t="str">
        <f>"PT JOHN LOW MILL GRANT SEC 42-2N-27E IN OR 1830/362 {1997 MERI DW/MH}"</f>
        <v>PT JOHN LOW MILL GRANT SEC 42-2N-27E IN OR 1830/362 {1997 MERI DW/MH}</v>
      </c>
      <c r="N1246" t="str">
        <f>""</f>
        <v/>
      </c>
      <c r="O1246" t="str">
        <f>"47428"</f>
        <v>47428</v>
      </c>
      <c r="P1246" t="str">
        <f t="shared" si="416"/>
        <v>2017</v>
      </c>
      <c r="Q1246" t="str">
        <f>""</f>
        <v/>
      </c>
      <c r="R1246" t="str">
        <f>"Y"</f>
        <v>Y</v>
      </c>
      <c r="S1246" t="str">
        <f>""</f>
        <v/>
      </c>
      <c r="T1246" t="str">
        <f>"392.21"</f>
        <v>392.21</v>
      </c>
      <c r="U1246" t="str">
        <f>"53232.00"</f>
        <v>53232.00</v>
      </c>
      <c r="V1246" t="str">
        <f>"53232.00"</f>
        <v>53232.00</v>
      </c>
      <c r="W1246" t="str">
        <f t="shared" si="418"/>
        <v>2017</v>
      </c>
      <c r="X1246" t="str">
        <f>"20.00"</f>
        <v>20.00</v>
      </c>
      <c r="Y1246" t="str">
        <f>"435.98"</f>
        <v>435.98</v>
      </c>
      <c r="Z1246" t="str">
        <f>"25500.00"</f>
        <v>25500.00</v>
      </c>
      <c r="AA1246" t="str">
        <f>"27732.00"</f>
        <v>27732.00</v>
      </c>
      <c r="AB1246" t="str">
        <f>"Residential"</f>
        <v>Residential</v>
      </c>
      <c r="AC1246" t="str">
        <f t="shared" si="422"/>
        <v>0</v>
      </c>
      <c r="AD1246" t="str">
        <f>"4"</f>
        <v>4</v>
      </c>
      <c r="AE1246" t="str">
        <f>"WOOD (INCLUDE STEEL STUDS)"</f>
        <v>WOOD (INCLUDE STEEL STUDS)</v>
      </c>
      <c r="AF1246" t="str">
        <f>"002"</f>
        <v>002</v>
      </c>
      <c r="AG1246" t="str">
        <f t="shared" si="421"/>
        <v>FL</v>
      </c>
      <c r="AH1246" t="str">
        <f>"-"</f>
        <v>-</v>
      </c>
      <c r="AI1246" t="str">
        <f>"12000.00"</f>
        <v>12000.00</v>
      </c>
      <c r="AJ1246" t="str">
        <f>"C55-000-588-1636-4"</f>
        <v>C55-000-588-1636-4</v>
      </c>
      <c r="AK1246" t="str">
        <f>"21089"</f>
        <v>21089</v>
      </c>
      <c r="AL1246">
        <v>5</v>
      </c>
      <c r="AM1246">
        <v>1420</v>
      </c>
      <c r="AN1246">
        <v>456.18</v>
      </c>
      <c r="AQ1246" t="s">
        <v>12710</v>
      </c>
      <c r="AR1246" t="s">
        <v>12710</v>
      </c>
      <c r="AS1246" t="s">
        <v>12710</v>
      </c>
      <c r="AU1246" t="s">
        <v>396</v>
      </c>
      <c r="AV1246">
        <v>2017</v>
      </c>
      <c r="AW1246" t="str">
        <f>"42-2N-27-0000-0095-0000 "</f>
        <v xml:space="preserve">42-2N-27-0000-0095-0000 </v>
      </c>
      <c r="AX1246">
        <v>85020</v>
      </c>
      <c r="AZ1246" t="s">
        <v>12711</v>
      </c>
      <c r="BA1246" t="s">
        <v>653</v>
      </c>
      <c r="BD1246" t="s">
        <v>2387</v>
      </c>
      <c r="BE1246" t="s">
        <v>393</v>
      </c>
      <c r="BF1246">
        <v>32097</v>
      </c>
      <c r="BG1246" t="s">
        <v>12712</v>
      </c>
      <c r="BH1246" t="s">
        <v>2388</v>
      </c>
      <c r="BI1246">
        <v>-81.600608059817304</v>
      </c>
      <c r="BJ1246">
        <v>30.598960558922499</v>
      </c>
      <c r="BK1246" t="s">
        <v>12713</v>
      </c>
      <c r="BM1246" t="s">
        <v>12712</v>
      </c>
      <c r="BN1246" t="s">
        <v>1778</v>
      </c>
      <c r="BO1246">
        <v>32097</v>
      </c>
      <c r="BP1246" t="s">
        <v>416</v>
      </c>
      <c r="BQ1246">
        <v>200</v>
      </c>
      <c r="BR1246" t="s">
        <v>405</v>
      </c>
      <c r="BS1246">
        <v>1006</v>
      </c>
      <c r="BT1246" t="s">
        <v>406</v>
      </c>
      <c r="BW1246">
        <v>29304</v>
      </c>
      <c r="BX1246" t="s">
        <v>407</v>
      </c>
      <c r="BY1246" t="s">
        <v>408</v>
      </c>
      <c r="BZ1246">
        <v>4</v>
      </c>
      <c r="CA1246">
        <v>1997</v>
      </c>
      <c r="CB1246">
        <v>1</v>
      </c>
      <c r="CC1246">
        <v>1</v>
      </c>
      <c r="CD1246">
        <v>2017</v>
      </c>
      <c r="CG1246">
        <v>53232</v>
      </c>
      <c r="CH1246">
        <v>2017</v>
      </c>
      <c r="CI1246">
        <v>12000</v>
      </c>
      <c r="CJ1246">
        <v>46430</v>
      </c>
      <c r="CK1246">
        <v>58430</v>
      </c>
      <c r="CL1246">
        <v>2017</v>
      </c>
      <c r="CM1246">
        <v>392.21</v>
      </c>
      <c r="CN1246" s="1">
        <v>39050</v>
      </c>
      <c r="CV1246">
        <v>0</v>
      </c>
      <c r="CZ1246" s="1">
        <v>39050</v>
      </c>
      <c r="DA1246">
        <v>0</v>
      </c>
      <c r="DD1246" t="s">
        <v>2387</v>
      </c>
      <c r="DG1246">
        <v>42</v>
      </c>
      <c r="DL1246">
        <v>50302</v>
      </c>
      <c r="DM1246" t="s">
        <v>12468</v>
      </c>
      <c r="DO1246" t="s">
        <v>12714</v>
      </c>
      <c r="DP1246">
        <v>0</v>
      </c>
      <c r="DQ1246">
        <v>1</v>
      </c>
      <c r="DR1246" t="s">
        <v>411</v>
      </c>
      <c r="DS1246" t="b">
        <v>1</v>
      </c>
      <c r="DT1246" t="s">
        <v>470</v>
      </c>
      <c r="DU1246" t="s">
        <v>471</v>
      </c>
      <c r="DV1246" t="s">
        <v>472</v>
      </c>
      <c r="DX1246">
        <v>-9999</v>
      </c>
      <c r="DZ1246" t="s">
        <v>447</v>
      </c>
      <c r="EA1246" t="s">
        <v>448</v>
      </c>
      <c r="EB1246" t="s">
        <v>742</v>
      </c>
      <c r="EC1246">
        <v>20101217</v>
      </c>
      <c r="ED1246" t="s">
        <v>474</v>
      </c>
      <c r="EF1246">
        <v>1245.5</v>
      </c>
      <c r="EG1246">
        <v>1131.9000000000001</v>
      </c>
      <c r="EI1246">
        <v>20160407</v>
      </c>
      <c r="EJ1246">
        <v>0</v>
      </c>
      <c r="EK1246">
        <v>0</v>
      </c>
      <c r="EP1246" t="s">
        <v>421</v>
      </c>
      <c r="EQ1246" t="s">
        <v>422</v>
      </c>
      <c r="ER1246">
        <v>2</v>
      </c>
      <c r="ES1246">
        <v>2</v>
      </c>
      <c r="ET1246">
        <v>898.92</v>
      </c>
      <c r="EU1246">
        <v>57.45</v>
      </c>
      <c r="EV1246">
        <v>956.37</v>
      </c>
      <c r="EW1246" s="2">
        <v>43222</v>
      </c>
      <c r="EX1246" s="1">
        <v>42879</v>
      </c>
      <c r="EY1246">
        <v>2016</v>
      </c>
      <c r="EZ1246">
        <v>449.46</v>
      </c>
      <c r="FA1246" t="s">
        <v>12715</v>
      </c>
      <c r="FB1246">
        <v>0.25</v>
      </c>
      <c r="FC1246" t="s">
        <v>424</v>
      </c>
      <c r="FD1246" t="s">
        <v>454</v>
      </c>
      <c r="FF1246">
        <v>12</v>
      </c>
      <c r="FG1246">
        <v>2851116</v>
      </c>
      <c r="FH1246" t="s">
        <v>480</v>
      </c>
      <c r="FJ1246" s="1">
        <v>42879</v>
      </c>
      <c r="FK1246">
        <v>2016</v>
      </c>
      <c r="FL1246">
        <v>449.46</v>
      </c>
      <c r="FM1246" t="s">
        <v>12715</v>
      </c>
      <c r="FN1246">
        <v>0.25</v>
      </c>
      <c r="FO1246" t="s">
        <v>424</v>
      </c>
      <c r="FP1246" t="s">
        <v>454</v>
      </c>
      <c r="FR1246">
        <v>12</v>
      </c>
      <c r="FS1246">
        <v>5707788</v>
      </c>
      <c r="FT1246" t="s">
        <v>12716</v>
      </c>
      <c r="FV1246" s="1">
        <v>42515</v>
      </c>
      <c r="FW1246">
        <v>2015</v>
      </c>
      <c r="FX1246">
        <v>460.29</v>
      </c>
      <c r="FY1246" t="s">
        <v>12717</v>
      </c>
      <c r="FZ1246">
        <v>0.25</v>
      </c>
      <c r="GA1246" t="s">
        <v>424</v>
      </c>
      <c r="GB1246" t="s">
        <v>425</v>
      </c>
      <c r="GC1246" s="1">
        <v>43186</v>
      </c>
      <c r="GD1246">
        <v>22</v>
      </c>
      <c r="GE1246">
        <v>2851116</v>
      </c>
      <c r="GF1246" t="s">
        <v>480</v>
      </c>
      <c r="GH1246" s="1">
        <v>42515</v>
      </c>
      <c r="GI1246">
        <v>2015</v>
      </c>
      <c r="GJ1246">
        <v>460.29</v>
      </c>
      <c r="GK1246" t="s">
        <v>12717</v>
      </c>
      <c r="GL1246">
        <v>0.25</v>
      </c>
      <c r="GM1246" t="s">
        <v>424</v>
      </c>
      <c r="GN1246" t="s">
        <v>425</v>
      </c>
      <c r="GP1246">
        <v>22</v>
      </c>
      <c r="GQ1246">
        <v>5354175</v>
      </c>
      <c r="GR1246" t="s">
        <v>12718</v>
      </c>
    </row>
    <row r="1247" spans="1:272" x14ac:dyDescent="0.25">
      <c r="A1247">
        <v>16486254</v>
      </c>
      <c r="B1247">
        <v>1246</v>
      </c>
      <c r="C1247" t="s">
        <v>393</v>
      </c>
      <c r="D1247" t="s">
        <v>394</v>
      </c>
      <c r="F1247" t="str">
        <f>"42-2N-27-0000-0096-0000"</f>
        <v>42-2N-27-0000-0096-0000</v>
      </c>
      <c r="H1247" t="str">
        <f>"TUCKER MATTHEW D &amp; WARREN RICKY LAMAR"</f>
        <v>TUCKER MATTHEW D &amp; WARREN RICKY LAMAR</v>
      </c>
      <c r="I1247" t="str">
        <f>"85042 HALLS LN"</f>
        <v>85042 HALLS LN</v>
      </c>
      <c r="J1247" t="str">
        <f>"YULEE FL 32097"</f>
        <v>YULEE FL 32097</v>
      </c>
      <c r="K1247" t="str">
        <f>"85042 HALLS LN"</f>
        <v>85042 HALLS LN</v>
      </c>
      <c r="L1247" t="str">
        <f t="shared" si="414"/>
        <v>YULEE FL 32097</v>
      </c>
      <c r="M1247" t="str">
        <f>"PT JOHN LOW MILL GRANT SEC 42-2N-27E IN OR 1970/112 (EX PT IN OR 1353/1406) {RP 2503}"</f>
        <v>PT JOHN LOW MILL GRANT SEC 42-2N-27E IN OR 1970/112 (EX PT IN OR 1353/1406) {RP 2503}</v>
      </c>
      <c r="N1247" t="str">
        <f>""</f>
        <v/>
      </c>
      <c r="O1247" t="str">
        <f>"47431"</f>
        <v>47431</v>
      </c>
      <c r="P1247" t="str">
        <f t="shared" si="416"/>
        <v>2017</v>
      </c>
      <c r="Q1247" t="str">
        <f>""</f>
        <v/>
      </c>
      <c r="R1247" t="str">
        <f>"Y"</f>
        <v>Y</v>
      </c>
      <c r="S1247" t="str">
        <f>"1.36"</f>
        <v>1.36</v>
      </c>
      <c r="T1247" t="str">
        <f>"309.91"</f>
        <v>309.91</v>
      </c>
      <c r="U1247" t="str">
        <f>"32174.00"</f>
        <v>32174.00</v>
      </c>
      <c r="V1247" t="str">
        <f>"32174.00"</f>
        <v>32174.00</v>
      </c>
      <c r="W1247" t="str">
        <f t="shared" si="418"/>
        <v>2017</v>
      </c>
      <c r="X1247" t="str">
        <f>"15.00"</f>
        <v>15.00</v>
      </c>
      <c r="Y1247" t="str">
        <f>"351.21"</f>
        <v>351.21</v>
      </c>
      <c r="Z1247" t="str">
        <f>"11703.00"</f>
        <v>11703.00</v>
      </c>
      <c r="AA1247" t="str">
        <f>"20471.00"</f>
        <v>20471.00</v>
      </c>
      <c r="AB1247" t="str">
        <f>"Residential"</f>
        <v>Residential</v>
      </c>
      <c r="AC1247" t="str">
        <f t="shared" si="422"/>
        <v>0</v>
      </c>
      <c r="AD1247" t="str">
        <f>"4"</f>
        <v>4</v>
      </c>
      <c r="AE1247" t="str">
        <f>"WOOD (INCLUDE STEEL STUDS)"</f>
        <v>WOOD (INCLUDE STEEL STUDS)</v>
      </c>
      <c r="AF1247" t="str">
        <f>"002"</f>
        <v>002</v>
      </c>
      <c r="AG1247" t="str">
        <f t="shared" si="421"/>
        <v>FL</v>
      </c>
      <c r="AH1247" t="str">
        <f>"59241.00"</f>
        <v>59241.00</v>
      </c>
      <c r="AI1247" t="str">
        <f>"27200.00"</f>
        <v>27200.00</v>
      </c>
      <c r="AJ1247" t="str">
        <f>"C55-000-588-1639-8"</f>
        <v>C55-000-588-1639-8</v>
      </c>
      <c r="AK1247" t="str">
        <f>"21092"</f>
        <v>21092</v>
      </c>
      <c r="AL1247">
        <v>5</v>
      </c>
      <c r="AM1247">
        <v>1421</v>
      </c>
      <c r="AN1247">
        <v>367.17</v>
      </c>
      <c r="AQ1247" t="s">
        <v>12719</v>
      </c>
      <c r="AR1247" t="s">
        <v>12719</v>
      </c>
      <c r="AS1247" t="s">
        <v>12719</v>
      </c>
      <c r="AU1247" t="s">
        <v>396</v>
      </c>
      <c r="AV1247">
        <v>2017</v>
      </c>
      <c r="AW1247" t="str">
        <f>"42-2N-27-0000-0096-0000 "</f>
        <v xml:space="preserve">42-2N-27-0000-0096-0000 </v>
      </c>
      <c r="AX1247">
        <v>85042</v>
      </c>
      <c r="AZ1247" t="s">
        <v>12711</v>
      </c>
      <c r="BA1247" t="s">
        <v>653</v>
      </c>
      <c r="BD1247" t="s">
        <v>2387</v>
      </c>
      <c r="BE1247" t="s">
        <v>393</v>
      </c>
      <c r="BF1247">
        <v>32097</v>
      </c>
      <c r="BG1247" t="s">
        <v>12720</v>
      </c>
      <c r="BH1247" t="s">
        <v>2388</v>
      </c>
      <c r="BI1247">
        <v>-81.599994339345201</v>
      </c>
      <c r="BJ1247">
        <v>30.599147926821701</v>
      </c>
      <c r="BK1247" t="s">
        <v>12713</v>
      </c>
      <c r="BM1247" t="s">
        <v>12712</v>
      </c>
      <c r="BN1247" t="s">
        <v>1778</v>
      </c>
      <c r="BO1247">
        <v>32097</v>
      </c>
      <c r="BP1247" t="s">
        <v>404</v>
      </c>
      <c r="BQ1247">
        <v>200</v>
      </c>
      <c r="BR1247" t="s">
        <v>405</v>
      </c>
      <c r="BS1247">
        <v>1006</v>
      </c>
      <c r="BT1247" t="s">
        <v>406</v>
      </c>
      <c r="BW1247">
        <v>59241</v>
      </c>
      <c r="BX1247" t="s">
        <v>407</v>
      </c>
      <c r="BY1247" t="s">
        <v>408</v>
      </c>
      <c r="BZ1247">
        <v>4</v>
      </c>
      <c r="CA1247">
        <v>1972</v>
      </c>
      <c r="CB1247">
        <v>1</v>
      </c>
      <c r="CC1247">
        <v>1</v>
      </c>
      <c r="CD1247">
        <v>2017</v>
      </c>
      <c r="CE1247">
        <v>27200</v>
      </c>
      <c r="CF1247">
        <v>4974</v>
      </c>
      <c r="CG1247">
        <v>32174</v>
      </c>
      <c r="CH1247">
        <v>2017</v>
      </c>
      <c r="CI1247">
        <v>27200</v>
      </c>
      <c r="CJ1247">
        <v>4974</v>
      </c>
      <c r="CK1247">
        <v>32174</v>
      </c>
      <c r="CL1247">
        <v>2017</v>
      </c>
      <c r="CM1247">
        <v>309.91000000000003</v>
      </c>
      <c r="CN1247" s="1">
        <v>42583</v>
      </c>
      <c r="CZ1247" s="1">
        <v>42583</v>
      </c>
      <c r="DD1247" t="s">
        <v>2387</v>
      </c>
      <c r="DG1247">
        <v>42</v>
      </c>
      <c r="DL1247">
        <v>50302</v>
      </c>
      <c r="DM1247" t="s">
        <v>12468</v>
      </c>
      <c r="DO1247" t="s">
        <v>12721</v>
      </c>
      <c r="DP1247">
        <v>0</v>
      </c>
      <c r="DQ1247">
        <v>7</v>
      </c>
      <c r="DR1247" t="s">
        <v>1479</v>
      </c>
      <c r="EP1247" t="s">
        <v>595</v>
      </c>
      <c r="EQ1247" t="s">
        <v>422</v>
      </c>
      <c r="ER1247">
        <v>2</v>
      </c>
      <c r="ES1247">
        <v>2</v>
      </c>
      <c r="ET1247">
        <v>708.74</v>
      </c>
      <c r="EU1247">
        <v>47.94</v>
      </c>
      <c r="EV1247">
        <v>756.68</v>
      </c>
      <c r="EW1247" s="2">
        <v>43222</v>
      </c>
      <c r="EX1247" s="1">
        <v>42879</v>
      </c>
      <c r="EY1247">
        <v>2016</v>
      </c>
      <c r="EZ1247">
        <v>354.37</v>
      </c>
      <c r="FA1247" t="s">
        <v>12722</v>
      </c>
      <c r="FB1247">
        <v>0.25</v>
      </c>
      <c r="FC1247" t="s">
        <v>424</v>
      </c>
      <c r="FD1247" t="s">
        <v>454</v>
      </c>
      <c r="FF1247">
        <v>12</v>
      </c>
      <c r="FG1247">
        <v>2851116</v>
      </c>
      <c r="FH1247" t="s">
        <v>480</v>
      </c>
      <c r="FJ1247" s="1">
        <v>42879</v>
      </c>
      <c r="FK1247">
        <v>2016</v>
      </c>
      <c r="FL1247">
        <v>354.37</v>
      </c>
      <c r="FM1247" t="s">
        <v>12722</v>
      </c>
      <c r="FN1247">
        <v>0.25</v>
      </c>
      <c r="FO1247" t="s">
        <v>424</v>
      </c>
      <c r="FP1247" t="s">
        <v>454</v>
      </c>
      <c r="FR1247">
        <v>12</v>
      </c>
      <c r="FS1247">
        <v>5305429</v>
      </c>
      <c r="FT1247" t="s">
        <v>12723</v>
      </c>
      <c r="FV1247" s="1">
        <v>42151</v>
      </c>
      <c r="FW1247">
        <v>2014</v>
      </c>
      <c r="FX1247">
        <v>153.9</v>
      </c>
      <c r="FY1247" t="s">
        <v>12724</v>
      </c>
      <c r="FZ1247">
        <v>18</v>
      </c>
      <c r="GA1247" t="s">
        <v>603</v>
      </c>
      <c r="GB1247" t="s">
        <v>425</v>
      </c>
      <c r="GC1247" s="1">
        <v>42425</v>
      </c>
      <c r="GD1247">
        <v>9</v>
      </c>
      <c r="GE1247">
        <v>9999999</v>
      </c>
      <c r="GF1247" t="s">
        <v>604</v>
      </c>
      <c r="GH1247" s="1">
        <v>41787</v>
      </c>
      <c r="GI1247">
        <v>2013</v>
      </c>
      <c r="GJ1247">
        <v>151.69</v>
      </c>
      <c r="GK1247" t="s">
        <v>12725</v>
      </c>
      <c r="GL1247">
        <v>18</v>
      </c>
      <c r="GM1247" t="s">
        <v>603</v>
      </c>
      <c r="GN1247" t="s">
        <v>425</v>
      </c>
      <c r="GO1247" s="1">
        <v>42425</v>
      </c>
      <c r="GP1247">
        <v>21</v>
      </c>
      <c r="GQ1247">
        <v>9999999</v>
      </c>
      <c r="GR1247" t="s">
        <v>604</v>
      </c>
    </row>
    <row r="1248" spans="1:272" x14ac:dyDescent="0.25">
      <c r="A1248">
        <v>16486255</v>
      </c>
      <c r="B1248">
        <v>1247</v>
      </c>
      <c r="C1248" t="s">
        <v>393</v>
      </c>
      <c r="D1248" t="s">
        <v>394</v>
      </c>
      <c r="F1248" t="str">
        <f>"42-2N-27-0000-0096-0010"</f>
        <v>42-2N-27-0000-0096-0010</v>
      </c>
      <c r="H1248" t="str">
        <f>"WARREN SHIRLEY ANN HALL"</f>
        <v>WARREN SHIRLEY ANN HALL</v>
      </c>
      <c r="I1248" t="str">
        <f>"85020 HALLS LANE"</f>
        <v>85020 HALLS LANE</v>
      </c>
      <c r="J1248" t="str">
        <f>"YULEE FL 32097"</f>
        <v>YULEE FL 32097</v>
      </c>
      <c r="K1248" t="str">
        <f>"85019 HALLS LN"</f>
        <v>85019 HALLS LN</v>
      </c>
      <c r="L1248" t="str">
        <f t="shared" si="414"/>
        <v>YULEE FL 32097</v>
      </c>
      <c r="M1248" t="str">
        <f>"PT JOHN LOW MILL GRANT SEC 42-2N-27E IN OR 909/1148"</f>
        <v>PT JOHN LOW MILL GRANT SEC 42-2N-27E IN OR 909/1148</v>
      </c>
      <c r="N1248" t="str">
        <f>""</f>
        <v/>
      </c>
      <c r="O1248" t="str">
        <f>"47432"</f>
        <v>47432</v>
      </c>
      <c r="P1248" t="str">
        <f t="shared" si="416"/>
        <v>2017</v>
      </c>
      <c r="Q1248" t="str">
        <f>""</f>
        <v/>
      </c>
      <c r="R1248" t="str">
        <f>"N"</f>
        <v>N</v>
      </c>
      <c r="S1248" t="str">
        <f>""</f>
        <v/>
      </c>
      <c r="T1248" t="str">
        <f>"90.83"</f>
        <v>90.83</v>
      </c>
      <c r="U1248" t="str">
        <f>"6000.00"</f>
        <v>6000.00</v>
      </c>
      <c r="V1248" t="str">
        <f>"6000.00"</f>
        <v>6000.00</v>
      </c>
      <c r="W1248" t="str">
        <f t="shared" si="418"/>
        <v>2017</v>
      </c>
      <c r="X1248" t="str">
        <f>"19.00"</f>
        <v>19.00</v>
      </c>
      <c r="Y1248" t="str">
        <f>"125.55"</f>
        <v>125.55</v>
      </c>
      <c r="Z1248" t="str">
        <f>""</f>
        <v/>
      </c>
      <c r="AA1248" t="str">
        <f>"6000.00"</f>
        <v>6000.00</v>
      </c>
      <c r="AB1248" t="str">
        <f>"Residential"</f>
        <v>Residential</v>
      </c>
      <c r="AC1248" t="str">
        <f t="shared" si="422"/>
        <v>0</v>
      </c>
      <c r="AD1248" t="str">
        <f>""</f>
        <v/>
      </c>
      <c r="AE1248" t="str">
        <f>""</f>
        <v/>
      </c>
      <c r="AF1248" t="str">
        <f>"000"</f>
        <v>000</v>
      </c>
      <c r="AG1248" t="str">
        <f t="shared" si="421"/>
        <v>FL</v>
      </c>
      <c r="AH1248" t="str">
        <f>"-"</f>
        <v>-</v>
      </c>
      <c r="AI1248" t="str">
        <f>"6000.00"</f>
        <v>6000.00</v>
      </c>
      <c r="AJ1248" t="str">
        <f>"C55-000-588-1640-6"</f>
        <v>C55-000-588-1640-6</v>
      </c>
      <c r="AK1248" t="str">
        <f>"21093"</f>
        <v>21093</v>
      </c>
      <c r="AL1248">
        <v>5</v>
      </c>
      <c r="AM1248">
        <v>1422</v>
      </c>
      <c r="AN1248">
        <v>130.22999999999999</v>
      </c>
      <c r="AQ1248" t="s">
        <v>12726</v>
      </c>
      <c r="AR1248" t="s">
        <v>12726</v>
      </c>
      <c r="AS1248" t="s">
        <v>12726</v>
      </c>
      <c r="AU1248" t="s">
        <v>396</v>
      </c>
      <c r="AV1248">
        <v>2017</v>
      </c>
      <c r="AW1248" t="str">
        <f>"42-2N-27-0000-0096-0010 "</f>
        <v xml:space="preserve">42-2N-27-0000-0096-0010 </v>
      </c>
      <c r="AX1248">
        <v>85019</v>
      </c>
      <c r="AZ1248" t="s">
        <v>12711</v>
      </c>
      <c r="BA1248" t="s">
        <v>653</v>
      </c>
      <c r="BD1248" t="s">
        <v>2387</v>
      </c>
      <c r="BE1248" t="s">
        <v>393</v>
      </c>
      <c r="BF1248">
        <v>32097</v>
      </c>
      <c r="BG1248" t="s">
        <v>12727</v>
      </c>
      <c r="BH1248" t="s">
        <v>2388</v>
      </c>
      <c r="BI1248">
        <v>-81.600461298164504</v>
      </c>
      <c r="BJ1248">
        <v>30.599429935100201</v>
      </c>
      <c r="BK1248" t="s">
        <v>12728</v>
      </c>
      <c r="BM1248" t="s">
        <v>12712</v>
      </c>
      <c r="BN1248" t="s">
        <v>1778</v>
      </c>
      <c r="BO1248">
        <v>32097</v>
      </c>
      <c r="BP1248" t="s">
        <v>404</v>
      </c>
      <c r="BQ1248">
        <v>0</v>
      </c>
      <c r="BR1248" t="s">
        <v>491</v>
      </c>
      <c r="BS1248">
        <v>8001</v>
      </c>
      <c r="BT1248" t="s">
        <v>492</v>
      </c>
      <c r="BW1248">
        <v>12326</v>
      </c>
      <c r="BX1248" t="s">
        <v>407</v>
      </c>
      <c r="BY1248" t="s">
        <v>408</v>
      </c>
      <c r="CD1248">
        <v>2017</v>
      </c>
      <c r="CE1248">
        <v>6000</v>
      </c>
      <c r="CG1248">
        <v>6000</v>
      </c>
      <c r="CH1248">
        <v>2017</v>
      </c>
      <c r="CI1248">
        <v>6000</v>
      </c>
      <c r="CK1248">
        <v>6000</v>
      </c>
      <c r="CL1248">
        <v>2017</v>
      </c>
      <c r="CM1248">
        <v>90.83</v>
      </c>
      <c r="CN1248" s="1">
        <v>36494</v>
      </c>
      <c r="CZ1248" s="1">
        <v>36494</v>
      </c>
      <c r="DD1248" t="s">
        <v>2387</v>
      </c>
      <c r="DG1248">
        <v>42</v>
      </c>
      <c r="DL1248">
        <v>50302</v>
      </c>
      <c r="DM1248" t="s">
        <v>12468</v>
      </c>
      <c r="DO1248" t="s">
        <v>12729</v>
      </c>
      <c r="DP1248">
        <v>0</v>
      </c>
      <c r="DQ1248">
        <v>1</v>
      </c>
      <c r="DR1248" t="s">
        <v>411</v>
      </c>
      <c r="DS1248" t="b">
        <v>1</v>
      </c>
      <c r="DT1248" t="s">
        <v>470</v>
      </c>
      <c r="DU1248" t="s">
        <v>471</v>
      </c>
      <c r="DV1248" t="s">
        <v>472</v>
      </c>
      <c r="DX1248">
        <v>-9999</v>
      </c>
      <c r="DZ1248" t="s">
        <v>447</v>
      </c>
      <c r="EA1248" t="s">
        <v>448</v>
      </c>
      <c r="EB1248" t="s">
        <v>742</v>
      </c>
      <c r="EC1248">
        <v>20101217</v>
      </c>
      <c r="ED1248" t="s">
        <v>474</v>
      </c>
      <c r="EF1248">
        <v>1301.8</v>
      </c>
      <c r="EG1248">
        <v>1301.0999999999999</v>
      </c>
      <c r="EI1248">
        <v>20160407</v>
      </c>
      <c r="EJ1248">
        <v>0</v>
      </c>
      <c r="EK1248">
        <v>0</v>
      </c>
      <c r="EP1248" t="s">
        <v>421</v>
      </c>
      <c r="EQ1248" t="s">
        <v>422</v>
      </c>
      <c r="ER1248">
        <v>1</v>
      </c>
      <c r="ES1248">
        <v>2</v>
      </c>
      <c r="ET1248">
        <v>126.61</v>
      </c>
      <c r="EU1248">
        <v>26.19</v>
      </c>
      <c r="EV1248">
        <v>152.80000000000001</v>
      </c>
      <c r="EW1248" s="2">
        <v>43222</v>
      </c>
      <c r="EX1248" s="1">
        <v>42879</v>
      </c>
      <c r="EY1248">
        <v>2016</v>
      </c>
      <c r="EZ1248">
        <v>126.61</v>
      </c>
      <c r="FA1248" t="s">
        <v>12730</v>
      </c>
      <c r="FB1248">
        <v>15.75</v>
      </c>
      <c r="FC1248" t="s">
        <v>424</v>
      </c>
      <c r="FD1248" t="s">
        <v>454</v>
      </c>
      <c r="FF1248">
        <v>12</v>
      </c>
      <c r="FG1248">
        <v>10021</v>
      </c>
      <c r="FH1248" t="s">
        <v>597</v>
      </c>
      <c r="FJ1248" s="1">
        <v>42515</v>
      </c>
      <c r="FK1248">
        <v>2015</v>
      </c>
      <c r="FL1248">
        <v>124.03</v>
      </c>
      <c r="FM1248" t="s">
        <v>12731</v>
      </c>
      <c r="FN1248">
        <v>18</v>
      </c>
      <c r="FO1248" t="s">
        <v>424</v>
      </c>
      <c r="FP1248" t="s">
        <v>425</v>
      </c>
      <c r="FQ1248" s="1">
        <v>43136</v>
      </c>
      <c r="FR1248">
        <v>21</v>
      </c>
      <c r="FS1248">
        <v>3039821</v>
      </c>
      <c r="FT1248" t="s">
        <v>721</v>
      </c>
      <c r="FV1248" s="1">
        <v>41052</v>
      </c>
      <c r="FW1248">
        <v>2011</v>
      </c>
      <c r="FX1248">
        <v>103</v>
      </c>
      <c r="FY1248" t="s">
        <v>12732</v>
      </c>
      <c r="FZ1248">
        <v>15.25</v>
      </c>
      <c r="GA1248" t="s">
        <v>424</v>
      </c>
      <c r="GB1248" t="s">
        <v>425</v>
      </c>
      <c r="GC1248" s="1">
        <v>41548</v>
      </c>
      <c r="GD1248">
        <v>17</v>
      </c>
      <c r="GE1248">
        <v>12430</v>
      </c>
      <c r="GF1248" t="s">
        <v>10797</v>
      </c>
    </row>
    <row r="1249" spans="1:272" x14ac:dyDescent="0.25">
      <c r="A1249">
        <v>16486256</v>
      </c>
      <c r="B1249">
        <v>1248</v>
      </c>
      <c r="C1249" t="s">
        <v>393</v>
      </c>
      <c r="D1249" t="s">
        <v>394</v>
      </c>
      <c r="F1249" t="str">
        <f>"42-2N-27-1330-0004-0000"</f>
        <v>42-2N-27-1330-0004-0000</v>
      </c>
      <c r="H1249" t="str">
        <f>"RLW PROPERTIES LLC"</f>
        <v>RLW PROPERTIES LLC</v>
      </c>
      <c r="I1249" t="str">
        <f>"1028 HWY 80 WEST"</f>
        <v>1028 HWY 80 WEST</v>
      </c>
      <c r="J1249" t="str">
        <f>"GARDEN CITY GA 31408"</f>
        <v>GARDEN CITY GA 31408</v>
      </c>
      <c r="K1249" t="str">
        <f>"463360 SR 200"</f>
        <v>463360 SR 200</v>
      </c>
      <c r="L1249" t="str">
        <f t="shared" si="414"/>
        <v>YULEE FL 32097</v>
      </c>
      <c r="M1249" t="str">
        <f>"PARCEL 4 IN OR 2078/1984 UTIL ESMTS PT OR 1769/492-513 MINER CORNERS SUB PB 8/56"</f>
        <v>PARCEL 4 IN OR 2078/1984 UTIL ESMTS PT OR 1769/492-513 MINER CORNERS SUB PB 8/56</v>
      </c>
      <c r="N1249" t="str">
        <f>""</f>
        <v/>
      </c>
      <c r="O1249" t="str">
        <f>"47459"</f>
        <v>47459</v>
      </c>
      <c r="P1249" t="str">
        <f t="shared" si="416"/>
        <v>2017</v>
      </c>
      <c r="Q1249" t="str">
        <f>""</f>
        <v/>
      </c>
      <c r="R1249" t="str">
        <f>"N"</f>
        <v>N</v>
      </c>
      <c r="S1249" t="str">
        <f>""</f>
        <v/>
      </c>
      <c r="T1249" t="str">
        <f>"24763.71"</f>
        <v>24763.71</v>
      </c>
      <c r="U1249" t="str">
        <f>"1635778.00"</f>
        <v>1635778.00</v>
      </c>
      <c r="V1249" t="str">
        <f>"1635778.00"</f>
        <v>1635778.00</v>
      </c>
      <c r="W1249" t="str">
        <f t="shared" si="418"/>
        <v>2017</v>
      </c>
      <c r="X1249" t="str">
        <f>""</f>
        <v/>
      </c>
      <c r="Y1249" t="str">
        <f>"25538.62"</f>
        <v>25538.62</v>
      </c>
      <c r="Z1249" t="str">
        <f>""</f>
        <v/>
      </c>
      <c r="AA1249" t="str">
        <f>"1635778.00"</f>
        <v>1635778.00</v>
      </c>
      <c r="AB1249" t="str">
        <f>"Commercial"</f>
        <v>Commercial</v>
      </c>
      <c r="AC1249" t="str">
        <f t="shared" si="422"/>
        <v>0</v>
      </c>
      <c r="AD1249" t="str">
        <f>"5"</f>
        <v>5</v>
      </c>
      <c r="AE1249" t="str">
        <f>"STEEL FRAME/INCOMBUSTIBLE WALLS/ROOF"</f>
        <v>STEEL FRAME/INCOMBUSTIBLE WALLS/ROOF</v>
      </c>
      <c r="AF1249" t="str">
        <f>"027"</f>
        <v>027</v>
      </c>
      <c r="AG1249" t="str">
        <f>"GA"</f>
        <v>GA</v>
      </c>
      <c r="AH1249" t="str">
        <f>"93564.00"</f>
        <v>93564.00</v>
      </c>
      <c r="AI1249" t="str">
        <f>"467820.00"</f>
        <v>467820.00</v>
      </c>
      <c r="AJ1249" t="str">
        <f>"C55-001-042-9493-9"</f>
        <v>C55-001-042-9493-9</v>
      </c>
      <c r="AK1249" t="str">
        <f>"21112"</f>
        <v>21112</v>
      </c>
      <c r="AL1249">
        <v>5</v>
      </c>
      <c r="AM1249">
        <v>1423</v>
      </c>
      <c r="AN1249">
        <v>26813.95</v>
      </c>
      <c r="AQ1249" t="s">
        <v>12733</v>
      </c>
      <c r="AR1249" t="s">
        <v>12733</v>
      </c>
      <c r="AS1249" t="s">
        <v>12733</v>
      </c>
      <c r="AU1249" t="s">
        <v>396</v>
      </c>
      <c r="AV1249">
        <v>2017</v>
      </c>
      <c r="AW1249" t="str">
        <f>"42-2N-27-1330-0004-0000 "</f>
        <v xml:space="preserve">42-2N-27-1330-0004-0000 </v>
      </c>
      <c r="AX1249">
        <v>463360</v>
      </c>
      <c r="AZ1249" t="s">
        <v>8071</v>
      </c>
      <c r="BD1249" t="s">
        <v>2387</v>
      </c>
      <c r="BE1249" t="s">
        <v>393</v>
      </c>
      <c r="BF1249">
        <v>32097</v>
      </c>
      <c r="BG1249" t="s">
        <v>12734</v>
      </c>
      <c r="BH1249" t="s">
        <v>2388</v>
      </c>
      <c r="BI1249">
        <v>-81.583451770020901</v>
      </c>
      <c r="BJ1249">
        <v>30.629634155265599</v>
      </c>
      <c r="BK1249" t="s">
        <v>12735</v>
      </c>
      <c r="BM1249" t="s">
        <v>12736</v>
      </c>
      <c r="BN1249" t="s">
        <v>548</v>
      </c>
      <c r="BO1249">
        <v>32225</v>
      </c>
      <c r="BP1249" t="s">
        <v>404</v>
      </c>
      <c r="BQ1249">
        <v>2700</v>
      </c>
      <c r="BR1249" t="s">
        <v>4567</v>
      </c>
      <c r="BS1249">
        <v>2023</v>
      </c>
      <c r="BT1249" t="s">
        <v>4568</v>
      </c>
      <c r="BW1249">
        <v>93564</v>
      </c>
      <c r="BX1249" t="s">
        <v>407</v>
      </c>
      <c r="BY1249" t="s">
        <v>3019</v>
      </c>
      <c r="BZ1249">
        <v>5</v>
      </c>
      <c r="CA1249">
        <v>2009</v>
      </c>
      <c r="CB1249">
        <v>1</v>
      </c>
      <c r="CD1249">
        <v>2017</v>
      </c>
      <c r="CE1249">
        <v>467820</v>
      </c>
      <c r="CF1249">
        <v>1167958</v>
      </c>
      <c r="CG1249">
        <v>1635778</v>
      </c>
      <c r="CH1249">
        <v>2017</v>
      </c>
      <c r="CI1249">
        <v>467820</v>
      </c>
      <c r="CJ1249">
        <v>1167958</v>
      </c>
      <c r="CK1249">
        <v>1635778</v>
      </c>
      <c r="CL1249">
        <v>2017</v>
      </c>
      <c r="CM1249">
        <v>24763.71</v>
      </c>
      <c r="DD1249" t="s">
        <v>2387</v>
      </c>
      <c r="DG1249">
        <v>42</v>
      </c>
      <c r="DJ1249" t="s">
        <v>12737</v>
      </c>
      <c r="DL1249">
        <v>50302</v>
      </c>
      <c r="DM1249" t="s">
        <v>12468</v>
      </c>
      <c r="DO1249" t="s">
        <v>12738</v>
      </c>
      <c r="DP1249">
        <v>1</v>
      </c>
      <c r="DQ1249">
        <v>2</v>
      </c>
      <c r="DR1249" t="s">
        <v>1174</v>
      </c>
    </row>
    <row r="1250" spans="1:272" x14ac:dyDescent="0.25">
      <c r="A1250">
        <v>16486257</v>
      </c>
      <c r="B1250">
        <v>1249</v>
      </c>
      <c r="C1250" t="s">
        <v>393</v>
      </c>
      <c r="D1250" t="s">
        <v>394</v>
      </c>
      <c r="F1250" t="str">
        <f>"42-2N-27-430C-0003-0000"</f>
        <v>42-2N-27-430C-0003-0000</v>
      </c>
      <c r="H1250" t="str">
        <f>"WHICKER SOLO 401 K TRUST DANA WHICKER TRUSTEE"</f>
        <v>WHICKER SOLO 401 K TRUST DANA WHICKER TRUSTEE</v>
      </c>
      <c r="I1250" t="str">
        <f>"2018 VILLAGE LN"</f>
        <v>2018 VILLAGE LN</v>
      </c>
      <c r="J1250" t="str">
        <f>"FERNANDINA BEACH FL 32034"</f>
        <v>FERNANDINA BEACH FL 32034</v>
      </c>
      <c r="K1250" t="str">
        <f>"85051 EADY LN"</f>
        <v>85051 EADY LN</v>
      </c>
      <c r="L1250" t="str">
        <f t="shared" si="414"/>
        <v>YULEE FL 32097</v>
      </c>
      <c r="M1250" t="str">
        <f>"LOT 3 IN OR 2034/631 CLAXTON ACRES PB 5/257"</f>
        <v>LOT 3 IN OR 2034/631 CLAXTON ACRES PB 5/257</v>
      </c>
      <c r="N1250" t="str">
        <f>""</f>
        <v/>
      </c>
      <c r="O1250" t="str">
        <f>"47463"</f>
        <v>47463</v>
      </c>
      <c r="P1250" t="str">
        <f t="shared" si="416"/>
        <v>2017</v>
      </c>
      <c r="Q1250" t="str">
        <f>""</f>
        <v/>
      </c>
      <c r="R1250" t="str">
        <f>"N"</f>
        <v>N</v>
      </c>
      <c r="S1250" t="str">
        <f>""</f>
        <v/>
      </c>
      <c r="T1250" t="str">
        <f>"1354.35"</f>
        <v>1354.35</v>
      </c>
      <c r="U1250" t="str">
        <f>"89463.00"</f>
        <v>89463.00</v>
      </c>
      <c r="V1250" t="str">
        <f>"89463.00"</f>
        <v>89463.00</v>
      </c>
      <c r="W1250" t="str">
        <f t="shared" si="418"/>
        <v>2017</v>
      </c>
      <c r="X1250" t="str">
        <f>""</f>
        <v/>
      </c>
      <c r="Y1250" t="str">
        <f>"1426.98"</f>
        <v>1426.98</v>
      </c>
      <c r="Z1250" t="str">
        <f>""</f>
        <v/>
      </c>
      <c r="AA1250" t="str">
        <f>"89463.00"</f>
        <v>89463.00</v>
      </c>
      <c r="AB1250" t="str">
        <f t="shared" ref="AB1250:AB1258" si="423">"Residential"</f>
        <v>Residential</v>
      </c>
      <c r="AC1250" t="str">
        <f t="shared" si="422"/>
        <v>0</v>
      </c>
      <c r="AD1250" t="str">
        <f>"3"</f>
        <v>3</v>
      </c>
      <c r="AE1250" t="str">
        <f>"MASONRY"</f>
        <v>MASONRY</v>
      </c>
      <c r="AF1250" t="str">
        <f>"001"</f>
        <v>001</v>
      </c>
      <c r="AG1250" t="str">
        <f t="shared" ref="AG1250:AG1277" si="424">"FL"</f>
        <v>FL</v>
      </c>
      <c r="AH1250" t="str">
        <f>"21778.00"</f>
        <v>21778.00</v>
      </c>
      <c r="AI1250" t="str">
        <f>"28000.00"</f>
        <v>28000.00</v>
      </c>
      <c r="AJ1250" t="str">
        <f>"C55-000-588-1661-2"</f>
        <v>C55-000-588-1661-2</v>
      </c>
      <c r="AK1250" t="str">
        <f>"21115"</f>
        <v>21115</v>
      </c>
      <c r="AL1250">
        <v>5</v>
      </c>
      <c r="AM1250">
        <v>1424</v>
      </c>
      <c r="AN1250">
        <v>1496.73</v>
      </c>
      <c r="AQ1250" t="s">
        <v>12739</v>
      </c>
      <c r="AR1250" t="s">
        <v>12739</v>
      </c>
      <c r="AS1250" t="s">
        <v>12739</v>
      </c>
      <c r="AU1250" t="s">
        <v>396</v>
      </c>
      <c r="AV1250">
        <v>2017</v>
      </c>
      <c r="AW1250" t="str">
        <f>"42-2N-27-430C-0003-0000 "</f>
        <v xml:space="preserve">42-2N-27-430C-0003-0000 </v>
      </c>
      <c r="AX1250">
        <v>85051</v>
      </c>
      <c r="AZ1250" t="s">
        <v>12740</v>
      </c>
      <c r="BA1250" t="s">
        <v>653</v>
      </c>
      <c r="BD1250" t="s">
        <v>2387</v>
      </c>
      <c r="BE1250" t="s">
        <v>393</v>
      </c>
      <c r="BF1250">
        <v>32097</v>
      </c>
      <c r="BG1250" t="s">
        <v>12741</v>
      </c>
      <c r="BH1250" t="s">
        <v>2388</v>
      </c>
      <c r="BI1250">
        <v>-81.590859882120299</v>
      </c>
      <c r="BJ1250">
        <v>30.591355936803801</v>
      </c>
      <c r="BK1250" t="s">
        <v>12742</v>
      </c>
      <c r="BM1250" t="s">
        <v>12743</v>
      </c>
      <c r="BN1250" t="s">
        <v>3983</v>
      </c>
      <c r="BO1250">
        <v>32034</v>
      </c>
      <c r="BP1250" t="s">
        <v>404</v>
      </c>
      <c r="BQ1250">
        <v>100</v>
      </c>
      <c r="BR1250" t="s">
        <v>514</v>
      </c>
      <c r="BS1250">
        <v>1001</v>
      </c>
      <c r="BT1250" t="s">
        <v>515</v>
      </c>
      <c r="BW1250">
        <v>21778</v>
      </c>
      <c r="BX1250" t="s">
        <v>407</v>
      </c>
      <c r="BY1250" t="s">
        <v>12744</v>
      </c>
      <c r="BZ1250">
        <v>3</v>
      </c>
      <c r="CA1250">
        <v>1955</v>
      </c>
      <c r="CB1250">
        <v>1</v>
      </c>
      <c r="CC1250">
        <v>1</v>
      </c>
      <c r="CD1250">
        <v>2017</v>
      </c>
      <c r="CE1250">
        <v>28000</v>
      </c>
      <c r="CF1250">
        <v>61463</v>
      </c>
      <c r="CG1250">
        <v>89463</v>
      </c>
      <c r="CH1250">
        <v>2017</v>
      </c>
      <c r="CI1250">
        <v>28000</v>
      </c>
      <c r="CJ1250">
        <v>61463</v>
      </c>
      <c r="CK1250">
        <v>89463</v>
      </c>
      <c r="CL1250">
        <v>2017</v>
      </c>
      <c r="CM1250">
        <v>1354.35</v>
      </c>
      <c r="CN1250" s="1">
        <v>38426</v>
      </c>
      <c r="CO1250">
        <v>110000</v>
      </c>
      <c r="CV1250">
        <v>88000</v>
      </c>
      <c r="CX1250" t="s">
        <v>10661</v>
      </c>
      <c r="CZ1250" s="1">
        <v>38426</v>
      </c>
      <c r="DA1250">
        <v>22000</v>
      </c>
      <c r="DD1250" t="s">
        <v>2387</v>
      </c>
      <c r="DF1250">
        <v>3</v>
      </c>
      <c r="DG1250">
        <v>42</v>
      </c>
      <c r="DJ1250" t="s">
        <v>12745</v>
      </c>
      <c r="DL1250">
        <v>50302</v>
      </c>
      <c r="DM1250" t="s">
        <v>12468</v>
      </c>
      <c r="DO1250" t="s">
        <v>12746</v>
      </c>
      <c r="DP1250">
        <v>0</v>
      </c>
      <c r="DQ1250">
        <v>1</v>
      </c>
      <c r="DR1250" t="s">
        <v>411</v>
      </c>
    </row>
    <row r="1251" spans="1:272" x14ac:dyDescent="0.25">
      <c r="A1251">
        <v>16486258</v>
      </c>
      <c r="B1251">
        <v>1250</v>
      </c>
      <c r="C1251" t="s">
        <v>393</v>
      </c>
      <c r="D1251" t="s">
        <v>394</v>
      </c>
      <c r="F1251" t="str">
        <f>"42-2N-27-430C-0017-0000"</f>
        <v>42-2N-27-430C-0017-0000</v>
      </c>
      <c r="H1251" t="str">
        <f>"ROSE JOHN C"</f>
        <v>ROSE JOHN C</v>
      </c>
      <c r="I1251" t="str">
        <f>"85285 LINDSEY KAY COURT"</f>
        <v>85285 LINDSEY KAY COURT</v>
      </c>
      <c r="J1251" t="str">
        <f>"YULEE FL 32097"</f>
        <v>YULEE FL 32097</v>
      </c>
      <c r="K1251" t="str">
        <f>"85285 LINDSEY KAY CT"</f>
        <v>85285 LINDSEY KAY CT</v>
      </c>
      <c r="L1251" t="str">
        <f t="shared" si="414"/>
        <v>YULEE FL 32097</v>
      </c>
      <c r="M1251" t="str">
        <f>"LOT 17 IN OR 662 PG 1146 R498073 &amp; R498074 CLAXTON ACRES PB 5/257"</f>
        <v>LOT 17 IN OR 662 PG 1146 R498073 &amp; R498074 CLAXTON ACRES PB 5/257</v>
      </c>
      <c r="N1251" t="str">
        <f>""</f>
        <v/>
      </c>
      <c r="O1251" t="str">
        <f>"47477"</f>
        <v>47477</v>
      </c>
      <c r="P1251" t="str">
        <f t="shared" si="416"/>
        <v>2017</v>
      </c>
      <c r="Q1251" t="str">
        <f>""</f>
        <v/>
      </c>
      <c r="R1251" t="str">
        <f>"Y"</f>
        <v>Y</v>
      </c>
      <c r="S1251" t="str">
        <f>""</f>
        <v/>
      </c>
      <c r="T1251" t="str">
        <f>"294.19"</f>
        <v>294.19</v>
      </c>
      <c r="U1251" t="str">
        <f>"44433.00"</f>
        <v>44433.00</v>
      </c>
      <c r="V1251" t="str">
        <f>"44433.00"</f>
        <v>44433.00</v>
      </c>
      <c r="W1251" t="str">
        <f t="shared" si="418"/>
        <v>2017</v>
      </c>
      <c r="X1251" t="str">
        <f>"12.63"</f>
        <v>12.63</v>
      </c>
      <c r="Y1251" t="str">
        <f>"335.02"</f>
        <v>335.02</v>
      </c>
      <c r="Z1251" t="str">
        <f>"25000.00"</f>
        <v>25000.00</v>
      </c>
      <c r="AA1251" t="str">
        <f>"19433.00"</f>
        <v>19433.00</v>
      </c>
      <c r="AB1251" t="str">
        <f t="shared" si="423"/>
        <v>Residential</v>
      </c>
      <c r="AC1251" t="str">
        <f t="shared" si="422"/>
        <v>0</v>
      </c>
      <c r="AD1251" t="str">
        <f>"4"</f>
        <v>4</v>
      </c>
      <c r="AE1251" t="str">
        <f>"WOOD (INCLUDE STEEL STUDS)"</f>
        <v>WOOD (INCLUDE STEEL STUDS)</v>
      </c>
      <c r="AF1251" t="str">
        <f>"002"</f>
        <v>002</v>
      </c>
      <c r="AG1251" t="str">
        <f t="shared" si="424"/>
        <v>FL</v>
      </c>
      <c r="AH1251" t="str">
        <f>"-"</f>
        <v>-</v>
      </c>
      <c r="AI1251" t="str">
        <f>"28000.00"</f>
        <v>28000.00</v>
      </c>
      <c r="AJ1251" t="str">
        <f>"C55-000-588-1674-5"</f>
        <v>C55-000-588-1674-5</v>
      </c>
      <c r="AK1251" t="str">
        <f>"21129"</f>
        <v>21129</v>
      </c>
      <c r="AL1251">
        <v>5</v>
      </c>
      <c r="AM1251">
        <v>1425</v>
      </c>
      <c r="AN1251">
        <v>350.17</v>
      </c>
      <c r="AQ1251" t="s">
        <v>12747</v>
      </c>
      <c r="AR1251" t="s">
        <v>12747</v>
      </c>
      <c r="AS1251" t="s">
        <v>12747</v>
      </c>
      <c r="AU1251" t="s">
        <v>396</v>
      </c>
      <c r="AV1251">
        <v>2017</v>
      </c>
      <c r="AW1251" t="str">
        <f>"42-2N-27-430C-0017-0000 "</f>
        <v xml:space="preserve">42-2N-27-430C-0017-0000 </v>
      </c>
      <c r="AX1251">
        <v>85285</v>
      </c>
      <c r="AZ1251" t="s">
        <v>12748</v>
      </c>
      <c r="BA1251" t="s">
        <v>3181</v>
      </c>
      <c r="BD1251" t="s">
        <v>2387</v>
      </c>
      <c r="BE1251" t="s">
        <v>393</v>
      </c>
      <c r="BF1251">
        <v>32097</v>
      </c>
      <c r="BG1251" t="s">
        <v>12749</v>
      </c>
      <c r="BH1251" t="s">
        <v>2388</v>
      </c>
      <c r="BI1251">
        <v>-81.587499627566203</v>
      </c>
      <c r="BJ1251">
        <v>30.591788884490398</v>
      </c>
      <c r="BK1251" t="s">
        <v>12750</v>
      </c>
      <c r="BM1251" t="s">
        <v>12749</v>
      </c>
      <c r="BN1251" t="s">
        <v>1778</v>
      </c>
      <c r="BO1251">
        <v>32097</v>
      </c>
      <c r="BP1251" t="s">
        <v>416</v>
      </c>
      <c r="BQ1251">
        <v>200</v>
      </c>
      <c r="BR1251" t="s">
        <v>405</v>
      </c>
      <c r="BS1251">
        <v>1006</v>
      </c>
      <c r="BT1251" t="s">
        <v>406</v>
      </c>
      <c r="BW1251">
        <v>21852</v>
      </c>
      <c r="BX1251" t="s">
        <v>407</v>
      </c>
      <c r="BY1251" t="s">
        <v>12744</v>
      </c>
      <c r="BZ1251">
        <v>4</v>
      </c>
      <c r="CA1251">
        <v>1992</v>
      </c>
      <c r="CB1251">
        <v>1</v>
      </c>
      <c r="CC1251">
        <v>1</v>
      </c>
      <c r="CD1251">
        <v>2017</v>
      </c>
      <c r="CG1251">
        <v>44433</v>
      </c>
      <c r="CH1251">
        <v>2017</v>
      </c>
      <c r="CI1251">
        <v>28000</v>
      </c>
      <c r="CJ1251">
        <v>39692</v>
      </c>
      <c r="CK1251">
        <v>67692</v>
      </c>
      <c r="CL1251">
        <v>2017</v>
      </c>
      <c r="CM1251">
        <v>294.19</v>
      </c>
      <c r="CN1251" s="1">
        <v>33791</v>
      </c>
      <c r="CZ1251" s="1">
        <v>33791</v>
      </c>
      <c r="DD1251" t="s">
        <v>2387</v>
      </c>
      <c r="DF1251">
        <v>17</v>
      </c>
      <c r="DG1251">
        <v>42</v>
      </c>
      <c r="DL1251">
        <v>50302</v>
      </c>
      <c r="DM1251" t="s">
        <v>12468</v>
      </c>
      <c r="DO1251" t="s">
        <v>12751</v>
      </c>
      <c r="DP1251">
        <v>0</v>
      </c>
      <c r="DQ1251">
        <v>0</v>
      </c>
      <c r="DR1251" t="s">
        <v>411</v>
      </c>
      <c r="DS1251" t="b">
        <v>1</v>
      </c>
      <c r="DT1251" t="s">
        <v>470</v>
      </c>
      <c r="DU1251" t="s">
        <v>471</v>
      </c>
      <c r="DV1251" t="s">
        <v>472</v>
      </c>
      <c r="DX1251">
        <v>-9999</v>
      </c>
      <c r="DZ1251" t="s">
        <v>447</v>
      </c>
      <c r="EA1251" t="s">
        <v>448</v>
      </c>
      <c r="EB1251" t="s">
        <v>742</v>
      </c>
      <c r="EC1251">
        <v>20101217</v>
      </c>
      <c r="ED1251" t="s">
        <v>474</v>
      </c>
      <c r="EF1251">
        <v>1607.8</v>
      </c>
      <c r="EG1251">
        <v>933.3</v>
      </c>
      <c r="EI1251">
        <v>20160407</v>
      </c>
      <c r="EJ1251">
        <v>0</v>
      </c>
      <c r="EK1251">
        <v>0</v>
      </c>
      <c r="EP1251" t="s">
        <v>421</v>
      </c>
      <c r="EQ1251" t="s">
        <v>422</v>
      </c>
      <c r="ER1251">
        <v>0</v>
      </c>
      <c r="ES1251">
        <v>9</v>
      </c>
      <c r="ET1251">
        <v>0</v>
      </c>
      <c r="EU1251">
        <v>0</v>
      </c>
      <c r="EV1251">
        <v>0</v>
      </c>
      <c r="EW1251" s="2">
        <v>43222</v>
      </c>
      <c r="EX1251" s="1">
        <v>42879</v>
      </c>
      <c r="EY1251">
        <v>2016</v>
      </c>
      <c r="EZ1251">
        <v>334.45</v>
      </c>
      <c r="FA1251" t="s">
        <v>12752</v>
      </c>
      <c r="FB1251">
        <v>0.25</v>
      </c>
      <c r="FC1251" t="s">
        <v>424</v>
      </c>
      <c r="FD1251" t="s">
        <v>425</v>
      </c>
      <c r="FE1251" s="1">
        <v>43208</v>
      </c>
      <c r="FF1251">
        <v>11</v>
      </c>
      <c r="FG1251">
        <v>2851116</v>
      </c>
      <c r="FH1251" t="s">
        <v>480</v>
      </c>
      <c r="FJ1251" s="1">
        <v>42879</v>
      </c>
      <c r="FK1251">
        <v>2016</v>
      </c>
      <c r="FL1251">
        <v>334.45</v>
      </c>
      <c r="FM1251" t="s">
        <v>12752</v>
      </c>
      <c r="FN1251">
        <v>0.25</v>
      </c>
      <c r="FO1251" t="s">
        <v>424</v>
      </c>
      <c r="FP1251" t="s">
        <v>425</v>
      </c>
      <c r="FR1251">
        <v>22</v>
      </c>
      <c r="FS1251">
        <v>5325271</v>
      </c>
      <c r="FT1251" t="s">
        <v>12753</v>
      </c>
      <c r="FV1251" s="1">
        <v>42515</v>
      </c>
      <c r="FW1251">
        <v>2015</v>
      </c>
      <c r="FX1251">
        <v>331.76</v>
      </c>
      <c r="FY1251" t="s">
        <v>12754</v>
      </c>
      <c r="FZ1251">
        <v>0.25</v>
      </c>
      <c r="GA1251" t="s">
        <v>424</v>
      </c>
      <c r="GB1251" t="s">
        <v>425</v>
      </c>
      <c r="GC1251" s="1">
        <v>43152</v>
      </c>
      <c r="GD1251">
        <v>21</v>
      </c>
      <c r="GE1251">
        <v>11289</v>
      </c>
      <c r="GF1251" t="s">
        <v>787</v>
      </c>
      <c r="GH1251" s="1">
        <v>42515</v>
      </c>
      <c r="GI1251">
        <v>2015</v>
      </c>
      <c r="GJ1251">
        <v>331.76</v>
      </c>
      <c r="GK1251" t="s">
        <v>12754</v>
      </c>
      <c r="GL1251">
        <v>0.25</v>
      </c>
      <c r="GM1251" t="s">
        <v>424</v>
      </c>
      <c r="GN1251" t="s">
        <v>425</v>
      </c>
      <c r="GP1251">
        <v>22</v>
      </c>
      <c r="GQ1251">
        <v>7256129</v>
      </c>
      <c r="GR1251" t="s">
        <v>12755</v>
      </c>
      <c r="GT1251" s="1">
        <v>42151</v>
      </c>
      <c r="GU1251">
        <v>2014</v>
      </c>
      <c r="GV1251">
        <v>327.48</v>
      </c>
      <c r="GW1251" t="s">
        <v>12756</v>
      </c>
      <c r="GX1251">
        <v>0.25</v>
      </c>
      <c r="GY1251" t="s">
        <v>424</v>
      </c>
      <c r="GZ1251" t="s">
        <v>425</v>
      </c>
      <c r="HA1251" s="1">
        <v>42466</v>
      </c>
      <c r="HB1251">
        <v>11</v>
      </c>
      <c r="HC1251">
        <v>2851116</v>
      </c>
      <c r="HD1251" t="s">
        <v>480</v>
      </c>
      <c r="HF1251" s="1">
        <v>42151</v>
      </c>
      <c r="HG1251">
        <v>2014</v>
      </c>
      <c r="HH1251">
        <v>327.48</v>
      </c>
      <c r="HI1251" t="s">
        <v>12756</v>
      </c>
      <c r="HJ1251">
        <v>0.25</v>
      </c>
      <c r="HK1251" t="s">
        <v>424</v>
      </c>
      <c r="HL1251" t="s">
        <v>425</v>
      </c>
      <c r="HN1251">
        <v>22</v>
      </c>
      <c r="HO1251">
        <v>5086433</v>
      </c>
      <c r="HP1251" t="s">
        <v>12757</v>
      </c>
      <c r="HR1251" s="1">
        <v>41787</v>
      </c>
      <c r="HS1251">
        <v>2013</v>
      </c>
      <c r="HT1251">
        <v>470.97</v>
      </c>
      <c r="HU1251" t="s">
        <v>12758</v>
      </c>
      <c r="HV1251">
        <v>0.25</v>
      </c>
      <c r="HW1251" t="s">
        <v>424</v>
      </c>
      <c r="HX1251" t="s">
        <v>425</v>
      </c>
      <c r="HY1251" s="1">
        <v>41920</v>
      </c>
      <c r="HZ1251">
        <v>5</v>
      </c>
      <c r="IA1251">
        <v>13026</v>
      </c>
      <c r="IB1251" t="s">
        <v>2129</v>
      </c>
      <c r="ID1251" s="1">
        <v>41423</v>
      </c>
      <c r="IE1251">
        <v>2012</v>
      </c>
      <c r="IF1251">
        <v>488.43</v>
      </c>
      <c r="IG1251" t="s">
        <v>12759</v>
      </c>
      <c r="IH1251">
        <v>0.25</v>
      </c>
      <c r="II1251" t="s">
        <v>424</v>
      </c>
      <c r="IJ1251" t="s">
        <v>425</v>
      </c>
      <c r="IK1251" s="1">
        <v>41740</v>
      </c>
      <c r="IL1251">
        <v>11</v>
      </c>
      <c r="IM1251">
        <v>15399</v>
      </c>
      <c r="IN1251" t="s">
        <v>485</v>
      </c>
      <c r="IP1251" s="1">
        <v>41052</v>
      </c>
      <c r="IQ1251">
        <v>2011</v>
      </c>
      <c r="IR1251">
        <v>564.58000000000004</v>
      </c>
      <c r="IS1251" t="s">
        <v>12760</v>
      </c>
      <c r="IT1251">
        <v>6</v>
      </c>
      <c r="IU1251" t="s">
        <v>424</v>
      </c>
      <c r="IV1251" t="s">
        <v>425</v>
      </c>
      <c r="IW1251" s="1">
        <v>41690</v>
      </c>
      <c r="IX1251">
        <v>21</v>
      </c>
      <c r="IY1251">
        <v>1109</v>
      </c>
      <c r="IZ1251" t="s">
        <v>852</v>
      </c>
    </row>
    <row r="1252" spans="1:272" x14ac:dyDescent="0.25">
      <c r="A1252">
        <v>16486259</v>
      </c>
      <c r="B1252">
        <v>1251</v>
      </c>
      <c r="C1252" t="s">
        <v>393</v>
      </c>
      <c r="D1252" t="s">
        <v>394</v>
      </c>
      <c r="F1252" t="str">
        <f>"42-2N-27-430C-0022-0000"</f>
        <v>42-2N-27-430C-0022-0000</v>
      </c>
      <c r="H1252" t="str">
        <f>"FRANCIS JAMES G &amp; FRANCIS VELMA J EST (M&amp;S)"</f>
        <v>FRANCIS JAMES G &amp; FRANCIS VELMA J EST (M&amp;S)</v>
      </c>
      <c r="I1252" t="str">
        <f>"85373 LINDSEY KAY CT"</f>
        <v>85373 LINDSEY KAY CT</v>
      </c>
      <c r="J1252" t="str">
        <f>"YULEE FL 32097"</f>
        <v>YULEE FL 32097</v>
      </c>
      <c r="K1252" t="str">
        <f>"85373 LINDSEY KAY CT"</f>
        <v>85373 LINDSEY KAY CT</v>
      </c>
      <c r="L1252" t="str">
        <f t="shared" si="414"/>
        <v>YULEE FL 32097</v>
      </c>
      <c r="M1252" t="str">
        <f>"LOT 22 IN OR 670 PG 1116 R434250 &amp; R434251 CLAXTON ACRES PB 5/257"</f>
        <v>LOT 22 IN OR 670 PG 1116 R434250 &amp; R434251 CLAXTON ACRES PB 5/257</v>
      </c>
      <c r="N1252" t="str">
        <f>""</f>
        <v/>
      </c>
      <c r="O1252" t="str">
        <f>"47482"</f>
        <v>47482</v>
      </c>
      <c r="P1252" t="str">
        <f t="shared" si="416"/>
        <v>2017</v>
      </c>
      <c r="Q1252" t="str">
        <f>""</f>
        <v/>
      </c>
      <c r="R1252" t="str">
        <f>"Y"</f>
        <v>Y</v>
      </c>
      <c r="S1252" t="str">
        <f>""</f>
        <v/>
      </c>
      <c r="T1252" t="str">
        <f>"355.42"</f>
        <v>355.42</v>
      </c>
      <c r="U1252" t="str">
        <f>"37924.00"</f>
        <v>37924.00</v>
      </c>
      <c r="V1252" t="str">
        <f>"37924.00"</f>
        <v>37924.00</v>
      </c>
      <c r="W1252" t="str">
        <f t="shared" si="418"/>
        <v>2017</v>
      </c>
      <c r="X1252" t="str">
        <f>"11.00"</f>
        <v>11.00</v>
      </c>
      <c r="Y1252" t="str">
        <f>"398.08"</f>
        <v>398.08</v>
      </c>
      <c r="Z1252" t="str">
        <f>"17104.00"</f>
        <v>17104.00</v>
      </c>
      <c r="AA1252" t="str">
        <f>"26918.00"</f>
        <v>26918.00</v>
      </c>
      <c r="AB1252" t="str">
        <f t="shared" si="423"/>
        <v>Residential</v>
      </c>
      <c r="AC1252" t="str">
        <f t="shared" si="422"/>
        <v>0</v>
      </c>
      <c r="AD1252" t="str">
        <f>"4"</f>
        <v>4</v>
      </c>
      <c r="AE1252" t="str">
        <f>"WOOD (INCLUDE STEEL STUDS)"</f>
        <v>WOOD (INCLUDE STEEL STUDS)</v>
      </c>
      <c r="AF1252" t="str">
        <f>"002"</f>
        <v>002</v>
      </c>
      <c r="AG1252" t="str">
        <f t="shared" si="424"/>
        <v>FL</v>
      </c>
      <c r="AH1252" t="str">
        <f>"-"</f>
        <v>-</v>
      </c>
      <c r="AI1252" t="str">
        <f>"28000.00"</f>
        <v>28000.00</v>
      </c>
      <c r="AJ1252" t="str">
        <f>"C55-000-588-1679-4"</f>
        <v>C55-000-588-1679-4</v>
      </c>
      <c r="AK1252" t="str">
        <f>"21134"</f>
        <v>21134</v>
      </c>
      <c r="AL1252">
        <v>5</v>
      </c>
      <c r="AM1252">
        <v>1426</v>
      </c>
      <c r="AN1252">
        <v>416.38</v>
      </c>
      <c r="AQ1252" t="s">
        <v>12761</v>
      </c>
      <c r="AR1252" t="s">
        <v>12761</v>
      </c>
      <c r="AS1252" t="s">
        <v>12761</v>
      </c>
      <c r="AU1252" t="s">
        <v>396</v>
      </c>
      <c r="AV1252">
        <v>2017</v>
      </c>
      <c r="AW1252" t="str">
        <f>"42-2N-27-430C-0022-0000 "</f>
        <v xml:space="preserve">42-2N-27-430C-0022-0000 </v>
      </c>
      <c r="AX1252">
        <v>85373</v>
      </c>
      <c r="AZ1252" t="s">
        <v>12748</v>
      </c>
      <c r="BA1252" t="s">
        <v>3181</v>
      </c>
      <c r="BD1252" t="s">
        <v>2387</v>
      </c>
      <c r="BE1252" t="s">
        <v>393</v>
      </c>
      <c r="BF1252">
        <v>32097</v>
      </c>
      <c r="BG1252" t="s">
        <v>12762</v>
      </c>
      <c r="BH1252" t="s">
        <v>2388</v>
      </c>
      <c r="BI1252">
        <v>-81.587307505515597</v>
      </c>
      <c r="BJ1252">
        <v>30.5903121089286</v>
      </c>
      <c r="BK1252" t="s">
        <v>12763</v>
      </c>
      <c r="BM1252" t="s">
        <v>12762</v>
      </c>
      <c r="BN1252" t="s">
        <v>1778</v>
      </c>
      <c r="BO1252">
        <v>32097</v>
      </c>
      <c r="BP1252" t="s">
        <v>416</v>
      </c>
      <c r="BQ1252">
        <v>200</v>
      </c>
      <c r="BR1252" t="s">
        <v>405</v>
      </c>
      <c r="BS1252">
        <v>1006</v>
      </c>
      <c r="BT1252" t="s">
        <v>406</v>
      </c>
      <c r="BW1252">
        <v>22705</v>
      </c>
      <c r="BX1252" t="s">
        <v>407</v>
      </c>
      <c r="BY1252" t="s">
        <v>12744</v>
      </c>
      <c r="BZ1252">
        <v>4</v>
      </c>
      <c r="CA1252">
        <v>1991</v>
      </c>
      <c r="CB1252">
        <v>1</v>
      </c>
      <c r="CC1252">
        <v>1</v>
      </c>
      <c r="CD1252">
        <v>2017</v>
      </c>
      <c r="CG1252">
        <v>44022</v>
      </c>
      <c r="CH1252">
        <v>2017</v>
      </c>
      <c r="CI1252">
        <v>28000</v>
      </c>
      <c r="CJ1252">
        <v>25836</v>
      </c>
      <c r="CK1252">
        <v>53836</v>
      </c>
      <c r="CL1252">
        <v>2017</v>
      </c>
      <c r="CM1252">
        <v>355.42</v>
      </c>
      <c r="CN1252" s="1">
        <v>33926</v>
      </c>
      <c r="CZ1252" s="1">
        <v>33926</v>
      </c>
      <c r="DD1252" t="s">
        <v>2387</v>
      </c>
      <c r="DF1252">
        <v>22</v>
      </c>
      <c r="DG1252">
        <v>42</v>
      </c>
      <c r="DL1252">
        <v>50302</v>
      </c>
      <c r="DM1252" t="s">
        <v>12468</v>
      </c>
      <c r="DO1252" t="s">
        <v>12764</v>
      </c>
      <c r="DP1252">
        <v>0</v>
      </c>
      <c r="DQ1252">
        <v>0</v>
      </c>
      <c r="DR1252" t="s">
        <v>411</v>
      </c>
      <c r="DS1252" t="b">
        <v>1</v>
      </c>
      <c r="DT1252" t="s">
        <v>470</v>
      </c>
      <c r="DU1252" t="s">
        <v>471</v>
      </c>
      <c r="DV1252" t="s">
        <v>472</v>
      </c>
      <c r="DX1252">
        <v>-9999</v>
      </c>
      <c r="DZ1252" t="s">
        <v>447</v>
      </c>
      <c r="EA1252" t="s">
        <v>448</v>
      </c>
      <c r="EB1252" t="s">
        <v>742</v>
      </c>
      <c r="EC1252">
        <v>20101217</v>
      </c>
      <c r="ED1252" t="s">
        <v>474</v>
      </c>
      <c r="EF1252">
        <v>1291.8</v>
      </c>
      <c r="EG1252">
        <v>392.8</v>
      </c>
      <c r="EI1252">
        <v>20160407</v>
      </c>
      <c r="EJ1252">
        <v>0</v>
      </c>
      <c r="EK1252">
        <v>0</v>
      </c>
      <c r="EP1252" t="s">
        <v>421</v>
      </c>
      <c r="EQ1252" t="s">
        <v>422</v>
      </c>
      <c r="ER1252">
        <v>0</v>
      </c>
      <c r="ES1252">
        <v>2</v>
      </c>
      <c r="ET1252">
        <v>0</v>
      </c>
      <c r="EU1252">
        <v>0</v>
      </c>
      <c r="EV1252">
        <v>0</v>
      </c>
      <c r="EW1252" s="2">
        <v>43222</v>
      </c>
      <c r="EX1252" s="1">
        <v>42515</v>
      </c>
      <c r="EY1252">
        <v>2015</v>
      </c>
      <c r="EZ1252">
        <v>376.93</v>
      </c>
      <c r="FA1252" t="s">
        <v>12765</v>
      </c>
      <c r="FB1252">
        <v>0.25</v>
      </c>
      <c r="FC1252" t="s">
        <v>424</v>
      </c>
      <c r="FD1252" t="s">
        <v>425</v>
      </c>
      <c r="FE1252" s="1">
        <v>42844</v>
      </c>
      <c r="FF1252">
        <v>11</v>
      </c>
      <c r="FG1252">
        <v>2851116</v>
      </c>
      <c r="FH1252" t="s">
        <v>480</v>
      </c>
      <c r="FJ1252" s="1">
        <v>42515</v>
      </c>
      <c r="FK1252">
        <v>2015</v>
      </c>
      <c r="FL1252">
        <v>376.93</v>
      </c>
      <c r="FM1252" t="s">
        <v>12765</v>
      </c>
      <c r="FN1252">
        <v>0.25</v>
      </c>
      <c r="FO1252" t="s">
        <v>424</v>
      </c>
      <c r="FP1252" t="s">
        <v>425</v>
      </c>
      <c r="FR1252">
        <v>22</v>
      </c>
      <c r="FS1252">
        <v>5659809</v>
      </c>
      <c r="FT1252" t="s">
        <v>12766</v>
      </c>
    </row>
    <row r="1253" spans="1:272" x14ac:dyDescent="0.25">
      <c r="A1253">
        <v>16486260</v>
      </c>
      <c r="B1253">
        <v>1252</v>
      </c>
      <c r="C1253" t="s">
        <v>393</v>
      </c>
      <c r="D1253" t="s">
        <v>394</v>
      </c>
      <c r="F1253" t="str">
        <f>"42-2N-27-4310-0008-0000"</f>
        <v>42-2N-27-4310-0008-0000</v>
      </c>
      <c r="H1253" t="str">
        <f>"BOLDEN SAMUEL SR &amp; CARLEENE"</f>
        <v>BOLDEN SAMUEL SR &amp; CARLEENE</v>
      </c>
      <c r="I1253" t="str">
        <f>"1752 DAYTONA LANE"</f>
        <v>1752 DAYTONA LANE</v>
      </c>
      <c r="J1253" t="str">
        <f>"JACKSONVILLE FL 32218"</f>
        <v>JACKSONVILLE FL 32218</v>
      </c>
      <c r="K1253" t="str">
        <f>"YANIE RD"</f>
        <v>YANIE RD</v>
      </c>
      <c r="L1253" t="str">
        <f t="shared" si="414"/>
        <v>YULEE FL 32097</v>
      </c>
      <c r="M1253" t="str">
        <f>"LOT 8 DAVIS ESTATE HEIGHTS PB 5/15"</f>
        <v>LOT 8 DAVIS ESTATE HEIGHTS PB 5/15</v>
      </c>
      <c r="N1253" t="str">
        <f>""</f>
        <v/>
      </c>
      <c r="O1253" t="str">
        <f>"47504"</f>
        <v>47504</v>
      </c>
      <c r="P1253" t="str">
        <f t="shared" si="416"/>
        <v>2017</v>
      </c>
      <c r="Q1253" t="str">
        <f>""</f>
        <v/>
      </c>
      <c r="R1253" t="str">
        <f>"N"</f>
        <v>N</v>
      </c>
      <c r="S1253" t="str">
        <f>""</f>
        <v/>
      </c>
      <c r="T1253" t="str">
        <f>"225.19"</f>
        <v>225.19</v>
      </c>
      <c r="U1253" t="str">
        <f>"14875.00"</f>
        <v>14875.00</v>
      </c>
      <c r="V1253" t="str">
        <f>"14875.00"</f>
        <v>14875.00</v>
      </c>
      <c r="W1253" t="str">
        <f t="shared" si="418"/>
        <v>2017</v>
      </c>
      <c r="X1253" t="str">
        <f>"18.60"</f>
        <v>18.60</v>
      </c>
      <c r="Y1253" t="str">
        <f>"263.95"</f>
        <v>263.95</v>
      </c>
      <c r="Z1253" t="str">
        <f>""</f>
        <v/>
      </c>
      <c r="AA1253" t="str">
        <f>"14875.00"</f>
        <v>14875.00</v>
      </c>
      <c r="AB1253" t="str">
        <f t="shared" si="423"/>
        <v>Residential</v>
      </c>
      <c r="AC1253" t="str">
        <f t="shared" si="422"/>
        <v>0</v>
      </c>
      <c r="AD1253" t="str">
        <f>""</f>
        <v/>
      </c>
      <c r="AE1253" t="str">
        <f>""</f>
        <v/>
      </c>
      <c r="AF1253" t="str">
        <f>"000"</f>
        <v>000</v>
      </c>
      <c r="AG1253" t="str">
        <f t="shared" si="424"/>
        <v>FL</v>
      </c>
      <c r="AH1253" t="str">
        <f>"7000.00"</f>
        <v>7000.00</v>
      </c>
      <c r="AI1253" t="str">
        <f>"14875.00"</f>
        <v>14875.00</v>
      </c>
      <c r="AJ1253" t="str">
        <f>"C55-000-588-1701-6"</f>
        <v>C55-000-588-1701-6</v>
      </c>
      <c r="AK1253" t="str">
        <f>"21155"</f>
        <v>21155</v>
      </c>
      <c r="AL1253">
        <v>5</v>
      </c>
      <c r="AM1253">
        <v>1428</v>
      </c>
      <c r="AN1253">
        <v>275.55</v>
      </c>
      <c r="AQ1253" t="s">
        <v>12767</v>
      </c>
      <c r="AR1253" t="s">
        <v>12767</v>
      </c>
      <c r="AS1253" t="s">
        <v>12767</v>
      </c>
      <c r="AU1253" t="s">
        <v>396</v>
      </c>
      <c r="AV1253">
        <v>2017</v>
      </c>
      <c r="AW1253" t="str">
        <f>"42-2N-27-4310-0008-0000 "</f>
        <v xml:space="preserve">42-2N-27-4310-0008-0000 </v>
      </c>
      <c r="AZ1253" t="s">
        <v>12768</v>
      </c>
      <c r="BA1253" t="s">
        <v>496</v>
      </c>
      <c r="BD1253" t="s">
        <v>2387</v>
      </c>
      <c r="BE1253" t="s">
        <v>393</v>
      </c>
      <c r="BF1253">
        <v>32097</v>
      </c>
      <c r="BG1253" t="s">
        <v>12769</v>
      </c>
      <c r="BH1253" t="s">
        <v>2388</v>
      </c>
      <c r="BI1253">
        <v>-81.5899875094576</v>
      </c>
      <c r="BJ1253">
        <v>30.632880824365799</v>
      </c>
      <c r="BK1253" t="s">
        <v>12770</v>
      </c>
      <c r="BL1253" t="s">
        <v>12771</v>
      </c>
      <c r="BM1253" t="s">
        <v>12772</v>
      </c>
      <c r="BN1253" t="s">
        <v>548</v>
      </c>
      <c r="BO1253">
        <v>32218</v>
      </c>
      <c r="BP1253" t="s">
        <v>404</v>
      </c>
      <c r="BQ1253">
        <v>0</v>
      </c>
      <c r="BR1253" t="s">
        <v>491</v>
      </c>
      <c r="BS1253">
        <v>8001</v>
      </c>
      <c r="BT1253" t="s">
        <v>492</v>
      </c>
      <c r="BU1253">
        <v>1000</v>
      </c>
      <c r="BV1253">
        <v>0</v>
      </c>
      <c r="BW1253">
        <v>7190</v>
      </c>
      <c r="BX1253" t="s">
        <v>407</v>
      </c>
      <c r="BY1253" t="s">
        <v>7351</v>
      </c>
      <c r="CD1253">
        <v>2017</v>
      </c>
      <c r="CE1253">
        <v>14875</v>
      </c>
      <c r="CG1253">
        <v>14875</v>
      </c>
      <c r="CH1253">
        <v>2017</v>
      </c>
      <c r="CI1253">
        <v>14875</v>
      </c>
      <c r="CK1253">
        <v>14875</v>
      </c>
      <c r="CL1253">
        <v>2017</v>
      </c>
      <c r="CM1253">
        <v>225.19</v>
      </c>
      <c r="DD1253" t="s">
        <v>2387</v>
      </c>
      <c r="DF1253">
        <v>8</v>
      </c>
      <c r="DG1253">
        <v>42</v>
      </c>
      <c r="DJ1253" t="s">
        <v>12773</v>
      </c>
      <c r="DL1253">
        <v>50302</v>
      </c>
      <c r="DM1253" t="s">
        <v>12468</v>
      </c>
      <c r="DO1253" t="s">
        <v>12774</v>
      </c>
      <c r="DP1253">
        <v>0</v>
      </c>
      <c r="DQ1253">
        <v>2</v>
      </c>
      <c r="DR1253" t="s">
        <v>1479</v>
      </c>
      <c r="DS1253" t="b">
        <v>1</v>
      </c>
      <c r="DT1253" t="s">
        <v>470</v>
      </c>
      <c r="DU1253" t="s">
        <v>471</v>
      </c>
      <c r="DV1253" t="s">
        <v>472</v>
      </c>
      <c r="DX1253">
        <v>-9999</v>
      </c>
      <c r="DZ1253" t="s">
        <v>447</v>
      </c>
      <c r="EA1253" t="s">
        <v>448</v>
      </c>
      <c r="EB1253" t="s">
        <v>742</v>
      </c>
      <c r="EC1253">
        <v>20101217</v>
      </c>
      <c r="ED1253" t="s">
        <v>474</v>
      </c>
      <c r="EF1253">
        <v>2559</v>
      </c>
      <c r="EG1253">
        <v>2559</v>
      </c>
      <c r="EI1253">
        <v>20160407</v>
      </c>
      <c r="EJ1253">
        <v>0</v>
      </c>
      <c r="EK1253">
        <v>0</v>
      </c>
      <c r="EP1253" t="s">
        <v>421</v>
      </c>
      <c r="EQ1253" t="s">
        <v>422</v>
      </c>
      <c r="ER1253">
        <v>2</v>
      </c>
      <c r="ES1253">
        <v>4</v>
      </c>
      <c r="ET1253">
        <v>536.12</v>
      </c>
      <c r="EU1253">
        <v>133.62</v>
      </c>
      <c r="EV1253">
        <v>669.74</v>
      </c>
      <c r="EW1253" s="2">
        <v>43222</v>
      </c>
      <c r="EX1253" s="1">
        <v>42879</v>
      </c>
      <c r="EY1253">
        <v>2016</v>
      </c>
      <c r="EZ1253">
        <v>273.83</v>
      </c>
      <c r="FA1253" t="s">
        <v>12775</v>
      </c>
      <c r="FB1253">
        <v>9.75</v>
      </c>
      <c r="FC1253" t="s">
        <v>424</v>
      </c>
      <c r="FD1253" t="s">
        <v>454</v>
      </c>
      <c r="FF1253">
        <v>12</v>
      </c>
      <c r="FG1253">
        <v>10021</v>
      </c>
      <c r="FH1253" t="s">
        <v>597</v>
      </c>
      <c r="FJ1253" s="1">
        <v>42515</v>
      </c>
      <c r="FK1253">
        <v>2015</v>
      </c>
      <c r="FL1253">
        <v>262.29000000000002</v>
      </c>
      <c r="FM1253" t="s">
        <v>12776</v>
      </c>
      <c r="FN1253">
        <v>18</v>
      </c>
      <c r="FO1253" t="s">
        <v>424</v>
      </c>
      <c r="FP1253" t="s">
        <v>454</v>
      </c>
      <c r="FR1253">
        <v>24</v>
      </c>
      <c r="FS1253">
        <v>7336677</v>
      </c>
      <c r="FT1253" t="s">
        <v>5826</v>
      </c>
      <c r="FV1253" s="1">
        <v>42151</v>
      </c>
      <c r="FW1253">
        <v>2014</v>
      </c>
      <c r="FX1253">
        <v>240.55</v>
      </c>
      <c r="FY1253" t="s">
        <v>12777</v>
      </c>
      <c r="FZ1253">
        <v>9</v>
      </c>
      <c r="GA1253" t="s">
        <v>424</v>
      </c>
      <c r="GB1253" t="s">
        <v>425</v>
      </c>
      <c r="GC1253" s="1">
        <v>42793</v>
      </c>
      <c r="GD1253">
        <v>21</v>
      </c>
      <c r="GE1253">
        <v>10125</v>
      </c>
      <c r="GF1253" t="s">
        <v>440</v>
      </c>
      <c r="GH1253" s="1">
        <v>41787</v>
      </c>
      <c r="GI1253">
        <v>2013</v>
      </c>
      <c r="GJ1253">
        <v>202.63</v>
      </c>
      <c r="GK1253" t="s">
        <v>12778</v>
      </c>
      <c r="GL1253">
        <v>15.5</v>
      </c>
      <c r="GM1253" t="s">
        <v>424</v>
      </c>
      <c r="GN1253" t="s">
        <v>425</v>
      </c>
      <c r="GO1253" s="1">
        <v>42793</v>
      </c>
      <c r="GP1253">
        <v>33</v>
      </c>
      <c r="GQ1253">
        <v>10125</v>
      </c>
      <c r="GR1253" t="s">
        <v>440</v>
      </c>
      <c r="GT1253" s="1">
        <v>41423</v>
      </c>
      <c r="GU1253">
        <v>2012</v>
      </c>
      <c r="GV1253">
        <v>204.88</v>
      </c>
      <c r="GW1253" t="s">
        <v>12779</v>
      </c>
      <c r="GX1253">
        <v>6</v>
      </c>
      <c r="GY1253" t="s">
        <v>424</v>
      </c>
      <c r="GZ1253" t="s">
        <v>425</v>
      </c>
      <c r="HA1253" s="1">
        <v>41729</v>
      </c>
      <c r="HB1253">
        <v>10</v>
      </c>
      <c r="HC1253">
        <v>105</v>
      </c>
      <c r="HD1253" t="s">
        <v>946</v>
      </c>
      <c r="HF1253" s="1">
        <v>41052</v>
      </c>
      <c r="HG1253">
        <v>2011</v>
      </c>
      <c r="HH1253">
        <v>240.66</v>
      </c>
      <c r="HI1253" t="s">
        <v>12780</v>
      </c>
      <c r="HJ1253">
        <v>11.75</v>
      </c>
      <c r="HK1253" t="s">
        <v>424</v>
      </c>
      <c r="HL1253" t="s">
        <v>425</v>
      </c>
      <c r="HM1253" s="1">
        <v>41729</v>
      </c>
      <c r="HN1253">
        <v>22</v>
      </c>
      <c r="HO1253">
        <v>13027</v>
      </c>
      <c r="HP1253" t="s">
        <v>826</v>
      </c>
    </row>
    <row r="1254" spans="1:272" x14ac:dyDescent="0.25">
      <c r="A1254">
        <v>16486261</v>
      </c>
      <c r="B1254">
        <v>1253</v>
      </c>
      <c r="C1254" t="s">
        <v>393</v>
      </c>
      <c r="D1254" t="s">
        <v>394</v>
      </c>
      <c r="F1254" t="str">
        <f>"42-2N-27-4310-0009-0000"</f>
        <v>42-2N-27-4310-0009-0000</v>
      </c>
      <c r="H1254" t="str">
        <f>"BOLDEN SAMUEL SR &amp; CARLEENE"</f>
        <v>BOLDEN SAMUEL SR &amp; CARLEENE</v>
      </c>
      <c r="I1254" t="str">
        <f>"1752 DAYTONA LANE"</f>
        <v>1752 DAYTONA LANE</v>
      </c>
      <c r="J1254" t="str">
        <f>"JACKSONVILLE FL 32218"</f>
        <v>JACKSONVILLE FL 32218</v>
      </c>
      <c r="K1254" t="str">
        <f>"86139 YANIE RD"</f>
        <v>86139 YANIE RD</v>
      </c>
      <c r="L1254" t="str">
        <f t="shared" si="414"/>
        <v>YULEE FL 32097</v>
      </c>
      <c r="M1254" t="str">
        <f>"LOT 9 DAVIS ESTATE HEIGHTS PB 5/15"</f>
        <v>LOT 9 DAVIS ESTATE HEIGHTS PB 5/15</v>
      </c>
      <c r="N1254" t="str">
        <f>""</f>
        <v/>
      </c>
      <c r="O1254" t="str">
        <f>"47505"</f>
        <v>47505</v>
      </c>
      <c r="P1254" t="str">
        <f t="shared" si="416"/>
        <v>2017</v>
      </c>
      <c r="Q1254" t="str">
        <f>""</f>
        <v/>
      </c>
      <c r="R1254" t="str">
        <f>"N"</f>
        <v>N</v>
      </c>
      <c r="S1254" t="str">
        <f>""</f>
        <v/>
      </c>
      <c r="T1254" t="str">
        <f>"315.27"</f>
        <v>315.27</v>
      </c>
      <c r="U1254" t="str">
        <f>"20825.00"</f>
        <v>20825.00</v>
      </c>
      <c r="V1254" t="str">
        <f>"20825.00"</f>
        <v>20825.00</v>
      </c>
      <c r="W1254" t="str">
        <f t="shared" si="418"/>
        <v>2017</v>
      </c>
      <c r="X1254" t="str">
        <f>"18.60"</f>
        <v>18.60</v>
      </c>
      <c r="Y1254" t="str">
        <f>"356.73"</f>
        <v>356.73</v>
      </c>
      <c r="Z1254" t="str">
        <f>""</f>
        <v/>
      </c>
      <c r="AA1254" t="str">
        <f>"20825.00"</f>
        <v>20825.00</v>
      </c>
      <c r="AB1254" t="str">
        <f t="shared" si="423"/>
        <v>Residential</v>
      </c>
      <c r="AC1254" t="str">
        <f t="shared" si="422"/>
        <v>0</v>
      </c>
      <c r="AD1254" t="str">
        <f>""</f>
        <v/>
      </c>
      <c r="AE1254" t="str">
        <f>""</f>
        <v/>
      </c>
      <c r="AF1254" t="str">
        <f>"000"</f>
        <v>000</v>
      </c>
      <c r="AG1254" t="str">
        <f t="shared" si="424"/>
        <v>FL</v>
      </c>
      <c r="AH1254" t="str">
        <f>"9940.00"</f>
        <v>9940.00</v>
      </c>
      <c r="AI1254" t="str">
        <f>"20825.00"</f>
        <v>20825.00</v>
      </c>
      <c r="AJ1254" t="str">
        <f>"C55-000-588-1702-4"</f>
        <v>C55-000-588-1702-4</v>
      </c>
      <c r="AK1254" t="str">
        <f>"21156"</f>
        <v>21156</v>
      </c>
      <c r="AL1254">
        <v>5</v>
      </c>
      <c r="AM1254">
        <v>1429</v>
      </c>
      <c r="AN1254">
        <v>372.97</v>
      </c>
      <c r="AQ1254" t="s">
        <v>12781</v>
      </c>
      <c r="AR1254" t="s">
        <v>12781</v>
      </c>
      <c r="AS1254" t="s">
        <v>12781</v>
      </c>
      <c r="AU1254" t="s">
        <v>396</v>
      </c>
      <c r="AV1254">
        <v>2017</v>
      </c>
      <c r="AW1254" t="str">
        <f>"42-2N-27-4310-0009-0000 "</f>
        <v xml:space="preserve">42-2N-27-4310-0009-0000 </v>
      </c>
      <c r="AX1254">
        <v>86139</v>
      </c>
      <c r="AZ1254" t="s">
        <v>12768</v>
      </c>
      <c r="BA1254" t="s">
        <v>496</v>
      </c>
      <c r="BD1254" t="s">
        <v>2387</v>
      </c>
      <c r="BE1254" t="s">
        <v>393</v>
      </c>
      <c r="BF1254">
        <v>32097</v>
      </c>
      <c r="BG1254" t="s">
        <v>12782</v>
      </c>
      <c r="BH1254" t="s">
        <v>2388</v>
      </c>
      <c r="BI1254">
        <v>-81.5901972307161</v>
      </c>
      <c r="BJ1254">
        <v>30.633151075846499</v>
      </c>
      <c r="BK1254" t="s">
        <v>12770</v>
      </c>
      <c r="BL1254" t="s">
        <v>12771</v>
      </c>
      <c r="BM1254" t="s">
        <v>12772</v>
      </c>
      <c r="BN1254" t="s">
        <v>548</v>
      </c>
      <c r="BO1254">
        <v>32218</v>
      </c>
      <c r="BP1254" t="s">
        <v>404</v>
      </c>
      <c r="BQ1254">
        <v>0</v>
      </c>
      <c r="BR1254" t="s">
        <v>491</v>
      </c>
      <c r="BS1254">
        <v>8001</v>
      </c>
      <c r="BT1254" t="s">
        <v>492</v>
      </c>
      <c r="BU1254">
        <v>1400</v>
      </c>
      <c r="BV1254">
        <v>0</v>
      </c>
      <c r="BW1254">
        <v>9809</v>
      </c>
      <c r="BX1254" t="s">
        <v>407</v>
      </c>
      <c r="BY1254" t="s">
        <v>7351</v>
      </c>
      <c r="CD1254">
        <v>2017</v>
      </c>
      <c r="CE1254">
        <v>20825</v>
      </c>
      <c r="CG1254">
        <v>20825</v>
      </c>
      <c r="CH1254">
        <v>2017</v>
      </c>
      <c r="CI1254">
        <v>20825</v>
      </c>
      <c r="CK1254">
        <v>20825</v>
      </c>
      <c r="CL1254">
        <v>2017</v>
      </c>
      <c r="CM1254">
        <v>315.27</v>
      </c>
      <c r="DD1254" t="s">
        <v>2387</v>
      </c>
      <c r="DF1254">
        <v>9</v>
      </c>
      <c r="DG1254">
        <v>42</v>
      </c>
      <c r="DJ1254" t="s">
        <v>12773</v>
      </c>
      <c r="DL1254">
        <v>50302</v>
      </c>
      <c r="DM1254" t="s">
        <v>12468</v>
      </c>
      <c r="DO1254" t="s">
        <v>12783</v>
      </c>
      <c r="DP1254">
        <v>0</v>
      </c>
      <c r="DQ1254">
        <v>2</v>
      </c>
      <c r="DR1254" t="s">
        <v>1479</v>
      </c>
      <c r="DS1254" t="b">
        <v>1</v>
      </c>
      <c r="DT1254" t="s">
        <v>470</v>
      </c>
      <c r="DU1254" t="s">
        <v>471</v>
      </c>
      <c r="DV1254" t="s">
        <v>472</v>
      </c>
      <c r="DX1254">
        <v>-9999</v>
      </c>
      <c r="DZ1254" t="s">
        <v>447</v>
      </c>
      <c r="EA1254" t="s">
        <v>448</v>
      </c>
      <c r="EB1254" t="s">
        <v>742</v>
      </c>
      <c r="EC1254">
        <v>20101217</v>
      </c>
      <c r="ED1254" t="s">
        <v>474</v>
      </c>
      <c r="EF1254">
        <v>2471.8000000000002</v>
      </c>
      <c r="EG1254">
        <v>2471.8000000000002</v>
      </c>
      <c r="EI1254">
        <v>20160407</v>
      </c>
      <c r="EJ1254">
        <v>0</v>
      </c>
      <c r="EK1254">
        <v>0</v>
      </c>
      <c r="EP1254" t="s">
        <v>421</v>
      </c>
      <c r="EQ1254" t="s">
        <v>422</v>
      </c>
      <c r="ER1254">
        <v>2</v>
      </c>
      <c r="ES1254">
        <v>4</v>
      </c>
      <c r="ET1254">
        <v>730.95</v>
      </c>
      <c r="EU1254">
        <v>177.85</v>
      </c>
      <c r="EV1254">
        <v>908.8</v>
      </c>
      <c r="EW1254" s="2">
        <v>43222</v>
      </c>
      <c r="EX1254" s="1">
        <v>42879</v>
      </c>
      <c r="EY1254">
        <v>2016</v>
      </c>
      <c r="EZ1254">
        <v>372.54</v>
      </c>
      <c r="FA1254" t="s">
        <v>12784</v>
      </c>
      <c r="FB1254">
        <v>9.75</v>
      </c>
      <c r="FC1254" t="s">
        <v>424</v>
      </c>
      <c r="FD1254" t="s">
        <v>454</v>
      </c>
      <c r="FF1254">
        <v>12</v>
      </c>
      <c r="FG1254">
        <v>10021</v>
      </c>
      <c r="FH1254" t="s">
        <v>597</v>
      </c>
      <c r="FJ1254" s="1">
        <v>42515</v>
      </c>
      <c r="FK1254">
        <v>2015</v>
      </c>
      <c r="FL1254">
        <v>358.41</v>
      </c>
      <c r="FM1254" t="s">
        <v>12785</v>
      </c>
      <c r="FN1254">
        <v>18</v>
      </c>
      <c r="FO1254" t="s">
        <v>424</v>
      </c>
      <c r="FP1254" t="s">
        <v>454</v>
      </c>
      <c r="FR1254">
        <v>24</v>
      </c>
      <c r="FS1254">
        <v>7336677</v>
      </c>
      <c r="FT1254" t="s">
        <v>5826</v>
      </c>
      <c r="FV1254" s="1">
        <v>42151</v>
      </c>
      <c r="FW1254">
        <v>2014</v>
      </c>
      <c r="FX1254">
        <v>327.94</v>
      </c>
      <c r="FY1254" t="s">
        <v>12786</v>
      </c>
      <c r="FZ1254">
        <v>9</v>
      </c>
      <c r="GA1254" t="s">
        <v>424</v>
      </c>
      <c r="GB1254" t="s">
        <v>425</v>
      </c>
      <c r="GC1254" s="1">
        <v>42793</v>
      </c>
      <c r="GD1254">
        <v>21</v>
      </c>
      <c r="GE1254">
        <v>10125</v>
      </c>
      <c r="GF1254" t="s">
        <v>440</v>
      </c>
      <c r="GH1254" s="1">
        <v>41787</v>
      </c>
      <c r="GI1254">
        <v>2013</v>
      </c>
      <c r="GJ1254">
        <v>274.86</v>
      </c>
      <c r="GK1254" t="s">
        <v>12787</v>
      </c>
      <c r="GL1254">
        <v>15.5</v>
      </c>
      <c r="GM1254" t="s">
        <v>424</v>
      </c>
      <c r="GN1254" t="s">
        <v>425</v>
      </c>
      <c r="GO1254" s="1">
        <v>42793</v>
      </c>
      <c r="GP1254">
        <v>33</v>
      </c>
      <c r="GQ1254">
        <v>10125</v>
      </c>
      <c r="GR1254" t="s">
        <v>440</v>
      </c>
      <c r="GT1254" s="1">
        <v>41423</v>
      </c>
      <c r="GU1254">
        <v>2012</v>
      </c>
      <c r="GV1254">
        <v>278.02</v>
      </c>
      <c r="GW1254" t="s">
        <v>12788</v>
      </c>
      <c r="GX1254">
        <v>6</v>
      </c>
      <c r="GY1254" t="s">
        <v>424</v>
      </c>
      <c r="GZ1254" t="s">
        <v>425</v>
      </c>
      <c r="HA1254" s="1">
        <v>41729</v>
      </c>
      <c r="HB1254">
        <v>10</v>
      </c>
      <c r="HC1254">
        <v>375</v>
      </c>
      <c r="HD1254" t="s">
        <v>776</v>
      </c>
      <c r="HF1254" s="1">
        <v>41052</v>
      </c>
      <c r="HG1254">
        <v>2011</v>
      </c>
      <c r="HH1254">
        <v>331.34</v>
      </c>
      <c r="HI1254" t="s">
        <v>12789</v>
      </c>
      <c r="HJ1254">
        <v>6</v>
      </c>
      <c r="HK1254" t="s">
        <v>424</v>
      </c>
      <c r="HL1254" t="s">
        <v>425</v>
      </c>
      <c r="HM1254" s="1">
        <v>41729</v>
      </c>
      <c r="HN1254">
        <v>22</v>
      </c>
      <c r="HO1254">
        <v>1109</v>
      </c>
      <c r="HP1254" t="s">
        <v>852</v>
      </c>
    </row>
    <row r="1255" spans="1:272" x14ac:dyDescent="0.25">
      <c r="A1255">
        <v>16486262</v>
      </c>
      <c r="B1255">
        <v>1254</v>
      </c>
      <c r="C1255" t="s">
        <v>393</v>
      </c>
      <c r="D1255" t="s">
        <v>394</v>
      </c>
      <c r="F1255" t="str">
        <f>"42-2N-27-4320-0005-0030"</f>
        <v>42-2N-27-4320-0005-0030</v>
      </c>
      <c r="H1255" t="str">
        <f>"THOMAS ANDREW EST C/O GLORIA THOMAS"</f>
        <v>THOMAS ANDREW EST C/O GLORIA THOMAS</v>
      </c>
      <c r="I1255" t="str">
        <f>"PO BOX 24"</f>
        <v>PO BOX 24</v>
      </c>
      <c r="J1255" t="str">
        <f>"YULEE FL 32041"</f>
        <v>YULEE FL 32041</v>
      </c>
      <c r="K1255" t="str">
        <f>"86021 HENDERSON AVE"</f>
        <v>86021 HENDERSON AVE</v>
      </c>
      <c r="L1255" t="str">
        <f t="shared" si="414"/>
        <v>YULEE FL 32097</v>
      </c>
      <c r="M1255" t="str">
        <f>"PT OF LOT 5 IN OR 595/431 WM DAVIS ESTATE DB 245/475"</f>
        <v>PT OF LOT 5 IN OR 595/431 WM DAVIS ESTATE DB 245/475</v>
      </c>
      <c r="N1255" t="str">
        <f>""</f>
        <v/>
      </c>
      <c r="O1255" t="str">
        <f>"47521"</f>
        <v>47521</v>
      </c>
      <c r="P1255" t="str">
        <f t="shared" si="416"/>
        <v>2017</v>
      </c>
      <c r="Q1255" t="str">
        <f>""</f>
        <v/>
      </c>
      <c r="R1255" t="str">
        <f>"N"</f>
        <v>N</v>
      </c>
      <c r="S1255" t="str">
        <f>""</f>
        <v/>
      </c>
      <c r="T1255" t="str">
        <f>"441.76"</f>
        <v>441.76</v>
      </c>
      <c r="U1255" t="str">
        <f>"29181.00"</f>
        <v>29181.00</v>
      </c>
      <c r="V1255" t="str">
        <f>"29181.00"</f>
        <v>29181.00</v>
      </c>
      <c r="W1255" t="str">
        <f t="shared" si="418"/>
        <v>2017</v>
      </c>
      <c r="X1255" t="str">
        <f>"27.09"</f>
        <v>27.09</v>
      </c>
      <c r="Y1255" t="str">
        <f>"487.01"</f>
        <v>487.01</v>
      </c>
      <c r="Z1255" t="str">
        <f>""</f>
        <v/>
      </c>
      <c r="AA1255" t="str">
        <f>"29181.00"</f>
        <v>29181.00</v>
      </c>
      <c r="AB1255" t="str">
        <f t="shared" si="423"/>
        <v>Residential</v>
      </c>
      <c r="AC1255" t="str">
        <f t="shared" si="422"/>
        <v>0</v>
      </c>
      <c r="AD1255" t="str">
        <f>"4"</f>
        <v>4</v>
      </c>
      <c r="AE1255" t="str">
        <f>"WOOD (INCLUDE STEEL STUDS)"</f>
        <v>WOOD (INCLUDE STEEL STUDS)</v>
      </c>
      <c r="AF1255" t="str">
        <f>"001"</f>
        <v>001</v>
      </c>
      <c r="AG1255" t="str">
        <f t="shared" si="424"/>
        <v>FL</v>
      </c>
      <c r="AH1255" t="str">
        <f>"13500.00"</f>
        <v>13500.00</v>
      </c>
      <c r="AI1255" t="str">
        <f>"12390.00"</f>
        <v>12390.00</v>
      </c>
      <c r="AJ1255" t="str">
        <f>"C55-000-588-1712-3"</f>
        <v>C55-000-588-1712-3</v>
      </c>
      <c r="AK1255" t="str">
        <f>"21167"</f>
        <v>21167</v>
      </c>
      <c r="AL1255">
        <v>5</v>
      </c>
      <c r="AM1255">
        <v>1430</v>
      </c>
      <c r="AN1255">
        <v>509.76</v>
      </c>
      <c r="AQ1255" t="s">
        <v>12790</v>
      </c>
      <c r="AR1255" t="s">
        <v>12790</v>
      </c>
      <c r="AS1255" t="s">
        <v>12790</v>
      </c>
      <c r="AU1255" t="s">
        <v>396</v>
      </c>
      <c r="AV1255">
        <v>2017</v>
      </c>
      <c r="AW1255" t="str">
        <f>"42-2N-27-4320-0005-0030 "</f>
        <v xml:space="preserve">42-2N-27-4320-0005-0030 </v>
      </c>
      <c r="AX1255">
        <v>86021</v>
      </c>
      <c r="AZ1255" t="s">
        <v>12520</v>
      </c>
      <c r="BA1255" t="s">
        <v>1112</v>
      </c>
      <c r="BD1255" t="s">
        <v>2387</v>
      </c>
      <c r="BE1255" t="s">
        <v>393</v>
      </c>
      <c r="BF1255">
        <v>32097</v>
      </c>
      <c r="BG1255" t="s">
        <v>12791</v>
      </c>
      <c r="BH1255" t="s">
        <v>2388</v>
      </c>
      <c r="BI1255">
        <v>-81.586714331887094</v>
      </c>
      <c r="BJ1255">
        <v>30.629250734522</v>
      </c>
      <c r="BK1255" t="s">
        <v>12361</v>
      </c>
      <c r="BM1255" t="s">
        <v>12362</v>
      </c>
      <c r="BN1255" t="s">
        <v>1778</v>
      </c>
      <c r="BO1255">
        <v>32041</v>
      </c>
      <c r="BP1255" t="s">
        <v>404</v>
      </c>
      <c r="BQ1255">
        <v>100</v>
      </c>
      <c r="BR1255" t="s">
        <v>514</v>
      </c>
      <c r="BS1255">
        <v>1001</v>
      </c>
      <c r="BT1255" t="s">
        <v>515</v>
      </c>
      <c r="BU1255">
        <v>750</v>
      </c>
      <c r="BV1255">
        <v>1800</v>
      </c>
      <c r="BW1255">
        <v>13251</v>
      </c>
      <c r="BX1255" t="s">
        <v>407</v>
      </c>
      <c r="BY1255" t="s">
        <v>408</v>
      </c>
      <c r="BZ1255">
        <v>4</v>
      </c>
      <c r="CA1255">
        <v>1966</v>
      </c>
      <c r="CB1255">
        <v>1</v>
      </c>
      <c r="CC1255">
        <v>1</v>
      </c>
      <c r="CD1255">
        <v>2017</v>
      </c>
      <c r="CE1255">
        <v>12390</v>
      </c>
      <c r="CF1255">
        <v>16791</v>
      </c>
      <c r="CG1255">
        <v>29181</v>
      </c>
      <c r="CH1255">
        <v>2017</v>
      </c>
      <c r="CI1255">
        <v>12390</v>
      </c>
      <c r="CJ1255">
        <v>16791</v>
      </c>
      <c r="CK1255">
        <v>29181</v>
      </c>
      <c r="CL1255">
        <v>2017</v>
      </c>
      <c r="CM1255">
        <v>441.76</v>
      </c>
      <c r="CN1255" s="1">
        <v>32981</v>
      </c>
      <c r="CZ1255" s="1">
        <v>32981</v>
      </c>
      <c r="DD1255" t="s">
        <v>2387</v>
      </c>
      <c r="DF1255">
        <v>5</v>
      </c>
      <c r="DG1255">
        <v>42</v>
      </c>
      <c r="DL1255">
        <v>50302</v>
      </c>
      <c r="DM1255" t="s">
        <v>12468</v>
      </c>
      <c r="DO1255" t="s">
        <v>12792</v>
      </c>
      <c r="DP1255">
        <v>0</v>
      </c>
      <c r="DQ1255">
        <v>0</v>
      </c>
      <c r="DR1255" t="s">
        <v>411</v>
      </c>
      <c r="DS1255" t="b">
        <v>1</v>
      </c>
      <c r="DT1255" t="s">
        <v>470</v>
      </c>
      <c r="DU1255" t="s">
        <v>471</v>
      </c>
      <c r="DV1255" t="s">
        <v>472</v>
      </c>
      <c r="DX1255">
        <v>-9999</v>
      </c>
      <c r="DZ1255" t="s">
        <v>447</v>
      </c>
      <c r="EA1255" t="s">
        <v>448</v>
      </c>
      <c r="EB1255" t="s">
        <v>742</v>
      </c>
      <c r="EC1255">
        <v>20101217</v>
      </c>
      <c r="ED1255" t="s">
        <v>474</v>
      </c>
      <c r="EF1255">
        <v>4211.5</v>
      </c>
      <c r="EG1255">
        <v>3897.8</v>
      </c>
      <c r="EI1255">
        <v>20160407</v>
      </c>
      <c r="EJ1255">
        <v>0</v>
      </c>
      <c r="EK1255">
        <v>0</v>
      </c>
      <c r="EP1255" t="s">
        <v>421</v>
      </c>
      <c r="EQ1255" t="s">
        <v>422</v>
      </c>
      <c r="ER1255">
        <v>1</v>
      </c>
      <c r="ES1255">
        <v>9</v>
      </c>
      <c r="ET1255">
        <v>511.45</v>
      </c>
      <c r="EU1255">
        <v>31.82</v>
      </c>
      <c r="EV1255">
        <v>543.27</v>
      </c>
      <c r="EW1255" s="2">
        <v>43222</v>
      </c>
      <c r="EX1255" s="1">
        <v>42879</v>
      </c>
      <c r="EY1255">
        <v>2016</v>
      </c>
      <c r="EZ1255">
        <v>511.45</v>
      </c>
      <c r="FA1255" t="s">
        <v>12793</v>
      </c>
      <c r="FB1255">
        <v>4.75</v>
      </c>
      <c r="FC1255" t="s">
        <v>424</v>
      </c>
      <c r="FD1255" t="s">
        <v>454</v>
      </c>
      <c r="FF1255">
        <v>12</v>
      </c>
      <c r="FG1255">
        <v>2035919</v>
      </c>
      <c r="FH1255" t="s">
        <v>507</v>
      </c>
      <c r="FJ1255" s="1">
        <v>42515</v>
      </c>
      <c r="FK1255">
        <v>2015</v>
      </c>
      <c r="FL1255">
        <v>518.21</v>
      </c>
      <c r="FM1255" t="s">
        <v>12794</v>
      </c>
      <c r="FN1255">
        <v>14.75</v>
      </c>
      <c r="FO1255" t="s">
        <v>424</v>
      </c>
      <c r="FP1255" t="s">
        <v>425</v>
      </c>
      <c r="FQ1255" s="1">
        <v>43187</v>
      </c>
      <c r="FR1255">
        <v>22</v>
      </c>
      <c r="FS1255">
        <v>11154</v>
      </c>
      <c r="FT1255" t="s">
        <v>1301</v>
      </c>
      <c r="FV1255" s="1">
        <v>42151</v>
      </c>
      <c r="FW1255">
        <v>2014</v>
      </c>
      <c r="FX1255">
        <v>1053.5899999999999</v>
      </c>
      <c r="FY1255" t="s">
        <v>12795</v>
      </c>
      <c r="FZ1255">
        <v>0.25</v>
      </c>
      <c r="GA1255" t="s">
        <v>424</v>
      </c>
      <c r="GB1255" t="s">
        <v>425</v>
      </c>
      <c r="GD1255">
        <v>22</v>
      </c>
      <c r="GE1255">
        <v>4975594</v>
      </c>
      <c r="GF1255" t="s">
        <v>457</v>
      </c>
      <c r="GH1255" s="1">
        <v>42151</v>
      </c>
      <c r="GI1255">
        <v>2014</v>
      </c>
      <c r="GJ1255">
        <v>1053.5899999999999</v>
      </c>
      <c r="GK1255" t="s">
        <v>12795</v>
      </c>
      <c r="GL1255">
        <v>0.25</v>
      </c>
      <c r="GM1255" t="s">
        <v>424</v>
      </c>
      <c r="GN1255" t="s">
        <v>425</v>
      </c>
      <c r="GP1255">
        <v>22</v>
      </c>
      <c r="GQ1255">
        <v>6449348</v>
      </c>
      <c r="GR1255" t="s">
        <v>12796</v>
      </c>
      <c r="GT1255" s="1">
        <v>42151</v>
      </c>
      <c r="GU1255">
        <v>2014</v>
      </c>
      <c r="GV1255">
        <v>1053.5899999999999</v>
      </c>
      <c r="GW1255" t="s">
        <v>12795</v>
      </c>
      <c r="GX1255">
        <v>0.25</v>
      </c>
      <c r="GY1255" t="s">
        <v>424</v>
      </c>
      <c r="GZ1255" t="s">
        <v>425</v>
      </c>
      <c r="HA1255" s="1">
        <v>43024</v>
      </c>
      <c r="HB1255">
        <v>29</v>
      </c>
      <c r="HC1255">
        <v>12259</v>
      </c>
      <c r="HD1255" t="s">
        <v>1032</v>
      </c>
      <c r="HF1255" s="1">
        <v>41787</v>
      </c>
      <c r="HG1255">
        <v>2013</v>
      </c>
      <c r="HH1255">
        <v>904.82</v>
      </c>
      <c r="HI1255" t="s">
        <v>12797</v>
      </c>
      <c r="HJ1255">
        <v>0.25</v>
      </c>
      <c r="HK1255" t="s">
        <v>424</v>
      </c>
      <c r="HL1255" t="s">
        <v>425</v>
      </c>
      <c r="HM1255" s="1">
        <v>42457</v>
      </c>
      <c r="HN1255">
        <v>22</v>
      </c>
      <c r="HO1255">
        <v>2101382</v>
      </c>
      <c r="HP1255" t="s">
        <v>993</v>
      </c>
      <c r="HR1255" s="1">
        <v>41423</v>
      </c>
      <c r="HS1255">
        <v>2012</v>
      </c>
      <c r="HT1255">
        <v>917.91</v>
      </c>
      <c r="HU1255" t="s">
        <v>12798</v>
      </c>
      <c r="HV1255">
        <v>0.25</v>
      </c>
      <c r="HW1255" t="s">
        <v>424</v>
      </c>
      <c r="HX1255" t="s">
        <v>425</v>
      </c>
      <c r="HY1255" s="1">
        <v>42059</v>
      </c>
      <c r="HZ1255">
        <v>21</v>
      </c>
      <c r="IA1255">
        <v>10125</v>
      </c>
      <c r="IB1255" t="s">
        <v>440</v>
      </c>
      <c r="ID1255" s="1">
        <v>41052</v>
      </c>
      <c r="IE1255">
        <v>2011</v>
      </c>
      <c r="IF1255">
        <v>957.18</v>
      </c>
      <c r="IG1255" t="s">
        <v>12799</v>
      </c>
      <c r="IH1255">
        <v>4</v>
      </c>
      <c r="II1255" t="s">
        <v>424</v>
      </c>
      <c r="IJ1255" t="s">
        <v>425</v>
      </c>
      <c r="IK1255" s="1">
        <v>41726</v>
      </c>
      <c r="IL1255">
        <v>22</v>
      </c>
      <c r="IM1255">
        <v>1625515</v>
      </c>
      <c r="IN1255" t="s">
        <v>487</v>
      </c>
      <c r="IP1255" s="1">
        <v>41052</v>
      </c>
      <c r="IQ1255">
        <v>2011</v>
      </c>
      <c r="IR1255">
        <v>957.18</v>
      </c>
      <c r="IS1255" t="s">
        <v>12799</v>
      </c>
      <c r="IT1255">
        <v>4</v>
      </c>
      <c r="IU1255" t="s">
        <v>424</v>
      </c>
      <c r="IV1255" t="s">
        <v>425</v>
      </c>
      <c r="IX1255">
        <v>22</v>
      </c>
      <c r="IY1255">
        <v>10579</v>
      </c>
      <c r="IZ1255" t="s">
        <v>488</v>
      </c>
      <c r="JB1255" s="1">
        <v>40688</v>
      </c>
      <c r="JC1255">
        <v>2010</v>
      </c>
      <c r="JD1255">
        <v>963.49</v>
      </c>
      <c r="JE1255" t="s">
        <v>12800</v>
      </c>
      <c r="JF1255">
        <v>6.75</v>
      </c>
      <c r="JG1255" t="s">
        <v>424</v>
      </c>
      <c r="JH1255" t="s">
        <v>425</v>
      </c>
      <c r="JI1255" s="1">
        <v>41334</v>
      </c>
      <c r="JJ1255">
        <v>22</v>
      </c>
      <c r="JK1255">
        <v>105</v>
      </c>
      <c r="JL1255" t="s">
        <v>946</v>
      </c>
    </row>
    <row r="1256" spans="1:272" x14ac:dyDescent="0.25">
      <c r="A1256">
        <v>16486263</v>
      </c>
      <c r="B1256">
        <v>1255</v>
      </c>
      <c r="C1256" t="s">
        <v>393</v>
      </c>
      <c r="D1256" t="s">
        <v>394</v>
      </c>
      <c r="F1256" t="str">
        <f>"42-2N-27-4340-0003-0020"</f>
        <v>42-2N-27-4340-0003-0020</v>
      </c>
      <c r="H1256" t="str">
        <f>"REEVES ANGELA E"</f>
        <v>REEVES ANGELA E</v>
      </c>
      <c r="I1256" t="str">
        <f>"85938 NORTH HARTS RD"</f>
        <v>85938 NORTH HARTS RD</v>
      </c>
      <c r="J1256" t="str">
        <f>"YULEE FL 32097"</f>
        <v>YULEE FL 32097</v>
      </c>
      <c r="K1256" t="str">
        <f>"85938 NORTH HARTS RD"</f>
        <v>85938 NORTH HARTS RD</v>
      </c>
      <c r="L1256" t="str">
        <f t="shared" si="414"/>
        <v>YULEE FL 32097</v>
      </c>
      <c r="M1256" t="str">
        <f>"PT BLKS 3 &amp; 4 PAR 3-2 IN OR 2116/705 ESMT PT OR 1881/975 E J JOHNSONS ADD TO YULEE UNR"</f>
        <v>PT BLKS 3 &amp; 4 PAR 3-2 IN OR 2116/705 ESMT PT OR 1881/975 E J JOHNSONS ADD TO YULEE UNR</v>
      </c>
      <c r="N1256" t="str">
        <f>""</f>
        <v/>
      </c>
      <c r="O1256" t="str">
        <f>"47543"</f>
        <v>47543</v>
      </c>
      <c r="P1256" t="str">
        <f t="shared" si="416"/>
        <v>2017</v>
      </c>
      <c r="Q1256" t="str">
        <f>""</f>
        <v/>
      </c>
      <c r="R1256" t="str">
        <f>"Y"</f>
        <v>Y</v>
      </c>
      <c r="S1256" t="str">
        <f>""</f>
        <v/>
      </c>
      <c r="T1256" t="str">
        <f>"537.98"</f>
        <v>537.98</v>
      </c>
      <c r="U1256" t="str">
        <f>"74174.00"</f>
        <v>74174.00</v>
      </c>
      <c r="V1256" t="str">
        <f>"74174.00"</f>
        <v>74174.00</v>
      </c>
      <c r="W1256" t="str">
        <f t="shared" si="418"/>
        <v>2017</v>
      </c>
      <c r="X1256" t="str">
        <f>"6.00"</f>
        <v>6.00</v>
      </c>
      <c r="Y1256" t="str">
        <f>"586.12"</f>
        <v>586.12</v>
      </c>
      <c r="Z1256" t="str">
        <f>"25000.00"</f>
        <v>25000.00</v>
      </c>
      <c r="AA1256" t="str">
        <f>"49174.00"</f>
        <v>49174.00</v>
      </c>
      <c r="AB1256" t="str">
        <f t="shared" si="423"/>
        <v>Residential</v>
      </c>
      <c r="AC1256" t="str">
        <f t="shared" si="422"/>
        <v>0</v>
      </c>
      <c r="AD1256" t="str">
        <f>"4"</f>
        <v>4</v>
      </c>
      <c r="AE1256" t="str">
        <f>"WOOD (INCLUDE STEEL STUDS)"</f>
        <v>WOOD (INCLUDE STEEL STUDS)</v>
      </c>
      <c r="AF1256" t="str">
        <f>"001"</f>
        <v>001</v>
      </c>
      <c r="AG1256" t="str">
        <f t="shared" si="424"/>
        <v>FL</v>
      </c>
      <c r="AH1256" t="str">
        <f>"32200.00"</f>
        <v>32200.00</v>
      </c>
      <c r="AI1256" t="str">
        <f>"19682.00"</f>
        <v>19682.00</v>
      </c>
      <c r="AJ1256" t="str">
        <f>"C55-000-588-1733-9"</f>
        <v>C55-000-588-1733-9</v>
      </c>
      <c r="AK1256" t="str">
        <f>"21187"</f>
        <v>21187</v>
      </c>
      <c r="AL1256">
        <v>5</v>
      </c>
      <c r="AM1256">
        <v>1431</v>
      </c>
      <c r="AN1256">
        <v>613.83000000000004</v>
      </c>
      <c r="AQ1256" t="s">
        <v>12801</v>
      </c>
      <c r="AR1256" t="s">
        <v>12801</v>
      </c>
      <c r="AS1256" t="s">
        <v>12801</v>
      </c>
      <c r="AU1256" t="s">
        <v>396</v>
      </c>
      <c r="AV1256">
        <v>2017</v>
      </c>
      <c r="AW1256" t="str">
        <f>"42-2N-27-4340-0003-0020 "</f>
        <v xml:space="preserve">42-2N-27-4340-0003-0020 </v>
      </c>
      <c r="AX1256">
        <v>85938</v>
      </c>
      <c r="AY1256" t="s">
        <v>11533</v>
      </c>
      <c r="AZ1256" t="s">
        <v>11534</v>
      </c>
      <c r="BA1256" t="s">
        <v>496</v>
      </c>
      <c r="BD1256" t="s">
        <v>2387</v>
      </c>
      <c r="BE1256" t="s">
        <v>393</v>
      </c>
      <c r="BF1256">
        <v>32097</v>
      </c>
      <c r="BG1256" t="s">
        <v>12802</v>
      </c>
      <c r="BH1256" t="s">
        <v>2388</v>
      </c>
      <c r="BI1256">
        <v>-81.605010924986701</v>
      </c>
      <c r="BJ1256">
        <v>30.629093645056098</v>
      </c>
      <c r="BK1256" t="s">
        <v>12803</v>
      </c>
      <c r="BM1256" t="s">
        <v>12804</v>
      </c>
      <c r="BN1256" t="s">
        <v>1778</v>
      </c>
      <c r="BO1256">
        <v>32097</v>
      </c>
      <c r="BP1256" t="s">
        <v>416</v>
      </c>
      <c r="BQ1256">
        <v>100</v>
      </c>
      <c r="BR1256" t="s">
        <v>514</v>
      </c>
      <c r="BS1256">
        <v>1001</v>
      </c>
      <c r="BT1256" t="s">
        <v>515</v>
      </c>
      <c r="BU1256">
        <v>1150</v>
      </c>
      <c r="BV1256">
        <v>0</v>
      </c>
      <c r="BW1256">
        <v>14993</v>
      </c>
      <c r="BX1256" t="s">
        <v>407</v>
      </c>
      <c r="BY1256" t="s">
        <v>7351</v>
      </c>
      <c r="BZ1256">
        <v>4</v>
      </c>
      <c r="CA1256">
        <v>1973</v>
      </c>
      <c r="CB1256">
        <v>1</v>
      </c>
      <c r="CC1256">
        <v>1</v>
      </c>
      <c r="CD1256">
        <v>2017</v>
      </c>
      <c r="CG1256">
        <v>74174</v>
      </c>
      <c r="CH1256">
        <v>2017</v>
      </c>
      <c r="CI1256">
        <v>19682</v>
      </c>
      <c r="CJ1256">
        <v>57697</v>
      </c>
      <c r="CK1256">
        <v>77379</v>
      </c>
      <c r="CL1256">
        <v>2017</v>
      </c>
      <c r="CM1256">
        <v>537.98</v>
      </c>
      <c r="CN1256" s="1">
        <v>29434</v>
      </c>
      <c r="CO1256">
        <v>49500</v>
      </c>
      <c r="CZ1256" s="1">
        <v>29434</v>
      </c>
      <c r="DD1256" t="s">
        <v>2387</v>
      </c>
      <c r="DG1256">
        <v>42</v>
      </c>
      <c r="DL1256">
        <v>50302</v>
      </c>
      <c r="DM1256" t="s">
        <v>12468</v>
      </c>
      <c r="DO1256" t="s">
        <v>12805</v>
      </c>
      <c r="DP1256">
        <v>0</v>
      </c>
      <c r="DQ1256">
        <v>1</v>
      </c>
      <c r="DR1256" t="s">
        <v>1479</v>
      </c>
      <c r="EP1256" t="s">
        <v>421</v>
      </c>
      <c r="EQ1256" t="s">
        <v>422</v>
      </c>
      <c r="ER1256">
        <v>0</v>
      </c>
      <c r="ES1256">
        <v>1</v>
      </c>
      <c r="ET1256">
        <v>0</v>
      </c>
      <c r="EU1256">
        <v>0</v>
      </c>
      <c r="EV1256">
        <v>0</v>
      </c>
      <c r="EW1256" s="2">
        <v>43222</v>
      </c>
      <c r="EX1256" s="1">
        <v>40688</v>
      </c>
      <c r="EY1256">
        <v>2010</v>
      </c>
      <c r="EZ1256">
        <v>970.59</v>
      </c>
      <c r="FA1256" t="s">
        <v>12806</v>
      </c>
      <c r="FB1256">
        <v>0.25</v>
      </c>
      <c r="FC1256" t="s">
        <v>424</v>
      </c>
      <c r="FD1256" t="s">
        <v>425</v>
      </c>
      <c r="FE1256" s="1">
        <v>40861</v>
      </c>
      <c r="FF1256">
        <v>6</v>
      </c>
      <c r="FG1256">
        <v>11177</v>
      </c>
      <c r="FH1256" t="s">
        <v>650</v>
      </c>
    </row>
    <row r="1257" spans="1:272" x14ac:dyDescent="0.25">
      <c r="A1257">
        <v>16486264</v>
      </c>
      <c r="B1257">
        <v>1256</v>
      </c>
      <c r="C1257" t="s">
        <v>393</v>
      </c>
      <c r="D1257" t="s">
        <v>394</v>
      </c>
      <c r="F1257" t="str">
        <f>"42-2N-27-4340-0011-0000"</f>
        <v>42-2N-27-4340-0011-0000</v>
      </c>
      <c r="H1257" t="str">
        <f>"DANIEL ROBERT K III"</f>
        <v>DANIEL ROBERT K III</v>
      </c>
      <c r="I1257" t="str">
        <f>"86150 HAYLEY PL"</f>
        <v>86150 HAYLEY PL</v>
      </c>
      <c r="J1257" t="str">
        <f>"YULEE FL 32097"</f>
        <v>YULEE FL 32097</v>
      </c>
      <c r="K1257" t="str">
        <f>"106 HARTS RD"</f>
        <v>106 HARTS RD</v>
      </c>
      <c r="L1257" t="str">
        <f t="shared" si="414"/>
        <v>YULEE FL 32097</v>
      </c>
      <c r="M1257" t="str">
        <f>"PT BLKS 11 12 13 &amp; PT ABND R/W IN OR 1522/465 &amp; ESMTS IN OR 454/85 &amp; OR 456/382 (EX ESMT IN OR 454/85) E J JOHNSON ADDN TO YULEE UNR"</f>
        <v>PT BLKS 11 12 13 &amp; PT ABND R/W IN OR 1522/465 &amp; ESMTS IN OR 454/85 &amp; OR 456/382 (EX ESMT IN OR 454/85) E J JOHNSON ADDN TO YULEE UNR</v>
      </c>
      <c r="N1257" t="str">
        <f>""</f>
        <v/>
      </c>
      <c r="O1257" t="str">
        <f>"47552"</f>
        <v>47552</v>
      </c>
      <c r="P1257" t="str">
        <f t="shared" si="416"/>
        <v>2017</v>
      </c>
      <c r="Q1257" t="str">
        <f>""</f>
        <v/>
      </c>
      <c r="R1257" t="str">
        <f>"N"</f>
        <v>N</v>
      </c>
      <c r="S1257" t="str">
        <f>"1.63"</f>
        <v>1.63</v>
      </c>
      <c r="T1257" t="str">
        <f>"400.99"</f>
        <v>400.99</v>
      </c>
      <c r="U1257" t="str">
        <f>"26487.00"</f>
        <v>26487.00</v>
      </c>
      <c r="V1257" t="str">
        <f>"26487.00"</f>
        <v>26487.00</v>
      </c>
      <c r="W1257" t="str">
        <f t="shared" si="418"/>
        <v>2017</v>
      </c>
      <c r="X1257" t="str">
        <f>"4.60"</f>
        <v>4.60</v>
      </c>
      <c r="Y1257" t="str">
        <f>"445.02"</f>
        <v>445.02</v>
      </c>
      <c r="Z1257" t="str">
        <f>""</f>
        <v/>
      </c>
      <c r="AA1257" t="str">
        <f>"26487.00"</f>
        <v>26487.00</v>
      </c>
      <c r="AB1257" t="str">
        <f t="shared" si="423"/>
        <v>Residential</v>
      </c>
      <c r="AC1257" t="str">
        <f t="shared" si="422"/>
        <v>0</v>
      </c>
      <c r="AD1257" t="str">
        <f>""</f>
        <v/>
      </c>
      <c r="AE1257" t="str">
        <f>""</f>
        <v/>
      </c>
      <c r="AF1257" t="str">
        <f>"000"</f>
        <v>000</v>
      </c>
      <c r="AG1257" t="str">
        <f t="shared" si="424"/>
        <v>FL</v>
      </c>
      <c r="AH1257" t="str">
        <f>"71002.00"</f>
        <v>71002.00</v>
      </c>
      <c r="AI1257" t="str">
        <f>"26487.00"</f>
        <v>26487.00</v>
      </c>
      <c r="AJ1257" t="str">
        <f>"C55-000-588-1742-0"</f>
        <v>C55-000-588-1742-0</v>
      </c>
      <c r="AK1257" t="str">
        <f>"21195"</f>
        <v>21195</v>
      </c>
      <c r="AL1257">
        <v>5</v>
      </c>
      <c r="AM1257">
        <v>1432</v>
      </c>
      <c r="AN1257">
        <v>465.67</v>
      </c>
      <c r="AQ1257" t="s">
        <v>12807</v>
      </c>
      <c r="AR1257" t="s">
        <v>12807</v>
      </c>
      <c r="AS1257" t="s">
        <v>12807</v>
      </c>
      <c r="AU1257" t="s">
        <v>396</v>
      </c>
      <c r="AV1257">
        <v>2017</v>
      </c>
      <c r="AW1257" t="str">
        <f>"42-2N-27-4340-0011-0000 "</f>
        <v xml:space="preserve">42-2N-27-4340-0011-0000 </v>
      </c>
      <c r="AX1257">
        <v>106</v>
      </c>
      <c r="AZ1257" t="s">
        <v>11534</v>
      </c>
      <c r="BA1257" t="s">
        <v>496</v>
      </c>
      <c r="BD1257" t="s">
        <v>2387</v>
      </c>
      <c r="BE1257" t="s">
        <v>393</v>
      </c>
      <c r="BF1257">
        <v>32097</v>
      </c>
      <c r="BG1257" t="s">
        <v>12808</v>
      </c>
      <c r="BH1257" t="s">
        <v>2388</v>
      </c>
      <c r="BI1257">
        <v>-81.603532789736306</v>
      </c>
      <c r="BJ1257">
        <v>30.626477666708499</v>
      </c>
      <c r="BK1257" t="s">
        <v>12809</v>
      </c>
      <c r="BM1257" t="s">
        <v>12810</v>
      </c>
      <c r="BN1257" t="s">
        <v>1778</v>
      </c>
      <c r="BO1257">
        <v>32097</v>
      </c>
      <c r="BP1257" t="s">
        <v>404</v>
      </c>
      <c r="BQ1257">
        <v>0</v>
      </c>
      <c r="BR1257" t="s">
        <v>491</v>
      </c>
      <c r="BS1257">
        <v>8001</v>
      </c>
      <c r="BT1257" t="s">
        <v>492</v>
      </c>
      <c r="BW1257">
        <v>71002</v>
      </c>
      <c r="BX1257" t="s">
        <v>407</v>
      </c>
      <c r="BY1257" t="s">
        <v>408</v>
      </c>
      <c r="CD1257">
        <v>2017</v>
      </c>
      <c r="CE1257">
        <v>26487</v>
      </c>
      <c r="CG1257">
        <v>26487</v>
      </c>
      <c r="CH1257">
        <v>2017</v>
      </c>
      <c r="CI1257">
        <v>26487</v>
      </c>
      <c r="CK1257">
        <v>26487</v>
      </c>
      <c r="CL1257">
        <v>2017</v>
      </c>
      <c r="CM1257">
        <v>400.99</v>
      </c>
      <c r="CN1257" s="1">
        <v>39324</v>
      </c>
      <c r="CO1257">
        <v>45000</v>
      </c>
      <c r="CZ1257" s="1">
        <v>39324</v>
      </c>
      <c r="DD1257" t="s">
        <v>2387</v>
      </c>
      <c r="DG1257">
        <v>42</v>
      </c>
      <c r="DL1257">
        <v>50302</v>
      </c>
      <c r="DM1257" t="s">
        <v>12468</v>
      </c>
      <c r="DO1257" t="s">
        <v>12811</v>
      </c>
      <c r="DP1257">
        <v>0</v>
      </c>
      <c r="DQ1257">
        <v>0</v>
      </c>
      <c r="DR1257" t="s">
        <v>411</v>
      </c>
      <c r="DS1257" t="b">
        <v>1</v>
      </c>
      <c r="DT1257" t="s">
        <v>470</v>
      </c>
      <c r="DU1257" t="s">
        <v>471</v>
      </c>
      <c r="DV1257" t="s">
        <v>472</v>
      </c>
      <c r="DX1257">
        <v>-9999</v>
      </c>
      <c r="DZ1257" t="s">
        <v>447</v>
      </c>
      <c r="EA1257" t="s">
        <v>448</v>
      </c>
      <c r="EB1257" t="s">
        <v>742</v>
      </c>
      <c r="EC1257">
        <v>20101217</v>
      </c>
      <c r="ED1257" t="s">
        <v>474</v>
      </c>
      <c r="EF1257">
        <v>-9999</v>
      </c>
      <c r="EG1257">
        <v>8913.1</v>
      </c>
      <c r="EI1257">
        <v>20160407</v>
      </c>
      <c r="EJ1257">
        <v>0</v>
      </c>
      <c r="EK1257">
        <v>0</v>
      </c>
      <c r="EP1257" t="s">
        <v>421</v>
      </c>
      <c r="EQ1257" t="s">
        <v>422</v>
      </c>
      <c r="ER1257">
        <v>0</v>
      </c>
      <c r="ES1257">
        <v>6</v>
      </c>
      <c r="ET1257">
        <v>0</v>
      </c>
      <c r="EU1257">
        <v>0</v>
      </c>
      <c r="EV1257">
        <v>0</v>
      </c>
      <c r="EW1257" s="2">
        <v>43222</v>
      </c>
      <c r="EX1257" s="1">
        <v>42879</v>
      </c>
      <c r="EY1257">
        <v>2016</v>
      </c>
      <c r="EZ1257">
        <v>466.74</v>
      </c>
      <c r="FA1257" t="s">
        <v>12812</v>
      </c>
      <c r="FB1257">
        <v>4.75</v>
      </c>
      <c r="FC1257" t="s">
        <v>424</v>
      </c>
      <c r="FD1257" t="s">
        <v>425</v>
      </c>
      <c r="FE1257" s="1">
        <v>43014</v>
      </c>
      <c r="FF1257">
        <v>5</v>
      </c>
      <c r="FG1257">
        <v>7045081</v>
      </c>
      <c r="FH1257" t="s">
        <v>4351</v>
      </c>
      <c r="FJ1257" s="1">
        <v>42515</v>
      </c>
      <c r="FK1257">
        <v>2015</v>
      </c>
      <c r="FL1257">
        <v>472.42</v>
      </c>
      <c r="FM1257" t="s">
        <v>12813</v>
      </c>
      <c r="FN1257">
        <v>0.25</v>
      </c>
      <c r="FO1257" t="s">
        <v>424</v>
      </c>
      <c r="FP1257" t="s">
        <v>425</v>
      </c>
      <c r="FQ1257" s="1">
        <v>42550</v>
      </c>
      <c r="FR1257">
        <v>1</v>
      </c>
      <c r="FS1257">
        <v>7336671</v>
      </c>
      <c r="FT1257" t="s">
        <v>437</v>
      </c>
      <c r="FV1257" s="1">
        <v>42515</v>
      </c>
      <c r="FW1257">
        <v>2015</v>
      </c>
      <c r="FX1257">
        <v>472.42</v>
      </c>
      <c r="FY1257" t="s">
        <v>12813</v>
      </c>
      <c r="FZ1257">
        <v>0.25</v>
      </c>
      <c r="GA1257" t="s">
        <v>424</v>
      </c>
      <c r="GB1257" t="s">
        <v>425</v>
      </c>
      <c r="GD1257">
        <v>22</v>
      </c>
      <c r="GE1257">
        <v>6920638</v>
      </c>
      <c r="GF1257" t="s">
        <v>12814</v>
      </c>
      <c r="GH1257" s="1">
        <v>42151</v>
      </c>
      <c r="GI1257">
        <v>2014</v>
      </c>
      <c r="GJ1257">
        <v>474.7</v>
      </c>
      <c r="GK1257" t="s">
        <v>12815</v>
      </c>
      <c r="GL1257">
        <v>9</v>
      </c>
      <c r="GM1257" t="s">
        <v>424</v>
      </c>
      <c r="GN1257" t="s">
        <v>425</v>
      </c>
      <c r="GO1257" s="1">
        <v>42185</v>
      </c>
      <c r="GP1257">
        <v>1</v>
      </c>
      <c r="GQ1257">
        <v>10125</v>
      </c>
      <c r="GR1257" t="s">
        <v>440</v>
      </c>
      <c r="GT1257" s="1">
        <v>41787</v>
      </c>
      <c r="GU1257">
        <v>2013</v>
      </c>
      <c r="GV1257">
        <v>361.11</v>
      </c>
      <c r="GW1257" t="s">
        <v>12816</v>
      </c>
      <c r="GX1257">
        <v>12.5</v>
      </c>
      <c r="GY1257" t="s">
        <v>424</v>
      </c>
      <c r="GZ1257" t="s">
        <v>425</v>
      </c>
      <c r="HA1257" s="1">
        <v>42185</v>
      </c>
      <c r="HB1257">
        <v>13</v>
      </c>
      <c r="HC1257">
        <v>10125</v>
      </c>
      <c r="HD1257" t="s">
        <v>440</v>
      </c>
      <c r="HF1257" s="1">
        <v>41052</v>
      </c>
      <c r="HG1257">
        <v>2011</v>
      </c>
      <c r="HH1257">
        <v>433.23</v>
      </c>
      <c r="HI1257" t="s">
        <v>12817</v>
      </c>
      <c r="HJ1257">
        <v>4.75</v>
      </c>
      <c r="HK1257" t="s">
        <v>424</v>
      </c>
      <c r="HL1257" t="s">
        <v>425</v>
      </c>
      <c r="HM1257" s="1">
        <v>41135</v>
      </c>
      <c r="HN1257">
        <v>3</v>
      </c>
      <c r="HO1257">
        <v>10579</v>
      </c>
      <c r="HP1257" t="s">
        <v>488</v>
      </c>
    </row>
    <row r="1258" spans="1:272" x14ac:dyDescent="0.25">
      <c r="A1258">
        <v>16486265</v>
      </c>
      <c r="B1258">
        <v>1257</v>
      </c>
      <c r="C1258" t="s">
        <v>393</v>
      </c>
      <c r="D1258" t="s">
        <v>394</v>
      </c>
      <c r="F1258" t="str">
        <f>"42-2N-27-4340-0011-0030"</f>
        <v>42-2N-27-4340-0011-0030</v>
      </c>
      <c r="H1258" t="str">
        <f>"DANIEL ROBERT K III"</f>
        <v>DANIEL ROBERT K III</v>
      </c>
      <c r="I1258" t="str">
        <f>"86150 HAYLEY PL"</f>
        <v>86150 HAYLEY PL</v>
      </c>
      <c r="J1258" t="str">
        <f>"YULEE FL 32097"</f>
        <v>YULEE FL 32097</v>
      </c>
      <c r="K1258" t="str">
        <f>"86150 HAYLEY PL"</f>
        <v>86150 HAYLEY PL</v>
      </c>
      <c r="L1258" t="str">
        <f t="shared" si="414"/>
        <v>YULEE FL 32097</v>
      </c>
      <c r="M1258" t="str">
        <f>"PT BLKS 11 12 PT ABND R/W &amp; PT JOHN LOW GRANT SEC 42-2N 27E PT OR 1669/572 &amp; ESMT IN OR 454/85 (EX PT IN OR 1522/465 &amp; EX ESMTS IN OR 454/85 &amp; OR 1881/975) E J JOHNSON ADDN TO YULEE UNR {R334254}"</f>
        <v>PT BLKS 11 12 PT ABND R/W &amp; PT JOHN LOW GRANT SEC 42-2N 27E PT OR 1669/572 &amp; ESMT IN OR 454/85 (EX PT IN OR 1522/465 &amp; EX ESMTS IN OR 454/85 &amp; OR 1881/975) E J JOHNSON ADDN TO YULEE UNR {R334254}</v>
      </c>
      <c r="N1258" t="str">
        <f>""</f>
        <v/>
      </c>
      <c r="O1258" t="str">
        <f>"47554"</f>
        <v>47554</v>
      </c>
      <c r="P1258" t="str">
        <f t="shared" si="416"/>
        <v>2017</v>
      </c>
      <c r="Q1258" t="str">
        <f>""</f>
        <v/>
      </c>
      <c r="R1258" t="str">
        <f>"N"</f>
        <v>N</v>
      </c>
      <c r="S1258" t="str">
        <f>"1.67"</f>
        <v>1.67</v>
      </c>
      <c r="T1258" t="str">
        <f>"698.11"</f>
        <v>698.11</v>
      </c>
      <c r="U1258" t="str">
        <f>"46114.00"</f>
        <v>46114.00</v>
      </c>
      <c r="V1258" t="str">
        <f>"46114.00"</f>
        <v>46114.00</v>
      </c>
      <c r="W1258" t="str">
        <f t="shared" si="418"/>
        <v>2017</v>
      </c>
      <c r="X1258" t="str">
        <f>"4.17"</f>
        <v>4.17</v>
      </c>
      <c r="Y1258" t="str">
        <f>"751.05"</f>
        <v>751.05</v>
      </c>
      <c r="Z1258" t="str">
        <f>""</f>
        <v/>
      </c>
      <c r="AA1258" t="str">
        <f>"46114.00"</f>
        <v>46114.00</v>
      </c>
      <c r="AB1258" t="str">
        <f t="shared" si="423"/>
        <v>Residential</v>
      </c>
      <c r="AC1258" t="str">
        <f t="shared" si="422"/>
        <v>0</v>
      </c>
      <c r="AD1258" t="str">
        <f>"4"</f>
        <v>4</v>
      </c>
      <c r="AE1258" t="str">
        <f>"WOOD (INCLUDE STEEL STUDS)"</f>
        <v>WOOD (INCLUDE STEEL STUDS)</v>
      </c>
      <c r="AF1258" t="str">
        <f>"002"</f>
        <v>002</v>
      </c>
      <c r="AG1258" t="str">
        <f t="shared" si="424"/>
        <v>FL</v>
      </c>
      <c r="AH1258" t="str">
        <f>"72745.00"</f>
        <v>72745.00</v>
      </c>
      <c r="AI1258" t="str">
        <f>"35487.00"</f>
        <v>35487.00</v>
      </c>
      <c r="AJ1258" t="str">
        <f>"C55-001-037-4556-8"</f>
        <v>C55-001-037-4556-8</v>
      </c>
      <c r="AK1258" t="str">
        <f>"21196"</f>
        <v>21196</v>
      </c>
      <c r="AL1258">
        <v>5</v>
      </c>
      <c r="AM1258">
        <v>1433</v>
      </c>
      <c r="AN1258">
        <v>787</v>
      </c>
      <c r="AQ1258" t="s">
        <v>12818</v>
      </c>
      <c r="AR1258" t="s">
        <v>12818</v>
      </c>
      <c r="AS1258" t="s">
        <v>12818</v>
      </c>
      <c r="AU1258" t="s">
        <v>396</v>
      </c>
      <c r="AV1258">
        <v>2017</v>
      </c>
      <c r="AW1258" t="str">
        <f>"42-2N-27-4340-0011-0030 "</f>
        <v xml:space="preserve">42-2N-27-4340-0011-0030 </v>
      </c>
      <c r="AX1258">
        <v>86150</v>
      </c>
      <c r="AZ1258" t="s">
        <v>12819</v>
      </c>
      <c r="BA1258" t="s">
        <v>641</v>
      </c>
      <c r="BD1258" t="s">
        <v>2387</v>
      </c>
      <c r="BE1258" t="s">
        <v>393</v>
      </c>
      <c r="BF1258">
        <v>32097</v>
      </c>
      <c r="BG1258" t="s">
        <v>12810</v>
      </c>
      <c r="BH1258" t="s">
        <v>2388</v>
      </c>
      <c r="BI1258">
        <v>-81.603328557839006</v>
      </c>
      <c r="BJ1258">
        <v>30.6259030026605</v>
      </c>
      <c r="BK1258" t="s">
        <v>12809</v>
      </c>
      <c r="BM1258" t="s">
        <v>12810</v>
      </c>
      <c r="BN1258" t="s">
        <v>1778</v>
      </c>
      <c r="BO1258">
        <v>32097</v>
      </c>
      <c r="BP1258" t="s">
        <v>416</v>
      </c>
      <c r="BQ1258">
        <v>200</v>
      </c>
      <c r="BR1258" t="s">
        <v>405</v>
      </c>
      <c r="BS1258">
        <v>1006</v>
      </c>
      <c r="BT1258" t="s">
        <v>406</v>
      </c>
      <c r="BW1258">
        <v>72745</v>
      </c>
      <c r="BX1258" t="s">
        <v>407</v>
      </c>
      <c r="BY1258" t="s">
        <v>408</v>
      </c>
      <c r="BZ1258">
        <v>4</v>
      </c>
      <c r="CA1258">
        <v>1971</v>
      </c>
      <c r="CC1258">
        <v>1</v>
      </c>
      <c r="CD1258">
        <v>2017</v>
      </c>
      <c r="CE1258">
        <v>35487</v>
      </c>
      <c r="CF1258">
        <v>10627</v>
      </c>
      <c r="CG1258">
        <v>46114</v>
      </c>
      <c r="CH1258">
        <v>2017</v>
      </c>
      <c r="CI1258">
        <v>35487</v>
      </c>
      <c r="CJ1258">
        <v>10627</v>
      </c>
      <c r="CK1258">
        <v>46114</v>
      </c>
      <c r="CL1258">
        <v>2017</v>
      </c>
      <c r="CM1258">
        <v>698.11</v>
      </c>
      <c r="CN1258" s="1">
        <v>39324</v>
      </c>
      <c r="CO1258">
        <v>45000</v>
      </c>
      <c r="CV1258">
        <v>26022</v>
      </c>
      <c r="CX1258" t="s">
        <v>5513</v>
      </c>
      <c r="CZ1258" s="1">
        <v>39324</v>
      </c>
      <c r="DA1258">
        <v>0</v>
      </c>
      <c r="DD1258" t="s">
        <v>2387</v>
      </c>
      <c r="DG1258">
        <v>42</v>
      </c>
      <c r="DL1258">
        <v>50302</v>
      </c>
      <c r="DM1258" t="s">
        <v>9353</v>
      </c>
      <c r="DO1258" t="s">
        <v>12820</v>
      </c>
      <c r="DP1258">
        <v>0</v>
      </c>
      <c r="DQ1258">
        <v>0</v>
      </c>
      <c r="DR1258" t="s">
        <v>411</v>
      </c>
      <c r="DS1258" t="b">
        <v>1</v>
      </c>
      <c r="DT1258" t="s">
        <v>470</v>
      </c>
      <c r="DU1258" t="s">
        <v>471</v>
      </c>
      <c r="DV1258" t="s">
        <v>472</v>
      </c>
      <c r="DX1258">
        <v>-9999</v>
      </c>
      <c r="DZ1258" t="s">
        <v>447</v>
      </c>
      <c r="EA1258" t="s">
        <v>448</v>
      </c>
      <c r="EB1258" t="s">
        <v>742</v>
      </c>
      <c r="EC1258">
        <v>20101217</v>
      </c>
      <c r="ED1258" t="s">
        <v>474</v>
      </c>
      <c r="EF1258">
        <v>-9999</v>
      </c>
      <c r="EG1258">
        <v>8817.4</v>
      </c>
      <c r="EI1258">
        <v>20160407</v>
      </c>
      <c r="EJ1258">
        <v>0</v>
      </c>
      <c r="EK1258">
        <v>0</v>
      </c>
      <c r="EP1258" t="s">
        <v>421</v>
      </c>
      <c r="EQ1258" t="s">
        <v>422</v>
      </c>
      <c r="ER1258">
        <v>0</v>
      </c>
      <c r="ES1258">
        <v>9</v>
      </c>
      <c r="ET1258">
        <v>0</v>
      </c>
      <c r="EU1258">
        <v>0</v>
      </c>
      <c r="EV1258">
        <v>0</v>
      </c>
      <c r="EW1258" s="2">
        <v>43222</v>
      </c>
      <c r="EX1258" s="1">
        <v>42879</v>
      </c>
      <c r="EY1258">
        <v>2016</v>
      </c>
      <c r="EZ1258">
        <v>792.71</v>
      </c>
      <c r="FA1258" t="s">
        <v>12821</v>
      </c>
      <c r="FB1258">
        <v>0.25</v>
      </c>
      <c r="FC1258" t="s">
        <v>424</v>
      </c>
      <c r="FD1258" t="s">
        <v>425</v>
      </c>
      <c r="FE1258" s="1">
        <v>43014</v>
      </c>
      <c r="FF1258">
        <v>5</v>
      </c>
      <c r="FG1258">
        <v>2851116</v>
      </c>
      <c r="FH1258" t="s">
        <v>480</v>
      </c>
      <c r="FJ1258" s="1">
        <v>42879</v>
      </c>
      <c r="FK1258">
        <v>2016</v>
      </c>
      <c r="FL1258">
        <v>792.71</v>
      </c>
      <c r="FM1258" t="s">
        <v>12821</v>
      </c>
      <c r="FN1258">
        <v>0.25</v>
      </c>
      <c r="FO1258" t="s">
        <v>424</v>
      </c>
      <c r="FP1258" t="s">
        <v>425</v>
      </c>
      <c r="FR1258">
        <v>22</v>
      </c>
      <c r="FS1258">
        <v>4856740</v>
      </c>
      <c r="FT1258" t="s">
        <v>12822</v>
      </c>
      <c r="FV1258" s="1">
        <v>42515</v>
      </c>
      <c r="FW1258">
        <v>2015</v>
      </c>
      <c r="FX1258">
        <v>806.44</v>
      </c>
      <c r="FY1258" t="s">
        <v>12823</v>
      </c>
      <c r="FZ1258">
        <v>0.25</v>
      </c>
      <c r="GA1258" t="s">
        <v>424</v>
      </c>
      <c r="GB1258" t="s">
        <v>425</v>
      </c>
      <c r="GC1258" s="1">
        <v>42550</v>
      </c>
      <c r="GD1258">
        <v>1</v>
      </c>
      <c r="GE1258">
        <v>2851116</v>
      </c>
      <c r="GF1258" t="s">
        <v>480</v>
      </c>
      <c r="GH1258" s="1">
        <v>42515</v>
      </c>
      <c r="GI1258">
        <v>2015</v>
      </c>
      <c r="GJ1258">
        <v>806.44</v>
      </c>
      <c r="GK1258" t="s">
        <v>12823</v>
      </c>
      <c r="GL1258">
        <v>0.25</v>
      </c>
      <c r="GM1258" t="s">
        <v>424</v>
      </c>
      <c r="GN1258" t="s">
        <v>425</v>
      </c>
      <c r="GP1258">
        <v>22</v>
      </c>
      <c r="GQ1258">
        <v>5532675</v>
      </c>
      <c r="GR1258" t="s">
        <v>12824</v>
      </c>
      <c r="GT1258" s="1">
        <v>42151</v>
      </c>
      <c r="GU1258">
        <v>2014</v>
      </c>
      <c r="GV1258">
        <v>792.94</v>
      </c>
      <c r="GW1258" t="s">
        <v>12825</v>
      </c>
      <c r="GX1258">
        <v>0.25</v>
      </c>
      <c r="GY1258" t="s">
        <v>424</v>
      </c>
      <c r="GZ1258" t="s">
        <v>425</v>
      </c>
      <c r="HA1258" s="1">
        <v>42185</v>
      </c>
      <c r="HB1258">
        <v>1</v>
      </c>
      <c r="HC1258">
        <v>2101382</v>
      </c>
      <c r="HD1258" t="s">
        <v>993</v>
      </c>
      <c r="HF1258" s="1">
        <v>42151</v>
      </c>
      <c r="HG1258">
        <v>2014</v>
      </c>
      <c r="HH1258">
        <v>792.94</v>
      </c>
      <c r="HI1258" t="s">
        <v>12825</v>
      </c>
      <c r="HJ1258">
        <v>0.25</v>
      </c>
      <c r="HK1258" t="s">
        <v>424</v>
      </c>
      <c r="HL1258" t="s">
        <v>425</v>
      </c>
      <c r="HN1258">
        <v>22</v>
      </c>
      <c r="HO1258">
        <v>5525191</v>
      </c>
      <c r="HP1258" t="s">
        <v>12826</v>
      </c>
      <c r="HR1258" s="1">
        <v>41423</v>
      </c>
      <c r="HS1258">
        <v>2012</v>
      </c>
      <c r="HT1258">
        <v>737.66</v>
      </c>
      <c r="HU1258" t="s">
        <v>12827</v>
      </c>
      <c r="HV1258">
        <v>3.75</v>
      </c>
      <c r="HW1258" t="s">
        <v>424</v>
      </c>
      <c r="HX1258" t="s">
        <v>425</v>
      </c>
      <c r="HY1258" s="1">
        <v>41779</v>
      </c>
      <c r="HZ1258">
        <v>12</v>
      </c>
      <c r="IA1258">
        <v>10125</v>
      </c>
      <c r="IB1258" t="s">
        <v>440</v>
      </c>
      <c r="ID1258" s="1">
        <v>41052</v>
      </c>
      <c r="IE1258">
        <v>2011</v>
      </c>
      <c r="IF1258">
        <v>882.15</v>
      </c>
      <c r="IG1258" t="s">
        <v>12828</v>
      </c>
      <c r="IH1258">
        <v>5.75</v>
      </c>
      <c r="II1258" t="s">
        <v>424</v>
      </c>
      <c r="IJ1258" t="s">
        <v>425</v>
      </c>
      <c r="IK1258" s="1">
        <v>41135</v>
      </c>
      <c r="IL1258">
        <v>3</v>
      </c>
      <c r="IM1258">
        <v>62</v>
      </c>
      <c r="IN1258" t="s">
        <v>463</v>
      </c>
      <c r="IP1258" s="1">
        <v>40688</v>
      </c>
      <c r="IQ1258">
        <v>2010</v>
      </c>
      <c r="IR1258">
        <v>1086.6300000000001</v>
      </c>
      <c r="IS1258" t="s">
        <v>12829</v>
      </c>
      <c r="IT1258">
        <v>5</v>
      </c>
      <c r="IU1258" t="s">
        <v>424</v>
      </c>
      <c r="IV1258" t="s">
        <v>425</v>
      </c>
      <c r="IW1258" s="1">
        <v>40774</v>
      </c>
      <c r="IX1258">
        <v>3</v>
      </c>
      <c r="IY1258">
        <v>287</v>
      </c>
      <c r="IZ1258" t="s">
        <v>572</v>
      </c>
    </row>
    <row r="1259" spans="1:272" x14ac:dyDescent="0.25">
      <c r="A1259">
        <v>16486266</v>
      </c>
      <c r="B1259">
        <v>1258</v>
      </c>
      <c r="C1259" t="s">
        <v>393</v>
      </c>
      <c r="D1259" t="s">
        <v>394</v>
      </c>
      <c r="F1259" t="str">
        <f>"42-2N-27-4340-0014-0000"</f>
        <v>42-2N-27-4340-0014-0000</v>
      </c>
      <c r="H1259" t="str">
        <f>"MORGAN RUSSELL JR"</f>
        <v>MORGAN RUSSELL JR</v>
      </c>
      <c r="I1259" t="str">
        <f>"463106 STATE ROAD 200"</f>
        <v>463106 STATE ROAD 200</v>
      </c>
      <c r="J1259" t="str">
        <f>"YULEE FL 32097"</f>
        <v>YULEE FL 32097</v>
      </c>
      <c r="K1259" t="str">
        <f>"HARTS RD"</f>
        <v>HARTS RD</v>
      </c>
      <c r="L1259" t="str">
        <f t="shared" si="414"/>
        <v>YULEE FL 32097</v>
      </c>
      <c r="M1259" t="str">
        <f>"BLOCK 14 IN OR 811 PG 1383 E J JOHNSON ADD TO YULEE UNR"</f>
        <v>BLOCK 14 IN OR 811 PG 1383 E J JOHNSON ADD TO YULEE UNR</v>
      </c>
      <c r="N1259" t="str">
        <f>""</f>
        <v/>
      </c>
      <c r="O1259" t="str">
        <f>"47556"</f>
        <v>47556</v>
      </c>
      <c r="P1259" t="str">
        <f t="shared" si="416"/>
        <v>2017</v>
      </c>
      <c r="Q1259" t="str">
        <f>""</f>
        <v/>
      </c>
      <c r="R1259" t="str">
        <f>"N"</f>
        <v>N</v>
      </c>
      <c r="S1259" t="str">
        <f>""</f>
        <v/>
      </c>
      <c r="T1259" t="str">
        <f>"819.01"</f>
        <v>819.01</v>
      </c>
      <c r="U1259" t="str">
        <f>"54100.00"</f>
        <v>54100.00</v>
      </c>
      <c r="V1259" t="str">
        <f>"54100.00"</f>
        <v>54100.00</v>
      </c>
      <c r="W1259" t="str">
        <f t="shared" si="418"/>
        <v>2017</v>
      </c>
      <c r="X1259" t="str">
        <f>"15.63"</f>
        <v>15.63</v>
      </c>
      <c r="Y1259" t="str">
        <f>"875.58"</f>
        <v>875.58</v>
      </c>
      <c r="Z1259" t="str">
        <f>""</f>
        <v/>
      </c>
      <c r="AA1259" t="str">
        <f>"54100.00"</f>
        <v>54100.00</v>
      </c>
      <c r="AB1259" t="str">
        <f>"Commercial"</f>
        <v>Commercial</v>
      </c>
      <c r="AC1259" t="str">
        <f t="shared" si="422"/>
        <v>0</v>
      </c>
      <c r="AD1259" t="str">
        <f>""</f>
        <v/>
      </c>
      <c r="AE1259" t="str">
        <f>""</f>
        <v/>
      </c>
      <c r="AF1259" t="str">
        <f>"010"</f>
        <v>010</v>
      </c>
      <c r="AG1259" t="str">
        <f t="shared" si="424"/>
        <v>FL</v>
      </c>
      <c r="AH1259" t="str">
        <f>"47044.00"</f>
        <v>47044.00</v>
      </c>
      <c r="AI1259" t="str">
        <f>"54100.00"</f>
        <v>54100.00</v>
      </c>
      <c r="AJ1259" t="str">
        <f>"C55-000-588-1746-1"</f>
        <v>C55-000-588-1746-1</v>
      </c>
      <c r="AK1259" t="str">
        <f>"21198"</f>
        <v>21198</v>
      </c>
      <c r="AL1259">
        <v>5</v>
      </c>
      <c r="AM1259">
        <v>1434</v>
      </c>
      <c r="AN1259">
        <v>917.76</v>
      </c>
      <c r="AQ1259" t="s">
        <v>12830</v>
      </c>
      <c r="AR1259" t="s">
        <v>12830</v>
      </c>
      <c r="AS1259" t="s">
        <v>12830</v>
      </c>
      <c r="AU1259" t="s">
        <v>396</v>
      </c>
      <c r="AV1259">
        <v>2017</v>
      </c>
      <c r="AW1259" t="str">
        <f>"42-2N-27-4340-0014-0000 "</f>
        <v xml:space="preserve">42-2N-27-4340-0014-0000 </v>
      </c>
      <c r="AZ1259" t="s">
        <v>11534</v>
      </c>
      <c r="BA1259" t="s">
        <v>496</v>
      </c>
      <c r="BD1259" t="s">
        <v>2387</v>
      </c>
      <c r="BE1259" t="s">
        <v>393</v>
      </c>
      <c r="BF1259">
        <v>32097</v>
      </c>
      <c r="BG1259" t="s">
        <v>12668</v>
      </c>
      <c r="BH1259" t="s">
        <v>2388</v>
      </c>
      <c r="BI1259">
        <v>-81.604790301490894</v>
      </c>
      <c r="BJ1259">
        <v>30.630710122215799</v>
      </c>
      <c r="BK1259" t="s">
        <v>12831</v>
      </c>
      <c r="BM1259" t="s">
        <v>12832</v>
      </c>
      <c r="BN1259" t="s">
        <v>1778</v>
      </c>
      <c r="BO1259">
        <v>32097</v>
      </c>
      <c r="BP1259" t="s">
        <v>404</v>
      </c>
      <c r="BQ1259">
        <v>1000</v>
      </c>
      <c r="BR1259" t="s">
        <v>2391</v>
      </c>
      <c r="BS1259">
        <v>8002</v>
      </c>
      <c r="BT1259" t="s">
        <v>2392</v>
      </c>
      <c r="BW1259">
        <v>47045</v>
      </c>
      <c r="BX1259" t="s">
        <v>407</v>
      </c>
      <c r="BY1259" t="s">
        <v>2221</v>
      </c>
      <c r="CD1259">
        <v>2017</v>
      </c>
      <c r="CE1259">
        <v>54100</v>
      </c>
      <c r="CG1259">
        <v>54100</v>
      </c>
      <c r="CH1259">
        <v>2017</v>
      </c>
      <c r="CI1259">
        <v>54100</v>
      </c>
      <c r="CK1259">
        <v>54100</v>
      </c>
      <c r="CL1259">
        <v>2017</v>
      </c>
      <c r="CM1259">
        <v>819.01</v>
      </c>
      <c r="CN1259" s="1">
        <v>36850</v>
      </c>
      <c r="CO1259">
        <v>30000</v>
      </c>
      <c r="CV1259">
        <v>0</v>
      </c>
      <c r="CZ1259" s="1">
        <v>36850</v>
      </c>
      <c r="DA1259">
        <v>0</v>
      </c>
      <c r="DD1259" t="s">
        <v>2387</v>
      </c>
      <c r="DG1259">
        <v>42</v>
      </c>
      <c r="DL1259">
        <v>50302</v>
      </c>
      <c r="DM1259" t="s">
        <v>12468</v>
      </c>
      <c r="DO1259" t="s">
        <v>12833</v>
      </c>
      <c r="DP1259">
        <v>0</v>
      </c>
      <c r="DQ1259">
        <v>3</v>
      </c>
      <c r="DR1259" t="s">
        <v>1479</v>
      </c>
      <c r="DS1259" t="b">
        <v>1</v>
      </c>
      <c r="DT1259" t="s">
        <v>470</v>
      </c>
      <c r="DU1259" t="s">
        <v>471</v>
      </c>
      <c r="DV1259" t="s">
        <v>472</v>
      </c>
      <c r="DX1259">
        <v>-9999</v>
      </c>
      <c r="DZ1259" t="s">
        <v>447</v>
      </c>
      <c r="EA1259" t="s">
        <v>448</v>
      </c>
      <c r="EB1259" t="s">
        <v>742</v>
      </c>
      <c r="EC1259">
        <v>20101217</v>
      </c>
      <c r="ED1259" t="s">
        <v>474</v>
      </c>
      <c r="EF1259">
        <v>-9999</v>
      </c>
      <c r="EG1259">
        <v>9531.2999999999993</v>
      </c>
      <c r="EI1259">
        <v>20160407</v>
      </c>
      <c r="EJ1259">
        <v>0</v>
      </c>
      <c r="EK1259">
        <v>0</v>
      </c>
      <c r="EP1259" t="s">
        <v>421</v>
      </c>
      <c r="EQ1259" t="s">
        <v>422</v>
      </c>
      <c r="ER1259">
        <v>0</v>
      </c>
      <c r="ES1259">
        <v>6</v>
      </c>
      <c r="ET1259">
        <v>0</v>
      </c>
      <c r="EU1259">
        <v>0</v>
      </c>
      <c r="EV1259">
        <v>0</v>
      </c>
      <c r="EW1259" s="2">
        <v>43222</v>
      </c>
      <c r="EX1259" s="1">
        <v>42515</v>
      </c>
      <c r="EY1259">
        <v>2015</v>
      </c>
      <c r="EZ1259">
        <v>2101.98</v>
      </c>
      <c r="FA1259" t="s">
        <v>12834</v>
      </c>
      <c r="FB1259">
        <v>0.25</v>
      </c>
      <c r="FC1259" t="s">
        <v>424</v>
      </c>
      <c r="FD1259" t="s">
        <v>425</v>
      </c>
      <c r="FE1259" s="1">
        <v>42531</v>
      </c>
      <c r="FF1259">
        <v>1</v>
      </c>
      <c r="FG1259">
        <v>13139</v>
      </c>
      <c r="FH1259" t="s">
        <v>955</v>
      </c>
      <c r="FJ1259" s="1">
        <v>42151</v>
      </c>
      <c r="FK1259">
        <v>2014</v>
      </c>
      <c r="FL1259">
        <v>2032.11</v>
      </c>
      <c r="FM1259" t="s">
        <v>12835</v>
      </c>
      <c r="FN1259">
        <v>4.75</v>
      </c>
      <c r="FO1259" t="s">
        <v>424</v>
      </c>
      <c r="FP1259" t="s">
        <v>425</v>
      </c>
      <c r="FQ1259" s="1">
        <v>42531</v>
      </c>
      <c r="FR1259">
        <v>13</v>
      </c>
      <c r="FS1259">
        <v>4975593</v>
      </c>
      <c r="FT1259" t="s">
        <v>505</v>
      </c>
      <c r="FV1259" s="1">
        <v>41787</v>
      </c>
      <c r="FW1259">
        <v>2013</v>
      </c>
      <c r="FX1259">
        <v>1908.9</v>
      </c>
      <c r="FY1259" t="s">
        <v>12836</v>
      </c>
      <c r="FZ1259">
        <v>0.25</v>
      </c>
      <c r="GA1259" t="s">
        <v>424</v>
      </c>
      <c r="GB1259" t="s">
        <v>425</v>
      </c>
      <c r="GC1259" s="1">
        <v>42083</v>
      </c>
      <c r="GD1259">
        <v>10</v>
      </c>
      <c r="GE1259">
        <v>10125</v>
      </c>
      <c r="GF1259" t="s">
        <v>440</v>
      </c>
      <c r="GH1259" s="1">
        <v>41423</v>
      </c>
      <c r="GI1259">
        <v>2012</v>
      </c>
      <c r="GJ1259">
        <v>1932.5</v>
      </c>
      <c r="GK1259" t="s">
        <v>12837</v>
      </c>
      <c r="GL1259">
        <v>2.5</v>
      </c>
      <c r="GM1259" t="s">
        <v>424</v>
      </c>
      <c r="GN1259" t="s">
        <v>425</v>
      </c>
      <c r="GO1259" s="1">
        <v>42083</v>
      </c>
      <c r="GP1259">
        <v>22</v>
      </c>
      <c r="GQ1259">
        <v>10125</v>
      </c>
      <c r="GR1259" t="s">
        <v>440</v>
      </c>
      <c r="GT1259" s="1">
        <v>41052</v>
      </c>
      <c r="GU1259">
        <v>2011</v>
      </c>
      <c r="GV1259">
        <v>1957.92</v>
      </c>
      <c r="GW1259" t="s">
        <v>12838</v>
      </c>
      <c r="GX1259">
        <v>5.75</v>
      </c>
      <c r="GY1259" t="s">
        <v>424</v>
      </c>
      <c r="GZ1259" t="s">
        <v>425</v>
      </c>
      <c r="HA1259" s="1">
        <v>41703</v>
      </c>
      <c r="HB1259">
        <v>22</v>
      </c>
      <c r="HC1259">
        <v>13139</v>
      </c>
      <c r="HD1259" t="s">
        <v>955</v>
      </c>
      <c r="HF1259" s="1">
        <v>40688</v>
      </c>
      <c r="HG1259">
        <v>2010</v>
      </c>
      <c r="HH1259">
        <v>2184.77</v>
      </c>
      <c r="HI1259" t="s">
        <v>12839</v>
      </c>
      <c r="HJ1259">
        <v>6.25</v>
      </c>
      <c r="HK1259" t="s">
        <v>424</v>
      </c>
      <c r="HL1259" t="s">
        <v>425</v>
      </c>
      <c r="HM1259" s="1">
        <v>41446</v>
      </c>
      <c r="HN1259">
        <v>25</v>
      </c>
      <c r="HO1259">
        <v>10591</v>
      </c>
      <c r="HP1259" t="s">
        <v>4254</v>
      </c>
    </row>
    <row r="1260" spans="1:272" x14ac:dyDescent="0.25">
      <c r="A1260">
        <v>16486267</v>
      </c>
      <c r="B1260">
        <v>1259</v>
      </c>
      <c r="C1260" t="s">
        <v>393</v>
      </c>
      <c r="D1260" t="s">
        <v>394</v>
      </c>
      <c r="F1260" t="str">
        <f>"42-2N-27-4350-0008-0000"</f>
        <v>42-2N-27-4350-0008-0000</v>
      </c>
      <c r="H1260" t="str">
        <f>"LITTLES JEANIE M"</f>
        <v>LITTLES JEANIE M</v>
      </c>
      <c r="I1260" t="str">
        <f>"410 JACKSON AVE"</f>
        <v>410 JACKSON AVE</v>
      </c>
      <c r="J1260" t="str">
        <f>"PALATKA FL 32177"</f>
        <v>PALATKA FL 32177</v>
      </c>
      <c r="K1260" t="str">
        <f>"86011 CARR VILLAGE RD"</f>
        <v>86011 CARR VILLAGE RD</v>
      </c>
      <c r="L1260" t="str">
        <f t="shared" si="414"/>
        <v>YULEE FL 32097</v>
      </c>
      <c r="M1260" t="str">
        <f>"LOTS 8 &amp; 15 IN OR 1489/1888 JAMES D CARR SUB UNR"</f>
        <v>LOTS 8 &amp; 15 IN OR 1489/1888 JAMES D CARR SUB UNR</v>
      </c>
      <c r="N1260" t="str">
        <f>""</f>
        <v/>
      </c>
      <c r="O1260" t="str">
        <f>"47562"</f>
        <v>47562</v>
      </c>
      <c r="P1260" t="str">
        <f t="shared" si="416"/>
        <v>2017</v>
      </c>
      <c r="Q1260" t="str">
        <f>""</f>
        <v/>
      </c>
      <c r="R1260" t="str">
        <f>"N"</f>
        <v>N</v>
      </c>
      <c r="S1260" t="str">
        <f>""</f>
        <v/>
      </c>
      <c r="T1260" t="str">
        <f>"1234.84"</f>
        <v>1234.84</v>
      </c>
      <c r="U1260" t="str">
        <f>"81568.00"</f>
        <v>81568.00</v>
      </c>
      <c r="V1260" t="str">
        <f>"81568.00"</f>
        <v>81568.00</v>
      </c>
      <c r="W1260" t="str">
        <f t="shared" si="418"/>
        <v>2017</v>
      </c>
      <c r="X1260" t="str">
        <f>"21.00"</f>
        <v>21.00</v>
      </c>
      <c r="Y1260" t="str">
        <f>"1303.89"</f>
        <v>1303.89</v>
      </c>
      <c r="Z1260" t="str">
        <f>""</f>
        <v/>
      </c>
      <c r="AA1260" t="str">
        <f>"81568.00"</f>
        <v>81568.00</v>
      </c>
      <c r="AB1260" t="str">
        <f t="shared" ref="AB1260:AB1270" si="425">"Residential"</f>
        <v>Residential</v>
      </c>
      <c r="AC1260" t="str">
        <f t="shared" si="422"/>
        <v>0</v>
      </c>
      <c r="AD1260" t="str">
        <f>"4"</f>
        <v>4</v>
      </c>
      <c r="AE1260" t="str">
        <f>"WOOD (INCLUDE STEEL STUDS)"</f>
        <v>WOOD (INCLUDE STEEL STUDS)</v>
      </c>
      <c r="AF1260" t="str">
        <f>"001"</f>
        <v>001</v>
      </c>
      <c r="AG1260" t="str">
        <f t="shared" si="424"/>
        <v>FL</v>
      </c>
      <c r="AH1260" t="str">
        <f>"14972.00"</f>
        <v>14972.00</v>
      </c>
      <c r="AI1260" t="str">
        <f>"24546.00"</f>
        <v>24546.00</v>
      </c>
      <c r="AJ1260" t="str">
        <f>"C55-000-588-1751-1"</f>
        <v>C55-000-588-1751-1</v>
      </c>
      <c r="AK1260" t="str">
        <f>"21462"</f>
        <v>21462</v>
      </c>
      <c r="AL1260">
        <v>5</v>
      </c>
      <c r="AM1260">
        <v>1435</v>
      </c>
      <c r="AN1260">
        <v>1367.48</v>
      </c>
      <c r="AQ1260" t="s">
        <v>12840</v>
      </c>
      <c r="AR1260" t="s">
        <v>12840</v>
      </c>
      <c r="AS1260" t="s">
        <v>12840</v>
      </c>
      <c r="AU1260" t="s">
        <v>396</v>
      </c>
      <c r="AV1260">
        <v>2017</v>
      </c>
      <c r="AW1260" t="str">
        <f>"42-2N-27-4350-0008-0000 "</f>
        <v xml:space="preserve">42-2N-27-4350-0008-0000 </v>
      </c>
      <c r="AX1260">
        <v>86011</v>
      </c>
      <c r="AZ1260" t="s">
        <v>12841</v>
      </c>
      <c r="BA1260" t="s">
        <v>496</v>
      </c>
      <c r="BD1260" t="s">
        <v>2387</v>
      </c>
      <c r="BE1260" t="s">
        <v>393</v>
      </c>
      <c r="BF1260">
        <v>32097</v>
      </c>
      <c r="BG1260" t="s">
        <v>12842</v>
      </c>
      <c r="BH1260" t="s">
        <v>2388</v>
      </c>
      <c r="BI1260">
        <v>-81.601545608776405</v>
      </c>
      <c r="BJ1260">
        <v>30.629361045092399</v>
      </c>
      <c r="BK1260" t="s">
        <v>12843</v>
      </c>
      <c r="BM1260" t="s">
        <v>12844</v>
      </c>
      <c r="BN1260" t="s">
        <v>12845</v>
      </c>
      <c r="BO1260">
        <v>32177</v>
      </c>
      <c r="BP1260" t="s">
        <v>404</v>
      </c>
      <c r="BQ1260">
        <v>100</v>
      </c>
      <c r="BR1260" t="s">
        <v>514</v>
      </c>
      <c r="BS1260">
        <v>1001</v>
      </c>
      <c r="BT1260" t="s">
        <v>515</v>
      </c>
      <c r="BU1260">
        <v>1970</v>
      </c>
      <c r="BV1260">
        <v>0</v>
      </c>
      <c r="BW1260">
        <v>17933</v>
      </c>
      <c r="BX1260" t="s">
        <v>407</v>
      </c>
      <c r="BY1260" t="s">
        <v>4360</v>
      </c>
      <c r="BZ1260">
        <v>4</v>
      </c>
      <c r="CA1260">
        <v>1954</v>
      </c>
      <c r="CB1260">
        <v>1</v>
      </c>
      <c r="CC1260">
        <v>1</v>
      </c>
      <c r="CD1260">
        <v>2017</v>
      </c>
      <c r="CE1260">
        <v>24546</v>
      </c>
      <c r="CF1260">
        <v>57022</v>
      </c>
      <c r="CG1260">
        <v>81568</v>
      </c>
      <c r="CH1260">
        <v>2017</v>
      </c>
      <c r="CI1260">
        <v>24546</v>
      </c>
      <c r="CJ1260">
        <v>57022</v>
      </c>
      <c r="CK1260">
        <v>81568</v>
      </c>
      <c r="CL1260">
        <v>2017</v>
      </c>
      <c r="CM1260">
        <v>1234.8399999999999</v>
      </c>
      <c r="CN1260" s="1">
        <v>39175</v>
      </c>
      <c r="CO1260">
        <v>120000</v>
      </c>
      <c r="CZ1260" s="1">
        <v>39175</v>
      </c>
      <c r="DD1260" t="s">
        <v>2387</v>
      </c>
      <c r="DG1260">
        <v>42</v>
      </c>
      <c r="DL1260">
        <v>50302</v>
      </c>
      <c r="DM1260" t="s">
        <v>12468</v>
      </c>
      <c r="DO1260" t="s">
        <v>12846</v>
      </c>
      <c r="DP1260">
        <v>0</v>
      </c>
      <c r="DQ1260">
        <v>2</v>
      </c>
      <c r="DR1260" t="s">
        <v>1479</v>
      </c>
      <c r="DS1260" t="b">
        <v>1</v>
      </c>
      <c r="DT1260" t="s">
        <v>470</v>
      </c>
      <c r="DU1260" t="s">
        <v>471</v>
      </c>
      <c r="DV1260" t="s">
        <v>472</v>
      </c>
      <c r="DX1260">
        <v>-9999</v>
      </c>
      <c r="DZ1260" t="s">
        <v>447</v>
      </c>
      <c r="EA1260" t="s">
        <v>448</v>
      </c>
      <c r="EB1260" t="s">
        <v>742</v>
      </c>
      <c r="EC1260">
        <v>20101217</v>
      </c>
      <c r="ED1260" t="s">
        <v>474</v>
      </c>
      <c r="EF1260">
        <v>-9999</v>
      </c>
      <c r="EG1260">
        <v>8438.7999999999993</v>
      </c>
      <c r="EI1260">
        <v>20160407</v>
      </c>
      <c r="EJ1260">
        <v>0</v>
      </c>
      <c r="EK1260">
        <v>0</v>
      </c>
      <c r="EP1260" t="s">
        <v>421</v>
      </c>
      <c r="EQ1260" t="s">
        <v>422</v>
      </c>
      <c r="ER1260">
        <v>2</v>
      </c>
      <c r="ES1260">
        <v>4</v>
      </c>
      <c r="ET1260">
        <v>2769.84</v>
      </c>
      <c r="EU1260">
        <v>150.99</v>
      </c>
      <c r="EV1260">
        <v>2920.83</v>
      </c>
      <c r="EW1260" s="2">
        <v>43222</v>
      </c>
      <c r="EX1260" s="1">
        <v>42879</v>
      </c>
      <c r="EY1260">
        <v>2016</v>
      </c>
      <c r="EZ1260">
        <v>1384.92</v>
      </c>
      <c r="FA1260" t="s">
        <v>12847</v>
      </c>
      <c r="FB1260">
        <v>0.25</v>
      </c>
      <c r="FC1260" t="s">
        <v>424</v>
      </c>
      <c r="FD1260" t="s">
        <v>454</v>
      </c>
      <c r="FF1260">
        <v>12</v>
      </c>
      <c r="FG1260">
        <v>7336671</v>
      </c>
      <c r="FH1260" t="s">
        <v>437</v>
      </c>
      <c r="FJ1260" s="1">
        <v>42879</v>
      </c>
      <c r="FK1260">
        <v>2016</v>
      </c>
      <c r="FL1260">
        <v>1384.92</v>
      </c>
      <c r="FM1260" t="s">
        <v>12847</v>
      </c>
      <c r="FN1260">
        <v>0.25</v>
      </c>
      <c r="FO1260" t="s">
        <v>424</v>
      </c>
      <c r="FP1260" t="s">
        <v>454</v>
      </c>
      <c r="FR1260">
        <v>12</v>
      </c>
      <c r="FS1260">
        <v>6756576</v>
      </c>
      <c r="FT1260" t="s">
        <v>12848</v>
      </c>
      <c r="FV1260" s="1">
        <v>42515</v>
      </c>
      <c r="FW1260">
        <v>2015</v>
      </c>
      <c r="FX1260">
        <v>1416.66</v>
      </c>
      <c r="FY1260" t="s">
        <v>12849</v>
      </c>
      <c r="FZ1260">
        <v>0.25</v>
      </c>
      <c r="GA1260" t="s">
        <v>424</v>
      </c>
      <c r="GB1260" t="s">
        <v>425</v>
      </c>
      <c r="GC1260" s="1">
        <v>43136</v>
      </c>
      <c r="GD1260">
        <v>21</v>
      </c>
      <c r="GE1260">
        <v>7336671</v>
      </c>
      <c r="GF1260" t="s">
        <v>437</v>
      </c>
      <c r="GH1260" s="1">
        <v>42515</v>
      </c>
      <c r="GI1260">
        <v>2015</v>
      </c>
      <c r="GJ1260">
        <v>1416.66</v>
      </c>
      <c r="GK1260" t="s">
        <v>12849</v>
      </c>
      <c r="GL1260">
        <v>0.25</v>
      </c>
      <c r="GM1260" t="s">
        <v>424</v>
      </c>
      <c r="GN1260" t="s">
        <v>425</v>
      </c>
      <c r="GP1260">
        <v>22</v>
      </c>
      <c r="GQ1260">
        <v>6914408</v>
      </c>
      <c r="GR1260" t="s">
        <v>12850</v>
      </c>
      <c r="GT1260" s="1">
        <v>42151</v>
      </c>
      <c r="GU1260">
        <v>2014</v>
      </c>
      <c r="GV1260">
        <v>1288.4100000000001</v>
      </c>
      <c r="GW1260" t="s">
        <v>12851</v>
      </c>
      <c r="GX1260">
        <v>0.25</v>
      </c>
      <c r="GY1260" t="s">
        <v>424</v>
      </c>
      <c r="GZ1260" t="s">
        <v>425</v>
      </c>
      <c r="HA1260" s="1">
        <v>42794</v>
      </c>
      <c r="HB1260">
        <v>21</v>
      </c>
      <c r="HC1260">
        <v>4975594</v>
      </c>
      <c r="HD1260" t="s">
        <v>457</v>
      </c>
      <c r="HF1260" s="1">
        <v>42151</v>
      </c>
      <c r="HG1260">
        <v>2014</v>
      </c>
      <c r="HH1260">
        <v>1288.4100000000001</v>
      </c>
      <c r="HI1260" t="s">
        <v>12851</v>
      </c>
      <c r="HJ1260">
        <v>0.25</v>
      </c>
      <c r="HK1260" t="s">
        <v>424</v>
      </c>
      <c r="HL1260" t="s">
        <v>425</v>
      </c>
      <c r="HN1260">
        <v>22</v>
      </c>
      <c r="HO1260">
        <v>6560295</v>
      </c>
      <c r="HP1260" t="s">
        <v>12852</v>
      </c>
    </row>
    <row r="1261" spans="1:272" x14ac:dyDescent="0.25">
      <c r="A1261">
        <v>16486268</v>
      </c>
      <c r="B1261">
        <v>1260</v>
      </c>
      <c r="C1261" t="s">
        <v>393</v>
      </c>
      <c r="D1261" t="s">
        <v>394</v>
      </c>
      <c r="F1261" t="str">
        <f>"42-2N-27-4350-0010-0000"</f>
        <v>42-2N-27-4350-0010-0000</v>
      </c>
      <c r="H1261" t="str">
        <f>"LEGGETT REGINA DIANE"</f>
        <v>LEGGETT REGINA DIANE</v>
      </c>
      <c r="I1261" t="str">
        <f>"P O BOX 368"</f>
        <v>P O BOX 368</v>
      </c>
      <c r="J1261" t="str">
        <f>"YULEE FL 32041"</f>
        <v>YULEE FL 32041</v>
      </c>
      <c r="K1261" t="str">
        <f>"86047 CARR VILLAGE RD"</f>
        <v>86047 CARR VILLAGE RD</v>
      </c>
      <c r="L1261" t="str">
        <f t="shared" si="414"/>
        <v>YULEE FL 32097</v>
      </c>
      <c r="M1261" t="str">
        <f>"LOTS 10 &amp; 13 &amp; PT OF LOT 14 (F/K/A 57-13) IN OR 2091/1407 JAMES D CARR SUB UNR"</f>
        <v>LOTS 10 &amp; 13 &amp; PT OF LOT 14 (F/K/A 57-13) IN OR 2091/1407 JAMES D CARR SUB UNR</v>
      </c>
      <c r="N1261" t="str">
        <f>""</f>
        <v/>
      </c>
      <c r="O1261" t="str">
        <f>"47564"</f>
        <v>47564</v>
      </c>
      <c r="P1261" t="str">
        <f t="shared" si="416"/>
        <v>2017</v>
      </c>
      <c r="Q1261" t="str">
        <f>""</f>
        <v/>
      </c>
      <c r="R1261" t="str">
        <f>"Y"</f>
        <v>Y</v>
      </c>
      <c r="S1261" t="str">
        <f>""</f>
        <v/>
      </c>
      <c r="T1261" t="str">
        <f>"474.22"</f>
        <v>474.22</v>
      </c>
      <c r="U1261" t="str">
        <f>"65660.00"</f>
        <v>65660.00</v>
      </c>
      <c r="V1261" t="str">
        <f>"65660.00"</f>
        <v>65660.00</v>
      </c>
      <c r="W1261" t="str">
        <f t="shared" si="418"/>
        <v>2017</v>
      </c>
      <c r="X1261" t="str">
        <f>""</f>
        <v/>
      </c>
      <c r="Y1261" t="str">
        <f>"520.45"</f>
        <v>520.45</v>
      </c>
      <c r="Z1261" t="str">
        <f>"25500.00"</f>
        <v>25500.00</v>
      </c>
      <c r="AA1261" t="str">
        <f>"40160.00"</f>
        <v>40160.00</v>
      </c>
      <c r="AB1261" t="str">
        <f t="shared" si="425"/>
        <v>Residential</v>
      </c>
      <c r="AC1261" t="str">
        <f t="shared" si="422"/>
        <v>0</v>
      </c>
      <c r="AD1261" t="str">
        <f>"4"</f>
        <v>4</v>
      </c>
      <c r="AE1261" t="str">
        <f>"WOOD (INCLUDE STEEL STUDS)"</f>
        <v>WOOD (INCLUDE STEEL STUDS)</v>
      </c>
      <c r="AF1261" t="str">
        <f>"001"</f>
        <v>001</v>
      </c>
      <c r="AG1261" t="str">
        <f t="shared" si="424"/>
        <v>FL</v>
      </c>
      <c r="AH1261" t="str">
        <f>"19109.00"</f>
        <v>19109.00</v>
      </c>
      <c r="AI1261" t="str">
        <f>"20709.00"</f>
        <v>20709.00</v>
      </c>
      <c r="AJ1261" t="str">
        <f>"C55-000-588-1753-7"</f>
        <v>C55-000-588-1753-7</v>
      </c>
      <c r="AK1261" t="str">
        <f>"21464"</f>
        <v>21464</v>
      </c>
      <c r="AL1261">
        <v>5</v>
      </c>
      <c r="AM1261">
        <v>1436</v>
      </c>
      <c r="AN1261">
        <v>544.87</v>
      </c>
      <c r="AQ1261" t="s">
        <v>12853</v>
      </c>
      <c r="AR1261" t="s">
        <v>12853</v>
      </c>
      <c r="AS1261" t="s">
        <v>12853</v>
      </c>
      <c r="AU1261" t="s">
        <v>396</v>
      </c>
      <c r="AV1261">
        <v>2017</v>
      </c>
      <c r="AW1261" t="str">
        <f>"42-2N-27-4350-0010-0000 "</f>
        <v xml:space="preserve">42-2N-27-4350-0010-0000 </v>
      </c>
      <c r="AX1261">
        <v>86047</v>
      </c>
      <c r="AZ1261" t="s">
        <v>12841</v>
      </c>
      <c r="BA1261" t="s">
        <v>496</v>
      </c>
      <c r="BD1261" t="s">
        <v>2387</v>
      </c>
      <c r="BE1261" t="s">
        <v>393</v>
      </c>
      <c r="BF1261">
        <v>32097</v>
      </c>
      <c r="BG1261" t="s">
        <v>12854</v>
      </c>
      <c r="BH1261" t="s">
        <v>2388</v>
      </c>
      <c r="BI1261">
        <v>-81.601739326724001</v>
      </c>
      <c r="BJ1261">
        <v>30.629803432594699</v>
      </c>
      <c r="BK1261" t="s">
        <v>12855</v>
      </c>
      <c r="BM1261" t="s">
        <v>12856</v>
      </c>
      <c r="BN1261" t="s">
        <v>1778</v>
      </c>
      <c r="BO1261">
        <v>32041</v>
      </c>
      <c r="BP1261" t="s">
        <v>404</v>
      </c>
      <c r="BQ1261">
        <v>100</v>
      </c>
      <c r="BR1261" t="s">
        <v>514</v>
      </c>
      <c r="BS1261">
        <v>1001</v>
      </c>
      <c r="BT1261" t="s">
        <v>515</v>
      </c>
      <c r="BU1261">
        <v>970</v>
      </c>
      <c r="BV1261">
        <v>1970</v>
      </c>
      <c r="BW1261">
        <v>19116</v>
      </c>
      <c r="BX1261" t="s">
        <v>407</v>
      </c>
      <c r="BY1261" t="s">
        <v>408</v>
      </c>
      <c r="BZ1261">
        <v>4</v>
      </c>
      <c r="CA1261">
        <v>1954</v>
      </c>
      <c r="CB1261">
        <v>1</v>
      </c>
      <c r="CC1261">
        <v>1</v>
      </c>
      <c r="CD1261">
        <v>2017</v>
      </c>
      <c r="CE1261">
        <v>20709</v>
      </c>
      <c r="CF1261">
        <v>44951</v>
      </c>
      <c r="CG1261">
        <v>65660</v>
      </c>
      <c r="CH1261">
        <v>2017</v>
      </c>
      <c r="CI1261">
        <v>20709</v>
      </c>
      <c r="CJ1261">
        <v>44951</v>
      </c>
      <c r="CK1261">
        <v>65660</v>
      </c>
      <c r="CL1261">
        <v>2017</v>
      </c>
      <c r="CM1261">
        <v>474.22</v>
      </c>
      <c r="CN1261" s="1">
        <v>27760</v>
      </c>
      <c r="CO1261">
        <v>10000</v>
      </c>
      <c r="CZ1261" s="1">
        <v>27760</v>
      </c>
      <c r="DD1261" t="s">
        <v>2387</v>
      </c>
      <c r="DF1261">
        <v>14</v>
      </c>
      <c r="DG1261">
        <v>42</v>
      </c>
      <c r="DL1261">
        <v>50302</v>
      </c>
      <c r="DM1261" t="s">
        <v>12468</v>
      </c>
      <c r="DO1261" t="s">
        <v>12857</v>
      </c>
      <c r="DP1261">
        <v>0</v>
      </c>
      <c r="DQ1261">
        <v>3</v>
      </c>
      <c r="DR1261" t="s">
        <v>1479</v>
      </c>
    </row>
    <row r="1262" spans="1:272" x14ac:dyDescent="0.25">
      <c r="A1262">
        <v>16486269</v>
      </c>
      <c r="B1262">
        <v>1261</v>
      </c>
      <c r="C1262" t="s">
        <v>393</v>
      </c>
      <c r="D1262" t="s">
        <v>394</v>
      </c>
      <c r="F1262" t="str">
        <f>"42-2N-27-4350-0017-0000"</f>
        <v>42-2N-27-4350-0017-0000</v>
      </c>
      <c r="H1262" t="str">
        <f>"DAVIS MARVIN R EST C/O WESLEY R POOLE"</f>
        <v>DAVIS MARVIN R EST C/O WESLEY R POOLE</v>
      </c>
      <c r="I1262" t="str">
        <f>"303 CENTRE ST STE 200"</f>
        <v>303 CENTRE ST STE 200</v>
      </c>
      <c r="J1262" t="str">
        <f>"FERNANDINA BEACH FL 32034"</f>
        <v>FERNANDINA BEACH FL 32034</v>
      </c>
      <c r="K1262" t="str">
        <f>"DUNCAN RD"</f>
        <v>DUNCAN RD</v>
      </c>
      <c r="L1262" t="str">
        <f t="shared" si="414"/>
        <v>YULEE FL 32097</v>
      </c>
      <c r="M1262" t="str">
        <f>"LOT 17 PT OF OR 456 PG 203 JAMES D CARR SUB UNR"</f>
        <v>LOT 17 PT OF OR 456 PG 203 JAMES D CARR SUB UNR</v>
      </c>
      <c r="N1262" t="str">
        <f>""</f>
        <v/>
      </c>
      <c r="O1262" t="str">
        <f>"47567"</f>
        <v>47567</v>
      </c>
      <c r="P1262" t="str">
        <f t="shared" si="416"/>
        <v>2017</v>
      </c>
      <c r="Q1262" t="str">
        <f>""</f>
        <v/>
      </c>
      <c r="R1262" t="str">
        <f t="shared" ref="R1262:R1267" si="426">"N"</f>
        <v>N</v>
      </c>
      <c r="S1262" t="str">
        <f>""</f>
        <v/>
      </c>
      <c r="T1262" t="str">
        <f>"235.78"</f>
        <v>235.78</v>
      </c>
      <c r="U1262" t="str">
        <f>"15575.00"</f>
        <v>15575.00</v>
      </c>
      <c r="V1262" t="str">
        <f>"15575.00"</f>
        <v>15575.00</v>
      </c>
      <c r="W1262" t="str">
        <f t="shared" si="418"/>
        <v>2017</v>
      </c>
      <c r="X1262" t="str">
        <f>"41.22"</f>
        <v>41.22</v>
      </c>
      <c r="Y1262" t="str">
        <f>"274.85"</f>
        <v>274.85</v>
      </c>
      <c r="Z1262" t="str">
        <f>""</f>
        <v/>
      </c>
      <c r="AA1262" t="str">
        <f>"15575.00"</f>
        <v>15575.00</v>
      </c>
      <c r="AB1262" t="str">
        <f t="shared" si="425"/>
        <v>Residential</v>
      </c>
      <c r="AC1262" t="str">
        <f t="shared" si="422"/>
        <v>0</v>
      </c>
      <c r="AD1262" t="str">
        <f>""</f>
        <v/>
      </c>
      <c r="AE1262" t="str">
        <f>""</f>
        <v/>
      </c>
      <c r="AF1262" t="str">
        <f>"000"</f>
        <v>000</v>
      </c>
      <c r="AG1262" t="str">
        <f t="shared" si="424"/>
        <v>FL</v>
      </c>
      <c r="AH1262" t="str">
        <f>"8900.00"</f>
        <v>8900.00</v>
      </c>
      <c r="AI1262" t="str">
        <f>"15575.00"</f>
        <v>15575.00</v>
      </c>
      <c r="AJ1262" t="str">
        <f>"C55-000-588-1756-0"</f>
        <v>C55-000-588-1756-0</v>
      </c>
      <c r="AK1262" t="str">
        <f>"21467"</f>
        <v>21467</v>
      </c>
      <c r="AL1262">
        <v>5</v>
      </c>
      <c r="AM1262">
        <v>1438</v>
      </c>
      <c r="AN1262">
        <v>286.99</v>
      </c>
      <c r="AQ1262" t="s">
        <v>12858</v>
      </c>
      <c r="AR1262" t="s">
        <v>12858</v>
      </c>
      <c r="AS1262" t="s">
        <v>12858</v>
      </c>
      <c r="AU1262" t="s">
        <v>396</v>
      </c>
      <c r="AV1262">
        <v>2017</v>
      </c>
      <c r="AW1262" t="str">
        <f>"42-2N-27-4350-0017-0000 "</f>
        <v xml:space="preserve">42-2N-27-4350-0017-0000 </v>
      </c>
      <c r="AZ1262" t="s">
        <v>12859</v>
      </c>
      <c r="BA1262" t="s">
        <v>496</v>
      </c>
      <c r="BD1262" t="s">
        <v>2387</v>
      </c>
      <c r="BE1262" t="s">
        <v>393</v>
      </c>
      <c r="BF1262">
        <v>32097</v>
      </c>
      <c r="BG1262" t="s">
        <v>12860</v>
      </c>
      <c r="BH1262" t="s">
        <v>2388</v>
      </c>
      <c r="BI1262">
        <v>-81.602197693511798</v>
      </c>
      <c r="BJ1262">
        <v>30.629425544581199</v>
      </c>
      <c r="BK1262" t="s">
        <v>12861</v>
      </c>
      <c r="BL1262" t="s">
        <v>12862</v>
      </c>
      <c r="BM1262" t="s">
        <v>12863</v>
      </c>
      <c r="BN1262" t="s">
        <v>3983</v>
      </c>
      <c r="BO1262">
        <v>32034</v>
      </c>
      <c r="BP1262" t="s">
        <v>404</v>
      </c>
      <c r="BQ1262">
        <v>0</v>
      </c>
      <c r="BR1262" t="s">
        <v>491</v>
      </c>
      <c r="BS1262">
        <v>8001</v>
      </c>
      <c r="BT1262" t="s">
        <v>492</v>
      </c>
      <c r="BU1262">
        <v>890</v>
      </c>
      <c r="BV1262">
        <v>1000</v>
      </c>
      <c r="BW1262">
        <v>8903</v>
      </c>
      <c r="BX1262" t="s">
        <v>407</v>
      </c>
      <c r="BY1262" t="s">
        <v>408</v>
      </c>
      <c r="CD1262">
        <v>2017</v>
      </c>
      <c r="CE1262">
        <v>15575</v>
      </c>
      <c r="CG1262">
        <v>15575</v>
      </c>
      <c r="CH1262">
        <v>2017</v>
      </c>
      <c r="CI1262">
        <v>15575</v>
      </c>
      <c r="CK1262">
        <v>15575</v>
      </c>
      <c r="CL1262">
        <v>2017</v>
      </c>
      <c r="CM1262">
        <v>235.78</v>
      </c>
      <c r="CN1262" s="1">
        <v>31168</v>
      </c>
      <c r="CO1262">
        <v>16200</v>
      </c>
      <c r="CZ1262" s="1">
        <v>31168</v>
      </c>
      <c r="DD1262" t="s">
        <v>2387</v>
      </c>
      <c r="DF1262">
        <v>17</v>
      </c>
      <c r="DG1262">
        <v>42</v>
      </c>
      <c r="DL1262">
        <v>50302</v>
      </c>
      <c r="DM1262" t="s">
        <v>12468</v>
      </c>
      <c r="DO1262" t="s">
        <v>12864</v>
      </c>
      <c r="DP1262">
        <v>0</v>
      </c>
      <c r="DQ1262">
        <v>0</v>
      </c>
      <c r="DR1262" t="s">
        <v>411</v>
      </c>
      <c r="DS1262" t="s">
        <v>695</v>
      </c>
      <c r="EJ1262">
        <v>4</v>
      </c>
      <c r="EK1262">
        <v>0</v>
      </c>
      <c r="EP1262" t="s">
        <v>595</v>
      </c>
      <c r="EQ1262" t="s">
        <v>452</v>
      </c>
      <c r="ER1262">
        <v>1</v>
      </c>
      <c r="ES1262">
        <v>6</v>
      </c>
      <c r="ET1262">
        <v>285.57</v>
      </c>
      <c r="EU1262">
        <v>30.52</v>
      </c>
      <c r="EV1262">
        <v>316.08999999999997</v>
      </c>
      <c r="EW1262" s="2">
        <v>43222</v>
      </c>
      <c r="EX1262" s="1">
        <v>42879</v>
      </c>
      <c r="EY1262">
        <v>2016</v>
      </c>
      <c r="EZ1262">
        <v>285.57</v>
      </c>
      <c r="FA1262" t="s">
        <v>12865</v>
      </c>
      <c r="FB1262">
        <v>8.5</v>
      </c>
      <c r="FC1262" t="s">
        <v>424</v>
      </c>
      <c r="FD1262" t="s">
        <v>454</v>
      </c>
      <c r="FF1262">
        <v>12</v>
      </c>
      <c r="FG1262">
        <v>10003</v>
      </c>
      <c r="FH1262" t="s">
        <v>4341</v>
      </c>
      <c r="FJ1262" s="1">
        <v>42151</v>
      </c>
      <c r="FK1262">
        <v>2014</v>
      </c>
      <c r="FL1262">
        <v>258.69</v>
      </c>
      <c r="FM1262" t="s">
        <v>12866</v>
      </c>
      <c r="FN1262">
        <v>18</v>
      </c>
      <c r="FO1262" t="s">
        <v>424</v>
      </c>
      <c r="FP1262" t="s">
        <v>425</v>
      </c>
      <c r="FQ1262" s="1">
        <v>42486</v>
      </c>
      <c r="FR1262">
        <v>11</v>
      </c>
      <c r="FS1262">
        <v>10125</v>
      </c>
      <c r="FT1262" t="s">
        <v>440</v>
      </c>
      <c r="FU1262" t="s">
        <v>458</v>
      </c>
      <c r="FV1262" s="1">
        <v>41787</v>
      </c>
      <c r="FW1262">
        <v>2013</v>
      </c>
      <c r="FX1262">
        <v>223.56</v>
      </c>
      <c r="FY1262" t="s">
        <v>12867</v>
      </c>
      <c r="FZ1262">
        <v>9.75</v>
      </c>
      <c r="GA1262" t="s">
        <v>424</v>
      </c>
      <c r="GB1262" t="s">
        <v>425</v>
      </c>
      <c r="GC1262" s="1">
        <v>42486</v>
      </c>
      <c r="GD1262">
        <v>23</v>
      </c>
      <c r="GE1262">
        <v>10125</v>
      </c>
      <c r="GF1262" t="s">
        <v>440</v>
      </c>
      <c r="GG1262" t="s">
        <v>458</v>
      </c>
      <c r="GH1262" s="1">
        <v>41423</v>
      </c>
      <c r="GI1262">
        <v>2012</v>
      </c>
      <c r="GJ1262">
        <v>213.33</v>
      </c>
      <c r="GK1262" t="s">
        <v>12868</v>
      </c>
      <c r="GL1262">
        <v>16.75</v>
      </c>
      <c r="GM1262" t="s">
        <v>424</v>
      </c>
      <c r="GN1262" t="s">
        <v>425</v>
      </c>
      <c r="GO1262" s="1">
        <v>42486</v>
      </c>
      <c r="GP1262">
        <v>35</v>
      </c>
      <c r="GQ1262">
        <v>10125</v>
      </c>
      <c r="GR1262" t="s">
        <v>440</v>
      </c>
      <c r="GS1262" t="s">
        <v>458</v>
      </c>
      <c r="GT1262" s="1">
        <v>41052</v>
      </c>
      <c r="GU1262">
        <v>2011</v>
      </c>
      <c r="GV1262">
        <v>326.23</v>
      </c>
      <c r="GW1262" t="s">
        <v>12869</v>
      </c>
      <c r="GX1262">
        <v>18</v>
      </c>
      <c r="GY1262" t="s">
        <v>424</v>
      </c>
      <c r="GZ1262" t="s">
        <v>425</v>
      </c>
      <c r="HA1262" s="1">
        <v>42486</v>
      </c>
      <c r="HB1262">
        <v>47</v>
      </c>
      <c r="HC1262">
        <v>10125</v>
      </c>
      <c r="HD1262" t="s">
        <v>440</v>
      </c>
      <c r="HE1262" t="s">
        <v>458</v>
      </c>
      <c r="HF1262" s="1">
        <v>41052</v>
      </c>
      <c r="HG1262">
        <v>2011</v>
      </c>
      <c r="HH1262">
        <v>310.66000000000003</v>
      </c>
      <c r="HI1262" t="s">
        <v>12869</v>
      </c>
      <c r="HJ1262">
        <v>18</v>
      </c>
      <c r="HK1262" t="s">
        <v>603</v>
      </c>
      <c r="HL1262" t="s">
        <v>425</v>
      </c>
      <c r="HN1262">
        <v>22</v>
      </c>
      <c r="HO1262">
        <v>9999999</v>
      </c>
      <c r="HP1262" t="s">
        <v>604</v>
      </c>
      <c r="HQ1262" t="s">
        <v>458</v>
      </c>
      <c r="HR1262" s="1">
        <v>40688</v>
      </c>
      <c r="HS1262">
        <v>2010</v>
      </c>
      <c r="HT1262">
        <v>309.8</v>
      </c>
      <c r="HU1262" t="s">
        <v>12870</v>
      </c>
      <c r="HV1262">
        <v>16.5</v>
      </c>
      <c r="HW1262" t="s">
        <v>424</v>
      </c>
      <c r="HX1262" t="s">
        <v>425</v>
      </c>
      <c r="HY1262" s="1">
        <v>42486</v>
      </c>
      <c r="HZ1262">
        <v>59</v>
      </c>
      <c r="IA1262">
        <v>10125</v>
      </c>
      <c r="IB1262" t="s">
        <v>440</v>
      </c>
      <c r="IC1262" t="s">
        <v>458</v>
      </c>
    </row>
    <row r="1263" spans="1:272" x14ac:dyDescent="0.25">
      <c r="A1263">
        <v>16486270</v>
      </c>
      <c r="B1263">
        <v>1262</v>
      </c>
      <c r="C1263" t="s">
        <v>393</v>
      </c>
      <c r="D1263" t="s">
        <v>394</v>
      </c>
      <c r="F1263" t="str">
        <f>"42-2N-27-4350-0018-0000"</f>
        <v>42-2N-27-4350-0018-0000</v>
      </c>
      <c r="H1263" t="str">
        <f>"DAVIS MARVIN R EST C/O WESLEY R POOLE"</f>
        <v>DAVIS MARVIN R EST C/O WESLEY R POOLE</v>
      </c>
      <c r="I1263" t="str">
        <f>"303 CENTRE ST STE 200"</f>
        <v>303 CENTRE ST STE 200</v>
      </c>
      <c r="J1263" t="str">
        <f>"FERNANDINA BEACH FL 32034"</f>
        <v>FERNANDINA BEACH FL 32034</v>
      </c>
      <c r="K1263" t="str">
        <f>"DUNCAN RD"</f>
        <v>DUNCAN RD</v>
      </c>
      <c r="L1263" t="str">
        <f t="shared" si="414"/>
        <v>YULEE FL 32097</v>
      </c>
      <c r="M1263" t="str">
        <f>"LOT 18 PT OF OR 456 PG 203 JAMES D CARR SUB UNR"</f>
        <v>LOT 18 PT OF OR 456 PG 203 JAMES D CARR SUB UNR</v>
      </c>
      <c r="N1263" t="str">
        <f>""</f>
        <v/>
      </c>
      <c r="O1263" t="str">
        <f>"47568"</f>
        <v>47568</v>
      </c>
      <c r="P1263" t="str">
        <f t="shared" si="416"/>
        <v>2017</v>
      </c>
      <c r="Q1263" t="str">
        <f>""</f>
        <v/>
      </c>
      <c r="R1263" t="str">
        <f t="shared" si="426"/>
        <v>N</v>
      </c>
      <c r="S1263" t="str">
        <f>""</f>
        <v/>
      </c>
      <c r="T1263" t="str">
        <f>"235.78"</f>
        <v>235.78</v>
      </c>
      <c r="U1263" t="str">
        <f>"15575.00"</f>
        <v>15575.00</v>
      </c>
      <c r="V1263" t="str">
        <f>"15575.00"</f>
        <v>15575.00</v>
      </c>
      <c r="W1263" t="str">
        <f t="shared" si="418"/>
        <v>2017</v>
      </c>
      <c r="X1263" t="str">
        <f>"37.78"</f>
        <v>37.78</v>
      </c>
      <c r="Y1263" t="str">
        <f>"274.85"</f>
        <v>274.85</v>
      </c>
      <c r="Z1263" t="str">
        <f>""</f>
        <v/>
      </c>
      <c r="AA1263" t="str">
        <f>"15575.00"</f>
        <v>15575.00</v>
      </c>
      <c r="AB1263" t="str">
        <f t="shared" si="425"/>
        <v>Residential</v>
      </c>
      <c r="AC1263" t="str">
        <f t="shared" si="422"/>
        <v>0</v>
      </c>
      <c r="AD1263" t="str">
        <f>""</f>
        <v/>
      </c>
      <c r="AE1263" t="str">
        <f>""</f>
        <v/>
      </c>
      <c r="AF1263" t="str">
        <f>"000"</f>
        <v>000</v>
      </c>
      <c r="AG1263" t="str">
        <f t="shared" si="424"/>
        <v>FL</v>
      </c>
      <c r="AH1263" t="str">
        <f>"8900.00"</f>
        <v>8900.00</v>
      </c>
      <c r="AI1263" t="str">
        <f>"15575.00"</f>
        <v>15575.00</v>
      </c>
      <c r="AJ1263" t="str">
        <f>"C55-000-588-1757-8"</f>
        <v>C55-000-588-1757-8</v>
      </c>
      <c r="AK1263" t="str">
        <f>"21468"</f>
        <v>21468</v>
      </c>
      <c r="AL1263">
        <v>5</v>
      </c>
      <c r="AM1263">
        <v>1439</v>
      </c>
      <c r="AN1263">
        <v>286.99</v>
      </c>
      <c r="AQ1263" t="s">
        <v>12871</v>
      </c>
      <c r="AR1263" t="s">
        <v>12871</v>
      </c>
      <c r="AS1263" t="s">
        <v>12871</v>
      </c>
      <c r="AU1263" t="s">
        <v>396</v>
      </c>
      <c r="AV1263">
        <v>2017</v>
      </c>
      <c r="AW1263" t="str">
        <f>"42-2N-27-4350-0018-0000 "</f>
        <v xml:space="preserve">42-2N-27-4350-0018-0000 </v>
      </c>
      <c r="AZ1263" t="s">
        <v>12859</v>
      </c>
      <c r="BA1263" t="s">
        <v>496</v>
      </c>
      <c r="BD1263" t="s">
        <v>2387</v>
      </c>
      <c r="BE1263" t="s">
        <v>393</v>
      </c>
      <c r="BF1263">
        <v>32097</v>
      </c>
      <c r="BG1263" t="s">
        <v>12860</v>
      </c>
      <c r="BH1263" t="s">
        <v>2388</v>
      </c>
      <c r="BI1263">
        <v>-81.602297933746797</v>
      </c>
      <c r="BJ1263">
        <v>30.6296544520103</v>
      </c>
      <c r="BK1263" t="s">
        <v>12861</v>
      </c>
      <c r="BL1263" t="s">
        <v>12862</v>
      </c>
      <c r="BM1263" t="s">
        <v>12863</v>
      </c>
      <c r="BN1263" t="s">
        <v>3983</v>
      </c>
      <c r="BO1263">
        <v>32034</v>
      </c>
      <c r="BP1263" t="s">
        <v>404</v>
      </c>
      <c r="BQ1263">
        <v>0</v>
      </c>
      <c r="BR1263" t="s">
        <v>491</v>
      </c>
      <c r="BS1263">
        <v>8001</v>
      </c>
      <c r="BT1263" t="s">
        <v>492</v>
      </c>
      <c r="BU1263">
        <v>890</v>
      </c>
      <c r="BV1263">
        <v>1000</v>
      </c>
      <c r="BW1263">
        <v>8903</v>
      </c>
      <c r="BX1263" t="s">
        <v>407</v>
      </c>
      <c r="BY1263" t="s">
        <v>408</v>
      </c>
      <c r="CD1263">
        <v>2017</v>
      </c>
      <c r="CE1263">
        <v>15575</v>
      </c>
      <c r="CG1263">
        <v>15575</v>
      </c>
      <c r="CH1263">
        <v>2017</v>
      </c>
      <c r="CI1263">
        <v>15575</v>
      </c>
      <c r="CK1263">
        <v>15575</v>
      </c>
      <c r="CL1263">
        <v>2017</v>
      </c>
      <c r="CM1263">
        <v>235.78</v>
      </c>
      <c r="CN1263" s="1">
        <v>31168</v>
      </c>
      <c r="CO1263">
        <v>16200</v>
      </c>
      <c r="CZ1263" s="1">
        <v>31168</v>
      </c>
      <c r="DD1263" t="s">
        <v>2387</v>
      </c>
      <c r="DF1263">
        <v>18</v>
      </c>
      <c r="DG1263">
        <v>42</v>
      </c>
      <c r="DL1263">
        <v>50302</v>
      </c>
      <c r="DM1263" t="s">
        <v>12468</v>
      </c>
      <c r="DO1263" t="s">
        <v>12872</v>
      </c>
      <c r="DP1263">
        <v>0</v>
      </c>
      <c r="DQ1263">
        <v>1</v>
      </c>
      <c r="DR1263" t="s">
        <v>411</v>
      </c>
      <c r="DS1263" t="s">
        <v>695</v>
      </c>
      <c r="EJ1263">
        <v>4</v>
      </c>
      <c r="EK1263">
        <v>0</v>
      </c>
      <c r="EP1263" t="s">
        <v>595</v>
      </c>
      <c r="EQ1263" t="s">
        <v>452</v>
      </c>
      <c r="ER1263">
        <v>1</v>
      </c>
      <c r="ES1263">
        <v>7</v>
      </c>
      <c r="ET1263">
        <v>285.57</v>
      </c>
      <c r="EU1263">
        <v>30.52</v>
      </c>
      <c r="EV1263">
        <v>316.08999999999997</v>
      </c>
      <c r="EW1263" s="2">
        <v>43222</v>
      </c>
      <c r="EX1263" s="1">
        <v>42879</v>
      </c>
      <c r="EY1263">
        <v>2016</v>
      </c>
      <c r="EZ1263">
        <v>285.57</v>
      </c>
      <c r="FA1263" t="s">
        <v>12873</v>
      </c>
      <c r="FB1263">
        <v>8.5</v>
      </c>
      <c r="FC1263" t="s">
        <v>424</v>
      </c>
      <c r="FD1263" t="s">
        <v>454</v>
      </c>
      <c r="FF1263">
        <v>12</v>
      </c>
      <c r="FG1263">
        <v>10003</v>
      </c>
      <c r="FH1263" t="s">
        <v>4341</v>
      </c>
      <c r="FJ1263" s="1">
        <v>42151</v>
      </c>
      <c r="FK1263">
        <v>2014</v>
      </c>
      <c r="FL1263">
        <v>258.69</v>
      </c>
      <c r="FM1263" t="s">
        <v>12874</v>
      </c>
      <c r="FN1263">
        <v>18</v>
      </c>
      <c r="FO1263" t="s">
        <v>424</v>
      </c>
      <c r="FP1263" t="s">
        <v>425</v>
      </c>
      <c r="FQ1263" s="1">
        <v>42486</v>
      </c>
      <c r="FR1263">
        <v>11</v>
      </c>
      <c r="FS1263">
        <v>10125</v>
      </c>
      <c r="FT1263" t="s">
        <v>440</v>
      </c>
      <c r="FU1263" t="s">
        <v>458</v>
      </c>
      <c r="FV1263" s="1">
        <v>41787</v>
      </c>
      <c r="FW1263">
        <v>2013</v>
      </c>
      <c r="FX1263">
        <v>223.56</v>
      </c>
      <c r="FY1263" t="s">
        <v>12875</v>
      </c>
      <c r="FZ1263">
        <v>9.75</v>
      </c>
      <c r="GA1263" t="s">
        <v>424</v>
      </c>
      <c r="GB1263" t="s">
        <v>425</v>
      </c>
      <c r="GC1263" s="1">
        <v>42486</v>
      </c>
      <c r="GD1263">
        <v>23</v>
      </c>
      <c r="GE1263">
        <v>10125</v>
      </c>
      <c r="GF1263" t="s">
        <v>440</v>
      </c>
      <c r="GG1263" t="s">
        <v>458</v>
      </c>
      <c r="GH1263" s="1">
        <v>41423</v>
      </c>
      <c r="GI1263">
        <v>2012</v>
      </c>
      <c r="GJ1263">
        <v>213.33</v>
      </c>
      <c r="GK1263" t="s">
        <v>12876</v>
      </c>
      <c r="GL1263">
        <v>16.75</v>
      </c>
      <c r="GM1263" t="s">
        <v>424</v>
      </c>
      <c r="GN1263" t="s">
        <v>425</v>
      </c>
      <c r="GO1263" s="1">
        <v>42486</v>
      </c>
      <c r="GP1263">
        <v>35</v>
      </c>
      <c r="GQ1263">
        <v>10125</v>
      </c>
      <c r="GR1263" t="s">
        <v>440</v>
      </c>
      <c r="GS1263" t="s">
        <v>458</v>
      </c>
      <c r="GT1263" s="1">
        <v>41052</v>
      </c>
      <c r="GU1263">
        <v>2011</v>
      </c>
      <c r="GV1263">
        <v>326.23</v>
      </c>
      <c r="GW1263" t="s">
        <v>12877</v>
      </c>
      <c r="GX1263">
        <v>18</v>
      </c>
      <c r="GY1263" t="s">
        <v>424</v>
      </c>
      <c r="GZ1263" t="s">
        <v>425</v>
      </c>
      <c r="HA1263" s="1">
        <v>42486</v>
      </c>
      <c r="HB1263">
        <v>47</v>
      </c>
      <c r="HC1263">
        <v>10125</v>
      </c>
      <c r="HD1263" t="s">
        <v>440</v>
      </c>
      <c r="HE1263" t="s">
        <v>458</v>
      </c>
      <c r="HF1263" s="1">
        <v>41052</v>
      </c>
      <c r="HG1263">
        <v>2011</v>
      </c>
      <c r="HH1263">
        <v>310.66000000000003</v>
      </c>
      <c r="HI1263" t="s">
        <v>12877</v>
      </c>
      <c r="HJ1263">
        <v>18</v>
      </c>
      <c r="HK1263" t="s">
        <v>603</v>
      </c>
      <c r="HL1263" t="s">
        <v>425</v>
      </c>
      <c r="HN1263">
        <v>22</v>
      </c>
      <c r="HO1263">
        <v>9999999</v>
      </c>
      <c r="HP1263" t="s">
        <v>604</v>
      </c>
      <c r="HQ1263" t="s">
        <v>458</v>
      </c>
      <c r="HR1263" s="1">
        <v>40688</v>
      </c>
      <c r="HS1263">
        <v>2010</v>
      </c>
      <c r="HT1263">
        <v>309.8</v>
      </c>
      <c r="HU1263" t="s">
        <v>12878</v>
      </c>
      <c r="HV1263">
        <v>8.5</v>
      </c>
      <c r="HW1263" t="s">
        <v>424</v>
      </c>
      <c r="HX1263" t="s">
        <v>425</v>
      </c>
      <c r="HY1263" s="1">
        <v>41520</v>
      </c>
      <c r="HZ1263">
        <v>28</v>
      </c>
      <c r="IA1263">
        <v>15175</v>
      </c>
      <c r="IB1263" t="s">
        <v>588</v>
      </c>
      <c r="ID1263" s="1">
        <v>40688</v>
      </c>
      <c r="IE1263">
        <v>2010</v>
      </c>
      <c r="IF1263">
        <v>309.8</v>
      </c>
      <c r="IG1263" t="s">
        <v>12878</v>
      </c>
      <c r="IH1263">
        <v>8.5</v>
      </c>
      <c r="II1263" t="s">
        <v>424</v>
      </c>
      <c r="IJ1263" t="s">
        <v>425</v>
      </c>
      <c r="IL1263">
        <v>22</v>
      </c>
      <c r="IM1263">
        <v>10548</v>
      </c>
      <c r="IN1263" t="s">
        <v>589</v>
      </c>
    </row>
    <row r="1264" spans="1:272" x14ac:dyDescent="0.25">
      <c r="A1264">
        <v>16486271</v>
      </c>
      <c r="B1264">
        <v>1263</v>
      </c>
      <c r="C1264" t="s">
        <v>393</v>
      </c>
      <c r="D1264" t="s">
        <v>394</v>
      </c>
      <c r="F1264" t="str">
        <f>"42-2N-27-4350-0019-0000"</f>
        <v>42-2N-27-4350-0019-0000</v>
      </c>
      <c r="H1264" t="str">
        <f>"DAVIS MARVIN R EST C/O WESLEY R POOLE"</f>
        <v>DAVIS MARVIN R EST C/O WESLEY R POOLE</v>
      </c>
      <c r="I1264" t="str">
        <f>"303 CENTRE ST STE 200"</f>
        <v>303 CENTRE ST STE 200</v>
      </c>
      <c r="J1264" t="str">
        <f>"FERNANDINA BEACH FL 32034"</f>
        <v>FERNANDINA BEACH FL 32034</v>
      </c>
      <c r="K1264" t="str">
        <f>"86065 DUNCAN RD"</f>
        <v>86065 DUNCAN RD</v>
      </c>
      <c r="L1264" t="str">
        <f t="shared" si="414"/>
        <v>YULEE FL 32097</v>
      </c>
      <c r="M1264" t="str">
        <f>"LOT 19 PT OF OR 456 PG 203 JAMES D CARR SUB UNR"</f>
        <v>LOT 19 PT OF OR 456 PG 203 JAMES D CARR SUB UNR</v>
      </c>
      <c r="N1264" t="str">
        <f>""</f>
        <v/>
      </c>
      <c r="O1264" t="str">
        <f>"47569"</f>
        <v>47569</v>
      </c>
      <c r="P1264" t="str">
        <f t="shared" si="416"/>
        <v>2017</v>
      </c>
      <c r="Q1264" t="str">
        <f>""</f>
        <v/>
      </c>
      <c r="R1264" t="str">
        <f t="shared" si="426"/>
        <v>N</v>
      </c>
      <c r="S1264" t="str">
        <f>""</f>
        <v/>
      </c>
      <c r="T1264" t="str">
        <f>"318.75"</f>
        <v>318.75</v>
      </c>
      <c r="U1264" t="str">
        <f>"21056.00"</f>
        <v>21056.00</v>
      </c>
      <c r="V1264" t="str">
        <f>"21056.00"</f>
        <v>21056.00</v>
      </c>
      <c r="W1264" t="str">
        <f t="shared" si="418"/>
        <v>2017</v>
      </c>
      <c r="X1264" t="str">
        <f>"53.12"</f>
        <v>53.12</v>
      </c>
      <c r="Y1264" t="str">
        <f>"360.31"</f>
        <v>360.31</v>
      </c>
      <c r="Z1264" t="str">
        <f>""</f>
        <v/>
      </c>
      <c r="AA1264" t="str">
        <f>"21056.00"</f>
        <v>21056.00</v>
      </c>
      <c r="AB1264" t="str">
        <f t="shared" si="425"/>
        <v>Residential</v>
      </c>
      <c r="AC1264" t="str">
        <f t="shared" si="422"/>
        <v>0</v>
      </c>
      <c r="AD1264" t="str">
        <f t="shared" ref="AD1264:AD1270" si="427">"4"</f>
        <v>4</v>
      </c>
      <c r="AE1264" t="str">
        <f t="shared" ref="AE1264:AE1270" si="428">"WOOD (INCLUDE STEEL STUDS)"</f>
        <v>WOOD (INCLUDE STEEL STUDS)</v>
      </c>
      <c r="AF1264" t="str">
        <f>"001"</f>
        <v>001</v>
      </c>
      <c r="AG1264" t="str">
        <f t="shared" si="424"/>
        <v>FL</v>
      </c>
      <c r="AH1264" t="str">
        <f>"9100.00"</f>
        <v>9100.00</v>
      </c>
      <c r="AI1264" t="str">
        <f>"15925.00"</f>
        <v>15925.00</v>
      </c>
      <c r="AJ1264" t="str">
        <f>"C55-000-588-1758-6"</f>
        <v>C55-000-588-1758-6</v>
      </c>
      <c r="AK1264" t="str">
        <f>"21469"</f>
        <v>21469</v>
      </c>
      <c r="AL1264">
        <v>5</v>
      </c>
      <c r="AM1264">
        <v>1440</v>
      </c>
      <c r="AN1264">
        <v>376.73</v>
      </c>
      <c r="AQ1264" t="s">
        <v>12879</v>
      </c>
      <c r="AR1264" t="s">
        <v>12879</v>
      </c>
      <c r="AS1264" t="s">
        <v>12879</v>
      </c>
      <c r="AU1264" t="s">
        <v>396</v>
      </c>
      <c r="AV1264">
        <v>2017</v>
      </c>
      <c r="AW1264" t="str">
        <f>"42-2N-27-4350-0019-0000 "</f>
        <v xml:space="preserve">42-2N-27-4350-0019-0000 </v>
      </c>
      <c r="AX1264">
        <v>86065</v>
      </c>
      <c r="AZ1264" t="s">
        <v>12859</v>
      </c>
      <c r="BA1264" t="s">
        <v>496</v>
      </c>
      <c r="BD1264" t="s">
        <v>2387</v>
      </c>
      <c r="BE1264" t="s">
        <v>393</v>
      </c>
      <c r="BF1264">
        <v>32097</v>
      </c>
      <c r="BG1264" t="s">
        <v>12880</v>
      </c>
      <c r="BH1264" t="s">
        <v>2388</v>
      </c>
      <c r="BI1264">
        <v>-81.602399311181799</v>
      </c>
      <c r="BJ1264">
        <v>30.629885924197801</v>
      </c>
      <c r="BK1264" t="s">
        <v>12861</v>
      </c>
      <c r="BL1264" t="s">
        <v>12862</v>
      </c>
      <c r="BM1264" t="s">
        <v>12863</v>
      </c>
      <c r="BN1264" t="s">
        <v>3983</v>
      </c>
      <c r="BO1264">
        <v>32034</v>
      </c>
      <c r="BP1264" t="s">
        <v>404</v>
      </c>
      <c r="BQ1264">
        <v>100</v>
      </c>
      <c r="BR1264" t="s">
        <v>514</v>
      </c>
      <c r="BS1264">
        <v>1001</v>
      </c>
      <c r="BT1264" t="s">
        <v>515</v>
      </c>
      <c r="BU1264">
        <v>910</v>
      </c>
      <c r="BV1264">
        <v>1000</v>
      </c>
      <c r="BW1264">
        <v>9102</v>
      </c>
      <c r="BX1264" t="s">
        <v>407</v>
      </c>
      <c r="BY1264" t="s">
        <v>408</v>
      </c>
      <c r="BZ1264">
        <v>4</v>
      </c>
      <c r="CA1264">
        <v>1960</v>
      </c>
      <c r="CB1264">
        <v>1</v>
      </c>
      <c r="CC1264">
        <v>1</v>
      </c>
      <c r="CD1264">
        <v>2017</v>
      </c>
      <c r="CE1264">
        <v>15925</v>
      </c>
      <c r="CF1264">
        <v>5131</v>
      </c>
      <c r="CG1264">
        <v>21056</v>
      </c>
      <c r="CH1264">
        <v>2017</v>
      </c>
      <c r="CI1264">
        <v>15925</v>
      </c>
      <c r="CJ1264">
        <v>5131</v>
      </c>
      <c r="CK1264">
        <v>21056</v>
      </c>
      <c r="CL1264">
        <v>2017</v>
      </c>
      <c r="CM1264">
        <v>318.75</v>
      </c>
      <c r="CN1264" s="1">
        <v>31168</v>
      </c>
      <c r="CO1264">
        <v>16200</v>
      </c>
      <c r="CZ1264" s="1">
        <v>31168</v>
      </c>
      <c r="DD1264" t="s">
        <v>2387</v>
      </c>
      <c r="DF1264">
        <v>19</v>
      </c>
      <c r="DG1264">
        <v>42</v>
      </c>
      <c r="DL1264">
        <v>50302</v>
      </c>
      <c r="DM1264" t="s">
        <v>12468</v>
      </c>
      <c r="DO1264" t="s">
        <v>12881</v>
      </c>
      <c r="DP1264">
        <v>0</v>
      </c>
      <c r="DQ1264">
        <v>1</v>
      </c>
      <c r="DR1264" t="s">
        <v>1479</v>
      </c>
      <c r="DS1264" t="b">
        <v>1</v>
      </c>
      <c r="DT1264" t="s">
        <v>470</v>
      </c>
      <c r="DU1264" t="s">
        <v>471</v>
      </c>
      <c r="DV1264" t="s">
        <v>472</v>
      </c>
      <c r="DX1264">
        <v>-9999</v>
      </c>
      <c r="DZ1264" t="s">
        <v>447</v>
      </c>
      <c r="EA1264" t="s">
        <v>448</v>
      </c>
      <c r="EB1264" t="s">
        <v>742</v>
      </c>
      <c r="EC1264">
        <v>20101217</v>
      </c>
      <c r="ED1264" t="s">
        <v>474</v>
      </c>
      <c r="EF1264">
        <v>-9999</v>
      </c>
      <c r="EG1264">
        <v>8732.9</v>
      </c>
      <c r="EH1264" t="s">
        <v>451</v>
      </c>
      <c r="EI1264">
        <v>20140731</v>
      </c>
      <c r="EJ1264">
        <v>4</v>
      </c>
      <c r="EK1264">
        <v>0</v>
      </c>
      <c r="EP1264" t="s">
        <v>595</v>
      </c>
      <c r="EQ1264" t="s">
        <v>452</v>
      </c>
      <c r="ER1264">
        <v>1</v>
      </c>
      <c r="ES1264">
        <v>6</v>
      </c>
      <c r="ET1264">
        <v>376.57</v>
      </c>
      <c r="EU1264">
        <v>26.96</v>
      </c>
      <c r="EV1264">
        <v>403.53</v>
      </c>
      <c r="EW1264" s="2">
        <v>43222</v>
      </c>
      <c r="EX1264" s="1">
        <v>42879</v>
      </c>
      <c r="EY1264">
        <v>2016</v>
      </c>
      <c r="EZ1264">
        <v>376.57</v>
      </c>
      <c r="FA1264" t="s">
        <v>12882</v>
      </c>
      <c r="FB1264">
        <v>5.5</v>
      </c>
      <c r="FC1264" t="s">
        <v>424</v>
      </c>
      <c r="FD1264" t="s">
        <v>454</v>
      </c>
      <c r="FF1264">
        <v>12</v>
      </c>
      <c r="FG1264">
        <v>10125</v>
      </c>
      <c r="FH1264" t="s">
        <v>440</v>
      </c>
      <c r="FJ1264" s="1">
        <v>42151</v>
      </c>
      <c r="FK1264">
        <v>2014</v>
      </c>
      <c r="FL1264">
        <v>360.03</v>
      </c>
      <c r="FM1264" t="s">
        <v>12883</v>
      </c>
      <c r="FN1264">
        <v>18</v>
      </c>
      <c r="FO1264" t="s">
        <v>424</v>
      </c>
      <c r="FP1264" t="s">
        <v>425</v>
      </c>
      <c r="FQ1264" s="1">
        <v>42486</v>
      </c>
      <c r="FR1264">
        <v>11</v>
      </c>
      <c r="FS1264">
        <v>10125</v>
      </c>
      <c r="FT1264" t="s">
        <v>440</v>
      </c>
      <c r="FU1264" t="s">
        <v>458</v>
      </c>
      <c r="FV1264" s="1">
        <v>41787</v>
      </c>
      <c r="FW1264">
        <v>2013</v>
      </c>
      <c r="FX1264">
        <v>305.63</v>
      </c>
      <c r="FY1264" t="s">
        <v>12884</v>
      </c>
      <c r="FZ1264">
        <v>9.75</v>
      </c>
      <c r="GA1264" t="s">
        <v>424</v>
      </c>
      <c r="GB1264" t="s">
        <v>425</v>
      </c>
      <c r="GC1264" s="1">
        <v>42486</v>
      </c>
      <c r="GD1264">
        <v>23</v>
      </c>
      <c r="GE1264">
        <v>10125</v>
      </c>
      <c r="GF1264" t="s">
        <v>440</v>
      </c>
      <c r="GG1264" t="s">
        <v>458</v>
      </c>
      <c r="GH1264" s="1">
        <v>41423</v>
      </c>
      <c r="GI1264">
        <v>2012</v>
      </c>
      <c r="GJ1264">
        <v>296.10000000000002</v>
      </c>
      <c r="GK1264" t="s">
        <v>12885</v>
      </c>
      <c r="GL1264">
        <v>16.75</v>
      </c>
      <c r="GM1264" t="s">
        <v>424</v>
      </c>
      <c r="GN1264" t="s">
        <v>425</v>
      </c>
      <c r="GO1264" s="1">
        <v>42486</v>
      </c>
      <c r="GP1264">
        <v>35</v>
      </c>
      <c r="GQ1264">
        <v>10125</v>
      </c>
      <c r="GR1264" t="s">
        <v>440</v>
      </c>
      <c r="GS1264" t="s">
        <v>458</v>
      </c>
      <c r="GT1264" s="1">
        <v>41052</v>
      </c>
      <c r="GU1264">
        <v>2011</v>
      </c>
      <c r="GV1264">
        <v>424.13</v>
      </c>
      <c r="GW1264" t="s">
        <v>12886</v>
      </c>
      <c r="GX1264">
        <v>18</v>
      </c>
      <c r="GY1264" t="s">
        <v>424</v>
      </c>
      <c r="GZ1264" t="s">
        <v>425</v>
      </c>
      <c r="HA1264" s="1">
        <v>42486</v>
      </c>
      <c r="HB1264">
        <v>47</v>
      </c>
      <c r="HC1264">
        <v>14811</v>
      </c>
      <c r="HD1264" t="s">
        <v>12887</v>
      </c>
      <c r="HE1264" t="s">
        <v>458</v>
      </c>
      <c r="HF1264" s="1">
        <v>41052</v>
      </c>
      <c r="HG1264">
        <v>2011</v>
      </c>
      <c r="HH1264">
        <v>405.71</v>
      </c>
      <c r="HI1264" t="s">
        <v>12886</v>
      </c>
      <c r="HJ1264">
        <v>18</v>
      </c>
      <c r="HK1264" t="s">
        <v>603</v>
      </c>
      <c r="HL1264" t="s">
        <v>425</v>
      </c>
      <c r="HN1264">
        <v>22</v>
      </c>
      <c r="HO1264">
        <v>9999999</v>
      </c>
      <c r="HP1264" t="s">
        <v>604</v>
      </c>
      <c r="HQ1264" t="s">
        <v>458</v>
      </c>
      <c r="HR1264" s="1">
        <v>40688</v>
      </c>
      <c r="HS1264">
        <v>2010</v>
      </c>
      <c r="HT1264">
        <v>414.34</v>
      </c>
      <c r="HU1264" t="s">
        <v>12888</v>
      </c>
      <c r="HV1264">
        <v>16.5</v>
      </c>
      <c r="HW1264" t="s">
        <v>424</v>
      </c>
      <c r="HX1264" t="s">
        <v>425</v>
      </c>
      <c r="HY1264" s="1">
        <v>42486</v>
      </c>
      <c r="HZ1264">
        <v>59</v>
      </c>
      <c r="IA1264">
        <v>10125</v>
      </c>
      <c r="IB1264" t="s">
        <v>440</v>
      </c>
      <c r="IC1264" t="s">
        <v>458</v>
      </c>
    </row>
    <row r="1265" spans="1:296" x14ac:dyDescent="0.25">
      <c r="A1265">
        <v>16486272</v>
      </c>
      <c r="B1265">
        <v>1264</v>
      </c>
      <c r="C1265" t="s">
        <v>393</v>
      </c>
      <c r="D1265" t="s">
        <v>394</v>
      </c>
      <c r="F1265" t="str">
        <f>"42-2N-27-4350-0020-0000"</f>
        <v>42-2N-27-4350-0020-0000</v>
      </c>
      <c r="H1265" t="str">
        <f>"TURNER REBECCA A &amp; BALBASIRO RAYMOND J (JT/RS)"</f>
        <v>TURNER REBECCA A &amp; BALBASIRO RAYMOND J (JT/RS)</v>
      </c>
      <c r="I1265" t="str">
        <f>"86058 SOWELL RD"</f>
        <v>86058 SOWELL RD</v>
      </c>
      <c r="J1265" t="str">
        <f>"YULEE FL 32097"</f>
        <v>YULEE FL 32097</v>
      </c>
      <c r="K1265" t="str">
        <f>"86058 SOWELL RD"</f>
        <v>86058 SOWELL RD</v>
      </c>
      <c r="L1265" t="str">
        <f t="shared" si="414"/>
        <v>YULEE FL 32097</v>
      </c>
      <c r="M1265" t="str">
        <f>"LOT 20 (F/K/A PAR 57-3) IN OR 2130/172 JAMES D CARR SUB UNR"</f>
        <v>LOT 20 (F/K/A PAR 57-3) IN OR 2130/172 JAMES D CARR SUB UNR</v>
      </c>
      <c r="N1265" t="str">
        <f>""</f>
        <v/>
      </c>
      <c r="O1265" t="str">
        <f>"47570"</f>
        <v>47570</v>
      </c>
      <c r="P1265" t="str">
        <f t="shared" si="416"/>
        <v>2017</v>
      </c>
      <c r="Q1265" t="str">
        <f>""</f>
        <v/>
      </c>
      <c r="R1265" t="str">
        <f t="shared" si="426"/>
        <v>N</v>
      </c>
      <c r="S1265" t="str">
        <f>""</f>
        <v/>
      </c>
      <c r="T1265" t="str">
        <f>"394.29"</f>
        <v>394.29</v>
      </c>
      <c r="U1265" t="str">
        <f>"26046.00"</f>
        <v>26046.00</v>
      </c>
      <c r="V1265" t="str">
        <f>"26046.00"</f>
        <v>26046.00</v>
      </c>
      <c r="W1265" t="str">
        <f t="shared" si="418"/>
        <v>2017</v>
      </c>
      <c r="X1265" t="str">
        <f>"31.67"</f>
        <v>31.67</v>
      </c>
      <c r="Y1265" t="str">
        <f>"438.12"</f>
        <v>438.12</v>
      </c>
      <c r="Z1265" t="str">
        <f>""</f>
        <v/>
      </c>
      <c r="AA1265" t="str">
        <f>"26046.00"</f>
        <v>26046.00</v>
      </c>
      <c r="AB1265" t="str">
        <f t="shared" si="425"/>
        <v>Residential</v>
      </c>
      <c r="AC1265" t="str">
        <f t="shared" si="422"/>
        <v>0</v>
      </c>
      <c r="AD1265" t="str">
        <f t="shared" si="427"/>
        <v>4</v>
      </c>
      <c r="AE1265" t="str">
        <f t="shared" si="428"/>
        <v>WOOD (INCLUDE STEEL STUDS)</v>
      </c>
      <c r="AF1265" t="str">
        <f>"002"</f>
        <v>002</v>
      </c>
      <c r="AG1265" t="str">
        <f t="shared" si="424"/>
        <v>FL</v>
      </c>
      <c r="AH1265" t="str">
        <f>"9118.00"</f>
        <v>9118.00</v>
      </c>
      <c r="AI1265" t="str">
        <f>"16121.00"</f>
        <v>16121.00</v>
      </c>
      <c r="AJ1265" t="str">
        <f>"C55-000-588-1759-4"</f>
        <v>C55-000-588-1759-4</v>
      </c>
      <c r="AK1265" t="str">
        <f>"21470"</f>
        <v>21470</v>
      </c>
      <c r="AL1265">
        <v>5</v>
      </c>
      <c r="AM1265">
        <v>1441</v>
      </c>
      <c r="AN1265">
        <v>458.43</v>
      </c>
      <c r="AQ1265" t="s">
        <v>12889</v>
      </c>
      <c r="AR1265" t="s">
        <v>12889</v>
      </c>
      <c r="AS1265" t="s">
        <v>12889</v>
      </c>
      <c r="AU1265" t="s">
        <v>396</v>
      </c>
      <c r="AV1265">
        <v>2017</v>
      </c>
      <c r="AW1265" t="str">
        <f>"42-2N-27-4350-0020-0000 "</f>
        <v xml:space="preserve">42-2N-27-4350-0020-0000 </v>
      </c>
      <c r="AX1265">
        <v>86058</v>
      </c>
      <c r="AZ1265" t="s">
        <v>12646</v>
      </c>
      <c r="BA1265" t="s">
        <v>496</v>
      </c>
      <c r="BD1265" t="s">
        <v>2387</v>
      </c>
      <c r="BE1265" t="s">
        <v>393</v>
      </c>
      <c r="BF1265">
        <v>32097</v>
      </c>
      <c r="BG1265" t="s">
        <v>12890</v>
      </c>
      <c r="BH1265" t="s">
        <v>2388</v>
      </c>
      <c r="BI1265">
        <v>-81.6026932338401</v>
      </c>
      <c r="BJ1265">
        <v>30.629792436347302</v>
      </c>
      <c r="BK1265" t="s">
        <v>12891</v>
      </c>
      <c r="BL1265" t="s">
        <v>12892</v>
      </c>
      <c r="BP1265" t="s">
        <v>404</v>
      </c>
      <c r="BQ1265">
        <v>200</v>
      </c>
      <c r="BR1265" t="s">
        <v>405</v>
      </c>
      <c r="BS1265">
        <v>1006</v>
      </c>
      <c r="BT1265" t="s">
        <v>406</v>
      </c>
      <c r="BU1265">
        <v>940</v>
      </c>
      <c r="BV1265">
        <v>0</v>
      </c>
      <c r="BW1265">
        <v>9121</v>
      </c>
      <c r="BX1265" t="s">
        <v>407</v>
      </c>
      <c r="BY1265" t="s">
        <v>408</v>
      </c>
      <c r="BZ1265">
        <v>4</v>
      </c>
      <c r="CA1265">
        <v>1985</v>
      </c>
      <c r="CC1265">
        <v>1</v>
      </c>
      <c r="CD1265">
        <v>2017</v>
      </c>
      <c r="CE1265">
        <v>16121</v>
      </c>
      <c r="CF1265">
        <v>9925</v>
      </c>
      <c r="CG1265">
        <v>26046</v>
      </c>
      <c r="CH1265">
        <v>2017</v>
      </c>
      <c r="CI1265">
        <v>16121</v>
      </c>
      <c r="CJ1265">
        <v>9925</v>
      </c>
      <c r="CK1265">
        <v>26046</v>
      </c>
      <c r="CL1265">
        <v>2017</v>
      </c>
      <c r="CM1265">
        <v>394.29</v>
      </c>
      <c r="CN1265" s="1">
        <v>39498</v>
      </c>
      <c r="CO1265">
        <v>18000</v>
      </c>
      <c r="CV1265">
        <v>0</v>
      </c>
      <c r="CZ1265" s="1">
        <v>39498</v>
      </c>
      <c r="DA1265">
        <v>0</v>
      </c>
      <c r="DD1265" t="s">
        <v>2387</v>
      </c>
      <c r="DF1265">
        <v>20</v>
      </c>
      <c r="DG1265">
        <v>42</v>
      </c>
      <c r="DL1265">
        <v>50302</v>
      </c>
      <c r="DM1265" t="s">
        <v>12468</v>
      </c>
      <c r="DO1265" t="s">
        <v>12893</v>
      </c>
      <c r="DP1265">
        <v>0</v>
      </c>
      <c r="DQ1265">
        <v>1</v>
      </c>
      <c r="DR1265" t="s">
        <v>1479</v>
      </c>
      <c r="DS1265" t="b">
        <v>1</v>
      </c>
      <c r="DT1265" t="s">
        <v>470</v>
      </c>
      <c r="DU1265" t="s">
        <v>471</v>
      </c>
      <c r="DV1265" t="s">
        <v>472</v>
      </c>
      <c r="DX1265">
        <v>-9999</v>
      </c>
      <c r="DZ1265" t="s">
        <v>447</v>
      </c>
      <c r="EA1265" t="s">
        <v>448</v>
      </c>
      <c r="EB1265" t="s">
        <v>742</v>
      </c>
      <c r="EC1265">
        <v>20101217</v>
      </c>
      <c r="ED1265" t="s">
        <v>474</v>
      </c>
      <c r="EF1265">
        <v>-9999</v>
      </c>
      <c r="EG1265">
        <v>8821.1</v>
      </c>
      <c r="EI1265">
        <v>20160407</v>
      </c>
      <c r="EJ1265">
        <v>0</v>
      </c>
      <c r="EK1265">
        <v>0</v>
      </c>
      <c r="EP1265" t="s">
        <v>595</v>
      </c>
      <c r="EQ1265" t="s">
        <v>452</v>
      </c>
      <c r="ER1265">
        <v>0</v>
      </c>
      <c r="ES1265">
        <v>9</v>
      </c>
      <c r="ET1265">
        <v>0</v>
      </c>
      <c r="EU1265">
        <v>0</v>
      </c>
      <c r="EV1265">
        <v>0</v>
      </c>
      <c r="EW1265" s="2">
        <v>43222</v>
      </c>
      <c r="EX1265" s="1">
        <v>42515</v>
      </c>
      <c r="EY1265">
        <v>2015</v>
      </c>
      <c r="EZ1265">
        <v>453.69</v>
      </c>
      <c r="FA1265" t="s">
        <v>12894</v>
      </c>
      <c r="FB1265">
        <v>18</v>
      </c>
      <c r="FC1265" t="s">
        <v>603</v>
      </c>
      <c r="FD1265" t="s">
        <v>425</v>
      </c>
      <c r="FF1265">
        <v>22</v>
      </c>
      <c r="FG1265">
        <v>9999999</v>
      </c>
      <c r="FH1265" t="s">
        <v>604</v>
      </c>
      <c r="FI1265" t="s">
        <v>458</v>
      </c>
      <c r="FJ1265" s="1">
        <v>42515</v>
      </c>
      <c r="FK1265">
        <v>2015</v>
      </c>
      <c r="FL1265">
        <v>466.75</v>
      </c>
      <c r="FM1265" t="s">
        <v>12894</v>
      </c>
      <c r="FN1265">
        <v>18</v>
      </c>
      <c r="FO1265" t="s">
        <v>424</v>
      </c>
      <c r="FP1265" t="s">
        <v>425</v>
      </c>
      <c r="FQ1265" s="1">
        <v>42852</v>
      </c>
      <c r="FR1265">
        <v>11</v>
      </c>
      <c r="FS1265">
        <v>4844964</v>
      </c>
      <c r="FT1265" t="s">
        <v>1788</v>
      </c>
      <c r="FU1265" t="s">
        <v>458</v>
      </c>
      <c r="FV1265" s="1">
        <v>42151</v>
      </c>
      <c r="FW1265">
        <v>2014</v>
      </c>
      <c r="FX1265">
        <v>390.39</v>
      </c>
      <c r="FY1265" t="s">
        <v>12895</v>
      </c>
      <c r="FZ1265">
        <v>3.75</v>
      </c>
      <c r="GA1265" t="s">
        <v>424</v>
      </c>
      <c r="GB1265" t="s">
        <v>425</v>
      </c>
      <c r="GD1265">
        <v>22</v>
      </c>
      <c r="GE1265">
        <v>4975593</v>
      </c>
      <c r="GF1265" t="s">
        <v>505</v>
      </c>
      <c r="GG1265" t="s">
        <v>458</v>
      </c>
      <c r="GH1265" s="1">
        <v>41423</v>
      </c>
      <c r="GI1265">
        <v>2012</v>
      </c>
      <c r="GJ1265">
        <v>432.26</v>
      </c>
      <c r="GK1265" t="s">
        <v>12896</v>
      </c>
      <c r="GL1265">
        <v>3.75</v>
      </c>
      <c r="GM1265" t="s">
        <v>424</v>
      </c>
      <c r="GN1265" t="s">
        <v>425</v>
      </c>
      <c r="GO1265" s="1">
        <v>41786</v>
      </c>
      <c r="GP1265">
        <v>12</v>
      </c>
      <c r="GQ1265">
        <v>10125</v>
      </c>
      <c r="GR1265" t="s">
        <v>440</v>
      </c>
      <c r="GS1265" t="s">
        <v>458</v>
      </c>
      <c r="GT1265" s="1">
        <v>41052</v>
      </c>
      <c r="GU1265">
        <v>2011</v>
      </c>
      <c r="GV1265">
        <v>574.83000000000004</v>
      </c>
      <c r="GW1265" t="s">
        <v>12897</v>
      </c>
      <c r="GX1265">
        <v>18</v>
      </c>
      <c r="GY1265" t="s">
        <v>424</v>
      </c>
      <c r="GZ1265" t="s">
        <v>425</v>
      </c>
      <c r="HB1265">
        <v>22</v>
      </c>
      <c r="HC1265">
        <v>13042</v>
      </c>
      <c r="HD1265" t="s">
        <v>5881</v>
      </c>
      <c r="HE1265" t="s">
        <v>458</v>
      </c>
      <c r="HF1265" s="1">
        <v>40688</v>
      </c>
      <c r="HG1265">
        <v>2010</v>
      </c>
      <c r="HH1265">
        <v>577.24</v>
      </c>
      <c r="HI1265" t="s">
        <v>12898</v>
      </c>
      <c r="HJ1265">
        <v>7.5</v>
      </c>
      <c r="HK1265" t="s">
        <v>424</v>
      </c>
      <c r="HL1265" t="s">
        <v>425</v>
      </c>
      <c r="HM1265" s="1">
        <v>41786</v>
      </c>
      <c r="HN1265">
        <v>36</v>
      </c>
      <c r="HO1265">
        <v>1127</v>
      </c>
      <c r="HP1265" t="s">
        <v>1379</v>
      </c>
      <c r="HQ1265" t="s">
        <v>458</v>
      </c>
      <c r="HR1265" s="1">
        <v>40688</v>
      </c>
      <c r="HS1265">
        <v>2010</v>
      </c>
      <c r="HT1265">
        <v>577.24</v>
      </c>
      <c r="HU1265" t="s">
        <v>12898</v>
      </c>
      <c r="HV1265">
        <v>7.5</v>
      </c>
      <c r="HW1265" t="s">
        <v>424</v>
      </c>
      <c r="HX1265" t="s">
        <v>425</v>
      </c>
      <c r="HZ1265">
        <v>22</v>
      </c>
      <c r="IA1265">
        <v>11302</v>
      </c>
      <c r="IB1265" t="s">
        <v>3940</v>
      </c>
      <c r="IC1265" t="s">
        <v>458</v>
      </c>
      <c r="ID1265" s="1">
        <v>40688</v>
      </c>
      <c r="IE1265">
        <v>2010</v>
      </c>
      <c r="IF1265">
        <v>577.24</v>
      </c>
      <c r="IG1265" t="s">
        <v>12898</v>
      </c>
      <c r="IH1265">
        <v>7.5</v>
      </c>
      <c r="II1265" t="s">
        <v>424</v>
      </c>
      <c r="IJ1265" t="s">
        <v>425</v>
      </c>
      <c r="IL1265">
        <v>22</v>
      </c>
      <c r="IM1265">
        <v>1123</v>
      </c>
      <c r="IN1265" t="s">
        <v>10066</v>
      </c>
      <c r="IO1265" t="s">
        <v>458</v>
      </c>
      <c r="IP1265" s="1">
        <v>40688</v>
      </c>
      <c r="IQ1265">
        <v>2010</v>
      </c>
      <c r="IR1265">
        <v>577.24</v>
      </c>
      <c r="IS1265" t="s">
        <v>12898</v>
      </c>
      <c r="IT1265">
        <v>7.5</v>
      </c>
      <c r="IU1265" t="s">
        <v>424</v>
      </c>
      <c r="IV1265" t="s">
        <v>425</v>
      </c>
      <c r="IX1265">
        <v>22</v>
      </c>
      <c r="IY1265">
        <v>1123</v>
      </c>
      <c r="IZ1265" t="s">
        <v>10066</v>
      </c>
      <c r="JA1265" t="s">
        <v>458</v>
      </c>
    </row>
    <row r="1266" spans="1:296" x14ac:dyDescent="0.25">
      <c r="A1266">
        <v>16486273</v>
      </c>
      <c r="B1266">
        <v>1265</v>
      </c>
      <c r="C1266" t="s">
        <v>393</v>
      </c>
      <c r="D1266" t="s">
        <v>394</v>
      </c>
      <c r="F1266" t="str">
        <f>"42-2N-27-4350-0021-0000"</f>
        <v>42-2N-27-4350-0021-0000</v>
      </c>
      <c r="H1266" t="str">
        <f>"DAVIS MARVIN R EST C/O WESLEY R POOLE"</f>
        <v>DAVIS MARVIN R EST C/O WESLEY R POOLE</v>
      </c>
      <c r="I1266" t="str">
        <f>"303 CENTRE ST STE 200"</f>
        <v>303 CENTRE ST STE 200</v>
      </c>
      <c r="J1266" t="str">
        <f>"FERNANDINA BEACH FL 32034"</f>
        <v>FERNANDINA BEACH FL 32034</v>
      </c>
      <c r="K1266" t="str">
        <f>"86050 DUKE RD"</f>
        <v>86050 DUKE RD</v>
      </c>
      <c r="L1266" t="str">
        <f t="shared" si="414"/>
        <v>YULEE FL 32097</v>
      </c>
      <c r="M1266" t="str">
        <f>"LOT 21 PT OF OR 456 PG 203 JAMES D CARR SUB UNR"</f>
        <v>LOT 21 PT OF OR 456 PG 203 JAMES D CARR SUB UNR</v>
      </c>
      <c r="N1266" t="str">
        <f>""</f>
        <v/>
      </c>
      <c r="O1266" t="str">
        <f>"47571"</f>
        <v>47571</v>
      </c>
      <c r="P1266" t="str">
        <f t="shared" si="416"/>
        <v>2017</v>
      </c>
      <c r="Q1266" t="str">
        <f>""</f>
        <v/>
      </c>
      <c r="R1266" t="str">
        <f t="shared" si="426"/>
        <v>N</v>
      </c>
      <c r="S1266" t="str">
        <f>""</f>
        <v/>
      </c>
      <c r="T1266" t="str">
        <f>"588.81"</f>
        <v>588.81</v>
      </c>
      <c r="U1266" t="str">
        <f>"38895.00"</f>
        <v>38895.00</v>
      </c>
      <c r="V1266" t="str">
        <f>"38895.00"</f>
        <v>38895.00</v>
      </c>
      <c r="W1266" t="str">
        <f t="shared" si="418"/>
        <v>2017</v>
      </c>
      <c r="X1266" t="str">
        <f>"44.29"</f>
        <v>44.29</v>
      </c>
      <c r="Y1266" t="str">
        <f>"638.47"</f>
        <v>638.47</v>
      </c>
      <c r="Z1266" t="str">
        <f>""</f>
        <v/>
      </c>
      <c r="AA1266" t="str">
        <f>"38895.00"</f>
        <v>38895.00</v>
      </c>
      <c r="AB1266" t="str">
        <f t="shared" si="425"/>
        <v>Residential</v>
      </c>
      <c r="AC1266" t="str">
        <f t="shared" si="422"/>
        <v>0</v>
      </c>
      <c r="AD1266" t="str">
        <f t="shared" si="427"/>
        <v>4</v>
      </c>
      <c r="AE1266" t="str">
        <f t="shared" si="428"/>
        <v>WOOD (INCLUDE STEEL STUDS)</v>
      </c>
      <c r="AF1266" t="str">
        <f>"001"</f>
        <v>001</v>
      </c>
      <c r="AG1266" t="str">
        <f t="shared" si="424"/>
        <v>FL</v>
      </c>
      <c r="AH1266" t="str">
        <f>"8536.00"</f>
        <v>8536.00</v>
      </c>
      <c r="AI1266" t="str">
        <f>"15092.00"</f>
        <v>15092.00</v>
      </c>
      <c r="AJ1266" t="str">
        <f>"C55-000-588-1760-2"</f>
        <v>C55-000-588-1760-2</v>
      </c>
      <c r="AK1266" t="str">
        <f>"21471"</f>
        <v>21471</v>
      </c>
      <c r="AL1266">
        <v>5</v>
      </c>
      <c r="AM1266">
        <v>1442</v>
      </c>
      <c r="AN1266">
        <v>668.79</v>
      </c>
      <c r="AQ1266" t="s">
        <v>12899</v>
      </c>
      <c r="AR1266" t="s">
        <v>12899</v>
      </c>
      <c r="AS1266" t="s">
        <v>12899</v>
      </c>
      <c r="AU1266" t="s">
        <v>396</v>
      </c>
      <c r="AV1266">
        <v>2017</v>
      </c>
      <c r="AW1266" t="str">
        <f>"42-2N-27-4350-0021-0000 "</f>
        <v xml:space="preserve">42-2N-27-4350-0021-0000 </v>
      </c>
      <c r="AX1266">
        <v>86050</v>
      </c>
      <c r="AZ1266" t="s">
        <v>12900</v>
      </c>
      <c r="BA1266" t="s">
        <v>496</v>
      </c>
      <c r="BD1266" t="s">
        <v>2387</v>
      </c>
      <c r="BE1266" t="s">
        <v>393</v>
      </c>
      <c r="BF1266">
        <v>32097</v>
      </c>
      <c r="BG1266" t="s">
        <v>12901</v>
      </c>
      <c r="BH1266" t="s">
        <v>2388</v>
      </c>
      <c r="BI1266">
        <v>-81.602591017651093</v>
      </c>
      <c r="BJ1266">
        <v>30.629559029905401</v>
      </c>
      <c r="BK1266" t="s">
        <v>12861</v>
      </c>
      <c r="BL1266" t="s">
        <v>12862</v>
      </c>
      <c r="BM1266" t="s">
        <v>12863</v>
      </c>
      <c r="BN1266" t="s">
        <v>3983</v>
      </c>
      <c r="BO1266">
        <v>32034</v>
      </c>
      <c r="BP1266" t="s">
        <v>404</v>
      </c>
      <c r="BQ1266">
        <v>100</v>
      </c>
      <c r="BR1266" t="s">
        <v>514</v>
      </c>
      <c r="BS1266">
        <v>1001</v>
      </c>
      <c r="BT1266" t="s">
        <v>515</v>
      </c>
      <c r="BU1266">
        <v>880</v>
      </c>
      <c r="BV1266">
        <v>0</v>
      </c>
      <c r="BW1266">
        <v>8490</v>
      </c>
      <c r="BX1266" t="s">
        <v>407</v>
      </c>
      <c r="BY1266" t="s">
        <v>408</v>
      </c>
      <c r="BZ1266">
        <v>4</v>
      </c>
      <c r="CA1266">
        <v>1960</v>
      </c>
      <c r="CB1266">
        <v>1</v>
      </c>
      <c r="CC1266">
        <v>1</v>
      </c>
      <c r="CD1266">
        <v>2017</v>
      </c>
      <c r="CE1266">
        <v>15092</v>
      </c>
      <c r="CF1266">
        <v>23803</v>
      </c>
      <c r="CG1266">
        <v>38895</v>
      </c>
      <c r="CH1266">
        <v>2017</v>
      </c>
      <c r="CI1266">
        <v>15092</v>
      </c>
      <c r="CJ1266">
        <v>23803</v>
      </c>
      <c r="CK1266">
        <v>38895</v>
      </c>
      <c r="CL1266">
        <v>2017</v>
      </c>
      <c r="CM1266">
        <v>588.80999999999995</v>
      </c>
      <c r="CN1266" s="1">
        <v>31168</v>
      </c>
      <c r="CO1266">
        <v>16200</v>
      </c>
      <c r="CZ1266" s="1">
        <v>31168</v>
      </c>
      <c r="DD1266" t="s">
        <v>2387</v>
      </c>
      <c r="DF1266">
        <v>21</v>
      </c>
      <c r="DG1266">
        <v>42</v>
      </c>
      <c r="DL1266">
        <v>50302</v>
      </c>
      <c r="DM1266" t="s">
        <v>12468</v>
      </c>
      <c r="DO1266" t="s">
        <v>12902</v>
      </c>
      <c r="DP1266">
        <v>0</v>
      </c>
      <c r="DQ1266">
        <v>1</v>
      </c>
      <c r="DR1266" t="s">
        <v>1479</v>
      </c>
      <c r="DS1266" t="b">
        <v>1</v>
      </c>
      <c r="DT1266" t="s">
        <v>470</v>
      </c>
      <c r="DU1266" t="s">
        <v>471</v>
      </c>
      <c r="DV1266" t="s">
        <v>472</v>
      </c>
      <c r="DX1266">
        <v>-9999</v>
      </c>
      <c r="DZ1266" t="s">
        <v>447</v>
      </c>
      <c r="EA1266" t="s">
        <v>448</v>
      </c>
      <c r="EB1266" t="s">
        <v>742</v>
      </c>
      <c r="EC1266">
        <v>20101217</v>
      </c>
      <c r="ED1266" t="s">
        <v>474</v>
      </c>
      <c r="EF1266">
        <v>-9999</v>
      </c>
      <c r="EG1266">
        <v>8775</v>
      </c>
      <c r="EI1266">
        <v>20160407</v>
      </c>
      <c r="EJ1266">
        <v>0</v>
      </c>
      <c r="EK1266">
        <v>0</v>
      </c>
      <c r="EP1266" t="s">
        <v>595</v>
      </c>
      <c r="EQ1266" t="s">
        <v>452</v>
      </c>
      <c r="ER1266">
        <v>2</v>
      </c>
      <c r="ES1266">
        <v>8</v>
      </c>
      <c r="ET1266">
        <v>1323.46</v>
      </c>
      <c r="EU1266">
        <v>78.67</v>
      </c>
      <c r="EV1266">
        <v>1402.13</v>
      </c>
      <c r="EW1266" s="2">
        <v>43222</v>
      </c>
      <c r="EX1266" s="1">
        <v>42879</v>
      </c>
      <c r="EY1266">
        <v>2016</v>
      </c>
      <c r="EZ1266">
        <v>661.73</v>
      </c>
      <c r="FA1266" t="s">
        <v>12903</v>
      </c>
      <c r="FB1266">
        <v>0.25</v>
      </c>
      <c r="FC1266" t="s">
        <v>424</v>
      </c>
      <c r="FD1266" t="s">
        <v>454</v>
      </c>
      <c r="FF1266">
        <v>12</v>
      </c>
      <c r="FG1266">
        <v>2851116</v>
      </c>
      <c r="FH1266" t="s">
        <v>480</v>
      </c>
      <c r="FJ1266" s="1">
        <v>42879</v>
      </c>
      <c r="FK1266">
        <v>2016</v>
      </c>
      <c r="FL1266">
        <v>661.73</v>
      </c>
      <c r="FM1266" t="s">
        <v>12903</v>
      </c>
      <c r="FN1266">
        <v>0.25</v>
      </c>
      <c r="FO1266" t="s">
        <v>424</v>
      </c>
      <c r="FP1266" t="s">
        <v>454</v>
      </c>
      <c r="FR1266">
        <v>12</v>
      </c>
      <c r="FS1266">
        <v>5006654</v>
      </c>
      <c r="FT1266" t="s">
        <v>12904</v>
      </c>
      <c r="FV1266" s="1">
        <v>42515</v>
      </c>
      <c r="FW1266">
        <v>2015</v>
      </c>
      <c r="FX1266">
        <v>642.41</v>
      </c>
      <c r="FY1266" t="s">
        <v>12905</v>
      </c>
      <c r="FZ1266">
        <v>0.25</v>
      </c>
      <c r="GA1266" t="s">
        <v>424</v>
      </c>
      <c r="GB1266" t="s">
        <v>425</v>
      </c>
      <c r="GC1266" s="1">
        <v>43215</v>
      </c>
      <c r="GD1266">
        <v>23</v>
      </c>
      <c r="GE1266">
        <v>2851116</v>
      </c>
      <c r="GF1266" t="s">
        <v>480</v>
      </c>
      <c r="GH1266" s="1">
        <v>42515</v>
      </c>
      <c r="GI1266">
        <v>2015</v>
      </c>
      <c r="GJ1266">
        <v>642.41</v>
      </c>
      <c r="GK1266" t="s">
        <v>12905</v>
      </c>
      <c r="GL1266">
        <v>0.25</v>
      </c>
      <c r="GM1266" t="s">
        <v>424</v>
      </c>
      <c r="GN1266" t="s">
        <v>425</v>
      </c>
      <c r="GP1266">
        <v>22</v>
      </c>
      <c r="GQ1266">
        <v>5703272</v>
      </c>
      <c r="GR1266" t="s">
        <v>12906</v>
      </c>
      <c r="GT1266" s="1">
        <v>42151</v>
      </c>
      <c r="GU1266">
        <v>2014</v>
      </c>
      <c r="GV1266">
        <v>587.65</v>
      </c>
      <c r="GW1266" t="s">
        <v>12907</v>
      </c>
      <c r="GX1266">
        <v>18</v>
      </c>
      <c r="GY1266" t="s">
        <v>424</v>
      </c>
      <c r="GZ1266" t="s">
        <v>425</v>
      </c>
      <c r="HB1266">
        <v>22</v>
      </c>
      <c r="HC1266">
        <v>10125</v>
      </c>
      <c r="HD1266" t="s">
        <v>440</v>
      </c>
      <c r="HE1266" t="s">
        <v>458</v>
      </c>
      <c r="HF1266" s="1">
        <v>41787</v>
      </c>
      <c r="HG1266">
        <v>2013</v>
      </c>
      <c r="HH1266">
        <v>478.3</v>
      </c>
      <c r="HI1266" t="s">
        <v>12908</v>
      </c>
      <c r="HJ1266">
        <v>9.75</v>
      </c>
      <c r="HK1266" t="s">
        <v>424</v>
      </c>
      <c r="HL1266" t="s">
        <v>425</v>
      </c>
      <c r="HN1266">
        <v>22</v>
      </c>
      <c r="HO1266">
        <v>10125</v>
      </c>
      <c r="HP1266" t="s">
        <v>440</v>
      </c>
      <c r="HQ1266" t="s">
        <v>458</v>
      </c>
      <c r="HR1266" s="1">
        <v>41423</v>
      </c>
      <c r="HS1266">
        <v>2012</v>
      </c>
      <c r="HT1266">
        <v>473.84</v>
      </c>
      <c r="HU1266" t="s">
        <v>12909</v>
      </c>
      <c r="HV1266">
        <v>3.5</v>
      </c>
      <c r="HW1266" t="s">
        <v>424</v>
      </c>
      <c r="HX1266" t="s">
        <v>425</v>
      </c>
      <c r="HZ1266">
        <v>22</v>
      </c>
      <c r="IA1266">
        <v>10125</v>
      </c>
      <c r="IB1266" t="s">
        <v>440</v>
      </c>
      <c r="IC1266" t="s">
        <v>458</v>
      </c>
      <c r="ID1266" s="1">
        <v>41052</v>
      </c>
      <c r="IE1266">
        <v>2011</v>
      </c>
      <c r="IF1266">
        <v>628.30999999999995</v>
      </c>
      <c r="IG1266" t="s">
        <v>12910</v>
      </c>
      <c r="IH1266">
        <v>18</v>
      </c>
      <c r="II1266" t="s">
        <v>424</v>
      </c>
      <c r="IJ1266" t="s">
        <v>425</v>
      </c>
      <c r="IK1266" s="1">
        <v>42256</v>
      </c>
      <c r="IL1266">
        <v>40</v>
      </c>
      <c r="IM1266">
        <v>14851</v>
      </c>
      <c r="IN1266" t="s">
        <v>4401</v>
      </c>
      <c r="IO1266" t="s">
        <v>458</v>
      </c>
      <c r="IP1266" s="1">
        <v>41052</v>
      </c>
      <c r="IQ1266">
        <v>2011</v>
      </c>
      <c r="IR1266">
        <v>603.94000000000005</v>
      </c>
      <c r="IS1266" t="s">
        <v>12910</v>
      </c>
      <c r="IT1266">
        <v>18</v>
      </c>
      <c r="IU1266" t="s">
        <v>603</v>
      </c>
      <c r="IV1266" t="s">
        <v>425</v>
      </c>
      <c r="IX1266">
        <v>22</v>
      </c>
      <c r="IY1266">
        <v>9999999</v>
      </c>
      <c r="IZ1266" t="s">
        <v>604</v>
      </c>
      <c r="JA1266" t="s">
        <v>458</v>
      </c>
      <c r="JB1266" s="1">
        <v>40688</v>
      </c>
      <c r="JC1266">
        <v>2010</v>
      </c>
      <c r="JD1266">
        <v>634.54</v>
      </c>
      <c r="JE1266" t="s">
        <v>12911</v>
      </c>
      <c r="JF1266">
        <v>5.75</v>
      </c>
      <c r="JG1266" t="s">
        <v>424</v>
      </c>
      <c r="JH1266" t="s">
        <v>425</v>
      </c>
      <c r="JI1266" s="1">
        <v>42062</v>
      </c>
      <c r="JJ1266">
        <v>45</v>
      </c>
      <c r="JK1266">
        <v>287</v>
      </c>
      <c r="JL1266" t="s">
        <v>572</v>
      </c>
    </row>
    <row r="1267" spans="1:296" x14ac:dyDescent="0.25">
      <c r="A1267">
        <v>16486274</v>
      </c>
      <c r="B1267">
        <v>1266</v>
      </c>
      <c r="C1267" t="s">
        <v>393</v>
      </c>
      <c r="D1267" t="s">
        <v>394</v>
      </c>
      <c r="F1267" t="str">
        <f>"42-2N-27-4350-0022-0000"</f>
        <v>42-2N-27-4350-0022-0000</v>
      </c>
      <c r="H1267" t="str">
        <f>"DAVIS MARVIN R EST C/O WESLEY R POOLE"</f>
        <v>DAVIS MARVIN R EST C/O WESLEY R POOLE</v>
      </c>
      <c r="I1267" t="str">
        <f>"303 CENTRE ST STE 200"</f>
        <v>303 CENTRE ST STE 200</v>
      </c>
      <c r="J1267" t="str">
        <f>"FERNANDINA BEACH FL 32034"</f>
        <v>FERNANDINA BEACH FL 32034</v>
      </c>
      <c r="K1267" t="str">
        <f>"86030 DUKE RD"</f>
        <v>86030 DUKE RD</v>
      </c>
      <c r="L1267" t="str">
        <f t="shared" si="414"/>
        <v>YULEE FL 32097</v>
      </c>
      <c r="M1267" t="str">
        <f>"LOT 22 PT OF OR 456 PG 203 JAMES D CARR SUB UNR"</f>
        <v>LOT 22 PT OF OR 456 PG 203 JAMES D CARR SUB UNR</v>
      </c>
      <c r="N1267" t="str">
        <f>""</f>
        <v/>
      </c>
      <c r="O1267" t="str">
        <f>"47572"</f>
        <v>47572</v>
      </c>
      <c r="P1267" t="str">
        <f t="shared" si="416"/>
        <v>2017</v>
      </c>
      <c r="Q1267" t="str">
        <f>""</f>
        <v/>
      </c>
      <c r="R1267" t="str">
        <f t="shared" si="426"/>
        <v>N</v>
      </c>
      <c r="S1267" t="str">
        <f>""</f>
        <v/>
      </c>
      <c r="T1267" t="str">
        <f>"819.44"</f>
        <v>819.44</v>
      </c>
      <c r="U1267" t="str">
        <f>"53775.00"</f>
        <v>53775.00</v>
      </c>
      <c r="V1267" t="str">
        <f>"53775.00"</f>
        <v>53775.00</v>
      </c>
      <c r="W1267" t="str">
        <f t="shared" si="418"/>
        <v>2017</v>
      </c>
      <c r="X1267" t="str">
        <f>"41.50"</f>
        <v>41.50</v>
      </c>
      <c r="Y1267" t="str">
        <f>"876.02"</f>
        <v>876.02</v>
      </c>
      <c r="Z1267" t="str">
        <f>""</f>
        <v/>
      </c>
      <c r="AA1267" t="str">
        <f>"54586.00"</f>
        <v>54586.00</v>
      </c>
      <c r="AB1267" t="str">
        <f t="shared" si="425"/>
        <v>Residential</v>
      </c>
      <c r="AC1267" t="str">
        <f t="shared" si="422"/>
        <v>0</v>
      </c>
      <c r="AD1267" t="str">
        <f t="shared" si="427"/>
        <v>4</v>
      </c>
      <c r="AE1267" t="str">
        <f t="shared" si="428"/>
        <v>WOOD (INCLUDE STEEL STUDS)</v>
      </c>
      <c r="AF1267" t="str">
        <f>"001"</f>
        <v>001</v>
      </c>
      <c r="AG1267" t="str">
        <f t="shared" si="424"/>
        <v>FL</v>
      </c>
      <c r="AH1267" t="str">
        <f>"8536.00"</f>
        <v>8536.00</v>
      </c>
      <c r="AI1267" t="str">
        <f>"15092.00"</f>
        <v>15092.00</v>
      </c>
      <c r="AJ1267" t="str">
        <f>"C55-000-588-1761-0"</f>
        <v>C55-000-588-1761-0</v>
      </c>
      <c r="AK1267" t="str">
        <f>"21472"</f>
        <v>21472</v>
      </c>
      <c r="AL1267">
        <v>5</v>
      </c>
      <c r="AM1267">
        <v>1443</v>
      </c>
      <c r="AN1267">
        <v>918.22</v>
      </c>
      <c r="AQ1267" t="s">
        <v>12912</v>
      </c>
      <c r="AR1267" t="s">
        <v>12912</v>
      </c>
      <c r="AS1267" t="s">
        <v>12912</v>
      </c>
      <c r="AU1267" t="s">
        <v>396</v>
      </c>
      <c r="AV1267">
        <v>2017</v>
      </c>
      <c r="AW1267" t="str">
        <f>"42-2N-27-4350-0022-0000 "</f>
        <v xml:space="preserve">42-2N-27-4350-0022-0000 </v>
      </c>
      <c r="AX1267">
        <v>86030</v>
      </c>
      <c r="AZ1267" t="s">
        <v>12900</v>
      </c>
      <c r="BA1267" t="s">
        <v>496</v>
      </c>
      <c r="BD1267" t="s">
        <v>2387</v>
      </c>
      <c r="BE1267" t="s">
        <v>393</v>
      </c>
      <c r="BF1267">
        <v>32097</v>
      </c>
      <c r="BG1267" t="s">
        <v>12913</v>
      </c>
      <c r="BH1267" t="s">
        <v>2388</v>
      </c>
      <c r="BI1267">
        <v>-81.602492460979903</v>
      </c>
      <c r="BJ1267">
        <v>30.6293339791089</v>
      </c>
      <c r="BK1267" t="s">
        <v>12861</v>
      </c>
      <c r="BL1267" t="s">
        <v>12862</v>
      </c>
      <c r="BM1267" t="s">
        <v>12863</v>
      </c>
      <c r="BN1267" t="s">
        <v>3983</v>
      </c>
      <c r="BO1267">
        <v>32034</v>
      </c>
      <c r="BP1267" t="s">
        <v>404</v>
      </c>
      <c r="BQ1267">
        <v>100</v>
      </c>
      <c r="BR1267" t="s">
        <v>514</v>
      </c>
      <c r="BS1267">
        <v>1001</v>
      </c>
      <c r="BT1267" t="s">
        <v>515</v>
      </c>
      <c r="BU1267">
        <v>880</v>
      </c>
      <c r="BV1267">
        <v>0</v>
      </c>
      <c r="BW1267">
        <v>8491</v>
      </c>
      <c r="BX1267" t="s">
        <v>407</v>
      </c>
      <c r="BY1267" t="s">
        <v>408</v>
      </c>
      <c r="BZ1267">
        <v>4</v>
      </c>
      <c r="CA1267">
        <v>1965</v>
      </c>
      <c r="CB1267">
        <v>1</v>
      </c>
      <c r="CC1267">
        <v>1</v>
      </c>
      <c r="CD1267">
        <v>2017</v>
      </c>
      <c r="CE1267">
        <v>15092</v>
      </c>
      <c r="CF1267">
        <v>39494</v>
      </c>
      <c r="CG1267">
        <v>54586</v>
      </c>
      <c r="CH1267">
        <v>2017</v>
      </c>
      <c r="CI1267">
        <v>15092</v>
      </c>
      <c r="CJ1267">
        <v>39494</v>
      </c>
      <c r="CK1267">
        <v>54586</v>
      </c>
      <c r="CL1267">
        <v>2017</v>
      </c>
      <c r="CM1267">
        <v>819.44</v>
      </c>
      <c r="CN1267" s="1">
        <v>31168</v>
      </c>
      <c r="CO1267">
        <v>16200</v>
      </c>
      <c r="CZ1267" s="1">
        <v>31168</v>
      </c>
      <c r="DD1267" t="s">
        <v>2387</v>
      </c>
      <c r="DF1267">
        <v>22</v>
      </c>
      <c r="DG1267">
        <v>42</v>
      </c>
      <c r="DL1267">
        <v>50302</v>
      </c>
      <c r="DM1267" t="s">
        <v>12468</v>
      </c>
      <c r="DO1267" t="s">
        <v>12914</v>
      </c>
      <c r="DP1267">
        <v>0</v>
      </c>
      <c r="DQ1267">
        <v>1</v>
      </c>
      <c r="DR1267" t="s">
        <v>411</v>
      </c>
      <c r="DS1267" t="b">
        <v>1</v>
      </c>
      <c r="DT1267" t="s">
        <v>470</v>
      </c>
      <c r="DU1267" t="s">
        <v>471</v>
      </c>
      <c r="DV1267" t="s">
        <v>472</v>
      </c>
      <c r="DX1267">
        <v>-9999</v>
      </c>
      <c r="DZ1267" t="s">
        <v>447</v>
      </c>
      <c r="EA1267" t="s">
        <v>448</v>
      </c>
      <c r="EB1267" t="s">
        <v>742</v>
      </c>
      <c r="EC1267">
        <v>20101217</v>
      </c>
      <c r="ED1267" t="s">
        <v>474</v>
      </c>
      <c r="EF1267">
        <v>-9999</v>
      </c>
      <c r="EG1267">
        <v>8731.1</v>
      </c>
      <c r="EI1267">
        <v>20160407</v>
      </c>
      <c r="EJ1267">
        <v>0</v>
      </c>
      <c r="EK1267">
        <v>0</v>
      </c>
      <c r="EP1267" t="s">
        <v>421</v>
      </c>
      <c r="EQ1267" t="s">
        <v>422</v>
      </c>
      <c r="ER1267">
        <v>2</v>
      </c>
      <c r="ES1267">
        <v>8</v>
      </c>
      <c r="ET1267">
        <v>1763.52</v>
      </c>
      <c r="EU1267">
        <v>100.68</v>
      </c>
      <c r="EV1267">
        <v>1864.2</v>
      </c>
      <c r="EW1267" s="2">
        <v>43222</v>
      </c>
      <c r="EX1267" s="1">
        <v>42879</v>
      </c>
      <c r="EY1267">
        <v>2016</v>
      </c>
      <c r="EZ1267">
        <v>881.76</v>
      </c>
      <c r="FA1267" t="s">
        <v>12915</v>
      </c>
      <c r="FB1267">
        <v>0.25</v>
      </c>
      <c r="FC1267" t="s">
        <v>424</v>
      </c>
      <c r="FD1267" t="s">
        <v>454</v>
      </c>
      <c r="FF1267">
        <v>12</v>
      </c>
      <c r="FG1267">
        <v>2851116</v>
      </c>
      <c r="FH1267" t="s">
        <v>480</v>
      </c>
      <c r="FJ1267" s="1">
        <v>42879</v>
      </c>
      <c r="FK1267">
        <v>2016</v>
      </c>
      <c r="FL1267">
        <v>881.76</v>
      </c>
      <c r="FM1267" t="s">
        <v>12915</v>
      </c>
      <c r="FN1267">
        <v>0.25</v>
      </c>
      <c r="FO1267" t="s">
        <v>424</v>
      </c>
      <c r="FP1267" t="s">
        <v>454</v>
      </c>
      <c r="FR1267">
        <v>12</v>
      </c>
      <c r="FS1267">
        <v>5342590</v>
      </c>
      <c r="FT1267" t="s">
        <v>12916</v>
      </c>
      <c r="FV1267" s="1">
        <v>42515</v>
      </c>
      <c r="FW1267">
        <v>2015</v>
      </c>
      <c r="FX1267">
        <v>859.02</v>
      </c>
      <c r="FY1267" t="s">
        <v>12917</v>
      </c>
      <c r="FZ1267">
        <v>18</v>
      </c>
      <c r="GA1267" t="s">
        <v>424</v>
      </c>
      <c r="GB1267" t="s">
        <v>425</v>
      </c>
      <c r="GC1267" s="1">
        <v>43215</v>
      </c>
      <c r="GD1267">
        <v>23</v>
      </c>
      <c r="GE1267">
        <v>10628</v>
      </c>
      <c r="GF1267" t="s">
        <v>943</v>
      </c>
      <c r="GH1267" s="1">
        <v>42151</v>
      </c>
      <c r="GI1267">
        <v>2014</v>
      </c>
      <c r="GJ1267">
        <v>785.8</v>
      </c>
      <c r="GK1267" t="s">
        <v>12918</v>
      </c>
      <c r="GL1267">
        <v>4.75</v>
      </c>
      <c r="GM1267" t="s">
        <v>424</v>
      </c>
      <c r="GN1267" t="s">
        <v>425</v>
      </c>
      <c r="GO1267" s="1">
        <v>42853</v>
      </c>
      <c r="GP1267">
        <v>23</v>
      </c>
      <c r="GQ1267">
        <v>4975593</v>
      </c>
      <c r="GR1267" t="s">
        <v>505</v>
      </c>
      <c r="GT1267" s="1">
        <v>41787</v>
      </c>
      <c r="GU1267">
        <v>2013</v>
      </c>
      <c r="GV1267">
        <v>594.59</v>
      </c>
      <c r="GW1267" t="s">
        <v>12919</v>
      </c>
      <c r="GX1267">
        <v>2.75</v>
      </c>
      <c r="GY1267" t="s">
        <v>424</v>
      </c>
      <c r="GZ1267" t="s">
        <v>425</v>
      </c>
      <c r="HA1267" s="1">
        <v>42580</v>
      </c>
      <c r="HB1267">
        <v>26</v>
      </c>
      <c r="HC1267">
        <v>10125</v>
      </c>
      <c r="HD1267" t="s">
        <v>440</v>
      </c>
      <c r="HF1267" s="1">
        <v>41423</v>
      </c>
      <c r="HG1267">
        <v>2012</v>
      </c>
      <c r="HH1267">
        <v>590.55999999999995</v>
      </c>
      <c r="HI1267" t="s">
        <v>12920</v>
      </c>
      <c r="HJ1267">
        <v>0.25</v>
      </c>
      <c r="HK1267" t="s">
        <v>424</v>
      </c>
      <c r="HL1267" t="s">
        <v>425</v>
      </c>
      <c r="HN1267">
        <v>22</v>
      </c>
      <c r="HO1267">
        <v>15399</v>
      </c>
      <c r="HP1267" t="s">
        <v>485</v>
      </c>
      <c r="HR1267" s="1">
        <v>41423</v>
      </c>
      <c r="HS1267">
        <v>2012</v>
      </c>
      <c r="HT1267">
        <v>590.55999999999995</v>
      </c>
      <c r="HU1267" t="s">
        <v>12920</v>
      </c>
      <c r="HV1267">
        <v>0.25</v>
      </c>
      <c r="HW1267" t="s">
        <v>424</v>
      </c>
      <c r="HX1267" t="s">
        <v>425</v>
      </c>
      <c r="HY1267" s="1">
        <v>42580</v>
      </c>
      <c r="HZ1267">
        <v>38</v>
      </c>
      <c r="IA1267">
        <v>13027</v>
      </c>
      <c r="IB1267" t="s">
        <v>826</v>
      </c>
      <c r="ID1267" s="1">
        <v>41052</v>
      </c>
      <c r="IE1267">
        <v>2011</v>
      </c>
      <c r="IF1267">
        <v>734.23</v>
      </c>
      <c r="IG1267" t="s">
        <v>12921</v>
      </c>
      <c r="IH1267">
        <v>4.75</v>
      </c>
      <c r="II1267" t="s">
        <v>424</v>
      </c>
      <c r="IJ1267" t="s">
        <v>425</v>
      </c>
      <c r="IL1267">
        <v>22</v>
      </c>
      <c r="IM1267">
        <v>1625515</v>
      </c>
      <c r="IN1267" t="s">
        <v>487</v>
      </c>
      <c r="IP1267" s="1">
        <v>41052</v>
      </c>
      <c r="IQ1267">
        <v>2011</v>
      </c>
      <c r="IR1267">
        <v>734.23</v>
      </c>
      <c r="IS1267" t="s">
        <v>12921</v>
      </c>
      <c r="IT1267">
        <v>4.75</v>
      </c>
      <c r="IU1267" t="s">
        <v>424</v>
      </c>
      <c r="IV1267" t="s">
        <v>425</v>
      </c>
      <c r="IX1267">
        <v>22</v>
      </c>
      <c r="IY1267">
        <v>10579</v>
      </c>
      <c r="IZ1267" t="s">
        <v>488</v>
      </c>
      <c r="JB1267" s="1">
        <v>41052</v>
      </c>
      <c r="JC1267">
        <v>2011</v>
      </c>
      <c r="JD1267">
        <v>734.23</v>
      </c>
      <c r="JE1267" t="s">
        <v>12921</v>
      </c>
      <c r="JF1267">
        <v>4.75</v>
      </c>
      <c r="JG1267" t="s">
        <v>424</v>
      </c>
      <c r="JH1267" t="s">
        <v>425</v>
      </c>
      <c r="JI1267" s="1">
        <v>42580</v>
      </c>
      <c r="JJ1267">
        <v>50</v>
      </c>
      <c r="JK1267">
        <v>7045068</v>
      </c>
      <c r="JL1267" t="s">
        <v>4968</v>
      </c>
    </row>
    <row r="1268" spans="1:296" x14ac:dyDescent="0.25">
      <c r="A1268">
        <v>16486275</v>
      </c>
      <c r="B1268">
        <v>1267</v>
      </c>
      <c r="C1268" t="s">
        <v>393</v>
      </c>
      <c r="D1268" t="s">
        <v>394</v>
      </c>
      <c r="F1268" t="str">
        <f>"42-2N-27-435H-0231-0000"</f>
        <v>42-2N-27-435H-0231-0000</v>
      </c>
      <c r="H1268" t="str">
        <f>"GUINN PATRICIA M"</f>
        <v>GUINN PATRICIA M</v>
      </c>
      <c r="I1268" t="str">
        <f>"P O BOX 1193"</f>
        <v>P O BOX 1193</v>
      </c>
      <c r="J1268" t="str">
        <f>"YULEE FL 32041"</f>
        <v>YULEE FL 32041</v>
      </c>
      <c r="K1268" t="str">
        <f>"86263 SAND HICKORY TRL"</f>
        <v>86263 SAND HICKORY TRL</v>
      </c>
      <c r="L1268" t="str">
        <f t="shared" si="414"/>
        <v>YULEE FL 32097</v>
      </c>
      <c r="M1268" t="str">
        <f>"LOT 231 IN OR 1529/749 HICKORY VILLAGE 4 PB 7/122"</f>
        <v>LOT 231 IN OR 1529/749 HICKORY VILLAGE 4 PB 7/122</v>
      </c>
      <c r="N1268" t="str">
        <f>""</f>
        <v/>
      </c>
      <c r="O1268" t="str">
        <f>"47821"</f>
        <v>47821</v>
      </c>
      <c r="P1268" t="str">
        <f t="shared" si="416"/>
        <v>2017</v>
      </c>
      <c r="Q1268" t="str">
        <f>""</f>
        <v/>
      </c>
      <c r="R1268" t="str">
        <f>"Y"</f>
        <v>Y</v>
      </c>
      <c r="S1268" t="str">
        <f>""</f>
        <v/>
      </c>
      <c r="T1268" t="str">
        <f>"2126.08"</f>
        <v>2126.08</v>
      </c>
      <c r="U1268" t="str">
        <f>"179543.00"</f>
        <v>179543.00</v>
      </c>
      <c r="V1268" t="str">
        <f>"179543.00"</f>
        <v>179543.00</v>
      </c>
      <c r="W1268" t="str">
        <f t="shared" si="418"/>
        <v>2017</v>
      </c>
      <c r="X1268" t="str">
        <f>""</f>
        <v/>
      </c>
      <c r="Y1268" t="str">
        <f>"2221.86"</f>
        <v>2221.86</v>
      </c>
      <c r="Z1268" t="str">
        <f>"25000.00"</f>
        <v>25000.00</v>
      </c>
      <c r="AA1268" t="str">
        <f>"154543.00"</f>
        <v>154543.00</v>
      </c>
      <c r="AB1268" t="str">
        <f t="shared" si="425"/>
        <v>Residential</v>
      </c>
      <c r="AC1268" t="str">
        <f t="shared" si="422"/>
        <v>0</v>
      </c>
      <c r="AD1268" t="str">
        <f t="shared" si="427"/>
        <v>4</v>
      </c>
      <c r="AE1268" t="str">
        <f t="shared" si="428"/>
        <v>WOOD (INCLUDE STEEL STUDS)</v>
      </c>
      <c r="AF1268" t="str">
        <f>"001"</f>
        <v>001</v>
      </c>
      <c r="AG1268" t="str">
        <f t="shared" si="424"/>
        <v>FL</v>
      </c>
      <c r="AH1268" t="str">
        <f>"-"</f>
        <v>-</v>
      </c>
      <c r="AI1268" t="str">
        <f>"30000.00"</f>
        <v>30000.00</v>
      </c>
      <c r="AJ1268" t="str">
        <f>"C55-000-969-8011-5"</f>
        <v>C55-000-969-8011-5</v>
      </c>
      <c r="AK1268" t="str">
        <f>"21436"</f>
        <v>21436</v>
      </c>
      <c r="AL1268">
        <v>5</v>
      </c>
      <c r="AM1268">
        <v>1444</v>
      </c>
      <c r="AN1268">
        <v>2331.35</v>
      </c>
      <c r="AQ1268" t="s">
        <v>12922</v>
      </c>
      <c r="AR1268" t="s">
        <v>12922</v>
      </c>
      <c r="AS1268" t="s">
        <v>12922</v>
      </c>
      <c r="AU1268" t="s">
        <v>396</v>
      </c>
      <c r="AV1268">
        <v>2017</v>
      </c>
      <c r="AW1268" t="str">
        <f>"42-2N-27-435H-0231-0000 "</f>
        <v xml:space="preserve">42-2N-27-435H-0231-0000 </v>
      </c>
      <c r="AX1268">
        <v>86263</v>
      </c>
      <c r="AZ1268" t="s">
        <v>12923</v>
      </c>
      <c r="BA1268" t="s">
        <v>2497</v>
      </c>
      <c r="BD1268" t="s">
        <v>2387</v>
      </c>
      <c r="BE1268" t="s">
        <v>393</v>
      </c>
      <c r="BF1268">
        <v>32097</v>
      </c>
      <c r="BG1268" t="s">
        <v>12924</v>
      </c>
      <c r="BH1268" t="s">
        <v>2388</v>
      </c>
      <c r="BI1268">
        <v>-81.582643196462101</v>
      </c>
      <c r="BJ1268">
        <v>30.613724969669899</v>
      </c>
      <c r="BK1268" t="s">
        <v>12925</v>
      </c>
      <c r="BL1268" t="s">
        <v>12926</v>
      </c>
      <c r="BM1268" t="s">
        <v>12924</v>
      </c>
      <c r="BN1268" t="s">
        <v>1778</v>
      </c>
      <c r="BO1268">
        <v>32097</v>
      </c>
      <c r="BP1268" t="s">
        <v>416</v>
      </c>
      <c r="BQ1268">
        <v>100</v>
      </c>
      <c r="BR1268" t="s">
        <v>514</v>
      </c>
      <c r="BS1268">
        <v>1001</v>
      </c>
      <c r="BT1268" t="s">
        <v>515</v>
      </c>
      <c r="BW1268">
        <v>9804</v>
      </c>
      <c r="BX1268" t="s">
        <v>407</v>
      </c>
      <c r="BZ1268">
        <v>4</v>
      </c>
      <c r="CA1268">
        <v>2007</v>
      </c>
      <c r="CB1268">
        <v>1</v>
      </c>
      <c r="CC1268">
        <v>1</v>
      </c>
      <c r="CD1268">
        <v>2017</v>
      </c>
      <c r="CG1268">
        <v>179543</v>
      </c>
      <c r="CH1268">
        <v>2017</v>
      </c>
      <c r="CI1268">
        <v>30000</v>
      </c>
      <c r="CJ1268">
        <v>181369</v>
      </c>
      <c r="CK1268">
        <v>211369</v>
      </c>
      <c r="CL1268">
        <v>2017</v>
      </c>
      <c r="CM1268">
        <v>2126.08</v>
      </c>
      <c r="CN1268" s="1">
        <v>39363</v>
      </c>
      <c r="CO1268">
        <v>265000</v>
      </c>
      <c r="CV1268">
        <v>135000</v>
      </c>
      <c r="CX1268" t="s">
        <v>5513</v>
      </c>
      <c r="CZ1268" s="1">
        <v>39363</v>
      </c>
      <c r="DA1268">
        <v>0</v>
      </c>
      <c r="DD1268" t="s">
        <v>2387</v>
      </c>
      <c r="DF1268">
        <v>231</v>
      </c>
      <c r="DG1268">
        <v>42</v>
      </c>
      <c r="DJ1268" t="s">
        <v>12927</v>
      </c>
      <c r="DL1268">
        <v>50302</v>
      </c>
      <c r="DM1268" t="s">
        <v>12468</v>
      </c>
      <c r="DO1268" t="s">
        <v>12928</v>
      </c>
      <c r="DP1268">
        <v>0</v>
      </c>
      <c r="DQ1268">
        <v>0</v>
      </c>
      <c r="DR1268" t="s">
        <v>411</v>
      </c>
    </row>
    <row r="1269" spans="1:296" x14ac:dyDescent="0.25">
      <c r="A1269">
        <v>16486276</v>
      </c>
      <c r="B1269">
        <v>1268</v>
      </c>
      <c r="C1269" t="s">
        <v>393</v>
      </c>
      <c r="D1269" t="s">
        <v>394</v>
      </c>
      <c r="F1269" t="str">
        <f>"42-2N-27-4360-0010-0000"</f>
        <v>42-2N-27-4360-0010-0000</v>
      </c>
      <c r="H1269" t="str">
        <f>"MYERS BONNIE FAYE"</f>
        <v>MYERS BONNIE FAYE</v>
      </c>
      <c r="I1269" t="str">
        <f>"85129 WINONA BAYVIEW RD"</f>
        <v>85129 WINONA BAYVIEW RD</v>
      </c>
      <c r="J1269" t="str">
        <f>"YULEE FL 32097"</f>
        <v>YULEE FL 32097</v>
      </c>
      <c r="K1269" t="str">
        <f>"85129 WINONA BAYVIEW RD"</f>
        <v>85129 WINONA BAYVIEW RD</v>
      </c>
      <c r="L1269" t="str">
        <f t="shared" si="414"/>
        <v>YULEE FL 32097</v>
      </c>
      <c r="M1269" t="str">
        <f>"LOT 10 &amp; S65 OF LOT 12 PT OR 703 PG 240 COUNCIL PARK SUB PB 3/42"</f>
        <v>LOT 10 &amp; S65 OF LOT 12 PT OR 703 PG 240 COUNCIL PARK SUB PB 3/42</v>
      </c>
      <c r="N1269" t="str">
        <f>""</f>
        <v/>
      </c>
      <c r="O1269" t="str">
        <f>"47852"</f>
        <v>47852</v>
      </c>
      <c r="P1269" t="str">
        <f t="shared" si="416"/>
        <v>2017</v>
      </c>
      <c r="Q1269" t="str">
        <f>""</f>
        <v/>
      </c>
      <c r="R1269" t="str">
        <f>"Y"</f>
        <v>Y</v>
      </c>
      <c r="S1269" t="str">
        <f>""</f>
        <v/>
      </c>
      <c r="T1269" t="str">
        <f>"475.18"</f>
        <v>475.18</v>
      </c>
      <c r="U1269" t="str">
        <f>"64656.00"</f>
        <v>64656.00</v>
      </c>
      <c r="V1269" t="str">
        <f>"64656.00"</f>
        <v>64656.00</v>
      </c>
      <c r="W1269" t="str">
        <f t="shared" si="418"/>
        <v>2017</v>
      </c>
      <c r="X1269" t="str">
        <f>"7.40"</f>
        <v>7.40</v>
      </c>
      <c r="Y1269" t="str">
        <f>"521.44"</f>
        <v>521.44</v>
      </c>
      <c r="Z1269" t="str">
        <f>"25000.00"</f>
        <v>25000.00</v>
      </c>
      <c r="AA1269" t="str">
        <f>"39656.00"</f>
        <v>39656.00</v>
      </c>
      <c r="AB1269" t="str">
        <f t="shared" si="425"/>
        <v>Residential</v>
      </c>
      <c r="AC1269" t="str">
        <f t="shared" si="422"/>
        <v>0</v>
      </c>
      <c r="AD1269" t="str">
        <f t="shared" si="427"/>
        <v>4</v>
      </c>
      <c r="AE1269" t="str">
        <f t="shared" si="428"/>
        <v>WOOD (INCLUDE STEEL STUDS)</v>
      </c>
      <c r="AF1269" t="str">
        <f>"001"</f>
        <v>001</v>
      </c>
      <c r="AG1269" t="str">
        <f t="shared" si="424"/>
        <v>FL</v>
      </c>
      <c r="AH1269" t="str">
        <f>"19000.00"</f>
        <v>19000.00</v>
      </c>
      <c r="AI1269" t="str">
        <f>"24897.00"</f>
        <v>24897.00</v>
      </c>
      <c r="AJ1269" t="str">
        <f>"C55-000-588-1780-0"</f>
        <v>C55-000-588-1780-0</v>
      </c>
      <c r="AK1269" t="str">
        <f>"21488"</f>
        <v>21488</v>
      </c>
      <c r="AL1269">
        <v>5</v>
      </c>
      <c r="AM1269">
        <v>1445</v>
      </c>
      <c r="AN1269">
        <v>545.91</v>
      </c>
      <c r="AQ1269" t="s">
        <v>12929</v>
      </c>
      <c r="AR1269" t="s">
        <v>12929</v>
      </c>
      <c r="AS1269" t="s">
        <v>12929</v>
      </c>
      <c r="AU1269" t="s">
        <v>396</v>
      </c>
      <c r="AV1269">
        <v>2017</v>
      </c>
      <c r="AW1269" t="str">
        <f>"42-2N-27-4360-0010-0000 "</f>
        <v xml:space="preserve">42-2N-27-4360-0010-0000 </v>
      </c>
      <c r="AX1269">
        <v>85129</v>
      </c>
      <c r="AZ1269" t="s">
        <v>12930</v>
      </c>
      <c r="BA1269" t="s">
        <v>496</v>
      </c>
      <c r="BD1269" t="s">
        <v>2387</v>
      </c>
      <c r="BE1269" t="s">
        <v>393</v>
      </c>
      <c r="BF1269">
        <v>32097</v>
      </c>
      <c r="BG1269" t="s">
        <v>12931</v>
      </c>
      <c r="BH1269" t="s">
        <v>2388</v>
      </c>
      <c r="BI1269">
        <v>-81.595459054012807</v>
      </c>
      <c r="BJ1269">
        <v>30.599223103552301</v>
      </c>
      <c r="BK1269" t="s">
        <v>12932</v>
      </c>
      <c r="BM1269" t="s">
        <v>12931</v>
      </c>
      <c r="BN1269" t="s">
        <v>1778</v>
      </c>
      <c r="BO1269">
        <v>32097</v>
      </c>
      <c r="BP1269" t="s">
        <v>416</v>
      </c>
      <c r="BQ1269">
        <v>100</v>
      </c>
      <c r="BR1269" t="s">
        <v>514</v>
      </c>
      <c r="BS1269">
        <v>1001</v>
      </c>
      <c r="BT1269" t="s">
        <v>515</v>
      </c>
      <c r="BU1269">
        <v>1900</v>
      </c>
      <c r="BV1269">
        <v>1000</v>
      </c>
      <c r="BW1269">
        <v>19000</v>
      </c>
      <c r="BX1269" t="s">
        <v>407</v>
      </c>
      <c r="BY1269" t="s">
        <v>4360</v>
      </c>
      <c r="BZ1269">
        <v>4</v>
      </c>
      <c r="CA1269">
        <v>1940</v>
      </c>
      <c r="CB1269">
        <v>1</v>
      </c>
      <c r="CC1269">
        <v>1</v>
      </c>
      <c r="CD1269">
        <v>2017</v>
      </c>
      <c r="CG1269">
        <v>64656</v>
      </c>
      <c r="CH1269">
        <v>2017</v>
      </c>
      <c r="CI1269">
        <v>24897</v>
      </c>
      <c r="CJ1269">
        <v>42179</v>
      </c>
      <c r="CK1269">
        <v>67076</v>
      </c>
      <c r="CL1269">
        <v>2017</v>
      </c>
      <c r="CM1269">
        <v>475.18</v>
      </c>
      <c r="CN1269" s="1">
        <v>34450</v>
      </c>
      <c r="CO1269">
        <v>3000</v>
      </c>
      <c r="CZ1269" s="1">
        <v>34450</v>
      </c>
      <c r="DD1269" t="s">
        <v>2387</v>
      </c>
      <c r="DF1269">
        <v>10</v>
      </c>
      <c r="DG1269">
        <v>42</v>
      </c>
      <c r="DJ1269" t="s">
        <v>12933</v>
      </c>
      <c r="DL1269">
        <v>50302</v>
      </c>
      <c r="DM1269" t="s">
        <v>12468</v>
      </c>
      <c r="DO1269" t="s">
        <v>12934</v>
      </c>
      <c r="DP1269">
        <v>0</v>
      </c>
      <c r="DQ1269">
        <v>0</v>
      </c>
      <c r="DR1269" t="s">
        <v>411</v>
      </c>
      <c r="DS1269" t="b">
        <v>1</v>
      </c>
      <c r="DT1269" t="s">
        <v>470</v>
      </c>
      <c r="DU1269" t="s">
        <v>471</v>
      </c>
      <c r="DV1269" t="s">
        <v>472</v>
      </c>
      <c r="DX1269">
        <v>-9999</v>
      </c>
      <c r="DZ1269" t="s">
        <v>447</v>
      </c>
      <c r="EA1269" t="s">
        <v>448</v>
      </c>
      <c r="EB1269" t="s">
        <v>742</v>
      </c>
      <c r="EC1269">
        <v>20101217</v>
      </c>
      <c r="ED1269" t="s">
        <v>474</v>
      </c>
      <c r="EF1269">
        <v>1910.2</v>
      </c>
      <c r="EG1269">
        <v>1896</v>
      </c>
      <c r="EI1269">
        <v>20160407</v>
      </c>
      <c r="EJ1269">
        <v>0</v>
      </c>
      <c r="EK1269">
        <v>0</v>
      </c>
      <c r="EP1269" t="s">
        <v>595</v>
      </c>
      <c r="EQ1269" t="s">
        <v>422</v>
      </c>
      <c r="ER1269">
        <v>0</v>
      </c>
      <c r="ES1269">
        <v>7</v>
      </c>
      <c r="ET1269">
        <v>0</v>
      </c>
      <c r="EU1269">
        <v>0</v>
      </c>
      <c r="EV1269">
        <v>0</v>
      </c>
      <c r="EW1269" s="2">
        <v>43222</v>
      </c>
      <c r="EX1269" s="1">
        <v>42879</v>
      </c>
      <c r="EY1269">
        <v>2016</v>
      </c>
      <c r="EZ1269">
        <v>539.97</v>
      </c>
      <c r="FA1269" t="s">
        <v>12935</v>
      </c>
      <c r="FB1269">
        <v>0.25</v>
      </c>
      <c r="FC1269" t="s">
        <v>424</v>
      </c>
      <c r="FD1269" t="s">
        <v>425</v>
      </c>
      <c r="FE1269" s="1">
        <v>43195</v>
      </c>
      <c r="FF1269">
        <v>11</v>
      </c>
      <c r="FG1269">
        <v>2851116</v>
      </c>
      <c r="FH1269" t="s">
        <v>480</v>
      </c>
      <c r="FJ1269" s="1">
        <v>42879</v>
      </c>
      <c r="FK1269">
        <v>2016</v>
      </c>
      <c r="FL1269">
        <v>539.97</v>
      </c>
      <c r="FM1269" t="s">
        <v>12935</v>
      </c>
      <c r="FN1269">
        <v>0.25</v>
      </c>
      <c r="FO1269" t="s">
        <v>424</v>
      </c>
      <c r="FP1269" t="s">
        <v>425</v>
      </c>
      <c r="FR1269">
        <v>22</v>
      </c>
      <c r="FS1269">
        <v>4917336</v>
      </c>
      <c r="FT1269" t="s">
        <v>12936</v>
      </c>
      <c r="FV1269" s="1">
        <v>42515</v>
      </c>
      <c r="FW1269">
        <v>2015</v>
      </c>
      <c r="FX1269">
        <v>551.41</v>
      </c>
      <c r="FY1269" t="s">
        <v>12937</v>
      </c>
      <c r="FZ1269">
        <v>0.25</v>
      </c>
      <c r="GA1269" t="s">
        <v>424</v>
      </c>
      <c r="GB1269" t="s">
        <v>425</v>
      </c>
      <c r="GC1269" s="1">
        <v>42543</v>
      </c>
      <c r="GD1269">
        <v>1</v>
      </c>
      <c r="GE1269">
        <v>2851116</v>
      </c>
      <c r="GF1269" t="s">
        <v>480</v>
      </c>
      <c r="GH1269" s="1">
        <v>42515</v>
      </c>
      <c r="GI1269">
        <v>2015</v>
      </c>
      <c r="GJ1269">
        <v>551.41</v>
      </c>
      <c r="GK1269" t="s">
        <v>12937</v>
      </c>
      <c r="GL1269">
        <v>0.25</v>
      </c>
      <c r="GM1269" t="s">
        <v>424</v>
      </c>
      <c r="GN1269" t="s">
        <v>425</v>
      </c>
      <c r="GP1269">
        <v>22</v>
      </c>
      <c r="GQ1269">
        <v>4900308</v>
      </c>
      <c r="GR1269" t="s">
        <v>12938</v>
      </c>
      <c r="GT1269" s="1">
        <v>42151</v>
      </c>
      <c r="GU1269">
        <v>2014</v>
      </c>
      <c r="GV1269">
        <v>171.45</v>
      </c>
      <c r="GW1269" t="s">
        <v>12939</v>
      </c>
      <c r="GX1269">
        <v>18</v>
      </c>
      <c r="GY1269" t="s">
        <v>603</v>
      </c>
      <c r="GZ1269" t="s">
        <v>425</v>
      </c>
      <c r="HA1269" s="1">
        <v>42214</v>
      </c>
      <c r="HB1269">
        <v>2</v>
      </c>
      <c r="HC1269">
        <v>9999999</v>
      </c>
      <c r="HD1269" t="s">
        <v>604</v>
      </c>
      <c r="HF1269" s="1">
        <v>41423</v>
      </c>
      <c r="HG1269">
        <v>2012</v>
      </c>
      <c r="HH1269">
        <v>141.12</v>
      </c>
      <c r="HI1269" t="s">
        <v>12940</v>
      </c>
      <c r="HJ1269">
        <v>18</v>
      </c>
      <c r="HK1269" t="s">
        <v>603</v>
      </c>
      <c r="HL1269" t="s">
        <v>425</v>
      </c>
      <c r="HM1269" s="1">
        <v>41780</v>
      </c>
      <c r="HN1269">
        <v>12</v>
      </c>
      <c r="HO1269">
        <v>9999999</v>
      </c>
      <c r="HP1269" t="s">
        <v>604</v>
      </c>
      <c r="HR1269" s="1">
        <v>40688</v>
      </c>
      <c r="HS1269">
        <v>2010</v>
      </c>
      <c r="HT1269">
        <v>111.37</v>
      </c>
      <c r="HU1269" t="s">
        <v>12941</v>
      </c>
      <c r="HV1269">
        <v>6.75</v>
      </c>
      <c r="HW1269" t="s">
        <v>424</v>
      </c>
      <c r="HX1269" t="s">
        <v>425</v>
      </c>
      <c r="HY1269" s="1">
        <v>41015</v>
      </c>
      <c r="HZ1269">
        <v>11</v>
      </c>
      <c r="IA1269">
        <v>105</v>
      </c>
      <c r="IB1269" t="s">
        <v>946</v>
      </c>
    </row>
    <row r="1270" spans="1:296" x14ac:dyDescent="0.25">
      <c r="A1270">
        <v>16486277</v>
      </c>
      <c r="B1270">
        <v>1269</v>
      </c>
      <c r="C1270" t="s">
        <v>393</v>
      </c>
      <c r="D1270" t="s">
        <v>394</v>
      </c>
      <c r="F1270" t="str">
        <f>"42-2N-27-437S-0007-0000"</f>
        <v>42-2N-27-437S-0007-0000</v>
      </c>
      <c r="H1270" t="str">
        <f>"DONALDSON CAROLYN R"</f>
        <v>DONALDSON CAROLYN R</v>
      </c>
      <c r="I1270" t="str">
        <f>"85205 WINONA BAYVIEW RD"</f>
        <v>85205 WINONA BAYVIEW RD</v>
      </c>
      <c r="J1270" t="str">
        <f>"YULEE FL 32097"</f>
        <v>YULEE FL 32097</v>
      </c>
      <c r="K1270" t="str">
        <f>"85205 WINONA BAYVIEW RD"</f>
        <v>85205 WINONA BAYVIEW RD</v>
      </c>
      <c r="L1270" t="str">
        <f t="shared" si="414"/>
        <v>YULEE FL 32097</v>
      </c>
      <c r="M1270" t="str">
        <f>"LOT 7 IN OR 940/1022 32620145LA &amp; 326201452B STEVENS LANDING SUB PB 6/116"</f>
        <v>LOT 7 IN OR 940/1022 32620145LA &amp; 326201452B STEVENS LANDING SUB PB 6/116</v>
      </c>
      <c r="N1270" t="str">
        <f>""</f>
        <v/>
      </c>
      <c r="O1270" t="str">
        <f>"48180"</f>
        <v>48180</v>
      </c>
      <c r="P1270" t="str">
        <f t="shared" si="416"/>
        <v>2017</v>
      </c>
      <c r="Q1270" t="str">
        <f>""</f>
        <v/>
      </c>
      <c r="R1270" t="str">
        <f>"Y"</f>
        <v>Y</v>
      </c>
      <c r="S1270" t="str">
        <f>""</f>
        <v/>
      </c>
      <c r="T1270" t="str">
        <f>"416.10"</f>
        <v>416.10</v>
      </c>
      <c r="U1270" t="str">
        <f>"55702.00"</f>
        <v>55702.00</v>
      </c>
      <c r="V1270" t="str">
        <f>"55702.00"</f>
        <v>55702.00</v>
      </c>
      <c r="W1270" t="str">
        <f t="shared" si="418"/>
        <v>2017</v>
      </c>
      <c r="X1270" t="str">
        <f>"18.29"</f>
        <v>18.29</v>
      </c>
      <c r="Y1270" t="str">
        <f>"460.58"</f>
        <v>460.58</v>
      </c>
      <c r="Z1270" t="str">
        <f>"25000.00"</f>
        <v>25000.00</v>
      </c>
      <c r="AA1270" t="str">
        <f>"30702.00"</f>
        <v>30702.00</v>
      </c>
      <c r="AB1270" t="str">
        <f t="shared" si="425"/>
        <v>Residential</v>
      </c>
      <c r="AC1270" t="str">
        <f t="shared" si="422"/>
        <v>0</v>
      </c>
      <c r="AD1270" t="str">
        <f t="shared" si="427"/>
        <v>4</v>
      </c>
      <c r="AE1270" t="str">
        <f t="shared" si="428"/>
        <v>WOOD (INCLUDE STEEL STUDS)</v>
      </c>
      <c r="AF1270" t="str">
        <f>"002"</f>
        <v>002</v>
      </c>
      <c r="AG1270" t="str">
        <f t="shared" si="424"/>
        <v>FL</v>
      </c>
      <c r="AH1270" t="str">
        <f>"-"</f>
        <v>-</v>
      </c>
      <c r="AI1270" t="str">
        <f>"25000.00"</f>
        <v>25000.00</v>
      </c>
      <c r="AJ1270" t="str">
        <f>"C55-000-588-1797-4"</f>
        <v>C55-000-588-1797-4</v>
      </c>
      <c r="AK1270" t="str">
        <f>"21506"</f>
        <v>21506</v>
      </c>
      <c r="AL1270">
        <v>5</v>
      </c>
      <c r="AM1270">
        <v>1446</v>
      </c>
      <c r="AN1270">
        <v>482.01</v>
      </c>
      <c r="AQ1270" t="s">
        <v>12942</v>
      </c>
      <c r="AR1270" t="s">
        <v>12942</v>
      </c>
      <c r="AS1270" t="s">
        <v>12942</v>
      </c>
      <c r="AU1270" t="s">
        <v>396</v>
      </c>
      <c r="AV1270">
        <v>2017</v>
      </c>
      <c r="AW1270" t="str">
        <f>"42-2N-27-437S-0007-0000 "</f>
        <v xml:space="preserve">42-2N-27-437S-0007-0000 </v>
      </c>
      <c r="AX1270">
        <v>85205</v>
      </c>
      <c r="AZ1270" t="s">
        <v>12930</v>
      </c>
      <c r="BA1270" t="s">
        <v>496</v>
      </c>
      <c r="BD1270" t="s">
        <v>2387</v>
      </c>
      <c r="BE1270" t="s">
        <v>393</v>
      </c>
      <c r="BF1270">
        <v>32097</v>
      </c>
      <c r="BG1270" t="s">
        <v>12943</v>
      </c>
      <c r="BH1270" t="s">
        <v>2388</v>
      </c>
      <c r="BI1270">
        <v>-81.596580357861399</v>
      </c>
      <c r="BJ1270">
        <v>30.600058642490001</v>
      </c>
      <c r="BK1270" t="s">
        <v>12944</v>
      </c>
      <c r="BM1270" t="s">
        <v>12943</v>
      </c>
      <c r="BN1270" t="s">
        <v>1778</v>
      </c>
      <c r="BO1270">
        <v>32097</v>
      </c>
      <c r="BP1270" t="s">
        <v>416</v>
      </c>
      <c r="BQ1270">
        <v>200</v>
      </c>
      <c r="BR1270" t="s">
        <v>405</v>
      </c>
      <c r="BS1270">
        <v>1006</v>
      </c>
      <c r="BT1270" t="s">
        <v>406</v>
      </c>
      <c r="BW1270">
        <v>32051</v>
      </c>
      <c r="BX1270" t="s">
        <v>407</v>
      </c>
      <c r="BZ1270">
        <v>4</v>
      </c>
      <c r="CA1270">
        <v>1999</v>
      </c>
      <c r="CB1270">
        <v>1</v>
      </c>
      <c r="CC1270">
        <v>1</v>
      </c>
      <c r="CD1270">
        <v>2017</v>
      </c>
      <c r="CG1270">
        <v>55702</v>
      </c>
      <c r="CH1270">
        <v>2017</v>
      </c>
      <c r="CI1270">
        <v>25000</v>
      </c>
      <c r="CJ1270">
        <v>40000</v>
      </c>
      <c r="CK1270">
        <v>65000</v>
      </c>
      <c r="CL1270">
        <v>2017</v>
      </c>
      <c r="CM1270">
        <v>416.1</v>
      </c>
      <c r="CN1270" s="1">
        <v>36720</v>
      </c>
      <c r="CO1270">
        <v>25900</v>
      </c>
      <c r="CV1270">
        <v>69215</v>
      </c>
      <c r="CZ1270" s="1">
        <v>36720</v>
      </c>
      <c r="DA1270">
        <v>0</v>
      </c>
      <c r="DD1270" t="s">
        <v>2387</v>
      </c>
      <c r="DF1270">
        <v>7</v>
      </c>
      <c r="DG1270">
        <v>42</v>
      </c>
      <c r="DL1270">
        <v>50302</v>
      </c>
      <c r="DM1270" t="s">
        <v>12468</v>
      </c>
      <c r="DO1270" t="s">
        <v>12945</v>
      </c>
      <c r="DP1270">
        <v>0</v>
      </c>
      <c r="DQ1270">
        <v>0</v>
      </c>
      <c r="DR1270" t="s">
        <v>411</v>
      </c>
      <c r="DS1270" t="b">
        <v>1</v>
      </c>
      <c r="DT1270" t="s">
        <v>470</v>
      </c>
      <c r="DU1270" t="s">
        <v>471</v>
      </c>
      <c r="DV1270" t="s">
        <v>472</v>
      </c>
      <c r="DX1270">
        <v>-9999</v>
      </c>
      <c r="DZ1270" t="s">
        <v>447</v>
      </c>
      <c r="EA1270" t="s">
        <v>448</v>
      </c>
      <c r="EB1270" t="s">
        <v>742</v>
      </c>
      <c r="EC1270">
        <v>20101217</v>
      </c>
      <c r="ED1270" t="s">
        <v>474</v>
      </c>
      <c r="EF1270">
        <v>1943.8</v>
      </c>
      <c r="EG1270">
        <v>1930.6</v>
      </c>
      <c r="EI1270">
        <v>20160407</v>
      </c>
      <c r="EJ1270">
        <v>0</v>
      </c>
      <c r="EK1270">
        <v>0</v>
      </c>
      <c r="EP1270" t="s">
        <v>421</v>
      </c>
      <c r="EQ1270" t="s">
        <v>422</v>
      </c>
      <c r="ER1270">
        <v>2</v>
      </c>
      <c r="ES1270">
        <v>7</v>
      </c>
      <c r="ET1270">
        <v>951.08</v>
      </c>
      <c r="EU1270">
        <v>60.05</v>
      </c>
      <c r="EV1270">
        <v>1011.13</v>
      </c>
      <c r="EW1270" s="2">
        <v>43222</v>
      </c>
      <c r="EX1270" s="1">
        <v>42879</v>
      </c>
      <c r="EY1270">
        <v>2016</v>
      </c>
      <c r="EZ1270">
        <v>475.54</v>
      </c>
      <c r="FA1270" t="s">
        <v>12946</v>
      </c>
      <c r="FB1270">
        <v>0.25</v>
      </c>
      <c r="FC1270" t="s">
        <v>424</v>
      </c>
      <c r="FD1270" t="s">
        <v>454</v>
      </c>
      <c r="FF1270">
        <v>12</v>
      </c>
      <c r="FG1270">
        <v>7336671</v>
      </c>
      <c r="FH1270" t="s">
        <v>437</v>
      </c>
      <c r="FJ1270" s="1">
        <v>42879</v>
      </c>
      <c r="FK1270">
        <v>2016</v>
      </c>
      <c r="FL1270">
        <v>475.54</v>
      </c>
      <c r="FM1270" t="s">
        <v>12946</v>
      </c>
      <c r="FN1270">
        <v>0.25</v>
      </c>
      <c r="FO1270" t="s">
        <v>424</v>
      </c>
      <c r="FP1270" t="s">
        <v>454</v>
      </c>
      <c r="FR1270">
        <v>12</v>
      </c>
      <c r="FS1270">
        <v>5171583</v>
      </c>
      <c r="FT1270" t="s">
        <v>12947</v>
      </c>
      <c r="FV1270" s="1">
        <v>42515</v>
      </c>
      <c r="FW1270">
        <v>2015</v>
      </c>
      <c r="FX1270">
        <v>479.45</v>
      </c>
      <c r="FY1270" t="s">
        <v>12948</v>
      </c>
      <c r="FZ1270">
        <v>0.25</v>
      </c>
      <c r="GA1270" t="s">
        <v>424</v>
      </c>
      <c r="GB1270" t="s">
        <v>425</v>
      </c>
      <c r="GC1270" s="1">
        <v>43143</v>
      </c>
      <c r="GD1270">
        <v>21</v>
      </c>
      <c r="GE1270">
        <v>7336671</v>
      </c>
      <c r="GF1270" t="s">
        <v>437</v>
      </c>
      <c r="GH1270" s="1">
        <v>42515</v>
      </c>
      <c r="GI1270">
        <v>2015</v>
      </c>
      <c r="GJ1270">
        <v>479.45</v>
      </c>
      <c r="GK1270" t="s">
        <v>12948</v>
      </c>
      <c r="GL1270">
        <v>0.25</v>
      </c>
      <c r="GM1270" t="s">
        <v>424</v>
      </c>
      <c r="GN1270" t="s">
        <v>425</v>
      </c>
      <c r="GP1270">
        <v>22</v>
      </c>
      <c r="GQ1270">
        <v>7040904</v>
      </c>
      <c r="GR1270" t="s">
        <v>12949</v>
      </c>
      <c r="GT1270" s="1">
        <v>42151</v>
      </c>
      <c r="GU1270">
        <v>2014</v>
      </c>
      <c r="GV1270">
        <v>502.59</v>
      </c>
      <c r="GW1270" t="s">
        <v>12950</v>
      </c>
      <c r="GX1270">
        <v>0.25</v>
      </c>
      <c r="GY1270" t="s">
        <v>424</v>
      </c>
      <c r="GZ1270" t="s">
        <v>425</v>
      </c>
      <c r="HA1270" s="1">
        <v>42780</v>
      </c>
      <c r="HB1270">
        <v>21</v>
      </c>
      <c r="HC1270">
        <v>2851116</v>
      </c>
      <c r="HD1270" t="s">
        <v>480</v>
      </c>
      <c r="HF1270" s="1">
        <v>42151</v>
      </c>
      <c r="HG1270">
        <v>2014</v>
      </c>
      <c r="HH1270">
        <v>502.59</v>
      </c>
      <c r="HI1270" t="s">
        <v>12950</v>
      </c>
      <c r="HJ1270">
        <v>0.25</v>
      </c>
      <c r="HK1270" t="s">
        <v>424</v>
      </c>
      <c r="HL1270" t="s">
        <v>425</v>
      </c>
      <c r="HN1270">
        <v>22</v>
      </c>
      <c r="HO1270">
        <v>5399949</v>
      </c>
      <c r="HP1270" t="s">
        <v>12951</v>
      </c>
      <c r="HR1270" s="1">
        <v>41787</v>
      </c>
      <c r="HS1270">
        <v>2013</v>
      </c>
      <c r="HT1270">
        <v>506.98</v>
      </c>
      <c r="HU1270" t="s">
        <v>12952</v>
      </c>
      <c r="HV1270">
        <v>0.25</v>
      </c>
      <c r="HW1270" t="s">
        <v>424</v>
      </c>
      <c r="HX1270" t="s">
        <v>425</v>
      </c>
      <c r="HY1270" s="1">
        <v>42346</v>
      </c>
      <c r="HZ1270">
        <v>19</v>
      </c>
      <c r="IA1270">
        <v>2407503</v>
      </c>
      <c r="IB1270" t="s">
        <v>461</v>
      </c>
      <c r="ID1270" s="1">
        <v>41423</v>
      </c>
      <c r="IE1270">
        <v>2012</v>
      </c>
      <c r="IF1270">
        <v>532.01</v>
      </c>
      <c r="IG1270" t="s">
        <v>12953</v>
      </c>
      <c r="IH1270">
        <v>0.25</v>
      </c>
      <c r="II1270" t="s">
        <v>424</v>
      </c>
      <c r="IJ1270" t="s">
        <v>425</v>
      </c>
      <c r="IK1270" s="1">
        <v>42045</v>
      </c>
      <c r="IL1270">
        <v>21</v>
      </c>
      <c r="IM1270">
        <v>10125</v>
      </c>
      <c r="IN1270" t="s">
        <v>440</v>
      </c>
      <c r="IP1270" s="1">
        <v>40688</v>
      </c>
      <c r="IQ1270">
        <v>2010</v>
      </c>
      <c r="IR1270">
        <v>567.9</v>
      </c>
      <c r="IS1270" t="s">
        <v>12954</v>
      </c>
      <c r="IT1270">
        <v>7.5</v>
      </c>
      <c r="IU1270" t="s">
        <v>424</v>
      </c>
      <c r="IV1270" t="s">
        <v>425</v>
      </c>
      <c r="IW1270" s="1">
        <v>40970</v>
      </c>
      <c r="IX1270">
        <v>10</v>
      </c>
      <c r="IY1270">
        <v>11302</v>
      </c>
      <c r="IZ1270" t="s">
        <v>3940</v>
      </c>
    </row>
    <row r="1271" spans="1:296" x14ac:dyDescent="0.25">
      <c r="A1271">
        <v>16486278</v>
      </c>
      <c r="B1271">
        <v>1270</v>
      </c>
      <c r="C1271" t="s">
        <v>393</v>
      </c>
      <c r="D1271" t="s">
        <v>394</v>
      </c>
      <c r="F1271" t="str">
        <f>"42-2N-27-4380-0001-0010"</f>
        <v>42-2N-27-4380-0001-0010</v>
      </c>
      <c r="H1271" t="str">
        <f>"LASSERRE CURTISS H TRUSTEE OF CURTISS H LASSERRE REVOCABLE LIVING TRUST"</f>
        <v>LASSERRE CURTISS H TRUSTEE OF CURTISS H LASSERRE REVOCABLE LIVING TRUST</v>
      </c>
      <c r="I1271" t="str">
        <f>""</f>
        <v/>
      </c>
      <c r="J1271" t="str">
        <f>"FERNANDINA BEACH FL 32035"</f>
        <v>FERNANDINA BEACH FL 32035</v>
      </c>
      <c r="K1271" t="str">
        <f>"US HWY 17"</f>
        <v>US HWY 17</v>
      </c>
      <c r="L1271" t="str">
        <f t="shared" si="414"/>
        <v>YULEE FL 32097</v>
      </c>
      <c r="M1271" t="str">
        <f>"BLOCK 1 LOTS 1 THRU 10 INC PT OR 2004/377 BEING PARCEL 16 TRINITY CIRCLE SUB PB 3/34"</f>
        <v>BLOCK 1 LOTS 1 THRU 10 INC PT OR 2004/377 BEING PARCEL 16 TRINITY CIRCLE SUB PB 3/34</v>
      </c>
      <c r="N1271" t="str">
        <f>""</f>
        <v/>
      </c>
      <c r="O1271" t="str">
        <f>"48183"</f>
        <v>48183</v>
      </c>
      <c r="P1271" t="str">
        <f t="shared" si="416"/>
        <v>2017</v>
      </c>
      <c r="Q1271" t="str">
        <f>""</f>
        <v/>
      </c>
      <c r="R1271" t="str">
        <f t="shared" ref="R1271:R1276" si="429">"N"</f>
        <v>N</v>
      </c>
      <c r="S1271" t="str">
        <f>""</f>
        <v/>
      </c>
      <c r="T1271" t="str">
        <f>"3361.42"</f>
        <v>3361.42</v>
      </c>
      <c r="U1271" t="str">
        <f>"222040.00"</f>
        <v>222040.00</v>
      </c>
      <c r="V1271" t="str">
        <f>"222040.00"</f>
        <v>222040.00</v>
      </c>
      <c r="W1271" t="str">
        <f t="shared" si="418"/>
        <v>2017</v>
      </c>
      <c r="X1271" t="str">
        <f>""</f>
        <v/>
      </c>
      <c r="Y1271" t="str">
        <f>"3494.26"</f>
        <v>3494.26</v>
      </c>
      <c r="Z1271" t="str">
        <f>""</f>
        <v/>
      </c>
      <c r="AA1271" t="str">
        <f>"222040.00"</f>
        <v>222040.00</v>
      </c>
      <c r="AB1271" t="str">
        <f>"Commercial"</f>
        <v>Commercial</v>
      </c>
      <c r="AC1271" t="str">
        <f t="shared" si="422"/>
        <v>0</v>
      </c>
      <c r="AD1271" t="str">
        <f>""</f>
        <v/>
      </c>
      <c r="AE1271" t="str">
        <f>""</f>
        <v/>
      </c>
      <c r="AF1271" t="str">
        <f>"010"</f>
        <v>010</v>
      </c>
      <c r="AG1271" t="str">
        <f t="shared" si="424"/>
        <v>FL</v>
      </c>
      <c r="AH1271" t="str">
        <f>"111020.00"</f>
        <v>111020.00</v>
      </c>
      <c r="AI1271" t="str">
        <f>"222040.00"</f>
        <v>222040.00</v>
      </c>
      <c r="AJ1271" t="str">
        <f>"C55-000-588-1799-0"</f>
        <v>C55-000-588-1799-0</v>
      </c>
      <c r="AK1271" t="str">
        <f>"21874"</f>
        <v>21874</v>
      </c>
      <c r="AL1271">
        <v>5</v>
      </c>
      <c r="AM1271">
        <v>1447</v>
      </c>
      <c r="AN1271">
        <v>3667.37</v>
      </c>
      <c r="AQ1271" t="s">
        <v>12955</v>
      </c>
      <c r="AR1271" t="s">
        <v>12955</v>
      </c>
      <c r="AS1271" t="s">
        <v>12955</v>
      </c>
      <c r="AU1271" t="s">
        <v>396</v>
      </c>
      <c r="AV1271">
        <v>2017</v>
      </c>
      <c r="AW1271" t="str">
        <f>"42-2N-27-4380-0001-0010 "</f>
        <v xml:space="preserve">42-2N-27-4380-0001-0010 </v>
      </c>
      <c r="AZ1271" t="s">
        <v>11185</v>
      </c>
      <c r="BD1271" t="s">
        <v>2387</v>
      </c>
      <c r="BE1271" t="s">
        <v>393</v>
      </c>
      <c r="BF1271">
        <v>32097</v>
      </c>
      <c r="BG1271" t="s">
        <v>11185</v>
      </c>
      <c r="BH1271" t="s">
        <v>2388</v>
      </c>
      <c r="BI1271">
        <v>-81.598789337616694</v>
      </c>
      <c r="BJ1271">
        <v>30.6049493130675</v>
      </c>
      <c r="BK1271" t="s">
        <v>12956</v>
      </c>
      <c r="BL1271" t="s">
        <v>12957</v>
      </c>
      <c r="BM1271" t="s">
        <v>12958</v>
      </c>
      <c r="BN1271" t="s">
        <v>3983</v>
      </c>
      <c r="BO1271">
        <v>32035</v>
      </c>
      <c r="BP1271" t="s">
        <v>404</v>
      </c>
      <c r="BQ1271">
        <v>1000</v>
      </c>
      <c r="BR1271" t="s">
        <v>2391</v>
      </c>
      <c r="BS1271">
        <v>8002</v>
      </c>
      <c r="BT1271" t="s">
        <v>2392</v>
      </c>
      <c r="BW1271">
        <v>111020</v>
      </c>
      <c r="BX1271" t="s">
        <v>407</v>
      </c>
      <c r="BY1271" t="s">
        <v>4413</v>
      </c>
      <c r="CD1271">
        <v>2017</v>
      </c>
      <c r="CE1271">
        <v>222040</v>
      </c>
      <c r="CG1271">
        <v>222040</v>
      </c>
      <c r="CH1271">
        <v>2017</v>
      </c>
      <c r="CI1271">
        <v>222040</v>
      </c>
      <c r="CK1271">
        <v>222040</v>
      </c>
      <c r="CL1271">
        <v>2017</v>
      </c>
      <c r="CM1271">
        <v>3361.42</v>
      </c>
      <c r="CN1271" s="1">
        <v>42248</v>
      </c>
      <c r="CZ1271" s="1">
        <v>42248</v>
      </c>
      <c r="DD1271" t="s">
        <v>2387</v>
      </c>
      <c r="DG1271">
        <v>42</v>
      </c>
      <c r="DJ1271" t="s">
        <v>12959</v>
      </c>
      <c r="DM1271" t="s">
        <v>12468</v>
      </c>
      <c r="DO1271" t="s">
        <v>12960</v>
      </c>
      <c r="DP1271">
        <v>0</v>
      </c>
      <c r="DQ1271">
        <v>4</v>
      </c>
      <c r="DR1271" t="s">
        <v>411</v>
      </c>
    </row>
    <row r="1272" spans="1:296" x14ac:dyDescent="0.25">
      <c r="A1272">
        <v>16486279</v>
      </c>
      <c r="B1272">
        <v>1271</v>
      </c>
      <c r="C1272" t="s">
        <v>393</v>
      </c>
      <c r="D1272" t="s">
        <v>394</v>
      </c>
      <c r="F1272" t="str">
        <f>"42-2N-27-4380-0002-0100"</f>
        <v>42-2N-27-4380-0002-0100</v>
      </c>
      <c r="H1272" t="str">
        <f>"GRAHAM SHELVIA J EST"</f>
        <v>GRAHAM SHELVIA J EST</v>
      </c>
      <c r="I1272" t="str">
        <f>"85186 TRINITY CIRCLE"</f>
        <v>85186 TRINITY CIRCLE</v>
      </c>
      <c r="J1272" t="str">
        <f>"YULEE FL 32097"</f>
        <v>YULEE FL 32097</v>
      </c>
      <c r="K1272" t="str">
        <f>"85186 TRINITY CIR"</f>
        <v>85186 TRINITY CIR</v>
      </c>
      <c r="L1272" t="str">
        <f t="shared" ref="L1272:L1335" si="430">"YULEE FL 32097"</f>
        <v>YULEE FL 32097</v>
      </c>
      <c r="M1272" t="str">
        <f>"BLOCK 2 LOT 10 IN OR 495 PG 948 R235893 &amp; R235892 TRINITY CIRCLE SUB PB 3/34"</f>
        <v>BLOCK 2 LOT 10 IN OR 495 PG 948 R235893 &amp; R235892 TRINITY CIRCLE SUB PB 3/34</v>
      </c>
      <c r="N1272" t="str">
        <f>""</f>
        <v/>
      </c>
      <c r="O1272" t="str">
        <f>"48190"</f>
        <v>48190</v>
      </c>
      <c r="P1272" t="str">
        <f t="shared" si="416"/>
        <v>2017</v>
      </c>
      <c r="Q1272" t="str">
        <f>""</f>
        <v/>
      </c>
      <c r="R1272" t="str">
        <f t="shared" si="429"/>
        <v>N</v>
      </c>
      <c r="S1272" t="str">
        <f>""</f>
        <v/>
      </c>
      <c r="T1272" t="str">
        <f>"559.91"</f>
        <v>559.91</v>
      </c>
      <c r="U1272" t="str">
        <f>"36986.00"</f>
        <v>36986.00</v>
      </c>
      <c r="V1272" t="str">
        <f>"36986.00"</f>
        <v>36986.00</v>
      </c>
      <c r="W1272" t="str">
        <f t="shared" si="418"/>
        <v>2017</v>
      </c>
      <c r="X1272" t="str">
        <f>"1.00"</f>
        <v>1.00</v>
      </c>
      <c r="Y1272" t="str">
        <f>"608.71"</f>
        <v>608.71</v>
      </c>
      <c r="Z1272" t="str">
        <f>""</f>
        <v/>
      </c>
      <c r="AA1272" t="str">
        <f>"36986.00"</f>
        <v>36986.00</v>
      </c>
      <c r="AB1272" t="str">
        <f>"Residential"</f>
        <v>Residential</v>
      </c>
      <c r="AC1272" t="str">
        <f t="shared" si="422"/>
        <v>0</v>
      </c>
      <c r="AD1272" t="str">
        <f>"4"</f>
        <v>4</v>
      </c>
      <c r="AE1272" t="str">
        <f>"WOOD (INCLUDE STEEL STUDS)"</f>
        <v>WOOD (INCLUDE STEEL STUDS)</v>
      </c>
      <c r="AF1272" t="str">
        <f>"002"</f>
        <v>002</v>
      </c>
      <c r="AG1272" t="str">
        <f t="shared" si="424"/>
        <v>FL</v>
      </c>
      <c r="AH1272" t="str">
        <f>"27056.00"</f>
        <v>27056.00</v>
      </c>
      <c r="AI1272" t="str">
        <f>"23620.00"</f>
        <v>23620.00</v>
      </c>
      <c r="AJ1272" t="str">
        <f>"C55-000-588-1807-1"</f>
        <v>C55-000-588-1807-1</v>
      </c>
      <c r="AK1272" t="str">
        <f>"21881"</f>
        <v>21881</v>
      </c>
      <c r="AL1272">
        <v>5</v>
      </c>
      <c r="AM1272">
        <v>1448</v>
      </c>
      <c r="AN1272">
        <v>637.54999999999995</v>
      </c>
      <c r="AQ1272" t="s">
        <v>12961</v>
      </c>
      <c r="AR1272" t="s">
        <v>12961</v>
      </c>
      <c r="AS1272" t="s">
        <v>12961</v>
      </c>
      <c r="AU1272" t="s">
        <v>396</v>
      </c>
      <c r="AV1272">
        <v>2017</v>
      </c>
      <c r="AW1272" t="str">
        <f>"42-2N-27-4380-0002-0100 "</f>
        <v xml:space="preserve">42-2N-27-4380-0002-0100 </v>
      </c>
      <c r="AX1272">
        <v>85186</v>
      </c>
      <c r="AZ1272" t="s">
        <v>12962</v>
      </c>
      <c r="BA1272" t="s">
        <v>1799</v>
      </c>
      <c r="BD1272" t="s">
        <v>2387</v>
      </c>
      <c r="BE1272" t="s">
        <v>393</v>
      </c>
      <c r="BF1272">
        <v>32097</v>
      </c>
      <c r="BG1272" t="s">
        <v>12963</v>
      </c>
      <c r="BH1272" t="s">
        <v>2388</v>
      </c>
      <c r="BI1272">
        <v>-81.600948362860606</v>
      </c>
      <c r="BJ1272">
        <v>30.606514317779698</v>
      </c>
      <c r="BK1272" t="s">
        <v>12964</v>
      </c>
      <c r="BM1272" t="s">
        <v>12963</v>
      </c>
      <c r="BN1272" t="s">
        <v>1778</v>
      </c>
      <c r="BO1272">
        <v>32097</v>
      </c>
      <c r="BP1272" t="s">
        <v>416</v>
      </c>
      <c r="BQ1272">
        <v>200</v>
      </c>
      <c r="BR1272" t="s">
        <v>405</v>
      </c>
      <c r="BS1272">
        <v>1006</v>
      </c>
      <c r="BT1272" t="s">
        <v>406</v>
      </c>
      <c r="BU1272">
        <v>1520</v>
      </c>
      <c r="BV1272">
        <v>1780</v>
      </c>
      <c r="BW1272">
        <v>34355</v>
      </c>
      <c r="BX1272" t="s">
        <v>407</v>
      </c>
      <c r="BY1272" t="s">
        <v>12744</v>
      </c>
      <c r="BZ1272">
        <v>4</v>
      </c>
      <c r="CA1272">
        <v>1973</v>
      </c>
      <c r="CB1272">
        <v>1</v>
      </c>
      <c r="CC1272">
        <v>1</v>
      </c>
      <c r="CD1272">
        <v>2017</v>
      </c>
      <c r="CE1272">
        <v>23620</v>
      </c>
      <c r="CF1272">
        <v>13366</v>
      </c>
      <c r="CG1272">
        <v>36986</v>
      </c>
      <c r="CH1272">
        <v>2017</v>
      </c>
      <c r="CI1272">
        <v>23620</v>
      </c>
      <c r="CJ1272">
        <v>13366</v>
      </c>
      <c r="CK1272">
        <v>36986</v>
      </c>
      <c r="CL1272">
        <v>2017</v>
      </c>
      <c r="CM1272">
        <v>559.91</v>
      </c>
      <c r="CN1272" s="1">
        <v>31625</v>
      </c>
      <c r="CO1272">
        <v>11500</v>
      </c>
      <c r="CZ1272" s="1">
        <v>31625</v>
      </c>
      <c r="DD1272" t="s">
        <v>2387</v>
      </c>
      <c r="DF1272">
        <v>10</v>
      </c>
      <c r="DG1272">
        <v>42</v>
      </c>
      <c r="DL1272">
        <v>50302</v>
      </c>
      <c r="DM1272" t="s">
        <v>12468</v>
      </c>
      <c r="DO1272" t="s">
        <v>12965</v>
      </c>
      <c r="DP1272">
        <v>0</v>
      </c>
      <c r="DQ1272">
        <v>0</v>
      </c>
      <c r="DR1272" t="s">
        <v>411</v>
      </c>
      <c r="EP1272" t="s">
        <v>6</v>
      </c>
      <c r="EQ1272" t="s">
        <v>422</v>
      </c>
      <c r="ER1272">
        <v>1</v>
      </c>
      <c r="ES1272">
        <v>1</v>
      </c>
      <c r="ET1272">
        <v>93.61</v>
      </c>
      <c r="EU1272">
        <v>23.1</v>
      </c>
      <c r="EV1272">
        <v>116.71</v>
      </c>
      <c r="EW1272" s="2">
        <v>43222</v>
      </c>
      <c r="EX1272" s="1">
        <v>42879</v>
      </c>
      <c r="EY1272">
        <v>2016</v>
      </c>
      <c r="EZ1272">
        <v>93.61</v>
      </c>
      <c r="FA1272" t="s">
        <v>12966</v>
      </c>
      <c r="FB1272">
        <v>18</v>
      </c>
      <c r="FC1272" t="s">
        <v>603</v>
      </c>
      <c r="FD1272" t="s">
        <v>454</v>
      </c>
      <c r="FF1272">
        <v>12</v>
      </c>
      <c r="FG1272">
        <v>9999999</v>
      </c>
      <c r="FH1272" t="s">
        <v>604</v>
      </c>
      <c r="FJ1272" s="1">
        <v>41787</v>
      </c>
      <c r="FK1272">
        <v>2013</v>
      </c>
      <c r="FL1272">
        <v>73.09</v>
      </c>
      <c r="FM1272" t="s">
        <v>12967</v>
      </c>
      <c r="FN1272">
        <v>18</v>
      </c>
      <c r="FO1272" t="s">
        <v>603</v>
      </c>
      <c r="FP1272" t="s">
        <v>425</v>
      </c>
      <c r="FQ1272" s="1">
        <v>41806</v>
      </c>
      <c r="FR1272">
        <v>1</v>
      </c>
      <c r="FS1272">
        <v>9999999</v>
      </c>
      <c r="FT1272" t="s">
        <v>604</v>
      </c>
    </row>
    <row r="1273" spans="1:296" x14ac:dyDescent="0.25">
      <c r="A1273">
        <v>16486280</v>
      </c>
      <c r="B1273">
        <v>1272</v>
      </c>
      <c r="C1273" t="s">
        <v>393</v>
      </c>
      <c r="D1273" t="s">
        <v>394</v>
      </c>
      <c r="F1273" t="str">
        <f>"42-2N-27-438U-0006-0000"</f>
        <v>42-2N-27-438U-0006-0000</v>
      </c>
      <c r="H1273" t="str">
        <f>"HOLLAND DEBBIE"</f>
        <v>HOLLAND DEBBIE</v>
      </c>
      <c r="I1273" t="str">
        <f>"64 N 15TH STREET"</f>
        <v>64 N 15TH STREET</v>
      </c>
      <c r="J1273" t="str">
        <f>"FERNANDINA BEACH FL 32034"</f>
        <v>FERNANDINA BEACH FL 32034</v>
      </c>
      <c r="K1273" t="str">
        <f>"COMMERCIAL PARK DR"</f>
        <v>COMMERCIAL PARK DR</v>
      </c>
      <c r="L1273" t="str">
        <f t="shared" si="430"/>
        <v>YULEE FL 32097</v>
      </c>
      <c r="M1273" t="str">
        <f>"LOT 6 IN OR 1779/316 ESMT OR 1201/1143 US 17 COMMERICAL PARK PB 6/259"</f>
        <v>LOT 6 IN OR 1779/316 ESMT OR 1201/1143 US 17 COMMERICAL PARK PB 6/259</v>
      </c>
      <c r="N1273" t="str">
        <f>""</f>
        <v/>
      </c>
      <c r="O1273" t="str">
        <f>"48212"</f>
        <v>48212</v>
      </c>
      <c r="P1273" t="str">
        <f t="shared" si="416"/>
        <v>2017</v>
      </c>
      <c r="Q1273" t="str">
        <f>""</f>
        <v/>
      </c>
      <c r="R1273" t="str">
        <f t="shared" si="429"/>
        <v>N</v>
      </c>
      <c r="S1273" t="str">
        <f>""</f>
        <v/>
      </c>
      <c r="T1273" t="str">
        <f>"1192.59"</f>
        <v>1192.59</v>
      </c>
      <c r="U1273" t="str">
        <f>"78777.00"</f>
        <v>78777.00</v>
      </c>
      <c r="V1273" t="str">
        <f>"78777.00"</f>
        <v>78777.00</v>
      </c>
      <c r="W1273" t="str">
        <f t="shared" si="418"/>
        <v>2017</v>
      </c>
      <c r="X1273" t="str">
        <f>"12.80"</f>
        <v>12.80</v>
      </c>
      <c r="Y1273" t="str">
        <f>"1260.37"</f>
        <v>1260.37</v>
      </c>
      <c r="Z1273" t="str">
        <f>""</f>
        <v/>
      </c>
      <c r="AA1273" t="str">
        <f>"78777.00"</f>
        <v>78777.00</v>
      </c>
      <c r="AB1273" t="str">
        <f>"Commercial"</f>
        <v>Commercial</v>
      </c>
      <c r="AC1273" t="str">
        <f t="shared" si="422"/>
        <v>0</v>
      </c>
      <c r="AD1273" t="str">
        <f>""</f>
        <v/>
      </c>
      <c r="AE1273" t="str">
        <f>""</f>
        <v/>
      </c>
      <c r="AF1273" t="str">
        <f>"010"</f>
        <v>010</v>
      </c>
      <c r="AG1273" t="str">
        <f t="shared" si="424"/>
        <v>FL</v>
      </c>
      <c r="AH1273" t="str">
        <f>"45016.00"</f>
        <v>45016.00</v>
      </c>
      <c r="AI1273" t="str">
        <f>"78777.00"</f>
        <v>78777.00</v>
      </c>
      <c r="AJ1273" t="str">
        <f>"C55-000-588-1827-9"</f>
        <v>C55-000-588-1827-9</v>
      </c>
      <c r="AK1273" t="str">
        <f>"21869"</f>
        <v>21869</v>
      </c>
      <c r="AL1273">
        <v>5</v>
      </c>
      <c r="AM1273">
        <v>1449</v>
      </c>
      <c r="AN1273">
        <v>1321.79</v>
      </c>
      <c r="AQ1273" t="s">
        <v>12968</v>
      </c>
      <c r="AR1273" t="s">
        <v>12968</v>
      </c>
      <c r="AS1273" t="s">
        <v>12968</v>
      </c>
      <c r="AU1273" t="s">
        <v>396</v>
      </c>
      <c r="AV1273">
        <v>2017</v>
      </c>
      <c r="AW1273" t="str">
        <f>"42-2N-27-438U-0006-0000 "</f>
        <v xml:space="preserve">42-2N-27-438U-0006-0000 </v>
      </c>
      <c r="AZ1273" t="s">
        <v>12969</v>
      </c>
      <c r="BA1273" t="s">
        <v>669</v>
      </c>
      <c r="BD1273" t="s">
        <v>2387</v>
      </c>
      <c r="BE1273" t="s">
        <v>393</v>
      </c>
      <c r="BF1273">
        <v>32097</v>
      </c>
      <c r="BG1273" t="s">
        <v>12970</v>
      </c>
      <c r="BH1273" t="s">
        <v>2388</v>
      </c>
      <c r="BI1273">
        <v>-81.600954919330206</v>
      </c>
      <c r="BJ1273">
        <v>30.6028586133279</v>
      </c>
      <c r="BK1273" t="s">
        <v>12971</v>
      </c>
      <c r="BM1273" t="s">
        <v>12972</v>
      </c>
      <c r="BN1273" t="s">
        <v>3983</v>
      </c>
      <c r="BO1273">
        <v>32034</v>
      </c>
      <c r="BP1273" t="s">
        <v>404</v>
      </c>
      <c r="BQ1273">
        <v>1000</v>
      </c>
      <c r="BR1273" t="s">
        <v>2391</v>
      </c>
      <c r="BS1273">
        <v>8002</v>
      </c>
      <c r="BT1273" t="s">
        <v>2392</v>
      </c>
      <c r="BW1273">
        <v>45019</v>
      </c>
      <c r="BX1273" t="s">
        <v>407</v>
      </c>
      <c r="BY1273" t="s">
        <v>4413</v>
      </c>
      <c r="CD1273">
        <v>2017</v>
      </c>
      <c r="CE1273">
        <v>78777</v>
      </c>
      <c r="CG1273">
        <v>78777</v>
      </c>
      <c r="CH1273">
        <v>2017</v>
      </c>
      <c r="CI1273">
        <v>78777</v>
      </c>
      <c r="CK1273">
        <v>78777</v>
      </c>
      <c r="CL1273">
        <v>2017</v>
      </c>
      <c r="CM1273">
        <v>1192.5899999999999</v>
      </c>
      <c r="CN1273" s="1">
        <v>40941</v>
      </c>
      <c r="CZ1273" s="1">
        <v>40941</v>
      </c>
      <c r="DD1273" t="s">
        <v>2387</v>
      </c>
      <c r="DF1273">
        <v>6</v>
      </c>
      <c r="DG1273">
        <v>42</v>
      </c>
      <c r="DM1273" t="s">
        <v>12468</v>
      </c>
      <c r="DO1273" t="s">
        <v>12973</v>
      </c>
      <c r="DP1273">
        <v>0</v>
      </c>
      <c r="DQ1273">
        <v>3</v>
      </c>
      <c r="DR1273" t="s">
        <v>1479</v>
      </c>
      <c r="DS1273" t="s">
        <v>695</v>
      </c>
      <c r="EJ1273">
        <v>0</v>
      </c>
      <c r="EK1273">
        <v>0</v>
      </c>
      <c r="EP1273" t="s">
        <v>421</v>
      </c>
      <c r="EQ1273" t="s">
        <v>422</v>
      </c>
      <c r="ER1273">
        <v>0</v>
      </c>
      <c r="ES1273">
        <v>5</v>
      </c>
      <c r="ET1273">
        <v>0</v>
      </c>
      <c r="EU1273">
        <v>0</v>
      </c>
      <c r="EV1273">
        <v>0</v>
      </c>
      <c r="EW1273" s="2">
        <v>43222</v>
      </c>
      <c r="EX1273" s="1">
        <v>42151</v>
      </c>
      <c r="EY1273">
        <v>2014</v>
      </c>
      <c r="EZ1273">
        <v>1368.4</v>
      </c>
      <c r="FA1273" t="s">
        <v>12974</v>
      </c>
      <c r="FB1273">
        <v>4.75</v>
      </c>
      <c r="FC1273" t="s">
        <v>424</v>
      </c>
      <c r="FD1273" t="s">
        <v>425</v>
      </c>
      <c r="FE1273" s="1">
        <v>42503</v>
      </c>
      <c r="FF1273">
        <v>12</v>
      </c>
      <c r="FG1273">
        <v>4975593</v>
      </c>
      <c r="FH1273" t="s">
        <v>505</v>
      </c>
      <c r="FJ1273" s="1">
        <v>41787</v>
      </c>
      <c r="FK1273">
        <v>2013</v>
      </c>
      <c r="FL1273">
        <v>1296.4000000000001</v>
      </c>
      <c r="FM1273" t="s">
        <v>12975</v>
      </c>
      <c r="FN1273">
        <v>0.25</v>
      </c>
      <c r="FO1273" t="s">
        <v>424</v>
      </c>
      <c r="FP1273" t="s">
        <v>425</v>
      </c>
      <c r="FQ1273" s="1">
        <v>42327</v>
      </c>
      <c r="FR1273">
        <v>18</v>
      </c>
      <c r="FS1273">
        <v>2407503</v>
      </c>
      <c r="FT1273" t="s">
        <v>461</v>
      </c>
      <c r="FV1273" s="1">
        <v>41423</v>
      </c>
      <c r="FW1273">
        <v>2012</v>
      </c>
      <c r="FX1273">
        <v>1312.33</v>
      </c>
      <c r="FY1273" t="s">
        <v>12976</v>
      </c>
      <c r="FZ1273">
        <v>2.5</v>
      </c>
      <c r="GA1273" t="s">
        <v>424</v>
      </c>
      <c r="GB1273" t="s">
        <v>425</v>
      </c>
      <c r="GC1273" s="1">
        <v>41662</v>
      </c>
      <c r="GD1273">
        <v>8</v>
      </c>
      <c r="GE1273">
        <v>10125</v>
      </c>
      <c r="GF1273" t="s">
        <v>440</v>
      </c>
      <c r="GH1273" s="1">
        <v>41052</v>
      </c>
      <c r="GI1273">
        <v>2011</v>
      </c>
      <c r="GJ1273">
        <v>1439.44</v>
      </c>
      <c r="GK1273" t="s">
        <v>12977</v>
      </c>
      <c r="GL1273">
        <v>5</v>
      </c>
      <c r="GM1273" t="s">
        <v>424</v>
      </c>
      <c r="GN1273" t="s">
        <v>425</v>
      </c>
      <c r="GO1273" s="1">
        <v>41495</v>
      </c>
      <c r="GP1273">
        <v>15</v>
      </c>
      <c r="GQ1273">
        <v>62</v>
      </c>
      <c r="GR1273" t="s">
        <v>463</v>
      </c>
      <c r="GT1273" s="1">
        <v>40688</v>
      </c>
      <c r="GU1273">
        <v>2010</v>
      </c>
      <c r="GV1273">
        <v>1402.1</v>
      </c>
      <c r="GW1273" t="s">
        <v>12978</v>
      </c>
      <c r="GX1273">
        <v>5</v>
      </c>
      <c r="GY1273" t="s">
        <v>424</v>
      </c>
      <c r="GZ1273" t="s">
        <v>425</v>
      </c>
      <c r="HA1273" s="1">
        <v>41015</v>
      </c>
      <c r="HB1273">
        <v>11</v>
      </c>
      <c r="HC1273">
        <v>287</v>
      </c>
      <c r="HD1273" t="s">
        <v>572</v>
      </c>
    </row>
    <row r="1274" spans="1:296" x14ac:dyDescent="0.25">
      <c r="A1274">
        <v>16486281</v>
      </c>
      <c r="B1274">
        <v>1273</v>
      </c>
      <c r="C1274" t="s">
        <v>393</v>
      </c>
      <c r="D1274" t="s">
        <v>394</v>
      </c>
      <c r="F1274" t="str">
        <f>"42-2N-27-438U-0007-0000"</f>
        <v>42-2N-27-438U-0007-0000</v>
      </c>
      <c r="H1274" t="str">
        <f>"SECOND AMENDMENT INC"</f>
        <v>SECOND AMENDMENT INC</v>
      </c>
      <c r="I1274" t="str">
        <f>"2410 SAFE HARBOR LANE"</f>
        <v>2410 SAFE HARBOR LANE</v>
      </c>
      <c r="J1274" t="str">
        <f>"FERNANDINA BEACH FL 32034"</f>
        <v>FERNANDINA BEACH FL 32034</v>
      </c>
      <c r="K1274" t="str">
        <f>"85082 COMMERCIAL PARK DR"</f>
        <v>85082 COMMERCIAL PARK DR</v>
      </c>
      <c r="L1274" t="str">
        <f t="shared" si="430"/>
        <v>YULEE FL 32097</v>
      </c>
      <c r="M1274" t="str">
        <f>"LOT 7 IN OR 1639/749-754 ESMT OR 1201/1144 US 17 COMMERICAL PARK PB 6/259"</f>
        <v>LOT 7 IN OR 1639/749-754 ESMT OR 1201/1144 US 17 COMMERICAL PARK PB 6/259</v>
      </c>
      <c r="N1274" t="str">
        <f>""</f>
        <v/>
      </c>
      <c r="O1274" t="str">
        <f>"48213"</f>
        <v>48213</v>
      </c>
      <c r="P1274" t="str">
        <f t="shared" si="416"/>
        <v>2017</v>
      </c>
      <c r="Q1274" t="str">
        <f>""</f>
        <v/>
      </c>
      <c r="R1274" t="str">
        <f t="shared" si="429"/>
        <v>N</v>
      </c>
      <c r="S1274" t="str">
        <f>""</f>
        <v/>
      </c>
      <c r="T1274" t="str">
        <f>"6115.48"</f>
        <v>6115.48</v>
      </c>
      <c r="U1274" t="str">
        <f>"403960.00"</f>
        <v>403960.00</v>
      </c>
      <c r="V1274" t="str">
        <f>"403960.00"</f>
        <v>403960.00</v>
      </c>
      <c r="W1274" t="str">
        <f t="shared" si="418"/>
        <v>2017</v>
      </c>
      <c r="X1274" t="str">
        <f>"13.00"</f>
        <v>13.00</v>
      </c>
      <c r="Y1274" t="str">
        <f>"6330.94"</f>
        <v>6330.94</v>
      </c>
      <c r="Z1274" t="str">
        <f>""</f>
        <v/>
      </c>
      <c r="AA1274" t="str">
        <f>"403960.00"</f>
        <v>403960.00</v>
      </c>
      <c r="AB1274" t="str">
        <f>"Government"</f>
        <v>Government</v>
      </c>
      <c r="AC1274" t="str">
        <f t="shared" si="422"/>
        <v>0</v>
      </c>
      <c r="AD1274" t="str">
        <f>"5"</f>
        <v>5</v>
      </c>
      <c r="AE1274" t="str">
        <f>"STEEL FRAME/INCOMBUSTIBLE WALLS/ROOF"</f>
        <v>STEEL FRAME/INCOMBUSTIBLE WALLS/ROOF</v>
      </c>
      <c r="AF1274" t="str">
        <f>"084"</f>
        <v>084</v>
      </c>
      <c r="AG1274" t="str">
        <f t="shared" si="424"/>
        <v>FL</v>
      </c>
      <c r="AH1274" t="str">
        <f>"43577.00"</f>
        <v>43577.00</v>
      </c>
      <c r="AI1274" t="str">
        <f>"98048.00"</f>
        <v>98048.00</v>
      </c>
      <c r="AJ1274" t="str">
        <f>"C55-000-588-1828-7"</f>
        <v>C55-000-588-1828-7</v>
      </c>
      <c r="AK1274" t="str">
        <f>"21870"</f>
        <v>21870</v>
      </c>
      <c r="AL1274">
        <v>5</v>
      </c>
      <c r="AM1274">
        <v>1450</v>
      </c>
      <c r="AN1274">
        <v>6645.89</v>
      </c>
      <c r="AQ1274" t="s">
        <v>12979</v>
      </c>
      <c r="AR1274" t="s">
        <v>12979</v>
      </c>
      <c r="AS1274" t="s">
        <v>12979</v>
      </c>
      <c r="AU1274" t="s">
        <v>396</v>
      </c>
      <c r="AV1274">
        <v>2017</v>
      </c>
      <c r="AW1274" t="str">
        <f>"42-2N-27-438U-0007-0000 "</f>
        <v xml:space="preserve">42-2N-27-438U-0007-0000 </v>
      </c>
      <c r="AX1274">
        <v>85082</v>
      </c>
      <c r="AZ1274" t="s">
        <v>12969</v>
      </c>
      <c r="BA1274" t="s">
        <v>669</v>
      </c>
      <c r="BD1274" t="s">
        <v>2387</v>
      </c>
      <c r="BE1274" t="s">
        <v>393</v>
      </c>
      <c r="BF1274">
        <v>32097</v>
      </c>
      <c r="BG1274" t="s">
        <v>12980</v>
      </c>
      <c r="BH1274" t="s">
        <v>2388</v>
      </c>
      <c r="BI1274">
        <v>-81.600380525399601</v>
      </c>
      <c r="BJ1274">
        <v>30.602857229035099</v>
      </c>
      <c r="BK1274" t="s">
        <v>12981</v>
      </c>
      <c r="BM1274" t="s">
        <v>12982</v>
      </c>
      <c r="BN1274" t="s">
        <v>3983</v>
      </c>
      <c r="BO1274">
        <v>32034</v>
      </c>
      <c r="BP1274" t="s">
        <v>404</v>
      </c>
      <c r="BQ1274">
        <v>8400</v>
      </c>
      <c r="BR1274" t="s">
        <v>12983</v>
      </c>
      <c r="BS1274">
        <v>9204</v>
      </c>
      <c r="BT1274" t="s">
        <v>12984</v>
      </c>
      <c r="BW1274">
        <v>43577</v>
      </c>
      <c r="BX1274" t="s">
        <v>407</v>
      </c>
      <c r="BY1274" t="s">
        <v>4413</v>
      </c>
      <c r="BZ1274">
        <v>5</v>
      </c>
      <c r="CA1274">
        <v>2004</v>
      </c>
      <c r="CB1274">
        <v>1</v>
      </c>
      <c r="CD1274">
        <v>2017</v>
      </c>
      <c r="CE1274">
        <v>98048</v>
      </c>
      <c r="CF1274">
        <v>305912</v>
      </c>
      <c r="CG1274">
        <v>403960</v>
      </c>
      <c r="CH1274">
        <v>2017</v>
      </c>
      <c r="CI1274">
        <v>98048</v>
      </c>
      <c r="CJ1274">
        <v>305912</v>
      </c>
      <c r="CK1274">
        <v>403960</v>
      </c>
      <c r="CL1274">
        <v>2017</v>
      </c>
      <c r="CM1274">
        <v>6115.48</v>
      </c>
      <c r="CN1274" s="1">
        <v>40071</v>
      </c>
      <c r="CV1274">
        <v>0</v>
      </c>
      <c r="CZ1274" s="1">
        <v>40071</v>
      </c>
      <c r="DA1274">
        <v>0</v>
      </c>
      <c r="DD1274" t="s">
        <v>2387</v>
      </c>
      <c r="DG1274">
        <v>42</v>
      </c>
      <c r="DL1274">
        <v>50302</v>
      </c>
      <c r="DM1274" t="s">
        <v>12468</v>
      </c>
      <c r="DO1274" t="s">
        <v>12985</v>
      </c>
      <c r="DP1274">
        <v>0</v>
      </c>
      <c r="DQ1274">
        <v>3</v>
      </c>
      <c r="DR1274" t="s">
        <v>1479</v>
      </c>
      <c r="EP1274" t="s">
        <v>421</v>
      </c>
      <c r="EQ1274" t="s">
        <v>422</v>
      </c>
      <c r="ER1274">
        <v>0</v>
      </c>
      <c r="ES1274">
        <v>1</v>
      </c>
      <c r="ET1274">
        <v>0</v>
      </c>
      <c r="EU1274">
        <v>0</v>
      </c>
      <c r="EV1274">
        <v>0</v>
      </c>
      <c r="EW1274" s="2">
        <v>43222</v>
      </c>
      <c r="EX1274" s="1">
        <v>41787</v>
      </c>
      <c r="EY1274">
        <v>2013</v>
      </c>
      <c r="EZ1274">
        <v>5251.12</v>
      </c>
      <c r="FA1274" t="s">
        <v>12986</v>
      </c>
      <c r="FB1274">
        <v>0.25</v>
      </c>
      <c r="FC1274" t="s">
        <v>424</v>
      </c>
      <c r="FD1274" t="s">
        <v>425</v>
      </c>
      <c r="FE1274" s="1">
        <v>42114</v>
      </c>
      <c r="FF1274">
        <v>11</v>
      </c>
      <c r="FG1274">
        <v>2675455</v>
      </c>
      <c r="FH1274" t="s">
        <v>1981</v>
      </c>
    </row>
    <row r="1275" spans="1:296" x14ac:dyDescent="0.25">
      <c r="A1275">
        <v>16486282</v>
      </c>
      <c r="B1275">
        <v>1274</v>
      </c>
      <c r="C1275" t="s">
        <v>393</v>
      </c>
      <c r="D1275" t="s">
        <v>394</v>
      </c>
      <c r="F1275" t="str">
        <f>"42-2N-27-438U-0009-0000"</f>
        <v>42-2N-27-438U-0009-0000</v>
      </c>
      <c r="H1275" t="str">
        <f>"STEVENSON COLLISION CENTER INC"</f>
        <v>STEVENSON COLLISION CENTER INC</v>
      </c>
      <c r="I1275" t="str">
        <f>"85049 COMMERICIAL PARK DRIVE"</f>
        <v>85049 COMMERICIAL PARK DRIVE</v>
      </c>
      <c r="J1275" t="str">
        <f>"YULEE FL 32097"</f>
        <v>YULEE FL 32097</v>
      </c>
      <c r="K1275" t="str">
        <f>"85049 COMMERCIAL PARK DR"</f>
        <v>85049 COMMERCIAL PARK DR</v>
      </c>
      <c r="L1275" t="str">
        <f t="shared" si="430"/>
        <v>YULEE FL 32097</v>
      </c>
      <c r="M1275" t="str">
        <f>"LOT 9 IN OR 1086/65 US 17 COMMERICAL PARK PB 6/259"</f>
        <v>LOT 9 IN OR 1086/65 US 17 COMMERICAL PARK PB 6/259</v>
      </c>
      <c r="N1275" t="str">
        <f>""</f>
        <v/>
      </c>
      <c r="O1275" t="str">
        <f>"48215"</f>
        <v>48215</v>
      </c>
      <c r="P1275" t="str">
        <f t="shared" si="416"/>
        <v>2017</v>
      </c>
      <c r="Q1275" t="str">
        <f>""</f>
        <v/>
      </c>
      <c r="R1275" t="str">
        <f t="shared" si="429"/>
        <v>N</v>
      </c>
      <c r="S1275" t="str">
        <f>""</f>
        <v/>
      </c>
      <c r="T1275" t="str">
        <f>"5713.39"</f>
        <v>5713.39</v>
      </c>
      <c r="U1275" t="str">
        <f>"377400.00"</f>
        <v>377400.00</v>
      </c>
      <c r="V1275" t="str">
        <f>"377400.00"</f>
        <v>377400.00</v>
      </c>
      <c r="W1275" t="str">
        <f t="shared" si="418"/>
        <v>2017</v>
      </c>
      <c r="X1275" t="str">
        <f>"12.09"</f>
        <v>12.09</v>
      </c>
      <c r="Y1275" t="str">
        <f>"5916.79"</f>
        <v>5916.79</v>
      </c>
      <c r="Z1275" t="str">
        <f>""</f>
        <v/>
      </c>
      <c r="AA1275" t="str">
        <f>"377400.00"</f>
        <v>377400.00</v>
      </c>
      <c r="AB1275" t="str">
        <f>"Commercial"</f>
        <v>Commercial</v>
      </c>
      <c r="AC1275" t="str">
        <f t="shared" si="422"/>
        <v>0</v>
      </c>
      <c r="AD1275" t="str">
        <f>"5"</f>
        <v>5</v>
      </c>
      <c r="AE1275" t="str">
        <f>"STEEL FRAME/INCOMBUSTIBLE WALLS/ROOF"</f>
        <v>STEEL FRAME/INCOMBUSTIBLE WALLS/ROOF</v>
      </c>
      <c r="AF1275" t="str">
        <f>"027"</f>
        <v>027</v>
      </c>
      <c r="AG1275" t="str">
        <f t="shared" si="424"/>
        <v>FL</v>
      </c>
      <c r="AH1275" t="str">
        <f>"44050.00"</f>
        <v>44050.00</v>
      </c>
      <c r="AI1275" t="str">
        <f>"99111.00"</f>
        <v>99111.00</v>
      </c>
      <c r="AJ1275" t="str">
        <f>"C55-000-588-1830-3"</f>
        <v>C55-000-588-1830-3</v>
      </c>
      <c r="AK1275" t="str">
        <f>"21872"</f>
        <v>21872</v>
      </c>
      <c r="AL1275">
        <v>5</v>
      </c>
      <c r="AM1275">
        <v>1451</v>
      </c>
      <c r="AN1275">
        <v>6211.03</v>
      </c>
      <c r="AQ1275" t="s">
        <v>12987</v>
      </c>
      <c r="AR1275" t="s">
        <v>12987</v>
      </c>
      <c r="AS1275" t="s">
        <v>12987</v>
      </c>
      <c r="AU1275" t="s">
        <v>396</v>
      </c>
      <c r="AV1275">
        <v>2017</v>
      </c>
      <c r="AW1275" t="str">
        <f>"42-2N-27-438U-0009-0000 "</f>
        <v xml:space="preserve">42-2N-27-438U-0009-0000 </v>
      </c>
      <c r="AX1275">
        <v>85049</v>
      </c>
      <c r="AZ1275" t="s">
        <v>12969</v>
      </c>
      <c r="BA1275" t="s">
        <v>669</v>
      </c>
      <c r="BD1275" t="s">
        <v>2387</v>
      </c>
      <c r="BE1275" t="s">
        <v>393</v>
      </c>
      <c r="BF1275">
        <v>32097</v>
      </c>
      <c r="BG1275" t="s">
        <v>12988</v>
      </c>
      <c r="BH1275" t="s">
        <v>2388</v>
      </c>
      <c r="BI1275">
        <v>-81.599288578553399</v>
      </c>
      <c r="BJ1275">
        <v>30.602763117614298</v>
      </c>
      <c r="BK1275" t="s">
        <v>12989</v>
      </c>
      <c r="BM1275" t="s">
        <v>12988</v>
      </c>
      <c r="BN1275" t="s">
        <v>1778</v>
      </c>
      <c r="BO1275">
        <v>32097</v>
      </c>
      <c r="BP1275" t="s">
        <v>404</v>
      </c>
      <c r="BQ1275">
        <v>2700</v>
      </c>
      <c r="BR1275" t="s">
        <v>4567</v>
      </c>
      <c r="BS1275">
        <v>2023</v>
      </c>
      <c r="BT1275" t="s">
        <v>4568</v>
      </c>
      <c r="BW1275">
        <v>44052</v>
      </c>
      <c r="BX1275" t="s">
        <v>407</v>
      </c>
      <c r="BY1275" t="s">
        <v>4413</v>
      </c>
      <c r="BZ1275">
        <v>5</v>
      </c>
      <c r="CA1275">
        <v>2003</v>
      </c>
      <c r="CB1275">
        <v>1</v>
      </c>
      <c r="CD1275">
        <v>2017</v>
      </c>
      <c r="CE1275">
        <v>99111</v>
      </c>
      <c r="CF1275">
        <v>278289</v>
      </c>
      <c r="CG1275">
        <v>377400</v>
      </c>
      <c r="CH1275">
        <v>2017</v>
      </c>
      <c r="CI1275">
        <v>99111</v>
      </c>
      <c r="CJ1275">
        <v>278289</v>
      </c>
      <c r="CK1275">
        <v>377400</v>
      </c>
      <c r="CL1275">
        <v>2017</v>
      </c>
      <c r="CM1275">
        <v>5713.39</v>
      </c>
      <c r="CN1275" s="1">
        <v>37538</v>
      </c>
      <c r="CO1275">
        <v>90000</v>
      </c>
      <c r="CZ1275" s="1">
        <v>37538</v>
      </c>
      <c r="DD1275" t="s">
        <v>2387</v>
      </c>
      <c r="DF1275">
        <v>9</v>
      </c>
      <c r="DG1275">
        <v>42</v>
      </c>
      <c r="DJ1275" t="s">
        <v>12990</v>
      </c>
      <c r="DL1275">
        <v>50302</v>
      </c>
      <c r="DM1275" t="s">
        <v>12468</v>
      </c>
      <c r="DO1275" t="s">
        <v>12991</v>
      </c>
      <c r="DP1275">
        <v>1</v>
      </c>
      <c r="DQ1275">
        <v>3</v>
      </c>
      <c r="DR1275" t="s">
        <v>1174</v>
      </c>
      <c r="DS1275" t="b">
        <v>1</v>
      </c>
      <c r="DT1275" t="s">
        <v>470</v>
      </c>
      <c r="DU1275" t="s">
        <v>471</v>
      </c>
      <c r="DV1275" t="s">
        <v>472</v>
      </c>
      <c r="DX1275">
        <v>-9999</v>
      </c>
      <c r="DZ1275" t="s">
        <v>447</v>
      </c>
      <c r="EA1275" t="s">
        <v>448</v>
      </c>
      <c r="EB1275" t="s">
        <v>742</v>
      </c>
      <c r="EC1275">
        <v>20101217</v>
      </c>
      <c r="ED1275" t="s">
        <v>474</v>
      </c>
      <c r="EF1275">
        <v>2060.8000000000002</v>
      </c>
      <c r="EG1275">
        <v>2060.8000000000002</v>
      </c>
      <c r="EI1275">
        <v>20160407</v>
      </c>
      <c r="EJ1275">
        <v>0</v>
      </c>
      <c r="EK1275">
        <v>0</v>
      </c>
      <c r="EP1275" t="s">
        <v>421</v>
      </c>
      <c r="EQ1275" t="s">
        <v>422</v>
      </c>
      <c r="ER1275">
        <v>0</v>
      </c>
      <c r="ES1275">
        <v>12</v>
      </c>
      <c r="ET1275">
        <v>0</v>
      </c>
      <c r="EU1275">
        <v>0</v>
      </c>
      <c r="EV1275">
        <v>0</v>
      </c>
      <c r="EW1275" s="2">
        <v>43222</v>
      </c>
      <c r="EX1275" s="1">
        <v>42879</v>
      </c>
      <c r="EY1275">
        <v>2016</v>
      </c>
      <c r="EZ1275">
        <v>6365.89</v>
      </c>
      <c r="FA1275" t="s">
        <v>12992</v>
      </c>
      <c r="FB1275">
        <v>0.25</v>
      </c>
      <c r="FC1275" t="s">
        <v>424</v>
      </c>
      <c r="FD1275" t="s">
        <v>425</v>
      </c>
      <c r="FE1275" s="1">
        <v>43130</v>
      </c>
      <c r="FF1275">
        <v>8</v>
      </c>
      <c r="FG1275">
        <v>7400234</v>
      </c>
      <c r="FH1275" t="s">
        <v>426</v>
      </c>
      <c r="FJ1275" s="1">
        <v>42879</v>
      </c>
      <c r="FK1275">
        <v>2016</v>
      </c>
      <c r="FL1275">
        <v>6365.89</v>
      </c>
      <c r="FM1275" t="s">
        <v>12992</v>
      </c>
      <c r="FN1275">
        <v>0.25</v>
      </c>
      <c r="FO1275" t="s">
        <v>424</v>
      </c>
      <c r="FP1275" t="s">
        <v>425</v>
      </c>
      <c r="FR1275">
        <v>22</v>
      </c>
      <c r="FS1275">
        <v>7484828</v>
      </c>
      <c r="FT1275" t="s">
        <v>12993</v>
      </c>
      <c r="FV1275" s="1">
        <v>42515</v>
      </c>
      <c r="FW1275">
        <v>2015</v>
      </c>
      <c r="FX1275">
        <v>6446.85</v>
      </c>
      <c r="FY1275" t="s">
        <v>12994</v>
      </c>
      <c r="FZ1275">
        <v>0.25</v>
      </c>
      <c r="GA1275" t="s">
        <v>424</v>
      </c>
      <c r="GB1275" t="s">
        <v>425</v>
      </c>
      <c r="GC1275" s="1">
        <v>42628</v>
      </c>
      <c r="GD1275">
        <v>4</v>
      </c>
      <c r="GE1275">
        <v>5916895</v>
      </c>
      <c r="GF1275" t="s">
        <v>1390</v>
      </c>
      <c r="GH1275" s="1">
        <v>42515</v>
      </c>
      <c r="GI1275">
        <v>2015</v>
      </c>
      <c r="GJ1275">
        <v>6446.85</v>
      </c>
      <c r="GK1275" t="s">
        <v>12994</v>
      </c>
      <c r="GL1275">
        <v>0.25</v>
      </c>
      <c r="GM1275" t="s">
        <v>424</v>
      </c>
      <c r="GN1275" t="s">
        <v>425</v>
      </c>
      <c r="GP1275">
        <v>22</v>
      </c>
      <c r="GQ1275">
        <v>5913515</v>
      </c>
      <c r="GR1275" t="s">
        <v>12995</v>
      </c>
      <c r="GT1275" s="1">
        <v>42151</v>
      </c>
      <c r="GU1275">
        <v>2014</v>
      </c>
      <c r="GV1275">
        <v>5089.59</v>
      </c>
      <c r="GW1275" t="s">
        <v>12996</v>
      </c>
      <c r="GX1275">
        <v>0.25</v>
      </c>
      <c r="GY1275" t="s">
        <v>424</v>
      </c>
      <c r="GZ1275" t="s">
        <v>425</v>
      </c>
      <c r="HA1275" s="1">
        <v>42235</v>
      </c>
      <c r="HB1275">
        <v>3</v>
      </c>
      <c r="HC1275">
        <v>2101382</v>
      </c>
      <c r="HD1275" t="s">
        <v>993</v>
      </c>
      <c r="HF1275" s="1">
        <v>42151</v>
      </c>
      <c r="HG1275">
        <v>2014</v>
      </c>
      <c r="HH1275">
        <v>5089.59</v>
      </c>
      <c r="HI1275" t="s">
        <v>12996</v>
      </c>
      <c r="HJ1275">
        <v>0.25</v>
      </c>
      <c r="HK1275" t="s">
        <v>424</v>
      </c>
      <c r="HL1275" t="s">
        <v>425</v>
      </c>
      <c r="HN1275">
        <v>22</v>
      </c>
      <c r="HO1275">
        <v>5483781</v>
      </c>
      <c r="HP1275" t="s">
        <v>12997</v>
      </c>
      <c r="HR1275" s="1">
        <v>41787</v>
      </c>
      <c r="HS1275">
        <v>2013</v>
      </c>
      <c r="HT1275">
        <v>4872.3900000000003</v>
      </c>
      <c r="HU1275" t="s">
        <v>12998</v>
      </c>
      <c r="HV1275">
        <v>0.25</v>
      </c>
      <c r="HW1275" t="s">
        <v>424</v>
      </c>
      <c r="HX1275" t="s">
        <v>425</v>
      </c>
      <c r="HY1275" s="1">
        <v>42186</v>
      </c>
      <c r="HZ1275">
        <v>14</v>
      </c>
      <c r="IA1275">
        <v>2407503</v>
      </c>
      <c r="IB1275" t="s">
        <v>461</v>
      </c>
      <c r="ID1275" s="1">
        <v>41423</v>
      </c>
      <c r="IE1275">
        <v>2012</v>
      </c>
      <c r="IF1275">
        <v>4959.1000000000004</v>
      </c>
      <c r="IG1275" t="s">
        <v>12999</v>
      </c>
      <c r="IH1275">
        <v>0.25</v>
      </c>
      <c r="II1275" t="s">
        <v>424</v>
      </c>
      <c r="IJ1275" t="s">
        <v>425</v>
      </c>
      <c r="IL1275">
        <v>22</v>
      </c>
      <c r="IM1275">
        <v>11303</v>
      </c>
      <c r="IN1275" t="s">
        <v>918</v>
      </c>
      <c r="IP1275" s="1">
        <v>41423</v>
      </c>
      <c r="IQ1275">
        <v>2012</v>
      </c>
      <c r="IR1275">
        <v>4959.1000000000004</v>
      </c>
      <c r="IS1275" t="s">
        <v>12999</v>
      </c>
      <c r="IT1275">
        <v>0.25</v>
      </c>
      <c r="IU1275" t="s">
        <v>424</v>
      </c>
      <c r="IV1275" t="s">
        <v>425</v>
      </c>
      <c r="IW1275" s="1">
        <v>42061</v>
      </c>
      <c r="IX1275">
        <v>21</v>
      </c>
      <c r="IY1275">
        <v>4844956</v>
      </c>
      <c r="IZ1275" t="s">
        <v>919</v>
      </c>
      <c r="JB1275" s="1">
        <v>41052</v>
      </c>
      <c r="JC1275">
        <v>2011</v>
      </c>
      <c r="JD1275">
        <v>5224.0600000000004</v>
      </c>
      <c r="JE1275" t="s">
        <v>13000</v>
      </c>
      <c r="JF1275">
        <v>3.75</v>
      </c>
      <c r="JG1275" t="s">
        <v>424</v>
      </c>
      <c r="JH1275" t="s">
        <v>425</v>
      </c>
      <c r="JI1275" s="1">
        <v>41697</v>
      </c>
      <c r="JJ1275">
        <v>21</v>
      </c>
      <c r="JK1275">
        <v>1625515</v>
      </c>
      <c r="JL1275" t="s">
        <v>487</v>
      </c>
      <c r="JN1275" s="1">
        <v>41052</v>
      </c>
      <c r="JO1275">
        <v>2011</v>
      </c>
      <c r="JP1275">
        <v>5224.0600000000004</v>
      </c>
      <c r="JQ1275" t="s">
        <v>13000</v>
      </c>
      <c r="JR1275">
        <v>3.75</v>
      </c>
      <c r="JS1275" t="s">
        <v>424</v>
      </c>
      <c r="JT1275" t="s">
        <v>425</v>
      </c>
      <c r="JV1275">
        <v>22</v>
      </c>
      <c r="JW1275">
        <v>10579</v>
      </c>
      <c r="JX1275" t="s">
        <v>488</v>
      </c>
      <c r="JZ1275" s="1">
        <v>40688</v>
      </c>
      <c r="KA1275">
        <v>2010</v>
      </c>
      <c r="KB1275">
        <v>5302.53</v>
      </c>
      <c r="KC1275" t="s">
        <v>13001</v>
      </c>
      <c r="KD1275">
        <v>5</v>
      </c>
      <c r="KE1275" t="s">
        <v>424</v>
      </c>
      <c r="KF1275" t="s">
        <v>425</v>
      </c>
      <c r="KG1275" s="1">
        <v>41332</v>
      </c>
      <c r="KH1275">
        <v>21</v>
      </c>
      <c r="KI1275">
        <v>10579</v>
      </c>
      <c r="KJ1275" t="s">
        <v>488</v>
      </c>
    </row>
    <row r="1276" spans="1:296" x14ac:dyDescent="0.25">
      <c r="A1276">
        <v>16486283</v>
      </c>
      <c r="B1276">
        <v>1275</v>
      </c>
      <c r="C1276" t="s">
        <v>393</v>
      </c>
      <c r="D1276" t="s">
        <v>394</v>
      </c>
      <c r="F1276" t="str">
        <f>"42-2N-27-438U-0010-0000"</f>
        <v>42-2N-27-438U-0010-0000</v>
      </c>
      <c r="H1276" t="str">
        <f>"STEVENSON COLLISION CENTER INC"</f>
        <v>STEVENSON COLLISION CENTER INC</v>
      </c>
      <c r="I1276" t="str">
        <f>"85049 COMMERCIAL PARK DRIVE"</f>
        <v>85049 COMMERCIAL PARK DRIVE</v>
      </c>
      <c r="J1276" t="str">
        <f>"YULEE FL 32097"</f>
        <v>YULEE FL 32097</v>
      </c>
      <c r="K1276" t="str">
        <f>"COMMERCIAL PARK DR"</f>
        <v>COMMERCIAL PARK DR</v>
      </c>
      <c r="L1276" t="str">
        <f t="shared" si="430"/>
        <v>YULEE FL 32097</v>
      </c>
      <c r="M1276" t="str">
        <f>"LOT 10 IN OR 1191/219 EX 15X15 FT ESMT IN NE CORNER US 17 COMMERICAL PARK PB 6/259"</f>
        <v>LOT 10 IN OR 1191/219 EX 15X15 FT ESMT IN NE CORNER US 17 COMMERICAL PARK PB 6/259</v>
      </c>
      <c r="N1276" t="str">
        <f>""</f>
        <v/>
      </c>
      <c r="O1276" t="str">
        <f>"48216"</f>
        <v>48216</v>
      </c>
      <c r="P1276" t="str">
        <f t="shared" si="416"/>
        <v>2017</v>
      </c>
      <c r="Q1276" t="str">
        <f>""</f>
        <v/>
      </c>
      <c r="R1276" t="str">
        <f t="shared" si="429"/>
        <v>N</v>
      </c>
      <c r="S1276" t="str">
        <f>""</f>
        <v/>
      </c>
      <c r="T1276" t="str">
        <f>"1689.55"</f>
        <v>1689.55</v>
      </c>
      <c r="U1276" t="str">
        <f>"111604.00"</f>
        <v>111604.00</v>
      </c>
      <c r="V1276" t="str">
        <f>"111604.00"</f>
        <v>111604.00</v>
      </c>
      <c r="W1276" t="str">
        <f t="shared" si="418"/>
        <v>2017</v>
      </c>
      <c r="X1276" t="str">
        <f>"16.45"</f>
        <v>16.45</v>
      </c>
      <c r="Y1276" t="str">
        <f>"1772.24"</f>
        <v>1772.24</v>
      </c>
      <c r="Z1276" t="str">
        <f>""</f>
        <v/>
      </c>
      <c r="AA1276" t="str">
        <f>"111604.00"</f>
        <v>111604.00</v>
      </c>
      <c r="AB1276" t="str">
        <f>"Commercial"</f>
        <v>Commercial</v>
      </c>
      <c r="AC1276" t="str">
        <f t="shared" si="422"/>
        <v>0</v>
      </c>
      <c r="AD1276" t="str">
        <f>""</f>
        <v/>
      </c>
      <c r="AE1276" t="str">
        <f>""</f>
        <v/>
      </c>
      <c r="AF1276" t="str">
        <f>"010"</f>
        <v>010</v>
      </c>
      <c r="AG1276" t="str">
        <f t="shared" si="424"/>
        <v>FL</v>
      </c>
      <c r="AH1276" t="str">
        <f>"44642.00"</f>
        <v>44642.00</v>
      </c>
      <c r="AI1276" t="str">
        <f>"111604.00"</f>
        <v>111604.00</v>
      </c>
      <c r="AJ1276" t="str">
        <f>"C55-000-588-1831-1"</f>
        <v>C55-000-588-1831-1</v>
      </c>
      <c r="AK1276" t="str">
        <f>"21873"</f>
        <v>21873</v>
      </c>
      <c r="AL1276">
        <v>5</v>
      </c>
      <c r="AM1276">
        <v>1452</v>
      </c>
      <c r="AN1276">
        <v>1859.25</v>
      </c>
      <c r="AQ1276" t="s">
        <v>13002</v>
      </c>
      <c r="AR1276" t="s">
        <v>13002</v>
      </c>
      <c r="AS1276" t="s">
        <v>13002</v>
      </c>
      <c r="AU1276" t="s">
        <v>396</v>
      </c>
      <c r="AV1276">
        <v>2017</v>
      </c>
      <c r="AW1276" t="str">
        <f>"42-2N-27-438U-0010-0000 "</f>
        <v xml:space="preserve">42-2N-27-438U-0010-0000 </v>
      </c>
      <c r="AZ1276" t="s">
        <v>12969</v>
      </c>
      <c r="BA1276" t="s">
        <v>669</v>
      </c>
      <c r="BD1276" t="s">
        <v>2387</v>
      </c>
      <c r="BE1276" t="s">
        <v>393</v>
      </c>
      <c r="BF1276">
        <v>32097</v>
      </c>
      <c r="BG1276" t="s">
        <v>12970</v>
      </c>
      <c r="BH1276" t="s">
        <v>2388</v>
      </c>
      <c r="BI1276">
        <v>-81.598738019276297</v>
      </c>
      <c r="BJ1276">
        <v>30.6027156589866</v>
      </c>
      <c r="BK1276" t="s">
        <v>12989</v>
      </c>
      <c r="BM1276" t="s">
        <v>12988</v>
      </c>
      <c r="BN1276" t="s">
        <v>1778</v>
      </c>
      <c r="BO1276">
        <v>32097</v>
      </c>
      <c r="BP1276" t="s">
        <v>404</v>
      </c>
      <c r="BQ1276">
        <v>1000</v>
      </c>
      <c r="BR1276" t="s">
        <v>2391</v>
      </c>
      <c r="BS1276">
        <v>8002</v>
      </c>
      <c r="BT1276" t="s">
        <v>2392</v>
      </c>
      <c r="BW1276">
        <v>44645</v>
      </c>
      <c r="BX1276" t="s">
        <v>407</v>
      </c>
      <c r="BY1276" t="s">
        <v>4413</v>
      </c>
      <c r="CD1276">
        <v>2017</v>
      </c>
      <c r="CE1276">
        <v>111604</v>
      </c>
      <c r="CG1276">
        <v>111604</v>
      </c>
      <c r="CH1276">
        <v>2017</v>
      </c>
      <c r="CI1276">
        <v>111604</v>
      </c>
      <c r="CK1276">
        <v>111604</v>
      </c>
      <c r="CL1276">
        <v>2017</v>
      </c>
      <c r="CM1276">
        <v>1689.55</v>
      </c>
      <c r="CN1276" s="1">
        <v>37950</v>
      </c>
      <c r="CO1276">
        <v>150000</v>
      </c>
      <c r="CV1276">
        <v>141800</v>
      </c>
      <c r="CX1276" t="s">
        <v>675</v>
      </c>
      <c r="CZ1276" s="1">
        <v>37950</v>
      </c>
      <c r="DA1276">
        <v>0</v>
      </c>
      <c r="DD1276" t="s">
        <v>2387</v>
      </c>
      <c r="DF1276">
        <v>10</v>
      </c>
      <c r="DG1276">
        <v>42</v>
      </c>
      <c r="DL1276">
        <v>50302</v>
      </c>
      <c r="DM1276" t="s">
        <v>12468</v>
      </c>
      <c r="DO1276" t="s">
        <v>13003</v>
      </c>
      <c r="DP1276">
        <v>1</v>
      </c>
      <c r="DQ1276">
        <v>2</v>
      </c>
      <c r="DR1276" t="s">
        <v>1174</v>
      </c>
      <c r="DS1276" t="b">
        <v>1</v>
      </c>
      <c r="DT1276" t="s">
        <v>470</v>
      </c>
      <c r="DU1276" t="s">
        <v>471</v>
      </c>
      <c r="DV1276" t="s">
        <v>472</v>
      </c>
      <c r="DX1276">
        <v>-9999</v>
      </c>
      <c r="DZ1276" t="s">
        <v>447</v>
      </c>
      <c r="EA1276" t="s">
        <v>448</v>
      </c>
      <c r="EB1276" t="s">
        <v>742</v>
      </c>
      <c r="EC1276">
        <v>20101217</v>
      </c>
      <c r="ED1276" t="s">
        <v>474</v>
      </c>
      <c r="EF1276">
        <v>2202.5</v>
      </c>
      <c r="EG1276">
        <v>2202.5</v>
      </c>
      <c r="EI1276">
        <v>20160407</v>
      </c>
      <c r="EJ1276">
        <v>0</v>
      </c>
      <c r="EK1276">
        <v>0</v>
      </c>
      <c r="EP1276" t="s">
        <v>421</v>
      </c>
      <c r="EQ1276" t="s">
        <v>422</v>
      </c>
      <c r="ER1276">
        <v>0</v>
      </c>
      <c r="ES1276">
        <v>9</v>
      </c>
      <c r="ET1276">
        <v>0</v>
      </c>
      <c r="EU1276">
        <v>0</v>
      </c>
      <c r="EV1276">
        <v>0</v>
      </c>
      <c r="EW1276" s="2">
        <v>43222</v>
      </c>
      <c r="EX1276" s="1">
        <v>42879</v>
      </c>
      <c r="EY1276">
        <v>2016</v>
      </c>
      <c r="EZ1276">
        <v>1879.85</v>
      </c>
      <c r="FA1276" t="s">
        <v>13004</v>
      </c>
      <c r="FB1276">
        <v>0.25</v>
      </c>
      <c r="FC1276" t="s">
        <v>424</v>
      </c>
      <c r="FD1276" t="s">
        <v>425</v>
      </c>
      <c r="FE1276" s="1">
        <v>42909</v>
      </c>
      <c r="FF1276">
        <v>1</v>
      </c>
      <c r="FG1276">
        <v>7400234</v>
      </c>
      <c r="FH1276" t="s">
        <v>426</v>
      </c>
      <c r="FJ1276" s="1">
        <v>42879</v>
      </c>
      <c r="FK1276">
        <v>2016</v>
      </c>
      <c r="FL1276">
        <v>1879.85</v>
      </c>
      <c r="FM1276" t="s">
        <v>13004</v>
      </c>
      <c r="FN1276">
        <v>0.25</v>
      </c>
      <c r="FO1276" t="s">
        <v>424</v>
      </c>
      <c r="FP1276" t="s">
        <v>425</v>
      </c>
      <c r="FR1276">
        <v>22</v>
      </c>
      <c r="FS1276">
        <v>7573228</v>
      </c>
      <c r="FT1276" t="s">
        <v>13005</v>
      </c>
      <c r="FV1276" s="1">
        <v>42515</v>
      </c>
      <c r="FW1276">
        <v>2015</v>
      </c>
      <c r="FX1276">
        <v>1919.84</v>
      </c>
      <c r="FY1276" t="s">
        <v>13006</v>
      </c>
      <c r="FZ1276">
        <v>0.25</v>
      </c>
      <c r="GA1276" t="s">
        <v>424</v>
      </c>
      <c r="GB1276" t="s">
        <v>425</v>
      </c>
      <c r="GC1276" s="1">
        <v>42909</v>
      </c>
      <c r="GD1276">
        <v>13</v>
      </c>
      <c r="GE1276">
        <v>7045074</v>
      </c>
      <c r="GF1276" t="s">
        <v>580</v>
      </c>
      <c r="GH1276" s="1">
        <v>42515</v>
      </c>
      <c r="GI1276">
        <v>2015</v>
      </c>
      <c r="GJ1276">
        <v>1919.84</v>
      </c>
      <c r="GK1276" t="s">
        <v>13006</v>
      </c>
      <c r="GL1276">
        <v>0.25</v>
      </c>
      <c r="GM1276" t="s">
        <v>424</v>
      </c>
      <c r="GN1276" t="s">
        <v>425</v>
      </c>
      <c r="GP1276">
        <v>22</v>
      </c>
      <c r="GQ1276">
        <v>6518216</v>
      </c>
      <c r="GR1276" t="s">
        <v>13007</v>
      </c>
      <c r="GT1276" s="1">
        <v>42151</v>
      </c>
      <c r="GU1276">
        <v>2014</v>
      </c>
      <c r="GV1276">
        <v>1929.45</v>
      </c>
      <c r="GW1276" t="s">
        <v>13008</v>
      </c>
      <c r="GX1276">
        <v>4.75</v>
      </c>
      <c r="GY1276" t="s">
        <v>424</v>
      </c>
      <c r="GZ1276" t="s">
        <v>425</v>
      </c>
      <c r="HA1276" s="1">
        <v>42793</v>
      </c>
      <c r="HB1276">
        <v>21</v>
      </c>
      <c r="HC1276">
        <v>4975593</v>
      </c>
      <c r="HD1276" t="s">
        <v>505</v>
      </c>
      <c r="HF1276" s="1">
        <v>41787</v>
      </c>
      <c r="HG1276">
        <v>2013</v>
      </c>
      <c r="HH1276">
        <v>1827.45</v>
      </c>
      <c r="HI1276" t="s">
        <v>13009</v>
      </c>
      <c r="HJ1276">
        <v>0.25</v>
      </c>
      <c r="HK1276" t="s">
        <v>424</v>
      </c>
      <c r="HL1276" t="s">
        <v>425</v>
      </c>
      <c r="HM1276" s="1">
        <v>42424</v>
      </c>
      <c r="HN1276">
        <v>21</v>
      </c>
      <c r="HO1276">
        <v>2407503</v>
      </c>
      <c r="HP1276" t="s">
        <v>461</v>
      </c>
      <c r="HR1276" s="1">
        <v>41423</v>
      </c>
      <c r="HS1276">
        <v>2012</v>
      </c>
      <c r="HT1276">
        <v>1850.02</v>
      </c>
      <c r="HU1276" t="s">
        <v>13010</v>
      </c>
      <c r="HV1276">
        <v>0.25</v>
      </c>
      <c r="HW1276" t="s">
        <v>424</v>
      </c>
      <c r="HX1276" t="s">
        <v>425</v>
      </c>
      <c r="HY1276" s="1">
        <v>42061</v>
      </c>
      <c r="HZ1276">
        <v>21</v>
      </c>
      <c r="IA1276">
        <v>606977</v>
      </c>
      <c r="IB1276" t="s">
        <v>1286</v>
      </c>
      <c r="ID1276" s="1">
        <v>41052</v>
      </c>
      <c r="IE1276">
        <v>2011</v>
      </c>
      <c r="IF1276">
        <v>2246</v>
      </c>
      <c r="IG1276" t="s">
        <v>13011</v>
      </c>
      <c r="IH1276">
        <v>5</v>
      </c>
      <c r="II1276" t="s">
        <v>424</v>
      </c>
      <c r="IJ1276" t="s">
        <v>425</v>
      </c>
      <c r="IK1276" s="1">
        <v>41697</v>
      </c>
      <c r="IL1276">
        <v>21</v>
      </c>
      <c r="IM1276">
        <v>62</v>
      </c>
      <c r="IN1276" t="s">
        <v>463</v>
      </c>
      <c r="IP1276" s="1">
        <v>40688</v>
      </c>
      <c r="IQ1276">
        <v>2010</v>
      </c>
      <c r="IR1276">
        <v>2257.25</v>
      </c>
      <c r="IS1276" t="s">
        <v>13012</v>
      </c>
      <c r="IT1276">
        <v>5</v>
      </c>
      <c r="IU1276" t="s">
        <v>424</v>
      </c>
      <c r="IV1276" t="s">
        <v>425</v>
      </c>
      <c r="IW1276" s="1">
        <v>41332</v>
      </c>
      <c r="IX1276">
        <v>21</v>
      </c>
      <c r="IY1276">
        <v>287</v>
      </c>
      <c r="IZ1276" t="s">
        <v>572</v>
      </c>
    </row>
    <row r="1277" spans="1:296" x14ac:dyDescent="0.25">
      <c r="A1277">
        <v>16486284</v>
      </c>
      <c r="B1277">
        <v>1276</v>
      </c>
      <c r="C1277" t="s">
        <v>393</v>
      </c>
      <c r="D1277" t="s">
        <v>394</v>
      </c>
      <c r="F1277" t="str">
        <f>"42-2N-27-4400-0003-0200"</f>
        <v>42-2N-27-4400-0003-0200</v>
      </c>
      <c r="H1277" t="str">
        <f>"STRUBLE RONALD JOE &amp; DEBORAH L"</f>
        <v>STRUBLE RONALD JOE &amp; DEBORAH L</v>
      </c>
      <c r="I1277" t="str">
        <f>"P O BOX 1403"</f>
        <v>P O BOX 1403</v>
      </c>
      <c r="J1277" t="str">
        <f>"YULEE FL 32041"</f>
        <v>YULEE FL 32041</v>
      </c>
      <c r="K1277" t="str">
        <f>"86798 HESTER DR"</f>
        <v>86798 HESTER DR</v>
      </c>
      <c r="L1277" t="str">
        <f t="shared" si="430"/>
        <v>YULEE FL 32097</v>
      </c>
      <c r="M1277" t="str">
        <f>"BLOCK 3 LOT 20 IN OR 360 PG 372 YULEE HEIGHTS SUB PB 3/47A"</f>
        <v>BLOCK 3 LOT 20 IN OR 360 PG 372 YULEE HEIGHTS SUB PB 3/47A</v>
      </c>
      <c r="N1277" t="str">
        <f>""</f>
        <v/>
      </c>
      <c r="O1277" t="str">
        <f>"48275"</f>
        <v>48275</v>
      </c>
      <c r="P1277" t="str">
        <f t="shared" si="416"/>
        <v>2017</v>
      </c>
      <c r="Q1277" t="str">
        <f>""</f>
        <v/>
      </c>
      <c r="R1277" t="str">
        <f>"Y"</f>
        <v>Y</v>
      </c>
      <c r="S1277" t="str">
        <f>""</f>
        <v/>
      </c>
      <c r="T1277" t="str">
        <f>"326.39"</f>
        <v>326.39</v>
      </c>
      <c r="U1277" t="str">
        <f>"46560.00"</f>
        <v>46560.00</v>
      </c>
      <c r="V1277" t="str">
        <f>"46560.00"</f>
        <v>46560.00</v>
      </c>
      <c r="W1277" t="str">
        <f t="shared" si="418"/>
        <v>2017</v>
      </c>
      <c r="X1277" t="str">
        <f>"5.60"</f>
        <v>5.60</v>
      </c>
      <c r="Y1277" t="str">
        <f>"368.18"</f>
        <v>368.18</v>
      </c>
      <c r="Z1277" t="str">
        <f>"25000.00"</f>
        <v>25000.00</v>
      </c>
      <c r="AA1277" t="str">
        <f>"21560.00"</f>
        <v>21560.00</v>
      </c>
      <c r="AB1277" t="str">
        <f t="shared" ref="AB1277:AB1291" si="431">"Residential"</f>
        <v>Residential</v>
      </c>
      <c r="AC1277" t="str">
        <f t="shared" si="422"/>
        <v>0</v>
      </c>
      <c r="AD1277" t="str">
        <f>"4"</f>
        <v>4</v>
      </c>
      <c r="AE1277" t="str">
        <f>"WOOD (INCLUDE STEEL STUDS)"</f>
        <v>WOOD (INCLUDE STEEL STUDS)</v>
      </c>
      <c r="AF1277" t="str">
        <f>"001"</f>
        <v>001</v>
      </c>
      <c r="AG1277" t="str">
        <f t="shared" si="424"/>
        <v>FL</v>
      </c>
      <c r="AH1277" t="str">
        <f>"13200.00"</f>
        <v>13200.00</v>
      </c>
      <c r="AI1277" t="str">
        <f>"17517.00"</f>
        <v>17517.00</v>
      </c>
      <c r="AJ1277" t="str">
        <f>"C55-000-588-1886-5"</f>
        <v>C55-000-588-1886-5</v>
      </c>
      <c r="AK1277" t="str">
        <f>"21949"</f>
        <v>21949</v>
      </c>
      <c r="AL1277">
        <v>5</v>
      </c>
      <c r="AM1277">
        <v>1453</v>
      </c>
      <c r="AN1277">
        <v>384.99</v>
      </c>
      <c r="AQ1277" t="s">
        <v>13013</v>
      </c>
      <c r="AR1277" t="s">
        <v>13013</v>
      </c>
      <c r="AS1277" t="s">
        <v>13013</v>
      </c>
      <c r="AU1277" t="s">
        <v>396</v>
      </c>
      <c r="AV1277">
        <v>2017</v>
      </c>
      <c r="AW1277" t="str">
        <f>"42-2N-27-4400-0003-0200 "</f>
        <v xml:space="preserve">42-2N-27-4400-0003-0200 </v>
      </c>
      <c r="AX1277">
        <v>86798</v>
      </c>
      <c r="AZ1277" t="s">
        <v>13014</v>
      </c>
      <c r="BA1277" t="s">
        <v>669</v>
      </c>
      <c r="BD1277" t="s">
        <v>2387</v>
      </c>
      <c r="BE1277" t="s">
        <v>393</v>
      </c>
      <c r="BF1277">
        <v>32097</v>
      </c>
      <c r="BG1277" t="s">
        <v>13015</v>
      </c>
      <c r="BH1277" t="s">
        <v>2388</v>
      </c>
      <c r="BI1277">
        <v>-81.594294262432598</v>
      </c>
      <c r="BJ1277">
        <v>30.609537488113901</v>
      </c>
      <c r="BK1277" t="s">
        <v>13016</v>
      </c>
      <c r="BL1277" t="s">
        <v>13017</v>
      </c>
      <c r="BM1277" t="s">
        <v>13018</v>
      </c>
      <c r="BN1277" t="s">
        <v>1778</v>
      </c>
      <c r="BO1277">
        <v>32041</v>
      </c>
      <c r="BP1277" t="s">
        <v>404</v>
      </c>
      <c r="BQ1277">
        <v>100</v>
      </c>
      <c r="BR1277" t="s">
        <v>514</v>
      </c>
      <c r="BS1277">
        <v>1001</v>
      </c>
      <c r="BT1277" t="s">
        <v>515</v>
      </c>
      <c r="BU1277">
        <v>1100</v>
      </c>
      <c r="BV1277">
        <v>1200</v>
      </c>
      <c r="BW1277">
        <v>13065</v>
      </c>
      <c r="BX1277" t="s">
        <v>407</v>
      </c>
      <c r="BY1277" t="s">
        <v>7351</v>
      </c>
      <c r="BZ1277">
        <v>4</v>
      </c>
      <c r="CA1277">
        <v>1960</v>
      </c>
      <c r="CB1277">
        <v>1</v>
      </c>
      <c r="CC1277">
        <v>1</v>
      </c>
      <c r="CD1277">
        <v>2017</v>
      </c>
      <c r="CG1277">
        <v>46560</v>
      </c>
      <c r="CH1277">
        <v>2017</v>
      </c>
      <c r="CI1277">
        <v>17517</v>
      </c>
      <c r="CJ1277">
        <v>45051</v>
      </c>
      <c r="CK1277">
        <v>62568</v>
      </c>
      <c r="CL1277">
        <v>2017</v>
      </c>
      <c r="CM1277">
        <v>326.39</v>
      </c>
      <c r="CN1277" s="1">
        <v>30072</v>
      </c>
      <c r="CO1277">
        <v>24700</v>
      </c>
      <c r="CZ1277" s="1">
        <v>30072</v>
      </c>
      <c r="DD1277" t="s">
        <v>2387</v>
      </c>
      <c r="DF1277">
        <v>20</v>
      </c>
      <c r="DG1277">
        <v>42</v>
      </c>
      <c r="DJ1277" t="s">
        <v>13019</v>
      </c>
      <c r="DL1277">
        <v>50302</v>
      </c>
      <c r="DM1277" t="s">
        <v>12468</v>
      </c>
      <c r="DO1277" t="s">
        <v>13020</v>
      </c>
      <c r="DP1277">
        <v>0</v>
      </c>
      <c r="DQ1277">
        <v>0</v>
      </c>
      <c r="DR1277" t="s">
        <v>411</v>
      </c>
      <c r="DS1277" t="b">
        <v>1</v>
      </c>
      <c r="DT1277" t="s">
        <v>470</v>
      </c>
      <c r="DU1277" t="s">
        <v>471</v>
      </c>
      <c r="DV1277" t="s">
        <v>472</v>
      </c>
      <c r="DX1277">
        <v>-9999</v>
      </c>
      <c r="DZ1277" t="s">
        <v>447</v>
      </c>
      <c r="EA1277" t="s">
        <v>448</v>
      </c>
      <c r="EB1277" t="s">
        <v>742</v>
      </c>
      <c r="EC1277">
        <v>20101217</v>
      </c>
      <c r="ED1277" t="s">
        <v>474</v>
      </c>
      <c r="EF1277">
        <v>3901.2</v>
      </c>
      <c r="EG1277">
        <v>3901.2</v>
      </c>
      <c r="EI1277">
        <v>20160407</v>
      </c>
      <c r="EJ1277">
        <v>0</v>
      </c>
      <c r="EK1277">
        <v>0</v>
      </c>
      <c r="EP1277" t="s">
        <v>421</v>
      </c>
      <c r="EQ1277" t="s">
        <v>422</v>
      </c>
      <c r="ER1277">
        <v>0</v>
      </c>
      <c r="ES1277">
        <v>6</v>
      </c>
      <c r="ET1277">
        <v>0</v>
      </c>
      <c r="EU1277">
        <v>0</v>
      </c>
      <c r="EV1277">
        <v>0</v>
      </c>
      <c r="EW1277" s="2">
        <v>43222</v>
      </c>
      <c r="EX1277" s="1">
        <v>42879</v>
      </c>
      <c r="EY1277">
        <v>2016</v>
      </c>
      <c r="EZ1277">
        <v>369.03</v>
      </c>
      <c r="FA1277" t="s">
        <v>13021</v>
      </c>
      <c r="FB1277">
        <v>0.25</v>
      </c>
      <c r="FC1277" t="s">
        <v>424</v>
      </c>
      <c r="FD1277" t="s">
        <v>425</v>
      </c>
      <c r="FE1277" s="1">
        <v>42898</v>
      </c>
      <c r="FF1277">
        <v>1</v>
      </c>
      <c r="FG1277">
        <v>5857474</v>
      </c>
      <c r="FH1277" t="s">
        <v>900</v>
      </c>
      <c r="FJ1277" s="1">
        <v>42879</v>
      </c>
      <c r="FK1277">
        <v>2016</v>
      </c>
      <c r="FL1277">
        <v>369.03</v>
      </c>
      <c r="FM1277" t="s">
        <v>13021</v>
      </c>
      <c r="FN1277">
        <v>0.25</v>
      </c>
      <c r="FO1277" t="s">
        <v>424</v>
      </c>
      <c r="FP1277" t="s">
        <v>425</v>
      </c>
      <c r="FR1277">
        <v>22</v>
      </c>
      <c r="FS1277">
        <v>6700895</v>
      </c>
      <c r="FT1277" t="s">
        <v>13022</v>
      </c>
      <c r="FV1277" s="1">
        <v>42515</v>
      </c>
      <c r="FW1277">
        <v>2015</v>
      </c>
      <c r="FX1277">
        <v>366.95</v>
      </c>
      <c r="FY1277" t="s">
        <v>13023</v>
      </c>
      <c r="FZ1277">
        <v>0.25</v>
      </c>
      <c r="GA1277" t="s">
        <v>424</v>
      </c>
      <c r="GB1277" t="s">
        <v>425</v>
      </c>
      <c r="GC1277" s="1">
        <v>42531</v>
      </c>
      <c r="GD1277">
        <v>1</v>
      </c>
      <c r="GE1277">
        <v>5916895</v>
      </c>
      <c r="GF1277" t="s">
        <v>1390</v>
      </c>
      <c r="GH1277" s="1">
        <v>42515</v>
      </c>
      <c r="GI1277">
        <v>2015</v>
      </c>
      <c r="GJ1277">
        <v>366.95</v>
      </c>
      <c r="GK1277" t="s">
        <v>13023</v>
      </c>
      <c r="GL1277">
        <v>0.25</v>
      </c>
      <c r="GM1277" t="s">
        <v>424</v>
      </c>
      <c r="GN1277" t="s">
        <v>425</v>
      </c>
      <c r="GP1277">
        <v>22</v>
      </c>
      <c r="GQ1277">
        <v>6009322</v>
      </c>
      <c r="GR1277" t="s">
        <v>13024</v>
      </c>
      <c r="GT1277" s="1">
        <v>41787</v>
      </c>
      <c r="GU1277">
        <v>2013</v>
      </c>
      <c r="GV1277">
        <v>333.59</v>
      </c>
      <c r="GW1277" t="s">
        <v>13025</v>
      </c>
      <c r="GX1277">
        <v>0.25</v>
      </c>
      <c r="GY1277" t="s">
        <v>424</v>
      </c>
      <c r="GZ1277" t="s">
        <v>425</v>
      </c>
      <c r="HA1277" s="1">
        <v>41947</v>
      </c>
      <c r="HB1277">
        <v>6</v>
      </c>
      <c r="HC1277">
        <v>2662137</v>
      </c>
      <c r="HD1277" t="s">
        <v>916</v>
      </c>
      <c r="HF1277" s="1">
        <v>40688</v>
      </c>
      <c r="HG1277">
        <v>2010</v>
      </c>
      <c r="HH1277">
        <v>263.76</v>
      </c>
      <c r="HI1277" t="s">
        <v>13026</v>
      </c>
      <c r="HJ1277">
        <v>6.5</v>
      </c>
      <c r="HK1277" t="s">
        <v>424</v>
      </c>
      <c r="HL1277" t="s">
        <v>425</v>
      </c>
      <c r="HM1277" s="1">
        <v>40949</v>
      </c>
      <c r="HN1277">
        <v>9</v>
      </c>
      <c r="HO1277">
        <v>62</v>
      </c>
      <c r="HP1277" t="s">
        <v>463</v>
      </c>
    </row>
    <row r="1278" spans="1:296" x14ac:dyDescent="0.25">
      <c r="A1278">
        <v>16486285</v>
      </c>
      <c r="B1278">
        <v>1277</v>
      </c>
      <c r="C1278" t="s">
        <v>393</v>
      </c>
      <c r="D1278" t="s">
        <v>394</v>
      </c>
      <c r="F1278" t="str">
        <f>"42-2N-27-4400-0004-0010"</f>
        <v>42-2N-27-4400-0004-0010</v>
      </c>
      <c r="H1278" t="str">
        <f>"MCNULTY MATTHEW J &amp; AMANDA R"</f>
        <v>MCNULTY MATTHEW J &amp; AMANDA R</v>
      </c>
      <c r="I1278" t="str">
        <f>"232 LAKE FOREST SOUTH DR"</f>
        <v>232 LAKE FOREST SOUTH DR</v>
      </c>
      <c r="J1278" t="str">
        <f>"KINGSLAND GA 31548"</f>
        <v>KINGSLAND GA 31548</v>
      </c>
      <c r="K1278" t="str">
        <f>"85191 AUSMUS AVE"</f>
        <v>85191 AUSMUS AVE</v>
      </c>
      <c r="L1278" t="str">
        <f t="shared" si="430"/>
        <v>YULEE FL 32097</v>
      </c>
      <c r="M1278" t="str">
        <f>"BLOCK 4 LOTS 1 &amp; 21 EX S56.2 FT OF LOT 21 IN OR 1322/1057 YULEE HEIGHTS SUB PB 3/47A"</f>
        <v>BLOCK 4 LOTS 1 &amp; 21 EX S56.2 FT OF LOT 21 IN OR 1322/1057 YULEE HEIGHTS SUB PB 3/47A</v>
      </c>
      <c r="N1278" t="str">
        <f>""</f>
        <v/>
      </c>
      <c r="O1278" t="str">
        <f>"48276"</f>
        <v>48276</v>
      </c>
      <c r="P1278" t="str">
        <f t="shared" si="416"/>
        <v>2017</v>
      </c>
      <c r="Q1278" t="str">
        <f>""</f>
        <v/>
      </c>
      <c r="R1278" t="str">
        <f>"N"</f>
        <v>N</v>
      </c>
      <c r="S1278" t="str">
        <f>""</f>
        <v/>
      </c>
      <c r="T1278" t="str">
        <f>"1688.44"</f>
        <v>1688.44</v>
      </c>
      <c r="U1278" t="str">
        <f>"111530.00"</f>
        <v>111530.00</v>
      </c>
      <c r="V1278" t="str">
        <f>"111530.00"</f>
        <v>111530.00</v>
      </c>
      <c r="W1278" t="str">
        <f t="shared" si="418"/>
        <v>2017</v>
      </c>
      <c r="X1278" t="str">
        <f>""</f>
        <v/>
      </c>
      <c r="Y1278" t="str">
        <f>"1771.09"</f>
        <v>1771.09</v>
      </c>
      <c r="Z1278" t="str">
        <f>""</f>
        <v/>
      </c>
      <c r="AA1278" t="str">
        <f>"111530.00"</f>
        <v>111530.00</v>
      </c>
      <c r="AB1278" t="str">
        <f t="shared" si="431"/>
        <v>Residential</v>
      </c>
      <c r="AC1278" t="str">
        <f t="shared" si="422"/>
        <v>0</v>
      </c>
      <c r="AD1278" t="str">
        <f>"4"</f>
        <v>4</v>
      </c>
      <c r="AE1278" t="str">
        <f>"WOOD (INCLUDE STEEL STUDS)"</f>
        <v>WOOD (INCLUDE STEEL STUDS)</v>
      </c>
      <c r="AF1278" t="str">
        <f>"001"</f>
        <v>001</v>
      </c>
      <c r="AG1278" t="str">
        <f>"GA"</f>
        <v>GA</v>
      </c>
      <c r="AH1278" t="str">
        <f>"16500.00"</f>
        <v>16500.00</v>
      </c>
      <c r="AI1278" t="str">
        <f>"20475.00"</f>
        <v>20475.00</v>
      </c>
      <c r="AJ1278" t="str">
        <f>"C55-000-588-1887-3"</f>
        <v>C55-000-588-1887-3</v>
      </c>
      <c r="AK1278" t="str">
        <f>"21950"</f>
        <v>21950</v>
      </c>
      <c r="AL1278">
        <v>5</v>
      </c>
      <c r="AM1278">
        <v>1454</v>
      </c>
      <c r="AN1278">
        <v>1858.04</v>
      </c>
      <c r="AQ1278" t="s">
        <v>13027</v>
      </c>
      <c r="AR1278" t="s">
        <v>13027</v>
      </c>
      <c r="AS1278" t="s">
        <v>13027</v>
      </c>
      <c r="AU1278" t="s">
        <v>396</v>
      </c>
      <c r="AV1278">
        <v>2017</v>
      </c>
      <c r="AW1278" t="str">
        <f>"42-2N-27-4400-0004-0010 "</f>
        <v xml:space="preserve">42-2N-27-4400-0004-0010 </v>
      </c>
      <c r="AX1278">
        <v>85191</v>
      </c>
      <c r="AZ1278" t="s">
        <v>13028</v>
      </c>
      <c r="BA1278" t="s">
        <v>1112</v>
      </c>
      <c r="BD1278" t="s">
        <v>2387</v>
      </c>
      <c r="BE1278" t="s">
        <v>393</v>
      </c>
      <c r="BF1278">
        <v>32097</v>
      </c>
      <c r="BG1278" t="s">
        <v>13029</v>
      </c>
      <c r="BH1278" t="s">
        <v>2388</v>
      </c>
      <c r="BI1278">
        <v>-81.594330412384906</v>
      </c>
      <c r="BJ1278">
        <v>30.6089599645235</v>
      </c>
      <c r="BK1278" t="s">
        <v>13030</v>
      </c>
      <c r="BM1278" t="s">
        <v>13029</v>
      </c>
      <c r="BN1278" t="s">
        <v>1778</v>
      </c>
      <c r="BO1278">
        <v>32097</v>
      </c>
      <c r="BP1278" t="s">
        <v>416</v>
      </c>
      <c r="BQ1278">
        <v>100</v>
      </c>
      <c r="BR1278" t="s">
        <v>514</v>
      </c>
      <c r="BS1278">
        <v>1001</v>
      </c>
      <c r="BT1278" t="s">
        <v>515</v>
      </c>
      <c r="BU1278">
        <v>1500</v>
      </c>
      <c r="BV1278">
        <v>1100</v>
      </c>
      <c r="BW1278">
        <v>20552</v>
      </c>
      <c r="BX1278" t="s">
        <v>407</v>
      </c>
      <c r="BY1278" t="s">
        <v>7351</v>
      </c>
      <c r="BZ1278">
        <v>4</v>
      </c>
      <c r="CA1278">
        <v>1999</v>
      </c>
      <c r="CB1278">
        <v>1</v>
      </c>
      <c r="CC1278">
        <v>1</v>
      </c>
      <c r="CD1278">
        <v>2017</v>
      </c>
      <c r="CE1278">
        <v>20475</v>
      </c>
      <c r="CF1278">
        <v>91055</v>
      </c>
      <c r="CG1278">
        <v>111530</v>
      </c>
      <c r="CH1278">
        <v>2017</v>
      </c>
      <c r="CI1278">
        <v>20475</v>
      </c>
      <c r="CJ1278">
        <v>91055</v>
      </c>
      <c r="CK1278">
        <v>111530</v>
      </c>
      <c r="CL1278">
        <v>2017</v>
      </c>
      <c r="CM1278">
        <v>1688.44</v>
      </c>
      <c r="CN1278" s="1">
        <v>43010</v>
      </c>
      <c r="CO1278">
        <v>1300000</v>
      </c>
      <c r="CV1278">
        <v>130000</v>
      </c>
      <c r="CX1278" t="s">
        <v>675</v>
      </c>
      <c r="CZ1278" s="1">
        <v>43010</v>
      </c>
      <c r="DA1278">
        <v>0</v>
      </c>
      <c r="DD1278" t="s">
        <v>2387</v>
      </c>
      <c r="DF1278">
        <v>21</v>
      </c>
      <c r="DG1278">
        <v>42</v>
      </c>
      <c r="DL1278">
        <v>50302</v>
      </c>
      <c r="DM1278" t="s">
        <v>12468</v>
      </c>
      <c r="DO1278" t="s">
        <v>13031</v>
      </c>
      <c r="DP1278">
        <v>0</v>
      </c>
      <c r="DQ1278">
        <v>0</v>
      </c>
      <c r="DR1278" t="s">
        <v>411</v>
      </c>
    </row>
    <row r="1279" spans="1:296" x14ac:dyDescent="0.25">
      <c r="A1279">
        <v>16486286</v>
      </c>
      <c r="B1279">
        <v>1278</v>
      </c>
      <c r="C1279" t="s">
        <v>393</v>
      </c>
      <c r="D1279" t="s">
        <v>394</v>
      </c>
      <c r="F1279" t="str">
        <f>"42-2N-27-4460-0001-0000"</f>
        <v>42-2N-27-4460-0001-0000</v>
      </c>
      <c r="H1279" t="str">
        <f>"CRUMP LESLIE L"</f>
        <v>CRUMP LESLIE L</v>
      </c>
      <c r="I1279" t="str">
        <f>"85125 RADIO AVE"</f>
        <v>85125 RADIO AVE</v>
      </c>
      <c r="J1279" t="str">
        <f>"YULEE FL 32097"</f>
        <v>YULEE FL 32097</v>
      </c>
      <c r="K1279" t="str">
        <f>"85125 RADIO AVE"</f>
        <v>85125 RADIO AVE</v>
      </c>
      <c r="L1279" t="str">
        <f t="shared" si="430"/>
        <v>YULEE FL 32097</v>
      </c>
      <c r="M1279" t="str">
        <f>"LOTS 1 &amp; 2 IN OR 1906/1473 TERMINAL HEIGHTS SUB PB 5/9"</f>
        <v>LOTS 1 &amp; 2 IN OR 1906/1473 TERMINAL HEIGHTS SUB PB 5/9</v>
      </c>
      <c r="N1279" t="str">
        <f>""</f>
        <v/>
      </c>
      <c r="O1279" t="str">
        <f>"48323"</f>
        <v>48323</v>
      </c>
      <c r="P1279" t="str">
        <f t="shared" si="416"/>
        <v>2017</v>
      </c>
      <c r="Q1279" t="str">
        <f>""</f>
        <v/>
      </c>
      <c r="R1279" t="str">
        <f>"Y"</f>
        <v>Y</v>
      </c>
      <c r="S1279" t="str">
        <f>""</f>
        <v/>
      </c>
      <c r="T1279" t="str">
        <f>"2069.86"</f>
        <v>2069.86</v>
      </c>
      <c r="U1279" t="str">
        <f>"175829.00"</f>
        <v>175829.00</v>
      </c>
      <c r="V1279" t="str">
        <f>"175829.00"</f>
        <v>175829.00</v>
      </c>
      <c r="W1279" t="str">
        <f t="shared" si="418"/>
        <v>2017</v>
      </c>
      <c r="X1279" t="str">
        <f>"16.00"</f>
        <v>16.00</v>
      </c>
      <c r="Y1279" t="str">
        <f>"2163.96"</f>
        <v>2163.96</v>
      </c>
      <c r="Z1279" t="str">
        <f>"25000.00"</f>
        <v>25000.00</v>
      </c>
      <c r="AA1279" t="str">
        <f>"150829.00"</f>
        <v>150829.00</v>
      </c>
      <c r="AB1279" t="str">
        <f t="shared" si="431"/>
        <v>Residential</v>
      </c>
      <c r="AC1279" t="str">
        <f t="shared" si="422"/>
        <v>0</v>
      </c>
      <c r="AD1279" t="str">
        <f>"4"</f>
        <v>4</v>
      </c>
      <c r="AE1279" t="str">
        <f>"WOOD (INCLUDE STEEL STUDS)"</f>
        <v>WOOD (INCLUDE STEEL STUDS)</v>
      </c>
      <c r="AF1279" t="str">
        <f>"001"</f>
        <v>001</v>
      </c>
      <c r="AG1279" t="str">
        <f t="shared" ref="AG1279:AG1287" si="432">"FL"</f>
        <v>FL</v>
      </c>
      <c r="AH1279" t="str">
        <f>"21000.00"</f>
        <v>21000.00</v>
      </c>
      <c r="AI1279" t="str">
        <f>"18147.00"</f>
        <v>18147.00</v>
      </c>
      <c r="AJ1279" t="str">
        <f>"C55-000-588-1928-5"</f>
        <v>C55-000-588-1928-5</v>
      </c>
      <c r="AK1279" t="str">
        <f>"21992"</f>
        <v>21992</v>
      </c>
      <c r="AL1279">
        <v>5</v>
      </c>
      <c r="AM1279">
        <v>1455</v>
      </c>
      <c r="AN1279">
        <v>2270.56</v>
      </c>
      <c r="AQ1279" t="s">
        <v>13032</v>
      </c>
      <c r="AR1279" t="s">
        <v>13032</v>
      </c>
      <c r="AS1279" t="s">
        <v>13032</v>
      </c>
      <c r="AU1279" t="s">
        <v>396</v>
      </c>
      <c r="AV1279">
        <v>2017</v>
      </c>
      <c r="AW1279" t="str">
        <f>"42-2N-27-4460-0001-0000 "</f>
        <v xml:space="preserve">42-2N-27-4460-0001-0000 </v>
      </c>
      <c r="AX1279">
        <v>85125</v>
      </c>
      <c r="AZ1279" t="s">
        <v>13033</v>
      </c>
      <c r="BA1279" t="s">
        <v>1112</v>
      </c>
      <c r="BD1279" t="s">
        <v>2387</v>
      </c>
      <c r="BE1279" t="s">
        <v>393</v>
      </c>
      <c r="BF1279">
        <v>32097</v>
      </c>
      <c r="BG1279" t="s">
        <v>13034</v>
      </c>
      <c r="BH1279" t="s">
        <v>2388</v>
      </c>
      <c r="BI1279">
        <v>-81.595340240763207</v>
      </c>
      <c r="BJ1279">
        <v>30.604214320495799</v>
      </c>
      <c r="BK1279" t="s">
        <v>13035</v>
      </c>
      <c r="BM1279" t="s">
        <v>13034</v>
      </c>
      <c r="BN1279" t="s">
        <v>1778</v>
      </c>
      <c r="BO1279">
        <v>32097</v>
      </c>
      <c r="BP1279" t="s">
        <v>416</v>
      </c>
      <c r="BQ1279">
        <v>100</v>
      </c>
      <c r="BR1279" t="s">
        <v>514</v>
      </c>
      <c r="BS1279">
        <v>1001</v>
      </c>
      <c r="BT1279" t="s">
        <v>515</v>
      </c>
      <c r="BU1279">
        <v>2100</v>
      </c>
      <c r="BV1279">
        <v>1000</v>
      </c>
      <c r="BW1279">
        <v>21000</v>
      </c>
      <c r="BX1279" t="s">
        <v>407</v>
      </c>
      <c r="BY1279" t="s">
        <v>7351</v>
      </c>
      <c r="BZ1279">
        <v>4</v>
      </c>
      <c r="CA1279">
        <v>1964</v>
      </c>
      <c r="CB1279">
        <v>1</v>
      </c>
      <c r="CC1279">
        <v>2</v>
      </c>
      <c r="CD1279">
        <v>2017</v>
      </c>
      <c r="CE1279">
        <v>18147</v>
      </c>
      <c r="CF1279">
        <v>157682</v>
      </c>
      <c r="CG1279">
        <v>175829</v>
      </c>
      <c r="CH1279">
        <v>2017</v>
      </c>
      <c r="CI1279">
        <v>18147</v>
      </c>
      <c r="CJ1279">
        <v>157682</v>
      </c>
      <c r="CK1279">
        <v>175829</v>
      </c>
      <c r="CL1279">
        <v>2017</v>
      </c>
      <c r="CM1279">
        <v>2069.86</v>
      </c>
      <c r="CN1279" s="1">
        <v>41709</v>
      </c>
      <c r="CO1279">
        <v>142800</v>
      </c>
      <c r="CV1279">
        <v>0</v>
      </c>
      <c r="CZ1279" s="1">
        <v>41709</v>
      </c>
      <c r="DA1279">
        <v>0</v>
      </c>
      <c r="DD1279" t="s">
        <v>2387</v>
      </c>
      <c r="DG1279">
        <v>42</v>
      </c>
      <c r="DJ1279" t="s">
        <v>13036</v>
      </c>
      <c r="DL1279">
        <v>50302</v>
      </c>
      <c r="DM1279" t="s">
        <v>12468</v>
      </c>
      <c r="DO1279" t="s">
        <v>13037</v>
      </c>
      <c r="DP1279">
        <v>0</v>
      </c>
      <c r="DQ1279">
        <v>1</v>
      </c>
      <c r="DR1279" t="s">
        <v>411</v>
      </c>
      <c r="DS1279" t="b">
        <v>1</v>
      </c>
      <c r="DT1279" t="s">
        <v>470</v>
      </c>
      <c r="DU1279" t="s">
        <v>471</v>
      </c>
      <c r="DV1279" t="s">
        <v>472</v>
      </c>
      <c r="DX1279">
        <v>-9999</v>
      </c>
      <c r="DZ1279" t="s">
        <v>447</v>
      </c>
      <c r="EA1279" t="s">
        <v>448</v>
      </c>
      <c r="EB1279" t="s">
        <v>742</v>
      </c>
      <c r="EC1279">
        <v>20101217</v>
      </c>
      <c r="ED1279" t="s">
        <v>474</v>
      </c>
      <c r="EF1279">
        <v>3402</v>
      </c>
      <c r="EG1279">
        <v>3402</v>
      </c>
      <c r="EI1279">
        <v>20160407</v>
      </c>
      <c r="EJ1279">
        <v>0</v>
      </c>
      <c r="EK1279">
        <v>0</v>
      </c>
      <c r="EP1279" t="s">
        <v>421</v>
      </c>
      <c r="EQ1279" t="s">
        <v>422</v>
      </c>
      <c r="ER1279">
        <v>0</v>
      </c>
      <c r="ES1279">
        <v>5</v>
      </c>
      <c r="ET1279">
        <v>0</v>
      </c>
      <c r="EU1279">
        <v>0</v>
      </c>
      <c r="EV1279">
        <v>0</v>
      </c>
      <c r="EW1279" s="2">
        <v>43222</v>
      </c>
      <c r="EX1279" s="1">
        <v>42515</v>
      </c>
      <c r="EY1279">
        <v>2015</v>
      </c>
      <c r="EZ1279">
        <v>2702.82</v>
      </c>
      <c r="FA1279" t="s">
        <v>13038</v>
      </c>
      <c r="FB1279">
        <v>0.25</v>
      </c>
      <c r="FC1279" t="s">
        <v>424</v>
      </c>
      <c r="FD1279" t="s">
        <v>425</v>
      </c>
      <c r="FE1279" s="1">
        <v>42851</v>
      </c>
      <c r="FF1279">
        <v>11</v>
      </c>
      <c r="FG1279">
        <v>2851116</v>
      </c>
      <c r="FH1279" t="s">
        <v>480</v>
      </c>
      <c r="FJ1279" s="1">
        <v>42515</v>
      </c>
      <c r="FK1279">
        <v>2015</v>
      </c>
      <c r="FL1279">
        <v>2702.82</v>
      </c>
      <c r="FM1279" t="s">
        <v>13038</v>
      </c>
      <c r="FN1279">
        <v>0.25</v>
      </c>
      <c r="FO1279" t="s">
        <v>424</v>
      </c>
      <c r="FP1279" t="s">
        <v>425</v>
      </c>
      <c r="FR1279">
        <v>22</v>
      </c>
      <c r="FS1279">
        <v>4904901</v>
      </c>
      <c r="FT1279" t="s">
        <v>13039</v>
      </c>
      <c r="FV1279" s="1">
        <v>42151</v>
      </c>
      <c r="FW1279">
        <v>2014</v>
      </c>
      <c r="FX1279">
        <v>2563.08</v>
      </c>
      <c r="FY1279" t="s">
        <v>13040</v>
      </c>
      <c r="FZ1279">
        <v>0.25</v>
      </c>
      <c r="GA1279" t="s">
        <v>424</v>
      </c>
      <c r="GB1279" t="s">
        <v>425</v>
      </c>
      <c r="GD1279">
        <v>22</v>
      </c>
      <c r="GE1279">
        <v>11289</v>
      </c>
      <c r="GF1279" t="s">
        <v>787</v>
      </c>
      <c r="GH1279" s="1">
        <v>42151</v>
      </c>
      <c r="GI1279">
        <v>2014</v>
      </c>
      <c r="GJ1279">
        <v>2563.08</v>
      </c>
      <c r="GK1279" t="s">
        <v>13040</v>
      </c>
      <c r="GL1279">
        <v>0.25</v>
      </c>
      <c r="GM1279" t="s">
        <v>424</v>
      </c>
      <c r="GN1279" t="s">
        <v>425</v>
      </c>
      <c r="GP1279">
        <v>22</v>
      </c>
      <c r="GQ1279">
        <v>5175731</v>
      </c>
      <c r="GR1279" t="s">
        <v>13041</v>
      </c>
      <c r="GT1279" s="1">
        <v>42151</v>
      </c>
      <c r="GU1279">
        <v>2014</v>
      </c>
      <c r="GV1279">
        <v>2563.08</v>
      </c>
      <c r="GW1279" t="s">
        <v>13040</v>
      </c>
      <c r="GX1279">
        <v>0.25</v>
      </c>
      <c r="GY1279" t="s">
        <v>424</v>
      </c>
      <c r="GZ1279" t="s">
        <v>425</v>
      </c>
      <c r="HA1279" s="1">
        <v>42794</v>
      </c>
      <c r="HB1279">
        <v>21</v>
      </c>
      <c r="HC1279">
        <v>7045059</v>
      </c>
      <c r="HD1279" t="s">
        <v>5073</v>
      </c>
    </row>
    <row r="1280" spans="1:296" x14ac:dyDescent="0.25">
      <c r="A1280">
        <v>16486287</v>
      </c>
      <c r="B1280">
        <v>1279</v>
      </c>
      <c r="C1280" t="s">
        <v>393</v>
      </c>
      <c r="D1280" t="s">
        <v>394</v>
      </c>
      <c r="F1280" t="str">
        <f>"42-2N-27-4460-0027-0000"</f>
        <v>42-2N-27-4460-0027-0000</v>
      </c>
      <c r="H1280" t="str">
        <f>"MOORE LINDA M &amp; DAVID C"</f>
        <v>MOORE LINDA M &amp; DAVID C</v>
      </c>
      <c r="I1280" t="str">
        <f>"P O BOX 1063"</f>
        <v>P O BOX 1063</v>
      </c>
      <c r="J1280" t="str">
        <f>"YULEE FL 32041"</f>
        <v>YULEE FL 32041</v>
      </c>
      <c r="K1280" t="str">
        <f>"85051 CONDOR LN"</f>
        <v>85051 CONDOR LN</v>
      </c>
      <c r="L1280" t="str">
        <f t="shared" si="430"/>
        <v>YULEE FL 32097</v>
      </c>
      <c r="M1280" t="str">
        <f>"LOT 27 IN OR 736 PG 541 1/2 HX INT TERMINAL HEIGHTS SUB PB 5/9"</f>
        <v>LOT 27 IN OR 736 PG 541 1/2 HX INT TERMINAL HEIGHTS SUB PB 5/9</v>
      </c>
      <c r="N1280" t="str">
        <f>""</f>
        <v/>
      </c>
      <c r="O1280" t="str">
        <f>"48343"</f>
        <v>48343</v>
      </c>
      <c r="P1280" t="str">
        <f t="shared" si="416"/>
        <v>2017</v>
      </c>
      <c r="Q1280" t="str">
        <f>""</f>
        <v/>
      </c>
      <c r="R1280" t="str">
        <f>"Y"</f>
        <v>Y</v>
      </c>
      <c r="S1280" t="str">
        <f>""</f>
        <v/>
      </c>
      <c r="T1280" t="str">
        <f>"521.04"</f>
        <v>521.04</v>
      </c>
      <c r="U1280" t="str">
        <f>"71608.00"</f>
        <v>71608.00</v>
      </c>
      <c r="V1280" t="str">
        <f>"71608.00"</f>
        <v>71608.00</v>
      </c>
      <c r="W1280" t="str">
        <f t="shared" si="418"/>
        <v>2017</v>
      </c>
      <c r="X1280" t="str">
        <f>""</f>
        <v/>
      </c>
      <c r="Y1280" t="str">
        <f>"568.67"</f>
        <v>568.67</v>
      </c>
      <c r="Z1280" t="str">
        <f>"25000.00"</f>
        <v>25000.00</v>
      </c>
      <c r="AA1280" t="str">
        <f>"46608.00"</f>
        <v>46608.00</v>
      </c>
      <c r="AB1280" t="str">
        <f t="shared" si="431"/>
        <v>Residential</v>
      </c>
      <c r="AC1280" t="str">
        <f t="shared" si="422"/>
        <v>0</v>
      </c>
      <c r="AD1280" t="str">
        <f>"4"</f>
        <v>4</v>
      </c>
      <c r="AE1280" t="str">
        <f>"WOOD (INCLUDE STEEL STUDS)"</f>
        <v>WOOD (INCLUDE STEEL STUDS)</v>
      </c>
      <c r="AF1280" t="str">
        <f>"001"</f>
        <v>001</v>
      </c>
      <c r="AG1280" t="str">
        <f t="shared" si="432"/>
        <v>FL</v>
      </c>
      <c r="AH1280" t="str">
        <f>"11000.00"</f>
        <v>11000.00</v>
      </c>
      <c r="AI1280" t="str">
        <f>"13545.00"</f>
        <v>13545.00</v>
      </c>
      <c r="AJ1280" t="str">
        <f>"C55-000-588-1947-5"</f>
        <v>C55-000-588-1947-5</v>
      </c>
      <c r="AK1280" t="str">
        <f>"22011"</f>
        <v>22011</v>
      </c>
      <c r="AL1280">
        <v>5</v>
      </c>
      <c r="AM1280">
        <v>1456</v>
      </c>
      <c r="AN1280">
        <v>595.5</v>
      </c>
      <c r="AQ1280" t="s">
        <v>13042</v>
      </c>
      <c r="AR1280" t="s">
        <v>13042</v>
      </c>
      <c r="AS1280" t="s">
        <v>13042</v>
      </c>
      <c r="AU1280" t="s">
        <v>396</v>
      </c>
      <c r="AV1280">
        <v>2017</v>
      </c>
      <c r="AW1280" t="str">
        <f>"42-2N-27-4460-0027-0000 "</f>
        <v xml:space="preserve">42-2N-27-4460-0027-0000 </v>
      </c>
      <c r="AX1280">
        <v>85051</v>
      </c>
      <c r="AZ1280" t="s">
        <v>13043</v>
      </c>
      <c r="BA1280" t="s">
        <v>653</v>
      </c>
      <c r="BD1280" t="s">
        <v>2387</v>
      </c>
      <c r="BE1280" t="s">
        <v>393</v>
      </c>
      <c r="BF1280">
        <v>32097</v>
      </c>
      <c r="BG1280" t="s">
        <v>13044</v>
      </c>
      <c r="BH1280" t="s">
        <v>2388</v>
      </c>
      <c r="BI1280">
        <v>-81.594450226457795</v>
      </c>
      <c r="BJ1280">
        <v>30.6063893409987</v>
      </c>
      <c r="BK1280" t="s">
        <v>13045</v>
      </c>
      <c r="BL1280" t="s">
        <v>13046</v>
      </c>
      <c r="BM1280" t="s">
        <v>13047</v>
      </c>
      <c r="BN1280" t="s">
        <v>1778</v>
      </c>
      <c r="BO1280">
        <v>32041</v>
      </c>
      <c r="BP1280" t="s">
        <v>404</v>
      </c>
      <c r="BQ1280">
        <v>100</v>
      </c>
      <c r="BR1280" t="s">
        <v>514</v>
      </c>
      <c r="BS1280">
        <v>1001</v>
      </c>
      <c r="BT1280" t="s">
        <v>515</v>
      </c>
      <c r="BU1280">
        <v>1000</v>
      </c>
      <c r="BV1280">
        <v>1100</v>
      </c>
      <c r="BW1280">
        <v>10000</v>
      </c>
      <c r="BX1280" t="s">
        <v>407</v>
      </c>
      <c r="BY1280" t="s">
        <v>7351</v>
      </c>
      <c r="BZ1280">
        <v>4</v>
      </c>
      <c r="CA1280">
        <v>1963</v>
      </c>
      <c r="CB1280">
        <v>1</v>
      </c>
      <c r="CC1280">
        <v>1</v>
      </c>
      <c r="CD1280">
        <v>2017</v>
      </c>
      <c r="CG1280">
        <v>71608</v>
      </c>
      <c r="CH1280">
        <v>2017</v>
      </c>
      <c r="CI1280">
        <v>13545</v>
      </c>
      <c r="CJ1280">
        <v>85972</v>
      </c>
      <c r="CK1280">
        <v>99517</v>
      </c>
      <c r="CL1280">
        <v>2017</v>
      </c>
      <c r="CM1280">
        <v>521.04</v>
      </c>
      <c r="CN1280" s="1">
        <v>34921</v>
      </c>
      <c r="CO1280">
        <v>25500</v>
      </c>
      <c r="CZ1280" s="1">
        <v>34921</v>
      </c>
      <c r="DD1280" t="s">
        <v>2387</v>
      </c>
      <c r="DF1280">
        <v>27</v>
      </c>
      <c r="DG1280">
        <v>42</v>
      </c>
      <c r="DL1280">
        <v>50302</v>
      </c>
      <c r="DM1280" t="s">
        <v>12468</v>
      </c>
      <c r="DO1280" t="s">
        <v>13048</v>
      </c>
      <c r="DP1280">
        <v>0</v>
      </c>
      <c r="DQ1280">
        <v>1</v>
      </c>
      <c r="DR1280" t="s">
        <v>1479</v>
      </c>
      <c r="DS1280" t="b">
        <v>1</v>
      </c>
      <c r="DT1280" t="s">
        <v>470</v>
      </c>
      <c r="DU1280" t="s">
        <v>471</v>
      </c>
      <c r="DV1280" t="s">
        <v>472</v>
      </c>
      <c r="DX1280">
        <v>-9999</v>
      </c>
      <c r="DZ1280" t="s">
        <v>447</v>
      </c>
      <c r="EA1280" t="s">
        <v>448</v>
      </c>
      <c r="EB1280" t="s">
        <v>742</v>
      </c>
      <c r="EC1280">
        <v>20101217</v>
      </c>
      <c r="ED1280" t="s">
        <v>474</v>
      </c>
      <c r="EF1280">
        <v>3880.4</v>
      </c>
      <c r="EG1280">
        <v>3880.4</v>
      </c>
      <c r="EI1280">
        <v>20160407</v>
      </c>
      <c r="EJ1280">
        <v>0</v>
      </c>
      <c r="EK1280">
        <v>0</v>
      </c>
    </row>
    <row r="1281" spans="1:284" x14ac:dyDescent="0.25">
      <c r="A1281">
        <v>16486288</v>
      </c>
      <c r="B1281">
        <v>1280</v>
      </c>
      <c r="C1281" t="s">
        <v>393</v>
      </c>
      <c r="D1281" t="s">
        <v>394</v>
      </c>
      <c r="F1281" t="str">
        <f>"42-2N-27-4460-0028-0000"</f>
        <v>42-2N-27-4460-0028-0000</v>
      </c>
      <c r="H1281" t="str">
        <f>"MOORE DAVID C &amp; LINDA (JT/RS)"</f>
        <v>MOORE DAVID C &amp; LINDA (JT/RS)</v>
      </c>
      <c r="I1281" t="str">
        <f>"P O BOX 1063"</f>
        <v>P O BOX 1063</v>
      </c>
      <c r="J1281" t="str">
        <f>"YULEE FL 32041"</f>
        <v>YULEE FL 32041</v>
      </c>
      <c r="K1281" t="str">
        <f>"CONDOR LN"</f>
        <v>CONDOR LN</v>
      </c>
      <c r="L1281" t="str">
        <f t="shared" si="430"/>
        <v>YULEE FL 32097</v>
      </c>
      <c r="M1281" t="str">
        <f>"LOT 28 IN OR 954/193 TERMINAL HEIGHTS SUB PB5/9"</f>
        <v>LOT 28 IN OR 954/193 TERMINAL HEIGHTS SUB PB5/9</v>
      </c>
      <c r="N1281" t="str">
        <f>""</f>
        <v/>
      </c>
      <c r="O1281" t="str">
        <f>"48344"</f>
        <v>48344</v>
      </c>
      <c r="P1281" t="str">
        <f t="shared" si="416"/>
        <v>2017</v>
      </c>
      <c r="Q1281" t="str">
        <f>""</f>
        <v/>
      </c>
      <c r="R1281" t="str">
        <f>"N"</f>
        <v>N</v>
      </c>
      <c r="S1281" t="str">
        <f>""</f>
        <v/>
      </c>
      <c r="T1281" t="str">
        <f>"205.05"</f>
        <v>205.05</v>
      </c>
      <c r="U1281" t="str">
        <f>"13545.00"</f>
        <v>13545.00</v>
      </c>
      <c r="V1281" t="str">
        <f>"13545.00"</f>
        <v>13545.00</v>
      </c>
      <c r="W1281" t="str">
        <f t="shared" si="418"/>
        <v>2017</v>
      </c>
      <c r="X1281" t="str">
        <f>""</f>
        <v/>
      </c>
      <c r="Y1281" t="str">
        <f>"243.20"</f>
        <v>243.20</v>
      </c>
      <c r="Z1281" t="str">
        <f>""</f>
        <v/>
      </c>
      <c r="AA1281" t="str">
        <f>"13545.00"</f>
        <v>13545.00</v>
      </c>
      <c r="AB1281" t="str">
        <f t="shared" si="431"/>
        <v>Residential</v>
      </c>
      <c r="AC1281" t="str">
        <f t="shared" si="422"/>
        <v>0</v>
      </c>
      <c r="AD1281" t="str">
        <f>""</f>
        <v/>
      </c>
      <c r="AE1281" t="str">
        <f>""</f>
        <v/>
      </c>
      <c r="AF1281" t="str">
        <f>"000"</f>
        <v>000</v>
      </c>
      <c r="AG1281" t="str">
        <f t="shared" si="432"/>
        <v>FL</v>
      </c>
      <c r="AH1281" t="str">
        <f>"10000.00"</f>
        <v>10000.00</v>
      </c>
      <c r="AI1281" t="str">
        <f>"13545.00"</f>
        <v>13545.00</v>
      </c>
      <c r="AJ1281" t="str">
        <f>"C55-000-588-1948-3"</f>
        <v>C55-000-588-1948-3</v>
      </c>
      <c r="AK1281" t="str">
        <f>"22012"</f>
        <v>22012</v>
      </c>
      <c r="AL1281">
        <v>5</v>
      </c>
      <c r="AM1281">
        <v>1457</v>
      </c>
      <c r="AN1281">
        <v>253.76</v>
      </c>
      <c r="AQ1281" t="s">
        <v>13049</v>
      </c>
      <c r="AR1281" t="s">
        <v>13049</v>
      </c>
      <c r="AS1281" t="s">
        <v>13049</v>
      </c>
      <c r="AU1281" t="s">
        <v>396</v>
      </c>
      <c r="AV1281">
        <v>2017</v>
      </c>
      <c r="AW1281" t="str">
        <f>"42-2N-27-4460-0028-0000 "</f>
        <v xml:space="preserve">42-2N-27-4460-0028-0000 </v>
      </c>
      <c r="AZ1281" t="s">
        <v>13043</v>
      </c>
      <c r="BA1281" t="s">
        <v>653</v>
      </c>
      <c r="BD1281" t="s">
        <v>2387</v>
      </c>
      <c r="BE1281" t="s">
        <v>393</v>
      </c>
      <c r="BF1281">
        <v>32097</v>
      </c>
      <c r="BG1281" t="s">
        <v>13050</v>
      </c>
      <c r="BH1281" t="s">
        <v>2388</v>
      </c>
      <c r="BI1281">
        <v>-81.594133947410896</v>
      </c>
      <c r="BJ1281">
        <v>30.6063620129482</v>
      </c>
      <c r="BK1281" t="s">
        <v>13046</v>
      </c>
      <c r="BL1281" t="s">
        <v>13051</v>
      </c>
      <c r="BM1281" t="s">
        <v>13047</v>
      </c>
      <c r="BN1281" t="s">
        <v>1778</v>
      </c>
      <c r="BO1281">
        <v>32041</v>
      </c>
      <c r="BP1281" t="s">
        <v>404</v>
      </c>
      <c r="BQ1281">
        <v>0</v>
      </c>
      <c r="BR1281" t="s">
        <v>491</v>
      </c>
      <c r="BS1281">
        <v>8001</v>
      </c>
      <c r="BT1281" t="s">
        <v>492</v>
      </c>
      <c r="BU1281">
        <v>1000</v>
      </c>
      <c r="BV1281">
        <v>1000</v>
      </c>
      <c r="BW1281">
        <v>10000</v>
      </c>
      <c r="BX1281" t="s">
        <v>407</v>
      </c>
      <c r="BY1281" t="s">
        <v>7351</v>
      </c>
      <c r="CD1281">
        <v>2017</v>
      </c>
      <c r="CE1281">
        <v>13545</v>
      </c>
      <c r="CG1281">
        <v>13545</v>
      </c>
      <c r="CH1281">
        <v>2017</v>
      </c>
      <c r="CI1281">
        <v>13545</v>
      </c>
      <c r="CK1281">
        <v>13545</v>
      </c>
      <c r="CL1281">
        <v>2017</v>
      </c>
      <c r="CM1281">
        <v>205.05</v>
      </c>
      <c r="CN1281" s="1">
        <v>36816</v>
      </c>
      <c r="CZ1281" s="1">
        <v>36816</v>
      </c>
      <c r="DD1281" t="s">
        <v>2387</v>
      </c>
      <c r="DF1281">
        <v>28</v>
      </c>
      <c r="DG1281">
        <v>42</v>
      </c>
      <c r="DJ1281" t="s">
        <v>13036</v>
      </c>
      <c r="DL1281">
        <v>50302</v>
      </c>
      <c r="DM1281" t="s">
        <v>12468</v>
      </c>
      <c r="DO1281" t="s">
        <v>13052</v>
      </c>
      <c r="DP1281">
        <v>0</v>
      </c>
      <c r="DQ1281">
        <v>1</v>
      </c>
      <c r="DR1281" t="s">
        <v>1479</v>
      </c>
      <c r="DS1281" t="b">
        <v>1</v>
      </c>
      <c r="DT1281" t="s">
        <v>470</v>
      </c>
      <c r="DU1281" t="s">
        <v>471</v>
      </c>
      <c r="DV1281" t="s">
        <v>472</v>
      </c>
      <c r="DX1281">
        <v>-9999</v>
      </c>
      <c r="DZ1281" t="s">
        <v>447</v>
      </c>
      <c r="EA1281" t="s">
        <v>448</v>
      </c>
      <c r="EB1281" t="s">
        <v>742</v>
      </c>
      <c r="EC1281">
        <v>20101217</v>
      </c>
      <c r="ED1281" t="s">
        <v>474</v>
      </c>
      <c r="EF1281">
        <v>3980.2</v>
      </c>
      <c r="EG1281">
        <v>3980.2</v>
      </c>
      <c r="EI1281">
        <v>20160407</v>
      </c>
      <c r="EJ1281">
        <v>0</v>
      </c>
      <c r="EK1281">
        <v>0</v>
      </c>
    </row>
    <row r="1282" spans="1:284" x14ac:dyDescent="0.25">
      <c r="A1282">
        <v>16486289</v>
      </c>
      <c r="B1282">
        <v>1281</v>
      </c>
      <c r="C1282" t="s">
        <v>393</v>
      </c>
      <c r="D1282" t="s">
        <v>394</v>
      </c>
      <c r="F1282" t="str">
        <f>"42-2N-27-4487-0004-0000"</f>
        <v>42-2N-27-4487-0004-0000</v>
      </c>
      <c r="H1282" t="str">
        <f>"MUHS KENNETH M &amp; FLORENCE L"</f>
        <v>MUHS KENNETH M &amp; FLORENCE L</v>
      </c>
      <c r="I1282" t="str">
        <f>"85537 NORTH HARTS RD"</f>
        <v>85537 NORTH HARTS RD</v>
      </c>
      <c r="J1282" t="str">
        <f>"YULEE FL 32097"</f>
        <v>YULEE FL 32097</v>
      </c>
      <c r="K1282" t="str">
        <f>"85537 NORTH HARTS RD"</f>
        <v>85537 NORTH HARTS RD</v>
      </c>
      <c r="L1282" t="str">
        <f t="shared" si="430"/>
        <v>YULEE FL 32097</v>
      </c>
      <c r="M1282" t="str">
        <f>"LOT 4 IN OR 745/223 WIDE ROAD ACRES PB 5/404-406"</f>
        <v>LOT 4 IN OR 745/223 WIDE ROAD ACRES PB 5/404-406</v>
      </c>
      <c r="N1282" t="str">
        <f>""</f>
        <v/>
      </c>
      <c r="O1282" t="str">
        <f>"48367"</f>
        <v>48367</v>
      </c>
      <c r="P1282" t="str">
        <f t="shared" ref="P1282:P1345" si="433">"2017"</f>
        <v>2017</v>
      </c>
      <c r="Q1282" t="str">
        <f>""</f>
        <v/>
      </c>
      <c r="R1282" t="str">
        <f>"N"</f>
        <v>N</v>
      </c>
      <c r="S1282" t="str">
        <f>"1.01"</f>
        <v>1.01</v>
      </c>
      <c r="T1282" t="str">
        <f>"715.56"</f>
        <v>715.56</v>
      </c>
      <c r="U1282" t="str">
        <f>"47266.00"</f>
        <v>47266.00</v>
      </c>
      <c r="V1282" t="str">
        <f>"47266.00"</f>
        <v>47266.00</v>
      </c>
      <c r="W1282" t="str">
        <f t="shared" ref="W1282:W1345" si="434">"2017"</f>
        <v>2017</v>
      </c>
      <c r="X1282" t="str">
        <f>"18.25"</f>
        <v>18.25</v>
      </c>
      <c r="Y1282" t="str">
        <f>"769.03"</f>
        <v>769.03</v>
      </c>
      <c r="Z1282" t="str">
        <f>""</f>
        <v/>
      </c>
      <c r="AA1282" t="str">
        <f>"47266.00"</f>
        <v>47266.00</v>
      </c>
      <c r="AB1282" t="str">
        <f t="shared" si="431"/>
        <v>Residential</v>
      </c>
      <c r="AC1282" t="str">
        <f t="shared" si="422"/>
        <v>0</v>
      </c>
      <c r="AD1282" t="str">
        <f>""</f>
        <v/>
      </c>
      <c r="AE1282" t="str">
        <f>""</f>
        <v/>
      </c>
      <c r="AF1282" t="str">
        <f>"000"</f>
        <v>000</v>
      </c>
      <c r="AG1282" t="str">
        <f t="shared" si="432"/>
        <v>FL</v>
      </c>
      <c r="AH1282" t="str">
        <f>"43995.00"</f>
        <v>43995.00</v>
      </c>
      <c r="AI1282" t="str">
        <f>"25250.00"</f>
        <v>25250.00</v>
      </c>
      <c r="AJ1282" t="str">
        <f>"C55-000-588-1969-9"</f>
        <v>C55-000-588-1969-9</v>
      </c>
      <c r="AK1282" t="str">
        <f>"22031"</f>
        <v>22031</v>
      </c>
      <c r="AL1282">
        <v>5</v>
      </c>
      <c r="AM1282">
        <v>1459</v>
      </c>
      <c r="AN1282">
        <v>805.88</v>
      </c>
      <c r="AQ1282" t="s">
        <v>13053</v>
      </c>
      <c r="AR1282" t="s">
        <v>13053</v>
      </c>
      <c r="AS1282" t="s">
        <v>13053</v>
      </c>
      <c r="AU1282" t="s">
        <v>396</v>
      </c>
      <c r="AV1282">
        <v>2017</v>
      </c>
      <c r="AW1282" t="str">
        <f>"42-2N-27-4487-0004-0000 "</f>
        <v xml:space="preserve">42-2N-27-4487-0004-0000 </v>
      </c>
      <c r="AX1282">
        <v>85537</v>
      </c>
      <c r="AY1282" t="s">
        <v>11533</v>
      </c>
      <c r="AZ1282" t="s">
        <v>11534</v>
      </c>
      <c r="BA1282" t="s">
        <v>496</v>
      </c>
      <c r="BD1282" t="s">
        <v>2387</v>
      </c>
      <c r="BE1282" t="s">
        <v>393</v>
      </c>
      <c r="BF1282">
        <v>32097</v>
      </c>
      <c r="BG1282" t="s">
        <v>13054</v>
      </c>
      <c r="BH1282" t="s">
        <v>2388</v>
      </c>
      <c r="BI1282">
        <v>-81.605890235309005</v>
      </c>
      <c r="BJ1282">
        <v>30.608928571519002</v>
      </c>
      <c r="BK1282" t="s">
        <v>13055</v>
      </c>
      <c r="BL1282" t="s">
        <v>13056</v>
      </c>
      <c r="BM1282" t="s">
        <v>13057</v>
      </c>
      <c r="BN1282" t="s">
        <v>1778</v>
      </c>
      <c r="BO1282">
        <v>32097</v>
      </c>
      <c r="BP1282" t="s">
        <v>404</v>
      </c>
      <c r="BQ1282">
        <v>1</v>
      </c>
      <c r="BR1282" t="s">
        <v>491</v>
      </c>
      <c r="BS1282">
        <v>8001</v>
      </c>
      <c r="BT1282" t="s">
        <v>492</v>
      </c>
      <c r="BW1282">
        <v>43995</v>
      </c>
      <c r="BX1282" t="s">
        <v>407</v>
      </c>
      <c r="BY1282" t="s">
        <v>408</v>
      </c>
      <c r="CD1282">
        <v>2017</v>
      </c>
      <c r="CE1282">
        <v>25250</v>
      </c>
      <c r="CF1282">
        <v>22016</v>
      </c>
      <c r="CG1282">
        <v>47266</v>
      </c>
      <c r="CH1282">
        <v>2017</v>
      </c>
      <c r="CI1282">
        <v>25250</v>
      </c>
      <c r="CJ1282">
        <v>22016</v>
      </c>
      <c r="CK1282">
        <v>47266</v>
      </c>
      <c r="CL1282">
        <v>2017</v>
      </c>
      <c r="CM1282">
        <v>715.56</v>
      </c>
      <c r="CN1282" s="1">
        <v>35032</v>
      </c>
      <c r="CO1282">
        <v>15000</v>
      </c>
      <c r="CZ1282" s="1">
        <v>35032</v>
      </c>
      <c r="DD1282" t="s">
        <v>2387</v>
      </c>
      <c r="DF1282">
        <v>4</v>
      </c>
      <c r="DG1282">
        <v>42</v>
      </c>
      <c r="DJ1282" t="s">
        <v>13058</v>
      </c>
      <c r="DL1282">
        <v>50301</v>
      </c>
      <c r="DM1282" t="s">
        <v>12468</v>
      </c>
      <c r="DO1282" t="s">
        <v>13059</v>
      </c>
      <c r="DP1282">
        <v>0</v>
      </c>
      <c r="DQ1282">
        <v>0</v>
      </c>
      <c r="DR1282" t="s">
        <v>411</v>
      </c>
      <c r="DS1282" t="b">
        <v>1</v>
      </c>
      <c r="DT1282" t="s">
        <v>470</v>
      </c>
      <c r="DU1282" t="s">
        <v>471</v>
      </c>
      <c r="DV1282" t="s">
        <v>472</v>
      </c>
      <c r="DX1282">
        <v>-9999</v>
      </c>
      <c r="DZ1282" t="s">
        <v>447</v>
      </c>
      <c r="EA1282" t="s">
        <v>448</v>
      </c>
      <c r="EB1282" t="s">
        <v>742</v>
      </c>
      <c r="EC1282">
        <v>20101217</v>
      </c>
      <c r="ED1282" t="s">
        <v>474</v>
      </c>
      <c r="EF1282">
        <v>261.7</v>
      </c>
      <c r="EG1282">
        <v>261.7</v>
      </c>
      <c r="EI1282">
        <v>20160407</v>
      </c>
      <c r="EJ1282">
        <v>0</v>
      </c>
      <c r="EK1282">
        <v>0</v>
      </c>
      <c r="EP1282" t="s">
        <v>421</v>
      </c>
      <c r="EQ1282" t="s">
        <v>422</v>
      </c>
      <c r="ER1282">
        <v>0</v>
      </c>
      <c r="ES1282">
        <v>6</v>
      </c>
      <c r="ET1282">
        <v>0</v>
      </c>
      <c r="EU1282">
        <v>0</v>
      </c>
      <c r="EV1282">
        <v>0</v>
      </c>
      <c r="EW1282" s="2">
        <v>43222</v>
      </c>
      <c r="EX1282" s="1">
        <v>42515</v>
      </c>
      <c r="EY1282">
        <v>2015</v>
      </c>
      <c r="EZ1282">
        <v>848.14</v>
      </c>
      <c r="FA1282" t="s">
        <v>13060</v>
      </c>
      <c r="FB1282">
        <v>4.75</v>
      </c>
      <c r="FC1282" t="s">
        <v>424</v>
      </c>
      <c r="FD1282" t="s">
        <v>425</v>
      </c>
      <c r="FE1282" s="1">
        <v>42821</v>
      </c>
      <c r="FF1282">
        <v>10</v>
      </c>
      <c r="FG1282">
        <v>2035919</v>
      </c>
      <c r="FH1282" t="s">
        <v>507</v>
      </c>
      <c r="FJ1282" s="1">
        <v>42151</v>
      </c>
      <c r="FK1282">
        <v>2014</v>
      </c>
      <c r="FL1282">
        <v>860.53</v>
      </c>
      <c r="FM1282" t="s">
        <v>13061</v>
      </c>
      <c r="FN1282">
        <v>4.75</v>
      </c>
      <c r="FO1282" t="s">
        <v>424</v>
      </c>
      <c r="FP1282" t="s">
        <v>425</v>
      </c>
      <c r="FQ1282" s="1">
        <v>42793</v>
      </c>
      <c r="FR1282">
        <v>21</v>
      </c>
      <c r="FS1282">
        <v>4975593</v>
      </c>
      <c r="FT1282" t="s">
        <v>505</v>
      </c>
      <c r="FV1282" s="1">
        <v>41787</v>
      </c>
      <c r="FW1282">
        <v>2013</v>
      </c>
      <c r="FX1282">
        <v>827.18</v>
      </c>
      <c r="FY1282" t="s">
        <v>13062</v>
      </c>
      <c r="FZ1282">
        <v>0.25</v>
      </c>
      <c r="GA1282" t="s">
        <v>424</v>
      </c>
      <c r="GB1282" t="s">
        <v>425</v>
      </c>
      <c r="GC1282" s="1">
        <v>42426</v>
      </c>
      <c r="GD1282">
        <v>21</v>
      </c>
      <c r="GE1282">
        <v>13139</v>
      </c>
      <c r="GF1282" t="s">
        <v>955</v>
      </c>
      <c r="GH1282" s="1">
        <v>41423</v>
      </c>
      <c r="GI1282">
        <v>2012</v>
      </c>
      <c r="GJ1282">
        <v>862.42</v>
      </c>
      <c r="GK1282" t="s">
        <v>13063</v>
      </c>
      <c r="GL1282">
        <v>0.25</v>
      </c>
      <c r="GM1282" t="s">
        <v>424</v>
      </c>
      <c r="GN1282" t="s">
        <v>425</v>
      </c>
      <c r="GO1282" s="1">
        <v>42058</v>
      </c>
      <c r="GP1282">
        <v>21</v>
      </c>
      <c r="GQ1282">
        <v>1625515</v>
      </c>
      <c r="GR1282" t="s">
        <v>487</v>
      </c>
      <c r="GT1282" s="1">
        <v>41052</v>
      </c>
      <c r="GU1282">
        <v>2011</v>
      </c>
      <c r="GV1282">
        <v>964</v>
      </c>
      <c r="GW1282" t="s">
        <v>13064</v>
      </c>
      <c r="GX1282">
        <v>5.75</v>
      </c>
      <c r="GY1282" t="s">
        <v>424</v>
      </c>
      <c r="GZ1282" t="s">
        <v>425</v>
      </c>
      <c r="HA1282" s="1">
        <v>41697</v>
      </c>
      <c r="HB1282">
        <v>21</v>
      </c>
      <c r="HC1282">
        <v>62</v>
      </c>
      <c r="HD1282" t="s">
        <v>463</v>
      </c>
      <c r="HF1282" s="1">
        <v>40688</v>
      </c>
      <c r="HG1282">
        <v>2010</v>
      </c>
      <c r="HH1282">
        <v>1117.06</v>
      </c>
      <c r="HI1282" t="s">
        <v>13065</v>
      </c>
      <c r="HJ1282">
        <v>6.25</v>
      </c>
      <c r="HK1282" t="s">
        <v>424</v>
      </c>
      <c r="HL1282" t="s">
        <v>425</v>
      </c>
      <c r="HM1282" s="1">
        <v>41325</v>
      </c>
      <c r="HN1282">
        <v>21</v>
      </c>
      <c r="HO1282">
        <v>10591</v>
      </c>
      <c r="HP1282" t="s">
        <v>4254</v>
      </c>
    </row>
    <row r="1283" spans="1:284" x14ac:dyDescent="0.25">
      <c r="A1283">
        <v>16486290</v>
      </c>
      <c r="B1283">
        <v>1282</v>
      </c>
      <c r="C1283" t="s">
        <v>393</v>
      </c>
      <c r="D1283" t="s">
        <v>394</v>
      </c>
      <c r="F1283" t="str">
        <f>"42-2N-27-4487-0013-0000"</f>
        <v>42-2N-27-4487-0013-0000</v>
      </c>
      <c r="H1283" t="str">
        <f>"HESSENAUER BRIAN T &amp; PHYLLIS"</f>
        <v>HESSENAUER BRIAN T &amp; PHYLLIS</v>
      </c>
      <c r="I1283" t="str">
        <f>"PO BOX 1748"</f>
        <v>PO BOX 1748</v>
      </c>
      <c r="J1283" t="str">
        <f>"YULEE FL 32041"</f>
        <v>YULEE FL 32041</v>
      </c>
      <c r="K1283" t="str">
        <f>"85020 PEACOCK CT"</f>
        <v>85020 PEACOCK CT</v>
      </c>
      <c r="L1283" t="str">
        <f t="shared" si="430"/>
        <v>YULEE FL 32097</v>
      </c>
      <c r="M1283" t="str">
        <f>"LOT 13 (EX S-1 &amp; S-2) IN OR 754/1932 &amp; OR 1815/469 ESMT OR 993/1156 WIDE ROAD ACRES PB 5/404-406"</f>
        <v>LOT 13 (EX S-1 &amp; S-2) IN OR 754/1932 &amp; OR 1815/469 ESMT OR 993/1156 WIDE ROAD ACRES PB 5/404-406</v>
      </c>
      <c r="N1283" t="str">
        <f>""</f>
        <v/>
      </c>
      <c r="O1283" t="str">
        <f>"48377"</f>
        <v>48377</v>
      </c>
      <c r="P1283" t="str">
        <f t="shared" si="433"/>
        <v>2017</v>
      </c>
      <c r="Q1283" t="str">
        <f>""</f>
        <v/>
      </c>
      <c r="R1283" t="str">
        <f>"N"</f>
        <v>N</v>
      </c>
      <c r="S1283" t="str">
        <f>"1.14"</f>
        <v>1.14</v>
      </c>
      <c r="T1283" t="str">
        <f>"593.67"</f>
        <v>593.67</v>
      </c>
      <c r="U1283" t="str">
        <f>"39215.00"</f>
        <v>39215.00</v>
      </c>
      <c r="V1283" t="str">
        <f>"39215.00"</f>
        <v>39215.00</v>
      </c>
      <c r="W1283" t="str">
        <f t="shared" si="434"/>
        <v>2017</v>
      </c>
      <c r="X1283" t="str">
        <f>"14.67"</f>
        <v>14.67</v>
      </c>
      <c r="Y1283" t="str">
        <f>"643.48"</f>
        <v>643.48</v>
      </c>
      <c r="Z1283" t="str">
        <f>""</f>
        <v/>
      </c>
      <c r="AA1283" t="str">
        <f>"39215.00"</f>
        <v>39215.00</v>
      </c>
      <c r="AB1283" t="str">
        <f t="shared" si="431"/>
        <v>Residential</v>
      </c>
      <c r="AC1283" t="str">
        <f t="shared" si="422"/>
        <v>0</v>
      </c>
      <c r="AD1283" t="str">
        <f t="shared" ref="AD1283:AD1294" si="435">"4"</f>
        <v>4</v>
      </c>
      <c r="AE1283" t="str">
        <f t="shared" ref="AE1283:AE1294" si="436">"WOOD (INCLUDE STEEL STUDS)"</f>
        <v>WOOD (INCLUDE STEEL STUDS)</v>
      </c>
      <c r="AF1283" t="str">
        <f>"002"</f>
        <v>002</v>
      </c>
      <c r="AG1283" t="str">
        <f t="shared" si="432"/>
        <v>FL</v>
      </c>
      <c r="AH1283" t="str">
        <f>"49658.00"</f>
        <v>49658.00</v>
      </c>
      <c r="AI1283" t="str">
        <f>"28500.00"</f>
        <v>28500.00</v>
      </c>
      <c r="AJ1283" t="str">
        <f>"C55-000-588-1979-8"</f>
        <v>C55-000-588-1979-8</v>
      </c>
      <c r="AK1283" t="str">
        <f>"22041"</f>
        <v>22041</v>
      </c>
      <c r="AL1283">
        <v>5</v>
      </c>
      <c r="AM1283">
        <v>1460</v>
      </c>
      <c r="AN1283">
        <v>674.05</v>
      </c>
      <c r="AQ1283" t="s">
        <v>13066</v>
      </c>
      <c r="AR1283" t="s">
        <v>13066</v>
      </c>
      <c r="AS1283" t="s">
        <v>13066</v>
      </c>
      <c r="AU1283" t="s">
        <v>396</v>
      </c>
      <c r="AV1283">
        <v>2017</v>
      </c>
      <c r="AW1283" t="str">
        <f>"42-2N-27-4487-0013-0000 "</f>
        <v xml:space="preserve">42-2N-27-4487-0013-0000 </v>
      </c>
      <c r="AX1283">
        <v>85020</v>
      </c>
      <c r="AZ1283" t="s">
        <v>13067</v>
      </c>
      <c r="BA1283" t="s">
        <v>3181</v>
      </c>
      <c r="BD1283" t="s">
        <v>2387</v>
      </c>
      <c r="BE1283" t="s">
        <v>393</v>
      </c>
      <c r="BF1283">
        <v>32097</v>
      </c>
      <c r="BG1283" t="s">
        <v>13068</v>
      </c>
      <c r="BH1283" t="s">
        <v>2388</v>
      </c>
      <c r="BI1283">
        <v>-81.6052082956856</v>
      </c>
      <c r="BJ1283">
        <v>30.605184200432902</v>
      </c>
      <c r="BK1283" t="s">
        <v>13069</v>
      </c>
      <c r="BL1283" t="s">
        <v>13070</v>
      </c>
      <c r="BM1283" t="s">
        <v>12658</v>
      </c>
      <c r="BN1283" t="s">
        <v>1778</v>
      </c>
      <c r="BO1283">
        <v>32041</v>
      </c>
      <c r="BP1283" t="s">
        <v>404</v>
      </c>
      <c r="BQ1283">
        <v>200</v>
      </c>
      <c r="BR1283" t="s">
        <v>405</v>
      </c>
      <c r="BS1283">
        <v>1006</v>
      </c>
      <c r="BT1283" t="s">
        <v>406</v>
      </c>
      <c r="BW1283">
        <v>49658</v>
      </c>
      <c r="BX1283" t="s">
        <v>407</v>
      </c>
      <c r="BY1283" t="s">
        <v>408</v>
      </c>
      <c r="BZ1283">
        <v>4</v>
      </c>
      <c r="CA1283">
        <v>1985</v>
      </c>
      <c r="CC1283">
        <v>1</v>
      </c>
      <c r="CD1283">
        <v>2017</v>
      </c>
      <c r="CE1283">
        <v>28500</v>
      </c>
      <c r="CF1283">
        <v>10715</v>
      </c>
      <c r="CG1283">
        <v>39215</v>
      </c>
      <c r="CH1283">
        <v>2017</v>
      </c>
      <c r="CI1283">
        <v>28500</v>
      </c>
      <c r="CJ1283">
        <v>10715</v>
      </c>
      <c r="CK1283">
        <v>39215</v>
      </c>
      <c r="CL1283">
        <v>2017</v>
      </c>
      <c r="CM1283">
        <v>593.66999999999996</v>
      </c>
      <c r="CN1283" s="1">
        <v>37321</v>
      </c>
      <c r="CO1283">
        <v>51000</v>
      </c>
      <c r="CV1283">
        <v>46000</v>
      </c>
      <c r="CX1283" t="s">
        <v>707</v>
      </c>
      <c r="CZ1283" s="1">
        <v>37321</v>
      </c>
      <c r="DA1283">
        <v>0</v>
      </c>
      <c r="DD1283" t="s">
        <v>2387</v>
      </c>
      <c r="DF1283">
        <v>13</v>
      </c>
      <c r="DG1283">
        <v>42</v>
      </c>
      <c r="DL1283">
        <v>50301</v>
      </c>
      <c r="DM1283" t="s">
        <v>12468</v>
      </c>
      <c r="DO1283" t="s">
        <v>13071</v>
      </c>
      <c r="DP1283">
        <v>0</v>
      </c>
      <c r="DQ1283">
        <v>0</v>
      </c>
      <c r="DR1283" t="s">
        <v>411</v>
      </c>
      <c r="DS1283" t="b">
        <v>1</v>
      </c>
      <c r="DT1283" t="s">
        <v>470</v>
      </c>
      <c r="DU1283" t="s">
        <v>471</v>
      </c>
      <c r="DV1283" t="s">
        <v>472</v>
      </c>
      <c r="DX1283">
        <v>-9999</v>
      </c>
      <c r="DZ1283" t="s">
        <v>447</v>
      </c>
      <c r="EA1283" t="s">
        <v>448</v>
      </c>
      <c r="EB1283" t="s">
        <v>742</v>
      </c>
      <c r="EC1283">
        <v>20101217</v>
      </c>
      <c r="ED1283" t="s">
        <v>474</v>
      </c>
      <c r="EF1283">
        <v>774</v>
      </c>
      <c r="EG1283">
        <v>774</v>
      </c>
      <c r="EI1283">
        <v>20160407</v>
      </c>
      <c r="EJ1283">
        <v>0</v>
      </c>
      <c r="EK1283">
        <v>0</v>
      </c>
      <c r="EP1283" t="s">
        <v>421</v>
      </c>
      <c r="EQ1283" t="s">
        <v>422</v>
      </c>
      <c r="ER1283">
        <v>2</v>
      </c>
      <c r="ES1283">
        <v>9</v>
      </c>
      <c r="ET1283">
        <v>1391.54</v>
      </c>
      <c r="EU1283">
        <v>82.08</v>
      </c>
      <c r="EV1283">
        <v>1473.62</v>
      </c>
      <c r="EW1283" s="2">
        <v>43222</v>
      </c>
      <c r="EX1283" s="1">
        <v>42879</v>
      </c>
      <c r="EY1283">
        <v>2016</v>
      </c>
      <c r="EZ1283">
        <v>695.77</v>
      </c>
      <c r="FA1283" t="s">
        <v>13072</v>
      </c>
      <c r="FB1283">
        <v>0.25</v>
      </c>
      <c r="FC1283" t="s">
        <v>424</v>
      </c>
      <c r="FD1283" t="s">
        <v>454</v>
      </c>
      <c r="FF1283">
        <v>12</v>
      </c>
      <c r="FG1283">
        <v>7400234</v>
      </c>
      <c r="FH1283" t="s">
        <v>426</v>
      </c>
      <c r="FJ1283" s="1">
        <v>42879</v>
      </c>
      <c r="FK1283">
        <v>2016</v>
      </c>
      <c r="FL1283">
        <v>695.77</v>
      </c>
      <c r="FM1283" t="s">
        <v>13072</v>
      </c>
      <c r="FN1283">
        <v>0.25</v>
      </c>
      <c r="FO1283" t="s">
        <v>424</v>
      </c>
      <c r="FP1283" t="s">
        <v>454</v>
      </c>
      <c r="FR1283">
        <v>12</v>
      </c>
      <c r="FS1283">
        <v>7427715</v>
      </c>
      <c r="FT1283" t="s">
        <v>13073</v>
      </c>
      <c r="FV1283" s="1">
        <v>42515</v>
      </c>
      <c r="FW1283">
        <v>2015</v>
      </c>
      <c r="FX1283">
        <v>699.22</v>
      </c>
      <c r="FY1283" t="s">
        <v>13074</v>
      </c>
      <c r="FZ1283">
        <v>0.25</v>
      </c>
      <c r="GA1283" t="s">
        <v>424</v>
      </c>
      <c r="GB1283" t="s">
        <v>425</v>
      </c>
      <c r="GC1283" s="1">
        <v>43158</v>
      </c>
      <c r="GD1283">
        <v>21</v>
      </c>
      <c r="GE1283">
        <v>2851116</v>
      </c>
      <c r="GF1283" t="s">
        <v>480</v>
      </c>
      <c r="GH1283" s="1">
        <v>42515</v>
      </c>
      <c r="GI1283">
        <v>2015</v>
      </c>
      <c r="GJ1283">
        <v>699.22</v>
      </c>
      <c r="GK1283" t="s">
        <v>13074</v>
      </c>
      <c r="GL1283">
        <v>0.25</v>
      </c>
      <c r="GM1283" t="s">
        <v>424</v>
      </c>
      <c r="GN1283" t="s">
        <v>425</v>
      </c>
      <c r="GP1283">
        <v>22</v>
      </c>
      <c r="GQ1283">
        <v>4869827</v>
      </c>
      <c r="GR1283" t="s">
        <v>13075</v>
      </c>
      <c r="GT1283" s="1">
        <v>42151</v>
      </c>
      <c r="GU1283">
        <v>2014</v>
      </c>
      <c r="GV1283">
        <v>634.51</v>
      </c>
      <c r="GW1283" t="s">
        <v>13076</v>
      </c>
      <c r="GX1283">
        <v>0.25</v>
      </c>
      <c r="GY1283" t="s">
        <v>424</v>
      </c>
      <c r="GZ1283" t="s">
        <v>425</v>
      </c>
      <c r="HA1283" s="1">
        <v>42432</v>
      </c>
      <c r="HB1283">
        <v>10</v>
      </c>
      <c r="HC1283">
        <v>2851116</v>
      </c>
      <c r="HD1283" t="s">
        <v>480</v>
      </c>
      <c r="HF1283" s="1">
        <v>42151</v>
      </c>
      <c r="HG1283">
        <v>2014</v>
      </c>
      <c r="HH1283">
        <v>634.51</v>
      </c>
      <c r="HI1283" t="s">
        <v>13076</v>
      </c>
      <c r="HJ1283">
        <v>0.25</v>
      </c>
      <c r="HK1283" t="s">
        <v>424</v>
      </c>
      <c r="HL1283" t="s">
        <v>425</v>
      </c>
      <c r="HN1283">
        <v>22</v>
      </c>
      <c r="HO1283">
        <v>5081925</v>
      </c>
      <c r="HP1283" t="s">
        <v>13077</v>
      </c>
      <c r="HR1283" s="1">
        <v>41787</v>
      </c>
      <c r="HS1283">
        <v>2013</v>
      </c>
      <c r="HT1283">
        <v>696.18</v>
      </c>
      <c r="HU1283" t="s">
        <v>13078</v>
      </c>
      <c r="HV1283">
        <v>0.25</v>
      </c>
      <c r="HW1283" t="s">
        <v>424</v>
      </c>
      <c r="HX1283" t="s">
        <v>425</v>
      </c>
      <c r="HY1283" s="1">
        <v>42116</v>
      </c>
      <c r="HZ1283">
        <v>11</v>
      </c>
      <c r="IA1283">
        <v>13026</v>
      </c>
      <c r="IB1283" t="s">
        <v>2129</v>
      </c>
      <c r="ID1283" s="1">
        <v>41423</v>
      </c>
      <c r="IE1283">
        <v>2012</v>
      </c>
      <c r="IF1283">
        <v>712.57</v>
      </c>
      <c r="IG1283" t="s">
        <v>13079</v>
      </c>
      <c r="IH1283">
        <v>0.25</v>
      </c>
      <c r="II1283" t="s">
        <v>424</v>
      </c>
      <c r="IJ1283" t="s">
        <v>425</v>
      </c>
      <c r="IK1283" s="1">
        <v>41677</v>
      </c>
      <c r="IL1283">
        <v>9</v>
      </c>
      <c r="IM1283">
        <v>15399</v>
      </c>
      <c r="IN1283" t="s">
        <v>485</v>
      </c>
      <c r="IP1283" s="1">
        <v>41052</v>
      </c>
      <c r="IQ1283">
        <v>2011</v>
      </c>
      <c r="IR1283">
        <v>851.53</v>
      </c>
      <c r="IS1283" t="s">
        <v>13080</v>
      </c>
      <c r="IT1283">
        <v>5.75</v>
      </c>
      <c r="IU1283" t="s">
        <v>424</v>
      </c>
      <c r="IV1283" t="s">
        <v>425</v>
      </c>
      <c r="IW1283" s="1">
        <v>41677</v>
      </c>
      <c r="IX1283">
        <v>21</v>
      </c>
      <c r="IY1283">
        <v>1625515</v>
      </c>
      <c r="IZ1283" t="s">
        <v>487</v>
      </c>
      <c r="JB1283" s="1">
        <v>41052</v>
      </c>
      <c r="JC1283">
        <v>2011</v>
      </c>
      <c r="JD1283">
        <v>851.53</v>
      </c>
      <c r="JE1283" t="s">
        <v>13080</v>
      </c>
      <c r="JF1283">
        <v>5.75</v>
      </c>
      <c r="JG1283" t="s">
        <v>424</v>
      </c>
      <c r="JH1283" t="s">
        <v>425</v>
      </c>
      <c r="JJ1283">
        <v>22</v>
      </c>
      <c r="JK1283">
        <v>10579</v>
      </c>
      <c r="JL1283" t="s">
        <v>488</v>
      </c>
      <c r="JN1283" s="1">
        <v>40688</v>
      </c>
      <c r="JO1283">
        <v>2010</v>
      </c>
      <c r="JP1283">
        <v>1017.82</v>
      </c>
      <c r="JQ1283" t="s">
        <v>13081</v>
      </c>
      <c r="JR1283">
        <v>6.75</v>
      </c>
      <c r="JS1283" t="s">
        <v>424</v>
      </c>
      <c r="JT1283" t="s">
        <v>425</v>
      </c>
      <c r="JU1283" s="1">
        <v>41318</v>
      </c>
      <c r="JV1283">
        <v>21</v>
      </c>
      <c r="JW1283">
        <v>10579</v>
      </c>
      <c r="JX1283" t="s">
        <v>488</v>
      </c>
    </row>
    <row r="1284" spans="1:284" x14ac:dyDescent="0.25">
      <c r="A1284">
        <v>16486291</v>
      </c>
      <c r="B1284">
        <v>1283</v>
      </c>
      <c r="C1284" t="s">
        <v>393</v>
      </c>
      <c r="D1284" t="s">
        <v>394</v>
      </c>
      <c r="F1284" t="str">
        <f>"42-2N-27-4487-0032-0000"</f>
        <v>42-2N-27-4487-0032-0000</v>
      </c>
      <c r="H1284" t="str">
        <f>"PETERSON CLAYTON R &amp; KIMBERLY"</f>
        <v>PETERSON CLAYTON R &amp; KIMBERLY</v>
      </c>
      <c r="I1284" t="str">
        <f>"85488 HARTS RD"</f>
        <v>85488 HARTS RD</v>
      </c>
      <c r="J1284" t="str">
        <f>"YULEE FL 32097"</f>
        <v>YULEE FL 32097</v>
      </c>
      <c r="K1284" t="str">
        <f>"85488 NORTH HARTS RD"</f>
        <v>85488 NORTH HARTS RD</v>
      </c>
      <c r="L1284" t="str">
        <f t="shared" si="430"/>
        <v>YULEE FL 32097</v>
      </c>
      <c r="M1284" t="str">
        <f>"LOT 32 (EX S-1) IN OR 1924/629 1995 SKYL DW/MH ESMT IN OR 756/1345 WIDE ROAD ACRES PB 5/404-406"</f>
        <v>LOT 32 (EX S-1) IN OR 1924/629 1995 SKYL DW/MH ESMT IN OR 756/1345 WIDE ROAD ACRES PB 5/404-406</v>
      </c>
      <c r="N1284" t="str">
        <f>""</f>
        <v/>
      </c>
      <c r="O1284" t="str">
        <f>"48398"</f>
        <v>48398</v>
      </c>
      <c r="P1284" t="str">
        <f t="shared" si="433"/>
        <v>2017</v>
      </c>
      <c r="Q1284" t="str">
        <f>""</f>
        <v/>
      </c>
      <c r="R1284" t="str">
        <f>"N"</f>
        <v>N</v>
      </c>
      <c r="S1284" t="str">
        <f>"1.51"</f>
        <v>1.51</v>
      </c>
      <c r="T1284" t="str">
        <f>"1028.57"</f>
        <v>1028.57</v>
      </c>
      <c r="U1284" t="str">
        <f>"67943.00"</f>
        <v>67943.00</v>
      </c>
      <c r="V1284" t="str">
        <f>"67943.00"</f>
        <v>67943.00</v>
      </c>
      <c r="W1284" t="str">
        <f t="shared" si="434"/>
        <v>2017</v>
      </c>
      <c r="X1284" t="str">
        <f>"9.00"</f>
        <v>9.00</v>
      </c>
      <c r="Y1284" t="str">
        <f>"1091.43"</f>
        <v>1091.43</v>
      </c>
      <c r="Z1284" t="str">
        <f>""</f>
        <v/>
      </c>
      <c r="AA1284" t="str">
        <f>"67943.00"</f>
        <v>67943.00</v>
      </c>
      <c r="AB1284" t="str">
        <f t="shared" si="431"/>
        <v>Residential</v>
      </c>
      <c r="AC1284" t="str">
        <f t="shared" si="422"/>
        <v>0</v>
      </c>
      <c r="AD1284" t="str">
        <f t="shared" si="435"/>
        <v>4</v>
      </c>
      <c r="AE1284" t="str">
        <f t="shared" si="436"/>
        <v>WOOD (INCLUDE STEEL STUDS)</v>
      </c>
      <c r="AF1284" t="str">
        <f>"002"</f>
        <v>002</v>
      </c>
      <c r="AG1284" t="str">
        <f t="shared" si="432"/>
        <v>FL</v>
      </c>
      <c r="AH1284" t="str">
        <f>"65775.00"</f>
        <v>65775.00</v>
      </c>
      <c r="AI1284" t="str">
        <f>"30200.00"</f>
        <v>30200.00</v>
      </c>
      <c r="AJ1284" t="str">
        <f>"C55-000-588-2000-2"</f>
        <v>C55-000-588-2000-2</v>
      </c>
      <c r="AK1284" t="str">
        <f>"22062"</f>
        <v>22062</v>
      </c>
      <c r="AL1284">
        <v>5</v>
      </c>
      <c r="AM1284">
        <v>1461</v>
      </c>
      <c r="AN1284">
        <v>1144.4000000000001</v>
      </c>
      <c r="AQ1284" t="s">
        <v>13082</v>
      </c>
      <c r="AR1284" t="s">
        <v>13082</v>
      </c>
      <c r="AS1284" t="s">
        <v>13082</v>
      </c>
      <c r="AU1284" t="s">
        <v>396</v>
      </c>
      <c r="AV1284">
        <v>2017</v>
      </c>
      <c r="AW1284" t="str">
        <f>"42-2N-27-4487-0032-0000 "</f>
        <v xml:space="preserve">42-2N-27-4487-0032-0000 </v>
      </c>
      <c r="AX1284">
        <v>85488</v>
      </c>
      <c r="AY1284" t="s">
        <v>11533</v>
      </c>
      <c r="AZ1284" t="s">
        <v>11534</v>
      </c>
      <c r="BA1284" t="s">
        <v>496</v>
      </c>
      <c r="BD1284" t="s">
        <v>2387</v>
      </c>
      <c r="BE1284" t="s">
        <v>393</v>
      </c>
      <c r="BF1284">
        <v>32097</v>
      </c>
      <c r="BG1284" t="s">
        <v>13083</v>
      </c>
      <c r="BH1284" t="s">
        <v>2388</v>
      </c>
      <c r="BI1284">
        <v>-81.602406675680996</v>
      </c>
      <c r="BJ1284">
        <v>30.607691894473</v>
      </c>
      <c r="BK1284" t="s">
        <v>13084</v>
      </c>
      <c r="BL1284" t="s">
        <v>13085</v>
      </c>
      <c r="BM1284" t="s">
        <v>13086</v>
      </c>
      <c r="BN1284" t="s">
        <v>1778</v>
      </c>
      <c r="BO1284">
        <v>32097</v>
      </c>
      <c r="BP1284" t="s">
        <v>416</v>
      </c>
      <c r="BQ1284">
        <v>200</v>
      </c>
      <c r="BR1284" t="s">
        <v>405</v>
      </c>
      <c r="BS1284">
        <v>1006</v>
      </c>
      <c r="BT1284" t="s">
        <v>406</v>
      </c>
      <c r="BW1284">
        <v>65775</v>
      </c>
      <c r="BX1284" t="s">
        <v>407</v>
      </c>
      <c r="BY1284" t="s">
        <v>408</v>
      </c>
      <c r="BZ1284">
        <v>4</v>
      </c>
      <c r="CA1284">
        <v>1995</v>
      </c>
      <c r="CB1284">
        <v>1</v>
      </c>
      <c r="CC1284">
        <v>1</v>
      </c>
      <c r="CD1284">
        <v>2017</v>
      </c>
      <c r="CE1284">
        <v>30200</v>
      </c>
      <c r="CF1284">
        <v>37743</v>
      </c>
      <c r="CG1284">
        <v>67943</v>
      </c>
      <c r="CH1284">
        <v>2017</v>
      </c>
      <c r="CI1284">
        <v>30200</v>
      </c>
      <c r="CJ1284">
        <v>37743</v>
      </c>
      <c r="CK1284">
        <v>67943</v>
      </c>
      <c r="CL1284">
        <v>2017</v>
      </c>
      <c r="CM1284">
        <v>1028.57</v>
      </c>
      <c r="CN1284" s="1">
        <v>41815</v>
      </c>
      <c r="CV1284">
        <v>0</v>
      </c>
      <c r="CZ1284" s="1">
        <v>41815</v>
      </c>
      <c r="DA1284">
        <v>0</v>
      </c>
      <c r="DD1284" t="s">
        <v>2387</v>
      </c>
      <c r="DF1284">
        <v>32</v>
      </c>
      <c r="DG1284">
        <v>42</v>
      </c>
      <c r="DL1284">
        <v>50302</v>
      </c>
      <c r="DM1284" t="s">
        <v>12468</v>
      </c>
      <c r="DO1284" t="s">
        <v>13087</v>
      </c>
      <c r="DP1284">
        <v>0</v>
      </c>
      <c r="DQ1284">
        <v>0</v>
      </c>
      <c r="DR1284" t="s">
        <v>411</v>
      </c>
      <c r="EP1284" t="s">
        <v>421</v>
      </c>
      <c r="EQ1284" t="s">
        <v>422</v>
      </c>
      <c r="ER1284">
        <v>2</v>
      </c>
      <c r="ES1284">
        <v>0</v>
      </c>
      <c r="ET1284">
        <v>2154.42</v>
      </c>
      <c r="EU1284">
        <v>120.22</v>
      </c>
      <c r="EV1284">
        <v>2274.64</v>
      </c>
      <c r="EW1284" s="2">
        <v>43222</v>
      </c>
      <c r="EX1284" s="1">
        <v>42879</v>
      </c>
      <c r="EY1284">
        <v>2016</v>
      </c>
      <c r="EZ1284">
        <v>1077.21</v>
      </c>
      <c r="FA1284" t="s">
        <v>13088</v>
      </c>
      <c r="FB1284">
        <v>0.25</v>
      </c>
      <c r="FC1284" t="s">
        <v>424</v>
      </c>
      <c r="FD1284" t="s">
        <v>454</v>
      </c>
      <c r="FF1284">
        <v>12</v>
      </c>
      <c r="FG1284">
        <v>7336671</v>
      </c>
      <c r="FH1284" t="s">
        <v>437</v>
      </c>
      <c r="FJ1284" s="1">
        <v>42879</v>
      </c>
      <c r="FK1284">
        <v>2016</v>
      </c>
      <c r="FL1284">
        <v>1077.21</v>
      </c>
      <c r="FM1284" t="s">
        <v>13088</v>
      </c>
      <c r="FN1284">
        <v>0.25</v>
      </c>
      <c r="FO1284" t="s">
        <v>424</v>
      </c>
      <c r="FP1284" t="s">
        <v>454</v>
      </c>
      <c r="FR1284">
        <v>12</v>
      </c>
      <c r="FS1284">
        <v>6771933</v>
      </c>
      <c r="FT1284" t="s">
        <v>13089</v>
      </c>
    </row>
    <row r="1285" spans="1:284" x14ac:dyDescent="0.25">
      <c r="A1285">
        <v>16486292</v>
      </c>
      <c r="B1285">
        <v>1284</v>
      </c>
      <c r="C1285" t="s">
        <v>393</v>
      </c>
      <c r="D1285" t="s">
        <v>394</v>
      </c>
      <c r="F1285" t="str">
        <f>"42-2N-27-4487-0033-0000"</f>
        <v>42-2N-27-4487-0033-0000</v>
      </c>
      <c r="H1285" t="str">
        <f>"HOWARD CONNIE C STEVENS &amp; HOWARD MICHAEL A SR"</f>
        <v>HOWARD CONNIE C STEVENS &amp; HOWARD MICHAEL A SR</v>
      </c>
      <c r="I1285" t="str">
        <f>"85494 NORTH HARTS ROAD"</f>
        <v>85494 NORTH HARTS ROAD</v>
      </c>
      <c r="J1285" t="str">
        <f>"YULEE FL 32097"</f>
        <v>YULEE FL 32097</v>
      </c>
      <c r="K1285" t="str">
        <f>"85494 NORTH HARTS RD"</f>
        <v>85494 NORTH HARTS RD</v>
      </c>
      <c r="L1285" t="str">
        <f t="shared" si="430"/>
        <v>YULEE FL 32097</v>
      </c>
      <c r="M1285" t="str">
        <f>"LOT 33 (EX S-1) IN OR 751 PG 1856 R672881 &amp; R672882 WIDE ROAD ACRES PB 5/404-406"</f>
        <v>LOT 33 (EX S-1) IN OR 751 PG 1856 R672881 &amp; R672882 WIDE ROAD ACRES PB 5/404-406</v>
      </c>
      <c r="N1285" t="str">
        <f>""</f>
        <v/>
      </c>
      <c r="O1285" t="str">
        <f>"48400"</f>
        <v>48400</v>
      </c>
      <c r="P1285" t="str">
        <f t="shared" si="433"/>
        <v>2017</v>
      </c>
      <c r="Q1285" t="str">
        <f>""</f>
        <v/>
      </c>
      <c r="R1285" t="str">
        <f>"Y"</f>
        <v>Y</v>
      </c>
      <c r="S1285" t="str">
        <f>"2.06"</f>
        <v>2.06</v>
      </c>
      <c r="T1285" t="str">
        <f>"523.59"</f>
        <v>523.59</v>
      </c>
      <c r="U1285" t="str">
        <f>"71992.00"</f>
        <v>71992.00</v>
      </c>
      <c r="V1285" t="str">
        <f>"71992.00"</f>
        <v>71992.00</v>
      </c>
      <c r="W1285" t="str">
        <f t="shared" si="434"/>
        <v>2017</v>
      </c>
      <c r="X1285" t="str">
        <f>"19.63"</f>
        <v>19.63</v>
      </c>
      <c r="Y1285" t="str">
        <f>"571.30"</f>
        <v>571.30</v>
      </c>
      <c r="Z1285" t="str">
        <f>"25000.00"</f>
        <v>25000.00</v>
      </c>
      <c r="AA1285" t="str">
        <f>"46992.00"</f>
        <v>46992.00</v>
      </c>
      <c r="AB1285" t="str">
        <f t="shared" si="431"/>
        <v>Residential</v>
      </c>
      <c r="AC1285" t="str">
        <f t="shared" si="422"/>
        <v>0</v>
      </c>
      <c r="AD1285" t="str">
        <f t="shared" si="435"/>
        <v>4</v>
      </c>
      <c r="AE1285" t="str">
        <f t="shared" si="436"/>
        <v>WOOD (INCLUDE STEEL STUDS)</v>
      </c>
      <c r="AF1285" t="str">
        <f>"002"</f>
        <v>002</v>
      </c>
      <c r="AG1285" t="str">
        <f t="shared" si="432"/>
        <v>FL</v>
      </c>
      <c r="AH1285" t="str">
        <f>"89733.00"</f>
        <v>89733.00</v>
      </c>
      <c r="AI1285" t="str">
        <f>"43775.00"</f>
        <v>43775.00</v>
      </c>
      <c r="AJ1285" t="str">
        <f>"C55-000-588-2001-0"</f>
        <v>C55-000-588-2001-0</v>
      </c>
      <c r="AK1285" t="str">
        <f>"22064"</f>
        <v>22064</v>
      </c>
      <c r="AL1285">
        <v>5</v>
      </c>
      <c r="AM1285">
        <v>1462</v>
      </c>
      <c r="AN1285">
        <v>598.27</v>
      </c>
      <c r="AQ1285" t="s">
        <v>13090</v>
      </c>
      <c r="AR1285" t="s">
        <v>13090</v>
      </c>
      <c r="AS1285" t="s">
        <v>13090</v>
      </c>
      <c r="AU1285" t="s">
        <v>396</v>
      </c>
      <c r="AV1285">
        <v>2017</v>
      </c>
      <c r="AW1285" t="str">
        <f>"42-2N-27-4487-0033-0000 "</f>
        <v xml:space="preserve">42-2N-27-4487-0033-0000 </v>
      </c>
      <c r="AX1285">
        <v>85494</v>
      </c>
      <c r="AY1285" t="s">
        <v>11533</v>
      </c>
      <c r="AZ1285" t="s">
        <v>11534</v>
      </c>
      <c r="BA1285" t="s">
        <v>496</v>
      </c>
      <c r="BD1285" t="s">
        <v>2387</v>
      </c>
      <c r="BE1285" t="s">
        <v>393</v>
      </c>
      <c r="BF1285">
        <v>32097</v>
      </c>
      <c r="BG1285" t="s">
        <v>13091</v>
      </c>
      <c r="BH1285" t="s">
        <v>2388</v>
      </c>
      <c r="BI1285">
        <v>-81.602587312923205</v>
      </c>
      <c r="BJ1285">
        <v>30.6080717083134</v>
      </c>
      <c r="BK1285" t="s">
        <v>13092</v>
      </c>
      <c r="BL1285" t="s">
        <v>13093</v>
      </c>
      <c r="BM1285" t="s">
        <v>13094</v>
      </c>
      <c r="BN1285" t="s">
        <v>1778</v>
      </c>
      <c r="BO1285">
        <v>32097</v>
      </c>
      <c r="BP1285" t="s">
        <v>416</v>
      </c>
      <c r="BQ1285">
        <v>200</v>
      </c>
      <c r="BR1285" t="s">
        <v>405</v>
      </c>
      <c r="BS1285">
        <v>1006</v>
      </c>
      <c r="BT1285" t="s">
        <v>406</v>
      </c>
      <c r="BW1285">
        <v>89733</v>
      </c>
      <c r="BX1285" t="s">
        <v>407</v>
      </c>
      <c r="BY1285" t="s">
        <v>408</v>
      </c>
      <c r="BZ1285">
        <v>4</v>
      </c>
      <c r="CA1285">
        <v>1998</v>
      </c>
      <c r="CB1285">
        <v>1</v>
      </c>
      <c r="CC1285">
        <v>1</v>
      </c>
      <c r="CD1285">
        <v>2017</v>
      </c>
      <c r="CG1285">
        <v>71992</v>
      </c>
      <c r="CH1285">
        <v>2017</v>
      </c>
      <c r="CI1285">
        <v>43775</v>
      </c>
      <c r="CJ1285">
        <v>32808</v>
      </c>
      <c r="CK1285">
        <v>76583</v>
      </c>
      <c r="CL1285">
        <v>2017</v>
      </c>
      <c r="CM1285">
        <v>523.59</v>
      </c>
      <c r="CN1285" s="1">
        <v>35115</v>
      </c>
      <c r="CO1285">
        <v>25000</v>
      </c>
      <c r="CZ1285" s="1">
        <v>35115</v>
      </c>
      <c r="DD1285" t="s">
        <v>2387</v>
      </c>
      <c r="DF1285">
        <v>33</v>
      </c>
      <c r="DG1285">
        <v>42</v>
      </c>
      <c r="DL1285">
        <v>50302</v>
      </c>
      <c r="DM1285" t="s">
        <v>12468</v>
      </c>
      <c r="DO1285" t="s">
        <v>13095</v>
      </c>
      <c r="DP1285">
        <v>0</v>
      </c>
      <c r="DQ1285">
        <v>0</v>
      </c>
      <c r="DR1285" t="s">
        <v>411</v>
      </c>
      <c r="DS1285" t="b">
        <v>1</v>
      </c>
      <c r="DT1285" t="s">
        <v>470</v>
      </c>
      <c r="DU1285" t="s">
        <v>471</v>
      </c>
      <c r="DV1285" t="s">
        <v>472</v>
      </c>
      <c r="DX1285">
        <v>-9999</v>
      </c>
      <c r="DZ1285" t="s">
        <v>447</v>
      </c>
      <c r="EA1285" t="s">
        <v>448</v>
      </c>
      <c r="EB1285" t="s">
        <v>742</v>
      </c>
      <c r="EC1285">
        <v>20101217</v>
      </c>
      <c r="ED1285" t="s">
        <v>474</v>
      </c>
      <c r="EF1285">
        <v>1264</v>
      </c>
      <c r="EG1285">
        <v>1264</v>
      </c>
      <c r="EI1285">
        <v>20160407</v>
      </c>
      <c r="EJ1285">
        <v>0</v>
      </c>
      <c r="EK1285">
        <v>0</v>
      </c>
      <c r="EP1285" t="s">
        <v>421</v>
      </c>
      <c r="EQ1285" t="s">
        <v>422</v>
      </c>
      <c r="ER1285">
        <v>2</v>
      </c>
      <c r="ES1285">
        <v>8</v>
      </c>
      <c r="ET1285">
        <v>1185.52</v>
      </c>
      <c r="EU1285">
        <v>71.78</v>
      </c>
      <c r="EV1285">
        <v>1257.3</v>
      </c>
      <c r="EW1285" s="2">
        <v>43222</v>
      </c>
      <c r="EX1285" s="1">
        <v>42879</v>
      </c>
      <c r="EY1285">
        <v>2016</v>
      </c>
      <c r="EZ1285">
        <v>592.76</v>
      </c>
      <c r="FA1285" t="s">
        <v>13096</v>
      </c>
      <c r="FB1285">
        <v>0.25</v>
      </c>
      <c r="FC1285" t="s">
        <v>424</v>
      </c>
      <c r="FD1285" t="s">
        <v>454</v>
      </c>
      <c r="FF1285">
        <v>12</v>
      </c>
      <c r="FG1285">
        <v>2851116</v>
      </c>
      <c r="FH1285" t="s">
        <v>480</v>
      </c>
      <c r="FJ1285" s="1">
        <v>42879</v>
      </c>
      <c r="FK1285">
        <v>2016</v>
      </c>
      <c r="FL1285">
        <v>592.76</v>
      </c>
      <c r="FM1285" t="s">
        <v>13096</v>
      </c>
      <c r="FN1285">
        <v>0.25</v>
      </c>
      <c r="FO1285" t="s">
        <v>424</v>
      </c>
      <c r="FP1285" t="s">
        <v>454</v>
      </c>
      <c r="FR1285">
        <v>12</v>
      </c>
      <c r="FS1285">
        <v>5771382</v>
      </c>
      <c r="FT1285" t="s">
        <v>13097</v>
      </c>
      <c r="FV1285" s="1">
        <v>42515</v>
      </c>
      <c r="FW1285">
        <v>2015</v>
      </c>
      <c r="FX1285">
        <v>602.03</v>
      </c>
      <c r="FY1285" t="s">
        <v>13098</v>
      </c>
      <c r="FZ1285">
        <v>0.25</v>
      </c>
      <c r="GA1285" t="s">
        <v>424</v>
      </c>
      <c r="GB1285" t="s">
        <v>425</v>
      </c>
      <c r="GD1285">
        <v>22</v>
      </c>
      <c r="GE1285">
        <v>5445877</v>
      </c>
      <c r="GF1285" t="s">
        <v>13099</v>
      </c>
      <c r="GH1285" s="1">
        <v>42515</v>
      </c>
      <c r="GI1285">
        <v>2015</v>
      </c>
      <c r="GJ1285">
        <v>602.03</v>
      </c>
      <c r="GK1285" t="s">
        <v>13098</v>
      </c>
      <c r="GL1285">
        <v>0.25</v>
      </c>
      <c r="GM1285" t="s">
        <v>424</v>
      </c>
      <c r="GN1285" t="s">
        <v>425</v>
      </c>
      <c r="GO1285" s="1">
        <v>43145</v>
      </c>
      <c r="GP1285">
        <v>21</v>
      </c>
      <c r="GQ1285">
        <v>2851116</v>
      </c>
      <c r="GR1285" t="s">
        <v>480</v>
      </c>
      <c r="GT1285" s="1">
        <v>42151</v>
      </c>
      <c r="GU1285">
        <v>2014</v>
      </c>
      <c r="GV1285">
        <v>612.59</v>
      </c>
      <c r="GW1285" t="s">
        <v>13100</v>
      </c>
      <c r="GX1285">
        <v>0.25</v>
      </c>
      <c r="GY1285" t="s">
        <v>424</v>
      </c>
      <c r="GZ1285" t="s">
        <v>425</v>
      </c>
      <c r="HA1285" s="1">
        <v>42793</v>
      </c>
      <c r="HB1285">
        <v>21</v>
      </c>
      <c r="HC1285">
        <v>2851116</v>
      </c>
      <c r="HD1285" t="s">
        <v>480</v>
      </c>
      <c r="HF1285" s="1">
        <v>42151</v>
      </c>
      <c r="HG1285">
        <v>2014</v>
      </c>
      <c r="HH1285">
        <v>612.59</v>
      </c>
      <c r="HI1285" t="s">
        <v>13100</v>
      </c>
      <c r="HJ1285">
        <v>0.25</v>
      </c>
      <c r="HK1285" t="s">
        <v>424</v>
      </c>
      <c r="HL1285" t="s">
        <v>425</v>
      </c>
      <c r="HN1285">
        <v>22</v>
      </c>
      <c r="HO1285">
        <v>4871513</v>
      </c>
      <c r="HP1285" t="s">
        <v>13101</v>
      </c>
      <c r="HR1285" s="1">
        <v>41787</v>
      </c>
      <c r="HS1285">
        <v>2013</v>
      </c>
      <c r="HT1285">
        <v>631.36</v>
      </c>
      <c r="HU1285" t="s">
        <v>13102</v>
      </c>
      <c r="HV1285">
        <v>0.25</v>
      </c>
      <c r="HW1285" t="s">
        <v>424</v>
      </c>
      <c r="HX1285" t="s">
        <v>425</v>
      </c>
      <c r="HY1285" s="1">
        <v>42410</v>
      </c>
      <c r="HZ1285">
        <v>21</v>
      </c>
      <c r="IA1285">
        <v>2407503</v>
      </c>
      <c r="IB1285" t="s">
        <v>461</v>
      </c>
      <c r="ID1285" s="1">
        <v>41423</v>
      </c>
      <c r="IE1285">
        <v>2012</v>
      </c>
      <c r="IF1285">
        <v>629.83000000000004</v>
      </c>
      <c r="IG1285" t="s">
        <v>13103</v>
      </c>
      <c r="IH1285">
        <v>0.25</v>
      </c>
      <c r="II1285" t="s">
        <v>424</v>
      </c>
      <c r="IJ1285" t="s">
        <v>425</v>
      </c>
      <c r="IK1285" s="1">
        <v>42044</v>
      </c>
      <c r="IL1285">
        <v>21</v>
      </c>
      <c r="IM1285">
        <v>15399</v>
      </c>
      <c r="IN1285" t="s">
        <v>485</v>
      </c>
      <c r="IP1285" s="1">
        <v>41052</v>
      </c>
      <c r="IQ1285">
        <v>2011</v>
      </c>
      <c r="IR1285">
        <v>617.69000000000005</v>
      </c>
      <c r="IS1285" t="s">
        <v>13104</v>
      </c>
      <c r="IT1285">
        <v>6</v>
      </c>
      <c r="IU1285" t="s">
        <v>424</v>
      </c>
      <c r="IV1285" t="s">
        <v>425</v>
      </c>
      <c r="IW1285" s="1">
        <v>41680</v>
      </c>
      <c r="IX1285">
        <v>21</v>
      </c>
      <c r="IY1285">
        <v>375</v>
      </c>
      <c r="IZ1285" t="s">
        <v>776</v>
      </c>
      <c r="JB1285" s="1">
        <v>40688</v>
      </c>
      <c r="JC1285">
        <v>2010</v>
      </c>
      <c r="JD1285">
        <v>609.98</v>
      </c>
      <c r="JE1285" t="s">
        <v>13105</v>
      </c>
      <c r="JF1285">
        <v>6.5</v>
      </c>
      <c r="JG1285" t="s">
        <v>424</v>
      </c>
      <c r="JH1285" t="s">
        <v>425</v>
      </c>
      <c r="JI1285" s="1">
        <v>41318</v>
      </c>
      <c r="JJ1285">
        <v>21</v>
      </c>
      <c r="JK1285">
        <v>62</v>
      </c>
      <c r="JL1285" t="s">
        <v>463</v>
      </c>
    </row>
    <row r="1286" spans="1:284" x14ac:dyDescent="0.25">
      <c r="A1286">
        <v>16486293</v>
      </c>
      <c r="B1286">
        <v>1285</v>
      </c>
      <c r="C1286" t="s">
        <v>393</v>
      </c>
      <c r="D1286" t="s">
        <v>394</v>
      </c>
      <c r="F1286" t="str">
        <f>"42-2N-27-4487-0033-0010"</f>
        <v>42-2N-27-4487-0033-0010</v>
      </c>
      <c r="H1286" t="str">
        <f>"HOWARD LORRAINE R EST"</f>
        <v>HOWARD LORRAINE R EST</v>
      </c>
      <c r="I1286" t="str">
        <f>"P O BOX 1737"</f>
        <v>P O BOX 1737</v>
      </c>
      <c r="J1286" t="str">
        <f>"YULEE FL 32041"</f>
        <v>YULEE FL 32041</v>
      </c>
      <c r="K1286" t="str">
        <f>"85498 NORTH HARTS RD"</f>
        <v>85498 NORTH HARTS RD</v>
      </c>
      <c r="L1286" t="str">
        <f t="shared" si="430"/>
        <v>YULEE FL 32097</v>
      </c>
      <c r="M1286" t="str">
        <f>"PT OF LOT 33 (S-1) IN OR 976/1049 WIDE ROAD ACRES PB 5/404-406 1986 EDGE SW/MH"</f>
        <v>PT OF LOT 33 (S-1) IN OR 976/1049 WIDE ROAD ACRES PB 5/404-406 1986 EDGE SW/MH</v>
      </c>
      <c r="N1286" t="str">
        <f>""</f>
        <v/>
      </c>
      <c r="O1286" t="str">
        <f>"48401"</f>
        <v>48401</v>
      </c>
      <c r="P1286" t="str">
        <f t="shared" si="433"/>
        <v>2017</v>
      </c>
      <c r="Q1286" t="str">
        <f>""</f>
        <v/>
      </c>
      <c r="R1286" t="str">
        <f>"N"</f>
        <v>N</v>
      </c>
      <c r="S1286" t="str">
        <f>"1.00"</f>
        <v>1.00</v>
      </c>
      <c r="T1286" t="str">
        <f>"529.65"</f>
        <v>529.65</v>
      </c>
      <c r="U1286" t="str">
        <f>"34986.00"</f>
        <v>34986.00</v>
      </c>
      <c r="V1286" t="str">
        <f>"34986.00"</f>
        <v>34986.00</v>
      </c>
      <c r="W1286" t="str">
        <f t="shared" si="434"/>
        <v>2017</v>
      </c>
      <c r="X1286" t="str">
        <f>"15.33"</f>
        <v>15.33</v>
      </c>
      <c r="Y1286" t="str">
        <f>"577.54"</f>
        <v>577.54</v>
      </c>
      <c r="Z1286" t="str">
        <f>""</f>
        <v/>
      </c>
      <c r="AA1286" t="str">
        <f>"34986.00"</f>
        <v>34986.00</v>
      </c>
      <c r="AB1286" t="str">
        <f t="shared" si="431"/>
        <v>Residential</v>
      </c>
      <c r="AC1286" t="str">
        <f t="shared" si="422"/>
        <v>0</v>
      </c>
      <c r="AD1286" t="str">
        <f t="shared" si="435"/>
        <v>4</v>
      </c>
      <c r="AE1286" t="str">
        <f t="shared" si="436"/>
        <v>WOOD (INCLUDE STEEL STUDS)</v>
      </c>
      <c r="AF1286" t="str">
        <f>"002"</f>
        <v>002</v>
      </c>
      <c r="AG1286" t="str">
        <f t="shared" si="432"/>
        <v>FL</v>
      </c>
      <c r="AH1286" t="str">
        <f>"43560.00"</f>
        <v>43560.00</v>
      </c>
      <c r="AI1286" t="str">
        <f>"25000.00"</f>
        <v>25000.00</v>
      </c>
      <c r="AJ1286" t="str">
        <f>"C55-000-588-2002-8"</f>
        <v>C55-000-588-2002-8</v>
      </c>
      <c r="AK1286" t="str">
        <f>"22065"</f>
        <v>22065</v>
      </c>
      <c r="AL1286">
        <v>5</v>
      </c>
      <c r="AM1286">
        <v>1463</v>
      </c>
      <c r="AN1286">
        <v>604.82000000000005</v>
      </c>
      <c r="AQ1286" t="s">
        <v>13106</v>
      </c>
      <c r="AR1286" t="s">
        <v>13106</v>
      </c>
      <c r="AS1286" t="s">
        <v>13106</v>
      </c>
      <c r="AU1286" t="s">
        <v>396</v>
      </c>
      <c r="AV1286">
        <v>2017</v>
      </c>
      <c r="AW1286" t="str">
        <f>"42-2N-27-4487-0033-0010 "</f>
        <v xml:space="preserve">42-2N-27-4487-0033-0010 </v>
      </c>
      <c r="AX1286">
        <v>85498</v>
      </c>
      <c r="AY1286" t="s">
        <v>11533</v>
      </c>
      <c r="AZ1286" t="s">
        <v>11534</v>
      </c>
      <c r="BA1286" t="s">
        <v>496</v>
      </c>
      <c r="BD1286" t="s">
        <v>2387</v>
      </c>
      <c r="BE1286" t="s">
        <v>393</v>
      </c>
      <c r="BF1286">
        <v>32097</v>
      </c>
      <c r="BG1286" t="s">
        <v>13107</v>
      </c>
      <c r="BH1286" t="s">
        <v>2388</v>
      </c>
      <c r="BI1286">
        <v>-81.603888820921</v>
      </c>
      <c r="BJ1286">
        <v>30.6075941443735</v>
      </c>
      <c r="BK1286" t="s">
        <v>13108</v>
      </c>
      <c r="BM1286" t="s">
        <v>13109</v>
      </c>
      <c r="BN1286" t="s">
        <v>1778</v>
      </c>
      <c r="BO1286">
        <v>32041</v>
      </c>
      <c r="BP1286" t="s">
        <v>404</v>
      </c>
      <c r="BQ1286">
        <v>200</v>
      </c>
      <c r="BR1286" t="s">
        <v>405</v>
      </c>
      <c r="BS1286">
        <v>1006</v>
      </c>
      <c r="BT1286" t="s">
        <v>406</v>
      </c>
      <c r="BW1286">
        <v>43560</v>
      </c>
      <c r="BX1286" t="s">
        <v>407</v>
      </c>
      <c r="BY1286" t="s">
        <v>408</v>
      </c>
      <c r="BZ1286">
        <v>4</v>
      </c>
      <c r="CA1286">
        <v>1986</v>
      </c>
      <c r="CB1286">
        <v>1</v>
      </c>
      <c r="CC1286">
        <v>1</v>
      </c>
      <c r="CD1286">
        <v>2017</v>
      </c>
      <c r="CE1286">
        <v>25000</v>
      </c>
      <c r="CF1286">
        <v>9986</v>
      </c>
      <c r="CG1286">
        <v>34986</v>
      </c>
      <c r="CH1286">
        <v>2017</v>
      </c>
      <c r="CI1286">
        <v>25000</v>
      </c>
      <c r="CJ1286">
        <v>9986</v>
      </c>
      <c r="CK1286">
        <v>34986</v>
      </c>
      <c r="CL1286">
        <v>2017</v>
      </c>
      <c r="CM1286">
        <v>529.65</v>
      </c>
      <c r="CN1286" s="1">
        <v>36969</v>
      </c>
      <c r="CO1286">
        <v>13000</v>
      </c>
      <c r="CZ1286" s="1">
        <v>36969</v>
      </c>
      <c r="DD1286" t="s">
        <v>2387</v>
      </c>
      <c r="DF1286">
        <v>33</v>
      </c>
      <c r="DG1286">
        <v>42</v>
      </c>
      <c r="DJ1286" t="s">
        <v>13058</v>
      </c>
      <c r="DL1286">
        <v>50302</v>
      </c>
      <c r="DM1286" t="s">
        <v>12468</v>
      </c>
      <c r="DO1286" t="s">
        <v>13110</v>
      </c>
      <c r="DP1286">
        <v>0</v>
      </c>
      <c r="DQ1286">
        <v>0</v>
      </c>
      <c r="DR1286" t="s">
        <v>411</v>
      </c>
      <c r="DS1286" t="b">
        <v>1</v>
      </c>
      <c r="DT1286" t="s">
        <v>470</v>
      </c>
      <c r="DU1286" t="s">
        <v>471</v>
      </c>
      <c r="DV1286" t="s">
        <v>472</v>
      </c>
      <c r="DX1286">
        <v>-9999</v>
      </c>
      <c r="DZ1286" t="s">
        <v>447</v>
      </c>
      <c r="EA1286" t="s">
        <v>448</v>
      </c>
      <c r="EB1286" t="s">
        <v>742</v>
      </c>
      <c r="EC1286">
        <v>20101217</v>
      </c>
      <c r="ED1286" t="s">
        <v>474</v>
      </c>
      <c r="EF1286">
        <v>884.1</v>
      </c>
      <c r="EG1286">
        <v>884.1</v>
      </c>
      <c r="EH1286" t="s">
        <v>451</v>
      </c>
      <c r="EI1286">
        <v>20140731</v>
      </c>
      <c r="EJ1286">
        <v>0</v>
      </c>
      <c r="EK1286">
        <v>0</v>
      </c>
      <c r="EP1286" t="s">
        <v>421</v>
      </c>
      <c r="EQ1286" t="s">
        <v>452</v>
      </c>
      <c r="ER1286">
        <v>0</v>
      </c>
      <c r="ES1286">
        <v>6</v>
      </c>
      <c r="ET1286">
        <v>0</v>
      </c>
      <c r="EU1286">
        <v>0</v>
      </c>
      <c r="EV1286">
        <v>0</v>
      </c>
      <c r="EW1286" s="2">
        <v>43222</v>
      </c>
      <c r="EX1286" s="1">
        <v>42879</v>
      </c>
      <c r="EY1286">
        <v>2016</v>
      </c>
      <c r="EZ1286">
        <v>566.29</v>
      </c>
      <c r="FA1286" t="s">
        <v>13111</v>
      </c>
      <c r="FB1286">
        <v>0.25</v>
      </c>
      <c r="FC1286" t="s">
        <v>424</v>
      </c>
      <c r="FD1286" t="s">
        <v>425</v>
      </c>
      <c r="FE1286" s="1">
        <v>43156</v>
      </c>
      <c r="FF1286">
        <v>9</v>
      </c>
      <c r="FG1286">
        <v>2851116</v>
      </c>
      <c r="FH1286" t="s">
        <v>480</v>
      </c>
      <c r="FJ1286" s="1">
        <v>42879</v>
      </c>
      <c r="FK1286">
        <v>2016</v>
      </c>
      <c r="FL1286">
        <v>566.29</v>
      </c>
      <c r="FM1286" t="s">
        <v>13111</v>
      </c>
      <c r="FN1286">
        <v>0.25</v>
      </c>
      <c r="FO1286" t="s">
        <v>424</v>
      </c>
      <c r="FP1286" t="s">
        <v>425</v>
      </c>
      <c r="FR1286">
        <v>22</v>
      </c>
      <c r="FS1286">
        <v>5029383</v>
      </c>
      <c r="FT1286" t="s">
        <v>13112</v>
      </c>
      <c r="FV1286" s="1">
        <v>42151</v>
      </c>
      <c r="FW1286">
        <v>2014</v>
      </c>
      <c r="FX1286">
        <v>572.13</v>
      </c>
      <c r="FY1286" t="s">
        <v>13113</v>
      </c>
      <c r="FZ1286">
        <v>0.25</v>
      </c>
      <c r="GA1286" t="s">
        <v>424</v>
      </c>
      <c r="GB1286" t="s">
        <v>425</v>
      </c>
      <c r="GC1286" s="1">
        <v>42256</v>
      </c>
      <c r="GD1286">
        <v>4</v>
      </c>
      <c r="GE1286">
        <v>4975593</v>
      </c>
      <c r="GF1286" t="s">
        <v>505</v>
      </c>
      <c r="GG1286" t="s">
        <v>458</v>
      </c>
      <c r="GH1286" s="1">
        <v>41787</v>
      </c>
      <c r="GI1286">
        <v>2013</v>
      </c>
      <c r="GJ1286">
        <v>620.51</v>
      </c>
      <c r="GK1286" t="s">
        <v>13114</v>
      </c>
      <c r="GL1286">
        <v>2.25</v>
      </c>
      <c r="GM1286" t="s">
        <v>424</v>
      </c>
      <c r="GN1286" t="s">
        <v>425</v>
      </c>
      <c r="GP1286">
        <v>22</v>
      </c>
      <c r="GQ1286">
        <v>10125</v>
      </c>
      <c r="GR1286" t="s">
        <v>440</v>
      </c>
      <c r="GS1286" t="s">
        <v>458</v>
      </c>
      <c r="GT1286" s="1">
        <v>41423</v>
      </c>
      <c r="GU1286">
        <v>2012</v>
      </c>
      <c r="GV1286">
        <v>646.63</v>
      </c>
      <c r="GW1286" t="s">
        <v>13115</v>
      </c>
      <c r="GX1286">
        <v>0.25</v>
      </c>
      <c r="GY1286" t="s">
        <v>424</v>
      </c>
      <c r="GZ1286" t="s">
        <v>425</v>
      </c>
      <c r="HB1286">
        <v>22</v>
      </c>
      <c r="HC1286">
        <v>10125</v>
      </c>
      <c r="HD1286" t="s">
        <v>440</v>
      </c>
      <c r="HE1286" t="s">
        <v>458</v>
      </c>
      <c r="HF1286" s="1">
        <v>40688</v>
      </c>
      <c r="HG1286">
        <v>2010</v>
      </c>
      <c r="HH1286">
        <v>907.79</v>
      </c>
      <c r="HI1286" t="s">
        <v>13116</v>
      </c>
      <c r="HJ1286">
        <v>6.75</v>
      </c>
      <c r="HK1286" t="s">
        <v>424</v>
      </c>
      <c r="HL1286" t="s">
        <v>425</v>
      </c>
      <c r="HM1286" s="1">
        <v>41334</v>
      </c>
      <c r="HN1286">
        <v>22</v>
      </c>
      <c r="HO1286">
        <v>10579</v>
      </c>
      <c r="HP1286" t="s">
        <v>488</v>
      </c>
    </row>
    <row r="1287" spans="1:284" x14ac:dyDescent="0.25">
      <c r="A1287">
        <v>16486294</v>
      </c>
      <c r="B1287">
        <v>1286</v>
      </c>
      <c r="C1287" t="s">
        <v>393</v>
      </c>
      <c r="D1287" t="s">
        <v>394</v>
      </c>
      <c r="F1287" t="str">
        <f>"42-2N-27-4490-0004-0000"</f>
        <v>42-2N-27-4490-0004-0000</v>
      </c>
      <c r="H1287" t="str">
        <f>"HESSENAUER JAMES P &amp; HESSENAUER BRIAN &amp; P L (JT/RS)"</f>
        <v>HESSENAUER JAMES P &amp; HESSENAUER BRIAN &amp; P L (JT/RS)</v>
      </c>
      <c r="I1287" t="str">
        <f>"85101 WINDY OAKS LANE"</f>
        <v>85101 WINDY OAKS LANE</v>
      </c>
      <c r="J1287" t="str">
        <f>"YULEE FL 32097"</f>
        <v>YULEE FL 32097</v>
      </c>
      <c r="K1287" t="str">
        <f>"85101 WINDY OAKS LN"</f>
        <v>85101 WINDY OAKS LN</v>
      </c>
      <c r="L1287" t="str">
        <f t="shared" si="430"/>
        <v>YULEE FL 32097</v>
      </c>
      <c r="M1287" t="str">
        <f>"LOT 4 IN OR 1282/1511 WINDY OAK SUB PB 4/101"</f>
        <v>LOT 4 IN OR 1282/1511 WINDY OAK SUB PB 4/101</v>
      </c>
      <c r="N1287" t="str">
        <f>""</f>
        <v/>
      </c>
      <c r="O1287" t="str">
        <f>"48409"</f>
        <v>48409</v>
      </c>
      <c r="P1287" t="str">
        <f t="shared" si="433"/>
        <v>2017</v>
      </c>
      <c r="Q1287" t="str">
        <f>""</f>
        <v/>
      </c>
      <c r="R1287" t="str">
        <f>"Y"</f>
        <v>Y</v>
      </c>
      <c r="S1287" t="str">
        <f>""</f>
        <v/>
      </c>
      <c r="T1287" t="str">
        <f>"751.05"</f>
        <v>751.05</v>
      </c>
      <c r="U1287" t="str">
        <f>"88715.00"</f>
        <v>88715.00</v>
      </c>
      <c r="V1287" t="str">
        <f>"88715.00"</f>
        <v>88715.00</v>
      </c>
      <c r="W1287" t="str">
        <f t="shared" si="434"/>
        <v>2017</v>
      </c>
      <c r="X1287" t="str">
        <f>"14.00"</f>
        <v>14.00</v>
      </c>
      <c r="Y1287" t="str">
        <f>"805.58"</f>
        <v>805.58</v>
      </c>
      <c r="Z1287" t="str">
        <f>"25000.00"</f>
        <v>25000.00</v>
      </c>
      <c r="AA1287" t="str">
        <f>"63715.00"</f>
        <v>63715.00</v>
      </c>
      <c r="AB1287" t="str">
        <f t="shared" si="431"/>
        <v>Residential</v>
      </c>
      <c r="AC1287" t="str">
        <f t="shared" si="422"/>
        <v>0</v>
      </c>
      <c r="AD1287" t="str">
        <f t="shared" si="435"/>
        <v>4</v>
      </c>
      <c r="AE1287" t="str">
        <f t="shared" si="436"/>
        <v>WOOD (INCLUDE STEEL STUDS)</v>
      </c>
      <c r="AF1287" t="str">
        <f>"001"</f>
        <v>001</v>
      </c>
      <c r="AG1287" t="str">
        <f t="shared" si="432"/>
        <v>FL</v>
      </c>
      <c r="AH1287" t="str">
        <f>"-"</f>
        <v>-</v>
      </c>
      <c r="AI1287" t="str">
        <f>"28000.00"</f>
        <v>28000.00</v>
      </c>
      <c r="AJ1287" t="str">
        <f>"C55-000-588-2008-5"</f>
        <v>C55-000-588-2008-5</v>
      </c>
      <c r="AK1287" t="str">
        <f>"22072"</f>
        <v>22072</v>
      </c>
      <c r="AL1287">
        <v>5</v>
      </c>
      <c r="AM1287">
        <v>1464</v>
      </c>
      <c r="AN1287">
        <v>844.26</v>
      </c>
      <c r="AQ1287" t="s">
        <v>13117</v>
      </c>
      <c r="AR1287" t="s">
        <v>13117</v>
      </c>
      <c r="AS1287" t="s">
        <v>13117</v>
      </c>
      <c r="AU1287" t="s">
        <v>396</v>
      </c>
      <c r="AV1287">
        <v>2017</v>
      </c>
      <c r="AW1287" t="str">
        <f>"42-2N-27-4490-0004-0000 "</f>
        <v xml:space="preserve">42-2N-27-4490-0004-0000 </v>
      </c>
      <c r="AX1287">
        <v>85101</v>
      </c>
      <c r="AZ1287" t="s">
        <v>13118</v>
      </c>
      <c r="BA1287" t="s">
        <v>653</v>
      </c>
      <c r="BD1287" t="s">
        <v>2387</v>
      </c>
      <c r="BE1287" t="s">
        <v>393</v>
      </c>
      <c r="BF1287">
        <v>32097</v>
      </c>
      <c r="BG1287" t="s">
        <v>13119</v>
      </c>
      <c r="BH1287" t="s">
        <v>2388</v>
      </c>
      <c r="BI1287">
        <v>-81.593415810394404</v>
      </c>
      <c r="BJ1287">
        <v>30.59551934069</v>
      </c>
      <c r="BK1287" t="s">
        <v>13120</v>
      </c>
      <c r="BL1287" t="s">
        <v>13121</v>
      </c>
      <c r="BM1287" t="s">
        <v>13119</v>
      </c>
      <c r="BN1287" t="s">
        <v>1778</v>
      </c>
      <c r="BO1287">
        <v>32097</v>
      </c>
      <c r="BP1287" t="s">
        <v>416</v>
      </c>
      <c r="BQ1287">
        <v>100</v>
      </c>
      <c r="BR1287" t="s">
        <v>514</v>
      </c>
      <c r="BS1287">
        <v>1001</v>
      </c>
      <c r="BT1287" t="s">
        <v>515</v>
      </c>
      <c r="BW1287">
        <v>44663</v>
      </c>
      <c r="BX1287" t="s">
        <v>407</v>
      </c>
      <c r="BY1287" t="s">
        <v>408</v>
      </c>
      <c r="BZ1287">
        <v>4</v>
      </c>
      <c r="CA1287">
        <v>1981</v>
      </c>
      <c r="CB1287">
        <v>1</v>
      </c>
      <c r="CC1287">
        <v>1</v>
      </c>
      <c r="CD1287">
        <v>2017</v>
      </c>
      <c r="CG1287">
        <v>88715</v>
      </c>
      <c r="CH1287">
        <v>2017</v>
      </c>
      <c r="CI1287">
        <v>28000</v>
      </c>
      <c r="CJ1287">
        <v>90065</v>
      </c>
      <c r="CK1287">
        <v>118065</v>
      </c>
      <c r="CL1287">
        <v>2017</v>
      </c>
      <c r="CM1287">
        <v>751.05</v>
      </c>
      <c r="CN1287" s="1">
        <v>38342</v>
      </c>
      <c r="CZ1287" s="1">
        <v>38342</v>
      </c>
      <c r="DD1287" t="s">
        <v>2387</v>
      </c>
      <c r="DF1287">
        <v>4</v>
      </c>
      <c r="DG1287">
        <v>42</v>
      </c>
      <c r="DJ1287" t="s">
        <v>13122</v>
      </c>
      <c r="DL1287">
        <v>50302</v>
      </c>
      <c r="DM1287" t="s">
        <v>12468</v>
      </c>
      <c r="DO1287" t="s">
        <v>13123</v>
      </c>
      <c r="DP1287">
        <v>0</v>
      </c>
      <c r="DQ1287">
        <v>0</v>
      </c>
      <c r="DR1287" t="s">
        <v>411</v>
      </c>
      <c r="DS1287" t="b">
        <v>1</v>
      </c>
      <c r="DT1287" t="s">
        <v>470</v>
      </c>
      <c r="DU1287" t="s">
        <v>471</v>
      </c>
      <c r="DV1287" t="s">
        <v>472</v>
      </c>
      <c r="DX1287">
        <v>-9999</v>
      </c>
      <c r="DZ1287" t="s">
        <v>447</v>
      </c>
      <c r="EA1287" t="s">
        <v>448</v>
      </c>
      <c r="EB1287" t="s">
        <v>742</v>
      </c>
      <c r="EC1287">
        <v>20101217</v>
      </c>
      <c r="ED1287" t="s">
        <v>474</v>
      </c>
      <c r="EF1287">
        <v>1172.8</v>
      </c>
      <c r="EG1287">
        <v>1127.5</v>
      </c>
      <c r="EI1287">
        <v>20160407</v>
      </c>
      <c r="EJ1287">
        <v>0</v>
      </c>
      <c r="EK1287">
        <v>0</v>
      </c>
      <c r="EP1287" t="s">
        <v>421</v>
      </c>
      <c r="EQ1287" t="s">
        <v>422</v>
      </c>
      <c r="ER1287">
        <v>0</v>
      </c>
      <c r="ES1287">
        <v>3</v>
      </c>
      <c r="ET1287">
        <v>0</v>
      </c>
      <c r="EU1287">
        <v>0</v>
      </c>
      <c r="EV1287">
        <v>0</v>
      </c>
      <c r="EW1287" s="2">
        <v>43222</v>
      </c>
      <c r="EX1287" s="1">
        <v>42515</v>
      </c>
      <c r="EY1287">
        <v>2015</v>
      </c>
      <c r="EZ1287">
        <v>771.24</v>
      </c>
      <c r="FA1287" t="s">
        <v>13124</v>
      </c>
      <c r="FB1287">
        <v>0.25</v>
      </c>
      <c r="FC1287" t="s">
        <v>424</v>
      </c>
      <c r="FD1287" t="s">
        <v>425</v>
      </c>
      <c r="FE1287" s="1">
        <v>42853</v>
      </c>
      <c r="FF1287">
        <v>11</v>
      </c>
      <c r="FG1287">
        <v>11289</v>
      </c>
      <c r="FH1287" t="s">
        <v>787</v>
      </c>
      <c r="FJ1287" s="1">
        <v>42515</v>
      </c>
      <c r="FK1287">
        <v>2015</v>
      </c>
      <c r="FL1287">
        <v>771.24</v>
      </c>
      <c r="FM1287" t="s">
        <v>13124</v>
      </c>
      <c r="FN1287">
        <v>0.25</v>
      </c>
      <c r="FO1287" t="s">
        <v>424</v>
      </c>
      <c r="FP1287" t="s">
        <v>425</v>
      </c>
      <c r="FR1287">
        <v>22</v>
      </c>
      <c r="FS1287">
        <v>7155323</v>
      </c>
      <c r="FT1287" t="s">
        <v>13125</v>
      </c>
      <c r="FV1287" s="1">
        <v>40688</v>
      </c>
      <c r="FW1287">
        <v>2010</v>
      </c>
      <c r="FX1287">
        <v>1043.19</v>
      </c>
      <c r="FY1287" t="s">
        <v>13126</v>
      </c>
      <c r="FZ1287">
        <v>0.25</v>
      </c>
      <c r="GA1287" t="s">
        <v>424</v>
      </c>
      <c r="GB1287" t="s">
        <v>425</v>
      </c>
      <c r="GC1287" s="1">
        <v>40842</v>
      </c>
      <c r="GD1287">
        <v>5</v>
      </c>
      <c r="GE1287">
        <v>11296</v>
      </c>
      <c r="GF1287" t="s">
        <v>4008</v>
      </c>
    </row>
    <row r="1288" spans="1:284" x14ac:dyDescent="0.25">
      <c r="A1288">
        <v>16486295</v>
      </c>
      <c r="B1288">
        <v>1287</v>
      </c>
      <c r="C1288" t="s">
        <v>393</v>
      </c>
      <c r="D1288" t="s">
        <v>394</v>
      </c>
      <c r="F1288" t="str">
        <f>"42-2N-27-4500-0008-0030"</f>
        <v>42-2N-27-4500-0008-0030</v>
      </c>
      <c r="H1288" t="str">
        <f>"LAYDEN HARRIETT LORRAINE"</f>
        <v>LAYDEN HARRIETT LORRAINE</v>
      </c>
      <c r="I1288" t="str">
        <f>"606 VENGEANCE CREEK RD"</f>
        <v>606 VENGEANCE CREEK RD</v>
      </c>
      <c r="J1288" t="str">
        <f>"MARBLE NC 28905"</f>
        <v>MARBLE NC 28905</v>
      </c>
      <c r="K1288" t="str">
        <f>"85049 WILSON ST"</f>
        <v>85049 WILSON ST</v>
      </c>
      <c r="L1288" t="str">
        <f t="shared" si="430"/>
        <v>YULEE FL 32097</v>
      </c>
      <c r="M1288" t="str">
        <f>"PT OF LOT 8 (S-3 &amp; S-4) L/E IN OR 502/508 &amp; 509 IN OR 515 PG 527 YULEE FARMS 1 PB 2/37"</f>
        <v>PT OF LOT 8 (S-3 &amp; S-4) L/E IN OR 502/508 &amp; 509 IN OR 515 PG 527 YULEE FARMS 1 PB 2/37</v>
      </c>
      <c r="N1288" t="str">
        <f>""</f>
        <v/>
      </c>
      <c r="O1288" t="str">
        <f>"48437"</f>
        <v>48437</v>
      </c>
      <c r="P1288" t="str">
        <f t="shared" si="433"/>
        <v>2017</v>
      </c>
      <c r="Q1288" t="str">
        <f>""</f>
        <v/>
      </c>
      <c r="R1288" t="str">
        <f>"N"</f>
        <v>N</v>
      </c>
      <c r="S1288" t="str">
        <f>""</f>
        <v/>
      </c>
      <c r="T1288" t="str">
        <f>"858.88"</f>
        <v>858.88</v>
      </c>
      <c r="U1288" t="str">
        <f>"56377.00"</f>
        <v>56377.00</v>
      </c>
      <c r="V1288" t="str">
        <f>"56377.00"</f>
        <v>56377.00</v>
      </c>
      <c r="W1288" t="str">
        <f t="shared" si="434"/>
        <v>2017</v>
      </c>
      <c r="X1288" t="str">
        <f>""</f>
        <v/>
      </c>
      <c r="Y1288" t="str">
        <f>"916.65"</f>
        <v>916.65</v>
      </c>
      <c r="Z1288" t="str">
        <f>""</f>
        <v/>
      </c>
      <c r="AA1288" t="str">
        <f>"57195.00"</f>
        <v>57195.00</v>
      </c>
      <c r="AB1288" t="str">
        <f t="shared" si="431"/>
        <v>Residential</v>
      </c>
      <c r="AC1288" t="str">
        <f t="shared" si="422"/>
        <v>0</v>
      </c>
      <c r="AD1288" t="str">
        <f t="shared" si="435"/>
        <v>4</v>
      </c>
      <c r="AE1288" t="str">
        <f t="shared" si="436"/>
        <v>WOOD (INCLUDE STEEL STUDS)</v>
      </c>
      <c r="AF1288" t="str">
        <f>"001"</f>
        <v>001</v>
      </c>
      <c r="AG1288" t="str">
        <f>"NC"</f>
        <v>NC</v>
      </c>
      <c r="AH1288" t="str">
        <f>"51000.00"</f>
        <v>51000.00</v>
      </c>
      <c r="AI1288" t="str">
        <f>"25270.00"</f>
        <v>25270.00</v>
      </c>
      <c r="AJ1288" t="str">
        <f>"C55-000-588-2035-8"</f>
        <v>C55-000-588-2035-8</v>
      </c>
      <c r="AK1288" t="str">
        <f>"22099"</f>
        <v>22099</v>
      </c>
      <c r="AL1288">
        <v>5</v>
      </c>
      <c r="AM1288">
        <v>1467</v>
      </c>
      <c r="AN1288">
        <v>960.88</v>
      </c>
      <c r="AQ1288" t="s">
        <v>13127</v>
      </c>
      <c r="AR1288" t="s">
        <v>13127</v>
      </c>
      <c r="AS1288" t="s">
        <v>13127</v>
      </c>
      <c r="AU1288" t="s">
        <v>396</v>
      </c>
      <c r="AV1288">
        <v>2017</v>
      </c>
      <c r="AW1288" t="str">
        <f>"42-2N-27-4500-0008-0030 "</f>
        <v xml:space="preserve">42-2N-27-4500-0008-0030 </v>
      </c>
      <c r="AX1288">
        <v>85049</v>
      </c>
      <c r="AZ1288" t="s">
        <v>13128</v>
      </c>
      <c r="BA1288" t="s">
        <v>1942</v>
      </c>
      <c r="BD1288" t="s">
        <v>2387</v>
      </c>
      <c r="BE1288" t="s">
        <v>393</v>
      </c>
      <c r="BF1288">
        <v>32097</v>
      </c>
      <c r="BG1288" t="s">
        <v>13129</v>
      </c>
      <c r="BH1288" t="s">
        <v>2388</v>
      </c>
      <c r="BI1288">
        <v>-81.595755106533403</v>
      </c>
      <c r="BJ1288">
        <v>30.597317963786399</v>
      </c>
      <c r="BK1288" t="s">
        <v>13130</v>
      </c>
      <c r="BM1288" t="s">
        <v>13131</v>
      </c>
      <c r="BN1288" t="s">
        <v>13132</v>
      </c>
      <c r="BO1288">
        <v>28905</v>
      </c>
      <c r="BP1288" t="s">
        <v>404</v>
      </c>
      <c r="BQ1288">
        <v>100</v>
      </c>
      <c r="BR1288" t="s">
        <v>514</v>
      </c>
      <c r="BS1288">
        <v>1001</v>
      </c>
      <c r="BT1288" t="s">
        <v>515</v>
      </c>
      <c r="BW1288">
        <v>31001</v>
      </c>
      <c r="BX1288" t="s">
        <v>407</v>
      </c>
      <c r="BY1288" t="s">
        <v>4360</v>
      </c>
      <c r="BZ1288">
        <v>4</v>
      </c>
      <c r="CA1288">
        <v>1955</v>
      </c>
      <c r="CB1288">
        <v>1</v>
      </c>
      <c r="CC1288">
        <v>1</v>
      </c>
      <c r="CD1288">
        <v>2017</v>
      </c>
      <c r="CE1288">
        <v>25270</v>
      </c>
      <c r="CF1288">
        <v>31925</v>
      </c>
      <c r="CG1288">
        <v>57195</v>
      </c>
      <c r="CH1288">
        <v>2017</v>
      </c>
      <c r="CI1288">
        <v>25270</v>
      </c>
      <c r="CJ1288">
        <v>31925</v>
      </c>
      <c r="CK1288">
        <v>57195</v>
      </c>
      <c r="CL1288">
        <v>2017</v>
      </c>
      <c r="CM1288">
        <v>858.88</v>
      </c>
      <c r="CN1288" s="1">
        <v>28491</v>
      </c>
      <c r="CZ1288" s="1">
        <v>28491</v>
      </c>
      <c r="DD1288" t="s">
        <v>2387</v>
      </c>
      <c r="DF1288">
        <v>8</v>
      </c>
      <c r="DG1288">
        <v>42</v>
      </c>
      <c r="DL1288">
        <v>50302</v>
      </c>
      <c r="DM1288" t="s">
        <v>12468</v>
      </c>
      <c r="DO1288" t="s">
        <v>13133</v>
      </c>
      <c r="DP1288">
        <v>0</v>
      </c>
      <c r="DQ1288">
        <v>0</v>
      </c>
      <c r="DR1288" t="s">
        <v>411</v>
      </c>
    </row>
    <row r="1289" spans="1:284" x14ac:dyDescent="0.25">
      <c r="A1289">
        <v>16486296</v>
      </c>
      <c r="B1289">
        <v>1288</v>
      </c>
      <c r="C1289" t="s">
        <v>393</v>
      </c>
      <c r="D1289" t="s">
        <v>394</v>
      </c>
      <c r="F1289" t="str">
        <f>"42-2N-27-4500-0009-0060"</f>
        <v>42-2N-27-4500-0009-0060</v>
      </c>
      <c r="H1289" t="str">
        <f>"CRAWFORD ALVIN ODEN L/E STEVEN M CRAWFORD"</f>
        <v>CRAWFORD ALVIN ODEN L/E STEVEN M CRAWFORD</v>
      </c>
      <c r="I1289" t="str">
        <f>"85102 AIRPLANE RD"</f>
        <v>85102 AIRPLANE RD</v>
      </c>
      <c r="J1289" t="str">
        <f>"YULEE FL 32097"</f>
        <v>YULEE FL 32097</v>
      </c>
      <c r="K1289" t="str">
        <f>"85102 AIRPLANE LN"</f>
        <v>85102 AIRPLANE LN</v>
      </c>
      <c r="L1289" t="str">
        <f t="shared" si="430"/>
        <v>YULEE FL 32097</v>
      </c>
      <c r="M1289" t="str">
        <f>"PT OF LOT 9 IN OR 1946/113 YULEE FARM SUB 1 PB 2/37"</f>
        <v>PT OF LOT 9 IN OR 1946/113 YULEE FARM SUB 1 PB 2/37</v>
      </c>
      <c r="N1289" t="str">
        <f>""</f>
        <v/>
      </c>
      <c r="O1289" t="str">
        <f>"48449"</f>
        <v>48449</v>
      </c>
      <c r="P1289" t="str">
        <f t="shared" si="433"/>
        <v>2017</v>
      </c>
      <c r="Q1289" t="str">
        <f>""</f>
        <v/>
      </c>
      <c r="R1289" t="str">
        <f>"Y"</f>
        <v>Y</v>
      </c>
      <c r="S1289" t="str">
        <f>""</f>
        <v/>
      </c>
      <c r="T1289" t="str">
        <f>"660.77"</f>
        <v>660.77</v>
      </c>
      <c r="U1289" t="str">
        <f>"77218.00"</f>
        <v>77218.00</v>
      </c>
      <c r="V1289" t="str">
        <f>"77218.00"</f>
        <v>77218.00</v>
      </c>
      <c r="W1289" t="str">
        <f t="shared" si="434"/>
        <v>2017</v>
      </c>
      <c r="X1289" t="str">
        <f>"7.00"</f>
        <v>7.00</v>
      </c>
      <c r="Y1289" t="str">
        <f>"712.59"</f>
        <v>712.59</v>
      </c>
      <c r="Z1289" t="str">
        <f>"25000.00"</f>
        <v>25000.00</v>
      </c>
      <c r="AA1289" t="str">
        <f>"52219.00"</f>
        <v>52219.00</v>
      </c>
      <c r="AB1289" t="str">
        <f t="shared" si="431"/>
        <v>Residential</v>
      </c>
      <c r="AC1289" t="str">
        <f t="shared" si="422"/>
        <v>0</v>
      </c>
      <c r="AD1289" t="str">
        <f t="shared" si="435"/>
        <v>4</v>
      </c>
      <c r="AE1289" t="str">
        <f t="shared" si="436"/>
        <v>WOOD (INCLUDE STEEL STUDS)</v>
      </c>
      <c r="AF1289" t="str">
        <f>"001"</f>
        <v>001</v>
      </c>
      <c r="AG1289" t="str">
        <f t="shared" ref="AG1289:AG1300" si="437">"FL"</f>
        <v>FL</v>
      </c>
      <c r="AH1289" t="str">
        <f>"67500.00"</f>
        <v>67500.00</v>
      </c>
      <c r="AI1289" t="str">
        <f>"29531.00"</f>
        <v>29531.00</v>
      </c>
      <c r="AJ1289" t="str">
        <f>"C55-000-588-2047-3"</f>
        <v>C55-000-588-2047-3</v>
      </c>
      <c r="AK1289" t="str">
        <f>"22110"</f>
        <v>22110</v>
      </c>
      <c r="AL1289">
        <v>5</v>
      </c>
      <c r="AM1289">
        <v>1468</v>
      </c>
      <c r="AN1289">
        <v>746.62</v>
      </c>
      <c r="AQ1289" t="s">
        <v>13134</v>
      </c>
      <c r="AR1289" t="s">
        <v>13134</v>
      </c>
      <c r="AS1289" t="s">
        <v>13134</v>
      </c>
      <c r="AU1289" t="s">
        <v>396</v>
      </c>
      <c r="AV1289">
        <v>2017</v>
      </c>
      <c r="AW1289" t="str">
        <f>"42-2N-27-4500-0009-0060 "</f>
        <v xml:space="preserve">42-2N-27-4500-0009-0060 </v>
      </c>
      <c r="AX1289">
        <v>85102</v>
      </c>
      <c r="AZ1289" t="s">
        <v>13135</v>
      </c>
      <c r="BA1289" t="s">
        <v>653</v>
      </c>
      <c r="BD1289" t="s">
        <v>2387</v>
      </c>
      <c r="BE1289" t="s">
        <v>393</v>
      </c>
      <c r="BF1289">
        <v>32097</v>
      </c>
      <c r="BG1289" t="s">
        <v>13136</v>
      </c>
      <c r="BH1289" t="s">
        <v>2388</v>
      </c>
      <c r="BI1289">
        <v>-81.594622863601998</v>
      </c>
      <c r="BJ1289">
        <v>30.596791226411501</v>
      </c>
      <c r="BK1289" t="s">
        <v>13137</v>
      </c>
      <c r="BM1289" t="s">
        <v>13136</v>
      </c>
      <c r="BN1289" t="s">
        <v>1778</v>
      </c>
      <c r="BO1289">
        <v>32097</v>
      </c>
      <c r="BP1289" t="s">
        <v>416</v>
      </c>
      <c r="BQ1289">
        <v>100</v>
      </c>
      <c r="BR1289" t="s">
        <v>514</v>
      </c>
      <c r="BS1289">
        <v>1001</v>
      </c>
      <c r="BT1289" t="s">
        <v>515</v>
      </c>
      <c r="BU1289">
        <v>2250</v>
      </c>
      <c r="BV1289">
        <v>3000</v>
      </c>
      <c r="BW1289">
        <v>67501</v>
      </c>
      <c r="BX1289" t="s">
        <v>407</v>
      </c>
      <c r="BY1289" t="s">
        <v>4360</v>
      </c>
      <c r="BZ1289">
        <v>4</v>
      </c>
      <c r="CA1289">
        <v>1960</v>
      </c>
      <c r="CB1289">
        <v>1</v>
      </c>
      <c r="CC1289">
        <v>1</v>
      </c>
      <c r="CD1289">
        <v>2017</v>
      </c>
      <c r="CG1289">
        <v>77219</v>
      </c>
      <c r="CH1289">
        <v>2017</v>
      </c>
      <c r="CI1289">
        <v>29531</v>
      </c>
      <c r="CJ1289">
        <v>90597</v>
      </c>
      <c r="CK1289">
        <v>120128</v>
      </c>
      <c r="CL1289">
        <v>2017</v>
      </c>
      <c r="CM1289">
        <v>660.77</v>
      </c>
      <c r="CN1289" s="1">
        <v>41940</v>
      </c>
      <c r="CZ1289" s="1">
        <v>41940</v>
      </c>
      <c r="DD1289" t="s">
        <v>2387</v>
      </c>
      <c r="DF1289">
        <v>9</v>
      </c>
      <c r="DG1289">
        <v>42</v>
      </c>
      <c r="DL1289">
        <v>50302</v>
      </c>
      <c r="DM1289" t="s">
        <v>12468</v>
      </c>
      <c r="DO1289" t="s">
        <v>13138</v>
      </c>
      <c r="DP1289">
        <v>0</v>
      </c>
      <c r="DQ1289">
        <v>0</v>
      </c>
      <c r="DR1289" t="s">
        <v>411</v>
      </c>
      <c r="EP1289" t="s">
        <v>421</v>
      </c>
      <c r="EQ1289" t="s">
        <v>422</v>
      </c>
      <c r="ER1289">
        <v>0</v>
      </c>
      <c r="ES1289">
        <v>2</v>
      </c>
      <c r="ET1289">
        <v>0</v>
      </c>
      <c r="EU1289">
        <v>0</v>
      </c>
      <c r="EV1289">
        <v>0</v>
      </c>
      <c r="EW1289" s="2">
        <v>43222</v>
      </c>
      <c r="EX1289" s="1">
        <v>42879</v>
      </c>
      <c r="EY1289">
        <v>2016</v>
      </c>
      <c r="EZ1289">
        <v>725.34</v>
      </c>
      <c r="FA1289" t="s">
        <v>13139</v>
      </c>
      <c r="FB1289">
        <v>0.25</v>
      </c>
      <c r="FC1289" t="s">
        <v>424</v>
      </c>
      <c r="FD1289" t="s">
        <v>425</v>
      </c>
      <c r="FE1289" s="1">
        <v>43084</v>
      </c>
      <c r="FF1289">
        <v>7</v>
      </c>
      <c r="FG1289">
        <v>5857474</v>
      </c>
      <c r="FH1289" t="s">
        <v>900</v>
      </c>
      <c r="FJ1289" s="1">
        <v>42879</v>
      </c>
      <c r="FK1289">
        <v>2016</v>
      </c>
      <c r="FL1289">
        <v>725.34</v>
      </c>
      <c r="FM1289" t="s">
        <v>13139</v>
      </c>
      <c r="FN1289">
        <v>0.25</v>
      </c>
      <c r="FO1289" t="s">
        <v>424</v>
      </c>
      <c r="FP1289" t="s">
        <v>425</v>
      </c>
      <c r="FR1289">
        <v>22</v>
      </c>
      <c r="FS1289">
        <v>6409127</v>
      </c>
      <c r="FT1289" t="s">
        <v>13140</v>
      </c>
    </row>
    <row r="1290" spans="1:284" x14ac:dyDescent="0.25">
      <c r="A1290">
        <v>16486297</v>
      </c>
      <c r="B1290">
        <v>1289</v>
      </c>
      <c r="C1290" t="s">
        <v>393</v>
      </c>
      <c r="D1290" t="s">
        <v>394</v>
      </c>
      <c r="F1290" t="str">
        <f>"42-2N-27-4500-0010-0010"</f>
        <v>42-2N-27-4500-0010-0010</v>
      </c>
      <c r="H1290" t="str">
        <f>"ROBERTS JASON DARRELL"</f>
        <v>ROBERTS JASON DARRELL</v>
      </c>
      <c r="I1290" t="str">
        <f>"85208 HARTS RD"</f>
        <v>85208 HARTS RD</v>
      </c>
      <c r="J1290" t="str">
        <f>"YULEE FL 32097"</f>
        <v>YULEE FL 32097</v>
      </c>
      <c r="K1290" t="str">
        <f>"85208 HARTS RD"</f>
        <v>85208 HARTS RD</v>
      </c>
      <c r="L1290" t="str">
        <f t="shared" si="430"/>
        <v>YULEE FL 32097</v>
      </c>
      <c r="M1290" t="str">
        <f>"PT OF LOT 10 IN OR 1970/1361 YULEE FARMS SUB 1 PB 2/37"</f>
        <v>PT OF LOT 10 IN OR 1970/1361 YULEE FARMS SUB 1 PB 2/37</v>
      </c>
      <c r="N1290" t="str">
        <f>""</f>
        <v/>
      </c>
      <c r="O1290" t="str">
        <f>"48452"</f>
        <v>48452</v>
      </c>
      <c r="P1290" t="str">
        <f t="shared" si="433"/>
        <v>2017</v>
      </c>
      <c r="Q1290" t="str">
        <f>""</f>
        <v/>
      </c>
      <c r="R1290" t="str">
        <f>"Y"</f>
        <v>Y</v>
      </c>
      <c r="S1290" t="str">
        <f>"0.68"</f>
        <v>0.68</v>
      </c>
      <c r="T1290" t="str">
        <f>"710.61"</f>
        <v>710.61</v>
      </c>
      <c r="U1290" t="str">
        <f>"86044.00"</f>
        <v>86044.00</v>
      </c>
      <c r="V1290" t="str">
        <f>"86044.00"</f>
        <v>86044.00</v>
      </c>
      <c r="W1290" t="str">
        <f t="shared" si="434"/>
        <v>2017</v>
      </c>
      <c r="X1290" t="str">
        <f>""</f>
        <v/>
      </c>
      <c r="Y1290" t="str">
        <f>"763.93"</f>
        <v>763.93</v>
      </c>
      <c r="Z1290" t="str">
        <f>"25000.00"</f>
        <v>25000.00</v>
      </c>
      <c r="AA1290" t="str">
        <f>"61044.00"</f>
        <v>61044.00</v>
      </c>
      <c r="AB1290" t="str">
        <f t="shared" si="431"/>
        <v>Residential</v>
      </c>
      <c r="AC1290" t="str">
        <f t="shared" si="422"/>
        <v>0</v>
      </c>
      <c r="AD1290" t="str">
        <f t="shared" si="435"/>
        <v>4</v>
      </c>
      <c r="AE1290" t="str">
        <f t="shared" si="436"/>
        <v>WOOD (INCLUDE STEEL STUDS)</v>
      </c>
      <c r="AF1290" t="str">
        <f>"001"</f>
        <v>001</v>
      </c>
      <c r="AG1290" t="str">
        <f t="shared" si="437"/>
        <v>FL</v>
      </c>
      <c r="AH1290" t="str">
        <f>"29577.00"</f>
        <v>29577.00</v>
      </c>
      <c r="AI1290" t="str">
        <f>"19012.00"</f>
        <v>19012.00</v>
      </c>
      <c r="AJ1290" t="str">
        <f>"C55-000-588-2050-7"</f>
        <v>C55-000-588-2050-7</v>
      </c>
      <c r="AK1290" t="str">
        <f>"22113"</f>
        <v>22113</v>
      </c>
      <c r="AL1290">
        <v>5</v>
      </c>
      <c r="AM1290">
        <v>1469</v>
      </c>
      <c r="AN1290">
        <v>800.53</v>
      </c>
      <c r="AQ1290" t="s">
        <v>13141</v>
      </c>
      <c r="AR1290" t="s">
        <v>13141</v>
      </c>
      <c r="AS1290" t="s">
        <v>13141</v>
      </c>
      <c r="AU1290" t="s">
        <v>396</v>
      </c>
      <c r="AV1290">
        <v>2017</v>
      </c>
      <c r="AW1290" t="str">
        <f>"42-2N-27-4500-0010-0010 "</f>
        <v xml:space="preserve">42-2N-27-4500-0010-0010 </v>
      </c>
      <c r="AX1290">
        <v>85208</v>
      </c>
      <c r="AZ1290" t="s">
        <v>11534</v>
      </c>
      <c r="BA1290" t="s">
        <v>496</v>
      </c>
      <c r="BD1290" t="s">
        <v>2387</v>
      </c>
      <c r="BE1290" t="s">
        <v>393</v>
      </c>
      <c r="BF1290">
        <v>32097</v>
      </c>
      <c r="BG1290" t="s">
        <v>13142</v>
      </c>
      <c r="BH1290" t="s">
        <v>2388</v>
      </c>
      <c r="BI1290">
        <v>-81.595140048706497</v>
      </c>
      <c r="BJ1290">
        <v>30.595762947897299</v>
      </c>
      <c r="BK1290" t="s">
        <v>13143</v>
      </c>
      <c r="BM1290" t="s">
        <v>13142</v>
      </c>
      <c r="BN1290" t="s">
        <v>1778</v>
      </c>
      <c r="BO1290">
        <v>32097</v>
      </c>
      <c r="BP1290" t="s">
        <v>416</v>
      </c>
      <c r="BQ1290">
        <v>100</v>
      </c>
      <c r="BR1290" t="s">
        <v>514</v>
      </c>
      <c r="BS1290">
        <v>1001</v>
      </c>
      <c r="BT1290" t="s">
        <v>515</v>
      </c>
      <c r="BW1290">
        <v>29577</v>
      </c>
      <c r="BX1290" t="s">
        <v>407</v>
      </c>
      <c r="BY1290" t="s">
        <v>408</v>
      </c>
      <c r="BZ1290">
        <v>4</v>
      </c>
      <c r="CA1290">
        <v>1960</v>
      </c>
      <c r="CB1290">
        <v>1</v>
      </c>
      <c r="CC1290">
        <v>1</v>
      </c>
      <c r="CD1290">
        <v>2017</v>
      </c>
      <c r="CG1290">
        <v>86044</v>
      </c>
      <c r="CH1290">
        <v>2017</v>
      </c>
      <c r="CI1290">
        <v>19012</v>
      </c>
      <c r="CJ1290">
        <v>73427</v>
      </c>
      <c r="CK1290">
        <v>92439</v>
      </c>
      <c r="CL1290">
        <v>2017</v>
      </c>
      <c r="CM1290">
        <v>710.61</v>
      </c>
      <c r="CN1290" s="1">
        <v>42090</v>
      </c>
      <c r="CO1290">
        <v>85000</v>
      </c>
      <c r="CV1290">
        <v>85000</v>
      </c>
      <c r="CX1290" t="s">
        <v>707</v>
      </c>
      <c r="CZ1290" s="1">
        <v>42090</v>
      </c>
      <c r="DA1290">
        <v>0</v>
      </c>
      <c r="DD1290" t="s">
        <v>2387</v>
      </c>
      <c r="DF1290">
        <v>10</v>
      </c>
      <c r="DG1290">
        <v>42</v>
      </c>
      <c r="DL1290">
        <v>50302</v>
      </c>
      <c r="DM1290" t="s">
        <v>12468</v>
      </c>
      <c r="DO1290" t="s">
        <v>13144</v>
      </c>
      <c r="DP1290">
        <v>0</v>
      </c>
      <c r="DQ1290">
        <v>0</v>
      </c>
      <c r="DR1290" t="s">
        <v>411</v>
      </c>
    </row>
    <row r="1291" spans="1:284" x14ac:dyDescent="0.25">
      <c r="A1291">
        <v>16486298</v>
      </c>
      <c r="B1291">
        <v>1290</v>
      </c>
      <c r="C1291" t="s">
        <v>393</v>
      </c>
      <c r="D1291" t="s">
        <v>394</v>
      </c>
      <c r="F1291" t="str">
        <f>"42-2N-27-4500-0010-0030"</f>
        <v>42-2N-27-4500-0010-0030</v>
      </c>
      <c r="H1291" t="str">
        <f>"CHANCEY DANIEL JR"</f>
        <v>CHANCEY DANIEL JR</v>
      </c>
      <c r="I1291" t="str">
        <f>"85202 HARTS RD"</f>
        <v>85202 HARTS RD</v>
      </c>
      <c r="J1291" t="str">
        <f>"YULEE FL 32097"</f>
        <v>YULEE FL 32097</v>
      </c>
      <c r="K1291" t="str">
        <f>"85202 HARTS RD"</f>
        <v>85202 HARTS RD</v>
      </c>
      <c r="L1291" t="str">
        <f t="shared" si="430"/>
        <v>YULEE FL 32097</v>
      </c>
      <c r="M1291" t="str">
        <f>"PT OF LOT 10 IN OR 1841/27 YULEE FARM SUB 1 PB 2/37"</f>
        <v>PT OF LOT 10 IN OR 1841/27 YULEE FARM SUB 1 PB 2/37</v>
      </c>
      <c r="N1291" t="str">
        <f>""</f>
        <v/>
      </c>
      <c r="O1291" t="str">
        <f>"48454"</f>
        <v>48454</v>
      </c>
      <c r="P1291" t="str">
        <f t="shared" si="433"/>
        <v>2017</v>
      </c>
      <c r="Q1291" t="str">
        <f>""</f>
        <v/>
      </c>
      <c r="R1291" t="str">
        <f t="shared" ref="R1291:R1297" si="438">"N"</f>
        <v>N</v>
      </c>
      <c r="S1291" t="str">
        <f>""</f>
        <v/>
      </c>
      <c r="T1291" t="str">
        <f>"1303.78"</f>
        <v>1303.78</v>
      </c>
      <c r="U1291" t="str">
        <f>"86122.00"</f>
        <v>86122.00</v>
      </c>
      <c r="V1291" t="str">
        <f>"86122.00"</f>
        <v>86122.00</v>
      </c>
      <c r="W1291" t="str">
        <f t="shared" si="434"/>
        <v>2017</v>
      </c>
      <c r="X1291" t="str">
        <f>"10.00"</f>
        <v>10.00</v>
      </c>
      <c r="Y1291" t="str">
        <f>"1374.89"</f>
        <v>1374.89</v>
      </c>
      <c r="Z1291" t="str">
        <f>""</f>
        <v/>
      </c>
      <c r="AA1291" t="str">
        <f>"86122.00"</f>
        <v>86122.00</v>
      </c>
      <c r="AB1291" t="str">
        <f t="shared" si="431"/>
        <v>Residential</v>
      </c>
      <c r="AC1291" t="str">
        <f t="shared" si="422"/>
        <v>0</v>
      </c>
      <c r="AD1291" t="str">
        <f t="shared" si="435"/>
        <v>4</v>
      </c>
      <c r="AE1291" t="str">
        <f t="shared" si="436"/>
        <v>WOOD (INCLUDE STEEL STUDS)</v>
      </c>
      <c r="AF1291" t="str">
        <f>"001"</f>
        <v>001</v>
      </c>
      <c r="AG1291" t="str">
        <f t="shared" si="437"/>
        <v>FL</v>
      </c>
      <c r="AH1291" t="str">
        <f>"10125.00"</f>
        <v>10125.00</v>
      </c>
      <c r="AI1291" t="str">
        <f>"15093.00"</f>
        <v>15093.00</v>
      </c>
      <c r="AJ1291" t="str">
        <f>"C55-000-588-2052-3"</f>
        <v>C55-000-588-2052-3</v>
      </c>
      <c r="AK1291" t="str">
        <f>"22115"</f>
        <v>22115</v>
      </c>
      <c r="AL1291">
        <v>5</v>
      </c>
      <c r="AM1291">
        <v>1470</v>
      </c>
      <c r="AN1291">
        <v>1442.03</v>
      </c>
      <c r="AQ1291" t="s">
        <v>13145</v>
      </c>
      <c r="AR1291" t="s">
        <v>13145</v>
      </c>
      <c r="AS1291" t="s">
        <v>13145</v>
      </c>
      <c r="AU1291" t="s">
        <v>396</v>
      </c>
      <c r="AV1291">
        <v>2017</v>
      </c>
      <c r="AW1291" t="str">
        <f>"42-2N-27-4500-0010-0030 "</f>
        <v xml:space="preserve">42-2N-27-4500-0010-0030 </v>
      </c>
      <c r="AX1291">
        <v>85202</v>
      </c>
      <c r="AZ1291" t="s">
        <v>11534</v>
      </c>
      <c r="BA1291" t="s">
        <v>496</v>
      </c>
      <c r="BD1291" t="s">
        <v>2387</v>
      </c>
      <c r="BE1291" t="s">
        <v>393</v>
      </c>
      <c r="BF1291">
        <v>32097</v>
      </c>
      <c r="BG1291" t="s">
        <v>13146</v>
      </c>
      <c r="BH1291" t="s">
        <v>2388</v>
      </c>
      <c r="BI1291">
        <v>-81.595125707051494</v>
      </c>
      <c r="BJ1291">
        <v>30.5954517840477</v>
      </c>
      <c r="BK1291" t="s">
        <v>13147</v>
      </c>
      <c r="BM1291" t="s">
        <v>13146</v>
      </c>
      <c r="BN1291" t="s">
        <v>1778</v>
      </c>
      <c r="BO1291">
        <v>32097</v>
      </c>
      <c r="BP1291" t="s">
        <v>416</v>
      </c>
      <c r="BQ1291">
        <v>100</v>
      </c>
      <c r="BR1291" t="s">
        <v>514</v>
      </c>
      <c r="BS1291">
        <v>1001</v>
      </c>
      <c r="BT1291" t="s">
        <v>515</v>
      </c>
      <c r="BU1291">
        <v>750</v>
      </c>
      <c r="BV1291">
        <v>1350</v>
      </c>
      <c r="BW1291">
        <v>9809</v>
      </c>
      <c r="BX1291" t="s">
        <v>407</v>
      </c>
      <c r="BY1291" t="s">
        <v>408</v>
      </c>
      <c r="BZ1291">
        <v>4</v>
      </c>
      <c r="CA1291">
        <v>1943</v>
      </c>
      <c r="CB1291">
        <v>1</v>
      </c>
      <c r="CC1291">
        <v>1</v>
      </c>
      <c r="CD1291">
        <v>2017</v>
      </c>
      <c r="CE1291">
        <v>15093</v>
      </c>
      <c r="CF1291">
        <v>71029</v>
      </c>
      <c r="CG1291">
        <v>86122</v>
      </c>
      <c r="CH1291">
        <v>2017</v>
      </c>
      <c r="CI1291">
        <v>15093</v>
      </c>
      <c r="CJ1291">
        <v>71029</v>
      </c>
      <c r="CK1291">
        <v>86122</v>
      </c>
      <c r="CL1291">
        <v>2017</v>
      </c>
      <c r="CM1291">
        <v>1303.78</v>
      </c>
      <c r="CN1291" s="1">
        <v>41325</v>
      </c>
      <c r="CO1291">
        <v>35000</v>
      </c>
      <c r="CV1291">
        <v>0</v>
      </c>
      <c r="CZ1291" s="1">
        <v>41325</v>
      </c>
      <c r="DA1291">
        <v>0</v>
      </c>
      <c r="DD1291" t="s">
        <v>2387</v>
      </c>
      <c r="DF1291">
        <v>10</v>
      </c>
      <c r="DG1291">
        <v>42</v>
      </c>
      <c r="DJ1291" t="s">
        <v>13148</v>
      </c>
      <c r="DL1291">
        <v>50302</v>
      </c>
      <c r="DM1291" t="s">
        <v>12468</v>
      </c>
      <c r="DO1291" t="s">
        <v>13149</v>
      </c>
      <c r="DP1291">
        <v>0</v>
      </c>
      <c r="DQ1291">
        <v>0</v>
      </c>
      <c r="DR1291" t="s">
        <v>411</v>
      </c>
      <c r="DS1291" t="b">
        <v>1</v>
      </c>
      <c r="DT1291" t="s">
        <v>470</v>
      </c>
      <c r="DU1291" t="s">
        <v>471</v>
      </c>
      <c r="DV1291" t="s">
        <v>472</v>
      </c>
      <c r="DX1291">
        <v>-9999</v>
      </c>
      <c r="DZ1291" t="s">
        <v>447</v>
      </c>
      <c r="EA1291" t="s">
        <v>448</v>
      </c>
      <c r="EB1291" t="s">
        <v>742</v>
      </c>
      <c r="EC1291">
        <v>20101217</v>
      </c>
      <c r="ED1291" t="s">
        <v>474</v>
      </c>
      <c r="EF1291">
        <v>963.1</v>
      </c>
      <c r="EG1291">
        <v>870.5</v>
      </c>
      <c r="EI1291">
        <v>20160407</v>
      </c>
      <c r="EJ1291">
        <v>0</v>
      </c>
      <c r="EK1291">
        <v>0</v>
      </c>
      <c r="EP1291" t="s">
        <v>421</v>
      </c>
      <c r="EQ1291" t="s">
        <v>422</v>
      </c>
      <c r="ER1291">
        <v>2</v>
      </c>
      <c r="ES1291">
        <v>5</v>
      </c>
      <c r="ET1291">
        <v>2706.1</v>
      </c>
      <c r="EU1291">
        <v>147.80000000000001</v>
      </c>
      <c r="EV1291">
        <v>2853.9</v>
      </c>
      <c r="EW1291" s="2">
        <v>43222</v>
      </c>
      <c r="EX1291" s="1">
        <v>42879</v>
      </c>
      <c r="EY1291">
        <v>2016</v>
      </c>
      <c r="EZ1291">
        <v>1353.05</v>
      </c>
      <c r="FA1291" t="s">
        <v>13150</v>
      </c>
      <c r="FB1291">
        <v>0.25</v>
      </c>
      <c r="FC1291" t="s">
        <v>424</v>
      </c>
      <c r="FD1291" t="s">
        <v>454</v>
      </c>
      <c r="FF1291">
        <v>12</v>
      </c>
      <c r="FG1291">
        <v>11289</v>
      </c>
      <c r="FH1291" t="s">
        <v>787</v>
      </c>
      <c r="FJ1291" s="1">
        <v>42879</v>
      </c>
      <c r="FK1291">
        <v>2016</v>
      </c>
      <c r="FL1291">
        <v>1353.05</v>
      </c>
      <c r="FM1291" t="s">
        <v>13150</v>
      </c>
      <c r="FN1291">
        <v>0.25</v>
      </c>
      <c r="FO1291" t="s">
        <v>424</v>
      </c>
      <c r="FP1291" t="s">
        <v>454</v>
      </c>
      <c r="FR1291">
        <v>12</v>
      </c>
      <c r="FS1291">
        <v>7195905</v>
      </c>
      <c r="FT1291" t="s">
        <v>13151</v>
      </c>
      <c r="FV1291" s="1">
        <v>42515</v>
      </c>
      <c r="FW1291">
        <v>2015</v>
      </c>
      <c r="FX1291">
        <v>1390.48</v>
      </c>
      <c r="FY1291" t="s">
        <v>13152</v>
      </c>
      <c r="FZ1291">
        <v>0.25</v>
      </c>
      <c r="GA1291" t="s">
        <v>424</v>
      </c>
      <c r="GB1291" t="s">
        <v>425</v>
      </c>
      <c r="GC1291" s="1">
        <v>42756</v>
      </c>
      <c r="GD1291">
        <v>8</v>
      </c>
      <c r="GE1291">
        <v>2851116</v>
      </c>
      <c r="GF1291" t="s">
        <v>480</v>
      </c>
      <c r="GH1291" s="1">
        <v>42515</v>
      </c>
      <c r="GI1291">
        <v>2015</v>
      </c>
      <c r="GJ1291">
        <v>1390.48</v>
      </c>
      <c r="GK1291" t="s">
        <v>13152</v>
      </c>
      <c r="GL1291">
        <v>0.25</v>
      </c>
      <c r="GM1291" t="s">
        <v>424</v>
      </c>
      <c r="GN1291" t="s">
        <v>425</v>
      </c>
      <c r="GP1291">
        <v>22</v>
      </c>
      <c r="GQ1291">
        <v>5412973</v>
      </c>
      <c r="GR1291" t="s">
        <v>13153</v>
      </c>
      <c r="GT1291" s="1">
        <v>42151</v>
      </c>
      <c r="GU1291">
        <v>2014</v>
      </c>
      <c r="GV1291">
        <v>1309.47</v>
      </c>
      <c r="GW1291" t="s">
        <v>13154</v>
      </c>
      <c r="GX1291">
        <v>0.25</v>
      </c>
      <c r="GY1291" t="s">
        <v>424</v>
      </c>
      <c r="GZ1291" t="s">
        <v>425</v>
      </c>
      <c r="HA1291" s="1">
        <v>42756</v>
      </c>
      <c r="HB1291">
        <v>20</v>
      </c>
      <c r="HC1291">
        <v>4975594</v>
      </c>
      <c r="HD1291" t="s">
        <v>457</v>
      </c>
      <c r="HF1291" s="1">
        <v>42151</v>
      </c>
      <c r="HG1291">
        <v>2014</v>
      </c>
      <c r="HH1291">
        <v>1309.47</v>
      </c>
      <c r="HI1291" t="s">
        <v>13154</v>
      </c>
      <c r="HJ1291">
        <v>0.25</v>
      </c>
      <c r="HK1291" t="s">
        <v>424</v>
      </c>
      <c r="HL1291" t="s">
        <v>425</v>
      </c>
      <c r="HN1291">
        <v>22</v>
      </c>
      <c r="HO1291">
        <v>6425697</v>
      </c>
      <c r="HP1291" t="s">
        <v>13155</v>
      </c>
      <c r="HR1291" s="1">
        <v>40688</v>
      </c>
      <c r="HS1291">
        <v>2010</v>
      </c>
      <c r="HT1291">
        <v>719.07</v>
      </c>
      <c r="HU1291" t="s">
        <v>13156</v>
      </c>
      <c r="HV1291">
        <v>0.25</v>
      </c>
      <c r="HW1291" t="s">
        <v>424</v>
      </c>
      <c r="HX1291" t="s">
        <v>425</v>
      </c>
      <c r="HY1291" s="1">
        <v>40729</v>
      </c>
      <c r="HZ1291">
        <v>2</v>
      </c>
      <c r="IA1291">
        <v>11177</v>
      </c>
      <c r="IB1291" t="s">
        <v>650</v>
      </c>
    </row>
    <row r="1292" spans="1:284" x14ac:dyDescent="0.25">
      <c r="A1292">
        <v>16486299</v>
      </c>
      <c r="B1292">
        <v>1291</v>
      </c>
      <c r="C1292" t="s">
        <v>393</v>
      </c>
      <c r="D1292" t="s">
        <v>394</v>
      </c>
      <c r="F1292" t="str">
        <f>"42-2N-27-4500-0022-0040"</f>
        <v>42-2N-27-4500-0022-0040</v>
      </c>
      <c r="H1292" t="str">
        <f>"SHAVERS JAMES DOUGLAS EST"</f>
        <v>SHAVERS JAMES DOUGLAS EST</v>
      </c>
      <c r="I1292" t="str">
        <f>"85050 MYRTICE RD"</f>
        <v>85050 MYRTICE RD</v>
      </c>
      <c r="J1292" t="str">
        <f>"YULEE FL 32097"</f>
        <v>YULEE FL 32097</v>
      </c>
      <c r="K1292" t="str">
        <f>"85050 MYRTICE RD"</f>
        <v>85050 MYRTICE RD</v>
      </c>
      <c r="L1292" t="str">
        <f t="shared" si="430"/>
        <v>YULEE FL 32097</v>
      </c>
      <c r="M1292" t="str">
        <f>"PT OF LOTS 22 &amp; 23 (S-4 &amp; S-5) IN OR 1233/1374 2002 MERT DW YULEE FARMS SUB 1 PB 2/37"</f>
        <v>PT OF LOTS 22 &amp; 23 (S-4 &amp; S-5) IN OR 1233/1374 2002 MERT DW YULEE FARMS SUB 1 PB 2/37</v>
      </c>
      <c r="N1292" t="str">
        <f>""</f>
        <v/>
      </c>
      <c r="O1292" t="str">
        <f>"48464"</f>
        <v>48464</v>
      </c>
      <c r="P1292" t="str">
        <f t="shared" si="433"/>
        <v>2017</v>
      </c>
      <c r="Q1292" t="str">
        <f>""</f>
        <v/>
      </c>
      <c r="R1292" t="str">
        <f t="shared" si="438"/>
        <v>N</v>
      </c>
      <c r="S1292" t="str">
        <f>"9.06"</f>
        <v>9.06</v>
      </c>
      <c r="T1292" t="str">
        <f>"1251.52"</f>
        <v>1251.52</v>
      </c>
      <c r="U1292" t="str">
        <f>"73082.00"</f>
        <v>73082.00</v>
      </c>
      <c r="V1292" t="str">
        <f>"73082.00"</f>
        <v>73082.00</v>
      </c>
      <c r="W1292" t="str">
        <f t="shared" si="434"/>
        <v>2017</v>
      </c>
      <c r="X1292" t="str">
        <f>"21.00"</f>
        <v>21.00</v>
      </c>
      <c r="Y1292" t="str">
        <f>"1321.07"</f>
        <v>1321.07</v>
      </c>
      <c r="Z1292" t="str">
        <f>""</f>
        <v/>
      </c>
      <c r="AA1292" t="str">
        <f>"95080.00"</f>
        <v>95080.00</v>
      </c>
      <c r="AB1292" t="str">
        <f>"Agricultural"</f>
        <v>Agricultural</v>
      </c>
      <c r="AC1292" t="str">
        <f t="shared" si="422"/>
        <v>0</v>
      </c>
      <c r="AD1292" t="str">
        <f t="shared" si="435"/>
        <v>4</v>
      </c>
      <c r="AE1292" t="str">
        <f t="shared" si="436"/>
        <v>WOOD (INCLUDE STEEL STUDS)</v>
      </c>
      <c r="AF1292" t="str">
        <f>"050"</f>
        <v>050</v>
      </c>
      <c r="AG1292" t="str">
        <f t="shared" si="437"/>
        <v>FL</v>
      </c>
      <c r="AH1292" t="str">
        <f>"394653.00"</f>
        <v>394653.00</v>
      </c>
      <c r="AI1292" t="str">
        <f>"30780.00"</f>
        <v>30780.00</v>
      </c>
      <c r="AJ1292" t="str">
        <f>"C55-000-588-2060-6"</f>
        <v>C55-000-588-2060-6</v>
      </c>
      <c r="AK1292" t="str">
        <f>"22125"</f>
        <v>22125</v>
      </c>
      <c r="AL1292">
        <v>5</v>
      </c>
      <c r="AM1292">
        <v>1471</v>
      </c>
      <c r="AN1292">
        <v>1385.52</v>
      </c>
      <c r="AQ1292" t="s">
        <v>13157</v>
      </c>
      <c r="AR1292" t="s">
        <v>13157</v>
      </c>
      <c r="AS1292" t="s">
        <v>13157</v>
      </c>
      <c r="AU1292" t="s">
        <v>396</v>
      </c>
      <c r="AV1292">
        <v>2017</v>
      </c>
      <c r="AW1292" t="str">
        <f>"42-2N-27-4500-0022-0040 "</f>
        <v xml:space="preserve">42-2N-27-4500-0022-0040 </v>
      </c>
      <c r="AX1292">
        <v>85050</v>
      </c>
      <c r="AZ1292" t="s">
        <v>13158</v>
      </c>
      <c r="BA1292" t="s">
        <v>496</v>
      </c>
      <c r="BD1292" t="s">
        <v>2387</v>
      </c>
      <c r="BE1292" t="s">
        <v>393</v>
      </c>
      <c r="BF1292">
        <v>32097</v>
      </c>
      <c r="BG1292" t="s">
        <v>13159</v>
      </c>
      <c r="BH1292" t="s">
        <v>2388</v>
      </c>
      <c r="BI1292">
        <v>-81.594695303231106</v>
      </c>
      <c r="BJ1292">
        <v>30.6002064253579</v>
      </c>
      <c r="BK1292" t="s">
        <v>13160</v>
      </c>
      <c r="BM1292" t="s">
        <v>13159</v>
      </c>
      <c r="BN1292" t="s">
        <v>1778</v>
      </c>
      <c r="BO1292">
        <v>32097</v>
      </c>
      <c r="BP1292" t="s">
        <v>416</v>
      </c>
      <c r="BQ1292">
        <v>5000</v>
      </c>
      <c r="BR1292" t="s">
        <v>664</v>
      </c>
      <c r="BS1292">
        <v>7000</v>
      </c>
      <c r="BT1292" t="s">
        <v>665</v>
      </c>
      <c r="BW1292">
        <v>394653</v>
      </c>
      <c r="BX1292" t="s">
        <v>407</v>
      </c>
      <c r="BY1292" t="s">
        <v>408</v>
      </c>
      <c r="BZ1292">
        <v>4</v>
      </c>
      <c r="CA1292">
        <v>2002</v>
      </c>
      <c r="CB1292">
        <v>1</v>
      </c>
      <c r="CC1292">
        <v>1</v>
      </c>
      <c r="CD1292">
        <v>2017</v>
      </c>
      <c r="CG1292">
        <v>95080</v>
      </c>
      <c r="CH1292">
        <v>2017</v>
      </c>
      <c r="CI1292">
        <v>30780</v>
      </c>
      <c r="CJ1292">
        <v>94580</v>
      </c>
      <c r="CK1292">
        <v>125360</v>
      </c>
      <c r="CL1292">
        <v>2017</v>
      </c>
      <c r="CM1292">
        <v>1251.52</v>
      </c>
      <c r="CN1292" s="1">
        <v>38133</v>
      </c>
      <c r="CO1292">
        <v>25000</v>
      </c>
      <c r="CZ1292" s="1">
        <v>38133</v>
      </c>
      <c r="DD1292" t="s">
        <v>2387</v>
      </c>
      <c r="DG1292">
        <v>42</v>
      </c>
      <c r="DL1292">
        <v>50302</v>
      </c>
      <c r="DM1292" t="s">
        <v>12468</v>
      </c>
      <c r="DO1292" t="s">
        <v>13161</v>
      </c>
      <c r="DP1292">
        <v>0</v>
      </c>
      <c r="DQ1292">
        <v>0</v>
      </c>
      <c r="DR1292" t="s">
        <v>411</v>
      </c>
      <c r="DS1292" t="b">
        <v>1</v>
      </c>
      <c r="DT1292" t="s">
        <v>470</v>
      </c>
      <c r="DU1292" t="s">
        <v>471</v>
      </c>
      <c r="DV1292" t="s">
        <v>472</v>
      </c>
      <c r="DX1292">
        <v>-9999</v>
      </c>
      <c r="DZ1292" t="s">
        <v>447</v>
      </c>
      <c r="EA1292" t="s">
        <v>448</v>
      </c>
      <c r="EB1292" t="s">
        <v>742</v>
      </c>
      <c r="EC1292">
        <v>20101217</v>
      </c>
      <c r="ED1292" t="s">
        <v>474</v>
      </c>
      <c r="EF1292">
        <v>2336.3000000000002</v>
      </c>
      <c r="EG1292">
        <v>2322.1</v>
      </c>
      <c r="EI1292">
        <v>20160407</v>
      </c>
      <c r="EJ1292">
        <v>0</v>
      </c>
      <c r="EK1292">
        <v>0</v>
      </c>
      <c r="EP1292" t="s">
        <v>421</v>
      </c>
      <c r="EQ1292" t="s">
        <v>422</v>
      </c>
      <c r="ER1292">
        <v>2</v>
      </c>
      <c r="ES1292">
        <v>2</v>
      </c>
      <c r="ET1292">
        <v>2256.8000000000002</v>
      </c>
      <c r="EU1292">
        <v>125.34</v>
      </c>
      <c r="EV1292">
        <v>2382.14</v>
      </c>
      <c r="EW1292" s="2">
        <v>43222</v>
      </c>
      <c r="EX1292" s="1">
        <v>42879</v>
      </c>
      <c r="EY1292">
        <v>2016</v>
      </c>
      <c r="EZ1292">
        <v>1128.4000000000001</v>
      </c>
      <c r="FA1292" t="s">
        <v>13162</v>
      </c>
      <c r="FB1292">
        <v>0.25</v>
      </c>
      <c r="FC1292" t="s">
        <v>424</v>
      </c>
      <c r="FD1292" t="s">
        <v>454</v>
      </c>
      <c r="FF1292">
        <v>12</v>
      </c>
      <c r="FG1292">
        <v>11289</v>
      </c>
      <c r="FH1292" t="s">
        <v>787</v>
      </c>
      <c r="FJ1292" s="1">
        <v>42879</v>
      </c>
      <c r="FK1292">
        <v>2016</v>
      </c>
      <c r="FL1292">
        <v>1128.4000000000001</v>
      </c>
      <c r="FM1292" t="s">
        <v>13162</v>
      </c>
      <c r="FN1292">
        <v>0.25</v>
      </c>
      <c r="FO1292" t="s">
        <v>424</v>
      </c>
      <c r="FP1292" t="s">
        <v>454</v>
      </c>
      <c r="FR1292">
        <v>12</v>
      </c>
      <c r="FS1292">
        <v>7053839</v>
      </c>
      <c r="FT1292" t="s">
        <v>13163</v>
      </c>
      <c r="FV1292" s="1">
        <v>42515</v>
      </c>
      <c r="FW1292">
        <v>2015</v>
      </c>
      <c r="FX1292">
        <v>1213.04</v>
      </c>
      <c r="FY1292" t="s">
        <v>13164</v>
      </c>
      <c r="FZ1292">
        <v>0.25</v>
      </c>
      <c r="GA1292" t="s">
        <v>424</v>
      </c>
      <c r="GB1292" t="s">
        <v>425</v>
      </c>
      <c r="GC1292" s="1">
        <v>43138</v>
      </c>
      <c r="GD1292">
        <v>21</v>
      </c>
      <c r="GE1292">
        <v>11289</v>
      </c>
      <c r="GF1292" t="s">
        <v>787</v>
      </c>
      <c r="GH1292" s="1">
        <v>42515</v>
      </c>
      <c r="GI1292">
        <v>2015</v>
      </c>
      <c r="GJ1292">
        <v>1213.04</v>
      </c>
      <c r="GK1292" t="s">
        <v>13164</v>
      </c>
      <c r="GL1292">
        <v>0.25</v>
      </c>
      <c r="GM1292" t="s">
        <v>424</v>
      </c>
      <c r="GN1292" t="s">
        <v>425</v>
      </c>
      <c r="GP1292">
        <v>22</v>
      </c>
      <c r="GQ1292">
        <v>7051451</v>
      </c>
      <c r="GR1292" t="s">
        <v>13165</v>
      </c>
    </row>
    <row r="1293" spans="1:284" x14ac:dyDescent="0.25">
      <c r="A1293">
        <v>16486300</v>
      </c>
      <c r="B1293">
        <v>1292</v>
      </c>
      <c r="C1293" t="s">
        <v>393</v>
      </c>
      <c r="D1293" t="s">
        <v>394</v>
      </c>
      <c r="F1293" t="str">
        <f>"42-2N-27-4540-0011-0010"</f>
        <v>42-2N-27-4540-0011-0010</v>
      </c>
      <c r="H1293" t="str">
        <f>"MELISSA ACRES LLC"</f>
        <v>MELISSA ACRES LLC</v>
      </c>
      <c r="I1293" t="str">
        <f>"3416 SEA MARSH RD"</f>
        <v>3416 SEA MARSH RD</v>
      </c>
      <c r="J1293" t="str">
        <f>"FERNANDINA BEACH FL 32034"</f>
        <v>FERNANDINA BEACH FL 32034</v>
      </c>
      <c r="K1293" t="str">
        <f>"85086 PATCHES LN"</f>
        <v>85086 PATCHES LN</v>
      </c>
      <c r="L1293" t="str">
        <f t="shared" si="430"/>
        <v>YULEE FL 32097</v>
      </c>
      <c r="M1293" t="str">
        <f>"N1/2 OF LOTS 11 12 &amp; 13 IN OR 2054/1968 R433772 R433766 &amp; R433767 R433768 R583935 R787947 &amp; 1985 OAKL DW/MH (EX S-2 THRU S-5) EX S-1 &amp; S-2 OF LOT 13 PT OF ABND R/W OR 200/653 YULEE FARMS 2 SUB PB 3/23"</f>
        <v>N1/2 OF LOTS 11 12 &amp; 13 IN OR 2054/1968 R433772 R433766 &amp; R433767 R433768 R583935 R787947 &amp; 1985 OAKL DW/MH (EX S-2 THRU S-5) EX S-1 &amp; S-2 OF LOT 13 PT OF ABND R/W OR 200/653 YULEE FARMS 2 SUB PB 3/23</v>
      </c>
      <c r="N1293" t="str">
        <f>""</f>
        <v/>
      </c>
      <c r="O1293" t="str">
        <f>"48495"</f>
        <v>48495</v>
      </c>
      <c r="P1293" t="str">
        <f t="shared" si="433"/>
        <v>2017</v>
      </c>
      <c r="Q1293" t="str">
        <f>""</f>
        <v/>
      </c>
      <c r="R1293" t="str">
        <f t="shared" si="438"/>
        <v>N</v>
      </c>
      <c r="S1293" t="str">
        <f>"6.44"</f>
        <v>6.44</v>
      </c>
      <c r="T1293" t="str">
        <f>"3217.50"</f>
        <v>3217.50</v>
      </c>
      <c r="U1293" t="str">
        <f>"212534.00"</f>
        <v>212534.00</v>
      </c>
      <c r="V1293" t="str">
        <f>"212534.00"</f>
        <v>212534.00</v>
      </c>
      <c r="W1293" t="str">
        <f t="shared" si="434"/>
        <v>2017</v>
      </c>
      <c r="X1293" t="str">
        <f>"9.83"</f>
        <v>9.83</v>
      </c>
      <c r="Y1293" t="str">
        <f>"3346.03"</f>
        <v>3346.03</v>
      </c>
      <c r="Z1293" t="str">
        <f>""</f>
        <v/>
      </c>
      <c r="AA1293" t="str">
        <f>"212534.00"</f>
        <v>212534.00</v>
      </c>
      <c r="AB1293" t="str">
        <f>"Commercial"</f>
        <v>Commercial</v>
      </c>
      <c r="AC1293" t="str">
        <f t="shared" si="422"/>
        <v>0</v>
      </c>
      <c r="AD1293" t="str">
        <f t="shared" si="435"/>
        <v>4</v>
      </c>
      <c r="AE1293" t="str">
        <f t="shared" si="436"/>
        <v>WOOD (INCLUDE STEEL STUDS)</v>
      </c>
      <c r="AF1293" t="str">
        <f>"028"</f>
        <v>028</v>
      </c>
      <c r="AG1293" t="str">
        <f t="shared" si="437"/>
        <v>FL</v>
      </c>
      <c r="AH1293" t="str">
        <f>"280526.00"</f>
        <v>280526.00</v>
      </c>
      <c r="AI1293" t="str">
        <f>"128800.00"</f>
        <v>128800.00</v>
      </c>
      <c r="AJ1293" t="str">
        <f>"C55-000-588-2086-1"</f>
        <v>C55-000-588-2086-1</v>
      </c>
      <c r="AK1293" t="str">
        <f>"22155"</f>
        <v>22155</v>
      </c>
      <c r="AL1293">
        <v>5</v>
      </c>
      <c r="AM1293">
        <v>1472</v>
      </c>
      <c r="AN1293">
        <v>3511.73</v>
      </c>
      <c r="AQ1293" t="s">
        <v>13166</v>
      </c>
      <c r="AR1293" t="s">
        <v>13166</v>
      </c>
      <c r="AS1293" t="s">
        <v>13166</v>
      </c>
      <c r="AU1293" t="s">
        <v>396</v>
      </c>
      <c r="AV1293">
        <v>2017</v>
      </c>
      <c r="AW1293" t="str">
        <f>"42-2N-27-4540-0011-0010 "</f>
        <v xml:space="preserve">42-2N-27-4540-0011-0010 </v>
      </c>
      <c r="AX1293">
        <v>85086</v>
      </c>
      <c r="AZ1293" t="s">
        <v>13167</v>
      </c>
      <c r="BA1293" t="s">
        <v>653</v>
      </c>
      <c r="BD1293" t="s">
        <v>2387</v>
      </c>
      <c r="BE1293" t="s">
        <v>393</v>
      </c>
      <c r="BF1293">
        <v>32097</v>
      </c>
      <c r="BG1293" t="s">
        <v>13168</v>
      </c>
      <c r="BH1293" t="s">
        <v>2388</v>
      </c>
      <c r="BI1293">
        <v>-81.589167304039904</v>
      </c>
      <c r="BJ1293">
        <v>30.593406224724301</v>
      </c>
      <c r="BK1293" t="s">
        <v>13169</v>
      </c>
      <c r="BM1293" t="s">
        <v>13170</v>
      </c>
      <c r="BN1293" t="s">
        <v>3983</v>
      </c>
      <c r="BO1293">
        <v>32034</v>
      </c>
      <c r="BP1293" t="s">
        <v>404</v>
      </c>
      <c r="BQ1293">
        <v>2800</v>
      </c>
      <c r="BR1293" t="s">
        <v>4802</v>
      </c>
      <c r="BS1293">
        <v>1109</v>
      </c>
      <c r="BT1293" t="s">
        <v>4803</v>
      </c>
      <c r="BW1293">
        <v>280526</v>
      </c>
      <c r="BX1293" t="s">
        <v>407</v>
      </c>
      <c r="BY1293" t="s">
        <v>408</v>
      </c>
      <c r="BZ1293">
        <v>4</v>
      </c>
      <c r="CA1293">
        <v>1981</v>
      </c>
      <c r="CB1293">
        <v>1</v>
      </c>
      <c r="CC1293">
        <v>7</v>
      </c>
      <c r="CD1293">
        <v>2017</v>
      </c>
      <c r="CE1293">
        <v>128800</v>
      </c>
      <c r="CF1293">
        <v>83734</v>
      </c>
      <c r="CG1293">
        <v>212534</v>
      </c>
      <c r="CH1293">
        <v>2017</v>
      </c>
      <c r="CI1293">
        <v>128800</v>
      </c>
      <c r="CJ1293">
        <v>83734</v>
      </c>
      <c r="CK1293">
        <v>212534</v>
      </c>
      <c r="CL1293">
        <v>2017</v>
      </c>
      <c r="CM1293">
        <v>3217.5</v>
      </c>
      <c r="CN1293" s="1">
        <v>42548</v>
      </c>
      <c r="CO1293">
        <v>185000</v>
      </c>
      <c r="CV1293">
        <v>85000</v>
      </c>
      <c r="CX1293" t="s">
        <v>707</v>
      </c>
      <c r="CZ1293" s="1">
        <v>42548</v>
      </c>
      <c r="DA1293">
        <v>0</v>
      </c>
      <c r="DD1293" t="s">
        <v>2387</v>
      </c>
      <c r="DG1293">
        <v>42</v>
      </c>
      <c r="DL1293">
        <v>50302</v>
      </c>
      <c r="DM1293" t="s">
        <v>12468</v>
      </c>
      <c r="DO1293" t="s">
        <v>13171</v>
      </c>
      <c r="DP1293">
        <v>0</v>
      </c>
      <c r="DQ1293">
        <v>1</v>
      </c>
      <c r="DR1293" t="s">
        <v>411</v>
      </c>
      <c r="EP1293" t="s">
        <v>421</v>
      </c>
      <c r="EQ1293" t="s">
        <v>422</v>
      </c>
      <c r="ER1293">
        <v>0</v>
      </c>
      <c r="ES1293">
        <v>4</v>
      </c>
      <c r="ET1293">
        <v>0</v>
      </c>
      <c r="EU1293">
        <v>0</v>
      </c>
      <c r="EV1293">
        <v>0</v>
      </c>
      <c r="EW1293" s="2">
        <v>43222</v>
      </c>
      <c r="EX1293" s="1">
        <v>41423</v>
      </c>
      <c r="EY1293">
        <v>2012</v>
      </c>
      <c r="EZ1293">
        <v>3925.64</v>
      </c>
      <c r="FA1293" t="s">
        <v>13172</v>
      </c>
      <c r="FB1293">
        <v>0.25</v>
      </c>
      <c r="FC1293" t="s">
        <v>424</v>
      </c>
      <c r="FD1293" t="s">
        <v>425</v>
      </c>
      <c r="FE1293" s="1">
        <v>41604</v>
      </c>
      <c r="FF1293">
        <v>6</v>
      </c>
      <c r="FG1293">
        <v>11303</v>
      </c>
      <c r="FH1293" t="s">
        <v>918</v>
      </c>
      <c r="FJ1293" s="1">
        <v>41052</v>
      </c>
      <c r="FK1293">
        <v>2011</v>
      </c>
      <c r="FL1293">
        <v>4144.6099999999997</v>
      </c>
      <c r="FM1293" t="s">
        <v>13173</v>
      </c>
      <c r="FN1293">
        <v>3.75</v>
      </c>
      <c r="FO1293" t="s">
        <v>424</v>
      </c>
      <c r="FP1293" t="s">
        <v>425</v>
      </c>
      <c r="FQ1293" s="1">
        <v>41604</v>
      </c>
      <c r="FR1293">
        <v>18</v>
      </c>
      <c r="FS1293">
        <v>1625515</v>
      </c>
      <c r="FT1293" t="s">
        <v>487</v>
      </c>
      <c r="FV1293" s="1">
        <v>41052</v>
      </c>
      <c r="FW1293">
        <v>2011</v>
      </c>
      <c r="FX1293">
        <v>4144.6099999999997</v>
      </c>
      <c r="FY1293" t="s">
        <v>13173</v>
      </c>
      <c r="FZ1293">
        <v>3.75</v>
      </c>
      <c r="GA1293" t="s">
        <v>424</v>
      </c>
      <c r="GB1293" t="s">
        <v>425</v>
      </c>
      <c r="GD1293">
        <v>22</v>
      </c>
      <c r="GE1293">
        <v>10579</v>
      </c>
      <c r="GF1293" t="s">
        <v>488</v>
      </c>
      <c r="GH1293" s="1">
        <v>40688</v>
      </c>
      <c r="GI1293">
        <v>2010</v>
      </c>
      <c r="GJ1293">
        <v>4195.5200000000004</v>
      </c>
      <c r="GK1293" t="s">
        <v>13174</v>
      </c>
      <c r="GL1293">
        <v>5</v>
      </c>
      <c r="GM1293" t="s">
        <v>424</v>
      </c>
      <c r="GN1293" t="s">
        <v>425</v>
      </c>
      <c r="GO1293" s="1">
        <v>41316</v>
      </c>
      <c r="GP1293">
        <v>21</v>
      </c>
      <c r="GQ1293">
        <v>11302</v>
      </c>
      <c r="GR1293" t="s">
        <v>3940</v>
      </c>
    </row>
    <row r="1294" spans="1:284" x14ac:dyDescent="0.25">
      <c r="A1294">
        <v>16486301</v>
      </c>
      <c r="B1294">
        <v>1293</v>
      </c>
      <c r="C1294" t="s">
        <v>393</v>
      </c>
      <c r="D1294" t="s">
        <v>394</v>
      </c>
      <c r="F1294" t="str">
        <f>"42-2N-27-4540-0014-0020"</f>
        <v>42-2N-27-4540-0014-0020</v>
      </c>
      <c r="H1294" t="str">
        <f>"STEPHENS TIMOTHY &amp; LEE ANNE"</f>
        <v>STEPHENS TIMOTHY &amp; LEE ANNE</v>
      </c>
      <c r="I1294" t="str">
        <f>"85123 TELEPHONE LN"</f>
        <v>85123 TELEPHONE LN</v>
      </c>
      <c r="J1294" t="str">
        <f>"YULEE FL 32097"</f>
        <v>YULEE FL 32097</v>
      </c>
      <c r="K1294" t="str">
        <f>"85123 TELEPHONE LN"</f>
        <v>85123 TELEPHONE LN</v>
      </c>
      <c r="L1294" t="str">
        <f t="shared" si="430"/>
        <v>YULEE FL 32097</v>
      </c>
      <c r="M1294" t="str">
        <f>"PT OF LOTS 14 &amp; 15 (S-2 &amp; S-4) IN OR 1915/78 YULEE FARMS 2 SUB PB 3/23"</f>
        <v>PT OF LOTS 14 &amp; 15 (S-2 &amp; S-4) IN OR 1915/78 YULEE FARMS 2 SUB PB 3/23</v>
      </c>
      <c r="N1294" t="str">
        <f>""</f>
        <v/>
      </c>
      <c r="O1294" t="str">
        <f>"48501"</f>
        <v>48501</v>
      </c>
      <c r="P1294" t="str">
        <f t="shared" si="433"/>
        <v>2017</v>
      </c>
      <c r="Q1294" t="str">
        <f>""</f>
        <v/>
      </c>
      <c r="R1294" t="str">
        <f t="shared" si="438"/>
        <v>N</v>
      </c>
      <c r="S1294" t="str">
        <f>"6.96"</f>
        <v>6.96</v>
      </c>
      <c r="T1294" t="str">
        <f>"2773.05"</f>
        <v>2773.05</v>
      </c>
      <c r="U1294" t="str">
        <f>"182601.00"</f>
        <v>182601.00</v>
      </c>
      <c r="V1294" t="str">
        <f>"182601.00"</f>
        <v>182601.00</v>
      </c>
      <c r="W1294" t="str">
        <f t="shared" si="434"/>
        <v>2017</v>
      </c>
      <c r="X1294" t="str">
        <f>"15.00"</f>
        <v>15.00</v>
      </c>
      <c r="Y1294" t="str">
        <f>"2888.24"</f>
        <v>2888.24</v>
      </c>
      <c r="Z1294" t="str">
        <f>""</f>
        <v/>
      </c>
      <c r="AA1294" t="str">
        <f>"183919.00"</f>
        <v>183919.00</v>
      </c>
      <c r="AB1294" t="str">
        <f t="shared" ref="AB1294:AB1325" si="439">"Residential"</f>
        <v>Residential</v>
      </c>
      <c r="AC1294" t="str">
        <f t="shared" si="422"/>
        <v>0</v>
      </c>
      <c r="AD1294" t="str">
        <f t="shared" si="435"/>
        <v>4</v>
      </c>
      <c r="AE1294" t="str">
        <f t="shared" si="436"/>
        <v>WOOD (INCLUDE STEEL STUDS)</v>
      </c>
      <c r="AF1294" t="str">
        <f>"001"</f>
        <v>001</v>
      </c>
      <c r="AG1294" t="str">
        <f t="shared" si="437"/>
        <v>FL</v>
      </c>
      <c r="AH1294" t="str">
        <f>"303177.00"</f>
        <v>303177.00</v>
      </c>
      <c r="AI1294" t="str">
        <f>"107184.00"</f>
        <v>107184.00</v>
      </c>
      <c r="AJ1294" t="str">
        <f>"C55-000-588-2092-9"</f>
        <v>C55-000-588-2092-9</v>
      </c>
      <c r="AK1294" t="str">
        <f>"22161"</f>
        <v>22161</v>
      </c>
      <c r="AL1294">
        <v>5</v>
      </c>
      <c r="AM1294">
        <v>1473</v>
      </c>
      <c r="AN1294">
        <v>3031.05</v>
      </c>
      <c r="AQ1294" t="s">
        <v>13175</v>
      </c>
      <c r="AR1294" t="s">
        <v>13175</v>
      </c>
      <c r="AS1294" t="s">
        <v>13175</v>
      </c>
      <c r="AU1294" t="s">
        <v>396</v>
      </c>
      <c r="AV1294">
        <v>2017</v>
      </c>
      <c r="AW1294" t="str">
        <f>"42-2N-27-4540-0014-0020 "</f>
        <v xml:space="preserve">42-2N-27-4540-0014-0020 </v>
      </c>
      <c r="AX1294">
        <v>85123</v>
      </c>
      <c r="AZ1294" t="s">
        <v>13176</v>
      </c>
      <c r="BA1294" t="s">
        <v>653</v>
      </c>
      <c r="BD1294" t="s">
        <v>2387</v>
      </c>
      <c r="BE1294" t="s">
        <v>393</v>
      </c>
      <c r="BF1294">
        <v>32097</v>
      </c>
      <c r="BG1294" t="s">
        <v>13177</v>
      </c>
      <c r="BH1294" t="s">
        <v>2388</v>
      </c>
      <c r="BI1294">
        <v>-81.589871513259496</v>
      </c>
      <c r="BJ1294">
        <v>30.5965742821951</v>
      </c>
      <c r="BK1294" t="s">
        <v>13178</v>
      </c>
      <c r="BL1294" t="s">
        <v>13179</v>
      </c>
      <c r="BM1294" t="s">
        <v>13177</v>
      </c>
      <c r="BN1294" t="s">
        <v>1778</v>
      </c>
      <c r="BO1294">
        <v>32097</v>
      </c>
      <c r="BP1294" t="s">
        <v>416</v>
      </c>
      <c r="BQ1294">
        <v>100</v>
      </c>
      <c r="BR1294" t="s">
        <v>514</v>
      </c>
      <c r="BS1294">
        <v>1001</v>
      </c>
      <c r="BT1294" t="s">
        <v>515</v>
      </c>
      <c r="BW1294">
        <v>303177</v>
      </c>
      <c r="BX1294" t="s">
        <v>407</v>
      </c>
      <c r="BY1294" t="s">
        <v>408</v>
      </c>
      <c r="BZ1294">
        <v>4</v>
      </c>
      <c r="CA1294">
        <v>1964</v>
      </c>
      <c r="CB1294">
        <v>1</v>
      </c>
      <c r="CC1294">
        <v>1</v>
      </c>
      <c r="CD1294">
        <v>2017</v>
      </c>
      <c r="CE1294">
        <v>107184</v>
      </c>
      <c r="CF1294">
        <v>76735</v>
      </c>
      <c r="CG1294">
        <v>183919</v>
      </c>
      <c r="CH1294">
        <v>2017</v>
      </c>
      <c r="CI1294">
        <v>107184</v>
      </c>
      <c r="CJ1294">
        <v>76735</v>
      </c>
      <c r="CK1294">
        <v>183919</v>
      </c>
      <c r="CL1294">
        <v>2017</v>
      </c>
      <c r="CM1294">
        <v>2773.05</v>
      </c>
      <c r="CN1294" s="1">
        <v>41760</v>
      </c>
      <c r="CO1294">
        <v>255000</v>
      </c>
      <c r="CV1294">
        <v>245000</v>
      </c>
      <c r="CX1294" t="s">
        <v>707</v>
      </c>
      <c r="CZ1294" s="1">
        <v>41760</v>
      </c>
      <c r="DA1294">
        <v>0</v>
      </c>
      <c r="DD1294" t="s">
        <v>2387</v>
      </c>
      <c r="DG1294">
        <v>42</v>
      </c>
      <c r="DJ1294" t="s">
        <v>13180</v>
      </c>
      <c r="DL1294">
        <v>50302</v>
      </c>
      <c r="DM1294" t="s">
        <v>12468</v>
      </c>
      <c r="DO1294" t="s">
        <v>13181</v>
      </c>
      <c r="DP1294">
        <v>0</v>
      </c>
      <c r="DQ1294">
        <v>1</v>
      </c>
      <c r="DR1294" t="s">
        <v>411</v>
      </c>
      <c r="DS1294" t="b">
        <v>1</v>
      </c>
      <c r="DT1294" t="s">
        <v>470</v>
      </c>
      <c r="DU1294" t="s">
        <v>471</v>
      </c>
      <c r="DV1294" t="s">
        <v>472</v>
      </c>
      <c r="DX1294">
        <v>-9999</v>
      </c>
      <c r="DZ1294" t="s">
        <v>447</v>
      </c>
      <c r="EA1294" t="s">
        <v>448</v>
      </c>
      <c r="EB1294" t="s">
        <v>742</v>
      </c>
      <c r="EC1294">
        <v>20101217</v>
      </c>
      <c r="ED1294" t="s">
        <v>474</v>
      </c>
      <c r="EF1294">
        <v>2031.8</v>
      </c>
      <c r="EG1294">
        <v>2021.1</v>
      </c>
      <c r="EI1294">
        <v>20160407</v>
      </c>
      <c r="EJ1294">
        <v>0</v>
      </c>
      <c r="EK1294">
        <v>0</v>
      </c>
      <c r="EP1294" t="s">
        <v>421</v>
      </c>
      <c r="EQ1294" t="s">
        <v>422</v>
      </c>
      <c r="ER1294">
        <v>2</v>
      </c>
      <c r="ES1294">
        <v>4</v>
      </c>
      <c r="ET1294">
        <v>5565.9</v>
      </c>
      <c r="EU1294">
        <v>290.8</v>
      </c>
      <c r="EV1294">
        <v>5856.7</v>
      </c>
      <c r="EW1294" s="2">
        <v>43222</v>
      </c>
      <c r="EX1294" s="1">
        <v>42879</v>
      </c>
      <c r="EY1294">
        <v>2016</v>
      </c>
      <c r="EZ1294">
        <v>2782.95</v>
      </c>
      <c r="FA1294" t="s">
        <v>13182</v>
      </c>
      <c r="FB1294">
        <v>0.25</v>
      </c>
      <c r="FC1294" t="s">
        <v>424</v>
      </c>
      <c r="FD1294" t="s">
        <v>454</v>
      </c>
      <c r="FF1294">
        <v>12</v>
      </c>
      <c r="FG1294">
        <v>7400234</v>
      </c>
      <c r="FH1294" t="s">
        <v>426</v>
      </c>
      <c r="FJ1294" s="1">
        <v>42879</v>
      </c>
      <c r="FK1294">
        <v>2016</v>
      </c>
      <c r="FL1294">
        <v>2782.95</v>
      </c>
      <c r="FM1294" t="s">
        <v>13182</v>
      </c>
      <c r="FN1294">
        <v>0.25</v>
      </c>
      <c r="FO1294" t="s">
        <v>424</v>
      </c>
      <c r="FP1294" t="s">
        <v>454</v>
      </c>
      <c r="FR1294">
        <v>12</v>
      </c>
      <c r="FS1294">
        <v>7421438</v>
      </c>
      <c r="FT1294" t="s">
        <v>13183</v>
      </c>
      <c r="FV1294" s="1">
        <v>42515</v>
      </c>
      <c r="FW1294">
        <v>2015</v>
      </c>
      <c r="FX1294">
        <v>2854.1</v>
      </c>
      <c r="FY1294" t="s">
        <v>13184</v>
      </c>
      <c r="FZ1294">
        <v>0.25</v>
      </c>
      <c r="GA1294" t="s">
        <v>424</v>
      </c>
      <c r="GB1294" t="s">
        <v>425</v>
      </c>
      <c r="GC1294" s="1">
        <v>43007</v>
      </c>
      <c r="GD1294">
        <v>16</v>
      </c>
      <c r="GE1294">
        <v>2851116</v>
      </c>
      <c r="GF1294" t="s">
        <v>480</v>
      </c>
      <c r="GH1294" s="1">
        <v>42515</v>
      </c>
      <c r="GI1294">
        <v>2015</v>
      </c>
      <c r="GJ1294">
        <v>2854.1</v>
      </c>
      <c r="GK1294" t="s">
        <v>13184</v>
      </c>
      <c r="GL1294">
        <v>0.25</v>
      </c>
      <c r="GM1294" t="s">
        <v>424</v>
      </c>
      <c r="GN1294" t="s">
        <v>425</v>
      </c>
      <c r="GP1294">
        <v>22</v>
      </c>
      <c r="GQ1294">
        <v>5489041</v>
      </c>
      <c r="GR1294" t="s">
        <v>13185</v>
      </c>
      <c r="GT1294" s="1">
        <v>42151</v>
      </c>
      <c r="GU1294">
        <v>2014</v>
      </c>
      <c r="GV1294">
        <v>2593.41</v>
      </c>
      <c r="GW1294" t="s">
        <v>13186</v>
      </c>
      <c r="GX1294">
        <v>0.25</v>
      </c>
      <c r="GY1294" t="s">
        <v>424</v>
      </c>
      <c r="GZ1294" t="s">
        <v>425</v>
      </c>
      <c r="HA1294" s="1">
        <v>42573</v>
      </c>
      <c r="HB1294">
        <v>14</v>
      </c>
      <c r="HC1294">
        <v>11289</v>
      </c>
      <c r="HD1294" t="s">
        <v>787</v>
      </c>
      <c r="HF1294" s="1">
        <v>42151</v>
      </c>
      <c r="HG1294">
        <v>2014</v>
      </c>
      <c r="HH1294">
        <v>2593.41</v>
      </c>
      <c r="HI1294" t="s">
        <v>13186</v>
      </c>
      <c r="HJ1294">
        <v>0.25</v>
      </c>
      <c r="HK1294" t="s">
        <v>424</v>
      </c>
      <c r="HL1294" t="s">
        <v>425</v>
      </c>
      <c r="HN1294">
        <v>22</v>
      </c>
      <c r="HO1294">
        <v>5164979</v>
      </c>
      <c r="HP1294" t="s">
        <v>13187</v>
      </c>
    </row>
    <row r="1295" spans="1:284" x14ac:dyDescent="0.25">
      <c r="A1295">
        <v>16486302</v>
      </c>
      <c r="B1295">
        <v>1294</v>
      </c>
      <c r="C1295" t="s">
        <v>393</v>
      </c>
      <c r="D1295" t="s">
        <v>394</v>
      </c>
      <c r="F1295" t="str">
        <f>"42-2N-27-4540-0015-0010"</f>
        <v>42-2N-27-4540-0015-0010</v>
      </c>
      <c r="H1295" t="str">
        <f>"VERA KEVIN"</f>
        <v>VERA KEVIN</v>
      </c>
      <c r="I1295" t="str">
        <f>"6122 HECKSCHER DRIVE"</f>
        <v>6122 HECKSCHER DRIVE</v>
      </c>
      <c r="J1295" t="str">
        <f>"JACKSONVILLE FL 32226"</f>
        <v>JACKSONVILLE FL 32226</v>
      </c>
      <c r="K1295" t="str">
        <f>"ALENE RD"</f>
        <v>ALENE RD</v>
      </c>
      <c r="L1295" t="str">
        <f t="shared" si="430"/>
        <v>YULEE FL 32097</v>
      </c>
      <c r="M1295" t="str">
        <f>"PT OF LOT 15 (S-1) IN OR 1396/22 YULEE FARMS 2 PB 3/23"</f>
        <v>PT OF LOT 15 (S-1) IN OR 1396/22 YULEE FARMS 2 PB 3/23</v>
      </c>
      <c r="N1295" t="str">
        <f>""</f>
        <v/>
      </c>
      <c r="O1295" t="str">
        <f>"48503"</f>
        <v>48503</v>
      </c>
      <c r="P1295" t="str">
        <f t="shared" si="433"/>
        <v>2017</v>
      </c>
      <c r="Q1295" t="str">
        <f>""</f>
        <v/>
      </c>
      <c r="R1295" t="str">
        <f t="shared" si="438"/>
        <v>N</v>
      </c>
      <c r="S1295" t="str">
        <f>"3.20"</f>
        <v>3.20</v>
      </c>
      <c r="T1295" t="str">
        <f>"1007.08"</f>
        <v>1007.08</v>
      </c>
      <c r="U1295" t="str">
        <f>"66000.00"</f>
        <v>66000.00</v>
      </c>
      <c r="V1295" t="str">
        <f>"66000.00"</f>
        <v>66000.00</v>
      </c>
      <c r="W1295" t="str">
        <f t="shared" si="434"/>
        <v>2017</v>
      </c>
      <c r="X1295" t="str">
        <f>"11.78"</f>
        <v>11.78</v>
      </c>
      <c r="Y1295" t="str">
        <f>"1069.29"</f>
        <v>1069.29</v>
      </c>
      <c r="Z1295" t="str">
        <f>""</f>
        <v/>
      </c>
      <c r="AA1295" t="str">
        <f>"67200.00"</f>
        <v>67200.00</v>
      </c>
      <c r="AB1295" t="str">
        <f t="shared" si="439"/>
        <v>Residential</v>
      </c>
      <c r="AC1295" t="str">
        <f t="shared" si="422"/>
        <v>0</v>
      </c>
      <c r="AD1295" t="str">
        <f>""</f>
        <v/>
      </c>
      <c r="AE1295" t="str">
        <f>""</f>
        <v/>
      </c>
      <c r="AF1295" t="str">
        <f>"000"</f>
        <v>000</v>
      </c>
      <c r="AG1295" t="str">
        <f t="shared" si="437"/>
        <v>FL</v>
      </c>
      <c r="AH1295" t="str">
        <f>"139392.00"</f>
        <v>139392.00</v>
      </c>
      <c r="AI1295" t="str">
        <f>"67200.00"</f>
        <v>67200.00</v>
      </c>
      <c r="AJ1295" t="str">
        <f>"C55-000-988-2743-9"</f>
        <v>C55-000-988-2743-9</v>
      </c>
      <c r="AK1295" t="str">
        <f>"22163"</f>
        <v>22163</v>
      </c>
      <c r="AL1295">
        <v>5</v>
      </c>
      <c r="AM1295">
        <v>1474</v>
      </c>
      <c r="AN1295">
        <v>1121.1500000000001</v>
      </c>
      <c r="AQ1295" t="s">
        <v>13188</v>
      </c>
      <c r="AR1295" t="s">
        <v>13188</v>
      </c>
      <c r="AS1295" t="s">
        <v>13188</v>
      </c>
      <c r="AU1295" t="s">
        <v>396</v>
      </c>
      <c r="AV1295">
        <v>2017</v>
      </c>
      <c r="AW1295" t="str">
        <f>"42-2N-27-4540-0015-0010 "</f>
        <v xml:space="preserve">42-2N-27-4540-0015-0010 </v>
      </c>
      <c r="AZ1295" t="s">
        <v>13189</v>
      </c>
      <c r="BA1295" t="s">
        <v>496</v>
      </c>
      <c r="BD1295" t="s">
        <v>2387</v>
      </c>
      <c r="BE1295" t="s">
        <v>393</v>
      </c>
      <c r="BF1295">
        <v>32097</v>
      </c>
      <c r="BG1295" t="s">
        <v>13190</v>
      </c>
      <c r="BH1295" t="s">
        <v>2388</v>
      </c>
      <c r="BI1295">
        <v>-81.589875378210905</v>
      </c>
      <c r="BJ1295">
        <v>30.5951545126198</v>
      </c>
      <c r="BK1295" t="s">
        <v>13191</v>
      </c>
      <c r="BM1295" t="s">
        <v>13192</v>
      </c>
      <c r="BN1295" t="s">
        <v>548</v>
      </c>
      <c r="BO1295">
        <v>32216</v>
      </c>
      <c r="BP1295" t="s">
        <v>404</v>
      </c>
      <c r="BQ1295">
        <v>0</v>
      </c>
      <c r="BR1295" t="s">
        <v>491</v>
      </c>
      <c r="BS1295">
        <v>8001</v>
      </c>
      <c r="BT1295" t="s">
        <v>492</v>
      </c>
      <c r="BW1295">
        <v>139392</v>
      </c>
      <c r="BX1295" t="s">
        <v>407</v>
      </c>
      <c r="BY1295" t="s">
        <v>408</v>
      </c>
      <c r="CD1295">
        <v>2017</v>
      </c>
      <c r="CE1295">
        <v>67200</v>
      </c>
      <c r="CG1295">
        <v>67200</v>
      </c>
      <c r="CH1295">
        <v>2017</v>
      </c>
      <c r="CI1295">
        <v>67200</v>
      </c>
      <c r="CK1295">
        <v>67200</v>
      </c>
      <c r="CL1295">
        <v>2017</v>
      </c>
      <c r="CM1295">
        <v>1007.08</v>
      </c>
      <c r="CN1295" s="1">
        <v>38790</v>
      </c>
      <c r="CO1295">
        <v>135000</v>
      </c>
      <c r="CZ1295" s="1">
        <v>38790</v>
      </c>
      <c r="DD1295" t="s">
        <v>2387</v>
      </c>
      <c r="DF1295">
        <v>15</v>
      </c>
      <c r="DG1295">
        <v>42</v>
      </c>
      <c r="DJ1295" t="s">
        <v>13180</v>
      </c>
      <c r="DL1295">
        <v>50302</v>
      </c>
      <c r="DM1295" t="s">
        <v>12468</v>
      </c>
      <c r="DO1295" t="s">
        <v>13193</v>
      </c>
      <c r="DP1295">
        <v>0</v>
      </c>
      <c r="DQ1295">
        <v>1</v>
      </c>
      <c r="DR1295" t="s">
        <v>411</v>
      </c>
      <c r="DS1295" t="b">
        <v>1</v>
      </c>
      <c r="DT1295" t="s">
        <v>470</v>
      </c>
      <c r="DU1295" t="s">
        <v>471</v>
      </c>
      <c r="DV1295" t="s">
        <v>472</v>
      </c>
      <c r="DX1295">
        <v>-9999</v>
      </c>
      <c r="DZ1295" t="s">
        <v>447</v>
      </c>
      <c r="EA1295" t="s">
        <v>448</v>
      </c>
      <c r="EB1295" t="s">
        <v>742</v>
      </c>
      <c r="EC1295">
        <v>20101217</v>
      </c>
      <c r="ED1295" t="s">
        <v>474</v>
      </c>
      <c r="EF1295">
        <v>1647.5</v>
      </c>
      <c r="EG1295">
        <v>1638.8</v>
      </c>
      <c r="EI1295">
        <v>20160407</v>
      </c>
      <c r="EJ1295">
        <v>0</v>
      </c>
      <c r="EK1295">
        <v>0</v>
      </c>
      <c r="EP1295" t="s">
        <v>421</v>
      </c>
      <c r="EQ1295" t="s">
        <v>422</v>
      </c>
      <c r="ER1295">
        <v>0</v>
      </c>
      <c r="ES1295">
        <v>6</v>
      </c>
      <c r="ET1295">
        <v>0</v>
      </c>
      <c r="EU1295">
        <v>0</v>
      </c>
      <c r="EV1295">
        <v>0</v>
      </c>
      <c r="EW1295" s="2">
        <v>43222</v>
      </c>
      <c r="EX1295" s="1">
        <v>42879</v>
      </c>
      <c r="EY1295">
        <v>2016</v>
      </c>
      <c r="EZ1295">
        <v>1023.11</v>
      </c>
      <c r="FA1295" t="s">
        <v>13194</v>
      </c>
      <c r="FB1295">
        <v>4.75</v>
      </c>
      <c r="FC1295" t="s">
        <v>424</v>
      </c>
      <c r="FD1295" t="s">
        <v>425</v>
      </c>
      <c r="FE1295" s="1">
        <v>42955</v>
      </c>
      <c r="FF1295">
        <v>3</v>
      </c>
      <c r="FG1295">
        <v>2035919</v>
      </c>
      <c r="FH1295" t="s">
        <v>507</v>
      </c>
      <c r="FJ1295" s="1">
        <v>42515</v>
      </c>
      <c r="FK1295">
        <v>2015</v>
      </c>
      <c r="FL1295">
        <v>1042.31</v>
      </c>
      <c r="FM1295" t="s">
        <v>13195</v>
      </c>
      <c r="FN1295">
        <v>0.25</v>
      </c>
      <c r="FO1295" t="s">
        <v>424</v>
      </c>
      <c r="FP1295" t="s">
        <v>425</v>
      </c>
      <c r="FQ1295" s="1">
        <v>42955</v>
      </c>
      <c r="FR1295">
        <v>15</v>
      </c>
      <c r="FS1295">
        <v>7336671</v>
      </c>
      <c r="FT1295" t="s">
        <v>437</v>
      </c>
      <c r="FV1295" s="1">
        <v>42515</v>
      </c>
      <c r="FW1295">
        <v>2015</v>
      </c>
      <c r="FX1295">
        <v>1042.31</v>
      </c>
      <c r="FY1295" t="s">
        <v>13195</v>
      </c>
      <c r="FZ1295">
        <v>0.25</v>
      </c>
      <c r="GA1295" t="s">
        <v>424</v>
      </c>
      <c r="GB1295" t="s">
        <v>425</v>
      </c>
      <c r="GD1295">
        <v>22</v>
      </c>
      <c r="GE1295">
        <v>6924269</v>
      </c>
      <c r="GF1295" t="s">
        <v>13196</v>
      </c>
      <c r="GH1295" s="1">
        <v>41787</v>
      </c>
      <c r="GI1295">
        <v>2013</v>
      </c>
      <c r="GJ1295">
        <v>992.63</v>
      </c>
      <c r="GK1295" t="s">
        <v>13197</v>
      </c>
      <c r="GL1295">
        <v>0.25</v>
      </c>
      <c r="GM1295" t="s">
        <v>424</v>
      </c>
      <c r="GN1295" t="s">
        <v>425</v>
      </c>
      <c r="GO1295" s="1">
        <v>41873</v>
      </c>
      <c r="GP1295">
        <v>3</v>
      </c>
      <c r="GQ1295">
        <v>10125</v>
      </c>
      <c r="GR1295" t="s">
        <v>440</v>
      </c>
      <c r="GT1295" s="1">
        <v>41423</v>
      </c>
      <c r="GU1295">
        <v>2012</v>
      </c>
      <c r="GV1295">
        <v>1004.77</v>
      </c>
      <c r="GW1295" t="s">
        <v>13198</v>
      </c>
      <c r="GX1295">
        <v>0.25</v>
      </c>
      <c r="GY1295" t="s">
        <v>424</v>
      </c>
      <c r="GZ1295" t="s">
        <v>425</v>
      </c>
      <c r="HA1295" s="1">
        <v>41556</v>
      </c>
      <c r="HB1295">
        <v>5</v>
      </c>
      <c r="HC1295">
        <v>1625515</v>
      </c>
      <c r="HD1295" t="s">
        <v>487</v>
      </c>
      <c r="HF1295" s="1">
        <v>40688</v>
      </c>
      <c r="HG1295">
        <v>2010</v>
      </c>
      <c r="HH1295">
        <v>1561.39</v>
      </c>
      <c r="HI1295" t="s">
        <v>13199</v>
      </c>
      <c r="HJ1295">
        <v>6.25</v>
      </c>
      <c r="HK1295" t="s">
        <v>424</v>
      </c>
      <c r="HL1295" t="s">
        <v>425</v>
      </c>
      <c r="HM1295" s="1">
        <v>40968</v>
      </c>
      <c r="HN1295">
        <v>9</v>
      </c>
      <c r="HO1295">
        <v>10591</v>
      </c>
      <c r="HP1295" t="s">
        <v>4254</v>
      </c>
    </row>
    <row r="1296" spans="1:284" x14ac:dyDescent="0.25">
      <c r="A1296">
        <v>16486303</v>
      </c>
      <c r="B1296">
        <v>1295</v>
      </c>
      <c r="C1296" t="s">
        <v>393</v>
      </c>
      <c r="D1296" t="s">
        <v>394</v>
      </c>
      <c r="F1296" t="str">
        <f>"42-2N-27-4600-0007-0010"</f>
        <v>42-2N-27-4600-0007-0010</v>
      </c>
      <c r="H1296" t="str">
        <f>"MCCORMICK CHRISTOPHER W &amp; MCCORMICK CATHALEEN N (H&amp;W)"</f>
        <v>MCCORMICK CHRISTOPHER W &amp; MCCORMICK CATHALEEN N (H&amp;W)</v>
      </c>
      <c r="I1296" t="str">
        <f>"86071 DORSEY LANE"</f>
        <v>86071 DORSEY LANE</v>
      </c>
      <c r="J1296" t="str">
        <f>"YULEE FL 32097"</f>
        <v>YULEE FL 32097</v>
      </c>
      <c r="K1296" t="str">
        <f>"86071 DORSEY LN"</f>
        <v>86071 DORSEY LN</v>
      </c>
      <c r="L1296" t="str">
        <f t="shared" si="430"/>
        <v>YULEE FL 32097</v>
      </c>
      <c r="M1296" t="str">
        <f>"PT OF LOT 7 IN OR 1514/1306 YULEE FARMS UNIT 4 PBK 3/32 {R498126 &amp; R498127}"</f>
        <v>PT OF LOT 7 IN OR 1514/1306 YULEE FARMS UNIT 4 PBK 3/32 {R498126 &amp; R498127}</v>
      </c>
      <c r="N1296" t="str">
        <f>""</f>
        <v/>
      </c>
      <c r="O1296" t="str">
        <f>"48534"</f>
        <v>48534</v>
      </c>
      <c r="P1296" t="str">
        <f t="shared" si="433"/>
        <v>2017</v>
      </c>
      <c r="Q1296" t="str">
        <f>""</f>
        <v/>
      </c>
      <c r="R1296" t="str">
        <f t="shared" si="438"/>
        <v>N</v>
      </c>
      <c r="S1296" t="str">
        <f>"1.07"</f>
        <v>1.07</v>
      </c>
      <c r="T1296" t="str">
        <f>"865.50"</f>
        <v>865.50</v>
      </c>
      <c r="U1296" t="str">
        <f>"54397.00"</f>
        <v>54397.00</v>
      </c>
      <c r="V1296" t="str">
        <f>"54397.00"</f>
        <v>54397.00</v>
      </c>
      <c r="W1296" t="str">
        <f t="shared" si="434"/>
        <v>2017</v>
      </c>
      <c r="X1296" t="str">
        <f>"21.20"</f>
        <v>21.20</v>
      </c>
      <c r="Y1296" t="str">
        <f>"923.47"</f>
        <v>923.47</v>
      </c>
      <c r="Z1296" t="str">
        <f>""</f>
        <v/>
      </c>
      <c r="AA1296" t="str">
        <f>"60760.00"</f>
        <v>60760.00</v>
      </c>
      <c r="AB1296" t="str">
        <f t="shared" si="439"/>
        <v>Residential</v>
      </c>
      <c r="AC1296" t="str">
        <f t="shared" si="422"/>
        <v>0</v>
      </c>
      <c r="AD1296" t="str">
        <f>"4"</f>
        <v>4</v>
      </c>
      <c r="AE1296" t="str">
        <f>"WOOD (INCLUDE STEEL STUDS)"</f>
        <v>WOOD (INCLUDE STEEL STUDS)</v>
      </c>
      <c r="AF1296" t="str">
        <f t="shared" ref="AF1296:AF1302" si="440">"002"</f>
        <v>002</v>
      </c>
      <c r="AG1296" t="str">
        <f t="shared" si="437"/>
        <v>FL</v>
      </c>
      <c r="AH1296" t="str">
        <f>"46609.00"</f>
        <v>46609.00</v>
      </c>
      <c r="AI1296" t="str">
        <f>"26750.00"</f>
        <v>26750.00</v>
      </c>
      <c r="AJ1296" t="str">
        <f>"C55-000-588-2119-0"</f>
        <v>C55-000-588-2119-0</v>
      </c>
      <c r="AK1296" t="str">
        <f>"22190"</f>
        <v>22190</v>
      </c>
      <c r="AL1296">
        <v>5</v>
      </c>
      <c r="AM1296">
        <v>1475</v>
      </c>
      <c r="AN1296">
        <v>968.04</v>
      </c>
      <c r="AQ1296" t="s">
        <v>13200</v>
      </c>
      <c r="AR1296" t="s">
        <v>13200</v>
      </c>
      <c r="AS1296" t="s">
        <v>13200</v>
      </c>
      <c r="AU1296" t="s">
        <v>396</v>
      </c>
      <c r="AV1296">
        <v>2017</v>
      </c>
      <c r="AW1296" t="str">
        <f>"42-2N-27-4600-0007-0010 "</f>
        <v xml:space="preserve">42-2N-27-4600-0007-0010 </v>
      </c>
      <c r="AX1296">
        <v>86071</v>
      </c>
      <c r="AZ1296" t="s">
        <v>13201</v>
      </c>
      <c r="BA1296" t="s">
        <v>653</v>
      </c>
      <c r="BD1296" t="s">
        <v>2387</v>
      </c>
      <c r="BE1296" t="s">
        <v>393</v>
      </c>
      <c r="BF1296">
        <v>32097</v>
      </c>
      <c r="BG1296" t="s">
        <v>13202</v>
      </c>
      <c r="BH1296" t="s">
        <v>2388</v>
      </c>
      <c r="BI1296">
        <v>-81.596157499263299</v>
      </c>
      <c r="BJ1296">
        <v>30.609001602269998</v>
      </c>
      <c r="BK1296" t="s">
        <v>13203</v>
      </c>
      <c r="BL1296" t="s">
        <v>13204</v>
      </c>
      <c r="BM1296" t="s">
        <v>13202</v>
      </c>
      <c r="BN1296" t="s">
        <v>1778</v>
      </c>
      <c r="BO1296">
        <v>32097</v>
      </c>
      <c r="BP1296" t="s">
        <v>404</v>
      </c>
      <c r="BQ1296">
        <v>200</v>
      </c>
      <c r="BR1296" t="s">
        <v>405</v>
      </c>
      <c r="BS1296">
        <v>1006</v>
      </c>
      <c r="BT1296" t="s">
        <v>406</v>
      </c>
      <c r="BW1296">
        <v>46609</v>
      </c>
      <c r="BX1296" t="s">
        <v>407</v>
      </c>
      <c r="BY1296" t="s">
        <v>7351</v>
      </c>
      <c r="BZ1296">
        <v>4</v>
      </c>
      <c r="CA1296">
        <v>1987</v>
      </c>
      <c r="CB1296">
        <v>1</v>
      </c>
      <c r="CC1296">
        <v>1</v>
      </c>
      <c r="CD1296">
        <v>2017</v>
      </c>
      <c r="CE1296">
        <v>26750</v>
      </c>
      <c r="CF1296">
        <v>34010</v>
      </c>
      <c r="CG1296">
        <v>60760</v>
      </c>
      <c r="CH1296">
        <v>2017</v>
      </c>
      <c r="CI1296">
        <v>26750</v>
      </c>
      <c r="CJ1296">
        <v>34010</v>
      </c>
      <c r="CK1296">
        <v>60760</v>
      </c>
      <c r="CL1296">
        <v>2017</v>
      </c>
      <c r="CM1296">
        <v>865.5</v>
      </c>
      <c r="CN1296" s="1">
        <v>39287</v>
      </c>
      <c r="CZ1296" s="1">
        <v>39287</v>
      </c>
      <c r="DD1296" t="s">
        <v>2387</v>
      </c>
      <c r="DF1296">
        <v>7</v>
      </c>
      <c r="DG1296">
        <v>42</v>
      </c>
      <c r="DI1296">
        <v>4</v>
      </c>
      <c r="DJ1296" t="s">
        <v>13180</v>
      </c>
      <c r="DL1296">
        <v>50302</v>
      </c>
      <c r="DM1296" t="s">
        <v>12468</v>
      </c>
      <c r="DO1296" t="s">
        <v>13205</v>
      </c>
      <c r="DP1296">
        <v>0</v>
      </c>
      <c r="DQ1296">
        <v>0</v>
      </c>
      <c r="DR1296" t="s">
        <v>411</v>
      </c>
      <c r="DS1296" t="b">
        <v>1</v>
      </c>
      <c r="DT1296" t="s">
        <v>470</v>
      </c>
      <c r="DU1296" t="s">
        <v>471</v>
      </c>
      <c r="DV1296" t="s">
        <v>472</v>
      </c>
      <c r="DX1296">
        <v>-9999</v>
      </c>
      <c r="DZ1296" t="s">
        <v>447</v>
      </c>
      <c r="EA1296" t="s">
        <v>448</v>
      </c>
      <c r="EB1296" t="s">
        <v>742</v>
      </c>
      <c r="EC1296">
        <v>20101217</v>
      </c>
      <c r="ED1296" t="s">
        <v>474</v>
      </c>
      <c r="EF1296">
        <v>3297.8</v>
      </c>
      <c r="EG1296">
        <v>3297.8</v>
      </c>
      <c r="EI1296">
        <v>20160407</v>
      </c>
      <c r="EJ1296">
        <v>0</v>
      </c>
      <c r="EK1296">
        <v>0</v>
      </c>
      <c r="EP1296" t="s">
        <v>421</v>
      </c>
      <c r="EQ1296" t="s">
        <v>422</v>
      </c>
      <c r="ER1296">
        <v>2</v>
      </c>
      <c r="ES1296">
        <v>8</v>
      </c>
      <c r="ET1296">
        <v>1698.12</v>
      </c>
      <c r="EU1296">
        <v>97.41</v>
      </c>
      <c r="EV1296">
        <v>1795.53</v>
      </c>
      <c r="EW1296" s="2">
        <v>43222</v>
      </c>
      <c r="EX1296" s="1">
        <v>42879</v>
      </c>
      <c r="EY1296">
        <v>2016</v>
      </c>
      <c r="EZ1296">
        <v>849.06</v>
      </c>
      <c r="FA1296" t="s">
        <v>13206</v>
      </c>
      <c r="FB1296">
        <v>0.25</v>
      </c>
      <c r="FC1296" t="s">
        <v>424</v>
      </c>
      <c r="FD1296" t="s">
        <v>454</v>
      </c>
      <c r="FF1296">
        <v>12</v>
      </c>
      <c r="FG1296">
        <v>7400234</v>
      </c>
      <c r="FH1296" t="s">
        <v>426</v>
      </c>
      <c r="FJ1296" s="1">
        <v>42879</v>
      </c>
      <c r="FK1296">
        <v>2016</v>
      </c>
      <c r="FL1296">
        <v>849.06</v>
      </c>
      <c r="FM1296" t="s">
        <v>13206</v>
      </c>
      <c r="FN1296">
        <v>0.25</v>
      </c>
      <c r="FO1296" t="s">
        <v>424</v>
      </c>
      <c r="FP1296" t="s">
        <v>454</v>
      </c>
      <c r="FR1296">
        <v>12</v>
      </c>
      <c r="FS1296">
        <v>7482154</v>
      </c>
      <c r="FT1296" t="s">
        <v>13207</v>
      </c>
      <c r="FV1296" s="1">
        <v>42515</v>
      </c>
      <c r="FW1296">
        <v>2015</v>
      </c>
      <c r="FX1296">
        <v>963.15</v>
      </c>
      <c r="FY1296" t="s">
        <v>13208</v>
      </c>
      <c r="FZ1296">
        <v>0.25</v>
      </c>
      <c r="GA1296" t="s">
        <v>424</v>
      </c>
      <c r="GB1296" t="s">
        <v>425</v>
      </c>
      <c r="GC1296" s="1">
        <v>43153</v>
      </c>
      <c r="GD1296">
        <v>21</v>
      </c>
      <c r="GE1296">
        <v>11289</v>
      </c>
      <c r="GF1296" t="s">
        <v>787</v>
      </c>
      <c r="GH1296" s="1">
        <v>42515</v>
      </c>
      <c r="GI1296">
        <v>2015</v>
      </c>
      <c r="GJ1296">
        <v>963.15</v>
      </c>
      <c r="GK1296" t="s">
        <v>13208</v>
      </c>
      <c r="GL1296">
        <v>0.25</v>
      </c>
      <c r="GM1296" t="s">
        <v>424</v>
      </c>
      <c r="GN1296" t="s">
        <v>425</v>
      </c>
      <c r="GP1296">
        <v>22</v>
      </c>
      <c r="GQ1296">
        <v>7135080</v>
      </c>
      <c r="GR1296" t="s">
        <v>13209</v>
      </c>
      <c r="GT1296" s="1">
        <v>42151</v>
      </c>
      <c r="GU1296">
        <v>2014</v>
      </c>
      <c r="GV1296">
        <v>848.48</v>
      </c>
      <c r="GW1296" t="s">
        <v>13210</v>
      </c>
      <c r="GX1296">
        <v>0.25</v>
      </c>
      <c r="GY1296" t="s">
        <v>424</v>
      </c>
      <c r="GZ1296" t="s">
        <v>425</v>
      </c>
      <c r="HA1296" s="1">
        <v>42788</v>
      </c>
      <c r="HB1296">
        <v>21</v>
      </c>
      <c r="HC1296">
        <v>4975594</v>
      </c>
      <c r="HD1296" t="s">
        <v>457</v>
      </c>
      <c r="HF1296" s="1">
        <v>42151</v>
      </c>
      <c r="HG1296">
        <v>2014</v>
      </c>
      <c r="HH1296">
        <v>848.48</v>
      </c>
      <c r="HI1296" t="s">
        <v>13210</v>
      </c>
      <c r="HJ1296">
        <v>0.25</v>
      </c>
      <c r="HK1296" t="s">
        <v>424</v>
      </c>
      <c r="HL1296" t="s">
        <v>425</v>
      </c>
      <c r="HN1296">
        <v>22</v>
      </c>
      <c r="HO1296">
        <v>6369543</v>
      </c>
      <c r="HP1296" t="s">
        <v>13211</v>
      </c>
      <c r="HR1296" s="1">
        <v>41787</v>
      </c>
      <c r="HS1296">
        <v>2013</v>
      </c>
      <c r="HT1296">
        <v>1051.08</v>
      </c>
      <c r="HU1296" t="s">
        <v>13212</v>
      </c>
      <c r="HV1296">
        <v>0.25</v>
      </c>
      <c r="HW1296" t="s">
        <v>424</v>
      </c>
      <c r="HX1296" t="s">
        <v>425</v>
      </c>
      <c r="HY1296" s="1">
        <v>42424</v>
      </c>
      <c r="HZ1296">
        <v>21</v>
      </c>
      <c r="IA1296">
        <v>2407503</v>
      </c>
      <c r="IB1296" t="s">
        <v>461</v>
      </c>
      <c r="ID1296" s="1">
        <v>41423</v>
      </c>
      <c r="IE1296">
        <v>2012</v>
      </c>
      <c r="IF1296">
        <v>1078.4100000000001</v>
      </c>
      <c r="IG1296" t="s">
        <v>13213</v>
      </c>
      <c r="IH1296">
        <v>0.25</v>
      </c>
      <c r="II1296" t="s">
        <v>424</v>
      </c>
      <c r="IJ1296" t="s">
        <v>425</v>
      </c>
      <c r="IK1296" s="1">
        <v>42058</v>
      </c>
      <c r="IL1296">
        <v>21</v>
      </c>
      <c r="IM1296">
        <v>606981</v>
      </c>
      <c r="IN1296" t="s">
        <v>792</v>
      </c>
      <c r="IP1296" s="1">
        <v>41052</v>
      </c>
      <c r="IQ1296">
        <v>2011</v>
      </c>
      <c r="IR1296">
        <v>1268.56</v>
      </c>
      <c r="IS1296" t="s">
        <v>13214</v>
      </c>
      <c r="IT1296">
        <v>5</v>
      </c>
      <c r="IU1296" t="s">
        <v>424</v>
      </c>
      <c r="IV1296" t="s">
        <v>425</v>
      </c>
      <c r="IW1296" s="1">
        <v>41695</v>
      </c>
      <c r="IX1296">
        <v>21</v>
      </c>
      <c r="IY1296">
        <v>62</v>
      </c>
      <c r="IZ1296" t="s">
        <v>463</v>
      </c>
      <c r="JB1296" s="1">
        <v>40688</v>
      </c>
      <c r="JC1296">
        <v>2010</v>
      </c>
      <c r="JD1296">
        <v>1424.43</v>
      </c>
      <c r="JE1296" t="s">
        <v>13215</v>
      </c>
      <c r="JF1296">
        <v>6.5</v>
      </c>
      <c r="JG1296" t="s">
        <v>424</v>
      </c>
      <c r="JH1296" t="s">
        <v>425</v>
      </c>
      <c r="JI1296" s="1">
        <v>41334</v>
      </c>
      <c r="JJ1296">
        <v>22</v>
      </c>
      <c r="JK1296">
        <v>62</v>
      </c>
      <c r="JL1296" t="s">
        <v>463</v>
      </c>
    </row>
    <row r="1297" spans="1:296" x14ac:dyDescent="0.25">
      <c r="A1297">
        <v>16486304</v>
      </c>
      <c r="B1297">
        <v>1296</v>
      </c>
      <c r="C1297" t="s">
        <v>393</v>
      </c>
      <c r="D1297" t="s">
        <v>394</v>
      </c>
      <c r="F1297" t="str">
        <f>"42-2N-27-4610-0016-0000"</f>
        <v>42-2N-27-4610-0016-0000</v>
      </c>
      <c r="H1297" t="str">
        <f>"CHANCEY DANIEL B SR"</f>
        <v>CHANCEY DANIEL B SR</v>
      </c>
      <c r="I1297" t="str">
        <f>"85528 HADDOCK ROAD"</f>
        <v>85528 HADDOCK ROAD</v>
      </c>
      <c r="J1297" t="str">
        <f>"YULEE FL 32097"</f>
        <v>YULEE FL 32097</v>
      </c>
      <c r="K1297" t="str">
        <f>"85535 HADDOCK RD"</f>
        <v>85535 HADDOCK RD</v>
      </c>
      <c r="L1297" t="str">
        <f t="shared" si="430"/>
        <v>YULEE FL 32097</v>
      </c>
      <c r="M1297" t="str">
        <f>"LOT 16 IN OR 2130/1130 R224183 &amp; R224184 YULEE WOODS PB 5/56"</f>
        <v>LOT 16 IN OR 2130/1130 R224183 &amp; R224184 YULEE WOODS PB 5/56</v>
      </c>
      <c r="N1297" t="str">
        <f>""</f>
        <v/>
      </c>
      <c r="O1297" t="str">
        <f>"48570"</f>
        <v>48570</v>
      </c>
      <c r="P1297" t="str">
        <f t="shared" si="433"/>
        <v>2017</v>
      </c>
      <c r="Q1297" t="str">
        <f>""</f>
        <v/>
      </c>
      <c r="R1297" t="str">
        <f t="shared" si="438"/>
        <v>N</v>
      </c>
      <c r="S1297" t="str">
        <f>""</f>
        <v/>
      </c>
      <c r="T1297" t="str">
        <f>"898.07"</f>
        <v>898.07</v>
      </c>
      <c r="U1297" t="str">
        <f>"56829.00"</f>
        <v>56829.00</v>
      </c>
      <c r="V1297" t="str">
        <f>"56829.00"</f>
        <v>56829.00</v>
      </c>
      <c r="W1297" t="str">
        <f t="shared" si="434"/>
        <v>2017</v>
      </c>
      <c r="X1297" t="str">
        <f>""</f>
        <v/>
      </c>
      <c r="Y1297" t="str">
        <f>"957.01"</f>
        <v>957.01</v>
      </c>
      <c r="Z1297" t="str">
        <f>""</f>
        <v/>
      </c>
      <c r="AA1297" t="str">
        <f>"62550.00"</f>
        <v>62550.00</v>
      </c>
      <c r="AB1297" t="str">
        <f t="shared" si="439"/>
        <v>Residential</v>
      </c>
      <c r="AC1297" t="str">
        <f t="shared" si="422"/>
        <v>0</v>
      </c>
      <c r="AD1297" t="str">
        <f>"4"</f>
        <v>4</v>
      </c>
      <c r="AE1297" t="str">
        <f>"WOOD (INCLUDE STEEL STUDS)"</f>
        <v>WOOD (INCLUDE STEEL STUDS)</v>
      </c>
      <c r="AF1297" t="str">
        <f t="shared" si="440"/>
        <v>002</v>
      </c>
      <c r="AG1297" t="str">
        <f t="shared" si="437"/>
        <v>FL</v>
      </c>
      <c r="AH1297" t="str">
        <f>"43650.00"</f>
        <v>43650.00</v>
      </c>
      <c r="AI1297" t="str">
        <f t="shared" ref="AI1297:AI1333" si="441">"28000.00"</f>
        <v>28000.00</v>
      </c>
      <c r="AJ1297" t="str">
        <f>"C55-000-588-2153-9"</f>
        <v>C55-000-588-2153-9</v>
      </c>
      <c r="AK1297" t="str">
        <f>"22245"</f>
        <v>22245</v>
      </c>
      <c r="AL1297">
        <v>5</v>
      </c>
      <c r="AM1297">
        <v>1479</v>
      </c>
      <c r="AN1297">
        <v>1003.26</v>
      </c>
      <c r="AQ1297" t="s">
        <v>13216</v>
      </c>
      <c r="AR1297" t="s">
        <v>13216</v>
      </c>
      <c r="AS1297" t="s">
        <v>13216</v>
      </c>
      <c r="AU1297" t="s">
        <v>396</v>
      </c>
      <c r="AV1297">
        <v>2017</v>
      </c>
      <c r="AW1297" t="str">
        <f>"42-2N-27-4610-0016-0000 "</f>
        <v xml:space="preserve">42-2N-27-4610-0016-0000 </v>
      </c>
      <c r="AX1297">
        <v>85535</v>
      </c>
      <c r="AZ1297" t="s">
        <v>10626</v>
      </c>
      <c r="BA1297" t="s">
        <v>496</v>
      </c>
      <c r="BD1297" t="s">
        <v>2387</v>
      </c>
      <c r="BE1297" t="s">
        <v>393</v>
      </c>
      <c r="BF1297">
        <v>32097</v>
      </c>
      <c r="BG1297" t="s">
        <v>13217</v>
      </c>
      <c r="BH1297" t="s">
        <v>2388</v>
      </c>
      <c r="BI1297">
        <v>-81.578787451689394</v>
      </c>
      <c r="BJ1297">
        <v>30.595078999443398</v>
      </c>
      <c r="BK1297" t="s">
        <v>13218</v>
      </c>
      <c r="BM1297" t="s">
        <v>13219</v>
      </c>
      <c r="BN1297" t="s">
        <v>1778</v>
      </c>
      <c r="BO1297">
        <v>32097</v>
      </c>
      <c r="BP1297" t="s">
        <v>404</v>
      </c>
      <c r="BQ1297">
        <v>200</v>
      </c>
      <c r="BR1297" t="s">
        <v>405</v>
      </c>
      <c r="BS1297">
        <v>1006</v>
      </c>
      <c r="BT1297" t="s">
        <v>406</v>
      </c>
      <c r="BW1297">
        <v>44217</v>
      </c>
      <c r="BX1297" t="s">
        <v>407</v>
      </c>
      <c r="BY1297" t="s">
        <v>408</v>
      </c>
      <c r="BZ1297">
        <v>4</v>
      </c>
      <c r="CA1297">
        <v>1985</v>
      </c>
      <c r="CB1297">
        <v>1</v>
      </c>
      <c r="CC1297">
        <v>2</v>
      </c>
      <c r="CD1297">
        <v>2017</v>
      </c>
      <c r="CE1297">
        <v>28000</v>
      </c>
      <c r="CF1297">
        <v>34550</v>
      </c>
      <c r="CG1297">
        <v>62550</v>
      </c>
      <c r="CH1297">
        <v>2017</v>
      </c>
      <c r="CI1297">
        <v>28000</v>
      </c>
      <c r="CJ1297">
        <v>34550</v>
      </c>
      <c r="CK1297">
        <v>62550</v>
      </c>
      <c r="CL1297">
        <v>2017</v>
      </c>
      <c r="CM1297">
        <v>898.07</v>
      </c>
      <c r="CN1297" s="1">
        <v>42916</v>
      </c>
      <c r="CO1297">
        <v>50000</v>
      </c>
      <c r="CV1297">
        <v>0</v>
      </c>
      <c r="CZ1297" s="1">
        <v>42916</v>
      </c>
      <c r="DA1297">
        <v>0</v>
      </c>
      <c r="DD1297" t="s">
        <v>2387</v>
      </c>
      <c r="DF1297">
        <v>16</v>
      </c>
      <c r="DG1297">
        <v>42</v>
      </c>
      <c r="DL1297">
        <v>50302</v>
      </c>
      <c r="DM1297" t="s">
        <v>12468</v>
      </c>
      <c r="DO1297" t="s">
        <v>13220</v>
      </c>
      <c r="DP1297">
        <v>0</v>
      </c>
      <c r="DQ1297">
        <v>0</v>
      </c>
      <c r="DR1297" t="s">
        <v>411</v>
      </c>
    </row>
    <row r="1298" spans="1:296" x14ac:dyDescent="0.25">
      <c r="A1298">
        <v>16486305</v>
      </c>
      <c r="B1298">
        <v>1297</v>
      </c>
      <c r="C1298" t="s">
        <v>393</v>
      </c>
      <c r="D1298" t="s">
        <v>394</v>
      </c>
      <c r="F1298" t="str">
        <f>"42-2N-27-4612-0002-0170"</f>
        <v>42-2N-27-4612-0002-0170</v>
      </c>
      <c r="H1298" t="str">
        <f>"YARBROUGH JAMES C"</f>
        <v>YARBROUGH JAMES C</v>
      </c>
      <c r="I1298" t="str">
        <f>"85134 THERESA RD"</f>
        <v>85134 THERESA RD</v>
      </c>
      <c r="J1298" t="str">
        <f>"YULEE FL 32097"</f>
        <v>YULEE FL 32097</v>
      </c>
      <c r="K1298" t="str">
        <f>"85134 THERESA RD"</f>
        <v>85134 THERESA RD</v>
      </c>
      <c r="L1298" t="str">
        <f t="shared" si="430"/>
        <v>YULEE FL 32097</v>
      </c>
      <c r="M1298" t="str">
        <f>"BLOCK 2 LOT 17 IN OR 1170/1744 H54657G YULEE WOODS 2 PB 5/83 &amp; 84"</f>
        <v>BLOCK 2 LOT 17 IN OR 1170/1744 H54657G YULEE WOODS 2 PB 5/83 &amp; 84</v>
      </c>
      <c r="N1298" t="str">
        <f>""</f>
        <v/>
      </c>
      <c r="O1298" t="str">
        <f>"48609"</f>
        <v>48609</v>
      </c>
      <c r="P1298" t="str">
        <f t="shared" si="433"/>
        <v>2017</v>
      </c>
      <c r="Q1298" t="str">
        <f>""</f>
        <v/>
      </c>
      <c r="R1298" t="str">
        <f>"Y"</f>
        <v>Y</v>
      </c>
      <c r="S1298" t="str">
        <f>""</f>
        <v/>
      </c>
      <c r="T1298" t="str">
        <f>"250.25"</f>
        <v>250.25</v>
      </c>
      <c r="U1298" t="str">
        <f>"41530.00"</f>
        <v>41530.00</v>
      </c>
      <c r="V1298" t="str">
        <f>"41530.00"</f>
        <v>41530.00</v>
      </c>
      <c r="W1298" t="str">
        <f t="shared" si="434"/>
        <v>2017</v>
      </c>
      <c r="X1298" t="str">
        <f>"15.91"</f>
        <v>15.91</v>
      </c>
      <c r="Y1298" t="str">
        <f>"289.76"</f>
        <v>289.76</v>
      </c>
      <c r="Z1298" t="str">
        <f>"25000.00"</f>
        <v>25000.00</v>
      </c>
      <c r="AA1298" t="str">
        <f>"16530.00"</f>
        <v>16530.00</v>
      </c>
      <c r="AB1298" t="str">
        <f t="shared" si="439"/>
        <v>Residential</v>
      </c>
      <c r="AC1298" t="str">
        <f t="shared" si="422"/>
        <v>0</v>
      </c>
      <c r="AD1298" t="str">
        <f>"4"</f>
        <v>4</v>
      </c>
      <c r="AE1298" t="str">
        <f>"WOOD (INCLUDE STEEL STUDS)"</f>
        <v>WOOD (INCLUDE STEEL STUDS)</v>
      </c>
      <c r="AF1298" t="str">
        <f t="shared" si="440"/>
        <v>002</v>
      </c>
      <c r="AG1298" t="str">
        <f t="shared" si="437"/>
        <v>FL</v>
      </c>
      <c r="AH1298" t="str">
        <f>"-"</f>
        <v>-</v>
      </c>
      <c r="AI1298" t="str">
        <f t="shared" si="441"/>
        <v>28000.00</v>
      </c>
      <c r="AJ1298" t="str">
        <f>"C55-000-588-2190-1"</f>
        <v>C55-000-588-2190-1</v>
      </c>
      <c r="AK1298" t="str">
        <f>"22283"</f>
        <v>22283</v>
      </c>
      <c r="AL1298">
        <v>5</v>
      </c>
      <c r="AM1298">
        <v>1480</v>
      </c>
      <c r="AN1298">
        <v>302.64999999999998</v>
      </c>
      <c r="AQ1298" t="s">
        <v>13221</v>
      </c>
      <c r="AR1298" t="s">
        <v>13221</v>
      </c>
      <c r="AS1298" t="s">
        <v>13221</v>
      </c>
      <c r="AU1298" t="s">
        <v>396</v>
      </c>
      <c r="AV1298">
        <v>2017</v>
      </c>
      <c r="AW1298" t="str">
        <f>"42-2N-27-4612-0002-0170 "</f>
        <v xml:space="preserve">42-2N-27-4612-0002-0170 </v>
      </c>
      <c r="AX1298">
        <v>85134</v>
      </c>
      <c r="AZ1298" t="s">
        <v>13222</v>
      </c>
      <c r="BA1298" t="s">
        <v>496</v>
      </c>
      <c r="BD1298" t="s">
        <v>2387</v>
      </c>
      <c r="BE1298" t="s">
        <v>393</v>
      </c>
      <c r="BF1298">
        <v>32097</v>
      </c>
      <c r="BG1298" t="s">
        <v>13223</v>
      </c>
      <c r="BH1298" t="s">
        <v>2388</v>
      </c>
      <c r="BI1298">
        <v>-81.582827521909905</v>
      </c>
      <c r="BJ1298">
        <v>30.595765161168199</v>
      </c>
      <c r="BK1298" t="s">
        <v>13224</v>
      </c>
      <c r="BM1298" t="s">
        <v>13223</v>
      </c>
      <c r="BN1298" t="s">
        <v>1778</v>
      </c>
      <c r="BO1298">
        <v>32097</v>
      </c>
      <c r="BP1298" t="s">
        <v>416</v>
      </c>
      <c r="BQ1298">
        <v>200</v>
      </c>
      <c r="BR1298" t="s">
        <v>405</v>
      </c>
      <c r="BS1298">
        <v>1006</v>
      </c>
      <c r="BT1298" t="s">
        <v>406</v>
      </c>
      <c r="BW1298">
        <v>43650</v>
      </c>
      <c r="BX1298" t="s">
        <v>407</v>
      </c>
      <c r="BY1298" t="s">
        <v>408</v>
      </c>
      <c r="BZ1298">
        <v>4</v>
      </c>
      <c r="CA1298">
        <v>1987</v>
      </c>
      <c r="CB1298">
        <v>1</v>
      </c>
      <c r="CC1298">
        <v>1</v>
      </c>
      <c r="CD1298">
        <v>2017</v>
      </c>
      <c r="CG1298">
        <v>41530</v>
      </c>
      <c r="CH1298">
        <v>2017</v>
      </c>
      <c r="CI1298">
        <v>28000</v>
      </c>
      <c r="CJ1298">
        <v>26386</v>
      </c>
      <c r="CK1298">
        <v>54386</v>
      </c>
      <c r="CL1298">
        <v>2017</v>
      </c>
      <c r="CM1298">
        <v>250.25</v>
      </c>
      <c r="CN1298" s="1">
        <v>37876</v>
      </c>
      <c r="CO1298">
        <v>40000</v>
      </c>
      <c r="CV1298">
        <v>0</v>
      </c>
      <c r="CZ1298" s="1">
        <v>37876</v>
      </c>
      <c r="DA1298">
        <v>0</v>
      </c>
      <c r="DD1298" t="s">
        <v>2387</v>
      </c>
      <c r="DG1298">
        <v>42</v>
      </c>
      <c r="DJ1298" t="s">
        <v>13225</v>
      </c>
      <c r="DL1298">
        <v>50302</v>
      </c>
      <c r="DM1298" t="s">
        <v>12468</v>
      </c>
      <c r="DO1298" t="s">
        <v>13226</v>
      </c>
      <c r="DP1298">
        <v>0</v>
      </c>
      <c r="DQ1298">
        <v>0</v>
      </c>
      <c r="DR1298" t="s">
        <v>411</v>
      </c>
      <c r="EP1298" t="s">
        <v>595</v>
      </c>
      <c r="EQ1298" t="s">
        <v>422</v>
      </c>
      <c r="ER1298">
        <v>0</v>
      </c>
      <c r="ES1298">
        <v>7</v>
      </c>
      <c r="ET1298">
        <v>0</v>
      </c>
      <c r="EU1298">
        <v>0</v>
      </c>
      <c r="EV1298">
        <v>0</v>
      </c>
      <c r="EW1298" s="2">
        <v>43222</v>
      </c>
      <c r="EX1298" s="1">
        <v>42879</v>
      </c>
      <c r="EY1298">
        <v>2016</v>
      </c>
      <c r="EZ1298">
        <v>64.92</v>
      </c>
      <c r="FA1298" t="s">
        <v>13227</v>
      </c>
      <c r="FB1298">
        <v>18</v>
      </c>
      <c r="FC1298" t="s">
        <v>603</v>
      </c>
      <c r="FD1298" t="s">
        <v>425</v>
      </c>
      <c r="FE1298" s="1">
        <v>42915</v>
      </c>
      <c r="FF1298">
        <v>1</v>
      </c>
      <c r="FG1298">
        <v>9999999</v>
      </c>
      <c r="FH1298" t="s">
        <v>604</v>
      </c>
      <c r="FJ1298" s="1">
        <v>42515</v>
      </c>
      <c r="FK1298">
        <v>2015</v>
      </c>
      <c r="FL1298">
        <v>57.62</v>
      </c>
      <c r="FM1298" t="s">
        <v>13228</v>
      </c>
      <c r="FN1298">
        <v>18</v>
      </c>
      <c r="FO1298" t="s">
        <v>603</v>
      </c>
      <c r="FP1298" t="s">
        <v>425</v>
      </c>
      <c r="FQ1298" s="1">
        <v>42915</v>
      </c>
      <c r="FR1298">
        <v>13</v>
      </c>
      <c r="FS1298">
        <v>9999999</v>
      </c>
      <c r="FT1298" t="s">
        <v>604</v>
      </c>
      <c r="FV1298" s="1">
        <v>42151</v>
      </c>
      <c r="FW1298">
        <v>2014</v>
      </c>
      <c r="FX1298">
        <v>54.11</v>
      </c>
      <c r="FY1298" t="s">
        <v>13229</v>
      </c>
      <c r="FZ1298">
        <v>18</v>
      </c>
      <c r="GA1298" t="s">
        <v>603</v>
      </c>
      <c r="GB1298" t="s">
        <v>425</v>
      </c>
      <c r="GC1298" s="1">
        <v>42583</v>
      </c>
      <c r="GD1298">
        <v>15</v>
      </c>
      <c r="GE1298">
        <v>9999999</v>
      </c>
      <c r="GF1298" t="s">
        <v>604</v>
      </c>
      <c r="GH1298" s="1">
        <v>41787</v>
      </c>
      <c r="GI1298">
        <v>2013</v>
      </c>
      <c r="GJ1298">
        <v>159.97</v>
      </c>
      <c r="GK1298" t="s">
        <v>13230</v>
      </c>
      <c r="GL1298">
        <v>18</v>
      </c>
      <c r="GM1298" t="s">
        <v>603</v>
      </c>
      <c r="GN1298" t="s">
        <v>425</v>
      </c>
      <c r="GO1298" s="1">
        <v>41832</v>
      </c>
      <c r="GP1298">
        <v>2</v>
      </c>
      <c r="GQ1298">
        <v>9999999</v>
      </c>
      <c r="GR1298" t="s">
        <v>604</v>
      </c>
      <c r="GT1298" s="1">
        <v>41423</v>
      </c>
      <c r="GU1298">
        <v>2012</v>
      </c>
      <c r="GV1298">
        <v>165.46</v>
      </c>
      <c r="GW1298" t="s">
        <v>13231</v>
      </c>
      <c r="GX1298">
        <v>18</v>
      </c>
      <c r="GY1298" t="s">
        <v>603</v>
      </c>
      <c r="GZ1298" t="s">
        <v>425</v>
      </c>
      <c r="HA1298" s="1">
        <v>41832</v>
      </c>
      <c r="HB1298">
        <v>14</v>
      </c>
      <c r="HC1298">
        <v>9999999</v>
      </c>
      <c r="HD1298" t="s">
        <v>604</v>
      </c>
      <c r="HF1298" s="1">
        <v>41052</v>
      </c>
      <c r="HG1298">
        <v>2011</v>
      </c>
      <c r="HH1298">
        <v>279.62</v>
      </c>
      <c r="HI1298" t="s">
        <v>13232</v>
      </c>
      <c r="HJ1298">
        <v>5.75</v>
      </c>
      <c r="HK1298" t="s">
        <v>424</v>
      </c>
      <c r="HL1298" t="s">
        <v>425</v>
      </c>
      <c r="HM1298" s="1">
        <v>41696</v>
      </c>
      <c r="HN1298">
        <v>21</v>
      </c>
      <c r="HO1298">
        <v>62</v>
      </c>
      <c r="HP1298" t="s">
        <v>463</v>
      </c>
      <c r="HR1298" s="1">
        <v>40688</v>
      </c>
      <c r="HS1298">
        <v>2010</v>
      </c>
      <c r="HT1298">
        <v>310.49</v>
      </c>
      <c r="HU1298" t="s">
        <v>13233</v>
      </c>
      <c r="HV1298">
        <v>6.75</v>
      </c>
      <c r="HW1298" t="s">
        <v>424</v>
      </c>
      <c r="HX1298" t="s">
        <v>425</v>
      </c>
      <c r="HY1298" s="1">
        <v>41360</v>
      </c>
      <c r="HZ1298">
        <v>22</v>
      </c>
      <c r="IA1298">
        <v>375</v>
      </c>
      <c r="IB1298" t="s">
        <v>776</v>
      </c>
    </row>
    <row r="1299" spans="1:296" x14ac:dyDescent="0.25">
      <c r="A1299">
        <v>16486306</v>
      </c>
      <c r="B1299">
        <v>1298</v>
      </c>
      <c r="C1299" t="s">
        <v>393</v>
      </c>
      <c r="D1299" t="s">
        <v>394</v>
      </c>
      <c r="F1299" t="str">
        <f>"42-2N-27-4612-0002-0230"</f>
        <v>42-2N-27-4612-0002-0230</v>
      </c>
      <c r="H1299" t="str">
        <f>"WILLIAMS JEREMIAH P &amp; CARRIE"</f>
        <v>WILLIAMS JEREMIAH P &amp; CARRIE</v>
      </c>
      <c r="I1299" t="str">
        <f>"85052 THERESA ROAD"</f>
        <v>85052 THERESA ROAD</v>
      </c>
      <c r="J1299" t="str">
        <f>"YULEE FL 32097"</f>
        <v>YULEE FL 32097</v>
      </c>
      <c r="K1299" t="str">
        <f>"85052 THERESA RD"</f>
        <v>85052 THERESA RD</v>
      </c>
      <c r="L1299" t="str">
        <f t="shared" si="430"/>
        <v>YULEE FL 32097</v>
      </c>
      <c r="M1299" t="str">
        <f>"BLOCK 2 LOT 23 IN OR 893/475 YULEE WOODS 2 PB 5/83 &amp; 84"</f>
        <v>BLOCK 2 LOT 23 IN OR 893/475 YULEE WOODS 2 PB 5/83 &amp; 84</v>
      </c>
      <c r="N1299" t="str">
        <f>""</f>
        <v/>
      </c>
      <c r="O1299" t="str">
        <f>"48615"</f>
        <v>48615</v>
      </c>
      <c r="P1299" t="str">
        <f t="shared" si="433"/>
        <v>2017</v>
      </c>
      <c r="Q1299" t="str">
        <f>""</f>
        <v/>
      </c>
      <c r="R1299" t="str">
        <f>"N"</f>
        <v>N</v>
      </c>
      <c r="S1299" t="str">
        <f>""</f>
        <v/>
      </c>
      <c r="T1299" t="str">
        <f>"564.69"</f>
        <v>564.69</v>
      </c>
      <c r="U1299" t="str">
        <f>"36945.00"</f>
        <v>36945.00</v>
      </c>
      <c r="V1299" t="str">
        <f>"36945.00"</f>
        <v>36945.00</v>
      </c>
      <c r="W1299" t="str">
        <f t="shared" si="434"/>
        <v>2017</v>
      </c>
      <c r="X1299" t="str">
        <f>"21.60"</f>
        <v>21.60</v>
      </c>
      <c r="Y1299" t="str">
        <f>"613.63"</f>
        <v>613.63</v>
      </c>
      <c r="Z1299" t="str">
        <f>""</f>
        <v/>
      </c>
      <c r="AA1299" t="str">
        <f>"37761.00"</f>
        <v>37761.00</v>
      </c>
      <c r="AB1299" t="str">
        <f t="shared" si="439"/>
        <v>Residential</v>
      </c>
      <c r="AC1299" t="str">
        <f t="shared" si="422"/>
        <v>0</v>
      </c>
      <c r="AD1299" t="str">
        <f>""</f>
        <v/>
      </c>
      <c r="AE1299" t="str">
        <f>""</f>
        <v/>
      </c>
      <c r="AF1299" t="str">
        <f t="shared" si="440"/>
        <v>002</v>
      </c>
      <c r="AG1299" t="str">
        <f t="shared" si="437"/>
        <v>FL</v>
      </c>
      <c r="AH1299" t="str">
        <f>"-"</f>
        <v>-</v>
      </c>
      <c r="AI1299" t="str">
        <f t="shared" si="441"/>
        <v>28000.00</v>
      </c>
      <c r="AJ1299" t="str">
        <f>"C55-000-588-2196-8"</f>
        <v>C55-000-588-2196-8</v>
      </c>
      <c r="AK1299" t="str">
        <f>"22289"</f>
        <v>22289</v>
      </c>
      <c r="AL1299">
        <v>5</v>
      </c>
      <c r="AM1299">
        <v>1481</v>
      </c>
      <c r="AN1299">
        <v>642.71</v>
      </c>
      <c r="AQ1299" t="s">
        <v>13234</v>
      </c>
      <c r="AR1299" t="s">
        <v>13234</v>
      </c>
      <c r="AS1299" t="s">
        <v>13234</v>
      </c>
      <c r="AU1299" t="s">
        <v>396</v>
      </c>
      <c r="AV1299">
        <v>2017</v>
      </c>
      <c r="AW1299" t="str">
        <f>"42-2N-27-4612-0002-0230 "</f>
        <v xml:space="preserve">42-2N-27-4612-0002-0230 </v>
      </c>
      <c r="AX1299">
        <v>85052</v>
      </c>
      <c r="AZ1299" t="s">
        <v>13222</v>
      </c>
      <c r="BA1299" t="s">
        <v>496</v>
      </c>
      <c r="BD1299" t="s">
        <v>2387</v>
      </c>
      <c r="BE1299" t="s">
        <v>393</v>
      </c>
      <c r="BF1299">
        <v>32097</v>
      </c>
      <c r="BG1299" t="s">
        <v>13235</v>
      </c>
      <c r="BH1299" t="s">
        <v>2388</v>
      </c>
      <c r="BI1299">
        <v>-81.585168130807105</v>
      </c>
      <c r="BJ1299">
        <v>30.594342806964399</v>
      </c>
      <c r="BK1299" t="s">
        <v>13236</v>
      </c>
      <c r="BL1299" t="s">
        <v>13237</v>
      </c>
      <c r="BM1299" t="s">
        <v>13235</v>
      </c>
      <c r="BN1299" t="s">
        <v>1778</v>
      </c>
      <c r="BO1299">
        <v>32097</v>
      </c>
      <c r="BP1299" t="s">
        <v>404</v>
      </c>
      <c r="BQ1299">
        <v>200</v>
      </c>
      <c r="BR1299" t="s">
        <v>405</v>
      </c>
      <c r="BS1299">
        <v>1006</v>
      </c>
      <c r="BT1299" t="s">
        <v>406</v>
      </c>
      <c r="BW1299">
        <v>43649</v>
      </c>
      <c r="BX1299" t="s">
        <v>407</v>
      </c>
      <c r="BY1299" t="s">
        <v>408</v>
      </c>
      <c r="CA1299">
        <v>1994</v>
      </c>
      <c r="CC1299">
        <v>1</v>
      </c>
      <c r="CD1299">
        <v>2017</v>
      </c>
      <c r="CE1299">
        <v>28000</v>
      </c>
      <c r="CF1299">
        <v>9761</v>
      </c>
      <c r="CG1299">
        <v>37761</v>
      </c>
      <c r="CH1299">
        <v>2017</v>
      </c>
      <c r="CI1299">
        <v>28000</v>
      </c>
      <c r="CJ1299">
        <v>9761</v>
      </c>
      <c r="CK1299">
        <v>37761</v>
      </c>
      <c r="CL1299">
        <v>2017</v>
      </c>
      <c r="CM1299">
        <v>564.69000000000005</v>
      </c>
      <c r="CN1299" s="1">
        <v>36371</v>
      </c>
      <c r="CO1299">
        <v>29000</v>
      </c>
      <c r="CZ1299" s="1">
        <v>36371</v>
      </c>
      <c r="DD1299" t="s">
        <v>2387</v>
      </c>
      <c r="DF1299">
        <v>23</v>
      </c>
      <c r="DG1299">
        <v>42</v>
      </c>
      <c r="DJ1299" t="s">
        <v>13225</v>
      </c>
      <c r="DL1299">
        <v>50302</v>
      </c>
      <c r="DM1299" t="s">
        <v>12468</v>
      </c>
      <c r="DO1299" t="s">
        <v>13238</v>
      </c>
      <c r="DP1299">
        <v>0</v>
      </c>
      <c r="DQ1299">
        <v>0</v>
      </c>
      <c r="DR1299" t="s">
        <v>411</v>
      </c>
      <c r="DS1299" t="b">
        <v>1</v>
      </c>
      <c r="DT1299" t="s">
        <v>470</v>
      </c>
      <c r="DU1299" t="s">
        <v>471</v>
      </c>
      <c r="DV1299" t="s">
        <v>472</v>
      </c>
      <c r="DX1299">
        <v>-9999</v>
      </c>
      <c r="DZ1299" t="s">
        <v>447</v>
      </c>
      <c r="EA1299" t="s">
        <v>448</v>
      </c>
      <c r="EB1299" t="s">
        <v>742</v>
      </c>
      <c r="EC1299">
        <v>20101217</v>
      </c>
      <c r="ED1299" t="s">
        <v>474</v>
      </c>
      <c r="EF1299">
        <v>2646.7</v>
      </c>
      <c r="EG1299">
        <v>1871.7</v>
      </c>
      <c r="EI1299">
        <v>20160407</v>
      </c>
      <c r="EJ1299">
        <v>0</v>
      </c>
      <c r="EK1299">
        <v>0</v>
      </c>
      <c r="EP1299" t="s">
        <v>421</v>
      </c>
      <c r="EQ1299" t="s">
        <v>422</v>
      </c>
      <c r="ER1299">
        <v>1</v>
      </c>
      <c r="ES1299">
        <v>6</v>
      </c>
      <c r="ET1299">
        <v>523.86</v>
      </c>
      <c r="EU1299">
        <v>40.299999999999997</v>
      </c>
      <c r="EV1299">
        <v>564.16</v>
      </c>
      <c r="EW1299" s="2">
        <v>43222</v>
      </c>
      <c r="EX1299" s="1">
        <v>42879</v>
      </c>
      <c r="EY1299">
        <v>2016</v>
      </c>
      <c r="EZ1299">
        <v>523.86</v>
      </c>
      <c r="FA1299" t="s">
        <v>13239</v>
      </c>
      <c r="FB1299">
        <v>6.5</v>
      </c>
      <c r="FC1299" t="s">
        <v>424</v>
      </c>
      <c r="FD1299" t="s">
        <v>454</v>
      </c>
      <c r="FF1299">
        <v>12</v>
      </c>
      <c r="FG1299">
        <v>10125</v>
      </c>
      <c r="FH1299" t="s">
        <v>440</v>
      </c>
      <c r="FJ1299" s="1">
        <v>42515</v>
      </c>
      <c r="FK1299">
        <v>2015</v>
      </c>
      <c r="FL1299">
        <v>482.71</v>
      </c>
      <c r="FM1299" t="s">
        <v>13240</v>
      </c>
      <c r="FN1299">
        <v>15.25</v>
      </c>
      <c r="FO1299" t="s">
        <v>424</v>
      </c>
      <c r="FP1299" t="s">
        <v>425</v>
      </c>
      <c r="FQ1299" s="1">
        <v>43160</v>
      </c>
      <c r="FR1299">
        <v>22</v>
      </c>
      <c r="FS1299">
        <v>10628</v>
      </c>
      <c r="FT1299" t="s">
        <v>943</v>
      </c>
      <c r="FV1299" s="1">
        <v>42151</v>
      </c>
      <c r="FW1299">
        <v>2014</v>
      </c>
      <c r="FX1299">
        <v>451.01</v>
      </c>
      <c r="FY1299" t="s">
        <v>13241</v>
      </c>
      <c r="FZ1299">
        <v>4.75</v>
      </c>
      <c r="GA1299" t="s">
        <v>424</v>
      </c>
      <c r="GB1299" t="s">
        <v>425</v>
      </c>
      <c r="GC1299" s="1">
        <v>42797</v>
      </c>
      <c r="GD1299">
        <v>22</v>
      </c>
      <c r="GE1299">
        <v>4975593</v>
      </c>
      <c r="GF1299" t="s">
        <v>505</v>
      </c>
      <c r="GH1299" s="1">
        <v>41787</v>
      </c>
      <c r="GI1299">
        <v>2013</v>
      </c>
      <c r="GJ1299">
        <v>428.25</v>
      </c>
      <c r="GK1299" t="s">
        <v>13242</v>
      </c>
      <c r="GL1299">
        <v>3</v>
      </c>
      <c r="GM1299" t="s">
        <v>424</v>
      </c>
      <c r="GN1299" t="s">
        <v>425</v>
      </c>
      <c r="GO1299" s="1">
        <v>42430</v>
      </c>
      <c r="GP1299">
        <v>22</v>
      </c>
      <c r="GQ1299">
        <v>10125</v>
      </c>
      <c r="GR1299" t="s">
        <v>440</v>
      </c>
      <c r="GT1299" s="1">
        <v>41423</v>
      </c>
      <c r="GU1299">
        <v>2012</v>
      </c>
      <c r="GV1299">
        <v>433.62</v>
      </c>
      <c r="GW1299" t="s">
        <v>13243</v>
      </c>
      <c r="GX1299">
        <v>2.75</v>
      </c>
      <c r="GY1299" t="s">
        <v>424</v>
      </c>
      <c r="GZ1299" t="s">
        <v>425</v>
      </c>
      <c r="HA1299" s="1">
        <v>42088</v>
      </c>
      <c r="HB1299">
        <v>22</v>
      </c>
      <c r="HC1299">
        <v>1625515</v>
      </c>
      <c r="HD1299" t="s">
        <v>487</v>
      </c>
      <c r="HF1299" s="1">
        <v>41052</v>
      </c>
      <c r="HG1299">
        <v>2011</v>
      </c>
      <c r="HH1299">
        <v>516.45000000000005</v>
      </c>
      <c r="HI1299" t="s">
        <v>13244</v>
      </c>
      <c r="HJ1299">
        <v>5.75</v>
      </c>
      <c r="HK1299" t="s">
        <v>424</v>
      </c>
      <c r="HL1299" t="s">
        <v>425</v>
      </c>
      <c r="HM1299" s="1">
        <v>41698</v>
      </c>
      <c r="HN1299">
        <v>21</v>
      </c>
      <c r="HO1299">
        <v>62</v>
      </c>
      <c r="HP1299" t="s">
        <v>463</v>
      </c>
      <c r="HR1299" s="1">
        <v>40688</v>
      </c>
      <c r="HS1299">
        <v>2010</v>
      </c>
      <c r="HT1299">
        <v>602.32000000000005</v>
      </c>
      <c r="HU1299" t="s">
        <v>13245</v>
      </c>
      <c r="HV1299">
        <v>6.75</v>
      </c>
      <c r="HW1299" t="s">
        <v>424</v>
      </c>
      <c r="HX1299" t="s">
        <v>425</v>
      </c>
      <c r="HY1299" s="1">
        <v>41337</v>
      </c>
      <c r="HZ1299">
        <v>22</v>
      </c>
      <c r="IA1299">
        <v>105</v>
      </c>
      <c r="IB1299" t="s">
        <v>946</v>
      </c>
    </row>
    <row r="1300" spans="1:296" x14ac:dyDescent="0.25">
      <c r="A1300">
        <v>16486307</v>
      </c>
      <c r="B1300">
        <v>1299</v>
      </c>
      <c r="C1300" t="s">
        <v>393</v>
      </c>
      <c r="D1300" t="s">
        <v>394</v>
      </c>
      <c r="F1300" t="str">
        <f>"42-2N-27-4612-0002-0320"</f>
        <v>42-2N-27-4612-0002-0320</v>
      </c>
      <c r="H1300" t="str">
        <f>"HERRERA GENEVA M"</f>
        <v>HERRERA GENEVA M</v>
      </c>
      <c r="I1300" t="str">
        <f>"85161 JOANN ROAD"</f>
        <v>85161 JOANN ROAD</v>
      </c>
      <c r="J1300" t="str">
        <f>"YULEE FL 32097"</f>
        <v>YULEE FL 32097</v>
      </c>
      <c r="K1300" t="str">
        <f>"85161 JOANN RD"</f>
        <v>85161 JOANN RD</v>
      </c>
      <c r="L1300" t="str">
        <f t="shared" si="430"/>
        <v>YULEE FL 32097</v>
      </c>
      <c r="M1300" t="str">
        <f>"BLOCK 2 LOT 32 IN OR 1910/1461 1986 CONC DW/MH YULEE WOODS 2 PB 5/83 &amp; 84"</f>
        <v>BLOCK 2 LOT 32 IN OR 1910/1461 1986 CONC DW/MH YULEE WOODS 2 PB 5/83 &amp; 84</v>
      </c>
      <c r="N1300" t="str">
        <f>""</f>
        <v/>
      </c>
      <c r="O1300" t="str">
        <f>"48624"</f>
        <v>48624</v>
      </c>
      <c r="P1300" t="str">
        <f t="shared" si="433"/>
        <v>2017</v>
      </c>
      <c r="Q1300" t="str">
        <f>""</f>
        <v/>
      </c>
      <c r="R1300" t="str">
        <f>"Y"</f>
        <v>Y</v>
      </c>
      <c r="S1300" t="str">
        <f>""</f>
        <v/>
      </c>
      <c r="T1300" t="str">
        <f>"307.09"</f>
        <v>307.09</v>
      </c>
      <c r="U1300" t="str">
        <f>"45285.00"</f>
        <v>45285.00</v>
      </c>
      <c r="V1300" t="str">
        <f>"45285.00"</f>
        <v>45285.00</v>
      </c>
      <c r="W1300" t="str">
        <f t="shared" si="434"/>
        <v>2017</v>
      </c>
      <c r="X1300" t="str">
        <f>"4.25"</f>
        <v>4.25</v>
      </c>
      <c r="Y1300" t="str">
        <f>"348.30"</f>
        <v>348.30</v>
      </c>
      <c r="Z1300" t="str">
        <f>"25000.00"</f>
        <v>25000.00</v>
      </c>
      <c r="AA1300" t="str">
        <f>"20285.00"</f>
        <v>20285.00</v>
      </c>
      <c r="AB1300" t="str">
        <f t="shared" si="439"/>
        <v>Residential</v>
      </c>
      <c r="AC1300" t="str">
        <f t="shared" si="422"/>
        <v>0</v>
      </c>
      <c r="AD1300" t="str">
        <f>"4"</f>
        <v>4</v>
      </c>
      <c r="AE1300" t="str">
        <f>"WOOD (INCLUDE STEEL STUDS)"</f>
        <v>WOOD (INCLUDE STEEL STUDS)</v>
      </c>
      <c r="AF1300" t="str">
        <f t="shared" si="440"/>
        <v>002</v>
      </c>
      <c r="AG1300" t="str">
        <f t="shared" si="437"/>
        <v>FL</v>
      </c>
      <c r="AH1300" t="str">
        <f>"-"</f>
        <v>-</v>
      </c>
      <c r="AI1300" t="str">
        <f t="shared" si="441"/>
        <v>28000.00</v>
      </c>
      <c r="AJ1300" t="str">
        <f>"C55-000-588-2204-0"</f>
        <v>C55-000-588-2204-0</v>
      </c>
      <c r="AK1300" t="str">
        <f>"22298"</f>
        <v>22298</v>
      </c>
      <c r="AL1300">
        <v>5</v>
      </c>
      <c r="AM1300">
        <v>1482</v>
      </c>
      <c r="AN1300">
        <v>364.12</v>
      </c>
      <c r="AQ1300" t="s">
        <v>13246</v>
      </c>
      <c r="AR1300" t="s">
        <v>13246</v>
      </c>
      <c r="AS1300" t="s">
        <v>13246</v>
      </c>
      <c r="AU1300" t="s">
        <v>396</v>
      </c>
      <c r="AV1300">
        <v>2017</v>
      </c>
      <c r="AW1300" t="str">
        <f>"42-2N-27-4612-0002-0320 "</f>
        <v xml:space="preserve">42-2N-27-4612-0002-0320 </v>
      </c>
      <c r="AX1300">
        <v>85161</v>
      </c>
      <c r="AZ1300" t="s">
        <v>13247</v>
      </c>
      <c r="BA1300" t="s">
        <v>496</v>
      </c>
      <c r="BD1300" t="s">
        <v>2387</v>
      </c>
      <c r="BE1300" t="s">
        <v>393</v>
      </c>
      <c r="BF1300">
        <v>32097</v>
      </c>
      <c r="BG1300" t="s">
        <v>13248</v>
      </c>
      <c r="BH1300" t="s">
        <v>2388</v>
      </c>
      <c r="BI1300">
        <v>-81.583856330964906</v>
      </c>
      <c r="BJ1300">
        <v>30.5941622380663</v>
      </c>
      <c r="BK1300" t="s">
        <v>13249</v>
      </c>
      <c r="BM1300" t="s">
        <v>13248</v>
      </c>
      <c r="BN1300" t="s">
        <v>1778</v>
      </c>
      <c r="BO1300">
        <v>32097</v>
      </c>
      <c r="BP1300" t="s">
        <v>416</v>
      </c>
      <c r="BQ1300">
        <v>200</v>
      </c>
      <c r="BR1300" t="s">
        <v>405</v>
      </c>
      <c r="BS1300">
        <v>1006</v>
      </c>
      <c r="BT1300" t="s">
        <v>406</v>
      </c>
      <c r="BW1300">
        <v>43651</v>
      </c>
      <c r="BX1300" t="s">
        <v>407</v>
      </c>
      <c r="BY1300" t="s">
        <v>408</v>
      </c>
      <c r="BZ1300">
        <v>4</v>
      </c>
      <c r="CA1300">
        <v>1986</v>
      </c>
      <c r="CB1300">
        <v>1</v>
      </c>
      <c r="CC1300">
        <v>1</v>
      </c>
      <c r="CD1300">
        <v>2017</v>
      </c>
      <c r="CG1300">
        <v>45285</v>
      </c>
      <c r="CH1300">
        <v>2017</v>
      </c>
      <c r="CI1300">
        <v>28000</v>
      </c>
      <c r="CJ1300">
        <v>36740</v>
      </c>
      <c r="CK1300">
        <v>64740</v>
      </c>
      <c r="CL1300">
        <v>2017</v>
      </c>
      <c r="CM1300">
        <v>307.08999999999997</v>
      </c>
      <c r="CN1300" s="1">
        <v>40385</v>
      </c>
      <c r="CO1300">
        <v>41100</v>
      </c>
      <c r="CV1300">
        <v>0</v>
      </c>
      <c r="CZ1300" s="1">
        <v>40385</v>
      </c>
      <c r="DA1300">
        <v>0</v>
      </c>
      <c r="DD1300" t="s">
        <v>2387</v>
      </c>
      <c r="DF1300">
        <v>32</v>
      </c>
      <c r="DG1300">
        <v>42</v>
      </c>
      <c r="DL1300">
        <v>50302</v>
      </c>
      <c r="DM1300" t="s">
        <v>12468</v>
      </c>
      <c r="DO1300" t="s">
        <v>13250</v>
      </c>
      <c r="DP1300">
        <v>0</v>
      </c>
      <c r="DQ1300">
        <v>0</v>
      </c>
      <c r="DR1300" t="s">
        <v>411</v>
      </c>
      <c r="EP1300" t="s">
        <v>421</v>
      </c>
      <c r="EQ1300" t="s">
        <v>422</v>
      </c>
      <c r="ER1300">
        <v>0</v>
      </c>
      <c r="ES1300">
        <v>5</v>
      </c>
      <c r="ET1300">
        <v>0</v>
      </c>
      <c r="EU1300">
        <v>0</v>
      </c>
      <c r="EV1300">
        <v>0</v>
      </c>
      <c r="EW1300" s="2">
        <v>43222</v>
      </c>
      <c r="EX1300" s="1">
        <v>42879</v>
      </c>
      <c r="EY1300">
        <v>2016</v>
      </c>
      <c r="EZ1300">
        <v>347.7</v>
      </c>
      <c r="FA1300" t="s">
        <v>13251</v>
      </c>
      <c r="FB1300">
        <v>0.25</v>
      </c>
      <c r="FC1300" t="s">
        <v>424</v>
      </c>
      <c r="FD1300" t="s">
        <v>425</v>
      </c>
      <c r="FE1300" s="1">
        <v>42902</v>
      </c>
      <c r="FF1300">
        <v>1</v>
      </c>
      <c r="FG1300">
        <v>7400234</v>
      </c>
      <c r="FH1300" t="s">
        <v>426</v>
      </c>
      <c r="FJ1300" s="1">
        <v>42879</v>
      </c>
      <c r="FK1300">
        <v>2016</v>
      </c>
      <c r="FL1300">
        <v>347.7</v>
      </c>
      <c r="FM1300" t="s">
        <v>13251</v>
      </c>
      <c r="FN1300">
        <v>0.25</v>
      </c>
      <c r="FO1300" t="s">
        <v>424</v>
      </c>
      <c r="FP1300" t="s">
        <v>425</v>
      </c>
      <c r="FR1300">
        <v>22</v>
      </c>
      <c r="FS1300">
        <v>7472071</v>
      </c>
      <c r="FT1300" t="s">
        <v>13252</v>
      </c>
      <c r="FV1300" s="1">
        <v>41423</v>
      </c>
      <c r="FW1300">
        <v>2012</v>
      </c>
      <c r="FX1300">
        <v>387.01</v>
      </c>
      <c r="FY1300" t="s">
        <v>13253</v>
      </c>
      <c r="FZ1300">
        <v>0.25</v>
      </c>
      <c r="GA1300" t="s">
        <v>424</v>
      </c>
      <c r="GB1300" t="s">
        <v>425</v>
      </c>
      <c r="GC1300" s="1">
        <v>41456</v>
      </c>
      <c r="GD1300">
        <v>2</v>
      </c>
      <c r="GE1300">
        <v>15399</v>
      </c>
      <c r="GF1300" t="s">
        <v>485</v>
      </c>
      <c r="GH1300" s="1">
        <v>41052</v>
      </c>
      <c r="GI1300">
        <v>2011</v>
      </c>
      <c r="GJ1300">
        <v>1085.04</v>
      </c>
      <c r="GK1300" t="s">
        <v>13254</v>
      </c>
      <c r="GL1300">
        <v>5</v>
      </c>
      <c r="GM1300" t="s">
        <v>424</v>
      </c>
      <c r="GN1300" t="s">
        <v>425</v>
      </c>
      <c r="GO1300" s="1">
        <v>41079</v>
      </c>
      <c r="GP1300">
        <v>1</v>
      </c>
      <c r="GQ1300">
        <v>62</v>
      </c>
      <c r="GR1300" t="s">
        <v>463</v>
      </c>
      <c r="GT1300" s="1">
        <v>40688</v>
      </c>
      <c r="GU1300">
        <v>2010</v>
      </c>
      <c r="GV1300">
        <v>1167.4100000000001</v>
      </c>
      <c r="GW1300" t="s">
        <v>13255</v>
      </c>
      <c r="GX1300">
        <v>6.75</v>
      </c>
      <c r="GY1300" t="s">
        <v>424</v>
      </c>
      <c r="GZ1300" t="s">
        <v>425</v>
      </c>
      <c r="HA1300" s="1">
        <v>41079</v>
      </c>
      <c r="HB1300">
        <v>13</v>
      </c>
      <c r="HC1300">
        <v>375</v>
      </c>
      <c r="HD1300" t="s">
        <v>776</v>
      </c>
    </row>
    <row r="1301" spans="1:296" x14ac:dyDescent="0.25">
      <c r="A1301">
        <v>16486308</v>
      </c>
      <c r="B1301">
        <v>1300</v>
      </c>
      <c r="C1301" t="s">
        <v>393</v>
      </c>
      <c r="D1301" t="s">
        <v>394</v>
      </c>
      <c r="F1301" t="str">
        <f>"42-2N-27-4612-0004-0260"</f>
        <v>42-2N-27-4612-0004-0260</v>
      </c>
      <c r="H1301" t="str">
        <f>"CREWS MICHAEL E EST C/O TRACY WILDER"</f>
        <v>CREWS MICHAEL E EST C/O TRACY WILDER</v>
      </c>
      <c r="I1301" t="str">
        <f>"5910 SILKCREST TRAIL"</f>
        <v>5910 SILKCREST TRAIL</v>
      </c>
      <c r="J1301" t="str">
        <f>"ARLINGTON TX 76017"</f>
        <v>ARLINGTON TX 76017</v>
      </c>
      <c r="K1301" t="str">
        <f>"85143 THERESA RD"</f>
        <v>85143 THERESA RD</v>
      </c>
      <c r="L1301" t="str">
        <f t="shared" si="430"/>
        <v>YULEE FL 32097</v>
      </c>
      <c r="M1301" t="str">
        <f>"BLOCK 4 LOT 26 IN OR 508/737 &amp; OR 1858/1566 2000 PIONEER DW/MH YULEE WOODS 2 PB 5/83 &amp; 84"</f>
        <v>BLOCK 4 LOT 26 IN OR 508/737 &amp; OR 1858/1566 2000 PIONEER DW/MH YULEE WOODS 2 PB 5/83 &amp; 84</v>
      </c>
      <c r="N1301" t="str">
        <f>""</f>
        <v/>
      </c>
      <c r="O1301" t="str">
        <f>"48677"</f>
        <v>48677</v>
      </c>
      <c r="P1301" t="str">
        <f t="shared" si="433"/>
        <v>2017</v>
      </c>
      <c r="Q1301" t="str">
        <f>""</f>
        <v/>
      </c>
      <c r="R1301" t="str">
        <f>"Y"</f>
        <v>Y</v>
      </c>
      <c r="S1301" t="str">
        <f>""</f>
        <v/>
      </c>
      <c r="T1301" t="str">
        <f>"516.28"</f>
        <v>516.28</v>
      </c>
      <c r="U1301" t="str">
        <f>"70885.00"</f>
        <v>70885.00</v>
      </c>
      <c r="V1301" t="str">
        <f>"70885.00"</f>
        <v>70885.00</v>
      </c>
      <c r="W1301" t="str">
        <f t="shared" si="434"/>
        <v>2017</v>
      </c>
      <c r="X1301" t="str">
        <f>"19.00"</f>
        <v>19.00</v>
      </c>
      <c r="Y1301" t="str">
        <f>"563.77"</f>
        <v>563.77</v>
      </c>
      <c r="Z1301" t="str">
        <f>"25000.00"</f>
        <v>25000.00</v>
      </c>
      <c r="AA1301" t="str">
        <f>"45885.00"</f>
        <v>45885.00</v>
      </c>
      <c r="AB1301" t="str">
        <f t="shared" si="439"/>
        <v>Residential</v>
      </c>
      <c r="AC1301" t="str">
        <f t="shared" si="422"/>
        <v>0</v>
      </c>
      <c r="AD1301" t="str">
        <f>"4"</f>
        <v>4</v>
      </c>
      <c r="AE1301" t="str">
        <f>"WOOD (INCLUDE STEEL STUDS)"</f>
        <v>WOOD (INCLUDE STEEL STUDS)</v>
      </c>
      <c r="AF1301" t="str">
        <f t="shared" si="440"/>
        <v>002</v>
      </c>
      <c r="AG1301" t="str">
        <f>"TX"</f>
        <v>TX</v>
      </c>
      <c r="AH1301" t="str">
        <f>"43560.00"</f>
        <v>43560.00</v>
      </c>
      <c r="AI1301" t="str">
        <f t="shared" si="441"/>
        <v>28000.00</v>
      </c>
      <c r="AJ1301" t="str">
        <f>"C55-000-588-2257-8"</f>
        <v>C55-000-588-2257-8</v>
      </c>
      <c r="AK1301" t="str">
        <f>"22351"</f>
        <v>22351</v>
      </c>
      <c r="AL1301">
        <v>5</v>
      </c>
      <c r="AM1301">
        <v>1483</v>
      </c>
      <c r="AN1301">
        <v>590.36</v>
      </c>
      <c r="AQ1301" t="s">
        <v>13256</v>
      </c>
      <c r="AR1301" t="s">
        <v>13256</v>
      </c>
      <c r="AS1301" t="s">
        <v>13256</v>
      </c>
      <c r="AU1301" t="s">
        <v>396</v>
      </c>
      <c r="AV1301">
        <v>2017</v>
      </c>
      <c r="AW1301" t="str">
        <f>"42-2N-27-4612-0004-0260 "</f>
        <v xml:space="preserve">42-2N-27-4612-0004-0260 </v>
      </c>
      <c r="AX1301">
        <v>85143</v>
      </c>
      <c r="AZ1301" t="s">
        <v>13222</v>
      </c>
      <c r="BA1301" t="s">
        <v>496</v>
      </c>
      <c r="BD1301" t="s">
        <v>2387</v>
      </c>
      <c r="BE1301" t="s">
        <v>393</v>
      </c>
      <c r="BF1301">
        <v>32097</v>
      </c>
      <c r="BG1301" t="s">
        <v>13257</v>
      </c>
      <c r="BH1301" t="s">
        <v>2388</v>
      </c>
      <c r="BI1301">
        <v>-81.583329348181493</v>
      </c>
      <c r="BJ1301">
        <v>30.59663955417</v>
      </c>
      <c r="BK1301" t="s">
        <v>13258</v>
      </c>
      <c r="BM1301" t="s">
        <v>13257</v>
      </c>
      <c r="BN1301" t="s">
        <v>1778</v>
      </c>
      <c r="BO1301">
        <v>32097</v>
      </c>
      <c r="BP1301" t="s">
        <v>416</v>
      </c>
      <c r="BQ1301">
        <v>200</v>
      </c>
      <c r="BR1301" t="s">
        <v>405</v>
      </c>
      <c r="BS1301">
        <v>1006</v>
      </c>
      <c r="BT1301" t="s">
        <v>406</v>
      </c>
      <c r="BW1301">
        <v>43560</v>
      </c>
      <c r="BX1301" t="s">
        <v>407</v>
      </c>
      <c r="BY1301" t="s">
        <v>408</v>
      </c>
      <c r="BZ1301">
        <v>4</v>
      </c>
      <c r="CA1301">
        <v>2000</v>
      </c>
      <c r="CB1301">
        <v>1</v>
      </c>
      <c r="CC1301">
        <v>1</v>
      </c>
      <c r="CD1301">
        <v>2017</v>
      </c>
      <c r="CG1301">
        <v>70885</v>
      </c>
      <c r="CH1301">
        <v>2017</v>
      </c>
      <c r="CI1301">
        <v>28000</v>
      </c>
      <c r="CJ1301">
        <v>53250</v>
      </c>
      <c r="CK1301">
        <v>81250</v>
      </c>
      <c r="CL1301">
        <v>2017</v>
      </c>
      <c r="CM1301">
        <v>516.28</v>
      </c>
      <c r="CN1301" s="1">
        <v>41354</v>
      </c>
      <c r="CZ1301" s="1">
        <v>41354</v>
      </c>
      <c r="DD1301" t="s">
        <v>2387</v>
      </c>
      <c r="DF1301">
        <v>26</v>
      </c>
      <c r="DG1301">
        <v>42</v>
      </c>
      <c r="DJ1301" t="s">
        <v>13225</v>
      </c>
      <c r="DL1301">
        <v>50302</v>
      </c>
      <c r="DM1301" t="s">
        <v>12468</v>
      </c>
      <c r="DO1301" t="s">
        <v>13259</v>
      </c>
      <c r="DP1301">
        <v>0</v>
      </c>
      <c r="DQ1301">
        <v>0</v>
      </c>
      <c r="DR1301" t="s">
        <v>411</v>
      </c>
      <c r="EP1301" t="s">
        <v>421</v>
      </c>
      <c r="EQ1301" t="s">
        <v>422</v>
      </c>
      <c r="ER1301">
        <v>0</v>
      </c>
      <c r="ES1301">
        <v>1</v>
      </c>
      <c r="ET1301">
        <v>0</v>
      </c>
      <c r="EU1301">
        <v>0</v>
      </c>
      <c r="EV1301">
        <v>0</v>
      </c>
      <c r="EW1301" s="2">
        <v>43222</v>
      </c>
      <c r="EX1301" s="1">
        <v>41052</v>
      </c>
      <c r="EY1301">
        <v>2011</v>
      </c>
      <c r="EZ1301">
        <v>416.65</v>
      </c>
      <c r="FA1301" t="s">
        <v>13260</v>
      </c>
      <c r="FB1301">
        <v>5.75</v>
      </c>
      <c r="FC1301" t="s">
        <v>424</v>
      </c>
      <c r="FD1301" t="s">
        <v>425</v>
      </c>
      <c r="FE1301" s="1">
        <v>41610</v>
      </c>
      <c r="FF1301">
        <v>19</v>
      </c>
      <c r="FG1301">
        <v>62</v>
      </c>
      <c r="FH1301" t="s">
        <v>463</v>
      </c>
    </row>
    <row r="1302" spans="1:296" x14ac:dyDescent="0.25">
      <c r="A1302">
        <v>16486309</v>
      </c>
      <c r="B1302">
        <v>1301</v>
      </c>
      <c r="C1302" t="s">
        <v>393</v>
      </c>
      <c r="D1302" t="s">
        <v>394</v>
      </c>
      <c r="F1302" t="str">
        <f>"42-2N-27-4612-0004-0300"</f>
        <v>42-2N-27-4612-0004-0300</v>
      </c>
      <c r="H1302" t="str">
        <f>"NEVES LACINDA"</f>
        <v>NEVES LACINDA</v>
      </c>
      <c r="I1302" t="str">
        <f>"2564 E US RT 36"</f>
        <v>2564 E US RT 36</v>
      </c>
      <c r="J1302" t="str">
        <f>"PIQUA OH 45356"</f>
        <v>PIQUA OH 45356</v>
      </c>
      <c r="K1302" t="str">
        <f>"85199 THERESA RD"</f>
        <v>85199 THERESA RD</v>
      </c>
      <c r="L1302" t="str">
        <f t="shared" si="430"/>
        <v>YULEE FL 32097</v>
      </c>
      <c r="M1302" t="str">
        <f>"BLOCK 4 LOT 30 IN OR 2043/1882 R334304 &amp; R334305 YULEE WOODS 2 PB 5/83 &amp; 84"</f>
        <v>BLOCK 4 LOT 30 IN OR 2043/1882 R334304 &amp; R334305 YULEE WOODS 2 PB 5/83 &amp; 84</v>
      </c>
      <c r="N1302" t="str">
        <f>""</f>
        <v/>
      </c>
      <c r="O1302" t="str">
        <f>"48681"</f>
        <v>48681</v>
      </c>
      <c r="P1302" t="str">
        <f t="shared" si="433"/>
        <v>2017</v>
      </c>
      <c r="Q1302" t="str">
        <f>""</f>
        <v/>
      </c>
      <c r="R1302" t="str">
        <f>"N"</f>
        <v>N</v>
      </c>
      <c r="S1302" t="str">
        <f>""</f>
        <v/>
      </c>
      <c r="T1302" t="str">
        <f>"991.04"</f>
        <v>991.04</v>
      </c>
      <c r="U1302" t="str">
        <f>"65464.00"</f>
        <v>65464.00</v>
      </c>
      <c r="V1302" t="str">
        <f>"65464.00"</f>
        <v>65464.00</v>
      </c>
      <c r="W1302" t="str">
        <f t="shared" si="434"/>
        <v>2017</v>
      </c>
      <c r="X1302" t="str">
        <f>"3.00"</f>
        <v>3.00</v>
      </c>
      <c r="Y1302" t="str">
        <f>"1052.77"</f>
        <v>1052.77</v>
      </c>
      <c r="Z1302" t="str">
        <f>""</f>
        <v/>
      </c>
      <c r="AA1302" t="str">
        <f>"65464.00"</f>
        <v>65464.00</v>
      </c>
      <c r="AB1302" t="str">
        <f t="shared" si="439"/>
        <v>Residential</v>
      </c>
      <c r="AC1302" t="str">
        <f t="shared" si="422"/>
        <v>0</v>
      </c>
      <c r="AD1302" t="str">
        <f>"4"</f>
        <v>4</v>
      </c>
      <c r="AE1302" t="str">
        <f>"WOOD (INCLUDE STEEL STUDS)"</f>
        <v>WOOD (INCLUDE STEEL STUDS)</v>
      </c>
      <c r="AF1302" t="str">
        <f t="shared" si="440"/>
        <v>002</v>
      </c>
      <c r="AG1302" t="str">
        <f>"OH"</f>
        <v>OH</v>
      </c>
      <c r="AH1302" t="str">
        <f t="shared" ref="AH1302:AH1321" si="442">"-"</f>
        <v>-</v>
      </c>
      <c r="AI1302" t="str">
        <f t="shared" si="441"/>
        <v>28000.00</v>
      </c>
      <c r="AJ1302" t="str">
        <f>"C55-000-588-2261-0"</f>
        <v>C55-000-588-2261-0</v>
      </c>
      <c r="AK1302" t="str">
        <f>"22355"</f>
        <v>22355</v>
      </c>
      <c r="AL1302">
        <v>5</v>
      </c>
      <c r="AM1302">
        <v>1484</v>
      </c>
      <c r="AN1302">
        <v>1103.81</v>
      </c>
      <c r="AQ1302" t="s">
        <v>13261</v>
      </c>
      <c r="AR1302" t="s">
        <v>13261</v>
      </c>
      <c r="AS1302" t="s">
        <v>13261</v>
      </c>
      <c r="AU1302" t="s">
        <v>396</v>
      </c>
      <c r="AV1302">
        <v>2017</v>
      </c>
      <c r="AW1302" t="str">
        <f>"42-2N-27-4612-0004-0300 "</f>
        <v xml:space="preserve">42-2N-27-4612-0004-0300 </v>
      </c>
      <c r="AX1302">
        <v>85199</v>
      </c>
      <c r="AZ1302" t="s">
        <v>13222</v>
      </c>
      <c r="BA1302" t="s">
        <v>496</v>
      </c>
      <c r="BD1302" t="s">
        <v>2387</v>
      </c>
      <c r="BE1302" t="s">
        <v>393</v>
      </c>
      <c r="BF1302">
        <v>32097</v>
      </c>
      <c r="BG1302" t="s">
        <v>13262</v>
      </c>
      <c r="BH1302" t="s">
        <v>2388</v>
      </c>
      <c r="BI1302">
        <v>-81.581772011477895</v>
      </c>
      <c r="BJ1302">
        <v>30.597585875514302</v>
      </c>
      <c r="BK1302" t="s">
        <v>13263</v>
      </c>
      <c r="BM1302" t="s">
        <v>13264</v>
      </c>
      <c r="BN1302" t="s">
        <v>13265</v>
      </c>
      <c r="BO1302">
        <v>45356</v>
      </c>
      <c r="BP1302" t="s">
        <v>404</v>
      </c>
      <c r="BQ1302">
        <v>200</v>
      </c>
      <c r="BR1302" t="s">
        <v>405</v>
      </c>
      <c r="BS1302">
        <v>1006</v>
      </c>
      <c r="BT1302" t="s">
        <v>406</v>
      </c>
      <c r="BW1302">
        <v>43562</v>
      </c>
      <c r="BX1302" t="s">
        <v>407</v>
      </c>
      <c r="BY1302" t="s">
        <v>408</v>
      </c>
      <c r="BZ1302">
        <v>4</v>
      </c>
      <c r="CA1302">
        <v>1987</v>
      </c>
      <c r="CB1302">
        <v>1</v>
      </c>
      <c r="CC1302">
        <v>1</v>
      </c>
      <c r="CD1302">
        <v>2017</v>
      </c>
      <c r="CE1302">
        <v>28000</v>
      </c>
      <c r="CF1302">
        <v>37464</v>
      </c>
      <c r="CG1302">
        <v>65464</v>
      </c>
      <c r="CH1302">
        <v>2017</v>
      </c>
      <c r="CI1302">
        <v>28000</v>
      </c>
      <c r="CJ1302">
        <v>37464</v>
      </c>
      <c r="CK1302">
        <v>65464</v>
      </c>
      <c r="CL1302">
        <v>2017</v>
      </c>
      <c r="CM1302">
        <v>991.04</v>
      </c>
      <c r="CN1302" s="1">
        <v>42495</v>
      </c>
      <c r="CO1302">
        <v>45000</v>
      </c>
      <c r="CV1302">
        <v>0</v>
      </c>
      <c r="CZ1302" s="1">
        <v>42495</v>
      </c>
      <c r="DA1302">
        <v>0</v>
      </c>
      <c r="DD1302" t="s">
        <v>2387</v>
      </c>
      <c r="DF1302">
        <v>30</v>
      </c>
      <c r="DG1302">
        <v>42</v>
      </c>
      <c r="DL1302">
        <v>50302</v>
      </c>
      <c r="DM1302" t="s">
        <v>12468</v>
      </c>
      <c r="DO1302" t="s">
        <v>13266</v>
      </c>
      <c r="DP1302">
        <v>0</v>
      </c>
      <c r="DQ1302">
        <v>0</v>
      </c>
      <c r="DR1302" t="s">
        <v>411</v>
      </c>
      <c r="DS1302" t="b">
        <v>1</v>
      </c>
      <c r="DT1302" t="s">
        <v>470</v>
      </c>
      <c r="DU1302" t="s">
        <v>471</v>
      </c>
      <c r="DV1302" t="s">
        <v>472</v>
      </c>
      <c r="DX1302">
        <v>-9999</v>
      </c>
      <c r="DZ1302" t="s">
        <v>447</v>
      </c>
      <c r="EA1302" t="s">
        <v>448</v>
      </c>
      <c r="EB1302" t="s">
        <v>742</v>
      </c>
      <c r="EC1302">
        <v>20101217</v>
      </c>
      <c r="ED1302" t="s">
        <v>474</v>
      </c>
      <c r="EF1302">
        <v>3712.4</v>
      </c>
      <c r="EG1302">
        <v>3349.6</v>
      </c>
      <c r="EH1302" t="s">
        <v>451</v>
      </c>
      <c r="EI1302">
        <v>20140731</v>
      </c>
      <c r="EJ1302">
        <v>0</v>
      </c>
      <c r="EK1302">
        <v>0</v>
      </c>
      <c r="EP1302" t="s">
        <v>421</v>
      </c>
      <c r="EQ1302" t="s">
        <v>422</v>
      </c>
      <c r="ER1302">
        <v>0</v>
      </c>
      <c r="ES1302">
        <v>2</v>
      </c>
      <c r="ET1302">
        <v>0</v>
      </c>
      <c r="EU1302">
        <v>0</v>
      </c>
      <c r="EV1302">
        <v>0</v>
      </c>
      <c r="EW1302" s="2">
        <v>43222</v>
      </c>
      <c r="EX1302" s="1">
        <v>41052</v>
      </c>
      <c r="EY1302">
        <v>2011</v>
      </c>
      <c r="EZ1302">
        <v>1199.69</v>
      </c>
      <c r="FA1302" t="s">
        <v>13267</v>
      </c>
      <c r="FB1302">
        <v>5</v>
      </c>
      <c r="FC1302" t="s">
        <v>424</v>
      </c>
      <c r="FD1302" t="s">
        <v>425</v>
      </c>
      <c r="FE1302" s="1">
        <v>41103</v>
      </c>
      <c r="FF1302">
        <v>2</v>
      </c>
      <c r="FG1302">
        <v>62</v>
      </c>
      <c r="FH1302" t="s">
        <v>463</v>
      </c>
      <c r="FJ1302" s="1">
        <v>40688</v>
      </c>
      <c r="FK1302">
        <v>2010</v>
      </c>
      <c r="FL1302">
        <v>1295.3800000000001</v>
      </c>
      <c r="FM1302" t="s">
        <v>13268</v>
      </c>
      <c r="FN1302">
        <v>6.75</v>
      </c>
      <c r="FO1302" t="s">
        <v>424</v>
      </c>
      <c r="FP1302" t="s">
        <v>425</v>
      </c>
      <c r="FQ1302" s="1">
        <v>40758</v>
      </c>
      <c r="FR1302">
        <v>3</v>
      </c>
      <c r="FS1302">
        <v>10579</v>
      </c>
      <c r="FT1302" t="s">
        <v>488</v>
      </c>
    </row>
    <row r="1303" spans="1:296" x14ac:dyDescent="0.25">
      <c r="A1303">
        <v>16486310</v>
      </c>
      <c r="B1303">
        <v>1302</v>
      </c>
      <c r="C1303" t="s">
        <v>393</v>
      </c>
      <c r="D1303" t="s">
        <v>394</v>
      </c>
      <c r="F1303" t="str">
        <f>"42-2N-27-4612-0005-0070"</f>
        <v>42-2N-27-4612-0005-0070</v>
      </c>
      <c r="H1303" t="str">
        <f>"ROMAN WILLIARD DARDEN EST &amp; DEDMON CHARLES GENE ET AL"</f>
        <v>ROMAN WILLIARD DARDEN EST &amp; DEDMON CHARLES GENE ET AL</v>
      </c>
      <c r="I1303" t="str">
        <f>"85161 MADELINE ROAD"</f>
        <v>85161 MADELINE ROAD</v>
      </c>
      <c r="J1303" t="str">
        <f t="shared" ref="J1303:J1310" si="443">"YULEE FL 32097"</f>
        <v>YULEE FL 32097</v>
      </c>
      <c r="K1303" t="str">
        <f>"85161 MADELINE RD"</f>
        <v>85161 MADELINE RD</v>
      </c>
      <c r="L1303" t="str">
        <f t="shared" si="430"/>
        <v>YULEE FL 32097</v>
      </c>
      <c r="M1303" t="str">
        <f>"BLOCK 5 LOT 7 IN OR 494/1028 &amp; OR 1983/1975 YULEE WOODS 2 PB 5/83 &amp; 84"</f>
        <v>BLOCK 5 LOT 7 IN OR 494/1028 &amp; OR 1983/1975 YULEE WOODS 2 PB 5/83 &amp; 84</v>
      </c>
      <c r="N1303" t="str">
        <f>""</f>
        <v/>
      </c>
      <c r="O1303" t="str">
        <f>"48690"</f>
        <v>48690</v>
      </c>
      <c r="P1303" t="str">
        <f t="shared" si="433"/>
        <v>2017</v>
      </c>
      <c r="Q1303" t="str">
        <f>""</f>
        <v/>
      </c>
      <c r="R1303" t="str">
        <f>"N"</f>
        <v>N</v>
      </c>
      <c r="S1303" t="str">
        <f>""</f>
        <v/>
      </c>
      <c r="T1303" t="str">
        <f>"527.71"</f>
        <v>527.71</v>
      </c>
      <c r="U1303" t="str">
        <f>"33442.00"</f>
        <v>33442.00</v>
      </c>
      <c r="V1303" t="str">
        <f>"33442.00"</f>
        <v>33442.00</v>
      </c>
      <c r="W1303" t="str">
        <f t="shared" si="434"/>
        <v>2017</v>
      </c>
      <c r="X1303" t="str">
        <f>"12.50"</f>
        <v>12.50</v>
      </c>
      <c r="Y1303" t="str">
        <f>"575.54"</f>
        <v>575.54</v>
      </c>
      <c r="Z1303" t="str">
        <f>""</f>
        <v/>
      </c>
      <c r="AA1303" t="str">
        <f>"36692.00"</f>
        <v>36692.00</v>
      </c>
      <c r="AB1303" t="str">
        <f t="shared" si="439"/>
        <v>Residential</v>
      </c>
      <c r="AC1303" t="str">
        <f t="shared" si="422"/>
        <v>0</v>
      </c>
      <c r="AD1303" t="str">
        <f>""</f>
        <v/>
      </c>
      <c r="AE1303" t="str">
        <f>""</f>
        <v/>
      </c>
      <c r="AF1303" t="str">
        <f>"000"</f>
        <v>000</v>
      </c>
      <c r="AG1303" t="str">
        <f t="shared" ref="AG1303:AG1343" si="444">"FL"</f>
        <v>FL</v>
      </c>
      <c r="AH1303" t="str">
        <f t="shared" si="442"/>
        <v>-</v>
      </c>
      <c r="AI1303" t="str">
        <f t="shared" si="441"/>
        <v>28000.00</v>
      </c>
      <c r="AJ1303" t="str">
        <f>"C55-000-588-2270-1"</f>
        <v>C55-000-588-2270-1</v>
      </c>
      <c r="AK1303" t="str">
        <f>"22364"</f>
        <v>22364</v>
      </c>
      <c r="AL1303">
        <v>5</v>
      </c>
      <c r="AM1303">
        <v>1486</v>
      </c>
      <c r="AN1303">
        <v>602.72</v>
      </c>
      <c r="AQ1303" t="s">
        <v>13269</v>
      </c>
      <c r="AR1303" t="s">
        <v>13269</v>
      </c>
      <c r="AS1303" t="s">
        <v>13269</v>
      </c>
      <c r="AU1303" t="s">
        <v>396</v>
      </c>
      <c r="AV1303">
        <v>2017</v>
      </c>
      <c r="AW1303" t="str">
        <f>"42-2N-27-4612-0005-0070 "</f>
        <v xml:space="preserve">42-2N-27-4612-0005-0070 </v>
      </c>
      <c r="AX1303">
        <v>85161</v>
      </c>
      <c r="AZ1303" t="s">
        <v>13270</v>
      </c>
      <c r="BA1303" t="s">
        <v>496</v>
      </c>
      <c r="BD1303" t="s">
        <v>2387</v>
      </c>
      <c r="BE1303" t="s">
        <v>393</v>
      </c>
      <c r="BF1303">
        <v>32097</v>
      </c>
      <c r="BG1303" t="s">
        <v>13271</v>
      </c>
      <c r="BH1303" t="s">
        <v>2388</v>
      </c>
      <c r="BI1303">
        <v>-81.586643527472006</v>
      </c>
      <c r="BJ1303">
        <v>30.5923618518807</v>
      </c>
      <c r="BK1303" t="s">
        <v>13272</v>
      </c>
      <c r="BM1303" t="s">
        <v>13271</v>
      </c>
      <c r="BN1303" t="s">
        <v>1778</v>
      </c>
      <c r="BO1303">
        <v>32097</v>
      </c>
      <c r="BP1303" t="s">
        <v>404</v>
      </c>
      <c r="BQ1303">
        <v>1</v>
      </c>
      <c r="BR1303" t="s">
        <v>491</v>
      </c>
      <c r="BS1303">
        <v>8001</v>
      </c>
      <c r="BT1303" t="s">
        <v>492</v>
      </c>
      <c r="BW1303">
        <v>51979</v>
      </c>
      <c r="BX1303" t="s">
        <v>407</v>
      </c>
      <c r="BY1303" t="s">
        <v>408</v>
      </c>
      <c r="CD1303">
        <v>2017</v>
      </c>
      <c r="CE1303">
        <v>28000</v>
      </c>
      <c r="CF1303">
        <v>8692</v>
      </c>
      <c r="CG1303">
        <v>36692</v>
      </c>
      <c r="CH1303">
        <v>2017</v>
      </c>
      <c r="CI1303">
        <v>28000</v>
      </c>
      <c r="CJ1303">
        <v>8692</v>
      </c>
      <c r="CK1303">
        <v>36692</v>
      </c>
      <c r="CL1303">
        <v>2017</v>
      </c>
      <c r="CM1303">
        <v>527.71</v>
      </c>
      <c r="CN1303" s="1">
        <v>42160</v>
      </c>
      <c r="CZ1303" s="1">
        <v>42160</v>
      </c>
      <c r="DD1303" t="s">
        <v>2387</v>
      </c>
      <c r="DF1303">
        <v>7</v>
      </c>
      <c r="DG1303">
        <v>42</v>
      </c>
      <c r="DJ1303" t="s">
        <v>13225</v>
      </c>
      <c r="DL1303">
        <v>50302</v>
      </c>
      <c r="DM1303" t="s">
        <v>12468</v>
      </c>
      <c r="DO1303" t="s">
        <v>13273</v>
      </c>
      <c r="DP1303">
        <v>0</v>
      </c>
      <c r="DQ1303">
        <v>0</v>
      </c>
      <c r="DR1303" t="s">
        <v>411</v>
      </c>
      <c r="DS1303" t="b">
        <v>1</v>
      </c>
      <c r="DT1303" t="s">
        <v>470</v>
      </c>
      <c r="DU1303" t="s">
        <v>471</v>
      </c>
      <c r="DV1303" t="s">
        <v>472</v>
      </c>
      <c r="DX1303">
        <v>-9999</v>
      </c>
      <c r="DZ1303" t="s">
        <v>447</v>
      </c>
      <c r="EA1303" t="s">
        <v>448</v>
      </c>
      <c r="EB1303" t="s">
        <v>742</v>
      </c>
      <c r="EC1303">
        <v>20101217</v>
      </c>
      <c r="ED1303" t="s">
        <v>474</v>
      </c>
      <c r="EF1303">
        <v>1941.5</v>
      </c>
      <c r="EG1303">
        <v>1104.7</v>
      </c>
      <c r="EI1303">
        <v>20160407</v>
      </c>
      <c r="EJ1303">
        <v>0</v>
      </c>
      <c r="EK1303">
        <v>0</v>
      </c>
      <c r="EP1303" t="s">
        <v>421</v>
      </c>
      <c r="EQ1303" t="s">
        <v>422</v>
      </c>
      <c r="ER1303">
        <v>2</v>
      </c>
      <c r="ES1303">
        <v>2</v>
      </c>
      <c r="ET1303">
        <v>1019.7</v>
      </c>
      <c r="EU1303">
        <v>195.9</v>
      </c>
      <c r="EV1303">
        <v>1215.5999999999999</v>
      </c>
      <c r="EW1303" s="2">
        <v>43222</v>
      </c>
      <c r="EX1303" s="1">
        <v>42879</v>
      </c>
      <c r="EY1303">
        <v>2016</v>
      </c>
      <c r="EZ1303">
        <v>531.72</v>
      </c>
      <c r="FA1303" t="s">
        <v>13274</v>
      </c>
      <c r="FB1303">
        <v>6.5</v>
      </c>
      <c r="FC1303" t="s">
        <v>424</v>
      </c>
      <c r="FD1303" t="s">
        <v>454</v>
      </c>
      <c r="FF1303">
        <v>12</v>
      </c>
      <c r="FG1303">
        <v>10125</v>
      </c>
      <c r="FH1303" t="s">
        <v>440</v>
      </c>
      <c r="FJ1303" s="1">
        <v>42515</v>
      </c>
      <c r="FK1303">
        <v>2015</v>
      </c>
      <c r="FL1303">
        <v>487.98</v>
      </c>
      <c r="FM1303" t="s">
        <v>13275</v>
      </c>
      <c r="FN1303">
        <v>15.25</v>
      </c>
      <c r="FO1303" t="s">
        <v>424</v>
      </c>
      <c r="FP1303" t="s">
        <v>454</v>
      </c>
      <c r="FR1303">
        <v>24</v>
      </c>
      <c r="FS1303">
        <v>10628</v>
      </c>
      <c r="FT1303" t="s">
        <v>943</v>
      </c>
      <c r="FV1303" s="1">
        <v>42151</v>
      </c>
      <c r="FW1303">
        <v>2014</v>
      </c>
      <c r="FX1303">
        <v>456.15</v>
      </c>
      <c r="FY1303" t="s">
        <v>13276</v>
      </c>
      <c r="FZ1303">
        <v>4.75</v>
      </c>
      <c r="GA1303" t="s">
        <v>424</v>
      </c>
      <c r="GB1303" t="s">
        <v>425</v>
      </c>
      <c r="GC1303" s="1">
        <v>42787</v>
      </c>
      <c r="GD1303">
        <v>21</v>
      </c>
      <c r="GE1303">
        <v>4975593</v>
      </c>
      <c r="GF1303" t="s">
        <v>505</v>
      </c>
      <c r="GH1303" s="1">
        <v>41787</v>
      </c>
      <c r="GI1303">
        <v>2013</v>
      </c>
      <c r="GJ1303">
        <v>432.94</v>
      </c>
      <c r="GK1303" t="s">
        <v>13277</v>
      </c>
      <c r="GL1303">
        <v>0.25</v>
      </c>
      <c r="GM1303" t="s">
        <v>424</v>
      </c>
      <c r="GN1303" t="s">
        <v>425</v>
      </c>
      <c r="GO1303" s="1">
        <v>41886</v>
      </c>
      <c r="GP1303">
        <v>4</v>
      </c>
      <c r="GQ1303">
        <v>10125</v>
      </c>
      <c r="GR1303" t="s">
        <v>440</v>
      </c>
    </row>
    <row r="1304" spans="1:296" x14ac:dyDescent="0.25">
      <c r="A1304">
        <v>16486311</v>
      </c>
      <c r="B1304">
        <v>1303</v>
      </c>
      <c r="C1304" t="s">
        <v>393</v>
      </c>
      <c r="D1304" t="s">
        <v>394</v>
      </c>
      <c r="F1304" t="str">
        <f>"42-2N-27-4612-0006-0110"</f>
        <v>42-2N-27-4612-0006-0110</v>
      </c>
      <c r="H1304" t="str">
        <f>"BROWN ROBYN L"</f>
        <v>BROWN ROBYN L</v>
      </c>
      <c r="I1304" t="str">
        <f>"85362 JOANN ROAD"</f>
        <v>85362 JOANN ROAD</v>
      </c>
      <c r="J1304" t="str">
        <f t="shared" si="443"/>
        <v>YULEE FL 32097</v>
      </c>
      <c r="K1304" t="str">
        <f>"85362 JOANN RD"</f>
        <v>85362 JOANN RD</v>
      </c>
      <c r="L1304" t="str">
        <f t="shared" si="430"/>
        <v>YULEE FL 32097</v>
      </c>
      <c r="M1304" t="str">
        <f>"BLOCK 6 LOT 11 IN OR 1100/1372 2001 MERIT QUAD/WIDE YULEE WOODS 2 PB 5/83 &amp; 84"</f>
        <v>BLOCK 6 LOT 11 IN OR 1100/1372 2001 MERIT QUAD/WIDE YULEE WOODS 2 PB 5/83 &amp; 84</v>
      </c>
      <c r="N1304" t="str">
        <f>""</f>
        <v/>
      </c>
      <c r="O1304" t="str">
        <f>"48704"</f>
        <v>48704</v>
      </c>
      <c r="P1304" t="str">
        <f t="shared" si="433"/>
        <v>2017</v>
      </c>
      <c r="Q1304" t="str">
        <f>""</f>
        <v/>
      </c>
      <c r="R1304" t="str">
        <f>"N"</f>
        <v>N</v>
      </c>
      <c r="S1304" t="str">
        <f>""</f>
        <v/>
      </c>
      <c r="T1304" t="str">
        <f>"1819.08"</f>
        <v>1819.08</v>
      </c>
      <c r="U1304" t="str">
        <f>"107743.00"</f>
        <v>107743.00</v>
      </c>
      <c r="V1304" t="str">
        <f>"107743.00"</f>
        <v>107743.00</v>
      </c>
      <c r="W1304" t="str">
        <f t="shared" si="434"/>
        <v>2017</v>
      </c>
      <c r="X1304" t="str">
        <f>"11.00"</f>
        <v>11.00</v>
      </c>
      <c r="Y1304" t="str">
        <f>"1905.65"</f>
        <v>1905.65</v>
      </c>
      <c r="Z1304" t="str">
        <f>""</f>
        <v/>
      </c>
      <c r="AA1304" t="str">
        <f>"136233.00"</f>
        <v>136233.00</v>
      </c>
      <c r="AB1304" t="str">
        <f t="shared" si="439"/>
        <v>Residential</v>
      </c>
      <c r="AC1304" t="str">
        <f t="shared" ref="AC1304:AC1367" si="445">"0"</f>
        <v>0</v>
      </c>
      <c r="AD1304" t="str">
        <f>"4"</f>
        <v>4</v>
      </c>
      <c r="AE1304" t="str">
        <f>"WOOD (INCLUDE STEEL STUDS)"</f>
        <v>WOOD (INCLUDE STEEL STUDS)</v>
      </c>
      <c r="AF1304" t="str">
        <f>"002"</f>
        <v>002</v>
      </c>
      <c r="AG1304" t="str">
        <f t="shared" si="444"/>
        <v>FL</v>
      </c>
      <c r="AH1304" t="str">
        <f t="shared" si="442"/>
        <v>-</v>
      </c>
      <c r="AI1304" t="str">
        <f t="shared" si="441"/>
        <v>28000.00</v>
      </c>
      <c r="AJ1304" t="str">
        <f>"C55-000-588-2283-4"</f>
        <v>C55-000-588-2283-4</v>
      </c>
      <c r="AK1304" t="str">
        <f>"22378"</f>
        <v>22378</v>
      </c>
      <c r="AL1304">
        <v>5</v>
      </c>
      <c r="AM1304">
        <v>1487</v>
      </c>
      <c r="AN1304">
        <v>1999.33</v>
      </c>
      <c r="AQ1304" t="s">
        <v>13278</v>
      </c>
      <c r="AR1304" t="s">
        <v>13278</v>
      </c>
      <c r="AS1304" t="s">
        <v>13278</v>
      </c>
      <c r="AU1304" t="s">
        <v>396</v>
      </c>
      <c r="AV1304">
        <v>2017</v>
      </c>
      <c r="AW1304" t="str">
        <f>"42-2N-27-4612-0006-0110 "</f>
        <v xml:space="preserve">42-2N-27-4612-0006-0110 </v>
      </c>
      <c r="AX1304">
        <v>85362</v>
      </c>
      <c r="AZ1304" t="s">
        <v>13247</v>
      </c>
      <c r="BA1304" t="s">
        <v>496</v>
      </c>
      <c r="BD1304" t="s">
        <v>2387</v>
      </c>
      <c r="BE1304" t="s">
        <v>393</v>
      </c>
      <c r="BF1304">
        <v>32097</v>
      </c>
      <c r="BG1304" t="s">
        <v>6436</v>
      </c>
      <c r="BH1304" t="s">
        <v>2388</v>
      </c>
      <c r="BI1304">
        <v>-81.580489884655407</v>
      </c>
      <c r="BJ1304">
        <v>30.5950285842538</v>
      </c>
      <c r="BK1304" t="s">
        <v>6435</v>
      </c>
      <c r="BM1304" t="s">
        <v>6436</v>
      </c>
      <c r="BN1304" t="s">
        <v>1778</v>
      </c>
      <c r="BO1304">
        <v>32097</v>
      </c>
      <c r="BP1304" t="s">
        <v>416</v>
      </c>
      <c r="BQ1304">
        <v>200</v>
      </c>
      <c r="BR1304" t="s">
        <v>405</v>
      </c>
      <c r="BS1304">
        <v>1006</v>
      </c>
      <c r="BT1304" t="s">
        <v>406</v>
      </c>
      <c r="BW1304">
        <v>43650</v>
      </c>
      <c r="BX1304" t="s">
        <v>407</v>
      </c>
      <c r="BY1304" t="s">
        <v>408</v>
      </c>
      <c r="BZ1304">
        <v>4</v>
      </c>
      <c r="CA1304">
        <v>2001</v>
      </c>
      <c r="CC1304">
        <v>1</v>
      </c>
      <c r="CD1304">
        <v>2017</v>
      </c>
      <c r="CE1304">
        <v>28000</v>
      </c>
      <c r="CF1304">
        <v>108233</v>
      </c>
      <c r="CG1304">
        <v>136233</v>
      </c>
      <c r="CH1304">
        <v>2017</v>
      </c>
      <c r="CI1304">
        <v>28000</v>
      </c>
      <c r="CJ1304">
        <v>108233</v>
      </c>
      <c r="CK1304">
        <v>136233</v>
      </c>
      <c r="CL1304">
        <v>2017</v>
      </c>
      <c r="CM1304">
        <v>1819.08</v>
      </c>
      <c r="CN1304" s="1">
        <v>37603</v>
      </c>
      <c r="CO1304">
        <v>25000</v>
      </c>
      <c r="CV1304">
        <v>116250</v>
      </c>
      <c r="CZ1304" s="1">
        <v>37603</v>
      </c>
      <c r="DA1304">
        <v>0</v>
      </c>
      <c r="DD1304" t="s">
        <v>2387</v>
      </c>
      <c r="DF1304">
        <v>11</v>
      </c>
      <c r="DG1304">
        <v>42</v>
      </c>
      <c r="DL1304">
        <v>50302</v>
      </c>
      <c r="DM1304" t="s">
        <v>12468</v>
      </c>
      <c r="DO1304" t="s">
        <v>13279</v>
      </c>
      <c r="DP1304">
        <v>0</v>
      </c>
      <c r="DQ1304">
        <v>0</v>
      </c>
      <c r="DR1304" t="s">
        <v>411</v>
      </c>
      <c r="DS1304" t="b">
        <v>1</v>
      </c>
      <c r="DT1304" t="s">
        <v>470</v>
      </c>
      <c r="DU1304" t="s">
        <v>471</v>
      </c>
      <c r="DV1304" t="s">
        <v>472</v>
      </c>
      <c r="DX1304">
        <v>-9999</v>
      </c>
      <c r="DZ1304" t="s">
        <v>447</v>
      </c>
      <c r="EA1304" t="s">
        <v>448</v>
      </c>
      <c r="EB1304" t="s">
        <v>742</v>
      </c>
      <c r="EC1304">
        <v>20101217</v>
      </c>
      <c r="ED1304" t="s">
        <v>474</v>
      </c>
      <c r="EF1304">
        <v>2973.5</v>
      </c>
      <c r="EG1304">
        <v>2796.8</v>
      </c>
      <c r="EI1304">
        <v>20160407</v>
      </c>
      <c r="EJ1304">
        <v>0</v>
      </c>
      <c r="EK1304">
        <v>0</v>
      </c>
      <c r="EP1304" t="s">
        <v>421</v>
      </c>
      <c r="EQ1304" t="s">
        <v>422</v>
      </c>
      <c r="ER1304">
        <v>2</v>
      </c>
      <c r="ES1304">
        <v>4</v>
      </c>
      <c r="ET1304">
        <v>3306.24</v>
      </c>
      <c r="EU1304">
        <v>177.81</v>
      </c>
      <c r="EV1304">
        <v>3484.05</v>
      </c>
      <c r="EW1304" s="2">
        <v>43222</v>
      </c>
      <c r="EX1304" s="1">
        <v>42879</v>
      </c>
      <c r="EY1304">
        <v>2016</v>
      </c>
      <c r="EZ1304">
        <v>1653.12</v>
      </c>
      <c r="FA1304" t="s">
        <v>13280</v>
      </c>
      <c r="FB1304">
        <v>0.25</v>
      </c>
      <c r="FC1304" t="s">
        <v>424</v>
      </c>
      <c r="FD1304" t="s">
        <v>454</v>
      </c>
      <c r="FF1304">
        <v>12</v>
      </c>
      <c r="FG1304">
        <v>7336671</v>
      </c>
      <c r="FH1304" t="s">
        <v>437</v>
      </c>
      <c r="FJ1304" s="1">
        <v>42879</v>
      </c>
      <c r="FK1304">
        <v>2016</v>
      </c>
      <c r="FL1304">
        <v>1653.12</v>
      </c>
      <c r="FM1304" t="s">
        <v>13280</v>
      </c>
      <c r="FN1304">
        <v>0.25</v>
      </c>
      <c r="FO1304" t="s">
        <v>424</v>
      </c>
      <c r="FP1304" t="s">
        <v>454</v>
      </c>
      <c r="FR1304">
        <v>12</v>
      </c>
      <c r="FS1304">
        <v>6969393</v>
      </c>
      <c r="FT1304" t="s">
        <v>13281</v>
      </c>
      <c r="FV1304" s="1">
        <v>42515</v>
      </c>
      <c r="FW1304">
        <v>2015</v>
      </c>
      <c r="FX1304">
        <v>1759.2</v>
      </c>
      <c r="FY1304" t="s">
        <v>13282</v>
      </c>
      <c r="FZ1304">
        <v>0.25</v>
      </c>
      <c r="GA1304" t="s">
        <v>424</v>
      </c>
      <c r="GB1304" t="s">
        <v>425</v>
      </c>
      <c r="GC1304" s="1">
        <v>42828</v>
      </c>
      <c r="GD1304">
        <v>11</v>
      </c>
      <c r="GE1304">
        <v>7045074</v>
      </c>
      <c r="GF1304" t="s">
        <v>580</v>
      </c>
      <c r="GH1304" s="1">
        <v>42515</v>
      </c>
      <c r="GI1304">
        <v>2015</v>
      </c>
      <c r="GJ1304">
        <v>1759.2</v>
      </c>
      <c r="GK1304" t="s">
        <v>13282</v>
      </c>
      <c r="GL1304">
        <v>0.25</v>
      </c>
      <c r="GM1304" t="s">
        <v>424</v>
      </c>
      <c r="GN1304" t="s">
        <v>425</v>
      </c>
      <c r="GP1304">
        <v>22</v>
      </c>
      <c r="GQ1304">
        <v>6516176</v>
      </c>
      <c r="GR1304" t="s">
        <v>13283</v>
      </c>
      <c r="GT1304" s="1">
        <v>42151</v>
      </c>
      <c r="GU1304">
        <v>2014</v>
      </c>
      <c r="GV1304">
        <v>1919.95</v>
      </c>
      <c r="GW1304" t="s">
        <v>13284</v>
      </c>
      <c r="GX1304">
        <v>0.25</v>
      </c>
      <c r="GY1304" t="s">
        <v>424</v>
      </c>
      <c r="GZ1304" t="s">
        <v>425</v>
      </c>
      <c r="HA1304" s="1">
        <v>42480</v>
      </c>
      <c r="HB1304">
        <v>11</v>
      </c>
      <c r="HC1304">
        <v>4975594</v>
      </c>
      <c r="HD1304" t="s">
        <v>457</v>
      </c>
      <c r="HF1304" s="1">
        <v>42151</v>
      </c>
      <c r="HG1304">
        <v>2014</v>
      </c>
      <c r="HH1304">
        <v>1919.95</v>
      </c>
      <c r="HI1304" t="s">
        <v>13284</v>
      </c>
      <c r="HJ1304">
        <v>0.25</v>
      </c>
      <c r="HK1304" t="s">
        <v>424</v>
      </c>
      <c r="HL1304" t="s">
        <v>425</v>
      </c>
      <c r="HN1304">
        <v>22</v>
      </c>
      <c r="HO1304">
        <v>6384942</v>
      </c>
      <c r="HP1304" t="s">
        <v>13285</v>
      </c>
    </row>
    <row r="1305" spans="1:296" x14ac:dyDescent="0.25">
      <c r="A1305">
        <v>16486312</v>
      </c>
      <c r="B1305">
        <v>1304</v>
      </c>
      <c r="C1305" t="s">
        <v>393</v>
      </c>
      <c r="D1305" t="s">
        <v>394</v>
      </c>
      <c r="F1305" t="str">
        <f>"42-2N-27-4612-0007-0110"</f>
        <v>42-2N-27-4612-0007-0110</v>
      </c>
      <c r="H1305" t="str">
        <f>"SHEFFIELD CHARLES &amp; GWENDOLYN"</f>
        <v>SHEFFIELD CHARLES &amp; GWENDOLYN</v>
      </c>
      <c r="I1305" t="str">
        <f>"85534 KIRKLAND RD"</f>
        <v>85534 KIRKLAND RD</v>
      </c>
      <c r="J1305" t="str">
        <f t="shared" si="443"/>
        <v>YULEE FL 32097</v>
      </c>
      <c r="K1305" t="str">
        <f>"85534 KIRKLAND RD"</f>
        <v>85534 KIRKLAND RD</v>
      </c>
      <c r="L1305" t="str">
        <f t="shared" si="430"/>
        <v>YULEE FL 32097</v>
      </c>
      <c r="M1305" t="str">
        <f>"BLOCK 7 LOT 11 IN OR 519 PG 17 R621742 &amp; R621743 &amp; R621744 YULEE WOODS 2 PB 5/83 &amp; 84"</f>
        <v>BLOCK 7 LOT 11 IN OR 519 PG 17 R621742 &amp; R621743 &amp; R621744 YULEE WOODS 2 PB 5/83 &amp; 84</v>
      </c>
      <c r="N1305" t="str">
        <f>""</f>
        <v/>
      </c>
      <c r="O1305" t="str">
        <f>"48727"</f>
        <v>48727</v>
      </c>
      <c r="P1305" t="str">
        <f t="shared" si="433"/>
        <v>2017</v>
      </c>
      <c r="Q1305" t="str">
        <f>""</f>
        <v/>
      </c>
      <c r="R1305" t="str">
        <f>"Y"</f>
        <v>Y</v>
      </c>
      <c r="S1305" t="str">
        <f>""</f>
        <v/>
      </c>
      <c r="T1305" t="str">
        <f>"440.67"</f>
        <v>440.67</v>
      </c>
      <c r="U1305" t="str">
        <f>"58187.00"</f>
        <v>58187.00</v>
      </c>
      <c r="V1305" t="str">
        <f>"58187.00"</f>
        <v>58187.00</v>
      </c>
      <c r="W1305" t="str">
        <f t="shared" si="434"/>
        <v>2017</v>
      </c>
      <c r="X1305" t="str">
        <f>"18.11"</f>
        <v>18.11</v>
      </c>
      <c r="Y1305" t="str">
        <f>"485.89"</f>
        <v>485.89</v>
      </c>
      <c r="Z1305" t="str">
        <f>"25000.00"</f>
        <v>25000.00</v>
      </c>
      <c r="AA1305" t="str">
        <f>"33187.00"</f>
        <v>33187.00</v>
      </c>
      <c r="AB1305" t="str">
        <f t="shared" si="439"/>
        <v>Residential</v>
      </c>
      <c r="AC1305" t="str">
        <f t="shared" si="445"/>
        <v>0</v>
      </c>
      <c r="AD1305" t="str">
        <f>"4"</f>
        <v>4</v>
      </c>
      <c r="AE1305" t="str">
        <f>"WOOD (INCLUDE STEEL STUDS)"</f>
        <v>WOOD (INCLUDE STEEL STUDS)</v>
      </c>
      <c r="AF1305" t="str">
        <f>"002"</f>
        <v>002</v>
      </c>
      <c r="AG1305" t="str">
        <f t="shared" si="444"/>
        <v>FL</v>
      </c>
      <c r="AH1305" t="str">
        <f t="shared" si="442"/>
        <v>-</v>
      </c>
      <c r="AI1305" t="str">
        <f t="shared" si="441"/>
        <v>28000.00</v>
      </c>
      <c r="AJ1305" t="str">
        <f>"C55-000-588-2306-3"</f>
        <v>C55-000-588-2306-3</v>
      </c>
      <c r="AK1305" t="str">
        <f>"22401"</f>
        <v>22401</v>
      </c>
      <c r="AL1305">
        <v>5</v>
      </c>
      <c r="AM1305">
        <v>1488</v>
      </c>
      <c r="AN1305">
        <v>508.58</v>
      </c>
      <c r="AQ1305" t="s">
        <v>13286</v>
      </c>
      <c r="AR1305" t="s">
        <v>13286</v>
      </c>
      <c r="AS1305" t="s">
        <v>13286</v>
      </c>
      <c r="AU1305" t="s">
        <v>396</v>
      </c>
      <c r="AV1305">
        <v>2017</v>
      </c>
      <c r="AW1305" t="str">
        <f>"42-2N-27-4612-0007-0110 "</f>
        <v xml:space="preserve">42-2N-27-4612-0007-0110 </v>
      </c>
      <c r="AX1305">
        <v>85534</v>
      </c>
      <c r="AZ1305" t="s">
        <v>13287</v>
      </c>
      <c r="BA1305" t="s">
        <v>496</v>
      </c>
      <c r="BD1305" t="s">
        <v>2387</v>
      </c>
      <c r="BE1305" t="s">
        <v>393</v>
      </c>
      <c r="BF1305">
        <v>32097</v>
      </c>
      <c r="BG1305" t="s">
        <v>13288</v>
      </c>
      <c r="BH1305" t="s">
        <v>2388</v>
      </c>
      <c r="BI1305">
        <v>-81.575555982539797</v>
      </c>
      <c r="BJ1305">
        <v>30.602852181804298</v>
      </c>
      <c r="BK1305" t="s">
        <v>13289</v>
      </c>
      <c r="BL1305" t="s">
        <v>13290</v>
      </c>
      <c r="BM1305" t="s">
        <v>13288</v>
      </c>
      <c r="BN1305" t="s">
        <v>1778</v>
      </c>
      <c r="BO1305">
        <v>32097</v>
      </c>
      <c r="BP1305" t="s">
        <v>416</v>
      </c>
      <c r="BQ1305">
        <v>200</v>
      </c>
      <c r="BR1305" t="s">
        <v>405</v>
      </c>
      <c r="BS1305">
        <v>1006</v>
      </c>
      <c r="BT1305" t="s">
        <v>406</v>
      </c>
      <c r="BW1305">
        <v>43651</v>
      </c>
      <c r="BX1305" t="s">
        <v>407</v>
      </c>
      <c r="BY1305" t="s">
        <v>408</v>
      </c>
      <c r="BZ1305">
        <v>4</v>
      </c>
      <c r="CA1305">
        <v>1994</v>
      </c>
      <c r="CB1305">
        <v>1</v>
      </c>
      <c r="CC1305">
        <v>1</v>
      </c>
      <c r="CD1305">
        <v>2017</v>
      </c>
      <c r="CG1305">
        <v>58187</v>
      </c>
      <c r="CH1305">
        <v>2017</v>
      </c>
      <c r="CI1305">
        <v>28000</v>
      </c>
      <c r="CJ1305">
        <v>55848</v>
      </c>
      <c r="CK1305">
        <v>83848</v>
      </c>
      <c r="CL1305">
        <v>2017</v>
      </c>
      <c r="CM1305">
        <v>440.67</v>
      </c>
      <c r="CN1305" s="1">
        <v>31929</v>
      </c>
      <c r="CO1305">
        <v>12500</v>
      </c>
      <c r="CZ1305" s="1">
        <v>31929</v>
      </c>
      <c r="DD1305" t="s">
        <v>2387</v>
      </c>
      <c r="DF1305">
        <v>11</v>
      </c>
      <c r="DG1305">
        <v>42</v>
      </c>
      <c r="DL1305">
        <v>50302</v>
      </c>
      <c r="DM1305" t="s">
        <v>12468</v>
      </c>
      <c r="DO1305" t="s">
        <v>13291</v>
      </c>
      <c r="DP1305">
        <v>0</v>
      </c>
      <c r="DQ1305">
        <v>0</v>
      </c>
      <c r="DR1305" t="s">
        <v>411</v>
      </c>
      <c r="DS1305" t="b">
        <v>1</v>
      </c>
      <c r="DT1305" t="s">
        <v>470</v>
      </c>
      <c r="DU1305" t="s">
        <v>471</v>
      </c>
      <c r="DV1305" t="s">
        <v>472</v>
      </c>
      <c r="DX1305">
        <v>-9999</v>
      </c>
      <c r="DZ1305" t="s">
        <v>447</v>
      </c>
      <c r="EA1305" t="s">
        <v>448</v>
      </c>
      <c r="EB1305" t="s">
        <v>742</v>
      </c>
      <c r="EC1305">
        <v>20101217</v>
      </c>
      <c r="ED1305" t="s">
        <v>474</v>
      </c>
      <c r="EF1305">
        <v>2026.2</v>
      </c>
      <c r="EG1305">
        <v>1817.8</v>
      </c>
      <c r="EI1305">
        <v>20160407</v>
      </c>
      <c r="EJ1305">
        <v>0</v>
      </c>
      <c r="EK1305">
        <v>0</v>
      </c>
      <c r="EP1305" t="s">
        <v>421</v>
      </c>
      <c r="EQ1305" t="s">
        <v>422</v>
      </c>
      <c r="ER1305">
        <v>2</v>
      </c>
      <c r="ES1305">
        <v>7</v>
      </c>
      <c r="ET1305">
        <v>1004.5</v>
      </c>
      <c r="EU1305">
        <v>62.73</v>
      </c>
      <c r="EV1305">
        <v>1067.23</v>
      </c>
      <c r="EW1305" s="2">
        <v>43222</v>
      </c>
      <c r="EX1305" s="1">
        <v>42879</v>
      </c>
      <c r="EY1305">
        <v>2016</v>
      </c>
      <c r="EZ1305">
        <v>502.25</v>
      </c>
      <c r="FA1305" t="s">
        <v>13292</v>
      </c>
      <c r="FB1305">
        <v>0.25</v>
      </c>
      <c r="FC1305" t="s">
        <v>424</v>
      </c>
      <c r="FD1305" t="s">
        <v>454</v>
      </c>
      <c r="FF1305">
        <v>12</v>
      </c>
      <c r="FG1305">
        <v>2851116</v>
      </c>
      <c r="FH1305" t="s">
        <v>480</v>
      </c>
      <c r="FJ1305" s="1">
        <v>42879</v>
      </c>
      <c r="FK1305">
        <v>2016</v>
      </c>
      <c r="FL1305">
        <v>502.25</v>
      </c>
      <c r="FM1305" t="s">
        <v>13292</v>
      </c>
      <c r="FN1305">
        <v>0.25</v>
      </c>
      <c r="FO1305" t="s">
        <v>424</v>
      </c>
      <c r="FP1305" t="s">
        <v>454</v>
      </c>
      <c r="FR1305">
        <v>12</v>
      </c>
      <c r="FS1305">
        <v>4899384</v>
      </c>
      <c r="FT1305" t="s">
        <v>13293</v>
      </c>
      <c r="FV1305" s="1">
        <v>42151</v>
      </c>
      <c r="FW1305">
        <v>2014</v>
      </c>
      <c r="FX1305">
        <v>508.22</v>
      </c>
      <c r="FY1305" t="s">
        <v>13294</v>
      </c>
      <c r="FZ1305">
        <v>0.25</v>
      </c>
      <c r="GA1305" t="s">
        <v>424</v>
      </c>
      <c r="GB1305" t="s">
        <v>425</v>
      </c>
      <c r="GC1305" s="1">
        <v>42508</v>
      </c>
      <c r="GD1305">
        <v>12</v>
      </c>
      <c r="GE1305">
        <v>2851116</v>
      </c>
      <c r="GF1305" t="s">
        <v>480</v>
      </c>
      <c r="GH1305" s="1">
        <v>42151</v>
      </c>
      <c r="GI1305">
        <v>2014</v>
      </c>
      <c r="GJ1305">
        <v>508.22</v>
      </c>
      <c r="GK1305" t="s">
        <v>13294</v>
      </c>
      <c r="GL1305">
        <v>0.25</v>
      </c>
      <c r="GM1305" t="s">
        <v>424</v>
      </c>
      <c r="GN1305" t="s">
        <v>425</v>
      </c>
      <c r="GP1305">
        <v>22</v>
      </c>
      <c r="GQ1305">
        <v>5086176</v>
      </c>
      <c r="GR1305" t="s">
        <v>13295</v>
      </c>
      <c r="GT1305" s="1">
        <v>41787</v>
      </c>
      <c r="GU1305">
        <v>2013</v>
      </c>
      <c r="GV1305">
        <v>609.82000000000005</v>
      </c>
      <c r="GW1305" t="s">
        <v>13296</v>
      </c>
      <c r="GX1305">
        <v>0.25</v>
      </c>
      <c r="GY1305" t="s">
        <v>424</v>
      </c>
      <c r="GZ1305" t="s">
        <v>425</v>
      </c>
      <c r="HB1305">
        <v>22</v>
      </c>
      <c r="HC1305">
        <v>11289</v>
      </c>
      <c r="HD1305" t="s">
        <v>787</v>
      </c>
      <c r="HF1305" s="1">
        <v>41787</v>
      </c>
      <c r="HG1305">
        <v>2013</v>
      </c>
      <c r="HH1305">
        <v>609.82000000000005</v>
      </c>
      <c r="HI1305" t="s">
        <v>13296</v>
      </c>
      <c r="HJ1305">
        <v>0.25</v>
      </c>
      <c r="HK1305" t="s">
        <v>424</v>
      </c>
      <c r="HL1305" t="s">
        <v>425</v>
      </c>
      <c r="HM1305" s="1">
        <v>42425</v>
      </c>
      <c r="HN1305">
        <v>21</v>
      </c>
      <c r="HO1305">
        <v>4844954</v>
      </c>
      <c r="HP1305" t="s">
        <v>1719</v>
      </c>
      <c r="HR1305" s="1">
        <v>41423</v>
      </c>
      <c r="HS1305">
        <v>2012</v>
      </c>
      <c r="HT1305">
        <v>633.54</v>
      </c>
      <c r="HU1305" t="s">
        <v>13297</v>
      </c>
      <c r="HV1305">
        <v>0.25</v>
      </c>
      <c r="HW1305" t="s">
        <v>424</v>
      </c>
      <c r="HX1305" t="s">
        <v>425</v>
      </c>
      <c r="HY1305" s="1">
        <v>42058</v>
      </c>
      <c r="HZ1305">
        <v>21</v>
      </c>
      <c r="IA1305">
        <v>15399</v>
      </c>
      <c r="IB1305" t="s">
        <v>485</v>
      </c>
      <c r="ID1305" s="1">
        <v>41052</v>
      </c>
      <c r="IE1305">
        <v>2011</v>
      </c>
      <c r="IF1305">
        <v>657.34</v>
      </c>
      <c r="IG1305" t="s">
        <v>13298</v>
      </c>
      <c r="IH1305">
        <v>6</v>
      </c>
      <c r="II1305" t="s">
        <v>424</v>
      </c>
      <c r="IJ1305" t="s">
        <v>425</v>
      </c>
      <c r="IK1305" s="1">
        <v>41409</v>
      </c>
      <c r="IL1305">
        <v>12</v>
      </c>
      <c r="IM1305">
        <v>1109</v>
      </c>
      <c r="IN1305" t="s">
        <v>852</v>
      </c>
      <c r="IP1305" s="1">
        <v>40688</v>
      </c>
      <c r="IQ1305">
        <v>2010</v>
      </c>
      <c r="IR1305">
        <v>650.41</v>
      </c>
      <c r="IS1305" t="s">
        <v>13299</v>
      </c>
      <c r="IT1305">
        <v>6.5</v>
      </c>
      <c r="IU1305" t="s">
        <v>424</v>
      </c>
      <c r="IV1305" t="s">
        <v>425</v>
      </c>
      <c r="IW1305" s="1">
        <v>41053</v>
      </c>
      <c r="IX1305">
        <v>12</v>
      </c>
      <c r="IY1305">
        <v>305</v>
      </c>
      <c r="IZ1305" t="s">
        <v>1078</v>
      </c>
    </row>
    <row r="1306" spans="1:296" x14ac:dyDescent="0.25">
      <c r="A1306">
        <v>16486313</v>
      </c>
      <c r="B1306">
        <v>1305</v>
      </c>
      <c r="C1306" t="s">
        <v>393</v>
      </c>
      <c r="D1306" t="s">
        <v>394</v>
      </c>
      <c r="F1306" t="str">
        <f>"42-2N-27-4612-0007-0200"</f>
        <v>42-2N-27-4612-0007-0200</v>
      </c>
      <c r="H1306" t="str">
        <f>"COFFEY KELLY J &amp; STROUD SHERREE D"</f>
        <v>COFFEY KELLY J &amp; STROUD SHERREE D</v>
      </c>
      <c r="I1306" t="str">
        <f>"85228 KIRKLAND ROAD"</f>
        <v>85228 KIRKLAND ROAD</v>
      </c>
      <c r="J1306" t="str">
        <f t="shared" si="443"/>
        <v>YULEE FL 32097</v>
      </c>
      <c r="K1306" t="str">
        <f>"85228 KIRKLAND RD"</f>
        <v>85228 KIRKLAND RD</v>
      </c>
      <c r="L1306" t="str">
        <f t="shared" si="430"/>
        <v>YULEE FL 32097</v>
      </c>
      <c r="M1306" t="str">
        <f>"BLOCK 7 LOT 20 IN OR 659 PG 1146 YULEE WOODS 2 PB 5/83 &amp; 84"</f>
        <v>BLOCK 7 LOT 20 IN OR 659 PG 1146 YULEE WOODS 2 PB 5/83 &amp; 84</v>
      </c>
      <c r="N1306" t="str">
        <f>""</f>
        <v/>
      </c>
      <c r="O1306" t="str">
        <f>"48736"</f>
        <v>48736</v>
      </c>
      <c r="P1306" t="str">
        <f t="shared" si="433"/>
        <v>2017</v>
      </c>
      <c r="Q1306" t="str">
        <f>""</f>
        <v/>
      </c>
      <c r="R1306" t="str">
        <f>"N"</f>
        <v>N</v>
      </c>
      <c r="S1306" t="str">
        <f>""</f>
        <v/>
      </c>
      <c r="T1306" t="str">
        <f>"522.30"</f>
        <v>522.30</v>
      </c>
      <c r="U1306" t="str">
        <f>"32980.00"</f>
        <v>32980.00</v>
      </c>
      <c r="V1306" t="str">
        <f>"32980.00"</f>
        <v>32980.00</v>
      </c>
      <c r="W1306" t="str">
        <f t="shared" si="434"/>
        <v>2017</v>
      </c>
      <c r="X1306" t="str">
        <f>"14.86"</f>
        <v>14.86</v>
      </c>
      <c r="Y1306" t="str">
        <f>"569.97"</f>
        <v>569.97</v>
      </c>
      <c r="Z1306" t="str">
        <f>""</f>
        <v/>
      </c>
      <c r="AA1306" t="str">
        <f>"36468.00"</f>
        <v>36468.00</v>
      </c>
      <c r="AB1306" t="str">
        <f t="shared" si="439"/>
        <v>Residential</v>
      </c>
      <c r="AC1306" t="str">
        <f t="shared" si="445"/>
        <v>0</v>
      </c>
      <c r="AD1306" t="str">
        <f>""</f>
        <v/>
      </c>
      <c r="AE1306" t="str">
        <f>""</f>
        <v/>
      </c>
      <c r="AF1306" t="str">
        <f>"000"</f>
        <v>000</v>
      </c>
      <c r="AG1306" t="str">
        <f t="shared" si="444"/>
        <v>FL</v>
      </c>
      <c r="AH1306" t="str">
        <f t="shared" si="442"/>
        <v>-</v>
      </c>
      <c r="AI1306" t="str">
        <f t="shared" si="441"/>
        <v>28000.00</v>
      </c>
      <c r="AJ1306" t="str">
        <f>"C55-000-588-2315-4"</f>
        <v>C55-000-588-2315-4</v>
      </c>
      <c r="AK1306" t="str">
        <f>"22410"</f>
        <v>22410</v>
      </c>
      <c r="AL1306">
        <v>5</v>
      </c>
      <c r="AM1306">
        <v>1489</v>
      </c>
      <c r="AN1306">
        <v>596.87</v>
      </c>
      <c r="AQ1306" t="s">
        <v>13300</v>
      </c>
      <c r="AR1306" t="s">
        <v>13300</v>
      </c>
      <c r="AS1306" t="s">
        <v>13300</v>
      </c>
      <c r="AU1306" t="s">
        <v>396</v>
      </c>
      <c r="AV1306">
        <v>2017</v>
      </c>
      <c r="AW1306" t="str">
        <f>"42-2N-27-4612-0007-0200 "</f>
        <v xml:space="preserve">42-2N-27-4612-0007-0200 </v>
      </c>
      <c r="AX1306">
        <v>85228</v>
      </c>
      <c r="AZ1306" t="s">
        <v>13287</v>
      </c>
      <c r="BA1306" t="s">
        <v>496</v>
      </c>
      <c r="BD1306" t="s">
        <v>2387</v>
      </c>
      <c r="BE1306" t="s">
        <v>393</v>
      </c>
      <c r="BF1306">
        <v>32097</v>
      </c>
      <c r="BG1306" t="s">
        <v>13301</v>
      </c>
      <c r="BH1306" t="s">
        <v>2388</v>
      </c>
      <c r="BI1306">
        <v>-81.577119126337493</v>
      </c>
      <c r="BJ1306">
        <v>30.5994191051002</v>
      </c>
      <c r="BK1306" t="s">
        <v>13302</v>
      </c>
      <c r="BL1306" t="s">
        <v>13303</v>
      </c>
      <c r="BM1306" t="s">
        <v>13301</v>
      </c>
      <c r="BN1306" t="s">
        <v>1778</v>
      </c>
      <c r="BO1306">
        <v>32097</v>
      </c>
      <c r="BP1306" t="s">
        <v>404</v>
      </c>
      <c r="BQ1306">
        <v>1</v>
      </c>
      <c r="BR1306" t="s">
        <v>491</v>
      </c>
      <c r="BS1306">
        <v>8001</v>
      </c>
      <c r="BT1306" t="s">
        <v>492</v>
      </c>
      <c r="BW1306">
        <v>44405</v>
      </c>
      <c r="BX1306" t="s">
        <v>407</v>
      </c>
      <c r="BY1306" t="s">
        <v>408</v>
      </c>
      <c r="CD1306">
        <v>2017</v>
      </c>
      <c r="CE1306">
        <v>28000</v>
      </c>
      <c r="CF1306">
        <v>8468</v>
      </c>
      <c r="CG1306">
        <v>36468</v>
      </c>
      <c r="CH1306">
        <v>2017</v>
      </c>
      <c r="CI1306">
        <v>28000</v>
      </c>
      <c r="CJ1306">
        <v>8468</v>
      </c>
      <c r="CK1306">
        <v>36468</v>
      </c>
      <c r="CL1306">
        <v>2017</v>
      </c>
      <c r="CM1306">
        <v>522.29999999999995</v>
      </c>
      <c r="CN1306" s="1">
        <v>33752</v>
      </c>
      <c r="CO1306">
        <v>15000</v>
      </c>
      <c r="CZ1306" s="1">
        <v>33752</v>
      </c>
      <c r="DD1306" t="s">
        <v>2387</v>
      </c>
      <c r="DF1306">
        <v>20</v>
      </c>
      <c r="DG1306">
        <v>42</v>
      </c>
      <c r="DJ1306" t="s">
        <v>13225</v>
      </c>
      <c r="DL1306">
        <v>50302</v>
      </c>
      <c r="DM1306" t="s">
        <v>12468</v>
      </c>
      <c r="DO1306" t="s">
        <v>13304</v>
      </c>
      <c r="DP1306">
        <v>0</v>
      </c>
      <c r="DQ1306">
        <v>0</v>
      </c>
      <c r="DR1306" t="s">
        <v>411</v>
      </c>
      <c r="DS1306" t="b">
        <v>1</v>
      </c>
      <c r="DT1306" t="s">
        <v>470</v>
      </c>
      <c r="DU1306" t="s">
        <v>471</v>
      </c>
      <c r="DV1306" t="s">
        <v>472</v>
      </c>
      <c r="DX1306">
        <v>-9999</v>
      </c>
      <c r="DZ1306" t="s">
        <v>447</v>
      </c>
      <c r="EA1306" t="s">
        <v>448</v>
      </c>
      <c r="EB1306" t="s">
        <v>742</v>
      </c>
      <c r="EC1306">
        <v>20101217</v>
      </c>
      <c r="ED1306" t="s">
        <v>474</v>
      </c>
      <c r="EF1306">
        <v>2233.5</v>
      </c>
      <c r="EG1306">
        <v>2030.9</v>
      </c>
      <c r="EH1306" t="s">
        <v>451</v>
      </c>
      <c r="EI1306">
        <v>20140731</v>
      </c>
      <c r="EJ1306">
        <v>0</v>
      </c>
      <c r="EK1306">
        <v>0</v>
      </c>
      <c r="EP1306" t="s">
        <v>421</v>
      </c>
      <c r="EQ1306" t="s">
        <v>422</v>
      </c>
      <c r="ER1306">
        <v>0</v>
      </c>
      <c r="ES1306">
        <v>4</v>
      </c>
      <c r="ET1306">
        <v>0</v>
      </c>
      <c r="EU1306">
        <v>0</v>
      </c>
      <c r="EV1306">
        <v>0</v>
      </c>
      <c r="EW1306" s="2">
        <v>43222</v>
      </c>
      <c r="EX1306" s="1">
        <v>42151</v>
      </c>
      <c r="EY1306">
        <v>2014</v>
      </c>
      <c r="EZ1306">
        <v>454.21</v>
      </c>
      <c r="FA1306" t="s">
        <v>13305</v>
      </c>
      <c r="FB1306">
        <v>4.75</v>
      </c>
      <c r="FC1306" t="s">
        <v>424</v>
      </c>
      <c r="FD1306" t="s">
        <v>425</v>
      </c>
      <c r="FE1306" s="1">
        <v>42460</v>
      </c>
      <c r="FF1306">
        <v>10</v>
      </c>
      <c r="FG1306">
        <v>4975593</v>
      </c>
      <c r="FH1306" t="s">
        <v>505</v>
      </c>
      <c r="FJ1306" s="1">
        <v>41787</v>
      </c>
      <c r="FK1306">
        <v>2013</v>
      </c>
      <c r="FL1306">
        <v>431.61</v>
      </c>
      <c r="FM1306" t="s">
        <v>13306</v>
      </c>
      <c r="FN1306">
        <v>3</v>
      </c>
      <c r="FO1306" t="s">
        <v>424</v>
      </c>
      <c r="FP1306" t="s">
        <v>425</v>
      </c>
      <c r="FQ1306" s="1">
        <v>42460</v>
      </c>
      <c r="FR1306">
        <v>22</v>
      </c>
      <c r="FS1306">
        <v>10125</v>
      </c>
      <c r="FT1306" t="s">
        <v>440</v>
      </c>
      <c r="FV1306" s="1">
        <v>41052</v>
      </c>
      <c r="FW1306">
        <v>2011</v>
      </c>
      <c r="FX1306">
        <v>520.38</v>
      </c>
      <c r="FY1306" t="s">
        <v>13307</v>
      </c>
      <c r="FZ1306">
        <v>5.75</v>
      </c>
      <c r="GA1306" t="s">
        <v>424</v>
      </c>
      <c r="GB1306" t="s">
        <v>425</v>
      </c>
      <c r="GC1306" s="1">
        <v>41388</v>
      </c>
      <c r="GD1306">
        <v>11</v>
      </c>
      <c r="GE1306">
        <v>62</v>
      </c>
      <c r="GF1306" t="s">
        <v>463</v>
      </c>
      <c r="GH1306" s="1">
        <v>40688</v>
      </c>
      <c r="GI1306">
        <v>2010</v>
      </c>
      <c r="GJ1306">
        <v>606.48</v>
      </c>
      <c r="GK1306" t="s">
        <v>13308</v>
      </c>
      <c r="GL1306">
        <v>6.75</v>
      </c>
      <c r="GM1306" t="s">
        <v>424</v>
      </c>
      <c r="GN1306" t="s">
        <v>425</v>
      </c>
      <c r="GO1306" s="1">
        <v>41388</v>
      </c>
      <c r="GP1306">
        <v>23</v>
      </c>
      <c r="GQ1306">
        <v>105</v>
      </c>
      <c r="GR1306" t="s">
        <v>946</v>
      </c>
    </row>
    <row r="1307" spans="1:296" x14ac:dyDescent="0.25">
      <c r="A1307">
        <v>16486314</v>
      </c>
      <c r="B1307">
        <v>1306</v>
      </c>
      <c r="C1307" t="s">
        <v>393</v>
      </c>
      <c r="D1307" t="s">
        <v>394</v>
      </c>
      <c r="F1307" t="str">
        <f>"42-2N-27-4612-0007-0370"</f>
        <v>42-2N-27-4612-0007-0370</v>
      </c>
      <c r="H1307" t="str">
        <f>"HUNTER ROBERT H &amp; WENDY L"</f>
        <v>HUNTER ROBERT H &amp; WENDY L</v>
      </c>
      <c r="I1307" t="str">
        <f>"85163 MINER RD"</f>
        <v>85163 MINER RD</v>
      </c>
      <c r="J1307" t="str">
        <f t="shared" si="443"/>
        <v>YULEE FL 32097</v>
      </c>
      <c r="K1307" t="str">
        <f>"85163 MINER RD"</f>
        <v>85163 MINER RD</v>
      </c>
      <c r="L1307" t="str">
        <f t="shared" si="430"/>
        <v>YULEE FL 32097</v>
      </c>
      <c r="M1307" t="str">
        <f>"BLOCK 7 LOT 37 IN OR 1916/1303 R583382 &amp; R583383 YULEE WOODS 2 PB 5/83 &amp; 84"</f>
        <v>BLOCK 7 LOT 37 IN OR 1916/1303 R583382 &amp; R583383 YULEE WOODS 2 PB 5/83 &amp; 84</v>
      </c>
      <c r="N1307" t="str">
        <f>""</f>
        <v/>
      </c>
      <c r="O1307" t="str">
        <f>"48753"</f>
        <v>48753</v>
      </c>
      <c r="P1307" t="str">
        <f t="shared" si="433"/>
        <v>2017</v>
      </c>
      <c r="Q1307" t="str">
        <f>""</f>
        <v/>
      </c>
      <c r="R1307" t="str">
        <f>"Y"</f>
        <v>Y</v>
      </c>
      <c r="S1307" t="str">
        <f>""</f>
        <v/>
      </c>
      <c r="T1307" t="str">
        <f>"312.98"</f>
        <v>312.98</v>
      </c>
      <c r="U1307" t="str">
        <f>"45674.00"</f>
        <v>45674.00</v>
      </c>
      <c r="V1307" t="str">
        <f>"45674.00"</f>
        <v>45674.00</v>
      </c>
      <c r="W1307" t="str">
        <f t="shared" si="434"/>
        <v>2017</v>
      </c>
      <c r="X1307" t="str">
        <f>"12.50"</f>
        <v>12.50</v>
      </c>
      <c r="Y1307" t="str">
        <f>"354.37"</f>
        <v>354.37</v>
      </c>
      <c r="Z1307" t="str">
        <f>"25000.00"</f>
        <v>25000.00</v>
      </c>
      <c r="AA1307" t="str">
        <f>"20674.00"</f>
        <v>20674.00</v>
      </c>
      <c r="AB1307" t="str">
        <f t="shared" si="439"/>
        <v>Residential</v>
      </c>
      <c r="AC1307" t="str">
        <f t="shared" si="445"/>
        <v>0</v>
      </c>
      <c r="AD1307" t="str">
        <f t="shared" ref="AD1307:AD1317" si="446">"4"</f>
        <v>4</v>
      </c>
      <c r="AE1307" t="str">
        <f t="shared" ref="AE1307:AE1317" si="447">"WOOD (INCLUDE STEEL STUDS)"</f>
        <v>WOOD (INCLUDE STEEL STUDS)</v>
      </c>
      <c r="AF1307" t="str">
        <f t="shared" ref="AF1307:AF1314" si="448">"002"</f>
        <v>002</v>
      </c>
      <c r="AG1307" t="str">
        <f t="shared" si="444"/>
        <v>FL</v>
      </c>
      <c r="AH1307" t="str">
        <f t="shared" si="442"/>
        <v>-</v>
      </c>
      <c r="AI1307" t="str">
        <f t="shared" si="441"/>
        <v>28000.00</v>
      </c>
      <c r="AJ1307" t="str">
        <f>"C55-000-588-2332-9"</f>
        <v>C55-000-588-2332-9</v>
      </c>
      <c r="AK1307" t="str">
        <f>"22427"</f>
        <v>22427</v>
      </c>
      <c r="AL1307">
        <v>5</v>
      </c>
      <c r="AM1307">
        <v>1492</v>
      </c>
      <c r="AN1307">
        <v>370.49</v>
      </c>
      <c r="AQ1307" t="s">
        <v>13309</v>
      </c>
      <c r="AR1307" t="s">
        <v>13309</v>
      </c>
      <c r="AS1307" t="s">
        <v>13309</v>
      </c>
      <c r="AU1307" t="s">
        <v>396</v>
      </c>
      <c r="AV1307">
        <v>2017</v>
      </c>
      <c r="AW1307" t="str">
        <f>"42-2N-27-4612-0007-0370 "</f>
        <v xml:space="preserve">42-2N-27-4612-0007-0370 </v>
      </c>
      <c r="AX1307">
        <v>85163</v>
      </c>
      <c r="AZ1307" t="s">
        <v>12385</v>
      </c>
      <c r="BA1307" t="s">
        <v>496</v>
      </c>
      <c r="BD1307" t="s">
        <v>2387</v>
      </c>
      <c r="BE1307" t="s">
        <v>393</v>
      </c>
      <c r="BF1307">
        <v>32097</v>
      </c>
      <c r="BG1307" t="s">
        <v>13310</v>
      </c>
      <c r="BH1307" t="s">
        <v>2388</v>
      </c>
      <c r="BI1307">
        <v>-81.574066864014</v>
      </c>
      <c r="BJ1307">
        <v>30.603567097504001</v>
      </c>
      <c r="BK1307" t="s">
        <v>13311</v>
      </c>
      <c r="BL1307" t="s">
        <v>13312</v>
      </c>
      <c r="BM1307" t="s">
        <v>13310</v>
      </c>
      <c r="BN1307" t="s">
        <v>1778</v>
      </c>
      <c r="BO1307">
        <v>32097</v>
      </c>
      <c r="BP1307" t="s">
        <v>416</v>
      </c>
      <c r="BQ1307">
        <v>200</v>
      </c>
      <c r="BR1307" t="s">
        <v>405</v>
      </c>
      <c r="BS1307">
        <v>1006</v>
      </c>
      <c r="BT1307" t="s">
        <v>406</v>
      </c>
      <c r="BW1307">
        <v>45535</v>
      </c>
      <c r="BX1307" t="s">
        <v>407</v>
      </c>
      <c r="BY1307" t="s">
        <v>408</v>
      </c>
      <c r="BZ1307">
        <v>4</v>
      </c>
      <c r="CA1307">
        <v>1994</v>
      </c>
      <c r="CB1307">
        <v>1</v>
      </c>
      <c r="CC1307">
        <v>1</v>
      </c>
      <c r="CD1307">
        <v>2017</v>
      </c>
      <c r="CG1307">
        <v>45674</v>
      </c>
      <c r="CH1307">
        <v>2017</v>
      </c>
      <c r="CI1307">
        <v>28000</v>
      </c>
      <c r="CJ1307">
        <v>31245</v>
      </c>
      <c r="CK1307">
        <v>59245</v>
      </c>
      <c r="CL1307">
        <v>2017</v>
      </c>
      <c r="CM1307">
        <v>312.98</v>
      </c>
      <c r="CN1307" s="1">
        <v>41771</v>
      </c>
      <c r="CO1307">
        <v>53000</v>
      </c>
      <c r="CV1307">
        <v>0</v>
      </c>
      <c r="CZ1307" s="1">
        <v>41771</v>
      </c>
      <c r="DA1307">
        <v>0</v>
      </c>
      <c r="DD1307" t="s">
        <v>2387</v>
      </c>
      <c r="DF1307">
        <v>37</v>
      </c>
      <c r="DG1307">
        <v>42</v>
      </c>
      <c r="DL1307">
        <v>50302</v>
      </c>
      <c r="DM1307" t="s">
        <v>12468</v>
      </c>
      <c r="DO1307" t="s">
        <v>13313</v>
      </c>
      <c r="DP1307">
        <v>0</v>
      </c>
      <c r="DQ1307">
        <v>0</v>
      </c>
      <c r="DR1307" t="s">
        <v>411</v>
      </c>
      <c r="DS1307" t="b">
        <v>1</v>
      </c>
      <c r="DT1307" t="s">
        <v>470</v>
      </c>
      <c r="DU1307" t="s">
        <v>471</v>
      </c>
      <c r="DV1307" t="s">
        <v>472</v>
      </c>
      <c r="DX1307">
        <v>-9999</v>
      </c>
      <c r="DZ1307" t="s">
        <v>447</v>
      </c>
      <c r="EA1307" t="s">
        <v>448</v>
      </c>
      <c r="EB1307" t="s">
        <v>742</v>
      </c>
      <c r="EC1307">
        <v>20101217</v>
      </c>
      <c r="ED1307" t="s">
        <v>474</v>
      </c>
      <c r="EF1307">
        <v>1528.6</v>
      </c>
      <c r="EG1307">
        <v>1461.5</v>
      </c>
      <c r="EI1307">
        <v>20160407</v>
      </c>
      <c r="EJ1307">
        <v>0</v>
      </c>
      <c r="EK1307">
        <v>0</v>
      </c>
      <c r="EP1307" t="s">
        <v>421</v>
      </c>
      <c r="EQ1307" t="s">
        <v>422</v>
      </c>
      <c r="ER1307">
        <v>2</v>
      </c>
      <c r="ES1307">
        <v>4</v>
      </c>
      <c r="ET1307">
        <v>709.28</v>
      </c>
      <c r="EU1307">
        <v>47.96</v>
      </c>
      <c r="EV1307">
        <v>757.24</v>
      </c>
      <c r="EW1307" s="2">
        <v>43222</v>
      </c>
      <c r="EX1307" s="1">
        <v>42879</v>
      </c>
      <c r="EY1307">
        <v>2016</v>
      </c>
      <c r="EZ1307">
        <v>354.64</v>
      </c>
      <c r="FA1307" t="s">
        <v>13314</v>
      </c>
      <c r="FB1307">
        <v>0.25</v>
      </c>
      <c r="FC1307" t="s">
        <v>424</v>
      </c>
      <c r="FD1307" t="s">
        <v>454</v>
      </c>
      <c r="FF1307">
        <v>12</v>
      </c>
      <c r="FG1307">
        <v>7400234</v>
      </c>
      <c r="FH1307" t="s">
        <v>426</v>
      </c>
      <c r="FJ1307" s="1">
        <v>42879</v>
      </c>
      <c r="FK1307">
        <v>2016</v>
      </c>
      <c r="FL1307">
        <v>354.64</v>
      </c>
      <c r="FM1307" t="s">
        <v>13314</v>
      </c>
      <c r="FN1307">
        <v>0.25</v>
      </c>
      <c r="FO1307" t="s">
        <v>424</v>
      </c>
      <c r="FP1307" t="s">
        <v>454</v>
      </c>
      <c r="FR1307">
        <v>12</v>
      </c>
      <c r="FS1307">
        <v>7477653</v>
      </c>
      <c r="FT1307" t="s">
        <v>13315</v>
      </c>
      <c r="FV1307" s="1">
        <v>42515</v>
      </c>
      <c r="FW1307">
        <v>2015</v>
      </c>
      <c r="FX1307">
        <v>825.32</v>
      </c>
      <c r="FY1307" t="s">
        <v>13316</v>
      </c>
      <c r="FZ1307">
        <v>0.25</v>
      </c>
      <c r="GA1307" t="s">
        <v>424</v>
      </c>
      <c r="GB1307" t="s">
        <v>425</v>
      </c>
      <c r="GC1307" s="1">
        <v>42898</v>
      </c>
      <c r="GD1307">
        <v>13</v>
      </c>
      <c r="GE1307">
        <v>2851116</v>
      </c>
      <c r="GF1307" t="s">
        <v>480</v>
      </c>
      <c r="GH1307" s="1">
        <v>42515</v>
      </c>
      <c r="GI1307">
        <v>2015</v>
      </c>
      <c r="GJ1307">
        <v>825.32</v>
      </c>
      <c r="GK1307" t="s">
        <v>13316</v>
      </c>
      <c r="GL1307">
        <v>0.25</v>
      </c>
      <c r="GM1307" t="s">
        <v>424</v>
      </c>
      <c r="GN1307" t="s">
        <v>425</v>
      </c>
      <c r="GP1307">
        <v>22</v>
      </c>
      <c r="GQ1307">
        <v>5705728</v>
      </c>
      <c r="GR1307" t="s">
        <v>13317</v>
      </c>
      <c r="GT1307" s="1">
        <v>42151</v>
      </c>
      <c r="GU1307">
        <v>2014</v>
      </c>
      <c r="GV1307">
        <v>721.23</v>
      </c>
      <c r="GW1307" t="s">
        <v>13318</v>
      </c>
      <c r="GX1307">
        <v>0.25</v>
      </c>
      <c r="GY1307" t="s">
        <v>424</v>
      </c>
      <c r="GZ1307" t="s">
        <v>425</v>
      </c>
      <c r="HA1307" s="1">
        <v>42493</v>
      </c>
      <c r="HB1307">
        <v>12</v>
      </c>
      <c r="HC1307">
        <v>2851116</v>
      </c>
      <c r="HD1307" t="s">
        <v>480</v>
      </c>
      <c r="HF1307" s="1">
        <v>42151</v>
      </c>
      <c r="HG1307">
        <v>2014</v>
      </c>
      <c r="HH1307">
        <v>721.23</v>
      </c>
      <c r="HI1307" t="s">
        <v>13318</v>
      </c>
      <c r="HJ1307">
        <v>0.25</v>
      </c>
      <c r="HK1307" t="s">
        <v>424</v>
      </c>
      <c r="HL1307" t="s">
        <v>425</v>
      </c>
      <c r="HN1307">
        <v>22</v>
      </c>
      <c r="HO1307">
        <v>5055632</v>
      </c>
      <c r="HP1307" t="s">
        <v>13319</v>
      </c>
    </row>
    <row r="1308" spans="1:296" x14ac:dyDescent="0.25">
      <c r="A1308">
        <v>16486315</v>
      </c>
      <c r="B1308">
        <v>1307</v>
      </c>
      <c r="C1308" t="s">
        <v>393</v>
      </c>
      <c r="D1308" t="s">
        <v>394</v>
      </c>
      <c r="F1308" t="str">
        <f>"42-2N-27-4613-0003-0170"</f>
        <v>42-2N-27-4613-0003-0170</v>
      </c>
      <c r="H1308" t="str">
        <f>"ROWELL CHRISTOPHER K &amp; ROWELL EVA M"</f>
        <v>ROWELL CHRISTOPHER K &amp; ROWELL EVA M</v>
      </c>
      <c r="I1308" t="str">
        <f>"85233 RENIA ST"</f>
        <v>85233 RENIA ST</v>
      </c>
      <c r="J1308" t="str">
        <f t="shared" si="443"/>
        <v>YULEE FL 32097</v>
      </c>
      <c r="K1308" t="str">
        <f>"85233 RENIA ST"</f>
        <v>85233 RENIA ST</v>
      </c>
      <c r="L1308" t="str">
        <f t="shared" si="430"/>
        <v>YULEE FL 32097</v>
      </c>
      <c r="M1308" t="str">
        <f>"BLOCK 3 LOT 17 R378414 IN OR 639 PG 228 YULEE WOODS 3 PB 5/239"</f>
        <v>BLOCK 3 LOT 17 R378414 IN OR 639 PG 228 YULEE WOODS 3 PB 5/239</v>
      </c>
      <c r="N1308" t="str">
        <f>""</f>
        <v/>
      </c>
      <c r="O1308" t="str">
        <f>"48815"</f>
        <v>48815</v>
      </c>
      <c r="P1308" t="str">
        <f t="shared" si="433"/>
        <v>2017</v>
      </c>
      <c r="Q1308" t="str">
        <f>""</f>
        <v/>
      </c>
      <c r="R1308" t="str">
        <f>"Y"</f>
        <v>Y</v>
      </c>
      <c r="S1308" t="str">
        <f>""</f>
        <v/>
      </c>
      <c r="T1308" t="str">
        <f>"265.03"</f>
        <v>265.03</v>
      </c>
      <c r="U1308" t="str">
        <f>"29277.00"</f>
        <v>29277.00</v>
      </c>
      <c r="V1308" t="str">
        <f>"29277.00"</f>
        <v>29277.00</v>
      </c>
      <c r="W1308" t="str">
        <f t="shared" si="434"/>
        <v>2017</v>
      </c>
      <c r="X1308" t="str">
        <f>"26.60"</f>
        <v>26.60</v>
      </c>
      <c r="Y1308" t="str">
        <f>"304.98"</f>
        <v>304.98</v>
      </c>
      <c r="Z1308" t="str">
        <f>"12817.00"</f>
        <v>12817.00</v>
      </c>
      <c r="AA1308" t="str">
        <f>"18861.00"</f>
        <v>18861.00</v>
      </c>
      <c r="AB1308" t="str">
        <f t="shared" si="439"/>
        <v>Residential</v>
      </c>
      <c r="AC1308" t="str">
        <f t="shared" si="445"/>
        <v>0</v>
      </c>
      <c r="AD1308" t="str">
        <f t="shared" si="446"/>
        <v>4</v>
      </c>
      <c r="AE1308" t="str">
        <f t="shared" si="447"/>
        <v>WOOD (INCLUDE STEEL STUDS)</v>
      </c>
      <c r="AF1308" t="str">
        <f t="shared" si="448"/>
        <v>002</v>
      </c>
      <c r="AG1308" t="str">
        <f t="shared" si="444"/>
        <v>FL</v>
      </c>
      <c r="AH1308" t="str">
        <f t="shared" si="442"/>
        <v>-</v>
      </c>
      <c r="AI1308" t="str">
        <f t="shared" si="441"/>
        <v>28000.00</v>
      </c>
      <c r="AJ1308" t="str">
        <f>"C55-000-588-2391-5"</f>
        <v>C55-000-588-2391-5</v>
      </c>
      <c r="AK1308" t="str">
        <f>"22487"</f>
        <v>22487</v>
      </c>
      <c r="AL1308">
        <v>5</v>
      </c>
      <c r="AM1308">
        <v>1494</v>
      </c>
      <c r="AN1308">
        <v>318.63</v>
      </c>
      <c r="AQ1308" t="s">
        <v>13320</v>
      </c>
      <c r="AR1308" t="s">
        <v>13320</v>
      </c>
      <c r="AS1308" t="s">
        <v>13320</v>
      </c>
      <c r="AU1308" t="s">
        <v>396</v>
      </c>
      <c r="AV1308">
        <v>2017</v>
      </c>
      <c r="AW1308" t="str">
        <f>"42-2N-27-4613-0003-0170 "</f>
        <v xml:space="preserve">42-2N-27-4613-0003-0170 </v>
      </c>
      <c r="AX1308">
        <v>85233</v>
      </c>
      <c r="AZ1308" t="s">
        <v>13321</v>
      </c>
      <c r="BA1308" t="s">
        <v>1942</v>
      </c>
      <c r="BD1308" t="s">
        <v>2387</v>
      </c>
      <c r="BE1308" t="s">
        <v>393</v>
      </c>
      <c r="BF1308">
        <v>32097</v>
      </c>
      <c r="BG1308" t="s">
        <v>13322</v>
      </c>
      <c r="BH1308" t="s">
        <v>2388</v>
      </c>
      <c r="BI1308">
        <v>-81.575970255118406</v>
      </c>
      <c r="BJ1308">
        <v>30.6083086190479</v>
      </c>
      <c r="BK1308" t="s">
        <v>13323</v>
      </c>
      <c r="BM1308" t="s">
        <v>13322</v>
      </c>
      <c r="BN1308" t="s">
        <v>1778</v>
      </c>
      <c r="BO1308">
        <v>32097</v>
      </c>
      <c r="BP1308" t="s">
        <v>416</v>
      </c>
      <c r="BQ1308">
        <v>200</v>
      </c>
      <c r="BR1308" t="s">
        <v>405</v>
      </c>
      <c r="BS1308">
        <v>1006</v>
      </c>
      <c r="BT1308" t="s">
        <v>406</v>
      </c>
      <c r="BW1308">
        <v>43776</v>
      </c>
      <c r="BX1308" t="s">
        <v>407</v>
      </c>
      <c r="BY1308" t="s">
        <v>408</v>
      </c>
      <c r="BZ1308">
        <v>4</v>
      </c>
      <c r="CA1308">
        <v>1988</v>
      </c>
      <c r="CB1308">
        <v>1</v>
      </c>
      <c r="CC1308">
        <v>1</v>
      </c>
      <c r="CD1308">
        <v>2017</v>
      </c>
      <c r="CG1308">
        <v>31678</v>
      </c>
      <c r="CH1308">
        <v>2017</v>
      </c>
      <c r="CI1308">
        <v>28000</v>
      </c>
      <c r="CJ1308">
        <v>9722</v>
      </c>
      <c r="CK1308">
        <v>37722</v>
      </c>
      <c r="CL1308">
        <v>2017</v>
      </c>
      <c r="CM1308">
        <v>265.02999999999997</v>
      </c>
      <c r="CN1308" s="1">
        <v>33529</v>
      </c>
      <c r="CO1308">
        <v>15000</v>
      </c>
      <c r="CZ1308" s="1">
        <v>33529</v>
      </c>
      <c r="DD1308" t="s">
        <v>2387</v>
      </c>
      <c r="DG1308">
        <v>42</v>
      </c>
      <c r="DJ1308" t="s">
        <v>13225</v>
      </c>
      <c r="DL1308">
        <v>50302</v>
      </c>
      <c r="DM1308" t="s">
        <v>12468</v>
      </c>
      <c r="DO1308" t="s">
        <v>13324</v>
      </c>
      <c r="DP1308">
        <v>0</v>
      </c>
      <c r="DQ1308">
        <v>0</v>
      </c>
      <c r="DR1308" t="s">
        <v>411</v>
      </c>
      <c r="DS1308" t="b">
        <v>1</v>
      </c>
      <c r="DT1308" t="s">
        <v>470</v>
      </c>
      <c r="DU1308" t="s">
        <v>471</v>
      </c>
      <c r="DV1308" t="s">
        <v>472</v>
      </c>
      <c r="DX1308">
        <v>-9999</v>
      </c>
      <c r="DZ1308" t="s">
        <v>447</v>
      </c>
      <c r="EA1308" t="s">
        <v>448</v>
      </c>
      <c r="EB1308" t="s">
        <v>742</v>
      </c>
      <c r="EC1308">
        <v>20101217</v>
      </c>
      <c r="ED1308" t="s">
        <v>474</v>
      </c>
      <c r="EF1308">
        <v>1260</v>
      </c>
      <c r="EG1308">
        <v>1250.0999999999999</v>
      </c>
      <c r="EI1308">
        <v>20160407</v>
      </c>
      <c r="EJ1308">
        <v>0</v>
      </c>
      <c r="EK1308">
        <v>0</v>
      </c>
      <c r="EP1308" t="s">
        <v>595</v>
      </c>
      <c r="EQ1308" t="s">
        <v>422</v>
      </c>
      <c r="ER1308">
        <v>1</v>
      </c>
      <c r="ES1308">
        <v>7</v>
      </c>
      <c r="ET1308">
        <v>276.81</v>
      </c>
      <c r="EU1308">
        <v>29.78</v>
      </c>
      <c r="EV1308">
        <v>306.58999999999997</v>
      </c>
      <c r="EW1308" s="2">
        <v>43222</v>
      </c>
      <c r="EX1308" s="1">
        <v>42879</v>
      </c>
      <c r="EY1308">
        <v>2016</v>
      </c>
      <c r="EZ1308">
        <v>276.81</v>
      </c>
      <c r="FA1308" t="s">
        <v>13325</v>
      </c>
      <c r="FB1308">
        <v>8.5</v>
      </c>
      <c r="FC1308" t="s">
        <v>424</v>
      </c>
      <c r="FD1308" t="s">
        <v>454</v>
      </c>
      <c r="FF1308">
        <v>12</v>
      </c>
      <c r="FG1308">
        <v>2035919</v>
      </c>
      <c r="FH1308" t="s">
        <v>507</v>
      </c>
      <c r="FJ1308" s="1">
        <v>42515</v>
      </c>
      <c r="FK1308">
        <v>2015</v>
      </c>
      <c r="FL1308">
        <v>263.27</v>
      </c>
      <c r="FM1308" t="s">
        <v>13326</v>
      </c>
      <c r="FN1308">
        <v>15</v>
      </c>
      <c r="FO1308" t="s">
        <v>424</v>
      </c>
      <c r="FP1308" t="s">
        <v>425</v>
      </c>
      <c r="FQ1308" s="1">
        <v>42704</v>
      </c>
      <c r="FR1308">
        <v>6</v>
      </c>
      <c r="FS1308">
        <v>10628</v>
      </c>
      <c r="FT1308" t="s">
        <v>943</v>
      </c>
      <c r="FV1308" s="1">
        <v>42151</v>
      </c>
      <c r="FW1308">
        <v>2014</v>
      </c>
      <c r="FX1308">
        <v>233.37</v>
      </c>
      <c r="FY1308" t="s">
        <v>13327</v>
      </c>
      <c r="FZ1308">
        <v>18</v>
      </c>
      <c r="GA1308" t="s">
        <v>603</v>
      </c>
      <c r="GB1308" t="s">
        <v>425</v>
      </c>
      <c r="GD1308">
        <v>22</v>
      </c>
      <c r="GE1308">
        <v>9999999</v>
      </c>
      <c r="GF1308" t="s">
        <v>604</v>
      </c>
      <c r="GH1308" s="1">
        <v>42151</v>
      </c>
      <c r="GI1308">
        <v>2014</v>
      </c>
      <c r="GJ1308">
        <v>257.12</v>
      </c>
      <c r="GK1308" t="s">
        <v>13327</v>
      </c>
      <c r="GL1308">
        <v>18</v>
      </c>
      <c r="GM1308" t="s">
        <v>424</v>
      </c>
      <c r="GN1308" t="s">
        <v>425</v>
      </c>
      <c r="GO1308" s="1">
        <v>42704</v>
      </c>
      <c r="GP1308">
        <v>18</v>
      </c>
      <c r="GQ1308">
        <v>2101381</v>
      </c>
      <c r="GR1308" t="s">
        <v>605</v>
      </c>
      <c r="GT1308" s="1">
        <v>41787</v>
      </c>
      <c r="GU1308">
        <v>2013</v>
      </c>
      <c r="GV1308">
        <v>259.08999999999997</v>
      </c>
      <c r="GW1308" t="s">
        <v>13328</v>
      </c>
      <c r="GX1308">
        <v>3.75</v>
      </c>
      <c r="GY1308" t="s">
        <v>424</v>
      </c>
      <c r="GZ1308" t="s">
        <v>425</v>
      </c>
      <c r="HA1308" s="1">
        <v>42583</v>
      </c>
      <c r="HB1308">
        <v>27</v>
      </c>
      <c r="HC1308">
        <v>10125</v>
      </c>
      <c r="HD1308" t="s">
        <v>440</v>
      </c>
      <c r="HF1308" s="1">
        <v>41423</v>
      </c>
      <c r="HG1308">
        <v>2012</v>
      </c>
      <c r="HH1308">
        <v>263.32</v>
      </c>
      <c r="HI1308" t="s">
        <v>13329</v>
      </c>
      <c r="HJ1308">
        <v>6.25</v>
      </c>
      <c r="HK1308" t="s">
        <v>424</v>
      </c>
      <c r="HL1308" t="s">
        <v>425</v>
      </c>
      <c r="HM1308" s="1">
        <v>42053</v>
      </c>
      <c r="HN1308">
        <v>21</v>
      </c>
      <c r="HO1308">
        <v>15407</v>
      </c>
      <c r="HP1308" t="s">
        <v>1134</v>
      </c>
      <c r="HR1308" s="1">
        <v>41052</v>
      </c>
      <c r="HS1308">
        <v>2011</v>
      </c>
      <c r="HT1308">
        <v>683.15</v>
      </c>
      <c r="HU1308" t="s">
        <v>13330</v>
      </c>
      <c r="HV1308">
        <v>6</v>
      </c>
      <c r="HW1308" t="s">
        <v>424</v>
      </c>
      <c r="HX1308" t="s">
        <v>425</v>
      </c>
      <c r="HY1308" s="1">
        <v>41694</v>
      </c>
      <c r="HZ1308">
        <v>21</v>
      </c>
      <c r="IA1308">
        <v>13103</v>
      </c>
      <c r="IB1308" t="s">
        <v>2203</v>
      </c>
      <c r="ID1308" s="1">
        <v>40688</v>
      </c>
      <c r="IE1308">
        <v>2010</v>
      </c>
      <c r="IF1308">
        <v>769.6</v>
      </c>
      <c r="IG1308" t="s">
        <v>13331</v>
      </c>
      <c r="IH1308">
        <v>6.5</v>
      </c>
      <c r="II1308" t="s">
        <v>424</v>
      </c>
      <c r="IJ1308" t="s">
        <v>425</v>
      </c>
      <c r="IK1308" s="1">
        <v>42100</v>
      </c>
      <c r="IL1308">
        <v>47</v>
      </c>
      <c r="IM1308">
        <v>305</v>
      </c>
      <c r="IN1308" t="s">
        <v>1078</v>
      </c>
    </row>
    <row r="1309" spans="1:296" x14ac:dyDescent="0.25">
      <c r="A1309">
        <v>16486316</v>
      </c>
      <c r="B1309">
        <v>1308</v>
      </c>
      <c r="C1309" t="s">
        <v>393</v>
      </c>
      <c r="D1309" t="s">
        <v>394</v>
      </c>
      <c r="F1309" t="str">
        <f>"42-2N-27-4613-0004-0020"</f>
        <v>42-2N-27-4613-0004-0020</v>
      </c>
      <c r="H1309" t="str">
        <f>"DERAWAY JASON L &amp; LORNA J"</f>
        <v>DERAWAY JASON L &amp; LORNA J</v>
      </c>
      <c r="I1309" t="str">
        <f>"85352 DUANE RD"</f>
        <v>85352 DUANE RD</v>
      </c>
      <c r="J1309" t="str">
        <f t="shared" si="443"/>
        <v>YULEE FL 32097</v>
      </c>
      <c r="K1309" t="str">
        <f>"85352 DUANE RD"</f>
        <v>85352 DUANE RD</v>
      </c>
      <c r="L1309" t="str">
        <f t="shared" si="430"/>
        <v>YULEE FL 32097</v>
      </c>
      <c r="M1309" t="str">
        <f>"BLOCK 4 LOT 2 IN OR 2072/1625 R378399 &amp; R378400 &amp; R433701 YULEE WOODS 3 PB 5/239"</f>
        <v>BLOCK 4 LOT 2 IN OR 2072/1625 R378399 &amp; R378400 &amp; R433701 YULEE WOODS 3 PB 5/239</v>
      </c>
      <c r="N1309" t="str">
        <f>""</f>
        <v/>
      </c>
      <c r="O1309" t="str">
        <f>"48817"</f>
        <v>48817</v>
      </c>
      <c r="P1309" t="str">
        <f t="shared" si="433"/>
        <v>2017</v>
      </c>
      <c r="Q1309" t="str">
        <f>""</f>
        <v/>
      </c>
      <c r="R1309" t="str">
        <f>"N"</f>
        <v>N</v>
      </c>
      <c r="S1309" t="str">
        <f>""</f>
        <v/>
      </c>
      <c r="T1309" t="str">
        <f>"1479.73"</f>
        <v>1479.73</v>
      </c>
      <c r="U1309" t="str">
        <f>"97744.00"</f>
        <v>97744.00</v>
      </c>
      <c r="V1309" t="str">
        <f>"97744.00"</f>
        <v>97744.00</v>
      </c>
      <c r="W1309" t="str">
        <f t="shared" si="434"/>
        <v>2017</v>
      </c>
      <c r="X1309" t="str">
        <f>"5.40"</f>
        <v>5.40</v>
      </c>
      <c r="Y1309" t="str">
        <f>"1556.12"</f>
        <v>1556.12</v>
      </c>
      <c r="Z1309" t="str">
        <f>""</f>
        <v/>
      </c>
      <c r="AA1309" t="str">
        <f>"97744.00"</f>
        <v>97744.00</v>
      </c>
      <c r="AB1309" t="str">
        <f t="shared" si="439"/>
        <v>Residential</v>
      </c>
      <c r="AC1309" t="str">
        <f t="shared" si="445"/>
        <v>0</v>
      </c>
      <c r="AD1309" t="str">
        <f t="shared" si="446"/>
        <v>4</v>
      </c>
      <c r="AE1309" t="str">
        <f t="shared" si="447"/>
        <v>WOOD (INCLUDE STEEL STUDS)</v>
      </c>
      <c r="AF1309" t="str">
        <f t="shared" si="448"/>
        <v>002</v>
      </c>
      <c r="AG1309" t="str">
        <f t="shared" si="444"/>
        <v>FL</v>
      </c>
      <c r="AH1309" t="str">
        <f t="shared" si="442"/>
        <v>-</v>
      </c>
      <c r="AI1309" t="str">
        <f t="shared" si="441"/>
        <v>28000.00</v>
      </c>
      <c r="AJ1309" t="str">
        <f>"C55-000-588-2393-1"</f>
        <v>C55-000-588-2393-1</v>
      </c>
      <c r="AK1309" t="str">
        <f>"22489"</f>
        <v>22489</v>
      </c>
      <c r="AL1309">
        <v>5</v>
      </c>
      <c r="AM1309">
        <v>1495</v>
      </c>
      <c r="AN1309">
        <v>1632.33</v>
      </c>
      <c r="AQ1309" t="s">
        <v>13332</v>
      </c>
      <c r="AR1309" t="s">
        <v>13332</v>
      </c>
      <c r="AS1309" t="s">
        <v>13332</v>
      </c>
      <c r="AU1309" t="s">
        <v>396</v>
      </c>
      <c r="AV1309">
        <v>2017</v>
      </c>
      <c r="AW1309" t="str">
        <f>"42-2N-27-4613-0004-0020 "</f>
        <v xml:space="preserve">42-2N-27-4613-0004-0020 </v>
      </c>
      <c r="AX1309">
        <v>85352</v>
      </c>
      <c r="AZ1309" t="s">
        <v>13333</v>
      </c>
      <c r="BA1309" t="s">
        <v>496</v>
      </c>
      <c r="BD1309" t="s">
        <v>2387</v>
      </c>
      <c r="BE1309" t="s">
        <v>393</v>
      </c>
      <c r="BF1309">
        <v>32097</v>
      </c>
      <c r="BG1309" t="s">
        <v>13334</v>
      </c>
      <c r="BH1309" t="s">
        <v>2388</v>
      </c>
      <c r="BI1309">
        <v>-81.578732587488005</v>
      </c>
      <c r="BJ1309">
        <v>30.6072832674318</v>
      </c>
      <c r="BK1309" t="s">
        <v>13335</v>
      </c>
      <c r="BL1309" t="s">
        <v>13336</v>
      </c>
      <c r="BM1309" t="s">
        <v>13334</v>
      </c>
      <c r="BN1309" t="s">
        <v>1778</v>
      </c>
      <c r="BO1309">
        <v>32097</v>
      </c>
      <c r="BP1309" t="s">
        <v>416</v>
      </c>
      <c r="BQ1309">
        <v>200</v>
      </c>
      <c r="BR1309" t="s">
        <v>405</v>
      </c>
      <c r="BS1309">
        <v>1006</v>
      </c>
      <c r="BT1309" t="s">
        <v>406</v>
      </c>
      <c r="BW1309">
        <v>57057</v>
      </c>
      <c r="BX1309" t="s">
        <v>407</v>
      </c>
      <c r="BY1309" t="s">
        <v>408</v>
      </c>
      <c r="BZ1309">
        <v>4</v>
      </c>
      <c r="CA1309">
        <v>1990</v>
      </c>
      <c r="CB1309">
        <v>1</v>
      </c>
      <c r="CC1309">
        <v>1</v>
      </c>
      <c r="CD1309">
        <v>2017</v>
      </c>
      <c r="CE1309">
        <v>28000</v>
      </c>
      <c r="CF1309">
        <v>69744</v>
      </c>
      <c r="CG1309">
        <v>97744</v>
      </c>
      <c r="CH1309">
        <v>2017</v>
      </c>
      <c r="CI1309">
        <v>28000</v>
      </c>
      <c r="CJ1309">
        <v>69744</v>
      </c>
      <c r="CK1309">
        <v>97744</v>
      </c>
      <c r="CL1309">
        <v>2017</v>
      </c>
      <c r="CM1309">
        <v>1479.73</v>
      </c>
      <c r="CN1309" s="1">
        <v>42633</v>
      </c>
      <c r="CO1309">
        <v>127000</v>
      </c>
      <c r="CV1309">
        <v>0</v>
      </c>
      <c r="CZ1309" s="1">
        <v>42633</v>
      </c>
      <c r="DA1309">
        <v>0</v>
      </c>
      <c r="DD1309" t="s">
        <v>2387</v>
      </c>
      <c r="DF1309">
        <v>2</v>
      </c>
      <c r="DG1309">
        <v>42</v>
      </c>
      <c r="DL1309">
        <v>50302</v>
      </c>
      <c r="DM1309" t="s">
        <v>12468</v>
      </c>
      <c r="DO1309" t="s">
        <v>13337</v>
      </c>
      <c r="DP1309">
        <v>0</v>
      </c>
      <c r="DQ1309">
        <v>0</v>
      </c>
      <c r="DR1309" t="s">
        <v>411</v>
      </c>
      <c r="EP1309" t="s">
        <v>421</v>
      </c>
      <c r="EQ1309" t="s">
        <v>422</v>
      </c>
      <c r="ER1309">
        <v>0</v>
      </c>
      <c r="ES1309">
        <v>5</v>
      </c>
      <c r="ET1309">
        <v>0</v>
      </c>
      <c r="EU1309">
        <v>0</v>
      </c>
      <c r="EV1309">
        <v>0</v>
      </c>
      <c r="EW1309" s="2">
        <v>43222</v>
      </c>
      <c r="EX1309" s="1">
        <v>42879</v>
      </c>
      <c r="EY1309">
        <v>2016</v>
      </c>
      <c r="EZ1309">
        <v>855.47</v>
      </c>
      <c r="FA1309" t="s">
        <v>13338</v>
      </c>
      <c r="FB1309">
        <v>0.25</v>
      </c>
      <c r="FC1309" t="s">
        <v>424</v>
      </c>
      <c r="FD1309" t="s">
        <v>425</v>
      </c>
      <c r="FE1309" s="1">
        <v>43165</v>
      </c>
      <c r="FF1309">
        <v>10</v>
      </c>
      <c r="FG1309">
        <v>2851116</v>
      </c>
      <c r="FH1309" t="s">
        <v>480</v>
      </c>
      <c r="FJ1309" s="1">
        <v>42879</v>
      </c>
      <c r="FK1309">
        <v>2016</v>
      </c>
      <c r="FL1309">
        <v>855.47</v>
      </c>
      <c r="FM1309" t="s">
        <v>13338</v>
      </c>
      <c r="FN1309">
        <v>0.25</v>
      </c>
      <c r="FO1309" t="s">
        <v>424</v>
      </c>
      <c r="FP1309" t="s">
        <v>425</v>
      </c>
      <c r="FR1309">
        <v>22</v>
      </c>
      <c r="FS1309">
        <v>5298124</v>
      </c>
      <c r="FT1309" t="s">
        <v>13339</v>
      </c>
      <c r="FV1309" s="1">
        <v>41423</v>
      </c>
      <c r="FW1309">
        <v>2012</v>
      </c>
      <c r="FX1309">
        <v>469.41</v>
      </c>
      <c r="FY1309" t="s">
        <v>13340</v>
      </c>
      <c r="FZ1309">
        <v>0.25</v>
      </c>
      <c r="GA1309" t="s">
        <v>424</v>
      </c>
      <c r="GB1309" t="s">
        <v>425</v>
      </c>
      <c r="GC1309" s="1">
        <v>41507</v>
      </c>
      <c r="GD1309">
        <v>3</v>
      </c>
      <c r="GE1309">
        <v>62</v>
      </c>
      <c r="GF1309" t="s">
        <v>463</v>
      </c>
      <c r="GH1309" s="1">
        <v>41052</v>
      </c>
      <c r="GI1309">
        <v>2011</v>
      </c>
      <c r="GJ1309">
        <v>569.23</v>
      </c>
      <c r="GK1309" t="s">
        <v>13341</v>
      </c>
      <c r="GL1309">
        <v>5.75</v>
      </c>
      <c r="GM1309" t="s">
        <v>424</v>
      </c>
      <c r="GN1309" t="s">
        <v>425</v>
      </c>
      <c r="GO1309" s="1">
        <v>41250</v>
      </c>
      <c r="GP1309">
        <v>7</v>
      </c>
      <c r="GQ1309">
        <v>62</v>
      </c>
      <c r="GR1309" t="s">
        <v>463</v>
      </c>
      <c r="GT1309" s="1">
        <v>40688</v>
      </c>
      <c r="GU1309">
        <v>2010</v>
      </c>
      <c r="GV1309">
        <v>607.53</v>
      </c>
      <c r="GW1309" t="s">
        <v>13342</v>
      </c>
      <c r="GX1309">
        <v>6.5</v>
      </c>
      <c r="GY1309" t="s">
        <v>424</v>
      </c>
      <c r="GZ1309" t="s">
        <v>425</v>
      </c>
      <c r="HA1309" s="1">
        <v>40709</v>
      </c>
      <c r="HB1309">
        <v>1</v>
      </c>
      <c r="HC1309">
        <v>305</v>
      </c>
      <c r="HD1309" t="s">
        <v>1078</v>
      </c>
    </row>
    <row r="1310" spans="1:296" x14ac:dyDescent="0.25">
      <c r="A1310">
        <v>16486317</v>
      </c>
      <c r="B1310">
        <v>1309</v>
      </c>
      <c r="C1310" t="s">
        <v>393</v>
      </c>
      <c r="D1310" t="s">
        <v>394</v>
      </c>
      <c r="F1310" t="str">
        <f>"42-2N-27-4613-0005-0070"</f>
        <v>42-2N-27-4613-0005-0070</v>
      </c>
      <c r="H1310" t="str">
        <f>"ALSPAUGH SCOTT A &amp; TINA H"</f>
        <v>ALSPAUGH SCOTT A &amp; TINA H</v>
      </c>
      <c r="I1310" t="str">
        <f>"85123 DUANE RD"</f>
        <v>85123 DUANE RD</v>
      </c>
      <c r="J1310" t="str">
        <f t="shared" si="443"/>
        <v>YULEE FL 32097</v>
      </c>
      <c r="K1310" t="str">
        <f>"85123 DUANE RD"</f>
        <v>85123 DUANE RD</v>
      </c>
      <c r="L1310" t="str">
        <f t="shared" si="430"/>
        <v>YULEE FL 32097</v>
      </c>
      <c r="M1310" t="str">
        <f>"BLK 5 PT LOTS 7 &amp; 8 IN OR 767/981 YULEE WOODS 3 PBK 5/239 {R673687 &amp; R673688}"</f>
        <v>BLK 5 PT LOTS 7 &amp; 8 IN OR 767/981 YULEE WOODS 3 PBK 5/239 {R673687 &amp; R673688}</v>
      </c>
      <c r="N1310" t="str">
        <f>""</f>
        <v/>
      </c>
      <c r="O1310" t="str">
        <f>"48837"</f>
        <v>48837</v>
      </c>
      <c r="P1310" t="str">
        <f t="shared" si="433"/>
        <v>2017</v>
      </c>
      <c r="Q1310" t="str">
        <f>""</f>
        <v/>
      </c>
      <c r="R1310" t="str">
        <f>"Y"</f>
        <v>Y</v>
      </c>
      <c r="S1310" t="str">
        <f>""</f>
        <v/>
      </c>
      <c r="T1310" t="str">
        <f>"446.58"</f>
        <v>446.58</v>
      </c>
      <c r="U1310" t="str">
        <f>"59596.00"</f>
        <v>59596.00</v>
      </c>
      <c r="V1310" t="str">
        <f>"59596.00"</f>
        <v>59596.00</v>
      </c>
      <c r="W1310" t="str">
        <f t="shared" si="434"/>
        <v>2017</v>
      </c>
      <c r="X1310" t="str">
        <f>"20.13"</f>
        <v>20.13</v>
      </c>
      <c r="Y1310" t="str">
        <f>"491.98"</f>
        <v>491.98</v>
      </c>
      <c r="Z1310" t="str">
        <f>"25000.00"</f>
        <v>25000.00</v>
      </c>
      <c r="AA1310" t="str">
        <f>"34596.00"</f>
        <v>34596.00</v>
      </c>
      <c r="AB1310" t="str">
        <f t="shared" si="439"/>
        <v>Residential</v>
      </c>
      <c r="AC1310" t="str">
        <f t="shared" si="445"/>
        <v>0</v>
      </c>
      <c r="AD1310" t="str">
        <f t="shared" si="446"/>
        <v>4</v>
      </c>
      <c r="AE1310" t="str">
        <f t="shared" si="447"/>
        <v>WOOD (INCLUDE STEEL STUDS)</v>
      </c>
      <c r="AF1310" t="str">
        <f t="shared" si="448"/>
        <v>002</v>
      </c>
      <c r="AG1310" t="str">
        <f t="shared" si="444"/>
        <v>FL</v>
      </c>
      <c r="AH1310" t="str">
        <f t="shared" si="442"/>
        <v>-</v>
      </c>
      <c r="AI1310" t="str">
        <f t="shared" si="441"/>
        <v>28000.00</v>
      </c>
      <c r="AJ1310" t="str">
        <f>"C55-000-588-2407-9"</f>
        <v>C55-000-588-2407-9</v>
      </c>
      <c r="AK1310" t="str">
        <f>"22503"</f>
        <v>22503</v>
      </c>
      <c r="AL1310">
        <v>5</v>
      </c>
      <c r="AM1310">
        <v>1497</v>
      </c>
      <c r="AN1310">
        <v>514.98</v>
      </c>
      <c r="AQ1310" t="s">
        <v>13343</v>
      </c>
      <c r="AR1310" t="s">
        <v>13343</v>
      </c>
      <c r="AS1310" t="s">
        <v>13343</v>
      </c>
      <c r="AU1310" t="s">
        <v>396</v>
      </c>
      <c r="AV1310">
        <v>2017</v>
      </c>
      <c r="AW1310" t="str">
        <f>"42-2N-27-4613-0005-0070 "</f>
        <v xml:space="preserve">42-2N-27-4613-0005-0070 </v>
      </c>
      <c r="AX1310">
        <v>85123</v>
      </c>
      <c r="AZ1310" t="s">
        <v>13333</v>
      </c>
      <c r="BA1310" t="s">
        <v>496</v>
      </c>
      <c r="BD1310" t="s">
        <v>2387</v>
      </c>
      <c r="BE1310" t="s">
        <v>393</v>
      </c>
      <c r="BF1310">
        <v>32097</v>
      </c>
      <c r="BG1310" t="s">
        <v>13344</v>
      </c>
      <c r="BH1310" t="s">
        <v>2388</v>
      </c>
      <c r="BI1310">
        <v>-81.578610345321493</v>
      </c>
      <c r="BJ1310">
        <v>30.6046309194044</v>
      </c>
      <c r="BK1310" t="s">
        <v>13345</v>
      </c>
      <c r="BL1310" t="s">
        <v>13346</v>
      </c>
      <c r="BM1310" t="s">
        <v>13344</v>
      </c>
      <c r="BN1310" t="s">
        <v>1778</v>
      </c>
      <c r="BO1310">
        <v>32097</v>
      </c>
      <c r="BP1310" t="s">
        <v>416</v>
      </c>
      <c r="BQ1310">
        <v>200</v>
      </c>
      <c r="BR1310" t="s">
        <v>405</v>
      </c>
      <c r="BS1310">
        <v>1006</v>
      </c>
      <c r="BT1310" t="s">
        <v>406</v>
      </c>
      <c r="BW1310">
        <v>35609</v>
      </c>
      <c r="BX1310" t="s">
        <v>407</v>
      </c>
      <c r="BY1310" t="s">
        <v>408</v>
      </c>
      <c r="BZ1310">
        <v>4</v>
      </c>
      <c r="CA1310">
        <v>1997</v>
      </c>
      <c r="CB1310">
        <v>1</v>
      </c>
      <c r="CC1310">
        <v>1</v>
      </c>
      <c r="CD1310">
        <v>2017</v>
      </c>
      <c r="CG1310">
        <v>59596</v>
      </c>
      <c r="CH1310">
        <v>2017</v>
      </c>
      <c r="CI1310">
        <v>28000</v>
      </c>
      <c r="CJ1310">
        <v>52202</v>
      </c>
      <c r="CK1310">
        <v>80202</v>
      </c>
      <c r="CL1310">
        <v>2017</v>
      </c>
      <c r="CM1310">
        <v>446.58</v>
      </c>
      <c r="CN1310" s="1">
        <v>35282</v>
      </c>
      <c r="CO1310">
        <v>25400</v>
      </c>
      <c r="CZ1310" s="1">
        <v>35282</v>
      </c>
      <c r="DD1310" t="s">
        <v>2387</v>
      </c>
      <c r="DG1310">
        <v>42</v>
      </c>
      <c r="DJ1310" t="s">
        <v>13225</v>
      </c>
      <c r="DL1310">
        <v>50302</v>
      </c>
      <c r="DM1310" t="s">
        <v>12468</v>
      </c>
      <c r="DO1310" t="s">
        <v>13347</v>
      </c>
      <c r="DP1310">
        <v>0</v>
      </c>
      <c r="DQ1310">
        <v>0</v>
      </c>
      <c r="DR1310" t="s">
        <v>411</v>
      </c>
      <c r="DS1310" t="b">
        <v>1</v>
      </c>
      <c r="DT1310" t="s">
        <v>470</v>
      </c>
      <c r="DU1310" t="s">
        <v>471</v>
      </c>
      <c r="DV1310" t="s">
        <v>472</v>
      </c>
      <c r="DX1310">
        <v>-9999</v>
      </c>
      <c r="DZ1310" t="s">
        <v>447</v>
      </c>
      <c r="EA1310" t="s">
        <v>448</v>
      </c>
      <c r="EB1310" t="s">
        <v>742</v>
      </c>
      <c r="EC1310">
        <v>20101217</v>
      </c>
      <c r="ED1310" t="s">
        <v>474</v>
      </c>
      <c r="EF1310">
        <v>2420.5</v>
      </c>
      <c r="EG1310">
        <v>2326.9</v>
      </c>
      <c r="EI1310">
        <v>20160407</v>
      </c>
      <c r="EJ1310">
        <v>0</v>
      </c>
      <c r="EK1310">
        <v>0</v>
      </c>
      <c r="EP1310" t="s">
        <v>421</v>
      </c>
      <c r="EQ1310" t="s">
        <v>452</v>
      </c>
      <c r="ER1310">
        <v>0</v>
      </c>
      <c r="ES1310">
        <v>9</v>
      </c>
      <c r="ET1310">
        <v>0</v>
      </c>
      <c r="EU1310">
        <v>0</v>
      </c>
      <c r="EV1310">
        <v>0</v>
      </c>
      <c r="EW1310" s="2">
        <v>43222</v>
      </c>
      <c r="EX1310" s="1">
        <v>42879</v>
      </c>
      <c r="EY1310">
        <v>2016</v>
      </c>
      <c r="EZ1310">
        <v>508.38</v>
      </c>
      <c r="FA1310" t="s">
        <v>13348</v>
      </c>
      <c r="FB1310">
        <v>0.25</v>
      </c>
      <c r="FC1310" t="s">
        <v>424</v>
      </c>
      <c r="FD1310" t="s">
        <v>425</v>
      </c>
      <c r="FE1310" s="1">
        <v>42899</v>
      </c>
      <c r="FF1310">
        <v>1</v>
      </c>
      <c r="FG1310">
        <v>7400234</v>
      </c>
      <c r="FH1310" t="s">
        <v>426</v>
      </c>
      <c r="FJ1310" s="1">
        <v>42879</v>
      </c>
      <c r="FK1310">
        <v>2016</v>
      </c>
      <c r="FL1310">
        <v>508.38</v>
      </c>
      <c r="FM1310" t="s">
        <v>13348</v>
      </c>
      <c r="FN1310">
        <v>0.25</v>
      </c>
      <c r="FO1310" t="s">
        <v>424</v>
      </c>
      <c r="FP1310" t="s">
        <v>425</v>
      </c>
      <c r="FR1310">
        <v>22</v>
      </c>
      <c r="FS1310">
        <v>7459043</v>
      </c>
      <c r="FT1310" t="s">
        <v>13349</v>
      </c>
      <c r="FV1310" s="1">
        <v>42515</v>
      </c>
      <c r="FW1310">
        <v>2015</v>
      </c>
      <c r="FX1310">
        <v>514.12</v>
      </c>
      <c r="FY1310" t="s">
        <v>13350</v>
      </c>
      <c r="FZ1310">
        <v>0.25</v>
      </c>
      <c r="GA1310" t="s">
        <v>424</v>
      </c>
      <c r="GB1310" t="s">
        <v>425</v>
      </c>
      <c r="GC1310" s="1">
        <v>42899</v>
      </c>
      <c r="GD1310">
        <v>13</v>
      </c>
      <c r="GE1310">
        <v>11289</v>
      </c>
      <c r="GF1310" t="s">
        <v>787</v>
      </c>
      <c r="GH1310" s="1">
        <v>42515</v>
      </c>
      <c r="GI1310">
        <v>2015</v>
      </c>
      <c r="GJ1310">
        <v>514.12</v>
      </c>
      <c r="GK1310" t="s">
        <v>13350</v>
      </c>
      <c r="GL1310">
        <v>0.25</v>
      </c>
      <c r="GM1310" t="s">
        <v>424</v>
      </c>
      <c r="GN1310" t="s">
        <v>425</v>
      </c>
      <c r="GP1310">
        <v>22</v>
      </c>
      <c r="GQ1310">
        <v>7076237</v>
      </c>
      <c r="GR1310" t="s">
        <v>13351</v>
      </c>
      <c r="GT1310" s="1">
        <v>42151</v>
      </c>
      <c r="GU1310">
        <v>2014</v>
      </c>
      <c r="GV1310">
        <v>513.63</v>
      </c>
      <c r="GW1310" t="s">
        <v>13352</v>
      </c>
      <c r="GX1310">
        <v>0.25</v>
      </c>
      <c r="GY1310" t="s">
        <v>424</v>
      </c>
      <c r="GZ1310" t="s">
        <v>425</v>
      </c>
      <c r="HA1310" s="1">
        <v>42256</v>
      </c>
      <c r="HB1310">
        <v>4</v>
      </c>
      <c r="HC1310">
        <v>15399</v>
      </c>
      <c r="HD1310" t="s">
        <v>485</v>
      </c>
      <c r="HE1310" t="s">
        <v>458</v>
      </c>
      <c r="HF1310" s="1">
        <v>41787</v>
      </c>
      <c r="HG1310">
        <v>2013</v>
      </c>
      <c r="HH1310">
        <v>558.71</v>
      </c>
      <c r="HI1310" t="s">
        <v>13353</v>
      </c>
      <c r="HJ1310">
        <v>0.25</v>
      </c>
      <c r="HK1310" t="s">
        <v>424</v>
      </c>
      <c r="HL1310" t="s">
        <v>425</v>
      </c>
      <c r="HM1310" s="1">
        <v>42256</v>
      </c>
      <c r="HN1310">
        <v>16</v>
      </c>
      <c r="HO1310">
        <v>2407503</v>
      </c>
      <c r="HP1310" t="s">
        <v>461</v>
      </c>
      <c r="HQ1310" t="s">
        <v>458</v>
      </c>
      <c r="HR1310" s="1">
        <v>41423</v>
      </c>
      <c r="HS1310">
        <v>2012</v>
      </c>
      <c r="HT1310">
        <v>578.97</v>
      </c>
      <c r="HU1310" t="s">
        <v>13354</v>
      </c>
      <c r="HV1310">
        <v>3.5</v>
      </c>
      <c r="HW1310" t="s">
        <v>424</v>
      </c>
      <c r="HX1310" t="s">
        <v>425</v>
      </c>
      <c r="HZ1310">
        <v>22</v>
      </c>
      <c r="IA1310">
        <v>10125</v>
      </c>
      <c r="IB1310" t="s">
        <v>440</v>
      </c>
      <c r="IC1310" t="s">
        <v>458</v>
      </c>
      <c r="ID1310" s="1">
        <v>41052</v>
      </c>
      <c r="IE1310">
        <v>2011</v>
      </c>
      <c r="IF1310">
        <v>597.39</v>
      </c>
      <c r="IG1310" t="s">
        <v>13355</v>
      </c>
      <c r="IH1310">
        <v>6</v>
      </c>
      <c r="II1310" t="s">
        <v>424</v>
      </c>
      <c r="IJ1310" t="s">
        <v>425</v>
      </c>
      <c r="IK1310" s="1">
        <v>41698</v>
      </c>
      <c r="IL1310">
        <v>21</v>
      </c>
      <c r="IM1310">
        <v>13103</v>
      </c>
      <c r="IN1310" t="s">
        <v>2203</v>
      </c>
      <c r="IP1310" s="1">
        <v>40688</v>
      </c>
      <c r="IQ1310">
        <v>2010</v>
      </c>
      <c r="IR1310">
        <v>649.16999999999996</v>
      </c>
      <c r="IS1310" t="s">
        <v>13356</v>
      </c>
      <c r="IT1310">
        <v>6.75</v>
      </c>
      <c r="IU1310" t="s">
        <v>424</v>
      </c>
      <c r="IV1310" t="s">
        <v>425</v>
      </c>
      <c r="IW1310" s="1">
        <v>41698</v>
      </c>
      <c r="IX1310">
        <v>33</v>
      </c>
      <c r="IY1310">
        <v>375</v>
      </c>
      <c r="IZ1310" t="s">
        <v>776</v>
      </c>
    </row>
    <row r="1311" spans="1:296" x14ac:dyDescent="0.25">
      <c r="A1311">
        <v>16486318</v>
      </c>
      <c r="B1311">
        <v>1310</v>
      </c>
      <c r="C1311" t="s">
        <v>393</v>
      </c>
      <c r="D1311" t="s">
        <v>394</v>
      </c>
      <c r="F1311" t="str">
        <f>"42-2N-27-4613-0005-0100"</f>
        <v>42-2N-27-4613-0005-0100</v>
      </c>
      <c r="H1311" t="str">
        <f>"LOVE JIMMIE JO C/O RON RING"</f>
        <v>LOVE JIMMIE JO C/O RON RING</v>
      </c>
      <c r="I1311" t="str">
        <f>"490 KEVIN DR"</f>
        <v>490 KEVIN DR</v>
      </c>
      <c r="J1311" t="str">
        <f>"ORANGE PARK FL 32073"</f>
        <v>ORANGE PARK FL 32073</v>
      </c>
      <c r="K1311" t="str">
        <f>"85031 DUANE RD"</f>
        <v>85031 DUANE RD</v>
      </c>
      <c r="L1311" t="str">
        <f t="shared" si="430"/>
        <v>YULEE FL 32097</v>
      </c>
      <c r="M1311" t="str">
        <f>"BLOCK 5 LOT 10 R621636 IN OR 746 PG 1468 INCL E37.5 OF LOT 7 &amp; E37.5 OF S13.7 OF LOT 6 BLOCK 2 OF YULEE WOODS 4 PB 5/301-302 YULEE WOODS 3 PB 5/239"</f>
        <v>BLOCK 5 LOT 10 R621636 IN OR 746 PG 1468 INCL E37.5 OF LOT 7 &amp; E37.5 OF S13.7 OF LOT 6 BLOCK 2 OF YULEE WOODS 4 PB 5/301-302 YULEE WOODS 3 PB 5/239</v>
      </c>
      <c r="N1311" t="str">
        <f>""</f>
        <v/>
      </c>
      <c r="O1311" t="str">
        <f>"48840"</f>
        <v>48840</v>
      </c>
      <c r="P1311" t="str">
        <f t="shared" si="433"/>
        <v>2017</v>
      </c>
      <c r="Q1311" t="str">
        <f>""</f>
        <v/>
      </c>
      <c r="R1311" t="str">
        <f>"N"</f>
        <v>N</v>
      </c>
      <c r="S1311" t="str">
        <f>""</f>
        <v/>
      </c>
      <c r="T1311" t="str">
        <f>"534.28"</f>
        <v>534.28</v>
      </c>
      <c r="U1311" t="str">
        <f>"33985.00"</f>
        <v>33985.00</v>
      </c>
      <c r="V1311" t="str">
        <f>"33985.00"</f>
        <v>33985.00</v>
      </c>
      <c r="W1311" t="str">
        <f t="shared" si="434"/>
        <v>2017</v>
      </c>
      <c r="X1311" t="str">
        <f>"14.86"</f>
        <v>14.86</v>
      </c>
      <c r="Y1311" t="str">
        <f>"582.31"</f>
        <v>582.31</v>
      </c>
      <c r="Z1311" t="str">
        <f>""</f>
        <v/>
      </c>
      <c r="AA1311" t="str">
        <f>"36984.00"</f>
        <v>36984.00</v>
      </c>
      <c r="AB1311" t="str">
        <f t="shared" si="439"/>
        <v>Residential</v>
      </c>
      <c r="AC1311" t="str">
        <f t="shared" si="445"/>
        <v>0</v>
      </c>
      <c r="AD1311" t="str">
        <f t="shared" si="446"/>
        <v>4</v>
      </c>
      <c r="AE1311" t="str">
        <f t="shared" si="447"/>
        <v>WOOD (INCLUDE STEEL STUDS)</v>
      </c>
      <c r="AF1311" t="str">
        <f t="shared" si="448"/>
        <v>002</v>
      </c>
      <c r="AG1311" t="str">
        <f t="shared" si="444"/>
        <v>FL</v>
      </c>
      <c r="AH1311" t="str">
        <f t="shared" si="442"/>
        <v>-</v>
      </c>
      <c r="AI1311" t="str">
        <f t="shared" si="441"/>
        <v>28000.00</v>
      </c>
      <c r="AJ1311" t="str">
        <f>"C55-000-588-2410-3"</f>
        <v>C55-000-588-2410-3</v>
      </c>
      <c r="AK1311" t="str">
        <f>"22506"</f>
        <v>22506</v>
      </c>
      <c r="AL1311">
        <v>5</v>
      </c>
      <c r="AM1311">
        <v>1498</v>
      </c>
      <c r="AN1311">
        <v>609.83000000000004</v>
      </c>
      <c r="AQ1311" t="s">
        <v>13357</v>
      </c>
      <c r="AR1311" t="s">
        <v>13357</v>
      </c>
      <c r="AS1311" t="s">
        <v>13357</v>
      </c>
      <c r="AU1311" t="s">
        <v>396</v>
      </c>
      <c r="AV1311">
        <v>2017</v>
      </c>
      <c r="AW1311" t="str">
        <f>"42-2N-27-4613-0005-0100 "</f>
        <v xml:space="preserve">42-2N-27-4613-0005-0100 </v>
      </c>
      <c r="AX1311">
        <v>85031</v>
      </c>
      <c r="AZ1311" t="s">
        <v>13333</v>
      </c>
      <c r="BA1311" t="s">
        <v>496</v>
      </c>
      <c r="BD1311" t="s">
        <v>2387</v>
      </c>
      <c r="BE1311" t="s">
        <v>393</v>
      </c>
      <c r="BF1311">
        <v>32097</v>
      </c>
      <c r="BG1311" t="s">
        <v>13358</v>
      </c>
      <c r="BH1311" t="s">
        <v>2388</v>
      </c>
      <c r="BI1311">
        <v>-81.577946063750701</v>
      </c>
      <c r="BJ1311">
        <v>30.603435496649599</v>
      </c>
      <c r="BK1311" t="s">
        <v>13359</v>
      </c>
      <c r="BM1311" t="s">
        <v>13360</v>
      </c>
      <c r="BN1311" t="s">
        <v>878</v>
      </c>
      <c r="BO1311">
        <v>32073</v>
      </c>
      <c r="BP1311" t="s">
        <v>404</v>
      </c>
      <c r="BQ1311">
        <v>200</v>
      </c>
      <c r="BR1311" t="s">
        <v>405</v>
      </c>
      <c r="BS1311">
        <v>1006</v>
      </c>
      <c r="BT1311" t="s">
        <v>406</v>
      </c>
      <c r="BW1311">
        <v>49809</v>
      </c>
      <c r="BX1311" t="s">
        <v>407</v>
      </c>
      <c r="BY1311" t="s">
        <v>408</v>
      </c>
      <c r="BZ1311">
        <v>4</v>
      </c>
      <c r="CA1311">
        <v>1974</v>
      </c>
      <c r="CB1311">
        <v>1</v>
      </c>
      <c r="CC1311">
        <v>1</v>
      </c>
      <c r="CD1311">
        <v>2017</v>
      </c>
      <c r="CE1311">
        <v>28000</v>
      </c>
      <c r="CF1311">
        <v>8984</v>
      </c>
      <c r="CG1311">
        <v>36984</v>
      </c>
      <c r="CH1311">
        <v>2017</v>
      </c>
      <c r="CI1311">
        <v>28000</v>
      </c>
      <c r="CJ1311">
        <v>8984</v>
      </c>
      <c r="CK1311">
        <v>36984</v>
      </c>
      <c r="CL1311">
        <v>2017</v>
      </c>
      <c r="CM1311">
        <v>534.28</v>
      </c>
      <c r="CN1311" s="1">
        <v>35052</v>
      </c>
      <c r="CO1311">
        <v>33500</v>
      </c>
      <c r="CZ1311" s="1">
        <v>35052</v>
      </c>
      <c r="DD1311" t="s">
        <v>2387</v>
      </c>
      <c r="DF1311">
        <v>10</v>
      </c>
      <c r="DG1311">
        <v>42</v>
      </c>
      <c r="DL1311">
        <v>50302</v>
      </c>
      <c r="DM1311" t="s">
        <v>12468</v>
      </c>
      <c r="DO1311" t="s">
        <v>13361</v>
      </c>
      <c r="DP1311">
        <v>0</v>
      </c>
      <c r="DQ1311">
        <v>0</v>
      </c>
      <c r="DR1311" t="s">
        <v>411</v>
      </c>
      <c r="DS1311" t="b">
        <v>1</v>
      </c>
      <c r="DT1311" t="s">
        <v>470</v>
      </c>
      <c r="DU1311" t="s">
        <v>471</v>
      </c>
      <c r="DV1311" t="s">
        <v>472</v>
      </c>
      <c r="DX1311">
        <v>-9999</v>
      </c>
      <c r="DZ1311" t="s">
        <v>447</v>
      </c>
      <c r="EA1311" t="s">
        <v>448</v>
      </c>
      <c r="EB1311" t="s">
        <v>742</v>
      </c>
      <c r="EC1311">
        <v>20101217</v>
      </c>
      <c r="ED1311" t="s">
        <v>474</v>
      </c>
      <c r="EF1311">
        <v>2446.1999999999998</v>
      </c>
      <c r="EG1311">
        <v>2349.1999999999998</v>
      </c>
      <c r="EI1311">
        <v>20160407</v>
      </c>
      <c r="EJ1311">
        <v>0</v>
      </c>
      <c r="EK1311">
        <v>0</v>
      </c>
      <c r="EP1311" t="s">
        <v>421</v>
      </c>
      <c r="EQ1311" t="s">
        <v>422</v>
      </c>
      <c r="ER1311">
        <v>2</v>
      </c>
      <c r="ES1311">
        <v>10</v>
      </c>
      <c r="ET1311">
        <v>1125.1400000000001</v>
      </c>
      <c r="EU1311">
        <v>68.760000000000005</v>
      </c>
      <c r="EV1311">
        <v>1193.9000000000001</v>
      </c>
      <c r="EW1311" s="2">
        <v>43222</v>
      </c>
      <c r="EX1311" s="1">
        <v>42879</v>
      </c>
      <c r="EY1311">
        <v>2016</v>
      </c>
      <c r="EZ1311">
        <v>562.57000000000005</v>
      </c>
      <c r="FA1311" t="s">
        <v>13362</v>
      </c>
      <c r="FB1311">
        <v>0.25</v>
      </c>
      <c r="FC1311" t="s">
        <v>424</v>
      </c>
      <c r="FD1311" t="s">
        <v>454</v>
      </c>
      <c r="FF1311">
        <v>12</v>
      </c>
      <c r="FG1311">
        <v>2851116</v>
      </c>
      <c r="FH1311" t="s">
        <v>480</v>
      </c>
      <c r="FJ1311" s="1">
        <v>42879</v>
      </c>
      <c r="FK1311">
        <v>2016</v>
      </c>
      <c r="FL1311">
        <v>562.57000000000005</v>
      </c>
      <c r="FM1311" t="s">
        <v>13362</v>
      </c>
      <c r="FN1311">
        <v>0.25</v>
      </c>
      <c r="FO1311" t="s">
        <v>424</v>
      </c>
      <c r="FP1311" t="s">
        <v>454</v>
      </c>
      <c r="FR1311">
        <v>12</v>
      </c>
      <c r="FS1311">
        <v>5681199</v>
      </c>
      <c r="FT1311" t="s">
        <v>13363</v>
      </c>
      <c r="FV1311" s="1">
        <v>42515</v>
      </c>
      <c r="FW1311">
        <v>2015</v>
      </c>
      <c r="FX1311">
        <v>522.02</v>
      </c>
      <c r="FY1311" t="s">
        <v>13364</v>
      </c>
      <c r="FZ1311">
        <v>18</v>
      </c>
      <c r="GA1311" t="s">
        <v>424</v>
      </c>
      <c r="GB1311" t="s">
        <v>425</v>
      </c>
      <c r="GC1311" s="1">
        <v>42629</v>
      </c>
      <c r="GD1311">
        <v>4</v>
      </c>
      <c r="GE1311">
        <v>10628</v>
      </c>
      <c r="GF1311" t="s">
        <v>943</v>
      </c>
      <c r="GH1311" s="1">
        <v>42151</v>
      </c>
      <c r="GI1311">
        <v>2014</v>
      </c>
      <c r="GJ1311">
        <v>458.39</v>
      </c>
      <c r="GK1311" t="s">
        <v>13365</v>
      </c>
      <c r="GL1311">
        <v>4</v>
      </c>
      <c r="GM1311" t="s">
        <v>424</v>
      </c>
      <c r="GN1311" t="s">
        <v>425</v>
      </c>
      <c r="GP1311">
        <v>22</v>
      </c>
      <c r="GQ1311">
        <v>15399</v>
      </c>
      <c r="GR1311" t="s">
        <v>485</v>
      </c>
      <c r="GT1311" s="1">
        <v>42151</v>
      </c>
      <c r="GU1311">
        <v>2014</v>
      </c>
      <c r="GV1311">
        <v>458.39</v>
      </c>
      <c r="GW1311" t="s">
        <v>13365</v>
      </c>
      <c r="GX1311">
        <v>4</v>
      </c>
      <c r="GY1311" t="s">
        <v>424</v>
      </c>
      <c r="GZ1311" t="s">
        <v>425</v>
      </c>
      <c r="HB1311">
        <v>22</v>
      </c>
      <c r="HC1311">
        <v>7045025</v>
      </c>
      <c r="HD1311" t="s">
        <v>3424</v>
      </c>
      <c r="HF1311" s="1">
        <v>42151</v>
      </c>
      <c r="HG1311">
        <v>2014</v>
      </c>
      <c r="HH1311">
        <v>458.39</v>
      </c>
      <c r="HI1311" t="s">
        <v>13365</v>
      </c>
      <c r="HJ1311">
        <v>4</v>
      </c>
      <c r="HK1311" t="s">
        <v>424</v>
      </c>
      <c r="HL1311" t="s">
        <v>425</v>
      </c>
      <c r="HN1311">
        <v>22</v>
      </c>
      <c r="HO1311">
        <v>7336692</v>
      </c>
      <c r="HP1311" t="s">
        <v>822</v>
      </c>
      <c r="HR1311" s="1">
        <v>42151</v>
      </c>
      <c r="HS1311">
        <v>2014</v>
      </c>
      <c r="HT1311">
        <v>458.39</v>
      </c>
      <c r="HU1311" t="s">
        <v>13365</v>
      </c>
      <c r="HV1311">
        <v>4</v>
      </c>
      <c r="HW1311" t="s">
        <v>424</v>
      </c>
      <c r="HX1311" t="s">
        <v>425</v>
      </c>
      <c r="HY1311" s="1">
        <v>42629</v>
      </c>
      <c r="HZ1311">
        <v>16</v>
      </c>
      <c r="IA1311">
        <v>7336698</v>
      </c>
      <c r="IB1311" t="s">
        <v>823</v>
      </c>
      <c r="ID1311" s="1">
        <v>41787</v>
      </c>
      <c r="IE1311">
        <v>2013</v>
      </c>
      <c r="IF1311">
        <v>507.99</v>
      </c>
      <c r="IG1311" t="s">
        <v>13366</v>
      </c>
      <c r="IH1311">
        <v>0.25</v>
      </c>
      <c r="II1311" t="s">
        <v>424</v>
      </c>
      <c r="IJ1311" t="s">
        <v>425</v>
      </c>
      <c r="IL1311">
        <v>22</v>
      </c>
      <c r="IM1311">
        <v>15399</v>
      </c>
      <c r="IN1311" t="s">
        <v>485</v>
      </c>
      <c r="IP1311" s="1">
        <v>41787</v>
      </c>
      <c r="IQ1311">
        <v>2013</v>
      </c>
      <c r="IR1311">
        <v>507.99</v>
      </c>
      <c r="IS1311" t="s">
        <v>13366</v>
      </c>
      <c r="IT1311">
        <v>0.25</v>
      </c>
      <c r="IU1311" t="s">
        <v>424</v>
      </c>
      <c r="IV1311" t="s">
        <v>425</v>
      </c>
      <c r="IX1311">
        <v>22</v>
      </c>
      <c r="IY1311">
        <v>7336692</v>
      </c>
      <c r="IZ1311" t="s">
        <v>822</v>
      </c>
      <c r="JB1311" s="1">
        <v>41787</v>
      </c>
      <c r="JC1311">
        <v>2013</v>
      </c>
      <c r="JD1311">
        <v>507.99</v>
      </c>
      <c r="JE1311" t="s">
        <v>13366</v>
      </c>
      <c r="JF1311">
        <v>0.25</v>
      </c>
      <c r="JG1311" t="s">
        <v>424</v>
      </c>
      <c r="JH1311" t="s">
        <v>425</v>
      </c>
      <c r="JI1311" s="1">
        <v>42629</v>
      </c>
      <c r="JJ1311">
        <v>28</v>
      </c>
      <c r="JK1311">
        <v>7336698</v>
      </c>
      <c r="JL1311" t="s">
        <v>823</v>
      </c>
      <c r="JN1311" s="1">
        <v>41052</v>
      </c>
      <c r="JO1311">
        <v>2011</v>
      </c>
      <c r="JP1311">
        <v>635.34</v>
      </c>
      <c r="JQ1311" t="s">
        <v>13367</v>
      </c>
      <c r="JR1311">
        <v>5.75</v>
      </c>
      <c r="JS1311" t="s">
        <v>424</v>
      </c>
      <c r="JT1311" t="s">
        <v>425</v>
      </c>
      <c r="JU1311" s="1">
        <v>42629</v>
      </c>
      <c r="JV1311">
        <v>52</v>
      </c>
      <c r="JW1311">
        <v>62</v>
      </c>
      <c r="JX1311" t="s">
        <v>463</v>
      </c>
      <c r="JZ1311" s="1">
        <v>40688</v>
      </c>
      <c r="KA1311">
        <v>2010</v>
      </c>
      <c r="KB1311">
        <v>722.03</v>
      </c>
      <c r="KC1311" t="s">
        <v>13368</v>
      </c>
      <c r="KD1311">
        <v>6.75</v>
      </c>
      <c r="KE1311" t="s">
        <v>424</v>
      </c>
      <c r="KF1311" t="s">
        <v>425</v>
      </c>
      <c r="KG1311" s="1">
        <v>40714</v>
      </c>
      <c r="KH1311">
        <v>1</v>
      </c>
      <c r="KI1311">
        <v>10579</v>
      </c>
      <c r="KJ1311" t="s">
        <v>488</v>
      </c>
    </row>
    <row r="1312" spans="1:296" x14ac:dyDescent="0.25">
      <c r="A1312">
        <v>16486319</v>
      </c>
      <c r="B1312">
        <v>1311</v>
      </c>
      <c r="C1312" t="s">
        <v>393</v>
      </c>
      <c r="D1312" t="s">
        <v>394</v>
      </c>
      <c r="F1312" t="str">
        <f>"42-2N-27-4613-0007-0050"</f>
        <v>42-2N-27-4613-0007-0050</v>
      </c>
      <c r="H1312" t="str">
        <f>"SCOATES GEORGE R"</f>
        <v>SCOATES GEORGE R</v>
      </c>
      <c r="I1312" t="str">
        <f>"85615 RADIO AVENUE"</f>
        <v>85615 RADIO AVENUE</v>
      </c>
      <c r="J1312" t="str">
        <f>"YULEE FL 32097"</f>
        <v>YULEE FL 32097</v>
      </c>
      <c r="K1312" t="str">
        <f>"85615 RADIO AVE"</f>
        <v>85615 RADIO AVE</v>
      </c>
      <c r="L1312" t="str">
        <f t="shared" si="430"/>
        <v>YULEE FL 32097</v>
      </c>
      <c r="M1312" t="str">
        <f>"BLOCK 7 LOT 5 IN OR 684 PG 984 YULEE WOODS 3 PB 5/239"</f>
        <v>BLOCK 7 LOT 5 IN OR 684 PG 984 YULEE WOODS 3 PB 5/239</v>
      </c>
      <c r="N1312" t="str">
        <f>""</f>
        <v/>
      </c>
      <c r="O1312" t="str">
        <f>"48860"</f>
        <v>48860</v>
      </c>
      <c r="P1312" t="str">
        <f t="shared" si="433"/>
        <v>2017</v>
      </c>
      <c r="Q1312" t="str">
        <f>""</f>
        <v/>
      </c>
      <c r="R1312" t="str">
        <f>"N"</f>
        <v>N</v>
      </c>
      <c r="S1312" t="str">
        <f>""</f>
        <v/>
      </c>
      <c r="T1312" t="str">
        <f>"581.30"</f>
        <v>581.30</v>
      </c>
      <c r="U1312" t="str">
        <f>"35659.00"</f>
        <v>35659.00</v>
      </c>
      <c r="V1312" t="str">
        <f>"35659.00"</f>
        <v>35659.00</v>
      </c>
      <c r="W1312" t="str">
        <f t="shared" si="434"/>
        <v>2017</v>
      </c>
      <c r="X1312" t="str">
        <f>"17.89"</f>
        <v>17.89</v>
      </c>
      <c r="Y1312" t="str">
        <f>"630.74"</f>
        <v>630.74</v>
      </c>
      <c r="Z1312" t="str">
        <f>""</f>
        <v/>
      </c>
      <c r="AA1312" t="str">
        <f>"41945.00"</f>
        <v>41945.00</v>
      </c>
      <c r="AB1312" t="str">
        <f t="shared" si="439"/>
        <v>Residential</v>
      </c>
      <c r="AC1312" t="str">
        <f t="shared" si="445"/>
        <v>0</v>
      </c>
      <c r="AD1312" t="str">
        <f t="shared" si="446"/>
        <v>4</v>
      </c>
      <c r="AE1312" t="str">
        <f t="shared" si="447"/>
        <v>WOOD (INCLUDE STEEL STUDS)</v>
      </c>
      <c r="AF1312" t="str">
        <f t="shared" si="448"/>
        <v>002</v>
      </c>
      <c r="AG1312" t="str">
        <f t="shared" si="444"/>
        <v>FL</v>
      </c>
      <c r="AH1312" t="str">
        <f t="shared" si="442"/>
        <v>-</v>
      </c>
      <c r="AI1312" t="str">
        <f t="shared" si="441"/>
        <v>28000.00</v>
      </c>
      <c r="AJ1312" t="str">
        <f>"C55-000-588-2421-0"</f>
        <v>C55-000-588-2421-0</v>
      </c>
      <c r="AK1312" t="str">
        <f>"22517"</f>
        <v>22517</v>
      </c>
      <c r="AL1312">
        <v>5</v>
      </c>
      <c r="AM1312">
        <v>1499</v>
      </c>
      <c r="AN1312">
        <v>660.68</v>
      </c>
      <c r="AQ1312" t="s">
        <v>13369</v>
      </c>
      <c r="AR1312" t="s">
        <v>13369</v>
      </c>
      <c r="AS1312" t="s">
        <v>13369</v>
      </c>
      <c r="AU1312" t="s">
        <v>396</v>
      </c>
      <c r="AV1312">
        <v>2017</v>
      </c>
      <c r="AW1312" t="str">
        <f>"42-2N-27-4613-0007-0050 "</f>
        <v xml:space="preserve">42-2N-27-4613-0007-0050 </v>
      </c>
      <c r="AX1312">
        <v>85615</v>
      </c>
      <c r="AZ1312" t="s">
        <v>13033</v>
      </c>
      <c r="BA1312" t="s">
        <v>1112</v>
      </c>
      <c r="BD1312" t="s">
        <v>2387</v>
      </c>
      <c r="BE1312" t="s">
        <v>393</v>
      </c>
      <c r="BF1312">
        <v>32097</v>
      </c>
      <c r="BG1312" t="s">
        <v>13370</v>
      </c>
      <c r="BH1312" t="s">
        <v>2388</v>
      </c>
      <c r="BI1312">
        <v>-81.585309730839199</v>
      </c>
      <c r="BJ1312">
        <v>30.605399550101399</v>
      </c>
      <c r="BK1312" t="s">
        <v>13371</v>
      </c>
      <c r="BM1312" t="s">
        <v>13370</v>
      </c>
      <c r="BN1312" t="s">
        <v>1778</v>
      </c>
      <c r="BO1312">
        <v>32097</v>
      </c>
      <c r="BP1312" t="s">
        <v>416</v>
      </c>
      <c r="BQ1312">
        <v>200</v>
      </c>
      <c r="BR1312" t="s">
        <v>405</v>
      </c>
      <c r="BS1312">
        <v>1006</v>
      </c>
      <c r="BT1312" t="s">
        <v>406</v>
      </c>
      <c r="BW1312">
        <v>43600</v>
      </c>
      <c r="BX1312" t="s">
        <v>407</v>
      </c>
      <c r="BY1312" t="s">
        <v>408</v>
      </c>
      <c r="BZ1312">
        <v>4</v>
      </c>
      <c r="CA1312">
        <v>1989</v>
      </c>
      <c r="CC1312">
        <v>1</v>
      </c>
      <c r="CD1312">
        <v>2017</v>
      </c>
      <c r="CE1312">
        <v>28000</v>
      </c>
      <c r="CF1312">
        <v>13945</v>
      </c>
      <c r="CG1312">
        <v>41945</v>
      </c>
      <c r="CH1312">
        <v>2017</v>
      </c>
      <c r="CI1312">
        <v>28000</v>
      </c>
      <c r="CJ1312">
        <v>13945</v>
      </c>
      <c r="CK1312">
        <v>41945</v>
      </c>
      <c r="CL1312">
        <v>2017</v>
      </c>
      <c r="CM1312">
        <v>581.29999999999995</v>
      </c>
      <c r="CN1312" s="1">
        <v>34159</v>
      </c>
      <c r="CO1312">
        <v>18500</v>
      </c>
      <c r="CZ1312" s="1">
        <v>34159</v>
      </c>
      <c r="DD1312" t="s">
        <v>2387</v>
      </c>
      <c r="DG1312">
        <v>42</v>
      </c>
      <c r="DJ1312" t="s">
        <v>13225</v>
      </c>
      <c r="DL1312">
        <v>50302</v>
      </c>
      <c r="DM1312" t="s">
        <v>12468</v>
      </c>
      <c r="DO1312" t="s">
        <v>13372</v>
      </c>
      <c r="DP1312">
        <v>0</v>
      </c>
      <c r="DQ1312">
        <v>0</v>
      </c>
      <c r="DR1312" t="s">
        <v>411</v>
      </c>
      <c r="DS1312" t="b">
        <v>1</v>
      </c>
      <c r="DT1312" t="s">
        <v>470</v>
      </c>
      <c r="DU1312" t="s">
        <v>471</v>
      </c>
      <c r="DV1312" t="s">
        <v>472</v>
      </c>
      <c r="DX1312">
        <v>-9999</v>
      </c>
      <c r="DZ1312" t="s">
        <v>447</v>
      </c>
      <c r="EA1312" t="s">
        <v>448</v>
      </c>
      <c r="EB1312" t="s">
        <v>742</v>
      </c>
      <c r="EC1312">
        <v>20101217</v>
      </c>
      <c r="ED1312" t="s">
        <v>474</v>
      </c>
      <c r="EF1312">
        <v>4382.5</v>
      </c>
      <c r="EG1312">
        <v>4302.1000000000004</v>
      </c>
      <c r="EI1312">
        <v>20160407</v>
      </c>
      <c r="EJ1312">
        <v>0</v>
      </c>
      <c r="EK1312">
        <v>0</v>
      </c>
      <c r="EP1312" t="s">
        <v>421</v>
      </c>
      <c r="EQ1312" t="s">
        <v>422</v>
      </c>
      <c r="ER1312">
        <v>2</v>
      </c>
      <c r="ES1312">
        <v>6</v>
      </c>
      <c r="ET1312">
        <v>1133.1600000000001</v>
      </c>
      <c r="EU1312">
        <v>69.16</v>
      </c>
      <c r="EV1312">
        <v>1202.32</v>
      </c>
      <c r="EW1312" s="2">
        <v>43222</v>
      </c>
      <c r="EX1312" s="1">
        <v>42879</v>
      </c>
      <c r="EY1312">
        <v>2016</v>
      </c>
      <c r="EZ1312">
        <v>566.58000000000004</v>
      </c>
      <c r="FA1312" t="s">
        <v>13373</v>
      </c>
      <c r="FB1312">
        <v>0.25</v>
      </c>
      <c r="FC1312" t="s">
        <v>424</v>
      </c>
      <c r="FD1312" t="s">
        <v>454</v>
      </c>
      <c r="FF1312">
        <v>12</v>
      </c>
      <c r="FG1312">
        <v>2851116</v>
      </c>
      <c r="FH1312" t="s">
        <v>480</v>
      </c>
      <c r="FJ1312" s="1">
        <v>42879</v>
      </c>
      <c r="FK1312">
        <v>2016</v>
      </c>
      <c r="FL1312">
        <v>566.58000000000004</v>
      </c>
      <c r="FM1312" t="s">
        <v>13373</v>
      </c>
      <c r="FN1312">
        <v>0.25</v>
      </c>
      <c r="FO1312" t="s">
        <v>424</v>
      </c>
      <c r="FP1312" t="s">
        <v>454</v>
      </c>
      <c r="FR1312">
        <v>12</v>
      </c>
      <c r="FS1312">
        <v>5759781</v>
      </c>
      <c r="FT1312" t="s">
        <v>13374</v>
      </c>
      <c r="FV1312" s="1">
        <v>42515</v>
      </c>
      <c r="FW1312">
        <v>2015</v>
      </c>
      <c r="FX1312">
        <v>555.58000000000004</v>
      </c>
      <c r="FY1312" t="s">
        <v>13375</v>
      </c>
      <c r="FZ1312">
        <v>18</v>
      </c>
      <c r="GA1312" t="s">
        <v>424</v>
      </c>
      <c r="GB1312" t="s">
        <v>425</v>
      </c>
      <c r="GC1312" s="1">
        <v>43159</v>
      </c>
      <c r="GD1312">
        <v>21</v>
      </c>
      <c r="GE1312">
        <v>10628</v>
      </c>
      <c r="GF1312" t="s">
        <v>943</v>
      </c>
      <c r="GH1312" s="1">
        <v>42151</v>
      </c>
      <c r="GI1312">
        <v>2014</v>
      </c>
      <c r="GJ1312">
        <v>479.89</v>
      </c>
      <c r="GK1312" t="s">
        <v>13376</v>
      </c>
      <c r="GL1312">
        <v>3.75</v>
      </c>
      <c r="GM1312" t="s">
        <v>424</v>
      </c>
      <c r="GN1312" t="s">
        <v>425</v>
      </c>
      <c r="GO1312" s="1">
        <v>42825</v>
      </c>
      <c r="GP1312">
        <v>22</v>
      </c>
      <c r="GQ1312">
        <v>4975593</v>
      </c>
      <c r="GR1312" t="s">
        <v>505</v>
      </c>
      <c r="GT1312" s="1">
        <v>41787</v>
      </c>
      <c r="GU1312">
        <v>2013</v>
      </c>
      <c r="GV1312">
        <v>561.61</v>
      </c>
      <c r="GW1312" t="s">
        <v>13377</v>
      </c>
      <c r="GX1312">
        <v>0.25</v>
      </c>
      <c r="GY1312" t="s">
        <v>424</v>
      </c>
      <c r="GZ1312" t="s">
        <v>425</v>
      </c>
      <c r="HA1312" s="1">
        <v>42431</v>
      </c>
      <c r="HB1312">
        <v>22</v>
      </c>
      <c r="HC1312">
        <v>15399</v>
      </c>
      <c r="HD1312" t="s">
        <v>485</v>
      </c>
      <c r="HF1312" s="1">
        <v>41423</v>
      </c>
      <c r="HG1312">
        <v>2012</v>
      </c>
      <c r="HH1312">
        <v>572.05999999999995</v>
      </c>
      <c r="HI1312" t="s">
        <v>13378</v>
      </c>
      <c r="HJ1312">
        <v>0.25</v>
      </c>
      <c r="HK1312" t="s">
        <v>424</v>
      </c>
      <c r="HL1312" t="s">
        <v>425</v>
      </c>
      <c r="HM1312" s="1">
        <v>42061</v>
      </c>
      <c r="HN1312">
        <v>21</v>
      </c>
      <c r="HO1312">
        <v>15399</v>
      </c>
      <c r="HP1312" t="s">
        <v>485</v>
      </c>
      <c r="HR1312" s="1">
        <v>41052</v>
      </c>
      <c r="HS1312">
        <v>2011</v>
      </c>
      <c r="HT1312">
        <v>684.19</v>
      </c>
      <c r="HU1312" t="s">
        <v>13379</v>
      </c>
      <c r="HV1312">
        <v>5.75</v>
      </c>
      <c r="HW1312" t="s">
        <v>424</v>
      </c>
      <c r="HX1312" t="s">
        <v>425</v>
      </c>
      <c r="HY1312" s="1">
        <v>41698</v>
      </c>
      <c r="HZ1312">
        <v>21</v>
      </c>
      <c r="IA1312">
        <v>62</v>
      </c>
      <c r="IB1312" t="s">
        <v>463</v>
      </c>
      <c r="ID1312" s="1">
        <v>40688</v>
      </c>
      <c r="IE1312">
        <v>2010</v>
      </c>
      <c r="IF1312">
        <v>779.14</v>
      </c>
      <c r="IG1312" t="s">
        <v>13380</v>
      </c>
      <c r="IH1312">
        <v>6.75</v>
      </c>
      <c r="II1312" t="s">
        <v>424</v>
      </c>
      <c r="IJ1312" t="s">
        <v>425</v>
      </c>
      <c r="IK1312" s="1">
        <v>41319</v>
      </c>
      <c r="IL1312">
        <v>21</v>
      </c>
      <c r="IM1312">
        <v>10579</v>
      </c>
      <c r="IN1312" t="s">
        <v>488</v>
      </c>
    </row>
    <row r="1313" spans="1:272" x14ac:dyDescent="0.25">
      <c r="A1313">
        <v>16486320</v>
      </c>
      <c r="B1313">
        <v>1312</v>
      </c>
      <c r="C1313" t="s">
        <v>393</v>
      </c>
      <c r="D1313" t="s">
        <v>394</v>
      </c>
      <c r="F1313" t="str">
        <f>"42-2N-27-4613-0007-0090"</f>
        <v>42-2N-27-4613-0007-0090</v>
      </c>
      <c r="H1313" t="str">
        <f>"DIPPY NATHAN A"</f>
        <v>DIPPY NATHAN A</v>
      </c>
      <c r="I1313" t="str">
        <f>"7701 BAY MEADOWS CIR W 1156"</f>
        <v>7701 BAY MEADOWS CIR W 1156</v>
      </c>
      <c r="J1313" t="str">
        <f>"JACKSONVILLE FL 32256"</f>
        <v>JACKSONVILLE FL 32256</v>
      </c>
      <c r="K1313" t="str">
        <f>"85525 RADIO AVE"</f>
        <v>85525 RADIO AVE</v>
      </c>
      <c r="L1313" t="str">
        <f t="shared" si="430"/>
        <v>YULEE FL 32097</v>
      </c>
      <c r="M1313" t="str">
        <f>"BLOCK 7 LOT 9 IN OR 2044/436 1997 MERI DW/MH YULEE WOODS 3 PB 5/239"</f>
        <v>BLOCK 7 LOT 9 IN OR 2044/436 1997 MERI DW/MH YULEE WOODS 3 PB 5/239</v>
      </c>
      <c r="N1313" t="str">
        <f>""</f>
        <v/>
      </c>
      <c r="O1313" t="str">
        <f>"48864"</f>
        <v>48864</v>
      </c>
      <c r="P1313" t="str">
        <f t="shared" si="433"/>
        <v>2017</v>
      </c>
      <c r="Q1313" t="str">
        <f>""</f>
        <v/>
      </c>
      <c r="R1313" t="str">
        <f>"N"</f>
        <v>N</v>
      </c>
      <c r="S1313" t="str">
        <f>""</f>
        <v/>
      </c>
      <c r="T1313" t="str">
        <f>"1040.39"</f>
        <v>1040.39</v>
      </c>
      <c r="U1313" t="str">
        <f>"68723.00"</f>
        <v>68723.00</v>
      </c>
      <c r="V1313" t="str">
        <f>"68723.00"</f>
        <v>68723.00</v>
      </c>
      <c r="W1313" t="str">
        <f t="shared" si="434"/>
        <v>2017</v>
      </c>
      <c r="X1313" t="str">
        <f>""</f>
        <v/>
      </c>
      <c r="Y1313" t="str">
        <f>"1103.60"</f>
        <v>1103.60</v>
      </c>
      <c r="Z1313" t="str">
        <f>""</f>
        <v/>
      </c>
      <c r="AA1313" t="str">
        <f>"68723.00"</f>
        <v>68723.00</v>
      </c>
      <c r="AB1313" t="str">
        <f t="shared" si="439"/>
        <v>Residential</v>
      </c>
      <c r="AC1313" t="str">
        <f t="shared" si="445"/>
        <v>0</v>
      </c>
      <c r="AD1313" t="str">
        <f t="shared" si="446"/>
        <v>4</v>
      </c>
      <c r="AE1313" t="str">
        <f t="shared" si="447"/>
        <v>WOOD (INCLUDE STEEL STUDS)</v>
      </c>
      <c r="AF1313" t="str">
        <f t="shared" si="448"/>
        <v>002</v>
      </c>
      <c r="AG1313" t="str">
        <f t="shared" si="444"/>
        <v>FL</v>
      </c>
      <c r="AH1313" t="str">
        <f t="shared" si="442"/>
        <v>-</v>
      </c>
      <c r="AI1313" t="str">
        <f t="shared" si="441"/>
        <v>28000.00</v>
      </c>
      <c r="AJ1313" t="str">
        <f>"C55-000-588-2425-1"</f>
        <v>C55-000-588-2425-1</v>
      </c>
      <c r="AK1313" t="str">
        <f>"22521"</f>
        <v>22521</v>
      </c>
      <c r="AL1313">
        <v>5</v>
      </c>
      <c r="AM1313">
        <v>1500</v>
      </c>
      <c r="AN1313">
        <v>1157.18</v>
      </c>
      <c r="AQ1313" t="s">
        <v>13381</v>
      </c>
      <c r="AR1313" t="s">
        <v>13381</v>
      </c>
      <c r="AS1313" t="s">
        <v>13381</v>
      </c>
      <c r="AU1313" t="s">
        <v>396</v>
      </c>
      <c r="AV1313">
        <v>2017</v>
      </c>
      <c r="AW1313" t="str">
        <f>"42-2N-27-4613-0007-0090 "</f>
        <v xml:space="preserve">42-2N-27-4613-0007-0090 </v>
      </c>
      <c r="AX1313">
        <v>85525</v>
      </c>
      <c r="AZ1313" t="s">
        <v>13033</v>
      </c>
      <c r="BA1313" t="s">
        <v>1112</v>
      </c>
      <c r="BD1313" t="s">
        <v>2387</v>
      </c>
      <c r="BE1313" t="s">
        <v>393</v>
      </c>
      <c r="BF1313">
        <v>32097</v>
      </c>
      <c r="BG1313" t="s">
        <v>13382</v>
      </c>
      <c r="BH1313" t="s">
        <v>2388</v>
      </c>
      <c r="BI1313">
        <v>-81.587004876824196</v>
      </c>
      <c r="BJ1313">
        <v>30.604643694401201</v>
      </c>
      <c r="BK1313" t="s">
        <v>13383</v>
      </c>
      <c r="BM1313" t="s">
        <v>13384</v>
      </c>
      <c r="BN1313" t="s">
        <v>548</v>
      </c>
      <c r="BO1313">
        <v>32256</v>
      </c>
      <c r="BP1313" t="s">
        <v>404</v>
      </c>
      <c r="BQ1313">
        <v>200</v>
      </c>
      <c r="BR1313" t="s">
        <v>405</v>
      </c>
      <c r="BS1313">
        <v>1006</v>
      </c>
      <c r="BT1313" t="s">
        <v>406</v>
      </c>
      <c r="BW1313">
        <v>43601</v>
      </c>
      <c r="BX1313" t="s">
        <v>407</v>
      </c>
      <c r="BY1313" t="s">
        <v>408</v>
      </c>
      <c r="BZ1313">
        <v>4</v>
      </c>
      <c r="CA1313">
        <v>1997</v>
      </c>
      <c r="CB1313">
        <v>1</v>
      </c>
      <c r="CC1313">
        <v>1</v>
      </c>
      <c r="CD1313">
        <v>2017</v>
      </c>
      <c r="CE1313">
        <v>28000</v>
      </c>
      <c r="CF1313">
        <v>40723</v>
      </c>
      <c r="CG1313">
        <v>68723</v>
      </c>
      <c r="CH1313">
        <v>2017</v>
      </c>
      <c r="CI1313">
        <v>28000</v>
      </c>
      <c r="CJ1313">
        <v>40723</v>
      </c>
      <c r="CK1313">
        <v>68723</v>
      </c>
      <c r="CL1313">
        <v>2017</v>
      </c>
      <c r="CM1313">
        <v>1040.3900000000001</v>
      </c>
      <c r="CN1313" s="1">
        <v>42496</v>
      </c>
      <c r="CV1313">
        <v>0</v>
      </c>
      <c r="CZ1313" s="1">
        <v>42496</v>
      </c>
      <c r="DA1313">
        <v>0</v>
      </c>
      <c r="DD1313" t="s">
        <v>2387</v>
      </c>
      <c r="DF1313">
        <v>9</v>
      </c>
      <c r="DG1313">
        <v>42</v>
      </c>
      <c r="DL1313">
        <v>50302</v>
      </c>
      <c r="DM1313" t="s">
        <v>12468</v>
      </c>
      <c r="DO1313" t="s">
        <v>13385</v>
      </c>
      <c r="DP1313">
        <v>0</v>
      </c>
      <c r="DQ1313">
        <v>0</v>
      </c>
      <c r="DR1313" t="s">
        <v>411</v>
      </c>
      <c r="EP1313" t="s">
        <v>421</v>
      </c>
      <c r="EQ1313" t="s">
        <v>422</v>
      </c>
      <c r="ER1313">
        <v>2</v>
      </c>
      <c r="ES1313">
        <v>0</v>
      </c>
      <c r="ET1313">
        <v>879.64</v>
      </c>
      <c r="EU1313">
        <v>56.48</v>
      </c>
      <c r="EV1313">
        <v>936.12</v>
      </c>
      <c r="EW1313" s="2">
        <v>43222</v>
      </c>
      <c r="EX1313" s="1">
        <v>42879</v>
      </c>
      <c r="EY1313">
        <v>2016</v>
      </c>
      <c r="EZ1313">
        <v>439.82</v>
      </c>
      <c r="FA1313" t="s">
        <v>13386</v>
      </c>
      <c r="FB1313">
        <v>0.25</v>
      </c>
      <c r="FC1313" t="s">
        <v>424</v>
      </c>
      <c r="FD1313" t="s">
        <v>454</v>
      </c>
      <c r="FF1313">
        <v>12</v>
      </c>
      <c r="FG1313">
        <v>2851116</v>
      </c>
      <c r="FH1313" t="s">
        <v>480</v>
      </c>
      <c r="FJ1313" s="1">
        <v>42879</v>
      </c>
      <c r="FK1313">
        <v>2016</v>
      </c>
      <c r="FL1313">
        <v>439.82</v>
      </c>
      <c r="FM1313" t="s">
        <v>13386</v>
      </c>
      <c r="FN1313">
        <v>0.25</v>
      </c>
      <c r="FO1313" t="s">
        <v>424</v>
      </c>
      <c r="FP1313" t="s">
        <v>454</v>
      </c>
      <c r="FR1313">
        <v>12</v>
      </c>
      <c r="FS1313">
        <v>5068629</v>
      </c>
      <c r="FT1313" t="s">
        <v>13387</v>
      </c>
    </row>
    <row r="1314" spans="1:272" x14ac:dyDescent="0.25">
      <c r="A1314">
        <v>16486321</v>
      </c>
      <c r="B1314">
        <v>1313</v>
      </c>
      <c r="C1314" t="s">
        <v>393</v>
      </c>
      <c r="D1314" t="s">
        <v>394</v>
      </c>
      <c r="F1314" t="str">
        <f>"42-2N-27-4613-0008-0190"</f>
        <v>42-2N-27-4613-0008-0190</v>
      </c>
      <c r="H1314" t="str">
        <f>"HIGHSMITH DANIEL M IV &amp; KAREN"</f>
        <v>HIGHSMITH DANIEL M IV &amp; KAREN</v>
      </c>
      <c r="I1314" t="str">
        <f>"85165 ASHLEY AVENUE"</f>
        <v>85165 ASHLEY AVENUE</v>
      </c>
      <c r="J1314" t="str">
        <f>"YULEE FL 32097"</f>
        <v>YULEE FL 32097</v>
      </c>
      <c r="K1314" t="str">
        <f>"85165 ASHLEY AVE"</f>
        <v>85165 ASHLEY AVE</v>
      </c>
      <c r="L1314" t="str">
        <f t="shared" si="430"/>
        <v>YULEE FL 32097</v>
      </c>
      <c r="M1314" t="str">
        <f>"BLOCK 8 LOT 19 R621842 IN OR 739 PG 771 YULEE WOODS 3 PB 5/239"</f>
        <v>BLOCK 8 LOT 19 R621842 IN OR 739 PG 771 YULEE WOODS 3 PB 5/239</v>
      </c>
      <c r="N1314" t="str">
        <f>""</f>
        <v/>
      </c>
      <c r="O1314" t="str">
        <f>"48888"</f>
        <v>48888</v>
      </c>
      <c r="P1314" t="str">
        <f t="shared" si="433"/>
        <v>2017</v>
      </c>
      <c r="Q1314" t="str">
        <f>""</f>
        <v/>
      </c>
      <c r="R1314" t="str">
        <f>"Y"</f>
        <v>Y</v>
      </c>
      <c r="S1314" t="str">
        <f>""</f>
        <v/>
      </c>
      <c r="T1314" t="str">
        <f>"230.77"</f>
        <v>230.77</v>
      </c>
      <c r="U1314" t="str">
        <f>"40243.00"</f>
        <v>40243.00</v>
      </c>
      <c r="V1314" t="str">
        <f>"40243.00"</f>
        <v>40243.00</v>
      </c>
      <c r="W1314" t="str">
        <f t="shared" si="434"/>
        <v>2017</v>
      </c>
      <c r="X1314" t="str">
        <f>"14.90"</f>
        <v>14.90</v>
      </c>
      <c r="Y1314" t="str">
        <f>"269.69"</f>
        <v>269.69</v>
      </c>
      <c r="Z1314" t="str">
        <f>"25000.00"</f>
        <v>25000.00</v>
      </c>
      <c r="AA1314" t="str">
        <f>"15243.00"</f>
        <v>15243.00</v>
      </c>
      <c r="AB1314" t="str">
        <f t="shared" si="439"/>
        <v>Residential</v>
      </c>
      <c r="AC1314" t="str">
        <f t="shared" si="445"/>
        <v>0</v>
      </c>
      <c r="AD1314" t="str">
        <f t="shared" si="446"/>
        <v>4</v>
      </c>
      <c r="AE1314" t="str">
        <f t="shared" si="447"/>
        <v>WOOD (INCLUDE STEEL STUDS)</v>
      </c>
      <c r="AF1314" t="str">
        <f t="shared" si="448"/>
        <v>002</v>
      </c>
      <c r="AG1314" t="str">
        <f t="shared" si="444"/>
        <v>FL</v>
      </c>
      <c r="AH1314" t="str">
        <f t="shared" si="442"/>
        <v>-</v>
      </c>
      <c r="AI1314" t="str">
        <f t="shared" si="441"/>
        <v>28000.00</v>
      </c>
      <c r="AJ1314" t="str">
        <f>"C55-000-588-2449-1"</f>
        <v>C55-000-588-2449-1</v>
      </c>
      <c r="AK1314" t="str">
        <f>"22545"</f>
        <v>22545</v>
      </c>
      <c r="AL1314">
        <v>5</v>
      </c>
      <c r="AM1314">
        <v>1502</v>
      </c>
      <c r="AN1314">
        <v>281.57</v>
      </c>
      <c r="AQ1314" t="s">
        <v>13388</v>
      </c>
      <c r="AR1314" t="s">
        <v>13388</v>
      </c>
      <c r="AS1314" t="s">
        <v>13388</v>
      </c>
      <c r="AU1314" t="s">
        <v>396</v>
      </c>
      <c r="AV1314">
        <v>2017</v>
      </c>
      <c r="AW1314" t="str">
        <f>"42-2N-27-4613-0008-0190 "</f>
        <v xml:space="preserve">42-2N-27-4613-0008-0190 </v>
      </c>
      <c r="AX1314">
        <v>85165</v>
      </c>
      <c r="AZ1314" t="s">
        <v>13389</v>
      </c>
      <c r="BA1314" t="s">
        <v>1112</v>
      </c>
      <c r="BD1314" t="s">
        <v>2387</v>
      </c>
      <c r="BE1314" t="s">
        <v>393</v>
      </c>
      <c r="BF1314">
        <v>32097</v>
      </c>
      <c r="BG1314" t="s">
        <v>13390</v>
      </c>
      <c r="BH1314" t="s">
        <v>2388</v>
      </c>
      <c r="BI1314">
        <v>-81.586493882655006</v>
      </c>
      <c r="BJ1314">
        <v>30.6028861966374</v>
      </c>
      <c r="BK1314" t="s">
        <v>13391</v>
      </c>
      <c r="BL1314" t="s">
        <v>13392</v>
      </c>
      <c r="BM1314" t="s">
        <v>13390</v>
      </c>
      <c r="BN1314" t="s">
        <v>1778</v>
      </c>
      <c r="BO1314">
        <v>32097</v>
      </c>
      <c r="BP1314" t="s">
        <v>416</v>
      </c>
      <c r="BQ1314">
        <v>200</v>
      </c>
      <c r="BR1314" t="s">
        <v>405</v>
      </c>
      <c r="BS1314">
        <v>1006</v>
      </c>
      <c r="BT1314" t="s">
        <v>406</v>
      </c>
      <c r="BW1314">
        <v>43650</v>
      </c>
      <c r="BX1314" t="s">
        <v>407</v>
      </c>
      <c r="BY1314" t="s">
        <v>408</v>
      </c>
      <c r="BZ1314">
        <v>4</v>
      </c>
      <c r="CA1314">
        <v>1995</v>
      </c>
      <c r="CB1314">
        <v>1</v>
      </c>
      <c r="CC1314">
        <v>1</v>
      </c>
      <c r="CD1314">
        <v>2017</v>
      </c>
      <c r="CG1314">
        <v>40243</v>
      </c>
      <c r="CH1314">
        <v>2017</v>
      </c>
      <c r="CI1314">
        <v>28000</v>
      </c>
      <c r="CJ1314">
        <v>27367</v>
      </c>
      <c r="CK1314">
        <v>55367</v>
      </c>
      <c r="CL1314">
        <v>2017</v>
      </c>
      <c r="CM1314">
        <v>230.77</v>
      </c>
      <c r="CN1314" s="1">
        <v>34960</v>
      </c>
      <c r="CO1314">
        <v>11900</v>
      </c>
      <c r="CZ1314" s="1">
        <v>34960</v>
      </c>
      <c r="DD1314" t="s">
        <v>2387</v>
      </c>
      <c r="DF1314">
        <v>19</v>
      </c>
      <c r="DG1314">
        <v>42</v>
      </c>
      <c r="DJ1314" t="s">
        <v>13225</v>
      </c>
      <c r="DL1314">
        <v>50302</v>
      </c>
      <c r="DM1314" t="s">
        <v>12468</v>
      </c>
      <c r="DO1314" t="s">
        <v>13393</v>
      </c>
      <c r="DP1314">
        <v>0</v>
      </c>
      <c r="DQ1314">
        <v>0</v>
      </c>
      <c r="DR1314" t="s">
        <v>411</v>
      </c>
      <c r="DS1314" t="b">
        <v>1</v>
      </c>
      <c r="DT1314" t="s">
        <v>470</v>
      </c>
      <c r="DU1314" t="s">
        <v>471</v>
      </c>
      <c r="DV1314" t="s">
        <v>472</v>
      </c>
      <c r="DX1314">
        <v>-9999</v>
      </c>
      <c r="DZ1314" t="s">
        <v>447</v>
      </c>
      <c r="EA1314" t="s">
        <v>448</v>
      </c>
      <c r="EB1314" t="s">
        <v>742</v>
      </c>
      <c r="EC1314">
        <v>20101217</v>
      </c>
      <c r="ED1314" t="s">
        <v>474</v>
      </c>
      <c r="EF1314">
        <v>4892.2</v>
      </c>
      <c r="EG1314">
        <v>4524.5</v>
      </c>
      <c r="EI1314">
        <v>20160407</v>
      </c>
      <c r="EJ1314">
        <v>0</v>
      </c>
      <c r="EK1314">
        <v>0</v>
      </c>
      <c r="EP1314" t="s">
        <v>421</v>
      </c>
      <c r="EQ1314" t="s">
        <v>422</v>
      </c>
      <c r="ER1314">
        <v>0</v>
      </c>
      <c r="ES1314">
        <v>10</v>
      </c>
      <c r="ET1314">
        <v>0</v>
      </c>
      <c r="EU1314">
        <v>0</v>
      </c>
      <c r="EV1314">
        <v>0</v>
      </c>
      <c r="EW1314" s="2">
        <v>43222</v>
      </c>
      <c r="EX1314" s="1">
        <v>42879</v>
      </c>
      <c r="EY1314">
        <v>2016</v>
      </c>
      <c r="EZ1314">
        <v>266.31</v>
      </c>
      <c r="FA1314" t="s">
        <v>13394</v>
      </c>
      <c r="FB1314">
        <v>0.25</v>
      </c>
      <c r="FC1314" t="s">
        <v>424</v>
      </c>
      <c r="FD1314" t="s">
        <v>425</v>
      </c>
      <c r="FE1314" s="1">
        <v>42947</v>
      </c>
      <c r="FF1314">
        <v>2</v>
      </c>
      <c r="FG1314">
        <v>2851116</v>
      </c>
      <c r="FH1314" t="s">
        <v>480</v>
      </c>
      <c r="FJ1314" s="1">
        <v>42879</v>
      </c>
      <c r="FK1314">
        <v>2016</v>
      </c>
      <c r="FL1314">
        <v>266.31</v>
      </c>
      <c r="FM1314" t="s">
        <v>13394</v>
      </c>
      <c r="FN1314">
        <v>0.25</v>
      </c>
      <c r="FO1314" t="s">
        <v>424</v>
      </c>
      <c r="FP1314" t="s">
        <v>425</v>
      </c>
      <c r="FR1314">
        <v>22</v>
      </c>
      <c r="FS1314">
        <v>5052436</v>
      </c>
      <c r="FT1314" t="s">
        <v>13395</v>
      </c>
      <c r="FV1314" s="1">
        <v>42515</v>
      </c>
      <c r="FW1314">
        <v>2015</v>
      </c>
      <c r="FX1314">
        <v>262.45999999999998</v>
      </c>
      <c r="FY1314" t="s">
        <v>13396</v>
      </c>
      <c r="FZ1314">
        <v>0.25</v>
      </c>
      <c r="GA1314" t="s">
        <v>424</v>
      </c>
      <c r="GB1314" t="s">
        <v>425</v>
      </c>
      <c r="GC1314" s="1">
        <v>42570</v>
      </c>
      <c r="GD1314">
        <v>2</v>
      </c>
      <c r="GE1314">
        <v>2851116</v>
      </c>
      <c r="GF1314" t="s">
        <v>480</v>
      </c>
      <c r="GH1314" s="1">
        <v>42515</v>
      </c>
      <c r="GI1314">
        <v>2015</v>
      </c>
      <c r="GJ1314">
        <v>262.45999999999998</v>
      </c>
      <c r="GK1314" t="s">
        <v>13396</v>
      </c>
      <c r="GL1314">
        <v>0.25</v>
      </c>
      <c r="GM1314" t="s">
        <v>424</v>
      </c>
      <c r="GN1314" t="s">
        <v>425</v>
      </c>
      <c r="GP1314">
        <v>22</v>
      </c>
      <c r="GQ1314">
        <v>5401859</v>
      </c>
      <c r="GR1314" t="s">
        <v>13397</v>
      </c>
      <c r="GT1314" s="1">
        <v>42151</v>
      </c>
      <c r="GU1314">
        <v>2014</v>
      </c>
      <c r="GV1314">
        <v>258.39</v>
      </c>
      <c r="GW1314" t="s">
        <v>13398</v>
      </c>
      <c r="GX1314">
        <v>0.25</v>
      </c>
      <c r="GY1314" t="s">
        <v>424</v>
      </c>
      <c r="GZ1314" t="s">
        <v>425</v>
      </c>
      <c r="HA1314" s="1">
        <v>42179</v>
      </c>
      <c r="HB1314">
        <v>1</v>
      </c>
      <c r="HC1314">
        <v>2851116</v>
      </c>
      <c r="HD1314" t="s">
        <v>480</v>
      </c>
      <c r="HF1314" s="1">
        <v>42151</v>
      </c>
      <c r="HG1314">
        <v>2014</v>
      </c>
      <c r="HH1314">
        <v>258.39</v>
      </c>
      <c r="HI1314" t="s">
        <v>13398</v>
      </c>
      <c r="HJ1314">
        <v>0.25</v>
      </c>
      <c r="HK1314" t="s">
        <v>424</v>
      </c>
      <c r="HL1314" t="s">
        <v>425</v>
      </c>
      <c r="HN1314">
        <v>22</v>
      </c>
      <c r="HO1314">
        <v>4928700</v>
      </c>
      <c r="HP1314" t="s">
        <v>13399</v>
      </c>
      <c r="HR1314" s="1">
        <v>41787</v>
      </c>
      <c r="HS1314">
        <v>2013</v>
      </c>
      <c r="HT1314">
        <v>351.24</v>
      </c>
      <c r="HU1314" t="s">
        <v>13400</v>
      </c>
      <c r="HV1314">
        <v>0.25</v>
      </c>
      <c r="HW1314" t="s">
        <v>424</v>
      </c>
      <c r="HX1314" t="s">
        <v>425</v>
      </c>
      <c r="HY1314" s="1">
        <v>42179</v>
      </c>
      <c r="HZ1314">
        <v>13</v>
      </c>
      <c r="IA1314">
        <v>10125</v>
      </c>
      <c r="IB1314" t="s">
        <v>440</v>
      </c>
      <c r="ID1314" s="1">
        <v>41423</v>
      </c>
      <c r="IE1314">
        <v>2012</v>
      </c>
      <c r="IF1314">
        <v>369.05</v>
      </c>
      <c r="IG1314" t="s">
        <v>13401</v>
      </c>
      <c r="IH1314">
        <v>0.25</v>
      </c>
      <c r="II1314" t="s">
        <v>424</v>
      </c>
      <c r="IJ1314" t="s">
        <v>425</v>
      </c>
      <c r="IK1314" s="1">
        <v>42094</v>
      </c>
      <c r="IL1314">
        <v>22</v>
      </c>
      <c r="IM1314">
        <v>62</v>
      </c>
      <c r="IN1314" t="s">
        <v>463</v>
      </c>
      <c r="IP1314" s="1">
        <v>41052</v>
      </c>
      <c r="IQ1314">
        <v>2011</v>
      </c>
      <c r="IR1314">
        <v>393.26</v>
      </c>
      <c r="IS1314" t="s">
        <v>13402</v>
      </c>
      <c r="IT1314">
        <v>5.75</v>
      </c>
      <c r="IU1314" t="s">
        <v>424</v>
      </c>
      <c r="IV1314" t="s">
        <v>425</v>
      </c>
      <c r="IW1314" s="1">
        <v>41738</v>
      </c>
      <c r="IX1314">
        <v>23</v>
      </c>
      <c r="IY1314">
        <v>62</v>
      </c>
      <c r="IZ1314" t="s">
        <v>463</v>
      </c>
      <c r="JB1314" s="1">
        <v>40688</v>
      </c>
      <c r="JC1314">
        <v>2010</v>
      </c>
      <c r="JD1314">
        <v>382.48</v>
      </c>
      <c r="JE1314" t="s">
        <v>13403</v>
      </c>
      <c r="JF1314">
        <v>6.75</v>
      </c>
      <c r="JG1314" t="s">
        <v>424</v>
      </c>
      <c r="JH1314" t="s">
        <v>425</v>
      </c>
      <c r="JI1314" s="1">
        <v>41330</v>
      </c>
      <c r="JJ1314">
        <v>21</v>
      </c>
      <c r="JK1314">
        <v>375</v>
      </c>
      <c r="JL1314" t="s">
        <v>776</v>
      </c>
    </row>
    <row r="1315" spans="1:272" x14ac:dyDescent="0.25">
      <c r="A1315">
        <v>16486322</v>
      </c>
      <c r="B1315">
        <v>1314</v>
      </c>
      <c r="C1315" t="s">
        <v>393</v>
      </c>
      <c r="D1315" t="s">
        <v>394</v>
      </c>
      <c r="F1315" t="str">
        <f>"42-2N-27-4613-0008-0220"</f>
        <v>42-2N-27-4613-0008-0220</v>
      </c>
      <c r="H1315" t="str">
        <f>"JONES LARRY K"</f>
        <v>JONES LARRY K</v>
      </c>
      <c r="I1315" t="str">
        <f>"235 TROUT RIVER DRIVE"</f>
        <v>235 TROUT RIVER DRIVE</v>
      </c>
      <c r="J1315" t="str">
        <f>"JACKSONVILLE FL 32208"</f>
        <v>JACKSONVILLE FL 32208</v>
      </c>
      <c r="K1315" t="str">
        <f>"85249 ASHLEY AVE"</f>
        <v>85249 ASHLEY AVE</v>
      </c>
      <c r="L1315" t="str">
        <f t="shared" si="430"/>
        <v>YULEE FL 32097</v>
      </c>
      <c r="M1315" t="str">
        <f>"BLOCK 8 LOT 22 IN OR 1413/782 YULEE WOODS 3 PB 5/239"</f>
        <v>BLOCK 8 LOT 22 IN OR 1413/782 YULEE WOODS 3 PB 5/239</v>
      </c>
      <c r="N1315" t="str">
        <f>""</f>
        <v/>
      </c>
      <c r="O1315" t="str">
        <f>"48891"</f>
        <v>48891</v>
      </c>
      <c r="P1315" t="str">
        <f t="shared" si="433"/>
        <v>2017</v>
      </c>
      <c r="Q1315" t="str">
        <f>""</f>
        <v/>
      </c>
      <c r="R1315" t="str">
        <f t="shared" ref="R1315:R1321" si="449">"N"</f>
        <v>N</v>
      </c>
      <c r="S1315" t="str">
        <f>""</f>
        <v/>
      </c>
      <c r="T1315" t="str">
        <f>"1986.61"</f>
        <v>1986.61</v>
      </c>
      <c r="U1315" t="str">
        <f>"131226.00"</f>
        <v>131226.00</v>
      </c>
      <c r="V1315" t="str">
        <f>"131226.00"</f>
        <v>131226.00</v>
      </c>
      <c r="W1315" t="str">
        <f t="shared" si="434"/>
        <v>2017</v>
      </c>
      <c r="X1315" t="str">
        <f>"21.33"</f>
        <v>21.33</v>
      </c>
      <c r="Y1315" t="str">
        <f>"2078.21"</f>
        <v>2078.21</v>
      </c>
      <c r="Z1315" t="str">
        <f>""</f>
        <v/>
      </c>
      <c r="AA1315" t="str">
        <f>"131226.00"</f>
        <v>131226.00</v>
      </c>
      <c r="AB1315" t="str">
        <f t="shared" si="439"/>
        <v>Residential</v>
      </c>
      <c r="AC1315" t="str">
        <f t="shared" si="445"/>
        <v>0</v>
      </c>
      <c r="AD1315" t="str">
        <f t="shared" si="446"/>
        <v>4</v>
      </c>
      <c r="AE1315" t="str">
        <f t="shared" si="447"/>
        <v>WOOD (INCLUDE STEEL STUDS)</v>
      </c>
      <c r="AF1315" t="str">
        <f>"001"</f>
        <v>001</v>
      </c>
      <c r="AG1315" t="str">
        <f t="shared" si="444"/>
        <v>FL</v>
      </c>
      <c r="AH1315" t="str">
        <f t="shared" si="442"/>
        <v>-</v>
      </c>
      <c r="AI1315" t="str">
        <f t="shared" si="441"/>
        <v>28000.00</v>
      </c>
      <c r="AJ1315" t="str">
        <f>"C55-000-588-2452-5"</f>
        <v>C55-000-588-2452-5</v>
      </c>
      <c r="AK1315" t="str">
        <f>"22548"</f>
        <v>22548</v>
      </c>
      <c r="AL1315">
        <v>5</v>
      </c>
      <c r="AM1315">
        <v>1503</v>
      </c>
      <c r="AN1315">
        <v>2180.52</v>
      </c>
      <c r="AQ1315" t="s">
        <v>13404</v>
      </c>
      <c r="AR1315" t="s">
        <v>13404</v>
      </c>
      <c r="AS1315" t="s">
        <v>13404</v>
      </c>
      <c r="AU1315" t="s">
        <v>396</v>
      </c>
      <c r="AV1315">
        <v>2017</v>
      </c>
      <c r="AW1315" t="str">
        <f>"42-2N-27-4613-0008-0220 "</f>
        <v xml:space="preserve">42-2N-27-4613-0008-0220 </v>
      </c>
      <c r="AX1315">
        <v>85249</v>
      </c>
      <c r="AZ1315" t="s">
        <v>13389</v>
      </c>
      <c r="BA1315" t="s">
        <v>1112</v>
      </c>
      <c r="BD1315" t="s">
        <v>2387</v>
      </c>
      <c r="BE1315" t="s">
        <v>393</v>
      </c>
      <c r="BF1315">
        <v>32097</v>
      </c>
      <c r="BG1315" t="s">
        <v>13405</v>
      </c>
      <c r="BH1315" t="s">
        <v>2388</v>
      </c>
      <c r="BI1315">
        <v>-81.585222553811704</v>
      </c>
      <c r="BJ1315">
        <v>30.603453091436801</v>
      </c>
      <c r="BK1315" t="s">
        <v>13406</v>
      </c>
      <c r="BM1315" t="s">
        <v>13407</v>
      </c>
      <c r="BN1315" t="s">
        <v>548</v>
      </c>
      <c r="BO1315">
        <v>32208</v>
      </c>
      <c r="BP1315" t="s">
        <v>404</v>
      </c>
      <c r="BQ1315">
        <v>100</v>
      </c>
      <c r="BR1315" t="s">
        <v>514</v>
      </c>
      <c r="BS1315">
        <v>1001</v>
      </c>
      <c r="BT1315" t="s">
        <v>515</v>
      </c>
      <c r="BW1315">
        <v>43650</v>
      </c>
      <c r="BX1315" t="s">
        <v>407</v>
      </c>
      <c r="BY1315" t="s">
        <v>408</v>
      </c>
      <c r="BZ1315">
        <v>4</v>
      </c>
      <c r="CA1315">
        <v>1996</v>
      </c>
      <c r="CB1315">
        <v>1</v>
      </c>
      <c r="CC1315">
        <v>1</v>
      </c>
      <c r="CD1315">
        <v>2017</v>
      </c>
      <c r="CE1315">
        <v>28000</v>
      </c>
      <c r="CF1315">
        <v>103226</v>
      </c>
      <c r="CG1315">
        <v>131226</v>
      </c>
      <c r="CH1315">
        <v>2017</v>
      </c>
      <c r="CI1315">
        <v>28000</v>
      </c>
      <c r="CJ1315">
        <v>103226</v>
      </c>
      <c r="CK1315">
        <v>131226</v>
      </c>
      <c r="CL1315">
        <v>2017</v>
      </c>
      <c r="CM1315">
        <v>1986.61</v>
      </c>
      <c r="CN1315" s="1">
        <v>38856</v>
      </c>
      <c r="CO1315">
        <v>128000</v>
      </c>
      <c r="CV1315">
        <v>0</v>
      </c>
      <c r="CZ1315" s="1">
        <v>38856</v>
      </c>
      <c r="DA1315">
        <v>0</v>
      </c>
      <c r="DD1315" t="s">
        <v>2387</v>
      </c>
      <c r="DF1315">
        <v>22</v>
      </c>
      <c r="DG1315">
        <v>42</v>
      </c>
      <c r="DJ1315" t="s">
        <v>13225</v>
      </c>
      <c r="DL1315">
        <v>50302</v>
      </c>
      <c r="DM1315" t="s">
        <v>12468</v>
      </c>
      <c r="DO1315" t="s">
        <v>13408</v>
      </c>
      <c r="DP1315">
        <v>0</v>
      </c>
      <c r="DQ1315">
        <v>0</v>
      </c>
      <c r="DR1315" t="s">
        <v>411</v>
      </c>
      <c r="DS1315" t="b">
        <v>1</v>
      </c>
      <c r="DT1315" t="s">
        <v>470</v>
      </c>
      <c r="DU1315" t="s">
        <v>471</v>
      </c>
      <c r="DV1315" t="s">
        <v>472</v>
      </c>
      <c r="DX1315">
        <v>-9999</v>
      </c>
      <c r="DZ1315" t="s">
        <v>447</v>
      </c>
      <c r="EA1315" t="s">
        <v>448</v>
      </c>
      <c r="EB1315" t="s">
        <v>742</v>
      </c>
      <c r="EC1315">
        <v>20101217</v>
      </c>
      <c r="ED1315" t="s">
        <v>474</v>
      </c>
      <c r="EF1315">
        <v>4521.8</v>
      </c>
      <c r="EG1315">
        <v>4431.3</v>
      </c>
      <c r="EI1315">
        <v>20160407</v>
      </c>
      <c r="EJ1315">
        <v>0</v>
      </c>
      <c r="EK1315">
        <v>0</v>
      </c>
      <c r="EP1315" t="s">
        <v>421</v>
      </c>
      <c r="EQ1315" t="s">
        <v>422</v>
      </c>
      <c r="ER1315">
        <v>2</v>
      </c>
      <c r="ES1315">
        <v>8</v>
      </c>
      <c r="ET1315">
        <v>4035.58</v>
      </c>
      <c r="EU1315">
        <v>214.28</v>
      </c>
      <c r="EV1315">
        <v>4249.8599999999997</v>
      </c>
      <c r="EW1315" s="2">
        <v>43222</v>
      </c>
      <c r="EX1315" s="1">
        <v>42879</v>
      </c>
      <c r="EY1315">
        <v>2016</v>
      </c>
      <c r="EZ1315">
        <v>2017.79</v>
      </c>
      <c r="FA1315" t="s">
        <v>13409</v>
      </c>
      <c r="FB1315">
        <v>0.25</v>
      </c>
      <c r="FC1315" t="s">
        <v>424</v>
      </c>
      <c r="FD1315" t="s">
        <v>454</v>
      </c>
      <c r="FF1315">
        <v>12</v>
      </c>
      <c r="FG1315">
        <v>7400234</v>
      </c>
      <c r="FH1315" t="s">
        <v>426</v>
      </c>
      <c r="FJ1315" s="1">
        <v>42879</v>
      </c>
      <c r="FK1315">
        <v>2016</v>
      </c>
      <c r="FL1315">
        <v>2017.79</v>
      </c>
      <c r="FM1315" t="s">
        <v>13409</v>
      </c>
      <c r="FN1315">
        <v>0.25</v>
      </c>
      <c r="FO1315" t="s">
        <v>424</v>
      </c>
      <c r="FP1315" t="s">
        <v>454</v>
      </c>
      <c r="FR1315">
        <v>12</v>
      </c>
      <c r="FS1315">
        <v>7507728</v>
      </c>
      <c r="FT1315" t="s">
        <v>13410</v>
      </c>
      <c r="FV1315" s="1">
        <v>42515</v>
      </c>
      <c r="FW1315">
        <v>2015</v>
      </c>
      <c r="FX1315">
        <v>2032.66</v>
      </c>
      <c r="FY1315" t="s">
        <v>13411</v>
      </c>
      <c r="FZ1315">
        <v>0.25</v>
      </c>
      <c r="GA1315" t="s">
        <v>424</v>
      </c>
      <c r="GB1315" t="s">
        <v>425</v>
      </c>
      <c r="GC1315" s="1">
        <v>43157</v>
      </c>
      <c r="GD1315">
        <v>21</v>
      </c>
      <c r="GE1315">
        <v>5916895</v>
      </c>
      <c r="GF1315" t="s">
        <v>1390</v>
      </c>
      <c r="GH1315" s="1">
        <v>42515</v>
      </c>
      <c r="GI1315">
        <v>2015</v>
      </c>
      <c r="GJ1315">
        <v>2032.66</v>
      </c>
      <c r="GK1315" t="s">
        <v>13411</v>
      </c>
      <c r="GL1315">
        <v>0.25</v>
      </c>
      <c r="GM1315" t="s">
        <v>424</v>
      </c>
      <c r="GN1315" t="s">
        <v>425</v>
      </c>
      <c r="GP1315">
        <v>22</v>
      </c>
      <c r="GQ1315">
        <v>5943393</v>
      </c>
      <c r="GR1315" t="s">
        <v>13412</v>
      </c>
      <c r="GT1315" s="1">
        <v>42151</v>
      </c>
      <c r="GU1315">
        <v>2014</v>
      </c>
      <c r="GV1315">
        <v>1875.23</v>
      </c>
      <c r="GW1315" t="s">
        <v>13413</v>
      </c>
      <c r="GX1315">
        <v>0.25</v>
      </c>
      <c r="GY1315" t="s">
        <v>424</v>
      </c>
      <c r="GZ1315" t="s">
        <v>425</v>
      </c>
      <c r="HA1315" s="1">
        <v>42789</v>
      </c>
      <c r="HB1315">
        <v>21</v>
      </c>
      <c r="HC1315">
        <v>4975594</v>
      </c>
      <c r="HD1315" t="s">
        <v>457</v>
      </c>
      <c r="HF1315" s="1">
        <v>42151</v>
      </c>
      <c r="HG1315">
        <v>2014</v>
      </c>
      <c r="HH1315">
        <v>1875.23</v>
      </c>
      <c r="HI1315" t="s">
        <v>13413</v>
      </c>
      <c r="HJ1315">
        <v>0.25</v>
      </c>
      <c r="HK1315" t="s">
        <v>424</v>
      </c>
      <c r="HL1315" t="s">
        <v>425</v>
      </c>
      <c r="HN1315">
        <v>22</v>
      </c>
      <c r="HO1315">
        <v>6302230</v>
      </c>
      <c r="HP1315" t="s">
        <v>13414</v>
      </c>
      <c r="HR1315" s="1">
        <v>41787</v>
      </c>
      <c r="HS1315">
        <v>2013</v>
      </c>
      <c r="HT1315">
        <v>1691.92</v>
      </c>
      <c r="HU1315" t="s">
        <v>13415</v>
      </c>
      <c r="HV1315">
        <v>0.25</v>
      </c>
      <c r="HW1315" t="s">
        <v>424</v>
      </c>
      <c r="HX1315" t="s">
        <v>425</v>
      </c>
      <c r="HY1315" s="1">
        <v>42426</v>
      </c>
      <c r="HZ1315">
        <v>21</v>
      </c>
      <c r="IA1315">
        <v>2662137</v>
      </c>
      <c r="IB1315" t="s">
        <v>916</v>
      </c>
      <c r="ID1315" s="1">
        <v>41423</v>
      </c>
      <c r="IE1315">
        <v>2012</v>
      </c>
      <c r="IF1315">
        <v>1730.04</v>
      </c>
      <c r="IG1315" t="s">
        <v>13416</v>
      </c>
      <c r="IH1315">
        <v>0.25</v>
      </c>
      <c r="II1315" t="s">
        <v>424</v>
      </c>
      <c r="IJ1315" t="s">
        <v>425</v>
      </c>
      <c r="IK1315" s="1">
        <v>42060</v>
      </c>
      <c r="IL1315">
        <v>21</v>
      </c>
      <c r="IM1315">
        <v>15401</v>
      </c>
      <c r="IN1315" t="s">
        <v>3776</v>
      </c>
      <c r="IP1315" s="1">
        <v>41052</v>
      </c>
      <c r="IQ1315">
        <v>2011</v>
      </c>
      <c r="IR1315">
        <v>1856.03</v>
      </c>
      <c r="IS1315" t="s">
        <v>13417</v>
      </c>
      <c r="IT1315">
        <v>0.25</v>
      </c>
      <c r="IU1315" t="s">
        <v>424</v>
      </c>
      <c r="IV1315" t="s">
        <v>425</v>
      </c>
      <c r="IW1315" s="1">
        <v>41698</v>
      </c>
      <c r="IX1315">
        <v>21</v>
      </c>
      <c r="IY1315">
        <v>13953</v>
      </c>
      <c r="IZ1315" t="s">
        <v>13418</v>
      </c>
      <c r="JB1315" s="1">
        <v>40688</v>
      </c>
      <c r="JC1315">
        <v>2010</v>
      </c>
      <c r="JD1315">
        <v>1966.26</v>
      </c>
      <c r="JE1315" t="s">
        <v>13419</v>
      </c>
      <c r="JF1315">
        <v>0.25</v>
      </c>
      <c r="JG1315" t="s">
        <v>424</v>
      </c>
      <c r="JH1315" t="s">
        <v>425</v>
      </c>
      <c r="JI1315" s="1">
        <v>41381</v>
      </c>
      <c r="JJ1315">
        <v>23</v>
      </c>
      <c r="JK1315">
        <v>11141</v>
      </c>
      <c r="JL1315" t="s">
        <v>1723</v>
      </c>
    </row>
    <row r="1316" spans="1:272" x14ac:dyDescent="0.25">
      <c r="A1316">
        <v>16486323</v>
      </c>
      <c r="B1316">
        <v>1315</v>
      </c>
      <c r="C1316" t="s">
        <v>393</v>
      </c>
      <c r="D1316" t="s">
        <v>394</v>
      </c>
      <c r="F1316" t="str">
        <f>"42-2N-27-4613-0008-0270"</f>
        <v>42-2N-27-4613-0008-0270</v>
      </c>
      <c r="H1316" t="str">
        <f>"BROWN BRIAN D &amp; DIANIA L"</f>
        <v>BROWN BRIAN D &amp; DIANIA L</v>
      </c>
      <c r="I1316" t="str">
        <f>"85389 ASHLEY AVE"</f>
        <v>85389 ASHLEY AVE</v>
      </c>
      <c r="J1316" t="str">
        <f>"YULEE FL 32097"</f>
        <v>YULEE FL 32097</v>
      </c>
      <c r="K1316" t="str">
        <f>"85389 ASHLEY AVE"</f>
        <v>85389 ASHLEY AVE</v>
      </c>
      <c r="L1316" t="str">
        <f t="shared" si="430"/>
        <v>YULEE FL 32097</v>
      </c>
      <c r="M1316" t="str">
        <f>"BLOCK 8 LOT 27 IN OR 1223/1414 HMLCP24091904208A &amp; HMLCP24091904208B YULEE WOODS 3 PB 5/239"</f>
        <v>BLOCK 8 LOT 27 IN OR 1223/1414 HMLCP24091904208A &amp; HMLCP24091904208B YULEE WOODS 3 PB 5/239</v>
      </c>
      <c r="N1316" t="str">
        <f>""</f>
        <v/>
      </c>
      <c r="O1316" t="str">
        <f>"48896"</f>
        <v>48896</v>
      </c>
      <c r="P1316" t="str">
        <f t="shared" si="433"/>
        <v>2017</v>
      </c>
      <c r="Q1316" t="str">
        <f>""</f>
        <v/>
      </c>
      <c r="R1316" t="str">
        <f t="shared" si="449"/>
        <v>N</v>
      </c>
      <c r="S1316" t="str">
        <f>""</f>
        <v/>
      </c>
      <c r="T1316" t="str">
        <f>"570.94"</f>
        <v>570.94</v>
      </c>
      <c r="U1316" t="str">
        <f>"35232.00"</f>
        <v>35232.00</v>
      </c>
      <c r="V1316" t="str">
        <f>"35232.00"</f>
        <v>35232.00</v>
      </c>
      <c r="W1316" t="str">
        <f t="shared" si="434"/>
        <v>2017</v>
      </c>
      <c r="X1316" t="str">
        <f>"15.38"</f>
        <v>15.38</v>
      </c>
      <c r="Y1316" t="str">
        <f>"620.07"</f>
        <v>620.07</v>
      </c>
      <c r="Z1316" t="str">
        <f>""</f>
        <v/>
      </c>
      <c r="AA1316" t="str">
        <f>"40924.00"</f>
        <v>40924.00</v>
      </c>
      <c r="AB1316" t="str">
        <f t="shared" si="439"/>
        <v>Residential</v>
      </c>
      <c r="AC1316" t="str">
        <f t="shared" si="445"/>
        <v>0</v>
      </c>
      <c r="AD1316" t="str">
        <f t="shared" si="446"/>
        <v>4</v>
      </c>
      <c r="AE1316" t="str">
        <f t="shared" si="447"/>
        <v>WOOD (INCLUDE STEEL STUDS)</v>
      </c>
      <c r="AF1316" t="str">
        <f>"002"</f>
        <v>002</v>
      </c>
      <c r="AG1316" t="str">
        <f t="shared" si="444"/>
        <v>FL</v>
      </c>
      <c r="AH1316" t="str">
        <f t="shared" si="442"/>
        <v>-</v>
      </c>
      <c r="AI1316" t="str">
        <f t="shared" si="441"/>
        <v>28000.00</v>
      </c>
      <c r="AJ1316" t="str">
        <f>"C55-000-588-2457-4"</f>
        <v>C55-000-588-2457-4</v>
      </c>
      <c r="AK1316" t="str">
        <f>"22553"</f>
        <v>22553</v>
      </c>
      <c r="AL1316">
        <v>5</v>
      </c>
      <c r="AM1316">
        <v>1504</v>
      </c>
      <c r="AN1316">
        <v>649.47</v>
      </c>
      <c r="AQ1316" t="s">
        <v>13420</v>
      </c>
      <c r="AR1316" t="s">
        <v>13420</v>
      </c>
      <c r="AS1316" t="s">
        <v>13420</v>
      </c>
      <c r="AU1316" t="s">
        <v>396</v>
      </c>
      <c r="AV1316">
        <v>2017</v>
      </c>
      <c r="AW1316" t="str">
        <f>"42-2N-27-4613-0008-0270 "</f>
        <v xml:space="preserve">42-2N-27-4613-0008-0270 </v>
      </c>
      <c r="AX1316">
        <v>85389</v>
      </c>
      <c r="AZ1316" t="s">
        <v>13389</v>
      </c>
      <c r="BA1316" t="s">
        <v>1112</v>
      </c>
      <c r="BD1316" t="s">
        <v>2387</v>
      </c>
      <c r="BE1316" t="s">
        <v>393</v>
      </c>
      <c r="BF1316">
        <v>32097</v>
      </c>
      <c r="BG1316" t="s">
        <v>13421</v>
      </c>
      <c r="BH1316" t="s">
        <v>2388</v>
      </c>
      <c r="BI1316">
        <v>-81.583103639599898</v>
      </c>
      <c r="BJ1316">
        <v>30.604397888844801</v>
      </c>
      <c r="BK1316" t="s">
        <v>13422</v>
      </c>
      <c r="BL1316" t="s">
        <v>13423</v>
      </c>
      <c r="BM1316" t="s">
        <v>13421</v>
      </c>
      <c r="BN1316" t="s">
        <v>1778</v>
      </c>
      <c r="BO1316">
        <v>32097</v>
      </c>
      <c r="BP1316" t="s">
        <v>416</v>
      </c>
      <c r="BQ1316">
        <v>200</v>
      </c>
      <c r="BR1316" t="s">
        <v>405</v>
      </c>
      <c r="BS1316">
        <v>1006</v>
      </c>
      <c r="BT1316" t="s">
        <v>406</v>
      </c>
      <c r="BW1316">
        <v>43652</v>
      </c>
      <c r="BX1316" t="s">
        <v>407</v>
      </c>
      <c r="BY1316" t="s">
        <v>408</v>
      </c>
      <c r="BZ1316">
        <v>4</v>
      </c>
      <c r="CA1316">
        <v>1989</v>
      </c>
      <c r="CB1316">
        <v>1</v>
      </c>
      <c r="CC1316">
        <v>1</v>
      </c>
      <c r="CD1316">
        <v>2017</v>
      </c>
      <c r="CE1316">
        <v>28000</v>
      </c>
      <c r="CF1316">
        <v>12924</v>
      </c>
      <c r="CG1316">
        <v>40924</v>
      </c>
      <c r="CH1316">
        <v>2017</v>
      </c>
      <c r="CI1316">
        <v>28000</v>
      </c>
      <c r="CJ1316">
        <v>12924</v>
      </c>
      <c r="CK1316">
        <v>40924</v>
      </c>
      <c r="CL1316">
        <v>2017</v>
      </c>
      <c r="CM1316">
        <v>570.94000000000005</v>
      </c>
      <c r="CN1316" s="1">
        <v>38096</v>
      </c>
      <c r="CO1316">
        <v>65000</v>
      </c>
      <c r="CV1316">
        <v>0</v>
      </c>
      <c r="CZ1316" s="1">
        <v>38096</v>
      </c>
      <c r="DA1316">
        <v>0</v>
      </c>
      <c r="DD1316" t="s">
        <v>2387</v>
      </c>
      <c r="DF1316">
        <v>27</v>
      </c>
      <c r="DG1316">
        <v>42</v>
      </c>
      <c r="DL1316">
        <v>50302</v>
      </c>
      <c r="DM1316" t="s">
        <v>12468</v>
      </c>
      <c r="DO1316" t="s">
        <v>13424</v>
      </c>
      <c r="DP1316">
        <v>0</v>
      </c>
      <c r="DQ1316">
        <v>0</v>
      </c>
      <c r="DR1316" t="s">
        <v>411</v>
      </c>
      <c r="DS1316" t="b">
        <v>1</v>
      </c>
      <c r="DT1316" t="s">
        <v>470</v>
      </c>
      <c r="DU1316" t="s">
        <v>471</v>
      </c>
      <c r="DV1316" t="s">
        <v>472</v>
      </c>
      <c r="DX1316">
        <v>-9999</v>
      </c>
      <c r="DZ1316" t="s">
        <v>447</v>
      </c>
      <c r="EA1316" t="s">
        <v>448</v>
      </c>
      <c r="EB1316" t="s">
        <v>742</v>
      </c>
      <c r="EC1316">
        <v>20101217</v>
      </c>
      <c r="ED1316" t="s">
        <v>474</v>
      </c>
      <c r="EF1316">
        <v>3784.1</v>
      </c>
      <c r="EG1316">
        <v>3695</v>
      </c>
      <c r="EI1316">
        <v>20160407</v>
      </c>
      <c r="EJ1316">
        <v>0</v>
      </c>
      <c r="EK1316">
        <v>0</v>
      </c>
      <c r="EP1316" t="s">
        <v>421</v>
      </c>
      <c r="EQ1316" t="s">
        <v>422</v>
      </c>
      <c r="ER1316">
        <v>0</v>
      </c>
      <c r="ES1316">
        <v>4</v>
      </c>
      <c r="ET1316">
        <v>0</v>
      </c>
      <c r="EU1316">
        <v>0</v>
      </c>
      <c r="EV1316">
        <v>0</v>
      </c>
      <c r="EW1316" s="2">
        <v>43222</v>
      </c>
      <c r="EX1316" s="1">
        <v>42515</v>
      </c>
      <c r="EY1316">
        <v>2015</v>
      </c>
      <c r="EZ1316">
        <v>546.05999999999995</v>
      </c>
      <c r="FA1316" t="s">
        <v>13425</v>
      </c>
      <c r="FB1316">
        <v>18</v>
      </c>
      <c r="FC1316" t="s">
        <v>424</v>
      </c>
      <c r="FD1316" t="s">
        <v>425</v>
      </c>
      <c r="FE1316" s="1">
        <v>42797</v>
      </c>
      <c r="FF1316">
        <v>10</v>
      </c>
      <c r="FG1316">
        <v>10628</v>
      </c>
      <c r="FH1316" t="s">
        <v>943</v>
      </c>
      <c r="FJ1316" s="1">
        <v>41787</v>
      </c>
      <c r="FK1316">
        <v>2013</v>
      </c>
      <c r="FL1316">
        <v>546.42999999999995</v>
      </c>
      <c r="FM1316" t="s">
        <v>13426</v>
      </c>
      <c r="FN1316">
        <v>0.25</v>
      </c>
      <c r="FO1316" t="s">
        <v>424</v>
      </c>
      <c r="FP1316" t="s">
        <v>425</v>
      </c>
      <c r="FQ1316" s="1">
        <v>42075</v>
      </c>
      <c r="FR1316">
        <v>10</v>
      </c>
      <c r="FS1316">
        <v>15399</v>
      </c>
      <c r="FT1316" t="s">
        <v>485</v>
      </c>
      <c r="FV1316" s="1">
        <v>41423</v>
      </c>
      <c r="FW1316">
        <v>2012</v>
      </c>
      <c r="FX1316">
        <v>557.09</v>
      </c>
      <c r="FY1316" t="s">
        <v>13427</v>
      </c>
      <c r="FZ1316">
        <v>0.25</v>
      </c>
      <c r="GA1316" t="s">
        <v>424</v>
      </c>
      <c r="GB1316" t="s">
        <v>425</v>
      </c>
      <c r="GC1316" s="1">
        <v>42075</v>
      </c>
      <c r="GD1316">
        <v>22</v>
      </c>
      <c r="GE1316">
        <v>1625515</v>
      </c>
      <c r="GF1316" t="s">
        <v>487</v>
      </c>
      <c r="GH1316" s="1">
        <v>41052</v>
      </c>
      <c r="GI1316">
        <v>2011</v>
      </c>
      <c r="GJ1316">
        <v>696.8</v>
      </c>
      <c r="GK1316" t="s">
        <v>13428</v>
      </c>
      <c r="GL1316">
        <v>5</v>
      </c>
      <c r="GM1316" t="s">
        <v>424</v>
      </c>
      <c r="GN1316" t="s">
        <v>425</v>
      </c>
      <c r="GO1316" s="1">
        <v>41695</v>
      </c>
      <c r="GP1316">
        <v>21</v>
      </c>
      <c r="GQ1316">
        <v>62</v>
      </c>
      <c r="GR1316" t="s">
        <v>463</v>
      </c>
    </row>
    <row r="1317" spans="1:272" x14ac:dyDescent="0.25">
      <c r="A1317">
        <v>16486324</v>
      </c>
      <c r="B1317">
        <v>1316</v>
      </c>
      <c r="C1317" t="s">
        <v>393</v>
      </c>
      <c r="D1317" t="s">
        <v>394</v>
      </c>
      <c r="F1317" t="str">
        <f>"42-2N-27-4613-0009-0070"</f>
        <v>42-2N-27-4613-0009-0070</v>
      </c>
      <c r="H1317" t="str">
        <f>"DAVIS MITCHELL W"</f>
        <v>DAVIS MITCHELL W</v>
      </c>
      <c r="I1317" t="str">
        <f>"409 FIR ST"</f>
        <v>409 FIR ST</v>
      </c>
      <c r="J1317" t="str">
        <f>"FERNANDINA BEACH FL 32034"</f>
        <v>FERNANDINA BEACH FL 32034</v>
      </c>
      <c r="K1317" t="str">
        <f>"85248 ASHLEY AVE"</f>
        <v>85248 ASHLEY AVE</v>
      </c>
      <c r="L1317" t="str">
        <f t="shared" si="430"/>
        <v>YULEE FL 32097</v>
      </c>
      <c r="M1317" t="str">
        <f>"BLOCK 9 L0T 7 IN OR 1970/470 R568029 &amp; R568030 YULEE WOODS 3 PB 5/239"</f>
        <v>BLOCK 9 L0T 7 IN OR 1970/470 R568029 &amp; R568030 YULEE WOODS 3 PB 5/239</v>
      </c>
      <c r="N1317" t="str">
        <f>""</f>
        <v/>
      </c>
      <c r="O1317" t="str">
        <f>"48904"</f>
        <v>48904</v>
      </c>
      <c r="P1317" t="str">
        <f t="shared" si="433"/>
        <v>2017</v>
      </c>
      <c r="Q1317" t="str">
        <f>""</f>
        <v/>
      </c>
      <c r="R1317" t="str">
        <f t="shared" si="449"/>
        <v>N</v>
      </c>
      <c r="S1317" t="str">
        <f>""</f>
        <v/>
      </c>
      <c r="T1317" t="str">
        <f>"863.00"</f>
        <v>863.00</v>
      </c>
      <c r="U1317" t="str">
        <f>"50057.00"</f>
        <v>50057.00</v>
      </c>
      <c r="V1317" t="str">
        <f>"50057.00"</f>
        <v>50057.00</v>
      </c>
      <c r="W1317" t="str">
        <f t="shared" si="434"/>
        <v>2017</v>
      </c>
      <c r="X1317" t="str">
        <f>"7.80"</f>
        <v>7.80</v>
      </c>
      <c r="Y1317" t="str">
        <f>"920.89"</f>
        <v>920.89</v>
      </c>
      <c r="Z1317" t="str">
        <f>""</f>
        <v/>
      </c>
      <c r="AA1317" t="str">
        <f>"66000.00"</f>
        <v>66000.00</v>
      </c>
      <c r="AB1317" t="str">
        <f t="shared" si="439"/>
        <v>Residential</v>
      </c>
      <c r="AC1317" t="str">
        <f t="shared" si="445"/>
        <v>0</v>
      </c>
      <c r="AD1317" t="str">
        <f t="shared" si="446"/>
        <v>4</v>
      </c>
      <c r="AE1317" t="str">
        <f t="shared" si="447"/>
        <v>WOOD (INCLUDE STEEL STUDS)</v>
      </c>
      <c r="AF1317" t="str">
        <f>"002"</f>
        <v>002</v>
      </c>
      <c r="AG1317" t="str">
        <f t="shared" si="444"/>
        <v>FL</v>
      </c>
      <c r="AH1317" t="str">
        <f t="shared" si="442"/>
        <v>-</v>
      </c>
      <c r="AI1317" t="str">
        <f t="shared" si="441"/>
        <v>28000.00</v>
      </c>
      <c r="AJ1317" t="str">
        <f>"C55-000-588-2465-7"</f>
        <v>C55-000-588-2465-7</v>
      </c>
      <c r="AK1317" t="str">
        <f>"22561"</f>
        <v>22561</v>
      </c>
      <c r="AL1317">
        <v>5</v>
      </c>
      <c r="AM1317">
        <v>1505</v>
      </c>
      <c r="AN1317">
        <v>965.33</v>
      </c>
      <c r="AQ1317" t="s">
        <v>13429</v>
      </c>
      <c r="AR1317" t="s">
        <v>13429</v>
      </c>
      <c r="AS1317" t="s">
        <v>13429</v>
      </c>
      <c r="AU1317" t="s">
        <v>396</v>
      </c>
      <c r="AV1317">
        <v>2017</v>
      </c>
      <c r="AW1317" t="str">
        <f>"42-2N-27-4613-0009-0070 "</f>
        <v xml:space="preserve">42-2N-27-4613-0009-0070 </v>
      </c>
      <c r="AX1317">
        <v>85248</v>
      </c>
      <c r="AZ1317" t="s">
        <v>13389</v>
      </c>
      <c r="BA1317" t="s">
        <v>1112</v>
      </c>
      <c r="BD1317" t="s">
        <v>2387</v>
      </c>
      <c r="BE1317" t="s">
        <v>393</v>
      </c>
      <c r="BF1317">
        <v>32097</v>
      </c>
      <c r="BG1317" t="s">
        <v>13430</v>
      </c>
      <c r="BH1317" t="s">
        <v>2388</v>
      </c>
      <c r="BI1317">
        <v>-81.584711379078499</v>
      </c>
      <c r="BJ1317">
        <v>30.602595309089299</v>
      </c>
      <c r="BK1317" t="s">
        <v>13431</v>
      </c>
      <c r="BM1317" t="s">
        <v>13432</v>
      </c>
      <c r="BN1317" t="s">
        <v>3983</v>
      </c>
      <c r="BO1317">
        <v>32034</v>
      </c>
      <c r="BP1317" t="s">
        <v>404</v>
      </c>
      <c r="BQ1317">
        <v>200</v>
      </c>
      <c r="BR1317" t="s">
        <v>405</v>
      </c>
      <c r="BS1317">
        <v>1006</v>
      </c>
      <c r="BT1317" t="s">
        <v>406</v>
      </c>
      <c r="BW1317">
        <v>43650</v>
      </c>
      <c r="BX1317" t="s">
        <v>407</v>
      </c>
      <c r="BY1317" t="s">
        <v>408</v>
      </c>
      <c r="BZ1317">
        <v>4</v>
      </c>
      <c r="CA1317">
        <v>1992</v>
      </c>
      <c r="CB1317">
        <v>1</v>
      </c>
      <c r="CC1317">
        <v>1</v>
      </c>
      <c r="CD1317">
        <v>2017</v>
      </c>
      <c r="CE1317">
        <v>28000</v>
      </c>
      <c r="CF1317">
        <v>38000</v>
      </c>
      <c r="CG1317">
        <v>66000</v>
      </c>
      <c r="CH1317">
        <v>2017</v>
      </c>
      <c r="CI1317">
        <v>28000</v>
      </c>
      <c r="CJ1317">
        <v>38000</v>
      </c>
      <c r="CK1317">
        <v>66000</v>
      </c>
      <c r="CL1317">
        <v>2017</v>
      </c>
      <c r="CM1317">
        <v>863</v>
      </c>
      <c r="CN1317" s="1">
        <v>42089</v>
      </c>
      <c r="CO1317">
        <v>34000</v>
      </c>
      <c r="CV1317">
        <v>0</v>
      </c>
      <c r="CZ1317" s="1">
        <v>42089</v>
      </c>
      <c r="DA1317">
        <v>0</v>
      </c>
      <c r="DD1317" t="s">
        <v>2387</v>
      </c>
      <c r="DG1317">
        <v>42</v>
      </c>
      <c r="DL1317">
        <v>50302</v>
      </c>
      <c r="DM1317" t="s">
        <v>12468</v>
      </c>
      <c r="DO1317" t="s">
        <v>13433</v>
      </c>
      <c r="DP1317">
        <v>0</v>
      </c>
      <c r="DQ1317">
        <v>0</v>
      </c>
      <c r="DR1317" t="s">
        <v>411</v>
      </c>
      <c r="EP1317" t="s">
        <v>421</v>
      </c>
      <c r="EQ1317" t="s">
        <v>422</v>
      </c>
      <c r="ER1317">
        <v>0</v>
      </c>
      <c r="ES1317">
        <v>4</v>
      </c>
      <c r="ET1317">
        <v>0</v>
      </c>
      <c r="EU1317">
        <v>0</v>
      </c>
      <c r="EV1317">
        <v>0</v>
      </c>
      <c r="EW1317" s="2">
        <v>43222</v>
      </c>
      <c r="EX1317" s="1">
        <v>41787</v>
      </c>
      <c r="EY1317">
        <v>2013</v>
      </c>
      <c r="EZ1317">
        <v>460.78</v>
      </c>
      <c r="FA1317" t="s">
        <v>13434</v>
      </c>
      <c r="FB1317">
        <v>0.25</v>
      </c>
      <c r="FC1317" t="s">
        <v>424</v>
      </c>
      <c r="FD1317" t="s">
        <v>425</v>
      </c>
      <c r="FE1317" s="1">
        <v>41904</v>
      </c>
      <c r="FF1317">
        <v>4</v>
      </c>
      <c r="FG1317">
        <v>13026</v>
      </c>
      <c r="FH1317" t="s">
        <v>2129</v>
      </c>
      <c r="FJ1317" s="1">
        <v>41423</v>
      </c>
      <c r="FK1317">
        <v>2012</v>
      </c>
      <c r="FL1317">
        <v>476.89</v>
      </c>
      <c r="FM1317" t="s">
        <v>13435</v>
      </c>
      <c r="FN1317">
        <v>0.25</v>
      </c>
      <c r="FO1317" t="s">
        <v>424</v>
      </c>
      <c r="FP1317" t="s">
        <v>425</v>
      </c>
      <c r="FQ1317" s="1">
        <v>41492</v>
      </c>
      <c r="FR1317">
        <v>3</v>
      </c>
      <c r="FS1317">
        <v>15399</v>
      </c>
      <c r="FT1317" t="s">
        <v>485</v>
      </c>
      <c r="FV1317" s="1">
        <v>41052</v>
      </c>
      <c r="FW1317">
        <v>2011</v>
      </c>
      <c r="FX1317">
        <v>581.37</v>
      </c>
      <c r="FY1317" t="s">
        <v>13436</v>
      </c>
      <c r="FZ1317">
        <v>5.75</v>
      </c>
      <c r="GA1317" t="s">
        <v>424</v>
      </c>
      <c r="GB1317" t="s">
        <v>425</v>
      </c>
      <c r="GC1317" s="1">
        <v>41492</v>
      </c>
      <c r="GD1317">
        <v>15</v>
      </c>
      <c r="GE1317">
        <v>62</v>
      </c>
      <c r="GF1317" t="s">
        <v>463</v>
      </c>
      <c r="GH1317" s="1">
        <v>40688</v>
      </c>
      <c r="GI1317">
        <v>2010</v>
      </c>
      <c r="GJ1317">
        <v>619.39</v>
      </c>
      <c r="GK1317" t="s">
        <v>13437</v>
      </c>
      <c r="GL1317">
        <v>6.75</v>
      </c>
      <c r="GM1317" t="s">
        <v>424</v>
      </c>
      <c r="GN1317" t="s">
        <v>425</v>
      </c>
      <c r="GO1317" s="1">
        <v>41039</v>
      </c>
      <c r="GP1317">
        <v>12</v>
      </c>
      <c r="GQ1317">
        <v>105</v>
      </c>
      <c r="GR1317" t="s">
        <v>946</v>
      </c>
    </row>
    <row r="1318" spans="1:272" x14ac:dyDescent="0.25">
      <c r="A1318">
        <v>16486325</v>
      </c>
      <c r="B1318">
        <v>1317</v>
      </c>
      <c r="C1318" t="s">
        <v>393</v>
      </c>
      <c r="D1318" t="s">
        <v>394</v>
      </c>
      <c r="F1318" t="str">
        <f>"42-2N-27-4613-0009-0080"</f>
        <v>42-2N-27-4613-0009-0080</v>
      </c>
      <c r="H1318" t="str">
        <f>"LYNCH-ORTIZ REBEKAH DIANE &amp; ORTIZ SALVADOR (W&amp;H)"</f>
        <v>LYNCH-ORTIZ REBEKAH DIANE &amp; ORTIZ SALVADOR (W&amp;H)</v>
      </c>
      <c r="I1318" t="str">
        <f>"85222 ASHLEY AV"</f>
        <v>85222 ASHLEY AV</v>
      </c>
      <c r="J1318" t="str">
        <f>"YULEE FL 32097"</f>
        <v>YULEE FL 32097</v>
      </c>
      <c r="K1318" t="str">
        <f>"85222 ASHLEY AVE"</f>
        <v>85222 ASHLEY AVE</v>
      </c>
      <c r="L1318" t="str">
        <f t="shared" si="430"/>
        <v>YULEE FL 32097</v>
      </c>
      <c r="M1318" t="str">
        <f>"BLOCK 9 LOT 8 IN OR 1912/239 YULEE WOODS 3 PB 5/239"</f>
        <v>BLOCK 9 LOT 8 IN OR 1912/239 YULEE WOODS 3 PB 5/239</v>
      </c>
      <c r="N1318" t="str">
        <f>""</f>
        <v/>
      </c>
      <c r="O1318" t="str">
        <f>"48905"</f>
        <v>48905</v>
      </c>
      <c r="P1318" t="str">
        <f t="shared" si="433"/>
        <v>2017</v>
      </c>
      <c r="Q1318" t="str">
        <f>""</f>
        <v/>
      </c>
      <c r="R1318" t="str">
        <f t="shared" si="449"/>
        <v>N</v>
      </c>
      <c r="S1318" t="str">
        <f>""</f>
        <v/>
      </c>
      <c r="T1318" t="str">
        <f>"523.84"</f>
        <v>523.84</v>
      </c>
      <c r="U1318" t="str">
        <f>"33057.00"</f>
        <v>33057.00</v>
      </c>
      <c r="V1318" t="str">
        <f>"33057.00"</f>
        <v>33057.00</v>
      </c>
      <c r="W1318" t="str">
        <f t="shared" si="434"/>
        <v>2017</v>
      </c>
      <c r="X1318" t="str">
        <f>"17.80"</f>
        <v>17.80</v>
      </c>
      <c r="Y1318" t="str">
        <f>"571.56"</f>
        <v>571.56</v>
      </c>
      <c r="Z1318" t="str">
        <f>""</f>
        <v/>
      </c>
      <c r="AA1318" t="str">
        <f>"36602.00"</f>
        <v>36602.00</v>
      </c>
      <c r="AB1318" t="str">
        <f t="shared" si="439"/>
        <v>Residential</v>
      </c>
      <c r="AC1318" t="str">
        <f t="shared" si="445"/>
        <v>0</v>
      </c>
      <c r="AD1318" t="str">
        <f>""</f>
        <v/>
      </c>
      <c r="AE1318" t="str">
        <f>""</f>
        <v/>
      </c>
      <c r="AF1318" t="str">
        <f>"000"</f>
        <v>000</v>
      </c>
      <c r="AG1318" t="str">
        <f t="shared" si="444"/>
        <v>FL</v>
      </c>
      <c r="AH1318" t="str">
        <f t="shared" si="442"/>
        <v>-</v>
      </c>
      <c r="AI1318" t="str">
        <f t="shared" si="441"/>
        <v>28000.00</v>
      </c>
      <c r="AJ1318" t="str">
        <f>"C55-000-588-2466-5"</f>
        <v>C55-000-588-2466-5</v>
      </c>
      <c r="AK1318" t="str">
        <f>"22562"</f>
        <v>22562</v>
      </c>
      <c r="AL1318">
        <v>5</v>
      </c>
      <c r="AM1318">
        <v>1506</v>
      </c>
      <c r="AN1318">
        <v>598.54</v>
      </c>
      <c r="AQ1318" t="s">
        <v>13438</v>
      </c>
      <c r="AR1318" t="s">
        <v>13438</v>
      </c>
      <c r="AS1318" t="s">
        <v>13438</v>
      </c>
      <c r="AU1318" t="s">
        <v>396</v>
      </c>
      <c r="AV1318">
        <v>2017</v>
      </c>
      <c r="AW1318" t="str">
        <f>"42-2N-27-4613-0009-0080 "</f>
        <v xml:space="preserve">42-2N-27-4613-0009-0080 </v>
      </c>
      <c r="AX1318">
        <v>85222</v>
      </c>
      <c r="AZ1318" t="s">
        <v>13389</v>
      </c>
      <c r="BA1318" t="s">
        <v>1112</v>
      </c>
      <c r="BD1318" t="s">
        <v>2387</v>
      </c>
      <c r="BE1318" t="s">
        <v>393</v>
      </c>
      <c r="BF1318">
        <v>32097</v>
      </c>
      <c r="BG1318" t="s">
        <v>13439</v>
      </c>
      <c r="BH1318" t="s">
        <v>2388</v>
      </c>
      <c r="BI1318">
        <v>-81.585135166536702</v>
      </c>
      <c r="BJ1318">
        <v>30.6024063575619</v>
      </c>
      <c r="BK1318" t="s">
        <v>13440</v>
      </c>
      <c r="BL1318" t="s">
        <v>13441</v>
      </c>
      <c r="BM1318" t="s">
        <v>13439</v>
      </c>
      <c r="BN1318" t="s">
        <v>1778</v>
      </c>
      <c r="BO1318">
        <v>32097</v>
      </c>
      <c r="BP1318" t="s">
        <v>404</v>
      </c>
      <c r="BQ1318">
        <v>1</v>
      </c>
      <c r="BR1318" t="s">
        <v>491</v>
      </c>
      <c r="BS1318">
        <v>8001</v>
      </c>
      <c r="BT1318" t="s">
        <v>492</v>
      </c>
      <c r="BW1318">
        <v>43650</v>
      </c>
      <c r="BX1318" t="s">
        <v>407</v>
      </c>
      <c r="BY1318" t="s">
        <v>408</v>
      </c>
      <c r="CD1318">
        <v>2017</v>
      </c>
      <c r="CE1318">
        <v>28000</v>
      </c>
      <c r="CF1318">
        <v>8602</v>
      </c>
      <c r="CG1318">
        <v>36602</v>
      </c>
      <c r="CH1318">
        <v>2017</v>
      </c>
      <c r="CI1318">
        <v>28000</v>
      </c>
      <c r="CJ1318">
        <v>8602</v>
      </c>
      <c r="CK1318">
        <v>36602</v>
      </c>
      <c r="CL1318">
        <v>2017</v>
      </c>
      <c r="CM1318">
        <v>523.84</v>
      </c>
      <c r="CN1318" s="1">
        <v>37704</v>
      </c>
      <c r="CO1318">
        <v>13800</v>
      </c>
      <c r="CV1318">
        <v>0</v>
      </c>
      <c r="CZ1318" s="1">
        <v>37704</v>
      </c>
      <c r="DA1318">
        <v>0</v>
      </c>
      <c r="DD1318" t="s">
        <v>2387</v>
      </c>
      <c r="DF1318">
        <v>8</v>
      </c>
      <c r="DG1318">
        <v>42</v>
      </c>
      <c r="DJ1318" t="s">
        <v>13225</v>
      </c>
      <c r="DL1318">
        <v>50302</v>
      </c>
      <c r="DM1318" t="s">
        <v>12468</v>
      </c>
      <c r="DO1318" t="s">
        <v>13442</v>
      </c>
      <c r="DP1318">
        <v>0</v>
      </c>
      <c r="DQ1318">
        <v>0</v>
      </c>
      <c r="DR1318" t="s">
        <v>411</v>
      </c>
      <c r="EP1318" t="s">
        <v>421</v>
      </c>
      <c r="EQ1318" t="s">
        <v>422</v>
      </c>
      <c r="ER1318">
        <v>0</v>
      </c>
      <c r="ES1318">
        <v>2</v>
      </c>
      <c r="ET1318">
        <v>0</v>
      </c>
      <c r="EU1318">
        <v>0</v>
      </c>
      <c r="EV1318">
        <v>0</v>
      </c>
      <c r="EW1318" s="2">
        <v>43222</v>
      </c>
      <c r="EX1318" s="1">
        <v>42879</v>
      </c>
      <c r="EY1318">
        <v>2016</v>
      </c>
      <c r="EZ1318">
        <v>527.89</v>
      </c>
      <c r="FA1318" t="s">
        <v>13443</v>
      </c>
      <c r="FB1318">
        <v>5.5</v>
      </c>
      <c r="FC1318" t="s">
        <v>424</v>
      </c>
      <c r="FD1318" t="s">
        <v>425</v>
      </c>
      <c r="FE1318" s="1">
        <v>42893</v>
      </c>
      <c r="FF1318">
        <v>1</v>
      </c>
      <c r="FG1318">
        <v>10125</v>
      </c>
      <c r="FH1318" t="s">
        <v>440</v>
      </c>
      <c r="FJ1318" s="1">
        <v>40688</v>
      </c>
      <c r="FK1318">
        <v>2010</v>
      </c>
      <c r="FL1318">
        <v>612.38</v>
      </c>
      <c r="FM1318" t="s">
        <v>13444</v>
      </c>
      <c r="FN1318">
        <v>10.25</v>
      </c>
      <c r="FO1318" t="s">
        <v>424</v>
      </c>
      <c r="FP1318" t="s">
        <v>425</v>
      </c>
      <c r="FQ1318" s="1">
        <v>40970</v>
      </c>
      <c r="FR1318">
        <v>10</v>
      </c>
      <c r="FS1318">
        <v>11135</v>
      </c>
      <c r="FT1318" t="s">
        <v>1137</v>
      </c>
    </row>
    <row r="1319" spans="1:272" x14ac:dyDescent="0.25">
      <c r="A1319">
        <v>16486326</v>
      </c>
      <c r="B1319">
        <v>1318</v>
      </c>
      <c r="C1319" t="s">
        <v>393</v>
      </c>
      <c r="D1319" t="s">
        <v>394</v>
      </c>
      <c r="F1319" t="str">
        <f>"42-2N-27-4613-0009-0090"</f>
        <v>42-2N-27-4613-0009-0090</v>
      </c>
      <c r="H1319" t="str">
        <f>"YOUMANS JUDITH M BLOUNT EST"</f>
        <v>YOUMANS JUDITH M BLOUNT EST</v>
      </c>
      <c r="I1319" t="str">
        <f>"85184 ASHLEY AVE"</f>
        <v>85184 ASHLEY AVE</v>
      </c>
      <c r="J1319" t="str">
        <f>"YULEE FL 32097"</f>
        <v>YULEE FL 32097</v>
      </c>
      <c r="K1319" t="str">
        <f>"85184 ASHLEY AVE"</f>
        <v>85184 ASHLEY AVE</v>
      </c>
      <c r="L1319" t="str">
        <f t="shared" si="430"/>
        <v>YULEE FL 32097</v>
      </c>
      <c r="M1319" t="str">
        <f>"BLOCK 9 LOT 9 1988 OMNI DW/MH IN OR 723 PG 211 YULEE WOODS 3 PB 5/239"</f>
        <v>BLOCK 9 LOT 9 1988 OMNI DW/MH IN OR 723 PG 211 YULEE WOODS 3 PB 5/239</v>
      </c>
      <c r="N1319" t="str">
        <f>""</f>
        <v/>
      </c>
      <c r="O1319" t="str">
        <f>"48906"</f>
        <v>48906</v>
      </c>
      <c r="P1319" t="str">
        <f t="shared" si="433"/>
        <v>2017</v>
      </c>
      <c r="Q1319" t="str">
        <f>""</f>
        <v/>
      </c>
      <c r="R1319" t="str">
        <f t="shared" si="449"/>
        <v>N</v>
      </c>
      <c r="S1319" t="str">
        <f>""</f>
        <v/>
      </c>
      <c r="T1319" t="str">
        <f>"706.87"</f>
        <v>706.87</v>
      </c>
      <c r="U1319" t="str">
        <f>"46693.00"</f>
        <v>46693.00</v>
      </c>
      <c r="V1319" t="str">
        <f>"46693.00"</f>
        <v>46693.00</v>
      </c>
      <c r="W1319" t="str">
        <f t="shared" si="434"/>
        <v>2017</v>
      </c>
      <c r="X1319" t="str">
        <f>"20.67"</f>
        <v>20.67</v>
      </c>
      <c r="Y1319" t="str">
        <f>"760.08"</f>
        <v>760.08</v>
      </c>
      <c r="Z1319" t="str">
        <f>""</f>
        <v/>
      </c>
      <c r="AA1319" t="str">
        <f>"46693.00"</f>
        <v>46693.00</v>
      </c>
      <c r="AB1319" t="str">
        <f t="shared" si="439"/>
        <v>Residential</v>
      </c>
      <c r="AC1319" t="str">
        <f t="shared" si="445"/>
        <v>0</v>
      </c>
      <c r="AD1319" t="str">
        <f t="shared" ref="AD1319:AD1333" si="450">"4"</f>
        <v>4</v>
      </c>
      <c r="AE1319" t="str">
        <f t="shared" ref="AE1319:AE1333" si="451">"WOOD (INCLUDE STEEL STUDS)"</f>
        <v>WOOD (INCLUDE STEEL STUDS)</v>
      </c>
      <c r="AF1319" t="str">
        <f t="shared" ref="AF1319:AF1333" si="452">"002"</f>
        <v>002</v>
      </c>
      <c r="AG1319" t="str">
        <f t="shared" si="444"/>
        <v>FL</v>
      </c>
      <c r="AH1319" t="str">
        <f t="shared" si="442"/>
        <v>-</v>
      </c>
      <c r="AI1319" t="str">
        <f t="shared" si="441"/>
        <v>28000.00</v>
      </c>
      <c r="AJ1319" t="str">
        <f>"C55-000-588-2467-3"</f>
        <v>C55-000-588-2467-3</v>
      </c>
      <c r="AK1319" t="str">
        <f>"22563"</f>
        <v>22563</v>
      </c>
      <c r="AL1319">
        <v>5</v>
      </c>
      <c r="AM1319">
        <v>1507</v>
      </c>
      <c r="AN1319">
        <v>796.48</v>
      </c>
      <c r="AQ1319" t="s">
        <v>13445</v>
      </c>
      <c r="AR1319" t="s">
        <v>13445</v>
      </c>
      <c r="AS1319" t="s">
        <v>13445</v>
      </c>
      <c r="AU1319" t="s">
        <v>396</v>
      </c>
      <c r="AV1319">
        <v>2017</v>
      </c>
      <c r="AW1319" t="str">
        <f>"42-2N-27-4613-0009-0090 "</f>
        <v xml:space="preserve">42-2N-27-4613-0009-0090 </v>
      </c>
      <c r="AX1319">
        <v>85184</v>
      </c>
      <c r="AZ1319" t="s">
        <v>13389</v>
      </c>
      <c r="BA1319" t="s">
        <v>1112</v>
      </c>
      <c r="BD1319" t="s">
        <v>2387</v>
      </c>
      <c r="BE1319" t="s">
        <v>393</v>
      </c>
      <c r="BF1319">
        <v>32097</v>
      </c>
      <c r="BG1319" t="s">
        <v>13446</v>
      </c>
      <c r="BH1319" t="s">
        <v>2388</v>
      </c>
      <c r="BI1319">
        <v>-81.585558935364901</v>
      </c>
      <c r="BJ1319">
        <v>30.6022173828928</v>
      </c>
      <c r="BK1319" t="s">
        <v>13447</v>
      </c>
      <c r="BM1319" t="s">
        <v>13446</v>
      </c>
      <c r="BN1319" t="s">
        <v>1778</v>
      </c>
      <c r="BO1319">
        <v>32097</v>
      </c>
      <c r="BP1319" t="s">
        <v>416</v>
      </c>
      <c r="BQ1319">
        <v>200</v>
      </c>
      <c r="BR1319" t="s">
        <v>405</v>
      </c>
      <c r="BS1319">
        <v>1006</v>
      </c>
      <c r="BT1319" t="s">
        <v>406</v>
      </c>
      <c r="BW1319">
        <v>43649</v>
      </c>
      <c r="BX1319" t="s">
        <v>407</v>
      </c>
      <c r="BY1319" t="s">
        <v>408</v>
      </c>
      <c r="BZ1319">
        <v>4</v>
      </c>
      <c r="CA1319">
        <v>1988</v>
      </c>
      <c r="CB1319">
        <v>1</v>
      </c>
      <c r="CC1319">
        <v>1</v>
      </c>
      <c r="CD1319">
        <v>2017</v>
      </c>
      <c r="CE1319">
        <v>28000</v>
      </c>
      <c r="CF1319">
        <v>18693</v>
      </c>
      <c r="CG1319">
        <v>46693</v>
      </c>
      <c r="CH1319">
        <v>2017</v>
      </c>
      <c r="CI1319">
        <v>28000</v>
      </c>
      <c r="CJ1319">
        <v>18693</v>
      </c>
      <c r="CK1319">
        <v>46693</v>
      </c>
      <c r="CL1319">
        <v>2017</v>
      </c>
      <c r="CM1319">
        <v>706.87</v>
      </c>
      <c r="CN1319" s="1">
        <v>34731</v>
      </c>
      <c r="CO1319">
        <v>15100</v>
      </c>
      <c r="CZ1319" s="1">
        <v>34731</v>
      </c>
      <c r="DD1319" t="s">
        <v>2387</v>
      </c>
      <c r="DF1319">
        <v>9</v>
      </c>
      <c r="DG1319">
        <v>42</v>
      </c>
      <c r="DJ1319" t="s">
        <v>13225</v>
      </c>
      <c r="DL1319">
        <v>50302</v>
      </c>
      <c r="DM1319" t="s">
        <v>12468</v>
      </c>
      <c r="DO1319" t="s">
        <v>13448</v>
      </c>
      <c r="DP1319">
        <v>0</v>
      </c>
      <c r="DQ1319">
        <v>0</v>
      </c>
      <c r="DR1319" t="s">
        <v>411</v>
      </c>
      <c r="EP1319" t="s">
        <v>595</v>
      </c>
      <c r="EQ1319" t="s">
        <v>422</v>
      </c>
      <c r="ER1319">
        <v>2</v>
      </c>
      <c r="ES1319">
        <v>8</v>
      </c>
      <c r="ET1319">
        <v>254.37</v>
      </c>
      <c r="EU1319">
        <v>58.29</v>
      </c>
      <c r="EV1319">
        <v>312.66000000000003</v>
      </c>
      <c r="EW1319" s="2">
        <v>43222</v>
      </c>
      <c r="EX1319" s="1">
        <v>42879</v>
      </c>
      <c r="EY1319">
        <v>2016</v>
      </c>
      <c r="EZ1319">
        <v>118.72</v>
      </c>
      <c r="FA1319" t="s">
        <v>13449</v>
      </c>
      <c r="FB1319">
        <v>18</v>
      </c>
      <c r="FC1319" t="s">
        <v>603</v>
      </c>
      <c r="FD1319" t="s">
        <v>454</v>
      </c>
      <c r="FF1319">
        <v>12</v>
      </c>
      <c r="FG1319">
        <v>9999999</v>
      </c>
      <c r="FH1319" t="s">
        <v>604</v>
      </c>
      <c r="FJ1319" s="1">
        <v>42879</v>
      </c>
      <c r="FK1319">
        <v>2016</v>
      </c>
      <c r="FL1319">
        <v>135.65</v>
      </c>
      <c r="FM1319" t="s">
        <v>13449</v>
      </c>
      <c r="FN1319">
        <v>18</v>
      </c>
      <c r="FO1319" t="s">
        <v>424</v>
      </c>
      <c r="FP1319" t="s">
        <v>454</v>
      </c>
      <c r="FR1319">
        <v>12</v>
      </c>
      <c r="FS1319">
        <v>7336144</v>
      </c>
      <c r="FT1319" t="s">
        <v>5329</v>
      </c>
      <c r="FV1319" s="1">
        <v>42515</v>
      </c>
      <c r="FW1319">
        <v>2015</v>
      </c>
      <c r="FX1319">
        <v>112.35</v>
      </c>
      <c r="FY1319" t="s">
        <v>13450</v>
      </c>
      <c r="FZ1319">
        <v>18</v>
      </c>
      <c r="GA1319" t="s">
        <v>603</v>
      </c>
      <c r="GB1319" t="s">
        <v>425</v>
      </c>
      <c r="GD1319">
        <v>22</v>
      </c>
      <c r="GE1319">
        <v>9999999</v>
      </c>
      <c r="GF1319" t="s">
        <v>604</v>
      </c>
      <c r="GH1319" s="1">
        <v>42515</v>
      </c>
      <c r="GI1319">
        <v>2015</v>
      </c>
      <c r="GJ1319">
        <v>148.93</v>
      </c>
      <c r="GK1319" t="s">
        <v>13450</v>
      </c>
      <c r="GL1319">
        <v>18</v>
      </c>
      <c r="GM1319" t="s">
        <v>424</v>
      </c>
      <c r="GN1319" t="s">
        <v>425</v>
      </c>
      <c r="GO1319" s="1">
        <v>43158</v>
      </c>
      <c r="GP1319">
        <v>21</v>
      </c>
      <c r="GQ1319">
        <v>7336144</v>
      </c>
      <c r="GR1319" t="s">
        <v>5329</v>
      </c>
      <c r="GT1319" s="1">
        <v>42151</v>
      </c>
      <c r="GU1319">
        <v>2014</v>
      </c>
      <c r="GV1319">
        <v>108.67</v>
      </c>
      <c r="GW1319" t="s">
        <v>13451</v>
      </c>
      <c r="GX1319">
        <v>18</v>
      </c>
      <c r="GY1319" t="s">
        <v>603</v>
      </c>
      <c r="GZ1319" t="s">
        <v>425</v>
      </c>
      <c r="HA1319" s="1">
        <v>42793</v>
      </c>
      <c r="HB1319">
        <v>21</v>
      </c>
      <c r="HC1319">
        <v>9999999</v>
      </c>
      <c r="HD1319" t="s">
        <v>604</v>
      </c>
      <c r="HF1319" s="1">
        <v>41787</v>
      </c>
      <c r="HG1319">
        <v>2013</v>
      </c>
      <c r="HH1319">
        <v>239.82</v>
      </c>
      <c r="HI1319" t="s">
        <v>13452</v>
      </c>
      <c r="HJ1319">
        <v>18</v>
      </c>
      <c r="HK1319" t="s">
        <v>603</v>
      </c>
      <c r="HL1319" t="s">
        <v>425</v>
      </c>
      <c r="HN1319">
        <v>22</v>
      </c>
      <c r="HO1319">
        <v>9999999</v>
      </c>
      <c r="HP1319" t="s">
        <v>604</v>
      </c>
      <c r="HR1319" s="1">
        <v>41787</v>
      </c>
      <c r="HS1319">
        <v>2013</v>
      </c>
      <c r="HT1319">
        <v>278.45</v>
      </c>
      <c r="HU1319" t="s">
        <v>13452</v>
      </c>
      <c r="HV1319">
        <v>18</v>
      </c>
      <c r="HW1319" t="s">
        <v>424</v>
      </c>
      <c r="HX1319" t="s">
        <v>425</v>
      </c>
      <c r="HY1319" s="1">
        <v>42135</v>
      </c>
      <c r="HZ1319">
        <v>12</v>
      </c>
      <c r="IA1319">
        <v>4844964</v>
      </c>
      <c r="IB1319" t="s">
        <v>1788</v>
      </c>
      <c r="ID1319" s="1">
        <v>41423</v>
      </c>
      <c r="IE1319">
        <v>2012</v>
      </c>
      <c r="IF1319">
        <v>250.11</v>
      </c>
      <c r="IG1319" t="s">
        <v>13453</v>
      </c>
      <c r="IH1319">
        <v>3.75</v>
      </c>
      <c r="II1319" t="s">
        <v>424</v>
      </c>
      <c r="IJ1319" t="s">
        <v>425</v>
      </c>
      <c r="IK1319" s="1">
        <v>42135</v>
      </c>
      <c r="IL1319">
        <v>24</v>
      </c>
      <c r="IM1319">
        <v>62</v>
      </c>
      <c r="IN1319" t="s">
        <v>463</v>
      </c>
      <c r="IP1319" s="1">
        <v>41052</v>
      </c>
      <c r="IQ1319">
        <v>2011</v>
      </c>
      <c r="IR1319">
        <v>366.08</v>
      </c>
      <c r="IS1319" t="s">
        <v>13454</v>
      </c>
      <c r="IT1319">
        <v>6</v>
      </c>
      <c r="IU1319" t="s">
        <v>424</v>
      </c>
      <c r="IV1319" t="s">
        <v>425</v>
      </c>
      <c r="IW1319" s="1">
        <v>42107</v>
      </c>
      <c r="IX1319">
        <v>35</v>
      </c>
      <c r="IY1319">
        <v>375</v>
      </c>
      <c r="IZ1319" t="s">
        <v>776</v>
      </c>
      <c r="JB1319" s="1">
        <v>40688</v>
      </c>
      <c r="JC1319">
        <v>2010</v>
      </c>
      <c r="JD1319">
        <v>402.58</v>
      </c>
      <c r="JE1319" t="s">
        <v>13455</v>
      </c>
      <c r="JF1319">
        <v>6.5</v>
      </c>
      <c r="JG1319" t="s">
        <v>424</v>
      </c>
      <c r="JH1319" t="s">
        <v>425</v>
      </c>
      <c r="JI1319" s="1">
        <v>41603</v>
      </c>
      <c r="JJ1319">
        <v>30</v>
      </c>
      <c r="JK1319">
        <v>305</v>
      </c>
      <c r="JL1319" t="s">
        <v>1078</v>
      </c>
    </row>
    <row r="1320" spans="1:272" x14ac:dyDescent="0.25">
      <c r="A1320">
        <v>16486327</v>
      </c>
      <c r="B1320">
        <v>1319</v>
      </c>
      <c r="C1320" t="s">
        <v>393</v>
      </c>
      <c r="D1320" t="s">
        <v>394</v>
      </c>
      <c r="F1320" t="str">
        <f>"42-2N-27-4613-0009-0150"</f>
        <v>42-2N-27-4613-0009-0150</v>
      </c>
      <c r="H1320" t="str">
        <f>"LIVINGSTON JENNIFER T"</f>
        <v>LIVINGSTON JENNIFER T</v>
      </c>
      <c r="I1320" t="str">
        <f>"85024 ASHLEY AVE"</f>
        <v>85024 ASHLEY AVE</v>
      </c>
      <c r="J1320" t="str">
        <f>"YULEE FL 32037"</f>
        <v>YULEE FL 32037</v>
      </c>
      <c r="K1320" t="str">
        <f>"85024 ASHLEY AVE"</f>
        <v>85024 ASHLEY AVE</v>
      </c>
      <c r="L1320" t="str">
        <f t="shared" si="430"/>
        <v>YULEE FL 32097</v>
      </c>
      <c r="M1320" t="str">
        <f>"BLOCK 9 LOT 15 IN OR 2036/690 &amp; OR 2036/692 R621764 &amp; R621765 YULEE WOODS 3 PB 5/239"</f>
        <v>BLOCK 9 LOT 15 IN OR 2036/690 &amp; OR 2036/692 R621764 &amp; R621765 YULEE WOODS 3 PB 5/239</v>
      </c>
      <c r="N1320" t="str">
        <f>""</f>
        <v/>
      </c>
      <c r="O1320" t="str">
        <f>"48911"</f>
        <v>48911</v>
      </c>
      <c r="P1320" t="str">
        <f t="shared" si="433"/>
        <v>2017</v>
      </c>
      <c r="Q1320" t="str">
        <f>""</f>
        <v/>
      </c>
      <c r="R1320" t="str">
        <f t="shared" si="449"/>
        <v>N</v>
      </c>
      <c r="S1320" t="str">
        <f>""</f>
        <v/>
      </c>
      <c r="T1320" t="str">
        <f>"1142.77"</f>
        <v>1142.77</v>
      </c>
      <c r="U1320" t="str">
        <f>"75486.00"</f>
        <v>75486.00</v>
      </c>
      <c r="V1320" t="str">
        <f>"75486.00"</f>
        <v>75486.00</v>
      </c>
      <c r="W1320" t="str">
        <f t="shared" si="434"/>
        <v>2017</v>
      </c>
      <c r="X1320" t="str">
        <f>""</f>
        <v/>
      </c>
      <c r="Y1320" t="str">
        <f>"1209.05"</f>
        <v>1209.05</v>
      </c>
      <c r="Z1320" t="str">
        <f>""</f>
        <v/>
      </c>
      <c r="AA1320" t="str">
        <f>"75486.00"</f>
        <v>75486.00</v>
      </c>
      <c r="AB1320" t="str">
        <f t="shared" si="439"/>
        <v>Residential</v>
      </c>
      <c r="AC1320" t="str">
        <f t="shared" si="445"/>
        <v>0</v>
      </c>
      <c r="AD1320" t="str">
        <f t="shared" si="450"/>
        <v>4</v>
      </c>
      <c r="AE1320" t="str">
        <f t="shared" si="451"/>
        <v>WOOD (INCLUDE STEEL STUDS)</v>
      </c>
      <c r="AF1320" t="str">
        <f t="shared" si="452"/>
        <v>002</v>
      </c>
      <c r="AG1320" t="str">
        <f t="shared" si="444"/>
        <v>FL</v>
      </c>
      <c r="AH1320" t="str">
        <f t="shared" si="442"/>
        <v>-</v>
      </c>
      <c r="AI1320" t="str">
        <f t="shared" si="441"/>
        <v>28000.00</v>
      </c>
      <c r="AJ1320" t="str">
        <f>"C55-000-588-2472-3"</f>
        <v>C55-000-588-2472-3</v>
      </c>
      <c r="AK1320" t="str">
        <f>"22567"</f>
        <v>22567</v>
      </c>
      <c r="AL1320">
        <v>5</v>
      </c>
      <c r="AM1320">
        <v>1508</v>
      </c>
      <c r="AN1320">
        <v>1267.9000000000001</v>
      </c>
      <c r="AQ1320" t="s">
        <v>13456</v>
      </c>
      <c r="AR1320" t="s">
        <v>13456</v>
      </c>
      <c r="AS1320" t="s">
        <v>13456</v>
      </c>
      <c r="AU1320" t="s">
        <v>396</v>
      </c>
      <c r="AV1320">
        <v>2017</v>
      </c>
      <c r="AW1320" t="str">
        <f>"42-2N-27-4613-0009-0150 "</f>
        <v xml:space="preserve">42-2N-27-4613-0009-0150 </v>
      </c>
      <c r="AX1320">
        <v>85024</v>
      </c>
      <c r="AZ1320" t="s">
        <v>13389</v>
      </c>
      <c r="BA1320" t="s">
        <v>1112</v>
      </c>
      <c r="BD1320" t="s">
        <v>2387</v>
      </c>
      <c r="BE1320" t="s">
        <v>393</v>
      </c>
      <c r="BF1320">
        <v>32097</v>
      </c>
      <c r="BG1320" t="s">
        <v>13457</v>
      </c>
      <c r="BH1320" t="s">
        <v>2388</v>
      </c>
      <c r="BI1320">
        <v>-81.588292013418297</v>
      </c>
      <c r="BJ1320">
        <v>30.6011932935136</v>
      </c>
      <c r="BK1320" t="s">
        <v>13458</v>
      </c>
      <c r="BM1320" t="s">
        <v>13457</v>
      </c>
      <c r="BN1320" t="s">
        <v>1778</v>
      </c>
      <c r="BO1320">
        <v>32097</v>
      </c>
      <c r="BP1320" t="s">
        <v>416</v>
      </c>
      <c r="BQ1320">
        <v>200</v>
      </c>
      <c r="BR1320" t="s">
        <v>405</v>
      </c>
      <c r="BS1320">
        <v>1006</v>
      </c>
      <c r="BT1320" t="s">
        <v>406</v>
      </c>
      <c r="BW1320">
        <v>43575</v>
      </c>
      <c r="BX1320" t="s">
        <v>407</v>
      </c>
      <c r="BY1320" t="s">
        <v>408</v>
      </c>
      <c r="BZ1320">
        <v>4</v>
      </c>
      <c r="CA1320">
        <v>1994</v>
      </c>
      <c r="CB1320">
        <v>1</v>
      </c>
      <c r="CC1320">
        <v>1</v>
      </c>
      <c r="CD1320">
        <v>2017</v>
      </c>
      <c r="CE1320">
        <v>28000</v>
      </c>
      <c r="CF1320">
        <v>47486</v>
      </c>
      <c r="CG1320">
        <v>75486</v>
      </c>
      <c r="CH1320">
        <v>2017</v>
      </c>
      <c r="CI1320">
        <v>28000</v>
      </c>
      <c r="CJ1320">
        <v>47486</v>
      </c>
      <c r="CK1320">
        <v>75486</v>
      </c>
      <c r="CL1320">
        <v>2017</v>
      </c>
      <c r="CM1320">
        <v>1142.77</v>
      </c>
      <c r="CN1320" s="1">
        <v>42457</v>
      </c>
      <c r="CV1320">
        <v>0</v>
      </c>
      <c r="CZ1320" s="1">
        <v>42457</v>
      </c>
      <c r="DA1320">
        <v>0</v>
      </c>
      <c r="DD1320" t="s">
        <v>2387</v>
      </c>
      <c r="DF1320">
        <v>15</v>
      </c>
      <c r="DG1320">
        <v>42</v>
      </c>
      <c r="DL1320">
        <v>50302</v>
      </c>
      <c r="DM1320" t="s">
        <v>12468</v>
      </c>
      <c r="DO1320" t="s">
        <v>13459</v>
      </c>
      <c r="DP1320">
        <v>0</v>
      </c>
      <c r="DQ1320">
        <v>0</v>
      </c>
      <c r="DR1320" t="s">
        <v>411</v>
      </c>
      <c r="EP1320" t="s">
        <v>421</v>
      </c>
      <c r="EQ1320" t="s">
        <v>422</v>
      </c>
      <c r="ER1320">
        <v>2</v>
      </c>
      <c r="ES1320">
        <v>0</v>
      </c>
      <c r="ET1320">
        <v>1872.68</v>
      </c>
      <c r="EU1320">
        <v>106.13</v>
      </c>
      <c r="EV1320">
        <v>1978.81</v>
      </c>
      <c r="EW1320" s="2">
        <v>43222</v>
      </c>
      <c r="EX1320" s="1">
        <v>42879</v>
      </c>
      <c r="EY1320">
        <v>2016</v>
      </c>
      <c r="EZ1320">
        <v>936.34</v>
      </c>
      <c r="FA1320" t="s">
        <v>13460</v>
      </c>
      <c r="FB1320">
        <v>0.25</v>
      </c>
      <c r="FC1320" t="s">
        <v>424</v>
      </c>
      <c r="FD1320" t="s">
        <v>454</v>
      </c>
      <c r="FF1320">
        <v>12</v>
      </c>
      <c r="FG1320">
        <v>7400234</v>
      </c>
      <c r="FH1320" t="s">
        <v>426</v>
      </c>
      <c r="FJ1320" s="1">
        <v>42879</v>
      </c>
      <c r="FK1320">
        <v>2016</v>
      </c>
      <c r="FL1320">
        <v>936.34</v>
      </c>
      <c r="FM1320" t="s">
        <v>13460</v>
      </c>
      <c r="FN1320">
        <v>0.25</v>
      </c>
      <c r="FO1320" t="s">
        <v>424</v>
      </c>
      <c r="FP1320" t="s">
        <v>454</v>
      </c>
      <c r="FR1320">
        <v>12</v>
      </c>
      <c r="FS1320">
        <v>7518307</v>
      </c>
      <c r="FT1320" t="s">
        <v>13461</v>
      </c>
    </row>
    <row r="1321" spans="1:272" x14ac:dyDescent="0.25">
      <c r="A1321">
        <v>16486328</v>
      </c>
      <c r="B1321">
        <v>1320</v>
      </c>
      <c r="C1321" t="s">
        <v>393</v>
      </c>
      <c r="D1321" t="s">
        <v>394</v>
      </c>
      <c r="F1321" t="str">
        <f>"42-2N-27-4613-0010-0040"</f>
        <v>42-2N-27-4613-0010-0040</v>
      </c>
      <c r="H1321" t="str">
        <f>"BLAKE RHONDA MOBLEY"</f>
        <v>BLAKE RHONDA MOBLEY</v>
      </c>
      <c r="I1321" t="str">
        <f>"97289 PIRATES POINT ROAD"</f>
        <v>97289 PIRATES POINT ROAD</v>
      </c>
      <c r="J1321" t="str">
        <f>"YULEE FL 32097"</f>
        <v>YULEE FL 32097</v>
      </c>
      <c r="K1321" t="str">
        <f>"85292 ROSE MARIE RD"</f>
        <v>85292 ROSE MARIE RD</v>
      </c>
      <c r="L1321" t="str">
        <f t="shared" si="430"/>
        <v>YULEE FL 32097</v>
      </c>
      <c r="M1321" t="str">
        <f>"BLOCK 10 LOT 4 R433468 IN OR 1121/648 YULEE WOODS 3 PB 5/239"</f>
        <v>BLOCK 10 LOT 4 R433468 IN OR 1121/648 YULEE WOODS 3 PB 5/239</v>
      </c>
      <c r="N1321" t="str">
        <f>""</f>
        <v/>
      </c>
      <c r="O1321" t="str">
        <f>"48931"</f>
        <v>48931</v>
      </c>
      <c r="P1321" t="str">
        <f t="shared" si="433"/>
        <v>2017</v>
      </c>
      <c r="Q1321" t="str">
        <f>""</f>
        <v/>
      </c>
      <c r="R1321" t="str">
        <f t="shared" si="449"/>
        <v>N</v>
      </c>
      <c r="S1321" t="str">
        <f>""</f>
        <v/>
      </c>
      <c r="T1321" t="str">
        <f>"735.56"</f>
        <v>735.56</v>
      </c>
      <c r="U1321" t="str">
        <f>"45316.00"</f>
        <v>45316.00</v>
      </c>
      <c r="V1321" t="str">
        <f>"45316.00"</f>
        <v>45316.00</v>
      </c>
      <c r="W1321" t="str">
        <f t="shared" si="434"/>
        <v>2017</v>
      </c>
      <c r="X1321" t="str">
        <f>"5.50"</f>
        <v>5.50</v>
      </c>
      <c r="Y1321" t="str">
        <f>"789.63"</f>
        <v>789.63</v>
      </c>
      <c r="Z1321" t="str">
        <f>""</f>
        <v/>
      </c>
      <c r="AA1321" t="str">
        <f>"52824.00"</f>
        <v>52824.00</v>
      </c>
      <c r="AB1321" t="str">
        <f t="shared" si="439"/>
        <v>Residential</v>
      </c>
      <c r="AC1321" t="str">
        <f t="shared" si="445"/>
        <v>0</v>
      </c>
      <c r="AD1321" t="str">
        <f t="shared" si="450"/>
        <v>4</v>
      </c>
      <c r="AE1321" t="str">
        <f t="shared" si="451"/>
        <v>WOOD (INCLUDE STEEL STUDS)</v>
      </c>
      <c r="AF1321" t="str">
        <f t="shared" si="452"/>
        <v>002</v>
      </c>
      <c r="AG1321" t="str">
        <f t="shared" si="444"/>
        <v>FL</v>
      </c>
      <c r="AH1321" t="str">
        <f t="shared" si="442"/>
        <v>-</v>
      </c>
      <c r="AI1321" t="str">
        <f t="shared" si="441"/>
        <v>28000.00</v>
      </c>
      <c r="AJ1321" t="str">
        <f>"C55-000-588-2491-3"</f>
        <v>C55-000-588-2491-3</v>
      </c>
      <c r="AK1321" t="str">
        <f>"22585"</f>
        <v>22585</v>
      </c>
      <c r="AL1321">
        <v>5</v>
      </c>
      <c r="AM1321">
        <v>1510</v>
      </c>
      <c r="AN1321">
        <v>827.51</v>
      </c>
      <c r="AQ1321" t="s">
        <v>13462</v>
      </c>
      <c r="AR1321" t="s">
        <v>13462</v>
      </c>
      <c r="AS1321" t="s">
        <v>13462</v>
      </c>
      <c r="AU1321" t="s">
        <v>396</v>
      </c>
      <c r="AV1321">
        <v>2017</v>
      </c>
      <c r="AW1321" t="str">
        <f>"42-2N-27-4613-0010-0040 "</f>
        <v xml:space="preserve">42-2N-27-4613-0010-0040 </v>
      </c>
      <c r="AX1321">
        <v>85292</v>
      </c>
      <c r="AZ1321" t="s">
        <v>13463</v>
      </c>
      <c r="BA1321" t="s">
        <v>496</v>
      </c>
      <c r="BD1321" t="s">
        <v>2387</v>
      </c>
      <c r="BE1321" t="s">
        <v>393</v>
      </c>
      <c r="BF1321">
        <v>32097</v>
      </c>
      <c r="BG1321" t="s">
        <v>13464</v>
      </c>
      <c r="BH1321" t="s">
        <v>2388</v>
      </c>
      <c r="BI1321">
        <v>-81.583582951083898</v>
      </c>
      <c r="BJ1321">
        <v>30.6011762552838</v>
      </c>
      <c r="BK1321" t="s">
        <v>13465</v>
      </c>
      <c r="BM1321" t="s">
        <v>13466</v>
      </c>
      <c r="BN1321" t="s">
        <v>1778</v>
      </c>
      <c r="BO1321">
        <v>32097</v>
      </c>
      <c r="BP1321" t="s">
        <v>404</v>
      </c>
      <c r="BQ1321">
        <v>200</v>
      </c>
      <c r="BR1321" t="s">
        <v>405</v>
      </c>
      <c r="BS1321">
        <v>1006</v>
      </c>
      <c r="BT1321" t="s">
        <v>406</v>
      </c>
      <c r="BW1321">
        <v>43561</v>
      </c>
      <c r="BX1321" t="s">
        <v>407</v>
      </c>
      <c r="BY1321" t="s">
        <v>408</v>
      </c>
      <c r="BZ1321">
        <v>4</v>
      </c>
      <c r="CA1321">
        <v>1987</v>
      </c>
      <c r="CB1321">
        <v>1</v>
      </c>
      <c r="CC1321">
        <v>1</v>
      </c>
      <c r="CD1321">
        <v>2017</v>
      </c>
      <c r="CE1321">
        <v>28000</v>
      </c>
      <c r="CF1321">
        <v>24824</v>
      </c>
      <c r="CG1321">
        <v>52824</v>
      </c>
      <c r="CH1321">
        <v>2017</v>
      </c>
      <c r="CI1321">
        <v>28000</v>
      </c>
      <c r="CJ1321">
        <v>24824</v>
      </c>
      <c r="CK1321">
        <v>52824</v>
      </c>
      <c r="CL1321">
        <v>2017</v>
      </c>
      <c r="CM1321">
        <v>735.56</v>
      </c>
      <c r="CN1321" s="1">
        <v>37693</v>
      </c>
      <c r="CO1321">
        <v>45000</v>
      </c>
      <c r="CV1321">
        <v>0</v>
      </c>
      <c r="CZ1321" s="1">
        <v>37693</v>
      </c>
      <c r="DA1321">
        <v>0</v>
      </c>
      <c r="DD1321" t="s">
        <v>2387</v>
      </c>
      <c r="DF1321">
        <v>4</v>
      </c>
      <c r="DG1321">
        <v>42</v>
      </c>
      <c r="DJ1321" t="s">
        <v>13225</v>
      </c>
      <c r="DL1321">
        <v>50302</v>
      </c>
      <c r="DM1321" t="s">
        <v>12468</v>
      </c>
      <c r="DO1321" t="s">
        <v>13467</v>
      </c>
      <c r="DP1321">
        <v>0</v>
      </c>
      <c r="DQ1321">
        <v>0</v>
      </c>
      <c r="DR1321" t="s">
        <v>411</v>
      </c>
      <c r="DS1321" t="b">
        <v>1</v>
      </c>
      <c r="DT1321" t="s">
        <v>470</v>
      </c>
      <c r="DU1321" t="s">
        <v>471</v>
      </c>
      <c r="DV1321" t="s">
        <v>472</v>
      </c>
      <c r="DX1321">
        <v>-9999</v>
      </c>
      <c r="DZ1321" t="s">
        <v>447</v>
      </c>
      <c r="EA1321" t="s">
        <v>448</v>
      </c>
      <c r="EB1321" t="s">
        <v>742</v>
      </c>
      <c r="EC1321">
        <v>20101217</v>
      </c>
      <c r="ED1321" t="s">
        <v>474</v>
      </c>
      <c r="EF1321">
        <v>4386.1000000000004</v>
      </c>
      <c r="EG1321">
        <v>4073</v>
      </c>
      <c r="EI1321">
        <v>20160407</v>
      </c>
      <c r="EJ1321">
        <v>0</v>
      </c>
      <c r="EK1321">
        <v>0</v>
      </c>
      <c r="EP1321" t="s">
        <v>421</v>
      </c>
      <c r="EQ1321" t="s">
        <v>422</v>
      </c>
      <c r="ER1321">
        <v>0</v>
      </c>
      <c r="ES1321">
        <v>10</v>
      </c>
      <c r="ET1321">
        <v>0</v>
      </c>
      <c r="EU1321">
        <v>0</v>
      </c>
      <c r="EV1321">
        <v>0</v>
      </c>
      <c r="EW1321" s="2">
        <v>43222</v>
      </c>
      <c r="EX1321" s="1">
        <v>42879</v>
      </c>
      <c r="EY1321">
        <v>2016</v>
      </c>
      <c r="EZ1321">
        <v>710.94</v>
      </c>
      <c r="FA1321" t="s">
        <v>13468</v>
      </c>
      <c r="FB1321">
        <v>0.25</v>
      </c>
      <c r="FC1321" t="s">
        <v>424</v>
      </c>
      <c r="FD1321" t="s">
        <v>425</v>
      </c>
      <c r="FE1321" s="1">
        <v>43075</v>
      </c>
      <c r="FF1321">
        <v>7</v>
      </c>
      <c r="FG1321">
        <v>2851116</v>
      </c>
      <c r="FH1321" t="s">
        <v>480</v>
      </c>
      <c r="FJ1321" s="1">
        <v>42879</v>
      </c>
      <c r="FK1321">
        <v>2016</v>
      </c>
      <c r="FL1321">
        <v>710.94</v>
      </c>
      <c r="FM1321" t="s">
        <v>13468</v>
      </c>
      <c r="FN1321">
        <v>0.25</v>
      </c>
      <c r="FO1321" t="s">
        <v>424</v>
      </c>
      <c r="FP1321" t="s">
        <v>425</v>
      </c>
      <c r="FR1321">
        <v>22</v>
      </c>
      <c r="FS1321">
        <v>4910372</v>
      </c>
      <c r="FT1321" t="s">
        <v>13469</v>
      </c>
      <c r="FV1321" s="1">
        <v>42515</v>
      </c>
      <c r="FW1321">
        <v>2015</v>
      </c>
      <c r="FX1321">
        <v>720.05</v>
      </c>
      <c r="FY1321" t="s">
        <v>13470</v>
      </c>
      <c r="FZ1321">
        <v>0.25</v>
      </c>
      <c r="GA1321" t="s">
        <v>424</v>
      </c>
      <c r="GB1321" t="s">
        <v>425</v>
      </c>
      <c r="GC1321" s="1">
        <v>42661</v>
      </c>
      <c r="GD1321">
        <v>5</v>
      </c>
      <c r="GE1321">
        <v>2851116</v>
      </c>
      <c r="GF1321" t="s">
        <v>480</v>
      </c>
      <c r="GH1321" s="1">
        <v>42515</v>
      </c>
      <c r="GI1321">
        <v>2015</v>
      </c>
      <c r="GJ1321">
        <v>720.05</v>
      </c>
      <c r="GK1321" t="s">
        <v>13470</v>
      </c>
      <c r="GL1321">
        <v>0.25</v>
      </c>
      <c r="GM1321" t="s">
        <v>424</v>
      </c>
      <c r="GN1321" t="s">
        <v>425</v>
      </c>
      <c r="GP1321">
        <v>22</v>
      </c>
      <c r="GQ1321">
        <v>5755345</v>
      </c>
      <c r="GR1321" t="s">
        <v>13471</v>
      </c>
      <c r="GT1321" s="1">
        <v>42151</v>
      </c>
      <c r="GU1321">
        <v>2014</v>
      </c>
      <c r="GV1321">
        <v>618.30999999999995</v>
      </c>
      <c r="GW1321" t="s">
        <v>13472</v>
      </c>
      <c r="GX1321">
        <v>0.25</v>
      </c>
      <c r="GY1321" t="s">
        <v>424</v>
      </c>
      <c r="GZ1321" t="s">
        <v>425</v>
      </c>
      <c r="HA1321" s="1">
        <v>42215</v>
      </c>
      <c r="HB1321">
        <v>2</v>
      </c>
      <c r="HC1321">
        <v>2101382</v>
      </c>
      <c r="HD1321" t="s">
        <v>993</v>
      </c>
      <c r="HF1321" s="1">
        <v>42151</v>
      </c>
      <c r="HG1321">
        <v>2014</v>
      </c>
      <c r="HH1321">
        <v>618.30999999999995</v>
      </c>
      <c r="HI1321" t="s">
        <v>13472</v>
      </c>
      <c r="HJ1321">
        <v>0.25</v>
      </c>
      <c r="HK1321" t="s">
        <v>424</v>
      </c>
      <c r="HL1321" t="s">
        <v>425</v>
      </c>
      <c r="HN1321">
        <v>22</v>
      </c>
      <c r="HO1321">
        <v>5434165</v>
      </c>
      <c r="HP1321" t="s">
        <v>13473</v>
      </c>
      <c r="HR1321" s="1">
        <v>41787</v>
      </c>
      <c r="HS1321">
        <v>2013</v>
      </c>
      <c r="HT1321">
        <v>767.82</v>
      </c>
      <c r="HU1321" t="s">
        <v>13474</v>
      </c>
      <c r="HV1321">
        <v>0.25</v>
      </c>
      <c r="HW1321" t="s">
        <v>424</v>
      </c>
      <c r="HX1321" t="s">
        <v>425</v>
      </c>
      <c r="HY1321" s="1">
        <v>41920</v>
      </c>
      <c r="HZ1321">
        <v>5</v>
      </c>
      <c r="IA1321">
        <v>2407503</v>
      </c>
      <c r="IB1321" t="s">
        <v>461</v>
      </c>
      <c r="ID1321" s="1">
        <v>41423</v>
      </c>
      <c r="IE1321">
        <v>2012</v>
      </c>
      <c r="IF1321">
        <v>784.17</v>
      </c>
      <c r="IG1321" t="s">
        <v>13475</v>
      </c>
      <c r="IH1321">
        <v>0.25</v>
      </c>
      <c r="II1321" t="s">
        <v>424</v>
      </c>
      <c r="IJ1321" t="s">
        <v>425</v>
      </c>
      <c r="IK1321" s="1">
        <v>41817</v>
      </c>
      <c r="IL1321">
        <v>13</v>
      </c>
      <c r="IM1321">
        <v>15399</v>
      </c>
      <c r="IN1321" t="s">
        <v>485</v>
      </c>
      <c r="IP1321" s="1">
        <v>41052</v>
      </c>
      <c r="IQ1321">
        <v>2011</v>
      </c>
      <c r="IR1321">
        <v>933.83</v>
      </c>
      <c r="IS1321" t="s">
        <v>13476</v>
      </c>
      <c r="IT1321">
        <v>5</v>
      </c>
      <c r="IU1321" t="s">
        <v>424</v>
      </c>
      <c r="IV1321" t="s">
        <v>425</v>
      </c>
      <c r="IW1321" s="1">
        <v>41212</v>
      </c>
      <c r="IX1321">
        <v>5</v>
      </c>
      <c r="IY1321">
        <v>62</v>
      </c>
      <c r="IZ1321" t="s">
        <v>463</v>
      </c>
      <c r="JB1321" s="1">
        <v>40688</v>
      </c>
      <c r="JC1321">
        <v>2010</v>
      </c>
      <c r="JD1321">
        <v>1015.67</v>
      </c>
      <c r="JE1321" t="s">
        <v>13477</v>
      </c>
      <c r="JF1321">
        <v>6.75</v>
      </c>
      <c r="JG1321" t="s">
        <v>424</v>
      </c>
      <c r="JH1321" t="s">
        <v>425</v>
      </c>
      <c r="JI1321" s="1">
        <v>40820</v>
      </c>
      <c r="JJ1321">
        <v>5</v>
      </c>
      <c r="JK1321">
        <v>375</v>
      </c>
      <c r="JL1321" t="s">
        <v>776</v>
      </c>
    </row>
    <row r="1322" spans="1:272" x14ac:dyDescent="0.25">
      <c r="A1322">
        <v>16486329</v>
      </c>
      <c r="B1322">
        <v>1321</v>
      </c>
      <c r="C1322" t="s">
        <v>393</v>
      </c>
      <c r="D1322" t="s">
        <v>394</v>
      </c>
      <c r="F1322" t="str">
        <f>"42-2N-27-4613-0010-0190"</f>
        <v>42-2N-27-4613-0010-0190</v>
      </c>
      <c r="H1322" t="str">
        <f>"VARGO DAVID JOSEPH &amp; CAROL S"</f>
        <v>VARGO DAVID JOSEPH &amp; CAROL S</v>
      </c>
      <c r="I1322" t="str">
        <f>"85221 TINYA ROAD"</f>
        <v>85221 TINYA ROAD</v>
      </c>
      <c r="J1322" t="str">
        <f>"YULEE FL 32097"</f>
        <v>YULEE FL 32097</v>
      </c>
      <c r="K1322" t="str">
        <f>"85221 TINYA RD"</f>
        <v>85221 TINYA RD</v>
      </c>
      <c r="L1322" t="str">
        <f t="shared" si="430"/>
        <v>YULEE FL 32097</v>
      </c>
      <c r="M1322" t="str">
        <f>"BLOCK 10 LOT 19 IN OR 2018/1424 32620424AX &amp; 32620424BX YULEE WOODS 3 PB 5/239"</f>
        <v>BLOCK 10 LOT 19 IN OR 2018/1424 32620424AX &amp; 32620424BX YULEE WOODS 3 PB 5/239</v>
      </c>
      <c r="N1322" t="str">
        <f>""</f>
        <v/>
      </c>
      <c r="O1322" t="str">
        <f>"48946"</f>
        <v>48946</v>
      </c>
      <c r="P1322" t="str">
        <f t="shared" si="433"/>
        <v>2017</v>
      </c>
      <c r="Q1322" t="str">
        <f>""</f>
        <v/>
      </c>
      <c r="R1322" t="str">
        <f>"Y"</f>
        <v>Y</v>
      </c>
      <c r="S1322" t="str">
        <f>""</f>
        <v/>
      </c>
      <c r="T1322" t="str">
        <f>"378.56"</f>
        <v>378.56</v>
      </c>
      <c r="U1322" t="str">
        <f>"50006.00"</f>
        <v>50006.00</v>
      </c>
      <c r="V1322" t="str">
        <f>"50006.00"</f>
        <v>50006.00</v>
      </c>
      <c r="W1322" t="str">
        <f t="shared" si="434"/>
        <v>2017</v>
      </c>
      <c r="X1322" t="str">
        <f>""</f>
        <v/>
      </c>
      <c r="Y1322" t="str">
        <f>"421.92"</f>
        <v>421.92</v>
      </c>
      <c r="Z1322" t="str">
        <f>"25000.00"</f>
        <v>25000.00</v>
      </c>
      <c r="AA1322" t="str">
        <f>"25006.00"</f>
        <v>25006.00</v>
      </c>
      <c r="AB1322" t="str">
        <f t="shared" si="439"/>
        <v>Residential</v>
      </c>
      <c r="AC1322" t="str">
        <f t="shared" si="445"/>
        <v>0</v>
      </c>
      <c r="AD1322" t="str">
        <f t="shared" si="450"/>
        <v>4</v>
      </c>
      <c r="AE1322" t="str">
        <f t="shared" si="451"/>
        <v>WOOD (INCLUDE STEEL STUDS)</v>
      </c>
      <c r="AF1322" t="str">
        <f t="shared" si="452"/>
        <v>002</v>
      </c>
      <c r="AG1322" t="str">
        <f t="shared" si="444"/>
        <v>FL</v>
      </c>
      <c r="AH1322" t="str">
        <f>"43563.00"</f>
        <v>43563.00</v>
      </c>
      <c r="AI1322" t="str">
        <f t="shared" si="441"/>
        <v>28000.00</v>
      </c>
      <c r="AJ1322" t="str">
        <f>"C55-000-588-2506-8"</f>
        <v>C55-000-588-2506-8</v>
      </c>
      <c r="AK1322" t="str">
        <f>"22600"</f>
        <v>22600</v>
      </c>
      <c r="AL1322">
        <v>5</v>
      </c>
      <c r="AM1322">
        <v>1511</v>
      </c>
      <c r="AN1322">
        <v>441.42</v>
      </c>
      <c r="AQ1322" t="s">
        <v>13478</v>
      </c>
      <c r="AR1322" t="s">
        <v>13478</v>
      </c>
      <c r="AS1322" t="s">
        <v>13478</v>
      </c>
      <c r="AU1322" t="s">
        <v>396</v>
      </c>
      <c r="AV1322">
        <v>2017</v>
      </c>
      <c r="AW1322" t="str">
        <f>"42-2N-27-4613-0010-0190 "</f>
        <v xml:space="preserve">42-2N-27-4613-0010-0190 </v>
      </c>
      <c r="AX1322">
        <v>85221</v>
      </c>
      <c r="AZ1322" t="s">
        <v>13479</v>
      </c>
      <c r="BA1322" t="s">
        <v>496</v>
      </c>
      <c r="BD1322" t="s">
        <v>2387</v>
      </c>
      <c r="BE1322" t="s">
        <v>393</v>
      </c>
      <c r="BF1322">
        <v>32097</v>
      </c>
      <c r="BG1322" t="s">
        <v>13480</v>
      </c>
      <c r="BH1322" t="s">
        <v>2388</v>
      </c>
      <c r="BI1322">
        <v>-81.584696564140202</v>
      </c>
      <c r="BJ1322">
        <v>30.599906761290001</v>
      </c>
      <c r="BK1322" t="s">
        <v>13481</v>
      </c>
      <c r="BL1322" t="s">
        <v>13482</v>
      </c>
      <c r="BM1322" t="s">
        <v>13480</v>
      </c>
      <c r="BN1322" t="s">
        <v>1778</v>
      </c>
      <c r="BO1322">
        <v>32097</v>
      </c>
      <c r="BP1322" t="s">
        <v>416</v>
      </c>
      <c r="BQ1322">
        <v>200</v>
      </c>
      <c r="BR1322" t="s">
        <v>405</v>
      </c>
      <c r="BS1322">
        <v>1006</v>
      </c>
      <c r="BT1322" t="s">
        <v>406</v>
      </c>
      <c r="BW1322">
        <v>43563</v>
      </c>
      <c r="BX1322" t="s">
        <v>407</v>
      </c>
      <c r="BY1322" t="s">
        <v>408</v>
      </c>
      <c r="BZ1322">
        <v>4</v>
      </c>
      <c r="CA1322">
        <v>1988</v>
      </c>
      <c r="CB1322">
        <v>1</v>
      </c>
      <c r="CC1322">
        <v>1</v>
      </c>
      <c r="CD1322">
        <v>2017</v>
      </c>
      <c r="CE1322">
        <v>28000</v>
      </c>
      <c r="CF1322">
        <v>22006</v>
      </c>
      <c r="CG1322">
        <v>50006</v>
      </c>
      <c r="CH1322">
        <v>2017</v>
      </c>
      <c r="CI1322">
        <v>28000</v>
      </c>
      <c r="CJ1322">
        <v>22006</v>
      </c>
      <c r="CK1322">
        <v>50006</v>
      </c>
      <c r="CL1322">
        <v>2017</v>
      </c>
      <c r="CM1322">
        <v>378.56</v>
      </c>
      <c r="CN1322" s="1">
        <v>42353</v>
      </c>
      <c r="CO1322">
        <v>55000</v>
      </c>
      <c r="CV1322">
        <v>0</v>
      </c>
      <c r="CZ1322" s="1">
        <v>42353</v>
      </c>
      <c r="DA1322">
        <v>0</v>
      </c>
      <c r="DD1322" t="s">
        <v>2387</v>
      </c>
      <c r="DF1322">
        <v>19</v>
      </c>
      <c r="DG1322">
        <v>42</v>
      </c>
      <c r="DL1322">
        <v>50302</v>
      </c>
      <c r="DM1322" t="s">
        <v>12468</v>
      </c>
      <c r="DO1322" t="s">
        <v>13483</v>
      </c>
      <c r="DP1322">
        <v>0</v>
      </c>
      <c r="DQ1322">
        <v>0</v>
      </c>
      <c r="DR1322" t="s">
        <v>411</v>
      </c>
    </row>
    <row r="1323" spans="1:272" x14ac:dyDescent="0.25">
      <c r="A1323">
        <v>16486330</v>
      </c>
      <c r="B1323">
        <v>1322</v>
      </c>
      <c r="C1323" t="s">
        <v>393</v>
      </c>
      <c r="D1323" t="s">
        <v>394</v>
      </c>
      <c r="F1323" t="str">
        <f>"42-2N-27-4613-0011-0010"</f>
        <v>42-2N-27-4613-0011-0010</v>
      </c>
      <c r="H1323" t="str">
        <f>"BRUSSELL DON S"</f>
        <v>BRUSSELL DON S</v>
      </c>
      <c r="I1323" t="str">
        <f>"86378 CALLAWAY ROAD"</f>
        <v>86378 CALLAWAY ROAD</v>
      </c>
      <c r="J1323" t="str">
        <f>"YULEE FL 32097"</f>
        <v>YULEE FL 32097</v>
      </c>
      <c r="K1323" t="str">
        <f>"85321 THERESA RD"</f>
        <v>85321 THERESA RD</v>
      </c>
      <c r="L1323" t="str">
        <f t="shared" si="430"/>
        <v>YULEE FL 32097</v>
      </c>
      <c r="M1323" t="str">
        <f>"BLOCK 11 LOT 1 IN OR 1609/519 1989 SPRI DW/MH YULEE WOODS 3 PB 5/239"</f>
        <v>BLOCK 11 LOT 1 IN OR 1609/519 1989 SPRI DW/MH YULEE WOODS 3 PB 5/239</v>
      </c>
      <c r="N1323" t="str">
        <f>""</f>
        <v/>
      </c>
      <c r="O1323" t="str">
        <f>"48953"</f>
        <v>48953</v>
      </c>
      <c r="P1323" t="str">
        <f t="shared" si="433"/>
        <v>2017</v>
      </c>
      <c r="Q1323" t="str">
        <f>""</f>
        <v/>
      </c>
      <c r="R1323" t="str">
        <f>"N"</f>
        <v>N</v>
      </c>
      <c r="S1323" t="str">
        <f>""</f>
        <v/>
      </c>
      <c r="T1323" t="str">
        <f>"677.55"</f>
        <v>677.55</v>
      </c>
      <c r="U1323" t="str">
        <f>"41412.00"</f>
        <v>41412.00</v>
      </c>
      <c r="V1323" t="str">
        <f>"41412.00"</f>
        <v>41412.00</v>
      </c>
      <c r="W1323" t="str">
        <f t="shared" si="434"/>
        <v>2017</v>
      </c>
      <c r="X1323" t="str">
        <f>"6.25"</f>
        <v>6.25</v>
      </c>
      <c r="Y1323" t="str">
        <f>"729.88"</f>
        <v>729.88</v>
      </c>
      <c r="Z1323" t="str">
        <f>""</f>
        <v/>
      </c>
      <c r="AA1323" t="str">
        <f>"49085.00"</f>
        <v>49085.00</v>
      </c>
      <c r="AB1323" t="str">
        <f t="shared" si="439"/>
        <v>Residential</v>
      </c>
      <c r="AC1323" t="str">
        <f t="shared" si="445"/>
        <v>0</v>
      </c>
      <c r="AD1323" t="str">
        <f t="shared" si="450"/>
        <v>4</v>
      </c>
      <c r="AE1323" t="str">
        <f t="shared" si="451"/>
        <v>WOOD (INCLUDE STEEL STUDS)</v>
      </c>
      <c r="AF1323" t="str">
        <f t="shared" si="452"/>
        <v>002</v>
      </c>
      <c r="AG1323" t="str">
        <f t="shared" si="444"/>
        <v>FL</v>
      </c>
      <c r="AH1323" t="str">
        <f t="shared" ref="AH1323:AH1358" si="453">"-"</f>
        <v>-</v>
      </c>
      <c r="AI1323" t="str">
        <f t="shared" si="441"/>
        <v>28000.00</v>
      </c>
      <c r="AJ1323" t="str">
        <f>"C55-000-588-2513-4"</f>
        <v>C55-000-588-2513-4</v>
      </c>
      <c r="AK1323" t="str">
        <f>"22607"</f>
        <v>22607</v>
      </c>
      <c r="AL1323">
        <v>5</v>
      </c>
      <c r="AM1323">
        <v>1512</v>
      </c>
      <c r="AN1323">
        <v>764.77</v>
      </c>
      <c r="AQ1323" t="s">
        <v>13484</v>
      </c>
      <c r="AR1323" t="s">
        <v>13484</v>
      </c>
      <c r="AS1323" t="s">
        <v>13484</v>
      </c>
      <c r="AU1323" t="s">
        <v>396</v>
      </c>
      <c r="AV1323">
        <v>2017</v>
      </c>
      <c r="AW1323" t="str">
        <f>"42-2N-27-4613-0011-0010 "</f>
        <v xml:space="preserve">42-2N-27-4613-0011-0010 </v>
      </c>
      <c r="AX1323">
        <v>85321</v>
      </c>
      <c r="AZ1323" t="s">
        <v>13222</v>
      </c>
      <c r="BA1323" t="s">
        <v>496</v>
      </c>
      <c r="BD1323" t="s">
        <v>2387</v>
      </c>
      <c r="BE1323" t="s">
        <v>393</v>
      </c>
      <c r="BF1323">
        <v>32097</v>
      </c>
      <c r="BG1323" t="s">
        <v>13485</v>
      </c>
      <c r="BH1323" t="s">
        <v>2388</v>
      </c>
      <c r="BI1323">
        <v>-81.581498983118195</v>
      </c>
      <c r="BJ1323">
        <v>30.600326749532499</v>
      </c>
      <c r="BK1323" t="s">
        <v>13486</v>
      </c>
      <c r="BM1323" t="s">
        <v>13487</v>
      </c>
      <c r="BN1323" t="s">
        <v>1778</v>
      </c>
      <c r="BO1323">
        <v>32097</v>
      </c>
      <c r="BP1323" t="s">
        <v>404</v>
      </c>
      <c r="BQ1323">
        <v>200</v>
      </c>
      <c r="BR1323" t="s">
        <v>405</v>
      </c>
      <c r="BS1323">
        <v>1006</v>
      </c>
      <c r="BT1323" t="s">
        <v>406</v>
      </c>
      <c r="BW1323">
        <v>43046</v>
      </c>
      <c r="BX1323" t="s">
        <v>407</v>
      </c>
      <c r="BY1323" t="s">
        <v>408</v>
      </c>
      <c r="BZ1323">
        <v>4</v>
      </c>
      <c r="CA1323">
        <v>1989</v>
      </c>
      <c r="CB1323">
        <v>1</v>
      </c>
      <c r="CC1323">
        <v>1</v>
      </c>
      <c r="CD1323">
        <v>2017</v>
      </c>
      <c r="CE1323">
        <v>28000</v>
      </c>
      <c r="CF1323">
        <v>21085</v>
      </c>
      <c r="CG1323">
        <v>49085</v>
      </c>
      <c r="CH1323">
        <v>2017</v>
      </c>
      <c r="CI1323">
        <v>28000</v>
      </c>
      <c r="CJ1323">
        <v>21085</v>
      </c>
      <c r="CK1323">
        <v>49085</v>
      </c>
      <c r="CL1323">
        <v>2017</v>
      </c>
      <c r="CM1323">
        <v>677.55</v>
      </c>
      <c r="CN1323" s="1">
        <v>39881</v>
      </c>
      <c r="CV1323">
        <v>0</v>
      </c>
      <c r="CZ1323" s="1">
        <v>39881</v>
      </c>
      <c r="DA1323">
        <v>0</v>
      </c>
      <c r="DD1323" t="s">
        <v>2387</v>
      </c>
      <c r="DF1323">
        <v>1</v>
      </c>
      <c r="DG1323">
        <v>42</v>
      </c>
      <c r="DL1323">
        <v>50302</v>
      </c>
      <c r="DM1323" t="s">
        <v>12468</v>
      </c>
      <c r="DO1323" t="s">
        <v>13488</v>
      </c>
      <c r="DP1323">
        <v>0</v>
      </c>
      <c r="DQ1323">
        <v>0</v>
      </c>
      <c r="DR1323" t="s">
        <v>411</v>
      </c>
      <c r="DS1323" t="b">
        <v>1</v>
      </c>
      <c r="DT1323" t="s">
        <v>470</v>
      </c>
      <c r="DU1323" t="s">
        <v>471</v>
      </c>
      <c r="DV1323" t="s">
        <v>472</v>
      </c>
      <c r="DX1323">
        <v>-9999</v>
      </c>
      <c r="DZ1323" t="s">
        <v>447</v>
      </c>
      <c r="EA1323" t="s">
        <v>448</v>
      </c>
      <c r="EB1323" t="s">
        <v>742</v>
      </c>
      <c r="EC1323">
        <v>20101217</v>
      </c>
      <c r="ED1323" t="s">
        <v>474</v>
      </c>
      <c r="EF1323">
        <v>4018</v>
      </c>
      <c r="EG1323">
        <v>3398.8</v>
      </c>
      <c r="EI1323">
        <v>20160407</v>
      </c>
      <c r="EJ1323">
        <v>0</v>
      </c>
      <c r="EK1323">
        <v>0</v>
      </c>
      <c r="EP1323" t="s">
        <v>421</v>
      </c>
      <c r="EQ1323" t="s">
        <v>422</v>
      </c>
      <c r="ER1323">
        <v>0</v>
      </c>
      <c r="ES1323">
        <v>6</v>
      </c>
      <c r="ET1323">
        <v>0</v>
      </c>
      <c r="EU1323">
        <v>0</v>
      </c>
      <c r="EV1323">
        <v>0</v>
      </c>
      <c r="EW1323" s="2">
        <v>43222</v>
      </c>
      <c r="EX1323" s="1">
        <v>42879</v>
      </c>
      <c r="EY1323">
        <v>2016</v>
      </c>
      <c r="EZ1323">
        <v>652.02</v>
      </c>
      <c r="FA1323" t="s">
        <v>13489</v>
      </c>
      <c r="FB1323">
        <v>0.25</v>
      </c>
      <c r="FC1323" t="s">
        <v>424</v>
      </c>
      <c r="FD1323" t="s">
        <v>425</v>
      </c>
      <c r="FE1323" s="1">
        <v>42893</v>
      </c>
      <c r="FF1323">
        <v>1</v>
      </c>
      <c r="FG1323">
        <v>2851116</v>
      </c>
      <c r="FH1323" t="s">
        <v>480</v>
      </c>
      <c r="FJ1323" s="1">
        <v>42879</v>
      </c>
      <c r="FK1323">
        <v>2016</v>
      </c>
      <c r="FL1323">
        <v>652.02</v>
      </c>
      <c r="FM1323" t="s">
        <v>13489</v>
      </c>
      <c r="FN1323">
        <v>0.25</v>
      </c>
      <c r="FO1323" t="s">
        <v>424</v>
      </c>
      <c r="FP1323" t="s">
        <v>425</v>
      </c>
      <c r="FR1323">
        <v>22</v>
      </c>
      <c r="FS1323">
        <v>5262497</v>
      </c>
      <c r="FT1323" t="s">
        <v>13490</v>
      </c>
      <c r="FV1323" s="1">
        <v>42515</v>
      </c>
      <c r="FW1323">
        <v>2015</v>
      </c>
      <c r="FX1323">
        <v>655.73</v>
      </c>
      <c r="FY1323" t="s">
        <v>13491</v>
      </c>
      <c r="FZ1323">
        <v>0.25</v>
      </c>
      <c r="GA1323" t="s">
        <v>424</v>
      </c>
      <c r="GB1323" t="s">
        <v>425</v>
      </c>
      <c r="GC1323" s="1">
        <v>42881</v>
      </c>
      <c r="GD1323">
        <v>12</v>
      </c>
      <c r="GE1323">
        <v>2851116</v>
      </c>
      <c r="GF1323" t="s">
        <v>480</v>
      </c>
      <c r="GH1323" s="1">
        <v>42515</v>
      </c>
      <c r="GI1323">
        <v>2015</v>
      </c>
      <c r="GJ1323">
        <v>655.73</v>
      </c>
      <c r="GK1323" t="s">
        <v>13491</v>
      </c>
      <c r="GL1323">
        <v>0.25</v>
      </c>
      <c r="GM1323" t="s">
        <v>424</v>
      </c>
      <c r="GN1323" t="s">
        <v>425</v>
      </c>
      <c r="GP1323">
        <v>22</v>
      </c>
      <c r="GQ1323">
        <v>5736334</v>
      </c>
      <c r="GR1323" t="s">
        <v>13492</v>
      </c>
      <c r="GT1323" s="1">
        <v>41787</v>
      </c>
      <c r="GU1323">
        <v>2013</v>
      </c>
      <c r="GV1323">
        <v>676.24</v>
      </c>
      <c r="GW1323" t="s">
        <v>13493</v>
      </c>
      <c r="GX1323">
        <v>0.25</v>
      </c>
      <c r="GY1323" t="s">
        <v>424</v>
      </c>
      <c r="GZ1323" t="s">
        <v>425</v>
      </c>
      <c r="HA1323" s="1">
        <v>42100</v>
      </c>
      <c r="HB1323">
        <v>11</v>
      </c>
      <c r="HC1323">
        <v>2101382</v>
      </c>
      <c r="HD1323" t="s">
        <v>993</v>
      </c>
      <c r="HF1323" s="1">
        <v>41423</v>
      </c>
      <c r="HG1323">
        <v>2012</v>
      </c>
      <c r="HH1323">
        <v>643.1</v>
      </c>
      <c r="HI1323" t="s">
        <v>13494</v>
      </c>
      <c r="HJ1323">
        <v>0.25</v>
      </c>
      <c r="HK1323" t="s">
        <v>424</v>
      </c>
      <c r="HL1323" t="s">
        <v>425</v>
      </c>
      <c r="HM1323" s="1">
        <v>41443</v>
      </c>
      <c r="HN1323">
        <v>1</v>
      </c>
      <c r="HO1323">
        <v>1625515</v>
      </c>
      <c r="HP1323" t="s">
        <v>487</v>
      </c>
    </row>
    <row r="1324" spans="1:272" x14ac:dyDescent="0.25">
      <c r="A1324">
        <v>16486331</v>
      </c>
      <c r="B1324">
        <v>1323</v>
      </c>
      <c r="C1324" t="s">
        <v>393</v>
      </c>
      <c r="D1324" t="s">
        <v>394</v>
      </c>
      <c r="F1324" t="str">
        <f>"42-2N-27-4613-0011-0070"</f>
        <v>42-2N-27-4613-0011-0070</v>
      </c>
      <c r="H1324" t="str">
        <f>"HUTCHERSON DONALD R &amp; CHERRY L"</f>
        <v>HUTCHERSON DONALD R &amp; CHERRY L</v>
      </c>
      <c r="I1324" t="str">
        <f>"85200 TINYA ROAD"</f>
        <v>85200 TINYA ROAD</v>
      </c>
      <c r="J1324" t="str">
        <f>"YULEE FL 32097"</f>
        <v>YULEE FL 32097</v>
      </c>
      <c r="K1324" t="str">
        <f>"85200 TINYA RD"</f>
        <v>85200 TINYA RD</v>
      </c>
      <c r="L1324" t="str">
        <f t="shared" si="430"/>
        <v>YULEE FL 32097</v>
      </c>
      <c r="M1324" t="str">
        <f>"BLOCK 11 LOT 7 IN OR 920/1904 R433514 &amp; R433515 YULEE WOODS 3 PB 5/239"</f>
        <v>BLOCK 11 LOT 7 IN OR 920/1904 R433514 &amp; R433515 YULEE WOODS 3 PB 5/239</v>
      </c>
      <c r="N1324" t="str">
        <f>""</f>
        <v/>
      </c>
      <c r="O1324" t="str">
        <f>"48959"</f>
        <v>48959</v>
      </c>
      <c r="P1324" t="str">
        <f t="shared" si="433"/>
        <v>2017</v>
      </c>
      <c r="Q1324" t="str">
        <f>""</f>
        <v/>
      </c>
      <c r="R1324" t="str">
        <f>"Y"</f>
        <v>Y</v>
      </c>
      <c r="S1324" t="str">
        <f>""</f>
        <v/>
      </c>
      <c r="T1324" t="str">
        <f>"292.70"</f>
        <v>292.70</v>
      </c>
      <c r="U1324" t="str">
        <f>"44334.00"</f>
        <v>44334.00</v>
      </c>
      <c r="V1324" t="str">
        <f>"44334.00"</f>
        <v>44334.00</v>
      </c>
      <c r="W1324" t="str">
        <f t="shared" si="434"/>
        <v>2017</v>
      </c>
      <c r="X1324" t="str">
        <f>"12.00"</f>
        <v>12.00</v>
      </c>
      <c r="Y1324" t="str">
        <f>"333.48"</f>
        <v>333.48</v>
      </c>
      <c r="Z1324" t="str">
        <f>"25000.00"</f>
        <v>25000.00</v>
      </c>
      <c r="AA1324" t="str">
        <f>"19334.00"</f>
        <v>19334.00</v>
      </c>
      <c r="AB1324" t="str">
        <f t="shared" si="439"/>
        <v>Residential</v>
      </c>
      <c r="AC1324" t="str">
        <f t="shared" si="445"/>
        <v>0</v>
      </c>
      <c r="AD1324" t="str">
        <f t="shared" si="450"/>
        <v>4</v>
      </c>
      <c r="AE1324" t="str">
        <f t="shared" si="451"/>
        <v>WOOD (INCLUDE STEEL STUDS)</v>
      </c>
      <c r="AF1324" t="str">
        <f t="shared" si="452"/>
        <v>002</v>
      </c>
      <c r="AG1324" t="str">
        <f t="shared" si="444"/>
        <v>FL</v>
      </c>
      <c r="AH1324" t="str">
        <f t="shared" si="453"/>
        <v>-</v>
      </c>
      <c r="AI1324" t="str">
        <f t="shared" si="441"/>
        <v>28000.00</v>
      </c>
      <c r="AJ1324" t="str">
        <f>"C55-000-588-2519-1"</f>
        <v>C55-000-588-2519-1</v>
      </c>
      <c r="AK1324" t="str">
        <f>"22613"</f>
        <v>22613</v>
      </c>
      <c r="AL1324">
        <v>5</v>
      </c>
      <c r="AM1324">
        <v>1513</v>
      </c>
      <c r="AN1324">
        <v>348.55</v>
      </c>
      <c r="AQ1324" t="s">
        <v>13495</v>
      </c>
      <c r="AR1324" t="s">
        <v>13495</v>
      </c>
      <c r="AS1324" t="s">
        <v>13495</v>
      </c>
      <c r="AU1324" t="s">
        <v>396</v>
      </c>
      <c r="AV1324">
        <v>2017</v>
      </c>
      <c r="AW1324" t="str">
        <f>"42-2N-27-4613-0011-0070 "</f>
        <v xml:space="preserve">42-2N-27-4613-0011-0070 </v>
      </c>
      <c r="AX1324">
        <v>85200</v>
      </c>
      <c r="AZ1324" t="s">
        <v>13479</v>
      </c>
      <c r="BA1324" t="s">
        <v>496</v>
      </c>
      <c r="BD1324" t="s">
        <v>2387</v>
      </c>
      <c r="BE1324" t="s">
        <v>393</v>
      </c>
      <c r="BF1324">
        <v>32097</v>
      </c>
      <c r="BG1324" t="s">
        <v>13496</v>
      </c>
      <c r="BH1324" t="s">
        <v>2388</v>
      </c>
      <c r="BI1324">
        <v>-81.5846422885203</v>
      </c>
      <c r="BJ1324">
        <v>30.598936399072599</v>
      </c>
      <c r="BK1324" t="s">
        <v>13497</v>
      </c>
      <c r="BL1324" t="s">
        <v>13498</v>
      </c>
      <c r="BM1324" t="s">
        <v>13496</v>
      </c>
      <c r="BN1324" t="s">
        <v>1778</v>
      </c>
      <c r="BO1324">
        <v>32097</v>
      </c>
      <c r="BP1324" t="s">
        <v>416</v>
      </c>
      <c r="BQ1324">
        <v>200</v>
      </c>
      <c r="BR1324" t="s">
        <v>405</v>
      </c>
      <c r="BS1324">
        <v>1006</v>
      </c>
      <c r="BT1324" t="s">
        <v>406</v>
      </c>
      <c r="BW1324">
        <v>43689</v>
      </c>
      <c r="BX1324" t="s">
        <v>407</v>
      </c>
      <c r="BY1324" t="s">
        <v>408</v>
      </c>
      <c r="BZ1324">
        <v>4</v>
      </c>
      <c r="CA1324">
        <v>1990</v>
      </c>
      <c r="CB1324">
        <v>1</v>
      </c>
      <c r="CC1324">
        <v>1</v>
      </c>
      <c r="CD1324">
        <v>2017</v>
      </c>
      <c r="CG1324">
        <v>44334</v>
      </c>
      <c r="CH1324">
        <v>2017</v>
      </c>
      <c r="CI1324">
        <v>28000</v>
      </c>
      <c r="CJ1324">
        <v>39994</v>
      </c>
      <c r="CK1324">
        <v>67994</v>
      </c>
      <c r="CL1324">
        <v>2017</v>
      </c>
      <c r="CM1324">
        <v>292.7</v>
      </c>
      <c r="CN1324" s="1">
        <v>36578</v>
      </c>
      <c r="CO1324">
        <v>65000</v>
      </c>
      <c r="CV1324">
        <v>58500</v>
      </c>
      <c r="CZ1324" s="1">
        <v>36578</v>
      </c>
      <c r="DA1324">
        <v>0</v>
      </c>
      <c r="DD1324" t="s">
        <v>2387</v>
      </c>
      <c r="DF1324">
        <v>7</v>
      </c>
      <c r="DG1324">
        <v>42</v>
      </c>
      <c r="DL1324">
        <v>50302</v>
      </c>
      <c r="DM1324" t="s">
        <v>12468</v>
      </c>
      <c r="DO1324" t="s">
        <v>13499</v>
      </c>
      <c r="DP1324">
        <v>0</v>
      </c>
      <c r="DQ1324">
        <v>0</v>
      </c>
      <c r="DR1324" t="s">
        <v>411</v>
      </c>
      <c r="DS1324" t="b">
        <v>1</v>
      </c>
      <c r="DT1324" t="s">
        <v>470</v>
      </c>
      <c r="DU1324" t="s">
        <v>471</v>
      </c>
      <c r="DV1324" t="s">
        <v>472</v>
      </c>
      <c r="DX1324">
        <v>-9999</v>
      </c>
      <c r="DZ1324" t="s">
        <v>447</v>
      </c>
      <c r="EA1324" t="s">
        <v>448</v>
      </c>
      <c r="EB1324" t="s">
        <v>742</v>
      </c>
      <c r="EC1324">
        <v>20101217</v>
      </c>
      <c r="ED1324" t="s">
        <v>474</v>
      </c>
      <c r="EF1324">
        <v>3789.1</v>
      </c>
      <c r="EG1324">
        <v>3543.6</v>
      </c>
      <c r="EI1324">
        <v>20160407</v>
      </c>
      <c r="EJ1324">
        <v>0</v>
      </c>
      <c r="EK1324">
        <v>0</v>
      </c>
      <c r="EP1324" t="s">
        <v>421</v>
      </c>
      <c r="EQ1324" t="s">
        <v>422</v>
      </c>
      <c r="ER1324">
        <v>0</v>
      </c>
      <c r="ES1324">
        <v>4</v>
      </c>
      <c r="ET1324">
        <v>0</v>
      </c>
      <c r="EU1324">
        <v>0</v>
      </c>
      <c r="EV1324">
        <v>0</v>
      </c>
      <c r="EW1324" s="2">
        <v>43222</v>
      </c>
      <c r="EX1324" s="1">
        <v>42515</v>
      </c>
      <c r="EY1324">
        <v>2015</v>
      </c>
      <c r="EZ1324">
        <v>330.13</v>
      </c>
      <c r="FA1324" t="s">
        <v>13500</v>
      </c>
      <c r="FB1324">
        <v>0.25</v>
      </c>
      <c r="FC1324" t="s">
        <v>424</v>
      </c>
      <c r="FD1324" t="s">
        <v>425</v>
      </c>
      <c r="FE1324" s="1">
        <v>42772</v>
      </c>
      <c r="FF1324">
        <v>9</v>
      </c>
      <c r="FG1324">
        <v>2851116</v>
      </c>
      <c r="FH1324" t="s">
        <v>480</v>
      </c>
      <c r="FJ1324" s="1">
        <v>42515</v>
      </c>
      <c r="FK1324">
        <v>2015</v>
      </c>
      <c r="FL1324">
        <v>330.13</v>
      </c>
      <c r="FM1324" t="s">
        <v>13500</v>
      </c>
      <c r="FN1324">
        <v>0.25</v>
      </c>
      <c r="FO1324" t="s">
        <v>424</v>
      </c>
      <c r="FP1324" t="s">
        <v>425</v>
      </c>
      <c r="FR1324">
        <v>22</v>
      </c>
      <c r="FS1324">
        <v>5469774</v>
      </c>
      <c r="FT1324" t="s">
        <v>13501</v>
      </c>
      <c r="FV1324" s="1">
        <v>42151</v>
      </c>
      <c r="FW1324">
        <v>2014</v>
      </c>
      <c r="FX1324">
        <v>325.85000000000002</v>
      </c>
      <c r="FY1324" t="s">
        <v>13502</v>
      </c>
      <c r="FZ1324">
        <v>0.25</v>
      </c>
      <c r="GA1324" t="s">
        <v>424</v>
      </c>
      <c r="GB1324" t="s">
        <v>425</v>
      </c>
      <c r="GC1324" s="1">
        <v>42772</v>
      </c>
      <c r="GD1324">
        <v>21</v>
      </c>
      <c r="GE1324">
        <v>2851116</v>
      </c>
      <c r="GF1324" t="s">
        <v>480</v>
      </c>
      <c r="GH1324" s="1">
        <v>42151</v>
      </c>
      <c r="GI1324">
        <v>2014</v>
      </c>
      <c r="GJ1324">
        <v>325.85000000000002</v>
      </c>
      <c r="GK1324" t="s">
        <v>13502</v>
      </c>
      <c r="GL1324">
        <v>0.25</v>
      </c>
      <c r="GM1324" t="s">
        <v>424</v>
      </c>
      <c r="GN1324" t="s">
        <v>425</v>
      </c>
      <c r="GP1324">
        <v>22</v>
      </c>
      <c r="GQ1324">
        <v>5230685</v>
      </c>
      <c r="GR1324" t="s">
        <v>13503</v>
      </c>
    </row>
    <row r="1325" spans="1:272" x14ac:dyDescent="0.25">
      <c r="A1325">
        <v>16486332</v>
      </c>
      <c r="B1325">
        <v>1324</v>
      </c>
      <c r="C1325" t="s">
        <v>393</v>
      </c>
      <c r="D1325" t="s">
        <v>394</v>
      </c>
      <c r="F1325" t="str">
        <f>"42-2N-27-4613-0012-0030"</f>
        <v>42-2N-27-4613-0012-0030</v>
      </c>
      <c r="H1325" t="str">
        <f>"MABE FRANCES J"</f>
        <v>MABE FRANCES J</v>
      </c>
      <c r="I1325" t="str">
        <f>"85449 BROOKE ST"</f>
        <v>85449 BROOKE ST</v>
      </c>
      <c r="J1325" t="str">
        <f>"YULEE FL 32097"</f>
        <v>YULEE FL 32097</v>
      </c>
      <c r="K1325" t="str">
        <f>"85449 BROOKE ST"</f>
        <v>85449 BROOKE ST</v>
      </c>
      <c r="L1325" t="str">
        <f t="shared" si="430"/>
        <v>YULEE FL 32097</v>
      </c>
      <c r="M1325" t="str">
        <f>"BLOCK 12 LOT 3 IN OR 906/520 R787585 &amp; R787586 YULEE WOODS 3 PB 5/239"</f>
        <v>BLOCK 12 LOT 3 IN OR 906/520 R787585 &amp; R787586 YULEE WOODS 3 PB 5/239</v>
      </c>
      <c r="N1325" t="str">
        <f>""</f>
        <v/>
      </c>
      <c r="O1325" t="str">
        <f>"48969"</f>
        <v>48969</v>
      </c>
      <c r="P1325" t="str">
        <f t="shared" si="433"/>
        <v>2017</v>
      </c>
      <c r="Q1325" t="str">
        <f>""</f>
        <v/>
      </c>
      <c r="R1325" t="str">
        <f>"Y"</f>
        <v>Y</v>
      </c>
      <c r="S1325" t="str">
        <f>""</f>
        <v/>
      </c>
      <c r="T1325" t="str">
        <f>"600.69"</f>
        <v>600.69</v>
      </c>
      <c r="U1325" t="str">
        <f>"78783.00"</f>
        <v>78783.00</v>
      </c>
      <c r="V1325" t="str">
        <f>"78783.00"</f>
        <v>78783.00</v>
      </c>
      <c r="W1325" t="str">
        <f t="shared" si="434"/>
        <v>2017</v>
      </c>
      <c r="X1325" t="str">
        <f>"76.50"</f>
        <v>76.50</v>
      </c>
      <c r="Y1325" t="str">
        <f>"650.71"</f>
        <v>650.71</v>
      </c>
      <c r="Z1325" t="str">
        <f>"25000.00"</f>
        <v>25000.00</v>
      </c>
      <c r="AA1325" t="str">
        <f>"53783.00"</f>
        <v>53783.00</v>
      </c>
      <c r="AB1325" t="str">
        <f t="shared" si="439"/>
        <v>Residential</v>
      </c>
      <c r="AC1325" t="str">
        <f t="shared" si="445"/>
        <v>0</v>
      </c>
      <c r="AD1325" t="str">
        <f t="shared" si="450"/>
        <v>4</v>
      </c>
      <c r="AE1325" t="str">
        <f t="shared" si="451"/>
        <v>WOOD (INCLUDE STEEL STUDS)</v>
      </c>
      <c r="AF1325" t="str">
        <f t="shared" si="452"/>
        <v>002</v>
      </c>
      <c r="AG1325" t="str">
        <f t="shared" si="444"/>
        <v>FL</v>
      </c>
      <c r="AH1325" t="str">
        <f t="shared" si="453"/>
        <v>-</v>
      </c>
      <c r="AI1325" t="str">
        <f t="shared" si="441"/>
        <v>28000.00</v>
      </c>
      <c r="AJ1325" t="str">
        <f>"C55-000-588-2529-0"</f>
        <v>C55-000-588-2529-0</v>
      </c>
      <c r="AK1325" t="str">
        <f>"22623"</f>
        <v>22623</v>
      </c>
      <c r="AL1325">
        <v>5</v>
      </c>
      <c r="AM1325">
        <v>1514</v>
      </c>
      <c r="AN1325">
        <v>681.65</v>
      </c>
      <c r="AQ1325" t="s">
        <v>13504</v>
      </c>
      <c r="AR1325" t="s">
        <v>13504</v>
      </c>
      <c r="AS1325" t="s">
        <v>13504</v>
      </c>
      <c r="AU1325" t="s">
        <v>396</v>
      </c>
      <c r="AV1325">
        <v>2017</v>
      </c>
      <c r="AW1325" t="str">
        <f>"42-2N-27-4613-0012-0030 "</f>
        <v xml:space="preserve">42-2N-27-4613-0012-0030 </v>
      </c>
      <c r="AX1325">
        <v>85449</v>
      </c>
      <c r="AZ1325" t="s">
        <v>13505</v>
      </c>
      <c r="BA1325" t="s">
        <v>1942</v>
      </c>
      <c r="BD1325" t="s">
        <v>2387</v>
      </c>
      <c r="BE1325" t="s">
        <v>393</v>
      </c>
      <c r="BF1325">
        <v>32097</v>
      </c>
      <c r="BG1325" t="s">
        <v>13506</v>
      </c>
      <c r="BH1325" t="s">
        <v>2388</v>
      </c>
      <c r="BI1325">
        <v>-81.589483804101903</v>
      </c>
      <c r="BJ1325">
        <v>30.602222641028</v>
      </c>
      <c r="BK1325" t="s">
        <v>13507</v>
      </c>
      <c r="BL1325" t="s">
        <v>13508</v>
      </c>
      <c r="BM1325" t="s">
        <v>13506</v>
      </c>
      <c r="BN1325" t="s">
        <v>1778</v>
      </c>
      <c r="BO1325">
        <v>32097</v>
      </c>
      <c r="BP1325" t="s">
        <v>416</v>
      </c>
      <c r="BQ1325">
        <v>200</v>
      </c>
      <c r="BR1325" t="s">
        <v>405</v>
      </c>
      <c r="BS1325">
        <v>1006</v>
      </c>
      <c r="BT1325" t="s">
        <v>406</v>
      </c>
      <c r="BW1325">
        <v>43650</v>
      </c>
      <c r="BX1325" t="s">
        <v>407</v>
      </c>
      <c r="BY1325" t="s">
        <v>408</v>
      </c>
      <c r="BZ1325">
        <v>4</v>
      </c>
      <c r="CA1325">
        <v>1999</v>
      </c>
      <c r="CB1325">
        <v>1</v>
      </c>
      <c r="CC1325">
        <v>1</v>
      </c>
      <c r="CD1325">
        <v>2017</v>
      </c>
      <c r="CG1325">
        <v>78783</v>
      </c>
      <c r="CH1325">
        <v>2017</v>
      </c>
      <c r="CI1325">
        <v>28000</v>
      </c>
      <c r="CJ1325">
        <v>73245</v>
      </c>
      <c r="CK1325">
        <v>101245</v>
      </c>
      <c r="CL1325">
        <v>2017</v>
      </c>
      <c r="CM1325">
        <v>600.69000000000005</v>
      </c>
      <c r="CN1325" s="1">
        <v>36466</v>
      </c>
      <c r="CO1325">
        <v>35000</v>
      </c>
      <c r="CZ1325" s="1">
        <v>36466</v>
      </c>
      <c r="DD1325" t="s">
        <v>2387</v>
      </c>
      <c r="DF1325">
        <v>3</v>
      </c>
      <c r="DG1325">
        <v>42</v>
      </c>
      <c r="DL1325">
        <v>50302</v>
      </c>
      <c r="DM1325" t="s">
        <v>12468</v>
      </c>
      <c r="DO1325" t="s">
        <v>13509</v>
      </c>
      <c r="DP1325">
        <v>0</v>
      </c>
      <c r="DQ1325">
        <v>0</v>
      </c>
      <c r="DR1325" t="s">
        <v>411</v>
      </c>
    </row>
    <row r="1326" spans="1:272" x14ac:dyDescent="0.25">
      <c r="A1326">
        <v>16486333</v>
      </c>
      <c r="B1326">
        <v>1325</v>
      </c>
      <c r="C1326" t="s">
        <v>393</v>
      </c>
      <c r="D1326" t="s">
        <v>394</v>
      </c>
      <c r="F1326" t="str">
        <f>"42-2N-27-4614-0001-0040"</f>
        <v>42-2N-27-4614-0001-0040</v>
      </c>
      <c r="H1326" t="str">
        <f>"GROVE NANCY ANN TRUSTEE OF THE NANCY ANN GROVE LIVING TRUST"</f>
        <v>GROVE NANCY ANN TRUSTEE OF THE NANCY ANN GROVE LIVING TRUST</v>
      </c>
      <c r="I1326" t="str">
        <f>"96082 PARK PLACE"</f>
        <v>96082 PARK PLACE</v>
      </c>
      <c r="J1326" t="str">
        <f>"FERNANDINA BEACH FL 32034"</f>
        <v>FERNANDINA BEACH FL 32034</v>
      </c>
      <c r="K1326" t="str">
        <f>"85289 DUANE RD"</f>
        <v>85289 DUANE RD</v>
      </c>
      <c r="L1326" t="str">
        <f t="shared" si="430"/>
        <v>YULEE FL 32097</v>
      </c>
      <c r="M1326" t="str">
        <f>"BLOCK 1 LOT 4 IN OR 2045/1853 R787587 &amp; R787588 YULEE WOODS 4 PB 5/301 &amp; 302"</f>
        <v>BLOCK 1 LOT 4 IN OR 2045/1853 R787587 &amp; R787588 YULEE WOODS 4 PB 5/301 &amp; 302</v>
      </c>
      <c r="N1326" t="str">
        <f>""</f>
        <v/>
      </c>
      <c r="O1326" t="str">
        <f>"48988"</f>
        <v>48988</v>
      </c>
      <c r="P1326" t="str">
        <f t="shared" si="433"/>
        <v>2017</v>
      </c>
      <c r="Q1326" t="str">
        <f>""</f>
        <v/>
      </c>
      <c r="R1326" t="str">
        <f>"N"</f>
        <v>N</v>
      </c>
      <c r="S1326" t="str">
        <f>""</f>
        <v/>
      </c>
      <c r="T1326" t="str">
        <f>"610.33"</f>
        <v>610.33</v>
      </c>
      <c r="U1326" t="str">
        <f>"40185.00"</f>
        <v>40185.00</v>
      </c>
      <c r="V1326" t="str">
        <f>"40185.00"</f>
        <v>40185.00</v>
      </c>
      <c r="W1326" t="str">
        <f t="shared" si="434"/>
        <v>2017</v>
      </c>
      <c r="X1326" t="str">
        <f>""</f>
        <v/>
      </c>
      <c r="Y1326" t="str">
        <f>"660.64"</f>
        <v>660.64</v>
      </c>
      <c r="Z1326" t="str">
        <f>""</f>
        <v/>
      </c>
      <c r="AA1326" t="str">
        <f>"40484.00"</f>
        <v>40484.00</v>
      </c>
      <c r="AB1326" t="str">
        <f t="shared" ref="AB1326:AB1357" si="454">"Residential"</f>
        <v>Residential</v>
      </c>
      <c r="AC1326" t="str">
        <f t="shared" si="445"/>
        <v>0</v>
      </c>
      <c r="AD1326" t="str">
        <f t="shared" si="450"/>
        <v>4</v>
      </c>
      <c r="AE1326" t="str">
        <f t="shared" si="451"/>
        <v>WOOD (INCLUDE STEEL STUDS)</v>
      </c>
      <c r="AF1326" t="str">
        <f t="shared" si="452"/>
        <v>002</v>
      </c>
      <c r="AG1326" t="str">
        <f t="shared" si="444"/>
        <v>FL</v>
      </c>
      <c r="AH1326" t="str">
        <f t="shared" si="453"/>
        <v>-</v>
      </c>
      <c r="AI1326" t="str">
        <f t="shared" si="441"/>
        <v>28000.00</v>
      </c>
      <c r="AJ1326" t="str">
        <f>"C55-000-588-2547-2"</f>
        <v>C55-000-588-2547-2</v>
      </c>
      <c r="AK1326" t="str">
        <f>"22641"</f>
        <v>22641</v>
      </c>
      <c r="AL1326">
        <v>5</v>
      </c>
      <c r="AM1326">
        <v>1516</v>
      </c>
      <c r="AN1326">
        <v>692.07</v>
      </c>
      <c r="AQ1326" t="s">
        <v>13510</v>
      </c>
      <c r="AR1326" t="s">
        <v>13510</v>
      </c>
      <c r="AS1326" t="s">
        <v>13510</v>
      </c>
      <c r="AU1326" t="s">
        <v>396</v>
      </c>
      <c r="AV1326">
        <v>2017</v>
      </c>
      <c r="AW1326" t="str">
        <f>"42-2N-27-4614-0001-0040 "</f>
        <v xml:space="preserve">42-2N-27-4614-0001-0040 </v>
      </c>
      <c r="AX1326">
        <v>85289</v>
      </c>
      <c r="AZ1326" t="s">
        <v>13333</v>
      </c>
      <c r="BA1326" t="s">
        <v>496</v>
      </c>
      <c r="BD1326" t="s">
        <v>2387</v>
      </c>
      <c r="BE1326" t="s">
        <v>393</v>
      </c>
      <c r="BF1326">
        <v>32097</v>
      </c>
      <c r="BG1326" t="s">
        <v>13511</v>
      </c>
      <c r="BH1326" t="s">
        <v>2388</v>
      </c>
      <c r="BI1326">
        <v>-81.579830331737995</v>
      </c>
      <c r="BJ1326">
        <v>30.606894539624999</v>
      </c>
      <c r="BK1326" t="s">
        <v>13512</v>
      </c>
      <c r="BL1326" t="s">
        <v>13513</v>
      </c>
      <c r="BM1326" t="s">
        <v>13514</v>
      </c>
      <c r="BN1326" t="s">
        <v>3983</v>
      </c>
      <c r="BO1326">
        <v>32034</v>
      </c>
      <c r="BP1326" t="s">
        <v>404</v>
      </c>
      <c r="BQ1326">
        <v>200</v>
      </c>
      <c r="BR1326" t="s">
        <v>405</v>
      </c>
      <c r="BS1326">
        <v>1006</v>
      </c>
      <c r="BT1326" t="s">
        <v>406</v>
      </c>
      <c r="BW1326">
        <v>43714</v>
      </c>
      <c r="BX1326" t="s">
        <v>407</v>
      </c>
      <c r="BY1326" t="s">
        <v>408</v>
      </c>
      <c r="BZ1326">
        <v>4</v>
      </c>
      <c r="CA1326">
        <v>1971</v>
      </c>
      <c r="CB1326">
        <v>1</v>
      </c>
      <c r="CC1326">
        <v>1</v>
      </c>
      <c r="CD1326">
        <v>2017</v>
      </c>
      <c r="CE1326">
        <v>28000</v>
      </c>
      <c r="CF1326">
        <v>12484</v>
      </c>
      <c r="CG1326">
        <v>40484</v>
      </c>
      <c r="CH1326">
        <v>2017</v>
      </c>
      <c r="CI1326">
        <v>28000</v>
      </c>
      <c r="CJ1326">
        <v>12484</v>
      </c>
      <c r="CK1326">
        <v>40484</v>
      </c>
      <c r="CL1326">
        <v>2017</v>
      </c>
      <c r="CM1326">
        <v>610.33000000000004</v>
      </c>
      <c r="CN1326" s="1">
        <v>42495</v>
      </c>
      <c r="CZ1326" s="1">
        <v>42495</v>
      </c>
      <c r="DD1326" t="s">
        <v>2387</v>
      </c>
      <c r="DF1326">
        <v>4</v>
      </c>
      <c r="DG1326">
        <v>42</v>
      </c>
      <c r="DL1326">
        <v>50302</v>
      </c>
      <c r="DM1326" t="s">
        <v>12468</v>
      </c>
      <c r="DO1326" t="s">
        <v>13515</v>
      </c>
      <c r="DP1326">
        <v>0</v>
      </c>
      <c r="DQ1326">
        <v>0</v>
      </c>
      <c r="DR1326" t="s">
        <v>411</v>
      </c>
    </row>
    <row r="1327" spans="1:272" x14ac:dyDescent="0.25">
      <c r="A1327">
        <v>16486334</v>
      </c>
      <c r="B1327">
        <v>1326</v>
      </c>
      <c r="C1327" t="s">
        <v>393</v>
      </c>
      <c r="D1327" t="s">
        <v>394</v>
      </c>
      <c r="F1327" t="str">
        <f>"42-2N-27-4614-0001-0060"</f>
        <v>42-2N-27-4614-0001-0060</v>
      </c>
      <c r="H1327" t="str">
        <f>"OLIVER RUBY E"</f>
        <v>OLIVER RUBY E</v>
      </c>
      <c r="I1327" t="str">
        <f>"85247 DUANE ROAD"</f>
        <v>85247 DUANE ROAD</v>
      </c>
      <c r="J1327" t="str">
        <f t="shared" ref="J1327:J1333" si="455">"YULEE FL 32097"</f>
        <v>YULEE FL 32097</v>
      </c>
      <c r="K1327" t="str">
        <f>"85247 DUANE RD"</f>
        <v>85247 DUANE RD</v>
      </c>
      <c r="L1327" t="str">
        <f t="shared" si="430"/>
        <v>YULEE FL 32097</v>
      </c>
      <c r="M1327" t="str">
        <f>"BLOCK 1 LOT 6 IN OR 1266 PG 1403 1991 HORT TW/MH YULEE WOODS 4 PB 5/301 &amp; 302"</f>
        <v>BLOCK 1 LOT 6 IN OR 1266 PG 1403 1991 HORT TW/MH YULEE WOODS 4 PB 5/301 &amp; 302</v>
      </c>
      <c r="N1327" t="str">
        <f>""</f>
        <v/>
      </c>
      <c r="O1327" t="str">
        <f>"48990"</f>
        <v>48990</v>
      </c>
      <c r="P1327" t="str">
        <f t="shared" si="433"/>
        <v>2017</v>
      </c>
      <c r="Q1327" t="str">
        <f>""</f>
        <v/>
      </c>
      <c r="R1327" t="str">
        <f>"Y"</f>
        <v>Y</v>
      </c>
      <c r="S1327" t="str">
        <f>""</f>
        <v/>
      </c>
      <c r="T1327" t="str">
        <f>"287.43"</f>
        <v>287.43</v>
      </c>
      <c r="U1327" t="str">
        <f>"44486.00"</f>
        <v>44486.00</v>
      </c>
      <c r="V1327" t="str">
        <f>"44486.00"</f>
        <v>44486.00</v>
      </c>
      <c r="W1327" t="str">
        <f t="shared" si="434"/>
        <v>2017</v>
      </c>
      <c r="X1327" t="str">
        <f>"15.00"</f>
        <v>15.00</v>
      </c>
      <c r="Y1327" t="str">
        <f>"328.05"</f>
        <v>328.05</v>
      </c>
      <c r="Z1327" t="str">
        <f>"25500.00"</f>
        <v>25500.00</v>
      </c>
      <c r="AA1327" t="str">
        <f>"18986.00"</f>
        <v>18986.00</v>
      </c>
      <c r="AB1327" t="str">
        <f t="shared" si="454"/>
        <v>Residential</v>
      </c>
      <c r="AC1327" t="str">
        <f t="shared" si="445"/>
        <v>0</v>
      </c>
      <c r="AD1327" t="str">
        <f t="shared" si="450"/>
        <v>4</v>
      </c>
      <c r="AE1327" t="str">
        <f t="shared" si="451"/>
        <v>WOOD (INCLUDE STEEL STUDS)</v>
      </c>
      <c r="AF1327" t="str">
        <f t="shared" si="452"/>
        <v>002</v>
      </c>
      <c r="AG1327" t="str">
        <f t="shared" si="444"/>
        <v>FL</v>
      </c>
      <c r="AH1327" t="str">
        <f t="shared" si="453"/>
        <v>-</v>
      </c>
      <c r="AI1327" t="str">
        <f t="shared" si="441"/>
        <v>28000.00</v>
      </c>
      <c r="AJ1327" t="str">
        <f>"C55-000-588-2549-8"</f>
        <v>C55-000-588-2549-8</v>
      </c>
      <c r="AK1327" t="str">
        <f>"22643"</f>
        <v>22643</v>
      </c>
      <c r="AL1327">
        <v>5</v>
      </c>
      <c r="AM1327">
        <v>1517</v>
      </c>
      <c r="AN1327">
        <v>342.85</v>
      </c>
      <c r="AQ1327" t="s">
        <v>13516</v>
      </c>
      <c r="AR1327" t="s">
        <v>13516</v>
      </c>
      <c r="AS1327" t="s">
        <v>13516</v>
      </c>
      <c r="AU1327" t="s">
        <v>396</v>
      </c>
      <c r="AV1327">
        <v>2017</v>
      </c>
      <c r="AW1327" t="str">
        <f>"42-2N-27-4614-0001-0060 "</f>
        <v xml:space="preserve">42-2N-27-4614-0001-0060 </v>
      </c>
      <c r="AX1327">
        <v>85247</v>
      </c>
      <c r="AZ1327" t="s">
        <v>13333</v>
      </c>
      <c r="BA1327" t="s">
        <v>496</v>
      </c>
      <c r="BD1327" t="s">
        <v>2387</v>
      </c>
      <c r="BE1327" t="s">
        <v>393</v>
      </c>
      <c r="BF1327">
        <v>32097</v>
      </c>
      <c r="BG1327" t="s">
        <v>13517</v>
      </c>
      <c r="BH1327" t="s">
        <v>2388</v>
      </c>
      <c r="BI1327">
        <v>-81.579583410013896</v>
      </c>
      <c r="BJ1327">
        <v>30.606205477182701</v>
      </c>
      <c r="BK1327" t="s">
        <v>13518</v>
      </c>
      <c r="BM1327" t="s">
        <v>13517</v>
      </c>
      <c r="BN1327" t="s">
        <v>1778</v>
      </c>
      <c r="BO1327">
        <v>32097</v>
      </c>
      <c r="BP1327" t="s">
        <v>416</v>
      </c>
      <c r="BQ1327">
        <v>200</v>
      </c>
      <c r="BR1327" t="s">
        <v>405</v>
      </c>
      <c r="BS1327">
        <v>1006</v>
      </c>
      <c r="BT1327" t="s">
        <v>406</v>
      </c>
      <c r="BW1327">
        <v>50142</v>
      </c>
      <c r="BX1327" t="s">
        <v>407</v>
      </c>
      <c r="BY1327" t="s">
        <v>408</v>
      </c>
      <c r="BZ1327">
        <v>4</v>
      </c>
      <c r="CA1327">
        <v>1991</v>
      </c>
      <c r="CB1327">
        <v>1</v>
      </c>
      <c r="CC1327">
        <v>1</v>
      </c>
      <c r="CD1327">
        <v>2017</v>
      </c>
      <c r="CG1327">
        <v>44486</v>
      </c>
      <c r="CH1327">
        <v>2017</v>
      </c>
      <c r="CI1327">
        <v>28000</v>
      </c>
      <c r="CJ1327">
        <v>44279</v>
      </c>
      <c r="CK1327">
        <v>72279</v>
      </c>
      <c r="CL1327">
        <v>2017</v>
      </c>
      <c r="CM1327">
        <v>287.43</v>
      </c>
      <c r="CN1327" s="1">
        <v>38279</v>
      </c>
      <c r="CO1327">
        <v>102000</v>
      </c>
      <c r="CV1327">
        <v>0</v>
      </c>
      <c r="CZ1327" s="1">
        <v>38279</v>
      </c>
      <c r="DA1327">
        <v>0</v>
      </c>
      <c r="DD1327" t="s">
        <v>2387</v>
      </c>
      <c r="DF1327">
        <v>6</v>
      </c>
      <c r="DG1327">
        <v>42</v>
      </c>
      <c r="DL1327">
        <v>50302</v>
      </c>
      <c r="DM1327" t="s">
        <v>12468</v>
      </c>
      <c r="DO1327" t="s">
        <v>13519</v>
      </c>
      <c r="DP1327">
        <v>0</v>
      </c>
      <c r="DQ1327">
        <v>0</v>
      </c>
      <c r="DR1327" t="s">
        <v>411</v>
      </c>
      <c r="DS1327" t="b">
        <v>1</v>
      </c>
      <c r="DT1327" t="s">
        <v>470</v>
      </c>
      <c r="DU1327" t="s">
        <v>471</v>
      </c>
      <c r="DV1327" t="s">
        <v>472</v>
      </c>
      <c r="DX1327">
        <v>-9999</v>
      </c>
      <c r="DZ1327" t="s">
        <v>447</v>
      </c>
      <c r="EA1327" t="s">
        <v>448</v>
      </c>
      <c r="EB1327" t="s">
        <v>742</v>
      </c>
      <c r="EC1327">
        <v>20101217</v>
      </c>
      <c r="ED1327" t="s">
        <v>474</v>
      </c>
      <c r="EF1327">
        <v>2560.1999999999998</v>
      </c>
      <c r="EG1327">
        <v>2477.4</v>
      </c>
      <c r="EI1327">
        <v>20160407</v>
      </c>
      <c r="EJ1327">
        <v>0</v>
      </c>
      <c r="EK1327">
        <v>0</v>
      </c>
      <c r="EP1327" t="s">
        <v>421</v>
      </c>
      <c r="EQ1327" t="s">
        <v>422</v>
      </c>
      <c r="ER1327">
        <v>2</v>
      </c>
      <c r="ES1327">
        <v>2</v>
      </c>
      <c r="ET1327">
        <v>654.04</v>
      </c>
      <c r="EU1327">
        <v>45.2</v>
      </c>
      <c r="EV1327">
        <v>699.24</v>
      </c>
      <c r="EW1327" s="2">
        <v>43222</v>
      </c>
      <c r="EX1327" s="1">
        <v>42879</v>
      </c>
      <c r="EY1327">
        <v>2016</v>
      </c>
      <c r="EZ1327">
        <v>327.02</v>
      </c>
      <c r="FA1327" t="s">
        <v>13520</v>
      </c>
      <c r="FB1327">
        <v>0.25</v>
      </c>
      <c r="FC1327" t="s">
        <v>424</v>
      </c>
      <c r="FD1327" t="s">
        <v>454</v>
      </c>
      <c r="FF1327">
        <v>12</v>
      </c>
      <c r="FG1327">
        <v>2851116</v>
      </c>
      <c r="FH1327" t="s">
        <v>480</v>
      </c>
      <c r="FJ1327" s="1">
        <v>42879</v>
      </c>
      <c r="FK1327">
        <v>2016</v>
      </c>
      <c r="FL1327">
        <v>327.02</v>
      </c>
      <c r="FM1327" t="s">
        <v>13520</v>
      </c>
      <c r="FN1327">
        <v>0.25</v>
      </c>
      <c r="FO1327" t="s">
        <v>424</v>
      </c>
      <c r="FP1327" t="s">
        <v>454</v>
      </c>
      <c r="FR1327">
        <v>12</v>
      </c>
      <c r="FS1327">
        <v>5011038</v>
      </c>
      <c r="FT1327" t="s">
        <v>13521</v>
      </c>
      <c r="FV1327" s="1">
        <v>42515</v>
      </c>
      <c r="FW1327">
        <v>2015</v>
      </c>
      <c r="FX1327">
        <v>324.14999999999998</v>
      </c>
      <c r="FY1327" t="s">
        <v>13522</v>
      </c>
      <c r="FZ1327">
        <v>0.25</v>
      </c>
      <c r="GA1327" t="s">
        <v>424</v>
      </c>
      <c r="GB1327" t="s">
        <v>425</v>
      </c>
      <c r="GC1327" s="1">
        <v>42978</v>
      </c>
      <c r="GD1327">
        <v>15</v>
      </c>
      <c r="GE1327">
        <v>11289</v>
      </c>
      <c r="GF1327" t="s">
        <v>787</v>
      </c>
      <c r="GH1327" s="1">
        <v>42515</v>
      </c>
      <c r="GI1327">
        <v>2015</v>
      </c>
      <c r="GJ1327">
        <v>324.14999999999998</v>
      </c>
      <c r="GK1327" t="s">
        <v>13522</v>
      </c>
      <c r="GL1327">
        <v>0.25</v>
      </c>
      <c r="GM1327" t="s">
        <v>424</v>
      </c>
      <c r="GN1327" t="s">
        <v>425</v>
      </c>
      <c r="GP1327">
        <v>22</v>
      </c>
      <c r="GQ1327">
        <v>7238882</v>
      </c>
      <c r="GR1327" t="s">
        <v>13523</v>
      </c>
    </row>
    <row r="1328" spans="1:272" x14ac:dyDescent="0.25">
      <c r="A1328">
        <v>16486335</v>
      </c>
      <c r="B1328">
        <v>1327</v>
      </c>
      <c r="C1328" t="s">
        <v>393</v>
      </c>
      <c r="D1328" t="s">
        <v>394</v>
      </c>
      <c r="F1328" t="str">
        <f>"42-2N-27-4614-0001-0110"</f>
        <v>42-2N-27-4614-0001-0110</v>
      </c>
      <c r="H1328" t="str">
        <f>"DAVIS SANDRA A"</f>
        <v>DAVIS SANDRA A</v>
      </c>
      <c r="I1328" t="str">
        <f>"85513 ASHLEY AV"</f>
        <v>85513 ASHLEY AV</v>
      </c>
      <c r="J1328" t="str">
        <f t="shared" si="455"/>
        <v>YULEE FL 32097</v>
      </c>
      <c r="K1328" t="str">
        <f>"85513 ASHLEY AVE"</f>
        <v>85513 ASHLEY AVE</v>
      </c>
      <c r="L1328" t="str">
        <f t="shared" si="430"/>
        <v>YULEE FL 32097</v>
      </c>
      <c r="M1328" t="str">
        <f>"BLOCK 1 LOT 11 IN OR 1657/1739 &amp; OR 1957/552 2000 FTWD DW YULEE WOODS 4 PB 5/301 &amp; 302"</f>
        <v>BLOCK 1 LOT 11 IN OR 1657/1739 &amp; OR 1957/552 2000 FTWD DW YULEE WOODS 4 PB 5/301 &amp; 302</v>
      </c>
      <c r="N1328" t="str">
        <f>""</f>
        <v/>
      </c>
      <c r="O1328" t="str">
        <f>"48995"</f>
        <v>48995</v>
      </c>
      <c r="P1328" t="str">
        <f t="shared" si="433"/>
        <v>2017</v>
      </c>
      <c r="Q1328" t="str">
        <f>""</f>
        <v/>
      </c>
      <c r="R1328" t="str">
        <f>"Y"</f>
        <v>Y</v>
      </c>
      <c r="S1328" t="str">
        <f>""</f>
        <v/>
      </c>
      <c r="T1328" t="str">
        <f>"443.48"</f>
        <v>443.48</v>
      </c>
      <c r="U1328" t="str">
        <f>"90353.00"</f>
        <v>90353.00</v>
      </c>
      <c r="V1328" t="str">
        <f>"90353.00"</f>
        <v>90353.00</v>
      </c>
      <c r="W1328" t="str">
        <f t="shared" si="434"/>
        <v>2017</v>
      </c>
      <c r="X1328" t="str">
        <f>"17.86"</f>
        <v>17.86</v>
      </c>
      <c r="Y1328" t="str">
        <f>"488.78"</f>
        <v>488.78</v>
      </c>
      <c r="Z1328" t="str">
        <f>"25000.00"</f>
        <v>25000.00</v>
      </c>
      <c r="AA1328" t="str">
        <f>"65353.00"</f>
        <v>65353.00</v>
      </c>
      <c r="AB1328" t="str">
        <f t="shared" si="454"/>
        <v>Residential</v>
      </c>
      <c r="AC1328" t="str">
        <f t="shared" si="445"/>
        <v>0</v>
      </c>
      <c r="AD1328" t="str">
        <f t="shared" si="450"/>
        <v>4</v>
      </c>
      <c r="AE1328" t="str">
        <f t="shared" si="451"/>
        <v>WOOD (INCLUDE STEEL STUDS)</v>
      </c>
      <c r="AF1328" t="str">
        <f t="shared" si="452"/>
        <v>002</v>
      </c>
      <c r="AG1328" t="str">
        <f t="shared" si="444"/>
        <v>FL</v>
      </c>
      <c r="AH1328" t="str">
        <f t="shared" si="453"/>
        <v>-</v>
      </c>
      <c r="AI1328" t="str">
        <f t="shared" si="441"/>
        <v>28000.00</v>
      </c>
      <c r="AJ1328" t="str">
        <f>"C55-000-588-2554-8"</f>
        <v>C55-000-588-2554-8</v>
      </c>
      <c r="AK1328" t="str">
        <f>"22648"</f>
        <v>22648</v>
      </c>
      <c r="AL1328">
        <v>5</v>
      </c>
      <c r="AM1328">
        <v>1518</v>
      </c>
      <c r="AN1328">
        <v>511.62</v>
      </c>
      <c r="AQ1328" t="s">
        <v>13524</v>
      </c>
      <c r="AR1328" t="s">
        <v>13524</v>
      </c>
      <c r="AS1328" t="s">
        <v>13524</v>
      </c>
      <c r="AU1328" t="s">
        <v>396</v>
      </c>
      <c r="AV1328">
        <v>2017</v>
      </c>
      <c r="AW1328" t="str">
        <f>"42-2N-27-4614-0001-0110 "</f>
        <v xml:space="preserve">42-2N-27-4614-0001-0110 </v>
      </c>
      <c r="AX1328">
        <v>85513</v>
      </c>
      <c r="AZ1328" t="s">
        <v>13389</v>
      </c>
      <c r="BA1328" t="s">
        <v>1112</v>
      </c>
      <c r="BD1328" t="s">
        <v>2387</v>
      </c>
      <c r="BE1328" t="s">
        <v>393</v>
      </c>
      <c r="BF1328">
        <v>32097</v>
      </c>
      <c r="BG1328" t="s">
        <v>13525</v>
      </c>
      <c r="BH1328" t="s">
        <v>2388</v>
      </c>
      <c r="BI1328">
        <v>-81.581230370387004</v>
      </c>
      <c r="BJ1328">
        <v>30.605219980647401</v>
      </c>
      <c r="BK1328" t="s">
        <v>13526</v>
      </c>
      <c r="BM1328" t="s">
        <v>13525</v>
      </c>
      <c r="BN1328" t="s">
        <v>1778</v>
      </c>
      <c r="BO1328">
        <v>32097</v>
      </c>
      <c r="BP1328" t="s">
        <v>416</v>
      </c>
      <c r="BQ1328">
        <v>200</v>
      </c>
      <c r="BR1328" t="s">
        <v>405</v>
      </c>
      <c r="BS1328">
        <v>1006</v>
      </c>
      <c r="BT1328" t="s">
        <v>406</v>
      </c>
      <c r="BW1328">
        <v>44915</v>
      </c>
      <c r="BX1328" t="s">
        <v>407</v>
      </c>
      <c r="BY1328" t="s">
        <v>408</v>
      </c>
      <c r="BZ1328">
        <v>4</v>
      </c>
      <c r="CA1328">
        <v>2000</v>
      </c>
      <c r="CB1328">
        <v>1</v>
      </c>
      <c r="CC1328">
        <v>1</v>
      </c>
      <c r="CD1328">
        <v>2017</v>
      </c>
      <c r="CG1328">
        <v>90353</v>
      </c>
      <c r="CH1328">
        <v>2017</v>
      </c>
      <c r="CI1328">
        <v>28000</v>
      </c>
      <c r="CJ1328">
        <v>77549</v>
      </c>
      <c r="CK1328">
        <v>105549</v>
      </c>
      <c r="CL1328">
        <v>2017</v>
      </c>
      <c r="CM1328">
        <v>443.48</v>
      </c>
      <c r="CN1328" s="1">
        <v>36558</v>
      </c>
      <c r="CV1328">
        <v>0</v>
      </c>
      <c r="CZ1328" s="1">
        <v>36558</v>
      </c>
      <c r="DA1328">
        <v>0</v>
      </c>
      <c r="DD1328" t="s">
        <v>2387</v>
      </c>
      <c r="DF1328">
        <v>11</v>
      </c>
      <c r="DG1328">
        <v>42</v>
      </c>
      <c r="DL1328">
        <v>50302</v>
      </c>
      <c r="DM1328" t="s">
        <v>12468</v>
      </c>
      <c r="DO1328" t="s">
        <v>13527</v>
      </c>
      <c r="DP1328">
        <v>0</v>
      </c>
      <c r="DQ1328">
        <v>0</v>
      </c>
      <c r="DR1328" t="s">
        <v>411</v>
      </c>
      <c r="EP1328" t="s">
        <v>421</v>
      </c>
      <c r="EQ1328" t="s">
        <v>422</v>
      </c>
      <c r="ER1328">
        <v>0</v>
      </c>
      <c r="ES1328">
        <v>4</v>
      </c>
      <c r="ET1328">
        <v>0</v>
      </c>
      <c r="EU1328">
        <v>0</v>
      </c>
      <c r="EV1328">
        <v>0</v>
      </c>
      <c r="EW1328" s="2">
        <v>43222</v>
      </c>
      <c r="EX1328" s="1">
        <v>41787</v>
      </c>
      <c r="EY1328">
        <v>2013</v>
      </c>
      <c r="EZ1328">
        <v>561</v>
      </c>
      <c r="FA1328" t="s">
        <v>13528</v>
      </c>
      <c r="FB1328">
        <v>0.25</v>
      </c>
      <c r="FC1328" t="s">
        <v>424</v>
      </c>
      <c r="FD1328" t="s">
        <v>425</v>
      </c>
      <c r="FE1328" s="1">
        <v>42017</v>
      </c>
      <c r="FF1328">
        <v>8</v>
      </c>
      <c r="FG1328">
        <v>2407503</v>
      </c>
      <c r="FH1328" t="s">
        <v>461</v>
      </c>
      <c r="FJ1328" s="1">
        <v>41423</v>
      </c>
      <c r="FK1328">
        <v>2012</v>
      </c>
      <c r="FL1328">
        <v>618.37</v>
      </c>
      <c r="FM1328" t="s">
        <v>13529</v>
      </c>
      <c r="FN1328">
        <v>0.25</v>
      </c>
      <c r="FO1328" t="s">
        <v>424</v>
      </c>
      <c r="FP1328" t="s">
        <v>425</v>
      </c>
      <c r="FQ1328" s="1">
        <v>42017</v>
      </c>
      <c r="FR1328">
        <v>20</v>
      </c>
      <c r="FS1328">
        <v>62</v>
      </c>
      <c r="FT1328" t="s">
        <v>463</v>
      </c>
      <c r="FV1328" s="1">
        <v>41052</v>
      </c>
      <c r="FW1328">
        <v>2011</v>
      </c>
      <c r="FX1328">
        <v>768.57</v>
      </c>
      <c r="FY1328" t="s">
        <v>13530</v>
      </c>
      <c r="FZ1328">
        <v>5.75</v>
      </c>
      <c r="GA1328" t="s">
        <v>424</v>
      </c>
      <c r="GB1328" t="s">
        <v>425</v>
      </c>
      <c r="GC1328" s="1">
        <v>41698</v>
      </c>
      <c r="GD1328">
        <v>21</v>
      </c>
      <c r="GE1328">
        <v>62</v>
      </c>
      <c r="GF1328" t="s">
        <v>463</v>
      </c>
      <c r="GH1328" s="1">
        <v>40688</v>
      </c>
      <c r="GI1328">
        <v>2010</v>
      </c>
      <c r="GJ1328">
        <v>746.41</v>
      </c>
      <c r="GK1328" t="s">
        <v>13531</v>
      </c>
      <c r="GL1328">
        <v>5</v>
      </c>
      <c r="GM1328" t="s">
        <v>424</v>
      </c>
      <c r="GN1328" t="s">
        <v>425</v>
      </c>
      <c r="GO1328" s="1">
        <v>41312</v>
      </c>
      <c r="GP1328">
        <v>21</v>
      </c>
      <c r="GQ1328">
        <v>287</v>
      </c>
      <c r="GR1328" t="s">
        <v>572</v>
      </c>
    </row>
    <row r="1329" spans="1:272" x14ac:dyDescent="0.25">
      <c r="A1329">
        <v>16486336</v>
      </c>
      <c r="B1329">
        <v>1328</v>
      </c>
      <c r="C1329" t="s">
        <v>393</v>
      </c>
      <c r="D1329" t="s">
        <v>394</v>
      </c>
      <c r="F1329" t="str">
        <f>"42-2N-27-4614-0001-0120"</f>
        <v>42-2N-27-4614-0001-0120</v>
      </c>
      <c r="H1329" t="str">
        <f>"DAVIS WILLIAM R EST"</f>
        <v>DAVIS WILLIAM R EST</v>
      </c>
      <c r="I1329" t="str">
        <f>"85487 ASHLEY AVE"</f>
        <v>85487 ASHLEY AVE</v>
      </c>
      <c r="J1329" t="str">
        <f t="shared" si="455"/>
        <v>YULEE FL 32097</v>
      </c>
      <c r="K1329" t="str">
        <f>"85487 ASHLEY AVE"</f>
        <v>85487 ASHLEY AVE</v>
      </c>
      <c r="L1329" t="str">
        <f t="shared" si="430"/>
        <v>YULEE FL 32097</v>
      </c>
      <c r="M1329" t="str">
        <f>"BLOCK 1 LOT 12 IN OR 673 PG 144 R583328/583329 YULEE WOODS 4 PB 5/301-302"</f>
        <v>BLOCK 1 LOT 12 IN OR 673 PG 144 R583328/583329 YULEE WOODS 4 PB 5/301-302</v>
      </c>
      <c r="N1329" t="str">
        <f>""</f>
        <v/>
      </c>
      <c r="O1329" t="str">
        <f>"48996"</f>
        <v>48996</v>
      </c>
      <c r="P1329" t="str">
        <f t="shared" si="433"/>
        <v>2017</v>
      </c>
      <c r="Q1329" t="str">
        <f>""</f>
        <v/>
      </c>
      <c r="R1329" t="str">
        <f>"N"</f>
        <v>N</v>
      </c>
      <c r="S1329" t="str">
        <f>""</f>
        <v/>
      </c>
      <c r="T1329" t="str">
        <f>"665.45"</f>
        <v>665.45</v>
      </c>
      <c r="U1329" t="str">
        <f>"43739.00"</f>
        <v>43739.00</v>
      </c>
      <c r="V1329" t="str">
        <f>"43739.00"</f>
        <v>43739.00</v>
      </c>
      <c r="W1329" t="str">
        <f t="shared" si="434"/>
        <v>2017</v>
      </c>
      <c r="X1329" t="str">
        <f>"21.00"</f>
        <v>21.00</v>
      </c>
      <c r="Y1329" t="str">
        <f>"717.41"</f>
        <v>717.41</v>
      </c>
      <c r="Z1329" t="str">
        <f>""</f>
        <v/>
      </c>
      <c r="AA1329" t="str">
        <f>"44238.00"</f>
        <v>44238.00</v>
      </c>
      <c r="AB1329" t="str">
        <f t="shared" si="454"/>
        <v>Residential</v>
      </c>
      <c r="AC1329" t="str">
        <f t="shared" si="445"/>
        <v>0</v>
      </c>
      <c r="AD1329" t="str">
        <f t="shared" si="450"/>
        <v>4</v>
      </c>
      <c r="AE1329" t="str">
        <f t="shared" si="451"/>
        <v>WOOD (INCLUDE STEEL STUDS)</v>
      </c>
      <c r="AF1329" t="str">
        <f t="shared" si="452"/>
        <v>002</v>
      </c>
      <c r="AG1329" t="str">
        <f t="shared" si="444"/>
        <v>FL</v>
      </c>
      <c r="AH1329" t="str">
        <f t="shared" si="453"/>
        <v>-</v>
      </c>
      <c r="AI1329" t="str">
        <f t="shared" si="441"/>
        <v>28000.00</v>
      </c>
      <c r="AJ1329" t="str">
        <f>"C55-000-588-2555-5"</f>
        <v>C55-000-588-2555-5</v>
      </c>
      <c r="AK1329" t="str">
        <f>"22649"</f>
        <v>22649</v>
      </c>
      <c r="AL1329">
        <v>5</v>
      </c>
      <c r="AM1329">
        <v>1519</v>
      </c>
      <c r="AN1329">
        <v>751.68</v>
      </c>
      <c r="AQ1329" t="s">
        <v>13532</v>
      </c>
      <c r="AR1329" t="s">
        <v>13532</v>
      </c>
      <c r="AS1329" t="s">
        <v>13532</v>
      </c>
      <c r="AU1329" t="s">
        <v>396</v>
      </c>
      <c r="AV1329">
        <v>2017</v>
      </c>
      <c r="AW1329" t="str">
        <f>"42-2N-27-4614-0001-0120 "</f>
        <v xml:space="preserve">42-2N-27-4614-0001-0120 </v>
      </c>
      <c r="AX1329">
        <v>85487</v>
      </c>
      <c r="AZ1329" t="s">
        <v>13389</v>
      </c>
      <c r="BA1329" t="s">
        <v>1112</v>
      </c>
      <c r="BD1329" t="s">
        <v>2387</v>
      </c>
      <c r="BE1329" t="s">
        <v>393</v>
      </c>
      <c r="BF1329">
        <v>32097</v>
      </c>
      <c r="BG1329" t="s">
        <v>13533</v>
      </c>
      <c r="BH1329" t="s">
        <v>2388</v>
      </c>
      <c r="BI1329">
        <v>-81.581660270260599</v>
      </c>
      <c r="BJ1329">
        <v>30.6050396391534</v>
      </c>
      <c r="BK1329" t="s">
        <v>13534</v>
      </c>
      <c r="BM1329" t="s">
        <v>13533</v>
      </c>
      <c r="BN1329" t="s">
        <v>1778</v>
      </c>
      <c r="BO1329">
        <v>32097</v>
      </c>
      <c r="BP1329" t="s">
        <v>416</v>
      </c>
      <c r="BQ1329">
        <v>200</v>
      </c>
      <c r="BR1329" t="s">
        <v>405</v>
      </c>
      <c r="BS1329">
        <v>1006</v>
      </c>
      <c r="BT1329" t="s">
        <v>406</v>
      </c>
      <c r="BW1329">
        <v>43818</v>
      </c>
      <c r="BX1329" t="s">
        <v>407</v>
      </c>
      <c r="BY1329" t="s">
        <v>408</v>
      </c>
      <c r="BZ1329">
        <v>4</v>
      </c>
      <c r="CA1329">
        <v>1984</v>
      </c>
      <c r="CB1329">
        <v>1</v>
      </c>
      <c r="CC1329">
        <v>1</v>
      </c>
      <c r="CD1329">
        <v>2017</v>
      </c>
      <c r="CE1329">
        <v>28000</v>
      </c>
      <c r="CF1329">
        <v>16238</v>
      </c>
      <c r="CG1329">
        <v>44238</v>
      </c>
      <c r="CH1329">
        <v>2017</v>
      </c>
      <c r="CI1329">
        <v>28000</v>
      </c>
      <c r="CJ1329">
        <v>16238</v>
      </c>
      <c r="CK1329">
        <v>44238</v>
      </c>
      <c r="CL1329">
        <v>2017</v>
      </c>
      <c r="CM1329">
        <v>665.45</v>
      </c>
      <c r="CN1329" s="1">
        <v>33969</v>
      </c>
      <c r="CO1329">
        <v>15000</v>
      </c>
      <c r="CZ1329" s="1">
        <v>33969</v>
      </c>
      <c r="DD1329" t="s">
        <v>2387</v>
      </c>
      <c r="DF1329">
        <v>12</v>
      </c>
      <c r="DG1329">
        <v>42</v>
      </c>
      <c r="DL1329">
        <v>50302</v>
      </c>
      <c r="DM1329" t="s">
        <v>12468</v>
      </c>
      <c r="DO1329" t="s">
        <v>13535</v>
      </c>
      <c r="DP1329">
        <v>0</v>
      </c>
      <c r="DQ1329">
        <v>0</v>
      </c>
      <c r="DR1329" t="s">
        <v>411</v>
      </c>
      <c r="DS1329" t="b">
        <v>1</v>
      </c>
      <c r="DT1329" t="s">
        <v>470</v>
      </c>
      <c r="DU1329" t="s">
        <v>471</v>
      </c>
      <c r="DV1329" t="s">
        <v>472</v>
      </c>
      <c r="DX1329">
        <v>-9999</v>
      </c>
      <c r="DZ1329" t="s">
        <v>447</v>
      </c>
      <c r="EA1329" t="s">
        <v>448</v>
      </c>
      <c r="EB1329" t="s">
        <v>742</v>
      </c>
      <c r="EC1329">
        <v>20101217</v>
      </c>
      <c r="ED1329" t="s">
        <v>474</v>
      </c>
      <c r="EF1329">
        <v>3285</v>
      </c>
      <c r="EG1329">
        <v>3197.2</v>
      </c>
      <c r="EI1329">
        <v>20160407</v>
      </c>
      <c r="EJ1329">
        <v>0</v>
      </c>
      <c r="EK1329">
        <v>0</v>
      </c>
      <c r="EP1329" t="s">
        <v>421</v>
      </c>
      <c r="EQ1329" t="s">
        <v>422</v>
      </c>
      <c r="ER1329">
        <v>2</v>
      </c>
      <c r="ES1329">
        <v>2</v>
      </c>
      <c r="ET1329">
        <v>1374.28</v>
      </c>
      <c r="EU1329">
        <v>81.209999999999994</v>
      </c>
      <c r="EV1329">
        <v>1455.49</v>
      </c>
      <c r="EW1329" s="2">
        <v>43222</v>
      </c>
      <c r="EX1329" s="1">
        <v>42879</v>
      </c>
      <c r="EY1329">
        <v>2016</v>
      </c>
      <c r="EZ1329">
        <v>687.14</v>
      </c>
      <c r="FA1329" t="s">
        <v>13536</v>
      </c>
      <c r="FB1329">
        <v>0.25</v>
      </c>
      <c r="FC1329" t="s">
        <v>424</v>
      </c>
      <c r="FD1329" t="s">
        <v>454</v>
      </c>
      <c r="FF1329">
        <v>12</v>
      </c>
      <c r="FG1329">
        <v>2851116</v>
      </c>
      <c r="FH1329" t="s">
        <v>480</v>
      </c>
      <c r="FJ1329" s="1">
        <v>42879</v>
      </c>
      <c r="FK1329">
        <v>2016</v>
      </c>
      <c r="FL1329">
        <v>687.14</v>
      </c>
      <c r="FM1329" t="s">
        <v>13536</v>
      </c>
      <c r="FN1329">
        <v>0.25</v>
      </c>
      <c r="FO1329" t="s">
        <v>424</v>
      </c>
      <c r="FP1329" t="s">
        <v>454</v>
      </c>
      <c r="FR1329">
        <v>12</v>
      </c>
      <c r="FS1329">
        <v>5753714</v>
      </c>
      <c r="FT1329" t="s">
        <v>13537</v>
      </c>
      <c r="FV1329" s="1">
        <v>42515</v>
      </c>
      <c r="FW1329">
        <v>2015</v>
      </c>
      <c r="FX1329">
        <v>860.88</v>
      </c>
      <c r="FY1329" t="s">
        <v>13538</v>
      </c>
      <c r="FZ1329">
        <v>0.25</v>
      </c>
      <c r="GA1329" t="s">
        <v>424</v>
      </c>
      <c r="GB1329" t="s">
        <v>425</v>
      </c>
      <c r="GC1329" s="1">
        <v>43158</v>
      </c>
      <c r="GD1329">
        <v>21</v>
      </c>
      <c r="GE1329">
        <v>2851116</v>
      </c>
      <c r="GF1329" t="s">
        <v>480</v>
      </c>
      <c r="GH1329" s="1">
        <v>42515</v>
      </c>
      <c r="GI1329">
        <v>2015</v>
      </c>
      <c r="GJ1329">
        <v>860.88</v>
      </c>
      <c r="GK1329" t="s">
        <v>13538</v>
      </c>
      <c r="GL1329">
        <v>0.25</v>
      </c>
      <c r="GM1329" t="s">
        <v>424</v>
      </c>
      <c r="GN1329" t="s">
        <v>425</v>
      </c>
      <c r="GP1329">
        <v>22</v>
      </c>
      <c r="GQ1329">
        <v>5655516</v>
      </c>
      <c r="GR1329" t="s">
        <v>13539</v>
      </c>
    </row>
    <row r="1330" spans="1:272" x14ac:dyDescent="0.25">
      <c r="A1330">
        <v>16486337</v>
      </c>
      <c r="B1330">
        <v>1329</v>
      </c>
      <c r="C1330" t="s">
        <v>393</v>
      </c>
      <c r="D1330" t="s">
        <v>394</v>
      </c>
      <c r="F1330" t="str">
        <f>"42-2N-27-4614-0001-0140"</f>
        <v>42-2N-27-4614-0001-0140</v>
      </c>
      <c r="H1330" t="str">
        <f>"BENDER JOHN A &amp; CYNTHIA J"</f>
        <v>BENDER JOHN A &amp; CYNTHIA J</v>
      </c>
      <c r="I1330" t="str">
        <f>"85726 RADIO AVE"</f>
        <v>85726 RADIO AVE</v>
      </c>
      <c r="J1330" t="str">
        <f t="shared" si="455"/>
        <v>YULEE FL 32097</v>
      </c>
      <c r="K1330" t="str">
        <f>"85726 RADIO AVE"</f>
        <v>85726 RADIO AVE</v>
      </c>
      <c r="L1330" t="str">
        <f t="shared" si="430"/>
        <v>YULEE FL 32097</v>
      </c>
      <c r="M1330" t="str">
        <f>"BLOCK 1 LOT 14 IN OR 1931/328 1994 MERIT TW/MH YULEE WOODS 4 PB 5/301 &amp; 302"</f>
        <v>BLOCK 1 LOT 14 IN OR 1931/328 1994 MERIT TW/MH YULEE WOODS 4 PB 5/301 &amp; 302</v>
      </c>
      <c r="N1330" t="str">
        <f>""</f>
        <v/>
      </c>
      <c r="O1330" t="str">
        <f>"48998"</f>
        <v>48998</v>
      </c>
      <c r="P1330" t="str">
        <f t="shared" si="433"/>
        <v>2017</v>
      </c>
      <c r="Q1330" t="str">
        <f>""</f>
        <v/>
      </c>
      <c r="R1330" t="str">
        <f>"N"</f>
        <v>N</v>
      </c>
      <c r="S1330" t="str">
        <f>""</f>
        <v/>
      </c>
      <c r="T1330" t="str">
        <f>"1779.48"</f>
        <v>1779.48</v>
      </c>
      <c r="U1330" t="str">
        <f>"104688.00"</f>
        <v>104688.00</v>
      </c>
      <c r="V1330" t="str">
        <f>"104688.00"</f>
        <v>104688.00</v>
      </c>
      <c r="W1330" t="str">
        <f t="shared" si="434"/>
        <v>2017</v>
      </c>
      <c r="X1330" t="str">
        <f>"21.00"</f>
        <v>21.00</v>
      </c>
      <c r="Y1330" t="str">
        <f>"1864.86"</f>
        <v>1864.86</v>
      </c>
      <c r="Z1330" t="str">
        <f>""</f>
        <v/>
      </c>
      <c r="AA1330" t="str">
        <f>"134184.00"</f>
        <v>134184.00</v>
      </c>
      <c r="AB1330" t="str">
        <f t="shared" si="454"/>
        <v>Residential</v>
      </c>
      <c r="AC1330" t="str">
        <f t="shared" si="445"/>
        <v>0</v>
      </c>
      <c r="AD1330" t="str">
        <f t="shared" si="450"/>
        <v>4</v>
      </c>
      <c r="AE1330" t="str">
        <f t="shared" si="451"/>
        <v>WOOD (INCLUDE STEEL STUDS)</v>
      </c>
      <c r="AF1330" t="str">
        <f t="shared" si="452"/>
        <v>002</v>
      </c>
      <c r="AG1330" t="str">
        <f t="shared" si="444"/>
        <v>FL</v>
      </c>
      <c r="AH1330" t="str">
        <f t="shared" si="453"/>
        <v>-</v>
      </c>
      <c r="AI1330" t="str">
        <f t="shared" si="441"/>
        <v>28000.00</v>
      </c>
      <c r="AJ1330" t="str">
        <f>"C55-000-588-2557-1"</f>
        <v>C55-000-588-2557-1</v>
      </c>
      <c r="AK1330" t="str">
        <f>"22651"</f>
        <v>22651</v>
      </c>
      <c r="AL1330">
        <v>5</v>
      </c>
      <c r="AM1330">
        <v>1520</v>
      </c>
      <c r="AN1330">
        <v>1956.5</v>
      </c>
      <c r="AQ1330" t="s">
        <v>13540</v>
      </c>
      <c r="AR1330" t="s">
        <v>13540</v>
      </c>
      <c r="AS1330" t="s">
        <v>13540</v>
      </c>
      <c r="AU1330" t="s">
        <v>396</v>
      </c>
      <c r="AV1330">
        <v>2017</v>
      </c>
      <c r="AW1330" t="str">
        <f>"42-2N-27-4614-0001-0140 "</f>
        <v xml:space="preserve">42-2N-27-4614-0001-0140 </v>
      </c>
      <c r="AX1330">
        <v>85726</v>
      </c>
      <c r="AZ1330" t="s">
        <v>13033</v>
      </c>
      <c r="BA1330" t="s">
        <v>1112</v>
      </c>
      <c r="BD1330" t="s">
        <v>2387</v>
      </c>
      <c r="BE1330" t="s">
        <v>393</v>
      </c>
      <c r="BF1330">
        <v>32097</v>
      </c>
      <c r="BG1330" t="s">
        <v>13541</v>
      </c>
      <c r="BH1330" t="s">
        <v>2388</v>
      </c>
      <c r="BI1330">
        <v>-81.582508056555398</v>
      </c>
      <c r="BJ1330">
        <v>30.605562134917701</v>
      </c>
      <c r="BK1330" t="s">
        <v>13542</v>
      </c>
      <c r="BL1330" t="s">
        <v>13543</v>
      </c>
      <c r="BM1330" t="s">
        <v>13541</v>
      </c>
      <c r="BN1330" t="s">
        <v>1778</v>
      </c>
      <c r="BO1330">
        <v>32097</v>
      </c>
      <c r="BP1330" t="s">
        <v>416</v>
      </c>
      <c r="BQ1330">
        <v>200</v>
      </c>
      <c r="BR1330" t="s">
        <v>405</v>
      </c>
      <c r="BS1330">
        <v>1006</v>
      </c>
      <c r="BT1330" t="s">
        <v>406</v>
      </c>
      <c r="BW1330">
        <v>43562</v>
      </c>
      <c r="BX1330" t="s">
        <v>407</v>
      </c>
      <c r="BY1330" t="s">
        <v>408</v>
      </c>
      <c r="BZ1330">
        <v>4</v>
      </c>
      <c r="CA1330">
        <v>1994</v>
      </c>
      <c r="CB1330">
        <v>1</v>
      </c>
      <c r="CC1330">
        <v>1</v>
      </c>
      <c r="CD1330">
        <v>2017</v>
      </c>
      <c r="CE1330">
        <v>28000</v>
      </c>
      <c r="CF1330">
        <v>106184</v>
      </c>
      <c r="CG1330">
        <v>134184</v>
      </c>
      <c r="CH1330">
        <v>2017</v>
      </c>
      <c r="CI1330">
        <v>28000</v>
      </c>
      <c r="CJ1330">
        <v>106184</v>
      </c>
      <c r="CK1330">
        <v>134184</v>
      </c>
      <c r="CL1330">
        <v>2017</v>
      </c>
      <c r="CM1330">
        <v>1779.48</v>
      </c>
      <c r="CN1330" s="1">
        <v>41856</v>
      </c>
      <c r="CO1330">
        <v>155000</v>
      </c>
      <c r="CV1330">
        <v>0</v>
      </c>
      <c r="CZ1330" s="1">
        <v>41856</v>
      </c>
      <c r="DA1330">
        <v>0</v>
      </c>
      <c r="DD1330" t="s">
        <v>2387</v>
      </c>
      <c r="DF1330">
        <v>14</v>
      </c>
      <c r="DG1330">
        <v>42</v>
      </c>
      <c r="DL1330">
        <v>50302</v>
      </c>
      <c r="DM1330" t="s">
        <v>12468</v>
      </c>
      <c r="DO1330" t="s">
        <v>13544</v>
      </c>
      <c r="DP1330">
        <v>0</v>
      </c>
      <c r="DQ1330">
        <v>0</v>
      </c>
      <c r="DR1330" t="s">
        <v>411</v>
      </c>
      <c r="DS1330" t="b">
        <v>1</v>
      </c>
      <c r="DT1330" t="s">
        <v>470</v>
      </c>
      <c r="DU1330" t="s">
        <v>471</v>
      </c>
      <c r="DV1330" t="s">
        <v>472</v>
      </c>
      <c r="DX1330">
        <v>-9999</v>
      </c>
      <c r="DZ1330" t="s">
        <v>447</v>
      </c>
      <c r="EA1330" t="s">
        <v>448</v>
      </c>
      <c r="EB1330" t="s">
        <v>742</v>
      </c>
      <c r="EC1330">
        <v>20101217</v>
      </c>
      <c r="ED1330" t="s">
        <v>474</v>
      </c>
      <c r="EF1330">
        <v>3506.1</v>
      </c>
      <c r="EG1330">
        <v>3421.8</v>
      </c>
      <c r="EI1330">
        <v>20160407</v>
      </c>
      <c r="EJ1330">
        <v>0</v>
      </c>
      <c r="EK1330">
        <v>0</v>
      </c>
      <c r="EP1330" t="s">
        <v>421</v>
      </c>
      <c r="EQ1330" t="s">
        <v>422</v>
      </c>
      <c r="ER1330">
        <v>2</v>
      </c>
      <c r="ES1330">
        <v>2</v>
      </c>
      <c r="ET1330">
        <v>3214.08</v>
      </c>
      <c r="EU1330">
        <v>173.2</v>
      </c>
      <c r="EV1330">
        <v>3387.28</v>
      </c>
      <c r="EW1330" s="2">
        <v>43222</v>
      </c>
      <c r="EX1330" s="1">
        <v>42879</v>
      </c>
      <c r="EY1330">
        <v>2016</v>
      </c>
      <c r="EZ1330">
        <v>1607.04</v>
      </c>
      <c r="FA1330" t="s">
        <v>13545</v>
      </c>
      <c r="FB1330">
        <v>0.25</v>
      </c>
      <c r="FC1330" t="s">
        <v>424</v>
      </c>
      <c r="FD1330" t="s">
        <v>454</v>
      </c>
      <c r="FF1330">
        <v>12</v>
      </c>
      <c r="FG1330">
        <v>7336671</v>
      </c>
      <c r="FH1330" t="s">
        <v>437</v>
      </c>
      <c r="FJ1330" s="1">
        <v>42879</v>
      </c>
      <c r="FK1330">
        <v>2016</v>
      </c>
      <c r="FL1330">
        <v>1607.04</v>
      </c>
      <c r="FM1330" t="s">
        <v>13545</v>
      </c>
      <c r="FN1330">
        <v>0.25</v>
      </c>
      <c r="FO1330" t="s">
        <v>424</v>
      </c>
      <c r="FP1330" t="s">
        <v>454</v>
      </c>
      <c r="FR1330">
        <v>12</v>
      </c>
      <c r="FS1330">
        <v>6936758</v>
      </c>
      <c r="FT1330" t="s">
        <v>13546</v>
      </c>
      <c r="FV1330" s="1">
        <v>42515</v>
      </c>
      <c r="FW1330">
        <v>2015</v>
      </c>
      <c r="FX1330">
        <v>594.91</v>
      </c>
      <c r="FY1330" t="s">
        <v>13547</v>
      </c>
      <c r="FZ1330">
        <v>0.25</v>
      </c>
      <c r="GA1330" t="s">
        <v>424</v>
      </c>
      <c r="GB1330" t="s">
        <v>425</v>
      </c>
      <c r="GC1330" s="1">
        <v>43154</v>
      </c>
      <c r="GD1330">
        <v>21</v>
      </c>
      <c r="GE1330">
        <v>7045074</v>
      </c>
      <c r="GF1330" t="s">
        <v>580</v>
      </c>
      <c r="GH1330" s="1">
        <v>42515</v>
      </c>
      <c r="GI1330">
        <v>2015</v>
      </c>
      <c r="GJ1330">
        <v>594.91</v>
      </c>
      <c r="GK1330" t="s">
        <v>13547</v>
      </c>
      <c r="GL1330">
        <v>0.25</v>
      </c>
      <c r="GM1330" t="s">
        <v>424</v>
      </c>
      <c r="GN1330" t="s">
        <v>425</v>
      </c>
      <c r="GP1330">
        <v>22</v>
      </c>
      <c r="GQ1330">
        <v>6363801</v>
      </c>
      <c r="GR1330" t="s">
        <v>13548</v>
      </c>
    </row>
    <row r="1331" spans="1:272" x14ac:dyDescent="0.25">
      <c r="A1331">
        <v>16486338</v>
      </c>
      <c r="B1331">
        <v>1330</v>
      </c>
      <c r="C1331" t="s">
        <v>393</v>
      </c>
      <c r="D1331" t="s">
        <v>394</v>
      </c>
      <c r="F1331" t="str">
        <f>"42-2N-27-4614-0001-0150"</f>
        <v>42-2N-27-4614-0001-0150</v>
      </c>
      <c r="H1331" t="str">
        <f>"WHITMAN BEVERLY A &amp; WHITMAN DONALD III"</f>
        <v>WHITMAN BEVERLY A &amp; WHITMAN DONALD III</v>
      </c>
      <c r="I1331" t="str">
        <f>"85756 RADIO AV"</f>
        <v>85756 RADIO AV</v>
      </c>
      <c r="J1331" t="str">
        <f t="shared" si="455"/>
        <v>YULEE FL 32097</v>
      </c>
      <c r="K1331" t="str">
        <f>"85756 RADIO AVE"</f>
        <v>85756 RADIO AVE</v>
      </c>
      <c r="L1331" t="str">
        <f t="shared" si="430"/>
        <v>YULEE FL 32097</v>
      </c>
      <c r="M1331" t="str">
        <f>"BLOCK 1 LOT 15 IN OR 1528/981 R621625 &amp; R621626 YULEE WOODS 4 PB 5/301 &amp; 302"</f>
        <v>BLOCK 1 LOT 15 IN OR 1528/981 R621625 &amp; R621626 YULEE WOODS 4 PB 5/301 &amp; 302</v>
      </c>
      <c r="N1331" t="str">
        <f>""</f>
        <v/>
      </c>
      <c r="O1331" t="str">
        <f>"48999"</f>
        <v>48999</v>
      </c>
      <c r="P1331" t="str">
        <f t="shared" si="433"/>
        <v>2017</v>
      </c>
      <c r="Q1331" t="str">
        <f>""</f>
        <v/>
      </c>
      <c r="R1331" t="str">
        <f>"Y"</f>
        <v>Y</v>
      </c>
      <c r="S1331" t="str">
        <f>""</f>
        <v/>
      </c>
      <c r="T1331" t="str">
        <f>"407.40"</f>
        <v>407.40</v>
      </c>
      <c r="U1331" t="str">
        <f>"54383.00"</f>
        <v>54383.00</v>
      </c>
      <c r="V1331" t="str">
        <f>"54383.00"</f>
        <v>54383.00</v>
      </c>
      <c r="W1331" t="str">
        <f t="shared" si="434"/>
        <v>2017</v>
      </c>
      <c r="X1331" t="str">
        <f>"11.33"</f>
        <v>11.33</v>
      </c>
      <c r="Y1331" t="str">
        <f>"451.62"</f>
        <v>451.62</v>
      </c>
      <c r="Z1331" t="str">
        <f>"25000.00"</f>
        <v>25000.00</v>
      </c>
      <c r="AA1331" t="str">
        <f>"29383.00"</f>
        <v>29383.00</v>
      </c>
      <c r="AB1331" t="str">
        <f t="shared" si="454"/>
        <v>Residential</v>
      </c>
      <c r="AC1331" t="str">
        <f t="shared" si="445"/>
        <v>0</v>
      </c>
      <c r="AD1331" t="str">
        <f t="shared" si="450"/>
        <v>4</v>
      </c>
      <c r="AE1331" t="str">
        <f t="shared" si="451"/>
        <v>WOOD (INCLUDE STEEL STUDS)</v>
      </c>
      <c r="AF1331" t="str">
        <f t="shared" si="452"/>
        <v>002</v>
      </c>
      <c r="AG1331" t="str">
        <f t="shared" si="444"/>
        <v>FL</v>
      </c>
      <c r="AH1331" t="str">
        <f t="shared" si="453"/>
        <v>-</v>
      </c>
      <c r="AI1331" t="str">
        <f t="shared" si="441"/>
        <v>28000.00</v>
      </c>
      <c r="AJ1331" t="str">
        <f>"C55-000-588-2558-9"</f>
        <v>C55-000-588-2558-9</v>
      </c>
      <c r="AK1331" t="str">
        <f>"22652"</f>
        <v>22652</v>
      </c>
      <c r="AL1331">
        <v>5</v>
      </c>
      <c r="AM1331">
        <v>1521</v>
      </c>
      <c r="AN1331">
        <v>472.6</v>
      </c>
      <c r="AQ1331" t="s">
        <v>13549</v>
      </c>
      <c r="AR1331" t="s">
        <v>13549</v>
      </c>
      <c r="AS1331" t="s">
        <v>13549</v>
      </c>
      <c r="AU1331" t="s">
        <v>396</v>
      </c>
      <c r="AV1331">
        <v>2017</v>
      </c>
      <c r="AW1331" t="str">
        <f>"42-2N-27-4614-0001-0150 "</f>
        <v xml:space="preserve">42-2N-27-4614-0001-0150 </v>
      </c>
      <c r="AX1331">
        <v>85756</v>
      </c>
      <c r="AZ1331" t="s">
        <v>13033</v>
      </c>
      <c r="BA1331" t="s">
        <v>1112</v>
      </c>
      <c r="BD1331" t="s">
        <v>2387</v>
      </c>
      <c r="BE1331" t="s">
        <v>393</v>
      </c>
      <c r="BF1331">
        <v>32097</v>
      </c>
      <c r="BG1331" t="s">
        <v>13550</v>
      </c>
      <c r="BH1331" t="s">
        <v>2388</v>
      </c>
      <c r="BI1331">
        <v>-81.582085303748698</v>
      </c>
      <c r="BJ1331">
        <v>30.605752049877601</v>
      </c>
      <c r="BK1331" t="s">
        <v>13551</v>
      </c>
      <c r="BL1331" t="s">
        <v>13552</v>
      </c>
      <c r="BM1331" t="s">
        <v>13550</v>
      </c>
      <c r="BN1331" t="s">
        <v>1778</v>
      </c>
      <c r="BO1331">
        <v>32097</v>
      </c>
      <c r="BP1331" t="s">
        <v>416</v>
      </c>
      <c r="BQ1331">
        <v>200</v>
      </c>
      <c r="BR1331" t="s">
        <v>405</v>
      </c>
      <c r="BS1331">
        <v>1006</v>
      </c>
      <c r="BT1331" t="s">
        <v>406</v>
      </c>
      <c r="BW1331">
        <v>43653</v>
      </c>
      <c r="BX1331" t="s">
        <v>407</v>
      </c>
      <c r="BY1331" t="s">
        <v>408</v>
      </c>
      <c r="BZ1331">
        <v>4</v>
      </c>
      <c r="CA1331">
        <v>1994</v>
      </c>
      <c r="CB1331">
        <v>1</v>
      </c>
      <c r="CC1331">
        <v>1</v>
      </c>
      <c r="CD1331">
        <v>2017</v>
      </c>
      <c r="CG1331">
        <v>54383</v>
      </c>
      <c r="CH1331">
        <v>2017</v>
      </c>
      <c r="CI1331">
        <v>28000</v>
      </c>
      <c r="CJ1331">
        <v>48904</v>
      </c>
      <c r="CK1331">
        <v>76904</v>
      </c>
      <c r="CL1331">
        <v>2017</v>
      </c>
      <c r="CM1331">
        <v>407.4</v>
      </c>
      <c r="CN1331" s="1">
        <v>39358</v>
      </c>
      <c r="CZ1331" s="1">
        <v>39358</v>
      </c>
      <c r="DD1331" t="s">
        <v>2387</v>
      </c>
      <c r="DF1331">
        <v>15</v>
      </c>
      <c r="DG1331">
        <v>42</v>
      </c>
      <c r="DL1331">
        <v>50302</v>
      </c>
      <c r="DM1331" t="s">
        <v>12468</v>
      </c>
      <c r="DO1331" t="s">
        <v>13553</v>
      </c>
      <c r="DP1331">
        <v>0</v>
      </c>
      <c r="DQ1331">
        <v>0</v>
      </c>
      <c r="DR1331" t="s">
        <v>411</v>
      </c>
      <c r="DS1331" t="b">
        <v>1</v>
      </c>
      <c r="DT1331" t="s">
        <v>470</v>
      </c>
      <c r="DU1331" t="s">
        <v>471</v>
      </c>
      <c r="DV1331" t="s">
        <v>472</v>
      </c>
      <c r="DX1331">
        <v>-9999</v>
      </c>
      <c r="DZ1331" t="s">
        <v>447</v>
      </c>
      <c r="EA1331" t="s">
        <v>448</v>
      </c>
      <c r="EB1331" t="s">
        <v>742</v>
      </c>
      <c r="EC1331">
        <v>20101217</v>
      </c>
      <c r="ED1331" t="s">
        <v>474</v>
      </c>
      <c r="EF1331">
        <v>3361.9</v>
      </c>
      <c r="EG1331">
        <v>3278.2</v>
      </c>
      <c r="EH1331" t="s">
        <v>451</v>
      </c>
      <c r="EI1331">
        <v>20140731</v>
      </c>
      <c r="EJ1331">
        <v>0</v>
      </c>
      <c r="EK1331">
        <v>0</v>
      </c>
      <c r="EP1331" t="s">
        <v>421</v>
      </c>
      <c r="EQ1331" t="s">
        <v>422</v>
      </c>
      <c r="ER1331">
        <v>0</v>
      </c>
      <c r="ES1331">
        <v>5</v>
      </c>
      <c r="ET1331">
        <v>0</v>
      </c>
      <c r="EU1331">
        <v>0</v>
      </c>
      <c r="EV1331">
        <v>0</v>
      </c>
      <c r="EW1331" s="2">
        <v>43222</v>
      </c>
      <c r="EX1331" s="1">
        <v>42879</v>
      </c>
      <c r="EY1331">
        <v>2016</v>
      </c>
      <c r="EZ1331">
        <v>466.04</v>
      </c>
      <c r="FA1331" t="s">
        <v>13554</v>
      </c>
      <c r="FB1331">
        <v>0.25</v>
      </c>
      <c r="FC1331" t="s">
        <v>424</v>
      </c>
      <c r="FD1331" t="s">
        <v>425</v>
      </c>
      <c r="FE1331" s="1">
        <v>42963</v>
      </c>
      <c r="FF1331">
        <v>3</v>
      </c>
      <c r="FG1331">
        <v>7400234</v>
      </c>
      <c r="FH1331" t="s">
        <v>426</v>
      </c>
      <c r="FJ1331" s="1">
        <v>42879</v>
      </c>
      <c r="FK1331">
        <v>2016</v>
      </c>
      <c r="FL1331">
        <v>466.04</v>
      </c>
      <c r="FM1331" t="s">
        <v>13554</v>
      </c>
      <c r="FN1331">
        <v>0.25</v>
      </c>
      <c r="FO1331" t="s">
        <v>424</v>
      </c>
      <c r="FP1331" t="s">
        <v>425</v>
      </c>
      <c r="FR1331">
        <v>22</v>
      </c>
      <c r="FS1331">
        <v>7430019</v>
      </c>
      <c r="FT1331" t="s">
        <v>13555</v>
      </c>
      <c r="FV1331" s="1">
        <v>42151</v>
      </c>
      <c r="FW1331">
        <v>2014</v>
      </c>
      <c r="FX1331">
        <v>468.6</v>
      </c>
      <c r="FY1331" t="s">
        <v>13556</v>
      </c>
      <c r="FZ1331">
        <v>0.25</v>
      </c>
      <c r="GA1331" t="s">
        <v>424</v>
      </c>
      <c r="GB1331" t="s">
        <v>425</v>
      </c>
      <c r="GC1331" s="1">
        <v>42433</v>
      </c>
      <c r="GD1331">
        <v>10</v>
      </c>
      <c r="GE1331">
        <v>2851116</v>
      </c>
      <c r="GF1331" t="s">
        <v>480</v>
      </c>
      <c r="GH1331" s="1">
        <v>42151</v>
      </c>
      <c r="GI1331">
        <v>2014</v>
      </c>
      <c r="GJ1331">
        <v>468.6</v>
      </c>
      <c r="GK1331" t="s">
        <v>13556</v>
      </c>
      <c r="GL1331">
        <v>0.25</v>
      </c>
      <c r="GM1331" t="s">
        <v>424</v>
      </c>
      <c r="GN1331" t="s">
        <v>425</v>
      </c>
      <c r="GP1331">
        <v>22</v>
      </c>
      <c r="GQ1331">
        <v>5411569</v>
      </c>
      <c r="GR1331" t="s">
        <v>13557</v>
      </c>
      <c r="GT1331" s="1">
        <v>41787</v>
      </c>
      <c r="GU1331">
        <v>2013</v>
      </c>
      <c r="GV1331">
        <v>553.30999999999995</v>
      </c>
      <c r="GW1331" t="s">
        <v>13558</v>
      </c>
      <c r="GX1331">
        <v>0.25</v>
      </c>
      <c r="GY1331" t="s">
        <v>424</v>
      </c>
      <c r="GZ1331" t="s">
        <v>425</v>
      </c>
      <c r="HA1331" s="1">
        <v>42401</v>
      </c>
      <c r="HB1331">
        <v>21</v>
      </c>
      <c r="HC1331">
        <v>2407503</v>
      </c>
      <c r="HD1331" t="s">
        <v>461</v>
      </c>
    </row>
    <row r="1332" spans="1:272" x14ac:dyDescent="0.25">
      <c r="A1332">
        <v>16486339</v>
      </c>
      <c r="B1332">
        <v>1331</v>
      </c>
      <c r="C1332" t="s">
        <v>393</v>
      </c>
      <c r="D1332" t="s">
        <v>394</v>
      </c>
      <c r="F1332" t="str">
        <f>"42-2N-27-4614-0001-0200"</f>
        <v>42-2N-27-4614-0001-0200</v>
      </c>
      <c r="H1332" t="str">
        <f>"CHRISTMAS CHRISTOPHER &amp; DARLA"</f>
        <v>CHRISTMAS CHRISTOPHER &amp; DARLA</v>
      </c>
      <c r="I1332" t="str">
        <f>"85809 RADIO AVE"</f>
        <v>85809 RADIO AVE</v>
      </c>
      <c r="J1332" t="str">
        <f t="shared" si="455"/>
        <v>YULEE FL 32097</v>
      </c>
      <c r="K1332" t="str">
        <f>"85809 RADIO AVE"</f>
        <v>85809 RADIO AVE</v>
      </c>
      <c r="L1332" t="str">
        <f t="shared" si="430"/>
        <v>YULEE FL 32097</v>
      </c>
      <c r="M1332" t="str">
        <f>"BLOCK 1 LOT 20 IN OR 1218/392 R672606 &amp; R672607 YULEE WOODS 4 PB 5/301 &amp; 302"</f>
        <v>BLOCK 1 LOT 20 IN OR 1218/392 R672606 &amp; R672607 YULEE WOODS 4 PB 5/301 &amp; 302</v>
      </c>
      <c r="N1332" t="str">
        <f>""</f>
        <v/>
      </c>
      <c r="O1332" t="str">
        <f>"49004"</f>
        <v>49004</v>
      </c>
      <c r="P1332" t="str">
        <f t="shared" si="433"/>
        <v>2017</v>
      </c>
      <c r="Q1332" t="str">
        <f>""</f>
        <v/>
      </c>
      <c r="R1332" t="str">
        <f>"Y"</f>
        <v>Y</v>
      </c>
      <c r="S1332" t="str">
        <f>""</f>
        <v/>
      </c>
      <c r="T1332" t="str">
        <f>"384.62"</f>
        <v>384.62</v>
      </c>
      <c r="U1332" t="str">
        <f>"50930.00"</f>
        <v>50930.00</v>
      </c>
      <c r="V1332" t="str">
        <f>"50930.00"</f>
        <v>50930.00</v>
      </c>
      <c r="W1332" t="str">
        <f t="shared" si="434"/>
        <v>2017</v>
      </c>
      <c r="X1332" t="str">
        <f>"21.00"</f>
        <v>21.00</v>
      </c>
      <c r="Y1332" t="str">
        <f>"428.16"</f>
        <v>428.16</v>
      </c>
      <c r="Z1332" t="str">
        <f>"25000.00"</f>
        <v>25000.00</v>
      </c>
      <c r="AA1332" t="str">
        <f>"25930.00"</f>
        <v>25930.00</v>
      </c>
      <c r="AB1332" t="str">
        <f t="shared" si="454"/>
        <v>Residential</v>
      </c>
      <c r="AC1332" t="str">
        <f t="shared" si="445"/>
        <v>0</v>
      </c>
      <c r="AD1332" t="str">
        <f t="shared" si="450"/>
        <v>4</v>
      </c>
      <c r="AE1332" t="str">
        <f t="shared" si="451"/>
        <v>WOOD (INCLUDE STEEL STUDS)</v>
      </c>
      <c r="AF1332" t="str">
        <f t="shared" si="452"/>
        <v>002</v>
      </c>
      <c r="AG1332" t="str">
        <f t="shared" si="444"/>
        <v>FL</v>
      </c>
      <c r="AH1332" t="str">
        <f t="shared" si="453"/>
        <v>-</v>
      </c>
      <c r="AI1332" t="str">
        <f t="shared" si="441"/>
        <v>28000.00</v>
      </c>
      <c r="AJ1332" t="str">
        <f>"C55-000-588-2563-9"</f>
        <v>C55-000-588-2563-9</v>
      </c>
      <c r="AK1332" t="str">
        <f>"22657"</f>
        <v>22657</v>
      </c>
      <c r="AL1332">
        <v>5</v>
      </c>
      <c r="AM1332">
        <v>1522</v>
      </c>
      <c r="AN1332">
        <v>447.97</v>
      </c>
      <c r="AQ1332" t="s">
        <v>13559</v>
      </c>
      <c r="AR1332" t="s">
        <v>13559</v>
      </c>
      <c r="AS1332" t="s">
        <v>13559</v>
      </c>
      <c r="AU1332" t="s">
        <v>396</v>
      </c>
      <c r="AV1332">
        <v>2017</v>
      </c>
      <c r="AW1332" t="str">
        <f>"42-2N-27-4614-0001-0200 "</f>
        <v xml:space="preserve">42-2N-27-4614-0001-0200 </v>
      </c>
      <c r="AX1332">
        <v>85809</v>
      </c>
      <c r="AZ1332" t="s">
        <v>13033</v>
      </c>
      <c r="BA1332" t="s">
        <v>1112</v>
      </c>
      <c r="BD1332" t="s">
        <v>2387</v>
      </c>
      <c r="BE1332" t="s">
        <v>393</v>
      </c>
      <c r="BF1332">
        <v>32097</v>
      </c>
      <c r="BG1332" t="s">
        <v>13560</v>
      </c>
      <c r="BH1332" t="s">
        <v>2388</v>
      </c>
      <c r="BI1332">
        <v>-81.581204245061897</v>
      </c>
      <c r="BJ1332">
        <v>30.607340413059301</v>
      </c>
      <c r="BK1332" t="s">
        <v>13561</v>
      </c>
      <c r="BL1332" t="s">
        <v>13562</v>
      </c>
      <c r="BM1332" t="s">
        <v>13560</v>
      </c>
      <c r="BN1332" t="s">
        <v>1778</v>
      </c>
      <c r="BO1332">
        <v>32097</v>
      </c>
      <c r="BP1332" t="s">
        <v>416</v>
      </c>
      <c r="BQ1332">
        <v>200</v>
      </c>
      <c r="BR1332" t="s">
        <v>405</v>
      </c>
      <c r="BS1332">
        <v>1006</v>
      </c>
      <c r="BT1332" t="s">
        <v>406</v>
      </c>
      <c r="BW1332">
        <v>61648</v>
      </c>
      <c r="BX1332" t="s">
        <v>407</v>
      </c>
      <c r="BY1332" t="s">
        <v>408</v>
      </c>
      <c r="BZ1332">
        <v>4</v>
      </c>
      <c r="CA1332">
        <v>1996</v>
      </c>
      <c r="CB1332">
        <v>1</v>
      </c>
      <c r="CC1332">
        <v>1</v>
      </c>
      <c r="CD1332">
        <v>2017</v>
      </c>
      <c r="CG1332">
        <v>50930</v>
      </c>
      <c r="CH1332">
        <v>2017</v>
      </c>
      <c r="CI1332">
        <v>28000</v>
      </c>
      <c r="CJ1332">
        <v>42915</v>
      </c>
      <c r="CK1332">
        <v>70915</v>
      </c>
      <c r="CL1332">
        <v>2017</v>
      </c>
      <c r="CM1332">
        <v>384.62</v>
      </c>
      <c r="CN1332" s="1">
        <v>38072</v>
      </c>
      <c r="CO1332">
        <v>81500</v>
      </c>
      <c r="CV1332">
        <v>0</v>
      </c>
      <c r="CZ1332" s="1">
        <v>38072</v>
      </c>
      <c r="DA1332">
        <v>0</v>
      </c>
      <c r="DD1332" t="s">
        <v>2387</v>
      </c>
      <c r="DF1332">
        <v>20</v>
      </c>
      <c r="DG1332">
        <v>42</v>
      </c>
      <c r="DL1332">
        <v>50302</v>
      </c>
      <c r="DM1332" t="s">
        <v>12468</v>
      </c>
      <c r="DO1332" t="s">
        <v>13563</v>
      </c>
      <c r="DP1332">
        <v>0</v>
      </c>
      <c r="DQ1332">
        <v>0</v>
      </c>
      <c r="DR1332" t="s">
        <v>411</v>
      </c>
      <c r="DS1332" t="b">
        <v>1</v>
      </c>
      <c r="DT1332" t="s">
        <v>470</v>
      </c>
      <c r="DU1332" t="s">
        <v>471</v>
      </c>
      <c r="DV1332" t="s">
        <v>472</v>
      </c>
      <c r="DX1332">
        <v>-9999</v>
      </c>
      <c r="DZ1332" t="s">
        <v>447</v>
      </c>
      <c r="EA1332" t="s">
        <v>448</v>
      </c>
      <c r="EB1332" t="s">
        <v>742</v>
      </c>
      <c r="EC1332">
        <v>20101217</v>
      </c>
      <c r="ED1332" t="s">
        <v>474</v>
      </c>
      <c r="EF1332">
        <v>2933.4</v>
      </c>
      <c r="EG1332">
        <v>2922.5</v>
      </c>
      <c r="EI1332">
        <v>20160407</v>
      </c>
      <c r="EJ1332">
        <v>0</v>
      </c>
      <c r="EK1332">
        <v>0</v>
      </c>
      <c r="EP1332" t="s">
        <v>421</v>
      </c>
      <c r="EQ1332" t="s">
        <v>422</v>
      </c>
      <c r="ER1332">
        <v>2</v>
      </c>
      <c r="ES1332">
        <v>7</v>
      </c>
      <c r="ET1332">
        <v>880.2</v>
      </c>
      <c r="EU1332">
        <v>56.51</v>
      </c>
      <c r="EV1332">
        <v>936.71</v>
      </c>
      <c r="EW1332" s="2">
        <v>43222</v>
      </c>
      <c r="EX1332" s="1">
        <v>42879</v>
      </c>
      <c r="EY1332">
        <v>2016</v>
      </c>
      <c r="EZ1332">
        <v>440.1</v>
      </c>
      <c r="FA1332" t="s">
        <v>13564</v>
      </c>
      <c r="FB1332">
        <v>0.25</v>
      </c>
      <c r="FC1332" t="s">
        <v>424</v>
      </c>
      <c r="FD1332" t="s">
        <v>454</v>
      </c>
      <c r="FF1332">
        <v>12</v>
      </c>
      <c r="FG1332">
        <v>2851116</v>
      </c>
      <c r="FH1332" t="s">
        <v>480</v>
      </c>
      <c r="FJ1332" s="1">
        <v>42879</v>
      </c>
      <c r="FK1332">
        <v>2016</v>
      </c>
      <c r="FL1332">
        <v>440.1</v>
      </c>
      <c r="FM1332" t="s">
        <v>13564</v>
      </c>
      <c r="FN1332">
        <v>0.25</v>
      </c>
      <c r="FO1332" t="s">
        <v>424</v>
      </c>
      <c r="FP1332" t="s">
        <v>454</v>
      </c>
      <c r="FR1332">
        <v>12</v>
      </c>
      <c r="FS1332">
        <v>5330335</v>
      </c>
      <c r="FT1332" t="s">
        <v>13565</v>
      </c>
      <c r="FV1332" s="1">
        <v>42515</v>
      </c>
      <c r="FW1332">
        <v>2015</v>
      </c>
      <c r="FX1332">
        <v>439.23</v>
      </c>
      <c r="FY1332" t="s">
        <v>13566</v>
      </c>
      <c r="FZ1332">
        <v>0.25</v>
      </c>
      <c r="GA1332" t="s">
        <v>424</v>
      </c>
      <c r="GB1332" t="s">
        <v>425</v>
      </c>
      <c r="GC1332" s="1">
        <v>43154</v>
      </c>
      <c r="GD1332">
        <v>21</v>
      </c>
      <c r="GE1332">
        <v>2851116</v>
      </c>
      <c r="GF1332" t="s">
        <v>480</v>
      </c>
      <c r="GH1332" s="1">
        <v>42515</v>
      </c>
      <c r="GI1332">
        <v>2015</v>
      </c>
      <c r="GJ1332">
        <v>439.23</v>
      </c>
      <c r="GK1332" t="s">
        <v>13566</v>
      </c>
      <c r="GL1332">
        <v>0.25</v>
      </c>
      <c r="GM1332" t="s">
        <v>424</v>
      </c>
      <c r="GN1332" t="s">
        <v>425</v>
      </c>
      <c r="GP1332">
        <v>22</v>
      </c>
      <c r="GQ1332">
        <v>5524684</v>
      </c>
      <c r="GR1332" t="s">
        <v>13567</v>
      </c>
      <c r="GT1332" s="1">
        <v>42151</v>
      </c>
      <c r="GU1332">
        <v>2014</v>
      </c>
      <c r="GV1332">
        <v>434.62</v>
      </c>
      <c r="GW1332" t="s">
        <v>13568</v>
      </c>
      <c r="GX1332">
        <v>0.25</v>
      </c>
      <c r="GY1332" t="s">
        <v>424</v>
      </c>
      <c r="GZ1332" t="s">
        <v>425</v>
      </c>
      <c r="HA1332" s="1">
        <v>42793</v>
      </c>
      <c r="HB1332">
        <v>21</v>
      </c>
      <c r="HC1332">
        <v>2851116</v>
      </c>
      <c r="HD1332" t="s">
        <v>480</v>
      </c>
      <c r="HF1332" s="1">
        <v>42151</v>
      </c>
      <c r="HG1332">
        <v>2014</v>
      </c>
      <c r="HH1332">
        <v>434.62</v>
      </c>
      <c r="HI1332" t="s">
        <v>13568</v>
      </c>
      <c r="HJ1332">
        <v>0.25</v>
      </c>
      <c r="HK1332" t="s">
        <v>424</v>
      </c>
      <c r="HL1332" t="s">
        <v>425</v>
      </c>
      <c r="HN1332">
        <v>22</v>
      </c>
      <c r="HO1332">
        <v>5003241</v>
      </c>
      <c r="HP1332" t="s">
        <v>13569</v>
      </c>
      <c r="HR1332" s="1">
        <v>41787</v>
      </c>
      <c r="HS1332">
        <v>2013</v>
      </c>
      <c r="HT1332">
        <v>479.8</v>
      </c>
      <c r="HU1332" t="s">
        <v>13570</v>
      </c>
      <c r="HV1332">
        <v>0.25</v>
      </c>
      <c r="HW1332" t="s">
        <v>424</v>
      </c>
      <c r="HX1332" t="s">
        <v>425</v>
      </c>
      <c r="HY1332" s="1">
        <v>42426</v>
      </c>
      <c r="HZ1332">
        <v>21</v>
      </c>
      <c r="IA1332">
        <v>15399</v>
      </c>
      <c r="IB1332" t="s">
        <v>485</v>
      </c>
      <c r="ID1332" s="1">
        <v>41423</v>
      </c>
      <c r="IE1332">
        <v>2012</v>
      </c>
      <c r="IF1332">
        <v>505.68</v>
      </c>
      <c r="IG1332" t="s">
        <v>13571</v>
      </c>
      <c r="IH1332">
        <v>0.25</v>
      </c>
      <c r="II1332" t="s">
        <v>424</v>
      </c>
      <c r="IJ1332" t="s">
        <v>425</v>
      </c>
      <c r="IK1332" s="1">
        <v>42060</v>
      </c>
      <c r="IL1332">
        <v>21</v>
      </c>
      <c r="IM1332">
        <v>15399</v>
      </c>
      <c r="IN1332" t="s">
        <v>485</v>
      </c>
      <c r="IP1332" s="1">
        <v>41052</v>
      </c>
      <c r="IQ1332">
        <v>2011</v>
      </c>
      <c r="IR1332">
        <v>395.31</v>
      </c>
      <c r="IS1332" t="s">
        <v>13572</v>
      </c>
      <c r="IT1332">
        <v>5.75</v>
      </c>
      <c r="IU1332" t="s">
        <v>424</v>
      </c>
      <c r="IV1332" t="s">
        <v>425</v>
      </c>
      <c r="IW1332" s="1">
        <v>41698</v>
      </c>
      <c r="IX1332">
        <v>21</v>
      </c>
      <c r="IY1332">
        <v>62</v>
      </c>
      <c r="IZ1332" t="s">
        <v>463</v>
      </c>
    </row>
    <row r="1333" spans="1:272" x14ac:dyDescent="0.25">
      <c r="A1333">
        <v>16486340</v>
      </c>
      <c r="B1333">
        <v>1332</v>
      </c>
      <c r="C1333" t="s">
        <v>393</v>
      </c>
      <c r="D1333" t="s">
        <v>394</v>
      </c>
      <c r="F1333" t="str">
        <f>"42-2N-27-4614-0002-0050"</f>
        <v>42-2N-27-4614-0002-0050</v>
      </c>
      <c r="H1333" t="str">
        <f>"HOOVER TODD S"</f>
        <v>HOOVER TODD S</v>
      </c>
      <c r="I1333" t="str">
        <f>"85220 TERRY ROAD"</f>
        <v>85220 TERRY ROAD</v>
      </c>
      <c r="J1333" t="str">
        <f t="shared" si="455"/>
        <v>YULEE FL 32097</v>
      </c>
      <c r="K1333" t="str">
        <f>"85220 TERRY RD"</f>
        <v>85220 TERRY RD</v>
      </c>
      <c r="L1333" t="str">
        <f t="shared" si="430"/>
        <v>YULEE FL 32097</v>
      </c>
      <c r="M1333" t="str">
        <f>"BLOCK 2 LOT 5 &amp; S20 FT LOT 4 EX S8.08 FT OF LOT 5 DW/MH 2001 HOME OF MERIT IN OR 1723/22 YULEE WOODS 4 PB 5/301 &amp; 302"</f>
        <v>BLOCK 2 LOT 5 &amp; S20 FT LOT 4 EX S8.08 FT OF LOT 5 DW/MH 2001 HOME OF MERIT IN OR 1723/22 YULEE WOODS 4 PB 5/301 &amp; 302</v>
      </c>
      <c r="N1333" t="str">
        <f>""</f>
        <v/>
      </c>
      <c r="O1333" t="str">
        <f>"49013"</f>
        <v>49013</v>
      </c>
      <c r="P1333" t="str">
        <f t="shared" si="433"/>
        <v>2017</v>
      </c>
      <c r="Q1333" t="str">
        <f>""</f>
        <v/>
      </c>
      <c r="R1333" t="str">
        <f>"N"</f>
        <v>N</v>
      </c>
      <c r="S1333" t="str">
        <f>""</f>
        <v/>
      </c>
      <c r="T1333" t="str">
        <f>"1426.26"</f>
        <v>1426.26</v>
      </c>
      <c r="U1333" t="str">
        <f>"82698.00"</f>
        <v>82698.00</v>
      </c>
      <c r="V1333" t="str">
        <f>"82698.00"</f>
        <v>82698.00</v>
      </c>
      <c r="W1333" t="str">
        <f t="shared" si="434"/>
        <v>2017</v>
      </c>
      <c r="X1333" t="str">
        <f>"18.50"</f>
        <v>18.50</v>
      </c>
      <c r="Y1333" t="str">
        <f>"1501.05"</f>
        <v>1501.05</v>
      </c>
      <c r="Z1333" t="str">
        <f>""</f>
        <v/>
      </c>
      <c r="AA1333" t="str">
        <f>"109116.00"</f>
        <v>109116.00</v>
      </c>
      <c r="AB1333" t="str">
        <f t="shared" si="454"/>
        <v>Residential</v>
      </c>
      <c r="AC1333" t="str">
        <f t="shared" si="445"/>
        <v>0</v>
      </c>
      <c r="AD1333" t="str">
        <f t="shared" si="450"/>
        <v>4</v>
      </c>
      <c r="AE1333" t="str">
        <f t="shared" si="451"/>
        <v>WOOD (INCLUDE STEEL STUDS)</v>
      </c>
      <c r="AF1333" t="str">
        <f t="shared" si="452"/>
        <v>002</v>
      </c>
      <c r="AG1333" t="str">
        <f t="shared" si="444"/>
        <v>FL</v>
      </c>
      <c r="AH1333" t="str">
        <f t="shared" si="453"/>
        <v>-</v>
      </c>
      <c r="AI1333" t="str">
        <f t="shared" si="441"/>
        <v>28000.00</v>
      </c>
      <c r="AJ1333" t="str">
        <f>"C55-000-588-2572-0"</f>
        <v>C55-000-588-2572-0</v>
      </c>
      <c r="AK1333" t="str">
        <f>"22666"</f>
        <v>22666</v>
      </c>
      <c r="AL1333">
        <v>5</v>
      </c>
      <c r="AM1333">
        <v>1523</v>
      </c>
      <c r="AN1333">
        <v>1574.55</v>
      </c>
      <c r="AQ1333" t="s">
        <v>13573</v>
      </c>
      <c r="AR1333" t="s">
        <v>13573</v>
      </c>
      <c r="AS1333" t="s">
        <v>13573</v>
      </c>
      <c r="AU1333" t="s">
        <v>396</v>
      </c>
      <c r="AV1333">
        <v>2017</v>
      </c>
      <c r="AW1333" t="str">
        <f>"42-2N-27-4614-0002-0050 "</f>
        <v xml:space="preserve">42-2N-27-4614-0002-0050 </v>
      </c>
      <c r="AX1333">
        <v>85220</v>
      </c>
      <c r="AZ1333" t="s">
        <v>13574</v>
      </c>
      <c r="BA1333" t="s">
        <v>496</v>
      </c>
      <c r="BD1333" t="s">
        <v>2387</v>
      </c>
      <c r="BE1333" t="s">
        <v>393</v>
      </c>
      <c r="BF1333">
        <v>32097</v>
      </c>
      <c r="BG1333" t="s">
        <v>13575</v>
      </c>
      <c r="BH1333" t="s">
        <v>2388</v>
      </c>
      <c r="BI1333">
        <v>-81.579026492765294</v>
      </c>
      <c r="BJ1333">
        <v>30.603753569802901</v>
      </c>
      <c r="BK1333" t="s">
        <v>13576</v>
      </c>
      <c r="BM1333" t="s">
        <v>13575</v>
      </c>
      <c r="BN1333" t="s">
        <v>1778</v>
      </c>
      <c r="BO1333">
        <v>32097</v>
      </c>
      <c r="BP1333" t="s">
        <v>416</v>
      </c>
      <c r="BQ1333">
        <v>200</v>
      </c>
      <c r="BR1333" t="s">
        <v>405</v>
      </c>
      <c r="BS1333">
        <v>1006</v>
      </c>
      <c r="BT1333" t="s">
        <v>406</v>
      </c>
      <c r="BW1333">
        <v>46457</v>
      </c>
      <c r="BX1333" t="s">
        <v>407</v>
      </c>
      <c r="BY1333" t="s">
        <v>408</v>
      </c>
      <c r="BZ1333">
        <v>4</v>
      </c>
      <c r="CA1333">
        <v>2000</v>
      </c>
      <c r="CC1333">
        <v>1</v>
      </c>
      <c r="CD1333">
        <v>2017</v>
      </c>
      <c r="CE1333">
        <v>28000</v>
      </c>
      <c r="CF1333">
        <v>81116</v>
      </c>
      <c r="CG1333">
        <v>109116</v>
      </c>
      <c r="CH1333">
        <v>2017</v>
      </c>
      <c r="CI1333">
        <v>28000</v>
      </c>
      <c r="CJ1333">
        <v>81116</v>
      </c>
      <c r="CK1333">
        <v>109116</v>
      </c>
      <c r="CL1333">
        <v>2017</v>
      </c>
      <c r="CM1333">
        <v>1426.26</v>
      </c>
      <c r="CN1333" s="1">
        <v>40577</v>
      </c>
      <c r="CZ1333" s="1">
        <v>40577</v>
      </c>
      <c r="DD1333" t="s">
        <v>2387</v>
      </c>
      <c r="DF1333">
        <v>5</v>
      </c>
      <c r="DG1333">
        <v>42</v>
      </c>
      <c r="DL1333">
        <v>50302</v>
      </c>
      <c r="DM1333" t="s">
        <v>12468</v>
      </c>
      <c r="DO1333" t="s">
        <v>13577</v>
      </c>
      <c r="DP1333">
        <v>0</v>
      </c>
      <c r="DQ1333">
        <v>0</v>
      </c>
      <c r="DR1333" t="s">
        <v>411</v>
      </c>
      <c r="DS1333" t="b">
        <v>1</v>
      </c>
      <c r="DT1333" t="s">
        <v>470</v>
      </c>
      <c r="DU1333" t="s">
        <v>471</v>
      </c>
      <c r="DV1333" t="s">
        <v>472</v>
      </c>
      <c r="DX1333">
        <v>-9999</v>
      </c>
      <c r="DZ1333" t="s">
        <v>447</v>
      </c>
      <c r="EA1333" t="s">
        <v>448</v>
      </c>
      <c r="EB1333" t="s">
        <v>742</v>
      </c>
      <c r="EC1333">
        <v>20101217</v>
      </c>
      <c r="ED1333" t="s">
        <v>474</v>
      </c>
      <c r="EF1333">
        <v>2677.2</v>
      </c>
      <c r="EG1333">
        <v>2581.1999999999998</v>
      </c>
      <c r="EI1333">
        <v>20160407</v>
      </c>
      <c r="EJ1333">
        <v>0</v>
      </c>
      <c r="EK1333">
        <v>0</v>
      </c>
      <c r="EP1333" t="s">
        <v>421</v>
      </c>
      <c r="EQ1333" t="s">
        <v>452</v>
      </c>
      <c r="ER1333">
        <v>0</v>
      </c>
      <c r="ES1333">
        <v>7</v>
      </c>
      <c r="ET1333">
        <v>0</v>
      </c>
      <c r="EU1333">
        <v>0</v>
      </c>
      <c r="EV1333">
        <v>0</v>
      </c>
      <c r="EW1333" s="2">
        <v>43222</v>
      </c>
      <c r="EX1333" s="1">
        <v>42515</v>
      </c>
      <c r="EY1333">
        <v>2015</v>
      </c>
      <c r="EZ1333">
        <v>1244.05</v>
      </c>
      <c r="FA1333" t="s">
        <v>13578</v>
      </c>
      <c r="FB1333">
        <v>4.75</v>
      </c>
      <c r="FC1333" t="s">
        <v>424</v>
      </c>
      <c r="FD1333" t="s">
        <v>425</v>
      </c>
      <c r="FE1333" s="1">
        <v>42852</v>
      </c>
      <c r="FF1333">
        <v>11</v>
      </c>
      <c r="FG1333">
        <v>2035919</v>
      </c>
      <c r="FH1333" t="s">
        <v>507</v>
      </c>
      <c r="FI1333" t="s">
        <v>458</v>
      </c>
      <c r="FJ1333" s="1">
        <v>42151</v>
      </c>
      <c r="FK1333">
        <v>2014</v>
      </c>
      <c r="FL1333">
        <v>726.15</v>
      </c>
      <c r="FM1333" t="s">
        <v>13579</v>
      </c>
      <c r="FN1333">
        <v>4.75</v>
      </c>
      <c r="FO1333" t="s">
        <v>424</v>
      </c>
      <c r="FP1333" t="s">
        <v>425</v>
      </c>
      <c r="FR1333">
        <v>22</v>
      </c>
      <c r="FS1333">
        <v>4975593</v>
      </c>
      <c r="FT1333" t="s">
        <v>505</v>
      </c>
      <c r="FU1333" t="s">
        <v>458</v>
      </c>
      <c r="FV1333" s="1">
        <v>41787</v>
      </c>
      <c r="FW1333">
        <v>2013</v>
      </c>
      <c r="FX1333">
        <v>1222.8399999999999</v>
      </c>
      <c r="FY1333" t="s">
        <v>13580</v>
      </c>
      <c r="FZ1333">
        <v>0.25</v>
      </c>
      <c r="GA1333" t="s">
        <v>424</v>
      </c>
      <c r="GB1333" t="s">
        <v>425</v>
      </c>
      <c r="GC1333" s="1">
        <v>42704</v>
      </c>
      <c r="GD1333">
        <v>30</v>
      </c>
      <c r="GE1333">
        <v>2101382</v>
      </c>
      <c r="GF1333" t="s">
        <v>993</v>
      </c>
      <c r="GH1333" s="1">
        <v>41423</v>
      </c>
      <c r="GI1333">
        <v>2012</v>
      </c>
      <c r="GJ1333">
        <v>1395.55</v>
      </c>
      <c r="GK1333" t="s">
        <v>13581</v>
      </c>
      <c r="GL1333">
        <v>0.25</v>
      </c>
      <c r="GM1333" t="s">
        <v>424</v>
      </c>
      <c r="GN1333" t="s">
        <v>425</v>
      </c>
      <c r="GO1333" s="1">
        <v>42058</v>
      </c>
      <c r="GP1333">
        <v>21</v>
      </c>
      <c r="GQ1333">
        <v>606981</v>
      </c>
      <c r="GR1333" t="s">
        <v>792</v>
      </c>
      <c r="GT1333" s="1">
        <v>41052</v>
      </c>
      <c r="GU1333">
        <v>2011</v>
      </c>
      <c r="GV1333">
        <v>1730.71</v>
      </c>
      <c r="GW1333" t="s">
        <v>13582</v>
      </c>
      <c r="GX1333">
        <v>0.25</v>
      </c>
      <c r="GY1333" t="s">
        <v>424</v>
      </c>
      <c r="GZ1333" t="s">
        <v>425</v>
      </c>
      <c r="HA1333" s="1">
        <v>41698</v>
      </c>
      <c r="HB1333">
        <v>21</v>
      </c>
      <c r="HC1333">
        <v>13104</v>
      </c>
      <c r="HD1333" t="s">
        <v>888</v>
      </c>
      <c r="HF1333" s="1">
        <v>41052</v>
      </c>
      <c r="HG1333">
        <v>2011</v>
      </c>
      <c r="HH1333">
        <v>1730.71</v>
      </c>
      <c r="HI1333" t="s">
        <v>13582</v>
      </c>
      <c r="HJ1333">
        <v>0.25</v>
      </c>
      <c r="HK1333" t="s">
        <v>424</v>
      </c>
      <c r="HL1333" t="s">
        <v>425</v>
      </c>
      <c r="HN1333">
        <v>22</v>
      </c>
      <c r="HO1333">
        <v>13664</v>
      </c>
      <c r="HP1333" t="s">
        <v>13583</v>
      </c>
      <c r="HR1333" s="1">
        <v>40688</v>
      </c>
      <c r="HS1333">
        <v>2010</v>
      </c>
      <c r="HT1333">
        <v>791.96</v>
      </c>
      <c r="HU1333" t="s">
        <v>13584</v>
      </c>
      <c r="HV1333">
        <v>6.25</v>
      </c>
      <c r="HW1333" t="s">
        <v>424</v>
      </c>
      <c r="HX1333" t="s">
        <v>425</v>
      </c>
      <c r="HY1333" s="1">
        <v>41332</v>
      </c>
      <c r="HZ1333">
        <v>21</v>
      </c>
      <c r="IA1333">
        <v>10591</v>
      </c>
      <c r="IB1333" t="s">
        <v>4254</v>
      </c>
    </row>
    <row r="1334" spans="1:272" x14ac:dyDescent="0.25">
      <c r="A1334">
        <v>16486341</v>
      </c>
      <c r="B1334">
        <v>1333</v>
      </c>
      <c r="C1334" t="s">
        <v>393</v>
      </c>
      <c r="D1334" t="s">
        <v>394</v>
      </c>
      <c r="F1334" t="str">
        <f>"42-2N-27-4614-0002-0072"</f>
        <v>42-2N-27-4614-0002-0072</v>
      </c>
      <c r="H1334" t="str">
        <f>"SHEFFIELD WILLIAM F &amp; PHILIPS ELISE &amp; BLACKMON HARRY C/O WM F SHEFFIELD INC"</f>
        <v>SHEFFIELD WILLIAM F &amp; PHILIPS ELISE &amp; BLACKMON HARRY C/O WM F SHEFFIELD INC</v>
      </c>
      <c r="I1334" t="str">
        <f>""</f>
        <v/>
      </c>
      <c r="J1334" t="str">
        <f>"JACKSONVILLE FL 32255"</f>
        <v>JACKSONVILLE FL 32255</v>
      </c>
      <c r="K1334" t="str">
        <f>"TERRY RD"</f>
        <v>TERRY RD</v>
      </c>
      <c r="L1334" t="str">
        <f t="shared" si="430"/>
        <v>YULEE FL 32097</v>
      </c>
      <c r="M1334" t="str">
        <f>"BLOCK 2 PT LOTS 7 &amp; 6 STORM WATER DRAIN YULEE WOODS 4 PB 5/301 &amp; 302"</f>
        <v>BLOCK 2 PT LOTS 7 &amp; 6 STORM WATER DRAIN YULEE WOODS 4 PB 5/301 &amp; 302</v>
      </c>
      <c r="N1334" t="str">
        <f>""</f>
        <v/>
      </c>
      <c r="O1334" t="str">
        <f>"49016"</f>
        <v>49016</v>
      </c>
      <c r="P1334" t="str">
        <f t="shared" si="433"/>
        <v>2017</v>
      </c>
      <c r="Q1334" t="str">
        <f>""</f>
        <v/>
      </c>
      <c r="R1334" t="str">
        <f>"N"</f>
        <v>N</v>
      </c>
      <c r="S1334" t="str">
        <f>""</f>
        <v/>
      </c>
      <c r="T1334" t="str">
        <f>"15.14"</f>
        <v>15.14</v>
      </c>
      <c r="U1334" t="str">
        <f>"1000.00"</f>
        <v>1000.00</v>
      </c>
      <c r="V1334" t="str">
        <f>"1000.00"</f>
        <v>1000.00</v>
      </c>
      <c r="W1334" t="str">
        <f t="shared" si="434"/>
        <v>2017</v>
      </c>
      <c r="X1334" t="str">
        <f>""</f>
        <v/>
      </c>
      <c r="Y1334" t="str">
        <f>"47.59"</f>
        <v>47.59</v>
      </c>
      <c r="Z1334" t="str">
        <f>""</f>
        <v/>
      </c>
      <c r="AA1334" t="str">
        <f>"1000.00"</f>
        <v>1000.00</v>
      </c>
      <c r="AB1334" t="str">
        <f t="shared" si="454"/>
        <v>Residential</v>
      </c>
      <c r="AC1334" t="str">
        <f t="shared" si="445"/>
        <v>0</v>
      </c>
      <c r="AD1334" t="str">
        <f>""</f>
        <v/>
      </c>
      <c r="AE1334" t="str">
        <f>""</f>
        <v/>
      </c>
      <c r="AF1334" t="str">
        <f>"000"</f>
        <v>000</v>
      </c>
      <c r="AG1334" t="str">
        <f t="shared" si="444"/>
        <v>FL</v>
      </c>
      <c r="AH1334" t="str">
        <f t="shared" si="453"/>
        <v>-</v>
      </c>
      <c r="AI1334" t="str">
        <f>"1000.00"</f>
        <v>1000.00</v>
      </c>
      <c r="AJ1334" t="str">
        <f>"C55-000-588-2575-3"</f>
        <v>C55-000-588-2575-3</v>
      </c>
      <c r="AK1334" t="str">
        <f>"22669"</f>
        <v>22669</v>
      </c>
      <c r="AL1334">
        <v>5</v>
      </c>
      <c r="AM1334">
        <v>1524</v>
      </c>
      <c r="AN1334">
        <v>48.37</v>
      </c>
      <c r="AQ1334" t="s">
        <v>13585</v>
      </c>
      <c r="AR1334" t="s">
        <v>13585</v>
      </c>
      <c r="AS1334" t="s">
        <v>13585</v>
      </c>
      <c r="AU1334" t="s">
        <v>396</v>
      </c>
      <c r="AV1334">
        <v>2017</v>
      </c>
      <c r="AW1334" t="str">
        <f>"42-2N-27-4614-0002-0072 "</f>
        <v xml:space="preserve">42-2N-27-4614-0002-0072 </v>
      </c>
      <c r="AZ1334" t="s">
        <v>13574</v>
      </c>
      <c r="BA1334" t="s">
        <v>496</v>
      </c>
      <c r="BD1334" t="s">
        <v>2387</v>
      </c>
      <c r="BE1334" t="s">
        <v>393</v>
      </c>
      <c r="BF1334">
        <v>32097</v>
      </c>
      <c r="BG1334" t="s">
        <v>13586</v>
      </c>
      <c r="BH1334" t="s">
        <v>2388</v>
      </c>
      <c r="BI1334">
        <v>-81.578205869311105</v>
      </c>
      <c r="BJ1334">
        <v>30.603118557050401</v>
      </c>
      <c r="BK1334" t="s">
        <v>13587</v>
      </c>
      <c r="BM1334" t="s">
        <v>13588</v>
      </c>
      <c r="BN1334" t="s">
        <v>548</v>
      </c>
      <c r="BO1334">
        <v>32255</v>
      </c>
      <c r="BP1334" t="s">
        <v>404</v>
      </c>
      <c r="BQ1334">
        <v>0</v>
      </c>
      <c r="BR1334" t="s">
        <v>491</v>
      </c>
      <c r="BS1334">
        <v>8001</v>
      </c>
      <c r="BT1334" t="s">
        <v>492</v>
      </c>
      <c r="BW1334">
        <v>5068</v>
      </c>
      <c r="BX1334" t="s">
        <v>407</v>
      </c>
      <c r="BY1334" t="s">
        <v>408</v>
      </c>
      <c r="CD1334">
        <v>2017</v>
      </c>
      <c r="CE1334">
        <v>1000</v>
      </c>
      <c r="CG1334">
        <v>1000</v>
      </c>
      <c r="CH1334">
        <v>2017</v>
      </c>
      <c r="CI1334">
        <v>1000</v>
      </c>
      <c r="CK1334">
        <v>1000</v>
      </c>
      <c r="CL1334">
        <v>2017</v>
      </c>
      <c r="CM1334">
        <v>15.14</v>
      </c>
      <c r="DD1334" t="s">
        <v>2387</v>
      </c>
      <c r="DG1334">
        <v>42</v>
      </c>
      <c r="DJ1334" t="s">
        <v>13225</v>
      </c>
      <c r="DL1334">
        <v>50302</v>
      </c>
      <c r="DM1334" t="s">
        <v>12468</v>
      </c>
      <c r="DO1334" t="s">
        <v>13589</v>
      </c>
      <c r="DP1334">
        <v>0</v>
      </c>
      <c r="DQ1334">
        <v>0</v>
      </c>
      <c r="DR1334" t="s">
        <v>411</v>
      </c>
      <c r="DS1334" t="b">
        <v>1</v>
      </c>
      <c r="DT1334" t="s">
        <v>470</v>
      </c>
      <c r="DU1334" t="s">
        <v>471</v>
      </c>
      <c r="DV1334" t="s">
        <v>472</v>
      </c>
      <c r="DX1334">
        <v>-9999</v>
      </c>
      <c r="DZ1334" t="s">
        <v>447</v>
      </c>
      <c r="EA1334" t="s">
        <v>448</v>
      </c>
      <c r="EB1334" t="s">
        <v>742</v>
      </c>
      <c r="EC1334">
        <v>20101217</v>
      </c>
      <c r="ED1334" t="s">
        <v>474</v>
      </c>
      <c r="EF1334">
        <v>2579</v>
      </c>
      <c r="EG1334">
        <v>2482.1</v>
      </c>
      <c r="EI1334">
        <v>20160407</v>
      </c>
      <c r="EJ1334">
        <v>0</v>
      </c>
      <c r="EK1334">
        <v>0</v>
      </c>
      <c r="EP1334" t="s">
        <v>595</v>
      </c>
      <c r="EQ1334" t="s">
        <v>422</v>
      </c>
      <c r="ER1334">
        <v>8</v>
      </c>
      <c r="ES1334">
        <v>0</v>
      </c>
      <c r="ET1334">
        <v>305.12</v>
      </c>
      <c r="EU1334">
        <v>232.83</v>
      </c>
      <c r="EV1334">
        <v>537.95000000000005</v>
      </c>
      <c r="EW1334" s="2">
        <v>43222</v>
      </c>
      <c r="EX1334" s="1">
        <v>42879</v>
      </c>
      <c r="EY1334">
        <v>2016</v>
      </c>
      <c r="EZ1334">
        <v>43.61</v>
      </c>
      <c r="FA1334" t="s">
        <v>13590</v>
      </c>
      <c r="FB1334">
        <v>18</v>
      </c>
      <c r="FC1334" t="s">
        <v>424</v>
      </c>
      <c r="FD1334" t="s">
        <v>454</v>
      </c>
      <c r="FF1334">
        <v>12</v>
      </c>
      <c r="FG1334">
        <v>7685287</v>
      </c>
      <c r="FH1334" t="s">
        <v>6806</v>
      </c>
      <c r="FJ1334" s="1">
        <v>42515</v>
      </c>
      <c r="FK1334">
        <v>2015</v>
      </c>
      <c r="FL1334">
        <v>39.01</v>
      </c>
      <c r="FM1334" t="s">
        <v>13591</v>
      </c>
      <c r="FN1334">
        <v>18</v>
      </c>
      <c r="FO1334" t="s">
        <v>603</v>
      </c>
      <c r="FP1334" t="s">
        <v>454</v>
      </c>
      <c r="FR1334">
        <v>24</v>
      </c>
      <c r="FS1334">
        <v>9999999</v>
      </c>
      <c r="FT1334" t="s">
        <v>604</v>
      </c>
      <c r="FV1334" s="1">
        <v>42151</v>
      </c>
      <c r="FW1334">
        <v>2014</v>
      </c>
      <c r="FX1334">
        <v>39.090000000000003</v>
      </c>
      <c r="FY1334" t="s">
        <v>13592</v>
      </c>
      <c r="FZ1334">
        <v>18</v>
      </c>
      <c r="GA1334" t="s">
        <v>603</v>
      </c>
      <c r="GB1334" t="s">
        <v>454</v>
      </c>
      <c r="GD1334">
        <v>36</v>
      </c>
      <c r="GE1334">
        <v>9999999</v>
      </c>
      <c r="GF1334" t="s">
        <v>604</v>
      </c>
      <c r="GH1334" s="1">
        <v>41787</v>
      </c>
      <c r="GI1334">
        <v>2013</v>
      </c>
      <c r="GJ1334">
        <v>38.18</v>
      </c>
      <c r="GK1334" t="s">
        <v>13593</v>
      </c>
      <c r="GL1334">
        <v>18</v>
      </c>
      <c r="GM1334" t="s">
        <v>603</v>
      </c>
      <c r="GN1334" t="s">
        <v>454</v>
      </c>
      <c r="GP1334">
        <v>48</v>
      </c>
      <c r="GQ1334">
        <v>9999999</v>
      </c>
      <c r="GR1334" t="s">
        <v>604</v>
      </c>
      <c r="GT1334" s="1">
        <v>41423</v>
      </c>
      <c r="GU1334">
        <v>2012</v>
      </c>
      <c r="GV1334">
        <v>38.369999999999997</v>
      </c>
      <c r="GW1334" t="s">
        <v>13594</v>
      </c>
      <c r="GX1334">
        <v>10</v>
      </c>
      <c r="GY1334" t="s">
        <v>424</v>
      </c>
      <c r="GZ1334" t="s">
        <v>454</v>
      </c>
      <c r="HB1334">
        <v>60</v>
      </c>
      <c r="HC1334">
        <v>375</v>
      </c>
      <c r="HD1334" t="s">
        <v>776</v>
      </c>
      <c r="HF1334" s="1">
        <v>41423</v>
      </c>
      <c r="HG1334">
        <v>2012</v>
      </c>
      <c r="HH1334">
        <v>38.369999999999997</v>
      </c>
      <c r="HI1334" t="s">
        <v>13594</v>
      </c>
      <c r="HJ1334">
        <v>10</v>
      </c>
      <c r="HK1334" t="s">
        <v>424</v>
      </c>
      <c r="HL1334" t="s">
        <v>454</v>
      </c>
      <c r="HN1334">
        <v>60</v>
      </c>
      <c r="HO1334">
        <v>105</v>
      </c>
      <c r="HP1334" t="s">
        <v>946</v>
      </c>
      <c r="HR1334" s="1">
        <v>41052</v>
      </c>
      <c r="HS1334">
        <v>2011</v>
      </c>
      <c r="HT1334">
        <v>37.83</v>
      </c>
      <c r="HU1334" t="s">
        <v>13595</v>
      </c>
      <c r="HV1334">
        <v>18</v>
      </c>
      <c r="HW1334" t="s">
        <v>424</v>
      </c>
      <c r="HX1334" t="s">
        <v>454</v>
      </c>
      <c r="HZ1334">
        <v>72</v>
      </c>
      <c r="IA1334">
        <v>15163</v>
      </c>
      <c r="IB1334" t="s">
        <v>5790</v>
      </c>
      <c r="ID1334" s="1">
        <v>41052</v>
      </c>
      <c r="IE1334">
        <v>2011</v>
      </c>
      <c r="IF1334">
        <v>30.66</v>
      </c>
      <c r="IG1334" t="s">
        <v>13595</v>
      </c>
      <c r="IH1334">
        <v>18</v>
      </c>
      <c r="II1334" t="s">
        <v>603</v>
      </c>
      <c r="IJ1334" t="s">
        <v>454</v>
      </c>
      <c r="IL1334">
        <v>72</v>
      </c>
      <c r="IM1334">
        <v>9999999</v>
      </c>
      <c r="IN1334" t="s">
        <v>604</v>
      </c>
    </row>
    <row r="1335" spans="1:272" x14ac:dyDescent="0.25">
      <c r="A1335">
        <v>16486342</v>
      </c>
      <c r="B1335">
        <v>1334</v>
      </c>
      <c r="C1335" t="s">
        <v>393</v>
      </c>
      <c r="D1335" t="s">
        <v>394</v>
      </c>
      <c r="F1335" t="str">
        <f>"42-2N-27-4614-0003-0070"</f>
        <v>42-2N-27-4614-0003-0070</v>
      </c>
      <c r="H1335" t="str">
        <f>"RITTER ELIZABETH ANN"</f>
        <v>RITTER ELIZABETH ANN</v>
      </c>
      <c r="I1335" t="str">
        <f>"PO BOX 611"</f>
        <v>PO BOX 611</v>
      </c>
      <c r="J1335" t="str">
        <f>"YULEE FL 32041"</f>
        <v>YULEE FL 32041</v>
      </c>
      <c r="K1335" t="str">
        <f>"85398 THERESA RD"</f>
        <v>85398 THERESA RD</v>
      </c>
      <c r="L1335" t="str">
        <f t="shared" si="430"/>
        <v>YULEE FL 32097</v>
      </c>
      <c r="M1335" t="str">
        <f>"BLOCK 3 LOT 7 IN OR 676 PG 190 YULEE WOODS 4 PB 5/301 &amp; 302"</f>
        <v>BLOCK 3 LOT 7 IN OR 676 PG 190 YULEE WOODS 4 PB 5/301 &amp; 302</v>
      </c>
      <c r="N1335" t="str">
        <f>""</f>
        <v/>
      </c>
      <c r="O1335" t="str">
        <f>"49023"</f>
        <v>49023</v>
      </c>
      <c r="P1335" t="str">
        <f t="shared" si="433"/>
        <v>2017</v>
      </c>
      <c r="Q1335" t="str">
        <f>""</f>
        <v/>
      </c>
      <c r="R1335" t="str">
        <f>"N"</f>
        <v>N</v>
      </c>
      <c r="S1335" t="str">
        <f>""</f>
        <v/>
      </c>
      <c r="T1335" t="str">
        <f>"518.21"</f>
        <v>518.21</v>
      </c>
      <c r="U1335" t="str">
        <f>"32670.00"</f>
        <v>32670.00</v>
      </c>
      <c r="V1335" t="str">
        <f>"32670.00"</f>
        <v>32670.00</v>
      </c>
      <c r="W1335" t="str">
        <f t="shared" si="434"/>
        <v>2017</v>
      </c>
      <c r="X1335" t="str">
        <f>"18.86"</f>
        <v>18.86</v>
      </c>
      <c r="Y1335" t="str">
        <f>"565.76"</f>
        <v>565.76</v>
      </c>
      <c r="Z1335" t="str">
        <f>""</f>
        <v/>
      </c>
      <c r="AA1335" t="str">
        <f>"36250.00"</f>
        <v>36250.00</v>
      </c>
      <c r="AB1335" t="str">
        <f t="shared" si="454"/>
        <v>Residential</v>
      </c>
      <c r="AC1335" t="str">
        <f t="shared" si="445"/>
        <v>0</v>
      </c>
      <c r="AD1335" t="str">
        <f>""</f>
        <v/>
      </c>
      <c r="AE1335" t="str">
        <f>""</f>
        <v/>
      </c>
      <c r="AF1335" t="str">
        <f>"000"</f>
        <v>000</v>
      </c>
      <c r="AG1335" t="str">
        <f t="shared" si="444"/>
        <v>FL</v>
      </c>
      <c r="AH1335" t="str">
        <f t="shared" si="453"/>
        <v>-</v>
      </c>
      <c r="AI1335" t="str">
        <f>"28000.00"</f>
        <v>28000.00</v>
      </c>
      <c r="AJ1335" t="str">
        <f>"C55-000-588-2582-9"</f>
        <v>C55-000-588-2582-9</v>
      </c>
      <c r="AK1335" t="str">
        <f>"22676"</f>
        <v>22676</v>
      </c>
      <c r="AL1335">
        <v>5</v>
      </c>
      <c r="AM1335">
        <v>1525</v>
      </c>
      <c r="AN1335">
        <v>592.45000000000005</v>
      </c>
      <c r="AQ1335" t="s">
        <v>13596</v>
      </c>
      <c r="AR1335" t="s">
        <v>13596</v>
      </c>
      <c r="AS1335" t="s">
        <v>13596</v>
      </c>
      <c r="AU1335" t="s">
        <v>396</v>
      </c>
      <c r="AV1335">
        <v>2017</v>
      </c>
      <c r="AW1335" t="str">
        <f>"42-2N-27-4614-0003-0070 "</f>
        <v xml:space="preserve">42-2N-27-4614-0003-0070 </v>
      </c>
      <c r="AX1335">
        <v>85398</v>
      </c>
      <c r="AZ1335" t="s">
        <v>13222</v>
      </c>
      <c r="BA1335" t="s">
        <v>496</v>
      </c>
      <c r="BD1335" t="s">
        <v>2387</v>
      </c>
      <c r="BE1335" t="s">
        <v>393</v>
      </c>
      <c r="BF1335">
        <v>32097</v>
      </c>
      <c r="BG1335" t="s">
        <v>13597</v>
      </c>
      <c r="BH1335" t="s">
        <v>2388</v>
      </c>
      <c r="BI1335">
        <v>-81.580739326744705</v>
      </c>
      <c r="BJ1335">
        <v>30.6026110178212</v>
      </c>
      <c r="BK1335" t="s">
        <v>13598</v>
      </c>
      <c r="BM1335" t="s">
        <v>13599</v>
      </c>
      <c r="BN1335" t="s">
        <v>1778</v>
      </c>
      <c r="BO1335">
        <v>32041</v>
      </c>
      <c r="BP1335" t="s">
        <v>404</v>
      </c>
      <c r="BQ1335">
        <v>1</v>
      </c>
      <c r="BR1335" t="s">
        <v>491</v>
      </c>
      <c r="BS1335">
        <v>8001</v>
      </c>
      <c r="BT1335" t="s">
        <v>492</v>
      </c>
      <c r="BW1335">
        <v>43619</v>
      </c>
      <c r="BX1335" t="s">
        <v>407</v>
      </c>
      <c r="BY1335" t="s">
        <v>408</v>
      </c>
      <c r="CD1335">
        <v>2017</v>
      </c>
      <c r="CE1335">
        <v>28000</v>
      </c>
      <c r="CF1335">
        <v>8250</v>
      </c>
      <c r="CG1335">
        <v>36250</v>
      </c>
      <c r="CH1335">
        <v>2017</v>
      </c>
      <c r="CI1335">
        <v>28000</v>
      </c>
      <c r="CJ1335">
        <v>8250</v>
      </c>
      <c r="CK1335">
        <v>36250</v>
      </c>
      <c r="CL1335">
        <v>2017</v>
      </c>
      <c r="CM1335">
        <v>518.21</v>
      </c>
      <c r="CN1335" s="1">
        <v>34026</v>
      </c>
      <c r="CO1335">
        <v>14500</v>
      </c>
      <c r="CZ1335" s="1">
        <v>34026</v>
      </c>
      <c r="DD1335" t="s">
        <v>2387</v>
      </c>
      <c r="DF1335">
        <v>7</v>
      </c>
      <c r="DG1335">
        <v>42</v>
      </c>
      <c r="DJ1335" t="s">
        <v>13225</v>
      </c>
      <c r="DL1335">
        <v>50302</v>
      </c>
      <c r="DM1335" t="s">
        <v>12468</v>
      </c>
      <c r="DO1335" t="s">
        <v>13600</v>
      </c>
      <c r="DP1335">
        <v>0</v>
      </c>
      <c r="DQ1335">
        <v>0</v>
      </c>
      <c r="DR1335" t="s">
        <v>411</v>
      </c>
      <c r="EP1335" t="s">
        <v>421</v>
      </c>
      <c r="EQ1335" t="s">
        <v>422</v>
      </c>
      <c r="ER1335">
        <v>2</v>
      </c>
      <c r="ES1335">
        <v>3</v>
      </c>
      <c r="ET1335">
        <v>1044.58</v>
      </c>
      <c r="EU1335">
        <v>64.73</v>
      </c>
      <c r="EV1335">
        <v>1109.31</v>
      </c>
      <c r="EW1335" s="2">
        <v>43222</v>
      </c>
      <c r="EX1335" s="1">
        <v>42879</v>
      </c>
      <c r="EY1335">
        <v>2016</v>
      </c>
      <c r="EZ1335">
        <v>522.29</v>
      </c>
      <c r="FA1335" t="s">
        <v>13601</v>
      </c>
      <c r="FB1335">
        <v>0.25</v>
      </c>
      <c r="FC1335" t="s">
        <v>424</v>
      </c>
      <c r="FD1335" t="s">
        <v>454</v>
      </c>
      <c r="FF1335">
        <v>12</v>
      </c>
      <c r="FG1335">
        <v>11289</v>
      </c>
      <c r="FH1335" t="s">
        <v>787</v>
      </c>
      <c r="FJ1335" s="1">
        <v>42879</v>
      </c>
      <c r="FK1335">
        <v>2016</v>
      </c>
      <c r="FL1335">
        <v>522.29</v>
      </c>
      <c r="FM1335" t="s">
        <v>13601</v>
      </c>
      <c r="FN1335">
        <v>0.25</v>
      </c>
      <c r="FO1335" t="s">
        <v>424</v>
      </c>
      <c r="FP1335" t="s">
        <v>454</v>
      </c>
      <c r="FR1335">
        <v>12</v>
      </c>
      <c r="FS1335">
        <v>7126632</v>
      </c>
      <c r="FT1335" t="s">
        <v>13602</v>
      </c>
      <c r="FV1335" s="1">
        <v>41787</v>
      </c>
      <c r="FW1335">
        <v>2013</v>
      </c>
      <c r="FX1335">
        <v>426.45</v>
      </c>
      <c r="FY1335" t="s">
        <v>13603</v>
      </c>
      <c r="FZ1335">
        <v>3</v>
      </c>
      <c r="GA1335" t="s">
        <v>424</v>
      </c>
      <c r="GB1335" t="s">
        <v>425</v>
      </c>
      <c r="GC1335" s="1">
        <v>42061</v>
      </c>
      <c r="GD1335">
        <v>9</v>
      </c>
      <c r="GE1335">
        <v>10125</v>
      </c>
      <c r="GF1335" t="s">
        <v>440</v>
      </c>
      <c r="GH1335" s="1">
        <v>41423</v>
      </c>
      <c r="GI1335">
        <v>2012</v>
      </c>
      <c r="GJ1335">
        <v>431.5</v>
      </c>
      <c r="GK1335" t="s">
        <v>13604</v>
      </c>
      <c r="GL1335">
        <v>2.75</v>
      </c>
      <c r="GM1335" t="s">
        <v>424</v>
      </c>
      <c r="GN1335" t="s">
        <v>425</v>
      </c>
      <c r="GO1335" s="1">
        <v>42061</v>
      </c>
      <c r="GP1335">
        <v>21</v>
      </c>
      <c r="GQ1335">
        <v>1625515</v>
      </c>
      <c r="GR1335" t="s">
        <v>487</v>
      </c>
      <c r="GT1335" s="1">
        <v>41052</v>
      </c>
      <c r="GU1335">
        <v>2011</v>
      </c>
      <c r="GV1335">
        <v>513.99</v>
      </c>
      <c r="GW1335" t="s">
        <v>13605</v>
      </c>
      <c r="GX1335">
        <v>5.75</v>
      </c>
      <c r="GY1335" t="s">
        <v>424</v>
      </c>
      <c r="GZ1335" t="s">
        <v>425</v>
      </c>
      <c r="HA1335" s="1">
        <v>41702</v>
      </c>
      <c r="HB1335">
        <v>22</v>
      </c>
      <c r="HC1335">
        <v>62</v>
      </c>
      <c r="HD1335" t="s">
        <v>463</v>
      </c>
    </row>
    <row r="1336" spans="1:272" x14ac:dyDescent="0.25">
      <c r="A1336">
        <v>16486343</v>
      </c>
      <c r="B1336">
        <v>1335</v>
      </c>
      <c r="C1336" t="s">
        <v>393</v>
      </c>
      <c r="D1336" t="s">
        <v>394</v>
      </c>
      <c r="F1336" t="str">
        <f>"42-2N-27-461A-0006-0000"</f>
        <v>42-2N-27-461A-0006-0000</v>
      </c>
      <c r="H1336" t="str">
        <f>"TAYLOR GREGORY L"</f>
        <v>TAYLOR GREGORY L</v>
      </c>
      <c r="I1336" t="str">
        <f>"PO BOX 1266"</f>
        <v>PO BOX 1266</v>
      </c>
      <c r="J1336" t="str">
        <f>"YULEE FL 32041"</f>
        <v>YULEE FL 32041</v>
      </c>
      <c r="K1336" t="str">
        <f>"85633 ALENE RD"</f>
        <v>85633 ALENE RD</v>
      </c>
      <c r="L1336" t="str">
        <f t="shared" ref="L1336:L1399" si="456">"YULEE FL 32097"</f>
        <v>YULEE FL 32097</v>
      </c>
      <c r="M1336" t="str">
        <f>"TRACT 6 IN OR 899/1343 R672599 &amp; R672600 YULEE WOODS 2-A PB 5/206"</f>
        <v>TRACT 6 IN OR 899/1343 R672599 &amp; R672600 YULEE WOODS 2-A PB 5/206</v>
      </c>
      <c r="N1336" t="str">
        <f>""</f>
        <v/>
      </c>
      <c r="O1336" t="str">
        <f>"49038"</f>
        <v>49038</v>
      </c>
      <c r="P1336" t="str">
        <f t="shared" si="433"/>
        <v>2017</v>
      </c>
      <c r="Q1336" t="str">
        <f>""</f>
        <v/>
      </c>
      <c r="R1336" t="str">
        <f>"Y"</f>
        <v>Y</v>
      </c>
      <c r="S1336" t="str">
        <f>""</f>
        <v/>
      </c>
      <c r="T1336" t="str">
        <f>"414.30"</f>
        <v>414.30</v>
      </c>
      <c r="U1336" t="str">
        <f>"55429.00"</f>
        <v>55429.00</v>
      </c>
      <c r="V1336" t="str">
        <f>"55429.00"</f>
        <v>55429.00</v>
      </c>
      <c r="W1336" t="str">
        <f t="shared" si="434"/>
        <v>2017</v>
      </c>
      <c r="X1336" t="str">
        <f>"16.67"</f>
        <v>16.67</v>
      </c>
      <c r="Y1336" t="str">
        <f>"458.73"</f>
        <v>458.73</v>
      </c>
      <c r="Z1336" t="str">
        <f>"25000.00"</f>
        <v>25000.00</v>
      </c>
      <c r="AA1336" t="str">
        <f>"30429.00"</f>
        <v>30429.00</v>
      </c>
      <c r="AB1336" t="str">
        <f t="shared" si="454"/>
        <v>Residential</v>
      </c>
      <c r="AC1336" t="str">
        <f t="shared" si="445"/>
        <v>0</v>
      </c>
      <c r="AD1336" t="str">
        <f t="shared" ref="AD1336:AD1341" si="457">"4"</f>
        <v>4</v>
      </c>
      <c r="AE1336" t="str">
        <f t="shared" ref="AE1336:AE1341" si="458">"WOOD (INCLUDE STEEL STUDS)"</f>
        <v>WOOD (INCLUDE STEEL STUDS)</v>
      </c>
      <c r="AF1336" t="str">
        <f t="shared" ref="AF1336:AF1341" si="459">"002"</f>
        <v>002</v>
      </c>
      <c r="AG1336" t="str">
        <f t="shared" si="444"/>
        <v>FL</v>
      </c>
      <c r="AH1336" t="str">
        <f t="shared" si="453"/>
        <v>-</v>
      </c>
      <c r="AI1336" t="str">
        <f>"28000.00"</f>
        <v>28000.00</v>
      </c>
      <c r="AJ1336" t="str">
        <f>"C55-000-588-2596-9"</f>
        <v>C55-000-588-2596-9</v>
      </c>
      <c r="AK1336" t="str">
        <f>"22214"</f>
        <v>22214</v>
      </c>
      <c r="AL1336">
        <v>5</v>
      </c>
      <c r="AM1336">
        <v>1526</v>
      </c>
      <c r="AN1336">
        <v>480.07</v>
      </c>
      <c r="AQ1336" t="s">
        <v>13606</v>
      </c>
      <c r="AR1336" t="s">
        <v>13606</v>
      </c>
      <c r="AS1336" t="s">
        <v>13606</v>
      </c>
      <c r="AU1336" t="s">
        <v>396</v>
      </c>
      <c r="AV1336">
        <v>2017</v>
      </c>
      <c r="AW1336" t="str">
        <f>"42-2N-27-461A-0006-0000 "</f>
        <v xml:space="preserve">42-2N-27-461A-0006-0000 </v>
      </c>
      <c r="AX1336">
        <v>85633</v>
      </c>
      <c r="AZ1336" t="s">
        <v>13189</v>
      </c>
      <c r="BA1336" t="s">
        <v>496</v>
      </c>
      <c r="BD1336" t="s">
        <v>2387</v>
      </c>
      <c r="BE1336" t="s">
        <v>393</v>
      </c>
      <c r="BF1336">
        <v>32097</v>
      </c>
      <c r="BG1336" t="s">
        <v>13607</v>
      </c>
      <c r="BH1336" t="s">
        <v>2388</v>
      </c>
      <c r="BI1336">
        <v>-81.584577787859303</v>
      </c>
      <c r="BJ1336">
        <v>30.598035467082401</v>
      </c>
      <c r="BK1336" t="s">
        <v>13608</v>
      </c>
      <c r="BM1336" t="s">
        <v>13609</v>
      </c>
      <c r="BN1336" t="s">
        <v>1778</v>
      </c>
      <c r="BO1336">
        <v>32041</v>
      </c>
      <c r="BP1336" t="s">
        <v>404</v>
      </c>
      <c r="BQ1336">
        <v>200</v>
      </c>
      <c r="BR1336" t="s">
        <v>405</v>
      </c>
      <c r="BS1336">
        <v>1006</v>
      </c>
      <c r="BT1336" t="s">
        <v>406</v>
      </c>
      <c r="BW1336">
        <v>43421</v>
      </c>
      <c r="BX1336" t="s">
        <v>407</v>
      </c>
      <c r="BY1336" t="s">
        <v>408</v>
      </c>
      <c r="BZ1336">
        <v>4</v>
      </c>
      <c r="CA1336">
        <v>1996</v>
      </c>
      <c r="CB1336">
        <v>1</v>
      </c>
      <c r="CC1336">
        <v>1</v>
      </c>
      <c r="CD1336">
        <v>2017</v>
      </c>
      <c r="CG1336">
        <v>55429</v>
      </c>
      <c r="CH1336">
        <v>2017</v>
      </c>
      <c r="CI1336">
        <v>28000</v>
      </c>
      <c r="CJ1336">
        <v>48361</v>
      </c>
      <c r="CK1336">
        <v>76361</v>
      </c>
      <c r="CL1336">
        <v>2017</v>
      </c>
      <c r="CM1336">
        <v>414.3</v>
      </c>
      <c r="CN1336" s="1">
        <v>36420</v>
      </c>
      <c r="CZ1336" s="1">
        <v>36420</v>
      </c>
      <c r="DD1336" t="s">
        <v>2387</v>
      </c>
      <c r="DG1336">
        <v>42</v>
      </c>
      <c r="DL1336">
        <v>50302</v>
      </c>
      <c r="DM1336" t="s">
        <v>12468</v>
      </c>
      <c r="DO1336" t="s">
        <v>13610</v>
      </c>
      <c r="DP1336">
        <v>0</v>
      </c>
      <c r="DQ1336">
        <v>0</v>
      </c>
      <c r="DR1336" t="s">
        <v>411</v>
      </c>
      <c r="DS1336" t="b">
        <v>1</v>
      </c>
      <c r="DT1336" t="s">
        <v>470</v>
      </c>
      <c r="DU1336" t="s">
        <v>471</v>
      </c>
      <c r="DV1336" t="s">
        <v>472</v>
      </c>
      <c r="DX1336">
        <v>-9999</v>
      </c>
      <c r="DZ1336" t="s">
        <v>447</v>
      </c>
      <c r="EA1336" t="s">
        <v>448</v>
      </c>
      <c r="EB1336" t="s">
        <v>742</v>
      </c>
      <c r="EC1336">
        <v>20101217</v>
      </c>
      <c r="ED1336" t="s">
        <v>474</v>
      </c>
      <c r="EF1336">
        <v>3582</v>
      </c>
      <c r="EG1336">
        <v>3224.5</v>
      </c>
      <c r="EI1336">
        <v>20160407</v>
      </c>
      <c r="EJ1336">
        <v>0</v>
      </c>
      <c r="EK1336">
        <v>0</v>
      </c>
      <c r="EP1336" t="s">
        <v>421</v>
      </c>
      <c r="EQ1336" t="s">
        <v>422</v>
      </c>
      <c r="ER1336">
        <v>2</v>
      </c>
      <c r="ES1336">
        <v>8</v>
      </c>
      <c r="ET1336">
        <v>954.52</v>
      </c>
      <c r="EU1336">
        <v>60.23</v>
      </c>
      <c r="EV1336">
        <v>1014.75</v>
      </c>
      <c r="EW1336" s="2">
        <v>43222</v>
      </c>
      <c r="EX1336" s="1">
        <v>42879</v>
      </c>
      <c r="EY1336">
        <v>2016</v>
      </c>
      <c r="EZ1336">
        <v>477.26</v>
      </c>
      <c r="FA1336" t="s">
        <v>13611</v>
      </c>
      <c r="FB1336">
        <v>0.25</v>
      </c>
      <c r="FC1336" t="s">
        <v>424</v>
      </c>
      <c r="FD1336" t="s">
        <v>454</v>
      </c>
      <c r="FF1336">
        <v>12</v>
      </c>
      <c r="FG1336">
        <v>2851116</v>
      </c>
      <c r="FH1336" t="s">
        <v>480</v>
      </c>
      <c r="FJ1336" s="1">
        <v>42879</v>
      </c>
      <c r="FK1336">
        <v>2016</v>
      </c>
      <c r="FL1336">
        <v>477.26</v>
      </c>
      <c r="FM1336" t="s">
        <v>13611</v>
      </c>
      <c r="FN1336">
        <v>0.25</v>
      </c>
      <c r="FO1336" t="s">
        <v>424</v>
      </c>
      <c r="FP1336" t="s">
        <v>454</v>
      </c>
      <c r="FR1336">
        <v>12</v>
      </c>
      <c r="FS1336">
        <v>4986794</v>
      </c>
      <c r="FT1336" t="s">
        <v>13612</v>
      </c>
      <c r="FV1336" s="1">
        <v>42515</v>
      </c>
      <c r="FW1336">
        <v>2015</v>
      </c>
      <c r="FX1336">
        <v>481.26</v>
      </c>
      <c r="FY1336" t="s">
        <v>13613</v>
      </c>
      <c r="FZ1336">
        <v>0.25</v>
      </c>
      <c r="GA1336" t="s">
        <v>424</v>
      </c>
      <c r="GB1336" t="s">
        <v>425</v>
      </c>
      <c r="GC1336" s="1">
        <v>43157</v>
      </c>
      <c r="GD1336">
        <v>21</v>
      </c>
      <c r="GE1336">
        <v>2851116</v>
      </c>
      <c r="GF1336" t="s">
        <v>480</v>
      </c>
      <c r="GH1336" s="1">
        <v>42515</v>
      </c>
      <c r="GI1336">
        <v>2015</v>
      </c>
      <c r="GJ1336">
        <v>481.26</v>
      </c>
      <c r="GK1336" t="s">
        <v>13613</v>
      </c>
      <c r="GL1336">
        <v>0.25</v>
      </c>
      <c r="GM1336" t="s">
        <v>424</v>
      </c>
      <c r="GN1336" t="s">
        <v>425</v>
      </c>
      <c r="GP1336">
        <v>22</v>
      </c>
      <c r="GQ1336">
        <v>5667995</v>
      </c>
      <c r="GR1336" t="s">
        <v>13614</v>
      </c>
      <c r="GT1336" s="1">
        <v>42151</v>
      </c>
      <c r="GU1336">
        <v>2014</v>
      </c>
      <c r="GV1336">
        <v>480.35</v>
      </c>
      <c r="GW1336" t="s">
        <v>13615</v>
      </c>
      <c r="GX1336">
        <v>0.25</v>
      </c>
      <c r="GY1336" t="s">
        <v>424</v>
      </c>
      <c r="GZ1336" t="s">
        <v>425</v>
      </c>
      <c r="HA1336" s="1">
        <v>42788</v>
      </c>
      <c r="HB1336">
        <v>21</v>
      </c>
      <c r="HC1336">
        <v>2851116</v>
      </c>
      <c r="HD1336" t="s">
        <v>480</v>
      </c>
      <c r="HF1336" s="1">
        <v>42151</v>
      </c>
      <c r="HG1336">
        <v>2014</v>
      </c>
      <c r="HH1336">
        <v>480.35</v>
      </c>
      <c r="HI1336" t="s">
        <v>13615</v>
      </c>
      <c r="HJ1336">
        <v>0.25</v>
      </c>
      <c r="HK1336" t="s">
        <v>424</v>
      </c>
      <c r="HL1336" t="s">
        <v>425</v>
      </c>
      <c r="HN1336">
        <v>22</v>
      </c>
      <c r="HO1336">
        <v>5397711</v>
      </c>
      <c r="HP1336" t="s">
        <v>13616</v>
      </c>
      <c r="HR1336" s="1">
        <v>41787</v>
      </c>
      <c r="HS1336">
        <v>2013</v>
      </c>
      <c r="HT1336">
        <v>525.78</v>
      </c>
      <c r="HU1336" t="s">
        <v>13617</v>
      </c>
      <c r="HV1336">
        <v>0.25</v>
      </c>
      <c r="HW1336" t="s">
        <v>424</v>
      </c>
      <c r="HX1336" t="s">
        <v>425</v>
      </c>
      <c r="HY1336" s="1">
        <v>42459</v>
      </c>
      <c r="HZ1336">
        <v>22</v>
      </c>
      <c r="IA1336">
        <v>2407503</v>
      </c>
      <c r="IB1336" t="s">
        <v>461</v>
      </c>
      <c r="ID1336" s="1">
        <v>41423</v>
      </c>
      <c r="IE1336">
        <v>2012</v>
      </c>
      <c r="IF1336">
        <v>556.5</v>
      </c>
      <c r="IG1336" t="s">
        <v>13618</v>
      </c>
      <c r="IH1336">
        <v>0.25</v>
      </c>
      <c r="II1336" t="s">
        <v>424</v>
      </c>
      <c r="IJ1336" t="s">
        <v>425</v>
      </c>
      <c r="IK1336" s="1">
        <v>42061</v>
      </c>
      <c r="IL1336">
        <v>21</v>
      </c>
      <c r="IM1336">
        <v>15399</v>
      </c>
      <c r="IN1336" t="s">
        <v>485</v>
      </c>
      <c r="IP1336" s="1">
        <v>41052</v>
      </c>
      <c r="IQ1336">
        <v>2011</v>
      </c>
      <c r="IR1336">
        <v>596.26</v>
      </c>
      <c r="IS1336" t="s">
        <v>13619</v>
      </c>
      <c r="IT1336">
        <v>5.75</v>
      </c>
      <c r="IU1336" t="s">
        <v>424</v>
      </c>
      <c r="IV1336" t="s">
        <v>425</v>
      </c>
      <c r="IW1336" s="1">
        <v>41696</v>
      </c>
      <c r="IX1336">
        <v>21</v>
      </c>
      <c r="IY1336">
        <v>62</v>
      </c>
      <c r="IZ1336" t="s">
        <v>463</v>
      </c>
      <c r="JB1336" s="1">
        <v>40688</v>
      </c>
      <c r="JC1336">
        <v>2010</v>
      </c>
      <c r="JD1336">
        <v>626.30999999999995</v>
      </c>
      <c r="JE1336" t="s">
        <v>13620</v>
      </c>
      <c r="JF1336">
        <v>6.75</v>
      </c>
      <c r="JG1336" t="s">
        <v>424</v>
      </c>
      <c r="JH1336" t="s">
        <v>425</v>
      </c>
      <c r="JI1336" s="1">
        <v>41320</v>
      </c>
      <c r="JJ1336">
        <v>21</v>
      </c>
      <c r="JK1336">
        <v>105</v>
      </c>
      <c r="JL1336" t="s">
        <v>946</v>
      </c>
    </row>
    <row r="1337" spans="1:272" x14ac:dyDescent="0.25">
      <c r="A1337">
        <v>16486344</v>
      </c>
      <c r="B1337">
        <v>1336</v>
      </c>
      <c r="C1337" t="s">
        <v>393</v>
      </c>
      <c r="D1337" t="s">
        <v>394</v>
      </c>
      <c r="F1337" t="str">
        <f>"43-2N-27-4620-0006-0000"</f>
        <v>43-2N-27-4620-0006-0000</v>
      </c>
      <c r="H1337" t="str">
        <f>"KRZEMINSKI MICHAEL M TRUSTEE OF MEDARD M &amp; ADGELE P KRZEMINSKI FAMILY TRUST"</f>
        <v>KRZEMINSKI MICHAEL M TRUSTEE OF MEDARD M &amp; ADGELE P KRZEMINSKI FAMILY TRUST</v>
      </c>
      <c r="I1337" t="str">
        <f>""</f>
        <v/>
      </c>
      <c r="J1337" t="str">
        <f>"KISSIMMEE FL 34759"</f>
        <v>KISSIMMEE FL 34759</v>
      </c>
      <c r="K1337" t="str">
        <f>"85012 BLACKMON RD"</f>
        <v>85012 BLACKMON RD</v>
      </c>
      <c r="L1337" t="str">
        <f t="shared" si="456"/>
        <v>YULEE FL 32097</v>
      </c>
      <c r="M1337" t="str">
        <f>"TRACT 6 IN OR 1385/12 1973 DENMARK DW/MH LOFTON BLUFF SUB PB 4/57"</f>
        <v>TRACT 6 IN OR 1385/12 1973 DENMARK DW/MH LOFTON BLUFF SUB PB 4/57</v>
      </c>
      <c r="N1337" t="str">
        <f>""</f>
        <v/>
      </c>
      <c r="O1337" t="str">
        <f>"49374"</f>
        <v>49374</v>
      </c>
      <c r="P1337" t="str">
        <f t="shared" si="433"/>
        <v>2017</v>
      </c>
      <c r="Q1337" t="str">
        <f>""</f>
        <v/>
      </c>
      <c r="R1337" t="str">
        <f>"N"</f>
        <v>N</v>
      </c>
      <c r="S1337" t="str">
        <f>""</f>
        <v/>
      </c>
      <c r="T1337" t="str">
        <f>"1273.28"</f>
        <v>1273.28</v>
      </c>
      <c r="U1337" t="str">
        <f>"82270.00"</f>
        <v>82270.00</v>
      </c>
      <c r="V1337" t="str">
        <f>"82270.00"</f>
        <v>82270.00</v>
      </c>
      <c r="W1337" t="str">
        <f t="shared" si="434"/>
        <v>2017</v>
      </c>
      <c r="X1337" t="str">
        <f>"17.20"</f>
        <v>17.20</v>
      </c>
      <c r="Y1337" t="str">
        <f>"1343.48"</f>
        <v>1343.48</v>
      </c>
      <c r="Z1337" t="str">
        <f>""</f>
        <v/>
      </c>
      <c r="AA1337" t="str">
        <f>"86484.00"</f>
        <v>86484.00</v>
      </c>
      <c r="AB1337" t="str">
        <f t="shared" si="454"/>
        <v>Residential</v>
      </c>
      <c r="AC1337" t="str">
        <f t="shared" si="445"/>
        <v>0</v>
      </c>
      <c r="AD1337" t="str">
        <f t="shared" si="457"/>
        <v>4</v>
      </c>
      <c r="AE1337" t="str">
        <f t="shared" si="458"/>
        <v>WOOD (INCLUDE STEEL STUDS)</v>
      </c>
      <c r="AF1337" t="str">
        <f t="shared" si="459"/>
        <v>002</v>
      </c>
      <c r="AG1337" t="str">
        <f t="shared" si="444"/>
        <v>FL</v>
      </c>
      <c r="AH1337" t="str">
        <f t="shared" si="453"/>
        <v>-</v>
      </c>
      <c r="AI1337" t="str">
        <f>"65000.00"</f>
        <v>65000.00</v>
      </c>
      <c r="AJ1337" t="str">
        <f>"C55-000-588-2807-0"</f>
        <v>C55-000-588-2807-0</v>
      </c>
      <c r="AK1337" t="str">
        <f>"22713"</f>
        <v>22713</v>
      </c>
      <c r="AL1337">
        <v>5</v>
      </c>
      <c r="AM1337">
        <v>1527</v>
      </c>
      <c r="AN1337">
        <v>1409.05</v>
      </c>
      <c r="AQ1337" t="s">
        <v>13621</v>
      </c>
      <c r="AR1337" t="s">
        <v>13621</v>
      </c>
      <c r="AS1337" t="s">
        <v>13621</v>
      </c>
      <c r="AU1337" t="s">
        <v>396</v>
      </c>
      <c r="AV1337">
        <v>2017</v>
      </c>
      <c r="AW1337" t="str">
        <f>"43-2N-27-4620-0006-0000 "</f>
        <v xml:space="preserve">43-2N-27-4620-0006-0000 </v>
      </c>
      <c r="AX1337">
        <v>85012</v>
      </c>
      <c r="AZ1337" t="s">
        <v>13622</v>
      </c>
      <c r="BA1337" t="s">
        <v>496</v>
      </c>
      <c r="BD1337" t="s">
        <v>2387</v>
      </c>
      <c r="BE1337" t="s">
        <v>393</v>
      </c>
      <c r="BF1337">
        <v>32097</v>
      </c>
      <c r="BG1337" t="s">
        <v>13623</v>
      </c>
      <c r="BH1337" t="s">
        <v>2388</v>
      </c>
      <c r="BI1337">
        <v>-81.570103743488005</v>
      </c>
      <c r="BJ1337">
        <v>30.580841066509102</v>
      </c>
      <c r="BK1337" t="s">
        <v>13624</v>
      </c>
      <c r="BL1337" t="s">
        <v>13625</v>
      </c>
      <c r="BM1337" t="s">
        <v>13626</v>
      </c>
      <c r="BN1337" t="s">
        <v>13627</v>
      </c>
      <c r="BO1337">
        <v>34759</v>
      </c>
      <c r="BP1337" t="s">
        <v>404</v>
      </c>
      <c r="BQ1337">
        <v>200</v>
      </c>
      <c r="BR1337" t="s">
        <v>405</v>
      </c>
      <c r="BS1337">
        <v>1006</v>
      </c>
      <c r="BT1337" t="s">
        <v>406</v>
      </c>
      <c r="BW1337">
        <v>80007</v>
      </c>
      <c r="BX1337" t="s">
        <v>407</v>
      </c>
      <c r="BY1337" t="s">
        <v>408</v>
      </c>
      <c r="BZ1337">
        <v>4</v>
      </c>
      <c r="CA1337">
        <v>1973</v>
      </c>
      <c r="CB1337">
        <v>1</v>
      </c>
      <c r="CC1337">
        <v>1</v>
      </c>
      <c r="CD1337">
        <v>2017</v>
      </c>
      <c r="CE1337">
        <v>65000</v>
      </c>
      <c r="CF1337">
        <v>21484</v>
      </c>
      <c r="CG1337">
        <v>86484</v>
      </c>
      <c r="CH1337">
        <v>2017</v>
      </c>
      <c r="CI1337">
        <v>65000</v>
      </c>
      <c r="CJ1337">
        <v>21484</v>
      </c>
      <c r="CK1337">
        <v>86484</v>
      </c>
      <c r="CL1337">
        <v>2017</v>
      </c>
      <c r="CM1337">
        <v>1273.28</v>
      </c>
      <c r="CN1337" s="1">
        <v>38744</v>
      </c>
      <c r="CZ1337" s="1">
        <v>38744</v>
      </c>
      <c r="DD1337" t="s">
        <v>2387</v>
      </c>
      <c r="DG1337">
        <v>43</v>
      </c>
      <c r="DL1337">
        <v>50302</v>
      </c>
      <c r="DM1337" t="s">
        <v>13628</v>
      </c>
      <c r="DO1337" t="s">
        <v>13629</v>
      </c>
      <c r="DP1337">
        <v>0</v>
      </c>
      <c r="DQ1337">
        <v>0</v>
      </c>
      <c r="DR1337" t="s">
        <v>411</v>
      </c>
      <c r="DS1337" t="b">
        <v>1</v>
      </c>
      <c r="DT1337" t="s">
        <v>470</v>
      </c>
      <c r="DU1337" t="s">
        <v>10249</v>
      </c>
      <c r="DV1337" t="s">
        <v>472</v>
      </c>
      <c r="DX1337">
        <v>-9999</v>
      </c>
      <c r="DZ1337" t="s">
        <v>447</v>
      </c>
      <c r="EA1337" t="s">
        <v>448</v>
      </c>
      <c r="EB1337" t="s">
        <v>13630</v>
      </c>
      <c r="EC1337">
        <v>20101217</v>
      </c>
      <c r="ED1337" t="s">
        <v>10251</v>
      </c>
      <c r="EE1337">
        <v>5</v>
      </c>
      <c r="EF1337">
        <v>167.5</v>
      </c>
      <c r="EG1337">
        <v>0</v>
      </c>
      <c r="EI1337">
        <v>20160407</v>
      </c>
      <c r="EJ1337">
        <v>0</v>
      </c>
      <c r="EK1337">
        <v>0</v>
      </c>
      <c r="EP1337" t="s">
        <v>595</v>
      </c>
      <c r="EQ1337" t="s">
        <v>422</v>
      </c>
      <c r="ER1337">
        <v>2</v>
      </c>
      <c r="ES1337">
        <v>8</v>
      </c>
      <c r="ET1337">
        <v>2537.36</v>
      </c>
      <c r="EU1337">
        <v>139.37</v>
      </c>
      <c r="EV1337">
        <v>2676.73</v>
      </c>
      <c r="EW1337" s="2">
        <v>43222</v>
      </c>
      <c r="EX1337" s="1">
        <v>42879</v>
      </c>
      <c r="EY1337">
        <v>2016</v>
      </c>
      <c r="EZ1337">
        <v>1268.68</v>
      </c>
      <c r="FA1337" t="s">
        <v>13631</v>
      </c>
      <c r="FB1337">
        <v>0.25</v>
      </c>
      <c r="FC1337" t="s">
        <v>424</v>
      </c>
      <c r="FD1337" t="s">
        <v>454</v>
      </c>
      <c r="FF1337">
        <v>12</v>
      </c>
      <c r="FG1337">
        <v>2851116</v>
      </c>
      <c r="FH1337" t="s">
        <v>480</v>
      </c>
      <c r="FJ1337" s="1">
        <v>42879</v>
      </c>
      <c r="FK1337">
        <v>2016</v>
      </c>
      <c r="FL1337">
        <v>1268.68</v>
      </c>
      <c r="FM1337" t="s">
        <v>13631</v>
      </c>
      <c r="FN1337">
        <v>0.25</v>
      </c>
      <c r="FO1337" t="s">
        <v>424</v>
      </c>
      <c r="FP1337" t="s">
        <v>454</v>
      </c>
      <c r="FR1337">
        <v>12</v>
      </c>
      <c r="FS1337">
        <v>5402649</v>
      </c>
      <c r="FT1337" t="s">
        <v>13632</v>
      </c>
      <c r="FV1337" s="1">
        <v>42515</v>
      </c>
      <c r="FW1337">
        <v>2015</v>
      </c>
      <c r="FX1337">
        <v>1293.97</v>
      </c>
      <c r="FY1337" t="s">
        <v>13633</v>
      </c>
      <c r="FZ1337">
        <v>0.25</v>
      </c>
      <c r="GA1337" t="s">
        <v>424</v>
      </c>
      <c r="GB1337" t="s">
        <v>425</v>
      </c>
      <c r="GC1337" s="1">
        <v>43188</v>
      </c>
      <c r="GD1337">
        <v>22</v>
      </c>
      <c r="GE1337">
        <v>2851116</v>
      </c>
      <c r="GF1337" t="s">
        <v>480</v>
      </c>
      <c r="GH1337" s="1">
        <v>42515</v>
      </c>
      <c r="GI1337">
        <v>2015</v>
      </c>
      <c r="GJ1337">
        <v>1293.97</v>
      </c>
      <c r="GK1337" t="s">
        <v>13633</v>
      </c>
      <c r="GL1337">
        <v>0.25</v>
      </c>
      <c r="GM1337" t="s">
        <v>424</v>
      </c>
      <c r="GN1337" t="s">
        <v>425</v>
      </c>
      <c r="GP1337">
        <v>22</v>
      </c>
      <c r="GQ1337">
        <v>4897423</v>
      </c>
      <c r="GR1337" t="s">
        <v>13634</v>
      </c>
      <c r="GT1337" s="1">
        <v>42151</v>
      </c>
      <c r="GU1337">
        <v>2014</v>
      </c>
      <c r="GV1337">
        <v>1271.3599999999999</v>
      </c>
      <c r="GW1337" t="s">
        <v>13635</v>
      </c>
      <c r="GX1337">
        <v>0.25</v>
      </c>
      <c r="GY1337" t="s">
        <v>424</v>
      </c>
      <c r="GZ1337" t="s">
        <v>425</v>
      </c>
      <c r="HA1337" s="1">
        <v>42809</v>
      </c>
      <c r="HB1337">
        <v>22</v>
      </c>
      <c r="HC1337">
        <v>2851116</v>
      </c>
      <c r="HD1337" t="s">
        <v>480</v>
      </c>
      <c r="HF1337" s="1">
        <v>42151</v>
      </c>
      <c r="HG1337">
        <v>2014</v>
      </c>
      <c r="HH1337">
        <v>1271.3599999999999</v>
      </c>
      <c r="HI1337" t="s">
        <v>13635</v>
      </c>
      <c r="HJ1337">
        <v>0.25</v>
      </c>
      <c r="HK1337" t="s">
        <v>424</v>
      </c>
      <c r="HL1337" t="s">
        <v>425</v>
      </c>
      <c r="HN1337">
        <v>22</v>
      </c>
      <c r="HO1337">
        <v>5336529</v>
      </c>
      <c r="HP1337" t="s">
        <v>13636</v>
      </c>
      <c r="HR1337" s="1">
        <v>41787</v>
      </c>
      <c r="HS1337">
        <v>2013</v>
      </c>
      <c r="HT1337">
        <v>1282.33</v>
      </c>
      <c r="HU1337" t="s">
        <v>13637</v>
      </c>
      <c r="HV1337">
        <v>0.25</v>
      </c>
      <c r="HW1337" t="s">
        <v>424</v>
      </c>
      <c r="HX1337" t="s">
        <v>425</v>
      </c>
      <c r="HY1337" s="1">
        <v>42458</v>
      </c>
      <c r="HZ1337">
        <v>22</v>
      </c>
      <c r="IA1337">
        <v>2851116</v>
      </c>
      <c r="IB1337" t="s">
        <v>480</v>
      </c>
      <c r="ID1337" s="1">
        <v>41423</v>
      </c>
      <c r="IE1337">
        <v>2012</v>
      </c>
      <c r="IF1337">
        <v>252.36</v>
      </c>
      <c r="IG1337" t="s">
        <v>13638</v>
      </c>
      <c r="IH1337">
        <v>2.75</v>
      </c>
      <c r="II1337" t="s">
        <v>424</v>
      </c>
      <c r="IJ1337" t="s">
        <v>425</v>
      </c>
      <c r="IK1337" s="1">
        <v>41520</v>
      </c>
      <c r="IL1337">
        <v>4</v>
      </c>
      <c r="IM1337">
        <v>10021</v>
      </c>
      <c r="IN1337" t="s">
        <v>597</v>
      </c>
      <c r="IP1337" s="1">
        <v>41052</v>
      </c>
      <c r="IQ1337">
        <v>2011</v>
      </c>
      <c r="IR1337">
        <v>259.77</v>
      </c>
      <c r="IS1337" t="s">
        <v>13639</v>
      </c>
      <c r="IT1337">
        <v>18</v>
      </c>
      <c r="IU1337" t="s">
        <v>424</v>
      </c>
      <c r="IV1337" t="s">
        <v>425</v>
      </c>
      <c r="IW1337" s="1">
        <v>41520</v>
      </c>
      <c r="IX1337">
        <v>16</v>
      </c>
      <c r="IY1337">
        <v>15180</v>
      </c>
      <c r="IZ1337" t="s">
        <v>13640</v>
      </c>
      <c r="JB1337" s="1">
        <v>41052</v>
      </c>
      <c r="JC1337">
        <v>2011</v>
      </c>
      <c r="JD1337">
        <v>239.17</v>
      </c>
      <c r="JE1337" t="s">
        <v>13639</v>
      </c>
      <c r="JF1337">
        <v>18</v>
      </c>
      <c r="JG1337" t="s">
        <v>603</v>
      </c>
      <c r="JH1337" t="s">
        <v>425</v>
      </c>
      <c r="JJ1337">
        <v>22</v>
      </c>
      <c r="JK1337">
        <v>9999999</v>
      </c>
      <c r="JL1337" t="s">
        <v>604</v>
      </c>
    </row>
    <row r="1338" spans="1:272" x14ac:dyDescent="0.25">
      <c r="A1338">
        <v>16486345</v>
      </c>
      <c r="B1338">
        <v>1337</v>
      </c>
      <c r="C1338" t="s">
        <v>393</v>
      </c>
      <c r="D1338" t="s">
        <v>394</v>
      </c>
      <c r="F1338" t="str">
        <f>"43-2N-27-4621-0002-0100"</f>
        <v>43-2N-27-4621-0002-0100</v>
      </c>
      <c r="H1338" t="str">
        <f>"FRANKLIN W J SR &amp; EMILY D"</f>
        <v>FRANKLIN W J SR &amp; EMILY D</v>
      </c>
      <c r="I1338" t="str">
        <f>"85370 STEPHEN ROAD"</f>
        <v>85370 STEPHEN ROAD</v>
      </c>
      <c r="J1338" t="str">
        <f>"YULEE FL 32097"</f>
        <v>YULEE FL 32097</v>
      </c>
      <c r="K1338" t="str">
        <f>"85370 STEPHEN RD"</f>
        <v>85370 STEPHEN RD</v>
      </c>
      <c r="L1338" t="str">
        <f t="shared" si="456"/>
        <v>YULEE FL 32097</v>
      </c>
      <c r="M1338" t="str">
        <f>"BLOCK 2 LOT 10 IN OR 1096/1750 LOFTON BLUFF 2 PB 4/92 &amp; 93 2003 MERT DW/MH"</f>
        <v>BLOCK 2 LOT 10 IN OR 1096/1750 LOFTON BLUFF 2 PB 4/92 &amp; 93 2003 MERT DW/MH</v>
      </c>
      <c r="N1338" t="str">
        <f>""</f>
        <v/>
      </c>
      <c r="O1338" t="str">
        <f>"49464"</f>
        <v>49464</v>
      </c>
      <c r="P1338" t="str">
        <f t="shared" si="433"/>
        <v>2017</v>
      </c>
      <c r="Q1338" t="str">
        <f>""</f>
        <v/>
      </c>
      <c r="R1338" t="str">
        <f>"Y"</f>
        <v>Y</v>
      </c>
      <c r="S1338" t="str">
        <f>""</f>
        <v/>
      </c>
      <c r="T1338" t="str">
        <f>"672.21"</f>
        <v>672.21</v>
      </c>
      <c r="U1338" t="str">
        <f>"83507.00"</f>
        <v>83507.00</v>
      </c>
      <c r="V1338" t="str">
        <f>"83507.00"</f>
        <v>83507.00</v>
      </c>
      <c r="W1338" t="str">
        <f t="shared" si="434"/>
        <v>2017</v>
      </c>
      <c r="X1338" t="str">
        <f>"10.43"</f>
        <v>10.43</v>
      </c>
      <c r="Y1338" t="str">
        <f>"724.38"</f>
        <v>724.38</v>
      </c>
      <c r="Z1338" t="str">
        <f>"25000.00"</f>
        <v>25000.00</v>
      </c>
      <c r="AA1338" t="str">
        <f>"58507.00"</f>
        <v>58507.00</v>
      </c>
      <c r="AB1338" t="str">
        <f t="shared" si="454"/>
        <v>Residential</v>
      </c>
      <c r="AC1338" t="str">
        <f t="shared" si="445"/>
        <v>0</v>
      </c>
      <c r="AD1338" t="str">
        <f t="shared" si="457"/>
        <v>4</v>
      </c>
      <c r="AE1338" t="str">
        <f t="shared" si="458"/>
        <v>WOOD (INCLUDE STEEL STUDS)</v>
      </c>
      <c r="AF1338" t="str">
        <f t="shared" si="459"/>
        <v>002</v>
      </c>
      <c r="AG1338" t="str">
        <f t="shared" si="444"/>
        <v>FL</v>
      </c>
      <c r="AH1338" t="str">
        <f t="shared" si="453"/>
        <v>-</v>
      </c>
      <c r="AI1338" t="str">
        <f t="shared" ref="AI1338:AI1348" si="460">"28000.00"</f>
        <v>28000.00</v>
      </c>
      <c r="AJ1338" t="str">
        <f>"C55-000-588-2896-3"</f>
        <v>C55-000-588-2896-3</v>
      </c>
      <c r="AK1338" t="str">
        <f>"22799"</f>
        <v>22799</v>
      </c>
      <c r="AL1338">
        <v>5</v>
      </c>
      <c r="AM1338">
        <v>1529</v>
      </c>
      <c r="AN1338">
        <v>759</v>
      </c>
      <c r="AQ1338" t="s">
        <v>13641</v>
      </c>
      <c r="AR1338" t="s">
        <v>13641</v>
      </c>
      <c r="AS1338" t="s">
        <v>13641</v>
      </c>
      <c r="AU1338" t="s">
        <v>396</v>
      </c>
      <c r="AV1338">
        <v>2017</v>
      </c>
      <c r="AW1338" t="str">
        <f>"43-2N-27-4621-0002-0100 "</f>
        <v xml:space="preserve">43-2N-27-4621-0002-0100 </v>
      </c>
      <c r="AX1338">
        <v>85370</v>
      </c>
      <c r="AZ1338" t="s">
        <v>13642</v>
      </c>
      <c r="BA1338" t="s">
        <v>496</v>
      </c>
      <c r="BD1338" t="s">
        <v>2387</v>
      </c>
      <c r="BE1338" t="s">
        <v>393</v>
      </c>
      <c r="BF1338">
        <v>32097</v>
      </c>
      <c r="BG1338" t="s">
        <v>13643</v>
      </c>
      <c r="BH1338" t="s">
        <v>2388</v>
      </c>
      <c r="BI1338">
        <v>-81.580679232456703</v>
      </c>
      <c r="BJ1338">
        <v>30.588058319222601</v>
      </c>
      <c r="BK1338" t="s">
        <v>13644</v>
      </c>
      <c r="BM1338" t="s">
        <v>13643</v>
      </c>
      <c r="BN1338" t="s">
        <v>1778</v>
      </c>
      <c r="BO1338">
        <v>32097</v>
      </c>
      <c r="BP1338" t="s">
        <v>416</v>
      </c>
      <c r="BQ1338">
        <v>200</v>
      </c>
      <c r="BR1338" t="s">
        <v>405</v>
      </c>
      <c r="BS1338">
        <v>1006</v>
      </c>
      <c r="BT1338" t="s">
        <v>406</v>
      </c>
      <c r="BW1338">
        <v>43142</v>
      </c>
      <c r="BX1338" t="s">
        <v>407</v>
      </c>
      <c r="BY1338" t="s">
        <v>408</v>
      </c>
      <c r="BZ1338">
        <v>4</v>
      </c>
      <c r="CA1338">
        <v>2002</v>
      </c>
      <c r="CB1338">
        <v>1</v>
      </c>
      <c r="CC1338">
        <v>1</v>
      </c>
      <c r="CD1338">
        <v>2017</v>
      </c>
      <c r="CG1338">
        <v>83507</v>
      </c>
      <c r="CH1338">
        <v>2017</v>
      </c>
      <c r="CI1338">
        <v>28000</v>
      </c>
      <c r="CJ1338">
        <v>75178</v>
      </c>
      <c r="CK1338">
        <v>103178</v>
      </c>
      <c r="CL1338">
        <v>2017</v>
      </c>
      <c r="CM1338">
        <v>672.21</v>
      </c>
      <c r="CN1338" s="1">
        <v>37585</v>
      </c>
      <c r="CO1338">
        <v>38800</v>
      </c>
      <c r="CV1338">
        <v>0</v>
      </c>
      <c r="CZ1338" s="1">
        <v>37585</v>
      </c>
      <c r="DA1338">
        <v>0</v>
      </c>
      <c r="DD1338" t="s">
        <v>2387</v>
      </c>
      <c r="DF1338">
        <v>10</v>
      </c>
      <c r="DG1338">
        <v>43</v>
      </c>
      <c r="DJ1338" t="s">
        <v>13645</v>
      </c>
      <c r="DL1338">
        <v>50302</v>
      </c>
      <c r="DM1338" t="s">
        <v>13628</v>
      </c>
      <c r="DO1338" t="s">
        <v>13646</v>
      </c>
      <c r="DP1338">
        <v>0</v>
      </c>
      <c r="DQ1338">
        <v>0</v>
      </c>
      <c r="DR1338" t="s">
        <v>411</v>
      </c>
      <c r="DS1338" t="b">
        <v>1</v>
      </c>
      <c r="DT1338" t="s">
        <v>470</v>
      </c>
      <c r="DU1338" t="s">
        <v>471</v>
      </c>
      <c r="DV1338" t="s">
        <v>472</v>
      </c>
      <c r="DX1338">
        <v>-9999</v>
      </c>
      <c r="DZ1338" t="s">
        <v>447</v>
      </c>
      <c r="EA1338" t="s">
        <v>448</v>
      </c>
      <c r="EB1338" t="s">
        <v>742</v>
      </c>
      <c r="EC1338">
        <v>20101217</v>
      </c>
      <c r="ED1338" t="s">
        <v>474</v>
      </c>
      <c r="EF1338">
        <v>2038.3</v>
      </c>
      <c r="EG1338">
        <v>1457.3</v>
      </c>
      <c r="EI1338">
        <v>20160407</v>
      </c>
      <c r="EJ1338">
        <v>0</v>
      </c>
      <c r="EK1338">
        <v>0</v>
      </c>
      <c r="EP1338" t="s">
        <v>421</v>
      </c>
      <c r="EQ1338" t="s">
        <v>422</v>
      </c>
      <c r="ER1338">
        <v>0</v>
      </c>
      <c r="ES1338">
        <v>5</v>
      </c>
      <c r="ET1338">
        <v>0</v>
      </c>
      <c r="EU1338">
        <v>0</v>
      </c>
      <c r="EV1338">
        <v>0</v>
      </c>
      <c r="EW1338" s="2">
        <v>43222</v>
      </c>
      <c r="EX1338" s="1">
        <v>42515</v>
      </c>
      <c r="EY1338">
        <v>2015</v>
      </c>
      <c r="EZ1338">
        <v>792.6</v>
      </c>
      <c r="FA1338" t="s">
        <v>13647</v>
      </c>
      <c r="FB1338">
        <v>0.25</v>
      </c>
      <c r="FC1338" t="s">
        <v>424</v>
      </c>
      <c r="FD1338" t="s">
        <v>425</v>
      </c>
      <c r="FE1338" s="1">
        <v>42552</v>
      </c>
      <c r="FF1338">
        <v>2</v>
      </c>
      <c r="FG1338">
        <v>7045074</v>
      </c>
      <c r="FH1338" t="s">
        <v>580</v>
      </c>
      <c r="FJ1338" s="1">
        <v>42515</v>
      </c>
      <c r="FK1338">
        <v>2015</v>
      </c>
      <c r="FL1338">
        <v>792.6</v>
      </c>
      <c r="FM1338" t="s">
        <v>13647</v>
      </c>
      <c r="FN1338">
        <v>0.25</v>
      </c>
      <c r="FO1338" t="s">
        <v>424</v>
      </c>
      <c r="FP1338" t="s">
        <v>425</v>
      </c>
      <c r="FR1338">
        <v>22</v>
      </c>
      <c r="FS1338">
        <v>6651598</v>
      </c>
      <c r="FT1338" t="s">
        <v>13648</v>
      </c>
      <c r="FV1338" s="1">
        <v>41787</v>
      </c>
      <c r="FW1338">
        <v>2013</v>
      </c>
      <c r="FX1338">
        <v>881.27</v>
      </c>
      <c r="FY1338" t="s">
        <v>13649</v>
      </c>
      <c r="FZ1338">
        <v>0.25</v>
      </c>
      <c r="GA1338" t="s">
        <v>424</v>
      </c>
      <c r="GB1338" t="s">
        <v>425</v>
      </c>
      <c r="GC1338" s="1">
        <v>42081</v>
      </c>
      <c r="GD1338">
        <v>10</v>
      </c>
      <c r="GE1338">
        <v>2407503</v>
      </c>
      <c r="GF1338" t="s">
        <v>461</v>
      </c>
      <c r="GH1338" s="1">
        <v>41423</v>
      </c>
      <c r="GI1338">
        <v>2012</v>
      </c>
      <c r="GJ1338">
        <v>904.19</v>
      </c>
      <c r="GK1338" t="s">
        <v>13650</v>
      </c>
      <c r="GL1338">
        <v>0.25</v>
      </c>
      <c r="GM1338" t="s">
        <v>424</v>
      </c>
      <c r="GN1338" t="s">
        <v>425</v>
      </c>
      <c r="GO1338" s="1">
        <v>41612</v>
      </c>
      <c r="GP1338">
        <v>7</v>
      </c>
      <c r="GQ1338">
        <v>15399</v>
      </c>
      <c r="GR1338" t="s">
        <v>485</v>
      </c>
      <c r="GT1338" s="1">
        <v>41052</v>
      </c>
      <c r="GU1338">
        <v>2011</v>
      </c>
      <c r="GV1338">
        <v>1261.06</v>
      </c>
      <c r="GW1338" t="s">
        <v>13651</v>
      </c>
      <c r="GX1338">
        <v>5.75</v>
      </c>
      <c r="GY1338" t="s">
        <v>424</v>
      </c>
      <c r="GZ1338" t="s">
        <v>425</v>
      </c>
      <c r="HA1338" s="1">
        <v>41612</v>
      </c>
      <c r="HB1338">
        <v>19</v>
      </c>
      <c r="HC1338">
        <v>62</v>
      </c>
      <c r="HD1338" t="s">
        <v>463</v>
      </c>
    </row>
    <row r="1339" spans="1:272" x14ac:dyDescent="0.25">
      <c r="A1339">
        <v>16486346</v>
      </c>
      <c r="B1339">
        <v>1338</v>
      </c>
      <c r="C1339" t="s">
        <v>393</v>
      </c>
      <c r="D1339" t="s">
        <v>394</v>
      </c>
      <c r="F1339" t="str">
        <f>"43-2N-27-4621-0002-0150"</f>
        <v>43-2N-27-4621-0002-0150</v>
      </c>
      <c r="H1339" t="str">
        <f>"SAPP CHARLES L &amp; THOMPSON HEATHER L (JTR0S)"</f>
        <v>SAPP CHARLES L &amp; THOMPSON HEATHER L (JTR0S)</v>
      </c>
      <c r="I1339" t="str">
        <f>"85237 DAVID ROAD"</f>
        <v>85237 DAVID ROAD</v>
      </c>
      <c r="J1339" t="str">
        <f>"YULEE FL 32097"</f>
        <v>YULEE FL 32097</v>
      </c>
      <c r="K1339" t="str">
        <f>"85237 DAVID RD"</f>
        <v>85237 DAVID RD</v>
      </c>
      <c r="L1339" t="str">
        <f t="shared" si="456"/>
        <v>YULEE FL 32097</v>
      </c>
      <c r="M1339" t="str">
        <f>"BLOCK 2 LOT 15 IN OR 984 PG 1919 2001 SKYLINE DW/MH LOFTON BLUFF 2 PB 4/92 &amp; 93"</f>
        <v>BLOCK 2 LOT 15 IN OR 984 PG 1919 2001 SKYLINE DW/MH LOFTON BLUFF 2 PB 4/92 &amp; 93</v>
      </c>
      <c r="N1339" t="str">
        <f>""</f>
        <v/>
      </c>
      <c r="O1339" t="str">
        <f>"49468"</f>
        <v>49468</v>
      </c>
      <c r="P1339" t="str">
        <f t="shared" si="433"/>
        <v>2017</v>
      </c>
      <c r="Q1339" t="str">
        <f>""</f>
        <v/>
      </c>
      <c r="R1339" t="str">
        <f>"Y"</f>
        <v>Y</v>
      </c>
      <c r="S1339" t="str">
        <f>""</f>
        <v/>
      </c>
      <c r="T1339" t="str">
        <f>"464.37"</f>
        <v>464.37</v>
      </c>
      <c r="U1339" t="str">
        <f>"63018.00"</f>
        <v>63018.00</v>
      </c>
      <c r="V1339" t="str">
        <f>"63018.00"</f>
        <v>63018.00</v>
      </c>
      <c r="W1339" t="str">
        <f t="shared" si="434"/>
        <v>2017</v>
      </c>
      <c r="X1339" t="str">
        <f>"17.55"</f>
        <v>17.55</v>
      </c>
      <c r="Y1339" t="str">
        <f>"510.30"</f>
        <v>510.30</v>
      </c>
      <c r="Z1339" t="str">
        <f>"25000.00"</f>
        <v>25000.00</v>
      </c>
      <c r="AA1339" t="str">
        <f>"38018.00"</f>
        <v>38018.00</v>
      </c>
      <c r="AB1339" t="str">
        <f t="shared" si="454"/>
        <v>Residential</v>
      </c>
      <c r="AC1339" t="str">
        <f t="shared" si="445"/>
        <v>0</v>
      </c>
      <c r="AD1339" t="str">
        <f t="shared" si="457"/>
        <v>4</v>
      </c>
      <c r="AE1339" t="str">
        <f t="shared" si="458"/>
        <v>WOOD (INCLUDE STEEL STUDS)</v>
      </c>
      <c r="AF1339" t="str">
        <f t="shared" si="459"/>
        <v>002</v>
      </c>
      <c r="AG1339" t="str">
        <f t="shared" si="444"/>
        <v>FL</v>
      </c>
      <c r="AH1339" t="str">
        <f t="shared" si="453"/>
        <v>-</v>
      </c>
      <c r="AI1339" t="str">
        <f t="shared" si="460"/>
        <v>28000.00</v>
      </c>
      <c r="AJ1339" t="str">
        <f>"C55-000-588-2900-3"</f>
        <v>C55-000-588-2900-3</v>
      </c>
      <c r="AK1339" t="str">
        <f>"22803"</f>
        <v>22803</v>
      </c>
      <c r="AL1339">
        <v>5</v>
      </c>
      <c r="AM1339">
        <v>1530</v>
      </c>
      <c r="AN1339">
        <v>534.22</v>
      </c>
      <c r="AQ1339" t="s">
        <v>13652</v>
      </c>
      <c r="AR1339" t="s">
        <v>13652</v>
      </c>
      <c r="AS1339" t="s">
        <v>13652</v>
      </c>
      <c r="AU1339" t="s">
        <v>396</v>
      </c>
      <c r="AV1339">
        <v>2017</v>
      </c>
      <c r="AW1339" t="str">
        <f>"43-2N-27-4621-0002-0150 "</f>
        <v xml:space="preserve">43-2N-27-4621-0002-0150 </v>
      </c>
      <c r="AX1339">
        <v>85237</v>
      </c>
      <c r="AZ1339" t="s">
        <v>13653</v>
      </c>
      <c r="BA1339" t="s">
        <v>496</v>
      </c>
      <c r="BD1339" t="s">
        <v>2387</v>
      </c>
      <c r="BE1339" t="s">
        <v>393</v>
      </c>
      <c r="BF1339">
        <v>32097</v>
      </c>
      <c r="BG1339" t="s">
        <v>13654</v>
      </c>
      <c r="BH1339" t="s">
        <v>2388</v>
      </c>
      <c r="BI1339">
        <v>-81.580093779804898</v>
      </c>
      <c r="BJ1339">
        <v>30.588675593358499</v>
      </c>
      <c r="BK1339" t="s">
        <v>13655</v>
      </c>
      <c r="BL1339" t="s">
        <v>13656</v>
      </c>
      <c r="BM1339" t="s">
        <v>13654</v>
      </c>
      <c r="BN1339" t="s">
        <v>1778</v>
      </c>
      <c r="BO1339">
        <v>32097</v>
      </c>
      <c r="BP1339" t="s">
        <v>416</v>
      </c>
      <c r="BQ1339">
        <v>200</v>
      </c>
      <c r="BR1339" t="s">
        <v>405</v>
      </c>
      <c r="BS1339">
        <v>1006</v>
      </c>
      <c r="BT1339" t="s">
        <v>406</v>
      </c>
      <c r="BW1339">
        <v>46935</v>
      </c>
      <c r="BX1339" t="s">
        <v>407</v>
      </c>
      <c r="BY1339" t="s">
        <v>408</v>
      </c>
      <c r="BZ1339">
        <v>4</v>
      </c>
      <c r="CA1339">
        <v>2001</v>
      </c>
      <c r="CB1339">
        <v>1</v>
      </c>
      <c r="CC1339">
        <v>1</v>
      </c>
      <c r="CD1339">
        <v>2017</v>
      </c>
      <c r="CG1339">
        <v>63018</v>
      </c>
      <c r="CH1339">
        <v>2017</v>
      </c>
      <c r="CI1339">
        <v>28000</v>
      </c>
      <c r="CJ1339">
        <v>57673</v>
      </c>
      <c r="CK1339">
        <v>85673</v>
      </c>
      <c r="CL1339">
        <v>2017</v>
      </c>
      <c r="CM1339">
        <v>464.37</v>
      </c>
      <c r="CN1339" s="1">
        <v>37019</v>
      </c>
      <c r="CO1339">
        <v>28400</v>
      </c>
      <c r="CZ1339" s="1">
        <v>37019</v>
      </c>
      <c r="DD1339" t="s">
        <v>2387</v>
      </c>
      <c r="DF1339">
        <v>15</v>
      </c>
      <c r="DG1339">
        <v>43</v>
      </c>
      <c r="DL1339">
        <v>50302</v>
      </c>
      <c r="DM1339" t="s">
        <v>13628</v>
      </c>
      <c r="DO1339" t="s">
        <v>13657</v>
      </c>
      <c r="DP1339">
        <v>0</v>
      </c>
      <c r="DQ1339">
        <v>0</v>
      </c>
      <c r="DR1339" t="s">
        <v>411</v>
      </c>
      <c r="DS1339" t="b">
        <v>1</v>
      </c>
      <c r="DT1339" t="s">
        <v>470</v>
      </c>
      <c r="DU1339" t="s">
        <v>471</v>
      </c>
      <c r="DV1339" t="s">
        <v>472</v>
      </c>
      <c r="DX1339">
        <v>-9999</v>
      </c>
      <c r="DZ1339" t="s">
        <v>447</v>
      </c>
      <c r="EA1339" t="s">
        <v>448</v>
      </c>
      <c r="EB1339" t="s">
        <v>742</v>
      </c>
      <c r="EC1339">
        <v>20101217</v>
      </c>
      <c r="ED1339" t="s">
        <v>474</v>
      </c>
      <c r="EF1339">
        <v>1962.3</v>
      </c>
      <c r="EG1339">
        <v>1709.4</v>
      </c>
      <c r="EI1339">
        <v>20160407</v>
      </c>
      <c r="EJ1339">
        <v>0</v>
      </c>
      <c r="EK1339">
        <v>0</v>
      </c>
      <c r="EP1339" t="s">
        <v>421</v>
      </c>
      <c r="EQ1339" t="s">
        <v>422</v>
      </c>
      <c r="ER1339">
        <v>2</v>
      </c>
      <c r="ES1339">
        <v>8</v>
      </c>
      <c r="ET1339">
        <v>1056.3800000000001</v>
      </c>
      <c r="EU1339">
        <v>65.319999999999993</v>
      </c>
      <c r="EV1339">
        <v>1121.7</v>
      </c>
      <c r="EW1339" s="2">
        <v>43222</v>
      </c>
      <c r="EX1339" s="1">
        <v>42879</v>
      </c>
      <c r="EY1339">
        <v>2016</v>
      </c>
      <c r="EZ1339">
        <v>528.19000000000005</v>
      </c>
      <c r="FA1339" t="s">
        <v>13658</v>
      </c>
      <c r="FB1339">
        <v>0.25</v>
      </c>
      <c r="FC1339" t="s">
        <v>424</v>
      </c>
      <c r="FD1339" t="s">
        <v>454</v>
      </c>
      <c r="FF1339">
        <v>12</v>
      </c>
      <c r="FG1339">
        <v>2851116</v>
      </c>
      <c r="FH1339" t="s">
        <v>480</v>
      </c>
      <c r="FJ1339" s="1">
        <v>42879</v>
      </c>
      <c r="FK1339">
        <v>2016</v>
      </c>
      <c r="FL1339">
        <v>528.19000000000005</v>
      </c>
      <c r="FM1339" t="s">
        <v>13658</v>
      </c>
      <c r="FN1339">
        <v>0.25</v>
      </c>
      <c r="FO1339" t="s">
        <v>424</v>
      </c>
      <c r="FP1339" t="s">
        <v>454</v>
      </c>
      <c r="FR1339">
        <v>12</v>
      </c>
      <c r="FS1339">
        <v>4988167</v>
      </c>
      <c r="FT1339" t="s">
        <v>13659</v>
      </c>
      <c r="FV1339" s="1">
        <v>42515</v>
      </c>
      <c r="FW1339">
        <v>2015</v>
      </c>
      <c r="FX1339">
        <v>543.57000000000005</v>
      </c>
      <c r="FY1339" t="s">
        <v>13660</v>
      </c>
      <c r="FZ1339">
        <v>0.25</v>
      </c>
      <c r="GA1339" t="s">
        <v>424</v>
      </c>
      <c r="GB1339" t="s">
        <v>425</v>
      </c>
      <c r="GC1339" s="1">
        <v>43147</v>
      </c>
      <c r="GD1339">
        <v>21</v>
      </c>
      <c r="GE1339">
        <v>7336671</v>
      </c>
      <c r="GF1339" t="s">
        <v>437</v>
      </c>
      <c r="GH1339" s="1">
        <v>42515</v>
      </c>
      <c r="GI1339">
        <v>2015</v>
      </c>
      <c r="GJ1339">
        <v>543.57000000000005</v>
      </c>
      <c r="GK1339" t="s">
        <v>13660</v>
      </c>
      <c r="GL1339">
        <v>0.25</v>
      </c>
      <c r="GM1339" t="s">
        <v>424</v>
      </c>
      <c r="GN1339" t="s">
        <v>425</v>
      </c>
      <c r="GP1339">
        <v>22</v>
      </c>
      <c r="GQ1339">
        <v>6948936</v>
      </c>
      <c r="GR1339" t="s">
        <v>13661</v>
      </c>
      <c r="GT1339" s="1">
        <v>42151</v>
      </c>
      <c r="GU1339">
        <v>2014</v>
      </c>
      <c r="GV1339">
        <v>576.37</v>
      </c>
      <c r="GW1339" t="s">
        <v>13662</v>
      </c>
      <c r="GX1339">
        <v>0.25</v>
      </c>
      <c r="GY1339" t="s">
        <v>424</v>
      </c>
      <c r="GZ1339" t="s">
        <v>425</v>
      </c>
      <c r="HA1339" s="1">
        <v>42790</v>
      </c>
      <c r="HB1339">
        <v>21</v>
      </c>
      <c r="HC1339">
        <v>4975594</v>
      </c>
      <c r="HD1339" t="s">
        <v>457</v>
      </c>
      <c r="HF1339" s="1">
        <v>42151</v>
      </c>
      <c r="HG1339">
        <v>2014</v>
      </c>
      <c r="HH1339">
        <v>576.37</v>
      </c>
      <c r="HI1339" t="s">
        <v>13662</v>
      </c>
      <c r="HJ1339">
        <v>0.25</v>
      </c>
      <c r="HK1339" t="s">
        <v>424</v>
      </c>
      <c r="HL1339" t="s">
        <v>425</v>
      </c>
      <c r="HN1339">
        <v>22</v>
      </c>
      <c r="HO1339">
        <v>6295129</v>
      </c>
      <c r="HP1339" t="s">
        <v>13663</v>
      </c>
      <c r="HR1339" s="1">
        <v>41787</v>
      </c>
      <c r="HS1339">
        <v>2013</v>
      </c>
      <c r="HT1339">
        <v>577.55999999999995</v>
      </c>
      <c r="HU1339" t="s">
        <v>13664</v>
      </c>
      <c r="HV1339">
        <v>0.25</v>
      </c>
      <c r="HW1339" t="s">
        <v>424</v>
      </c>
      <c r="HX1339" t="s">
        <v>425</v>
      </c>
      <c r="HY1339" s="1">
        <v>42419</v>
      </c>
      <c r="HZ1339">
        <v>21</v>
      </c>
      <c r="IA1339">
        <v>2407503</v>
      </c>
      <c r="IB1339" t="s">
        <v>461</v>
      </c>
      <c r="ID1339" s="1">
        <v>41423</v>
      </c>
      <c r="IE1339">
        <v>2012</v>
      </c>
      <c r="IF1339">
        <v>577.91999999999996</v>
      </c>
      <c r="IG1339" t="s">
        <v>13665</v>
      </c>
      <c r="IH1339">
        <v>0.25</v>
      </c>
      <c r="II1339" t="s">
        <v>424</v>
      </c>
      <c r="IJ1339" t="s">
        <v>425</v>
      </c>
      <c r="IK1339" s="1">
        <v>42055</v>
      </c>
      <c r="IL1339">
        <v>21</v>
      </c>
      <c r="IM1339">
        <v>15399</v>
      </c>
      <c r="IN1339" t="s">
        <v>485</v>
      </c>
      <c r="IP1339" s="1">
        <v>41052</v>
      </c>
      <c r="IQ1339">
        <v>2011</v>
      </c>
      <c r="IR1339">
        <v>799.65</v>
      </c>
      <c r="IS1339" t="s">
        <v>13666</v>
      </c>
      <c r="IT1339">
        <v>5.75</v>
      </c>
      <c r="IU1339" t="s">
        <v>424</v>
      </c>
      <c r="IV1339" t="s">
        <v>425</v>
      </c>
      <c r="IW1339" s="1">
        <v>41694</v>
      </c>
      <c r="IX1339">
        <v>21</v>
      </c>
      <c r="IY1339">
        <v>62</v>
      </c>
      <c r="IZ1339" t="s">
        <v>463</v>
      </c>
      <c r="JB1339" s="1">
        <v>40688</v>
      </c>
      <c r="JC1339">
        <v>2010</v>
      </c>
      <c r="JD1339">
        <v>922.08</v>
      </c>
      <c r="JE1339" t="s">
        <v>13667</v>
      </c>
      <c r="JF1339">
        <v>6.75</v>
      </c>
      <c r="JG1339" t="s">
        <v>424</v>
      </c>
      <c r="JH1339" t="s">
        <v>425</v>
      </c>
      <c r="JI1339" s="1">
        <v>41331</v>
      </c>
      <c r="JJ1339">
        <v>21</v>
      </c>
      <c r="JK1339">
        <v>375</v>
      </c>
      <c r="JL1339" t="s">
        <v>776</v>
      </c>
    </row>
    <row r="1340" spans="1:272" x14ac:dyDescent="0.25">
      <c r="A1340">
        <v>16486347</v>
      </c>
      <c r="B1340">
        <v>1339</v>
      </c>
      <c r="C1340" t="s">
        <v>393</v>
      </c>
      <c r="D1340" t="s">
        <v>394</v>
      </c>
      <c r="F1340" t="str">
        <f>"43-2N-27-4621-0002-0160"</f>
        <v>43-2N-27-4621-0002-0160</v>
      </c>
      <c r="H1340" t="str">
        <f>"CARPENTER JOHN JR &amp; CARPENTER JENNIFER (JT/RS)"</f>
        <v>CARPENTER JOHN JR &amp; CARPENTER JENNIFER (JT/RS)</v>
      </c>
      <c r="I1340" t="str">
        <f>"357 NW 87 TERR 457"</f>
        <v>357 NW 87 TERR 457</v>
      </c>
      <c r="J1340" t="str">
        <f>"PLANTATION FL 33324"</f>
        <v>PLANTATION FL 33324</v>
      </c>
      <c r="K1340" t="str">
        <f>"85203 DAVID RD"</f>
        <v>85203 DAVID RD</v>
      </c>
      <c r="L1340" t="str">
        <f t="shared" si="456"/>
        <v>YULEE FL 32097</v>
      </c>
      <c r="M1340" t="str">
        <f>"BLOCK 2 LOT 16 IN OR 2018/592 R621496 &amp; R621497 LOFTON BLUFF 2 PB 4/92 &amp; 93"</f>
        <v>BLOCK 2 LOT 16 IN OR 2018/592 R621496 &amp; R621497 LOFTON BLUFF 2 PB 4/92 &amp; 93</v>
      </c>
      <c r="N1340" t="str">
        <f>""</f>
        <v/>
      </c>
      <c r="O1340" t="str">
        <f>"49469"</f>
        <v>49469</v>
      </c>
      <c r="P1340" t="str">
        <f t="shared" si="433"/>
        <v>2017</v>
      </c>
      <c r="Q1340" t="str">
        <f>""</f>
        <v/>
      </c>
      <c r="R1340" t="str">
        <f t="shared" ref="R1340:R1345" si="461">"N"</f>
        <v>N</v>
      </c>
      <c r="S1340" t="str">
        <f>""</f>
        <v/>
      </c>
      <c r="T1340" t="str">
        <f>"1021.34"</f>
        <v>1021.34</v>
      </c>
      <c r="U1340" t="str">
        <f>"64914.00"</f>
        <v>64914.00</v>
      </c>
      <c r="V1340" t="str">
        <f>"64914.00"</f>
        <v>64914.00</v>
      </c>
      <c r="W1340" t="str">
        <f t="shared" si="434"/>
        <v>2017</v>
      </c>
      <c r="X1340" t="str">
        <f>"10.17"</f>
        <v>10.17</v>
      </c>
      <c r="Y1340" t="str">
        <f>"1083.98"</f>
        <v>1083.98</v>
      </c>
      <c r="Z1340" t="str">
        <f>""</f>
        <v/>
      </c>
      <c r="AA1340" t="str">
        <f>"70767.00"</f>
        <v>70767.00</v>
      </c>
      <c r="AB1340" t="str">
        <f t="shared" si="454"/>
        <v>Residential</v>
      </c>
      <c r="AC1340" t="str">
        <f t="shared" si="445"/>
        <v>0</v>
      </c>
      <c r="AD1340" t="str">
        <f t="shared" si="457"/>
        <v>4</v>
      </c>
      <c r="AE1340" t="str">
        <f t="shared" si="458"/>
        <v>WOOD (INCLUDE STEEL STUDS)</v>
      </c>
      <c r="AF1340" t="str">
        <f t="shared" si="459"/>
        <v>002</v>
      </c>
      <c r="AG1340" t="str">
        <f t="shared" si="444"/>
        <v>FL</v>
      </c>
      <c r="AH1340" t="str">
        <f t="shared" si="453"/>
        <v>-</v>
      </c>
      <c r="AI1340" t="str">
        <f t="shared" si="460"/>
        <v>28000.00</v>
      </c>
      <c r="AJ1340" t="str">
        <f>"C55-000-588-2901-1"</f>
        <v>C55-000-588-2901-1</v>
      </c>
      <c r="AK1340" t="str">
        <f>"22804"</f>
        <v>22804</v>
      </c>
      <c r="AL1340">
        <v>5</v>
      </c>
      <c r="AM1340">
        <v>1531</v>
      </c>
      <c r="AN1340">
        <v>1136.58</v>
      </c>
      <c r="AQ1340" t="s">
        <v>13668</v>
      </c>
      <c r="AR1340" t="s">
        <v>13668</v>
      </c>
      <c r="AS1340" t="s">
        <v>13668</v>
      </c>
      <c r="AU1340" t="s">
        <v>396</v>
      </c>
      <c r="AV1340">
        <v>2017</v>
      </c>
      <c r="AW1340" t="str">
        <f>"43-2N-27-4621-0002-0160 "</f>
        <v xml:space="preserve">43-2N-27-4621-0002-0160 </v>
      </c>
      <c r="AX1340">
        <v>85203</v>
      </c>
      <c r="AZ1340" t="s">
        <v>13653</v>
      </c>
      <c r="BA1340" t="s">
        <v>496</v>
      </c>
      <c r="BD1340" t="s">
        <v>2387</v>
      </c>
      <c r="BE1340" t="s">
        <v>393</v>
      </c>
      <c r="BF1340">
        <v>32097</v>
      </c>
      <c r="BG1340" t="s">
        <v>13669</v>
      </c>
      <c r="BH1340" t="s">
        <v>2388</v>
      </c>
      <c r="BI1340">
        <v>-81.579718960144604</v>
      </c>
      <c r="BJ1340">
        <v>30.588393533720101</v>
      </c>
      <c r="BK1340" t="s">
        <v>13670</v>
      </c>
      <c r="BM1340" t="s">
        <v>13671</v>
      </c>
      <c r="BN1340" t="s">
        <v>2640</v>
      </c>
      <c r="BO1340">
        <v>33324</v>
      </c>
      <c r="BP1340" t="s">
        <v>404</v>
      </c>
      <c r="BQ1340">
        <v>200</v>
      </c>
      <c r="BR1340" t="s">
        <v>405</v>
      </c>
      <c r="BS1340">
        <v>1006</v>
      </c>
      <c r="BT1340" t="s">
        <v>406</v>
      </c>
      <c r="BW1340">
        <v>43650</v>
      </c>
      <c r="BX1340" t="s">
        <v>407</v>
      </c>
      <c r="BY1340" t="s">
        <v>408</v>
      </c>
      <c r="BZ1340">
        <v>4</v>
      </c>
      <c r="CA1340">
        <v>1995</v>
      </c>
      <c r="CB1340">
        <v>1</v>
      </c>
      <c r="CC1340">
        <v>1</v>
      </c>
      <c r="CD1340">
        <v>2017</v>
      </c>
      <c r="CE1340">
        <v>28000</v>
      </c>
      <c r="CF1340">
        <v>42767</v>
      </c>
      <c r="CG1340">
        <v>70767</v>
      </c>
      <c r="CH1340">
        <v>2017</v>
      </c>
      <c r="CI1340">
        <v>28000</v>
      </c>
      <c r="CJ1340">
        <v>42767</v>
      </c>
      <c r="CK1340">
        <v>70767</v>
      </c>
      <c r="CL1340">
        <v>2017</v>
      </c>
      <c r="CM1340">
        <v>1021.34</v>
      </c>
      <c r="CN1340" s="1">
        <v>42352</v>
      </c>
      <c r="CZ1340" s="1">
        <v>42352</v>
      </c>
      <c r="DD1340" t="s">
        <v>2387</v>
      </c>
      <c r="DF1340">
        <v>16</v>
      </c>
      <c r="DG1340">
        <v>43</v>
      </c>
      <c r="DL1340">
        <v>50302</v>
      </c>
      <c r="DM1340" t="s">
        <v>13628</v>
      </c>
      <c r="DO1340" t="s">
        <v>13672</v>
      </c>
      <c r="DP1340">
        <v>0</v>
      </c>
      <c r="DQ1340">
        <v>0</v>
      </c>
      <c r="DR1340" t="s">
        <v>411</v>
      </c>
      <c r="DS1340" t="b">
        <v>1</v>
      </c>
      <c r="DT1340" t="s">
        <v>470</v>
      </c>
      <c r="DU1340" t="s">
        <v>471</v>
      </c>
      <c r="DV1340" t="s">
        <v>472</v>
      </c>
      <c r="DX1340">
        <v>-9999</v>
      </c>
      <c r="DZ1340" t="s">
        <v>447</v>
      </c>
      <c r="EA1340" t="s">
        <v>448</v>
      </c>
      <c r="EB1340" t="s">
        <v>742</v>
      </c>
      <c r="EC1340">
        <v>20101217</v>
      </c>
      <c r="ED1340" t="s">
        <v>474</v>
      </c>
      <c r="EF1340">
        <v>1810.6</v>
      </c>
      <c r="EG1340">
        <v>1782.6</v>
      </c>
      <c r="EI1340">
        <v>20160407</v>
      </c>
      <c r="EJ1340">
        <v>0</v>
      </c>
      <c r="EK1340">
        <v>0</v>
      </c>
      <c r="EP1340" t="s">
        <v>421</v>
      </c>
      <c r="EQ1340" t="s">
        <v>422</v>
      </c>
      <c r="ER1340">
        <v>0</v>
      </c>
      <c r="ES1340">
        <v>5</v>
      </c>
      <c r="ET1340">
        <v>0</v>
      </c>
      <c r="EU1340">
        <v>0</v>
      </c>
      <c r="EV1340">
        <v>0</v>
      </c>
      <c r="EW1340" s="2">
        <v>43222</v>
      </c>
      <c r="EX1340" s="1">
        <v>42515</v>
      </c>
      <c r="EY1340">
        <v>2015</v>
      </c>
      <c r="EZ1340">
        <v>960.79</v>
      </c>
      <c r="FA1340" t="s">
        <v>13673</v>
      </c>
      <c r="FB1340">
        <v>0.25</v>
      </c>
      <c r="FC1340" t="s">
        <v>424</v>
      </c>
      <c r="FD1340" t="s">
        <v>425</v>
      </c>
      <c r="FE1340" s="1">
        <v>42756</v>
      </c>
      <c r="FF1340">
        <v>8</v>
      </c>
      <c r="FG1340">
        <v>7045074</v>
      </c>
      <c r="FH1340" t="s">
        <v>580</v>
      </c>
      <c r="FJ1340" s="1">
        <v>42515</v>
      </c>
      <c r="FK1340">
        <v>2015</v>
      </c>
      <c r="FL1340">
        <v>960.79</v>
      </c>
      <c r="FM1340" t="s">
        <v>13673</v>
      </c>
      <c r="FN1340">
        <v>0.25</v>
      </c>
      <c r="FO1340" t="s">
        <v>424</v>
      </c>
      <c r="FP1340" t="s">
        <v>425</v>
      </c>
      <c r="FR1340">
        <v>22</v>
      </c>
      <c r="FS1340">
        <v>6676547</v>
      </c>
      <c r="FT1340" t="s">
        <v>13674</v>
      </c>
      <c r="FV1340" s="1">
        <v>41787</v>
      </c>
      <c r="FW1340">
        <v>2013</v>
      </c>
      <c r="FX1340">
        <v>987.8</v>
      </c>
      <c r="FY1340" t="s">
        <v>13675</v>
      </c>
      <c r="FZ1340">
        <v>0.25</v>
      </c>
      <c r="GA1340" t="s">
        <v>424</v>
      </c>
      <c r="GB1340" t="s">
        <v>425</v>
      </c>
      <c r="GC1340" s="1">
        <v>42416</v>
      </c>
      <c r="GD1340">
        <v>21</v>
      </c>
      <c r="GE1340">
        <v>2407503</v>
      </c>
      <c r="GF1340" t="s">
        <v>461</v>
      </c>
      <c r="GH1340" s="1">
        <v>41423</v>
      </c>
      <c r="GI1340">
        <v>2012</v>
      </c>
      <c r="GJ1340">
        <v>1021.39</v>
      </c>
      <c r="GK1340" t="s">
        <v>13676</v>
      </c>
      <c r="GL1340">
        <v>0.25</v>
      </c>
      <c r="GM1340" t="s">
        <v>424</v>
      </c>
      <c r="GN1340" t="s">
        <v>425</v>
      </c>
      <c r="GO1340" s="1">
        <v>41830</v>
      </c>
      <c r="GP1340">
        <v>14</v>
      </c>
      <c r="GQ1340">
        <v>606981</v>
      </c>
      <c r="GR1340" t="s">
        <v>792</v>
      </c>
      <c r="GT1340" s="1">
        <v>41052</v>
      </c>
      <c r="GU1340">
        <v>2011</v>
      </c>
      <c r="GV1340">
        <v>1104.56</v>
      </c>
      <c r="GW1340" t="s">
        <v>13677</v>
      </c>
      <c r="GX1340">
        <v>5</v>
      </c>
      <c r="GY1340" t="s">
        <v>424</v>
      </c>
      <c r="GZ1340" t="s">
        <v>425</v>
      </c>
      <c r="HA1340" s="1">
        <v>41380</v>
      </c>
      <c r="HB1340">
        <v>11</v>
      </c>
      <c r="HC1340">
        <v>62</v>
      </c>
      <c r="HD1340" t="s">
        <v>463</v>
      </c>
    </row>
    <row r="1341" spans="1:272" x14ac:dyDescent="0.25">
      <c r="A1341">
        <v>16486348</v>
      </c>
      <c r="B1341">
        <v>1340</v>
      </c>
      <c r="C1341" t="s">
        <v>393</v>
      </c>
      <c r="D1341" t="s">
        <v>394</v>
      </c>
      <c r="F1341" t="str">
        <f>"43-2N-27-4621-0002-0290"</f>
        <v>43-2N-27-4621-0002-0290</v>
      </c>
      <c r="H1341" t="str">
        <f>"VAN WERT JANE ANN"</f>
        <v>VAN WERT JANE ANN</v>
      </c>
      <c r="I1341" t="str">
        <f>"85128 ANGIE RD"</f>
        <v>85128 ANGIE RD</v>
      </c>
      <c r="J1341" t="str">
        <f>"YULEE FL 32097"</f>
        <v>YULEE FL 32097</v>
      </c>
      <c r="K1341" t="str">
        <f>"85128 ANGIE RD"</f>
        <v>85128 ANGIE RD</v>
      </c>
      <c r="L1341" t="str">
        <f t="shared" si="456"/>
        <v>YULEE FL 32097</v>
      </c>
      <c r="M1341" t="str">
        <f>"BLOCK 2 LOT 29 IN OR 2116/1561 R359734 &amp; R359735 LOFTON BLUFF 2 PB 4/92 &amp; 93"</f>
        <v>BLOCK 2 LOT 29 IN OR 2116/1561 R359734 &amp; R359735 LOFTON BLUFF 2 PB 4/92 &amp; 93</v>
      </c>
      <c r="N1341" t="str">
        <f>""</f>
        <v/>
      </c>
      <c r="O1341" t="str">
        <f>"49482"</f>
        <v>49482</v>
      </c>
      <c r="P1341" t="str">
        <f t="shared" si="433"/>
        <v>2017</v>
      </c>
      <c r="Q1341" t="str">
        <f>""</f>
        <v/>
      </c>
      <c r="R1341" t="str">
        <f t="shared" si="461"/>
        <v>N</v>
      </c>
      <c r="S1341" t="str">
        <f>""</f>
        <v/>
      </c>
      <c r="T1341" t="str">
        <f>"708.48"</f>
        <v>708.48</v>
      </c>
      <c r="U1341" t="str">
        <f>"43919.00"</f>
        <v>43919.00</v>
      </c>
      <c r="V1341" t="str">
        <f>"43919.00"</f>
        <v>43919.00</v>
      </c>
      <c r="W1341" t="str">
        <f t="shared" si="434"/>
        <v>2017</v>
      </c>
      <c r="X1341" t="str">
        <f>""</f>
        <v/>
      </c>
      <c r="Y1341" t="str">
        <f>"761.73"</f>
        <v>761.73</v>
      </c>
      <c r="Z1341" t="str">
        <f>""</f>
        <v/>
      </c>
      <c r="AA1341" t="str">
        <f>"50526.00"</f>
        <v>50526.00</v>
      </c>
      <c r="AB1341" t="str">
        <f t="shared" si="454"/>
        <v>Residential</v>
      </c>
      <c r="AC1341" t="str">
        <f t="shared" si="445"/>
        <v>0</v>
      </c>
      <c r="AD1341" t="str">
        <f t="shared" si="457"/>
        <v>4</v>
      </c>
      <c r="AE1341" t="str">
        <f t="shared" si="458"/>
        <v>WOOD (INCLUDE STEEL STUDS)</v>
      </c>
      <c r="AF1341" t="str">
        <f t="shared" si="459"/>
        <v>002</v>
      </c>
      <c r="AG1341" t="str">
        <f t="shared" si="444"/>
        <v>FL</v>
      </c>
      <c r="AH1341" t="str">
        <f t="shared" si="453"/>
        <v>-</v>
      </c>
      <c r="AI1341" t="str">
        <f t="shared" si="460"/>
        <v>28000.00</v>
      </c>
      <c r="AJ1341" t="str">
        <f>"C55-000-588-2914-4"</f>
        <v>C55-000-588-2914-4</v>
      </c>
      <c r="AK1341" t="str">
        <f>"22816"</f>
        <v>22816</v>
      </c>
      <c r="AL1341">
        <v>5</v>
      </c>
      <c r="AM1341">
        <v>1532</v>
      </c>
      <c r="AN1341">
        <v>798.22</v>
      </c>
      <c r="AQ1341" t="s">
        <v>13678</v>
      </c>
      <c r="AR1341" t="s">
        <v>13678</v>
      </c>
      <c r="AS1341" t="s">
        <v>13678</v>
      </c>
      <c r="AU1341" t="s">
        <v>396</v>
      </c>
      <c r="AV1341">
        <v>2017</v>
      </c>
      <c r="AW1341" t="str">
        <f>"43-2N-27-4621-0002-0290 "</f>
        <v xml:space="preserve">43-2N-27-4621-0002-0290 </v>
      </c>
      <c r="AX1341">
        <v>85128</v>
      </c>
      <c r="AZ1341" t="s">
        <v>13679</v>
      </c>
      <c r="BA1341" t="s">
        <v>496</v>
      </c>
      <c r="BD1341" t="s">
        <v>2387</v>
      </c>
      <c r="BE1341" t="s">
        <v>393</v>
      </c>
      <c r="BF1341">
        <v>32097</v>
      </c>
      <c r="BG1341" t="s">
        <v>13680</v>
      </c>
      <c r="BH1341" t="s">
        <v>2388</v>
      </c>
      <c r="BI1341">
        <v>-81.576300427842995</v>
      </c>
      <c r="BJ1341">
        <v>30.588563080207901</v>
      </c>
      <c r="BK1341" t="s">
        <v>13681</v>
      </c>
      <c r="BL1341" t="s">
        <v>13682</v>
      </c>
      <c r="BM1341" t="s">
        <v>13683</v>
      </c>
      <c r="BN1341" t="s">
        <v>548</v>
      </c>
      <c r="BO1341">
        <v>32216</v>
      </c>
      <c r="BP1341" t="s">
        <v>404</v>
      </c>
      <c r="BQ1341">
        <v>200</v>
      </c>
      <c r="BR1341" t="s">
        <v>405</v>
      </c>
      <c r="BS1341">
        <v>1006</v>
      </c>
      <c r="BT1341" t="s">
        <v>406</v>
      </c>
      <c r="BW1341">
        <v>57561</v>
      </c>
      <c r="BX1341" t="s">
        <v>407</v>
      </c>
      <c r="BY1341" t="s">
        <v>408</v>
      </c>
      <c r="BZ1341">
        <v>4</v>
      </c>
      <c r="CA1341">
        <v>1986</v>
      </c>
      <c r="CB1341">
        <v>1</v>
      </c>
      <c r="CC1341">
        <v>1</v>
      </c>
      <c r="CD1341">
        <v>2017</v>
      </c>
      <c r="CE1341">
        <v>28000</v>
      </c>
      <c r="CF1341">
        <v>22526</v>
      </c>
      <c r="CG1341">
        <v>50526</v>
      </c>
      <c r="CH1341">
        <v>2017</v>
      </c>
      <c r="CI1341">
        <v>28000</v>
      </c>
      <c r="CJ1341">
        <v>22526</v>
      </c>
      <c r="CK1341">
        <v>50526</v>
      </c>
      <c r="CL1341">
        <v>2017</v>
      </c>
      <c r="CM1341">
        <v>708.48</v>
      </c>
      <c r="CN1341" s="1">
        <v>39833</v>
      </c>
      <c r="CZ1341" s="1">
        <v>39833</v>
      </c>
      <c r="DD1341" t="s">
        <v>2387</v>
      </c>
      <c r="DF1341">
        <v>29</v>
      </c>
      <c r="DG1341">
        <v>43</v>
      </c>
      <c r="DL1341">
        <v>50302</v>
      </c>
      <c r="DM1341" t="s">
        <v>13628</v>
      </c>
      <c r="DO1341" t="s">
        <v>13684</v>
      </c>
      <c r="DP1341">
        <v>0</v>
      </c>
      <c r="DQ1341">
        <v>0</v>
      </c>
      <c r="DR1341" t="s">
        <v>411</v>
      </c>
    </row>
    <row r="1342" spans="1:272" x14ac:dyDescent="0.25">
      <c r="A1342">
        <v>16486349</v>
      </c>
      <c r="B1342">
        <v>1341</v>
      </c>
      <c r="C1342" t="s">
        <v>393</v>
      </c>
      <c r="D1342" t="s">
        <v>394</v>
      </c>
      <c r="F1342" t="str">
        <f>"43-2N-27-4621-0002-0380"</f>
        <v>43-2N-27-4621-0002-0380</v>
      </c>
      <c r="H1342" t="str">
        <f>"REEVES PROPERTIES INC"</f>
        <v>REEVES PROPERTIES INC</v>
      </c>
      <c r="I1342" t="str">
        <f>"86197 CARTESIAN PT DRIVE"</f>
        <v>86197 CARTESIAN PT DRIVE</v>
      </c>
      <c r="J1342" t="str">
        <f>"YULEE FL 32097"</f>
        <v>YULEE FL 32097</v>
      </c>
      <c r="K1342" t="str">
        <f>"85477 BLACKMON RD"</f>
        <v>85477 BLACKMON RD</v>
      </c>
      <c r="L1342" t="str">
        <f t="shared" si="456"/>
        <v>YULEE FL 32097</v>
      </c>
      <c r="M1342" t="str">
        <f>"BLOCK 2 LOT 38 IN OR 447 PG 722 LOFTON BLUFF 2 PB 4/92 &amp; 93"</f>
        <v>BLOCK 2 LOT 38 IN OR 447 PG 722 LOFTON BLUFF 2 PB 4/92 &amp; 93</v>
      </c>
      <c r="N1342" t="str">
        <f>""</f>
        <v/>
      </c>
      <c r="O1342" t="str">
        <f>"49491"</f>
        <v>49491</v>
      </c>
      <c r="P1342" t="str">
        <f t="shared" si="433"/>
        <v>2017</v>
      </c>
      <c r="Q1342" t="str">
        <f>""</f>
        <v/>
      </c>
      <c r="R1342" t="str">
        <f t="shared" si="461"/>
        <v>N</v>
      </c>
      <c r="S1342" t="str">
        <f>""</f>
        <v/>
      </c>
      <c r="T1342" t="str">
        <f>"518.21"</f>
        <v>518.21</v>
      </c>
      <c r="U1342" t="str">
        <f>"32670.00"</f>
        <v>32670.00</v>
      </c>
      <c r="V1342" t="str">
        <f>"32670.00"</f>
        <v>32670.00</v>
      </c>
      <c r="W1342" t="str">
        <f t="shared" si="434"/>
        <v>2017</v>
      </c>
      <c r="X1342" t="str">
        <f>"6.00"</f>
        <v>6.00</v>
      </c>
      <c r="Y1342" t="str">
        <f>"565.76"</f>
        <v>565.76</v>
      </c>
      <c r="Z1342" t="str">
        <f>""</f>
        <v/>
      </c>
      <c r="AA1342" t="str">
        <f>"36250.00"</f>
        <v>36250.00</v>
      </c>
      <c r="AB1342" t="str">
        <f t="shared" si="454"/>
        <v>Residential</v>
      </c>
      <c r="AC1342" t="str">
        <f t="shared" si="445"/>
        <v>0</v>
      </c>
      <c r="AD1342" t="str">
        <f>""</f>
        <v/>
      </c>
      <c r="AE1342" t="str">
        <f>""</f>
        <v/>
      </c>
      <c r="AF1342" t="str">
        <f>"000"</f>
        <v>000</v>
      </c>
      <c r="AG1342" t="str">
        <f t="shared" si="444"/>
        <v>FL</v>
      </c>
      <c r="AH1342" t="str">
        <f t="shared" si="453"/>
        <v>-</v>
      </c>
      <c r="AI1342" t="str">
        <f t="shared" si="460"/>
        <v>28000.00</v>
      </c>
      <c r="AJ1342" t="str">
        <f>"C55-000-588-2923-5"</f>
        <v>C55-000-588-2923-5</v>
      </c>
      <c r="AK1342" t="str">
        <f>"22825"</f>
        <v>22825</v>
      </c>
      <c r="AL1342">
        <v>5</v>
      </c>
      <c r="AM1342">
        <v>1533</v>
      </c>
      <c r="AN1342">
        <v>592.45000000000005</v>
      </c>
      <c r="AQ1342" t="s">
        <v>13685</v>
      </c>
      <c r="AR1342" t="s">
        <v>13685</v>
      </c>
      <c r="AS1342" t="s">
        <v>13685</v>
      </c>
      <c r="AU1342" t="s">
        <v>396</v>
      </c>
      <c r="AV1342">
        <v>2017</v>
      </c>
      <c r="AW1342" t="str">
        <f>"43-2N-27-4621-0002-0380 "</f>
        <v xml:space="preserve">43-2N-27-4621-0002-0380 </v>
      </c>
      <c r="AX1342">
        <v>85477</v>
      </c>
      <c r="AZ1342" t="s">
        <v>13622</v>
      </c>
      <c r="BA1342" t="s">
        <v>496</v>
      </c>
      <c r="BD1342" t="s">
        <v>2387</v>
      </c>
      <c r="BE1342" t="s">
        <v>393</v>
      </c>
      <c r="BF1342">
        <v>32097</v>
      </c>
      <c r="BG1342" t="s">
        <v>13686</v>
      </c>
      <c r="BH1342" t="s">
        <v>2388</v>
      </c>
      <c r="BI1342">
        <v>-81.573183521277997</v>
      </c>
      <c r="BJ1342">
        <v>30.590056781492301</v>
      </c>
      <c r="BK1342" t="s">
        <v>13687</v>
      </c>
      <c r="BM1342" t="s">
        <v>13688</v>
      </c>
      <c r="BN1342" t="s">
        <v>1778</v>
      </c>
      <c r="BO1342">
        <v>32097</v>
      </c>
      <c r="BP1342" t="s">
        <v>404</v>
      </c>
      <c r="BQ1342">
        <v>1</v>
      </c>
      <c r="BR1342" t="s">
        <v>491</v>
      </c>
      <c r="BS1342">
        <v>8001</v>
      </c>
      <c r="BT1342" t="s">
        <v>492</v>
      </c>
      <c r="BW1342">
        <v>44356</v>
      </c>
      <c r="BX1342" t="s">
        <v>407</v>
      </c>
      <c r="BY1342" t="s">
        <v>408</v>
      </c>
      <c r="CD1342">
        <v>2017</v>
      </c>
      <c r="CE1342">
        <v>28000</v>
      </c>
      <c r="CF1342">
        <v>8250</v>
      </c>
      <c r="CG1342">
        <v>36250</v>
      </c>
      <c r="CH1342">
        <v>2017</v>
      </c>
      <c r="CI1342">
        <v>28000</v>
      </c>
      <c r="CJ1342">
        <v>8250</v>
      </c>
      <c r="CK1342">
        <v>36250</v>
      </c>
      <c r="CL1342">
        <v>2017</v>
      </c>
      <c r="CM1342">
        <v>518.21</v>
      </c>
      <c r="CN1342" s="1">
        <v>30437</v>
      </c>
      <c r="CO1342">
        <v>9600</v>
      </c>
      <c r="CZ1342" s="1">
        <v>30437</v>
      </c>
      <c r="DD1342" t="s">
        <v>2387</v>
      </c>
      <c r="DF1342">
        <v>38</v>
      </c>
      <c r="DG1342">
        <v>43</v>
      </c>
      <c r="DJ1342" t="s">
        <v>13645</v>
      </c>
      <c r="DL1342">
        <v>50302</v>
      </c>
      <c r="DM1342" t="s">
        <v>13628</v>
      </c>
      <c r="DO1342" t="s">
        <v>13689</v>
      </c>
      <c r="DP1342">
        <v>0</v>
      </c>
      <c r="DQ1342">
        <v>0</v>
      </c>
      <c r="DR1342" t="s">
        <v>411</v>
      </c>
      <c r="EP1342" t="s">
        <v>421</v>
      </c>
      <c r="EQ1342" t="s">
        <v>422</v>
      </c>
      <c r="ER1342">
        <v>1</v>
      </c>
      <c r="ES1342">
        <v>1</v>
      </c>
      <c r="ET1342">
        <v>522.29</v>
      </c>
      <c r="EU1342">
        <v>32.36</v>
      </c>
      <c r="EV1342">
        <v>554.65</v>
      </c>
      <c r="EW1342" s="2">
        <v>43222</v>
      </c>
      <c r="EX1342" s="1">
        <v>42879</v>
      </c>
      <c r="EY1342">
        <v>2016</v>
      </c>
      <c r="EZ1342">
        <v>522.29</v>
      </c>
      <c r="FA1342" t="s">
        <v>13690</v>
      </c>
      <c r="FB1342">
        <v>4.75</v>
      </c>
      <c r="FC1342" t="s">
        <v>424</v>
      </c>
      <c r="FD1342" t="s">
        <v>454</v>
      </c>
      <c r="FF1342">
        <v>12</v>
      </c>
      <c r="FG1342">
        <v>10013</v>
      </c>
      <c r="FH1342" t="s">
        <v>8707</v>
      </c>
      <c r="FJ1342" s="1">
        <v>40688</v>
      </c>
      <c r="FK1342">
        <v>2010</v>
      </c>
      <c r="FL1342">
        <v>599.52</v>
      </c>
      <c r="FM1342" t="s">
        <v>13691</v>
      </c>
      <c r="FN1342">
        <v>6.75</v>
      </c>
      <c r="FO1342" t="s">
        <v>424</v>
      </c>
      <c r="FP1342" t="s">
        <v>425</v>
      </c>
      <c r="FQ1342" s="1">
        <v>40997</v>
      </c>
      <c r="FR1342">
        <v>10</v>
      </c>
      <c r="FS1342">
        <v>105</v>
      </c>
      <c r="FT1342" t="s">
        <v>946</v>
      </c>
    </row>
    <row r="1343" spans="1:272" x14ac:dyDescent="0.25">
      <c r="A1343">
        <v>16486350</v>
      </c>
      <c r="B1343">
        <v>1342</v>
      </c>
      <c r="C1343" t="s">
        <v>393</v>
      </c>
      <c r="D1343" t="s">
        <v>394</v>
      </c>
      <c r="F1343" t="str">
        <f>"43-2N-27-4621-0003-0080"</f>
        <v>43-2N-27-4621-0003-0080</v>
      </c>
      <c r="H1343" t="str">
        <f>"MARCUMM MERRI &amp; VANWEY ROBERT LEE &amp; JOHN H &amp; VANWEY RONALD A &amp; DONALD ETAL"</f>
        <v>MARCUMM MERRI &amp; VANWEY ROBERT LEE &amp; JOHN H &amp; VANWEY RONALD A &amp; DONALD ETAL</v>
      </c>
      <c r="I1343" t="str">
        <f>""</f>
        <v/>
      </c>
      <c r="J1343" t="str">
        <f>"YULEE FL 32097"</f>
        <v>YULEE FL 32097</v>
      </c>
      <c r="K1343" t="str">
        <f>"85295 STEPHEN RD"</f>
        <v>85295 STEPHEN RD</v>
      </c>
      <c r="L1343" t="str">
        <f t="shared" si="456"/>
        <v>YULEE FL 32097</v>
      </c>
      <c r="M1343" t="str">
        <f>"BLOCK 3 LOT 8 R359791 IN OR 1614/236 LOFTON BLUFF 2 PB 4/92 &amp; 93"</f>
        <v>BLOCK 3 LOT 8 R359791 IN OR 1614/236 LOFTON BLUFF 2 PB 4/92 &amp; 93</v>
      </c>
      <c r="N1343" t="str">
        <f>""</f>
        <v/>
      </c>
      <c r="O1343" t="str">
        <f>"49502"</f>
        <v>49502</v>
      </c>
      <c r="P1343" t="str">
        <f t="shared" si="433"/>
        <v>2017</v>
      </c>
      <c r="Q1343" t="str">
        <f>""</f>
        <v/>
      </c>
      <c r="R1343" t="str">
        <f t="shared" si="461"/>
        <v>N</v>
      </c>
      <c r="S1343" t="str">
        <f>""</f>
        <v/>
      </c>
      <c r="T1343" t="str">
        <f>"537.68"</f>
        <v>537.68</v>
      </c>
      <c r="U1343" t="str">
        <f>"35193.00"</f>
        <v>35193.00</v>
      </c>
      <c r="V1343" t="str">
        <f>"35193.00"</f>
        <v>35193.00</v>
      </c>
      <c r="W1343" t="str">
        <f t="shared" si="434"/>
        <v>2017</v>
      </c>
      <c r="X1343" t="str">
        <f>"23.57"</f>
        <v>23.57</v>
      </c>
      <c r="Y1343" t="str">
        <f>"585.81"</f>
        <v>585.81</v>
      </c>
      <c r="Z1343" t="str">
        <f>""</f>
        <v/>
      </c>
      <c r="AA1343" t="str">
        <f>"35935.00"</f>
        <v>35935.00</v>
      </c>
      <c r="AB1343" t="str">
        <f t="shared" si="454"/>
        <v>Residential</v>
      </c>
      <c r="AC1343" t="str">
        <f t="shared" si="445"/>
        <v>0</v>
      </c>
      <c r="AD1343" t="str">
        <f t="shared" ref="AD1343:AD1380" si="462">"4"</f>
        <v>4</v>
      </c>
      <c r="AE1343" t="str">
        <f t="shared" ref="AE1343:AE1380" si="463">"WOOD (INCLUDE STEEL STUDS)"</f>
        <v>WOOD (INCLUDE STEEL STUDS)</v>
      </c>
      <c r="AF1343" t="str">
        <f t="shared" ref="AF1343:AF1358" si="464">"002"</f>
        <v>002</v>
      </c>
      <c r="AG1343" t="str">
        <f t="shared" si="444"/>
        <v>FL</v>
      </c>
      <c r="AH1343" t="str">
        <f t="shared" si="453"/>
        <v>-</v>
      </c>
      <c r="AI1343" t="str">
        <f t="shared" si="460"/>
        <v>28000.00</v>
      </c>
      <c r="AJ1343" t="str">
        <f>"C55-000-588-2934-2"</f>
        <v>C55-000-588-2934-2</v>
      </c>
      <c r="AK1343" t="str">
        <f>"22836"</f>
        <v>22836</v>
      </c>
      <c r="AL1343">
        <v>5</v>
      </c>
      <c r="AM1343">
        <v>1534</v>
      </c>
      <c r="AN1343">
        <v>613.5</v>
      </c>
      <c r="AQ1343" t="s">
        <v>13692</v>
      </c>
      <c r="AR1343" t="s">
        <v>13692</v>
      </c>
      <c r="AS1343" t="s">
        <v>13692</v>
      </c>
      <c r="AU1343" t="s">
        <v>396</v>
      </c>
      <c r="AV1343">
        <v>2017</v>
      </c>
      <c r="AW1343" t="str">
        <f>"43-2N-27-4621-0003-0080 "</f>
        <v xml:space="preserve">43-2N-27-4621-0003-0080 </v>
      </c>
      <c r="AX1343">
        <v>85295</v>
      </c>
      <c r="AZ1343" t="s">
        <v>13642</v>
      </c>
      <c r="BA1343" t="s">
        <v>496</v>
      </c>
      <c r="BD1343" t="s">
        <v>2387</v>
      </c>
      <c r="BE1343" t="s">
        <v>393</v>
      </c>
      <c r="BF1343">
        <v>32097</v>
      </c>
      <c r="BG1343" t="s">
        <v>13693</v>
      </c>
      <c r="BH1343" t="s">
        <v>2388</v>
      </c>
      <c r="BI1343">
        <v>-81.580277334244997</v>
      </c>
      <c r="BJ1343">
        <v>30.586468364065102</v>
      </c>
      <c r="BK1343" t="s">
        <v>13694</v>
      </c>
      <c r="BM1343" t="s">
        <v>13695</v>
      </c>
      <c r="BN1343" t="s">
        <v>1778</v>
      </c>
      <c r="BO1343">
        <v>32097</v>
      </c>
      <c r="BP1343" t="s">
        <v>404</v>
      </c>
      <c r="BQ1343">
        <v>200</v>
      </c>
      <c r="BR1343" t="s">
        <v>405</v>
      </c>
      <c r="BS1343">
        <v>1006</v>
      </c>
      <c r="BT1343" t="s">
        <v>406</v>
      </c>
      <c r="BW1343">
        <v>43700</v>
      </c>
      <c r="BX1343" t="s">
        <v>407</v>
      </c>
      <c r="BY1343" t="s">
        <v>408</v>
      </c>
      <c r="BZ1343">
        <v>4</v>
      </c>
      <c r="CA1343">
        <v>1969</v>
      </c>
      <c r="CB1343">
        <v>1</v>
      </c>
      <c r="CC1343">
        <v>1</v>
      </c>
      <c r="CD1343">
        <v>2017</v>
      </c>
      <c r="CE1343">
        <v>28000</v>
      </c>
      <c r="CF1343">
        <v>7935</v>
      </c>
      <c r="CG1343">
        <v>35935</v>
      </c>
      <c r="CH1343">
        <v>2017</v>
      </c>
      <c r="CI1343">
        <v>28000</v>
      </c>
      <c r="CJ1343">
        <v>7935</v>
      </c>
      <c r="CK1343">
        <v>35935</v>
      </c>
      <c r="CL1343">
        <v>2017</v>
      </c>
      <c r="CM1343">
        <v>537.67999999999995</v>
      </c>
      <c r="CN1343" s="1">
        <v>32595</v>
      </c>
      <c r="CO1343">
        <v>8000</v>
      </c>
      <c r="CZ1343" s="1">
        <v>32595</v>
      </c>
      <c r="DD1343" t="s">
        <v>2387</v>
      </c>
      <c r="DG1343">
        <v>43</v>
      </c>
      <c r="DJ1343" t="s">
        <v>13645</v>
      </c>
      <c r="DL1343">
        <v>50302</v>
      </c>
      <c r="DM1343" t="s">
        <v>13628</v>
      </c>
      <c r="DO1343" t="s">
        <v>13696</v>
      </c>
      <c r="DP1343">
        <v>0</v>
      </c>
      <c r="DQ1343">
        <v>0</v>
      </c>
      <c r="DR1343" t="s">
        <v>411</v>
      </c>
      <c r="EP1343" t="s">
        <v>421</v>
      </c>
      <c r="EQ1343" t="s">
        <v>422</v>
      </c>
      <c r="ER1343">
        <v>2</v>
      </c>
      <c r="ES1343">
        <v>4</v>
      </c>
      <c r="ET1343">
        <v>1119.56</v>
      </c>
      <c r="EU1343">
        <v>68.48</v>
      </c>
      <c r="EV1343">
        <v>1188.04</v>
      </c>
      <c r="EW1343" s="2">
        <v>43222</v>
      </c>
      <c r="EX1343" s="1">
        <v>42879</v>
      </c>
      <c r="EY1343">
        <v>2016</v>
      </c>
      <c r="EZ1343">
        <v>559.78</v>
      </c>
      <c r="FA1343" t="s">
        <v>13697</v>
      </c>
      <c r="FB1343">
        <v>0.25</v>
      </c>
      <c r="FC1343" t="s">
        <v>424</v>
      </c>
      <c r="FD1343" t="s">
        <v>454</v>
      </c>
      <c r="FF1343">
        <v>12</v>
      </c>
      <c r="FG1343">
        <v>2851116</v>
      </c>
      <c r="FH1343" t="s">
        <v>480</v>
      </c>
      <c r="FJ1343" s="1">
        <v>42879</v>
      </c>
      <c r="FK1343">
        <v>2016</v>
      </c>
      <c r="FL1343">
        <v>559.78</v>
      </c>
      <c r="FM1343" t="s">
        <v>13697</v>
      </c>
      <c r="FN1343">
        <v>0.25</v>
      </c>
      <c r="FO1343" t="s">
        <v>424</v>
      </c>
      <c r="FP1343" t="s">
        <v>454</v>
      </c>
      <c r="FR1343">
        <v>12</v>
      </c>
      <c r="FS1343">
        <v>5048805</v>
      </c>
      <c r="FT1343" t="s">
        <v>13698</v>
      </c>
      <c r="FV1343" s="1">
        <v>41787</v>
      </c>
      <c r="FW1343">
        <v>2013</v>
      </c>
      <c r="FX1343">
        <v>460.15</v>
      </c>
      <c r="FY1343" t="s">
        <v>13699</v>
      </c>
      <c r="FZ1343">
        <v>18</v>
      </c>
      <c r="GA1343" t="s">
        <v>424</v>
      </c>
      <c r="GB1343" t="s">
        <v>425</v>
      </c>
      <c r="GC1343" s="1">
        <v>41942</v>
      </c>
      <c r="GD1343">
        <v>5</v>
      </c>
      <c r="GE1343">
        <v>10125</v>
      </c>
      <c r="GF1343" t="s">
        <v>440</v>
      </c>
      <c r="GH1343" s="1">
        <v>41423</v>
      </c>
      <c r="GI1343">
        <v>2012</v>
      </c>
      <c r="GJ1343">
        <v>472.68</v>
      </c>
      <c r="GK1343" t="s">
        <v>13700</v>
      </c>
      <c r="GL1343">
        <v>2.75</v>
      </c>
      <c r="GM1343" t="s">
        <v>424</v>
      </c>
      <c r="GN1343" t="s">
        <v>425</v>
      </c>
      <c r="GO1343" s="1">
        <v>41942</v>
      </c>
      <c r="GP1343">
        <v>17</v>
      </c>
      <c r="GQ1343">
        <v>15399</v>
      </c>
      <c r="GR1343" t="s">
        <v>485</v>
      </c>
      <c r="GT1343" s="1">
        <v>41052</v>
      </c>
      <c r="GU1343">
        <v>2011</v>
      </c>
      <c r="GV1343">
        <v>576.95000000000005</v>
      </c>
      <c r="GW1343" t="s">
        <v>13701</v>
      </c>
      <c r="GX1343">
        <v>6</v>
      </c>
      <c r="GY1343" t="s">
        <v>424</v>
      </c>
      <c r="GZ1343" t="s">
        <v>425</v>
      </c>
      <c r="HA1343" s="1">
        <v>41942</v>
      </c>
      <c r="HB1343">
        <v>29</v>
      </c>
      <c r="HC1343">
        <v>375</v>
      </c>
      <c r="HD1343" t="s">
        <v>776</v>
      </c>
      <c r="HF1343" s="1">
        <v>40688</v>
      </c>
      <c r="HG1343">
        <v>2010</v>
      </c>
      <c r="HH1343">
        <v>699.94</v>
      </c>
      <c r="HI1343" t="s">
        <v>13702</v>
      </c>
      <c r="HJ1343">
        <v>6.75</v>
      </c>
      <c r="HK1343" t="s">
        <v>424</v>
      </c>
      <c r="HL1343" t="s">
        <v>425</v>
      </c>
      <c r="HM1343" s="1">
        <v>41942</v>
      </c>
      <c r="HN1343">
        <v>41</v>
      </c>
      <c r="HO1343">
        <v>375</v>
      </c>
      <c r="HP1343" t="s">
        <v>776</v>
      </c>
    </row>
    <row r="1344" spans="1:272" x14ac:dyDescent="0.25">
      <c r="A1344">
        <v>16486351</v>
      </c>
      <c r="B1344">
        <v>1343</v>
      </c>
      <c r="C1344" t="s">
        <v>393</v>
      </c>
      <c r="D1344" t="s">
        <v>394</v>
      </c>
      <c r="F1344" t="str">
        <f>"43-2N-27-4621-0004-0080"</f>
        <v>43-2N-27-4621-0004-0080</v>
      </c>
      <c r="H1344" t="str">
        <f>"ROBERTSON LOUELLA EST C/O JUDY HORNE"</f>
        <v>ROBERTSON LOUELLA EST C/O JUDY HORNE</v>
      </c>
      <c r="I1344" t="str">
        <f>"500 TEMPLE CHURCH ROAD"</f>
        <v>500 TEMPLE CHURCH ROAD</v>
      </c>
      <c r="J1344" t="str">
        <f>"KINGSLAND GA 31548"</f>
        <v>KINGSLAND GA 31548</v>
      </c>
      <c r="K1344" t="str">
        <f>"85321 ANGIE RD"</f>
        <v>85321 ANGIE RD</v>
      </c>
      <c r="L1344" t="str">
        <f t="shared" si="456"/>
        <v>YULEE FL 32097</v>
      </c>
      <c r="M1344" t="str">
        <f>"BLOCK 4 LOT 8 R498250 OR 549/40 &amp; OR 733/394 LOFTON BLUFF 2 PB 4/92 &amp; 93"</f>
        <v>BLOCK 4 LOT 8 R498250 OR 549/40 &amp; OR 733/394 LOFTON BLUFF 2 PB 4/92 &amp; 93</v>
      </c>
      <c r="N1344" t="str">
        <f>""</f>
        <v/>
      </c>
      <c r="O1344" t="str">
        <f>"49517"</f>
        <v>49517</v>
      </c>
      <c r="P1344" t="str">
        <f t="shared" si="433"/>
        <v>2017</v>
      </c>
      <c r="Q1344" t="str">
        <f>""</f>
        <v/>
      </c>
      <c r="R1344" t="str">
        <f t="shared" si="461"/>
        <v>N</v>
      </c>
      <c r="S1344" t="str">
        <f>""</f>
        <v/>
      </c>
      <c r="T1344" t="str">
        <f>"612.38"</f>
        <v>612.38</v>
      </c>
      <c r="U1344" t="str">
        <f>"38125.00"</f>
        <v>38125.00</v>
      </c>
      <c r="V1344" t="str">
        <f>"38125.00"</f>
        <v>38125.00</v>
      </c>
      <c r="W1344" t="str">
        <f t="shared" si="434"/>
        <v>2017</v>
      </c>
      <c r="X1344" t="str">
        <f>"14.50"</f>
        <v>14.50</v>
      </c>
      <c r="Y1344" t="str">
        <f>"662.75"</f>
        <v>662.75</v>
      </c>
      <c r="Z1344" t="str">
        <f>""</f>
        <v/>
      </c>
      <c r="AA1344" t="str">
        <f>"43460.00"</f>
        <v>43460.00</v>
      </c>
      <c r="AB1344" t="str">
        <f t="shared" si="454"/>
        <v>Residential</v>
      </c>
      <c r="AC1344" t="str">
        <f t="shared" si="445"/>
        <v>0</v>
      </c>
      <c r="AD1344" t="str">
        <f t="shared" si="462"/>
        <v>4</v>
      </c>
      <c r="AE1344" t="str">
        <f t="shared" si="463"/>
        <v>WOOD (INCLUDE STEEL STUDS)</v>
      </c>
      <c r="AF1344" t="str">
        <f t="shared" si="464"/>
        <v>002</v>
      </c>
      <c r="AG1344" t="str">
        <f>"GA"</f>
        <v>GA</v>
      </c>
      <c r="AH1344" t="str">
        <f t="shared" si="453"/>
        <v>-</v>
      </c>
      <c r="AI1344" t="str">
        <f t="shared" si="460"/>
        <v>28000.00</v>
      </c>
      <c r="AJ1344" t="str">
        <f>"C55-000-588-2949-0"</f>
        <v>C55-000-588-2949-0</v>
      </c>
      <c r="AK1344" t="str">
        <f>"22851"</f>
        <v>22851</v>
      </c>
      <c r="AL1344">
        <v>5</v>
      </c>
      <c r="AM1344">
        <v>1536</v>
      </c>
      <c r="AN1344">
        <v>694.29</v>
      </c>
      <c r="AQ1344" t="s">
        <v>13703</v>
      </c>
      <c r="AR1344" t="s">
        <v>13703</v>
      </c>
      <c r="AS1344" t="s">
        <v>13703</v>
      </c>
      <c r="AU1344" t="s">
        <v>396</v>
      </c>
      <c r="AV1344">
        <v>2017</v>
      </c>
      <c r="AW1344" t="str">
        <f>"43-2N-27-4621-0004-0080 "</f>
        <v xml:space="preserve">43-2N-27-4621-0004-0080 </v>
      </c>
      <c r="AX1344">
        <v>85321</v>
      </c>
      <c r="AZ1344" t="s">
        <v>13679</v>
      </c>
      <c r="BA1344" t="s">
        <v>496</v>
      </c>
      <c r="BD1344" t="s">
        <v>2387</v>
      </c>
      <c r="BE1344" t="s">
        <v>393</v>
      </c>
      <c r="BF1344">
        <v>32097</v>
      </c>
      <c r="BG1344" t="s">
        <v>13704</v>
      </c>
      <c r="BH1344" t="s">
        <v>2388</v>
      </c>
      <c r="BI1344">
        <v>-81.574268582142906</v>
      </c>
      <c r="BJ1344">
        <v>30.591164774856399</v>
      </c>
      <c r="BK1344" t="s">
        <v>13705</v>
      </c>
      <c r="BM1344" t="s">
        <v>13706</v>
      </c>
      <c r="BN1344" t="s">
        <v>11143</v>
      </c>
      <c r="BO1344">
        <v>31548</v>
      </c>
      <c r="BP1344" t="s">
        <v>404</v>
      </c>
      <c r="BQ1344">
        <v>200</v>
      </c>
      <c r="BR1344" t="s">
        <v>405</v>
      </c>
      <c r="BS1344">
        <v>1006</v>
      </c>
      <c r="BT1344" t="s">
        <v>406</v>
      </c>
      <c r="BW1344">
        <v>43854</v>
      </c>
      <c r="BX1344" t="s">
        <v>407</v>
      </c>
      <c r="BY1344" t="s">
        <v>408</v>
      </c>
      <c r="BZ1344">
        <v>4</v>
      </c>
      <c r="CA1344">
        <v>1987</v>
      </c>
      <c r="CB1344">
        <v>1</v>
      </c>
      <c r="CC1344">
        <v>1</v>
      </c>
      <c r="CD1344">
        <v>2017</v>
      </c>
      <c r="CE1344">
        <v>28000</v>
      </c>
      <c r="CF1344">
        <v>15460</v>
      </c>
      <c r="CG1344">
        <v>43460</v>
      </c>
      <c r="CH1344">
        <v>2017</v>
      </c>
      <c r="CI1344">
        <v>28000</v>
      </c>
      <c r="CJ1344">
        <v>15460</v>
      </c>
      <c r="CK1344">
        <v>43460</v>
      </c>
      <c r="CL1344">
        <v>2017</v>
      </c>
      <c r="CM1344">
        <v>612.38</v>
      </c>
      <c r="CN1344" s="1">
        <v>32356</v>
      </c>
      <c r="CO1344">
        <v>14000</v>
      </c>
      <c r="CZ1344" s="1">
        <v>32356</v>
      </c>
      <c r="DD1344" t="s">
        <v>2387</v>
      </c>
      <c r="DF1344">
        <v>8</v>
      </c>
      <c r="DG1344">
        <v>43</v>
      </c>
      <c r="DJ1344" t="s">
        <v>13645</v>
      </c>
      <c r="DL1344">
        <v>50302</v>
      </c>
      <c r="DM1344" t="s">
        <v>13628</v>
      </c>
      <c r="DO1344" t="s">
        <v>13707</v>
      </c>
      <c r="DP1344">
        <v>0</v>
      </c>
      <c r="DQ1344">
        <v>0</v>
      </c>
      <c r="DR1344" t="s">
        <v>411</v>
      </c>
      <c r="DS1344" t="b">
        <v>1</v>
      </c>
      <c r="DT1344" t="s">
        <v>470</v>
      </c>
      <c r="DU1344" t="s">
        <v>471</v>
      </c>
      <c r="DV1344" t="s">
        <v>472</v>
      </c>
      <c r="DX1344">
        <v>-9999</v>
      </c>
      <c r="DZ1344" t="s">
        <v>447</v>
      </c>
      <c r="EA1344" t="s">
        <v>448</v>
      </c>
      <c r="EB1344" t="s">
        <v>742</v>
      </c>
      <c r="EC1344">
        <v>20101217</v>
      </c>
      <c r="ED1344" t="s">
        <v>474</v>
      </c>
      <c r="EF1344">
        <v>901.9</v>
      </c>
      <c r="EG1344">
        <v>886.8</v>
      </c>
      <c r="EI1344">
        <v>20160407</v>
      </c>
      <c r="EJ1344">
        <v>0</v>
      </c>
      <c r="EK1344">
        <v>0</v>
      </c>
      <c r="EP1344" t="s">
        <v>421</v>
      </c>
      <c r="EQ1344" t="s">
        <v>422</v>
      </c>
      <c r="ER1344">
        <v>0</v>
      </c>
      <c r="ES1344">
        <v>6</v>
      </c>
      <c r="ET1344">
        <v>0</v>
      </c>
      <c r="EU1344">
        <v>0</v>
      </c>
      <c r="EV1344">
        <v>0</v>
      </c>
      <c r="EW1344" s="2">
        <v>43222</v>
      </c>
      <c r="EX1344" s="1">
        <v>42879</v>
      </c>
      <c r="EY1344">
        <v>2016</v>
      </c>
      <c r="EZ1344">
        <v>602.41999999999996</v>
      </c>
      <c r="FA1344" t="s">
        <v>13708</v>
      </c>
      <c r="FB1344">
        <v>0.25</v>
      </c>
      <c r="FC1344" t="s">
        <v>424</v>
      </c>
      <c r="FD1344" t="s">
        <v>425</v>
      </c>
      <c r="FE1344" s="1">
        <v>43144</v>
      </c>
      <c r="FF1344">
        <v>9</v>
      </c>
      <c r="FG1344">
        <v>2851116</v>
      </c>
      <c r="FH1344" t="s">
        <v>480</v>
      </c>
      <c r="FJ1344" s="1">
        <v>42879</v>
      </c>
      <c r="FK1344">
        <v>2016</v>
      </c>
      <c r="FL1344">
        <v>602.41999999999996</v>
      </c>
      <c r="FM1344" t="s">
        <v>13708</v>
      </c>
      <c r="FN1344">
        <v>0.25</v>
      </c>
      <c r="FO1344" t="s">
        <v>424</v>
      </c>
      <c r="FP1344" t="s">
        <v>425</v>
      </c>
      <c r="FR1344">
        <v>22</v>
      </c>
      <c r="FS1344">
        <v>5411102</v>
      </c>
      <c r="FT1344" t="s">
        <v>13709</v>
      </c>
      <c r="FV1344" s="1">
        <v>42515</v>
      </c>
      <c r="FW1344">
        <v>2015</v>
      </c>
      <c r="FX1344">
        <v>592.79</v>
      </c>
      <c r="FY1344" t="s">
        <v>13710</v>
      </c>
      <c r="FZ1344">
        <v>0.25</v>
      </c>
      <c r="GA1344" t="s">
        <v>424</v>
      </c>
      <c r="GB1344" t="s">
        <v>425</v>
      </c>
      <c r="GC1344" s="1">
        <v>43144</v>
      </c>
      <c r="GD1344">
        <v>21</v>
      </c>
      <c r="GE1344">
        <v>2851116</v>
      </c>
      <c r="GF1344" t="s">
        <v>480</v>
      </c>
      <c r="GH1344" s="1">
        <v>42515</v>
      </c>
      <c r="GI1344">
        <v>2015</v>
      </c>
      <c r="GJ1344">
        <v>592.79</v>
      </c>
      <c r="GK1344" t="s">
        <v>13710</v>
      </c>
      <c r="GL1344">
        <v>0.25</v>
      </c>
      <c r="GM1344" t="s">
        <v>424</v>
      </c>
      <c r="GN1344" t="s">
        <v>425</v>
      </c>
      <c r="GP1344">
        <v>22</v>
      </c>
      <c r="GQ1344">
        <v>5508883</v>
      </c>
      <c r="GR1344" t="s">
        <v>13711</v>
      </c>
      <c r="GT1344" s="1">
        <v>42151</v>
      </c>
      <c r="GU1344">
        <v>2014</v>
      </c>
      <c r="GV1344">
        <v>513.41</v>
      </c>
      <c r="GW1344" t="s">
        <v>13712</v>
      </c>
      <c r="GX1344">
        <v>3.75</v>
      </c>
      <c r="GY1344" t="s">
        <v>424</v>
      </c>
      <c r="GZ1344" t="s">
        <v>425</v>
      </c>
      <c r="HA1344" s="1">
        <v>42726</v>
      </c>
      <c r="HB1344">
        <v>19</v>
      </c>
      <c r="HC1344">
        <v>4975593</v>
      </c>
      <c r="HD1344" t="s">
        <v>505</v>
      </c>
      <c r="HF1344" s="1">
        <v>41423</v>
      </c>
      <c r="HG1344">
        <v>2012</v>
      </c>
      <c r="HH1344">
        <v>621.27</v>
      </c>
      <c r="HI1344" t="s">
        <v>13713</v>
      </c>
      <c r="HJ1344">
        <v>0.25</v>
      </c>
      <c r="HK1344" t="s">
        <v>424</v>
      </c>
      <c r="HL1344" t="s">
        <v>425</v>
      </c>
      <c r="HM1344" s="1">
        <v>41694</v>
      </c>
      <c r="HN1344">
        <v>9</v>
      </c>
      <c r="HO1344">
        <v>1625515</v>
      </c>
      <c r="HP1344" t="s">
        <v>487</v>
      </c>
    </row>
    <row r="1345" spans="1:284" x14ac:dyDescent="0.25">
      <c r="A1345">
        <v>16486352</v>
      </c>
      <c r="B1345">
        <v>1344</v>
      </c>
      <c r="C1345" t="s">
        <v>393</v>
      </c>
      <c r="D1345" t="s">
        <v>394</v>
      </c>
      <c r="F1345" t="str">
        <f>"43-2N-27-4621-0005-0040"</f>
        <v>43-2N-27-4621-0005-0040</v>
      </c>
      <c r="H1345" t="str">
        <f>"BUFORD BOBBY SHEA SHERIDAN &amp; SHERIDAN-BRINKMAN DEBRA J"</f>
        <v>BUFORD BOBBY SHEA SHERIDAN &amp; SHERIDAN-BRINKMAN DEBRA J</v>
      </c>
      <c r="I1345" t="str">
        <f>"85669 BLACKMON RD"</f>
        <v>85669 BLACKMON RD</v>
      </c>
      <c r="J1345" t="str">
        <f t="shared" ref="J1345:J1353" si="465">"YULEE FL 32097"</f>
        <v>YULEE FL 32097</v>
      </c>
      <c r="K1345" t="str">
        <f>"85669 BLACKMON RD"</f>
        <v>85669 BLACKMON RD</v>
      </c>
      <c r="L1345" t="str">
        <f t="shared" si="456"/>
        <v>YULEE FL 32097</v>
      </c>
      <c r="M1345" t="str">
        <f>"BLOCK 5 LOT 4 CASE 45-2011-CP-000256 R235953 &amp; R235954 LOFTON BLUFF 2 PB 4/92 &amp; 93"</f>
        <v>BLOCK 5 LOT 4 CASE 45-2011-CP-000256 R235953 &amp; R235954 LOFTON BLUFF 2 PB 4/92 &amp; 93</v>
      </c>
      <c r="N1345" t="str">
        <f>""</f>
        <v/>
      </c>
      <c r="O1345" t="str">
        <f>"49532"</f>
        <v>49532</v>
      </c>
      <c r="P1345" t="str">
        <f t="shared" si="433"/>
        <v>2017</v>
      </c>
      <c r="Q1345" t="str">
        <f>""</f>
        <v/>
      </c>
      <c r="R1345" t="str">
        <f t="shared" si="461"/>
        <v>N</v>
      </c>
      <c r="S1345" t="str">
        <f>""</f>
        <v/>
      </c>
      <c r="T1345" t="str">
        <f>"665.07"</f>
        <v>665.07</v>
      </c>
      <c r="U1345" t="str">
        <f>"43931.00"</f>
        <v>43931.00</v>
      </c>
      <c r="V1345" t="str">
        <f>"43931.00"</f>
        <v>43931.00</v>
      </c>
      <c r="W1345" t="str">
        <f t="shared" si="434"/>
        <v>2017</v>
      </c>
      <c r="X1345" t="str">
        <f>"8.00"</f>
        <v>8.00</v>
      </c>
      <c r="Y1345" t="str">
        <f>"717.02"</f>
        <v>717.02</v>
      </c>
      <c r="Z1345" t="str">
        <f>""</f>
        <v/>
      </c>
      <c r="AA1345" t="str">
        <f>"43931.00"</f>
        <v>43931.00</v>
      </c>
      <c r="AB1345" t="str">
        <f t="shared" si="454"/>
        <v>Residential</v>
      </c>
      <c r="AC1345" t="str">
        <f t="shared" si="445"/>
        <v>0</v>
      </c>
      <c r="AD1345" t="str">
        <f t="shared" si="462"/>
        <v>4</v>
      </c>
      <c r="AE1345" t="str">
        <f t="shared" si="463"/>
        <v>WOOD (INCLUDE STEEL STUDS)</v>
      </c>
      <c r="AF1345" t="str">
        <f t="shared" si="464"/>
        <v>002</v>
      </c>
      <c r="AG1345" t="str">
        <f t="shared" ref="AG1345:AG1387" si="466">"FL"</f>
        <v>FL</v>
      </c>
      <c r="AH1345" t="str">
        <f t="shared" si="453"/>
        <v>-</v>
      </c>
      <c r="AI1345" t="str">
        <f t="shared" si="460"/>
        <v>28000.00</v>
      </c>
      <c r="AJ1345" t="str">
        <f>"C55-000-588-2964-9"</f>
        <v>C55-000-588-2964-9</v>
      </c>
      <c r="AK1345" t="str">
        <f>"22866"</f>
        <v>22866</v>
      </c>
      <c r="AL1345">
        <v>5</v>
      </c>
      <c r="AM1345">
        <v>1537</v>
      </c>
      <c r="AN1345">
        <v>751.27</v>
      </c>
      <c r="AQ1345" t="s">
        <v>13714</v>
      </c>
      <c r="AR1345" t="s">
        <v>13714</v>
      </c>
      <c r="AS1345" t="s">
        <v>13714</v>
      </c>
      <c r="AU1345" t="s">
        <v>396</v>
      </c>
      <c r="AV1345">
        <v>2017</v>
      </c>
      <c r="AW1345" t="str">
        <f>"43-2N-27-4621-0005-0040 "</f>
        <v xml:space="preserve">43-2N-27-4621-0005-0040 </v>
      </c>
      <c r="AX1345">
        <v>85669</v>
      </c>
      <c r="AZ1345" t="s">
        <v>13622</v>
      </c>
      <c r="BA1345" t="s">
        <v>496</v>
      </c>
      <c r="BD1345" t="s">
        <v>2387</v>
      </c>
      <c r="BE1345" t="s">
        <v>393</v>
      </c>
      <c r="BF1345">
        <v>32097</v>
      </c>
      <c r="BG1345" t="s">
        <v>13715</v>
      </c>
      <c r="BH1345" t="s">
        <v>2388</v>
      </c>
      <c r="BI1345">
        <v>-81.571170749189406</v>
      </c>
      <c r="BJ1345">
        <v>30.5953492898925</v>
      </c>
      <c r="BK1345" t="s">
        <v>13716</v>
      </c>
      <c r="BL1345" t="s">
        <v>13717</v>
      </c>
      <c r="BM1345" t="s">
        <v>13715</v>
      </c>
      <c r="BN1345" t="s">
        <v>1778</v>
      </c>
      <c r="BO1345">
        <v>32097</v>
      </c>
      <c r="BP1345" t="s">
        <v>416</v>
      </c>
      <c r="BQ1345">
        <v>200</v>
      </c>
      <c r="BR1345" t="s">
        <v>405</v>
      </c>
      <c r="BS1345">
        <v>1006</v>
      </c>
      <c r="BT1345" t="s">
        <v>406</v>
      </c>
      <c r="BW1345">
        <v>43208</v>
      </c>
      <c r="BX1345" t="s">
        <v>407</v>
      </c>
      <c r="BY1345" t="s">
        <v>408</v>
      </c>
      <c r="BZ1345">
        <v>4</v>
      </c>
      <c r="CA1345">
        <v>1980</v>
      </c>
      <c r="CB1345">
        <v>1</v>
      </c>
      <c r="CC1345">
        <v>1</v>
      </c>
      <c r="CD1345">
        <v>2017</v>
      </c>
      <c r="CE1345">
        <v>28000</v>
      </c>
      <c r="CF1345">
        <v>15931</v>
      </c>
      <c r="CG1345">
        <v>43931</v>
      </c>
      <c r="CH1345">
        <v>2017</v>
      </c>
      <c r="CI1345">
        <v>28000</v>
      </c>
      <c r="CJ1345">
        <v>15931</v>
      </c>
      <c r="CK1345">
        <v>43931</v>
      </c>
      <c r="CL1345">
        <v>2017</v>
      </c>
      <c r="CM1345">
        <v>665.07</v>
      </c>
      <c r="CN1345" s="1">
        <v>39041</v>
      </c>
      <c r="CZ1345" s="1">
        <v>39041</v>
      </c>
      <c r="DD1345" t="s">
        <v>2387</v>
      </c>
      <c r="DF1345">
        <v>4</v>
      </c>
      <c r="DG1345">
        <v>43</v>
      </c>
      <c r="DL1345">
        <v>50302</v>
      </c>
      <c r="DM1345" t="s">
        <v>13628</v>
      </c>
      <c r="DO1345" t="s">
        <v>13718</v>
      </c>
      <c r="DP1345">
        <v>0</v>
      </c>
      <c r="DQ1345">
        <v>0</v>
      </c>
      <c r="DR1345" t="s">
        <v>411</v>
      </c>
      <c r="EP1345" t="s">
        <v>421</v>
      </c>
      <c r="EQ1345" t="s">
        <v>422</v>
      </c>
      <c r="ER1345">
        <v>0</v>
      </c>
      <c r="ES1345">
        <v>1</v>
      </c>
      <c r="ET1345">
        <v>0</v>
      </c>
      <c r="EU1345">
        <v>0</v>
      </c>
      <c r="EV1345">
        <v>0</v>
      </c>
      <c r="EW1345" s="2">
        <v>43222</v>
      </c>
      <c r="EX1345" s="1">
        <v>41423</v>
      </c>
      <c r="EY1345">
        <v>2012</v>
      </c>
      <c r="EZ1345">
        <v>668.68</v>
      </c>
      <c r="FA1345" t="s">
        <v>13719</v>
      </c>
      <c r="FB1345">
        <v>0.25</v>
      </c>
      <c r="FC1345" t="s">
        <v>424</v>
      </c>
      <c r="FD1345" t="s">
        <v>425</v>
      </c>
      <c r="FE1345" s="1">
        <v>41663</v>
      </c>
      <c r="FF1345">
        <v>8</v>
      </c>
      <c r="FG1345">
        <v>1625515</v>
      </c>
      <c r="FH1345" t="s">
        <v>487</v>
      </c>
    </row>
    <row r="1346" spans="1:284" x14ac:dyDescent="0.25">
      <c r="A1346">
        <v>16486353</v>
      </c>
      <c r="B1346">
        <v>1345</v>
      </c>
      <c r="C1346" t="s">
        <v>393</v>
      </c>
      <c r="D1346" t="s">
        <v>394</v>
      </c>
      <c r="F1346" t="str">
        <f>"43-2N-27-4621-0005-0050"</f>
        <v>43-2N-27-4621-0005-0050</v>
      </c>
      <c r="H1346" t="str">
        <f>"GODBOLD CELESTA JEANNINE DAVIS"</f>
        <v>GODBOLD CELESTA JEANNINE DAVIS</v>
      </c>
      <c r="I1346" t="str">
        <f>"85635 PHILLIPS ROAD"</f>
        <v>85635 PHILLIPS ROAD</v>
      </c>
      <c r="J1346" t="str">
        <f t="shared" si="465"/>
        <v>YULEE FL 32097</v>
      </c>
      <c r="K1346" t="str">
        <f>"85635 PHILLIPS RD"</f>
        <v>85635 PHILLIPS RD</v>
      </c>
      <c r="L1346" t="str">
        <f t="shared" si="456"/>
        <v>YULEE FL 32097</v>
      </c>
      <c r="M1346" t="str">
        <f>"BLOCK 5 LOT 5 96 CHAD DW/MH IN OR 932/74 LOFTON BLUFF 2 PB 4/92 &amp; 93"</f>
        <v>BLOCK 5 LOT 5 96 CHAD DW/MH IN OR 932/74 LOFTON BLUFF 2 PB 4/92 &amp; 93</v>
      </c>
      <c r="N1346" t="str">
        <f>""</f>
        <v/>
      </c>
      <c r="O1346" t="str">
        <f>"49533"</f>
        <v>49533</v>
      </c>
      <c r="P1346" t="str">
        <f t="shared" ref="P1346:P1409" si="467">"2017"</f>
        <v>2017</v>
      </c>
      <c r="Q1346" t="str">
        <f>""</f>
        <v/>
      </c>
      <c r="R1346" t="str">
        <f>"Y"</f>
        <v>Y</v>
      </c>
      <c r="S1346" t="str">
        <f>""</f>
        <v/>
      </c>
      <c r="T1346" t="str">
        <f>"400.31"</f>
        <v>400.31</v>
      </c>
      <c r="U1346" t="str">
        <f>"53308.00"</f>
        <v>53308.00</v>
      </c>
      <c r="V1346" t="str">
        <f>"53308.00"</f>
        <v>53308.00</v>
      </c>
      <c r="W1346" t="str">
        <f t="shared" ref="W1346:W1409" si="468">"2017"</f>
        <v>2017</v>
      </c>
      <c r="X1346" t="str">
        <f>"10.00"</f>
        <v>10.00</v>
      </c>
      <c r="Y1346" t="str">
        <f>"444.32"</f>
        <v>444.32</v>
      </c>
      <c r="Z1346" t="str">
        <f>"25000.00"</f>
        <v>25000.00</v>
      </c>
      <c r="AA1346" t="str">
        <f>"28308.00"</f>
        <v>28308.00</v>
      </c>
      <c r="AB1346" t="str">
        <f t="shared" si="454"/>
        <v>Residential</v>
      </c>
      <c r="AC1346" t="str">
        <f t="shared" si="445"/>
        <v>0</v>
      </c>
      <c r="AD1346" t="str">
        <f t="shared" si="462"/>
        <v>4</v>
      </c>
      <c r="AE1346" t="str">
        <f t="shared" si="463"/>
        <v>WOOD (INCLUDE STEEL STUDS)</v>
      </c>
      <c r="AF1346" t="str">
        <f t="shared" si="464"/>
        <v>002</v>
      </c>
      <c r="AG1346" t="str">
        <f t="shared" si="466"/>
        <v>FL</v>
      </c>
      <c r="AH1346" t="str">
        <f t="shared" si="453"/>
        <v>-</v>
      </c>
      <c r="AI1346" t="str">
        <f t="shared" si="460"/>
        <v>28000.00</v>
      </c>
      <c r="AJ1346" t="str">
        <f>"C55-000-588-2965-6"</f>
        <v>C55-000-588-2965-6</v>
      </c>
      <c r="AK1346" t="str">
        <f>"22867"</f>
        <v>22867</v>
      </c>
      <c r="AL1346">
        <v>5</v>
      </c>
      <c r="AM1346">
        <v>1538</v>
      </c>
      <c r="AN1346">
        <v>464.94</v>
      </c>
      <c r="AQ1346" t="s">
        <v>13720</v>
      </c>
      <c r="AR1346" t="s">
        <v>13720</v>
      </c>
      <c r="AS1346" t="s">
        <v>13720</v>
      </c>
      <c r="AU1346" t="s">
        <v>396</v>
      </c>
      <c r="AV1346">
        <v>2017</v>
      </c>
      <c r="AW1346" t="str">
        <f>"43-2N-27-4621-0005-0050 "</f>
        <v xml:space="preserve">43-2N-27-4621-0005-0050 </v>
      </c>
      <c r="AX1346">
        <v>85635</v>
      </c>
      <c r="AZ1346" t="s">
        <v>13721</v>
      </c>
      <c r="BA1346" t="s">
        <v>496</v>
      </c>
      <c r="BD1346" t="s">
        <v>2387</v>
      </c>
      <c r="BE1346" t="s">
        <v>393</v>
      </c>
      <c r="BF1346">
        <v>32097</v>
      </c>
      <c r="BG1346" t="s">
        <v>13722</v>
      </c>
      <c r="BH1346" t="s">
        <v>2388</v>
      </c>
      <c r="BI1346">
        <v>-81.571317789454298</v>
      </c>
      <c r="BJ1346">
        <v>30.5948689880024</v>
      </c>
      <c r="BK1346" t="s">
        <v>13723</v>
      </c>
      <c r="BM1346" t="s">
        <v>13722</v>
      </c>
      <c r="BN1346" t="s">
        <v>1778</v>
      </c>
      <c r="BO1346">
        <v>32097</v>
      </c>
      <c r="BP1346" t="s">
        <v>416</v>
      </c>
      <c r="BQ1346">
        <v>200</v>
      </c>
      <c r="BR1346" t="s">
        <v>405</v>
      </c>
      <c r="BS1346">
        <v>1006</v>
      </c>
      <c r="BT1346" t="s">
        <v>406</v>
      </c>
      <c r="BW1346">
        <v>55397</v>
      </c>
      <c r="BX1346" t="s">
        <v>407</v>
      </c>
      <c r="BY1346" t="s">
        <v>408</v>
      </c>
      <c r="BZ1346">
        <v>4</v>
      </c>
      <c r="CA1346">
        <v>1996</v>
      </c>
      <c r="CC1346">
        <v>1</v>
      </c>
      <c r="CD1346">
        <v>2017</v>
      </c>
      <c r="CG1346">
        <v>53308</v>
      </c>
      <c r="CH1346">
        <v>2017</v>
      </c>
      <c r="CI1346">
        <v>28000</v>
      </c>
      <c r="CJ1346">
        <v>38232</v>
      </c>
      <c r="CK1346">
        <v>66232</v>
      </c>
      <c r="CL1346">
        <v>2017</v>
      </c>
      <c r="CM1346">
        <v>400.31</v>
      </c>
      <c r="CN1346" s="1">
        <v>36657</v>
      </c>
      <c r="CO1346">
        <v>28000</v>
      </c>
      <c r="CV1346">
        <v>23000</v>
      </c>
      <c r="CX1346" t="s">
        <v>707</v>
      </c>
      <c r="CZ1346" s="1">
        <v>36657</v>
      </c>
      <c r="DA1346">
        <v>0</v>
      </c>
      <c r="DD1346" t="s">
        <v>2387</v>
      </c>
      <c r="DF1346">
        <v>5</v>
      </c>
      <c r="DG1346">
        <v>43</v>
      </c>
      <c r="DJ1346" t="s">
        <v>13645</v>
      </c>
      <c r="DL1346">
        <v>50302</v>
      </c>
      <c r="DM1346" t="s">
        <v>13628</v>
      </c>
      <c r="DO1346" t="s">
        <v>13724</v>
      </c>
      <c r="DP1346">
        <v>0</v>
      </c>
      <c r="DQ1346">
        <v>0</v>
      </c>
      <c r="DR1346" t="s">
        <v>411</v>
      </c>
      <c r="DS1346" t="b">
        <v>1</v>
      </c>
      <c r="DT1346" t="s">
        <v>470</v>
      </c>
      <c r="DU1346" t="s">
        <v>471</v>
      </c>
      <c r="DV1346" t="s">
        <v>472</v>
      </c>
      <c r="DX1346">
        <v>-9999</v>
      </c>
      <c r="DZ1346" t="s">
        <v>447</v>
      </c>
      <c r="EA1346" t="s">
        <v>448</v>
      </c>
      <c r="EB1346" t="s">
        <v>742</v>
      </c>
      <c r="EC1346">
        <v>20101217</v>
      </c>
      <c r="ED1346" t="s">
        <v>474</v>
      </c>
      <c r="EF1346">
        <v>517.1</v>
      </c>
      <c r="EG1346">
        <v>492.1</v>
      </c>
      <c r="EI1346">
        <v>20160407</v>
      </c>
      <c r="EJ1346">
        <v>0</v>
      </c>
      <c r="EK1346">
        <v>0</v>
      </c>
      <c r="EP1346" t="s">
        <v>421</v>
      </c>
      <c r="EQ1346" t="s">
        <v>422</v>
      </c>
      <c r="ER1346">
        <v>0</v>
      </c>
      <c r="ES1346">
        <v>8</v>
      </c>
      <c r="ET1346">
        <v>0</v>
      </c>
      <c r="EU1346">
        <v>0</v>
      </c>
      <c r="EV1346">
        <v>0</v>
      </c>
      <c r="EW1346" s="2">
        <v>43222</v>
      </c>
      <c r="EX1346" s="1">
        <v>42879</v>
      </c>
      <c r="EY1346">
        <v>2016</v>
      </c>
      <c r="EZ1346">
        <v>458.31</v>
      </c>
      <c r="FA1346" t="s">
        <v>13725</v>
      </c>
      <c r="FB1346">
        <v>0.25</v>
      </c>
      <c r="FC1346" t="s">
        <v>424</v>
      </c>
      <c r="FD1346" t="s">
        <v>425</v>
      </c>
      <c r="FE1346" s="1">
        <v>42907</v>
      </c>
      <c r="FF1346">
        <v>1</v>
      </c>
      <c r="FG1346">
        <v>2851116</v>
      </c>
      <c r="FH1346" t="s">
        <v>480</v>
      </c>
      <c r="FJ1346" s="1">
        <v>42879</v>
      </c>
      <c r="FK1346">
        <v>2016</v>
      </c>
      <c r="FL1346">
        <v>458.31</v>
      </c>
      <c r="FM1346" t="s">
        <v>13725</v>
      </c>
      <c r="FN1346">
        <v>0.25</v>
      </c>
      <c r="FO1346" t="s">
        <v>424</v>
      </c>
      <c r="FP1346" t="s">
        <v>425</v>
      </c>
      <c r="FR1346">
        <v>22</v>
      </c>
      <c r="FS1346">
        <v>5375783</v>
      </c>
      <c r="FT1346" t="s">
        <v>13726</v>
      </c>
      <c r="FV1346" s="1">
        <v>42151</v>
      </c>
      <c r="FW1346">
        <v>2014</v>
      </c>
      <c r="FX1346">
        <v>500.02</v>
      </c>
      <c r="FY1346" t="s">
        <v>13727</v>
      </c>
      <c r="FZ1346">
        <v>0.25</v>
      </c>
      <c r="GA1346" t="s">
        <v>424</v>
      </c>
      <c r="GB1346" t="s">
        <v>425</v>
      </c>
      <c r="GC1346" s="1">
        <v>42506</v>
      </c>
      <c r="GD1346">
        <v>12</v>
      </c>
      <c r="GE1346">
        <v>2851116</v>
      </c>
      <c r="GF1346" t="s">
        <v>480</v>
      </c>
      <c r="GH1346" s="1">
        <v>42151</v>
      </c>
      <c r="GI1346">
        <v>2014</v>
      </c>
      <c r="GJ1346">
        <v>500.02</v>
      </c>
      <c r="GK1346" t="s">
        <v>13727</v>
      </c>
      <c r="GL1346">
        <v>0.25</v>
      </c>
      <c r="GM1346" t="s">
        <v>424</v>
      </c>
      <c r="GN1346" t="s">
        <v>425</v>
      </c>
      <c r="GP1346">
        <v>22</v>
      </c>
      <c r="GQ1346">
        <v>5382420</v>
      </c>
      <c r="GR1346" t="s">
        <v>13728</v>
      </c>
      <c r="GT1346" s="1">
        <v>41787</v>
      </c>
      <c r="GU1346">
        <v>2013</v>
      </c>
      <c r="GV1346">
        <v>524.38</v>
      </c>
      <c r="GW1346" t="s">
        <v>13729</v>
      </c>
      <c r="GX1346">
        <v>0.25</v>
      </c>
      <c r="GY1346" t="s">
        <v>424</v>
      </c>
      <c r="GZ1346" t="s">
        <v>425</v>
      </c>
      <c r="HA1346" s="1">
        <v>42403</v>
      </c>
      <c r="HB1346">
        <v>21</v>
      </c>
      <c r="HC1346">
        <v>2407503</v>
      </c>
      <c r="HD1346" t="s">
        <v>461</v>
      </c>
      <c r="HF1346" s="1">
        <v>41423</v>
      </c>
      <c r="HG1346">
        <v>2012</v>
      </c>
      <c r="HH1346">
        <v>527.13</v>
      </c>
      <c r="HI1346" t="s">
        <v>13730</v>
      </c>
      <c r="HJ1346">
        <v>0.25</v>
      </c>
      <c r="HK1346" t="s">
        <v>424</v>
      </c>
      <c r="HL1346" t="s">
        <v>425</v>
      </c>
      <c r="HM1346" s="1">
        <v>41827</v>
      </c>
      <c r="HN1346">
        <v>14</v>
      </c>
      <c r="HO1346">
        <v>62</v>
      </c>
      <c r="HP1346" t="s">
        <v>463</v>
      </c>
      <c r="HR1346" s="1">
        <v>41052</v>
      </c>
      <c r="HS1346">
        <v>2011</v>
      </c>
      <c r="HT1346">
        <v>474.08</v>
      </c>
      <c r="HU1346" t="s">
        <v>13731</v>
      </c>
      <c r="HV1346">
        <v>5.75</v>
      </c>
      <c r="HW1346" t="s">
        <v>424</v>
      </c>
      <c r="HX1346" t="s">
        <v>425</v>
      </c>
      <c r="HY1346" s="1">
        <v>41435</v>
      </c>
      <c r="HZ1346">
        <v>13</v>
      </c>
      <c r="IA1346">
        <v>62</v>
      </c>
      <c r="IB1346" t="s">
        <v>463</v>
      </c>
      <c r="ID1346" s="1">
        <v>40688</v>
      </c>
      <c r="IE1346">
        <v>2010</v>
      </c>
      <c r="IF1346">
        <v>515.19000000000005</v>
      </c>
      <c r="IG1346" t="s">
        <v>13732</v>
      </c>
      <c r="IH1346">
        <v>6.75</v>
      </c>
      <c r="II1346" t="s">
        <v>424</v>
      </c>
      <c r="IJ1346" t="s">
        <v>425</v>
      </c>
      <c r="IK1346" s="1">
        <v>41025</v>
      </c>
      <c r="IL1346">
        <v>11</v>
      </c>
      <c r="IM1346">
        <v>105</v>
      </c>
      <c r="IN1346" t="s">
        <v>946</v>
      </c>
    </row>
    <row r="1347" spans="1:284" x14ac:dyDescent="0.25">
      <c r="A1347">
        <v>16486354</v>
      </c>
      <c r="B1347">
        <v>1346</v>
      </c>
      <c r="C1347" t="s">
        <v>393</v>
      </c>
      <c r="D1347" t="s">
        <v>394</v>
      </c>
      <c r="F1347" t="str">
        <f>"43-2N-27-4622-0007-0200"</f>
        <v>43-2N-27-4622-0007-0200</v>
      </c>
      <c r="H1347" t="str">
        <f>"SHAW ZACHERY K &amp; LINDA V"</f>
        <v>SHAW ZACHERY K &amp; LINDA V</v>
      </c>
      <c r="I1347" t="str">
        <f>"85357 DICK KING RD"</f>
        <v>85357 DICK KING RD</v>
      </c>
      <c r="J1347" t="str">
        <f t="shared" si="465"/>
        <v>YULEE FL 32097</v>
      </c>
      <c r="K1347" t="str">
        <f>"85357 DICK KING RD"</f>
        <v>85357 DICK KING RD</v>
      </c>
      <c r="L1347" t="str">
        <f t="shared" si="456"/>
        <v>YULEE FL 32097</v>
      </c>
      <c r="M1347" t="str">
        <f>"BLOCK 7 LOT 20 IN OR 2057/1535 R108079 &amp; R108078 LOFTON BLUFF 3 PB 4/108"</f>
        <v>BLOCK 7 LOT 20 IN OR 2057/1535 R108079 &amp; R108078 LOFTON BLUFF 3 PB 4/108</v>
      </c>
      <c r="N1347" t="str">
        <f>""</f>
        <v/>
      </c>
      <c r="O1347" t="str">
        <f>"49556"</f>
        <v>49556</v>
      </c>
      <c r="P1347" t="str">
        <f t="shared" si="467"/>
        <v>2017</v>
      </c>
      <c r="Q1347" t="str">
        <f>""</f>
        <v/>
      </c>
      <c r="R1347" t="str">
        <f>"Y"</f>
        <v>Y</v>
      </c>
      <c r="S1347" t="str">
        <f>""</f>
        <v/>
      </c>
      <c r="T1347" t="str">
        <f>"429.07"</f>
        <v>429.07</v>
      </c>
      <c r="U1347" t="str">
        <f>"57667.00"</f>
        <v>57667.00</v>
      </c>
      <c r="V1347" t="str">
        <f>"57667.00"</f>
        <v>57667.00</v>
      </c>
      <c r="W1347" t="str">
        <f t="shared" si="468"/>
        <v>2017</v>
      </c>
      <c r="X1347" t="str">
        <f>""</f>
        <v/>
      </c>
      <c r="Y1347" t="str">
        <f>"473.94"</f>
        <v>473.94</v>
      </c>
      <c r="Z1347" t="str">
        <f>"25000.00"</f>
        <v>25000.00</v>
      </c>
      <c r="AA1347" t="str">
        <f>"32667.00"</f>
        <v>32667.00</v>
      </c>
      <c r="AB1347" t="str">
        <f t="shared" si="454"/>
        <v>Residential</v>
      </c>
      <c r="AC1347" t="str">
        <f t="shared" si="445"/>
        <v>0</v>
      </c>
      <c r="AD1347" t="str">
        <f t="shared" si="462"/>
        <v>4</v>
      </c>
      <c r="AE1347" t="str">
        <f t="shared" si="463"/>
        <v>WOOD (INCLUDE STEEL STUDS)</v>
      </c>
      <c r="AF1347" t="str">
        <f t="shared" si="464"/>
        <v>002</v>
      </c>
      <c r="AG1347" t="str">
        <f t="shared" si="466"/>
        <v>FL</v>
      </c>
      <c r="AH1347" t="str">
        <f t="shared" si="453"/>
        <v>-</v>
      </c>
      <c r="AI1347" t="str">
        <f t="shared" si="460"/>
        <v>28000.00</v>
      </c>
      <c r="AJ1347" t="str">
        <f>"C55-000-588-2988-8"</f>
        <v>C55-000-588-2988-8</v>
      </c>
      <c r="AK1347" t="str">
        <f>"22889"</f>
        <v>22889</v>
      </c>
      <c r="AL1347">
        <v>5</v>
      </c>
      <c r="AM1347">
        <v>1539</v>
      </c>
      <c r="AN1347">
        <v>496.04</v>
      </c>
      <c r="AQ1347" t="s">
        <v>13733</v>
      </c>
      <c r="AR1347" t="s">
        <v>13733</v>
      </c>
      <c r="AS1347" t="s">
        <v>13733</v>
      </c>
      <c r="AU1347" t="s">
        <v>396</v>
      </c>
      <c r="AV1347">
        <v>2017</v>
      </c>
      <c r="AW1347" t="str">
        <f>"43-2N-27-4622-0007-0200 "</f>
        <v xml:space="preserve">43-2N-27-4622-0007-0200 </v>
      </c>
      <c r="AX1347">
        <v>85357</v>
      </c>
      <c r="AZ1347" t="s">
        <v>13734</v>
      </c>
      <c r="BA1347" t="s">
        <v>496</v>
      </c>
      <c r="BD1347" t="s">
        <v>2387</v>
      </c>
      <c r="BE1347" t="s">
        <v>393</v>
      </c>
      <c r="BF1347">
        <v>32097</v>
      </c>
      <c r="BG1347" t="s">
        <v>13735</v>
      </c>
      <c r="BH1347" t="s">
        <v>2388</v>
      </c>
      <c r="BI1347">
        <v>-81.577285883221606</v>
      </c>
      <c r="BJ1347">
        <v>30.593652625531</v>
      </c>
      <c r="BK1347" t="s">
        <v>13736</v>
      </c>
      <c r="BL1347" t="s">
        <v>13737</v>
      </c>
      <c r="BM1347" t="s">
        <v>13738</v>
      </c>
      <c r="BN1347" t="s">
        <v>1778</v>
      </c>
      <c r="BO1347">
        <v>32097</v>
      </c>
      <c r="BP1347" t="s">
        <v>404</v>
      </c>
      <c r="BQ1347">
        <v>200</v>
      </c>
      <c r="BR1347" t="s">
        <v>405</v>
      </c>
      <c r="BS1347">
        <v>1006</v>
      </c>
      <c r="BT1347" t="s">
        <v>406</v>
      </c>
      <c r="BW1347">
        <v>43650</v>
      </c>
      <c r="BX1347" t="s">
        <v>407</v>
      </c>
      <c r="BY1347" t="s">
        <v>408</v>
      </c>
      <c r="BZ1347">
        <v>4</v>
      </c>
      <c r="CA1347">
        <v>1984</v>
      </c>
      <c r="CB1347">
        <v>1</v>
      </c>
      <c r="CC1347">
        <v>1</v>
      </c>
      <c r="CD1347">
        <v>2017</v>
      </c>
      <c r="CE1347">
        <v>28000</v>
      </c>
      <c r="CF1347">
        <v>29667</v>
      </c>
      <c r="CG1347">
        <v>57667</v>
      </c>
      <c r="CH1347">
        <v>2017</v>
      </c>
      <c r="CI1347">
        <v>28000</v>
      </c>
      <c r="CJ1347">
        <v>29667</v>
      </c>
      <c r="CK1347">
        <v>57667</v>
      </c>
      <c r="CL1347">
        <v>2017</v>
      </c>
      <c r="CM1347">
        <v>429.07</v>
      </c>
      <c r="CN1347" s="1">
        <v>42563</v>
      </c>
      <c r="CO1347">
        <v>75000</v>
      </c>
      <c r="CV1347">
        <v>0</v>
      </c>
      <c r="CZ1347" s="1">
        <v>42563</v>
      </c>
      <c r="DA1347">
        <v>0</v>
      </c>
      <c r="DD1347" t="s">
        <v>2387</v>
      </c>
      <c r="DF1347">
        <v>20</v>
      </c>
      <c r="DG1347">
        <v>43</v>
      </c>
      <c r="DL1347">
        <v>50302</v>
      </c>
      <c r="DM1347" t="s">
        <v>13628</v>
      </c>
      <c r="DO1347" t="s">
        <v>13739</v>
      </c>
      <c r="DP1347">
        <v>0</v>
      </c>
      <c r="DQ1347">
        <v>0</v>
      </c>
      <c r="DR1347" t="s">
        <v>411</v>
      </c>
    </row>
    <row r="1348" spans="1:284" x14ac:dyDescent="0.25">
      <c r="A1348">
        <v>16486355</v>
      </c>
      <c r="B1348">
        <v>1347</v>
      </c>
      <c r="C1348" t="s">
        <v>393</v>
      </c>
      <c r="D1348" t="s">
        <v>394</v>
      </c>
      <c r="F1348" t="str">
        <f>"43-2N-27-4622-0007-0400"</f>
        <v>43-2N-27-4622-0007-0400</v>
      </c>
      <c r="H1348" t="str">
        <f>"SILLS JOHN F JR &amp; ANGELA"</f>
        <v>SILLS JOHN F JR &amp; ANGELA</v>
      </c>
      <c r="I1348" t="str">
        <f>"85444 HADDOCK ROAD"</f>
        <v>85444 HADDOCK ROAD</v>
      </c>
      <c r="J1348" t="str">
        <f t="shared" si="465"/>
        <v>YULEE FL 32097</v>
      </c>
      <c r="K1348" t="str">
        <f>"85444 HADDOCK RD"</f>
        <v>85444 HADDOCK RD</v>
      </c>
      <c r="L1348" t="str">
        <f t="shared" si="456"/>
        <v>YULEE FL 32097</v>
      </c>
      <c r="M1348" t="str">
        <f>"BLOCK 7 LOT 40 IN OR 929/1417 MH/ID FLHML3B127323265A &amp; FLHML3B127323265B LOFTON BLUFF 3 PB 4/108"</f>
        <v>BLOCK 7 LOT 40 IN OR 929/1417 MH/ID FLHML3B127323265A &amp; FLHML3B127323265B LOFTON BLUFF 3 PB 4/108</v>
      </c>
      <c r="N1348" t="str">
        <f>""</f>
        <v/>
      </c>
      <c r="O1348" t="str">
        <f>"49575"</f>
        <v>49575</v>
      </c>
      <c r="P1348" t="str">
        <f t="shared" si="467"/>
        <v>2017</v>
      </c>
      <c r="Q1348" t="str">
        <f>""</f>
        <v/>
      </c>
      <c r="R1348" t="str">
        <f>"Y"</f>
        <v>Y</v>
      </c>
      <c r="S1348" t="str">
        <f>""</f>
        <v/>
      </c>
      <c r="T1348" t="str">
        <f>"529.93"</f>
        <v>529.93</v>
      </c>
      <c r="U1348" t="str">
        <f>"72955.00"</f>
        <v>72955.00</v>
      </c>
      <c r="V1348" t="str">
        <f>"72955.00"</f>
        <v>72955.00</v>
      </c>
      <c r="W1348" t="str">
        <f t="shared" si="468"/>
        <v>2017</v>
      </c>
      <c r="X1348" t="str">
        <f>"9.00"</f>
        <v>9.00</v>
      </c>
      <c r="Y1348" t="str">
        <f>"577.83"</f>
        <v>577.83</v>
      </c>
      <c r="Z1348" t="str">
        <f>"25000.00"</f>
        <v>25000.00</v>
      </c>
      <c r="AA1348" t="str">
        <f>"47955.00"</f>
        <v>47955.00</v>
      </c>
      <c r="AB1348" t="str">
        <f t="shared" si="454"/>
        <v>Residential</v>
      </c>
      <c r="AC1348" t="str">
        <f t="shared" si="445"/>
        <v>0</v>
      </c>
      <c r="AD1348" t="str">
        <f t="shared" si="462"/>
        <v>4</v>
      </c>
      <c r="AE1348" t="str">
        <f t="shared" si="463"/>
        <v>WOOD (INCLUDE STEEL STUDS)</v>
      </c>
      <c r="AF1348" t="str">
        <f t="shared" si="464"/>
        <v>002</v>
      </c>
      <c r="AG1348" t="str">
        <f t="shared" si="466"/>
        <v>FL</v>
      </c>
      <c r="AH1348" t="str">
        <f t="shared" si="453"/>
        <v>-</v>
      </c>
      <c r="AI1348" t="str">
        <f t="shared" si="460"/>
        <v>28000.00</v>
      </c>
      <c r="AJ1348" t="str">
        <f>"C55-000-588-3007-6"</f>
        <v>C55-000-588-3007-6</v>
      </c>
      <c r="AK1348" t="str">
        <f>"22908"</f>
        <v>22908</v>
      </c>
      <c r="AL1348">
        <v>5</v>
      </c>
      <c r="AM1348">
        <v>1540</v>
      </c>
      <c r="AN1348">
        <v>605.12</v>
      </c>
      <c r="AQ1348" t="s">
        <v>13740</v>
      </c>
      <c r="AR1348" t="s">
        <v>13740</v>
      </c>
      <c r="AS1348" t="s">
        <v>13740</v>
      </c>
      <c r="AU1348" t="s">
        <v>396</v>
      </c>
      <c r="AV1348">
        <v>2017</v>
      </c>
      <c r="AW1348" t="str">
        <f>"43-2N-27-4622-0007-0400 "</f>
        <v xml:space="preserve">43-2N-27-4622-0007-0400 </v>
      </c>
      <c r="AX1348">
        <v>85444</v>
      </c>
      <c r="AZ1348" t="s">
        <v>10626</v>
      </c>
      <c r="BA1348" t="s">
        <v>496</v>
      </c>
      <c r="BD1348" t="s">
        <v>2387</v>
      </c>
      <c r="BE1348" t="s">
        <v>393</v>
      </c>
      <c r="BF1348">
        <v>32097</v>
      </c>
      <c r="BG1348" t="s">
        <v>13741</v>
      </c>
      <c r="BH1348" t="s">
        <v>2388</v>
      </c>
      <c r="BI1348">
        <v>-81.579810391188403</v>
      </c>
      <c r="BJ1348">
        <v>30.593187127769902</v>
      </c>
      <c r="BK1348" t="s">
        <v>13742</v>
      </c>
      <c r="BL1348" t="s">
        <v>13743</v>
      </c>
      <c r="BM1348" t="s">
        <v>13741</v>
      </c>
      <c r="BN1348" t="s">
        <v>1778</v>
      </c>
      <c r="BO1348">
        <v>32097</v>
      </c>
      <c r="BP1348" t="s">
        <v>416</v>
      </c>
      <c r="BQ1348">
        <v>200</v>
      </c>
      <c r="BR1348" t="s">
        <v>405</v>
      </c>
      <c r="BS1348">
        <v>1006</v>
      </c>
      <c r="BT1348" t="s">
        <v>406</v>
      </c>
      <c r="BW1348">
        <v>51313</v>
      </c>
      <c r="BX1348" t="s">
        <v>407</v>
      </c>
      <c r="BY1348" t="s">
        <v>408</v>
      </c>
      <c r="BZ1348">
        <v>4</v>
      </c>
      <c r="CA1348">
        <v>2000</v>
      </c>
      <c r="CB1348">
        <v>1</v>
      </c>
      <c r="CC1348">
        <v>1</v>
      </c>
      <c r="CD1348">
        <v>2017</v>
      </c>
      <c r="CG1348">
        <v>72955</v>
      </c>
      <c r="CH1348">
        <v>2017</v>
      </c>
      <c r="CI1348">
        <v>28000</v>
      </c>
      <c r="CJ1348">
        <v>70030</v>
      </c>
      <c r="CK1348">
        <v>98030</v>
      </c>
      <c r="CL1348">
        <v>2017</v>
      </c>
      <c r="CM1348">
        <v>529.92999999999995</v>
      </c>
      <c r="CN1348" s="1">
        <v>36641</v>
      </c>
      <c r="CO1348">
        <v>7400</v>
      </c>
      <c r="CZ1348" s="1">
        <v>36641</v>
      </c>
      <c r="DD1348" t="s">
        <v>2387</v>
      </c>
      <c r="DF1348">
        <v>40</v>
      </c>
      <c r="DG1348">
        <v>43</v>
      </c>
      <c r="DL1348">
        <v>50302</v>
      </c>
      <c r="DM1348" t="s">
        <v>13628</v>
      </c>
      <c r="DO1348" t="s">
        <v>13744</v>
      </c>
      <c r="DP1348">
        <v>0</v>
      </c>
      <c r="DQ1348">
        <v>0</v>
      </c>
      <c r="DR1348" t="s">
        <v>411</v>
      </c>
      <c r="DS1348" t="b">
        <v>1</v>
      </c>
      <c r="DT1348" t="s">
        <v>470</v>
      </c>
      <c r="DU1348" t="s">
        <v>471</v>
      </c>
      <c r="DV1348" t="s">
        <v>472</v>
      </c>
      <c r="DX1348">
        <v>-9999</v>
      </c>
      <c r="DZ1348" t="s">
        <v>447</v>
      </c>
      <c r="EA1348" t="s">
        <v>448</v>
      </c>
      <c r="EB1348" t="s">
        <v>742</v>
      </c>
      <c r="EC1348">
        <v>20101217</v>
      </c>
      <c r="ED1348" t="s">
        <v>474</v>
      </c>
      <c r="EF1348">
        <v>2635.3</v>
      </c>
      <c r="EG1348">
        <v>2472.9</v>
      </c>
      <c r="EH1348" t="s">
        <v>451</v>
      </c>
      <c r="EI1348">
        <v>20140731</v>
      </c>
      <c r="EJ1348">
        <v>0</v>
      </c>
      <c r="EK1348">
        <v>0</v>
      </c>
      <c r="EP1348" t="s">
        <v>421</v>
      </c>
      <c r="EQ1348" t="s">
        <v>422</v>
      </c>
      <c r="ER1348">
        <v>0</v>
      </c>
      <c r="ES1348">
        <v>2</v>
      </c>
      <c r="ET1348">
        <v>0</v>
      </c>
      <c r="EU1348">
        <v>0</v>
      </c>
      <c r="EV1348">
        <v>0</v>
      </c>
      <c r="EW1348" s="2">
        <v>43222</v>
      </c>
      <c r="EX1348" s="1">
        <v>41787</v>
      </c>
      <c r="EY1348">
        <v>2013</v>
      </c>
      <c r="EZ1348">
        <v>767.94</v>
      </c>
      <c r="FA1348" t="s">
        <v>13745</v>
      </c>
      <c r="FB1348">
        <v>0.25</v>
      </c>
      <c r="FC1348" t="s">
        <v>424</v>
      </c>
      <c r="FD1348" t="s">
        <v>425</v>
      </c>
      <c r="FE1348" s="1">
        <v>42006</v>
      </c>
      <c r="FF1348">
        <v>8</v>
      </c>
      <c r="FG1348">
        <v>2407503</v>
      </c>
      <c r="FH1348" t="s">
        <v>461</v>
      </c>
      <c r="FJ1348" s="1">
        <v>41052</v>
      </c>
      <c r="FK1348">
        <v>2011</v>
      </c>
      <c r="FL1348">
        <v>1088.95</v>
      </c>
      <c r="FM1348" t="s">
        <v>13746</v>
      </c>
      <c r="FN1348">
        <v>0.25</v>
      </c>
      <c r="FO1348" t="s">
        <v>424</v>
      </c>
      <c r="FP1348" t="s">
        <v>425</v>
      </c>
      <c r="FQ1348" s="1">
        <v>41215</v>
      </c>
      <c r="FR1348">
        <v>6</v>
      </c>
      <c r="FS1348">
        <v>13729</v>
      </c>
      <c r="FT1348" t="s">
        <v>13747</v>
      </c>
    </row>
    <row r="1349" spans="1:284" x14ac:dyDescent="0.25">
      <c r="A1349">
        <v>16486356</v>
      </c>
      <c r="B1349">
        <v>1348</v>
      </c>
      <c r="C1349" t="s">
        <v>393</v>
      </c>
      <c r="D1349" t="s">
        <v>394</v>
      </c>
      <c r="F1349" t="str">
        <f>"43-2N-27-4622-0007-0430"</f>
        <v>43-2N-27-4622-0007-0430</v>
      </c>
      <c r="H1349" t="str">
        <f>"CHANCEY DANIEL B SR"</f>
        <v>CHANCEY DANIEL B SR</v>
      </c>
      <c r="I1349" t="str">
        <f>"85528 HADDOCK ROAD"</f>
        <v>85528 HADDOCK ROAD</v>
      </c>
      <c r="J1349" t="str">
        <f t="shared" si="465"/>
        <v>YULEE FL 32097</v>
      </c>
      <c r="K1349" t="str">
        <f>"85528 HADDOCK RD"</f>
        <v>85528 HADDOCK RD</v>
      </c>
      <c r="L1349" t="str">
        <f t="shared" si="456"/>
        <v>YULEE FL 32097</v>
      </c>
      <c r="M1349" t="str">
        <f>"BLOCK 7 LOTS 43 &amp; 44 IN OR 1039/698 &amp; OR 1958/87 R498157 &amp; R498158 LOFTON BLUFF 3 PB 4/108"</f>
        <v>BLOCK 7 LOTS 43 &amp; 44 IN OR 1039/698 &amp; OR 1958/87 R498157 &amp; R498158 LOFTON BLUFF 3 PB 4/108</v>
      </c>
      <c r="N1349" t="str">
        <f>""</f>
        <v/>
      </c>
      <c r="O1349" t="str">
        <f>"49578"</f>
        <v>49578</v>
      </c>
      <c r="P1349" t="str">
        <f t="shared" si="467"/>
        <v>2017</v>
      </c>
      <c r="Q1349" t="str">
        <f>""</f>
        <v/>
      </c>
      <c r="R1349" t="str">
        <f>"Y"</f>
        <v>Y</v>
      </c>
      <c r="S1349" t="str">
        <f>""</f>
        <v/>
      </c>
      <c r="T1349" t="str">
        <f>"268.01"</f>
        <v>268.01</v>
      </c>
      <c r="U1349" t="str">
        <f>"42703.00"</f>
        <v>42703.00</v>
      </c>
      <c r="V1349" t="str">
        <f>"42703.00"</f>
        <v>42703.00</v>
      </c>
      <c r="W1349" t="str">
        <f t="shared" si="468"/>
        <v>2017</v>
      </c>
      <c r="X1349" t="str">
        <f>""</f>
        <v/>
      </c>
      <c r="Y1349" t="str">
        <f>"308.05"</f>
        <v>308.05</v>
      </c>
      <c r="Z1349" t="str">
        <f>"25000.00"</f>
        <v>25000.00</v>
      </c>
      <c r="AA1349" t="str">
        <f>"17703.00"</f>
        <v>17703.00</v>
      </c>
      <c r="AB1349" t="str">
        <f t="shared" si="454"/>
        <v>Residential</v>
      </c>
      <c r="AC1349" t="str">
        <f t="shared" si="445"/>
        <v>0</v>
      </c>
      <c r="AD1349" t="str">
        <f t="shared" si="462"/>
        <v>4</v>
      </c>
      <c r="AE1349" t="str">
        <f t="shared" si="463"/>
        <v>WOOD (INCLUDE STEEL STUDS)</v>
      </c>
      <c r="AF1349" t="str">
        <f t="shared" si="464"/>
        <v>002</v>
      </c>
      <c r="AG1349" t="str">
        <f t="shared" si="466"/>
        <v>FL</v>
      </c>
      <c r="AH1349" t="str">
        <f t="shared" si="453"/>
        <v>-</v>
      </c>
      <c r="AI1349" t="str">
        <f>"56000.00"</f>
        <v>56000.00</v>
      </c>
      <c r="AJ1349" t="str">
        <f>"C55-000-588-3010-0"</f>
        <v>C55-000-588-3010-0</v>
      </c>
      <c r="AK1349" t="str">
        <f>"22911"</f>
        <v>22911</v>
      </c>
      <c r="AL1349">
        <v>5</v>
      </c>
      <c r="AM1349">
        <v>1541</v>
      </c>
      <c r="AN1349">
        <v>321.85000000000002</v>
      </c>
      <c r="AQ1349" t="s">
        <v>13748</v>
      </c>
      <c r="AR1349" t="s">
        <v>13748</v>
      </c>
      <c r="AS1349" t="s">
        <v>13748</v>
      </c>
      <c r="AU1349" t="s">
        <v>396</v>
      </c>
      <c r="AV1349">
        <v>2017</v>
      </c>
      <c r="AW1349" t="str">
        <f>"43-2N-27-4622-0007-0430 "</f>
        <v xml:space="preserve">43-2N-27-4622-0007-0430 </v>
      </c>
      <c r="AX1349">
        <v>85528</v>
      </c>
      <c r="AZ1349" t="s">
        <v>10626</v>
      </c>
      <c r="BA1349" t="s">
        <v>496</v>
      </c>
      <c r="BD1349" t="s">
        <v>2387</v>
      </c>
      <c r="BE1349" t="s">
        <v>393</v>
      </c>
      <c r="BF1349">
        <v>32097</v>
      </c>
      <c r="BG1349" t="s">
        <v>13219</v>
      </c>
      <c r="BH1349" t="s">
        <v>2388</v>
      </c>
      <c r="BI1349">
        <v>-81.578443756013101</v>
      </c>
      <c r="BJ1349">
        <v>30.5940153574624</v>
      </c>
      <c r="BK1349" t="s">
        <v>13749</v>
      </c>
      <c r="BL1349" t="s">
        <v>13750</v>
      </c>
      <c r="BM1349" t="s">
        <v>13219</v>
      </c>
      <c r="BN1349" t="s">
        <v>1778</v>
      </c>
      <c r="BO1349">
        <v>32097</v>
      </c>
      <c r="BP1349" t="s">
        <v>416</v>
      </c>
      <c r="BQ1349">
        <v>200</v>
      </c>
      <c r="BR1349" t="s">
        <v>405</v>
      </c>
      <c r="BS1349">
        <v>1006</v>
      </c>
      <c r="BT1349" t="s">
        <v>406</v>
      </c>
      <c r="BW1349">
        <v>102852</v>
      </c>
      <c r="BX1349" t="s">
        <v>407</v>
      </c>
      <c r="BY1349" t="s">
        <v>408</v>
      </c>
      <c r="BZ1349">
        <v>4</v>
      </c>
      <c r="CA1349">
        <v>1988</v>
      </c>
      <c r="CB1349">
        <v>1</v>
      </c>
      <c r="CC1349">
        <v>1</v>
      </c>
      <c r="CD1349">
        <v>2017</v>
      </c>
      <c r="CG1349">
        <v>42703</v>
      </c>
      <c r="CH1349">
        <v>2017</v>
      </c>
      <c r="CI1349">
        <v>56000</v>
      </c>
      <c r="CJ1349">
        <v>18197</v>
      </c>
      <c r="CK1349">
        <v>74197</v>
      </c>
      <c r="CL1349">
        <v>2017</v>
      </c>
      <c r="CM1349">
        <v>268.01</v>
      </c>
      <c r="CN1349" s="1">
        <v>37309</v>
      </c>
      <c r="CO1349">
        <v>45000</v>
      </c>
      <c r="CV1349">
        <v>0</v>
      </c>
      <c r="CZ1349" s="1">
        <v>37309</v>
      </c>
      <c r="DA1349">
        <v>0</v>
      </c>
      <c r="DD1349" t="s">
        <v>2387</v>
      </c>
      <c r="DG1349">
        <v>43</v>
      </c>
      <c r="DL1349">
        <v>50302</v>
      </c>
      <c r="DM1349" t="s">
        <v>13628</v>
      </c>
      <c r="DO1349" t="s">
        <v>13751</v>
      </c>
      <c r="DP1349">
        <v>0</v>
      </c>
      <c r="DQ1349">
        <v>0</v>
      </c>
      <c r="DR1349" t="s">
        <v>411</v>
      </c>
    </row>
    <row r="1350" spans="1:284" x14ac:dyDescent="0.25">
      <c r="A1350">
        <v>16486357</v>
      </c>
      <c r="B1350">
        <v>1349</v>
      </c>
      <c r="C1350" t="s">
        <v>393</v>
      </c>
      <c r="D1350" t="s">
        <v>394</v>
      </c>
      <c r="F1350" t="str">
        <f>"43-2N-27-4622-0007-0590"</f>
        <v>43-2N-27-4622-0007-0590</v>
      </c>
      <c r="H1350" t="str">
        <f>"BARRY JAMES K"</f>
        <v>BARRY JAMES K</v>
      </c>
      <c r="I1350" t="str">
        <f>"85581 CLAXTON ROAD"</f>
        <v>85581 CLAXTON ROAD</v>
      </c>
      <c r="J1350" t="str">
        <f t="shared" si="465"/>
        <v>YULEE FL 32097</v>
      </c>
      <c r="K1350" t="str">
        <f>"85860 HADDOCK RD"</f>
        <v>85860 HADDOCK RD</v>
      </c>
      <c r="L1350" t="str">
        <f t="shared" si="456"/>
        <v>YULEE FL 32097</v>
      </c>
      <c r="M1350" t="str">
        <f>"BLOCK 7 LOT 59 R378384 IN OR 940/1789 LOFTON BLUFF 3 PB 4/108"</f>
        <v>BLOCK 7 LOT 59 R378384 IN OR 940/1789 LOFTON BLUFF 3 PB 4/108</v>
      </c>
      <c r="N1350" t="str">
        <f>""</f>
        <v/>
      </c>
      <c r="O1350" t="str">
        <f>"49593"</f>
        <v>49593</v>
      </c>
      <c r="P1350" t="str">
        <f t="shared" si="467"/>
        <v>2017</v>
      </c>
      <c r="Q1350" t="str">
        <f>""</f>
        <v/>
      </c>
      <c r="R1350" t="str">
        <f>"N"</f>
        <v>N</v>
      </c>
      <c r="S1350" t="str">
        <f>""</f>
        <v/>
      </c>
      <c r="T1350" t="str">
        <f>"825.09"</f>
        <v>825.09</v>
      </c>
      <c r="U1350" t="str">
        <f>"52939.00"</f>
        <v>52939.00</v>
      </c>
      <c r="V1350" t="str">
        <f>"52939.00"</f>
        <v>52939.00</v>
      </c>
      <c r="W1350" t="str">
        <f t="shared" si="468"/>
        <v>2017</v>
      </c>
      <c r="X1350" t="str">
        <f>"5.20"</f>
        <v>5.20</v>
      </c>
      <c r="Y1350" t="str">
        <f>"691.61"</f>
        <v>691.61</v>
      </c>
      <c r="Z1350" t="str">
        <f>""</f>
        <v/>
      </c>
      <c r="AA1350" t="str">
        <f>"56525.00"</f>
        <v>56525.00</v>
      </c>
      <c r="AB1350" t="str">
        <f t="shared" si="454"/>
        <v>Residential</v>
      </c>
      <c r="AC1350" t="str">
        <f t="shared" si="445"/>
        <v>0</v>
      </c>
      <c r="AD1350" t="str">
        <f t="shared" si="462"/>
        <v>4</v>
      </c>
      <c r="AE1350" t="str">
        <f t="shared" si="463"/>
        <v>WOOD (INCLUDE STEEL STUDS)</v>
      </c>
      <c r="AF1350" t="str">
        <f t="shared" si="464"/>
        <v>002</v>
      </c>
      <c r="AG1350" t="str">
        <f t="shared" si="466"/>
        <v>FL</v>
      </c>
      <c r="AH1350" t="str">
        <f t="shared" si="453"/>
        <v>-</v>
      </c>
      <c r="AI1350" t="str">
        <f t="shared" ref="AI1350:AI1358" si="469">"28000.00"</f>
        <v>28000.00</v>
      </c>
      <c r="AJ1350" t="str">
        <f>"C55-000-588-3024-1"</f>
        <v>C55-000-588-3024-1</v>
      </c>
      <c r="AK1350" t="str">
        <f>"22924"</f>
        <v>22924</v>
      </c>
      <c r="AL1350">
        <v>5</v>
      </c>
      <c r="AM1350">
        <v>1542</v>
      </c>
      <c r="AN1350">
        <v>724.59</v>
      </c>
      <c r="AQ1350" t="s">
        <v>13752</v>
      </c>
      <c r="AR1350" t="s">
        <v>13752</v>
      </c>
      <c r="AS1350" t="s">
        <v>13752</v>
      </c>
      <c r="AU1350" t="s">
        <v>396</v>
      </c>
      <c r="AV1350">
        <v>2017</v>
      </c>
      <c r="AW1350" t="str">
        <f>"43-2N-27-4622-0007-0590 "</f>
        <v xml:space="preserve">43-2N-27-4622-0007-0590 </v>
      </c>
      <c r="AX1350">
        <v>85860</v>
      </c>
      <c r="AZ1350" t="s">
        <v>10626</v>
      </c>
      <c r="BA1350" t="s">
        <v>496</v>
      </c>
      <c r="BD1350" t="s">
        <v>2387</v>
      </c>
      <c r="BE1350" t="s">
        <v>393</v>
      </c>
      <c r="BF1350">
        <v>32097</v>
      </c>
      <c r="BG1350" t="s">
        <v>13753</v>
      </c>
      <c r="BH1350" t="s">
        <v>2388</v>
      </c>
      <c r="BI1350">
        <v>-81.572366630300806</v>
      </c>
      <c r="BJ1350">
        <v>30.597698206614801</v>
      </c>
      <c r="BK1350" t="s">
        <v>13754</v>
      </c>
      <c r="BM1350" t="s">
        <v>13755</v>
      </c>
      <c r="BN1350" t="s">
        <v>1778</v>
      </c>
      <c r="BO1350">
        <v>32097</v>
      </c>
      <c r="BP1350" t="s">
        <v>404</v>
      </c>
      <c r="BQ1350">
        <v>200</v>
      </c>
      <c r="BR1350" t="s">
        <v>405</v>
      </c>
      <c r="BS1350">
        <v>1006</v>
      </c>
      <c r="BT1350" t="s">
        <v>406</v>
      </c>
      <c r="BW1350">
        <v>51848</v>
      </c>
      <c r="BX1350" t="s">
        <v>407</v>
      </c>
      <c r="BY1350" t="s">
        <v>408</v>
      </c>
      <c r="BZ1350">
        <v>4</v>
      </c>
      <c r="CA1350">
        <v>2004</v>
      </c>
      <c r="CB1350">
        <v>1</v>
      </c>
      <c r="CC1350">
        <v>1</v>
      </c>
      <c r="CD1350">
        <v>2017</v>
      </c>
      <c r="CE1350">
        <v>28000</v>
      </c>
      <c r="CF1350">
        <v>28525</v>
      </c>
      <c r="CG1350">
        <v>56525</v>
      </c>
      <c r="CH1350">
        <v>2017</v>
      </c>
      <c r="CI1350">
        <v>28000</v>
      </c>
      <c r="CJ1350">
        <v>28525</v>
      </c>
      <c r="CK1350">
        <v>56525</v>
      </c>
      <c r="CL1350">
        <v>2017</v>
      </c>
      <c r="CM1350">
        <v>825.09</v>
      </c>
      <c r="CN1350" s="1">
        <v>36724</v>
      </c>
      <c r="CO1350">
        <v>32000</v>
      </c>
      <c r="CZ1350" s="1">
        <v>36724</v>
      </c>
      <c r="DD1350" t="s">
        <v>2387</v>
      </c>
      <c r="DF1350">
        <v>59</v>
      </c>
      <c r="DG1350">
        <v>43</v>
      </c>
      <c r="DJ1350" t="s">
        <v>13645</v>
      </c>
      <c r="DL1350">
        <v>50302</v>
      </c>
      <c r="DM1350" t="s">
        <v>13628</v>
      </c>
      <c r="DO1350" t="s">
        <v>13756</v>
      </c>
      <c r="DP1350">
        <v>0</v>
      </c>
      <c r="DQ1350">
        <v>0</v>
      </c>
      <c r="DR1350" t="s">
        <v>411</v>
      </c>
      <c r="EP1350" t="s">
        <v>421</v>
      </c>
      <c r="EQ1350" t="s">
        <v>422</v>
      </c>
      <c r="ER1350">
        <v>0</v>
      </c>
      <c r="ES1350">
        <v>5</v>
      </c>
      <c r="ET1350">
        <v>0</v>
      </c>
      <c r="EU1350">
        <v>0</v>
      </c>
      <c r="EV1350">
        <v>0</v>
      </c>
      <c r="EW1350" s="2">
        <v>43222</v>
      </c>
      <c r="EX1350" s="1">
        <v>42879</v>
      </c>
      <c r="EY1350">
        <v>2016</v>
      </c>
      <c r="EZ1350">
        <v>436.32</v>
      </c>
      <c r="FA1350" t="s">
        <v>13757</v>
      </c>
      <c r="FB1350">
        <v>0.25</v>
      </c>
      <c r="FC1350" t="s">
        <v>424</v>
      </c>
      <c r="FD1350" t="s">
        <v>425</v>
      </c>
      <c r="FE1350" s="1">
        <v>42906</v>
      </c>
      <c r="FF1350">
        <v>1</v>
      </c>
      <c r="FG1350">
        <v>7400234</v>
      </c>
      <c r="FH1350" t="s">
        <v>426</v>
      </c>
      <c r="FJ1350" s="1">
        <v>42879</v>
      </c>
      <c r="FK1350">
        <v>2016</v>
      </c>
      <c r="FL1350">
        <v>436.32</v>
      </c>
      <c r="FM1350" t="s">
        <v>13757</v>
      </c>
      <c r="FN1350">
        <v>0.25</v>
      </c>
      <c r="FO1350" t="s">
        <v>424</v>
      </c>
      <c r="FP1350" t="s">
        <v>425</v>
      </c>
      <c r="FR1350">
        <v>22</v>
      </c>
      <c r="FS1350">
        <v>7556783</v>
      </c>
      <c r="FT1350" t="s">
        <v>13758</v>
      </c>
      <c r="FV1350" s="1">
        <v>41787</v>
      </c>
      <c r="FW1350">
        <v>2013</v>
      </c>
      <c r="FX1350">
        <v>691.3</v>
      </c>
      <c r="FY1350" t="s">
        <v>13759</v>
      </c>
      <c r="FZ1350">
        <v>0.25</v>
      </c>
      <c r="GA1350" t="s">
        <v>424</v>
      </c>
      <c r="GB1350" t="s">
        <v>425</v>
      </c>
      <c r="GC1350" s="1">
        <v>41886</v>
      </c>
      <c r="GD1350">
        <v>4</v>
      </c>
      <c r="GE1350">
        <v>2407503</v>
      </c>
      <c r="GF1350" t="s">
        <v>461</v>
      </c>
      <c r="GH1350" s="1">
        <v>41423</v>
      </c>
      <c r="GI1350">
        <v>2012</v>
      </c>
      <c r="GJ1350">
        <v>797.64</v>
      </c>
      <c r="GK1350" t="s">
        <v>13760</v>
      </c>
      <c r="GL1350">
        <v>0.25</v>
      </c>
      <c r="GM1350" t="s">
        <v>424</v>
      </c>
      <c r="GN1350" t="s">
        <v>425</v>
      </c>
      <c r="GO1350" s="1">
        <v>41807</v>
      </c>
      <c r="GP1350">
        <v>13</v>
      </c>
      <c r="GQ1350">
        <v>15399</v>
      </c>
      <c r="GR1350" t="s">
        <v>485</v>
      </c>
      <c r="GT1350" s="1">
        <v>41052</v>
      </c>
      <c r="GU1350">
        <v>2011</v>
      </c>
      <c r="GV1350">
        <v>1006.43</v>
      </c>
      <c r="GW1350" t="s">
        <v>13761</v>
      </c>
      <c r="GX1350">
        <v>5.75</v>
      </c>
      <c r="GY1350" t="s">
        <v>424</v>
      </c>
      <c r="GZ1350" t="s">
        <v>425</v>
      </c>
      <c r="HA1350" s="1">
        <v>41305</v>
      </c>
      <c r="HB1350">
        <v>8</v>
      </c>
      <c r="HC1350">
        <v>10579</v>
      </c>
      <c r="HD1350" t="s">
        <v>488</v>
      </c>
    </row>
    <row r="1351" spans="1:284" x14ac:dyDescent="0.25">
      <c r="A1351">
        <v>16486358</v>
      </c>
      <c r="B1351">
        <v>1350</v>
      </c>
      <c r="C1351" t="s">
        <v>393</v>
      </c>
      <c r="D1351" t="s">
        <v>394</v>
      </c>
      <c r="F1351" t="str">
        <f>"43-2N-27-4622-0008-0280"</f>
        <v>43-2N-27-4622-0008-0280</v>
      </c>
      <c r="H1351" t="str">
        <f>"JONES DWAYNE G &amp; SCOTT JANICE H (JT/RS)"</f>
        <v>JONES DWAYNE G &amp; SCOTT JANICE H (JT/RS)</v>
      </c>
      <c r="I1351" t="str">
        <f>"85276 DAVID ROAD"</f>
        <v>85276 DAVID ROAD</v>
      </c>
      <c r="J1351" t="str">
        <f t="shared" si="465"/>
        <v>YULEE FL 32097</v>
      </c>
      <c r="K1351" t="str">
        <f>"85276 DAVID RD"</f>
        <v>85276 DAVID RD</v>
      </c>
      <c r="L1351" t="str">
        <f t="shared" si="456"/>
        <v>YULEE FL 32097</v>
      </c>
      <c r="M1351" t="str">
        <f>"BLOCK 8 LOT 28 IN OR 1540/239 1997 MERI SW/MH LOFTON BLUFF 3 PB 4/108"</f>
        <v>BLOCK 8 LOT 28 IN OR 1540/239 1997 MERI SW/MH LOFTON BLUFF 3 PB 4/108</v>
      </c>
      <c r="N1351" t="str">
        <f>""</f>
        <v/>
      </c>
      <c r="O1351" t="str">
        <f>"49616"</f>
        <v>49616</v>
      </c>
      <c r="P1351" t="str">
        <f t="shared" si="467"/>
        <v>2017</v>
      </c>
      <c r="Q1351" t="str">
        <f>""</f>
        <v/>
      </c>
      <c r="R1351" t="str">
        <f>"N"</f>
        <v>N</v>
      </c>
      <c r="S1351" t="str">
        <f>""</f>
        <v/>
      </c>
      <c r="T1351" t="str">
        <f>"853.35"</f>
        <v>853.35</v>
      </c>
      <c r="U1351" t="str">
        <f>"52993.00"</f>
        <v>52993.00</v>
      </c>
      <c r="V1351" t="str">
        <f>"52993.00"</f>
        <v>52993.00</v>
      </c>
      <c r="W1351" t="str">
        <f t="shared" si="468"/>
        <v>2017</v>
      </c>
      <c r="X1351" t="str">
        <f>"19.83"</f>
        <v>19.83</v>
      </c>
      <c r="Y1351" t="str">
        <f>"910.95"</f>
        <v>910.95</v>
      </c>
      <c r="Z1351" t="str">
        <f>""</f>
        <v/>
      </c>
      <c r="AA1351" t="str">
        <f>"60735.00"</f>
        <v>60735.00</v>
      </c>
      <c r="AB1351" t="str">
        <f t="shared" si="454"/>
        <v>Residential</v>
      </c>
      <c r="AC1351" t="str">
        <f t="shared" si="445"/>
        <v>0</v>
      </c>
      <c r="AD1351" t="str">
        <f t="shared" si="462"/>
        <v>4</v>
      </c>
      <c r="AE1351" t="str">
        <f t="shared" si="463"/>
        <v>WOOD (INCLUDE STEEL STUDS)</v>
      </c>
      <c r="AF1351" t="str">
        <f t="shared" si="464"/>
        <v>002</v>
      </c>
      <c r="AG1351" t="str">
        <f t="shared" si="466"/>
        <v>FL</v>
      </c>
      <c r="AH1351" t="str">
        <f t="shared" si="453"/>
        <v>-</v>
      </c>
      <c r="AI1351" t="str">
        <f t="shared" si="469"/>
        <v>28000.00</v>
      </c>
      <c r="AJ1351" t="str">
        <f>"C55-000-588-3046-4"</f>
        <v>C55-000-588-3046-4</v>
      </c>
      <c r="AK1351" t="str">
        <f>"22946"</f>
        <v>22946</v>
      </c>
      <c r="AL1351">
        <v>5</v>
      </c>
      <c r="AM1351">
        <v>1544</v>
      </c>
      <c r="AN1351">
        <v>954.9</v>
      </c>
      <c r="AQ1351" t="s">
        <v>13762</v>
      </c>
      <c r="AR1351" t="s">
        <v>13762</v>
      </c>
      <c r="AS1351" t="s">
        <v>13762</v>
      </c>
      <c r="AU1351" t="s">
        <v>396</v>
      </c>
      <c r="AV1351">
        <v>2017</v>
      </c>
      <c r="AW1351" t="str">
        <f>"43-2N-27-4622-0008-0280 "</f>
        <v xml:space="preserve">43-2N-27-4622-0008-0280 </v>
      </c>
      <c r="AX1351">
        <v>85276</v>
      </c>
      <c r="AZ1351" t="s">
        <v>13653</v>
      </c>
      <c r="BA1351" t="s">
        <v>496</v>
      </c>
      <c r="BD1351" t="s">
        <v>2387</v>
      </c>
      <c r="BE1351" t="s">
        <v>393</v>
      </c>
      <c r="BF1351">
        <v>32097</v>
      </c>
      <c r="BG1351" t="s">
        <v>13763</v>
      </c>
      <c r="BH1351" t="s">
        <v>2388</v>
      </c>
      <c r="BI1351">
        <v>-81.580611796405904</v>
      </c>
      <c r="BJ1351">
        <v>30.589812187500101</v>
      </c>
      <c r="BK1351" t="s">
        <v>13764</v>
      </c>
      <c r="BM1351" t="s">
        <v>13765</v>
      </c>
      <c r="BN1351" t="s">
        <v>548</v>
      </c>
      <c r="BO1351">
        <v>32250</v>
      </c>
      <c r="BP1351" t="s">
        <v>404</v>
      </c>
      <c r="BQ1351">
        <v>200</v>
      </c>
      <c r="BR1351" t="s">
        <v>405</v>
      </c>
      <c r="BS1351">
        <v>1006</v>
      </c>
      <c r="BT1351" t="s">
        <v>406</v>
      </c>
      <c r="BW1351">
        <v>58081</v>
      </c>
      <c r="BX1351" t="s">
        <v>407</v>
      </c>
      <c r="BY1351" t="s">
        <v>408</v>
      </c>
      <c r="BZ1351">
        <v>4</v>
      </c>
      <c r="CA1351">
        <v>1997</v>
      </c>
      <c r="CB1351">
        <v>1</v>
      </c>
      <c r="CC1351">
        <v>1</v>
      </c>
      <c r="CD1351">
        <v>2017</v>
      </c>
      <c r="CE1351">
        <v>28000</v>
      </c>
      <c r="CF1351">
        <v>32735</v>
      </c>
      <c r="CG1351">
        <v>60735</v>
      </c>
      <c r="CH1351">
        <v>2017</v>
      </c>
      <c r="CI1351">
        <v>28000</v>
      </c>
      <c r="CJ1351">
        <v>32735</v>
      </c>
      <c r="CK1351">
        <v>60735</v>
      </c>
      <c r="CL1351">
        <v>2017</v>
      </c>
      <c r="CM1351">
        <v>853.35</v>
      </c>
      <c r="CN1351" s="1">
        <v>39426</v>
      </c>
      <c r="CO1351">
        <v>25000</v>
      </c>
      <c r="CV1351">
        <v>0</v>
      </c>
      <c r="CZ1351" s="1">
        <v>39426</v>
      </c>
      <c r="DA1351">
        <v>0</v>
      </c>
      <c r="DD1351" t="s">
        <v>2387</v>
      </c>
      <c r="DF1351">
        <v>28</v>
      </c>
      <c r="DG1351">
        <v>43</v>
      </c>
      <c r="DL1351">
        <v>50302</v>
      </c>
      <c r="DM1351" t="s">
        <v>13628</v>
      </c>
      <c r="DO1351" t="s">
        <v>13766</v>
      </c>
      <c r="DP1351">
        <v>0</v>
      </c>
      <c r="DQ1351">
        <v>0</v>
      </c>
      <c r="DR1351" t="s">
        <v>411</v>
      </c>
      <c r="DS1351" t="b">
        <v>1</v>
      </c>
      <c r="DT1351" t="s">
        <v>470</v>
      </c>
      <c r="DU1351" t="s">
        <v>471</v>
      </c>
      <c r="DV1351" t="s">
        <v>472</v>
      </c>
      <c r="DX1351">
        <v>-9999</v>
      </c>
      <c r="DZ1351" t="s">
        <v>447</v>
      </c>
      <c r="EA1351" t="s">
        <v>448</v>
      </c>
      <c r="EB1351" t="s">
        <v>742</v>
      </c>
      <c r="EC1351">
        <v>20101217</v>
      </c>
      <c r="ED1351" t="s">
        <v>474</v>
      </c>
      <c r="EF1351">
        <v>2314.1</v>
      </c>
      <c r="EG1351">
        <v>1702.3</v>
      </c>
      <c r="EI1351">
        <v>20160407</v>
      </c>
      <c r="EJ1351">
        <v>0</v>
      </c>
      <c r="EK1351">
        <v>0</v>
      </c>
      <c r="EP1351" t="s">
        <v>421</v>
      </c>
      <c r="EQ1351" t="s">
        <v>422</v>
      </c>
      <c r="ER1351">
        <v>2</v>
      </c>
      <c r="ES1351">
        <v>7</v>
      </c>
      <c r="ET1351">
        <v>1653.62</v>
      </c>
      <c r="EU1351">
        <v>95.18</v>
      </c>
      <c r="EV1351">
        <v>1748.8</v>
      </c>
      <c r="EW1351" s="2">
        <v>43222</v>
      </c>
      <c r="EX1351" s="1">
        <v>42879</v>
      </c>
      <c r="EY1351">
        <v>2016</v>
      </c>
      <c r="EZ1351">
        <v>826.81</v>
      </c>
      <c r="FA1351" t="s">
        <v>13767</v>
      </c>
      <c r="FB1351">
        <v>0.25</v>
      </c>
      <c r="FC1351" t="s">
        <v>424</v>
      </c>
      <c r="FD1351" t="s">
        <v>454</v>
      </c>
      <c r="FF1351">
        <v>12</v>
      </c>
      <c r="FG1351">
        <v>2851116</v>
      </c>
      <c r="FH1351" t="s">
        <v>480</v>
      </c>
      <c r="FJ1351" s="1">
        <v>42879</v>
      </c>
      <c r="FK1351">
        <v>2016</v>
      </c>
      <c r="FL1351">
        <v>826.81</v>
      </c>
      <c r="FM1351" t="s">
        <v>13767</v>
      </c>
      <c r="FN1351">
        <v>0.25</v>
      </c>
      <c r="FO1351" t="s">
        <v>424</v>
      </c>
      <c r="FP1351" t="s">
        <v>454</v>
      </c>
      <c r="FR1351">
        <v>12</v>
      </c>
      <c r="FS1351">
        <v>4916995</v>
      </c>
      <c r="FT1351" t="s">
        <v>13768</v>
      </c>
      <c r="FV1351" s="1">
        <v>42515</v>
      </c>
      <c r="FW1351">
        <v>2015</v>
      </c>
      <c r="FX1351">
        <v>808.21</v>
      </c>
      <c r="FY1351" t="s">
        <v>13769</v>
      </c>
      <c r="FZ1351">
        <v>0.25</v>
      </c>
      <c r="GA1351" t="s">
        <v>424</v>
      </c>
      <c r="GB1351" t="s">
        <v>425</v>
      </c>
      <c r="GC1351" s="1">
        <v>43157</v>
      </c>
      <c r="GD1351">
        <v>21</v>
      </c>
      <c r="GE1351">
        <v>2851116</v>
      </c>
      <c r="GF1351" t="s">
        <v>480</v>
      </c>
      <c r="GH1351" s="1">
        <v>42515</v>
      </c>
      <c r="GI1351">
        <v>2015</v>
      </c>
      <c r="GJ1351">
        <v>808.21</v>
      </c>
      <c r="GK1351" t="s">
        <v>13769</v>
      </c>
      <c r="GL1351">
        <v>0.25</v>
      </c>
      <c r="GM1351" t="s">
        <v>424</v>
      </c>
      <c r="GN1351" t="s">
        <v>425</v>
      </c>
      <c r="GP1351">
        <v>22</v>
      </c>
      <c r="GQ1351">
        <v>4875131</v>
      </c>
      <c r="GR1351" t="s">
        <v>13770</v>
      </c>
      <c r="GT1351" s="1">
        <v>42151</v>
      </c>
      <c r="GU1351">
        <v>2014</v>
      </c>
      <c r="GV1351">
        <v>770.99</v>
      </c>
      <c r="GW1351" t="s">
        <v>13771</v>
      </c>
      <c r="GX1351">
        <v>0.25</v>
      </c>
      <c r="GY1351" t="s">
        <v>424</v>
      </c>
      <c r="GZ1351" t="s">
        <v>425</v>
      </c>
      <c r="HA1351" s="1">
        <v>42822</v>
      </c>
      <c r="HB1351">
        <v>22</v>
      </c>
      <c r="HC1351">
        <v>2851116</v>
      </c>
      <c r="HD1351" t="s">
        <v>480</v>
      </c>
      <c r="HF1351" s="1">
        <v>42151</v>
      </c>
      <c r="HG1351">
        <v>2014</v>
      </c>
      <c r="HH1351">
        <v>770.99</v>
      </c>
      <c r="HI1351" t="s">
        <v>13771</v>
      </c>
      <c r="HJ1351">
        <v>0.25</v>
      </c>
      <c r="HK1351" t="s">
        <v>424</v>
      </c>
      <c r="HL1351" t="s">
        <v>425</v>
      </c>
      <c r="HN1351">
        <v>22</v>
      </c>
      <c r="HO1351">
        <v>4965963</v>
      </c>
      <c r="HP1351" t="s">
        <v>13772</v>
      </c>
      <c r="HR1351" s="1">
        <v>41423</v>
      </c>
      <c r="HS1351">
        <v>2012</v>
      </c>
      <c r="HT1351">
        <v>282.85000000000002</v>
      </c>
      <c r="HU1351" t="s">
        <v>13773</v>
      </c>
      <c r="HV1351">
        <v>0.25</v>
      </c>
      <c r="HW1351" t="s">
        <v>424</v>
      </c>
      <c r="HX1351" t="s">
        <v>425</v>
      </c>
      <c r="HY1351" s="1">
        <v>41757</v>
      </c>
      <c r="HZ1351">
        <v>11</v>
      </c>
      <c r="IA1351">
        <v>62</v>
      </c>
      <c r="IB1351" t="s">
        <v>463</v>
      </c>
      <c r="ID1351" s="1">
        <v>41052</v>
      </c>
      <c r="IE1351">
        <v>2011</v>
      </c>
      <c r="IF1351">
        <v>350.14</v>
      </c>
      <c r="IG1351" t="s">
        <v>13774</v>
      </c>
      <c r="IH1351">
        <v>6</v>
      </c>
      <c r="II1351" t="s">
        <v>424</v>
      </c>
      <c r="IJ1351" t="s">
        <v>425</v>
      </c>
      <c r="IK1351" s="1">
        <v>41697</v>
      </c>
      <c r="IL1351">
        <v>21</v>
      </c>
      <c r="IM1351">
        <v>1109</v>
      </c>
      <c r="IN1351" t="s">
        <v>852</v>
      </c>
      <c r="IP1351" s="1">
        <v>40688</v>
      </c>
      <c r="IQ1351">
        <v>2010</v>
      </c>
      <c r="IR1351">
        <v>434</v>
      </c>
      <c r="IS1351" t="s">
        <v>13775</v>
      </c>
      <c r="IT1351">
        <v>6.75</v>
      </c>
      <c r="IU1351" t="s">
        <v>424</v>
      </c>
      <c r="IV1351" t="s">
        <v>425</v>
      </c>
      <c r="IW1351" s="1">
        <v>41367</v>
      </c>
      <c r="IX1351">
        <v>23</v>
      </c>
      <c r="IY1351">
        <v>105</v>
      </c>
      <c r="IZ1351" t="s">
        <v>946</v>
      </c>
    </row>
    <row r="1352" spans="1:284" x14ac:dyDescent="0.25">
      <c r="A1352">
        <v>16486359</v>
      </c>
      <c r="B1352">
        <v>1351</v>
      </c>
      <c r="C1352" t="s">
        <v>393</v>
      </c>
      <c r="D1352" t="s">
        <v>394</v>
      </c>
      <c r="F1352" t="str">
        <f>"43-2N-27-4622-0008-0290"</f>
        <v>43-2N-27-4622-0008-0290</v>
      </c>
      <c r="H1352" t="str">
        <f>"BRANCH WILLIAM E"</f>
        <v>BRANCH WILLIAM E</v>
      </c>
      <c r="I1352" t="str">
        <f>"85030 DICK KING ROAD"</f>
        <v>85030 DICK KING ROAD</v>
      </c>
      <c r="J1352" t="str">
        <f t="shared" si="465"/>
        <v>YULEE FL 32097</v>
      </c>
      <c r="K1352" t="str">
        <f>"85030 DICK KING RD"</f>
        <v>85030 DICK KING RD</v>
      </c>
      <c r="L1352" t="str">
        <f t="shared" si="456"/>
        <v>YULEE FL 32097</v>
      </c>
      <c r="M1352" t="str">
        <f>"BLOCK 8 LOT 29 OR 379/646 EX FPL ESMT OR 401/73 R378484 &amp; R378485 LOFTON BLUFF 3 PB 4/108"</f>
        <v>BLOCK 8 LOT 29 OR 379/646 EX FPL ESMT OR 401/73 R378484 &amp; R378485 LOFTON BLUFF 3 PB 4/108</v>
      </c>
      <c r="N1352" t="str">
        <f>""</f>
        <v/>
      </c>
      <c r="O1352" t="str">
        <f>"49617"</f>
        <v>49617</v>
      </c>
      <c r="P1352" t="str">
        <f t="shared" si="467"/>
        <v>2017</v>
      </c>
      <c r="Q1352" t="str">
        <f>""</f>
        <v/>
      </c>
      <c r="R1352" t="str">
        <f>"Y"</f>
        <v>Y</v>
      </c>
      <c r="S1352" t="str">
        <f>""</f>
        <v/>
      </c>
      <c r="T1352" t="str">
        <f>"331.38"</f>
        <v>331.38</v>
      </c>
      <c r="U1352" t="str">
        <f>"46889.00"</f>
        <v>46889.00</v>
      </c>
      <c r="V1352" t="str">
        <f>"46889.00"</f>
        <v>46889.00</v>
      </c>
      <c r="W1352" t="str">
        <f t="shared" si="468"/>
        <v>2017</v>
      </c>
      <c r="X1352" t="str">
        <f>"1.67"</f>
        <v>1.67</v>
      </c>
      <c r="Y1352" t="str">
        <f>"373.32"</f>
        <v>373.32</v>
      </c>
      <c r="Z1352" t="str">
        <f>"25000.00"</f>
        <v>25000.00</v>
      </c>
      <c r="AA1352" t="str">
        <f>"21889.00"</f>
        <v>21889.00</v>
      </c>
      <c r="AB1352" t="str">
        <f t="shared" si="454"/>
        <v>Residential</v>
      </c>
      <c r="AC1352" t="str">
        <f t="shared" si="445"/>
        <v>0</v>
      </c>
      <c r="AD1352" t="str">
        <f t="shared" si="462"/>
        <v>4</v>
      </c>
      <c r="AE1352" t="str">
        <f t="shared" si="463"/>
        <v>WOOD (INCLUDE STEEL STUDS)</v>
      </c>
      <c r="AF1352" t="str">
        <f t="shared" si="464"/>
        <v>002</v>
      </c>
      <c r="AG1352" t="str">
        <f t="shared" si="466"/>
        <v>FL</v>
      </c>
      <c r="AH1352" t="str">
        <f t="shared" si="453"/>
        <v>-</v>
      </c>
      <c r="AI1352" t="str">
        <f t="shared" si="469"/>
        <v>28000.00</v>
      </c>
      <c r="AJ1352" t="str">
        <f>"C55-000-588-3047-2"</f>
        <v>C55-000-588-3047-2</v>
      </c>
      <c r="AK1352" t="str">
        <f>"22947"</f>
        <v>22947</v>
      </c>
      <c r="AL1352">
        <v>5</v>
      </c>
      <c r="AM1352">
        <v>1545</v>
      </c>
      <c r="AN1352">
        <v>390.39</v>
      </c>
      <c r="AQ1352" t="s">
        <v>13776</v>
      </c>
      <c r="AR1352" t="s">
        <v>13776</v>
      </c>
      <c r="AS1352" t="s">
        <v>13776</v>
      </c>
      <c r="AU1352" t="s">
        <v>396</v>
      </c>
      <c r="AV1352">
        <v>2017</v>
      </c>
      <c r="AW1352" t="str">
        <f>"43-2N-27-4622-0008-0290 "</f>
        <v xml:space="preserve">43-2N-27-4622-0008-0290 </v>
      </c>
      <c r="AX1352">
        <v>85030</v>
      </c>
      <c r="AZ1352" t="s">
        <v>13734</v>
      </c>
      <c r="BA1352" t="s">
        <v>496</v>
      </c>
      <c r="BD1352" t="s">
        <v>2387</v>
      </c>
      <c r="BE1352" t="s">
        <v>393</v>
      </c>
      <c r="BF1352">
        <v>32097</v>
      </c>
      <c r="BG1352" t="s">
        <v>13777</v>
      </c>
      <c r="BH1352" t="s">
        <v>2388</v>
      </c>
      <c r="BI1352">
        <v>-81.581354187097403</v>
      </c>
      <c r="BJ1352">
        <v>30.590053587139099</v>
      </c>
      <c r="BK1352" t="s">
        <v>13778</v>
      </c>
      <c r="BM1352" t="s">
        <v>13777</v>
      </c>
      <c r="BN1352" t="s">
        <v>1778</v>
      </c>
      <c r="BO1352">
        <v>32097</v>
      </c>
      <c r="BP1352" t="s">
        <v>416</v>
      </c>
      <c r="BQ1352">
        <v>200</v>
      </c>
      <c r="BR1352" t="s">
        <v>405</v>
      </c>
      <c r="BS1352">
        <v>1006</v>
      </c>
      <c r="BT1352" t="s">
        <v>406</v>
      </c>
      <c r="BW1352">
        <v>44040</v>
      </c>
      <c r="BX1352" t="s">
        <v>407</v>
      </c>
      <c r="BY1352" t="s">
        <v>408</v>
      </c>
      <c r="BZ1352">
        <v>4</v>
      </c>
      <c r="CA1352">
        <v>1990</v>
      </c>
      <c r="CB1352">
        <v>1</v>
      </c>
      <c r="CC1352">
        <v>1</v>
      </c>
      <c r="CD1352">
        <v>2017</v>
      </c>
      <c r="CG1352">
        <v>46889</v>
      </c>
      <c r="CH1352">
        <v>2017</v>
      </c>
      <c r="CI1352">
        <v>28000</v>
      </c>
      <c r="CJ1352">
        <v>44301</v>
      </c>
      <c r="CK1352">
        <v>72301</v>
      </c>
      <c r="CL1352">
        <v>2017</v>
      </c>
      <c r="CM1352">
        <v>331.38</v>
      </c>
      <c r="CN1352" s="1">
        <v>30348</v>
      </c>
      <c r="CO1352">
        <v>11500</v>
      </c>
      <c r="CZ1352" s="1">
        <v>30348</v>
      </c>
      <c r="DD1352" t="s">
        <v>2387</v>
      </c>
      <c r="DF1352">
        <v>29</v>
      </c>
      <c r="DG1352">
        <v>43</v>
      </c>
      <c r="DL1352">
        <v>50302</v>
      </c>
      <c r="DM1352" t="s">
        <v>13628</v>
      </c>
      <c r="DO1352" t="s">
        <v>13779</v>
      </c>
      <c r="DP1352">
        <v>0</v>
      </c>
      <c r="DQ1352">
        <v>0</v>
      </c>
      <c r="DR1352" t="s">
        <v>411</v>
      </c>
      <c r="DS1352" t="b">
        <v>1</v>
      </c>
      <c r="DT1352" t="s">
        <v>470</v>
      </c>
      <c r="DU1352" t="s">
        <v>471</v>
      </c>
      <c r="DV1352" t="s">
        <v>472</v>
      </c>
      <c r="DX1352">
        <v>-9999</v>
      </c>
      <c r="DZ1352" t="s">
        <v>447</v>
      </c>
      <c r="EA1352" t="s">
        <v>448</v>
      </c>
      <c r="EB1352" t="s">
        <v>742</v>
      </c>
      <c r="EC1352">
        <v>20101217</v>
      </c>
      <c r="ED1352" t="s">
        <v>474</v>
      </c>
      <c r="EF1352">
        <v>2558.9</v>
      </c>
      <c r="EG1352">
        <v>1496.2</v>
      </c>
      <c r="EI1352">
        <v>20160407</v>
      </c>
      <c r="EJ1352">
        <v>0</v>
      </c>
      <c r="EK1352">
        <v>0</v>
      </c>
      <c r="EP1352" t="s">
        <v>421</v>
      </c>
      <c r="EQ1352" t="s">
        <v>422</v>
      </c>
      <c r="ER1352">
        <v>0</v>
      </c>
      <c r="ES1352">
        <v>6</v>
      </c>
      <c r="ET1352">
        <v>0</v>
      </c>
      <c r="EU1352">
        <v>0</v>
      </c>
      <c r="EV1352">
        <v>0</v>
      </c>
      <c r="EW1352" s="2">
        <v>43222</v>
      </c>
      <c r="EX1352" s="1">
        <v>42879</v>
      </c>
      <c r="EY1352">
        <v>2016</v>
      </c>
      <c r="EZ1352">
        <v>374.4</v>
      </c>
      <c r="FA1352" t="s">
        <v>13780</v>
      </c>
      <c r="FB1352">
        <v>0.25</v>
      </c>
      <c r="FC1352" t="s">
        <v>424</v>
      </c>
      <c r="FD1352" t="s">
        <v>425</v>
      </c>
      <c r="FE1352" s="1">
        <v>42898</v>
      </c>
      <c r="FF1352">
        <v>1</v>
      </c>
      <c r="FG1352">
        <v>2851116</v>
      </c>
      <c r="FH1352" t="s">
        <v>480</v>
      </c>
      <c r="FJ1352" s="1">
        <v>42879</v>
      </c>
      <c r="FK1352">
        <v>2016</v>
      </c>
      <c r="FL1352">
        <v>374.4</v>
      </c>
      <c r="FM1352" t="s">
        <v>13780</v>
      </c>
      <c r="FN1352">
        <v>0.25</v>
      </c>
      <c r="FO1352" t="s">
        <v>424</v>
      </c>
      <c r="FP1352" t="s">
        <v>425</v>
      </c>
      <c r="FR1352">
        <v>22</v>
      </c>
      <c r="FS1352">
        <v>5053796</v>
      </c>
      <c r="FT1352" t="s">
        <v>13781</v>
      </c>
      <c r="FV1352" s="1">
        <v>42515</v>
      </c>
      <c r="FW1352">
        <v>2015</v>
      </c>
      <c r="FX1352">
        <v>372.41</v>
      </c>
      <c r="FY1352" t="s">
        <v>13782</v>
      </c>
      <c r="FZ1352">
        <v>0.25</v>
      </c>
      <c r="GA1352" t="s">
        <v>424</v>
      </c>
      <c r="GB1352" t="s">
        <v>425</v>
      </c>
      <c r="GC1352" s="1">
        <v>42556</v>
      </c>
      <c r="GD1352">
        <v>2</v>
      </c>
      <c r="GE1352">
        <v>2851116</v>
      </c>
      <c r="GF1352" t="s">
        <v>480</v>
      </c>
      <c r="GH1352" s="1">
        <v>42515</v>
      </c>
      <c r="GI1352">
        <v>2015</v>
      </c>
      <c r="GJ1352">
        <v>372.41</v>
      </c>
      <c r="GK1352" t="s">
        <v>13782</v>
      </c>
      <c r="GL1352">
        <v>0.25</v>
      </c>
      <c r="GM1352" t="s">
        <v>424</v>
      </c>
      <c r="GN1352" t="s">
        <v>425</v>
      </c>
      <c r="GP1352">
        <v>22</v>
      </c>
      <c r="GQ1352">
        <v>5595276</v>
      </c>
      <c r="GR1352" t="s">
        <v>13783</v>
      </c>
      <c r="GT1352" s="1">
        <v>42151</v>
      </c>
      <c r="GU1352">
        <v>2014</v>
      </c>
      <c r="GV1352">
        <v>368.01</v>
      </c>
      <c r="GW1352" t="s">
        <v>13784</v>
      </c>
      <c r="GX1352">
        <v>0.25</v>
      </c>
      <c r="GY1352" t="s">
        <v>424</v>
      </c>
      <c r="GZ1352" t="s">
        <v>425</v>
      </c>
      <c r="HA1352" s="1">
        <v>42206</v>
      </c>
      <c r="HB1352">
        <v>2</v>
      </c>
      <c r="HC1352">
        <v>2851116</v>
      </c>
      <c r="HD1352" t="s">
        <v>480</v>
      </c>
      <c r="HF1352" s="1">
        <v>42151</v>
      </c>
      <c r="HG1352">
        <v>2014</v>
      </c>
      <c r="HH1352">
        <v>368.01</v>
      </c>
      <c r="HI1352" t="s">
        <v>13784</v>
      </c>
      <c r="HJ1352">
        <v>0.25</v>
      </c>
      <c r="HK1352" t="s">
        <v>424</v>
      </c>
      <c r="HL1352" t="s">
        <v>425</v>
      </c>
      <c r="HN1352">
        <v>22</v>
      </c>
      <c r="HO1352">
        <v>5305815</v>
      </c>
      <c r="HP1352" t="s">
        <v>13785</v>
      </c>
    </row>
    <row r="1353" spans="1:284" x14ac:dyDescent="0.25">
      <c r="A1353">
        <v>16486360</v>
      </c>
      <c r="B1353">
        <v>1352</v>
      </c>
      <c r="C1353" t="s">
        <v>393</v>
      </c>
      <c r="D1353" t="s">
        <v>394</v>
      </c>
      <c r="F1353" t="str">
        <f>"43-2N-27-4622-0008-0500"</f>
        <v>43-2N-27-4622-0008-0500</v>
      </c>
      <c r="H1353" t="str">
        <f>"SAWYER HOYET E &amp; SANDRA R"</f>
        <v>SAWYER HOYET E &amp; SANDRA R</v>
      </c>
      <c r="I1353" t="str">
        <f>"85644 DICK KING RD"</f>
        <v>85644 DICK KING RD</v>
      </c>
      <c r="J1353" t="str">
        <f t="shared" si="465"/>
        <v>YULEE FL 32097</v>
      </c>
      <c r="K1353" t="str">
        <f>"85644 DICK KING RD"</f>
        <v>85644 DICK KING RD</v>
      </c>
      <c r="L1353" t="str">
        <f t="shared" si="456"/>
        <v>YULEE FL 32097</v>
      </c>
      <c r="M1353" t="str">
        <f>"BLOCK 8 LOT 50 R673637 &amp; R673638 IN OR 796 PG 113 LOFTON BLUFF 3 PB 4/108"</f>
        <v>BLOCK 8 LOT 50 R673637 &amp; R673638 IN OR 796 PG 113 LOFTON BLUFF 3 PB 4/108</v>
      </c>
      <c r="N1353" t="str">
        <f>""</f>
        <v/>
      </c>
      <c r="O1353" t="str">
        <f>"49637"</f>
        <v>49637</v>
      </c>
      <c r="P1353" t="str">
        <f t="shared" si="467"/>
        <v>2017</v>
      </c>
      <c r="Q1353" t="str">
        <f>""</f>
        <v/>
      </c>
      <c r="R1353" t="str">
        <f>"Y"</f>
        <v>Y</v>
      </c>
      <c r="S1353" t="str">
        <f>""</f>
        <v/>
      </c>
      <c r="T1353" t="str">
        <f>"394.33"</f>
        <v>394.33</v>
      </c>
      <c r="U1353" t="str">
        <f>"53553.00"</f>
        <v>53553.00</v>
      </c>
      <c r="V1353" t="str">
        <f>"53553.00"</f>
        <v>53553.00</v>
      </c>
      <c r="W1353" t="str">
        <f t="shared" si="468"/>
        <v>2017</v>
      </c>
      <c r="X1353" t="str">
        <f>"17.33"</f>
        <v>17.33</v>
      </c>
      <c r="Y1353" t="str">
        <f>"438.16"</f>
        <v>438.16</v>
      </c>
      <c r="Z1353" t="str">
        <f>"25500.00"</f>
        <v>25500.00</v>
      </c>
      <c r="AA1353" t="str">
        <f>"28053.00"</f>
        <v>28053.00</v>
      </c>
      <c r="AB1353" t="str">
        <f t="shared" si="454"/>
        <v>Residential</v>
      </c>
      <c r="AC1353" t="str">
        <f t="shared" si="445"/>
        <v>0</v>
      </c>
      <c r="AD1353" t="str">
        <f t="shared" si="462"/>
        <v>4</v>
      </c>
      <c r="AE1353" t="str">
        <f t="shared" si="463"/>
        <v>WOOD (INCLUDE STEEL STUDS)</v>
      </c>
      <c r="AF1353" t="str">
        <f t="shared" si="464"/>
        <v>002</v>
      </c>
      <c r="AG1353" t="str">
        <f t="shared" si="466"/>
        <v>FL</v>
      </c>
      <c r="AH1353" t="str">
        <f t="shared" si="453"/>
        <v>-</v>
      </c>
      <c r="AI1353" t="str">
        <f t="shared" si="469"/>
        <v>28000.00</v>
      </c>
      <c r="AJ1353" t="str">
        <f>"C55-000-588-3067-0"</f>
        <v>C55-000-588-3067-0</v>
      </c>
      <c r="AK1353" t="str">
        <f>"22967"</f>
        <v>22967</v>
      </c>
      <c r="AL1353">
        <v>5</v>
      </c>
      <c r="AM1353">
        <v>1546</v>
      </c>
      <c r="AN1353">
        <v>458.47</v>
      </c>
      <c r="AQ1353" t="s">
        <v>13786</v>
      </c>
      <c r="AR1353" t="s">
        <v>13786</v>
      </c>
      <c r="AS1353" t="s">
        <v>13786</v>
      </c>
      <c r="AU1353" t="s">
        <v>396</v>
      </c>
      <c r="AV1353">
        <v>2017</v>
      </c>
      <c r="AW1353" t="str">
        <f>"43-2N-27-4622-0008-0500 "</f>
        <v xml:space="preserve">43-2N-27-4622-0008-0500 </v>
      </c>
      <c r="AX1353">
        <v>85644</v>
      </c>
      <c r="AZ1353" t="s">
        <v>13734</v>
      </c>
      <c r="BA1353" t="s">
        <v>496</v>
      </c>
      <c r="BD1353" t="s">
        <v>2387</v>
      </c>
      <c r="BE1353" t="s">
        <v>393</v>
      </c>
      <c r="BF1353">
        <v>32097</v>
      </c>
      <c r="BG1353" t="s">
        <v>13787</v>
      </c>
      <c r="BH1353" t="s">
        <v>2388</v>
      </c>
      <c r="BI1353">
        <v>-81.572799783679102</v>
      </c>
      <c r="BJ1353">
        <v>30.595183723864899</v>
      </c>
      <c r="BK1353" t="s">
        <v>13788</v>
      </c>
      <c r="BL1353" t="s">
        <v>13789</v>
      </c>
      <c r="BM1353" t="s">
        <v>13787</v>
      </c>
      <c r="BN1353" t="s">
        <v>1778</v>
      </c>
      <c r="BO1353">
        <v>32097</v>
      </c>
      <c r="BP1353" t="s">
        <v>416</v>
      </c>
      <c r="BQ1353">
        <v>200</v>
      </c>
      <c r="BR1353" t="s">
        <v>405</v>
      </c>
      <c r="BS1353">
        <v>1006</v>
      </c>
      <c r="BT1353" t="s">
        <v>406</v>
      </c>
      <c r="BW1353">
        <v>44147</v>
      </c>
      <c r="BX1353" t="s">
        <v>407</v>
      </c>
      <c r="BY1353" t="s">
        <v>408</v>
      </c>
      <c r="BZ1353">
        <v>4</v>
      </c>
      <c r="CA1353">
        <v>1997</v>
      </c>
      <c r="CB1353">
        <v>1</v>
      </c>
      <c r="CC1353">
        <v>1</v>
      </c>
      <c r="CD1353">
        <v>2017</v>
      </c>
      <c r="CG1353">
        <v>53553</v>
      </c>
      <c r="CH1353">
        <v>2017</v>
      </c>
      <c r="CI1353">
        <v>28000</v>
      </c>
      <c r="CJ1353">
        <v>44205</v>
      </c>
      <c r="CK1353">
        <v>72205</v>
      </c>
      <c r="CL1353">
        <v>2017</v>
      </c>
      <c r="CM1353">
        <v>394.33</v>
      </c>
      <c r="CN1353" s="1">
        <v>35591</v>
      </c>
      <c r="CO1353">
        <v>6043</v>
      </c>
      <c r="CZ1353" s="1">
        <v>35591</v>
      </c>
      <c r="DD1353" t="s">
        <v>2387</v>
      </c>
      <c r="DF1353">
        <v>50</v>
      </c>
      <c r="DG1353">
        <v>43</v>
      </c>
      <c r="DL1353">
        <v>50302</v>
      </c>
      <c r="DM1353" t="s">
        <v>13628</v>
      </c>
      <c r="DO1353" t="s">
        <v>13790</v>
      </c>
      <c r="DP1353">
        <v>0</v>
      </c>
      <c r="DQ1353">
        <v>0</v>
      </c>
      <c r="DR1353" t="s">
        <v>411</v>
      </c>
      <c r="DS1353" t="b">
        <v>1</v>
      </c>
      <c r="DT1353" t="s">
        <v>470</v>
      </c>
      <c r="DU1353" t="s">
        <v>471</v>
      </c>
      <c r="DV1353" t="s">
        <v>472</v>
      </c>
      <c r="DX1353">
        <v>-9999</v>
      </c>
      <c r="DZ1353" t="s">
        <v>447</v>
      </c>
      <c r="EA1353" t="s">
        <v>448</v>
      </c>
      <c r="EB1353" t="s">
        <v>742</v>
      </c>
      <c r="EC1353">
        <v>20101217</v>
      </c>
      <c r="ED1353" t="s">
        <v>474</v>
      </c>
      <c r="EF1353">
        <v>978.9</v>
      </c>
      <c r="EG1353">
        <v>950.7</v>
      </c>
      <c r="EI1353">
        <v>20160407</v>
      </c>
      <c r="EJ1353">
        <v>0</v>
      </c>
      <c r="EK1353">
        <v>0</v>
      </c>
      <c r="EP1353" t="s">
        <v>421</v>
      </c>
      <c r="EQ1353" t="s">
        <v>422</v>
      </c>
      <c r="ER1353">
        <v>0</v>
      </c>
      <c r="ES1353">
        <v>8</v>
      </c>
      <c r="ET1353">
        <v>0</v>
      </c>
      <c r="EU1353">
        <v>0</v>
      </c>
      <c r="EV1353">
        <v>0</v>
      </c>
      <c r="EW1353" s="2">
        <v>43222</v>
      </c>
      <c r="EX1353" s="1">
        <v>42515</v>
      </c>
      <c r="EY1353">
        <v>2015</v>
      </c>
      <c r="EZ1353">
        <v>454.77</v>
      </c>
      <c r="FA1353" t="s">
        <v>13791</v>
      </c>
      <c r="FB1353">
        <v>0.25</v>
      </c>
      <c r="FC1353" t="s">
        <v>424</v>
      </c>
      <c r="FD1353" t="s">
        <v>425</v>
      </c>
      <c r="FE1353" s="1">
        <v>42689</v>
      </c>
      <c r="FF1353">
        <v>6</v>
      </c>
      <c r="FG1353">
        <v>2851116</v>
      </c>
      <c r="FH1353" t="s">
        <v>480</v>
      </c>
      <c r="FJ1353" s="1">
        <v>42515</v>
      </c>
      <c r="FK1353">
        <v>2015</v>
      </c>
      <c r="FL1353">
        <v>454.77</v>
      </c>
      <c r="FM1353" t="s">
        <v>13791</v>
      </c>
      <c r="FN1353">
        <v>0.25</v>
      </c>
      <c r="FO1353" t="s">
        <v>424</v>
      </c>
      <c r="FP1353" t="s">
        <v>425</v>
      </c>
      <c r="FR1353">
        <v>22</v>
      </c>
      <c r="FS1353">
        <v>4930001</v>
      </c>
      <c r="FT1353" t="s">
        <v>13792</v>
      </c>
      <c r="FV1353" s="1">
        <v>42151</v>
      </c>
      <c r="FW1353">
        <v>2014</v>
      </c>
      <c r="FX1353">
        <v>453.8</v>
      </c>
      <c r="FY1353" t="s">
        <v>13793</v>
      </c>
      <c r="FZ1353">
        <v>0.25</v>
      </c>
      <c r="GA1353" t="s">
        <v>424</v>
      </c>
      <c r="GB1353" t="s">
        <v>425</v>
      </c>
      <c r="GC1353" s="1">
        <v>42689</v>
      </c>
      <c r="GD1353">
        <v>18</v>
      </c>
      <c r="GE1353">
        <v>2851116</v>
      </c>
      <c r="GF1353" t="s">
        <v>480</v>
      </c>
      <c r="GH1353" s="1">
        <v>42151</v>
      </c>
      <c r="GI1353">
        <v>2014</v>
      </c>
      <c r="GJ1353">
        <v>453.8</v>
      </c>
      <c r="GK1353" t="s">
        <v>13793</v>
      </c>
      <c r="GL1353">
        <v>0.25</v>
      </c>
      <c r="GM1353" t="s">
        <v>424</v>
      </c>
      <c r="GN1353" t="s">
        <v>425</v>
      </c>
      <c r="GP1353">
        <v>22</v>
      </c>
      <c r="GQ1353">
        <v>4920101</v>
      </c>
      <c r="GR1353" t="s">
        <v>13794</v>
      </c>
      <c r="GT1353" s="1">
        <v>41787</v>
      </c>
      <c r="GU1353">
        <v>2013</v>
      </c>
      <c r="GV1353">
        <v>488.97</v>
      </c>
      <c r="GW1353" t="s">
        <v>13795</v>
      </c>
      <c r="GX1353">
        <v>0.25</v>
      </c>
      <c r="GY1353" t="s">
        <v>424</v>
      </c>
      <c r="GZ1353" t="s">
        <v>425</v>
      </c>
      <c r="HA1353" s="1">
        <v>42410</v>
      </c>
      <c r="HB1353">
        <v>21</v>
      </c>
      <c r="HC1353">
        <v>305</v>
      </c>
      <c r="HD1353" t="s">
        <v>1078</v>
      </c>
      <c r="HF1353" s="1">
        <v>41423</v>
      </c>
      <c r="HG1353">
        <v>2012</v>
      </c>
      <c r="HH1353">
        <v>505.69</v>
      </c>
      <c r="HI1353" t="s">
        <v>13796</v>
      </c>
      <c r="HJ1353">
        <v>0.25</v>
      </c>
      <c r="HK1353" t="s">
        <v>424</v>
      </c>
      <c r="HL1353" t="s">
        <v>425</v>
      </c>
      <c r="HM1353" s="1">
        <v>42060</v>
      </c>
      <c r="HN1353">
        <v>21</v>
      </c>
      <c r="HO1353">
        <v>15399</v>
      </c>
      <c r="HP1353" t="s">
        <v>485</v>
      </c>
      <c r="HR1353" s="1">
        <v>41052</v>
      </c>
      <c r="HS1353">
        <v>2011</v>
      </c>
      <c r="HT1353">
        <v>534.98</v>
      </c>
      <c r="HU1353" t="s">
        <v>13797</v>
      </c>
      <c r="HV1353">
        <v>6</v>
      </c>
      <c r="HW1353" t="s">
        <v>424</v>
      </c>
      <c r="HX1353" t="s">
        <v>425</v>
      </c>
      <c r="HY1353" s="1">
        <v>41688</v>
      </c>
      <c r="HZ1353">
        <v>21</v>
      </c>
      <c r="IA1353">
        <v>375</v>
      </c>
      <c r="IB1353" t="s">
        <v>776</v>
      </c>
      <c r="ID1353" s="1">
        <v>40688</v>
      </c>
      <c r="IE1353">
        <v>2010</v>
      </c>
      <c r="IF1353">
        <v>565.03</v>
      </c>
      <c r="IG1353" t="s">
        <v>13798</v>
      </c>
      <c r="IH1353">
        <v>5.25</v>
      </c>
      <c r="II1353" t="s">
        <v>424</v>
      </c>
      <c r="IJ1353" t="s">
        <v>425</v>
      </c>
      <c r="IK1353" s="1">
        <v>41320</v>
      </c>
      <c r="IL1353">
        <v>21</v>
      </c>
      <c r="IM1353">
        <v>443</v>
      </c>
      <c r="IN1353" t="s">
        <v>12371</v>
      </c>
    </row>
    <row r="1354" spans="1:284" x14ac:dyDescent="0.25">
      <c r="A1354">
        <v>16486361</v>
      </c>
      <c r="B1354">
        <v>1353</v>
      </c>
      <c r="C1354" t="s">
        <v>393</v>
      </c>
      <c r="D1354" t="s">
        <v>394</v>
      </c>
      <c r="F1354" t="str">
        <f>"43-2N-27-4622-0008-0520"</f>
        <v>43-2N-27-4622-0008-0520</v>
      </c>
      <c r="H1354" t="str">
        <f>"LAIRSEY CASEY C &amp; LESLIE A"</f>
        <v>LAIRSEY CASEY C &amp; LESLIE A</v>
      </c>
      <c r="I1354" t="str">
        <f>"6941 TONGA DR"</f>
        <v>6941 TONGA DR</v>
      </c>
      <c r="J1354" t="str">
        <f>"JACKSONVILLE FL 32216"</f>
        <v>JACKSONVILLE FL 32216</v>
      </c>
      <c r="K1354" t="str">
        <f>"85700 DICK KING RD"</f>
        <v>85700 DICK KING RD</v>
      </c>
      <c r="L1354" t="str">
        <f t="shared" si="456"/>
        <v>YULEE FL 32097</v>
      </c>
      <c r="M1354" t="str">
        <f>"BLOCK 8 LOT 52 IN OR 1919/504 LOFTON BLUFF 3 PB 4/108"</f>
        <v>BLOCK 8 LOT 52 IN OR 1919/504 LOFTON BLUFF 3 PB 4/108</v>
      </c>
      <c r="N1354" t="str">
        <f>""</f>
        <v/>
      </c>
      <c r="O1354" t="str">
        <f>"49639"</f>
        <v>49639</v>
      </c>
      <c r="P1354" t="str">
        <f t="shared" si="467"/>
        <v>2017</v>
      </c>
      <c r="Q1354" t="str">
        <f>""</f>
        <v/>
      </c>
      <c r="R1354" t="str">
        <f>"N"</f>
        <v>N</v>
      </c>
      <c r="S1354" t="str">
        <f>""</f>
        <v/>
      </c>
      <c r="T1354" t="str">
        <f>"1819.63"</f>
        <v>1819.63</v>
      </c>
      <c r="U1354" t="str">
        <f>"119855.00"</f>
        <v>119855.00</v>
      </c>
      <c r="V1354" t="str">
        <f>"119855.00"</f>
        <v>119855.00</v>
      </c>
      <c r="W1354" t="str">
        <f t="shared" si="468"/>
        <v>2017</v>
      </c>
      <c r="X1354" t="str">
        <f>"1.00"</f>
        <v>1.00</v>
      </c>
      <c r="Y1354" t="str">
        <f>"1906.22"</f>
        <v>1906.22</v>
      </c>
      <c r="Z1354" t="str">
        <f>""</f>
        <v/>
      </c>
      <c r="AA1354" t="str">
        <f>"120637.00"</f>
        <v>120637.00</v>
      </c>
      <c r="AB1354" t="str">
        <f t="shared" si="454"/>
        <v>Residential</v>
      </c>
      <c r="AC1354" t="str">
        <f t="shared" si="445"/>
        <v>0</v>
      </c>
      <c r="AD1354" t="str">
        <f t="shared" si="462"/>
        <v>4</v>
      </c>
      <c r="AE1354" t="str">
        <f t="shared" si="463"/>
        <v>WOOD (INCLUDE STEEL STUDS)</v>
      </c>
      <c r="AF1354" t="str">
        <f t="shared" si="464"/>
        <v>002</v>
      </c>
      <c r="AG1354" t="str">
        <f t="shared" si="466"/>
        <v>FL</v>
      </c>
      <c r="AH1354" t="str">
        <f t="shared" si="453"/>
        <v>-</v>
      </c>
      <c r="AI1354" t="str">
        <f t="shared" si="469"/>
        <v>28000.00</v>
      </c>
      <c r="AJ1354" t="str">
        <f>"C55-000-588-3069-6"</f>
        <v>C55-000-588-3069-6</v>
      </c>
      <c r="AK1354" t="str">
        <f>"22969"</f>
        <v>22969</v>
      </c>
      <c r="AL1354">
        <v>5</v>
      </c>
      <c r="AM1354">
        <v>1547</v>
      </c>
      <c r="AN1354">
        <v>1999.93</v>
      </c>
      <c r="AQ1354" t="s">
        <v>13799</v>
      </c>
      <c r="AR1354" t="s">
        <v>13799</v>
      </c>
      <c r="AS1354" t="s">
        <v>13799</v>
      </c>
      <c r="AU1354" t="s">
        <v>396</v>
      </c>
      <c r="AV1354">
        <v>2017</v>
      </c>
      <c r="AW1354" t="str">
        <f>"43-2N-27-4622-0008-0520 "</f>
        <v xml:space="preserve">43-2N-27-4622-0008-0520 </v>
      </c>
      <c r="AX1354">
        <v>85700</v>
      </c>
      <c r="AZ1354" t="s">
        <v>13734</v>
      </c>
      <c r="BA1354" t="s">
        <v>496</v>
      </c>
      <c r="BD1354" t="s">
        <v>2387</v>
      </c>
      <c r="BE1354" t="s">
        <v>393</v>
      </c>
      <c r="BF1354">
        <v>32097</v>
      </c>
      <c r="BG1354" t="s">
        <v>13800</v>
      </c>
      <c r="BH1354" t="s">
        <v>2388</v>
      </c>
      <c r="BI1354">
        <v>-81.5719574611025</v>
      </c>
      <c r="BJ1354">
        <v>30.595659025046601</v>
      </c>
      <c r="BK1354" t="s">
        <v>13801</v>
      </c>
      <c r="BL1354" t="s">
        <v>13802</v>
      </c>
      <c r="BM1354" t="s">
        <v>13803</v>
      </c>
      <c r="BN1354" t="s">
        <v>548</v>
      </c>
      <c r="BO1354">
        <v>32216</v>
      </c>
      <c r="BP1354" t="s">
        <v>404</v>
      </c>
      <c r="BQ1354">
        <v>200</v>
      </c>
      <c r="BR1354" t="s">
        <v>405</v>
      </c>
      <c r="BS1354">
        <v>1006</v>
      </c>
      <c r="BT1354" t="s">
        <v>406</v>
      </c>
      <c r="BW1354">
        <v>53226</v>
      </c>
      <c r="BX1354" t="s">
        <v>407</v>
      </c>
      <c r="BY1354" t="s">
        <v>408</v>
      </c>
      <c r="BZ1354">
        <v>4</v>
      </c>
      <c r="CA1354">
        <v>2016</v>
      </c>
      <c r="CC1354">
        <v>1</v>
      </c>
      <c r="CD1354">
        <v>2017</v>
      </c>
      <c r="CE1354">
        <v>28000</v>
      </c>
      <c r="CF1354">
        <v>92637</v>
      </c>
      <c r="CG1354">
        <v>120637</v>
      </c>
      <c r="CH1354">
        <v>2017</v>
      </c>
      <c r="CI1354">
        <v>28000</v>
      </c>
      <c r="CJ1354">
        <v>92637</v>
      </c>
      <c r="CK1354">
        <v>120637</v>
      </c>
      <c r="CL1354">
        <v>2017</v>
      </c>
      <c r="CM1354">
        <v>1819.63</v>
      </c>
      <c r="CN1354" s="1">
        <v>41787</v>
      </c>
      <c r="CO1354">
        <v>29000</v>
      </c>
      <c r="CV1354">
        <v>0</v>
      </c>
      <c r="CZ1354" s="1">
        <v>41787</v>
      </c>
      <c r="DA1354">
        <v>0</v>
      </c>
      <c r="DD1354" t="s">
        <v>2387</v>
      </c>
      <c r="DF1354">
        <v>52</v>
      </c>
      <c r="DG1354">
        <v>43</v>
      </c>
      <c r="DJ1354" t="s">
        <v>13645</v>
      </c>
      <c r="DL1354">
        <v>50302</v>
      </c>
      <c r="DM1354" t="s">
        <v>13628</v>
      </c>
      <c r="DO1354" t="s">
        <v>13804</v>
      </c>
      <c r="DP1354">
        <v>0</v>
      </c>
      <c r="DQ1354">
        <v>0</v>
      </c>
      <c r="DR1354" t="s">
        <v>411</v>
      </c>
      <c r="EP1354" t="s">
        <v>421</v>
      </c>
      <c r="EQ1354" t="s">
        <v>422</v>
      </c>
      <c r="ER1354">
        <v>0</v>
      </c>
      <c r="ES1354">
        <v>1</v>
      </c>
      <c r="ET1354">
        <v>0</v>
      </c>
      <c r="EU1354">
        <v>0</v>
      </c>
      <c r="EV1354">
        <v>0</v>
      </c>
      <c r="EW1354" s="2">
        <v>43222</v>
      </c>
      <c r="EX1354" s="1">
        <v>41423</v>
      </c>
      <c r="EY1354">
        <v>2012</v>
      </c>
      <c r="EZ1354">
        <v>436.99</v>
      </c>
      <c r="FA1354" t="s">
        <v>13805</v>
      </c>
      <c r="FB1354">
        <v>2.75</v>
      </c>
      <c r="FC1354" t="s">
        <v>424</v>
      </c>
      <c r="FD1354" t="s">
        <v>425</v>
      </c>
      <c r="FE1354" s="1">
        <v>41444</v>
      </c>
      <c r="FF1354">
        <v>1</v>
      </c>
      <c r="FG1354">
        <v>1625515</v>
      </c>
      <c r="FH1354" t="s">
        <v>487</v>
      </c>
    </row>
    <row r="1355" spans="1:284" x14ac:dyDescent="0.25">
      <c r="A1355">
        <v>16486362</v>
      </c>
      <c r="B1355">
        <v>1354</v>
      </c>
      <c r="C1355" t="s">
        <v>393</v>
      </c>
      <c r="D1355" t="s">
        <v>394</v>
      </c>
      <c r="F1355" t="str">
        <f>"43-2N-27-4622-0009-0240"</f>
        <v>43-2N-27-4622-0009-0240</v>
      </c>
      <c r="H1355" t="str">
        <f>"CARTER CARLTON LEE SR"</f>
        <v>CARTER CARLTON LEE SR</v>
      </c>
      <c r="I1355" t="str">
        <f>"85172 PHILIPS RD"</f>
        <v>85172 PHILIPS RD</v>
      </c>
      <c r="J1355" t="str">
        <f>"YULEE FL 32097"</f>
        <v>YULEE FL 32097</v>
      </c>
      <c r="K1355" t="str">
        <f>"85172 PHILLIPS RD"</f>
        <v>85172 PHILLIPS RD</v>
      </c>
      <c r="L1355" t="str">
        <f t="shared" si="456"/>
        <v>YULEE FL 32097</v>
      </c>
      <c r="M1355" t="str">
        <f>"BLOCK 9 LOT 24 IN OR 1866/900 R359329 &amp; R359330 LOFTON BLUFF 3 PB 4/108"</f>
        <v>BLOCK 9 LOT 24 IN OR 1866/900 R359329 &amp; R359330 LOFTON BLUFF 3 PB 4/108</v>
      </c>
      <c r="N1355" t="str">
        <f>""</f>
        <v/>
      </c>
      <c r="O1355" t="str">
        <f>"49645"</f>
        <v>49645</v>
      </c>
      <c r="P1355" t="str">
        <f t="shared" si="467"/>
        <v>2017</v>
      </c>
      <c r="Q1355" t="str">
        <f>""</f>
        <v/>
      </c>
      <c r="R1355" t="str">
        <f>"N"</f>
        <v>N</v>
      </c>
      <c r="S1355" t="str">
        <f>""</f>
        <v/>
      </c>
      <c r="T1355" t="str">
        <f>"930.46"</f>
        <v>930.46</v>
      </c>
      <c r="U1355" t="str">
        <f>"57350.00"</f>
        <v>57350.00</v>
      </c>
      <c r="V1355" t="str">
        <f>"57350.00"</f>
        <v>57350.00</v>
      </c>
      <c r="W1355" t="str">
        <f t="shared" si="468"/>
        <v>2017</v>
      </c>
      <c r="X1355" t="str">
        <f>""</f>
        <v/>
      </c>
      <c r="Y1355" t="str">
        <f>"990.37"</f>
        <v>990.37</v>
      </c>
      <c r="Z1355" t="str">
        <f>""</f>
        <v/>
      </c>
      <c r="AA1355" t="str">
        <f>"66785.00"</f>
        <v>66785.00</v>
      </c>
      <c r="AB1355" t="str">
        <f t="shared" si="454"/>
        <v>Residential</v>
      </c>
      <c r="AC1355" t="str">
        <f t="shared" si="445"/>
        <v>0</v>
      </c>
      <c r="AD1355" t="str">
        <f t="shared" si="462"/>
        <v>4</v>
      </c>
      <c r="AE1355" t="str">
        <f t="shared" si="463"/>
        <v>WOOD (INCLUDE STEEL STUDS)</v>
      </c>
      <c r="AF1355" t="str">
        <f t="shared" si="464"/>
        <v>002</v>
      </c>
      <c r="AG1355" t="str">
        <f t="shared" si="466"/>
        <v>FL</v>
      </c>
      <c r="AH1355" t="str">
        <f t="shared" si="453"/>
        <v>-</v>
      </c>
      <c r="AI1355" t="str">
        <f t="shared" si="469"/>
        <v>28000.00</v>
      </c>
      <c r="AJ1355" t="str">
        <f>"C55-000-588-3075-3"</f>
        <v>C55-000-588-3075-3</v>
      </c>
      <c r="AK1355" t="str">
        <f>"22975"</f>
        <v>22975</v>
      </c>
      <c r="AL1355">
        <v>5</v>
      </c>
      <c r="AM1355">
        <v>1548</v>
      </c>
      <c r="AN1355">
        <v>1038.29</v>
      </c>
      <c r="AQ1355" t="s">
        <v>13806</v>
      </c>
      <c r="AR1355" t="s">
        <v>13806</v>
      </c>
      <c r="AS1355" t="s">
        <v>13806</v>
      </c>
      <c r="AU1355" t="s">
        <v>396</v>
      </c>
      <c r="AV1355">
        <v>2017</v>
      </c>
      <c r="AW1355" t="str">
        <f>"43-2N-27-4622-0009-0240 "</f>
        <v xml:space="preserve">43-2N-27-4622-0009-0240 </v>
      </c>
      <c r="AX1355">
        <v>85172</v>
      </c>
      <c r="AZ1355" t="s">
        <v>13721</v>
      </c>
      <c r="BA1355" t="s">
        <v>496</v>
      </c>
      <c r="BD1355" t="s">
        <v>2387</v>
      </c>
      <c r="BE1355" t="s">
        <v>393</v>
      </c>
      <c r="BF1355">
        <v>32097</v>
      </c>
      <c r="BG1355" t="s">
        <v>13807</v>
      </c>
      <c r="BH1355" t="s">
        <v>2388</v>
      </c>
      <c r="BI1355">
        <v>-81.577525959429593</v>
      </c>
      <c r="BJ1355">
        <v>30.5901723555145</v>
      </c>
      <c r="BK1355" t="s">
        <v>13808</v>
      </c>
      <c r="BM1355" t="s">
        <v>13807</v>
      </c>
      <c r="BN1355" t="s">
        <v>1778</v>
      </c>
      <c r="BO1355">
        <v>32097</v>
      </c>
      <c r="BP1355" t="s">
        <v>416</v>
      </c>
      <c r="BQ1355">
        <v>200</v>
      </c>
      <c r="BR1355" t="s">
        <v>405</v>
      </c>
      <c r="BS1355">
        <v>1006</v>
      </c>
      <c r="BT1355" t="s">
        <v>406</v>
      </c>
      <c r="BW1355">
        <v>43650</v>
      </c>
      <c r="BX1355" t="s">
        <v>407</v>
      </c>
      <c r="BY1355" t="s">
        <v>408</v>
      </c>
      <c r="BZ1355">
        <v>4</v>
      </c>
      <c r="CA1355">
        <v>1986</v>
      </c>
      <c r="CB1355">
        <v>1</v>
      </c>
      <c r="CC1355">
        <v>1</v>
      </c>
      <c r="CD1355">
        <v>2017</v>
      </c>
      <c r="CE1355">
        <v>28000</v>
      </c>
      <c r="CF1355">
        <v>38785</v>
      </c>
      <c r="CG1355">
        <v>66785</v>
      </c>
      <c r="CH1355">
        <v>2017</v>
      </c>
      <c r="CI1355">
        <v>28000</v>
      </c>
      <c r="CJ1355">
        <v>38785</v>
      </c>
      <c r="CK1355">
        <v>66785</v>
      </c>
      <c r="CL1355">
        <v>2017</v>
      </c>
      <c r="CM1355">
        <v>930.46</v>
      </c>
      <c r="CN1355" s="1">
        <v>40596</v>
      </c>
      <c r="CO1355">
        <v>60000</v>
      </c>
      <c r="CV1355">
        <v>0</v>
      </c>
      <c r="CZ1355" s="1">
        <v>40596</v>
      </c>
      <c r="DA1355">
        <v>0</v>
      </c>
      <c r="DD1355" t="s">
        <v>2387</v>
      </c>
      <c r="DF1355">
        <v>24</v>
      </c>
      <c r="DG1355">
        <v>43</v>
      </c>
      <c r="DL1355">
        <v>50302</v>
      </c>
      <c r="DM1355" t="s">
        <v>13628</v>
      </c>
      <c r="DO1355" t="s">
        <v>13809</v>
      </c>
      <c r="DP1355">
        <v>0</v>
      </c>
      <c r="DQ1355">
        <v>0</v>
      </c>
      <c r="DR1355" t="s">
        <v>411</v>
      </c>
      <c r="DS1355" t="b">
        <v>1</v>
      </c>
      <c r="DT1355" t="s">
        <v>470</v>
      </c>
      <c r="DU1355" t="s">
        <v>471</v>
      </c>
      <c r="DV1355" t="s">
        <v>472</v>
      </c>
      <c r="DX1355">
        <v>-9999</v>
      </c>
      <c r="DZ1355" t="s">
        <v>447</v>
      </c>
      <c r="EA1355" t="s">
        <v>448</v>
      </c>
      <c r="EB1355" t="s">
        <v>742</v>
      </c>
      <c r="EC1355">
        <v>20101217</v>
      </c>
      <c r="ED1355" t="s">
        <v>474</v>
      </c>
      <c r="EF1355">
        <v>4239.6000000000004</v>
      </c>
      <c r="EG1355">
        <v>4216.1000000000004</v>
      </c>
      <c r="EH1355" t="s">
        <v>451</v>
      </c>
      <c r="EI1355">
        <v>20140731</v>
      </c>
      <c r="EJ1355">
        <v>0</v>
      </c>
      <c r="EK1355">
        <v>0</v>
      </c>
    </row>
    <row r="1356" spans="1:284" x14ac:dyDescent="0.25">
      <c r="A1356">
        <v>16486363</v>
      </c>
      <c r="B1356">
        <v>1355</v>
      </c>
      <c r="C1356" t="s">
        <v>393</v>
      </c>
      <c r="D1356" t="s">
        <v>394</v>
      </c>
      <c r="F1356" t="str">
        <f>"43-2N-27-4622-0009-0280"</f>
        <v>43-2N-27-4622-0009-0280</v>
      </c>
      <c r="H1356" t="str">
        <f>"TURLINGTON RALPH T &amp; JUDY D"</f>
        <v>TURLINGTON RALPH T &amp; JUDY D</v>
      </c>
      <c r="I1356" t="str">
        <f>"85276 PHILLIPS ROAD"</f>
        <v>85276 PHILLIPS ROAD</v>
      </c>
      <c r="J1356" t="str">
        <f>"YULEE FL 32097"</f>
        <v>YULEE FL 32097</v>
      </c>
      <c r="K1356" t="str">
        <f>"85276 PHILLIPS RD"</f>
        <v>85276 PHILLIPS RD</v>
      </c>
      <c r="L1356" t="str">
        <f t="shared" si="456"/>
        <v>YULEE FL 32097</v>
      </c>
      <c r="M1356" t="str">
        <f>"BLOCK 9 LOT 28 R 107774 IN OR 634 PG 1162 LOFTON BLUFF 3 PB 4/108"</f>
        <v>BLOCK 9 LOT 28 R 107774 IN OR 634 PG 1162 LOFTON BLUFF 3 PB 4/108</v>
      </c>
      <c r="N1356" t="str">
        <f>""</f>
        <v/>
      </c>
      <c r="O1356" t="str">
        <f>"49649"</f>
        <v>49649</v>
      </c>
      <c r="P1356" t="str">
        <f t="shared" si="467"/>
        <v>2017</v>
      </c>
      <c r="Q1356" t="str">
        <f>""</f>
        <v/>
      </c>
      <c r="R1356" t="str">
        <f>"N"</f>
        <v>N</v>
      </c>
      <c r="S1356" t="str">
        <f>""</f>
        <v/>
      </c>
      <c r="T1356" t="str">
        <f>"511.86"</f>
        <v>511.86</v>
      </c>
      <c r="U1356" t="str">
        <f>"33811.00"</f>
        <v>33811.00</v>
      </c>
      <c r="V1356" t="str">
        <f>"33811.00"</f>
        <v>33811.00</v>
      </c>
      <c r="W1356" t="str">
        <f t="shared" si="468"/>
        <v>2017</v>
      </c>
      <c r="X1356" t="str">
        <f>"21.00"</f>
        <v>21.00</v>
      </c>
      <c r="Y1356" t="str">
        <f>"559.22"</f>
        <v>559.22</v>
      </c>
      <c r="Z1356" t="str">
        <f>""</f>
        <v/>
      </c>
      <c r="AA1356" t="str">
        <f>"33811.00"</f>
        <v>33811.00</v>
      </c>
      <c r="AB1356" t="str">
        <f t="shared" si="454"/>
        <v>Residential</v>
      </c>
      <c r="AC1356" t="str">
        <f t="shared" si="445"/>
        <v>0</v>
      </c>
      <c r="AD1356" t="str">
        <f t="shared" si="462"/>
        <v>4</v>
      </c>
      <c r="AE1356" t="str">
        <f t="shared" si="463"/>
        <v>WOOD (INCLUDE STEEL STUDS)</v>
      </c>
      <c r="AF1356" t="str">
        <f t="shared" si="464"/>
        <v>002</v>
      </c>
      <c r="AG1356" t="str">
        <f t="shared" si="466"/>
        <v>FL</v>
      </c>
      <c r="AH1356" t="str">
        <f t="shared" si="453"/>
        <v>-</v>
      </c>
      <c r="AI1356" t="str">
        <f t="shared" si="469"/>
        <v>28000.00</v>
      </c>
      <c r="AJ1356" t="str">
        <f>"C55-000-588-3079-5"</f>
        <v>C55-000-588-3079-5</v>
      </c>
      <c r="AK1356" t="str">
        <f>"22979"</f>
        <v>22979</v>
      </c>
      <c r="AL1356">
        <v>5</v>
      </c>
      <c r="AM1356">
        <v>1549</v>
      </c>
      <c r="AN1356">
        <v>585.58000000000004</v>
      </c>
      <c r="AQ1356" t="s">
        <v>13810</v>
      </c>
      <c r="AR1356" t="s">
        <v>13810</v>
      </c>
      <c r="AS1356" t="s">
        <v>13810</v>
      </c>
      <c r="AU1356" t="s">
        <v>396</v>
      </c>
      <c r="AV1356">
        <v>2017</v>
      </c>
      <c r="AW1356" t="str">
        <f>"43-2N-27-4622-0009-0280 "</f>
        <v xml:space="preserve">43-2N-27-4622-0009-0280 </v>
      </c>
      <c r="AX1356">
        <v>85276</v>
      </c>
      <c r="AZ1356" t="s">
        <v>13721</v>
      </c>
      <c r="BA1356" t="s">
        <v>496</v>
      </c>
      <c r="BD1356" t="s">
        <v>2387</v>
      </c>
      <c r="BE1356" t="s">
        <v>393</v>
      </c>
      <c r="BF1356">
        <v>32097</v>
      </c>
      <c r="BG1356" t="s">
        <v>13811</v>
      </c>
      <c r="BH1356" t="s">
        <v>2388</v>
      </c>
      <c r="BI1356">
        <v>-81.575963392365196</v>
      </c>
      <c r="BJ1356">
        <v>30.591117830962801</v>
      </c>
      <c r="BK1356" t="s">
        <v>13812</v>
      </c>
      <c r="BL1356" t="s">
        <v>13813</v>
      </c>
      <c r="BM1356" t="s">
        <v>13811</v>
      </c>
      <c r="BN1356" t="s">
        <v>1778</v>
      </c>
      <c r="BO1356">
        <v>32097</v>
      </c>
      <c r="BP1356" t="s">
        <v>416</v>
      </c>
      <c r="BQ1356">
        <v>200</v>
      </c>
      <c r="BR1356" t="s">
        <v>405</v>
      </c>
      <c r="BS1356">
        <v>1006</v>
      </c>
      <c r="BT1356" t="s">
        <v>406</v>
      </c>
      <c r="BW1356">
        <v>43650</v>
      </c>
      <c r="BX1356" t="s">
        <v>407</v>
      </c>
      <c r="BY1356" t="s">
        <v>408</v>
      </c>
      <c r="BZ1356">
        <v>4</v>
      </c>
      <c r="CA1356">
        <v>1968</v>
      </c>
      <c r="CB1356">
        <v>1</v>
      </c>
      <c r="CC1356">
        <v>1</v>
      </c>
      <c r="CD1356">
        <v>2017</v>
      </c>
      <c r="CE1356">
        <v>28000</v>
      </c>
      <c r="CF1356">
        <v>5811</v>
      </c>
      <c r="CG1356">
        <v>33811</v>
      </c>
      <c r="CH1356">
        <v>2017</v>
      </c>
      <c r="CI1356">
        <v>28000</v>
      </c>
      <c r="CJ1356">
        <v>5811</v>
      </c>
      <c r="CK1356">
        <v>33811</v>
      </c>
      <c r="CL1356">
        <v>2017</v>
      </c>
      <c r="CM1356">
        <v>511.86</v>
      </c>
      <c r="CN1356" s="1">
        <v>33478</v>
      </c>
      <c r="CO1356">
        <v>8900</v>
      </c>
      <c r="CZ1356" s="1">
        <v>33478</v>
      </c>
      <c r="DD1356" t="s">
        <v>2387</v>
      </c>
      <c r="DG1356">
        <v>43</v>
      </c>
      <c r="DJ1356" t="s">
        <v>13645</v>
      </c>
      <c r="DL1356">
        <v>50302</v>
      </c>
      <c r="DM1356" t="s">
        <v>13628</v>
      </c>
      <c r="DO1356" t="s">
        <v>13814</v>
      </c>
      <c r="DP1356">
        <v>0</v>
      </c>
      <c r="DQ1356">
        <v>0</v>
      </c>
      <c r="DR1356" t="s">
        <v>411</v>
      </c>
    </row>
    <row r="1357" spans="1:284" x14ac:dyDescent="0.25">
      <c r="A1357">
        <v>16486364</v>
      </c>
      <c r="B1357">
        <v>1356</v>
      </c>
      <c r="C1357" t="s">
        <v>393</v>
      </c>
      <c r="D1357" t="s">
        <v>394</v>
      </c>
      <c r="F1357" t="str">
        <f>"43-2N-27-4622-0009-0300"</f>
        <v>43-2N-27-4622-0009-0300</v>
      </c>
      <c r="H1357" t="str">
        <f>"HYERS STEVE"</f>
        <v>HYERS STEVE</v>
      </c>
      <c r="I1357" t="str">
        <f>"85338 PHILLIPS RD"</f>
        <v>85338 PHILLIPS RD</v>
      </c>
      <c r="J1357" t="str">
        <f>"YULEE FL 32097"</f>
        <v>YULEE FL 32097</v>
      </c>
      <c r="K1357" t="str">
        <f>"85338 PHILLIPS RD"</f>
        <v>85338 PHILLIPS RD</v>
      </c>
      <c r="L1357" t="str">
        <f t="shared" si="456"/>
        <v>YULEE FL 32097</v>
      </c>
      <c r="M1357" t="str">
        <f>"BLOCK 9 LOT 30 IN OR 756 PG 80 R672589 &amp; R672590 &amp; R672591 LOFTON BLUFF 3 PB 4/108"</f>
        <v>BLOCK 9 LOT 30 IN OR 756 PG 80 R672589 &amp; R672590 &amp; R672591 LOFTON BLUFF 3 PB 4/108</v>
      </c>
      <c r="N1357" t="str">
        <f>""</f>
        <v/>
      </c>
      <c r="O1357" t="str">
        <f>"49651"</f>
        <v>49651</v>
      </c>
      <c r="P1357" t="str">
        <f t="shared" si="467"/>
        <v>2017</v>
      </c>
      <c r="Q1357" t="str">
        <f>""</f>
        <v/>
      </c>
      <c r="R1357" t="str">
        <f>"N"</f>
        <v>N</v>
      </c>
      <c r="S1357" t="str">
        <f>""</f>
        <v/>
      </c>
      <c r="T1357" t="str">
        <f>"1376.28"</f>
        <v>1376.28</v>
      </c>
      <c r="U1357" t="str">
        <f>"84295.00"</f>
        <v>84295.00</v>
      </c>
      <c r="V1357" t="str">
        <f>"84295.00"</f>
        <v>84295.00</v>
      </c>
      <c r="W1357" t="str">
        <f t="shared" si="468"/>
        <v>2017</v>
      </c>
      <c r="X1357" t="str">
        <f>"21.60"</f>
        <v>21.60</v>
      </c>
      <c r="Y1357" t="str">
        <f>"1449.57"</f>
        <v>1449.57</v>
      </c>
      <c r="Z1357" t="str">
        <f>""</f>
        <v/>
      </c>
      <c r="AA1357" t="str">
        <f>"99473.00"</f>
        <v>99473.00</v>
      </c>
      <c r="AB1357" t="str">
        <f t="shared" si="454"/>
        <v>Residential</v>
      </c>
      <c r="AC1357" t="str">
        <f t="shared" si="445"/>
        <v>0</v>
      </c>
      <c r="AD1357" t="str">
        <f t="shared" si="462"/>
        <v>4</v>
      </c>
      <c r="AE1357" t="str">
        <f t="shared" si="463"/>
        <v>WOOD (INCLUDE STEEL STUDS)</v>
      </c>
      <c r="AF1357" t="str">
        <f t="shared" si="464"/>
        <v>002</v>
      </c>
      <c r="AG1357" t="str">
        <f t="shared" si="466"/>
        <v>FL</v>
      </c>
      <c r="AH1357" t="str">
        <f t="shared" si="453"/>
        <v>-</v>
      </c>
      <c r="AI1357" t="str">
        <f t="shared" si="469"/>
        <v>28000.00</v>
      </c>
      <c r="AJ1357" t="str">
        <f>"C55-000-588-3081-1"</f>
        <v>C55-000-588-3081-1</v>
      </c>
      <c r="AK1357" t="str">
        <f>"22981"</f>
        <v>22981</v>
      </c>
      <c r="AL1357">
        <v>5</v>
      </c>
      <c r="AM1357">
        <v>1550</v>
      </c>
      <c r="AN1357">
        <v>1520.45</v>
      </c>
      <c r="AQ1357" t="s">
        <v>13815</v>
      </c>
      <c r="AR1357" t="s">
        <v>13815</v>
      </c>
      <c r="AS1357" t="s">
        <v>13815</v>
      </c>
      <c r="AU1357" t="s">
        <v>396</v>
      </c>
      <c r="AV1357">
        <v>2017</v>
      </c>
      <c r="AW1357" t="str">
        <f>"43-2N-27-4622-0009-0300 "</f>
        <v xml:space="preserve">43-2N-27-4622-0009-0300 </v>
      </c>
      <c r="AX1357">
        <v>85338</v>
      </c>
      <c r="AZ1357" t="s">
        <v>13721</v>
      </c>
      <c r="BA1357" t="s">
        <v>496</v>
      </c>
      <c r="BD1357" t="s">
        <v>2387</v>
      </c>
      <c r="BE1357" t="s">
        <v>393</v>
      </c>
      <c r="BF1357">
        <v>32097</v>
      </c>
      <c r="BG1357" t="s">
        <v>13816</v>
      </c>
      <c r="BH1357" t="s">
        <v>2388</v>
      </c>
      <c r="BI1357">
        <v>-81.575182093088799</v>
      </c>
      <c r="BJ1357">
        <v>30.5915905631648</v>
      </c>
      <c r="BK1357" t="s">
        <v>13817</v>
      </c>
      <c r="BM1357" t="s">
        <v>13816</v>
      </c>
      <c r="BN1357" t="s">
        <v>1778</v>
      </c>
      <c r="BO1357">
        <v>32097</v>
      </c>
      <c r="BP1357" t="s">
        <v>416</v>
      </c>
      <c r="BQ1357">
        <v>200</v>
      </c>
      <c r="BR1357" t="s">
        <v>405</v>
      </c>
      <c r="BS1357">
        <v>1006</v>
      </c>
      <c r="BT1357" t="s">
        <v>406</v>
      </c>
      <c r="BW1357">
        <v>43649</v>
      </c>
      <c r="BX1357" t="s">
        <v>407</v>
      </c>
      <c r="BY1357" t="s">
        <v>408</v>
      </c>
      <c r="BZ1357">
        <v>4</v>
      </c>
      <c r="CA1357">
        <v>1996</v>
      </c>
      <c r="CB1357">
        <v>1</v>
      </c>
      <c r="CC1357">
        <v>1</v>
      </c>
      <c r="CD1357">
        <v>2017</v>
      </c>
      <c r="CE1357">
        <v>28000</v>
      </c>
      <c r="CF1357">
        <v>71473</v>
      </c>
      <c r="CG1357">
        <v>99473</v>
      </c>
      <c r="CH1357">
        <v>2017</v>
      </c>
      <c r="CI1357">
        <v>28000</v>
      </c>
      <c r="CJ1357">
        <v>71473</v>
      </c>
      <c r="CK1357">
        <v>99473</v>
      </c>
      <c r="CL1357">
        <v>2017</v>
      </c>
      <c r="CM1357">
        <v>1376.28</v>
      </c>
      <c r="CN1357" s="1">
        <v>35159</v>
      </c>
      <c r="CO1357">
        <v>22000</v>
      </c>
      <c r="CZ1357" s="1">
        <v>35159</v>
      </c>
      <c r="DD1357" t="s">
        <v>2387</v>
      </c>
      <c r="DF1357">
        <v>30</v>
      </c>
      <c r="DG1357">
        <v>43</v>
      </c>
      <c r="DL1357">
        <v>50302</v>
      </c>
      <c r="DM1357" t="s">
        <v>13628</v>
      </c>
      <c r="DO1357" t="s">
        <v>13818</v>
      </c>
      <c r="DP1357">
        <v>0</v>
      </c>
      <c r="DQ1357">
        <v>0</v>
      </c>
      <c r="DR1357" t="s">
        <v>411</v>
      </c>
      <c r="DS1357" t="b">
        <v>1</v>
      </c>
      <c r="DT1357" t="s">
        <v>470</v>
      </c>
      <c r="DU1357" t="s">
        <v>471</v>
      </c>
      <c r="DV1357" t="s">
        <v>472</v>
      </c>
      <c r="DX1357">
        <v>-9999</v>
      </c>
      <c r="DZ1357" t="s">
        <v>447</v>
      </c>
      <c r="EA1357" t="s">
        <v>448</v>
      </c>
      <c r="EB1357" t="s">
        <v>742</v>
      </c>
      <c r="EC1357">
        <v>20101217</v>
      </c>
      <c r="ED1357" t="s">
        <v>474</v>
      </c>
      <c r="EF1357">
        <v>1225.4000000000001</v>
      </c>
      <c r="EG1357">
        <v>1123.4000000000001</v>
      </c>
      <c r="EI1357">
        <v>20160407</v>
      </c>
      <c r="EJ1357">
        <v>0</v>
      </c>
      <c r="EK1357">
        <v>0</v>
      </c>
      <c r="EP1357" t="s">
        <v>421</v>
      </c>
      <c r="EQ1357" t="s">
        <v>452</v>
      </c>
      <c r="ER1357">
        <v>0</v>
      </c>
      <c r="ES1357">
        <v>11</v>
      </c>
      <c r="ET1357">
        <v>0</v>
      </c>
      <c r="EU1357">
        <v>0</v>
      </c>
      <c r="EV1357">
        <v>0</v>
      </c>
      <c r="EW1357" s="2">
        <v>43222</v>
      </c>
      <c r="EX1357" s="1">
        <v>42515</v>
      </c>
      <c r="EY1357">
        <v>2015</v>
      </c>
      <c r="EZ1357">
        <v>629.87</v>
      </c>
      <c r="FA1357" t="s">
        <v>13819</v>
      </c>
      <c r="FB1357">
        <v>0.25</v>
      </c>
      <c r="FC1357" t="s">
        <v>424</v>
      </c>
      <c r="FD1357" t="s">
        <v>425</v>
      </c>
      <c r="FE1357" s="1">
        <v>42849</v>
      </c>
      <c r="FF1357">
        <v>11</v>
      </c>
      <c r="FG1357">
        <v>7045074</v>
      </c>
      <c r="FH1357" t="s">
        <v>580</v>
      </c>
      <c r="FI1357" t="s">
        <v>458</v>
      </c>
      <c r="FJ1357" s="1">
        <v>42515</v>
      </c>
      <c r="FK1357">
        <v>2015</v>
      </c>
      <c r="FL1357">
        <v>629.87</v>
      </c>
      <c r="FM1357" t="s">
        <v>13819</v>
      </c>
      <c r="FN1357">
        <v>0.25</v>
      </c>
      <c r="FO1357" t="s">
        <v>424</v>
      </c>
      <c r="FP1357" t="s">
        <v>425</v>
      </c>
      <c r="FR1357">
        <v>22</v>
      </c>
      <c r="FS1357">
        <v>6406117</v>
      </c>
      <c r="FT1357" t="s">
        <v>13820</v>
      </c>
      <c r="FU1357" t="s">
        <v>458</v>
      </c>
      <c r="FV1357" s="1">
        <v>42151</v>
      </c>
      <c r="FW1357">
        <v>2014</v>
      </c>
      <c r="FX1357">
        <v>629.07000000000005</v>
      </c>
      <c r="FY1357" t="s">
        <v>13821</v>
      </c>
      <c r="FZ1357">
        <v>0.25</v>
      </c>
      <c r="GA1357" t="s">
        <v>424</v>
      </c>
      <c r="GB1357" t="s">
        <v>425</v>
      </c>
      <c r="GD1357">
        <v>22</v>
      </c>
      <c r="GE1357">
        <v>15399</v>
      </c>
      <c r="GF1357" t="s">
        <v>485</v>
      </c>
      <c r="GG1357" t="s">
        <v>458</v>
      </c>
      <c r="GH1357" s="1">
        <v>42151</v>
      </c>
      <c r="GI1357">
        <v>2014</v>
      </c>
      <c r="GJ1357">
        <v>629.07000000000005</v>
      </c>
      <c r="GK1357" t="s">
        <v>13821</v>
      </c>
      <c r="GL1357">
        <v>0.25</v>
      </c>
      <c r="GM1357" t="s">
        <v>424</v>
      </c>
      <c r="GN1357" t="s">
        <v>425</v>
      </c>
      <c r="GP1357">
        <v>22</v>
      </c>
      <c r="GQ1357">
        <v>7045018</v>
      </c>
      <c r="GR1357" t="s">
        <v>1678</v>
      </c>
      <c r="GS1357" t="s">
        <v>458</v>
      </c>
      <c r="GT1357" s="1">
        <v>42151</v>
      </c>
      <c r="GU1357">
        <v>2014</v>
      </c>
      <c r="GV1357">
        <v>629.07000000000005</v>
      </c>
      <c r="GW1357" t="s">
        <v>13821</v>
      </c>
      <c r="GX1357">
        <v>0.25</v>
      </c>
      <c r="GY1357" t="s">
        <v>424</v>
      </c>
      <c r="GZ1357" t="s">
        <v>425</v>
      </c>
      <c r="HB1357">
        <v>22</v>
      </c>
      <c r="HC1357">
        <v>7336692</v>
      </c>
      <c r="HD1357" t="s">
        <v>822</v>
      </c>
      <c r="HE1357" t="s">
        <v>458</v>
      </c>
      <c r="HF1357" s="1">
        <v>42151</v>
      </c>
      <c r="HG1357">
        <v>2014</v>
      </c>
      <c r="HH1357">
        <v>629.07000000000005</v>
      </c>
      <c r="HI1357" t="s">
        <v>13821</v>
      </c>
      <c r="HJ1357">
        <v>0.25</v>
      </c>
      <c r="HK1357" t="s">
        <v>424</v>
      </c>
      <c r="HL1357" t="s">
        <v>425</v>
      </c>
      <c r="HN1357">
        <v>22</v>
      </c>
      <c r="HO1357">
        <v>7336698</v>
      </c>
      <c r="HP1357" t="s">
        <v>823</v>
      </c>
      <c r="HQ1357" t="s">
        <v>458</v>
      </c>
      <c r="HR1357" s="1">
        <v>41787</v>
      </c>
      <c r="HS1357">
        <v>2013</v>
      </c>
      <c r="HT1357">
        <v>750.35</v>
      </c>
      <c r="HU1357" t="s">
        <v>13822</v>
      </c>
      <c r="HV1357">
        <v>0.25</v>
      </c>
      <c r="HW1357" t="s">
        <v>424</v>
      </c>
      <c r="HX1357" t="s">
        <v>425</v>
      </c>
      <c r="HZ1357">
        <v>22</v>
      </c>
      <c r="IA1357">
        <v>11289</v>
      </c>
      <c r="IB1357" t="s">
        <v>787</v>
      </c>
      <c r="ID1357" s="1">
        <v>41787</v>
      </c>
      <c r="IE1357">
        <v>2013</v>
      </c>
      <c r="IF1357">
        <v>750.35</v>
      </c>
      <c r="IG1357" t="s">
        <v>13822</v>
      </c>
      <c r="IH1357">
        <v>0.25</v>
      </c>
      <c r="II1357" t="s">
        <v>424</v>
      </c>
      <c r="IJ1357" t="s">
        <v>425</v>
      </c>
      <c r="IK1357" s="1">
        <v>42369</v>
      </c>
      <c r="IL1357">
        <v>19</v>
      </c>
      <c r="IM1357">
        <v>4844954</v>
      </c>
      <c r="IN1357" t="s">
        <v>1719</v>
      </c>
      <c r="IP1357" s="1">
        <v>41423</v>
      </c>
      <c r="IQ1357">
        <v>2012</v>
      </c>
      <c r="IR1357">
        <v>813.09</v>
      </c>
      <c r="IS1357" t="s">
        <v>13823</v>
      </c>
      <c r="IT1357">
        <v>0.25</v>
      </c>
      <c r="IU1357" t="s">
        <v>424</v>
      </c>
      <c r="IV1357" t="s">
        <v>425</v>
      </c>
      <c r="IW1357" s="1">
        <v>42369</v>
      </c>
      <c r="IX1357">
        <v>31</v>
      </c>
      <c r="IY1357">
        <v>62</v>
      </c>
      <c r="IZ1357" t="s">
        <v>463</v>
      </c>
      <c r="JB1357" s="1">
        <v>41052</v>
      </c>
      <c r="JC1357">
        <v>2011</v>
      </c>
      <c r="JD1357">
        <v>872.78</v>
      </c>
      <c r="JE1357" t="s">
        <v>13824</v>
      </c>
      <c r="JF1357">
        <v>6</v>
      </c>
      <c r="JG1357" t="s">
        <v>424</v>
      </c>
      <c r="JH1357" t="s">
        <v>425</v>
      </c>
      <c r="JI1357" s="1">
        <v>41760</v>
      </c>
      <c r="JJ1357">
        <v>24</v>
      </c>
      <c r="JK1357">
        <v>1109</v>
      </c>
      <c r="JL1357" t="s">
        <v>852</v>
      </c>
      <c r="JN1357" s="1">
        <v>40688</v>
      </c>
      <c r="JO1357">
        <v>2010</v>
      </c>
      <c r="JP1357">
        <v>949.8</v>
      </c>
      <c r="JQ1357" t="s">
        <v>13825</v>
      </c>
      <c r="JR1357">
        <v>5.25</v>
      </c>
      <c r="JS1357" t="s">
        <v>424</v>
      </c>
      <c r="JT1357" t="s">
        <v>425</v>
      </c>
      <c r="JU1357" s="1">
        <v>41333</v>
      </c>
      <c r="JV1357">
        <v>21</v>
      </c>
      <c r="JW1357">
        <v>443</v>
      </c>
      <c r="JX1357" t="s">
        <v>12371</v>
      </c>
    </row>
    <row r="1358" spans="1:284" x14ac:dyDescent="0.25">
      <c r="A1358">
        <v>16486365</v>
      </c>
      <c r="B1358">
        <v>1357</v>
      </c>
      <c r="C1358" t="s">
        <v>393</v>
      </c>
      <c r="D1358" t="s">
        <v>394</v>
      </c>
      <c r="F1358" t="str">
        <f>"43-2N-27-4622-0009-0340"</f>
        <v>43-2N-27-4622-0009-0340</v>
      </c>
      <c r="H1358" t="str">
        <f>"JOHNSON WILLIAM M &amp; MEYLE KELLY S"</f>
        <v>JOHNSON WILLIAM M &amp; MEYLE KELLY S</v>
      </c>
      <c r="I1358" t="str">
        <f>"85496 PHILLIPS ROAD"</f>
        <v>85496 PHILLIPS ROAD</v>
      </c>
      <c r="J1358" t="str">
        <f>"YULEE FL 32097"</f>
        <v>YULEE FL 32097</v>
      </c>
      <c r="K1358" t="str">
        <f>"85496 PHILLIPS RD"</f>
        <v>85496 PHILLIPS RD</v>
      </c>
      <c r="L1358" t="str">
        <f t="shared" si="456"/>
        <v>YULEE FL 32097</v>
      </c>
      <c r="M1358" t="str">
        <f>"BLOCK 9 LOT 34 93 FLEE SW/MH IN OR 993/204 1/2 HX INT LOFTON BLUFF 3 PB 4/108"</f>
        <v>BLOCK 9 LOT 34 93 FLEE SW/MH IN OR 993/204 1/2 HX INT LOFTON BLUFF 3 PB 4/108</v>
      </c>
      <c r="N1358" t="str">
        <f>""</f>
        <v/>
      </c>
      <c r="O1358" t="str">
        <f>"49655"</f>
        <v>49655</v>
      </c>
      <c r="P1358" t="str">
        <f t="shared" si="467"/>
        <v>2017</v>
      </c>
      <c r="Q1358" t="str">
        <f>""</f>
        <v/>
      </c>
      <c r="R1358" t="str">
        <f>"Y"</f>
        <v>Y</v>
      </c>
      <c r="S1358" t="str">
        <f>""</f>
        <v/>
      </c>
      <c r="T1358" t="str">
        <f>"307.30"</f>
        <v>307.30</v>
      </c>
      <c r="U1358" t="str">
        <f>"34526.00"</f>
        <v>34526.00</v>
      </c>
      <c r="V1358" t="str">
        <f>"34526.00"</f>
        <v>34526.00</v>
      </c>
      <c r="W1358" t="str">
        <f t="shared" si="468"/>
        <v>2017</v>
      </c>
      <c r="X1358" t="str">
        <f>"16.00"</f>
        <v>16.00</v>
      </c>
      <c r="Y1358" t="str">
        <f>"348.52"</f>
        <v>348.52</v>
      </c>
      <c r="Z1358" t="str">
        <f>"15581.00"</f>
        <v>15581.00</v>
      </c>
      <c r="AA1358" t="str">
        <f>"22050.00"</f>
        <v>22050.00</v>
      </c>
      <c r="AB1358" t="str">
        <f t="shared" ref="AB1358:AB1386" si="470">"Residential"</f>
        <v>Residential</v>
      </c>
      <c r="AC1358" t="str">
        <f t="shared" si="445"/>
        <v>0</v>
      </c>
      <c r="AD1358" t="str">
        <f t="shared" si="462"/>
        <v>4</v>
      </c>
      <c r="AE1358" t="str">
        <f t="shared" si="463"/>
        <v>WOOD (INCLUDE STEEL STUDS)</v>
      </c>
      <c r="AF1358" t="str">
        <f t="shared" si="464"/>
        <v>002</v>
      </c>
      <c r="AG1358" t="str">
        <f t="shared" si="466"/>
        <v>FL</v>
      </c>
      <c r="AH1358" t="str">
        <f t="shared" si="453"/>
        <v>-</v>
      </c>
      <c r="AI1358" t="str">
        <f t="shared" si="469"/>
        <v>28000.00</v>
      </c>
      <c r="AJ1358" t="str">
        <f>"C55-000-588-3085-2"</f>
        <v>C55-000-588-3085-2</v>
      </c>
      <c r="AK1358" t="str">
        <f>"22985"</f>
        <v>22985</v>
      </c>
      <c r="AL1358">
        <v>5</v>
      </c>
      <c r="AM1358">
        <v>1551</v>
      </c>
      <c r="AN1358">
        <v>364.35</v>
      </c>
      <c r="AQ1358" t="s">
        <v>13826</v>
      </c>
      <c r="AR1358" t="s">
        <v>13826</v>
      </c>
      <c r="AS1358" t="s">
        <v>13826</v>
      </c>
      <c r="AU1358" t="s">
        <v>396</v>
      </c>
      <c r="AV1358">
        <v>2017</v>
      </c>
      <c r="AW1358" t="str">
        <f>"43-2N-27-4622-0009-0340 "</f>
        <v xml:space="preserve">43-2N-27-4622-0009-0340 </v>
      </c>
      <c r="AX1358">
        <v>85496</v>
      </c>
      <c r="AZ1358" t="s">
        <v>13721</v>
      </c>
      <c r="BA1358" t="s">
        <v>496</v>
      </c>
      <c r="BD1358" t="s">
        <v>2387</v>
      </c>
      <c r="BE1358" t="s">
        <v>393</v>
      </c>
      <c r="BF1358">
        <v>32097</v>
      </c>
      <c r="BG1358" t="s">
        <v>13827</v>
      </c>
      <c r="BH1358" t="s">
        <v>2388</v>
      </c>
      <c r="BI1358">
        <v>-81.573112670445298</v>
      </c>
      <c r="BJ1358">
        <v>30.592843335307901</v>
      </c>
      <c r="BK1358" t="s">
        <v>13828</v>
      </c>
      <c r="BL1358" t="s">
        <v>13829</v>
      </c>
      <c r="BM1358" t="s">
        <v>13827</v>
      </c>
      <c r="BN1358" t="s">
        <v>1778</v>
      </c>
      <c r="BO1358">
        <v>32097</v>
      </c>
      <c r="BP1358" t="s">
        <v>416</v>
      </c>
      <c r="BQ1358">
        <v>200</v>
      </c>
      <c r="BR1358" t="s">
        <v>405</v>
      </c>
      <c r="BS1358">
        <v>1006</v>
      </c>
      <c r="BT1358" t="s">
        <v>406</v>
      </c>
      <c r="BW1358">
        <v>43513</v>
      </c>
      <c r="BX1358" t="s">
        <v>407</v>
      </c>
      <c r="BY1358" t="s">
        <v>408</v>
      </c>
      <c r="BZ1358">
        <v>4</v>
      </c>
      <c r="CA1358">
        <v>1993</v>
      </c>
      <c r="CC1358">
        <v>1</v>
      </c>
      <c r="CD1358">
        <v>2017</v>
      </c>
      <c r="CG1358">
        <v>37631</v>
      </c>
      <c r="CH1358">
        <v>2017</v>
      </c>
      <c r="CI1358">
        <v>28000</v>
      </c>
      <c r="CJ1358">
        <v>16101</v>
      </c>
      <c r="CK1358">
        <v>44101</v>
      </c>
      <c r="CL1358">
        <v>2017</v>
      </c>
      <c r="CM1358">
        <v>307.3</v>
      </c>
      <c r="CN1358" s="1">
        <v>37062</v>
      </c>
      <c r="CO1358">
        <v>45900</v>
      </c>
      <c r="CV1358">
        <v>42309</v>
      </c>
      <c r="CZ1358" s="1">
        <v>37062</v>
      </c>
      <c r="DA1358">
        <v>0</v>
      </c>
      <c r="DD1358" t="s">
        <v>2387</v>
      </c>
      <c r="DF1358">
        <v>34</v>
      </c>
      <c r="DG1358">
        <v>43</v>
      </c>
      <c r="DL1358">
        <v>50302</v>
      </c>
      <c r="DM1358" t="s">
        <v>13628</v>
      </c>
      <c r="DO1358" t="s">
        <v>13830</v>
      </c>
      <c r="DP1358">
        <v>0</v>
      </c>
      <c r="DQ1358">
        <v>0</v>
      </c>
      <c r="DR1358" t="s">
        <v>411</v>
      </c>
      <c r="DS1358" t="b">
        <v>1</v>
      </c>
      <c r="DT1358" t="s">
        <v>470</v>
      </c>
      <c r="DU1358" t="s">
        <v>471</v>
      </c>
      <c r="DV1358" t="s">
        <v>472</v>
      </c>
      <c r="DX1358">
        <v>-9999</v>
      </c>
      <c r="DZ1358" t="s">
        <v>447</v>
      </c>
      <c r="EA1358" t="s">
        <v>448</v>
      </c>
      <c r="EB1358" t="s">
        <v>742</v>
      </c>
      <c r="EC1358">
        <v>20101217</v>
      </c>
      <c r="ED1358" t="s">
        <v>474</v>
      </c>
      <c r="EF1358">
        <v>526.4</v>
      </c>
      <c r="EG1358">
        <v>464.3</v>
      </c>
      <c r="EI1358">
        <v>20160407</v>
      </c>
      <c r="EJ1358">
        <v>0</v>
      </c>
      <c r="EK1358">
        <v>0</v>
      </c>
      <c r="EP1358" t="s">
        <v>421</v>
      </c>
      <c r="EQ1358" t="s">
        <v>452</v>
      </c>
      <c r="ER1358">
        <v>2</v>
      </c>
      <c r="ES1358">
        <v>6</v>
      </c>
      <c r="ET1358">
        <v>625.88</v>
      </c>
      <c r="EU1358">
        <v>43.79</v>
      </c>
      <c r="EV1358">
        <v>669.67</v>
      </c>
      <c r="EW1358" s="2">
        <v>43222</v>
      </c>
      <c r="EX1358" s="1">
        <v>42879</v>
      </c>
      <c r="EY1358">
        <v>2016</v>
      </c>
      <c r="EZ1358">
        <v>312.94</v>
      </c>
      <c r="FA1358" t="s">
        <v>13831</v>
      </c>
      <c r="FB1358">
        <v>0.25</v>
      </c>
      <c r="FC1358" t="s">
        <v>424</v>
      </c>
      <c r="FD1358" t="s">
        <v>454</v>
      </c>
      <c r="FF1358">
        <v>12</v>
      </c>
      <c r="FG1358">
        <v>2851116</v>
      </c>
      <c r="FH1358" t="s">
        <v>480</v>
      </c>
      <c r="FJ1358" s="1">
        <v>42879</v>
      </c>
      <c r="FK1358">
        <v>2016</v>
      </c>
      <c r="FL1358">
        <v>312.94</v>
      </c>
      <c r="FM1358" t="s">
        <v>13831</v>
      </c>
      <c r="FN1358">
        <v>0.25</v>
      </c>
      <c r="FO1358" t="s">
        <v>424</v>
      </c>
      <c r="FP1358" t="s">
        <v>454</v>
      </c>
      <c r="FR1358">
        <v>12</v>
      </c>
      <c r="FS1358">
        <v>4879690</v>
      </c>
      <c r="FT1358" t="s">
        <v>13832</v>
      </c>
      <c r="FV1358" s="1">
        <v>42515</v>
      </c>
      <c r="FW1358">
        <v>2015</v>
      </c>
      <c r="FX1358">
        <v>308.93</v>
      </c>
      <c r="FY1358" t="s">
        <v>13833</v>
      </c>
      <c r="FZ1358">
        <v>15</v>
      </c>
      <c r="GA1358" t="s">
        <v>424</v>
      </c>
      <c r="GB1358" t="s">
        <v>425</v>
      </c>
      <c r="GC1358" s="1">
        <v>42640</v>
      </c>
      <c r="GD1358">
        <v>4</v>
      </c>
      <c r="GE1358">
        <v>10125</v>
      </c>
      <c r="GF1358" t="s">
        <v>440</v>
      </c>
      <c r="GG1358" t="s">
        <v>458</v>
      </c>
      <c r="GH1358" s="1">
        <v>42151</v>
      </c>
      <c r="GI1358">
        <v>2014</v>
      </c>
      <c r="GJ1358">
        <v>278.95999999999998</v>
      </c>
      <c r="GK1358" t="s">
        <v>13834</v>
      </c>
      <c r="GL1358">
        <v>0.25</v>
      </c>
      <c r="GM1358" t="s">
        <v>424</v>
      </c>
      <c r="GN1358" t="s">
        <v>425</v>
      </c>
      <c r="GO1358" s="1">
        <v>42640</v>
      </c>
      <c r="GP1358">
        <v>16</v>
      </c>
      <c r="GQ1358">
        <v>2851116</v>
      </c>
      <c r="GR1358" t="s">
        <v>480</v>
      </c>
      <c r="GS1358" t="s">
        <v>458</v>
      </c>
      <c r="GT1358" s="1">
        <v>42151</v>
      </c>
      <c r="GU1358">
        <v>2014</v>
      </c>
      <c r="GV1358">
        <v>278.95999999999998</v>
      </c>
      <c r="GW1358" t="s">
        <v>13834</v>
      </c>
      <c r="GX1358">
        <v>0.25</v>
      </c>
      <c r="GY1358" t="s">
        <v>424</v>
      </c>
      <c r="GZ1358" t="s">
        <v>425</v>
      </c>
      <c r="HB1358">
        <v>22</v>
      </c>
      <c r="HC1358">
        <v>5026299</v>
      </c>
      <c r="HD1358" t="s">
        <v>13835</v>
      </c>
      <c r="HE1358" t="s">
        <v>458</v>
      </c>
      <c r="HF1358" s="1">
        <v>41787</v>
      </c>
      <c r="HG1358">
        <v>2013</v>
      </c>
      <c r="HH1358">
        <v>302.33999999999997</v>
      </c>
      <c r="HI1358" t="s">
        <v>13836</v>
      </c>
      <c r="HJ1358">
        <v>0.25</v>
      </c>
      <c r="HK1358" t="s">
        <v>424</v>
      </c>
      <c r="HL1358" t="s">
        <v>425</v>
      </c>
      <c r="HN1358">
        <v>22</v>
      </c>
      <c r="HO1358">
        <v>15399</v>
      </c>
      <c r="HP1358" t="s">
        <v>485</v>
      </c>
      <c r="HQ1358" t="s">
        <v>458</v>
      </c>
      <c r="HR1358" s="1">
        <v>41787</v>
      </c>
      <c r="HS1358">
        <v>2013</v>
      </c>
      <c r="HT1358">
        <v>302.33999999999997</v>
      </c>
      <c r="HU1358" t="s">
        <v>13836</v>
      </c>
      <c r="HV1358">
        <v>0.25</v>
      </c>
      <c r="HW1358" t="s">
        <v>424</v>
      </c>
      <c r="HX1358" t="s">
        <v>425</v>
      </c>
      <c r="HZ1358">
        <v>22</v>
      </c>
      <c r="IA1358">
        <v>7336692</v>
      </c>
      <c r="IB1358" t="s">
        <v>822</v>
      </c>
      <c r="IC1358" t="s">
        <v>458</v>
      </c>
      <c r="ID1358" s="1">
        <v>41787</v>
      </c>
      <c r="IE1358">
        <v>2013</v>
      </c>
      <c r="IF1358">
        <v>302.33999999999997</v>
      </c>
      <c r="IG1358" t="s">
        <v>13836</v>
      </c>
      <c r="IH1358">
        <v>0.25</v>
      </c>
      <c r="II1358" t="s">
        <v>424</v>
      </c>
      <c r="IJ1358" t="s">
        <v>425</v>
      </c>
      <c r="IL1358">
        <v>22</v>
      </c>
      <c r="IM1358">
        <v>7336698</v>
      </c>
      <c r="IN1358" t="s">
        <v>823</v>
      </c>
      <c r="IO1358" t="s">
        <v>458</v>
      </c>
    </row>
    <row r="1359" spans="1:284" x14ac:dyDescent="0.25">
      <c r="A1359">
        <v>16486366</v>
      </c>
      <c r="B1359">
        <v>1358</v>
      </c>
      <c r="C1359" t="s">
        <v>393</v>
      </c>
      <c r="D1359" t="s">
        <v>394</v>
      </c>
      <c r="F1359" t="str">
        <f>"43-2N-27-4640-0035-0000"</f>
        <v>43-2N-27-4640-0035-0000</v>
      </c>
      <c r="H1359" t="str">
        <f>"APPLEWHITE MICHAEL K"</f>
        <v>APPLEWHITE MICHAEL K</v>
      </c>
      <c r="I1359" t="str">
        <f>"P O BOX 6177"</f>
        <v>P O BOX 6177</v>
      </c>
      <c r="J1359" t="str">
        <f>"FERNANDINA BEACH FL 32034"</f>
        <v>FERNANDINA BEACH FL 32034</v>
      </c>
      <c r="K1359" t="str">
        <f>"85628 AVANT RD"</f>
        <v>85628 AVANT RD</v>
      </c>
      <c r="L1359" t="str">
        <f t="shared" si="456"/>
        <v>YULEE FL 32097</v>
      </c>
      <c r="M1359" t="str">
        <f>"LOT 35 IN OR 960/726 WILSON NECK SUB PB 4/2"</f>
        <v>LOT 35 IN OR 960/726 WILSON NECK SUB PB 4/2</v>
      </c>
      <c r="N1359" t="str">
        <f>""</f>
        <v/>
      </c>
      <c r="O1359" t="str">
        <f>"49697"</f>
        <v>49697</v>
      </c>
      <c r="P1359" t="str">
        <f t="shared" si="467"/>
        <v>2017</v>
      </c>
      <c r="Q1359" t="str">
        <f>""</f>
        <v/>
      </c>
      <c r="R1359" t="str">
        <f>"Y"</f>
        <v>Y</v>
      </c>
      <c r="S1359" t="str">
        <f>""</f>
        <v/>
      </c>
      <c r="T1359" t="str">
        <f>"2146.39"</f>
        <v>2146.39</v>
      </c>
      <c r="U1359" t="str">
        <f>"180884.00"</f>
        <v>180884.00</v>
      </c>
      <c r="V1359" t="str">
        <f>"180884.00"</f>
        <v>180884.00</v>
      </c>
      <c r="W1359" t="str">
        <f t="shared" si="468"/>
        <v>2017</v>
      </c>
      <c r="X1359" t="str">
        <f>"12.00"</f>
        <v>12.00</v>
      </c>
      <c r="Y1359" t="str">
        <f>"2242.78"</f>
        <v>2242.78</v>
      </c>
      <c r="Z1359" t="str">
        <f>"25000.00"</f>
        <v>25000.00</v>
      </c>
      <c r="AA1359" t="str">
        <f>"155884.00"</f>
        <v>155884.00</v>
      </c>
      <c r="AB1359" t="str">
        <f t="shared" si="470"/>
        <v>Residential</v>
      </c>
      <c r="AC1359" t="str">
        <f t="shared" si="445"/>
        <v>0</v>
      </c>
      <c r="AD1359" t="str">
        <f t="shared" si="462"/>
        <v>4</v>
      </c>
      <c r="AE1359" t="str">
        <f t="shared" si="463"/>
        <v>WOOD (INCLUDE STEEL STUDS)</v>
      </c>
      <c r="AF1359" t="str">
        <f>"001"</f>
        <v>001</v>
      </c>
      <c r="AG1359" t="str">
        <f t="shared" si="466"/>
        <v>FL</v>
      </c>
      <c r="AH1359" t="str">
        <f>"11700.00"</f>
        <v>11700.00</v>
      </c>
      <c r="AI1359" t="str">
        <f>"97500.00"</f>
        <v>97500.00</v>
      </c>
      <c r="AJ1359" t="str">
        <f>"C55-000-588-3124-9"</f>
        <v>C55-000-588-3124-9</v>
      </c>
      <c r="AK1359" t="str">
        <f>"23027"</f>
        <v>23027</v>
      </c>
      <c r="AL1359">
        <v>5</v>
      </c>
      <c r="AM1359">
        <v>1552</v>
      </c>
      <c r="AN1359">
        <v>2353.3200000000002</v>
      </c>
      <c r="AQ1359" t="s">
        <v>13837</v>
      </c>
      <c r="AR1359" t="s">
        <v>13837</v>
      </c>
      <c r="AS1359" t="s">
        <v>13837</v>
      </c>
      <c r="AU1359" t="s">
        <v>396</v>
      </c>
      <c r="AV1359">
        <v>2017</v>
      </c>
      <c r="AW1359" t="str">
        <f>"43-2N-27-4640-0035-0000 "</f>
        <v xml:space="preserve">43-2N-27-4640-0035-0000 </v>
      </c>
      <c r="AX1359">
        <v>85628</v>
      </c>
      <c r="AZ1359" t="s">
        <v>13838</v>
      </c>
      <c r="BA1359" t="s">
        <v>496</v>
      </c>
      <c r="BD1359" t="s">
        <v>2387</v>
      </c>
      <c r="BE1359" t="s">
        <v>393</v>
      </c>
      <c r="BF1359">
        <v>32097</v>
      </c>
      <c r="BG1359" t="s">
        <v>13839</v>
      </c>
      <c r="BH1359" t="s">
        <v>2388</v>
      </c>
      <c r="BI1359">
        <v>-81.574001006738698</v>
      </c>
      <c r="BJ1359">
        <v>30.578408440803599</v>
      </c>
      <c r="BK1359" t="s">
        <v>13840</v>
      </c>
      <c r="BM1359" t="s">
        <v>13839</v>
      </c>
      <c r="BN1359" t="s">
        <v>1778</v>
      </c>
      <c r="BO1359">
        <v>32097</v>
      </c>
      <c r="BP1359" t="s">
        <v>416</v>
      </c>
      <c r="BQ1359">
        <v>100</v>
      </c>
      <c r="BR1359" t="s">
        <v>514</v>
      </c>
      <c r="BS1359">
        <v>1001</v>
      </c>
      <c r="BT1359" t="s">
        <v>515</v>
      </c>
      <c r="BU1359">
        <v>650</v>
      </c>
      <c r="BV1359">
        <v>1800</v>
      </c>
      <c r="BW1359">
        <v>11631</v>
      </c>
      <c r="BX1359" t="s">
        <v>407</v>
      </c>
      <c r="BY1359" t="s">
        <v>2729</v>
      </c>
      <c r="BZ1359">
        <v>4</v>
      </c>
      <c r="CA1359">
        <v>1996</v>
      </c>
      <c r="CB1359">
        <v>1</v>
      </c>
      <c r="CC1359">
        <v>1</v>
      </c>
      <c r="CD1359">
        <v>2017</v>
      </c>
      <c r="CG1359">
        <v>180884</v>
      </c>
      <c r="CH1359">
        <v>2017</v>
      </c>
      <c r="CI1359">
        <v>97500</v>
      </c>
      <c r="CJ1359">
        <v>130556</v>
      </c>
      <c r="CK1359">
        <v>228056</v>
      </c>
      <c r="CL1359">
        <v>2017</v>
      </c>
      <c r="CM1359">
        <v>2146.39</v>
      </c>
      <c r="CN1359" s="1">
        <v>36861</v>
      </c>
      <c r="CZ1359" s="1">
        <v>36861</v>
      </c>
      <c r="DD1359" t="s">
        <v>2387</v>
      </c>
      <c r="DF1359">
        <v>35</v>
      </c>
      <c r="DG1359">
        <v>43</v>
      </c>
      <c r="DJ1359" t="s">
        <v>13841</v>
      </c>
      <c r="DL1359">
        <v>50303</v>
      </c>
      <c r="DM1359" t="s">
        <v>13628</v>
      </c>
      <c r="DO1359" t="s">
        <v>13842</v>
      </c>
      <c r="DP1359">
        <v>0</v>
      </c>
      <c r="DQ1359">
        <v>0</v>
      </c>
      <c r="DR1359" t="s">
        <v>411</v>
      </c>
      <c r="DS1359" t="b">
        <v>1</v>
      </c>
      <c r="DT1359" t="s">
        <v>470</v>
      </c>
      <c r="DU1359" t="s">
        <v>10249</v>
      </c>
      <c r="DV1359" t="s">
        <v>472</v>
      </c>
      <c r="DX1359">
        <v>-9999</v>
      </c>
      <c r="DZ1359" t="s">
        <v>447</v>
      </c>
      <c r="EA1359" t="s">
        <v>448</v>
      </c>
      <c r="EB1359" t="s">
        <v>13630</v>
      </c>
      <c r="EC1359">
        <v>20101217</v>
      </c>
      <c r="ED1359" t="s">
        <v>10251</v>
      </c>
      <c r="EE1359">
        <v>5</v>
      </c>
      <c r="EF1359">
        <v>80.900000000000006</v>
      </c>
      <c r="EG1359">
        <v>0</v>
      </c>
      <c r="EI1359">
        <v>20160407</v>
      </c>
      <c r="EJ1359">
        <v>0</v>
      </c>
      <c r="EK1359">
        <v>0</v>
      </c>
      <c r="EP1359" t="s">
        <v>421</v>
      </c>
      <c r="EQ1359" t="s">
        <v>422</v>
      </c>
      <c r="ER1359">
        <v>0</v>
      </c>
      <c r="ES1359">
        <v>2</v>
      </c>
      <c r="ET1359">
        <v>0</v>
      </c>
      <c r="EU1359">
        <v>0</v>
      </c>
      <c r="EV1359">
        <v>0</v>
      </c>
      <c r="EW1359" s="2">
        <v>43222</v>
      </c>
      <c r="EX1359" s="1">
        <v>42151</v>
      </c>
      <c r="EY1359">
        <v>2014</v>
      </c>
      <c r="EZ1359">
        <v>2345.58</v>
      </c>
      <c r="FA1359" t="s">
        <v>13843</v>
      </c>
      <c r="FB1359">
        <v>0.25</v>
      </c>
      <c r="FC1359" t="s">
        <v>424</v>
      </c>
      <c r="FD1359" t="s">
        <v>425</v>
      </c>
      <c r="FE1359" s="1">
        <v>42506</v>
      </c>
      <c r="FF1359">
        <v>12</v>
      </c>
      <c r="FG1359">
        <v>4844982</v>
      </c>
      <c r="FH1359" t="s">
        <v>5287</v>
      </c>
      <c r="FJ1359" s="1">
        <v>42151</v>
      </c>
      <c r="FK1359">
        <v>2014</v>
      </c>
      <c r="FL1359">
        <v>2345.58</v>
      </c>
      <c r="FM1359" t="s">
        <v>13843</v>
      </c>
      <c r="FN1359">
        <v>0.25</v>
      </c>
      <c r="FO1359" t="s">
        <v>424</v>
      </c>
      <c r="FP1359" t="s">
        <v>425</v>
      </c>
      <c r="FR1359">
        <v>22</v>
      </c>
      <c r="FS1359">
        <v>5759284</v>
      </c>
      <c r="FT1359" t="s">
        <v>13844</v>
      </c>
    </row>
    <row r="1360" spans="1:284" x14ac:dyDescent="0.25">
      <c r="A1360">
        <v>16486367</v>
      </c>
      <c r="B1360">
        <v>1359</v>
      </c>
      <c r="C1360" t="s">
        <v>393</v>
      </c>
      <c r="D1360" t="s">
        <v>394</v>
      </c>
      <c r="F1360" t="str">
        <f>"43-2N-27-4640-0046-0000"</f>
        <v>43-2N-27-4640-0046-0000</v>
      </c>
      <c r="H1360" t="str">
        <f>"BELL JAMES GREGORY"</f>
        <v>BELL JAMES GREGORY</v>
      </c>
      <c r="I1360" t="str">
        <f>"85880 AVANT ROAD"</f>
        <v>85880 AVANT ROAD</v>
      </c>
      <c r="J1360" t="str">
        <f t="shared" ref="J1360:J1377" si="471">"YULEE FL 32097"</f>
        <v>YULEE FL 32097</v>
      </c>
      <c r="K1360" t="str">
        <f>"85880 AVANT RD"</f>
        <v>85880 AVANT RD</v>
      </c>
      <c r="L1360" t="str">
        <f t="shared" si="456"/>
        <v>YULEE FL 32097</v>
      </c>
      <c r="M1360" t="str">
        <f>"LOT 46 IN OR 1263/1972 WILSON NECK SUB PB 4/2"</f>
        <v>LOT 46 IN OR 1263/1972 WILSON NECK SUB PB 4/2</v>
      </c>
      <c r="N1360" t="str">
        <f>""</f>
        <v/>
      </c>
      <c r="O1360" t="str">
        <f>"49707"</f>
        <v>49707</v>
      </c>
      <c r="P1360" t="str">
        <f t="shared" si="467"/>
        <v>2017</v>
      </c>
      <c r="Q1360" t="str">
        <f>""</f>
        <v/>
      </c>
      <c r="R1360" t="str">
        <f>"Y"</f>
        <v>Y</v>
      </c>
      <c r="S1360" t="str">
        <f>""</f>
        <v/>
      </c>
      <c r="T1360" t="str">
        <f>"1903.79"</f>
        <v>1903.79</v>
      </c>
      <c r="U1360" t="str">
        <f>"164859.00"</f>
        <v>164859.00</v>
      </c>
      <c r="V1360" t="str">
        <f>"164859.00"</f>
        <v>164859.00</v>
      </c>
      <c r="W1360" t="str">
        <f t="shared" si="468"/>
        <v>2017</v>
      </c>
      <c r="X1360" t="str">
        <f>"1.50"</f>
        <v>1.50</v>
      </c>
      <c r="Y1360" t="str">
        <f>"1992.90"</f>
        <v>1992.90</v>
      </c>
      <c r="Z1360" t="str">
        <f>"25000.00"</f>
        <v>25000.00</v>
      </c>
      <c r="AA1360" t="str">
        <f>"139859.00"</f>
        <v>139859.00</v>
      </c>
      <c r="AB1360" t="str">
        <f t="shared" si="470"/>
        <v>Residential</v>
      </c>
      <c r="AC1360" t="str">
        <f t="shared" si="445"/>
        <v>0</v>
      </c>
      <c r="AD1360" t="str">
        <f t="shared" si="462"/>
        <v>4</v>
      </c>
      <c r="AE1360" t="str">
        <f t="shared" si="463"/>
        <v>WOOD (INCLUDE STEEL STUDS)</v>
      </c>
      <c r="AF1360" t="str">
        <f>"001"</f>
        <v>001</v>
      </c>
      <c r="AG1360" t="str">
        <f t="shared" si="466"/>
        <v>FL</v>
      </c>
      <c r="AH1360" t="str">
        <f>"10000.00"</f>
        <v>10000.00</v>
      </c>
      <c r="AI1360" t="str">
        <f>"75000.00"</f>
        <v>75000.00</v>
      </c>
      <c r="AJ1360" t="str">
        <f>"C55-000-588-3134-8"</f>
        <v>C55-000-588-3134-8</v>
      </c>
      <c r="AK1360" t="str">
        <f>"23036"</f>
        <v>23036</v>
      </c>
      <c r="AL1360">
        <v>5</v>
      </c>
      <c r="AM1360">
        <v>1554</v>
      </c>
      <c r="AN1360">
        <v>2090.9499999999998</v>
      </c>
      <c r="AQ1360" t="s">
        <v>13845</v>
      </c>
      <c r="AR1360" t="s">
        <v>13845</v>
      </c>
      <c r="AS1360" t="s">
        <v>13845</v>
      </c>
      <c r="AU1360" t="s">
        <v>396</v>
      </c>
      <c r="AV1360">
        <v>2017</v>
      </c>
      <c r="AW1360" t="str">
        <f>"43-2N-27-4640-0046-0000 "</f>
        <v xml:space="preserve">43-2N-27-4640-0046-0000 </v>
      </c>
      <c r="AX1360">
        <v>85880</v>
      </c>
      <c r="AZ1360" t="s">
        <v>13838</v>
      </c>
      <c r="BA1360" t="s">
        <v>496</v>
      </c>
      <c r="BD1360" t="s">
        <v>2387</v>
      </c>
      <c r="BE1360" t="s">
        <v>393</v>
      </c>
      <c r="BF1360">
        <v>32097</v>
      </c>
      <c r="BG1360" t="s">
        <v>13846</v>
      </c>
      <c r="BH1360" t="s">
        <v>2388</v>
      </c>
      <c r="BI1360">
        <v>-81.571327237723096</v>
      </c>
      <c r="BJ1360">
        <v>30.5794776523508</v>
      </c>
      <c r="BK1360" t="s">
        <v>13847</v>
      </c>
      <c r="BM1360" t="s">
        <v>13846</v>
      </c>
      <c r="BN1360" t="s">
        <v>1778</v>
      </c>
      <c r="BO1360">
        <v>32097</v>
      </c>
      <c r="BP1360" t="s">
        <v>416</v>
      </c>
      <c r="BQ1360">
        <v>100</v>
      </c>
      <c r="BR1360" t="s">
        <v>514</v>
      </c>
      <c r="BS1360">
        <v>1001</v>
      </c>
      <c r="BT1360" t="s">
        <v>515</v>
      </c>
      <c r="BU1360">
        <v>500</v>
      </c>
      <c r="BV1360">
        <v>2000</v>
      </c>
      <c r="BW1360">
        <v>11759</v>
      </c>
      <c r="BX1360" t="s">
        <v>407</v>
      </c>
      <c r="BY1360" t="s">
        <v>2729</v>
      </c>
      <c r="BZ1360">
        <v>4</v>
      </c>
      <c r="CA1360">
        <v>2014</v>
      </c>
      <c r="CB1360">
        <v>1</v>
      </c>
      <c r="CC1360">
        <v>1</v>
      </c>
      <c r="CD1360">
        <v>2017</v>
      </c>
      <c r="CG1360">
        <v>164859</v>
      </c>
      <c r="CH1360">
        <v>2017</v>
      </c>
      <c r="CI1360">
        <v>75000</v>
      </c>
      <c r="CJ1360">
        <v>106738</v>
      </c>
      <c r="CK1360">
        <v>181738</v>
      </c>
      <c r="CL1360">
        <v>2017</v>
      </c>
      <c r="CM1360">
        <v>1903.79</v>
      </c>
      <c r="CN1360" s="1">
        <v>38266</v>
      </c>
      <c r="CZ1360" s="1">
        <v>38266</v>
      </c>
      <c r="DD1360" t="s">
        <v>2387</v>
      </c>
      <c r="DF1360">
        <v>46</v>
      </c>
      <c r="DG1360">
        <v>43</v>
      </c>
      <c r="DJ1360" t="s">
        <v>13841</v>
      </c>
      <c r="DL1360">
        <v>50303</v>
      </c>
      <c r="DM1360" t="s">
        <v>13628</v>
      </c>
      <c r="DO1360" t="s">
        <v>13848</v>
      </c>
      <c r="DP1360">
        <v>0</v>
      </c>
      <c r="DQ1360">
        <v>0</v>
      </c>
      <c r="DR1360" t="s">
        <v>411</v>
      </c>
      <c r="DS1360" t="b">
        <v>1</v>
      </c>
      <c r="DT1360" t="s">
        <v>470</v>
      </c>
      <c r="DU1360" t="s">
        <v>10249</v>
      </c>
      <c r="DV1360" t="s">
        <v>472</v>
      </c>
      <c r="DX1360">
        <v>-9999</v>
      </c>
      <c r="DZ1360" t="s">
        <v>447</v>
      </c>
      <c r="EA1360" t="s">
        <v>448</v>
      </c>
      <c r="EB1360" t="s">
        <v>13630</v>
      </c>
      <c r="EC1360">
        <v>20101217</v>
      </c>
      <c r="ED1360" t="s">
        <v>10251</v>
      </c>
      <c r="EE1360">
        <v>5</v>
      </c>
      <c r="EF1360">
        <v>91.7</v>
      </c>
      <c r="EG1360">
        <v>0</v>
      </c>
      <c r="EI1360">
        <v>20160407</v>
      </c>
      <c r="EJ1360">
        <v>0</v>
      </c>
      <c r="EK1360">
        <v>0</v>
      </c>
      <c r="EP1360" t="s">
        <v>421</v>
      </c>
      <c r="EQ1360" t="s">
        <v>422</v>
      </c>
      <c r="ER1360">
        <v>0</v>
      </c>
      <c r="ES1360">
        <v>6</v>
      </c>
      <c r="ET1360">
        <v>0</v>
      </c>
      <c r="EU1360">
        <v>0</v>
      </c>
      <c r="EV1360">
        <v>0</v>
      </c>
      <c r="EW1360" s="2">
        <v>43222</v>
      </c>
      <c r="EX1360" s="1">
        <v>42879</v>
      </c>
      <c r="EY1360">
        <v>2016</v>
      </c>
      <c r="EZ1360">
        <v>2061.2800000000002</v>
      </c>
      <c r="FA1360" t="s">
        <v>13849</v>
      </c>
      <c r="FB1360">
        <v>0.25</v>
      </c>
      <c r="FC1360" t="s">
        <v>424</v>
      </c>
      <c r="FD1360" t="s">
        <v>425</v>
      </c>
      <c r="FE1360" s="1">
        <v>42970</v>
      </c>
      <c r="FF1360">
        <v>3</v>
      </c>
      <c r="FG1360">
        <v>11289</v>
      </c>
      <c r="FH1360" t="s">
        <v>787</v>
      </c>
      <c r="FJ1360" s="1">
        <v>42879</v>
      </c>
      <c r="FK1360">
        <v>2016</v>
      </c>
      <c r="FL1360">
        <v>2061.2800000000002</v>
      </c>
      <c r="FM1360" t="s">
        <v>13849</v>
      </c>
      <c r="FN1360">
        <v>0.25</v>
      </c>
      <c r="FO1360" t="s">
        <v>424</v>
      </c>
      <c r="FP1360" t="s">
        <v>425</v>
      </c>
      <c r="FR1360">
        <v>22</v>
      </c>
      <c r="FS1360">
        <v>7259694</v>
      </c>
      <c r="FT1360" t="s">
        <v>13850</v>
      </c>
      <c r="FV1360" s="1">
        <v>42515</v>
      </c>
      <c r="FW1360">
        <v>2015</v>
      </c>
      <c r="FX1360">
        <v>2099.3200000000002</v>
      </c>
      <c r="FY1360" t="s">
        <v>13851</v>
      </c>
      <c r="FZ1360">
        <v>0.25</v>
      </c>
      <c r="GA1360" t="s">
        <v>424</v>
      </c>
      <c r="GB1360" t="s">
        <v>425</v>
      </c>
      <c r="GC1360" s="1">
        <v>42529</v>
      </c>
      <c r="GD1360">
        <v>1</v>
      </c>
      <c r="GE1360">
        <v>2851116</v>
      </c>
      <c r="GF1360" t="s">
        <v>480</v>
      </c>
      <c r="GH1360" s="1">
        <v>42515</v>
      </c>
      <c r="GI1360">
        <v>2015</v>
      </c>
      <c r="GJ1360">
        <v>2099.3200000000002</v>
      </c>
      <c r="GK1360" t="s">
        <v>13851</v>
      </c>
      <c r="GL1360">
        <v>0.25</v>
      </c>
      <c r="GM1360" t="s">
        <v>424</v>
      </c>
      <c r="GN1360" t="s">
        <v>425</v>
      </c>
      <c r="GP1360">
        <v>22</v>
      </c>
      <c r="GQ1360">
        <v>5690679</v>
      </c>
      <c r="GR1360" t="s">
        <v>13852</v>
      </c>
      <c r="GT1360" s="1">
        <v>41052</v>
      </c>
      <c r="GU1360">
        <v>2011</v>
      </c>
      <c r="GV1360">
        <v>1518.46</v>
      </c>
      <c r="GW1360" t="s">
        <v>13853</v>
      </c>
      <c r="GX1360">
        <v>0.25</v>
      </c>
      <c r="GY1360" t="s">
        <v>424</v>
      </c>
      <c r="GZ1360" t="s">
        <v>425</v>
      </c>
      <c r="HA1360" s="1">
        <v>41075</v>
      </c>
      <c r="HB1360">
        <v>1</v>
      </c>
      <c r="HC1360">
        <v>14197</v>
      </c>
      <c r="HD1360" t="s">
        <v>13854</v>
      </c>
      <c r="HF1360" s="1">
        <v>40688</v>
      </c>
      <c r="HG1360">
        <v>2010</v>
      </c>
      <c r="HH1360">
        <v>1492.93</v>
      </c>
      <c r="HI1360" t="s">
        <v>13855</v>
      </c>
      <c r="HJ1360">
        <v>0.25</v>
      </c>
      <c r="HK1360" t="s">
        <v>424</v>
      </c>
      <c r="HL1360" t="s">
        <v>425</v>
      </c>
      <c r="HM1360" s="1">
        <v>40707</v>
      </c>
      <c r="HN1360">
        <v>1</v>
      </c>
      <c r="HO1360">
        <v>11289</v>
      </c>
      <c r="HP1360" t="s">
        <v>787</v>
      </c>
    </row>
    <row r="1361" spans="1:284" x14ac:dyDescent="0.25">
      <c r="A1361">
        <v>16486368</v>
      </c>
      <c r="B1361">
        <v>1360</v>
      </c>
      <c r="C1361" t="s">
        <v>393</v>
      </c>
      <c r="D1361" t="s">
        <v>394</v>
      </c>
      <c r="F1361" t="str">
        <f>"43-2N-27-4641-0001-0150"</f>
        <v>43-2N-27-4641-0001-0150</v>
      </c>
      <c r="H1361" t="str">
        <f>"WILLIAMS FAMILY LIVING TRUST C/O KATHERINE WILLIAMS"</f>
        <v>WILLIAMS FAMILY LIVING TRUST C/O KATHERINE WILLIAMS</v>
      </c>
      <c r="I1361" t="str">
        <f>"85008 WILSON NECK RD"</f>
        <v>85008 WILSON NECK RD</v>
      </c>
      <c r="J1361" t="str">
        <f t="shared" si="471"/>
        <v>YULEE FL 32097</v>
      </c>
      <c r="K1361" t="str">
        <f>"85008 WILSON NECK RD"</f>
        <v>85008 WILSON NECK RD</v>
      </c>
      <c r="L1361" t="str">
        <f t="shared" si="456"/>
        <v>YULEE FL 32097</v>
      </c>
      <c r="M1361" t="str">
        <f>"BLOCK 1 LOT 15 IN OR 1353/1828 WILSON NECK UNIT 2 PB 5/98-101"</f>
        <v>BLOCK 1 LOT 15 IN OR 1353/1828 WILSON NECK UNIT 2 PB 5/98-101</v>
      </c>
      <c r="N1361" t="str">
        <f>""</f>
        <v/>
      </c>
      <c r="O1361" t="str">
        <f>"49729"</f>
        <v>49729</v>
      </c>
      <c r="P1361" t="str">
        <f t="shared" si="467"/>
        <v>2017</v>
      </c>
      <c r="Q1361" t="str">
        <f>""</f>
        <v/>
      </c>
      <c r="R1361" t="str">
        <f>"Y"</f>
        <v>Y</v>
      </c>
      <c r="S1361" t="str">
        <f>""</f>
        <v/>
      </c>
      <c r="T1361" t="str">
        <f>"871.37"</f>
        <v>871.37</v>
      </c>
      <c r="U1361" t="str">
        <f>"97163.00"</f>
        <v>97163.00</v>
      </c>
      <c r="V1361" t="str">
        <f>"97163.00"</f>
        <v>97163.00</v>
      </c>
      <c r="W1361" t="str">
        <f t="shared" si="468"/>
        <v>2017</v>
      </c>
      <c r="X1361" t="str">
        <f>"19.50"</f>
        <v>19.50</v>
      </c>
      <c r="Y1361" t="str">
        <f>"929.51"</f>
        <v>929.51</v>
      </c>
      <c r="Z1361" t="str">
        <f>"25500.00"</f>
        <v>25500.00</v>
      </c>
      <c r="AA1361" t="str">
        <f>"71663.00"</f>
        <v>71663.00</v>
      </c>
      <c r="AB1361" t="str">
        <f t="shared" si="470"/>
        <v>Residential</v>
      </c>
      <c r="AC1361" t="str">
        <f t="shared" si="445"/>
        <v>0</v>
      </c>
      <c r="AD1361" t="str">
        <f t="shared" si="462"/>
        <v>4</v>
      </c>
      <c r="AE1361" t="str">
        <f t="shared" si="463"/>
        <v>WOOD (INCLUDE STEEL STUDS)</v>
      </c>
      <c r="AF1361" t="str">
        <f>"001"</f>
        <v>001</v>
      </c>
      <c r="AG1361" t="str">
        <f t="shared" si="466"/>
        <v>FL</v>
      </c>
      <c r="AH1361" t="str">
        <f t="shared" ref="AH1361:AH1386" si="472">"-"</f>
        <v>-</v>
      </c>
      <c r="AI1361" t="str">
        <f>"37500.00"</f>
        <v>37500.00</v>
      </c>
      <c r="AJ1361" t="str">
        <f>"C55-000-588-3155-3"</f>
        <v>C55-000-588-3155-3</v>
      </c>
      <c r="AK1361" t="str">
        <f>"23056"</f>
        <v>23056</v>
      </c>
      <c r="AL1361">
        <v>5</v>
      </c>
      <c r="AM1361">
        <v>1555</v>
      </c>
      <c r="AN1361">
        <v>974.39</v>
      </c>
      <c r="AQ1361" t="s">
        <v>13856</v>
      </c>
      <c r="AR1361" t="s">
        <v>13856</v>
      </c>
      <c r="AS1361" t="s">
        <v>13856</v>
      </c>
      <c r="AU1361" t="s">
        <v>396</v>
      </c>
      <c r="AV1361">
        <v>2017</v>
      </c>
      <c r="AW1361" t="str">
        <f>"43-2N-27-4641-0001-0150 "</f>
        <v xml:space="preserve">43-2N-27-4641-0001-0150 </v>
      </c>
      <c r="AX1361">
        <v>85008</v>
      </c>
      <c r="AZ1361" t="s">
        <v>13841</v>
      </c>
      <c r="BA1361" t="s">
        <v>496</v>
      </c>
      <c r="BD1361" t="s">
        <v>2387</v>
      </c>
      <c r="BE1361" t="s">
        <v>393</v>
      </c>
      <c r="BF1361">
        <v>32097</v>
      </c>
      <c r="BG1361" t="s">
        <v>13857</v>
      </c>
      <c r="BH1361" t="s">
        <v>2388</v>
      </c>
      <c r="BI1361">
        <v>-81.573532075763694</v>
      </c>
      <c r="BJ1361">
        <v>30.580144904164499</v>
      </c>
      <c r="BK1361" t="s">
        <v>13858</v>
      </c>
      <c r="BM1361" t="s">
        <v>13857</v>
      </c>
      <c r="BN1361" t="s">
        <v>1778</v>
      </c>
      <c r="BO1361">
        <v>32097</v>
      </c>
      <c r="BP1361" t="s">
        <v>404</v>
      </c>
      <c r="BQ1361">
        <v>100</v>
      </c>
      <c r="BR1361" t="s">
        <v>514</v>
      </c>
      <c r="BS1361">
        <v>1001</v>
      </c>
      <c r="BT1361" t="s">
        <v>515</v>
      </c>
      <c r="BW1361">
        <v>26497</v>
      </c>
      <c r="BX1361" t="s">
        <v>407</v>
      </c>
      <c r="BY1361" t="s">
        <v>2729</v>
      </c>
      <c r="BZ1361">
        <v>4</v>
      </c>
      <c r="CA1361">
        <v>1991</v>
      </c>
      <c r="CB1361">
        <v>1</v>
      </c>
      <c r="CC1361">
        <v>1</v>
      </c>
      <c r="CD1361">
        <v>2017</v>
      </c>
      <c r="CG1361">
        <v>97163</v>
      </c>
      <c r="CH1361">
        <v>2017</v>
      </c>
      <c r="CI1361">
        <v>37500</v>
      </c>
      <c r="CJ1361">
        <v>103645</v>
      </c>
      <c r="CK1361">
        <v>141145</v>
      </c>
      <c r="CL1361">
        <v>2017</v>
      </c>
      <c r="CM1361">
        <v>871.37</v>
      </c>
      <c r="CN1361" s="1">
        <v>38624</v>
      </c>
      <c r="CZ1361" s="1">
        <v>38624</v>
      </c>
      <c r="DD1361" t="s">
        <v>2387</v>
      </c>
      <c r="DF1361">
        <v>15</v>
      </c>
      <c r="DG1361">
        <v>43</v>
      </c>
      <c r="DI1361">
        <v>2</v>
      </c>
      <c r="DJ1361" t="s">
        <v>13841</v>
      </c>
      <c r="DL1361">
        <v>50302</v>
      </c>
      <c r="DM1361" t="s">
        <v>13628</v>
      </c>
      <c r="DO1361" t="s">
        <v>13859</v>
      </c>
      <c r="DP1361">
        <v>0</v>
      </c>
      <c r="DQ1361">
        <v>0</v>
      </c>
      <c r="DR1361" t="s">
        <v>411</v>
      </c>
      <c r="DS1361" t="b">
        <v>1</v>
      </c>
      <c r="DT1361" t="s">
        <v>470</v>
      </c>
      <c r="DU1361" t="s">
        <v>10249</v>
      </c>
      <c r="DV1361" t="s">
        <v>472</v>
      </c>
      <c r="DX1361">
        <v>-9999</v>
      </c>
      <c r="DZ1361" t="s">
        <v>447</v>
      </c>
      <c r="EA1361" t="s">
        <v>448</v>
      </c>
      <c r="EB1361" t="s">
        <v>13630</v>
      </c>
      <c r="EC1361">
        <v>20101217</v>
      </c>
      <c r="ED1361" t="s">
        <v>10251</v>
      </c>
      <c r="EE1361">
        <v>5</v>
      </c>
      <c r="EF1361">
        <v>355.3</v>
      </c>
      <c r="EG1361">
        <v>0</v>
      </c>
      <c r="EI1361">
        <v>20160407</v>
      </c>
      <c r="EJ1361">
        <v>0</v>
      </c>
      <c r="EK1361">
        <v>0</v>
      </c>
      <c r="EP1361" t="s">
        <v>421</v>
      </c>
      <c r="EQ1361" t="s">
        <v>422</v>
      </c>
      <c r="ER1361">
        <v>2</v>
      </c>
      <c r="ES1361">
        <v>8</v>
      </c>
      <c r="ET1361">
        <v>1904.46</v>
      </c>
      <c r="EU1361">
        <v>107.72</v>
      </c>
      <c r="EV1361">
        <v>2012.18</v>
      </c>
      <c r="EW1361" s="2">
        <v>43222</v>
      </c>
      <c r="EX1361" s="1">
        <v>42879</v>
      </c>
      <c r="EY1361">
        <v>2016</v>
      </c>
      <c r="EZ1361">
        <v>952.23</v>
      </c>
      <c r="FA1361" t="s">
        <v>13860</v>
      </c>
      <c r="FB1361">
        <v>0.25</v>
      </c>
      <c r="FC1361" t="s">
        <v>424</v>
      </c>
      <c r="FD1361" t="s">
        <v>454</v>
      </c>
      <c r="FF1361">
        <v>12</v>
      </c>
      <c r="FG1361">
        <v>2851116</v>
      </c>
      <c r="FH1361" t="s">
        <v>480</v>
      </c>
      <c r="FJ1361" s="1">
        <v>42879</v>
      </c>
      <c r="FK1361">
        <v>2016</v>
      </c>
      <c r="FL1361">
        <v>952.23</v>
      </c>
      <c r="FM1361" t="s">
        <v>13860</v>
      </c>
      <c r="FN1361">
        <v>0.25</v>
      </c>
      <c r="FO1361" t="s">
        <v>424</v>
      </c>
      <c r="FP1361" t="s">
        <v>454</v>
      </c>
      <c r="FR1361">
        <v>12</v>
      </c>
      <c r="FS1361">
        <v>5357121</v>
      </c>
      <c r="FT1361" t="s">
        <v>13861</v>
      </c>
      <c r="FV1361" s="1">
        <v>42515</v>
      </c>
      <c r="FW1361">
        <v>2015</v>
      </c>
      <c r="FX1361">
        <v>963.68</v>
      </c>
      <c r="FY1361" t="s">
        <v>13862</v>
      </c>
      <c r="FZ1361">
        <v>0.25</v>
      </c>
      <c r="GA1361" t="s">
        <v>424</v>
      </c>
      <c r="GB1361" t="s">
        <v>425</v>
      </c>
      <c r="GC1361" s="1">
        <v>43145</v>
      </c>
      <c r="GD1361">
        <v>21</v>
      </c>
      <c r="GE1361">
        <v>2851116</v>
      </c>
      <c r="GF1361" t="s">
        <v>480</v>
      </c>
      <c r="GH1361" s="1">
        <v>42515</v>
      </c>
      <c r="GI1361">
        <v>2015</v>
      </c>
      <c r="GJ1361">
        <v>963.68</v>
      </c>
      <c r="GK1361" t="s">
        <v>13862</v>
      </c>
      <c r="GL1361">
        <v>0.25</v>
      </c>
      <c r="GM1361" t="s">
        <v>424</v>
      </c>
      <c r="GN1361" t="s">
        <v>425</v>
      </c>
      <c r="GP1361">
        <v>22</v>
      </c>
      <c r="GQ1361">
        <v>5697640</v>
      </c>
      <c r="GR1361" t="s">
        <v>13863</v>
      </c>
      <c r="GT1361" s="1">
        <v>42151</v>
      </c>
      <c r="GU1361">
        <v>2014</v>
      </c>
      <c r="GV1361">
        <v>956.36</v>
      </c>
      <c r="GW1361" t="s">
        <v>13864</v>
      </c>
      <c r="GX1361">
        <v>0.25</v>
      </c>
      <c r="GY1361" t="s">
        <v>424</v>
      </c>
      <c r="GZ1361" t="s">
        <v>425</v>
      </c>
      <c r="HA1361" s="1">
        <v>42781</v>
      </c>
      <c r="HB1361">
        <v>21</v>
      </c>
      <c r="HC1361">
        <v>4975594</v>
      </c>
      <c r="HD1361" t="s">
        <v>457</v>
      </c>
      <c r="HF1361" s="1">
        <v>42151</v>
      </c>
      <c r="HG1361">
        <v>2014</v>
      </c>
      <c r="HH1361">
        <v>956.36</v>
      </c>
      <c r="HI1361" t="s">
        <v>13864</v>
      </c>
      <c r="HJ1361">
        <v>0.25</v>
      </c>
      <c r="HK1361" t="s">
        <v>424</v>
      </c>
      <c r="HL1361" t="s">
        <v>425</v>
      </c>
      <c r="HN1361">
        <v>22</v>
      </c>
      <c r="HO1361">
        <v>6375332</v>
      </c>
      <c r="HP1361" t="s">
        <v>13865</v>
      </c>
      <c r="HR1361" s="1">
        <v>41787</v>
      </c>
      <c r="HS1361">
        <v>2013</v>
      </c>
      <c r="HT1361">
        <v>898.25</v>
      </c>
      <c r="HU1361" t="s">
        <v>13866</v>
      </c>
      <c r="HV1361">
        <v>0.25</v>
      </c>
      <c r="HW1361" t="s">
        <v>424</v>
      </c>
      <c r="HX1361" t="s">
        <v>425</v>
      </c>
      <c r="HY1361" s="1">
        <v>42405</v>
      </c>
      <c r="HZ1361">
        <v>21</v>
      </c>
      <c r="IA1361">
        <v>2757457</v>
      </c>
      <c r="IB1361" t="s">
        <v>648</v>
      </c>
      <c r="ID1361" s="1">
        <v>41423</v>
      </c>
      <c r="IE1361">
        <v>2012</v>
      </c>
      <c r="IF1361">
        <v>1990.57</v>
      </c>
      <c r="IG1361" t="s">
        <v>13867</v>
      </c>
      <c r="IH1361">
        <v>0.25</v>
      </c>
      <c r="II1361" t="s">
        <v>424</v>
      </c>
      <c r="IJ1361" t="s">
        <v>425</v>
      </c>
      <c r="IK1361" s="1">
        <v>42062</v>
      </c>
      <c r="IL1361">
        <v>21</v>
      </c>
      <c r="IM1361">
        <v>606981</v>
      </c>
      <c r="IN1361" t="s">
        <v>792</v>
      </c>
      <c r="IP1361" s="1">
        <v>41052</v>
      </c>
      <c r="IQ1361">
        <v>2011</v>
      </c>
      <c r="IR1361">
        <v>2024.97</v>
      </c>
      <c r="IS1361" t="s">
        <v>13868</v>
      </c>
      <c r="IT1361">
        <v>0.25</v>
      </c>
      <c r="IU1361" t="s">
        <v>424</v>
      </c>
      <c r="IV1361" t="s">
        <v>425</v>
      </c>
      <c r="IW1361" s="1">
        <v>41689</v>
      </c>
      <c r="IX1361">
        <v>21</v>
      </c>
      <c r="IY1361">
        <v>13895</v>
      </c>
      <c r="IZ1361" t="s">
        <v>13869</v>
      </c>
      <c r="JB1361" s="1">
        <v>40688</v>
      </c>
      <c r="JC1361">
        <v>2010</v>
      </c>
      <c r="JD1361">
        <v>2043</v>
      </c>
      <c r="JE1361" t="s">
        <v>13870</v>
      </c>
      <c r="JF1361">
        <v>0.25</v>
      </c>
      <c r="JG1361" t="s">
        <v>424</v>
      </c>
      <c r="JH1361" t="s">
        <v>425</v>
      </c>
      <c r="JI1361" s="1">
        <v>41050</v>
      </c>
      <c r="JJ1361">
        <v>12</v>
      </c>
      <c r="JK1361">
        <v>11177</v>
      </c>
      <c r="JL1361" t="s">
        <v>650</v>
      </c>
    </row>
    <row r="1362" spans="1:284" x14ac:dyDescent="0.25">
      <c r="A1362">
        <v>16486369</v>
      </c>
      <c r="B1362">
        <v>1361</v>
      </c>
      <c r="C1362" t="s">
        <v>393</v>
      </c>
      <c r="D1362" t="s">
        <v>394</v>
      </c>
      <c r="F1362" t="str">
        <f>"43-2N-27-4642-0002-0000"</f>
        <v>43-2N-27-4642-0002-0000</v>
      </c>
      <c r="H1362" t="str">
        <f>"MILLER LUTHER M &amp; JANN W"</f>
        <v>MILLER LUTHER M &amp; JANN W</v>
      </c>
      <c r="I1362" t="str">
        <f>"85316 ELISE RD"</f>
        <v>85316 ELISE RD</v>
      </c>
      <c r="J1362" t="str">
        <f t="shared" si="471"/>
        <v>YULEE FL 32097</v>
      </c>
      <c r="K1362" t="str">
        <f>"85316 ELISE RD"</f>
        <v>85316 ELISE RD</v>
      </c>
      <c r="L1362" t="str">
        <f t="shared" si="456"/>
        <v>YULEE FL 32097</v>
      </c>
      <c r="M1362" t="str">
        <f>"LOT 2 IN OR 2018/547 WILSON NECK HILLS PB 4/62"</f>
        <v>LOT 2 IN OR 2018/547 WILSON NECK HILLS PB 4/62</v>
      </c>
      <c r="N1362" t="str">
        <f>""</f>
        <v/>
      </c>
      <c r="O1362" t="str">
        <f>"49761"</f>
        <v>49761</v>
      </c>
      <c r="P1362" t="str">
        <f t="shared" si="467"/>
        <v>2017</v>
      </c>
      <c r="Q1362" t="str">
        <f>""</f>
        <v/>
      </c>
      <c r="R1362" t="str">
        <f>"N"</f>
        <v>N</v>
      </c>
      <c r="S1362" t="str">
        <f>""</f>
        <v/>
      </c>
      <c r="T1362" t="str">
        <f>"1952.36"</f>
        <v>1952.36</v>
      </c>
      <c r="U1362" t="str">
        <f>"128964.00"</f>
        <v>128964.00</v>
      </c>
      <c r="V1362" t="str">
        <f>"128964.00"</f>
        <v>128964.00</v>
      </c>
      <c r="W1362" t="str">
        <f t="shared" si="468"/>
        <v>2017</v>
      </c>
      <c r="X1362" t="str">
        <f>"3.00"</f>
        <v>3.00</v>
      </c>
      <c r="Y1362" t="str">
        <f>"2042.93"</f>
        <v>2042.93</v>
      </c>
      <c r="Z1362" t="str">
        <f>""</f>
        <v/>
      </c>
      <c r="AA1362" t="str">
        <f>"128964.00"</f>
        <v>128964.00</v>
      </c>
      <c r="AB1362" t="str">
        <f t="shared" si="470"/>
        <v>Residential</v>
      </c>
      <c r="AC1362" t="str">
        <f t="shared" si="445"/>
        <v>0</v>
      </c>
      <c r="AD1362" t="str">
        <f t="shared" si="462"/>
        <v>4</v>
      </c>
      <c r="AE1362" t="str">
        <f t="shared" si="463"/>
        <v>WOOD (INCLUDE STEEL STUDS)</v>
      </c>
      <c r="AF1362" t="str">
        <f>"001"</f>
        <v>001</v>
      </c>
      <c r="AG1362" t="str">
        <f t="shared" si="466"/>
        <v>FL</v>
      </c>
      <c r="AH1362" t="str">
        <f t="shared" si="472"/>
        <v>-</v>
      </c>
      <c r="AI1362" t="str">
        <f>"28000.00"</f>
        <v>28000.00</v>
      </c>
      <c r="AJ1362" t="str">
        <f>"C55-000-588-3185-0"</f>
        <v>C55-000-588-3185-0</v>
      </c>
      <c r="AK1362" t="str">
        <f>"23084"</f>
        <v>23084</v>
      </c>
      <c r="AL1362">
        <v>5</v>
      </c>
      <c r="AM1362">
        <v>1556</v>
      </c>
      <c r="AN1362">
        <v>2143.48</v>
      </c>
      <c r="AQ1362" t="s">
        <v>13871</v>
      </c>
      <c r="AR1362" t="s">
        <v>13871</v>
      </c>
      <c r="AS1362" t="s">
        <v>13871</v>
      </c>
      <c r="AU1362" t="s">
        <v>396</v>
      </c>
      <c r="AV1362">
        <v>2017</v>
      </c>
      <c r="AW1362" t="str">
        <f>"43-2N-27-4642-0002-0000 "</f>
        <v xml:space="preserve">43-2N-27-4642-0002-0000 </v>
      </c>
      <c r="AX1362">
        <v>85316</v>
      </c>
      <c r="AZ1362" t="s">
        <v>13872</v>
      </c>
      <c r="BA1362" t="s">
        <v>496</v>
      </c>
      <c r="BD1362" t="s">
        <v>2387</v>
      </c>
      <c r="BE1362" t="s">
        <v>393</v>
      </c>
      <c r="BF1362">
        <v>32097</v>
      </c>
      <c r="BG1362" t="s">
        <v>13873</v>
      </c>
      <c r="BH1362" t="s">
        <v>2388</v>
      </c>
      <c r="BI1362">
        <v>-81.575859752223906</v>
      </c>
      <c r="BJ1362">
        <v>30.579021751910702</v>
      </c>
      <c r="BK1362" t="s">
        <v>13874</v>
      </c>
      <c r="BL1362" t="s">
        <v>13875</v>
      </c>
      <c r="BM1362" t="s">
        <v>13873</v>
      </c>
      <c r="BN1362" t="s">
        <v>1778</v>
      </c>
      <c r="BO1362">
        <v>32097</v>
      </c>
      <c r="BP1362" t="s">
        <v>416</v>
      </c>
      <c r="BQ1362">
        <v>100</v>
      </c>
      <c r="BR1362" t="s">
        <v>514</v>
      </c>
      <c r="BS1362">
        <v>1001</v>
      </c>
      <c r="BT1362" t="s">
        <v>515</v>
      </c>
      <c r="BW1362">
        <v>43423</v>
      </c>
      <c r="BX1362" t="s">
        <v>407</v>
      </c>
      <c r="BY1362" t="s">
        <v>408</v>
      </c>
      <c r="BZ1362">
        <v>4</v>
      </c>
      <c r="CA1362">
        <v>1979</v>
      </c>
      <c r="CB1362">
        <v>1</v>
      </c>
      <c r="CC1362">
        <v>1</v>
      </c>
      <c r="CD1362">
        <v>2017</v>
      </c>
      <c r="CE1362">
        <v>28000</v>
      </c>
      <c r="CF1362">
        <v>100964</v>
      </c>
      <c r="CG1362">
        <v>128964</v>
      </c>
      <c r="CH1362">
        <v>2017</v>
      </c>
      <c r="CI1362">
        <v>28000</v>
      </c>
      <c r="CJ1362">
        <v>100964</v>
      </c>
      <c r="CK1362">
        <v>128964</v>
      </c>
      <c r="CL1362">
        <v>2017</v>
      </c>
      <c r="CM1362">
        <v>1952.36</v>
      </c>
      <c r="CN1362" s="1">
        <v>42352</v>
      </c>
      <c r="CO1362">
        <v>82000</v>
      </c>
      <c r="CV1362">
        <v>0</v>
      </c>
      <c r="CZ1362" s="1">
        <v>42352</v>
      </c>
      <c r="DA1362">
        <v>0</v>
      </c>
      <c r="DD1362" t="s">
        <v>2387</v>
      </c>
      <c r="DF1362">
        <v>2</v>
      </c>
      <c r="DG1362">
        <v>43</v>
      </c>
      <c r="DJ1362" t="s">
        <v>13841</v>
      </c>
      <c r="DL1362">
        <v>50303</v>
      </c>
      <c r="DM1362" t="s">
        <v>13628</v>
      </c>
      <c r="DO1362" t="s">
        <v>13876</v>
      </c>
      <c r="DP1362">
        <v>0</v>
      </c>
      <c r="DQ1362">
        <v>0</v>
      </c>
      <c r="DR1362" t="s">
        <v>411</v>
      </c>
      <c r="EP1362" t="s">
        <v>421</v>
      </c>
      <c r="EQ1362" t="s">
        <v>422</v>
      </c>
      <c r="ER1362">
        <v>0</v>
      </c>
      <c r="ES1362">
        <v>1</v>
      </c>
      <c r="ET1362">
        <v>0</v>
      </c>
      <c r="EU1362">
        <v>0</v>
      </c>
      <c r="EV1362">
        <v>0</v>
      </c>
      <c r="EW1362" s="2">
        <v>43222</v>
      </c>
      <c r="EX1362" s="1">
        <v>41052</v>
      </c>
      <c r="EY1362">
        <v>2011</v>
      </c>
      <c r="EZ1362">
        <v>1165.6300000000001</v>
      </c>
      <c r="FA1362" t="s">
        <v>13877</v>
      </c>
      <c r="FB1362">
        <v>0.25</v>
      </c>
      <c r="FC1362" t="s">
        <v>424</v>
      </c>
      <c r="FD1362" t="s">
        <v>425</v>
      </c>
      <c r="FE1362" s="1">
        <v>41122</v>
      </c>
      <c r="FF1362">
        <v>3</v>
      </c>
      <c r="FG1362">
        <v>13708</v>
      </c>
      <c r="FH1362" t="s">
        <v>13878</v>
      </c>
    </row>
    <row r="1363" spans="1:284" x14ac:dyDescent="0.25">
      <c r="A1363">
        <v>16486370</v>
      </c>
      <c r="B1363">
        <v>1362</v>
      </c>
      <c r="C1363" t="s">
        <v>393</v>
      </c>
      <c r="D1363" t="s">
        <v>394</v>
      </c>
      <c r="F1363" t="str">
        <f>"43-2N-27-4642-0007-0000"</f>
        <v>43-2N-27-4642-0007-0000</v>
      </c>
      <c r="H1363" t="str">
        <f>"BROWNING REDDING L/E"</f>
        <v>BROWNING REDDING L/E</v>
      </c>
      <c r="I1363" t="str">
        <f>"85315 WESLEY ROAD"</f>
        <v>85315 WESLEY ROAD</v>
      </c>
      <c r="J1363" t="str">
        <f t="shared" si="471"/>
        <v>YULEE FL 32097</v>
      </c>
      <c r="K1363" t="str">
        <f>"85315 WESLEY RD"</f>
        <v>85315 WESLEY RD</v>
      </c>
      <c r="L1363" t="str">
        <f t="shared" si="456"/>
        <v>YULEE FL 32097</v>
      </c>
      <c r="M1363" t="str">
        <f>"LOTS 7 &amp; 8 IN OR 1999/1515 R673036 &amp; R673037 WILSON NECK HILLS PB 4/62"</f>
        <v>LOTS 7 &amp; 8 IN OR 1999/1515 R673036 &amp; R673037 WILSON NECK HILLS PB 4/62</v>
      </c>
      <c r="N1363" t="str">
        <f>""</f>
        <v/>
      </c>
      <c r="O1363" t="str">
        <f>"49766"</f>
        <v>49766</v>
      </c>
      <c r="P1363" t="str">
        <f t="shared" si="467"/>
        <v>2017</v>
      </c>
      <c r="Q1363" t="str">
        <f>""</f>
        <v/>
      </c>
      <c r="R1363" t="str">
        <f>"Y"</f>
        <v>Y</v>
      </c>
      <c r="S1363" t="str">
        <f>""</f>
        <v/>
      </c>
      <c r="T1363" t="str">
        <f>"780.71"</f>
        <v>780.71</v>
      </c>
      <c r="U1363" t="str">
        <f>"91174.00"</f>
        <v>91174.00</v>
      </c>
      <c r="V1363" t="str">
        <f>"91174.00"</f>
        <v>91174.00</v>
      </c>
      <c r="W1363" t="str">
        <f t="shared" si="468"/>
        <v>2017</v>
      </c>
      <c r="X1363" t="str">
        <f>"4.00"</f>
        <v>4.00</v>
      </c>
      <c r="Y1363" t="str">
        <f>"836.13"</f>
        <v>836.13</v>
      </c>
      <c r="Z1363" t="str">
        <f>"25500.00"</f>
        <v>25500.00</v>
      </c>
      <c r="AA1363" t="str">
        <f>"65674.00"</f>
        <v>65674.00</v>
      </c>
      <c r="AB1363" t="str">
        <f t="shared" si="470"/>
        <v>Residential</v>
      </c>
      <c r="AC1363" t="str">
        <f t="shared" si="445"/>
        <v>0</v>
      </c>
      <c r="AD1363" t="str">
        <f t="shared" si="462"/>
        <v>4</v>
      </c>
      <c r="AE1363" t="str">
        <f t="shared" si="463"/>
        <v>WOOD (INCLUDE STEEL STUDS)</v>
      </c>
      <c r="AF1363" t="str">
        <f t="shared" ref="AF1363:AF1375" si="473">"002"</f>
        <v>002</v>
      </c>
      <c r="AG1363" t="str">
        <f t="shared" si="466"/>
        <v>FL</v>
      </c>
      <c r="AH1363" t="str">
        <f t="shared" si="472"/>
        <v>-</v>
      </c>
      <c r="AI1363" t="str">
        <f>"50400.00"</f>
        <v>50400.00</v>
      </c>
      <c r="AJ1363" t="str">
        <f>"C55-000-588-3190-0"</f>
        <v>C55-000-588-3190-0</v>
      </c>
      <c r="AK1363" t="str">
        <f>"23089"</f>
        <v>23089</v>
      </c>
      <c r="AL1363">
        <v>5</v>
      </c>
      <c r="AM1363">
        <v>1557</v>
      </c>
      <c r="AN1363">
        <v>876.34</v>
      </c>
      <c r="AQ1363" t="s">
        <v>13879</v>
      </c>
      <c r="AR1363" t="s">
        <v>13879</v>
      </c>
      <c r="AS1363" t="s">
        <v>13879</v>
      </c>
      <c r="AU1363" t="s">
        <v>396</v>
      </c>
      <c r="AV1363">
        <v>2017</v>
      </c>
      <c r="AW1363" t="str">
        <f>"43-2N-27-4642-0007-0000 "</f>
        <v xml:space="preserve">43-2N-27-4642-0007-0000 </v>
      </c>
      <c r="AX1363">
        <v>85315</v>
      </c>
      <c r="AZ1363" t="s">
        <v>13880</v>
      </c>
      <c r="BA1363" t="s">
        <v>496</v>
      </c>
      <c r="BD1363" t="s">
        <v>2387</v>
      </c>
      <c r="BE1363" t="s">
        <v>393</v>
      </c>
      <c r="BF1363">
        <v>32097</v>
      </c>
      <c r="BG1363" t="s">
        <v>13881</v>
      </c>
      <c r="BH1363" t="s">
        <v>2388</v>
      </c>
      <c r="BI1363">
        <v>-81.576201395353394</v>
      </c>
      <c r="BJ1363">
        <v>30.5773369894636</v>
      </c>
      <c r="BK1363" t="s">
        <v>13882</v>
      </c>
      <c r="BM1363" t="s">
        <v>13881</v>
      </c>
      <c r="BN1363" t="s">
        <v>1778</v>
      </c>
      <c r="BO1363">
        <v>32097</v>
      </c>
      <c r="BP1363" t="s">
        <v>416</v>
      </c>
      <c r="BQ1363">
        <v>200</v>
      </c>
      <c r="BR1363" t="s">
        <v>405</v>
      </c>
      <c r="BS1363">
        <v>1006</v>
      </c>
      <c r="BT1363" t="s">
        <v>406</v>
      </c>
      <c r="BW1363">
        <v>94178</v>
      </c>
      <c r="BX1363" t="s">
        <v>407</v>
      </c>
      <c r="BY1363" t="s">
        <v>408</v>
      </c>
      <c r="BZ1363">
        <v>4</v>
      </c>
      <c r="CA1363">
        <v>1997</v>
      </c>
      <c r="CB1363">
        <v>1</v>
      </c>
      <c r="CC1363">
        <v>1</v>
      </c>
      <c r="CD1363">
        <v>2017</v>
      </c>
      <c r="CG1363">
        <v>91174</v>
      </c>
      <c r="CH1363">
        <v>2017</v>
      </c>
      <c r="CI1363">
        <v>50400</v>
      </c>
      <c r="CJ1363">
        <v>84406</v>
      </c>
      <c r="CK1363">
        <v>134806</v>
      </c>
      <c r="CL1363">
        <v>2017</v>
      </c>
      <c r="CM1363">
        <v>780.71</v>
      </c>
      <c r="CN1363" s="1">
        <v>38876</v>
      </c>
      <c r="CO1363">
        <v>130000</v>
      </c>
      <c r="CV1363">
        <v>0</v>
      </c>
      <c r="CZ1363" s="1">
        <v>38876</v>
      </c>
      <c r="DA1363">
        <v>0</v>
      </c>
      <c r="DD1363" t="s">
        <v>2387</v>
      </c>
      <c r="DG1363">
        <v>43</v>
      </c>
      <c r="DL1363">
        <v>50302</v>
      </c>
      <c r="DM1363" t="s">
        <v>13628</v>
      </c>
      <c r="DO1363" t="s">
        <v>13883</v>
      </c>
      <c r="DP1363">
        <v>0</v>
      </c>
      <c r="DQ1363">
        <v>0</v>
      </c>
      <c r="DR1363" t="s">
        <v>411</v>
      </c>
    </row>
    <row r="1364" spans="1:284" x14ac:dyDescent="0.25">
      <c r="A1364">
        <v>16486371</v>
      </c>
      <c r="B1364">
        <v>1363</v>
      </c>
      <c r="C1364" t="s">
        <v>393</v>
      </c>
      <c r="D1364" t="s">
        <v>394</v>
      </c>
      <c r="F1364" t="str">
        <f>"43-2N-27-4642-0041-0000"</f>
        <v>43-2N-27-4642-0041-0000</v>
      </c>
      <c r="H1364" t="str">
        <f>"EDWARDS DEBRA L"</f>
        <v>EDWARDS DEBRA L</v>
      </c>
      <c r="I1364" t="str">
        <f>"85262 LINDA RD"</f>
        <v>85262 LINDA RD</v>
      </c>
      <c r="J1364" t="str">
        <f t="shared" si="471"/>
        <v>YULEE FL 32097</v>
      </c>
      <c r="K1364" t="str">
        <f>"85262 LINDA RD"</f>
        <v>85262 LINDA RD</v>
      </c>
      <c r="L1364" t="str">
        <f t="shared" si="456"/>
        <v>YULEE FL 32097</v>
      </c>
      <c r="M1364" t="str">
        <f>"LOT 41 IN OR 2044/1289 WILSON NECK HILLS PB 4/62"</f>
        <v>LOT 41 IN OR 2044/1289 WILSON NECK HILLS PB 4/62</v>
      </c>
      <c r="N1364" t="str">
        <f>""</f>
        <v/>
      </c>
      <c r="O1364" t="str">
        <f>"49796"</f>
        <v>49796</v>
      </c>
      <c r="P1364" t="str">
        <f t="shared" si="467"/>
        <v>2017</v>
      </c>
      <c r="Q1364" t="str">
        <f>""</f>
        <v/>
      </c>
      <c r="R1364" t="str">
        <f>"Y"</f>
        <v>Y</v>
      </c>
      <c r="S1364" t="str">
        <f>""</f>
        <v/>
      </c>
      <c r="T1364" t="str">
        <f>"937.16"</f>
        <v>937.16</v>
      </c>
      <c r="U1364" t="str">
        <f>"101009.00"</f>
        <v>101009.00</v>
      </c>
      <c r="V1364" t="str">
        <f>"101009.00"</f>
        <v>101009.00</v>
      </c>
      <c r="W1364" t="str">
        <f t="shared" si="468"/>
        <v>2017</v>
      </c>
      <c r="X1364" t="str">
        <f>"13.00"</f>
        <v>13.00</v>
      </c>
      <c r="Y1364" t="str">
        <f>"997.27"</f>
        <v>997.27</v>
      </c>
      <c r="Z1364" t="str">
        <f>"25000.00"</f>
        <v>25000.00</v>
      </c>
      <c r="AA1364" t="str">
        <f>"76009.00"</f>
        <v>76009.00</v>
      </c>
      <c r="AB1364" t="str">
        <f t="shared" si="470"/>
        <v>Residential</v>
      </c>
      <c r="AC1364" t="str">
        <f t="shared" si="445"/>
        <v>0</v>
      </c>
      <c r="AD1364" t="str">
        <f t="shared" si="462"/>
        <v>4</v>
      </c>
      <c r="AE1364" t="str">
        <f t="shared" si="463"/>
        <v>WOOD (INCLUDE STEEL STUDS)</v>
      </c>
      <c r="AF1364" t="str">
        <f t="shared" si="473"/>
        <v>002</v>
      </c>
      <c r="AG1364" t="str">
        <f t="shared" si="466"/>
        <v>FL</v>
      </c>
      <c r="AH1364" t="str">
        <f t="shared" si="472"/>
        <v>-</v>
      </c>
      <c r="AI1364" t="str">
        <f t="shared" ref="AI1364:AI1370" si="474">"28000.00"</f>
        <v>28000.00</v>
      </c>
      <c r="AJ1364" t="str">
        <f>"C55-000-588-3220-5"</f>
        <v>C55-000-588-3220-5</v>
      </c>
      <c r="AK1364" t="str">
        <f>"23119"</f>
        <v>23119</v>
      </c>
      <c r="AL1364">
        <v>5</v>
      </c>
      <c r="AM1364">
        <v>1559</v>
      </c>
      <c r="AN1364">
        <v>1045.53</v>
      </c>
      <c r="AQ1364" t="s">
        <v>13884</v>
      </c>
      <c r="AR1364" t="s">
        <v>13884</v>
      </c>
      <c r="AS1364" t="s">
        <v>13884</v>
      </c>
      <c r="AU1364" t="s">
        <v>396</v>
      </c>
      <c r="AV1364">
        <v>2017</v>
      </c>
      <c r="AW1364" t="str">
        <f>"43-2N-27-4642-0041-0000 "</f>
        <v xml:space="preserve">43-2N-27-4642-0041-0000 </v>
      </c>
      <c r="AX1364">
        <v>85262</v>
      </c>
      <c r="AZ1364" t="s">
        <v>13885</v>
      </c>
      <c r="BA1364" t="s">
        <v>496</v>
      </c>
      <c r="BD1364" t="s">
        <v>2387</v>
      </c>
      <c r="BE1364" t="s">
        <v>393</v>
      </c>
      <c r="BF1364">
        <v>32097</v>
      </c>
      <c r="BG1364" t="s">
        <v>13886</v>
      </c>
      <c r="BH1364" t="s">
        <v>2388</v>
      </c>
      <c r="BI1364">
        <v>-81.578150871513301</v>
      </c>
      <c r="BJ1364">
        <v>30.579423884697</v>
      </c>
      <c r="BK1364" t="s">
        <v>13887</v>
      </c>
      <c r="BM1364" t="s">
        <v>13888</v>
      </c>
      <c r="BN1364" t="s">
        <v>548</v>
      </c>
      <c r="BO1364">
        <v>32221</v>
      </c>
      <c r="BP1364" t="s">
        <v>404</v>
      </c>
      <c r="BQ1364">
        <v>200</v>
      </c>
      <c r="BR1364" t="s">
        <v>405</v>
      </c>
      <c r="BS1364">
        <v>1006</v>
      </c>
      <c r="BT1364" t="s">
        <v>406</v>
      </c>
      <c r="BW1364">
        <v>43607</v>
      </c>
      <c r="BX1364" t="s">
        <v>407</v>
      </c>
      <c r="BY1364" t="s">
        <v>408</v>
      </c>
      <c r="BZ1364">
        <v>4</v>
      </c>
      <c r="CA1364">
        <v>2016</v>
      </c>
      <c r="CB1364">
        <v>1</v>
      </c>
      <c r="CC1364">
        <v>1</v>
      </c>
      <c r="CD1364">
        <v>2017</v>
      </c>
      <c r="CE1364">
        <v>28000</v>
      </c>
      <c r="CF1364">
        <v>73009</v>
      </c>
      <c r="CG1364">
        <v>101009</v>
      </c>
      <c r="CH1364">
        <v>2017</v>
      </c>
      <c r="CI1364">
        <v>28000</v>
      </c>
      <c r="CJ1364">
        <v>73009</v>
      </c>
      <c r="CK1364">
        <v>101009</v>
      </c>
      <c r="CL1364">
        <v>2017</v>
      </c>
      <c r="CM1364">
        <v>937.16</v>
      </c>
      <c r="CN1364" s="1">
        <v>42500</v>
      </c>
      <c r="CO1364">
        <v>28000</v>
      </c>
      <c r="CV1364">
        <v>0</v>
      </c>
      <c r="CZ1364" s="1">
        <v>42500</v>
      </c>
      <c r="DA1364">
        <v>0</v>
      </c>
      <c r="DD1364" t="s">
        <v>2387</v>
      </c>
      <c r="DG1364">
        <v>43</v>
      </c>
      <c r="DL1364">
        <v>50302</v>
      </c>
      <c r="DM1364" t="s">
        <v>13628</v>
      </c>
      <c r="DO1364" t="s">
        <v>13889</v>
      </c>
      <c r="DP1364">
        <v>0</v>
      </c>
      <c r="DQ1364">
        <v>0</v>
      </c>
      <c r="DR1364" t="s">
        <v>411</v>
      </c>
      <c r="DS1364" t="b">
        <v>1</v>
      </c>
      <c r="DT1364" t="s">
        <v>470</v>
      </c>
      <c r="DU1364" t="s">
        <v>471</v>
      </c>
      <c r="DV1364" t="s">
        <v>472</v>
      </c>
      <c r="DX1364">
        <v>-9999</v>
      </c>
      <c r="DZ1364" t="s">
        <v>447</v>
      </c>
      <c r="EA1364" t="s">
        <v>448</v>
      </c>
      <c r="EB1364" t="s">
        <v>742</v>
      </c>
      <c r="EC1364">
        <v>20101217</v>
      </c>
      <c r="ED1364" t="s">
        <v>474</v>
      </c>
      <c r="EF1364">
        <v>1390.1</v>
      </c>
      <c r="EG1364">
        <v>627.9</v>
      </c>
      <c r="EH1364" t="s">
        <v>451</v>
      </c>
      <c r="EI1364">
        <v>20140731</v>
      </c>
      <c r="EJ1364">
        <v>0</v>
      </c>
      <c r="EK1364">
        <v>0</v>
      </c>
      <c r="EP1364" t="s">
        <v>421</v>
      </c>
      <c r="EQ1364" t="s">
        <v>452</v>
      </c>
      <c r="ER1364">
        <v>0</v>
      </c>
      <c r="ES1364">
        <v>4</v>
      </c>
      <c r="ET1364">
        <v>0</v>
      </c>
      <c r="EU1364">
        <v>0</v>
      </c>
      <c r="EV1364">
        <v>0</v>
      </c>
      <c r="EW1364" s="2">
        <v>43222</v>
      </c>
      <c r="EX1364" s="1">
        <v>42151</v>
      </c>
      <c r="EY1364">
        <v>2014</v>
      </c>
      <c r="EZ1364">
        <v>452.47</v>
      </c>
      <c r="FA1364" t="s">
        <v>13890</v>
      </c>
      <c r="FB1364">
        <v>4</v>
      </c>
      <c r="FC1364" t="s">
        <v>424</v>
      </c>
      <c r="FD1364" t="s">
        <v>425</v>
      </c>
      <c r="FE1364" s="1">
        <v>42167</v>
      </c>
      <c r="FF1364">
        <v>1</v>
      </c>
      <c r="FG1364">
        <v>15399</v>
      </c>
      <c r="FH1364" t="s">
        <v>485</v>
      </c>
      <c r="FI1364" t="s">
        <v>458</v>
      </c>
      <c r="FJ1364" s="1">
        <v>42151</v>
      </c>
      <c r="FK1364">
        <v>2014</v>
      </c>
      <c r="FL1364">
        <v>452.47</v>
      </c>
      <c r="FM1364" t="s">
        <v>13890</v>
      </c>
      <c r="FN1364">
        <v>4</v>
      </c>
      <c r="FO1364" t="s">
        <v>424</v>
      </c>
      <c r="FP1364" t="s">
        <v>425</v>
      </c>
      <c r="FR1364">
        <v>22</v>
      </c>
      <c r="FS1364">
        <v>7045024</v>
      </c>
      <c r="FT1364" t="s">
        <v>10917</v>
      </c>
      <c r="FU1364" t="s">
        <v>458</v>
      </c>
      <c r="FV1364" s="1">
        <v>41787</v>
      </c>
      <c r="FW1364">
        <v>2013</v>
      </c>
      <c r="FX1364">
        <v>457.4</v>
      </c>
      <c r="FY1364" t="s">
        <v>13891</v>
      </c>
      <c r="FZ1364">
        <v>2.25</v>
      </c>
      <c r="GA1364" t="s">
        <v>424</v>
      </c>
      <c r="GB1364" t="s">
        <v>425</v>
      </c>
      <c r="GC1364" s="1">
        <v>42167</v>
      </c>
      <c r="GD1364">
        <v>13</v>
      </c>
      <c r="GE1364">
        <v>10125</v>
      </c>
      <c r="GF1364" t="s">
        <v>440</v>
      </c>
      <c r="GG1364" t="s">
        <v>458</v>
      </c>
      <c r="GH1364" s="1">
        <v>41423</v>
      </c>
      <c r="GI1364">
        <v>2012</v>
      </c>
      <c r="GJ1364">
        <v>462.84</v>
      </c>
      <c r="GK1364" t="s">
        <v>13892</v>
      </c>
      <c r="GL1364">
        <v>0.25</v>
      </c>
      <c r="GM1364" t="s">
        <v>424</v>
      </c>
      <c r="GN1364" t="s">
        <v>425</v>
      </c>
      <c r="GP1364">
        <v>22</v>
      </c>
      <c r="GQ1364">
        <v>1625515</v>
      </c>
      <c r="GR1364" t="s">
        <v>487</v>
      </c>
      <c r="GS1364" t="s">
        <v>458</v>
      </c>
    </row>
    <row r="1365" spans="1:284" x14ac:dyDescent="0.25">
      <c r="A1365">
        <v>16486372</v>
      </c>
      <c r="B1365">
        <v>1364</v>
      </c>
      <c r="C1365" t="s">
        <v>393</v>
      </c>
      <c r="D1365" t="s">
        <v>394</v>
      </c>
      <c r="F1365" t="str">
        <f>"43-2N-27-4642-0046-0000"</f>
        <v>43-2N-27-4642-0046-0000</v>
      </c>
      <c r="H1365" t="str">
        <f>"MELVIN KENNETH J III"</f>
        <v>MELVIN KENNETH J III</v>
      </c>
      <c r="I1365" t="str">
        <f>"85126 LINDA RD"</f>
        <v>85126 LINDA RD</v>
      </c>
      <c r="J1365" t="str">
        <f t="shared" si="471"/>
        <v>YULEE FL 32097</v>
      </c>
      <c r="K1365" t="str">
        <f>"85126 LINDA RD"</f>
        <v>85126 LINDA RD</v>
      </c>
      <c r="L1365" t="str">
        <f t="shared" si="456"/>
        <v>YULEE FL 32097</v>
      </c>
      <c r="M1365" t="str">
        <f>"LOT 46 R583913 IN OR 1928/783 WILSON NECK HILLS PB 4/62"</f>
        <v>LOT 46 R583913 IN OR 1928/783 WILSON NECK HILLS PB 4/62</v>
      </c>
      <c r="N1365" t="str">
        <f>""</f>
        <v/>
      </c>
      <c r="O1365" t="str">
        <f>"49800"</f>
        <v>49800</v>
      </c>
      <c r="P1365" t="str">
        <f t="shared" si="467"/>
        <v>2017</v>
      </c>
      <c r="Q1365" t="str">
        <f>""</f>
        <v/>
      </c>
      <c r="R1365" t="str">
        <f>"N"</f>
        <v>N</v>
      </c>
      <c r="S1365" t="str">
        <f>""</f>
        <v/>
      </c>
      <c r="T1365" t="str">
        <f>"544.30"</f>
        <v>544.30</v>
      </c>
      <c r="U1365" t="str">
        <f>"34416.00"</f>
        <v>34416.00</v>
      </c>
      <c r="V1365" t="str">
        <f>"34416.00"</f>
        <v>34416.00</v>
      </c>
      <c r="W1365" t="str">
        <f t="shared" si="468"/>
        <v>2017</v>
      </c>
      <c r="X1365" t="str">
        <f>"12.67"</f>
        <v>12.67</v>
      </c>
      <c r="Y1365" t="str">
        <f>"592.63"</f>
        <v>592.63</v>
      </c>
      <c r="Z1365" t="str">
        <f>""</f>
        <v/>
      </c>
      <c r="AA1365" t="str">
        <f>"37947.00"</f>
        <v>37947.00</v>
      </c>
      <c r="AB1365" t="str">
        <f t="shared" si="470"/>
        <v>Residential</v>
      </c>
      <c r="AC1365" t="str">
        <f t="shared" si="445"/>
        <v>0</v>
      </c>
      <c r="AD1365" t="str">
        <f t="shared" si="462"/>
        <v>4</v>
      </c>
      <c r="AE1365" t="str">
        <f t="shared" si="463"/>
        <v>WOOD (INCLUDE STEEL STUDS)</v>
      </c>
      <c r="AF1365" t="str">
        <f t="shared" si="473"/>
        <v>002</v>
      </c>
      <c r="AG1365" t="str">
        <f t="shared" si="466"/>
        <v>FL</v>
      </c>
      <c r="AH1365" t="str">
        <f t="shared" si="472"/>
        <v>-</v>
      </c>
      <c r="AI1365" t="str">
        <f t="shared" si="474"/>
        <v>28000.00</v>
      </c>
      <c r="AJ1365" t="str">
        <f>"C55-000-588-3224-7"</f>
        <v>C55-000-588-3224-7</v>
      </c>
      <c r="AK1365" t="str">
        <f>"23123"</f>
        <v>23123</v>
      </c>
      <c r="AL1365">
        <v>5</v>
      </c>
      <c r="AM1365">
        <v>1560</v>
      </c>
      <c r="AN1365">
        <v>620.66</v>
      </c>
      <c r="AQ1365" t="s">
        <v>13893</v>
      </c>
      <c r="AR1365" t="s">
        <v>13893</v>
      </c>
      <c r="AS1365" t="s">
        <v>13893</v>
      </c>
      <c r="AU1365" t="s">
        <v>396</v>
      </c>
      <c r="AV1365">
        <v>2017</v>
      </c>
      <c r="AW1365" t="str">
        <f>"43-2N-27-4642-0046-0000 "</f>
        <v xml:space="preserve">43-2N-27-4642-0046-0000 </v>
      </c>
      <c r="AX1365">
        <v>85126</v>
      </c>
      <c r="AZ1365" t="s">
        <v>13885</v>
      </c>
      <c r="BA1365" t="s">
        <v>496</v>
      </c>
      <c r="BD1365" t="s">
        <v>2387</v>
      </c>
      <c r="BE1365" t="s">
        <v>393</v>
      </c>
      <c r="BF1365">
        <v>32097</v>
      </c>
      <c r="BG1365" t="s">
        <v>13894</v>
      </c>
      <c r="BH1365" t="s">
        <v>2388</v>
      </c>
      <c r="BI1365">
        <v>-81.579700279134101</v>
      </c>
      <c r="BJ1365">
        <v>30.577857064208199</v>
      </c>
      <c r="BK1365" t="s">
        <v>13895</v>
      </c>
      <c r="BM1365" t="s">
        <v>13894</v>
      </c>
      <c r="BN1365" t="s">
        <v>1778</v>
      </c>
      <c r="BO1365">
        <v>32097</v>
      </c>
      <c r="BP1365" t="s">
        <v>416</v>
      </c>
      <c r="BQ1365">
        <v>200</v>
      </c>
      <c r="BR1365" t="s">
        <v>405</v>
      </c>
      <c r="BS1365">
        <v>1006</v>
      </c>
      <c r="BT1365" t="s">
        <v>406</v>
      </c>
      <c r="BW1365">
        <v>43668</v>
      </c>
      <c r="BX1365" t="s">
        <v>407</v>
      </c>
      <c r="BY1365" t="s">
        <v>408</v>
      </c>
      <c r="BZ1365">
        <v>4</v>
      </c>
      <c r="CA1365">
        <v>1986</v>
      </c>
      <c r="CB1365">
        <v>1</v>
      </c>
      <c r="CC1365">
        <v>1</v>
      </c>
      <c r="CD1365">
        <v>2017</v>
      </c>
      <c r="CE1365">
        <v>28000</v>
      </c>
      <c r="CF1365">
        <v>9947</v>
      </c>
      <c r="CG1365">
        <v>37947</v>
      </c>
      <c r="CH1365">
        <v>2017</v>
      </c>
      <c r="CI1365">
        <v>28000</v>
      </c>
      <c r="CJ1365">
        <v>9947</v>
      </c>
      <c r="CK1365">
        <v>37947</v>
      </c>
      <c r="CL1365">
        <v>2017</v>
      </c>
      <c r="CM1365">
        <v>544.29999999999995</v>
      </c>
      <c r="CN1365" s="1">
        <v>41215</v>
      </c>
      <c r="CO1365">
        <v>35000</v>
      </c>
      <c r="CV1365">
        <v>7000</v>
      </c>
      <c r="CX1365" t="s">
        <v>707</v>
      </c>
      <c r="CZ1365" s="1">
        <v>41215</v>
      </c>
      <c r="DA1365">
        <v>0</v>
      </c>
      <c r="DD1365" t="s">
        <v>2387</v>
      </c>
      <c r="DF1365">
        <v>46</v>
      </c>
      <c r="DG1365">
        <v>43</v>
      </c>
      <c r="DJ1365" t="s">
        <v>13841</v>
      </c>
      <c r="DL1365">
        <v>50302</v>
      </c>
      <c r="DM1365" t="s">
        <v>13628</v>
      </c>
      <c r="DO1365" t="s">
        <v>13896</v>
      </c>
      <c r="DP1365">
        <v>0</v>
      </c>
      <c r="DQ1365">
        <v>0</v>
      </c>
      <c r="DR1365" t="s">
        <v>411</v>
      </c>
      <c r="DS1365" t="b">
        <v>1</v>
      </c>
      <c r="DT1365" t="s">
        <v>470</v>
      </c>
      <c r="DU1365" t="s">
        <v>10249</v>
      </c>
      <c r="DV1365" t="s">
        <v>472</v>
      </c>
      <c r="DX1365">
        <v>-9999</v>
      </c>
      <c r="DZ1365" t="s">
        <v>447</v>
      </c>
      <c r="EA1365" t="s">
        <v>448</v>
      </c>
      <c r="EB1365" t="s">
        <v>13630</v>
      </c>
      <c r="EC1365">
        <v>20101217</v>
      </c>
      <c r="ED1365" t="s">
        <v>10251</v>
      </c>
      <c r="EE1365">
        <v>5</v>
      </c>
      <c r="EF1365">
        <v>656.9</v>
      </c>
      <c r="EG1365">
        <v>0</v>
      </c>
      <c r="EI1365">
        <v>20160407</v>
      </c>
      <c r="EJ1365">
        <v>0</v>
      </c>
      <c r="EK1365">
        <v>0</v>
      </c>
      <c r="EP1365" t="s">
        <v>421</v>
      </c>
      <c r="EQ1365" t="s">
        <v>452</v>
      </c>
      <c r="ER1365">
        <v>0</v>
      </c>
      <c r="ES1365">
        <v>4</v>
      </c>
      <c r="ET1365">
        <v>0</v>
      </c>
      <c r="EU1365">
        <v>0</v>
      </c>
      <c r="EV1365">
        <v>0</v>
      </c>
      <c r="EW1365" s="2">
        <v>43222</v>
      </c>
      <c r="EX1365" s="1">
        <v>42515</v>
      </c>
      <c r="EY1365">
        <v>2015</v>
      </c>
      <c r="EZ1365">
        <v>548.95000000000005</v>
      </c>
      <c r="FA1365" t="s">
        <v>13897</v>
      </c>
      <c r="FB1365">
        <v>0.25</v>
      </c>
      <c r="FC1365" t="s">
        <v>424</v>
      </c>
      <c r="FD1365" t="s">
        <v>425</v>
      </c>
      <c r="FE1365" s="1">
        <v>42852</v>
      </c>
      <c r="FF1365">
        <v>11</v>
      </c>
      <c r="FG1365">
        <v>2851116</v>
      </c>
      <c r="FH1365" t="s">
        <v>480</v>
      </c>
      <c r="FI1365" t="s">
        <v>458</v>
      </c>
      <c r="FJ1365" s="1">
        <v>42515</v>
      </c>
      <c r="FK1365">
        <v>2015</v>
      </c>
      <c r="FL1365">
        <v>548.95000000000005</v>
      </c>
      <c r="FM1365" t="s">
        <v>13897</v>
      </c>
      <c r="FN1365">
        <v>0.25</v>
      </c>
      <c r="FO1365" t="s">
        <v>424</v>
      </c>
      <c r="FP1365" t="s">
        <v>425</v>
      </c>
      <c r="FR1365">
        <v>22</v>
      </c>
      <c r="FS1365">
        <v>5347966</v>
      </c>
      <c r="FT1365" t="s">
        <v>13898</v>
      </c>
      <c r="FU1365" t="s">
        <v>458</v>
      </c>
      <c r="FV1365" s="1">
        <v>42151</v>
      </c>
      <c r="FW1365">
        <v>2014</v>
      </c>
      <c r="FX1365">
        <v>463.45</v>
      </c>
      <c r="FY1365" t="s">
        <v>13899</v>
      </c>
      <c r="FZ1365">
        <v>3.75</v>
      </c>
      <c r="GA1365" t="s">
        <v>424</v>
      </c>
      <c r="GB1365" t="s">
        <v>425</v>
      </c>
      <c r="GD1365">
        <v>22</v>
      </c>
      <c r="GE1365">
        <v>4975593</v>
      </c>
      <c r="GF1365" t="s">
        <v>505</v>
      </c>
      <c r="GG1365" t="s">
        <v>458</v>
      </c>
      <c r="GH1365" s="1">
        <v>41787</v>
      </c>
      <c r="GI1365">
        <v>2013</v>
      </c>
      <c r="GJ1365">
        <v>509</v>
      </c>
      <c r="GK1365" t="s">
        <v>13900</v>
      </c>
      <c r="GL1365">
        <v>2.25</v>
      </c>
      <c r="GM1365" t="s">
        <v>424</v>
      </c>
      <c r="GN1365" t="s">
        <v>425</v>
      </c>
      <c r="GO1365" s="1">
        <v>41893</v>
      </c>
      <c r="GP1365">
        <v>4</v>
      </c>
      <c r="GQ1365">
        <v>10125</v>
      </c>
      <c r="GR1365" t="s">
        <v>440</v>
      </c>
    </row>
    <row r="1366" spans="1:284" x14ac:dyDescent="0.25">
      <c r="A1366">
        <v>16486373</v>
      </c>
      <c r="B1366">
        <v>1365</v>
      </c>
      <c r="C1366" t="s">
        <v>393</v>
      </c>
      <c r="D1366" t="s">
        <v>394</v>
      </c>
      <c r="F1366" t="str">
        <f>"43-2N-27-4643-0030-0000"</f>
        <v>43-2N-27-4643-0030-0000</v>
      </c>
      <c r="H1366" t="str">
        <f>"MULLIN HENRY J SR &amp; CLARA L"</f>
        <v>MULLIN HENRY J SR &amp; CLARA L</v>
      </c>
      <c r="I1366" t="str">
        <f>"85344 LANA ROAD"</f>
        <v>85344 LANA ROAD</v>
      </c>
      <c r="J1366" t="str">
        <f t="shared" si="471"/>
        <v>YULEE FL 32097</v>
      </c>
      <c r="K1366" t="str">
        <f>"85344 LANA RD"</f>
        <v>85344 LANA RD</v>
      </c>
      <c r="L1366" t="str">
        <f t="shared" si="456"/>
        <v>YULEE FL 32097</v>
      </c>
      <c r="M1366" t="str">
        <f>"TRACT 30 IN OR 703 PG 102 8D610261NA &amp; 8D610261NB WILSON NECK HILLS 2 UNR"</f>
        <v>TRACT 30 IN OR 703 PG 102 8D610261NA &amp; 8D610261NB WILSON NECK HILLS 2 UNR</v>
      </c>
      <c r="N1366" t="str">
        <f>""</f>
        <v/>
      </c>
      <c r="O1366" t="str">
        <f>"49836"</f>
        <v>49836</v>
      </c>
      <c r="P1366" t="str">
        <f t="shared" si="467"/>
        <v>2017</v>
      </c>
      <c r="Q1366" t="str">
        <f>""</f>
        <v/>
      </c>
      <c r="R1366" t="str">
        <f>"Y"</f>
        <v>Y</v>
      </c>
      <c r="S1366" t="str">
        <f>""</f>
        <v/>
      </c>
      <c r="T1366" t="str">
        <f>"422.57"</f>
        <v>422.57</v>
      </c>
      <c r="U1366" t="str">
        <f>"56682.00"</f>
        <v>56682.00</v>
      </c>
      <c r="V1366" t="str">
        <f>"56682.00"</f>
        <v>56682.00</v>
      </c>
      <c r="W1366" t="str">
        <f t="shared" si="468"/>
        <v>2017</v>
      </c>
      <c r="X1366" t="str">
        <f>""</f>
        <v/>
      </c>
      <c r="Y1366" t="str">
        <f>"467.25"</f>
        <v>467.25</v>
      </c>
      <c r="Z1366" t="str">
        <f>"25000.00"</f>
        <v>25000.00</v>
      </c>
      <c r="AA1366" t="str">
        <f>"31682.00"</f>
        <v>31682.00</v>
      </c>
      <c r="AB1366" t="str">
        <f t="shared" si="470"/>
        <v>Residential</v>
      </c>
      <c r="AC1366" t="str">
        <f t="shared" si="445"/>
        <v>0</v>
      </c>
      <c r="AD1366" t="str">
        <f t="shared" si="462"/>
        <v>4</v>
      </c>
      <c r="AE1366" t="str">
        <f t="shared" si="463"/>
        <v>WOOD (INCLUDE STEEL STUDS)</v>
      </c>
      <c r="AF1366" t="str">
        <f t="shared" si="473"/>
        <v>002</v>
      </c>
      <c r="AG1366" t="str">
        <f t="shared" si="466"/>
        <v>FL</v>
      </c>
      <c r="AH1366" t="str">
        <f t="shared" si="472"/>
        <v>-</v>
      </c>
      <c r="AI1366" t="str">
        <f t="shared" si="474"/>
        <v>28000.00</v>
      </c>
      <c r="AJ1366" t="str">
        <f>"C55-000-588-3259-3"</f>
        <v>C55-000-588-3259-3</v>
      </c>
      <c r="AK1366" t="str">
        <f>"23159"</f>
        <v>23159</v>
      </c>
      <c r="AL1366">
        <v>5</v>
      </c>
      <c r="AM1366">
        <v>1561</v>
      </c>
      <c r="AN1366">
        <v>489.01</v>
      </c>
      <c r="AQ1366" t="s">
        <v>13901</v>
      </c>
      <c r="AR1366" t="s">
        <v>13901</v>
      </c>
      <c r="AS1366" t="s">
        <v>13901</v>
      </c>
      <c r="AU1366" t="s">
        <v>396</v>
      </c>
      <c r="AV1366">
        <v>2017</v>
      </c>
      <c r="AW1366" t="str">
        <f>"43-2N-27-4643-0030-0000 "</f>
        <v xml:space="preserve">43-2N-27-4643-0030-0000 </v>
      </c>
      <c r="AX1366">
        <v>85344</v>
      </c>
      <c r="AZ1366" t="s">
        <v>13902</v>
      </c>
      <c r="BA1366" t="s">
        <v>496</v>
      </c>
      <c r="BD1366" t="s">
        <v>2387</v>
      </c>
      <c r="BE1366" t="s">
        <v>393</v>
      </c>
      <c r="BF1366">
        <v>32097</v>
      </c>
      <c r="BG1366" t="s">
        <v>13903</v>
      </c>
      <c r="BH1366" t="s">
        <v>2388</v>
      </c>
      <c r="BI1366">
        <v>-81.579523311118706</v>
      </c>
      <c r="BJ1366">
        <v>30.582185832482701</v>
      </c>
      <c r="BK1366" t="s">
        <v>13904</v>
      </c>
      <c r="BL1366" t="s">
        <v>13905</v>
      </c>
      <c r="BM1366" t="s">
        <v>13903</v>
      </c>
      <c r="BN1366" t="s">
        <v>1778</v>
      </c>
      <c r="BO1366">
        <v>32097</v>
      </c>
      <c r="BP1366" t="s">
        <v>416</v>
      </c>
      <c r="BQ1366">
        <v>200</v>
      </c>
      <c r="BR1366" t="s">
        <v>405</v>
      </c>
      <c r="BS1366">
        <v>1006</v>
      </c>
      <c r="BT1366" t="s">
        <v>406</v>
      </c>
      <c r="BW1366">
        <v>72439</v>
      </c>
      <c r="BX1366" t="s">
        <v>407</v>
      </c>
      <c r="BY1366" t="s">
        <v>408</v>
      </c>
      <c r="BZ1366">
        <v>4</v>
      </c>
      <c r="CA1366">
        <v>2000</v>
      </c>
      <c r="CB1366">
        <v>1</v>
      </c>
      <c r="CC1366">
        <v>1</v>
      </c>
      <c r="CD1366">
        <v>2017</v>
      </c>
      <c r="CG1366">
        <v>56682</v>
      </c>
      <c r="CH1366">
        <v>2017</v>
      </c>
      <c r="CI1366">
        <v>28000</v>
      </c>
      <c r="CJ1366">
        <v>47630</v>
      </c>
      <c r="CK1366">
        <v>75630</v>
      </c>
      <c r="CL1366">
        <v>2017</v>
      </c>
      <c r="CM1366">
        <v>422.57</v>
      </c>
      <c r="CN1366" s="1">
        <v>34449</v>
      </c>
      <c r="CO1366">
        <v>7000</v>
      </c>
      <c r="CZ1366" s="1">
        <v>34449</v>
      </c>
      <c r="DD1366" t="s">
        <v>2387</v>
      </c>
      <c r="DG1366">
        <v>43</v>
      </c>
      <c r="DL1366">
        <v>50302</v>
      </c>
      <c r="DM1366" t="s">
        <v>13628</v>
      </c>
      <c r="DO1366" t="s">
        <v>13906</v>
      </c>
      <c r="DP1366">
        <v>0</v>
      </c>
      <c r="DQ1366">
        <v>0</v>
      </c>
      <c r="DR1366" t="s">
        <v>411</v>
      </c>
    </row>
    <row r="1367" spans="1:284" x14ac:dyDescent="0.25">
      <c r="A1367">
        <v>16486374</v>
      </c>
      <c r="B1367">
        <v>1366</v>
      </c>
      <c r="C1367" t="s">
        <v>393</v>
      </c>
      <c r="D1367" t="s">
        <v>394</v>
      </c>
      <c r="F1367" t="str">
        <f>"43-2N-27-4643-0040-0000"</f>
        <v>43-2N-27-4643-0040-0000</v>
      </c>
      <c r="H1367" t="str">
        <f>"NELSON BARBARA"</f>
        <v>NELSON BARBARA</v>
      </c>
      <c r="I1367" t="str">
        <f>"85592 LANA ROAD"</f>
        <v>85592 LANA ROAD</v>
      </c>
      <c r="J1367" t="str">
        <f t="shared" si="471"/>
        <v>YULEE FL 32097</v>
      </c>
      <c r="K1367" t="str">
        <f>"85592 LANA RD"</f>
        <v>85592 LANA RD</v>
      </c>
      <c r="L1367" t="str">
        <f t="shared" si="456"/>
        <v>YULEE FL 32097</v>
      </c>
      <c r="M1367" t="str">
        <f>"TRACT 40 IN OR 840/884 &amp; OR 1652/1006 R673919 &amp; R673920 WILSON NECK HILLS 2 UNR"</f>
        <v>TRACT 40 IN OR 840/884 &amp; OR 1652/1006 R673919 &amp; R673920 WILSON NECK HILLS 2 UNR</v>
      </c>
      <c r="N1367" t="str">
        <f>""</f>
        <v/>
      </c>
      <c r="O1367" t="str">
        <f>"49846"</f>
        <v>49846</v>
      </c>
      <c r="P1367" t="str">
        <f t="shared" si="467"/>
        <v>2017</v>
      </c>
      <c r="Q1367" t="str">
        <f>""</f>
        <v/>
      </c>
      <c r="R1367" t="str">
        <f>"Y"</f>
        <v>Y</v>
      </c>
      <c r="S1367" t="str">
        <f>""</f>
        <v/>
      </c>
      <c r="T1367" t="str">
        <f>"531.95"</f>
        <v>531.95</v>
      </c>
      <c r="U1367" t="str">
        <f>"73260.00"</f>
        <v>73260.00</v>
      </c>
      <c r="V1367" t="str">
        <f>"73260.00"</f>
        <v>73260.00</v>
      </c>
      <c r="W1367" t="str">
        <f t="shared" si="468"/>
        <v>2017</v>
      </c>
      <c r="X1367" t="str">
        <f>"17.67"</f>
        <v>17.67</v>
      </c>
      <c r="Y1367" t="str">
        <f>"579.91"</f>
        <v>579.91</v>
      </c>
      <c r="Z1367" t="str">
        <f>"25000.00"</f>
        <v>25000.00</v>
      </c>
      <c r="AA1367" t="str">
        <f>"48260.00"</f>
        <v>48260.00</v>
      </c>
      <c r="AB1367" t="str">
        <f t="shared" si="470"/>
        <v>Residential</v>
      </c>
      <c r="AC1367" t="str">
        <f t="shared" si="445"/>
        <v>0</v>
      </c>
      <c r="AD1367" t="str">
        <f t="shared" si="462"/>
        <v>4</v>
      </c>
      <c r="AE1367" t="str">
        <f t="shared" si="463"/>
        <v>WOOD (INCLUDE STEEL STUDS)</v>
      </c>
      <c r="AF1367" t="str">
        <f t="shared" si="473"/>
        <v>002</v>
      </c>
      <c r="AG1367" t="str">
        <f t="shared" si="466"/>
        <v>FL</v>
      </c>
      <c r="AH1367" t="str">
        <f t="shared" si="472"/>
        <v>-</v>
      </c>
      <c r="AI1367" t="str">
        <f t="shared" si="474"/>
        <v>28000.00</v>
      </c>
      <c r="AJ1367" t="str">
        <f>"C55-000-588-3269-2"</f>
        <v>C55-000-588-3269-2</v>
      </c>
      <c r="AK1367" t="str">
        <f>"23169"</f>
        <v>23169</v>
      </c>
      <c r="AL1367">
        <v>5</v>
      </c>
      <c r="AM1367">
        <v>1562</v>
      </c>
      <c r="AN1367">
        <v>607.30999999999995</v>
      </c>
      <c r="AQ1367" t="s">
        <v>13907</v>
      </c>
      <c r="AR1367" t="s">
        <v>13907</v>
      </c>
      <c r="AS1367" t="s">
        <v>13907</v>
      </c>
      <c r="AU1367" t="s">
        <v>396</v>
      </c>
      <c r="AV1367">
        <v>2017</v>
      </c>
      <c r="AW1367" t="str">
        <f>"43-2N-27-4643-0040-0000 "</f>
        <v xml:space="preserve">43-2N-27-4643-0040-0000 </v>
      </c>
      <c r="AX1367">
        <v>85592</v>
      </c>
      <c r="AZ1367" t="s">
        <v>13902</v>
      </c>
      <c r="BA1367" t="s">
        <v>496</v>
      </c>
      <c r="BD1367" t="s">
        <v>2387</v>
      </c>
      <c r="BE1367" t="s">
        <v>393</v>
      </c>
      <c r="BF1367">
        <v>32097</v>
      </c>
      <c r="BG1367" t="s">
        <v>13908</v>
      </c>
      <c r="BH1367" t="s">
        <v>2388</v>
      </c>
      <c r="BI1367">
        <v>-81.582943500800795</v>
      </c>
      <c r="BJ1367">
        <v>30.585089746270601</v>
      </c>
      <c r="BK1367" t="s">
        <v>13909</v>
      </c>
      <c r="BM1367" t="s">
        <v>13908</v>
      </c>
      <c r="BN1367" t="s">
        <v>1778</v>
      </c>
      <c r="BO1367">
        <v>32097</v>
      </c>
      <c r="BP1367" t="s">
        <v>416</v>
      </c>
      <c r="BQ1367">
        <v>200</v>
      </c>
      <c r="BR1367" t="s">
        <v>405</v>
      </c>
      <c r="BS1367">
        <v>1006</v>
      </c>
      <c r="BT1367" t="s">
        <v>406</v>
      </c>
      <c r="BW1367">
        <v>42846</v>
      </c>
      <c r="BX1367" t="s">
        <v>407</v>
      </c>
      <c r="BY1367" t="s">
        <v>408</v>
      </c>
      <c r="BZ1367">
        <v>4</v>
      </c>
      <c r="CA1367">
        <v>1998</v>
      </c>
      <c r="CB1367">
        <v>1</v>
      </c>
      <c r="CC1367">
        <v>1</v>
      </c>
      <c r="CD1367">
        <v>2017</v>
      </c>
      <c r="CG1367">
        <v>73260</v>
      </c>
      <c r="CH1367">
        <v>2017</v>
      </c>
      <c r="CI1367">
        <v>28000</v>
      </c>
      <c r="CJ1367">
        <v>64996</v>
      </c>
      <c r="CK1367">
        <v>92996</v>
      </c>
      <c r="CL1367">
        <v>2017</v>
      </c>
      <c r="CM1367">
        <v>531.95000000000005</v>
      </c>
      <c r="CN1367" s="1">
        <v>40157</v>
      </c>
      <c r="CZ1367" s="1">
        <v>40157</v>
      </c>
      <c r="DD1367" t="s">
        <v>2387</v>
      </c>
      <c r="DG1367">
        <v>43</v>
      </c>
      <c r="DL1367">
        <v>50302</v>
      </c>
      <c r="DM1367" t="s">
        <v>13628</v>
      </c>
      <c r="DO1367" t="s">
        <v>13910</v>
      </c>
      <c r="DP1367">
        <v>0</v>
      </c>
      <c r="DQ1367">
        <v>0</v>
      </c>
      <c r="DR1367" t="s">
        <v>411</v>
      </c>
      <c r="DS1367" t="b">
        <v>1</v>
      </c>
      <c r="DT1367" t="s">
        <v>470</v>
      </c>
      <c r="DU1367" t="s">
        <v>471</v>
      </c>
      <c r="DV1367" t="s">
        <v>472</v>
      </c>
      <c r="DX1367">
        <v>-9999</v>
      </c>
      <c r="DZ1367" t="s">
        <v>447</v>
      </c>
      <c r="EA1367" t="s">
        <v>448</v>
      </c>
      <c r="EB1367" t="s">
        <v>742</v>
      </c>
      <c r="EC1367">
        <v>20101217</v>
      </c>
      <c r="ED1367" t="s">
        <v>474</v>
      </c>
      <c r="EF1367">
        <v>1690.3</v>
      </c>
      <c r="EG1367">
        <v>607.1</v>
      </c>
      <c r="EI1367">
        <v>20160407</v>
      </c>
      <c r="EJ1367">
        <v>0</v>
      </c>
      <c r="EK1367">
        <v>0</v>
      </c>
      <c r="EP1367" t="s">
        <v>421</v>
      </c>
      <c r="EQ1367" t="s">
        <v>422</v>
      </c>
      <c r="ER1367">
        <v>2</v>
      </c>
      <c r="ES1367">
        <v>7</v>
      </c>
      <c r="ET1367">
        <v>1203.8</v>
      </c>
      <c r="EU1367">
        <v>72.69</v>
      </c>
      <c r="EV1367">
        <v>1276.49</v>
      </c>
      <c r="EW1367" s="2">
        <v>43222</v>
      </c>
      <c r="EX1367" s="1">
        <v>42879</v>
      </c>
      <c r="EY1367">
        <v>2016</v>
      </c>
      <c r="EZ1367">
        <v>601.9</v>
      </c>
      <c r="FA1367" t="s">
        <v>13911</v>
      </c>
      <c r="FB1367">
        <v>0.25</v>
      </c>
      <c r="FC1367" t="s">
        <v>424</v>
      </c>
      <c r="FD1367" t="s">
        <v>454</v>
      </c>
      <c r="FF1367">
        <v>12</v>
      </c>
      <c r="FG1367">
        <v>7400234</v>
      </c>
      <c r="FH1367" t="s">
        <v>426</v>
      </c>
      <c r="FJ1367" s="1">
        <v>42879</v>
      </c>
      <c r="FK1367">
        <v>2016</v>
      </c>
      <c r="FL1367">
        <v>601.9</v>
      </c>
      <c r="FM1367" t="s">
        <v>13911</v>
      </c>
      <c r="FN1367">
        <v>0.25</v>
      </c>
      <c r="FO1367" t="s">
        <v>424</v>
      </c>
      <c r="FP1367" t="s">
        <v>454</v>
      </c>
      <c r="FR1367">
        <v>12</v>
      </c>
      <c r="FS1367">
        <v>7520407</v>
      </c>
      <c r="FT1367" t="s">
        <v>13912</v>
      </c>
      <c r="FV1367" s="1">
        <v>42515</v>
      </c>
      <c r="FW1367">
        <v>2015</v>
      </c>
      <c r="FX1367">
        <v>611.54999999999995</v>
      </c>
      <c r="FY1367" t="s">
        <v>13913</v>
      </c>
      <c r="FZ1367">
        <v>0.25</v>
      </c>
      <c r="GA1367" t="s">
        <v>424</v>
      </c>
      <c r="GB1367" t="s">
        <v>425</v>
      </c>
      <c r="GC1367" s="1">
        <v>42886</v>
      </c>
      <c r="GD1367">
        <v>12</v>
      </c>
      <c r="GE1367">
        <v>7045074</v>
      </c>
      <c r="GF1367" t="s">
        <v>580</v>
      </c>
      <c r="GH1367" s="1">
        <v>42515</v>
      </c>
      <c r="GI1367">
        <v>2015</v>
      </c>
      <c r="GJ1367">
        <v>611.54999999999995</v>
      </c>
      <c r="GK1367" t="s">
        <v>13913</v>
      </c>
      <c r="GL1367">
        <v>0.25</v>
      </c>
      <c r="GM1367" t="s">
        <v>424</v>
      </c>
      <c r="GN1367" t="s">
        <v>425</v>
      </c>
      <c r="GP1367">
        <v>22</v>
      </c>
      <c r="GQ1367">
        <v>6595496</v>
      </c>
      <c r="GR1367" t="s">
        <v>13914</v>
      </c>
      <c r="GT1367" s="1">
        <v>42151</v>
      </c>
      <c r="GU1367">
        <v>2014</v>
      </c>
      <c r="GV1367">
        <v>614.91999999999996</v>
      </c>
      <c r="GW1367" t="s">
        <v>13915</v>
      </c>
      <c r="GX1367">
        <v>0.25</v>
      </c>
      <c r="GY1367" t="s">
        <v>424</v>
      </c>
      <c r="GZ1367" t="s">
        <v>425</v>
      </c>
      <c r="HA1367" s="1">
        <v>42788</v>
      </c>
      <c r="HB1367">
        <v>21</v>
      </c>
      <c r="HC1367">
        <v>4975594</v>
      </c>
      <c r="HD1367" t="s">
        <v>457</v>
      </c>
      <c r="HF1367" s="1">
        <v>42151</v>
      </c>
      <c r="HG1367">
        <v>2014</v>
      </c>
      <c r="HH1367">
        <v>614.91999999999996</v>
      </c>
      <c r="HI1367" t="s">
        <v>13915</v>
      </c>
      <c r="HJ1367">
        <v>0.25</v>
      </c>
      <c r="HK1367" t="s">
        <v>424</v>
      </c>
      <c r="HL1367" t="s">
        <v>425</v>
      </c>
      <c r="HN1367">
        <v>22</v>
      </c>
      <c r="HO1367">
        <v>6662131</v>
      </c>
      <c r="HP1367" t="s">
        <v>13916</v>
      </c>
      <c r="HR1367" s="1">
        <v>41787</v>
      </c>
      <c r="HS1367">
        <v>2013</v>
      </c>
      <c r="HT1367">
        <v>690.16</v>
      </c>
      <c r="HU1367" t="s">
        <v>13917</v>
      </c>
      <c r="HV1367">
        <v>0.25</v>
      </c>
      <c r="HW1367" t="s">
        <v>424</v>
      </c>
      <c r="HX1367" t="s">
        <v>425</v>
      </c>
      <c r="HY1367" s="1">
        <v>42425</v>
      </c>
      <c r="HZ1367">
        <v>21</v>
      </c>
      <c r="IA1367">
        <v>2407503</v>
      </c>
      <c r="IB1367" t="s">
        <v>461</v>
      </c>
      <c r="ID1367" s="1">
        <v>41423</v>
      </c>
      <c r="IE1367">
        <v>2012</v>
      </c>
      <c r="IF1367">
        <v>734.51</v>
      </c>
      <c r="IG1367" t="s">
        <v>13918</v>
      </c>
      <c r="IH1367">
        <v>0.25</v>
      </c>
      <c r="II1367" t="s">
        <v>424</v>
      </c>
      <c r="IJ1367" t="s">
        <v>425</v>
      </c>
      <c r="IK1367" s="1">
        <v>42061</v>
      </c>
      <c r="IL1367">
        <v>21</v>
      </c>
      <c r="IM1367">
        <v>62</v>
      </c>
      <c r="IN1367" t="s">
        <v>463</v>
      </c>
      <c r="IP1367" s="1">
        <v>41052</v>
      </c>
      <c r="IQ1367">
        <v>2011</v>
      </c>
      <c r="IR1367">
        <v>365.72</v>
      </c>
      <c r="IS1367" t="s">
        <v>13919</v>
      </c>
      <c r="IT1367">
        <v>6</v>
      </c>
      <c r="IU1367" t="s">
        <v>424</v>
      </c>
      <c r="IV1367" t="s">
        <v>425</v>
      </c>
      <c r="IW1367" s="1">
        <v>41694</v>
      </c>
      <c r="IX1367">
        <v>21</v>
      </c>
      <c r="IY1367">
        <v>1109</v>
      </c>
      <c r="IZ1367" t="s">
        <v>852</v>
      </c>
    </row>
    <row r="1368" spans="1:284" x14ac:dyDescent="0.25">
      <c r="A1368">
        <v>16486375</v>
      </c>
      <c r="B1368">
        <v>1367</v>
      </c>
      <c r="C1368" t="s">
        <v>393</v>
      </c>
      <c r="D1368" t="s">
        <v>394</v>
      </c>
      <c r="F1368" t="str">
        <f>"43-2N-27-4643-0042-0000"</f>
        <v>43-2N-27-4643-0042-0000</v>
      </c>
      <c r="H1368" t="str">
        <f>"MOORE JON M"</f>
        <v>MOORE JON M</v>
      </c>
      <c r="I1368" t="str">
        <f>"85642 LANA ROAD"</f>
        <v>85642 LANA ROAD</v>
      </c>
      <c r="J1368" t="str">
        <f t="shared" si="471"/>
        <v>YULEE FL 32097</v>
      </c>
      <c r="K1368" t="str">
        <f>"85642 LANA RD"</f>
        <v>85642 LANA RD</v>
      </c>
      <c r="L1368" t="str">
        <f t="shared" si="456"/>
        <v>YULEE FL 32097</v>
      </c>
      <c r="M1368" t="str">
        <f>"TRACT 42 IN OR 702/609 R673030 &amp; R673031 &amp; R673032 WILSON NECK HILLS 2 UNR"</f>
        <v>TRACT 42 IN OR 702/609 R673030 &amp; R673031 &amp; R673032 WILSON NECK HILLS 2 UNR</v>
      </c>
      <c r="N1368" t="str">
        <f>""</f>
        <v/>
      </c>
      <c r="O1368" t="str">
        <f>"49848"</f>
        <v>49848</v>
      </c>
      <c r="P1368" t="str">
        <f t="shared" si="467"/>
        <v>2017</v>
      </c>
      <c r="Q1368" t="str">
        <f>""</f>
        <v/>
      </c>
      <c r="R1368" t="str">
        <f>"Y"</f>
        <v>Y</v>
      </c>
      <c r="S1368" t="str">
        <f>""</f>
        <v/>
      </c>
      <c r="T1368" t="str">
        <f>"619.53"</f>
        <v>619.53</v>
      </c>
      <c r="U1368" t="str">
        <f>"80027.00"</f>
        <v>80027.00</v>
      </c>
      <c r="V1368" t="str">
        <f>"80027.00"</f>
        <v>80027.00</v>
      </c>
      <c r="W1368" t="str">
        <f t="shared" si="468"/>
        <v>2017</v>
      </c>
      <c r="X1368" t="str">
        <f>"26.64"</f>
        <v>26.64</v>
      </c>
      <c r="Y1368" t="str">
        <f>"670.12"</f>
        <v>670.12</v>
      </c>
      <c r="Z1368" t="str">
        <f>"25000.00"</f>
        <v>25000.00</v>
      </c>
      <c r="AA1368" t="str">
        <f>"55027.00"</f>
        <v>55027.00</v>
      </c>
      <c r="AB1368" t="str">
        <f t="shared" si="470"/>
        <v>Residential</v>
      </c>
      <c r="AC1368" t="str">
        <f t="shared" ref="AC1368:AC1431" si="475">"0"</f>
        <v>0</v>
      </c>
      <c r="AD1368" t="str">
        <f t="shared" si="462"/>
        <v>4</v>
      </c>
      <c r="AE1368" t="str">
        <f t="shared" si="463"/>
        <v>WOOD (INCLUDE STEEL STUDS)</v>
      </c>
      <c r="AF1368" t="str">
        <f t="shared" si="473"/>
        <v>002</v>
      </c>
      <c r="AG1368" t="str">
        <f t="shared" si="466"/>
        <v>FL</v>
      </c>
      <c r="AH1368" t="str">
        <f t="shared" si="472"/>
        <v>-</v>
      </c>
      <c r="AI1368" t="str">
        <f t="shared" si="474"/>
        <v>28000.00</v>
      </c>
      <c r="AJ1368" t="str">
        <f>"C55-000-588-3271-8"</f>
        <v>C55-000-588-3271-8</v>
      </c>
      <c r="AK1368" t="str">
        <f>"23171"</f>
        <v>23171</v>
      </c>
      <c r="AL1368">
        <v>5</v>
      </c>
      <c r="AM1368">
        <v>1563</v>
      </c>
      <c r="AN1368">
        <v>702.03</v>
      </c>
      <c r="AQ1368" t="s">
        <v>13920</v>
      </c>
      <c r="AR1368" t="s">
        <v>13920</v>
      </c>
      <c r="AS1368" t="s">
        <v>13920</v>
      </c>
      <c r="AU1368" t="s">
        <v>396</v>
      </c>
      <c r="AV1368">
        <v>2017</v>
      </c>
      <c r="AW1368" t="str">
        <f>"43-2N-27-4643-0042-0000 "</f>
        <v xml:space="preserve">43-2N-27-4643-0042-0000 </v>
      </c>
      <c r="AX1368">
        <v>85642</v>
      </c>
      <c r="AZ1368" t="s">
        <v>13902</v>
      </c>
      <c r="BA1368" t="s">
        <v>496</v>
      </c>
      <c r="BD1368" t="s">
        <v>2387</v>
      </c>
      <c r="BE1368" t="s">
        <v>393</v>
      </c>
      <c r="BF1368">
        <v>32097</v>
      </c>
      <c r="BG1368" t="s">
        <v>13921</v>
      </c>
      <c r="BH1368" t="s">
        <v>2388</v>
      </c>
      <c r="BI1368">
        <v>-81.583668571347303</v>
      </c>
      <c r="BJ1368">
        <v>30.585625333780001</v>
      </c>
      <c r="BK1368" t="s">
        <v>13922</v>
      </c>
      <c r="BM1368" t="s">
        <v>13921</v>
      </c>
      <c r="BN1368" t="s">
        <v>1778</v>
      </c>
      <c r="BO1368">
        <v>32097</v>
      </c>
      <c r="BP1368" t="s">
        <v>416</v>
      </c>
      <c r="BQ1368">
        <v>200</v>
      </c>
      <c r="BR1368" t="s">
        <v>405</v>
      </c>
      <c r="BS1368">
        <v>1006</v>
      </c>
      <c r="BT1368" t="s">
        <v>406</v>
      </c>
      <c r="BW1368">
        <v>43102</v>
      </c>
      <c r="BX1368" t="s">
        <v>407</v>
      </c>
      <c r="BY1368" t="s">
        <v>408</v>
      </c>
      <c r="BZ1368">
        <v>4</v>
      </c>
      <c r="CA1368">
        <v>1997</v>
      </c>
      <c r="CB1368">
        <v>1</v>
      </c>
      <c r="CC1368">
        <v>1</v>
      </c>
      <c r="CD1368">
        <v>2017</v>
      </c>
      <c r="CE1368">
        <v>28000</v>
      </c>
      <c r="CF1368">
        <v>52027</v>
      </c>
      <c r="CG1368">
        <v>80027</v>
      </c>
      <c r="CH1368">
        <v>2017</v>
      </c>
      <c r="CI1368">
        <v>28000</v>
      </c>
      <c r="CJ1368">
        <v>52027</v>
      </c>
      <c r="CK1368">
        <v>80027</v>
      </c>
      <c r="CL1368">
        <v>2017</v>
      </c>
      <c r="CM1368">
        <v>619.53</v>
      </c>
      <c r="CN1368" s="1">
        <v>35648</v>
      </c>
      <c r="CO1368">
        <v>6000</v>
      </c>
      <c r="CZ1368" s="1">
        <v>35648</v>
      </c>
      <c r="DD1368" t="s">
        <v>2387</v>
      </c>
      <c r="DG1368">
        <v>43</v>
      </c>
      <c r="DL1368">
        <v>50302</v>
      </c>
      <c r="DM1368" t="s">
        <v>13628</v>
      </c>
      <c r="DO1368" t="s">
        <v>13923</v>
      </c>
      <c r="DP1368">
        <v>0</v>
      </c>
      <c r="DQ1368">
        <v>0</v>
      </c>
      <c r="DR1368" t="s">
        <v>411</v>
      </c>
      <c r="DS1368" t="b">
        <v>1</v>
      </c>
      <c r="DT1368" t="s">
        <v>470</v>
      </c>
      <c r="DU1368" t="s">
        <v>471</v>
      </c>
      <c r="DV1368" t="s">
        <v>472</v>
      </c>
      <c r="DX1368">
        <v>-9999</v>
      </c>
      <c r="DZ1368" t="s">
        <v>447</v>
      </c>
      <c r="EA1368" t="s">
        <v>448</v>
      </c>
      <c r="EB1368" t="s">
        <v>742</v>
      </c>
      <c r="EC1368">
        <v>20101217</v>
      </c>
      <c r="ED1368" t="s">
        <v>474</v>
      </c>
      <c r="EF1368">
        <v>1631.7</v>
      </c>
      <c r="EG1368">
        <v>536</v>
      </c>
      <c r="EI1368">
        <v>20160407</v>
      </c>
      <c r="EJ1368">
        <v>0</v>
      </c>
      <c r="EK1368">
        <v>0</v>
      </c>
      <c r="EP1368" t="s">
        <v>421</v>
      </c>
      <c r="EQ1368" t="s">
        <v>422</v>
      </c>
      <c r="ER1368">
        <v>0</v>
      </c>
      <c r="ES1368">
        <v>11</v>
      </c>
      <c r="ET1368">
        <v>0</v>
      </c>
      <c r="EU1368">
        <v>0</v>
      </c>
      <c r="EV1368">
        <v>0</v>
      </c>
      <c r="EW1368" s="2">
        <v>43222</v>
      </c>
      <c r="EX1368" s="1">
        <v>42879</v>
      </c>
      <c r="EY1368">
        <v>2016</v>
      </c>
      <c r="EZ1368">
        <v>1044.05</v>
      </c>
      <c r="FA1368" t="s">
        <v>13924</v>
      </c>
      <c r="FB1368">
        <v>0.25</v>
      </c>
      <c r="FC1368" t="s">
        <v>424</v>
      </c>
      <c r="FD1368" t="s">
        <v>425</v>
      </c>
      <c r="FE1368" s="1">
        <v>42940</v>
      </c>
      <c r="FF1368">
        <v>2</v>
      </c>
      <c r="FG1368">
        <v>2851116</v>
      </c>
      <c r="FH1368" t="s">
        <v>480</v>
      </c>
      <c r="FJ1368" s="1">
        <v>42879</v>
      </c>
      <c r="FK1368">
        <v>2016</v>
      </c>
      <c r="FL1368">
        <v>1044.05</v>
      </c>
      <c r="FM1368" t="s">
        <v>13924</v>
      </c>
      <c r="FN1368">
        <v>0.25</v>
      </c>
      <c r="FO1368" t="s">
        <v>424</v>
      </c>
      <c r="FP1368" t="s">
        <v>425</v>
      </c>
      <c r="FR1368">
        <v>22</v>
      </c>
      <c r="FS1368">
        <v>4999437</v>
      </c>
      <c r="FT1368" t="s">
        <v>13925</v>
      </c>
      <c r="FV1368" s="1">
        <v>42515</v>
      </c>
      <c r="FW1368">
        <v>2015</v>
      </c>
      <c r="FX1368">
        <v>1039.56</v>
      </c>
      <c r="FY1368" t="s">
        <v>13926</v>
      </c>
      <c r="FZ1368">
        <v>0.25</v>
      </c>
      <c r="GA1368" t="s">
        <v>424</v>
      </c>
      <c r="GB1368" t="s">
        <v>425</v>
      </c>
      <c r="GC1368" s="1">
        <v>42940</v>
      </c>
      <c r="GD1368">
        <v>14</v>
      </c>
      <c r="GE1368">
        <v>2851116</v>
      </c>
      <c r="GF1368" t="s">
        <v>480</v>
      </c>
      <c r="GH1368" s="1">
        <v>42515</v>
      </c>
      <c r="GI1368">
        <v>2015</v>
      </c>
      <c r="GJ1368">
        <v>1039.56</v>
      </c>
      <c r="GK1368" t="s">
        <v>13926</v>
      </c>
      <c r="GL1368">
        <v>0.25</v>
      </c>
      <c r="GM1368" t="s">
        <v>424</v>
      </c>
      <c r="GN1368" t="s">
        <v>425</v>
      </c>
      <c r="GP1368">
        <v>22</v>
      </c>
      <c r="GQ1368">
        <v>5658467</v>
      </c>
      <c r="GR1368" t="s">
        <v>13927</v>
      </c>
      <c r="GT1368" s="1">
        <v>42151</v>
      </c>
      <c r="GU1368">
        <v>2014</v>
      </c>
      <c r="GV1368">
        <v>996.33</v>
      </c>
      <c r="GW1368" t="s">
        <v>13928</v>
      </c>
      <c r="GX1368">
        <v>18</v>
      </c>
      <c r="GY1368" t="s">
        <v>424</v>
      </c>
      <c r="GZ1368" t="s">
        <v>425</v>
      </c>
      <c r="HA1368" s="1">
        <v>42821</v>
      </c>
      <c r="HB1368">
        <v>22</v>
      </c>
      <c r="HC1368">
        <v>10125</v>
      </c>
      <c r="HD1368" t="s">
        <v>440</v>
      </c>
      <c r="HF1368" s="1">
        <v>41787</v>
      </c>
      <c r="HG1368">
        <v>2013</v>
      </c>
      <c r="HH1368">
        <v>1082.3399999999999</v>
      </c>
      <c r="HI1368" t="s">
        <v>13929</v>
      </c>
      <c r="HJ1368">
        <v>0.25</v>
      </c>
      <c r="HK1368" t="s">
        <v>424</v>
      </c>
      <c r="HL1368" t="s">
        <v>425</v>
      </c>
      <c r="HM1368" s="1">
        <v>42478</v>
      </c>
      <c r="HN1368">
        <v>23</v>
      </c>
      <c r="HO1368">
        <v>10125</v>
      </c>
      <c r="HP1368" t="s">
        <v>440</v>
      </c>
      <c r="HR1368" s="1">
        <v>41423</v>
      </c>
      <c r="HS1368">
        <v>2012</v>
      </c>
      <c r="HT1368">
        <v>1118.92</v>
      </c>
      <c r="HU1368" t="s">
        <v>13930</v>
      </c>
      <c r="HV1368">
        <v>0.25</v>
      </c>
      <c r="HW1368" t="s">
        <v>424</v>
      </c>
      <c r="HX1368" t="s">
        <v>425</v>
      </c>
      <c r="HZ1368">
        <v>22</v>
      </c>
      <c r="IA1368">
        <v>15399</v>
      </c>
      <c r="IB1368" t="s">
        <v>485</v>
      </c>
      <c r="ID1368" s="1">
        <v>41423</v>
      </c>
      <c r="IE1368">
        <v>2012</v>
      </c>
      <c r="IF1368">
        <v>1118.92</v>
      </c>
      <c r="IG1368" t="s">
        <v>13930</v>
      </c>
      <c r="IH1368">
        <v>0.25</v>
      </c>
      <c r="II1368" t="s">
        <v>424</v>
      </c>
      <c r="IJ1368" t="s">
        <v>425</v>
      </c>
      <c r="IK1368" s="1">
        <v>42478</v>
      </c>
      <c r="IL1368">
        <v>35</v>
      </c>
      <c r="IM1368">
        <v>13027</v>
      </c>
      <c r="IN1368" t="s">
        <v>826</v>
      </c>
      <c r="IP1368" s="1">
        <v>41052</v>
      </c>
      <c r="IQ1368">
        <v>2011</v>
      </c>
      <c r="IR1368">
        <v>598.12</v>
      </c>
      <c r="IS1368" t="s">
        <v>13931</v>
      </c>
      <c r="IT1368">
        <v>6</v>
      </c>
      <c r="IU1368" t="s">
        <v>424</v>
      </c>
      <c r="IV1368" t="s">
        <v>425</v>
      </c>
      <c r="IW1368" s="1">
        <v>42478</v>
      </c>
      <c r="IX1368">
        <v>47</v>
      </c>
      <c r="IY1368">
        <v>375</v>
      </c>
      <c r="IZ1368" t="s">
        <v>776</v>
      </c>
      <c r="JB1368" s="1">
        <v>41052</v>
      </c>
      <c r="JC1368">
        <v>2011</v>
      </c>
      <c r="JD1368">
        <v>598.12</v>
      </c>
      <c r="JE1368" t="s">
        <v>13931</v>
      </c>
      <c r="JF1368">
        <v>6</v>
      </c>
      <c r="JG1368" t="s">
        <v>424</v>
      </c>
      <c r="JH1368" t="s">
        <v>425</v>
      </c>
      <c r="JJ1368">
        <v>22</v>
      </c>
      <c r="JK1368">
        <v>105</v>
      </c>
      <c r="JL1368" t="s">
        <v>946</v>
      </c>
      <c r="JN1368" s="1">
        <v>40688</v>
      </c>
      <c r="JO1368">
        <v>2010</v>
      </c>
      <c r="JP1368">
        <v>636.13</v>
      </c>
      <c r="JQ1368" t="s">
        <v>13932</v>
      </c>
      <c r="JR1368">
        <v>5.25</v>
      </c>
      <c r="JS1368" t="s">
        <v>424</v>
      </c>
      <c r="JT1368" t="s">
        <v>425</v>
      </c>
      <c r="JU1368" s="1">
        <v>42478</v>
      </c>
      <c r="JV1368">
        <v>59</v>
      </c>
      <c r="JW1368">
        <v>443</v>
      </c>
      <c r="JX1368" t="s">
        <v>12371</v>
      </c>
    </row>
    <row r="1369" spans="1:284" x14ac:dyDescent="0.25">
      <c r="A1369">
        <v>16486376</v>
      </c>
      <c r="B1369">
        <v>1368</v>
      </c>
      <c r="C1369" t="s">
        <v>393</v>
      </c>
      <c r="D1369" t="s">
        <v>394</v>
      </c>
      <c r="F1369" t="str">
        <f>"43-2N-27-4645-0003-0000"</f>
        <v>43-2N-27-4645-0003-0000</v>
      </c>
      <c r="H1369" t="str">
        <f>"WILSON DAVID GLEN"</f>
        <v>WILSON DAVID GLEN</v>
      </c>
      <c r="I1369" t="str">
        <f>"85011 HARTS RAOD"</f>
        <v>85011 HARTS RAOD</v>
      </c>
      <c r="J1369" t="str">
        <f t="shared" si="471"/>
        <v>YULEE FL 32097</v>
      </c>
      <c r="K1369" t="str">
        <f>"85063 BLACKMON RD"</f>
        <v>85063 BLACKMON RD</v>
      </c>
      <c r="L1369" t="str">
        <f t="shared" si="456"/>
        <v>YULEE FL 32097</v>
      </c>
      <c r="M1369" t="str">
        <f>"LOT 3 R568135 IN OR 1729/135 ESMT IN OR 454/178 WILSON NECK PROPERTIES PB 4/60"</f>
        <v>LOT 3 R568135 IN OR 1729/135 ESMT IN OR 454/178 WILSON NECK PROPERTIES PB 4/60</v>
      </c>
      <c r="N1369" t="str">
        <f>""</f>
        <v/>
      </c>
      <c r="O1369" t="str">
        <f>"49860"</f>
        <v>49860</v>
      </c>
      <c r="P1369" t="str">
        <f t="shared" si="467"/>
        <v>2017</v>
      </c>
      <c r="Q1369" t="str">
        <f>""</f>
        <v/>
      </c>
      <c r="R1369" t="str">
        <f>"N"</f>
        <v>N</v>
      </c>
      <c r="S1369" t="str">
        <f>""</f>
        <v/>
      </c>
      <c r="T1369" t="str">
        <f>"631.80"</f>
        <v>631.80</v>
      </c>
      <c r="U1369" t="str">
        <f>"38266.00"</f>
        <v>38266.00</v>
      </c>
      <c r="V1369" t="str">
        <f>"38266.00"</f>
        <v>38266.00</v>
      </c>
      <c r="W1369" t="str">
        <f t="shared" si="468"/>
        <v>2017</v>
      </c>
      <c r="X1369" t="str">
        <f>""</f>
        <v/>
      </c>
      <c r="Y1369" t="str">
        <f>"682.75"</f>
        <v>682.75</v>
      </c>
      <c r="Z1369" t="str">
        <f>""</f>
        <v/>
      </c>
      <c r="AA1369" t="str">
        <f>"46225.00"</f>
        <v>46225.00</v>
      </c>
      <c r="AB1369" t="str">
        <f t="shared" si="470"/>
        <v>Residential</v>
      </c>
      <c r="AC1369" t="str">
        <f t="shared" si="475"/>
        <v>0</v>
      </c>
      <c r="AD1369" t="str">
        <f t="shared" si="462"/>
        <v>4</v>
      </c>
      <c r="AE1369" t="str">
        <f t="shared" si="463"/>
        <v>WOOD (INCLUDE STEEL STUDS)</v>
      </c>
      <c r="AF1369" t="str">
        <f t="shared" si="473"/>
        <v>002</v>
      </c>
      <c r="AG1369" t="str">
        <f t="shared" si="466"/>
        <v>FL</v>
      </c>
      <c r="AH1369" t="str">
        <f t="shared" si="472"/>
        <v>-</v>
      </c>
      <c r="AI1369" t="str">
        <f t="shared" si="474"/>
        <v>28000.00</v>
      </c>
      <c r="AJ1369" t="str">
        <f>"C55-000-588-3280-9"</f>
        <v>C55-000-588-3280-9</v>
      </c>
      <c r="AK1369" t="str">
        <f>"23179"</f>
        <v>23179</v>
      </c>
      <c r="AL1369">
        <v>5</v>
      </c>
      <c r="AM1369">
        <v>1564</v>
      </c>
      <c r="AN1369">
        <v>715.29</v>
      </c>
      <c r="AQ1369" t="s">
        <v>13933</v>
      </c>
      <c r="AR1369" t="s">
        <v>13933</v>
      </c>
      <c r="AS1369" t="s">
        <v>13933</v>
      </c>
      <c r="AU1369" t="s">
        <v>396</v>
      </c>
      <c r="AV1369">
        <v>2017</v>
      </c>
      <c r="AW1369" t="str">
        <f>"43-2N-27-4645-0003-0000 "</f>
        <v xml:space="preserve">43-2N-27-4645-0003-0000 </v>
      </c>
      <c r="AX1369">
        <v>85063</v>
      </c>
      <c r="AZ1369" t="s">
        <v>13622</v>
      </c>
      <c r="BA1369" t="s">
        <v>496</v>
      </c>
      <c r="BD1369" t="s">
        <v>2387</v>
      </c>
      <c r="BE1369" t="s">
        <v>393</v>
      </c>
      <c r="BF1369">
        <v>32097</v>
      </c>
      <c r="BG1369" t="s">
        <v>13934</v>
      </c>
      <c r="BH1369" t="s">
        <v>2388</v>
      </c>
      <c r="BI1369">
        <v>-81.571684413660606</v>
      </c>
      <c r="BJ1369">
        <v>30.580750296245299</v>
      </c>
      <c r="BK1369" t="s">
        <v>12678</v>
      </c>
      <c r="BM1369" t="s">
        <v>13935</v>
      </c>
      <c r="BN1369" t="s">
        <v>1778</v>
      </c>
      <c r="BO1369">
        <v>32097</v>
      </c>
      <c r="BP1369" t="s">
        <v>404</v>
      </c>
      <c r="BQ1369">
        <v>200</v>
      </c>
      <c r="BR1369" t="s">
        <v>405</v>
      </c>
      <c r="BS1369">
        <v>1006</v>
      </c>
      <c r="BT1369" t="s">
        <v>406</v>
      </c>
      <c r="BW1369">
        <v>47963</v>
      </c>
      <c r="BX1369" t="s">
        <v>407</v>
      </c>
      <c r="BY1369" t="s">
        <v>408</v>
      </c>
      <c r="BZ1369">
        <v>4</v>
      </c>
      <c r="CA1369">
        <v>1987</v>
      </c>
      <c r="CB1369">
        <v>1</v>
      </c>
      <c r="CC1369">
        <v>1</v>
      </c>
      <c r="CD1369">
        <v>2017</v>
      </c>
      <c r="CE1369">
        <v>28000</v>
      </c>
      <c r="CF1369">
        <v>18225</v>
      </c>
      <c r="CG1369">
        <v>46225</v>
      </c>
      <c r="CH1369">
        <v>2017</v>
      </c>
      <c r="CI1369">
        <v>28000</v>
      </c>
      <c r="CJ1369">
        <v>18225</v>
      </c>
      <c r="CK1369">
        <v>46225</v>
      </c>
      <c r="CL1369">
        <v>2017</v>
      </c>
      <c r="CM1369">
        <v>631.79999999999995</v>
      </c>
      <c r="CN1369" s="1">
        <v>40565</v>
      </c>
      <c r="CZ1369" s="1">
        <v>40565</v>
      </c>
      <c r="DD1369" t="s">
        <v>2387</v>
      </c>
      <c r="DF1369">
        <v>3</v>
      </c>
      <c r="DG1369">
        <v>43</v>
      </c>
      <c r="DL1369">
        <v>50302</v>
      </c>
      <c r="DM1369" t="s">
        <v>13628</v>
      </c>
      <c r="DO1369" t="s">
        <v>13936</v>
      </c>
      <c r="DP1369">
        <v>0</v>
      </c>
      <c r="DQ1369">
        <v>0</v>
      </c>
      <c r="DR1369" t="s">
        <v>411</v>
      </c>
    </row>
    <row r="1370" spans="1:284" x14ac:dyDescent="0.25">
      <c r="A1370">
        <v>16486377</v>
      </c>
      <c r="B1370">
        <v>1369</v>
      </c>
      <c r="C1370" t="s">
        <v>393</v>
      </c>
      <c r="D1370" t="s">
        <v>394</v>
      </c>
      <c r="F1370" t="str">
        <f>"43-2N-27-4645-0026-0000"</f>
        <v>43-2N-27-4645-0026-0000</v>
      </c>
      <c r="H1370" t="str">
        <f>"JOHNSON WILLIAM PRESTON"</f>
        <v>JOHNSON WILLIAM PRESTON</v>
      </c>
      <c r="I1370" t="str">
        <f>"85393 BLACKMON ROAD"</f>
        <v>85393 BLACKMON ROAD</v>
      </c>
      <c r="J1370" t="str">
        <f t="shared" si="471"/>
        <v>YULEE FL 32097</v>
      </c>
      <c r="K1370" t="str">
        <f>"85393 BLACKMON RD"</f>
        <v>85393 BLACKMON RD</v>
      </c>
      <c r="L1370" t="str">
        <f t="shared" si="456"/>
        <v>YULEE FL 32097</v>
      </c>
      <c r="M1370" t="str">
        <f>"LOT 26 IN OR 773 PG 1310 R673929 &amp; R673930 WILSON NECK PROPERTIES PB 4/60"</f>
        <v>LOT 26 IN OR 773 PG 1310 R673929 &amp; R673930 WILSON NECK PROPERTIES PB 4/60</v>
      </c>
      <c r="N1370" t="str">
        <f>""</f>
        <v/>
      </c>
      <c r="O1370" t="str">
        <f>"49884"</f>
        <v>49884</v>
      </c>
      <c r="P1370" t="str">
        <f t="shared" si="467"/>
        <v>2017</v>
      </c>
      <c r="Q1370" t="str">
        <f>""</f>
        <v/>
      </c>
      <c r="R1370" t="str">
        <f>"Y"</f>
        <v>Y</v>
      </c>
      <c r="S1370" t="str">
        <f>""</f>
        <v/>
      </c>
      <c r="T1370" t="str">
        <f>"401.94"</f>
        <v>401.94</v>
      </c>
      <c r="U1370" t="str">
        <f>"53556.00"</f>
        <v>53556.00</v>
      </c>
      <c r="V1370" t="str">
        <f>"53556.00"</f>
        <v>53556.00</v>
      </c>
      <c r="W1370" t="str">
        <f t="shared" si="468"/>
        <v>2017</v>
      </c>
      <c r="X1370" t="str">
        <f>"30.13"</f>
        <v>30.13</v>
      </c>
      <c r="Y1370" t="str">
        <f>"446.00"</f>
        <v>446.00</v>
      </c>
      <c r="Z1370" t="str">
        <f>"25000.00"</f>
        <v>25000.00</v>
      </c>
      <c r="AA1370" t="str">
        <f>"28556.00"</f>
        <v>28556.00</v>
      </c>
      <c r="AB1370" t="str">
        <f t="shared" si="470"/>
        <v>Residential</v>
      </c>
      <c r="AC1370" t="str">
        <f t="shared" si="475"/>
        <v>0</v>
      </c>
      <c r="AD1370" t="str">
        <f t="shared" si="462"/>
        <v>4</v>
      </c>
      <c r="AE1370" t="str">
        <f t="shared" si="463"/>
        <v>WOOD (INCLUDE STEEL STUDS)</v>
      </c>
      <c r="AF1370" t="str">
        <f t="shared" si="473"/>
        <v>002</v>
      </c>
      <c r="AG1370" t="str">
        <f t="shared" si="466"/>
        <v>FL</v>
      </c>
      <c r="AH1370" t="str">
        <f t="shared" si="472"/>
        <v>-</v>
      </c>
      <c r="AI1370" t="str">
        <f t="shared" si="474"/>
        <v>28000.00</v>
      </c>
      <c r="AJ1370" t="str">
        <f>"C55-000-588-3303-9"</f>
        <v>C55-000-588-3303-9</v>
      </c>
      <c r="AK1370" t="str">
        <f>"23203"</f>
        <v>23203</v>
      </c>
      <c r="AL1370">
        <v>5</v>
      </c>
      <c r="AM1370">
        <v>1565</v>
      </c>
      <c r="AN1370">
        <v>466.7</v>
      </c>
      <c r="AQ1370" t="s">
        <v>13937</v>
      </c>
      <c r="AR1370" t="s">
        <v>13937</v>
      </c>
      <c r="AS1370" t="s">
        <v>13937</v>
      </c>
      <c r="AU1370" t="s">
        <v>396</v>
      </c>
      <c r="AV1370">
        <v>2017</v>
      </c>
      <c r="AW1370" t="str">
        <f>"43-2N-27-4645-0026-0000 "</f>
        <v xml:space="preserve">43-2N-27-4645-0026-0000 </v>
      </c>
      <c r="AX1370">
        <v>85393</v>
      </c>
      <c r="AZ1370" t="s">
        <v>13622</v>
      </c>
      <c r="BA1370" t="s">
        <v>496</v>
      </c>
      <c r="BD1370" t="s">
        <v>2387</v>
      </c>
      <c r="BE1370" t="s">
        <v>393</v>
      </c>
      <c r="BF1370">
        <v>32097</v>
      </c>
      <c r="BG1370" t="s">
        <v>13938</v>
      </c>
      <c r="BH1370" t="s">
        <v>2388</v>
      </c>
      <c r="BI1370">
        <v>-81.5749589479489</v>
      </c>
      <c r="BJ1370">
        <v>30.588514500232598</v>
      </c>
      <c r="BK1370" t="s">
        <v>13939</v>
      </c>
      <c r="BM1370" t="s">
        <v>13938</v>
      </c>
      <c r="BN1370" t="s">
        <v>1778</v>
      </c>
      <c r="BO1370">
        <v>32097</v>
      </c>
      <c r="BP1370" t="s">
        <v>416</v>
      </c>
      <c r="BQ1370">
        <v>200</v>
      </c>
      <c r="BR1370" t="s">
        <v>405</v>
      </c>
      <c r="BS1370">
        <v>1006</v>
      </c>
      <c r="BT1370" t="s">
        <v>406</v>
      </c>
      <c r="BW1370">
        <v>44613</v>
      </c>
      <c r="BX1370" t="s">
        <v>407</v>
      </c>
      <c r="BY1370" t="s">
        <v>408</v>
      </c>
      <c r="BZ1370">
        <v>4</v>
      </c>
      <c r="CA1370">
        <v>1997</v>
      </c>
      <c r="CB1370">
        <v>1</v>
      </c>
      <c r="CC1370">
        <v>1</v>
      </c>
      <c r="CD1370">
        <v>2017</v>
      </c>
      <c r="CG1370">
        <v>53556</v>
      </c>
      <c r="CH1370">
        <v>2017</v>
      </c>
      <c r="CI1370">
        <v>28000</v>
      </c>
      <c r="CJ1370">
        <v>43860</v>
      </c>
      <c r="CK1370">
        <v>71860</v>
      </c>
      <c r="CL1370">
        <v>2017</v>
      </c>
      <c r="CM1370">
        <v>401.94</v>
      </c>
      <c r="CN1370" s="1">
        <v>35348</v>
      </c>
      <c r="CZ1370" s="1">
        <v>35348</v>
      </c>
      <c r="DD1370" t="s">
        <v>2387</v>
      </c>
      <c r="DF1370">
        <v>26</v>
      </c>
      <c r="DG1370">
        <v>43</v>
      </c>
      <c r="DL1370">
        <v>50302</v>
      </c>
      <c r="DM1370" t="s">
        <v>13628</v>
      </c>
      <c r="DO1370" t="s">
        <v>13940</v>
      </c>
      <c r="DP1370">
        <v>0</v>
      </c>
      <c r="DQ1370">
        <v>0</v>
      </c>
      <c r="DR1370" t="s">
        <v>411</v>
      </c>
      <c r="DS1370" t="b">
        <v>1</v>
      </c>
      <c r="DT1370" t="s">
        <v>470</v>
      </c>
      <c r="DU1370" t="s">
        <v>471</v>
      </c>
      <c r="DV1370" t="s">
        <v>472</v>
      </c>
      <c r="DX1370">
        <v>-9999</v>
      </c>
      <c r="DZ1370" t="s">
        <v>447</v>
      </c>
      <c r="EA1370" t="s">
        <v>448</v>
      </c>
      <c r="EB1370" t="s">
        <v>742</v>
      </c>
      <c r="EC1370">
        <v>20101217</v>
      </c>
      <c r="ED1370" t="s">
        <v>474</v>
      </c>
      <c r="EF1370">
        <v>635.1</v>
      </c>
      <c r="EG1370">
        <v>622.79999999999995</v>
      </c>
      <c r="EI1370">
        <v>20160407</v>
      </c>
      <c r="EJ1370">
        <v>0</v>
      </c>
      <c r="EK1370">
        <v>0</v>
      </c>
      <c r="EP1370" t="s">
        <v>421</v>
      </c>
      <c r="EQ1370" t="s">
        <v>422</v>
      </c>
      <c r="ER1370">
        <v>2</v>
      </c>
      <c r="ES1370">
        <v>8</v>
      </c>
      <c r="ET1370">
        <v>920.16</v>
      </c>
      <c r="EU1370">
        <v>58.51</v>
      </c>
      <c r="EV1370">
        <v>978.67</v>
      </c>
      <c r="EW1370" s="2">
        <v>43222</v>
      </c>
      <c r="EX1370" s="1">
        <v>42879</v>
      </c>
      <c r="EY1370">
        <v>2016</v>
      </c>
      <c r="EZ1370">
        <v>460.08</v>
      </c>
      <c r="FA1370" t="s">
        <v>13941</v>
      </c>
      <c r="FB1370">
        <v>0.25</v>
      </c>
      <c r="FC1370" t="s">
        <v>424</v>
      </c>
      <c r="FD1370" t="s">
        <v>454</v>
      </c>
      <c r="FF1370">
        <v>12</v>
      </c>
      <c r="FG1370">
        <v>7400234</v>
      </c>
      <c r="FH1370" t="s">
        <v>426</v>
      </c>
      <c r="FJ1370" s="1">
        <v>42879</v>
      </c>
      <c r="FK1370">
        <v>2016</v>
      </c>
      <c r="FL1370">
        <v>460.08</v>
      </c>
      <c r="FM1370" t="s">
        <v>13941</v>
      </c>
      <c r="FN1370">
        <v>0.25</v>
      </c>
      <c r="FO1370" t="s">
        <v>424</v>
      </c>
      <c r="FP1370" t="s">
        <v>454</v>
      </c>
      <c r="FR1370">
        <v>12</v>
      </c>
      <c r="FS1370">
        <v>7491095</v>
      </c>
      <c r="FT1370" t="s">
        <v>13942</v>
      </c>
      <c r="FV1370" s="1">
        <v>42515</v>
      </c>
      <c r="FW1370">
        <v>2015</v>
      </c>
      <c r="FX1370">
        <v>463.3</v>
      </c>
      <c r="FY1370" t="s">
        <v>13943</v>
      </c>
      <c r="FZ1370">
        <v>0.25</v>
      </c>
      <c r="GA1370" t="s">
        <v>424</v>
      </c>
      <c r="GB1370" t="s">
        <v>425</v>
      </c>
      <c r="GC1370" s="1">
        <v>43159</v>
      </c>
      <c r="GD1370">
        <v>21</v>
      </c>
      <c r="GE1370">
        <v>2851116</v>
      </c>
      <c r="GF1370" t="s">
        <v>480</v>
      </c>
      <c r="GH1370" s="1">
        <v>42515</v>
      </c>
      <c r="GI1370">
        <v>2015</v>
      </c>
      <c r="GJ1370">
        <v>463.3</v>
      </c>
      <c r="GK1370" t="s">
        <v>13943</v>
      </c>
      <c r="GL1370">
        <v>0.25</v>
      </c>
      <c r="GM1370" t="s">
        <v>424</v>
      </c>
      <c r="GN1370" t="s">
        <v>425</v>
      </c>
      <c r="GP1370">
        <v>22</v>
      </c>
      <c r="GQ1370">
        <v>5031188</v>
      </c>
      <c r="GR1370" t="s">
        <v>13944</v>
      </c>
      <c r="GT1370" s="1">
        <v>42151</v>
      </c>
      <c r="GU1370">
        <v>2014</v>
      </c>
      <c r="GV1370">
        <v>462.37</v>
      </c>
      <c r="GW1370" t="s">
        <v>13945</v>
      </c>
      <c r="GX1370">
        <v>0.25</v>
      </c>
      <c r="GY1370" t="s">
        <v>424</v>
      </c>
      <c r="GZ1370" t="s">
        <v>425</v>
      </c>
      <c r="HA1370" s="1">
        <v>42794</v>
      </c>
      <c r="HB1370">
        <v>21</v>
      </c>
      <c r="HC1370">
        <v>2851116</v>
      </c>
      <c r="HD1370" t="s">
        <v>480</v>
      </c>
      <c r="HF1370" s="1">
        <v>42151</v>
      </c>
      <c r="HG1370">
        <v>2014</v>
      </c>
      <c r="HH1370">
        <v>462.37</v>
      </c>
      <c r="HI1370" t="s">
        <v>13945</v>
      </c>
      <c r="HJ1370">
        <v>0.25</v>
      </c>
      <c r="HK1370" t="s">
        <v>424</v>
      </c>
      <c r="HL1370" t="s">
        <v>425</v>
      </c>
      <c r="HN1370">
        <v>22</v>
      </c>
      <c r="HO1370">
        <v>5083475</v>
      </c>
      <c r="HP1370" t="s">
        <v>13946</v>
      </c>
      <c r="HR1370" s="1">
        <v>41787</v>
      </c>
      <c r="HS1370">
        <v>2013</v>
      </c>
      <c r="HT1370">
        <v>495.81</v>
      </c>
      <c r="HU1370" t="s">
        <v>13947</v>
      </c>
      <c r="HV1370">
        <v>0.25</v>
      </c>
      <c r="HW1370" t="s">
        <v>424</v>
      </c>
      <c r="HX1370" t="s">
        <v>425</v>
      </c>
      <c r="HY1370" s="1">
        <v>42338</v>
      </c>
      <c r="HZ1370">
        <v>18</v>
      </c>
      <c r="IA1370">
        <v>305</v>
      </c>
      <c r="IB1370" t="s">
        <v>1078</v>
      </c>
      <c r="ID1370" s="1">
        <v>41423</v>
      </c>
      <c r="IE1370">
        <v>2012</v>
      </c>
      <c r="IF1370">
        <v>512.58000000000004</v>
      </c>
      <c r="IG1370" t="s">
        <v>13948</v>
      </c>
      <c r="IH1370">
        <v>0.25</v>
      </c>
      <c r="II1370" t="s">
        <v>424</v>
      </c>
      <c r="IJ1370" t="s">
        <v>425</v>
      </c>
      <c r="IK1370" s="1">
        <v>42062</v>
      </c>
      <c r="IL1370">
        <v>21</v>
      </c>
      <c r="IM1370">
        <v>15399</v>
      </c>
      <c r="IN1370" t="s">
        <v>485</v>
      </c>
      <c r="IP1370" s="1">
        <v>41052</v>
      </c>
      <c r="IQ1370">
        <v>2011</v>
      </c>
      <c r="IR1370">
        <v>542.61</v>
      </c>
      <c r="IS1370" t="s">
        <v>13949</v>
      </c>
      <c r="IT1370">
        <v>6</v>
      </c>
      <c r="IU1370" t="s">
        <v>424</v>
      </c>
      <c r="IV1370" t="s">
        <v>425</v>
      </c>
      <c r="IW1370" s="1">
        <v>41698</v>
      </c>
      <c r="IX1370">
        <v>21</v>
      </c>
      <c r="IY1370">
        <v>105</v>
      </c>
      <c r="IZ1370" t="s">
        <v>946</v>
      </c>
      <c r="JB1370" s="1">
        <v>40688</v>
      </c>
      <c r="JC1370">
        <v>2010</v>
      </c>
      <c r="JD1370">
        <v>590.58000000000004</v>
      </c>
      <c r="JE1370" t="s">
        <v>13950</v>
      </c>
      <c r="JF1370">
        <v>5.25</v>
      </c>
      <c r="JG1370" t="s">
        <v>424</v>
      </c>
      <c r="JH1370" t="s">
        <v>425</v>
      </c>
      <c r="JI1370" s="1">
        <v>41333</v>
      </c>
      <c r="JJ1370">
        <v>21</v>
      </c>
      <c r="JK1370">
        <v>443</v>
      </c>
      <c r="JL1370" t="s">
        <v>12371</v>
      </c>
    </row>
    <row r="1371" spans="1:284" x14ac:dyDescent="0.25">
      <c r="A1371">
        <v>16486378</v>
      </c>
      <c r="B1371">
        <v>1370</v>
      </c>
      <c r="C1371" t="s">
        <v>393</v>
      </c>
      <c r="D1371" t="s">
        <v>394</v>
      </c>
      <c r="F1371" t="str">
        <f>"43-2N-27-4647-0006-0130"</f>
        <v>43-2N-27-4647-0006-0130</v>
      </c>
      <c r="H1371" t="str">
        <f>"CHAIRES TRAVIS &amp; CHRISTINA"</f>
        <v>CHAIRES TRAVIS &amp; CHRISTINA</v>
      </c>
      <c r="I1371" t="str">
        <f>"85007 CLAXTON RD"</f>
        <v>85007 CLAXTON RD</v>
      </c>
      <c r="J1371" t="str">
        <f t="shared" si="471"/>
        <v>YULEE FL 32097</v>
      </c>
      <c r="K1371" t="str">
        <f>"85007 CLAXTON RD"</f>
        <v>85007 CLAXTON RD</v>
      </c>
      <c r="L1371" t="str">
        <f t="shared" si="456"/>
        <v>YULEE FL 32097</v>
      </c>
      <c r="M1371" t="str">
        <f>"BLOCK 6 LOT 13 IN OR 2092/700 1994 FTWD DWMH WILSON NECK LANDING PB 4/71"</f>
        <v>BLOCK 6 LOT 13 IN OR 2092/700 1994 FTWD DWMH WILSON NECK LANDING PB 4/71</v>
      </c>
      <c r="N1371" t="str">
        <f>""</f>
        <v/>
      </c>
      <c r="O1371" t="str">
        <f>"49899"</f>
        <v>49899</v>
      </c>
      <c r="P1371" t="str">
        <f t="shared" si="467"/>
        <v>2017</v>
      </c>
      <c r="Q1371" t="str">
        <f>""</f>
        <v/>
      </c>
      <c r="R1371" t="str">
        <f>"Y"</f>
        <v>Y</v>
      </c>
      <c r="S1371" t="str">
        <f>""</f>
        <v/>
      </c>
      <c r="T1371" t="str">
        <f>"871.91"</f>
        <v>871.91</v>
      </c>
      <c r="U1371" t="str">
        <f>"96699.00"</f>
        <v>96699.00</v>
      </c>
      <c r="V1371" t="str">
        <f>"96699.00"</f>
        <v>96699.00</v>
      </c>
      <c r="W1371" t="str">
        <f t="shared" si="468"/>
        <v>2017</v>
      </c>
      <c r="X1371" t="str">
        <f>"13.00"</f>
        <v>13.00</v>
      </c>
      <c r="Y1371" t="str">
        <f>"930.07"</f>
        <v>930.07</v>
      </c>
      <c r="Z1371" t="str">
        <f>"25000.00"</f>
        <v>25000.00</v>
      </c>
      <c r="AA1371" t="str">
        <f>"71699.00"</f>
        <v>71699.00</v>
      </c>
      <c r="AB1371" t="str">
        <f t="shared" si="470"/>
        <v>Residential</v>
      </c>
      <c r="AC1371" t="str">
        <f t="shared" si="475"/>
        <v>0</v>
      </c>
      <c r="AD1371" t="str">
        <f t="shared" si="462"/>
        <v>4</v>
      </c>
      <c r="AE1371" t="str">
        <f t="shared" si="463"/>
        <v>WOOD (INCLUDE STEEL STUDS)</v>
      </c>
      <c r="AF1371" t="str">
        <f t="shared" si="473"/>
        <v>002</v>
      </c>
      <c r="AG1371" t="str">
        <f t="shared" si="466"/>
        <v>FL</v>
      </c>
      <c r="AH1371" t="str">
        <f t="shared" si="472"/>
        <v>-</v>
      </c>
      <c r="AI1371" t="str">
        <f>"65000.00"</f>
        <v>65000.00</v>
      </c>
      <c r="AJ1371" t="str">
        <f>"C55-000-588-3317-9"</f>
        <v>C55-000-588-3317-9</v>
      </c>
      <c r="AK1371" t="str">
        <f>"23217"</f>
        <v>23217</v>
      </c>
      <c r="AL1371">
        <v>5</v>
      </c>
      <c r="AM1371">
        <v>1566</v>
      </c>
      <c r="AN1371">
        <v>974.97</v>
      </c>
      <c r="AQ1371" t="s">
        <v>13951</v>
      </c>
      <c r="AR1371" t="s">
        <v>13951</v>
      </c>
      <c r="AS1371" t="s">
        <v>13951</v>
      </c>
      <c r="AU1371" t="s">
        <v>396</v>
      </c>
      <c r="AV1371">
        <v>2017</v>
      </c>
      <c r="AW1371" t="str">
        <f>"43-2N-27-4647-0006-0130 "</f>
        <v xml:space="preserve">43-2N-27-4647-0006-0130 </v>
      </c>
      <c r="AX1371">
        <v>85007</v>
      </c>
      <c r="AZ1371" t="s">
        <v>3229</v>
      </c>
      <c r="BA1371" t="s">
        <v>496</v>
      </c>
      <c r="BD1371" t="s">
        <v>2387</v>
      </c>
      <c r="BE1371" t="s">
        <v>393</v>
      </c>
      <c r="BF1371">
        <v>32097</v>
      </c>
      <c r="BG1371" t="s">
        <v>13952</v>
      </c>
      <c r="BH1371" t="s">
        <v>2388</v>
      </c>
      <c r="BI1371">
        <v>-81.583992688489204</v>
      </c>
      <c r="BJ1371">
        <v>30.5768537580892</v>
      </c>
      <c r="BK1371" t="s">
        <v>13953</v>
      </c>
      <c r="BL1371" t="s">
        <v>13954</v>
      </c>
      <c r="BM1371" t="s">
        <v>13952</v>
      </c>
      <c r="BN1371" t="s">
        <v>1778</v>
      </c>
      <c r="BO1371">
        <v>32097</v>
      </c>
      <c r="BP1371" t="s">
        <v>416</v>
      </c>
      <c r="BQ1371">
        <v>200</v>
      </c>
      <c r="BR1371" t="s">
        <v>405</v>
      </c>
      <c r="BS1371">
        <v>1006</v>
      </c>
      <c r="BT1371" t="s">
        <v>406</v>
      </c>
      <c r="BW1371">
        <v>70962</v>
      </c>
      <c r="BX1371" t="s">
        <v>407</v>
      </c>
      <c r="BY1371" t="s">
        <v>408</v>
      </c>
      <c r="BZ1371">
        <v>4</v>
      </c>
      <c r="CA1371">
        <v>1994</v>
      </c>
      <c r="CB1371">
        <v>1</v>
      </c>
      <c r="CC1371">
        <v>1</v>
      </c>
      <c r="CD1371">
        <v>2017</v>
      </c>
      <c r="CG1371">
        <v>96699</v>
      </c>
      <c r="CH1371">
        <v>2017</v>
      </c>
      <c r="CI1371">
        <v>65000</v>
      </c>
      <c r="CJ1371">
        <v>48164</v>
      </c>
      <c r="CK1371">
        <v>113164</v>
      </c>
      <c r="CL1371">
        <v>2017</v>
      </c>
      <c r="CM1371">
        <v>871.91</v>
      </c>
      <c r="CN1371" s="1">
        <v>42738</v>
      </c>
      <c r="CO1371">
        <v>61000</v>
      </c>
      <c r="CV1371">
        <v>63000</v>
      </c>
      <c r="CX1371" t="s">
        <v>657</v>
      </c>
      <c r="CZ1371" s="1">
        <v>42738</v>
      </c>
      <c r="DA1371">
        <v>0</v>
      </c>
      <c r="DD1371" t="s">
        <v>2387</v>
      </c>
      <c r="DF1371">
        <v>13</v>
      </c>
      <c r="DG1371">
        <v>43</v>
      </c>
      <c r="DL1371">
        <v>50303</v>
      </c>
      <c r="DM1371" t="s">
        <v>13628</v>
      </c>
      <c r="DO1371" t="s">
        <v>13955</v>
      </c>
      <c r="DP1371">
        <v>0</v>
      </c>
      <c r="DQ1371">
        <v>0</v>
      </c>
      <c r="DR1371" t="s">
        <v>411</v>
      </c>
      <c r="DS1371" t="b">
        <v>1</v>
      </c>
      <c r="DT1371" t="s">
        <v>8902</v>
      </c>
      <c r="DV1371" t="s">
        <v>446</v>
      </c>
      <c r="DX1371">
        <v>7</v>
      </c>
      <c r="DY1371" t="s">
        <v>11438</v>
      </c>
      <c r="DZ1371" t="s">
        <v>447</v>
      </c>
      <c r="EA1371" t="s">
        <v>448</v>
      </c>
      <c r="EB1371" t="s">
        <v>13956</v>
      </c>
      <c r="EC1371">
        <v>20101217</v>
      </c>
      <c r="ED1371" t="s">
        <v>450</v>
      </c>
      <c r="EE1371">
        <v>5</v>
      </c>
      <c r="EF1371">
        <v>0</v>
      </c>
      <c r="EG1371">
        <v>0</v>
      </c>
      <c r="EH1371" t="s">
        <v>451</v>
      </c>
      <c r="EI1371">
        <v>20140731</v>
      </c>
      <c r="EJ1371">
        <v>0</v>
      </c>
      <c r="EK1371">
        <v>0</v>
      </c>
      <c r="EP1371" t="s">
        <v>421</v>
      </c>
      <c r="EQ1371" t="s">
        <v>422</v>
      </c>
      <c r="ER1371">
        <v>0</v>
      </c>
      <c r="ES1371">
        <v>1</v>
      </c>
      <c r="ET1371">
        <v>0</v>
      </c>
      <c r="EU1371">
        <v>0</v>
      </c>
      <c r="EV1371">
        <v>0</v>
      </c>
      <c r="EW1371" s="2">
        <v>43222</v>
      </c>
      <c r="EX1371" s="1">
        <v>41052</v>
      </c>
      <c r="EY1371">
        <v>2011</v>
      </c>
      <c r="EZ1371">
        <v>750.05</v>
      </c>
      <c r="FA1371" t="s">
        <v>13957</v>
      </c>
      <c r="FB1371">
        <v>5.75</v>
      </c>
      <c r="FC1371" t="s">
        <v>424</v>
      </c>
      <c r="FD1371" t="s">
        <v>425</v>
      </c>
      <c r="FE1371" s="1">
        <v>41429</v>
      </c>
      <c r="FF1371">
        <v>13</v>
      </c>
      <c r="FG1371">
        <v>10579</v>
      </c>
      <c r="FH1371" t="s">
        <v>488</v>
      </c>
    </row>
    <row r="1372" spans="1:284" x14ac:dyDescent="0.25">
      <c r="A1372">
        <v>16486379</v>
      </c>
      <c r="B1372">
        <v>1371</v>
      </c>
      <c r="C1372" t="s">
        <v>393</v>
      </c>
      <c r="D1372" t="s">
        <v>394</v>
      </c>
      <c r="F1372" t="str">
        <f>"43-2N-27-4647-0006-0160"</f>
        <v>43-2N-27-4647-0006-0160</v>
      </c>
      <c r="H1372" t="str">
        <f>"DAVIDSON MELISSA A"</f>
        <v>DAVIDSON MELISSA A</v>
      </c>
      <c r="I1372" t="str">
        <f>"85071 CLAXTON ROAD"</f>
        <v>85071 CLAXTON ROAD</v>
      </c>
      <c r="J1372" t="str">
        <f t="shared" si="471"/>
        <v>YULEE FL 32097</v>
      </c>
      <c r="K1372" t="str">
        <f>"85071 CLAXTON RD"</f>
        <v>85071 CLAXTON RD</v>
      </c>
      <c r="L1372" t="str">
        <f t="shared" si="456"/>
        <v>YULEE FL 32097</v>
      </c>
      <c r="M1372" t="str">
        <f>"BLOCK 6 LOT 16 IN OR 776/1977 1993 SKYL DW/MH WILSON NECK LANDING PB 4/71"</f>
        <v>BLOCK 6 LOT 16 IN OR 776/1977 1993 SKYL DW/MH WILSON NECK LANDING PB 4/71</v>
      </c>
      <c r="N1372" t="str">
        <f>""</f>
        <v/>
      </c>
      <c r="O1372" t="str">
        <f>"49902"</f>
        <v>49902</v>
      </c>
      <c r="P1372" t="str">
        <f t="shared" si="467"/>
        <v>2017</v>
      </c>
      <c r="Q1372" t="str">
        <f>""</f>
        <v/>
      </c>
      <c r="R1372" t="str">
        <f>"Y"</f>
        <v>Y</v>
      </c>
      <c r="S1372" t="str">
        <f>""</f>
        <v/>
      </c>
      <c r="T1372" t="str">
        <f>"556.07"</f>
        <v>556.07</v>
      </c>
      <c r="U1372" t="str">
        <f>"76335.00"</f>
        <v>76335.00</v>
      </c>
      <c r="V1372" t="str">
        <f>"76335.00"</f>
        <v>76335.00</v>
      </c>
      <c r="W1372" t="str">
        <f t="shared" si="468"/>
        <v>2017</v>
      </c>
      <c r="X1372" t="str">
        <f>""</f>
        <v/>
      </c>
      <c r="Y1372" t="str">
        <f>"604.75"</f>
        <v>604.75</v>
      </c>
      <c r="Z1372" t="str">
        <f>"25500.00"</f>
        <v>25500.00</v>
      </c>
      <c r="AA1372" t="str">
        <f>"50835.00"</f>
        <v>50835.00</v>
      </c>
      <c r="AB1372" t="str">
        <f t="shared" si="470"/>
        <v>Residential</v>
      </c>
      <c r="AC1372" t="str">
        <f t="shared" si="475"/>
        <v>0</v>
      </c>
      <c r="AD1372" t="str">
        <f t="shared" si="462"/>
        <v>4</v>
      </c>
      <c r="AE1372" t="str">
        <f t="shared" si="463"/>
        <v>WOOD (INCLUDE STEEL STUDS)</v>
      </c>
      <c r="AF1372" t="str">
        <f t="shared" si="473"/>
        <v>002</v>
      </c>
      <c r="AG1372" t="str">
        <f t="shared" si="466"/>
        <v>FL</v>
      </c>
      <c r="AH1372" t="str">
        <f t="shared" si="472"/>
        <v>-</v>
      </c>
      <c r="AI1372" t="str">
        <f>"65000.00"</f>
        <v>65000.00</v>
      </c>
      <c r="AJ1372" t="str">
        <f>"C55-000-588-3320-3"</f>
        <v>C55-000-588-3320-3</v>
      </c>
      <c r="AK1372" t="str">
        <f>"23220"</f>
        <v>23220</v>
      </c>
      <c r="AL1372">
        <v>5</v>
      </c>
      <c r="AM1372">
        <v>1567</v>
      </c>
      <c r="AN1372">
        <v>633.39</v>
      </c>
      <c r="AQ1372" t="s">
        <v>13958</v>
      </c>
      <c r="AR1372" t="s">
        <v>13958</v>
      </c>
      <c r="AS1372" t="s">
        <v>13958</v>
      </c>
      <c r="AU1372" t="s">
        <v>396</v>
      </c>
      <c r="AV1372">
        <v>2017</v>
      </c>
      <c r="AW1372" t="str">
        <f>"43-2N-27-4647-0006-0160 "</f>
        <v xml:space="preserve">43-2N-27-4647-0006-0160 </v>
      </c>
      <c r="AX1372">
        <v>85071</v>
      </c>
      <c r="AZ1372" t="s">
        <v>3229</v>
      </c>
      <c r="BA1372" t="s">
        <v>496</v>
      </c>
      <c r="BD1372" t="s">
        <v>2387</v>
      </c>
      <c r="BE1372" t="s">
        <v>393</v>
      </c>
      <c r="BF1372">
        <v>32097</v>
      </c>
      <c r="BG1372" t="s">
        <v>13959</v>
      </c>
      <c r="BH1372" t="s">
        <v>2388</v>
      </c>
      <c r="BI1372">
        <v>-81.584819839222405</v>
      </c>
      <c r="BJ1372">
        <v>30.5777535688852</v>
      </c>
      <c r="BK1372" t="s">
        <v>13960</v>
      </c>
      <c r="BM1372" t="s">
        <v>13959</v>
      </c>
      <c r="BN1372" t="s">
        <v>1778</v>
      </c>
      <c r="BO1372">
        <v>32097</v>
      </c>
      <c r="BP1372" t="s">
        <v>416</v>
      </c>
      <c r="BQ1372">
        <v>200</v>
      </c>
      <c r="BR1372" t="s">
        <v>405</v>
      </c>
      <c r="BS1372">
        <v>1006</v>
      </c>
      <c r="BT1372" t="s">
        <v>406</v>
      </c>
      <c r="BW1372">
        <v>54606</v>
      </c>
      <c r="BX1372" t="s">
        <v>407</v>
      </c>
      <c r="BY1372" t="s">
        <v>408</v>
      </c>
      <c r="BZ1372">
        <v>4</v>
      </c>
      <c r="CA1372">
        <v>1993</v>
      </c>
      <c r="CB1372">
        <v>1</v>
      </c>
      <c r="CC1372">
        <v>1</v>
      </c>
      <c r="CD1372">
        <v>2017</v>
      </c>
      <c r="CG1372">
        <v>76335</v>
      </c>
      <c r="CH1372">
        <v>2017</v>
      </c>
      <c r="CI1372">
        <v>65000</v>
      </c>
      <c r="CJ1372">
        <v>37394</v>
      </c>
      <c r="CK1372">
        <v>102394</v>
      </c>
      <c r="CL1372">
        <v>2017</v>
      </c>
      <c r="CM1372">
        <v>556.07000000000005</v>
      </c>
      <c r="CN1372" s="1">
        <v>35384</v>
      </c>
      <c r="CO1372">
        <v>24000</v>
      </c>
      <c r="CZ1372" s="1">
        <v>35384</v>
      </c>
      <c r="DD1372" t="s">
        <v>2387</v>
      </c>
      <c r="DF1372">
        <v>16</v>
      </c>
      <c r="DG1372">
        <v>43</v>
      </c>
      <c r="DL1372">
        <v>50303</v>
      </c>
      <c r="DM1372" t="s">
        <v>13628</v>
      </c>
      <c r="DO1372" t="s">
        <v>13961</v>
      </c>
      <c r="DP1372">
        <v>0</v>
      </c>
      <c r="DQ1372">
        <v>0</v>
      </c>
      <c r="DR1372" t="s">
        <v>411</v>
      </c>
    </row>
    <row r="1373" spans="1:284" x14ac:dyDescent="0.25">
      <c r="A1373">
        <v>16486380</v>
      </c>
      <c r="B1373">
        <v>1372</v>
      </c>
      <c r="C1373" t="s">
        <v>393</v>
      </c>
      <c r="D1373" t="s">
        <v>394</v>
      </c>
      <c r="F1373" t="str">
        <f>"43-2N-27-4648-0001-0010"</f>
        <v>43-2N-27-4648-0001-0010</v>
      </c>
      <c r="H1373" t="str">
        <f>"JOHNSON MICHAEL L &amp; JUANITA L"</f>
        <v>JOHNSON MICHAEL L &amp; JUANITA L</v>
      </c>
      <c r="I1373" t="str">
        <f>"85737 LANA RD"</f>
        <v>85737 LANA RD</v>
      </c>
      <c r="J1373" t="str">
        <f t="shared" si="471"/>
        <v>YULEE FL 32097</v>
      </c>
      <c r="K1373" t="str">
        <f>"85737 LANA RD"</f>
        <v>85737 LANA RD</v>
      </c>
      <c r="L1373" t="str">
        <f t="shared" si="456"/>
        <v>YULEE FL 32097</v>
      </c>
      <c r="M1373" t="str">
        <f>"BLOCK 1 LOT 1 IN OR 700 PG 2000 R788205 &amp; R788206 WILSON NECK LANDING 2 PB 4/72"</f>
        <v>BLOCK 1 LOT 1 IN OR 700 PG 2000 R788205 &amp; R788206 WILSON NECK LANDING 2 PB 4/72</v>
      </c>
      <c r="N1373" t="str">
        <f>""</f>
        <v/>
      </c>
      <c r="O1373" t="str">
        <f>"49930"</f>
        <v>49930</v>
      </c>
      <c r="P1373" t="str">
        <f t="shared" si="467"/>
        <v>2017</v>
      </c>
      <c r="Q1373" t="str">
        <f>""</f>
        <v/>
      </c>
      <c r="R1373" t="str">
        <f>"Y"</f>
        <v>Y</v>
      </c>
      <c r="S1373" t="str">
        <f>""</f>
        <v/>
      </c>
      <c r="T1373" t="str">
        <f>"529.22"</f>
        <v>529.22</v>
      </c>
      <c r="U1373" t="str">
        <f>"72846.00"</f>
        <v>72846.00</v>
      </c>
      <c r="V1373" t="str">
        <f>"72846.00"</f>
        <v>72846.00</v>
      </c>
      <c r="W1373" t="str">
        <f t="shared" si="468"/>
        <v>2017</v>
      </c>
      <c r="X1373" t="str">
        <f>"35.10"</f>
        <v>35.10</v>
      </c>
      <c r="Y1373" t="str">
        <f>"577.10"</f>
        <v>577.10</v>
      </c>
      <c r="Z1373" t="str">
        <f>"25000.00"</f>
        <v>25000.00</v>
      </c>
      <c r="AA1373" t="str">
        <f>"47846.00"</f>
        <v>47846.00</v>
      </c>
      <c r="AB1373" t="str">
        <f t="shared" si="470"/>
        <v>Residential</v>
      </c>
      <c r="AC1373" t="str">
        <f t="shared" si="475"/>
        <v>0</v>
      </c>
      <c r="AD1373" t="str">
        <f t="shared" si="462"/>
        <v>4</v>
      </c>
      <c r="AE1373" t="str">
        <f t="shared" si="463"/>
        <v>WOOD (INCLUDE STEEL STUDS)</v>
      </c>
      <c r="AF1373" t="str">
        <f t="shared" si="473"/>
        <v>002</v>
      </c>
      <c r="AG1373" t="str">
        <f t="shared" si="466"/>
        <v>FL</v>
      </c>
      <c r="AH1373" t="str">
        <f t="shared" si="472"/>
        <v>-</v>
      </c>
      <c r="AI1373" t="str">
        <f t="shared" ref="AI1373:AI1386" si="476">"28000.00"</f>
        <v>28000.00</v>
      </c>
      <c r="AJ1373" t="str">
        <f>"C55-000-588-3346-8"</f>
        <v>C55-000-588-3346-8</v>
      </c>
      <c r="AK1373" t="str">
        <f>"23244"</f>
        <v>23244</v>
      </c>
      <c r="AL1373">
        <v>5</v>
      </c>
      <c r="AM1373">
        <v>1568</v>
      </c>
      <c r="AN1373">
        <v>604.36</v>
      </c>
      <c r="AQ1373" t="s">
        <v>13962</v>
      </c>
      <c r="AR1373" t="s">
        <v>13962</v>
      </c>
      <c r="AS1373" t="s">
        <v>13962</v>
      </c>
      <c r="AU1373" t="s">
        <v>396</v>
      </c>
      <c r="AV1373">
        <v>2017</v>
      </c>
      <c r="AW1373" t="str">
        <f>"43-2N-27-4648-0001-0010 "</f>
        <v xml:space="preserve">43-2N-27-4648-0001-0010 </v>
      </c>
      <c r="AX1373">
        <v>85737</v>
      </c>
      <c r="AZ1373" t="s">
        <v>13902</v>
      </c>
      <c r="BA1373" t="s">
        <v>496</v>
      </c>
      <c r="BD1373" t="s">
        <v>2387</v>
      </c>
      <c r="BE1373" t="s">
        <v>393</v>
      </c>
      <c r="BF1373">
        <v>32097</v>
      </c>
      <c r="BG1373" t="s">
        <v>13963</v>
      </c>
      <c r="BH1373" t="s">
        <v>2388</v>
      </c>
      <c r="BI1373">
        <v>-81.585576115072996</v>
      </c>
      <c r="BJ1373">
        <v>30.585767695789698</v>
      </c>
      <c r="BK1373" t="s">
        <v>13964</v>
      </c>
      <c r="BL1373" t="s">
        <v>13965</v>
      </c>
      <c r="BM1373" t="s">
        <v>13963</v>
      </c>
      <c r="BN1373" t="s">
        <v>1778</v>
      </c>
      <c r="BO1373">
        <v>32097</v>
      </c>
      <c r="BP1373" t="s">
        <v>416</v>
      </c>
      <c r="BQ1373">
        <v>200</v>
      </c>
      <c r="BR1373" t="s">
        <v>405</v>
      </c>
      <c r="BS1373">
        <v>1006</v>
      </c>
      <c r="BT1373" t="s">
        <v>406</v>
      </c>
      <c r="BW1373">
        <v>55850</v>
      </c>
      <c r="BX1373" t="s">
        <v>407</v>
      </c>
      <c r="BY1373" t="s">
        <v>408</v>
      </c>
      <c r="BZ1373">
        <v>4</v>
      </c>
      <c r="CA1373">
        <v>1999</v>
      </c>
      <c r="CB1373">
        <v>1</v>
      </c>
      <c r="CC1373">
        <v>1</v>
      </c>
      <c r="CD1373">
        <v>2017</v>
      </c>
      <c r="CG1373">
        <v>72846</v>
      </c>
      <c r="CH1373">
        <v>2017</v>
      </c>
      <c r="CI1373">
        <v>28000</v>
      </c>
      <c r="CJ1373">
        <v>66787</v>
      </c>
      <c r="CK1373">
        <v>94787</v>
      </c>
      <c r="CL1373">
        <v>2017</v>
      </c>
      <c r="CM1373">
        <v>529.22</v>
      </c>
      <c r="CN1373" s="1">
        <v>34417</v>
      </c>
      <c r="CO1373">
        <v>45000</v>
      </c>
      <c r="CZ1373" s="1">
        <v>34417</v>
      </c>
      <c r="DD1373" t="s">
        <v>2387</v>
      </c>
      <c r="DF1373">
        <v>1</v>
      </c>
      <c r="DG1373">
        <v>43</v>
      </c>
      <c r="DL1373">
        <v>50302</v>
      </c>
      <c r="DM1373" t="s">
        <v>13628</v>
      </c>
      <c r="DO1373" t="s">
        <v>13966</v>
      </c>
      <c r="DP1373">
        <v>0</v>
      </c>
      <c r="DQ1373">
        <v>0</v>
      </c>
      <c r="DR1373" t="s">
        <v>411</v>
      </c>
      <c r="DS1373" t="b">
        <v>1</v>
      </c>
      <c r="DT1373" t="s">
        <v>470</v>
      </c>
      <c r="DU1373" t="s">
        <v>471</v>
      </c>
      <c r="DV1373" t="s">
        <v>472</v>
      </c>
      <c r="DX1373">
        <v>-9999</v>
      </c>
      <c r="DZ1373" t="s">
        <v>447</v>
      </c>
      <c r="EA1373" t="s">
        <v>448</v>
      </c>
      <c r="EB1373" t="s">
        <v>742</v>
      </c>
      <c r="EC1373">
        <v>20101217</v>
      </c>
      <c r="ED1373" t="s">
        <v>474</v>
      </c>
      <c r="EF1373">
        <v>1300.4000000000001</v>
      </c>
      <c r="EG1373">
        <v>44.1</v>
      </c>
      <c r="EI1373">
        <v>20160407</v>
      </c>
      <c r="EJ1373">
        <v>0</v>
      </c>
      <c r="EK1373">
        <v>0</v>
      </c>
      <c r="EP1373" t="s">
        <v>421</v>
      </c>
      <c r="EQ1373" t="s">
        <v>452</v>
      </c>
      <c r="ER1373">
        <v>0</v>
      </c>
      <c r="ES1373">
        <v>7</v>
      </c>
      <c r="ET1373">
        <v>0</v>
      </c>
      <c r="EU1373">
        <v>0</v>
      </c>
      <c r="EV1373">
        <v>0</v>
      </c>
      <c r="EW1373" s="2">
        <v>43222</v>
      </c>
      <c r="EX1373" s="1">
        <v>42515</v>
      </c>
      <c r="EY1373">
        <v>2015</v>
      </c>
      <c r="EZ1373">
        <v>608.46</v>
      </c>
      <c r="FA1373" t="s">
        <v>13967</v>
      </c>
      <c r="FB1373">
        <v>18</v>
      </c>
      <c r="FC1373" t="s">
        <v>424</v>
      </c>
      <c r="FD1373" t="s">
        <v>425</v>
      </c>
      <c r="FE1373" s="1">
        <v>42823</v>
      </c>
      <c r="FF1373">
        <v>10</v>
      </c>
      <c r="FG1373">
        <v>10125</v>
      </c>
      <c r="FH1373" t="s">
        <v>440</v>
      </c>
      <c r="FI1373" t="s">
        <v>458</v>
      </c>
      <c r="FJ1373" s="1">
        <v>42151</v>
      </c>
      <c r="FK1373">
        <v>2014</v>
      </c>
      <c r="FL1373">
        <v>630.70000000000005</v>
      </c>
      <c r="FM1373" t="s">
        <v>13968</v>
      </c>
      <c r="FN1373">
        <v>18</v>
      </c>
      <c r="FO1373" t="s">
        <v>424</v>
      </c>
      <c r="FP1373" t="s">
        <v>425</v>
      </c>
      <c r="FQ1373" s="1">
        <v>42823</v>
      </c>
      <c r="FR1373">
        <v>22</v>
      </c>
      <c r="FS1373">
        <v>10125</v>
      </c>
      <c r="FT1373" t="s">
        <v>440</v>
      </c>
      <c r="FU1373" t="s">
        <v>458</v>
      </c>
      <c r="FV1373" s="1">
        <v>41787</v>
      </c>
      <c r="FW1373">
        <v>2013</v>
      </c>
      <c r="FX1373">
        <v>685.16</v>
      </c>
      <c r="FY1373" t="s">
        <v>13969</v>
      </c>
      <c r="FZ1373">
        <v>14.75</v>
      </c>
      <c r="GA1373" t="s">
        <v>424</v>
      </c>
      <c r="GB1373" t="s">
        <v>425</v>
      </c>
      <c r="GC1373" s="1">
        <v>42823</v>
      </c>
      <c r="GD1373">
        <v>34</v>
      </c>
      <c r="GE1373">
        <v>10125</v>
      </c>
      <c r="GF1373" t="s">
        <v>440</v>
      </c>
      <c r="GG1373" t="s">
        <v>458</v>
      </c>
      <c r="GH1373" s="1">
        <v>41423</v>
      </c>
      <c r="GI1373">
        <v>2012</v>
      </c>
      <c r="GJ1373">
        <v>755.67</v>
      </c>
      <c r="GK1373" t="s">
        <v>13970</v>
      </c>
      <c r="GL1373">
        <v>3.5</v>
      </c>
      <c r="GM1373" t="s">
        <v>424</v>
      </c>
      <c r="GN1373" t="s">
        <v>425</v>
      </c>
      <c r="GO1373" s="1">
        <v>42061</v>
      </c>
      <c r="GP1373">
        <v>21</v>
      </c>
      <c r="GQ1373">
        <v>10125</v>
      </c>
      <c r="GR1373" t="s">
        <v>440</v>
      </c>
      <c r="GT1373" s="1">
        <v>41052</v>
      </c>
      <c r="GU1373">
        <v>2011</v>
      </c>
      <c r="GV1373">
        <v>830.11</v>
      </c>
      <c r="GW1373" t="s">
        <v>13971</v>
      </c>
      <c r="GX1373">
        <v>6</v>
      </c>
      <c r="GY1373" t="s">
        <v>424</v>
      </c>
      <c r="GZ1373" t="s">
        <v>425</v>
      </c>
      <c r="HB1373">
        <v>22</v>
      </c>
      <c r="HC1373">
        <v>375</v>
      </c>
      <c r="HD1373" t="s">
        <v>776</v>
      </c>
      <c r="HE1373" t="s">
        <v>458</v>
      </c>
      <c r="HF1373" s="1">
        <v>41052</v>
      </c>
      <c r="HG1373">
        <v>2011</v>
      </c>
      <c r="HH1373">
        <v>830.11</v>
      </c>
      <c r="HI1373" t="s">
        <v>13971</v>
      </c>
      <c r="HJ1373">
        <v>6</v>
      </c>
      <c r="HK1373" t="s">
        <v>424</v>
      </c>
      <c r="HL1373" t="s">
        <v>425</v>
      </c>
      <c r="HN1373">
        <v>22</v>
      </c>
      <c r="HO1373">
        <v>105</v>
      </c>
      <c r="HP1373" t="s">
        <v>946</v>
      </c>
      <c r="HQ1373" t="s">
        <v>458</v>
      </c>
      <c r="HR1373" s="1">
        <v>40688</v>
      </c>
      <c r="HS1373">
        <v>2010</v>
      </c>
      <c r="HT1373">
        <v>928.72</v>
      </c>
      <c r="HU1373" t="s">
        <v>13972</v>
      </c>
      <c r="HV1373">
        <v>5.25</v>
      </c>
      <c r="HW1373" t="s">
        <v>424</v>
      </c>
      <c r="HX1373" t="s">
        <v>425</v>
      </c>
      <c r="HY1373" s="1">
        <v>42823</v>
      </c>
      <c r="HZ1373">
        <v>70</v>
      </c>
      <c r="IA1373">
        <v>443</v>
      </c>
      <c r="IB1373" t="s">
        <v>12371</v>
      </c>
      <c r="IC1373" t="s">
        <v>458</v>
      </c>
    </row>
    <row r="1374" spans="1:284" x14ac:dyDescent="0.25">
      <c r="A1374">
        <v>16486381</v>
      </c>
      <c r="B1374">
        <v>1373</v>
      </c>
      <c r="C1374" t="s">
        <v>393</v>
      </c>
      <c r="D1374" t="s">
        <v>394</v>
      </c>
      <c r="F1374" t="str">
        <f>"43-2N-27-4648-0001-0070"</f>
        <v>43-2N-27-4648-0001-0070</v>
      </c>
      <c r="H1374" t="str">
        <f>"HARPE CONNIE D"</f>
        <v>HARPE CONNIE D</v>
      </c>
      <c r="I1374" t="str">
        <f>"85074 JESSIE LANE"</f>
        <v>85074 JESSIE LANE</v>
      </c>
      <c r="J1374" t="str">
        <f t="shared" si="471"/>
        <v>YULEE FL 32097</v>
      </c>
      <c r="K1374" t="str">
        <f>"85571 LANA RD"</f>
        <v>85571 LANA RD</v>
      </c>
      <c r="L1374" t="str">
        <f t="shared" si="456"/>
        <v>YULEE FL 32097</v>
      </c>
      <c r="M1374" t="str">
        <f>"BLOCK 1 LOT 7 IN OR 721 PG 1909 R408026 &amp; R408027 WILSON NECK LANDING 2 PB 4/72"</f>
        <v>BLOCK 1 LOT 7 IN OR 721 PG 1909 R408026 &amp; R408027 WILSON NECK LANDING 2 PB 4/72</v>
      </c>
      <c r="N1374" t="str">
        <f>""</f>
        <v/>
      </c>
      <c r="O1374" t="str">
        <f>"49936"</f>
        <v>49936</v>
      </c>
      <c r="P1374" t="str">
        <f t="shared" si="467"/>
        <v>2017</v>
      </c>
      <c r="Q1374" t="str">
        <f>""</f>
        <v/>
      </c>
      <c r="R1374" t="str">
        <f>"N"</f>
        <v>N</v>
      </c>
      <c r="S1374" t="str">
        <f>""</f>
        <v/>
      </c>
      <c r="T1374" t="str">
        <f>"767.63"</f>
        <v>767.63</v>
      </c>
      <c r="U1374" t="str">
        <f>"46496.00"</f>
        <v>46496.00</v>
      </c>
      <c r="V1374" t="str">
        <f>"46496.00"</f>
        <v>46496.00</v>
      </c>
      <c r="W1374" t="str">
        <f t="shared" si="468"/>
        <v>2017</v>
      </c>
      <c r="X1374" t="str">
        <f>"7.43"</f>
        <v>7.43</v>
      </c>
      <c r="Y1374" t="str">
        <f>"822.66"</f>
        <v>822.66</v>
      </c>
      <c r="Z1374" t="str">
        <f>""</f>
        <v/>
      </c>
      <c r="AA1374" t="str">
        <f>"56155.00"</f>
        <v>56155.00</v>
      </c>
      <c r="AB1374" t="str">
        <f t="shared" si="470"/>
        <v>Residential</v>
      </c>
      <c r="AC1374" t="str">
        <f t="shared" si="475"/>
        <v>0</v>
      </c>
      <c r="AD1374" t="str">
        <f t="shared" si="462"/>
        <v>4</v>
      </c>
      <c r="AE1374" t="str">
        <f t="shared" si="463"/>
        <v>WOOD (INCLUDE STEEL STUDS)</v>
      </c>
      <c r="AF1374" t="str">
        <f t="shared" si="473"/>
        <v>002</v>
      </c>
      <c r="AG1374" t="str">
        <f t="shared" si="466"/>
        <v>FL</v>
      </c>
      <c r="AH1374" t="str">
        <f t="shared" si="472"/>
        <v>-</v>
      </c>
      <c r="AI1374" t="str">
        <f t="shared" si="476"/>
        <v>28000.00</v>
      </c>
      <c r="AJ1374" t="str">
        <f>"C55-000-588-3352-6"</f>
        <v>C55-000-588-3352-6</v>
      </c>
      <c r="AK1374" t="str">
        <f>"23250"</f>
        <v>23250</v>
      </c>
      <c r="AL1374">
        <v>5</v>
      </c>
      <c r="AM1374">
        <v>1569</v>
      </c>
      <c r="AN1374">
        <v>862.19</v>
      </c>
      <c r="AQ1374" t="s">
        <v>13973</v>
      </c>
      <c r="AR1374" t="s">
        <v>13973</v>
      </c>
      <c r="AS1374" t="s">
        <v>13973</v>
      </c>
      <c r="AU1374" t="s">
        <v>396</v>
      </c>
      <c r="AV1374">
        <v>2017</v>
      </c>
      <c r="AW1374" t="str">
        <f>"43-2N-27-4648-0001-0070 "</f>
        <v xml:space="preserve">43-2N-27-4648-0001-0070 </v>
      </c>
      <c r="AX1374">
        <v>85571</v>
      </c>
      <c r="AZ1374" t="s">
        <v>13902</v>
      </c>
      <c r="BA1374" t="s">
        <v>496</v>
      </c>
      <c r="BD1374" t="s">
        <v>2387</v>
      </c>
      <c r="BE1374" t="s">
        <v>393</v>
      </c>
      <c r="BF1374">
        <v>32097</v>
      </c>
      <c r="BG1374" t="s">
        <v>13974</v>
      </c>
      <c r="BH1374" t="s">
        <v>2388</v>
      </c>
      <c r="BI1374">
        <v>-81.5833447310427</v>
      </c>
      <c r="BJ1374">
        <v>30.584128468029299</v>
      </c>
      <c r="BK1374" t="s">
        <v>13975</v>
      </c>
      <c r="BM1374" t="s">
        <v>13976</v>
      </c>
      <c r="BN1374" t="s">
        <v>1778</v>
      </c>
      <c r="BO1374">
        <v>32097</v>
      </c>
      <c r="BP1374" t="s">
        <v>404</v>
      </c>
      <c r="BQ1374">
        <v>200</v>
      </c>
      <c r="BR1374" t="s">
        <v>405</v>
      </c>
      <c r="BS1374">
        <v>1006</v>
      </c>
      <c r="BT1374" t="s">
        <v>406</v>
      </c>
      <c r="BW1374">
        <v>43629</v>
      </c>
      <c r="BX1374" t="s">
        <v>407</v>
      </c>
      <c r="BY1374" t="s">
        <v>408</v>
      </c>
      <c r="BZ1374">
        <v>4</v>
      </c>
      <c r="CA1374">
        <v>1986</v>
      </c>
      <c r="CB1374">
        <v>1</v>
      </c>
      <c r="CC1374">
        <v>1</v>
      </c>
      <c r="CD1374">
        <v>2017</v>
      </c>
      <c r="CE1374">
        <v>28000</v>
      </c>
      <c r="CF1374">
        <v>28155</v>
      </c>
      <c r="CG1374">
        <v>56155</v>
      </c>
      <c r="CH1374">
        <v>2017</v>
      </c>
      <c r="CI1374">
        <v>28000</v>
      </c>
      <c r="CJ1374">
        <v>28155</v>
      </c>
      <c r="CK1374">
        <v>56155</v>
      </c>
      <c r="CL1374">
        <v>2017</v>
      </c>
      <c r="CM1374">
        <v>767.63</v>
      </c>
      <c r="CN1374" s="1">
        <v>34712</v>
      </c>
      <c r="CO1374">
        <v>7300</v>
      </c>
      <c r="CZ1374" s="1">
        <v>34712</v>
      </c>
      <c r="DD1374" t="s">
        <v>2387</v>
      </c>
      <c r="DF1374">
        <v>7</v>
      </c>
      <c r="DG1374">
        <v>43</v>
      </c>
      <c r="DL1374">
        <v>50302</v>
      </c>
      <c r="DM1374" t="s">
        <v>13628</v>
      </c>
      <c r="DO1374" t="s">
        <v>13977</v>
      </c>
      <c r="DP1374">
        <v>0</v>
      </c>
      <c r="DQ1374">
        <v>0</v>
      </c>
      <c r="DR1374" t="s">
        <v>411</v>
      </c>
      <c r="DS1374" t="b">
        <v>1</v>
      </c>
      <c r="DT1374" t="s">
        <v>470</v>
      </c>
      <c r="DU1374" t="s">
        <v>471</v>
      </c>
      <c r="DV1374" t="s">
        <v>472</v>
      </c>
      <c r="DX1374">
        <v>-9999</v>
      </c>
      <c r="DZ1374" t="s">
        <v>447</v>
      </c>
      <c r="EA1374" t="s">
        <v>448</v>
      </c>
      <c r="EB1374" t="s">
        <v>742</v>
      </c>
      <c r="EC1374">
        <v>20101217</v>
      </c>
      <c r="ED1374" t="s">
        <v>474</v>
      </c>
      <c r="EF1374">
        <v>1410.8</v>
      </c>
      <c r="EG1374">
        <v>237.5</v>
      </c>
      <c r="EI1374">
        <v>20160407</v>
      </c>
      <c r="EJ1374">
        <v>0</v>
      </c>
      <c r="EK1374">
        <v>0</v>
      </c>
      <c r="EP1374" t="s">
        <v>421</v>
      </c>
      <c r="EQ1374" t="s">
        <v>422</v>
      </c>
      <c r="ER1374">
        <v>2</v>
      </c>
      <c r="ES1374">
        <v>7</v>
      </c>
      <c r="ET1374">
        <v>1457.48</v>
      </c>
      <c r="EU1374">
        <v>85.37</v>
      </c>
      <c r="EV1374">
        <v>1542.85</v>
      </c>
      <c r="EW1374" s="2">
        <v>43222</v>
      </c>
      <c r="EX1374" s="1">
        <v>42879</v>
      </c>
      <c r="EY1374">
        <v>2016</v>
      </c>
      <c r="EZ1374">
        <v>728.74</v>
      </c>
      <c r="FA1374" t="s">
        <v>13978</v>
      </c>
      <c r="FB1374">
        <v>0.25</v>
      </c>
      <c r="FC1374" t="s">
        <v>424</v>
      </c>
      <c r="FD1374" t="s">
        <v>454</v>
      </c>
      <c r="FF1374">
        <v>12</v>
      </c>
      <c r="FG1374">
        <v>7400234</v>
      </c>
      <c r="FH1374" t="s">
        <v>426</v>
      </c>
      <c r="FJ1374" s="1">
        <v>42879</v>
      </c>
      <c r="FK1374">
        <v>2016</v>
      </c>
      <c r="FL1374">
        <v>728.74</v>
      </c>
      <c r="FM1374" t="s">
        <v>13978</v>
      </c>
      <c r="FN1374">
        <v>0.25</v>
      </c>
      <c r="FO1374" t="s">
        <v>424</v>
      </c>
      <c r="FP1374" t="s">
        <v>454</v>
      </c>
      <c r="FR1374">
        <v>12</v>
      </c>
      <c r="FS1374">
        <v>7479500</v>
      </c>
      <c r="FT1374" t="s">
        <v>13979</v>
      </c>
      <c r="FV1374" s="1">
        <v>42515</v>
      </c>
      <c r="FW1374">
        <v>2015</v>
      </c>
      <c r="FX1374">
        <v>749.4</v>
      </c>
      <c r="FY1374" t="s">
        <v>13980</v>
      </c>
      <c r="FZ1374">
        <v>0.25</v>
      </c>
      <c r="GA1374" t="s">
        <v>424</v>
      </c>
      <c r="GB1374" t="s">
        <v>425</v>
      </c>
      <c r="GC1374" s="1">
        <v>42563</v>
      </c>
      <c r="GD1374">
        <v>2</v>
      </c>
      <c r="GE1374">
        <v>2851116</v>
      </c>
      <c r="GF1374" t="s">
        <v>480</v>
      </c>
      <c r="GH1374" s="1">
        <v>42515</v>
      </c>
      <c r="GI1374">
        <v>2015</v>
      </c>
      <c r="GJ1374">
        <v>749.4</v>
      </c>
      <c r="GK1374" t="s">
        <v>13980</v>
      </c>
      <c r="GL1374">
        <v>0.25</v>
      </c>
      <c r="GM1374" t="s">
        <v>424</v>
      </c>
      <c r="GN1374" t="s">
        <v>425</v>
      </c>
      <c r="GP1374">
        <v>22</v>
      </c>
      <c r="GQ1374">
        <v>5287555</v>
      </c>
      <c r="GR1374" t="s">
        <v>13981</v>
      </c>
      <c r="GT1374" s="1">
        <v>42151</v>
      </c>
      <c r="GU1374">
        <v>2014</v>
      </c>
      <c r="GV1374">
        <v>630.16999999999996</v>
      </c>
      <c r="GW1374" t="s">
        <v>13982</v>
      </c>
      <c r="GX1374">
        <v>0.25</v>
      </c>
      <c r="GY1374" t="s">
        <v>424</v>
      </c>
      <c r="GZ1374" t="s">
        <v>425</v>
      </c>
      <c r="HA1374" s="1">
        <v>42307</v>
      </c>
      <c r="HB1374">
        <v>5</v>
      </c>
      <c r="HC1374">
        <v>2101382</v>
      </c>
      <c r="HD1374" t="s">
        <v>993</v>
      </c>
      <c r="HF1374" s="1">
        <v>42151</v>
      </c>
      <c r="HG1374">
        <v>2014</v>
      </c>
      <c r="HH1374">
        <v>630.16999999999996</v>
      </c>
      <c r="HI1374" t="s">
        <v>13982</v>
      </c>
      <c r="HJ1374">
        <v>0.25</v>
      </c>
      <c r="HK1374" t="s">
        <v>424</v>
      </c>
      <c r="HL1374" t="s">
        <v>425</v>
      </c>
      <c r="HN1374">
        <v>22</v>
      </c>
      <c r="HO1374">
        <v>5470249</v>
      </c>
      <c r="HP1374" t="s">
        <v>13983</v>
      </c>
      <c r="HR1374" s="1">
        <v>41423</v>
      </c>
      <c r="HS1374">
        <v>2012</v>
      </c>
      <c r="HT1374">
        <v>848.73</v>
      </c>
      <c r="HU1374" t="s">
        <v>13984</v>
      </c>
      <c r="HV1374">
        <v>0.25</v>
      </c>
      <c r="HW1374" t="s">
        <v>424</v>
      </c>
      <c r="HX1374" t="s">
        <v>425</v>
      </c>
      <c r="HY1374" s="1">
        <v>41737</v>
      </c>
      <c r="HZ1374">
        <v>11</v>
      </c>
      <c r="IA1374">
        <v>15399</v>
      </c>
      <c r="IB1374" t="s">
        <v>485</v>
      </c>
      <c r="ID1374" s="1">
        <v>41052</v>
      </c>
      <c r="IE1374">
        <v>2011</v>
      </c>
      <c r="IF1374">
        <v>1017.38</v>
      </c>
      <c r="IG1374" t="s">
        <v>13985</v>
      </c>
      <c r="IH1374">
        <v>5.75</v>
      </c>
      <c r="II1374" t="s">
        <v>424</v>
      </c>
      <c r="IJ1374" t="s">
        <v>425</v>
      </c>
      <c r="IK1374" s="1">
        <v>41361</v>
      </c>
      <c r="IL1374">
        <v>10</v>
      </c>
      <c r="IM1374">
        <v>10579</v>
      </c>
      <c r="IN1374" t="s">
        <v>488</v>
      </c>
      <c r="IP1374" s="1">
        <v>40688</v>
      </c>
      <c r="IQ1374">
        <v>2010</v>
      </c>
      <c r="IR1374">
        <v>1096.74</v>
      </c>
      <c r="IS1374" t="s">
        <v>13986</v>
      </c>
      <c r="IT1374">
        <v>5.25</v>
      </c>
      <c r="IU1374" t="s">
        <v>424</v>
      </c>
      <c r="IV1374" t="s">
        <v>425</v>
      </c>
      <c r="IW1374" s="1">
        <v>40792</v>
      </c>
      <c r="IX1374">
        <v>4</v>
      </c>
      <c r="IY1374">
        <v>443</v>
      </c>
      <c r="IZ1374" t="s">
        <v>12371</v>
      </c>
    </row>
    <row r="1375" spans="1:284" x14ac:dyDescent="0.25">
      <c r="A1375">
        <v>16486382</v>
      </c>
      <c r="B1375">
        <v>1374</v>
      </c>
      <c r="C1375" t="s">
        <v>393</v>
      </c>
      <c r="D1375" t="s">
        <v>394</v>
      </c>
      <c r="F1375" t="str">
        <f>"43-2N-27-4648-0001-0160"</f>
        <v>43-2N-27-4648-0001-0160</v>
      </c>
      <c r="H1375" t="str">
        <f>"JOHNSON MICHAEL &amp; JUANITA"</f>
        <v>JOHNSON MICHAEL &amp; JUANITA</v>
      </c>
      <c r="I1375" t="str">
        <f>"85737 LANA ROAD"</f>
        <v>85737 LANA ROAD</v>
      </c>
      <c r="J1375" t="str">
        <f t="shared" si="471"/>
        <v>YULEE FL 32097</v>
      </c>
      <c r="K1375" t="str">
        <f>"85714 CLAXTON RD"</f>
        <v>85714 CLAXTON RD</v>
      </c>
      <c r="L1375" t="str">
        <f t="shared" si="456"/>
        <v>YULEE FL 32097</v>
      </c>
      <c r="M1375" t="str">
        <f>"BLOCK 1 LOT 16 IN OR 1176/621 R673619 &amp; R673620 WILSON NECK LANDING 2 PB 4/72"</f>
        <v>BLOCK 1 LOT 16 IN OR 1176/621 R673619 &amp; R673620 WILSON NECK LANDING 2 PB 4/72</v>
      </c>
      <c r="N1375" t="str">
        <f>""</f>
        <v/>
      </c>
      <c r="O1375" t="str">
        <f>"49945"</f>
        <v>49945</v>
      </c>
      <c r="P1375" t="str">
        <f t="shared" si="467"/>
        <v>2017</v>
      </c>
      <c r="Q1375" t="str">
        <f>""</f>
        <v/>
      </c>
      <c r="R1375" t="str">
        <f>"N"</f>
        <v>N</v>
      </c>
      <c r="S1375" t="str">
        <f>""</f>
        <v/>
      </c>
      <c r="T1375" t="str">
        <f>"713.65"</f>
        <v>713.65</v>
      </c>
      <c r="U1375" t="str">
        <f>"47141.00"</f>
        <v>47141.00</v>
      </c>
      <c r="V1375" t="str">
        <f>"47141.00"</f>
        <v>47141.00</v>
      </c>
      <c r="W1375" t="str">
        <f t="shared" si="468"/>
        <v>2017</v>
      </c>
      <c r="X1375" t="str">
        <f>"13.67"</f>
        <v>13.67</v>
      </c>
      <c r="Y1375" t="str">
        <f>"767.06"</f>
        <v>767.06</v>
      </c>
      <c r="Z1375" t="str">
        <f>""</f>
        <v/>
      </c>
      <c r="AA1375" t="str">
        <f>"47141.00"</f>
        <v>47141.00</v>
      </c>
      <c r="AB1375" t="str">
        <f t="shared" si="470"/>
        <v>Residential</v>
      </c>
      <c r="AC1375" t="str">
        <f t="shared" si="475"/>
        <v>0</v>
      </c>
      <c r="AD1375" t="str">
        <f t="shared" si="462"/>
        <v>4</v>
      </c>
      <c r="AE1375" t="str">
        <f t="shared" si="463"/>
        <v>WOOD (INCLUDE STEEL STUDS)</v>
      </c>
      <c r="AF1375" t="str">
        <f t="shared" si="473"/>
        <v>002</v>
      </c>
      <c r="AG1375" t="str">
        <f t="shared" si="466"/>
        <v>FL</v>
      </c>
      <c r="AH1375" t="str">
        <f t="shared" si="472"/>
        <v>-</v>
      </c>
      <c r="AI1375" t="str">
        <f t="shared" si="476"/>
        <v>28000.00</v>
      </c>
      <c r="AJ1375" t="str">
        <f>"C55-000-588-3361-7"</f>
        <v>C55-000-588-3361-7</v>
      </c>
      <c r="AK1375" t="str">
        <f>"23259"</f>
        <v>23259</v>
      </c>
      <c r="AL1375">
        <v>5</v>
      </c>
      <c r="AM1375">
        <v>1571</v>
      </c>
      <c r="AN1375">
        <v>803.81</v>
      </c>
      <c r="AQ1375" t="s">
        <v>13987</v>
      </c>
      <c r="AR1375" t="s">
        <v>13987</v>
      </c>
      <c r="AS1375" t="s">
        <v>13987</v>
      </c>
      <c r="AU1375" t="s">
        <v>396</v>
      </c>
      <c r="AV1375">
        <v>2017</v>
      </c>
      <c r="AW1375" t="str">
        <f>"43-2N-27-4648-0001-0160 "</f>
        <v xml:space="preserve">43-2N-27-4648-0001-0160 </v>
      </c>
      <c r="AX1375">
        <v>85714</v>
      </c>
      <c r="AZ1375" t="s">
        <v>3229</v>
      </c>
      <c r="BA1375" t="s">
        <v>496</v>
      </c>
      <c r="BD1375" t="s">
        <v>2387</v>
      </c>
      <c r="BE1375" t="s">
        <v>393</v>
      </c>
      <c r="BF1375">
        <v>32097</v>
      </c>
      <c r="BG1375" t="s">
        <v>13988</v>
      </c>
      <c r="BH1375" t="s">
        <v>2388</v>
      </c>
      <c r="BI1375">
        <v>-81.586171129774996</v>
      </c>
      <c r="BJ1375">
        <v>30.585157656981799</v>
      </c>
      <c r="BK1375" t="s">
        <v>13989</v>
      </c>
      <c r="BL1375" t="s">
        <v>13990</v>
      </c>
      <c r="BM1375" t="s">
        <v>13963</v>
      </c>
      <c r="BN1375" t="s">
        <v>1778</v>
      </c>
      <c r="BO1375">
        <v>32097</v>
      </c>
      <c r="BP1375" t="s">
        <v>404</v>
      </c>
      <c r="BQ1375">
        <v>200</v>
      </c>
      <c r="BR1375" t="s">
        <v>405</v>
      </c>
      <c r="BS1375">
        <v>1006</v>
      </c>
      <c r="BT1375" t="s">
        <v>406</v>
      </c>
      <c r="BW1375">
        <v>55504</v>
      </c>
      <c r="BX1375" t="s">
        <v>407</v>
      </c>
      <c r="BY1375" t="s">
        <v>408</v>
      </c>
      <c r="BZ1375">
        <v>4</v>
      </c>
      <c r="CA1375">
        <v>1979</v>
      </c>
      <c r="CB1375">
        <v>1</v>
      </c>
      <c r="CC1375">
        <v>1</v>
      </c>
      <c r="CD1375">
        <v>2017</v>
      </c>
      <c r="CE1375">
        <v>28000</v>
      </c>
      <c r="CF1375">
        <v>19141</v>
      </c>
      <c r="CG1375">
        <v>47141</v>
      </c>
      <c r="CH1375">
        <v>2017</v>
      </c>
      <c r="CI1375">
        <v>28000</v>
      </c>
      <c r="CJ1375">
        <v>19141</v>
      </c>
      <c r="CK1375">
        <v>47141</v>
      </c>
      <c r="CL1375">
        <v>2017</v>
      </c>
      <c r="CM1375">
        <v>713.65</v>
      </c>
      <c r="CN1375" s="1">
        <v>37894</v>
      </c>
      <c r="CO1375">
        <v>85000</v>
      </c>
      <c r="CV1375">
        <v>0</v>
      </c>
      <c r="CX1375" t="s">
        <v>693</v>
      </c>
      <c r="CZ1375" s="1">
        <v>37894</v>
      </c>
      <c r="DA1375">
        <v>0</v>
      </c>
      <c r="DD1375" t="s">
        <v>2387</v>
      </c>
      <c r="DF1375">
        <v>16</v>
      </c>
      <c r="DG1375">
        <v>43</v>
      </c>
      <c r="DL1375">
        <v>50302</v>
      </c>
      <c r="DM1375" t="s">
        <v>13628</v>
      </c>
      <c r="DO1375" t="s">
        <v>13991</v>
      </c>
      <c r="DP1375">
        <v>0</v>
      </c>
      <c r="DQ1375">
        <v>0</v>
      </c>
      <c r="DR1375" t="s">
        <v>411</v>
      </c>
      <c r="DS1375" t="b">
        <v>1</v>
      </c>
      <c r="DT1375" t="s">
        <v>470</v>
      </c>
      <c r="DU1375" t="s">
        <v>471</v>
      </c>
      <c r="DV1375" t="s">
        <v>472</v>
      </c>
      <c r="DX1375">
        <v>-9999</v>
      </c>
      <c r="DZ1375" t="s">
        <v>447</v>
      </c>
      <c r="EA1375" t="s">
        <v>448</v>
      </c>
      <c r="EB1375" t="s">
        <v>742</v>
      </c>
      <c r="EC1375">
        <v>20101217</v>
      </c>
      <c r="ED1375" t="s">
        <v>474</v>
      </c>
      <c r="EF1375">
        <v>1016</v>
      </c>
      <c r="EG1375">
        <v>24.4</v>
      </c>
      <c r="EI1375">
        <v>20160407</v>
      </c>
      <c r="EJ1375">
        <v>0</v>
      </c>
      <c r="EK1375">
        <v>0</v>
      </c>
      <c r="EP1375" t="s">
        <v>421</v>
      </c>
      <c r="EQ1375" t="s">
        <v>422</v>
      </c>
      <c r="ER1375">
        <v>0</v>
      </c>
      <c r="ES1375">
        <v>9</v>
      </c>
      <c r="ET1375">
        <v>0</v>
      </c>
      <c r="EU1375">
        <v>0</v>
      </c>
      <c r="EV1375">
        <v>0</v>
      </c>
      <c r="EW1375" s="2">
        <v>43222</v>
      </c>
      <c r="EX1375" s="1">
        <v>42879</v>
      </c>
      <c r="EY1375">
        <v>2016</v>
      </c>
      <c r="EZ1375">
        <v>780.04</v>
      </c>
      <c r="FA1375" t="s">
        <v>13992</v>
      </c>
      <c r="FB1375">
        <v>0.25</v>
      </c>
      <c r="FC1375" t="s">
        <v>424</v>
      </c>
      <c r="FD1375" t="s">
        <v>425</v>
      </c>
      <c r="FE1375" s="1">
        <v>42916</v>
      </c>
      <c r="FF1375">
        <v>1</v>
      </c>
      <c r="FG1375">
        <v>7400234</v>
      </c>
      <c r="FH1375" t="s">
        <v>426</v>
      </c>
      <c r="FJ1375" s="1">
        <v>42879</v>
      </c>
      <c r="FK1375">
        <v>2016</v>
      </c>
      <c r="FL1375">
        <v>780.04</v>
      </c>
      <c r="FM1375" t="s">
        <v>13992</v>
      </c>
      <c r="FN1375">
        <v>0.25</v>
      </c>
      <c r="FO1375" t="s">
        <v>424</v>
      </c>
      <c r="FP1375" t="s">
        <v>425</v>
      </c>
      <c r="FR1375">
        <v>22</v>
      </c>
      <c r="FS1375">
        <v>7465964</v>
      </c>
      <c r="FT1375" t="s">
        <v>13993</v>
      </c>
      <c r="FV1375" s="1">
        <v>42515</v>
      </c>
      <c r="FW1375">
        <v>2015</v>
      </c>
      <c r="FX1375">
        <v>743</v>
      </c>
      <c r="FY1375" t="s">
        <v>13994</v>
      </c>
      <c r="FZ1375">
        <v>0.25</v>
      </c>
      <c r="GA1375" t="s">
        <v>424</v>
      </c>
      <c r="GB1375" t="s">
        <v>425</v>
      </c>
      <c r="GC1375" s="1">
        <v>42916</v>
      </c>
      <c r="GD1375">
        <v>13</v>
      </c>
      <c r="GE1375">
        <v>2851116</v>
      </c>
      <c r="GF1375" t="s">
        <v>480</v>
      </c>
      <c r="GH1375" s="1">
        <v>42515</v>
      </c>
      <c r="GI1375">
        <v>2015</v>
      </c>
      <c r="GJ1375">
        <v>743</v>
      </c>
      <c r="GK1375" t="s">
        <v>13994</v>
      </c>
      <c r="GL1375">
        <v>0.25</v>
      </c>
      <c r="GM1375" t="s">
        <v>424</v>
      </c>
      <c r="GN1375" t="s">
        <v>425</v>
      </c>
      <c r="GP1375">
        <v>22</v>
      </c>
      <c r="GQ1375">
        <v>5244127</v>
      </c>
      <c r="GR1375" t="s">
        <v>13995</v>
      </c>
      <c r="GT1375" s="1">
        <v>42151</v>
      </c>
      <c r="GU1375">
        <v>2014</v>
      </c>
      <c r="GV1375">
        <v>649.33000000000004</v>
      </c>
      <c r="GW1375" t="s">
        <v>13996</v>
      </c>
      <c r="GX1375">
        <v>0.25</v>
      </c>
      <c r="GY1375" t="s">
        <v>424</v>
      </c>
      <c r="GZ1375" t="s">
        <v>425</v>
      </c>
      <c r="HA1375" s="1">
        <v>42916</v>
      </c>
      <c r="HB1375">
        <v>25</v>
      </c>
      <c r="HC1375">
        <v>2851116</v>
      </c>
      <c r="HD1375" t="s">
        <v>480</v>
      </c>
      <c r="HF1375" s="1">
        <v>42151</v>
      </c>
      <c r="HG1375">
        <v>2014</v>
      </c>
      <c r="HH1375">
        <v>649.33000000000004</v>
      </c>
      <c r="HI1375" t="s">
        <v>13996</v>
      </c>
      <c r="HJ1375">
        <v>0.25</v>
      </c>
      <c r="HK1375" t="s">
        <v>424</v>
      </c>
      <c r="HL1375" t="s">
        <v>425</v>
      </c>
      <c r="HN1375">
        <v>22</v>
      </c>
      <c r="HO1375">
        <v>5353795</v>
      </c>
      <c r="HP1375" t="s">
        <v>13997</v>
      </c>
      <c r="HR1375" s="1">
        <v>41423</v>
      </c>
      <c r="HS1375">
        <v>2012</v>
      </c>
      <c r="HT1375">
        <v>741.88</v>
      </c>
      <c r="HU1375" t="s">
        <v>13998</v>
      </c>
      <c r="HV1375">
        <v>0.25</v>
      </c>
      <c r="HW1375" t="s">
        <v>424</v>
      </c>
      <c r="HX1375" t="s">
        <v>425</v>
      </c>
      <c r="HY1375" s="1">
        <v>41635</v>
      </c>
      <c r="HZ1375">
        <v>7</v>
      </c>
      <c r="IA1375">
        <v>1625515</v>
      </c>
      <c r="IB1375" t="s">
        <v>487</v>
      </c>
      <c r="ID1375" s="1">
        <v>41052</v>
      </c>
      <c r="IE1375">
        <v>2011</v>
      </c>
      <c r="IF1375">
        <v>887.72</v>
      </c>
      <c r="IG1375" t="s">
        <v>13999</v>
      </c>
      <c r="IH1375">
        <v>6</v>
      </c>
      <c r="II1375" t="s">
        <v>424</v>
      </c>
      <c r="IJ1375" t="s">
        <v>425</v>
      </c>
      <c r="IK1375" s="1">
        <v>41635</v>
      </c>
      <c r="IL1375">
        <v>19</v>
      </c>
      <c r="IM1375">
        <v>1109</v>
      </c>
      <c r="IN1375" t="s">
        <v>852</v>
      </c>
      <c r="IP1375" s="1">
        <v>40688</v>
      </c>
      <c r="IQ1375">
        <v>2010</v>
      </c>
      <c r="IR1375">
        <v>1033.44</v>
      </c>
      <c r="IS1375" t="s">
        <v>14000</v>
      </c>
      <c r="IT1375">
        <v>5.25</v>
      </c>
      <c r="IU1375" t="s">
        <v>424</v>
      </c>
      <c r="IV1375" t="s">
        <v>425</v>
      </c>
      <c r="IW1375" s="1">
        <v>41206</v>
      </c>
      <c r="IX1375">
        <v>17</v>
      </c>
      <c r="IY1375">
        <v>443</v>
      </c>
      <c r="IZ1375" t="s">
        <v>12371</v>
      </c>
    </row>
    <row r="1376" spans="1:284" x14ac:dyDescent="0.25">
      <c r="A1376">
        <v>16486383</v>
      </c>
      <c r="B1376">
        <v>1375</v>
      </c>
      <c r="C1376" t="s">
        <v>393</v>
      </c>
      <c r="D1376" t="s">
        <v>394</v>
      </c>
      <c r="F1376" t="str">
        <f>"43-2N-27-4648-0002-0050"</f>
        <v>43-2N-27-4648-0002-0050</v>
      </c>
      <c r="H1376" t="str">
        <f>"GRAVES JEFFREY LEE &amp; GRAVES DEBRA M (H&amp;W)(JT/RS)"</f>
        <v>GRAVES JEFFREY LEE &amp; GRAVES DEBRA M (H&amp;W)(JT/RS)</v>
      </c>
      <c r="I1376" t="str">
        <f>"85113 SARA ROAD"</f>
        <v>85113 SARA ROAD</v>
      </c>
      <c r="J1376" t="str">
        <f t="shared" si="471"/>
        <v>YULEE FL 32097</v>
      </c>
      <c r="K1376" t="str">
        <f>"85113 SARA RD"</f>
        <v>85113 SARA RD</v>
      </c>
      <c r="L1376" t="str">
        <f t="shared" si="456"/>
        <v>YULEE FL 32097</v>
      </c>
      <c r="M1376" t="str">
        <f>"BLOCK 2 LOT 5 IN OR 1460/297 WILSON NECK LANDING 2 PB 4/72"</f>
        <v>BLOCK 2 LOT 5 IN OR 1460/297 WILSON NECK LANDING 2 PB 4/72</v>
      </c>
      <c r="N1376" t="str">
        <f>""</f>
        <v/>
      </c>
      <c r="O1376" t="str">
        <f>"49950"</f>
        <v>49950</v>
      </c>
      <c r="P1376" t="str">
        <f t="shared" si="467"/>
        <v>2017</v>
      </c>
      <c r="Q1376" t="str">
        <f>""</f>
        <v/>
      </c>
      <c r="R1376" t="str">
        <f>"Y"</f>
        <v>Y</v>
      </c>
      <c r="S1376" t="str">
        <f>""</f>
        <v/>
      </c>
      <c r="T1376" t="str">
        <f>"537.96"</f>
        <v>537.96</v>
      </c>
      <c r="U1376" t="str">
        <f>"74171.00"</f>
        <v>74171.00</v>
      </c>
      <c r="V1376" t="str">
        <f>"74171.00"</f>
        <v>74171.00</v>
      </c>
      <c r="W1376" t="str">
        <f t="shared" si="468"/>
        <v>2017</v>
      </c>
      <c r="X1376" t="str">
        <f>"17.60"</f>
        <v>17.60</v>
      </c>
      <c r="Y1376" t="str">
        <f>"586.10"</f>
        <v>586.10</v>
      </c>
      <c r="Z1376" t="str">
        <f>"25000.00"</f>
        <v>25000.00</v>
      </c>
      <c r="AA1376" t="str">
        <f>"49171.00"</f>
        <v>49171.00</v>
      </c>
      <c r="AB1376" t="str">
        <f t="shared" si="470"/>
        <v>Residential</v>
      </c>
      <c r="AC1376" t="str">
        <f t="shared" si="475"/>
        <v>0</v>
      </c>
      <c r="AD1376" t="str">
        <f t="shared" si="462"/>
        <v>4</v>
      </c>
      <c r="AE1376" t="str">
        <f t="shared" si="463"/>
        <v>WOOD (INCLUDE STEEL STUDS)</v>
      </c>
      <c r="AF1376" t="str">
        <f>"001"</f>
        <v>001</v>
      </c>
      <c r="AG1376" t="str">
        <f t="shared" si="466"/>
        <v>FL</v>
      </c>
      <c r="AH1376" t="str">
        <f t="shared" si="472"/>
        <v>-</v>
      </c>
      <c r="AI1376" t="str">
        <f t="shared" si="476"/>
        <v>28000.00</v>
      </c>
      <c r="AJ1376" t="str">
        <f>"C55-000-588-3366-6"</f>
        <v>C55-000-588-3366-6</v>
      </c>
      <c r="AK1376" t="str">
        <f>"23264"</f>
        <v>23264</v>
      </c>
      <c r="AL1376">
        <v>5</v>
      </c>
      <c r="AM1376">
        <v>1572</v>
      </c>
      <c r="AN1376">
        <v>613.80999999999995</v>
      </c>
      <c r="AQ1376" t="s">
        <v>14001</v>
      </c>
      <c r="AR1376" t="s">
        <v>14001</v>
      </c>
      <c r="AS1376" t="s">
        <v>14001</v>
      </c>
      <c r="AU1376" t="s">
        <v>396</v>
      </c>
      <c r="AV1376">
        <v>2017</v>
      </c>
      <c r="AW1376" t="str">
        <f>"43-2N-27-4648-0002-0050 "</f>
        <v xml:space="preserve">43-2N-27-4648-0002-0050 </v>
      </c>
      <c r="AX1376">
        <v>85113</v>
      </c>
      <c r="AZ1376" t="s">
        <v>14002</v>
      </c>
      <c r="BA1376" t="s">
        <v>496</v>
      </c>
      <c r="BD1376" t="s">
        <v>2387</v>
      </c>
      <c r="BE1376" t="s">
        <v>393</v>
      </c>
      <c r="BF1376">
        <v>32097</v>
      </c>
      <c r="BG1376" t="s">
        <v>14003</v>
      </c>
      <c r="BH1376" t="s">
        <v>2388</v>
      </c>
      <c r="BI1376">
        <v>-81.585473497130195</v>
      </c>
      <c r="BJ1376">
        <v>30.583374364971501</v>
      </c>
      <c r="BK1376" t="s">
        <v>14004</v>
      </c>
      <c r="BL1376" t="s">
        <v>14005</v>
      </c>
      <c r="BM1376" t="s">
        <v>14003</v>
      </c>
      <c r="BN1376" t="s">
        <v>1778</v>
      </c>
      <c r="BO1376">
        <v>32097</v>
      </c>
      <c r="BP1376" t="s">
        <v>416</v>
      </c>
      <c r="BQ1376">
        <v>100</v>
      </c>
      <c r="BR1376" t="s">
        <v>514</v>
      </c>
      <c r="BS1376">
        <v>1001</v>
      </c>
      <c r="BT1376" t="s">
        <v>515</v>
      </c>
      <c r="BW1376">
        <v>43389</v>
      </c>
      <c r="BX1376" t="s">
        <v>407</v>
      </c>
      <c r="BY1376" t="s">
        <v>408</v>
      </c>
      <c r="BZ1376">
        <v>4</v>
      </c>
      <c r="CA1376">
        <v>1980</v>
      </c>
      <c r="CB1376">
        <v>1</v>
      </c>
      <c r="CC1376">
        <v>1</v>
      </c>
      <c r="CD1376">
        <v>2017</v>
      </c>
      <c r="CG1376">
        <v>74171</v>
      </c>
      <c r="CH1376">
        <v>2017</v>
      </c>
      <c r="CI1376">
        <v>28000</v>
      </c>
      <c r="CJ1376">
        <v>72098</v>
      </c>
      <c r="CK1376">
        <v>100098</v>
      </c>
      <c r="CL1376">
        <v>2017</v>
      </c>
      <c r="CM1376">
        <v>537.96</v>
      </c>
      <c r="CN1376" s="1">
        <v>39041</v>
      </c>
      <c r="CZ1376" s="1">
        <v>39041</v>
      </c>
      <c r="DD1376" t="s">
        <v>2387</v>
      </c>
      <c r="DF1376">
        <v>5</v>
      </c>
      <c r="DG1376">
        <v>43</v>
      </c>
      <c r="DJ1376" t="s">
        <v>13841</v>
      </c>
      <c r="DL1376">
        <v>50302</v>
      </c>
      <c r="DM1376" t="s">
        <v>13628</v>
      </c>
      <c r="DO1376" t="s">
        <v>14006</v>
      </c>
      <c r="DP1376">
        <v>0</v>
      </c>
      <c r="DQ1376">
        <v>0</v>
      </c>
      <c r="DR1376" t="s">
        <v>411</v>
      </c>
      <c r="DS1376" t="b">
        <v>1</v>
      </c>
      <c r="DT1376" t="s">
        <v>470</v>
      </c>
      <c r="DU1376" t="s">
        <v>10249</v>
      </c>
      <c r="DV1376" t="s">
        <v>472</v>
      </c>
      <c r="DX1376">
        <v>-9999</v>
      </c>
      <c r="DZ1376" t="s">
        <v>447</v>
      </c>
      <c r="EA1376" t="s">
        <v>448</v>
      </c>
      <c r="EB1376" t="s">
        <v>13630</v>
      </c>
      <c r="EC1376">
        <v>20101217</v>
      </c>
      <c r="ED1376" t="s">
        <v>10251</v>
      </c>
      <c r="EE1376">
        <v>5</v>
      </c>
      <c r="EF1376">
        <v>687.8</v>
      </c>
      <c r="EG1376">
        <v>0</v>
      </c>
      <c r="EI1376">
        <v>20160407</v>
      </c>
      <c r="EJ1376">
        <v>0</v>
      </c>
      <c r="EK1376">
        <v>0</v>
      </c>
      <c r="EP1376" t="s">
        <v>421</v>
      </c>
      <c r="EQ1376" t="s">
        <v>422</v>
      </c>
      <c r="ER1376">
        <v>2</v>
      </c>
      <c r="ES1376">
        <v>5</v>
      </c>
      <c r="ET1376">
        <v>1216.9000000000001</v>
      </c>
      <c r="EU1376">
        <v>73.349999999999994</v>
      </c>
      <c r="EV1376">
        <v>1290.25</v>
      </c>
      <c r="EW1376" s="2">
        <v>43222</v>
      </c>
      <c r="EX1376" s="1">
        <v>42879</v>
      </c>
      <c r="EY1376">
        <v>2016</v>
      </c>
      <c r="EZ1376">
        <v>608.45000000000005</v>
      </c>
      <c r="FA1376" t="s">
        <v>14007</v>
      </c>
      <c r="FB1376">
        <v>0.25</v>
      </c>
      <c r="FC1376" t="s">
        <v>424</v>
      </c>
      <c r="FD1376" t="s">
        <v>454</v>
      </c>
      <c r="FF1376">
        <v>12</v>
      </c>
      <c r="FG1376">
        <v>5857474</v>
      </c>
      <c r="FH1376" t="s">
        <v>900</v>
      </c>
      <c r="FJ1376" s="1">
        <v>42879</v>
      </c>
      <c r="FK1376">
        <v>2016</v>
      </c>
      <c r="FL1376">
        <v>608.45000000000005</v>
      </c>
      <c r="FM1376" t="s">
        <v>14007</v>
      </c>
      <c r="FN1376">
        <v>0.25</v>
      </c>
      <c r="FO1376" t="s">
        <v>424</v>
      </c>
      <c r="FP1376" t="s">
        <v>454</v>
      </c>
      <c r="FR1376">
        <v>12</v>
      </c>
      <c r="FS1376">
        <v>6697100</v>
      </c>
      <c r="FT1376" t="s">
        <v>14008</v>
      </c>
      <c r="FV1376" s="1">
        <v>41787</v>
      </c>
      <c r="FW1376">
        <v>2013</v>
      </c>
      <c r="FX1376">
        <v>589.66999999999996</v>
      </c>
      <c r="FY1376" t="s">
        <v>14009</v>
      </c>
      <c r="FZ1376">
        <v>0.25</v>
      </c>
      <c r="GA1376" t="s">
        <v>424</v>
      </c>
      <c r="GB1376" t="s">
        <v>425</v>
      </c>
      <c r="GC1376" s="1">
        <v>42016</v>
      </c>
      <c r="GD1376">
        <v>8</v>
      </c>
      <c r="GE1376">
        <v>15259</v>
      </c>
      <c r="GF1376" t="s">
        <v>891</v>
      </c>
      <c r="GH1376" s="1">
        <v>41423</v>
      </c>
      <c r="GI1376">
        <v>2012</v>
      </c>
      <c r="GJ1376">
        <v>589.17999999999995</v>
      </c>
      <c r="GK1376" t="s">
        <v>14010</v>
      </c>
      <c r="GL1376">
        <v>0.25</v>
      </c>
      <c r="GM1376" t="s">
        <v>424</v>
      </c>
      <c r="GN1376" t="s">
        <v>425</v>
      </c>
      <c r="GO1376" s="1">
        <v>42016</v>
      </c>
      <c r="GP1376">
        <v>20</v>
      </c>
      <c r="GQ1376">
        <v>15398</v>
      </c>
      <c r="GR1376" t="s">
        <v>1180</v>
      </c>
      <c r="GT1376" s="1">
        <v>41052</v>
      </c>
      <c r="GU1376">
        <v>2011</v>
      </c>
      <c r="GV1376">
        <v>576.83000000000004</v>
      </c>
      <c r="GW1376" t="s">
        <v>14011</v>
      </c>
      <c r="GX1376">
        <v>0.25</v>
      </c>
      <c r="GY1376" t="s">
        <v>424</v>
      </c>
      <c r="GZ1376" t="s">
        <v>425</v>
      </c>
      <c r="HA1376" s="1">
        <v>41708</v>
      </c>
      <c r="HB1376">
        <v>22</v>
      </c>
      <c r="HC1376">
        <v>13104</v>
      </c>
      <c r="HD1376" t="s">
        <v>888</v>
      </c>
      <c r="HF1376" s="1">
        <v>41052</v>
      </c>
      <c r="HG1376">
        <v>2011</v>
      </c>
      <c r="HH1376">
        <v>576.83000000000004</v>
      </c>
      <c r="HI1376" t="s">
        <v>14011</v>
      </c>
      <c r="HJ1376">
        <v>0.25</v>
      </c>
      <c r="HK1376" t="s">
        <v>424</v>
      </c>
      <c r="HL1376" t="s">
        <v>425</v>
      </c>
      <c r="HN1376">
        <v>22</v>
      </c>
      <c r="HO1376">
        <v>13757</v>
      </c>
      <c r="HP1376" t="s">
        <v>14012</v>
      </c>
      <c r="HR1376" s="1">
        <v>40688</v>
      </c>
      <c r="HS1376">
        <v>2010</v>
      </c>
      <c r="HT1376">
        <v>569.73</v>
      </c>
      <c r="HU1376" t="s">
        <v>14013</v>
      </c>
      <c r="HV1376">
        <v>0.25</v>
      </c>
      <c r="HW1376" t="s">
        <v>424</v>
      </c>
      <c r="HX1376" t="s">
        <v>425</v>
      </c>
      <c r="HY1376" s="1">
        <v>41206</v>
      </c>
      <c r="HZ1376">
        <v>17</v>
      </c>
      <c r="IA1376">
        <v>11141</v>
      </c>
      <c r="IB1376" t="s">
        <v>1723</v>
      </c>
    </row>
    <row r="1377" spans="1:284" x14ac:dyDescent="0.25">
      <c r="A1377">
        <v>16486384</v>
      </c>
      <c r="B1377">
        <v>1376</v>
      </c>
      <c r="C1377" t="s">
        <v>393</v>
      </c>
      <c r="D1377" t="s">
        <v>394</v>
      </c>
      <c r="F1377" t="str">
        <f>"43-2N-27-4648-0002-0060"</f>
        <v>43-2N-27-4648-0002-0060</v>
      </c>
      <c r="H1377" t="str">
        <f>"ADAMS JOHN &amp; LISA &amp; WOODS RUTH EST"</f>
        <v>ADAMS JOHN &amp; LISA &amp; WOODS RUTH EST</v>
      </c>
      <c r="I1377" t="str">
        <f>"85089 SARA ROAD"</f>
        <v>85089 SARA ROAD</v>
      </c>
      <c r="J1377" t="str">
        <f t="shared" si="471"/>
        <v>YULEE FL 32097</v>
      </c>
      <c r="K1377" t="str">
        <f>"85089 SARA RD"</f>
        <v>85089 SARA RD</v>
      </c>
      <c r="L1377" t="str">
        <f t="shared" si="456"/>
        <v>YULEE FL 32097</v>
      </c>
      <c r="M1377" t="str">
        <f>"BLOCK 2 LOT 6 IN OR 1598/1264 1/2 HX INT 2007 TOWN HOME DW/MH ESMT IN OR 448/323 WILSON NECK LANDING 2 PB 4/72"</f>
        <v>BLOCK 2 LOT 6 IN OR 1598/1264 1/2 HX INT 2007 TOWN HOME DW/MH ESMT IN OR 448/323 WILSON NECK LANDING 2 PB 4/72</v>
      </c>
      <c r="N1377" t="str">
        <f>""</f>
        <v/>
      </c>
      <c r="O1377" t="str">
        <f>"49951"</f>
        <v>49951</v>
      </c>
      <c r="P1377" t="str">
        <f t="shared" si="467"/>
        <v>2017</v>
      </c>
      <c r="Q1377" t="str">
        <f>""</f>
        <v/>
      </c>
      <c r="R1377" t="str">
        <f>"Y"</f>
        <v>Y</v>
      </c>
      <c r="S1377" t="str">
        <f>""</f>
        <v/>
      </c>
      <c r="T1377" t="str">
        <f>"1184.65"</f>
        <v>1184.65</v>
      </c>
      <c r="U1377" t="str">
        <f>"103699.00"</f>
        <v>103699.00</v>
      </c>
      <c r="V1377" t="str">
        <f>"103699.00"</f>
        <v>103699.00</v>
      </c>
      <c r="W1377" t="str">
        <f t="shared" si="468"/>
        <v>2017</v>
      </c>
      <c r="X1377" t="str">
        <f>"10.00"</f>
        <v>10.00</v>
      </c>
      <c r="Y1377" t="str">
        <f>"1252.19"</f>
        <v>1252.19</v>
      </c>
      <c r="Z1377" t="str">
        <f>"25500.00"</f>
        <v>25500.00</v>
      </c>
      <c r="AA1377" t="str">
        <f>"78322.00"</f>
        <v>78322.00</v>
      </c>
      <c r="AB1377" t="str">
        <f t="shared" si="470"/>
        <v>Residential</v>
      </c>
      <c r="AC1377" t="str">
        <f t="shared" si="475"/>
        <v>0</v>
      </c>
      <c r="AD1377" t="str">
        <f t="shared" si="462"/>
        <v>4</v>
      </c>
      <c r="AE1377" t="str">
        <f t="shared" si="463"/>
        <v>WOOD (INCLUDE STEEL STUDS)</v>
      </c>
      <c r="AF1377" t="str">
        <f>"002"</f>
        <v>002</v>
      </c>
      <c r="AG1377" t="str">
        <f t="shared" si="466"/>
        <v>FL</v>
      </c>
      <c r="AH1377" t="str">
        <f t="shared" si="472"/>
        <v>-</v>
      </c>
      <c r="AI1377" t="str">
        <f t="shared" si="476"/>
        <v>28000.00</v>
      </c>
      <c r="AJ1377" t="str">
        <f>"C55-000-588-3367-4"</f>
        <v>C55-000-588-3367-4</v>
      </c>
      <c r="AK1377" t="str">
        <f>"23265"</f>
        <v>23265</v>
      </c>
      <c r="AL1377">
        <v>5</v>
      </c>
      <c r="AM1377">
        <v>1573</v>
      </c>
      <c r="AN1377">
        <v>1313.2</v>
      </c>
      <c r="AQ1377" t="s">
        <v>14014</v>
      </c>
      <c r="AR1377" t="s">
        <v>14014</v>
      </c>
      <c r="AS1377" t="s">
        <v>14014</v>
      </c>
      <c r="AU1377" t="s">
        <v>396</v>
      </c>
      <c r="AV1377">
        <v>2017</v>
      </c>
      <c r="AW1377" t="str">
        <f>"43-2N-27-4648-0002-0060 "</f>
        <v xml:space="preserve">43-2N-27-4648-0002-0060 </v>
      </c>
      <c r="AX1377">
        <v>85089</v>
      </c>
      <c r="AZ1377" t="s">
        <v>14002</v>
      </c>
      <c r="BA1377" t="s">
        <v>496</v>
      </c>
      <c r="BD1377" t="s">
        <v>2387</v>
      </c>
      <c r="BE1377" t="s">
        <v>393</v>
      </c>
      <c r="BF1377">
        <v>32097</v>
      </c>
      <c r="BG1377" t="s">
        <v>14015</v>
      </c>
      <c r="BH1377" t="s">
        <v>2388</v>
      </c>
      <c r="BI1377">
        <v>-81.585096301423107</v>
      </c>
      <c r="BJ1377">
        <v>30.583096548815501</v>
      </c>
      <c r="BK1377" t="s">
        <v>14016</v>
      </c>
      <c r="BL1377" t="s">
        <v>14017</v>
      </c>
      <c r="BM1377" t="s">
        <v>14015</v>
      </c>
      <c r="BN1377" t="s">
        <v>1778</v>
      </c>
      <c r="BO1377">
        <v>32097</v>
      </c>
      <c r="BP1377" t="s">
        <v>416</v>
      </c>
      <c r="BQ1377">
        <v>200</v>
      </c>
      <c r="BR1377" t="s">
        <v>405</v>
      </c>
      <c r="BS1377">
        <v>1006</v>
      </c>
      <c r="BT1377" t="s">
        <v>406</v>
      </c>
      <c r="BW1377">
        <v>46741</v>
      </c>
      <c r="BX1377" t="s">
        <v>407</v>
      </c>
      <c r="BY1377" t="s">
        <v>408</v>
      </c>
      <c r="BZ1377">
        <v>4</v>
      </c>
      <c r="CA1377">
        <v>2007</v>
      </c>
      <c r="CC1377">
        <v>1</v>
      </c>
      <c r="CD1377">
        <v>2017</v>
      </c>
      <c r="CG1377">
        <v>103822</v>
      </c>
      <c r="CH1377">
        <v>2017</v>
      </c>
      <c r="CI1377">
        <v>28000</v>
      </c>
      <c r="CJ1377">
        <v>82824</v>
      </c>
      <c r="CK1377">
        <v>110824</v>
      </c>
      <c r="CL1377">
        <v>2017</v>
      </c>
      <c r="CM1377">
        <v>1184.6500000000001</v>
      </c>
      <c r="CN1377" s="1">
        <v>39811</v>
      </c>
      <c r="CZ1377" s="1">
        <v>39811</v>
      </c>
      <c r="DD1377" t="s">
        <v>2387</v>
      </c>
      <c r="DF1377">
        <v>6</v>
      </c>
      <c r="DG1377">
        <v>43</v>
      </c>
      <c r="DL1377">
        <v>50302</v>
      </c>
      <c r="DM1377" t="s">
        <v>13628</v>
      </c>
      <c r="DO1377" t="s">
        <v>14018</v>
      </c>
      <c r="DP1377">
        <v>0</v>
      </c>
      <c r="DQ1377">
        <v>0</v>
      </c>
      <c r="DR1377" t="s">
        <v>411</v>
      </c>
      <c r="EP1377" t="s">
        <v>421</v>
      </c>
      <c r="EQ1377" t="s">
        <v>422</v>
      </c>
      <c r="ER1377">
        <v>0</v>
      </c>
      <c r="ES1377">
        <v>2</v>
      </c>
      <c r="ET1377">
        <v>0</v>
      </c>
      <c r="EU1377">
        <v>0</v>
      </c>
      <c r="EV1377">
        <v>0</v>
      </c>
      <c r="EW1377" s="2">
        <v>43222</v>
      </c>
      <c r="EX1377" s="1">
        <v>42879</v>
      </c>
      <c r="EY1377">
        <v>2016</v>
      </c>
      <c r="EZ1377">
        <v>1225.28</v>
      </c>
      <c r="FA1377" t="s">
        <v>14019</v>
      </c>
      <c r="FB1377">
        <v>0.25</v>
      </c>
      <c r="FC1377" t="s">
        <v>424</v>
      </c>
      <c r="FD1377" t="s">
        <v>425</v>
      </c>
      <c r="FE1377" s="1">
        <v>43188</v>
      </c>
      <c r="FF1377">
        <v>10</v>
      </c>
      <c r="FG1377">
        <v>2851116</v>
      </c>
      <c r="FH1377" t="s">
        <v>480</v>
      </c>
      <c r="FJ1377" s="1">
        <v>42879</v>
      </c>
      <c r="FK1377">
        <v>2016</v>
      </c>
      <c r="FL1377">
        <v>1225.28</v>
      </c>
      <c r="FM1377" t="s">
        <v>14019</v>
      </c>
      <c r="FN1377">
        <v>0.25</v>
      </c>
      <c r="FO1377" t="s">
        <v>424</v>
      </c>
      <c r="FP1377" t="s">
        <v>425</v>
      </c>
      <c r="FR1377">
        <v>22</v>
      </c>
      <c r="FS1377">
        <v>5380948</v>
      </c>
      <c r="FT1377" t="s">
        <v>14020</v>
      </c>
    </row>
    <row r="1378" spans="1:284" x14ac:dyDescent="0.25">
      <c r="A1378">
        <v>16486385</v>
      </c>
      <c r="B1378">
        <v>1377</v>
      </c>
      <c r="C1378" t="s">
        <v>393</v>
      </c>
      <c r="D1378" t="s">
        <v>394</v>
      </c>
      <c r="F1378" t="str">
        <f>"43-2N-27-4648-0003-0080"</f>
        <v>43-2N-27-4648-0003-0080</v>
      </c>
      <c r="H1378" t="str">
        <f>"HOFFMAN STEPHEN W &amp; CHERYL A HARPER (JTROS)"</f>
        <v>HOFFMAN STEPHEN W &amp; CHERYL A HARPER (JTROS)</v>
      </c>
      <c r="I1378" t="str">
        <f>"P O BOX 977"</f>
        <v>P O BOX 977</v>
      </c>
      <c r="J1378" t="str">
        <f>"YULEE FL 32041"</f>
        <v>YULEE FL 32041</v>
      </c>
      <c r="K1378" t="str">
        <f>"85225 FAYE RD"</f>
        <v>85225 FAYE RD</v>
      </c>
      <c r="L1378" t="str">
        <f t="shared" si="456"/>
        <v>YULEE FL 32097</v>
      </c>
      <c r="M1378" t="str">
        <f>"BLOCK 3 LOT 8 IN OR 816/279 R108115 &amp; 108116 WILSON NECK LANDING 2 PB 4/72"</f>
        <v>BLOCK 3 LOT 8 IN OR 816/279 R108115 &amp; 108116 WILSON NECK LANDING 2 PB 4/72</v>
      </c>
      <c r="N1378" t="str">
        <f>""</f>
        <v/>
      </c>
      <c r="O1378" t="str">
        <f>"49967"</f>
        <v>49967</v>
      </c>
      <c r="P1378" t="str">
        <f t="shared" si="467"/>
        <v>2017</v>
      </c>
      <c r="Q1378" t="str">
        <f>""</f>
        <v/>
      </c>
      <c r="R1378" t="str">
        <f>"N"</f>
        <v>N</v>
      </c>
      <c r="S1378" t="str">
        <f>""</f>
        <v/>
      </c>
      <c r="T1378" t="str">
        <f>"743.42"</f>
        <v>743.42</v>
      </c>
      <c r="U1378" t="str">
        <f>"45543.00"</f>
        <v>45543.00</v>
      </c>
      <c r="V1378" t="str">
        <f>"45543.00"</f>
        <v>45543.00</v>
      </c>
      <c r="W1378" t="str">
        <f t="shared" si="468"/>
        <v>2017</v>
      </c>
      <c r="X1378" t="str">
        <f>"17.00"</f>
        <v>17.00</v>
      </c>
      <c r="Y1378" t="str">
        <f>"797.72"</f>
        <v>797.72</v>
      </c>
      <c r="Z1378" t="str">
        <f>""</f>
        <v/>
      </c>
      <c r="AA1378" t="str">
        <f>"53720.00"</f>
        <v>53720.00</v>
      </c>
      <c r="AB1378" t="str">
        <f t="shared" si="470"/>
        <v>Residential</v>
      </c>
      <c r="AC1378" t="str">
        <f t="shared" si="475"/>
        <v>0</v>
      </c>
      <c r="AD1378" t="str">
        <f t="shared" si="462"/>
        <v>4</v>
      </c>
      <c r="AE1378" t="str">
        <f t="shared" si="463"/>
        <v>WOOD (INCLUDE STEEL STUDS)</v>
      </c>
      <c r="AF1378" t="str">
        <f>"002"</f>
        <v>002</v>
      </c>
      <c r="AG1378" t="str">
        <f t="shared" si="466"/>
        <v>FL</v>
      </c>
      <c r="AH1378" t="str">
        <f t="shared" si="472"/>
        <v>-</v>
      </c>
      <c r="AI1378" t="str">
        <f t="shared" si="476"/>
        <v>28000.00</v>
      </c>
      <c r="AJ1378" t="str">
        <f>"C55-000-588-3382-3"</f>
        <v>C55-000-588-3382-3</v>
      </c>
      <c r="AK1378" t="str">
        <f>"23280"</f>
        <v>23280</v>
      </c>
      <c r="AL1378">
        <v>5</v>
      </c>
      <c r="AM1378">
        <v>1575</v>
      </c>
      <c r="AN1378">
        <v>836.01</v>
      </c>
      <c r="AQ1378" t="s">
        <v>14021</v>
      </c>
      <c r="AR1378" t="s">
        <v>14021</v>
      </c>
      <c r="AS1378" t="s">
        <v>14021</v>
      </c>
      <c r="AU1378" t="s">
        <v>396</v>
      </c>
      <c r="AV1378">
        <v>2017</v>
      </c>
      <c r="AW1378" t="str">
        <f>"43-2N-27-4648-0003-0080 "</f>
        <v xml:space="preserve">43-2N-27-4648-0003-0080 </v>
      </c>
      <c r="AX1378">
        <v>85225</v>
      </c>
      <c r="AZ1378" t="s">
        <v>14022</v>
      </c>
      <c r="BA1378" t="s">
        <v>496</v>
      </c>
      <c r="BD1378" t="s">
        <v>2387</v>
      </c>
      <c r="BE1378" t="s">
        <v>393</v>
      </c>
      <c r="BF1378">
        <v>32097</v>
      </c>
      <c r="BG1378" t="s">
        <v>14023</v>
      </c>
      <c r="BH1378" t="s">
        <v>2388</v>
      </c>
      <c r="BI1378">
        <v>-81.585653426339306</v>
      </c>
      <c r="BJ1378">
        <v>30.5811832373866</v>
      </c>
      <c r="BK1378" t="s">
        <v>14024</v>
      </c>
      <c r="BL1378" t="s">
        <v>14025</v>
      </c>
      <c r="BM1378" t="s">
        <v>14026</v>
      </c>
      <c r="BN1378" t="s">
        <v>1778</v>
      </c>
      <c r="BO1378">
        <v>32041</v>
      </c>
      <c r="BP1378" t="s">
        <v>404</v>
      </c>
      <c r="BQ1378">
        <v>200</v>
      </c>
      <c r="BR1378" t="s">
        <v>405</v>
      </c>
      <c r="BS1378">
        <v>1006</v>
      </c>
      <c r="BT1378" t="s">
        <v>406</v>
      </c>
      <c r="BW1378">
        <v>42798</v>
      </c>
      <c r="BX1378" t="s">
        <v>407</v>
      </c>
      <c r="BY1378" t="s">
        <v>408</v>
      </c>
      <c r="BZ1378">
        <v>4</v>
      </c>
      <c r="CA1378">
        <v>1983</v>
      </c>
      <c r="CB1378">
        <v>1</v>
      </c>
      <c r="CC1378">
        <v>1</v>
      </c>
      <c r="CD1378">
        <v>2017</v>
      </c>
      <c r="CE1378">
        <v>28000</v>
      </c>
      <c r="CF1378">
        <v>25720</v>
      </c>
      <c r="CG1378">
        <v>53720</v>
      </c>
      <c r="CH1378">
        <v>2017</v>
      </c>
      <c r="CI1378">
        <v>28000</v>
      </c>
      <c r="CJ1378">
        <v>25720</v>
      </c>
      <c r="CK1378">
        <v>53720</v>
      </c>
      <c r="CL1378">
        <v>2017</v>
      </c>
      <c r="CM1378">
        <v>743.42</v>
      </c>
      <c r="CN1378" s="1">
        <v>35774</v>
      </c>
      <c r="CO1378">
        <v>50000</v>
      </c>
      <c r="CZ1378" s="1">
        <v>35774</v>
      </c>
      <c r="DD1378" t="s">
        <v>2387</v>
      </c>
      <c r="DF1378">
        <v>8</v>
      </c>
      <c r="DG1378">
        <v>43</v>
      </c>
      <c r="DL1378">
        <v>50302</v>
      </c>
      <c r="DM1378" t="s">
        <v>13628</v>
      </c>
      <c r="DO1378" t="s">
        <v>14027</v>
      </c>
      <c r="DP1378">
        <v>0</v>
      </c>
      <c r="DQ1378">
        <v>0</v>
      </c>
      <c r="DR1378" t="s">
        <v>411</v>
      </c>
      <c r="DS1378" t="b">
        <v>1</v>
      </c>
      <c r="DT1378" t="s">
        <v>470</v>
      </c>
      <c r="DU1378" t="s">
        <v>10249</v>
      </c>
      <c r="DV1378" t="s">
        <v>472</v>
      </c>
      <c r="DX1378">
        <v>-9999</v>
      </c>
      <c r="DZ1378" t="s">
        <v>447</v>
      </c>
      <c r="EA1378" t="s">
        <v>448</v>
      </c>
      <c r="EB1378" t="s">
        <v>13630</v>
      </c>
      <c r="EC1378">
        <v>20101217</v>
      </c>
      <c r="ED1378" t="s">
        <v>10251</v>
      </c>
      <c r="EE1378">
        <v>5</v>
      </c>
      <c r="EF1378">
        <v>327.10000000000002</v>
      </c>
      <c r="EG1378">
        <v>0</v>
      </c>
      <c r="EH1378" t="s">
        <v>451</v>
      </c>
      <c r="EI1378">
        <v>20140731</v>
      </c>
      <c r="EJ1378">
        <v>0</v>
      </c>
      <c r="EK1378">
        <v>0</v>
      </c>
      <c r="EP1378" t="s">
        <v>421</v>
      </c>
      <c r="EQ1378" t="s">
        <v>452</v>
      </c>
      <c r="ER1378">
        <v>2</v>
      </c>
      <c r="ES1378">
        <v>6</v>
      </c>
      <c r="ET1378">
        <v>1428.72</v>
      </c>
      <c r="EU1378">
        <v>83.94</v>
      </c>
      <c r="EV1378">
        <v>1512.66</v>
      </c>
      <c r="EW1378" s="2">
        <v>43222</v>
      </c>
      <c r="EX1378" s="1">
        <v>42879</v>
      </c>
      <c r="EY1378">
        <v>2016</v>
      </c>
      <c r="EZ1378">
        <v>714.36</v>
      </c>
      <c r="FA1378" t="s">
        <v>14028</v>
      </c>
      <c r="FB1378">
        <v>0.25</v>
      </c>
      <c r="FC1378" t="s">
        <v>424</v>
      </c>
      <c r="FD1378" t="s">
        <v>454</v>
      </c>
      <c r="FF1378">
        <v>12</v>
      </c>
      <c r="FG1378">
        <v>2851116</v>
      </c>
      <c r="FH1378" t="s">
        <v>480</v>
      </c>
      <c r="FJ1378" s="1">
        <v>42879</v>
      </c>
      <c r="FK1378">
        <v>2016</v>
      </c>
      <c r="FL1378">
        <v>714.36</v>
      </c>
      <c r="FM1378" t="s">
        <v>14028</v>
      </c>
      <c r="FN1378">
        <v>0.25</v>
      </c>
      <c r="FO1378" t="s">
        <v>424</v>
      </c>
      <c r="FP1378" t="s">
        <v>454</v>
      </c>
      <c r="FR1378">
        <v>12</v>
      </c>
      <c r="FS1378">
        <v>5408495</v>
      </c>
      <c r="FT1378" t="s">
        <v>14029</v>
      </c>
      <c r="FV1378" s="1">
        <v>42151</v>
      </c>
      <c r="FW1378">
        <v>2014</v>
      </c>
      <c r="FX1378">
        <v>620.37</v>
      </c>
      <c r="FY1378" t="s">
        <v>14030</v>
      </c>
      <c r="FZ1378">
        <v>0.25</v>
      </c>
      <c r="GA1378" t="s">
        <v>424</v>
      </c>
      <c r="GB1378" t="s">
        <v>425</v>
      </c>
      <c r="GC1378" s="1">
        <v>42475</v>
      </c>
      <c r="GD1378">
        <v>11</v>
      </c>
      <c r="GE1378">
        <v>15399</v>
      </c>
      <c r="GF1378" t="s">
        <v>485</v>
      </c>
      <c r="GG1378" t="s">
        <v>458</v>
      </c>
      <c r="GH1378" s="1">
        <v>41787</v>
      </c>
      <c r="GI1378">
        <v>2013</v>
      </c>
      <c r="GJ1378">
        <v>785.48</v>
      </c>
      <c r="GK1378" t="s">
        <v>14031</v>
      </c>
      <c r="GL1378">
        <v>0.25</v>
      </c>
      <c r="GM1378" t="s">
        <v>424</v>
      </c>
      <c r="GN1378" t="s">
        <v>425</v>
      </c>
      <c r="GP1378">
        <v>22</v>
      </c>
      <c r="GQ1378">
        <v>2407503</v>
      </c>
      <c r="GR1378" t="s">
        <v>461</v>
      </c>
      <c r="GS1378" t="s">
        <v>458</v>
      </c>
      <c r="GT1378" s="1">
        <v>41423</v>
      </c>
      <c r="GU1378">
        <v>2012</v>
      </c>
      <c r="GV1378">
        <v>803.82</v>
      </c>
      <c r="GW1378" t="s">
        <v>14032</v>
      </c>
      <c r="GX1378">
        <v>0.25</v>
      </c>
      <c r="GY1378" t="s">
        <v>424</v>
      </c>
      <c r="GZ1378" t="s">
        <v>425</v>
      </c>
      <c r="HB1378">
        <v>22</v>
      </c>
      <c r="HC1378">
        <v>15399</v>
      </c>
      <c r="HD1378" t="s">
        <v>485</v>
      </c>
      <c r="HF1378" s="1">
        <v>41423</v>
      </c>
      <c r="HG1378">
        <v>2012</v>
      </c>
      <c r="HH1378">
        <v>803.82</v>
      </c>
      <c r="HI1378" t="s">
        <v>14032</v>
      </c>
      <c r="HJ1378">
        <v>0.25</v>
      </c>
      <c r="HK1378" t="s">
        <v>424</v>
      </c>
      <c r="HL1378" t="s">
        <v>425</v>
      </c>
      <c r="HM1378" s="1">
        <v>42094</v>
      </c>
      <c r="HN1378">
        <v>22</v>
      </c>
      <c r="HO1378">
        <v>13027</v>
      </c>
      <c r="HP1378" t="s">
        <v>826</v>
      </c>
      <c r="HR1378" s="1">
        <v>41052</v>
      </c>
      <c r="HS1378">
        <v>2011</v>
      </c>
      <c r="HT1378">
        <v>960.34</v>
      </c>
      <c r="HU1378" t="s">
        <v>14033</v>
      </c>
      <c r="HV1378">
        <v>6</v>
      </c>
      <c r="HW1378" t="s">
        <v>424</v>
      </c>
      <c r="HX1378" t="s">
        <v>425</v>
      </c>
      <c r="HY1378" s="1">
        <v>41093</v>
      </c>
      <c r="HZ1378">
        <v>2</v>
      </c>
      <c r="IA1378">
        <v>375</v>
      </c>
      <c r="IB1378" t="s">
        <v>776</v>
      </c>
      <c r="IC1378" t="s">
        <v>458</v>
      </c>
      <c r="ID1378" s="1">
        <v>40688</v>
      </c>
      <c r="IE1378">
        <v>2010</v>
      </c>
      <c r="IF1378">
        <v>1041.57</v>
      </c>
      <c r="IG1378" t="s">
        <v>14034</v>
      </c>
      <c r="IH1378">
        <v>5.25</v>
      </c>
      <c r="II1378" t="s">
        <v>424</v>
      </c>
      <c r="IJ1378" t="s">
        <v>425</v>
      </c>
      <c r="IK1378" s="1">
        <v>41093</v>
      </c>
      <c r="IL1378">
        <v>14</v>
      </c>
      <c r="IM1378">
        <v>443</v>
      </c>
      <c r="IN1378" t="s">
        <v>12371</v>
      </c>
      <c r="IO1378" t="s">
        <v>458</v>
      </c>
    </row>
    <row r="1379" spans="1:284" x14ac:dyDescent="0.25">
      <c r="A1379">
        <v>16486386</v>
      </c>
      <c r="B1379">
        <v>1378</v>
      </c>
      <c r="C1379" t="s">
        <v>393</v>
      </c>
      <c r="D1379" t="s">
        <v>394</v>
      </c>
      <c r="F1379" t="str">
        <f>"43-2N-27-4648-0003-0140"</f>
        <v>43-2N-27-4648-0003-0140</v>
      </c>
      <c r="H1379" t="str">
        <f>"MURRAY TAMMY M"</f>
        <v>MURRAY TAMMY M</v>
      </c>
      <c r="I1379" t="str">
        <f>"85396 CLAXTON RD"</f>
        <v>85396 CLAXTON RD</v>
      </c>
      <c r="J1379" t="str">
        <f>"YULEE FL 32097"</f>
        <v>YULEE FL 32097</v>
      </c>
      <c r="K1379" t="str">
        <f>"85396 CLAXTON RD"</f>
        <v>85396 CLAXTON RD</v>
      </c>
      <c r="L1379" t="str">
        <f t="shared" si="456"/>
        <v>YULEE FL 32097</v>
      </c>
      <c r="M1379" t="str">
        <f>"BLOCK 3 LOT 14 IN OR 1433/1154 1998 CYPR DW/MH WILSON NECK LANDING 2 PB 4/72"</f>
        <v>BLOCK 3 LOT 14 IN OR 1433/1154 1998 CYPR DW/MH WILSON NECK LANDING 2 PB 4/72</v>
      </c>
      <c r="N1379" t="str">
        <f>""</f>
        <v/>
      </c>
      <c r="O1379" t="str">
        <f>"49973"</f>
        <v>49973</v>
      </c>
      <c r="P1379" t="str">
        <f t="shared" si="467"/>
        <v>2017</v>
      </c>
      <c r="Q1379" t="str">
        <f>""</f>
        <v/>
      </c>
      <c r="R1379" t="str">
        <f>"Y"</f>
        <v>Y</v>
      </c>
      <c r="S1379" t="str">
        <f>""</f>
        <v/>
      </c>
      <c r="T1379" t="str">
        <f>"387.50"</f>
        <v>387.50</v>
      </c>
      <c r="U1379" t="str">
        <f>"51367.00"</f>
        <v>51367.00</v>
      </c>
      <c r="V1379" t="str">
        <f>"51367.00"</f>
        <v>51367.00</v>
      </c>
      <c r="W1379" t="str">
        <f t="shared" si="468"/>
        <v>2017</v>
      </c>
      <c r="X1379" t="str">
        <f>"13.75"</f>
        <v>13.75</v>
      </c>
      <c r="Y1379" t="str">
        <f>"431.13"</f>
        <v>431.13</v>
      </c>
      <c r="Z1379" t="str">
        <f>"25000.00"</f>
        <v>25000.00</v>
      </c>
      <c r="AA1379" t="str">
        <f>"26367.00"</f>
        <v>26367.00</v>
      </c>
      <c r="AB1379" t="str">
        <f t="shared" si="470"/>
        <v>Residential</v>
      </c>
      <c r="AC1379" t="str">
        <f t="shared" si="475"/>
        <v>0</v>
      </c>
      <c r="AD1379" t="str">
        <f t="shared" si="462"/>
        <v>4</v>
      </c>
      <c r="AE1379" t="str">
        <f t="shared" si="463"/>
        <v>WOOD (INCLUDE STEEL STUDS)</v>
      </c>
      <c r="AF1379" t="str">
        <f>"002"</f>
        <v>002</v>
      </c>
      <c r="AG1379" t="str">
        <f t="shared" si="466"/>
        <v>FL</v>
      </c>
      <c r="AH1379" t="str">
        <f t="shared" si="472"/>
        <v>-</v>
      </c>
      <c r="AI1379" t="str">
        <f t="shared" si="476"/>
        <v>28000.00</v>
      </c>
      <c r="AJ1379" t="str">
        <f>"C55-000-588-3388-0"</f>
        <v>C55-000-588-3388-0</v>
      </c>
      <c r="AK1379" t="str">
        <f>"23286"</f>
        <v>23286</v>
      </c>
      <c r="AL1379">
        <v>5</v>
      </c>
      <c r="AM1379">
        <v>1576</v>
      </c>
      <c r="AN1379">
        <v>451.09</v>
      </c>
      <c r="AQ1379" t="s">
        <v>14035</v>
      </c>
      <c r="AR1379" t="s">
        <v>14035</v>
      </c>
      <c r="AS1379" t="s">
        <v>14035</v>
      </c>
      <c r="AU1379" t="s">
        <v>396</v>
      </c>
      <c r="AV1379">
        <v>2017</v>
      </c>
      <c r="AW1379" t="str">
        <f>"43-2N-27-4648-0003-0140 "</f>
        <v xml:space="preserve">43-2N-27-4648-0003-0140 </v>
      </c>
      <c r="AX1379">
        <v>85396</v>
      </c>
      <c r="AZ1379" t="s">
        <v>3229</v>
      </c>
      <c r="BA1379" t="s">
        <v>496</v>
      </c>
      <c r="BD1379" t="s">
        <v>2387</v>
      </c>
      <c r="BE1379" t="s">
        <v>393</v>
      </c>
      <c r="BF1379">
        <v>32097</v>
      </c>
      <c r="BG1379" t="s">
        <v>14036</v>
      </c>
      <c r="BH1379" t="s">
        <v>2388</v>
      </c>
      <c r="BI1379">
        <v>-81.588098099687699</v>
      </c>
      <c r="BJ1379">
        <v>30.581947343666201</v>
      </c>
      <c r="BK1379" t="s">
        <v>14037</v>
      </c>
      <c r="BM1379" t="s">
        <v>14036</v>
      </c>
      <c r="BN1379" t="s">
        <v>1778</v>
      </c>
      <c r="BO1379">
        <v>32097</v>
      </c>
      <c r="BP1379" t="s">
        <v>416</v>
      </c>
      <c r="BQ1379">
        <v>200</v>
      </c>
      <c r="BR1379" t="s">
        <v>405</v>
      </c>
      <c r="BS1379">
        <v>1006</v>
      </c>
      <c r="BT1379" t="s">
        <v>406</v>
      </c>
      <c r="BW1379">
        <v>51330</v>
      </c>
      <c r="BX1379" t="s">
        <v>407</v>
      </c>
      <c r="BY1379" t="s">
        <v>408</v>
      </c>
      <c r="BZ1379">
        <v>4</v>
      </c>
      <c r="CA1379">
        <v>1998</v>
      </c>
      <c r="CC1379">
        <v>1</v>
      </c>
      <c r="CD1379">
        <v>2017</v>
      </c>
      <c r="CG1379">
        <v>51367</v>
      </c>
      <c r="CH1379">
        <v>2017</v>
      </c>
      <c r="CI1379">
        <v>28000</v>
      </c>
      <c r="CJ1379">
        <v>39478</v>
      </c>
      <c r="CK1379">
        <v>67478</v>
      </c>
      <c r="CL1379">
        <v>2017</v>
      </c>
      <c r="CM1379">
        <v>387.5</v>
      </c>
      <c r="CN1379" s="1">
        <v>38930</v>
      </c>
      <c r="CZ1379" s="1">
        <v>38930</v>
      </c>
      <c r="DD1379" t="s">
        <v>2387</v>
      </c>
      <c r="DF1379">
        <v>14</v>
      </c>
      <c r="DG1379">
        <v>43</v>
      </c>
      <c r="DL1379">
        <v>50302</v>
      </c>
      <c r="DM1379" t="s">
        <v>13628</v>
      </c>
      <c r="DO1379" t="s">
        <v>14038</v>
      </c>
      <c r="DP1379">
        <v>0</v>
      </c>
      <c r="DQ1379">
        <v>0</v>
      </c>
      <c r="DR1379" t="s">
        <v>411</v>
      </c>
      <c r="DS1379" t="b">
        <v>1</v>
      </c>
      <c r="DT1379" t="s">
        <v>470</v>
      </c>
      <c r="DU1379" t="s">
        <v>10249</v>
      </c>
      <c r="DV1379" t="s">
        <v>472</v>
      </c>
      <c r="DX1379">
        <v>-9999</v>
      </c>
      <c r="DZ1379" t="s">
        <v>447</v>
      </c>
      <c r="EA1379" t="s">
        <v>448</v>
      </c>
      <c r="EB1379" t="s">
        <v>13630</v>
      </c>
      <c r="EC1379">
        <v>20101217</v>
      </c>
      <c r="ED1379" t="s">
        <v>10251</v>
      </c>
      <c r="EE1379">
        <v>5</v>
      </c>
      <c r="EF1379">
        <v>53.9</v>
      </c>
      <c r="EG1379">
        <v>0</v>
      </c>
      <c r="EI1379">
        <v>20160407</v>
      </c>
      <c r="EJ1379">
        <v>0</v>
      </c>
      <c r="EK1379">
        <v>0</v>
      </c>
      <c r="EP1379" t="s">
        <v>421</v>
      </c>
      <c r="EQ1379" t="s">
        <v>422</v>
      </c>
      <c r="ER1379">
        <v>2</v>
      </c>
      <c r="ES1379">
        <v>6</v>
      </c>
      <c r="ET1379">
        <v>888.68</v>
      </c>
      <c r="EU1379">
        <v>56.93</v>
      </c>
      <c r="EV1379">
        <v>945.61</v>
      </c>
      <c r="EW1379" s="2">
        <v>43222</v>
      </c>
      <c r="EX1379" s="1">
        <v>42879</v>
      </c>
      <c r="EY1379">
        <v>2016</v>
      </c>
      <c r="EZ1379">
        <v>444.34</v>
      </c>
      <c r="FA1379" t="s">
        <v>14039</v>
      </c>
      <c r="FB1379">
        <v>0.25</v>
      </c>
      <c r="FC1379" t="s">
        <v>424</v>
      </c>
      <c r="FD1379" t="s">
        <v>454</v>
      </c>
      <c r="FF1379">
        <v>12</v>
      </c>
      <c r="FG1379">
        <v>2851116</v>
      </c>
      <c r="FH1379" t="s">
        <v>480</v>
      </c>
      <c r="FJ1379" s="1">
        <v>42879</v>
      </c>
      <c r="FK1379">
        <v>2016</v>
      </c>
      <c r="FL1379">
        <v>444.34</v>
      </c>
      <c r="FM1379" t="s">
        <v>14039</v>
      </c>
      <c r="FN1379">
        <v>0.25</v>
      </c>
      <c r="FO1379" t="s">
        <v>424</v>
      </c>
      <c r="FP1379" t="s">
        <v>454</v>
      </c>
      <c r="FR1379">
        <v>12</v>
      </c>
      <c r="FS1379">
        <v>5059409</v>
      </c>
      <c r="FT1379" t="s">
        <v>14040</v>
      </c>
      <c r="FV1379" s="1">
        <v>42515</v>
      </c>
      <c r="FW1379">
        <v>2015</v>
      </c>
      <c r="FX1379">
        <v>446.44</v>
      </c>
      <c r="FY1379" t="s">
        <v>14041</v>
      </c>
      <c r="FZ1379">
        <v>0.25</v>
      </c>
      <c r="GA1379" t="s">
        <v>424</v>
      </c>
      <c r="GB1379" t="s">
        <v>425</v>
      </c>
      <c r="GC1379" s="1">
        <v>42573</v>
      </c>
      <c r="GD1379">
        <v>2</v>
      </c>
      <c r="GE1379">
        <v>2851116</v>
      </c>
      <c r="GF1379" t="s">
        <v>480</v>
      </c>
      <c r="GH1379" s="1">
        <v>42515</v>
      </c>
      <c r="GI1379">
        <v>2015</v>
      </c>
      <c r="GJ1379">
        <v>446.44</v>
      </c>
      <c r="GK1379" t="s">
        <v>14041</v>
      </c>
      <c r="GL1379">
        <v>0.25</v>
      </c>
      <c r="GM1379" t="s">
        <v>424</v>
      </c>
      <c r="GN1379" t="s">
        <v>425</v>
      </c>
      <c r="GP1379">
        <v>22</v>
      </c>
      <c r="GQ1379">
        <v>5604984</v>
      </c>
      <c r="GR1379" t="s">
        <v>14042</v>
      </c>
      <c r="GT1379" s="1">
        <v>42151</v>
      </c>
      <c r="GU1379">
        <v>2014</v>
      </c>
      <c r="GV1379">
        <v>441.83</v>
      </c>
      <c r="GW1379" t="s">
        <v>14043</v>
      </c>
      <c r="GX1379">
        <v>0.25</v>
      </c>
      <c r="GY1379" t="s">
        <v>424</v>
      </c>
      <c r="GZ1379" t="s">
        <v>425</v>
      </c>
      <c r="HA1379" s="1">
        <v>42573</v>
      </c>
      <c r="HB1379">
        <v>14</v>
      </c>
      <c r="HC1379">
        <v>2851116</v>
      </c>
      <c r="HD1379" t="s">
        <v>480</v>
      </c>
      <c r="HF1379" s="1">
        <v>42151</v>
      </c>
      <c r="HG1379">
        <v>2014</v>
      </c>
      <c r="HH1379">
        <v>441.83</v>
      </c>
      <c r="HI1379" t="s">
        <v>14043</v>
      </c>
      <c r="HJ1379">
        <v>0.25</v>
      </c>
      <c r="HK1379" t="s">
        <v>424</v>
      </c>
      <c r="HL1379" t="s">
        <v>425</v>
      </c>
      <c r="HN1379">
        <v>22</v>
      </c>
      <c r="HO1379">
        <v>5389599</v>
      </c>
      <c r="HP1379" t="s">
        <v>14044</v>
      </c>
      <c r="HR1379" s="1">
        <v>41787</v>
      </c>
      <c r="HS1379">
        <v>2013</v>
      </c>
      <c r="HT1379">
        <v>459.34</v>
      </c>
      <c r="HU1379" t="s">
        <v>14045</v>
      </c>
      <c r="HV1379">
        <v>0.25</v>
      </c>
      <c r="HW1379" t="s">
        <v>424</v>
      </c>
      <c r="HX1379" t="s">
        <v>425</v>
      </c>
      <c r="HY1379" s="1">
        <v>42426</v>
      </c>
      <c r="HZ1379">
        <v>21</v>
      </c>
      <c r="IA1379">
        <v>13026</v>
      </c>
      <c r="IB1379" t="s">
        <v>2129</v>
      </c>
      <c r="ID1379" s="1">
        <v>40688</v>
      </c>
      <c r="IE1379">
        <v>2010</v>
      </c>
      <c r="IF1379">
        <v>565.59</v>
      </c>
      <c r="IG1379" t="s">
        <v>14046</v>
      </c>
      <c r="IH1379">
        <v>5.25</v>
      </c>
      <c r="II1379" t="s">
        <v>424</v>
      </c>
      <c r="IJ1379" t="s">
        <v>425</v>
      </c>
      <c r="IK1379" s="1">
        <v>40926</v>
      </c>
      <c r="IL1379">
        <v>8</v>
      </c>
      <c r="IM1379">
        <v>443</v>
      </c>
      <c r="IN1379" t="s">
        <v>12371</v>
      </c>
    </row>
    <row r="1380" spans="1:284" x14ac:dyDescent="0.25">
      <c r="A1380">
        <v>16486387</v>
      </c>
      <c r="B1380">
        <v>1379</v>
      </c>
      <c r="C1380" t="s">
        <v>393</v>
      </c>
      <c r="D1380" t="s">
        <v>394</v>
      </c>
      <c r="F1380" t="str">
        <f>"43-2N-27-4648-0005-0060"</f>
        <v>43-2N-27-4648-0005-0060</v>
      </c>
      <c r="H1380" t="str">
        <f>"GILES JAMES R L/E AMANDA GILES"</f>
        <v>GILES JAMES R L/E AMANDA GILES</v>
      </c>
      <c r="I1380" t="str">
        <f>"85162 ALGER ROAD"</f>
        <v>85162 ALGER ROAD</v>
      </c>
      <c r="J1380" t="str">
        <f>"YULEE FL 32097"</f>
        <v>YULEE FL 32097</v>
      </c>
      <c r="K1380" t="str">
        <f>"85162 ALGER RD"</f>
        <v>85162 ALGER RD</v>
      </c>
      <c r="L1380" t="str">
        <f t="shared" si="456"/>
        <v>YULEE FL 32097</v>
      </c>
      <c r="M1380" t="str">
        <f>"BLOCK 5 LOT 6 R672689 &amp; R672690 L/E IN OR 836 PG 21 WILSON NECK LANDING 2 PB 4/72"</f>
        <v>BLOCK 5 LOT 6 R672689 &amp; R672690 L/E IN OR 836 PG 21 WILSON NECK LANDING 2 PB 4/72</v>
      </c>
      <c r="N1380" t="str">
        <f>""</f>
        <v/>
      </c>
      <c r="O1380" t="str">
        <f>"50002"</f>
        <v>50002</v>
      </c>
      <c r="P1380" t="str">
        <f t="shared" si="467"/>
        <v>2017</v>
      </c>
      <c r="Q1380" t="str">
        <f>""</f>
        <v/>
      </c>
      <c r="R1380" t="str">
        <f>"Y"</f>
        <v>Y</v>
      </c>
      <c r="S1380" t="str">
        <f>""</f>
        <v/>
      </c>
      <c r="T1380" t="str">
        <f>"475.69"</f>
        <v>475.69</v>
      </c>
      <c r="U1380" t="str">
        <f>"64733.00"</f>
        <v>64733.00</v>
      </c>
      <c r="V1380" t="str">
        <f>"64733.00"</f>
        <v>64733.00</v>
      </c>
      <c r="W1380" t="str">
        <f t="shared" si="468"/>
        <v>2017</v>
      </c>
      <c r="X1380" t="str">
        <f>"29.54"</f>
        <v>29.54</v>
      </c>
      <c r="Y1380" t="str">
        <f>"521.96"</f>
        <v>521.96</v>
      </c>
      <c r="Z1380" t="str">
        <f>"25000.00"</f>
        <v>25000.00</v>
      </c>
      <c r="AA1380" t="str">
        <f>"39733.00"</f>
        <v>39733.00</v>
      </c>
      <c r="AB1380" t="str">
        <f t="shared" si="470"/>
        <v>Residential</v>
      </c>
      <c r="AC1380" t="str">
        <f t="shared" si="475"/>
        <v>0</v>
      </c>
      <c r="AD1380" t="str">
        <f t="shared" si="462"/>
        <v>4</v>
      </c>
      <c r="AE1380" t="str">
        <f t="shared" si="463"/>
        <v>WOOD (INCLUDE STEEL STUDS)</v>
      </c>
      <c r="AF1380" t="str">
        <f>"002"</f>
        <v>002</v>
      </c>
      <c r="AG1380" t="str">
        <f t="shared" si="466"/>
        <v>FL</v>
      </c>
      <c r="AH1380" t="str">
        <f t="shared" si="472"/>
        <v>-</v>
      </c>
      <c r="AI1380" t="str">
        <f t="shared" si="476"/>
        <v>28000.00</v>
      </c>
      <c r="AJ1380" t="str">
        <f>"C55-000-588-3417-7"</f>
        <v>C55-000-588-3417-7</v>
      </c>
      <c r="AK1380" t="str">
        <f>"23315"</f>
        <v>23315</v>
      </c>
      <c r="AL1380">
        <v>5</v>
      </c>
      <c r="AM1380">
        <v>1577</v>
      </c>
      <c r="AN1380">
        <v>546.46</v>
      </c>
      <c r="AQ1380" t="s">
        <v>14047</v>
      </c>
      <c r="AR1380" t="s">
        <v>14047</v>
      </c>
      <c r="AS1380" t="s">
        <v>14047</v>
      </c>
      <c r="AU1380" t="s">
        <v>396</v>
      </c>
      <c r="AV1380">
        <v>2017</v>
      </c>
      <c r="AW1380" t="str">
        <f>"43-2N-27-4648-0005-0060 "</f>
        <v xml:space="preserve">43-2N-27-4648-0005-0060 </v>
      </c>
      <c r="AX1380">
        <v>85162</v>
      </c>
      <c r="AZ1380" t="s">
        <v>14048</v>
      </c>
      <c r="BA1380" t="s">
        <v>496</v>
      </c>
      <c r="BD1380" t="s">
        <v>2387</v>
      </c>
      <c r="BE1380" t="s">
        <v>393</v>
      </c>
      <c r="BF1380">
        <v>32097</v>
      </c>
      <c r="BG1380" t="s">
        <v>14049</v>
      </c>
      <c r="BH1380" t="s">
        <v>2388</v>
      </c>
      <c r="BI1380">
        <v>-81.582794704037298</v>
      </c>
      <c r="BJ1380">
        <v>30.580180217484699</v>
      </c>
      <c r="BK1380" t="s">
        <v>14050</v>
      </c>
      <c r="BM1380" t="s">
        <v>14049</v>
      </c>
      <c r="BN1380" t="s">
        <v>1778</v>
      </c>
      <c r="BO1380">
        <v>32097</v>
      </c>
      <c r="BP1380" t="s">
        <v>416</v>
      </c>
      <c r="BQ1380">
        <v>200</v>
      </c>
      <c r="BR1380" t="s">
        <v>405</v>
      </c>
      <c r="BS1380">
        <v>1006</v>
      </c>
      <c r="BT1380" t="s">
        <v>406</v>
      </c>
      <c r="BW1380">
        <v>43570</v>
      </c>
      <c r="BX1380" t="s">
        <v>407</v>
      </c>
      <c r="BY1380" t="s">
        <v>408</v>
      </c>
      <c r="BZ1380">
        <v>4</v>
      </c>
      <c r="CA1380">
        <v>1997</v>
      </c>
      <c r="CB1380">
        <v>1</v>
      </c>
      <c r="CC1380">
        <v>1</v>
      </c>
      <c r="CD1380">
        <v>2017</v>
      </c>
      <c r="CG1380">
        <v>64733</v>
      </c>
      <c r="CH1380">
        <v>2017</v>
      </c>
      <c r="CI1380">
        <v>28000</v>
      </c>
      <c r="CJ1380">
        <v>54810</v>
      </c>
      <c r="CK1380">
        <v>82810</v>
      </c>
      <c r="CL1380">
        <v>2017</v>
      </c>
      <c r="CM1380">
        <v>475.69</v>
      </c>
      <c r="CN1380" s="1">
        <v>35949</v>
      </c>
      <c r="CZ1380" s="1">
        <v>35949</v>
      </c>
      <c r="DD1380" t="s">
        <v>2387</v>
      </c>
      <c r="DF1380">
        <v>6</v>
      </c>
      <c r="DG1380">
        <v>43</v>
      </c>
      <c r="DL1380">
        <v>50302</v>
      </c>
      <c r="DM1380" t="s">
        <v>13628</v>
      </c>
      <c r="DO1380" t="s">
        <v>14051</v>
      </c>
      <c r="DP1380">
        <v>0</v>
      </c>
      <c r="DQ1380">
        <v>0</v>
      </c>
      <c r="DR1380" t="s">
        <v>411</v>
      </c>
      <c r="DS1380" t="b">
        <v>1</v>
      </c>
      <c r="DT1380" t="s">
        <v>470</v>
      </c>
      <c r="DU1380" t="s">
        <v>471</v>
      </c>
      <c r="DV1380" t="s">
        <v>472</v>
      </c>
      <c r="DX1380">
        <v>-9999</v>
      </c>
      <c r="DZ1380" t="s">
        <v>447</v>
      </c>
      <c r="EA1380" t="s">
        <v>448</v>
      </c>
      <c r="EB1380" t="s">
        <v>742</v>
      </c>
      <c r="EC1380">
        <v>20101217</v>
      </c>
      <c r="ED1380" t="s">
        <v>474</v>
      </c>
      <c r="EF1380">
        <v>962.5</v>
      </c>
      <c r="EG1380">
        <v>41.9</v>
      </c>
      <c r="EI1380">
        <v>20160407</v>
      </c>
      <c r="EJ1380">
        <v>0</v>
      </c>
      <c r="EK1380">
        <v>0</v>
      </c>
      <c r="EP1380" t="s">
        <v>421</v>
      </c>
      <c r="EQ1380" t="s">
        <v>422</v>
      </c>
      <c r="ER1380">
        <v>2</v>
      </c>
      <c r="ES1380">
        <v>7</v>
      </c>
      <c r="ET1380">
        <v>1081.08</v>
      </c>
      <c r="EU1380">
        <v>66.55</v>
      </c>
      <c r="EV1380">
        <v>1147.6300000000001</v>
      </c>
      <c r="EW1380" s="2">
        <v>43222</v>
      </c>
      <c r="EX1380" s="1">
        <v>42879</v>
      </c>
      <c r="EY1380">
        <v>2016</v>
      </c>
      <c r="EZ1380">
        <v>540.54</v>
      </c>
      <c r="FA1380" t="s">
        <v>14052</v>
      </c>
      <c r="FB1380">
        <v>0.25</v>
      </c>
      <c r="FC1380" t="s">
        <v>424</v>
      </c>
      <c r="FD1380" t="s">
        <v>454</v>
      </c>
      <c r="FF1380">
        <v>12</v>
      </c>
      <c r="FG1380">
        <v>2851116</v>
      </c>
      <c r="FH1380" t="s">
        <v>480</v>
      </c>
      <c r="FJ1380" s="1">
        <v>42879</v>
      </c>
      <c r="FK1380">
        <v>2016</v>
      </c>
      <c r="FL1380">
        <v>540.54</v>
      </c>
      <c r="FM1380" t="s">
        <v>14052</v>
      </c>
      <c r="FN1380">
        <v>0.25</v>
      </c>
      <c r="FO1380" t="s">
        <v>424</v>
      </c>
      <c r="FP1380" t="s">
        <v>454</v>
      </c>
      <c r="FR1380">
        <v>12</v>
      </c>
      <c r="FS1380">
        <v>5362920</v>
      </c>
      <c r="FT1380" t="s">
        <v>14053</v>
      </c>
      <c r="FV1380" s="1">
        <v>42515</v>
      </c>
      <c r="FW1380">
        <v>2015</v>
      </c>
      <c r="FX1380">
        <v>547.4</v>
      </c>
      <c r="FY1380" t="s">
        <v>14054</v>
      </c>
      <c r="FZ1380">
        <v>0.25</v>
      </c>
      <c r="GA1380" t="s">
        <v>424</v>
      </c>
      <c r="GB1380" t="s">
        <v>425</v>
      </c>
      <c r="GC1380" s="1">
        <v>43159</v>
      </c>
      <c r="GD1380">
        <v>21</v>
      </c>
      <c r="GE1380">
        <v>2851116</v>
      </c>
      <c r="GF1380" t="s">
        <v>480</v>
      </c>
      <c r="GH1380" s="1">
        <v>42515</v>
      </c>
      <c r="GI1380">
        <v>2015</v>
      </c>
      <c r="GJ1380">
        <v>547.4</v>
      </c>
      <c r="GK1380" t="s">
        <v>14054</v>
      </c>
      <c r="GL1380">
        <v>0.25</v>
      </c>
      <c r="GM1380" t="s">
        <v>424</v>
      </c>
      <c r="GN1380" t="s">
        <v>425</v>
      </c>
      <c r="GP1380">
        <v>22</v>
      </c>
      <c r="GQ1380">
        <v>5093823</v>
      </c>
      <c r="GR1380" t="s">
        <v>14055</v>
      </c>
      <c r="GT1380" s="1">
        <v>41787</v>
      </c>
      <c r="GU1380">
        <v>2013</v>
      </c>
      <c r="GV1380">
        <v>593.66999999999996</v>
      </c>
      <c r="GW1380" t="s">
        <v>14056</v>
      </c>
      <c r="GX1380">
        <v>0.25</v>
      </c>
      <c r="GY1380" t="s">
        <v>424</v>
      </c>
      <c r="GZ1380" t="s">
        <v>425</v>
      </c>
      <c r="HB1380">
        <v>22</v>
      </c>
      <c r="HC1380">
        <v>11289</v>
      </c>
      <c r="HD1380" t="s">
        <v>787</v>
      </c>
      <c r="HF1380" s="1">
        <v>41787</v>
      </c>
      <c r="HG1380">
        <v>2013</v>
      </c>
      <c r="HH1380">
        <v>593.66999999999996</v>
      </c>
      <c r="HI1380" t="s">
        <v>14056</v>
      </c>
      <c r="HJ1380">
        <v>0.25</v>
      </c>
      <c r="HK1380" t="s">
        <v>424</v>
      </c>
      <c r="HL1380" t="s">
        <v>425</v>
      </c>
      <c r="HM1380" s="1">
        <v>42146</v>
      </c>
      <c r="HN1380">
        <v>12</v>
      </c>
      <c r="HO1380">
        <v>4844954</v>
      </c>
      <c r="HP1380" t="s">
        <v>1719</v>
      </c>
      <c r="HR1380" s="1">
        <v>41423</v>
      </c>
      <c r="HS1380">
        <v>2012</v>
      </c>
      <c r="HT1380">
        <v>619.38</v>
      </c>
      <c r="HU1380" t="s">
        <v>14057</v>
      </c>
      <c r="HV1380">
        <v>0.25</v>
      </c>
      <c r="HW1380" t="s">
        <v>424</v>
      </c>
      <c r="HX1380" t="s">
        <v>425</v>
      </c>
      <c r="HY1380" s="1">
        <v>42060</v>
      </c>
      <c r="HZ1380">
        <v>21</v>
      </c>
      <c r="IA1380">
        <v>15399</v>
      </c>
      <c r="IB1380" t="s">
        <v>485</v>
      </c>
      <c r="ID1380" s="1">
        <v>41052</v>
      </c>
      <c r="IE1380">
        <v>2011</v>
      </c>
      <c r="IF1380">
        <v>674.56</v>
      </c>
      <c r="IG1380" t="s">
        <v>14058</v>
      </c>
      <c r="IH1380">
        <v>6</v>
      </c>
      <c r="II1380" t="s">
        <v>424</v>
      </c>
      <c r="IJ1380" t="s">
        <v>425</v>
      </c>
      <c r="IK1380" s="1">
        <v>41698</v>
      </c>
      <c r="IL1380">
        <v>21</v>
      </c>
      <c r="IM1380">
        <v>1109</v>
      </c>
      <c r="IN1380" t="s">
        <v>852</v>
      </c>
      <c r="IP1380" s="1">
        <v>40688</v>
      </c>
      <c r="IQ1380">
        <v>2010</v>
      </c>
      <c r="IR1380">
        <v>780.76</v>
      </c>
      <c r="IS1380" t="s">
        <v>14059</v>
      </c>
      <c r="IT1380">
        <v>5.25</v>
      </c>
      <c r="IU1380" t="s">
        <v>424</v>
      </c>
      <c r="IV1380" t="s">
        <v>425</v>
      </c>
      <c r="IW1380" s="1">
        <v>41333</v>
      </c>
      <c r="IX1380">
        <v>21</v>
      </c>
      <c r="IY1380">
        <v>443</v>
      </c>
      <c r="IZ1380" t="s">
        <v>12371</v>
      </c>
    </row>
    <row r="1381" spans="1:284" x14ac:dyDescent="0.25">
      <c r="A1381">
        <v>16486388</v>
      </c>
      <c r="B1381">
        <v>1380</v>
      </c>
      <c r="C1381" t="s">
        <v>393</v>
      </c>
      <c r="D1381" t="s">
        <v>394</v>
      </c>
      <c r="F1381" t="str">
        <f>"43-2N-27-4648-0005-0240"</f>
        <v>43-2N-27-4648-0005-0240</v>
      </c>
      <c r="H1381" t="str">
        <f>"DOSSENBACK MICHAEL L &amp; DEBORAH"</f>
        <v>DOSSENBACK MICHAEL L &amp; DEBORAH</v>
      </c>
      <c r="I1381" t="str">
        <f>"116 KIRK RD"</f>
        <v>116 KIRK RD</v>
      </c>
      <c r="J1381" t="str">
        <f>"JACKSONVILLE FL 32218"</f>
        <v>JACKSONVILLE FL 32218</v>
      </c>
      <c r="K1381" t="str">
        <f>"85020 CLAXTON RD"</f>
        <v>85020 CLAXTON RD</v>
      </c>
      <c r="L1381" t="str">
        <f t="shared" si="456"/>
        <v>YULEE FL 32097</v>
      </c>
      <c r="M1381" t="str">
        <f>"BLOCK 5 LOT 24 IN OR 1999/1653 WILSON NECK LANDING 2 PB 4/72"</f>
        <v>BLOCK 5 LOT 24 IN OR 1999/1653 WILSON NECK LANDING 2 PB 4/72</v>
      </c>
      <c r="N1381" t="str">
        <f>""</f>
        <v/>
      </c>
      <c r="O1381" t="str">
        <f>"50020"</f>
        <v>50020</v>
      </c>
      <c r="P1381" t="str">
        <f t="shared" si="467"/>
        <v>2017</v>
      </c>
      <c r="Q1381" t="str">
        <f>""</f>
        <v/>
      </c>
      <c r="R1381" t="str">
        <f>"N"</f>
        <v>N</v>
      </c>
      <c r="S1381" t="str">
        <f>""</f>
        <v/>
      </c>
      <c r="T1381" t="str">
        <f>"544.51"</f>
        <v>544.51</v>
      </c>
      <c r="U1381" t="str">
        <f>"35750.00"</f>
        <v>35750.00</v>
      </c>
      <c r="V1381" t="str">
        <f>"35750.00"</f>
        <v>35750.00</v>
      </c>
      <c r="W1381" t="str">
        <f t="shared" si="468"/>
        <v>2017</v>
      </c>
      <c r="X1381" t="str">
        <f>"26.40"</f>
        <v>26.40</v>
      </c>
      <c r="Y1381" t="str">
        <f>"592.85"</f>
        <v>592.85</v>
      </c>
      <c r="Z1381" t="str">
        <f>""</f>
        <v/>
      </c>
      <c r="AA1381" t="str">
        <f>"36250.00"</f>
        <v>36250.00</v>
      </c>
      <c r="AB1381" t="str">
        <f t="shared" si="470"/>
        <v>Residential</v>
      </c>
      <c r="AC1381" t="str">
        <f t="shared" si="475"/>
        <v>0</v>
      </c>
      <c r="AD1381" t="str">
        <f>""</f>
        <v/>
      </c>
      <c r="AE1381" t="str">
        <f>""</f>
        <v/>
      </c>
      <c r="AF1381" t="str">
        <f>"000"</f>
        <v>000</v>
      </c>
      <c r="AG1381" t="str">
        <f t="shared" si="466"/>
        <v>FL</v>
      </c>
      <c r="AH1381" t="str">
        <f t="shared" si="472"/>
        <v>-</v>
      </c>
      <c r="AI1381" t="str">
        <f t="shared" si="476"/>
        <v>28000.00</v>
      </c>
      <c r="AJ1381" t="str">
        <f>"C55-000-588-3435-9"</f>
        <v>C55-000-588-3435-9</v>
      </c>
      <c r="AK1381" t="str">
        <f>"23332"</f>
        <v>23332</v>
      </c>
      <c r="AL1381">
        <v>5</v>
      </c>
      <c r="AM1381">
        <v>1579</v>
      </c>
      <c r="AN1381">
        <v>620.89</v>
      </c>
      <c r="AQ1381" t="s">
        <v>14060</v>
      </c>
      <c r="AR1381" t="s">
        <v>14060</v>
      </c>
      <c r="AS1381" t="s">
        <v>14060</v>
      </c>
      <c r="AU1381" t="s">
        <v>396</v>
      </c>
      <c r="AV1381">
        <v>2017</v>
      </c>
      <c r="AW1381" t="str">
        <f>"43-2N-27-4648-0005-0240 "</f>
        <v xml:space="preserve">43-2N-27-4648-0005-0240 </v>
      </c>
      <c r="AX1381">
        <v>85020</v>
      </c>
      <c r="AZ1381" t="s">
        <v>3229</v>
      </c>
      <c r="BA1381" t="s">
        <v>496</v>
      </c>
      <c r="BD1381" t="s">
        <v>2387</v>
      </c>
      <c r="BE1381" t="s">
        <v>393</v>
      </c>
      <c r="BF1381">
        <v>32097</v>
      </c>
      <c r="BG1381" t="s">
        <v>14061</v>
      </c>
      <c r="BH1381" t="s">
        <v>2388</v>
      </c>
      <c r="BI1381">
        <v>-81.583673599471993</v>
      </c>
      <c r="BJ1381">
        <v>30.5780821961052</v>
      </c>
      <c r="BK1381" t="s">
        <v>14062</v>
      </c>
      <c r="BL1381" t="s">
        <v>14063</v>
      </c>
      <c r="BM1381" t="s">
        <v>14064</v>
      </c>
      <c r="BN1381" t="s">
        <v>548</v>
      </c>
      <c r="BO1381">
        <v>32218</v>
      </c>
      <c r="BP1381" t="s">
        <v>404</v>
      </c>
      <c r="BQ1381">
        <v>1</v>
      </c>
      <c r="BR1381" t="s">
        <v>491</v>
      </c>
      <c r="BS1381">
        <v>8001</v>
      </c>
      <c r="BT1381" t="s">
        <v>492</v>
      </c>
      <c r="BW1381">
        <v>45550</v>
      </c>
      <c r="BX1381" t="s">
        <v>407</v>
      </c>
      <c r="BY1381" t="s">
        <v>408</v>
      </c>
      <c r="CB1381">
        <v>1</v>
      </c>
      <c r="CD1381">
        <v>2017</v>
      </c>
      <c r="CE1381">
        <v>28000</v>
      </c>
      <c r="CF1381">
        <v>8250</v>
      </c>
      <c r="CG1381">
        <v>36250</v>
      </c>
      <c r="CH1381">
        <v>2017</v>
      </c>
      <c r="CI1381">
        <v>28000</v>
      </c>
      <c r="CJ1381">
        <v>8250</v>
      </c>
      <c r="CK1381">
        <v>36250</v>
      </c>
      <c r="CL1381">
        <v>2017</v>
      </c>
      <c r="CM1381">
        <v>544.51</v>
      </c>
      <c r="CN1381" s="1">
        <v>42244</v>
      </c>
      <c r="CZ1381" s="1">
        <v>42244</v>
      </c>
      <c r="DD1381" t="s">
        <v>2387</v>
      </c>
      <c r="DG1381">
        <v>43</v>
      </c>
      <c r="DL1381">
        <v>50302</v>
      </c>
      <c r="DM1381" t="s">
        <v>13628</v>
      </c>
      <c r="DO1381" t="s">
        <v>14065</v>
      </c>
      <c r="DP1381">
        <v>0</v>
      </c>
      <c r="DQ1381">
        <v>0</v>
      </c>
      <c r="DR1381" t="s">
        <v>411</v>
      </c>
      <c r="EP1381" t="s">
        <v>421</v>
      </c>
      <c r="EQ1381" t="s">
        <v>452</v>
      </c>
      <c r="ER1381">
        <v>0</v>
      </c>
      <c r="ES1381">
        <v>6</v>
      </c>
      <c r="ET1381">
        <v>0</v>
      </c>
      <c r="EU1381">
        <v>0</v>
      </c>
      <c r="EV1381">
        <v>0</v>
      </c>
      <c r="EW1381" s="2">
        <v>43222</v>
      </c>
      <c r="EX1381" s="1">
        <v>41787</v>
      </c>
      <c r="EY1381">
        <v>2013</v>
      </c>
      <c r="EZ1381">
        <v>742.07</v>
      </c>
      <c r="FA1381" t="s">
        <v>14066</v>
      </c>
      <c r="FB1381">
        <v>0.25</v>
      </c>
      <c r="FC1381" t="s">
        <v>424</v>
      </c>
      <c r="FD1381" t="s">
        <v>425</v>
      </c>
      <c r="FE1381" s="1">
        <v>42004</v>
      </c>
      <c r="FF1381">
        <v>7</v>
      </c>
      <c r="FG1381">
        <v>13139</v>
      </c>
      <c r="FH1381" t="s">
        <v>955</v>
      </c>
      <c r="FI1381" t="s">
        <v>458</v>
      </c>
      <c r="FJ1381" s="1">
        <v>41423</v>
      </c>
      <c r="FK1381">
        <v>2012</v>
      </c>
      <c r="FL1381">
        <v>751.07</v>
      </c>
      <c r="FM1381" t="s">
        <v>14067</v>
      </c>
      <c r="FN1381">
        <v>2.75</v>
      </c>
      <c r="FO1381" t="s">
        <v>424</v>
      </c>
      <c r="FP1381" t="s">
        <v>425</v>
      </c>
      <c r="FQ1381" s="1">
        <v>42004</v>
      </c>
      <c r="FR1381">
        <v>19</v>
      </c>
      <c r="FS1381">
        <v>15399</v>
      </c>
      <c r="FT1381" t="s">
        <v>485</v>
      </c>
      <c r="FU1381" t="s">
        <v>458</v>
      </c>
      <c r="FV1381" s="1">
        <v>41052</v>
      </c>
      <c r="FW1381">
        <v>2011</v>
      </c>
      <c r="FX1381">
        <v>948.57</v>
      </c>
      <c r="FY1381" t="s">
        <v>14068</v>
      </c>
      <c r="FZ1381">
        <v>5.75</v>
      </c>
      <c r="GA1381" t="s">
        <v>424</v>
      </c>
      <c r="GB1381" t="s">
        <v>425</v>
      </c>
      <c r="GD1381">
        <v>22</v>
      </c>
      <c r="GE1381">
        <v>1625515</v>
      </c>
      <c r="GF1381" t="s">
        <v>487</v>
      </c>
      <c r="GG1381" t="s">
        <v>458</v>
      </c>
      <c r="GH1381" s="1">
        <v>41052</v>
      </c>
      <c r="GI1381">
        <v>2011</v>
      </c>
      <c r="GJ1381">
        <v>948.57</v>
      </c>
      <c r="GK1381" t="s">
        <v>14068</v>
      </c>
      <c r="GL1381">
        <v>5.75</v>
      </c>
      <c r="GM1381" t="s">
        <v>424</v>
      </c>
      <c r="GN1381" t="s">
        <v>425</v>
      </c>
      <c r="GP1381">
        <v>22</v>
      </c>
      <c r="GQ1381">
        <v>10579</v>
      </c>
      <c r="GR1381" t="s">
        <v>488</v>
      </c>
      <c r="GS1381" t="s">
        <v>458</v>
      </c>
      <c r="GT1381" s="1">
        <v>41052</v>
      </c>
      <c r="GU1381">
        <v>2011</v>
      </c>
      <c r="GV1381">
        <v>948.57</v>
      </c>
      <c r="GW1381" t="s">
        <v>14068</v>
      </c>
      <c r="GX1381">
        <v>5.75</v>
      </c>
      <c r="GY1381" t="s">
        <v>424</v>
      </c>
      <c r="GZ1381" t="s">
        <v>425</v>
      </c>
      <c r="HB1381">
        <v>22</v>
      </c>
      <c r="HC1381">
        <v>14996</v>
      </c>
      <c r="HD1381" t="s">
        <v>3439</v>
      </c>
      <c r="HE1381" t="s">
        <v>458</v>
      </c>
      <c r="HF1381" s="1">
        <v>40688</v>
      </c>
      <c r="HG1381">
        <v>2010</v>
      </c>
      <c r="HH1381">
        <v>1027.8699999999999</v>
      </c>
      <c r="HI1381" t="s">
        <v>14069</v>
      </c>
      <c r="HJ1381">
        <v>5.25</v>
      </c>
      <c r="HK1381" t="s">
        <v>424</v>
      </c>
      <c r="HL1381" t="s">
        <v>425</v>
      </c>
      <c r="HM1381" s="1">
        <v>42004</v>
      </c>
      <c r="HN1381">
        <v>43</v>
      </c>
      <c r="HO1381">
        <v>443</v>
      </c>
      <c r="HP1381" t="s">
        <v>12371</v>
      </c>
      <c r="HQ1381" t="s">
        <v>458</v>
      </c>
    </row>
    <row r="1382" spans="1:284" x14ac:dyDescent="0.25">
      <c r="A1382">
        <v>16486389</v>
      </c>
      <c r="B1382">
        <v>1381</v>
      </c>
      <c r="C1382" t="s">
        <v>393</v>
      </c>
      <c r="D1382" t="s">
        <v>394</v>
      </c>
      <c r="F1382" t="str">
        <f>"43-2N-27-4651-0008-0000"</f>
        <v>43-2N-27-4651-0008-0000</v>
      </c>
      <c r="H1382" t="str">
        <f>"FOUNTAIN HUBERT RAYMOND"</f>
        <v>FOUNTAIN HUBERT RAYMOND</v>
      </c>
      <c r="I1382" t="str">
        <f>"43193 WINDING LANE"</f>
        <v>43193 WINDING LANE</v>
      </c>
      <c r="J1382" t="str">
        <f>"CALLAHAN FL 32011"</f>
        <v>CALLAHAN FL 32011</v>
      </c>
      <c r="K1382" t="str">
        <f>"85279 WILSON NECK RD"</f>
        <v>85279 WILSON NECK RD</v>
      </c>
      <c r="L1382" t="str">
        <f t="shared" si="456"/>
        <v>YULEE FL 32097</v>
      </c>
      <c r="M1382" t="str">
        <f>"TRACT 8 IN OR 483 PG 251 1993 CLAY SW/MH WILSON NECK ROAD UNIT 1 UNR"</f>
        <v>TRACT 8 IN OR 483 PG 251 1993 CLAY SW/MH WILSON NECK ROAD UNIT 1 UNR</v>
      </c>
      <c r="N1382" t="str">
        <f>""</f>
        <v/>
      </c>
      <c r="O1382" t="str">
        <f>"50029"</f>
        <v>50029</v>
      </c>
      <c r="P1382" t="str">
        <f t="shared" si="467"/>
        <v>2017</v>
      </c>
      <c r="Q1382" t="str">
        <f>""</f>
        <v/>
      </c>
      <c r="R1382" t="str">
        <f>"N"</f>
        <v>N</v>
      </c>
      <c r="S1382" t="str">
        <f>""</f>
        <v/>
      </c>
      <c r="T1382" t="str">
        <f>"557.01"</f>
        <v>557.01</v>
      </c>
      <c r="U1382" t="str">
        <f>"31370.00"</f>
        <v>31370.00</v>
      </c>
      <c r="V1382" t="str">
        <f>"31370.00"</f>
        <v>31370.00</v>
      </c>
      <c r="W1382" t="str">
        <f t="shared" si="468"/>
        <v>2017</v>
      </c>
      <c r="X1382" t="str">
        <f>"12.40"</f>
        <v>12.40</v>
      </c>
      <c r="Y1382" t="str">
        <f>"605.72"</f>
        <v>605.72</v>
      </c>
      <c r="Z1382" t="str">
        <f>""</f>
        <v/>
      </c>
      <c r="AA1382" t="str">
        <f>"43814.00"</f>
        <v>43814.00</v>
      </c>
      <c r="AB1382" t="str">
        <f t="shared" si="470"/>
        <v>Residential</v>
      </c>
      <c r="AC1382" t="str">
        <f t="shared" si="475"/>
        <v>0</v>
      </c>
      <c r="AD1382" t="str">
        <f>"4"</f>
        <v>4</v>
      </c>
      <c r="AE1382" t="str">
        <f>"WOOD (INCLUDE STEEL STUDS)"</f>
        <v>WOOD (INCLUDE STEEL STUDS)</v>
      </c>
      <c r="AF1382" t="str">
        <f>"002"</f>
        <v>002</v>
      </c>
      <c r="AG1382" t="str">
        <f t="shared" si="466"/>
        <v>FL</v>
      </c>
      <c r="AH1382" t="str">
        <f t="shared" si="472"/>
        <v>-</v>
      </c>
      <c r="AI1382" t="str">
        <f t="shared" si="476"/>
        <v>28000.00</v>
      </c>
      <c r="AJ1382" t="str">
        <f>"C55-000-588-3443-3"</f>
        <v>C55-000-588-3443-3</v>
      </c>
      <c r="AK1382" t="str">
        <f>"23339"</f>
        <v>23339</v>
      </c>
      <c r="AL1382">
        <v>5</v>
      </c>
      <c r="AM1382">
        <v>1580</v>
      </c>
      <c r="AN1382">
        <v>634.41</v>
      </c>
      <c r="AQ1382" t="s">
        <v>14070</v>
      </c>
      <c r="AR1382" t="s">
        <v>14070</v>
      </c>
      <c r="AS1382" t="s">
        <v>14070</v>
      </c>
      <c r="AU1382" t="s">
        <v>396</v>
      </c>
      <c r="AV1382">
        <v>2017</v>
      </c>
      <c r="AW1382" t="str">
        <f>"43-2N-27-4651-0008-0000 "</f>
        <v xml:space="preserve">43-2N-27-4651-0008-0000 </v>
      </c>
      <c r="AX1382">
        <v>85279</v>
      </c>
      <c r="AZ1382" t="s">
        <v>13841</v>
      </c>
      <c r="BA1382" t="s">
        <v>496</v>
      </c>
      <c r="BD1382" t="s">
        <v>2387</v>
      </c>
      <c r="BE1382" t="s">
        <v>393</v>
      </c>
      <c r="BF1382">
        <v>32097</v>
      </c>
      <c r="BG1382" t="s">
        <v>14071</v>
      </c>
      <c r="BH1382" t="s">
        <v>2388</v>
      </c>
      <c r="BI1382">
        <v>-81.577287763044595</v>
      </c>
      <c r="BJ1382">
        <v>30.581931127823498</v>
      </c>
      <c r="BK1382" t="s">
        <v>14072</v>
      </c>
      <c r="BM1382" t="s">
        <v>14073</v>
      </c>
      <c r="BN1382" t="s">
        <v>928</v>
      </c>
      <c r="BO1382">
        <v>32011</v>
      </c>
      <c r="BP1382" t="s">
        <v>404</v>
      </c>
      <c r="BQ1382">
        <v>200</v>
      </c>
      <c r="BR1382" t="s">
        <v>405</v>
      </c>
      <c r="BS1382">
        <v>1006</v>
      </c>
      <c r="BT1382" t="s">
        <v>406</v>
      </c>
      <c r="BW1382">
        <v>43655</v>
      </c>
      <c r="BX1382" t="s">
        <v>407</v>
      </c>
      <c r="BY1382" t="s">
        <v>408</v>
      </c>
      <c r="BZ1382">
        <v>4</v>
      </c>
      <c r="CA1382">
        <v>1993</v>
      </c>
      <c r="CC1382">
        <v>1</v>
      </c>
      <c r="CD1382">
        <v>2017</v>
      </c>
      <c r="CE1382">
        <v>28000</v>
      </c>
      <c r="CF1382">
        <v>15814</v>
      </c>
      <c r="CG1382">
        <v>43814</v>
      </c>
      <c r="CH1382">
        <v>2017</v>
      </c>
      <c r="CI1382">
        <v>28000</v>
      </c>
      <c r="CJ1382">
        <v>15814</v>
      </c>
      <c r="CK1382">
        <v>43814</v>
      </c>
      <c r="CL1382">
        <v>2017</v>
      </c>
      <c r="CM1382">
        <v>557.01</v>
      </c>
      <c r="CN1382" s="1">
        <v>31444</v>
      </c>
      <c r="CO1382">
        <v>5300</v>
      </c>
      <c r="CZ1382" s="1">
        <v>31444</v>
      </c>
      <c r="DD1382" t="s">
        <v>2387</v>
      </c>
      <c r="DG1382">
        <v>43</v>
      </c>
      <c r="DL1382">
        <v>50302</v>
      </c>
      <c r="DM1382" t="s">
        <v>13628</v>
      </c>
      <c r="DO1382" t="s">
        <v>14074</v>
      </c>
      <c r="DP1382">
        <v>0</v>
      </c>
      <c r="DQ1382">
        <v>0</v>
      </c>
      <c r="DR1382" t="s">
        <v>411</v>
      </c>
      <c r="DS1382" t="b">
        <v>1</v>
      </c>
      <c r="DT1382" t="s">
        <v>470</v>
      </c>
      <c r="DU1382" t="s">
        <v>471</v>
      </c>
      <c r="DV1382" t="s">
        <v>472</v>
      </c>
      <c r="DX1382">
        <v>-9999</v>
      </c>
      <c r="DZ1382" t="s">
        <v>447</v>
      </c>
      <c r="EA1382" t="s">
        <v>448</v>
      </c>
      <c r="EB1382" t="s">
        <v>742</v>
      </c>
      <c r="EC1382">
        <v>20101217</v>
      </c>
      <c r="ED1382" t="s">
        <v>474</v>
      </c>
      <c r="EF1382">
        <v>1241</v>
      </c>
      <c r="EG1382">
        <v>984.4</v>
      </c>
      <c r="EI1382">
        <v>20160407</v>
      </c>
      <c r="EJ1382">
        <v>0</v>
      </c>
      <c r="EK1382">
        <v>0</v>
      </c>
      <c r="EP1382" t="s">
        <v>421</v>
      </c>
      <c r="EQ1382" t="s">
        <v>422</v>
      </c>
      <c r="ER1382">
        <v>2</v>
      </c>
      <c r="ES1382">
        <v>3</v>
      </c>
      <c r="ET1382">
        <v>1067.71</v>
      </c>
      <c r="EU1382">
        <v>194.88</v>
      </c>
      <c r="EV1382">
        <v>1262.5899999999999</v>
      </c>
      <c r="EW1382" s="2">
        <v>43222</v>
      </c>
      <c r="EX1382" s="1">
        <v>42879</v>
      </c>
      <c r="EY1382">
        <v>2016</v>
      </c>
      <c r="EZ1382">
        <v>541.21</v>
      </c>
      <c r="FA1382" t="s">
        <v>14075</v>
      </c>
      <c r="FB1382">
        <v>4.5</v>
      </c>
      <c r="FC1382" t="s">
        <v>424</v>
      </c>
      <c r="FD1382" t="s">
        <v>454</v>
      </c>
      <c r="FF1382">
        <v>12</v>
      </c>
      <c r="FG1382">
        <v>2035919</v>
      </c>
      <c r="FH1382" t="s">
        <v>507</v>
      </c>
      <c r="FJ1382" s="1">
        <v>42515</v>
      </c>
      <c r="FK1382">
        <v>2015</v>
      </c>
      <c r="FL1382">
        <v>526.5</v>
      </c>
      <c r="FM1382" t="s">
        <v>14076</v>
      </c>
      <c r="FN1382">
        <v>14.75</v>
      </c>
      <c r="FO1382" t="s">
        <v>424</v>
      </c>
      <c r="FP1382" t="s">
        <v>454</v>
      </c>
      <c r="FR1382">
        <v>24</v>
      </c>
      <c r="FS1382">
        <v>10125</v>
      </c>
      <c r="FT1382" t="s">
        <v>440</v>
      </c>
      <c r="FV1382" s="1">
        <v>41787</v>
      </c>
      <c r="FW1382">
        <v>2013</v>
      </c>
      <c r="FX1382">
        <v>477.25</v>
      </c>
      <c r="FY1382" t="s">
        <v>14077</v>
      </c>
      <c r="FZ1382">
        <v>0.25</v>
      </c>
      <c r="GA1382" t="s">
        <v>424</v>
      </c>
      <c r="GB1382" t="s">
        <v>425</v>
      </c>
      <c r="GC1382" s="1">
        <v>42122</v>
      </c>
      <c r="GD1382">
        <v>11</v>
      </c>
      <c r="GE1382">
        <v>13026</v>
      </c>
      <c r="GF1382" t="s">
        <v>2129</v>
      </c>
      <c r="GH1382" s="1">
        <v>41052</v>
      </c>
      <c r="GI1382">
        <v>2011</v>
      </c>
      <c r="GJ1382">
        <v>587.05999999999995</v>
      </c>
      <c r="GK1382" t="s">
        <v>14078</v>
      </c>
      <c r="GL1382">
        <v>5.75</v>
      </c>
      <c r="GM1382" t="s">
        <v>424</v>
      </c>
      <c r="GN1382" t="s">
        <v>425</v>
      </c>
      <c r="GO1382" s="1">
        <v>41332</v>
      </c>
      <c r="GP1382">
        <v>9</v>
      </c>
      <c r="GQ1382">
        <v>10579</v>
      </c>
      <c r="GR1382" t="s">
        <v>488</v>
      </c>
      <c r="GT1382" s="1">
        <v>40688</v>
      </c>
      <c r="GU1382">
        <v>2010</v>
      </c>
      <c r="GV1382">
        <v>648.20000000000005</v>
      </c>
      <c r="GW1382" t="s">
        <v>14079</v>
      </c>
      <c r="GX1382">
        <v>5.25</v>
      </c>
      <c r="GY1382" t="s">
        <v>424</v>
      </c>
      <c r="GZ1382" t="s">
        <v>425</v>
      </c>
      <c r="HA1382" s="1">
        <v>41332</v>
      </c>
      <c r="HB1382">
        <v>21</v>
      </c>
      <c r="HC1382">
        <v>443</v>
      </c>
      <c r="HD1382" t="s">
        <v>12371</v>
      </c>
    </row>
    <row r="1383" spans="1:284" x14ac:dyDescent="0.25">
      <c r="A1383">
        <v>16486390</v>
      </c>
      <c r="B1383">
        <v>1382</v>
      </c>
      <c r="C1383" t="s">
        <v>393</v>
      </c>
      <c r="D1383" t="s">
        <v>394</v>
      </c>
      <c r="F1383" t="str">
        <f>"43-2N-27-4651-0024-0000"</f>
        <v>43-2N-27-4651-0024-0000</v>
      </c>
      <c r="H1383" t="str">
        <f>"HESSENAUER PHYLLIS &amp; BRIAN"</f>
        <v>HESSENAUER PHYLLIS &amp; BRIAN</v>
      </c>
      <c r="I1383" t="str">
        <f>"85735 WILSON NECK RD"</f>
        <v>85735 WILSON NECK RD</v>
      </c>
      <c r="J1383" t="str">
        <f>"YULEE FL 32097"</f>
        <v>YULEE FL 32097</v>
      </c>
      <c r="K1383" t="str">
        <f>"85735 WILSON NECK RD"</f>
        <v>85735 WILSON NECK RD</v>
      </c>
      <c r="L1383" t="str">
        <f t="shared" si="456"/>
        <v>YULEE FL 32097</v>
      </c>
      <c r="M1383" t="str">
        <f>"TRACT 24 IN OR 2062/1728 WILSON NECK ROAD UNIT 1 UNR"</f>
        <v>TRACT 24 IN OR 2062/1728 WILSON NECK ROAD UNIT 1 UNR</v>
      </c>
      <c r="N1383" t="str">
        <f>""</f>
        <v/>
      </c>
      <c r="O1383" t="str">
        <f>"50045"</f>
        <v>50045</v>
      </c>
      <c r="P1383" t="str">
        <f t="shared" si="467"/>
        <v>2017</v>
      </c>
      <c r="Q1383" t="str">
        <f>""</f>
        <v/>
      </c>
      <c r="R1383" t="str">
        <f>"Y"</f>
        <v>Y</v>
      </c>
      <c r="S1383" t="str">
        <f>""</f>
        <v/>
      </c>
      <c r="T1383" t="str">
        <f>"1155.43"</f>
        <v>1155.43</v>
      </c>
      <c r="U1383" t="str">
        <f>"115427.00"</f>
        <v>115427.00</v>
      </c>
      <c r="V1383" t="str">
        <f>"115427.00"</f>
        <v>115427.00</v>
      </c>
      <c r="W1383" t="str">
        <f t="shared" si="468"/>
        <v>2017</v>
      </c>
      <c r="X1383" t="str">
        <f>"7.50"</f>
        <v>7.50</v>
      </c>
      <c r="Y1383" t="str">
        <f>"1222.09"</f>
        <v>1222.09</v>
      </c>
      <c r="Z1383" t="str">
        <f>"25000.00"</f>
        <v>25000.00</v>
      </c>
      <c r="AA1383" t="str">
        <f>"90427.00"</f>
        <v>90427.00</v>
      </c>
      <c r="AB1383" t="str">
        <f t="shared" si="470"/>
        <v>Residential</v>
      </c>
      <c r="AC1383" t="str">
        <f t="shared" si="475"/>
        <v>0</v>
      </c>
      <c r="AD1383" t="str">
        <f>"4"</f>
        <v>4</v>
      </c>
      <c r="AE1383" t="str">
        <f>"WOOD (INCLUDE STEEL STUDS)"</f>
        <v>WOOD (INCLUDE STEEL STUDS)</v>
      </c>
      <c r="AF1383" t="str">
        <f>"001"</f>
        <v>001</v>
      </c>
      <c r="AG1383" t="str">
        <f t="shared" si="466"/>
        <v>FL</v>
      </c>
      <c r="AH1383" t="str">
        <f t="shared" si="472"/>
        <v>-</v>
      </c>
      <c r="AI1383" t="str">
        <f t="shared" si="476"/>
        <v>28000.00</v>
      </c>
      <c r="AJ1383" t="str">
        <f>"C55-000-588-3459-9"</f>
        <v>C55-000-588-3459-9</v>
      </c>
      <c r="AK1383" t="str">
        <f>"23355"</f>
        <v>23355</v>
      </c>
      <c r="AL1383">
        <v>5</v>
      </c>
      <c r="AM1383">
        <v>1582</v>
      </c>
      <c r="AN1383">
        <v>1281.5899999999999</v>
      </c>
      <c r="AQ1383" t="s">
        <v>14080</v>
      </c>
      <c r="AR1383" t="s">
        <v>14080</v>
      </c>
      <c r="AS1383" t="s">
        <v>14080</v>
      </c>
      <c r="AU1383" t="s">
        <v>396</v>
      </c>
      <c r="AV1383">
        <v>2017</v>
      </c>
      <c r="AW1383" t="str">
        <f>"43-2N-27-4651-0024-0000 "</f>
        <v xml:space="preserve">43-2N-27-4651-0024-0000 </v>
      </c>
      <c r="AX1383">
        <v>85735</v>
      </c>
      <c r="AZ1383" t="s">
        <v>13841</v>
      </c>
      <c r="BA1383" t="s">
        <v>496</v>
      </c>
      <c r="BD1383" t="s">
        <v>2387</v>
      </c>
      <c r="BE1383" t="s">
        <v>393</v>
      </c>
      <c r="BF1383">
        <v>32097</v>
      </c>
      <c r="BG1383" t="s">
        <v>14081</v>
      </c>
      <c r="BH1383" t="s">
        <v>2388</v>
      </c>
      <c r="BI1383">
        <v>-81.583069057559698</v>
      </c>
      <c r="BJ1383">
        <v>30.586228345884901</v>
      </c>
      <c r="BK1383" t="s">
        <v>14082</v>
      </c>
      <c r="BM1383" t="s">
        <v>14081</v>
      </c>
      <c r="BN1383" t="s">
        <v>1778</v>
      </c>
      <c r="BO1383">
        <v>32097</v>
      </c>
      <c r="BP1383" t="s">
        <v>404</v>
      </c>
      <c r="BQ1383">
        <v>100</v>
      </c>
      <c r="BR1383" t="s">
        <v>514</v>
      </c>
      <c r="BS1383">
        <v>1001</v>
      </c>
      <c r="BT1383" t="s">
        <v>515</v>
      </c>
      <c r="BW1383">
        <v>42692</v>
      </c>
      <c r="BX1383" t="s">
        <v>407</v>
      </c>
      <c r="BY1383" t="s">
        <v>408</v>
      </c>
      <c r="BZ1383">
        <v>4</v>
      </c>
      <c r="CA1383">
        <v>1978</v>
      </c>
      <c r="CB1383">
        <v>1</v>
      </c>
      <c r="CC1383">
        <v>1</v>
      </c>
      <c r="CD1383">
        <v>2017</v>
      </c>
      <c r="CE1383">
        <v>28000</v>
      </c>
      <c r="CF1383">
        <v>87427</v>
      </c>
      <c r="CG1383">
        <v>115427</v>
      </c>
      <c r="CH1383">
        <v>2017</v>
      </c>
      <c r="CI1383">
        <v>28000</v>
      </c>
      <c r="CJ1383">
        <v>87427</v>
      </c>
      <c r="CK1383">
        <v>115427</v>
      </c>
      <c r="CL1383">
        <v>2017</v>
      </c>
      <c r="CM1383">
        <v>1155.43</v>
      </c>
      <c r="CN1383" s="1">
        <v>42514</v>
      </c>
      <c r="CO1383">
        <v>65000</v>
      </c>
      <c r="CV1383">
        <v>0</v>
      </c>
      <c r="CZ1383" s="1">
        <v>42514</v>
      </c>
      <c r="DA1383">
        <v>0</v>
      </c>
      <c r="DD1383" t="s">
        <v>2387</v>
      </c>
      <c r="DG1383">
        <v>43</v>
      </c>
      <c r="DI1383">
        <v>1</v>
      </c>
      <c r="DJ1383" t="s">
        <v>13841</v>
      </c>
      <c r="DL1383">
        <v>50302</v>
      </c>
      <c r="DM1383" t="s">
        <v>13628</v>
      </c>
      <c r="DO1383" t="s">
        <v>14083</v>
      </c>
      <c r="DP1383">
        <v>0</v>
      </c>
      <c r="DQ1383">
        <v>0</v>
      </c>
      <c r="DR1383" t="s">
        <v>411</v>
      </c>
    </row>
    <row r="1384" spans="1:284" x14ac:dyDescent="0.25">
      <c r="A1384">
        <v>16486391</v>
      </c>
      <c r="B1384">
        <v>1383</v>
      </c>
      <c r="C1384" t="s">
        <v>393</v>
      </c>
      <c r="D1384" t="s">
        <v>394</v>
      </c>
      <c r="F1384" t="str">
        <f>"43-2N-27-4651-0043-0000"</f>
        <v>43-2N-27-4651-0043-0000</v>
      </c>
      <c r="H1384" t="str">
        <f>"ANDERSON MICHAEL A &amp; HELEN C"</f>
        <v>ANDERSON MICHAEL A &amp; HELEN C</v>
      </c>
      <c r="I1384" t="str">
        <f>"85250 WILSON NECK ROAD"</f>
        <v>85250 WILSON NECK ROAD</v>
      </c>
      <c r="J1384" t="str">
        <f>"YULEE FL 32097"</f>
        <v>YULEE FL 32097</v>
      </c>
      <c r="K1384" t="str">
        <f>"85250 WILSON NECK RD"</f>
        <v>85250 WILSON NECK RD</v>
      </c>
      <c r="L1384" t="str">
        <f t="shared" si="456"/>
        <v>YULEE FL 32097</v>
      </c>
      <c r="M1384" t="str">
        <f>"TRACT 43 IN OR 757/776 R672611 &amp; R672612 WILSON NECK ROAD 1 UNR"</f>
        <v>TRACT 43 IN OR 757/776 R672611 &amp; R672612 WILSON NECK ROAD 1 UNR</v>
      </c>
      <c r="N1384" t="str">
        <f>""</f>
        <v/>
      </c>
      <c r="O1384" t="str">
        <f>"50064"</f>
        <v>50064</v>
      </c>
      <c r="P1384" t="str">
        <f t="shared" si="467"/>
        <v>2017</v>
      </c>
      <c r="Q1384" t="str">
        <f>""</f>
        <v/>
      </c>
      <c r="R1384" t="str">
        <f>"Y"</f>
        <v>Y</v>
      </c>
      <c r="S1384" t="str">
        <f>""</f>
        <v/>
      </c>
      <c r="T1384" t="str">
        <f>"393.68"</f>
        <v>393.68</v>
      </c>
      <c r="U1384" t="str">
        <f>"52303.00"</f>
        <v>52303.00</v>
      </c>
      <c r="V1384" t="str">
        <f>"52303.00"</f>
        <v>52303.00</v>
      </c>
      <c r="W1384" t="str">
        <f t="shared" si="468"/>
        <v>2017</v>
      </c>
      <c r="X1384" t="str">
        <f>"21.10"</f>
        <v>21.10</v>
      </c>
      <c r="Y1384" t="str">
        <f>"437.49"</f>
        <v>437.49</v>
      </c>
      <c r="Z1384" t="str">
        <f>"25000.00"</f>
        <v>25000.00</v>
      </c>
      <c r="AA1384" t="str">
        <f>"27303.00"</f>
        <v>27303.00</v>
      </c>
      <c r="AB1384" t="str">
        <f t="shared" si="470"/>
        <v>Residential</v>
      </c>
      <c r="AC1384" t="str">
        <f t="shared" si="475"/>
        <v>0</v>
      </c>
      <c r="AD1384" t="str">
        <f>"4"</f>
        <v>4</v>
      </c>
      <c r="AE1384" t="str">
        <f>"WOOD (INCLUDE STEEL STUDS)"</f>
        <v>WOOD (INCLUDE STEEL STUDS)</v>
      </c>
      <c r="AF1384" t="str">
        <f>"002"</f>
        <v>002</v>
      </c>
      <c r="AG1384" t="str">
        <f t="shared" si="466"/>
        <v>FL</v>
      </c>
      <c r="AH1384" t="str">
        <f t="shared" si="472"/>
        <v>-</v>
      </c>
      <c r="AI1384" t="str">
        <f t="shared" si="476"/>
        <v>28000.00</v>
      </c>
      <c r="AJ1384" t="str">
        <f>"C55-000-588-3478-9"</f>
        <v>C55-000-588-3478-9</v>
      </c>
      <c r="AK1384" t="str">
        <f>"23374"</f>
        <v>23374</v>
      </c>
      <c r="AL1384">
        <v>5</v>
      </c>
      <c r="AM1384">
        <v>1584</v>
      </c>
      <c r="AN1384">
        <v>457.76</v>
      </c>
      <c r="AQ1384" t="s">
        <v>14084</v>
      </c>
      <c r="AR1384" t="s">
        <v>14084</v>
      </c>
      <c r="AS1384" t="s">
        <v>14084</v>
      </c>
      <c r="AU1384" t="s">
        <v>396</v>
      </c>
      <c r="AV1384">
        <v>2017</v>
      </c>
      <c r="AW1384" t="str">
        <f>"43-2N-27-4651-0043-0000 "</f>
        <v xml:space="preserve">43-2N-27-4651-0043-0000 </v>
      </c>
      <c r="AX1384">
        <v>85250</v>
      </c>
      <c r="AZ1384" t="s">
        <v>13841</v>
      </c>
      <c r="BA1384" t="s">
        <v>496</v>
      </c>
      <c r="BD1384" t="s">
        <v>2387</v>
      </c>
      <c r="BE1384" t="s">
        <v>393</v>
      </c>
      <c r="BF1384">
        <v>32097</v>
      </c>
      <c r="BG1384" t="s">
        <v>14085</v>
      </c>
      <c r="BH1384" t="s">
        <v>2388</v>
      </c>
      <c r="BI1384">
        <v>-81.576202046555096</v>
      </c>
      <c r="BJ1384">
        <v>30.5823793783097</v>
      </c>
      <c r="BK1384" t="s">
        <v>14086</v>
      </c>
      <c r="BL1384" t="s">
        <v>14087</v>
      </c>
      <c r="BM1384" t="s">
        <v>14085</v>
      </c>
      <c r="BN1384" t="s">
        <v>1778</v>
      </c>
      <c r="BO1384">
        <v>32097</v>
      </c>
      <c r="BP1384" t="s">
        <v>416</v>
      </c>
      <c r="BQ1384">
        <v>200</v>
      </c>
      <c r="BR1384" t="s">
        <v>405</v>
      </c>
      <c r="BS1384">
        <v>1006</v>
      </c>
      <c r="BT1384" t="s">
        <v>406</v>
      </c>
      <c r="BW1384">
        <v>42237</v>
      </c>
      <c r="BX1384" t="s">
        <v>407</v>
      </c>
      <c r="BY1384" t="s">
        <v>408</v>
      </c>
      <c r="BZ1384">
        <v>4</v>
      </c>
      <c r="CA1384">
        <v>1996</v>
      </c>
      <c r="CB1384">
        <v>1</v>
      </c>
      <c r="CC1384">
        <v>1</v>
      </c>
      <c r="CD1384">
        <v>2017</v>
      </c>
      <c r="CG1384">
        <v>52303</v>
      </c>
      <c r="CH1384">
        <v>2017</v>
      </c>
      <c r="CI1384">
        <v>28000</v>
      </c>
      <c r="CJ1384">
        <v>44135</v>
      </c>
      <c r="CK1384">
        <v>72135</v>
      </c>
      <c r="CL1384">
        <v>2017</v>
      </c>
      <c r="CM1384">
        <v>393.68</v>
      </c>
      <c r="CN1384" s="1">
        <v>35174</v>
      </c>
      <c r="CO1384">
        <v>24000</v>
      </c>
      <c r="CZ1384" s="1">
        <v>35174</v>
      </c>
      <c r="DD1384" t="s">
        <v>2387</v>
      </c>
      <c r="DG1384">
        <v>43</v>
      </c>
      <c r="DL1384">
        <v>50302</v>
      </c>
      <c r="DM1384" t="s">
        <v>13628</v>
      </c>
      <c r="DO1384" t="s">
        <v>14088</v>
      </c>
      <c r="DP1384">
        <v>0</v>
      </c>
      <c r="DQ1384">
        <v>0</v>
      </c>
      <c r="DR1384" t="s">
        <v>411</v>
      </c>
      <c r="DS1384" t="b">
        <v>1</v>
      </c>
      <c r="DT1384" t="s">
        <v>470</v>
      </c>
      <c r="DU1384" t="s">
        <v>471</v>
      </c>
      <c r="DV1384" t="s">
        <v>472</v>
      </c>
      <c r="DX1384">
        <v>-9999</v>
      </c>
      <c r="DZ1384" t="s">
        <v>447</v>
      </c>
      <c r="EA1384" t="s">
        <v>448</v>
      </c>
      <c r="EB1384" t="s">
        <v>742</v>
      </c>
      <c r="EC1384">
        <v>20101217</v>
      </c>
      <c r="ED1384" t="s">
        <v>474</v>
      </c>
      <c r="EF1384">
        <v>889.8</v>
      </c>
      <c r="EG1384">
        <v>814.6</v>
      </c>
      <c r="EI1384">
        <v>20160407</v>
      </c>
      <c r="EJ1384">
        <v>0</v>
      </c>
      <c r="EK1384">
        <v>0</v>
      </c>
      <c r="EP1384" t="s">
        <v>421</v>
      </c>
      <c r="EQ1384" t="s">
        <v>422</v>
      </c>
      <c r="ER1384">
        <v>2</v>
      </c>
      <c r="ES1384">
        <v>8</v>
      </c>
      <c r="ET1384">
        <v>902.92</v>
      </c>
      <c r="EU1384">
        <v>57.65</v>
      </c>
      <c r="EV1384">
        <v>960.57</v>
      </c>
      <c r="EW1384" s="2">
        <v>43222</v>
      </c>
      <c r="EX1384" s="1">
        <v>42879</v>
      </c>
      <c r="EY1384">
        <v>2016</v>
      </c>
      <c r="EZ1384">
        <v>451.46</v>
      </c>
      <c r="FA1384" t="s">
        <v>14089</v>
      </c>
      <c r="FB1384">
        <v>0.25</v>
      </c>
      <c r="FC1384" t="s">
        <v>424</v>
      </c>
      <c r="FD1384" t="s">
        <v>454</v>
      </c>
      <c r="FF1384">
        <v>12</v>
      </c>
      <c r="FG1384">
        <v>2851116</v>
      </c>
      <c r="FH1384" t="s">
        <v>480</v>
      </c>
      <c r="FJ1384" s="1">
        <v>42879</v>
      </c>
      <c r="FK1384">
        <v>2016</v>
      </c>
      <c r="FL1384">
        <v>451.46</v>
      </c>
      <c r="FM1384" t="s">
        <v>14089</v>
      </c>
      <c r="FN1384">
        <v>0.25</v>
      </c>
      <c r="FO1384" t="s">
        <v>424</v>
      </c>
      <c r="FP1384" t="s">
        <v>454</v>
      </c>
      <c r="FR1384">
        <v>12</v>
      </c>
      <c r="FS1384">
        <v>5072750</v>
      </c>
      <c r="FT1384" t="s">
        <v>14090</v>
      </c>
      <c r="FV1384" s="1">
        <v>42515</v>
      </c>
      <c r="FW1384">
        <v>2015</v>
      </c>
      <c r="FX1384">
        <v>454.3</v>
      </c>
      <c r="FY1384" t="s">
        <v>14091</v>
      </c>
      <c r="FZ1384">
        <v>0.25</v>
      </c>
      <c r="GA1384" t="s">
        <v>424</v>
      </c>
      <c r="GB1384" t="s">
        <v>425</v>
      </c>
      <c r="GC1384" s="1">
        <v>43157</v>
      </c>
      <c r="GD1384">
        <v>21</v>
      </c>
      <c r="GE1384">
        <v>2851116</v>
      </c>
      <c r="GF1384" t="s">
        <v>480</v>
      </c>
      <c r="GH1384" s="1">
        <v>42515</v>
      </c>
      <c r="GI1384">
        <v>2015</v>
      </c>
      <c r="GJ1384">
        <v>454.3</v>
      </c>
      <c r="GK1384" t="s">
        <v>14091</v>
      </c>
      <c r="GL1384">
        <v>0.25</v>
      </c>
      <c r="GM1384" t="s">
        <v>424</v>
      </c>
      <c r="GN1384" t="s">
        <v>425</v>
      </c>
      <c r="GP1384">
        <v>22</v>
      </c>
      <c r="GQ1384">
        <v>5634067</v>
      </c>
      <c r="GR1384" t="s">
        <v>14092</v>
      </c>
      <c r="GT1384" s="1">
        <v>42151</v>
      </c>
      <c r="GU1384">
        <v>2014</v>
      </c>
      <c r="GV1384">
        <v>453.36</v>
      </c>
      <c r="GW1384" t="s">
        <v>14093</v>
      </c>
      <c r="GX1384">
        <v>0.25</v>
      </c>
      <c r="GY1384" t="s">
        <v>424</v>
      </c>
      <c r="GZ1384" t="s">
        <v>425</v>
      </c>
      <c r="HA1384" s="1">
        <v>42790</v>
      </c>
      <c r="HB1384">
        <v>21</v>
      </c>
      <c r="HC1384">
        <v>2851116</v>
      </c>
      <c r="HD1384" t="s">
        <v>480</v>
      </c>
      <c r="HF1384" s="1">
        <v>42151</v>
      </c>
      <c r="HG1384">
        <v>2014</v>
      </c>
      <c r="HH1384">
        <v>453.36</v>
      </c>
      <c r="HI1384" t="s">
        <v>14093</v>
      </c>
      <c r="HJ1384">
        <v>0.25</v>
      </c>
      <c r="HK1384" t="s">
        <v>424</v>
      </c>
      <c r="HL1384" t="s">
        <v>425</v>
      </c>
      <c r="HN1384">
        <v>22</v>
      </c>
      <c r="HO1384">
        <v>5268021</v>
      </c>
      <c r="HP1384" t="s">
        <v>14094</v>
      </c>
      <c r="HR1384" s="1">
        <v>41787</v>
      </c>
      <c r="HS1384">
        <v>2013</v>
      </c>
      <c r="HT1384">
        <v>491.09</v>
      </c>
      <c r="HU1384" t="s">
        <v>14095</v>
      </c>
      <c r="HV1384">
        <v>0.25</v>
      </c>
      <c r="HW1384" t="s">
        <v>424</v>
      </c>
      <c r="HX1384" t="s">
        <v>425</v>
      </c>
      <c r="HY1384" s="1">
        <v>42417</v>
      </c>
      <c r="HZ1384">
        <v>21</v>
      </c>
      <c r="IA1384">
        <v>15399</v>
      </c>
      <c r="IB1384" t="s">
        <v>485</v>
      </c>
      <c r="ID1384" s="1">
        <v>41423</v>
      </c>
      <c r="IE1384">
        <v>2012</v>
      </c>
      <c r="IF1384">
        <v>517.79</v>
      </c>
      <c r="IG1384" t="s">
        <v>14096</v>
      </c>
      <c r="IH1384">
        <v>0.25</v>
      </c>
      <c r="II1384" t="s">
        <v>424</v>
      </c>
      <c r="IJ1384" t="s">
        <v>425</v>
      </c>
      <c r="IK1384" s="1">
        <v>42061</v>
      </c>
      <c r="IL1384">
        <v>21</v>
      </c>
      <c r="IM1384">
        <v>62</v>
      </c>
      <c r="IN1384" t="s">
        <v>463</v>
      </c>
      <c r="IP1384" s="1">
        <v>41052</v>
      </c>
      <c r="IQ1384">
        <v>2011</v>
      </c>
      <c r="IR1384">
        <v>539.13</v>
      </c>
      <c r="IS1384" t="s">
        <v>14097</v>
      </c>
      <c r="IT1384">
        <v>6</v>
      </c>
      <c r="IU1384" t="s">
        <v>424</v>
      </c>
      <c r="IV1384" t="s">
        <v>425</v>
      </c>
      <c r="IW1384" s="1">
        <v>41698</v>
      </c>
      <c r="IX1384">
        <v>21</v>
      </c>
      <c r="IY1384">
        <v>105</v>
      </c>
      <c r="IZ1384" t="s">
        <v>946</v>
      </c>
      <c r="JB1384" s="1">
        <v>40688</v>
      </c>
      <c r="JC1384">
        <v>2010</v>
      </c>
      <c r="JD1384">
        <v>546.83000000000004</v>
      </c>
      <c r="JE1384" t="s">
        <v>14098</v>
      </c>
      <c r="JF1384">
        <v>5.25</v>
      </c>
      <c r="JG1384" t="s">
        <v>424</v>
      </c>
      <c r="JH1384" t="s">
        <v>425</v>
      </c>
      <c r="JI1384" s="1">
        <v>41320</v>
      </c>
      <c r="JJ1384">
        <v>21</v>
      </c>
      <c r="JK1384">
        <v>443</v>
      </c>
      <c r="JL1384" t="s">
        <v>12371</v>
      </c>
    </row>
    <row r="1385" spans="1:284" x14ac:dyDescent="0.25">
      <c r="A1385">
        <v>16486392</v>
      </c>
      <c r="B1385">
        <v>1384</v>
      </c>
      <c r="C1385" t="s">
        <v>393</v>
      </c>
      <c r="D1385" t="s">
        <v>394</v>
      </c>
      <c r="F1385" t="str">
        <f>"43-2N-27-4651-0046-0000"</f>
        <v>43-2N-27-4651-0046-0000</v>
      </c>
      <c r="H1385" t="str">
        <f>"TALBOT KAREN E"</f>
        <v>TALBOT KAREN E</v>
      </c>
      <c r="I1385" t="str">
        <f>"P O BOX 28337"</f>
        <v>P O BOX 28337</v>
      </c>
      <c r="J1385" t="str">
        <f>"JACKSONVILLE FL 32226"</f>
        <v>JACKSONVILLE FL 32226</v>
      </c>
      <c r="K1385" t="str">
        <f>"85162 WILSON NECK RD"</f>
        <v>85162 WILSON NECK RD</v>
      </c>
      <c r="L1385" t="str">
        <f t="shared" si="456"/>
        <v>YULEE FL 32097</v>
      </c>
      <c r="M1385" t="str">
        <f>"TRACT 46 IN OR 685 PG 1418 R567884 &amp; R567885 WILSON NECK ROAD 1 UNR"</f>
        <v>TRACT 46 IN OR 685 PG 1418 R567884 &amp; R567885 WILSON NECK ROAD 1 UNR</v>
      </c>
      <c r="N1385" t="str">
        <f>""</f>
        <v/>
      </c>
      <c r="O1385" t="str">
        <f>"50067"</f>
        <v>50067</v>
      </c>
      <c r="P1385" t="str">
        <f t="shared" si="467"/>
        <v>2017</v>
      </c>
      <c r="Q1385" t="str">
        <f>""</f>
        <v/>
      </c>
      <c r="R1385" t="str">
        <f>"Y"</f>
        <v>Y</v>
      </c>
      <c r="S1385" t="str">
        <f>""</f>
        <v/>
      </c>
      <c r="T1385" t="str">
        <f>"227.74"</f>
        <v>227.74</v>
      </c>
      <c r="U1385" t="str">
        <f>"40043.00"</f>
        <v>40043.00</v>
      </c>
      <c r="V1385" t="str">
        <f>"40043.00"</f>
        <v>40043.00</v>
      </c>
      <c r="W1385" t="str">
        <f t="shared" si="468"/>
        <v>2017</v>
      </c>
      <c r="X1385" t="str">
        <f>""</f>
        <v/>
      </c>
      <c r="Y1385" t="str">
        <f>"266.57"</f>
        <v>266.57</v>
      </c>
      <c r="Z1385" t="str">
        <f>"25000.00"</f>
        <v>25000.00</v>
      </c>
      <c r="AA1385" t="str">
        <f>"15043.00"</f>
        <v>15043.00</v>
      </c>
      <c r="AB1385" t="str">
        <f t="shared" si="470"/>
        <v>Residential</v>
      </c>
      <c r="AC1385" t="str">
        <f t="shared" si="475"/>
        <v>0</v>
      </c>
      <c r="AD1385" t="str">
        <f>"4"</f>
        <v>4</v>
      </c>
      <c r="AE1385" t="str">
        <f>"WOOD (INCLUDE STEEL STUDS)"</f>
        <v>WOOD (INCLUDE STEEL STUDS)</v>
      </c>
      <c r="AF1385" t="str">
        <f>"002"</f>
        <v>002</v>
      </c>
      <c r="AG1385" t="str">
        <f t="shared" si="466"/>
        <v>FL</v>
      </c>
      <c r="AH1385" t="str">
        <f t="shared" si="472"/>
        <v>-</v>
      </c>
      <c r="AI1385" t="str">
        <f t="shared" si="476"/>
        <v>28000.00</v>
      </c>
      <c r="AJ1385" t="str">
        <f>"C55-000-588-3481-3"</f>
        <v>C55-000-588-3481-3</v>
      </c>
      <c r="AK1385" t="str">
        <f>"23377"</f>
        <v>23377</v>
      </c>
      <c r="AL1385">
        <v>5</v>
      </c>
      <c r="AM1385">
        <v>1585</v>
      </c>
      <c r="AN1385">
        <v>278.3</v>
      </c>
      <c r="AQ1385" t="s">
        <v>14099</v>
      </c>
      <c r="AR1385" t="s">
        <v>14099</v>
      </c>
      <c r="AS1385" t="s">
        <v>14099</v>
      </c>
      <c r="AU1385" t="s">
        <v>396</v>
      </c>
      <c r="AV1385">
        <v>2017</v>
      </c>
      <c r="AW1385" t="str">
        <f>"43-2N-27-4651-0046-0000 "</f>
        <v xml:space="preserve">43-2N-27-4651-0046-0000 </v>
      </c>
      <c r="AX1385">
        <v>85162</v>
      </c>
      <c r="AZ1385" t="s">
        <v>13841</v>
      </c>
      <c r="BA1385" t="s">
        <v>496</v>
      </c>
      <c r="BD1385" t="s">
        <v>2387</v>
      </c>
      <c r="BE1385" t="s">
        <v>393</v>
      </c>
      <c r="BF1385">
        <v>32097</v>
      </c>
      <c r="BG1385" t="s">
        <v>14100</v>
      </c>
      <c r="BH1385" t="s">
        <v>2388</v>
      </c>
      <c r="BI1385">
        <v>-81.575120200464397</v>
      </c>
      <c r="BJ1385">
        <v>30.581574168546201</v>
      </c>
      <c r="BK1385" t="s">
        <v>14101</v>
      </c>
      <c r="BM1385" t="s">
        <v>14102</v>
      </c>
      <c r="BN1385" t="s">
        <v>548</v>
      </c>
      <c r="BO1385">
        <v>32226</v>
      </c>
      <c r="BP1385" t="s">
        <v>404</v>
      </c>
      <c r="BQ1385">
        <v>200</v>
      </c>
      <c r="BR1385" t="s">
        <v>405</v>
      </c>
      <c r="BS1385">
        <v>1006</v>
      </c>
      <c r="BT1385" t="s">
        <v>406</v>
      </c>
      <c r="BW1385">
        <v>41076</v>
      </c>
      <c r="BX1385" t="s">
        <v>407</v>
      </c>
      <c r="BY1385" t="s">
        <v>408</v>
      </c>
      <c r="BZ1385">
        <v>4</v>
      </c>
      <c r="CA1385">
        <v>1993</v>
      </c>
      <c r="CB1385">
        <v>1</v>
      </c>
      <c r="CC1385">
        <v>1</v>
      </c>
      <c r="CD1385">
        <v>2017</v>
      </c>
      <c r="CG1385">
        <v>40043</v>
      </c>
      <c r="CH1385">
        <v>2017</v>
      </c>
      <c r="CI1385">
        <v>28000</v>
      </c>
      <c r="CJ1385">
        <v>31287</v>
      </c>
      <c r="CK1385">
        <v>59287</v>
      </c>
      <c r="CL1385">
        <v>2017</v>
      </c>
      <c r="CM1385">
        <v>227.74</v>
      </c>
      <c r="CN1385" s="1">
        <v>34179</v>
      </c>
      <c r="CO1385">
        <v>20500</v>
      </c>
      <c r="CZ1385" s="1">
        <v>34179</v>
      </c>
      <c r="DD1385" t="s">
        <v>2387</v>
      </c>
      <c r="DG1385">
        <v>43</v>
      </c>
      <c r="DL1385">
        <v>50302</v>
      </c>
      <c r="DM1385" t="s">
        <v>13628</v>
      </c>
      <c r="DO1385" t="s">
        <v>14103</v>
      </c>
      <c r="DP1385">
        <v>0</v>
      </c>
      <c r="DQ1385">
        <v>0</v>
      </c>
      <c r="DR1385" t="s">
        <v>411</v>
      </c>
    </row>
    <row r="1386" spans="1:284" x14ac:dyDescent="0.25">
      <c r="A1386">
        <v>16486393</v>
      </c>
      <c r="B1386">
        <v>1385</v>
      </c>
      <c r="C1386" t="s">
        <v>393</v>
      </c>
      <c r="D1386" t="s">
        <v>394</v>
      </c>
      <c r="F1386" t="str">
        <f>"43-2N-27-4653-0010-0000"</f>
        <v>43-2N-27-4653-0010-0000</v>
      </c>
      <c r="H1386" t="str">
        <f>"CAMPBELL LISA V"</f>
        <v>CAMPBELL LISA V</v>
      </c>
      <c r="I1386" t="str">
        <f>"PO BOX 212"</f>
        <v>PO BOX 212</v>
      </c>
      <c r="J1386" t="str">
        <f>"YULEE FL 32041"</f>
        <v>YULEE FL 32041</v>
      </c>
      <c r="K1386" t="str">
        <f>"85991 WILSON NECK RD"</f>
        <v>85991 WILSON NECK RD</v>
      </c>
      <c r="L1386" t="str">
        <f t="shared" si="456"/>
        <v>YULEE FL 32097</v>
      </c>
      <c r="M1386" t="str">
        <f>"LOT 10 IN OR 1099/1537 WILSON NECK ROAD 3 UNR"</f>
        <v>LOT 10 IN OR 1099/1537 WILSON NECK ROAD 3 UNR</v>
      </c>
      <c r="N1386" t="str">
        <f>""</f>
        <v/>
      </c>
      <c r="O1386" t="str">
        <f>"50087"</f>
        <v>50087</v>
      </c>
      <c r="P1386" t="str">
        <f t="shared" si="467"/>
        <v>2017</v>
      </c>
      <c r="Q1386" t="str">
        <f>""</f>
        <v/>
      </c>
      <c r="R1386" t="str">
        <f t="shared" ref="R1386:R1397" si="477">"N"</f>
        <v>N</v>
      </c>
      <c r="S1386" t="str">
        <f>""</f>
        <v/>
      </c>
      <c r="T1386" t="str">
        <f>"477.89"</f>
        <v>477.89</v>
      </c>
      <c r="U1386" t="str">
        <f>"27951.00"</f>
        <v>27951.00</v>
      </c>
      <c r="V1386" t="str">
        <f>"27951.00"</f>
        <v>27951.00</v>
      </c>
      <c r="W1386" t="str">
        <f t="shared" si="468"/>
        <v>2017</v>
      </c>
      <c r="X1386" t="str">
        <f>"18.89"</f>
        <v>18.89</v>
      </c>
      <c r="Y1386" t="str">
        <f>"524.23"</f>
        <v>524.23</v>
      </c>
      <c r="Z1386" t="str">
        <f>""</f>
        <v/>
      </c>
      <c r="AA1386" t="str">
        <f>"36250.00"</f>
        <v>36250.00</v>
      </c>
      <c r="AB1386" t="str">
        <f t="shared" si="470"/>
        <v>Residential</v>
      </c>
      <c r="AC1386" t="str">
        <f t="shared" si="475"/>
        <v>0</v>
      </c>
      <c r="AD1386" t="str">
        <f>""</f>
        <v/>
      </c>
      <c r="AE1386" t="str">
        <f>""</f>
        <v/>
      </c>
      <c r="AF1386" t="str">
        <f>"000"</f>
        <v>000</v>
      </c>
      <c r="AG1386" t="str">
        <f t="shared" si="466"/>
        <v>FL</v>
      </c>
      <c r="AH1386" t="str">
        <f t="shared" si="472"/>
        <v>-</v>
      </c>
      <c r="AI1386" t="str">
        <f t="shared" si="476"/>
        <v>28000.00</v>
      </c>
      <c r="AJ1386" t="str">
        <f>"C55-000-588-3497-9"</f>
        <v>C55-000-588-3497-9</v>
      </c>
      <c r="AK1386" t="str">
        <f>"23395"</f>
        <v>23395</v>
      </c>
      <c r="AL1386">
        <v>5</v>
      </c>
      <c r="AM1386">
        <v>1586</v>
      </c>
      <c r="AN1386">
        <v>548.84</v>
      </c>
      <c r="AQ1386" t="s">
        <v>14104</v>
      </c>
      <c r="AR1386" t="s">
        <v>14104</v>
      </c>
      <c r="AS1386" t="s">
        <v>14104</v>
      </c>
      <c r="AU1386" t="s">
        <v>396</v>
      </c>
      <c r="AV1386">
        <v>2017</v>
      </c>
      <c r="AW1386" t="str">
        <f>"43-2N-27-4653-0010-0000 "</f>
        <v xml:space="preserve">43-2N-27-4653-0010-0000 </v>
      </c>
      <c r="AX1386">
        <v>85991</v>
      </c>
      <c r="AZ1386" t="s">
        <v>13841</v>
      </c>
      <c r="BA1386" t="s">
        <v>496</v>
      </c>
      <c r="BD1386" t="s">
        <v>2387</v>
      </c>
      <c r="BE1386" t="s">
        <v>393</v>
      </c>
      <c r="BF1386">
        <v>32097</v>
      </c>
      <c r="BG1386" t="s">
        <v>14105</v>
      </c>
      <c r="BH1386" t="s">
        <v>2388</v>
      </c>
      <c r="BI1386">
        <v>-81.586522694421006</v>
      </c>
      <c r="BJ1386">
        <v>30.5890480299723</v>
      </c>
      <c r="BK1386" t="s">
        <v>14106</v>
      </c>
      <c r="BM1386" t="s">
        <v>14107</v>
      </c>
      <c r="BN1386" t="s">
        <v>1778</v>
      </c>
      <c r="BO1386">
        <v>32041</v>
      </c>
      <c r="BP1386" t="s">
        <v>404</v>
      </c>
      <c r="BQ1386">
        <v>1</v>
      </c>
      <c r="BR1386" t="s">
        <v>491</v>
      </c>
      <c r="BS1386">
        <v>8001</v>
      </c>
      <c r="BT1386" t="s">
        <v>492</v>
      </c>
      <c r="BW1386">
        <v>42716</v>
      </c>
      <c r="BX1386" t="s">
        <v>407</v>
      </c>
      <c r="BY1386" t="s">
        <v>408</v>
      </c>
      <c r="CD1386">
        <v>2017</v>
      </c>
      <c r="CE1386">
        <v>28000</v>
      </c>
      <c r="CF1386">
        <v>8250</v>
      </c>
      <c r="CG1386">
        <v>36250</v>
      </c>
      <c r="CH1386">
        <v>2017</v>
      </c>
      <c r="CI1386">
        <v>28000</v>
      </c>
      <c r="CJ1386">
        <v>8250</v>
      </c>
      <c r="CK1386">
        <v>36250</v>
      </c>
      <c r="CL1386">
        <v>2017</v>
      </c>
      <c r="CM1386">
        <v>477.89</v>
      </c>
      <c r="CN1386" s="1">
        <v>37600</v>
      </c>
      <c r="CO1386">
        <v>31200</v>
      </c>
      <c r="CV1386">
        <v>0</v>
      </c>
      <c r="CZ1386" s="1">
        <v>37600</v>
      </c>
      <c r="DA1386">
        <v>0</v>
      </c>
      <c r="DD1386" t="s">
        <v>2387</v>
      </c>
      <c r="DF1386">
        <v>10</v>
      </c>
      <c r="DG1386">
        <v>43</v>
      </c>
      <c r="DJ1386" t="s">
        <v>13841</v>
      </c>
      <c r="DL1386">
        <v>50303</v>
      </c>
      <c r="DM1386" t="s">
        <v>13628</v>
      </c>
      <c r="DO1386" t="s">
        <v>14108</v>
      </c>
      <c r="DP1386">
        <v>0</v>
      </c>
      <c r="DQ1386">
        <v>0</v>
      </c>
      <c r="DR1386" t="s">
        <v>411</v>
      </c>
      <c r="DS1386" t="b">
        <v>1</v>
      </c>
      <c r="DT1386" t="s">
        <v>470</v>
      </c>
      <c r="DU1386" t="s">
        <v>10249</v>
      </c>
      <c r="DV1386" t="s">
        <v>472</v>
      </c>
      <c r="DX1386">
        <v>-9999</v>
      </c>
      <c r="DZ1386" t="s">
        <v>447</v>
      </c>
      <c r="EA1386" t="s">
        <v>448</v>
      </c>
      <c r="EB1386" t="s">
        <v>13630</v>
      </c>
      <c r="EC1386">
        <v>20101217</v>
      </c>
      <c r="ED1386" t="s">
        <v>10251</v>
      </c>
      <c r="EE1386">
        <v>5</v>
      </c>
      <c r="EF1386">
        <v>1308.8</v>
      </c>
      <c r="EG1386">
        <v>0</v>
      </c>
      <c r="EI1386">
        <v>20160407</v>
      </c>
      <c r="EJ1386">
        <v>0</v>
      </c>
      <c r="EK1386">
        <v>0</v>
      </c>
      <c r="EP1386" t="s">
        <v>421</v>
      </c>
      <c r="EQ1386" t="s">
        <v>422</v>
      </c>
      <c r="ER1386">
        <v>1</v>
      </c>
      <c r="ES1386">
        <v>6</v>
      </c>
      <c r="ET1386">
        <v>482.58</v>
      </c>
      <c r="EU1386">
        <v>37.619999999999997</v>
      </c>
      <c r="EV1386">
        <v>520.20000000000005</v>
      </c>
      <c r="EW1386" s="2">
        <v>43222</v>
      </c>
      <c r="EX1386" s="1">
        <v>42879</v>
      </c>
      <c r="EY1386">
        <v>2016</v>
      </c>
      <c r="EZ1386">
        <v>482.58</v>
      </c>
      <c r="FA1386" t="s">
        <v>14109</v>
      </c>
      <c r="FB1386">
        <v>6.5</v>
      </c>
      <c r="FC1386" t="s">
        <v>424</v>
      </c>
      <c r="FD1386" t="s">
        <v>454</v>
      </c>
      <c r="FF1386">
        <v>12</v>
      </c>
      <c r="FG1386">
        <v>10125</v>
      </c>
      <c r="FH1386" t="s">
        <v>440</v>
      </c>
      <c r="FJ1386" s="1">
        <v>42515</v>
      </c>
      <c r="FK1386">
        <v>2015</v>
      </c>
      <c r="FL1386">
        <v>444.99</v>
      </c>
      <c r="FM1386" t="s">
        <v>14110</v>
      </c>
      <c r="FN1386">
        <v>15.25</v>
      </c>
      <c r="FO1386" t="s">
        <v>424</v>
      </c>
      <c r="FP1386" t="s">
        <v>425</v>
      </c>
      <c r="FQ1386" s="1">
        <v>43159</v>
      </c>
      <c r="FR1386">
        <v>21</v>
      </c>
      <c r="FS1386">
        <v>7336143</v>
      </c>
      <c r="FT1386" t="s">
        <v>539</v>
      </c>
      <c r="FV1386" s="1">
        <v>42151</v>
      </c>
      <c r="FW1386">
        <v>2014</v>
      </c>
      <c r="FX1386">
        <v>380.92</v>
      </c>
      <c r="FY1386" t="s">
        <v>14111</v>
      </c>
      <c r="FZ1386">
        <v>4.75</v>
      </c>
      <c r="GA1386" t="s">
        <v>424</v>
      </c>
      <c r="GB1386" t="s">
        <v>425</v>
      </c>
      <c r="GC1386" s="1">
        <v>42818</v>
      </c>
      <c r="GD1386">
        <v>22</v>
      </c>
      <c r="GE1386">
        <v>4975593</v>
      </c>
      <c r="GF1386" t="s">
        <v>505</v>
      </c>
      <c r="GH1386" s="1">
        <v>41787</v>
      </c>
      <c r="GI1386">
        <v>2013</v>
      </c>
      <c r="GJ1386">
        <v>361.72</v>
      </c>
      <c r="GK1386" t="s">
        <v>14112</v>
      </c>
      <c r="GL1386">
        <v>3</v>
      </c>
      <c r="GM1386" t="s">
        <v>424</v>
      </c>
      <c r="GN1386" t="s">
        <v>425</v>
      </c>
      <c r="GO1386" s="1">
        <v>42429</v>
      </c>
      <c r="GP1386">
        <v>21</v>
      </c>
      <c r="GQ1386">
        <v>10125</v>
      </c>
      <c r="GR1386" t="s">
        <v>440</v>
      </c>
      <c r="GT1386" s="1">
        <v>41423</v>
      </c>
      <c r="GU1386">
        <v>2012</v>
      </c>
      <c r="GV1386">
        <v>365.97</v>
      </c>
      <c r="GW1386" t="s">
        <v>14113</v>
      </c>
      <c r="GX1386">
        <v>4.75</v>
      </c>
      <c r="GY1386" t="s">
        <v>424</v>
      </c>
      <c r="GZ1386" t="s">
        <v>425</v>
      </c>
      <c r="HA1386" s="1">
        <v>41726</v>
      </c>
      <c r="HB1386">
        <v>10</v>
      </c>
      <c r="HC1386">
        <v>10125</v>
      </c>
      <c r="HD1386" t="s">
        <v>440</v>
      </c>
      <c r="HF1386" s="1">
        <v>41052</v>
      </c>
      <c r="HG1386">
        <v>2011</v>
      </c>
      <c r="HH1386">
        <v>430.67</v>
      </c>
      <c r="HI1386" t="s">
        <v>14114</v>
      </c>
      <c r="HJ1386">
        <v>6</v>
      </c>
      <c r="HK1386" t="s">
        <v>424</v>
      </c>
      <c r="HL1386" t="s">
        <v>425</v>
      </c>
      <c r="HM1386" s="1">
        <v>41388</v>
      </c>
      <c r="HN1386">
        <v>11</v>
      </c>
      <c r="HO1386">
        <v>1109</v>
      </c>
      <c r="HP1386" t="s">
        <v>852</v>
      </c>
      <c r="HR1386" s="1">
        <v>40688</v>
      </c>
      <c r="HS1386">
        <v>2010</v>
      </c>
      <c r="HT1386">
        <v>498.96</v>
      </c>
      <c r="HU1386" t="s">
        <v>14115</v>
      </c>
      <c r="HV1386">
        <v>5.25</v>
      </c>
      <c r="HW1386" t="s">
        <v>424</v>
      </c>
      <c r="HX1386" t="s">
        <v>425</v>
      </c>
      <c r="HY1386" s="1">
        <v>41333</v>
      </c>
      <c r="HZ1386">
        <v>21</v>
      </c>
      <c r="IA1386">
        <v>443</v>
      </c>
      <c r="IB1386" t="s">
        <v>12371</v>
      </c>
    </row>
    <row r="1387" spans="1:284" x14ac:dyDescent="0.25">
      <c r="A1387">
        <v>16486394</v>
      </c>
      <c r="B1387">
        <v>1386</v>
      </c>
      <c r="C1387" t="s">
        <v>393</v>
      </c>
      <c r="D1387" t="s">
        <v>394</v>
      </c>
      <c r="F1387" t="str">
        <f>"44-2N-27-0000-0001-0090"</f>
        <v>44-2N-27-0000-0001-0090</v>
      </c>
      <c r="H1387" t="str">
        <f>"HARPER CHAPEL LLC"</f>
        <v>HARPER CHAPEL LLC</v>
      </c>
      <c r="I1387" t="str">
        <f>"PO BOX 1694"</f>
        <v>PO BOX 1694</v>
      </c>
      <c r="J1387" t="str">
        <f>"CALLAHAN FL 32011"</f>
        <v>CALLAHAN FL 32011</v>
      </c>
      <c r="K1387" t="str">
        <f>"76375 HARPER CHAPEL"</f>
        <v>76375 HARPER CHAPEL</v>
      </c>
      <c r="L1387" t="str">
        <f t="shared" si="456"/>
        <v>YULEE FL 32097</v>
      </c>
      <c r="M1387" t="str">
        <f>"PT HEIRS E WATERMAN MILL GRANT SEC 44-2N-27E IN OR 2092/639 (EX UTIL ESMT IN OR 944/25 &amp; DOT ESMT IN OR 1915/1803)"</f>
        <v>PT HEIRS E WATERMAN MILL GRANT SEC 44-2N-27E IN OR 2092/639 (EX UTIL ESMT IN OR 944/25 &amp; DOT ESMT IN OR 1915/1803)</v>
      </c>
      <c r="N1387" t="str">
        <f>""</f>
        <v/>
      </c>
      <c r="O1387" t="str">
        <f>"50861"</f>
        <v>50861</v>
      </c>
      <c r="P1387" t="str">
        <f t="shared" si="467"/>
        <v>2017</v>
      </c>
      <c r="Q1387" t="str">
        <f>""</f>
        <v/>
      </c>
      <c r="R1387" t="str">
        <f t="shared" si="477"/>
        <v>N</v>
      </c>
      <c r="S1387" t="str">
        <f>"25.96"</f>
        <v>25.96</v>
      </c>
      <c r="T1387" t="str">
        <f>"14243.94"</f>
        <v>14243.94</v>
      </c>
      <c r="U1387" t="str">
        <f>"940889.00"</f>
        <v>940889.00</v>
      </c>
      <c r="V1387" t="str">
        <f>"940889.00"</f>
        <v>940889.00</v>
      </c>
      <c r="W1387" t="str">
        <f t="shared" si="468"/>
        <v>2017</v>
      </c>
      <c r="X1387" t="str">
        <f>""</f>
        <v/>
      </c>
      <c r="Y1387" t="str">
        <f>"14703.26"</f>
        <v>14703.26</v>
      </c>
      <c r="Z1387" t="str">
        <f>""</f>
        <v/>
      </c>
      <c r="AA1387" t="str">
        <f>"940889.00"</f>
        <v>940889.00</v>
      </c>
      <c r="AB1387" t="str">
        <f>"Commercial"</f>
        <v>Commercial</v>
      </c>
      <c r="AC1387" t="str">
        <f t="shared" si="475"/>
        <v>0</v>
      </c>
      <c r="AD1387" t="str">
        <f>""</f>
        <v/>
      </c>
      <c r="AE1387" t="str">
        <f>""</f>
        <v/>
      </c>
      <c r="AF1387" t="str">
        <f>"010"</f>
        <v>010</v>
      </c>
      <c r="AG1387" t="str">
        <f t="shared" si="466"/>
        <v>FL</v>
      </c>
      <c r="AH1387" t="str">
        <f>"1130818.00"</f>
        <v>1130818.00</v>
      </c>
      <c r="AI1387" t="str">
        <f>"940889.00"</f>
        <v>940889.00</v>
      </c>
      <c r="AJ1387" t="str">
        <f>"C55-000-588-4096-8"</f>
        <v>C55-000-588-4096-8</v>
      </c>
      <c r="AK1387" t="str">
        <f>"23410"</f>
        <v>23410</v>
      </c>
      <c r="AL1387">
        <v>5</v>
      </c>
      <c r="AM1387">
        <v>1587</v>
      </c>
      <c r="AN1387">
        <v>15436.82</v>
      </c>
      <c r="AQ1387" t="s">
        <v>14116</v>
      </c>
      <c r="AR1387" t="s">
        <v>14116</v>
      </c>
      <c r="AS1387" t="s">
        <v>14116</v>
      </c>
      <c r="AU1387" t="s">
        <v>396</v>
      </c>
      <c r="AV1387">
        <v>2017</v>
      </c>
      <c r="AW1387" t="str">
        <f>"44-2N-27-0000-0001-0090 "</f>
        <v xml:space="preserve">44-2N-27-0000-0001-0090 </v>
      </c>
      <c r="AX1387">
        <v>76375</v>
      </c>
      <c r="AZ1387" t="s">
        <v>14117</v>
      </c>
      <c r="BD1387" t="s">
        <v>2387</v>
      </c>
      <c r="BE1387" t="s">
        <v>393</v>
      </c>
      <c r="BF1387">
        <v>32097</v>
      </c>
      <c r="BG1387" t="s">
        <v>14118</v>
      </c>
      <c r="BH1387" t="s">
        <v>2388</v>
      </c>
      <c r="BI1387">
        <v>-81.641976412816504</v>
      </c>
      <c r="BJ1387">
        <v>30.619934315962102</v>
      </c>
      <c r="BK1387" t="s">
        <v>14119</v>
      </c>
      <c r="BM1387" t="s">
        <v>1631</v>
      </c>
      <c r="BN1387" t="s">
        <v>928</v>
      </c>
      <c r="BO1387">
        <v>32011</v>
      </c>
      <c r="BP1387" t="s">
        <v>404</v>
      </c>
      <c r="BQ1387">
        <v>1000</v>
      </c>
      <c r="BR1387" t="s">
        <v>2391</v>
      </c>
      <c r="BS1387">
        <v>8002</v>
      </c>
      <c r="BT1387" t="s">
        <v>2392</v>
      </c>
      <c r="BW1387">
        <v>1130818</v>
      </c>
      <c r="BX1387" t="s">
        <v>407</v>
      </c>
      <c r="BY1387" t="s">
        <v>10933</v>
      </c>
      <c r="CD1387">
        <v>2017</v>
      </c>
      <c r="CE1387">
        <v>940889</v>
      </c>
      <c r="CG1387">
        <v>940889</v>
      </c>
      <c r="CH1387">
        <v>2017</v>
      </c>
      <c r="CI1387">
        <v>940889</v>
      </c>
      <c r="CK1387">
        <v>940889</v>
      </c>
      <c r="CL1387">
        <v>2017</v>
      </c>
      <c r="CM1387">
        <v>14243.94</v>
      </c>
      <c r="CN1387" s="1">
        <v>42738</v>
      </c>
      <c r="CO1387">
        <v>1100000</v>
      </c>
      <c r="CV1387">
        <v>885175</v>
      </c>
      <c r="CX1387" t="s">
        <v>675</v>
      </c>
      <c r="CZ1387" s="1">
        <v>42738</v>
      </c>
      <c r="DA1387">
        <v>0</v>
      </c>
      <c r="DD1387" t="s">
        <v>2387</v>
      </c>
      <c r="DG1387">
        <v>44</v>
      </c>
      <c r="DL1387">
        <v>50301</v>
      </c>
      <c r="DM1387" t="s">
        <v>14120</v>
      </c>
      <c r="DO1387" t="s">
        <v>14121</v>
      </c>
      <c r="DP1387">
        <v>0</v>
      </c>
      <c r="DQ1387">
        <v>6</v>
      </c>
      <c r="DR1387" t="s">
        <v>411</v>
      </c>
      <c r="EP1387" t="s">
        <v>421</v>
      </c>
      <c r="EQ1387" t="s">
        <v>452</v>
      </c>
      <c r="ER1387">
        <v>0</v>
      </c>
      <c r="ES1387">
        <v>1</v>
      </c>
      <c r="ET1387">
        <v>0</v>
      </c>
      <c r="EU1387">
        <v>0</v>
      </c>
      <c r="EV1387">
        <v>0</v>
      </c>
      <c r="EW1387" s="2">
        <v>43222</v>
      </c>
      <c r="EX1387" s="1">
        <v>40688</v>
      </c>
      <c r="EY1387">
        <v>2010</v>
      </c>
      <c r="EZ1387">
        <v>32637.88</v>
      </c>
      <c r="FA1387" t="s">
        <v>14122</v>
      </c>
      <c r="FB1387">
        <v>6.75</v>
      </c>
      <c r="FC1387" t="s">
        <v>424</v>
      </c>
      <c r="FD1387" t="s">
        <v>425</v>
      </c>
      <c r="FF1387">
        <v>22</v>
      </c>
      <c r="FG1387">
        <v>10579</v>
      </c>
      <c r="FH1387" t="s">
        <v>488</v>
      </c>
      <c r="FI1387" t="s">
        <v>458</v>
      </c>
    </row>
    <row r="1388" spans="1:284" x14ac:dyDescent="0.25">
      <c r="A1388">
        <v>16486395</v>
      </c>
      <c r="B1388">
        <v>1387</v>
      </c>
      <c r="C1388" t="s">
        <v>393</v>
      </c>
      <c r="D1388" t="s">
        <v>394</v>
      </c>
      <c r="F1388" t="str">
        <f>"44-2N-27-0000-0001-0200"</f>
        <v>44-2N-27-0000-0001-0200</v>
      </c>
      <c r="H1388" t="str">
        <f>"STRICKLAND JOHN D &amp; LINDA L"</f>
        <v>STRICKLAND JOHN D &amp; LINDA L</v>
      </c>
      <c r="I1388" t="str">
        <f>"2830 COLERAIN ROAD"</f>
        <v>2830 COLERAIN ROAD</v>
      </c>
      <c r="J1388" t="str">
        <f>"KINGSLAND GA 31548"</f>
        <v>KINGSLAND GA 31548</v>
      </c>
      <c r="K1388" t="str">
        <f>"CRANDALL RD"</f>
        <v>CRANDALL RD</v>
      </c>
      <c r="L1388" t="str">
        <f t="shared" si="456"/>
        <v>YULEE FL 32097</v>
      </c>
      <c r="M1388" t="str">
        <f>"PT E WATERMAN MILL GRANT SEC 44-2N-27E IN OR 826/1117 (EX PT IN OR 1205/1158 &amp; PT IN OR 1932/23)"</f>
        <v>PT E WATERMAN MILL GRANT SEC 44-2N-27E IN OR 826/1117 (EX PT IN OR 1205/1158 &amp; PT IN OR 1932/23)</v>
      </c>
      <c r="N1388" t="str">
        <f>""</f>
        <v/>
      </c>
      <c r="O1388" t="str">
        <f>"50871"</f>
        <v>50871</v>
      </c>
      <c r="P1388" t="str">
        <f t="shared" si="467"/>
        <v>2017</v>
      </c>
      <c r="Q1388" t="str">
        <f>""</f>
        <v/>
      </c>
      <c r="R1388" t="str">
        <f t="shared" si="477"/>
        <v>N</v>
      </c>
      <c r="S1388" t="str">
        <f>"0.35"</f>
        <v>0.35</v>
      </c>
      <c r="T1388" t="str">
        <f>"132.46"</f>
        <v>132.46</v>
      </c>
      <c r="U1388" t="str">
        <f>"8750.00"</f>
        <v>8750.00</v>
      </c>
      <c r="V1388" t="str">
        <f>"8750.00"</f>
        <v>8750.00</v>
      </c>
      <c r="W1388" t="str">
        <f t="shared" si="468"/>
        <v>2017</v>
      </c>
      <c r="X1388" t="str">
        <f>"22.00"</f>
        <v>22.00</v>
      </c>
      <c r="Y1388" t="str">
        <f>"168.43"</f>
        <v>168.43</v>
      </c>
      <c r="Z1388" t="str">
        <f>""</f>
        <v/>
      </c>
      <c r="AA1388" t="str">
        <f>"8750.00"</f>
        <v>8750.00</v>
      </c>
      <c r="AB1388" t="str">
        <f t="shared" ref="AB1388:AB1406" si="478">"Residential"</f>
        <v>Residential</v>
      </c>
      <c r="AC1388" t="str">
        <f t="shared" si="475"/>
        <v>0</v>
      </c>
      <c r="AD1388" t="str">
        <f>""</f>
        <v/>
      </c>
      <c r="AE1388" t="str">
        <f>""</f>
        <v/>
      </c>
      <c r="AF1388" t="str">
        <f>"000"</f>
        <v>000</v>
      </c>
      <c r="AG1388" t="str">
        <f>"GA"</f>
        <v>GA</v>
      </c>
      <c r="AH1388" t="str">
        <f>"15246.00"</f>
        <v>15246.00</v>
      </c>
      <c r="AI1388" t="str">
        <f>"8750.00"</f>
        <v>8750.00</v>
      </c>
      <c r="AJ1388" t="str">
        <f>"C55-000-588-4105-7"</f>
        <v>C55-000-588-4105-7</v>
      </c>
      <c r="AK1388" t="str">
        <f>"23419"</f>
        <v>23419</v>
      </c>
      <c r="AL1388">
        <v>5</v>
      </c>
      <c r="AM1388">
        <v>1588</v>
      </c>
      <c r="AN1388">
        <v>175.25</v>
      </c>
      <c r="AQ1388" t="s">
        <v>14123</v>
      </c>
      <c r="AR1388" t="s">
        <v>14123</v>
      </c>
      <c r="AS1388" t="s">
        <v>14123</v>
      </c>
      <c r="AU1388" t="s">
        <v>396</v>
      </c>
      <c r="AV1388">
        <v>2017</v>
      </c>
      <c r="AW1388" t="str">
        <f>"44-2N-27-0000-0001-0200 "</f>
        <v xml:space="preserve">44-2N-27-0000-0001-0200 </v>
      </c>
      <c r="AZ1388" t="s">
        <v>14124</v>
      </c>
      <c r="BA1388" t="s">
        <v>496</v>
      </c>
      <c r="BD1388" t="s">
        <v>2387</v>
      </c>
      <c r="BE1388" t="s">
        <v>393</v>
      </c>
      <c r="BF1388">
        <v>32097</v>
      </c>
      <c r="BG1388" t="s">
        <v>14125</v>
      </c>
      <c r="BH1388" t="s">
        <v>2388</v>
      </c>
      <c r="BI1388">
        <v>-81.612817956990796</v>
      </c>
      <c r="BJ1388">
        <v>30.630402499764902</v>
      </c>
      <c r="BK1388" t="s">
        <v>14126</v>
      </c>
      <c r="BL1388" t="s">
        <v>14127</v>
      </c>
      <c r="BM1388" t="s">
        <v>14128</v>
      </c>
      <c r="BN1388" t="s">
        <v>11143</v>
      </c>
      <c r="BO1388">
        <v>31548</v>
      </c>
      <c r="BP1388" t="s">
        <v>404</v>
      </c>
      <c r="BQ1388">
        <v>0</v>
      </c>
      <c r="BR1388" t="s">
        <v>491</v>
      </c>
      <c r="BS1388">
        <v>8001</v>
      </c>
      <c r="BT1388" t="s">
        <v>492</v>
      </c>
      <c r="BW1388">
        <v>15246</v>
      </c>
      <c r="BX1388" t="s">
        <v>407</v>
      </c>
      <c r="CD1388">
        <v>2017</v>
      </c>
      <c r="CE1388">
        <v>8750</v>
      </c>
      <c r="CG1388">
        <v>8750</v>
      </c>
      <c r="CH1388">
        <v>2017</v>
      </c>
      <c r="CI1388">
        <v>8750</v>
      </c>
      <c r="CK1388">
        <v>8750</v>
      </c>
      <c r="CL1388">
        <v>2017</v>
      </c>
      <c r="CM1388">
        <v>132.46</v>
      </c>
      <c r="CN1388" s="1">
        <v>38020</v>
      </c>
      <c r="CO1388">
        <v>96500</v>
      </c>
      <c r="CV1388">
        <v>91675</v>
      </c>
      <c r="CX1388" t="s">
        <v>675</v>
      </c>
      <c r="CZ1388" s="1">
        <v>38020</v>
      </c>
      <c r="DA1388">
        <v>0</v>
      </c>
      <c r="DD1388" t="s">
        <v>2387</v>
      </c>
      <c r="DG1388">
        <v>44</v>
      </c>
      <c r="DL1388">
        <v>50301</v>
      </c>
      <c r="DM1388" t="s">
        <v>14120</v>
      </c>
      <c r="DO1388" t="s">
        <v>14129</v>
      </c>
      <c r="DP1388">
        <v>0</v>
      </c>
      <c r="DQ1388">
        <v>0</v>
      </c>
      <c r="DR1388" t="s">
        <v>411</v>
      </c>
      <c r="DS1388" t="b">
        <v>1</v>
      </c>
      <c r="DT1388" t="s">
        <v>470</v>
      </c>
      <c r="DU1388" t="s">
        <v>471</v>
      </c>
      <c r="DV1388" t="s">
        <v>472</v>
      </c>
      <c r="DX1388">
        <v>-9999</v>
      </c>
      <c r="DZ1388" t="s">
        <v>447</v>
      </c>
      <c r="EA1388" t="s">
        <v>448</v>
      </c>
      <c r="EB1388" t="s">
        <v>742</v>
      </c>
      <c r="EC1388">
        <v>20101217</v>
      </c>
      <c r="ED1388" t="s">
        <v>474</v>
      </c>
      <c r="EF1388">
        <v>-9999</v>
      </c>
      <c r="EG1388">
        <v>12000.3</v>
      </c>
      <c r="EI1388">
        <v>20160407</v>
      </c>
      <c r="EJ1388">
        <v>0</v>
      </c>
      <c r="EK1388">
        <v>0</v>
      </c>
      <c r="EP1388" t="s">
        <v>595</v>
      </c>
      <c r="EQ1388" t="s">
        <v>422</v>
      </c>
      <c r="ER1388">
        <v>8</v>
      </c>
      <c r="ES1388">
        <v>0</v>
      </c>
      <c r="ET1388">
        <v>1472.23</v>
      </c>
      <c r="EU1388">
        <v>1105.31</v>
      </c>
      <c r="EV1388">
        <v>2577.54</v>
      </c>
      <c r="EW1388" s="2">
        <v>43222</v>
      </c>
      <c r="EX1388" s="1">
        <v>42879</v>
      </c>
      <c r="EY1388">
        <v>2016</v>
      </c>
      <c r="EZ1388">
        <v>172.27</v>
      </c>
      <c r="FA1388" t="s">
        <v>14130</v>
      </c>
      <c r="FB1388">
        <v>18</v>
      </c>
      <c r="FC1388" t="s">
        <v>424</v>
      </c>
      <c r="FD1388" t="s">
        <v>454</v>
      </c>
      <c r="FF1388">
        <v>12</v>
      </c>
      <c r="FG1388">
        <v>7685287</v>
      </c>
      <c r="FH1388" t="s">
        <v>6806</v>
      </c>
      <c r="FJ1388" s="1">
        <v>42515</v>
      </c>
      <c r="FK1388">
        <v>2015</v>
      </c>
      <c r="FL1388">
        <v>170.81</v>
      </c>
      <c r="FM1388" t="s">
        <v>14131</v>
      </c>
      <c r="FN1388">
        <v>18</v>
      </c>
      <c r="FO1388" t="s">
        <v>603</v>
      </c>
      <c r="FP1388" t="s">
        <v>454</v>
      </c>
      <c r="FR1388">
        <v>24</v>
      </c>
      <c r="FS1388">
        <v>9999999</v>
      </c>
      <c r="FT1388" t="s">
        <v>604</v>
      </c>
      <c r="FV1388" s="1">
        <v>42151</v>
      </c>
      <c r="FW1388">
        <v>2014</v>
      </c>
      <c r="FX1388">
        <v>171.56</v>
      </c>
      <c r="FY1388" t="s">
        <v>14132</v>
      </c>
      <c r="FZ1388">
        <v>18</v>
      </c>
      <c r="GA1388" t="s">
        <v>424</v>
      </c>
      <c r="GB1388" t="s">
        <v>454</v>
      </c>
      <c r="GD1388">
        <v>36</v>
      </c>
      <c r="GE1388">
        <v>10125</v>
      </c>
      <c r="GF1388" t="s">
        <v>440</v>
      </c>
      <c r="GH1388" s="1">
        <v>41787</v>
      </c>
      <c r="GI1388">
        <v>2013</v>
      </c>
      <c r="GJ1388">
        <v>163.56</v>
      </c>
      <c r="GK1388" t="s">
        <v>14133</v>
      </c>
      <c r="GL1388">
        <v>16.5</v>
      </c>
      <c r="GM1388" t="s">
        <v>424</v>
      </c>
      <c r="GN1388" t="s">
        <v>454</v>
      </c>
      <c r="GP1388">
        <v>48</v>
      </c>
      <c r="GQ1388">
        <v>10125</v>
      </c>
      <c r="GR1388" t="s">
        <v>440</v>
      </c>
      <c r="GT1388" s="1">
        <v>41423</v>
      </c>
      <c r="GU1388">
        <v>2012</v>
      </c>
      <c r="GV1388">
        <v>165.33</v>
      </c>
      <c r="GW1388" t="s">
        <v>14134</v>
      </c>
      <c r="GX1388">
        <v>17</v>
      </c>
      <c r="GY1388" t="s">
        <v>424</v>
      </c>
      <c r="GZ1388" t="s">
        <v>454</v>
      </c>
      <c r="HB1388">
        <v>60</v>
      </c>
      <c r="HC1388">
        <v>10125</v>
      </c>
      <c r="HD1388" t="s">
        <v>440</v>
      </c>
      <c r="HF1388" s="1">
        <v>41052</v>
      </c>
      <c r="HG1388">
        <v>2011</v>
      </c>
      <c r="HH1388">
        <v>200.91</v>
      </c>
      <c r="HI1388" t="s">
        <v>14135</v>
      </c>
      <c r="HJ1388">
        <v>18</v>
      </c>
      <c r="HK1388" t="s">
        <v>424</v>
      </c>
      <c r="HL1388" t="s">
        <v>454</v>
      </c>
      <c r="HN1388">
        <v>72</v>
      </c>
      <c r="HO1388">
        <v>14864</v>
      </c>
      <c r="HP1388" t="s">
        <v>14136</v>
      </c>
      <c r="HR1388" s="1">
        <v>41052</v>
      </c>
      <c r="HS1388">
        <v>2011</v>
      </c>
      <c r="HT1388">
        <v>188.99</v>
      </c>
      <c r="HU1388" t="s">
        <v>14135</v>
      </c>
      <c r="HV1388">
        <v>18</v>
      </c>
      <c r="HW1388" t="s">
        <v>603</v>
      </c>
      <c r="HX1388" t="s">
        <v>454</v>
      </c>
      <c r="HZ1388">
        <v>72</v>
      </c>
      <c r="IA1388">
        <v>9999999</v>
      </c>
      <c r="IB1388" t="s">
        <v>604</v>
      </c>
      <c r="ID1388" s="1">
        <v>40688</v>
      </c>
      <c r="IE1388">
        <v>2010</v>
      </c>
      <c r="IF1388">
        <v>238.8</v>
      </c>
      <c r="IG1388" t="s">
        <v>14137</v>
      </c>
      <c r="IH1388">
        <v>12</v>
      </c>
      <c r="II1388" t="s">
        <v>424</v>
      </c>
      <c r="IJ1388" t="s">
        <v>454</v>
      </c>
      <c r="IL1388">
        <v>84</v>
      </c>
      <c r="IM1388">
        <v>10125</v>
      </c>
      <c r="IN1388" t="s">
        <v>440</v>
      </c>
    </row>
    <row r="1389" spans="1:284" x14ac:dyDescent="0.25">
      <c r="A1389">
        <v>16486396</v>
      </c>
      <c r="B1389">
        <v>1388</v>
      </c>
      <c r="C1389" t="s">
        <v>393</v>
      </c>
      <c r="D1389" t="s">
        <v>394</v>
      </c>
      <c r="F1389" t="str">
        <f>"44-2N-27-0000-0010-0000"</f>
        <v>44-2N-27-0000-0010-0000</v>
      </c>
      <c r="H1389" t="str">
        <f>"GILYARD ELIZABETH EST C/O ELIZABETH P DENNISON"</f>
        <v>GILYARD ELIZABETH EST C/O ELIZABETH P DENNISON</v>
      </c>
      <c r="I1389" t="str">
        <f>"462974 SR 200"</f>
        <v>462974 SR 200</v>
      </c>
      <c r="J1389" t="str">
        <f>"YULEE FL 32097"</f>
        <v>YULEE FL 32097</v>
      </c>
      <c r="K1389" t="str">
        <f>"462974 SR 200"</f>
        <v>462974 SR 200</v>
      </c>
      <c r="L1389" t="str">
        <f t="shared" si="456"/>
        <v>YULEE FL 32097</v>
      </c>
      <c r="M1389" t="str">
        <f>"PT OF HEIRS OF E WATERMAN GRANT SEC 44-2N-27E IN OR 10/206 (EX R/W IN OR 138/46) FRANK C POWELL JR PLAT UNR"</f>
        <v>PT OF HEIRS OF E WATERMAN GRANT SEC 44-2N-27E IN OR 10/206 (EX R/W IN OR 138/46) FRANK C POWELL JR PLAT UNR</v>
      </c>
      <c r="N1389" t="str">
        <f>""</f>
        <v/>
      </c>
      <c r="O1389" t="str">
        <f>"50898"</f>
        <v>50898</v>
      </c>
      <c r="P1389" t="str">
        <f t="shared" si="467"/>
        <v>2017</v>
      </c>
      <c r="Q1389" t="str">
        <f>""</f>
        <v/>
      </c>
      <c r="R1389" t="str">
        <f t="shared" si="477"/>
        <v>N</v>
      </c>
      <c r="S1389" t="str">
        <f>""</f>
        <v/>
      </c>
      <c r="T1389" t="str">
        <f>"793.65"</f>
        <v>793.65</v>
      </c>
      <c r="U1389" t="str">
        <f>"52425.00"</f>
        <v>52425.00</v>
      </c>
      <c r="V1389" t="str">
        <f>"52425.00"</f>
        <v>52425.00</v>
      </c>
      <c r="W1389" t="str">
        <f t="shared" si="468"/>
        <v>2017</v>
      </c>
      <c r="X1389" t="str">
        <f>"17.00"</f>
        <v>17.00</v>
      </c>
      <c r="Y1389" t="str">
        <f>"849.46"</f>
        <v>849.46</v>
      </c>
      <c r="Z1389" t="str">
        <f>""</f>
        <v/>
      </c>
      <c r="AA1389" t="str">
        <f>"52425.00"</f>
        <v>52425.00</v>
      </c>
      <c r="AB1389" t="str">
        <f t="shared" si="478"/>
        <v>Residential</v>
      </c>
      <c r="AC1389" t="str">
        <f t="shared" si="475"/>
        <v>0</v>
      </c>
      <c r="AD1389" t="str">
        <f>"4"</f>
        <v>4</v>
      </c>
      <c r="AE1389" t="str">
        <f>"WOOD (INCLUDE STEEL STUDS)"</f>
        <v>WOOD (INCLUDE STEEL STUDS)</v>
      </c>
      <c r="AF1389" t="str">
        <f>"001"</f>
        <v>001</v>
      </c>
      <c r="AG1389" t="str">
        <f t="shared" ref="AG1389:AG1406" si="479">"FL"</f>
        <v>FL</v>
      </c>
      <c r="AH1389" t="str">
        <f t="shared" ref="AH1389:AH1395" si="480">"-"</f>
        <v>-</v>
      </c>
      <c r="AI1389" t="str">
        <f>"24000.00"</f>
        <v>24000.00</v>
      </c>
      <c r="AJ1389" t="str">
        <f>"C55-000-588-4123-0"</f>
        <v>C55-000-588-4123-0</v>
      </c>
      <c r="AK1389" t="str">
        <f>"23448"</f>
        <v>23448</v>
      </c>
      <c r="AL1389">
        <v>5</v>
      </c>
      <c r="AM1389">
        <v>1589</v>
      </c>
      <c r="AN1389">
        <v>890.33</v>
      </c>
      <c r="AQ1389" t="s">
        <v>14138</v>
      </c>
      <c r="AR1389" t="s">
        <v>14138</v>
      </c>
      <c r="AS1389" t="s">
        <v>14138</v>
      </c>
      <c r="AU1389" t="s">
        <v>396</v>
      </c>
      <c r="AV1389">
        <v>2017</v>
      </c>
      <c r="AW1389" t="str">
        <f>"44-2N-27-0000-0010-0000 "</f>
        <v xml:space="preserve">44-2N-27-0000-0010-0000 </v>
      </c>
      <c r="AX1389">
        <v>462974</v>
      </c>
      <c r="AZ1389" t="s">
        <v>8071</v>
      </c>
      <c r="BD1389" t="s">
        <v>2387</v>
      </c>
      <c r="BE1389" t="s">
        <v>393</v>
      </c>
      <c r="BF1389">
        <v>32097</v>
      </c>
      <c r="BG1389" t="s">
        <v>14139</v>
      </c>
      <c r="BH1389" t="s">
        <v>2388</v>
      </c>
      <c r="BI1389">
        <v>-81.614835641416406</v>
      </c>
      <c r="BJ1389">
        <v>30.628256872680101</v>
      </c>
      <c r="BK1389" t="s">
        <v>12571</v>
      </c>
      <c r="BM1389" t="s">
        <v>12572</v>
      </c>
      <c r="BN1389" t="s">
        <v>1778</v>
      </c>
      <c r="BO1389">
        <v>32097</v>
      </c>
      <c r="BP1389" t="s">
        <v>416</v>
      </c>
      <c r="BQ1389">
        <v>100</v>
      </c>
      <c r="BR1389" t="s">
        <v>514</v>
      </c>
      <c r="BS1389">
        <v>1001</v>
      </c>
      <c r="BT1389" t="s">
        <v>515</v>
      </c>
      <c r="BU1389">
        <v>1950</v>
      </c>
      <c r="BV1389">
        <v>1100</v>
      </c>
      <c r="BW1389">
        <v>22780</v>
      </c>
      <c r="BX1389" t="s">
        <v>407</v>
      </c>
      <c r="BY1389" t="s">
        <v>4360</v>
      </c>
      <c r="BZ1389">
        <v>4</v>
      </c>
      <c r="CA1389">
        <v>1940</v>
      </c>
      <c r="CB1389">
        <v>1</v>
      </c>
      <c r="CC1389">
        <v>1</v>
      </c>
      <c r="CD1389">
        <v>2017</v>
      </c>
      <c r="CE1389">
        <v>24000</v>
      </c>
      <c r="CF1389">
        <v>28425</v>
      </c>
      <c r="CG1389">
        <v>52425</v>
      </c>
      <c r="CH1389">
        <v>2017</v>
      </c>
      <c r="CI1389">
        <v>24000</v>
      </c>
      <c r="CJ1389">
        <v>28425</v>
      </c>
      <c r="CK1389">
        <v>52425</v>
      </c>
      <c r="CL1389">
        <v>2017</v>
      </c>
      <c r="CM1389">
        <v>793.65</v>
      </c>
      <c r="CN1389" s="1">
        <v>21858</v>
      </c>
      <c r="CO1389">
        <v>500</v>
      </c>
      <c r="CZ1389" s="1">
        <v>21858</v>
      </c>
      <c r="DD1389" t="s">
        <v>2387</v>
      </c>
      <c r="DG1389">
        <v>44</v>
      </c>
      <c r="DL1389">
        <v>50302</v>
      </c>
      <c r="DM1389" t="s">
        <v>14120</v>
      </c>
      <c r="DO1389" t="s">
        <v>14140</v>
      </c>
      <c r="DP1389">
        <v>0</v>
      </c>
      <c r="DQ1389">
        <v>1</v>
      </c>
      <c r="DR1389" t="s">
        <v>1479</v>
      </c>
      <c r="DS1389" t="b">
        <v>1</v>
      </c>
      <c r="DT1389" t="s">
        <v>470</v>
      </c>
      <c r="DU1389" t="s">
        <v>471</v>
      </c>
      <c r="DV1389" t="s">
        <v>472</v>
      </c>
      <c r="DX1389">
        <v>-9999</v>
      </c>
      <c r="DZ1389" t="s">
        <v>447</v>
      </c>
      <c r="EA1389" t="s">
        <v>448</v>
      </c>
      <c r="EB1389" t="s">
        <v>742</v>
      </c>
      <c r="EC1389">
        <v>20101217</v>
      </c>
      <c r="ED1389" t="s">
        <v>474</v>
      </c>
      <c r="EF1389">
        <v>-9999</v>
      </c>
      <c r="EG1389">
        <v>-9999</v>
      </c>
      <c r="EI1389">
        <v>20160407</v>
      </c>
      <c r="EJ1389">
        <v>0</v>
      </c>
      <c r="EK1389">
        <v>0</v>
      </c>
      <c r="EP1389" t="s">
        <v>595</v>
      </c>
      <c r="EQ1389" t="s">
        <v>422</v>
      </c>
      <c r="ER1389">
        <v>7</v>
      </c>
      <c r="ES1389">
        <v>4</v>
      </c>
      <c r="ET1389">
        <v>6572.24</v>
      </c>
      <c r="EU1389">
        <v>372.36</v>
      </c>
      <c r="EV1389">
        <v>6944.6</v>
      </c>
      <c r="EW1389" s="2">
        <v>43222</v>
      </c>
      <c r="EX1389" s="1">
        <v>42879</v>
      </c>
      <c r="EY1389">
        <v>2016</v>
      </c>
      <c r="EZ1389">
        <v>881.05</v>
      </c>
      <c r="FA1389" t="s">
        <v>14141</v>
      </c>
      <c r="FB1389">
        <v>0.25</v>
      </c>
      <c r="FC1389" t="s">
        <v>424</v>
      </c>
      <c r="FD1389" t="s">
        <v>454</v>
      </c>
      <c r="FF1389">
        <v>12</v>
      </c>
      <c r="FG1389">
        <v>7400234</v>
      </c>
      <c r="FH1389" t="s">
        <v>426</v>
      </c>
      <c r="FJ1389" s="1">
        <v>42879</v>
      </c>
      <c r="FK1389">
        <v>2016</v>
      </c>
      <c r="FL1389">
        <v>881.05</v>
      </c>
      <c r="FM1389" t="s">
        <v>14141</v>
      </c>
      <c r="FN1389">
        <v>0.25</v>
      </c>
      <c r="FO1389" t="s">
        <v>424</v>
      </c>
      <c r="FP1389" t="s">
        <v>454</v>
      </c>
      <c r="FR1389">
        <v>12</v>
      </c>
      <c r="FS1389">
        <v>7547313</v>
      </c>
      <c r="FT1389" t="s">
        <v>14142</v>
      </c>
      <c r="FV1389" s="1">
        <v>42515</v>
      </c>
      <c r="FW1389">
        <v>2015</v>
      </c>
      <c r="FX1389">
        <v>971.76</v>
      </c>
      <c r="FY1389" t="s">
        <v>14143</v>
      </c>
      <c r="FZ1389">
        <v>0.25</v>
      </c>
      <c r="GA1389" t="s">
        <v>424</v>
      </c>
      <c r="GB1389" t="s">
        <v>454</v>
      </c>
      <c r="GD1389">
        <v>24</v>
      </c>
      <c r="GE1389">
        <v>2851116</v>
      </c>
      <c r="GF1389" t="s">
        <v>480</v>
      </c>
      <c r="GH1389" s="1">
        <v>42515</v>
      </c>
      <c r="GI1389">
        <v>2015</v>
      </c>
      <c r="GJ1389">
        <v>971.76</v>
      </c>
      <c r="GK1389" t="s">
        <v>14143</v>
      </c>
      <c r="GL1389">
        <v>0.25</v>
      </c>
      <c r="GM1389" t="s">
        <v>424</v>
      </c>
      <c r="GN1389" t="s">
        <v>454</v>
      </c>
      <c r="GP1389">
        <v>24</v>
      </c>
      <c r="GQ1389">
        <v>4953118</v>
      </c>
      <c r="GR1389" t="s">
        <v>14144</v>
      </c>
      <c r="GT1389" s="1">
        <v>42151</v>
      </c>
      <c r="GU1389">
        <v>2014</v>
      </c>
      <c r="GV1389">
        <v>955.54</v>
      </c>
      <c r="GW1389" t="s">
        <v>14145</v>
      </c>
      <c r="GX1389">
        <v>0.25</v>
      </c>
      <c r="GY1389" t="s">
        <v>424</v>
      </c>
      <c r="GZ1389" t="s">
        <v>454</v>
      </c>
      <c r="HB1389">
        <v>36</v>
      </c>
      <c r="HC1389">
        <v>2851116</v>
      </c>
      <c r="HD1389" t="s">
        <v>480</v>
      </c>
      <c r="HF1389" s="1">
        <v>42151</v>
      </c>
      <c r="HG1389">
        <v>2014</v>
      </c>
      <c r="HH1389">
        <v>955.54</v>
      </c>
      <c r="HI1389" t="s">
        <v>14145</v>
      </c>
      <c r="HJ1389">
        <v>0.25</v>
      </c>
      <c r="HK1389" t="s">
        <v>424</v>
      </c>
      <c r="HL1389" t="s">
        <v>454</v>
      </c>
      <c r="HN1389">
        <v>36</v>
      </c>
      <c r="HO1389">
        <v>5337320</v>
      </c>
      <c r="HP1389" t="s">
        <v>14146</v>
      </c>
      <c r="HR1389" s="1">
        <v>42151</v>
      </c>
      <c r="HS1389">
        <v>2014</v>
      </c>
      <c r="HT1389">
        <v>955.54</v>
      </c>
      <c r="HU1389" t="s">
        <v>14145</v>
      </c>
      <c r="HV1389">
        <v>0.25</v>
      </c>
      <c r="HW1389" t="s">
        <v>424</v>
      </c>
      <c r="HX1389" t="s">
        <v>454</v>
      </c>
      <c r="HZ1389">
        <v>36</v>
      </c>
      <c r="IA1389">
        <v>7336670</v>
      </c>
      <c r="IB1389" t="s">
        <v>2102</v>
      </c>
      <c r="ID1389" s="1">
        <v>41787</v>
      </c>
      <c r="IE1389">
        <v>2013</v>
      </c>
      <c r="IF1389">
        <v>204.5</v>
      </c>
      <c r="IG1389" t="s">
        <v>14147</v>
      </c>
      <c r="IH1389">
        <v>18</v>
      </c>
      <c r="II1389" t="s">
        <v>603</v>
      </c>
      <c r="IJ1389" t="s">
        <v>425</v>
      </c>
      <c r="IK1389" s="1">
        <v>42104</v>
      </c>
      <c r="IL1389">
        <v>11</v>
      </c>
      <c r="IM1389">
        <v>9999999</v>
      </c>
      <c r="IN1389" t="s">
        <v>604</v>
      </c>
      <c r="IP1389" s="1">
        <v>41423</v>
      </c>
      <c r="IQ1389">
        <v>2012</v>
      </c>
      <c r="IR1389">
        <v>197.83</v>
      </c>
      <c r="IS1389" t="s">
        <v>14148</v>
      </c>
      <c r="IT1389">
        <v>18</v>
      </c>
      <c r="IU1389" t="s">
        <v>603</v>
      </c>
      <c r="IV1389" t="s">
        <v>425</v>
      </c>
      <c r="IX1389">
        <v>22</v>
      </c>
      <c r="IY1389">
        <v>9999999</v>
      </c>
      <c r="IZ1389" t="s">
        <v>604</v>
      </c>
      <c r="JB1389" s="1">
        <v>41423</v>
      </c>
      <c r="JC1389">
        <v>2012</v>
      </c>
      <c r="JD1389">
        <v>266.39999999999998</v>
      </c>
      <c r="JE1389" t="s">
        <v>14148</v>
      </c>
      <c r="JF1389">
        <v>18</v>
      </c>
      <c r="JG1389" t="s">
        <v>424</v>
      </c>
      <c r="JH1389" t="s">
        <v>425</v>
      </c>
      <c r="JI1389" s="1">
        <v>42104</v>
      </c>
      <c r="JJ1389">
        <v>23</v>
      </c>
      <c r="JK1389">
        <v>4844964</v>
      </c>
      <c r="JL1389" t="s">
        <v>1788</v>
      </c>
      <c r="JN1389" s="1">
        <v>41052</v>
      </c>
      <c r="JO1389">
        <v>2011</v>
      </c>
      <c r="JP1389">
        <v>177.25</v>
      </c>
      <c r="JQ1389" t="s">
        <v>14149</v>
      </c>
      <c r="JR1389">
        <v>18</v>
      </c>
      <c r="JS1389" t="s">
        <v>603</v>
      </c>
      <c r="JT1389" t="s">
        <v>425</v>
      </c>
      <c r="JU1389" s="1">
        <v>41729</v>
      </c>
      <c r="JV1389">
        <v>22</v>
      </c>
      <c r="JW1389">
        <v>9999999</v>
      </c>
      <c r="JX1389" t="s">
        <v>604</v>
      </c>
    </row>
    <row r="1390" spans="1:284" x14ac:dyDescent="0.25">
      <c r="A1390">
        <v>16486397</v>
      </c>
      <c r="B1390">
        <v>1389</v>
      </c>
      <c r="C1390" t="s">
        <v>393</v>
      </c>
      <c r="D1390" t="s">
        <v>394</v>
      </c>
      <c r="F1390" t="str">
        <f>"37-3N-27-0135-0007-0000"</f>
        <v>37-3N-27-0135-0007-0000</v>
      </c>
      <c r="H1390" t="str">
        <f t="shared" ref="H1390:H1395" si="481">"BELLS RIVER SIX LLC"</f>
        <v>BELLS RIVER SIX LLC</v>
      </c>
      <c r="I1390" t="str">
        <f t="shared" ref="I1390:I1395" si="482">"2712 W JETTON AVE"</f>
        <v>2712 W JETTON AVE</v>
      </c>
      <c r="J1390" t="str">
        <f t="shared" ref="J1390:J1395" si="483">"TAMPA FL 33629"</f>
        <v>TAMPA FL 33629</v>
      </c>
      <c r="K1390" t="str">
        <f>"87259 LENTS RD"</f>
        <v>87259 LENTS RD</v>
      </c>
      <c r="L1390" t="str">
        <f t="shared" si="456"/>
        <v>YULEE FL 32097</v>
      </c>
      <c r="M1390" t="str">
        <f>"LOT 7 IN OR 2110/630 BELLS RIVER EST 2 PB 7/31"</f>
        <v>LOT 7 IN OR 2110/630 BELLS RIVER EST 2 PB 7/31</v>
      </c>
      <c r="N1390" t="str">
        <f>""</f>
        <v/>
      </c>
      <c r="O1390" t="str">
        <f>"44131"</f>
        <v>44131</v>
      </c>
      <c r="P1390" t="str">
        <f t="shared" si="467"/>
        <v>2017</v>
      </c>
      <c r="Q1390" t="str">
        <f>""</f>
        <v/>
      </c>
      <c r="R1390" t="str">
        <f t="shared" si="477"/>
        <v>N</v>
      </c>
      <c r="S1390" t="str">
        <f>""</f>
        <v/>
      </c>
      <c r="T1390" t="str">
        <f t="shared" ref="T1390:T1395" si="484">"151.38"</f>
        <v>151.38</v>
      </c>
      <c r="U1390" t="str">
        <f t="shared" ref="U1390:V1395" si="485">"10000.00"</f>
        <v>10000.00</v>
      </c>
      <c r="V1390" t="str">
        <f t="shared" si="485"/>
        <v>10000.00</v>
      </c>
      <c r="W1390" t="str">
        <f t="shared" si="468"/>
        <v>2017</v>
      </c>
      <c r="X1390" t="str">
        <f t="shared" ref="X1390:X1395" si="486">"14.00"</f>
        <v>14.00</v>
      </c>
      <c r="Y1390" t="str">
        <f t="shared" ref="Y1390:Y1395" si="487">"187.92"</f>
        <v>187.92</v>
      </c>
      <c r="Z1390" t="str">
        <f>""</f>
        <v/>
      </c>
      <c r="AA1390" t="str">
        <f t="shared" ref="AA1390:AA1395" si="488">"10000.00"</f>
        <v>10000.00</v>
      </c>
      <c r="AB1390" t="str">
        <f t="shared" si="478"/>
        <v>Residential</v>
      </c>
      <c r="AC1390" t="str">
        <f t="shared" si="475"/>
        <v>0</v>
      </c>
      <c r="AD1390" t="str">
        <f>""</f>
        <v/>
      </c>
      <c r="AE1390" t="str">
        <f>""</f>
        <v/>
      </c>
      <c r="AF1390" t="str">
        <f t="shared" ref="AF1390:AF1396" si="489">"000"</f>
        <v>000</v>
      </c>
      <c r="AG1390" t="str">
        <f t="shared" si="479"/>
        <v>FL</v>
      </c>
      <c r="AH1390" t="str">
        <f t="shared" si="480"/>
        <v>-</v>
      </c>
      <c r="AI1390" t="str">
        <f t="shared" ref="AI1390:AI1395" si="490">"10000.00"</f>
        <v>10000.00</v>
      </c>
      <c r="AJ1390" t="str">
        <f>"C55-000-589-1028-2"</f>
        <v>C55-000-589-1028-2</v>
      </c>
      <c r="AK1390" t="str">
        <f>"23539"</f>
        <v>23539</v>
      </c>
      <c r="AL1390">
        <v>5</v>
      </c>
      <c r="AM1390">
        <v>1590</v>
      </c>
      <c r="AN1390">
        <v>195.72</v>
      </c>
      <c r="AQ1390" t="s">
        <v>14150</v>
      </c>
      <c r="AR1390" t="s">
        <v>14150</v>
      </c>
      <c r="AS1390" t="s">
        <v>14150</v>
      </c>
      <c r="AU1390" t="s">
        <v>396</v>
      </c>
      <c r="AV1390">
        <v>2017</v>
      </c>
      <c r="AW1390" t="str">
        <f>"37-3N-27-0135-0007-0000 "</f>
        <v xml:space="preserve">37-3N-27-0135-0007-0000 </v>
      </c>
      <c r="AX1390">
        <v>87259</v>
      </c>
      <c r="AZ1390" t="s">
        <v>14151</v>
      </c>
      <c r="BA1390" t="s">
        <v>496</v>
      </c>
      <c r="BD1390" t="s">
        <v>2387</v>
      </c>
      <c r="BE1390" t="s">
        <v>393</v>
      </c>
      <c r="BF1390">
        <v>32097</v>
      </c>
      <c r="BG1390" t="s">
        <v>14152</v>
      </c>
      <c r="BH1390" t="s">
        <v>2388</v>
      </c>
      <c r="BI1390">
        <v>-81.552294597636205</v>
      </c>
      <c r="BJ1390">
        <v>30.679610814659799</v>
      </c>
      <c r="BK1390" t="s">
        <v>14153</v>
      </c>
      <c r="BM1390" t="s">
        <v>14154</v>
      </c>
      <c r="BN1390" t="s">
        <v>1971</v>
      </c>
      <c r="BO1390">
        <v>33629</v>
      </c>
      <c r="BP1390" t="s">
        <v>404</v>
      </c>
      <c r="BQ1390">
        <v>0</v>
      </c>
      <c r="BR1390" t="s">
        <v>491</v>
      </c>
      <c r="BS1390">
        <v>8001</v>
      </c>
      <c r="BT1390" t="s">
        <v>492</v>
      </c>
      <c r="BW1390">
        <v>4907</v>
      </c>
      <c r="BX1390" t="s">
        <v>407</v>
      </c>
      <c r="BY1390" t="s">
        <v>3019</v>
      </c>
      <c r="CD1390">
        <v>2017</v>
      </c>
      <c r="CE1390">
        <v>10000</v>
      </c>
      <c r="CG1390">
        <v>10000</v>
      </c>
      <c r="CH1390">
        <v>2017</v>
      </c>
      <c r="CI1390">
        <v>10000</v>
      </c>
      <c r="CK1390">
        <v>10000</v>
      </c>
      <c r="CL1390">
        <v>2017</v>
      </c>
      <c r="CM1390">
        <v>151.38</v>
      </c>
      <c r="CN1390" s="1">
        <v>38344</v>
      </c>
      <c r="CO1390">
        <v>300000</v>
      </c>
      <c r="CZ1390" s="1">
        <v>38344</v>
      </c>
      <c r="DD1390" t="s">
        <v>2387</v>
      </c>
      <c r="DF1390">
        <v>7</v>
      </c>
      <c r="DG1390">
        <v>37</v>
      </c>
      <c r="DJ1390" t="s">
        <v>14155</v>
      </c>
      <c r="DL1390">
        <v>50301</v>
      </c>
      <c r="DM1390" t="s">
        <v>14156</v>
      </c>
      <c r="DO1390" t="s">
        <v>14157</v>
      </c>
      <c r="DP1390">
        <v>0</v>
      </c>
      <c r="DQ1390">
        <v>0</v>
      </c>
      <c r="DR1390" t="s">
        <v>411</v>
      </c>
      <c r="DS1390" t="b">
        <v>1</v>
      </c>
      <c r="DT1390" t="s">
        <v>470</v>
      </c>
      <c r="DU1390" t="s">
        <v>471</v>
      </c>
      <c r="DV1390" t="s">
        <v>472</v>
      </c>
      <c r="DX1390">
        <v>-9999</v>
      </c>
      <c r="DZ1390" t="s">
        <v>447</v>
      </c>
      <c r="EA1390" t="s">
        <v>448</v>
      </c>
      <c r="EB1390" t="s">
        <v>742</v>
      </c>
      <c r="EC1390">
        <v>20101217</v>
      </c>
      <c r="ED1390" t="s">
        <v>474</v>
      </c>
      <c r="EF1390">
        <v>4239.6000000000004</v>
      </c>
      <c r="EG1390">
        <v>4216.1000000000004</v>
      </c>
      <c r="EH1390" t="s">
        <v>451</v>
      </c>
      <c r="EI1390">
        <v>20140731</v>
      </c>
      <c r="EJ1390">
        <v>0</v>
      </c>
      <c r="EK1390">
        <v>0</v>
      </c>
      <c r="EP1390" t="s">
        <v>421</v>
      </c>
      <c r="EQ1390" t="s">
        <v>422</v>
      </c>
      <c r="ER1390">
        <v>1</v>
      </c>
      <c r="ES1390">
        <v>1</v>
      </c>
      <c r="ET1390">
        <v>193.03</v>
      </c>
      <c r="EU1390">
        <v>25.07</v>
      </c>
      <c r="EV1390">
        <v>218.1</v>
      </c>
      <c r="EW1390" s="2">
        <v>43222</v>
      </c>
      <c r="EX1390" s="1">
        <v>42879</v>
      </c>
      <c r="EY1390">
        <v>2016</v>
      </c>
      <c r="EZ1390">
        <v>193.03</v>
      </c>
      <c r="FA1390" t="s">
        <v>14158</v>
      </c>
      <c r="FB1390">
        <v>9.75</v>
      </c>
      <c r="FC1390" t="s">
        <v>424</v>
      </c>
      <c r="FD1390" t="s">
        <v>454</v>
      </c>
      <c r="FF1390">
        <v>12</v>
      </c>
      <c r="FG1390">
        <v>10021</v>
      </c>
      <c r="FH1390" t="s">
        <v>597</v>
      </c>
      <c r="FJ1390" s="1">
        <v>42151</v>
      </c>
      <c r="FK1390">
        <v>2014</v>
      </c>
      <c r="FL1390">
        <v>192.91</v>
      </c>
      <c r="FM1390" t="s">
        <v>14159</v>
      </c>
      <c r="FN1390">
        <v>5.5</v>
      </c>
      <c r="FO1390" t="s">
        <v>424</v>
      </c>
      <c r="FP1390" t="s">
        <v>425</v>
      </c>
      <c r="FQ1390" s="1">
        <v>42577</v>
      </c>
      <c r="FR1390">
        <v>14</v>
      </c>
      <c r="FS1390">
        <v>10125</v>
      </c>
      <c r="FT1390" t="s">
        <v>440</v>
      </c>
    </row>
    <row r="1391" spans="1:284" x14ac:dyDescent="0.25">
      <c r="A1391">
        <v>16486398</v>
      </c>
      <c r="B1391">
        <v>1390</v>
      </c>
      <c r="C1391" t="s">
        <v>393</v>
      </c>
      <c r="D1391" t="s">
        <v>394</v>
      </c>
      <c r="F1391" t="str">
        <f>"37-3N-27-0135-0008-0000"</f>
        <v>37-3N-27-0135-0008-0000</v>
      </c>
      <c r="H1391" t="str">
        <f t="shared" si="481"/>
        <v>BELLS RIVER SIX LLC</v>
      </c>
      <c r="I1391" t="str">
        <f t="shared" si="482"/>
        <v>2712 W JETTON AVE</v>
      </c>
      <c r="J1391" t="str">
        <f t="shared" si="483"/>
        <v>TAMPA FL 33629</v>
      </c>
      <c r="K1391" t="str">
        <f>"87263 LENTS RD"</f>
        <v>87263 LENTS RD</v>
      </c>
      <c r="L1391" t="str">
        <f t="shared" si="456"/>
        <v>YULEE FL 32097</v>
      </c>
      <c r="M1391" t="str">
        <f>"LOT 8 IN OR 2110/632 BELLS RIVER EST 2 PB 7/31"</f>
        <v>LOT 8 IN OR 2110/632 BELLS RIVER EST 2 PB 7/31</v>
      </c>
      <c r="N1391" t="str">
        <f>""</f>
        <v/>
      </c>
      <c r="O1391" t="str">
        <f>"44132"</f>
        <v>44132</v>
      </c>
      <c r="P1391" t="str">
        <f t="shared" si="467"/>
        <v>2017</v>
      </c>
      <c r="Q1391" t="str">
        <f>""</f>
        <v/>
      </c>
      <c r="R1391" t="str">
        <f t="shared" si="477"/>
        <v>N</v>
      </c>
      <c r="S1391" t="str">
        <f>""</f>
        <v/>
      </c>
      <c r="T1391" t="str">
        <f t="shared" si="484"/>
        <v>151.38</v>
      </c>
      <c r="U1391" t="str">
        <f t="shared" si="485"/>
        <v>10000.00</v>
      </c>
      <c r="V1391" t="str">
        <f t="shared" si="485"/>
        <v>10000.00</v>
      </c>
      <c r="W1391" t="str">
        <f t="shared" si="468"/>
        <v>2017</v>
      </c>
      <c r="X1391" t="str">
        <f t="shared" si="486"/>
        <v>14.00</v>
      </c>
      <c r="Y1391" t="str">
        <f t="shared" si="487"/>
        <v>187.92</v>
      </c>
      <c r="Z1391" t="str">
        <f>""</f>
        <v/>
      </c>
      <c r="AA1391" t="str">
        <f t="shared" si="488"/>
        <v>10000.00</v>
      </c>
      <c r="AB1391" t="str">
        <f t="shared" si="478"/>
        <v>Residential</v>
      </c>
      <c r="AC1391" t="str">
        <f t="shared" si="475"/>
        <v>0</v>
      </c>
      <c r="AD1391" t="str">
        <f>""</f>
        <v/>
      </c>
      <c r="AE1391" t="str">
        <f>""</f>
        <v/>
      </c>
      <c r="AF1391" t="str">
        <f t="shared" si="489"/>
        <v>000</v>
      </c>
      <c r="AG1391" t="str">
        <f t="shared" si="479"/>
        <v>FL</v>
      </c>
      <c r="AH1391" t="str">
        <f t="shared" si="480"/>
        <v>-</v>
      </c>
      <c r="AI1391" t="str">
        <f t="shared" si="490"/>
        <v>10000.00</v>
      </c>
      <c r="AJ1391" t="str">
        <f>"C55-000-589-1029-0"</f>
        <v>C55-000-589-1029-0</v>
      </c>
      <c r="AK1391" t="str">
        <f>"23540"</f>
        <v>23540</v>
      </c>
      <c r="AL1391">
        <v>5</v>
      </c>
      <c r="AM1391">
        <v>1591</v>
      </c>
      <c r="AN1391">
        <v>195.72</v>
      </c>
      <c r="AQ1391" t="s">
        <v>14160</v>
      </c>
      <c r="AR1391" t="s">
        <v>14160</v>
      </c>
      <c r="AS1391" t="s">
        <v>14160</v>
      </c>
      <c r="AU1391" t="s">
        <v>396</v>
      </c>
      <c r="AV1391">
        <v>2017</v>
      </c>
      <c r="AW1391" t="str">
        <f>"37-3N-27-0135-0008-0000 "</f>
        <v xml:space="preserve">37-3N-27-0135-0008-0000 </v>
      </c>
      <c r="AX1391">
        <v>87263</v>
      </c>
      <c r="AZ1391" t="s">
        <v>14151</v>
      </c>
      <c r="BA1391" t="s">
        <v>496</v>
      </c>
      <c r="BD1391" t="s">
        <v>2387</v>
      </c>
      <c r="BE1391" t="s">
        <v>393</v>
      </c>
      <c r="BF1391">
        <v>32097</v>
      </c>
      <c r="BG1391" t="s">
        <v>14161</v>
      </c>
      <c r="BH1391" t="s">
        <v>2388</v>
      </c>
      <c r="BI1391">
        <v>-81.552281200777998</v>
      </c>
      <c r="BJ1391">
        <v>30.679685641367399</v>
      </c>
      <c r="BK1391" t="s">
        <v>14153</v>
      </c>
      <c r="BM1391" t="s">
        <v>14154</v>
      </c>
      <c r="BN1391" t="s">
        <v>1971</v>
      </c>
      <c r="BO1391">
        <v>33629</v>
      </c>
      <c r="BP1391" t="s">
        <v>404</v>
      </c>
      <c r="BQ1391">
        <v>0</v>
      </c>
      <c r="BR1391" t="s">
        <v>491</v>
      </c>
      <c r="BS1391">
        <v>8001</v>
      </c>
      <c r="BT1391" t="s">
        <v>492</v>
      </c>
      <c r="BW1391">
        <v>2804</v>
      </c>
      <c r="BX1391" t="s">
        <v>407</v>
      </c>
      <c r="BY1391" t="s">
        <v>3019</v>
      </c>
      <c r="CD1391">
        <v>2017</v>
      </c>
      <c r="CE1391">
        <v>10000</v>
      </c>
      <c r="CG1391">
        <v>10000</v>
      </c>
      <c r="CH1391">
        <v>2017</v>
      </c>
      <c r="CI1391">
        <v>10000</v>
      </c>
      <c r="CK1391">
        <v>10000</v>
      </c>
      <c r="CL1391">
        <v>2017</v>
      </c>
      <c r="CM1391">
        <v>151.38</v>
      </c>
      <c r="CN1391" s="1">
        <v>38344</v>
      </c>
      <c r="CO1391">
        <v>300000</v>
      </c>
      <c r="CZ1391" s="1">
        <v>38344</v>
      </c>
      <c r="DD1391" t="s">
        <v>2387</v>
      </c>
      <c r="DF1391">
        <v>8</v>
      </c>
      <c r="DG1391">
        <v>37</v>
      </c>
      <c r="DJ1391" t="s">
        <v>14155</v>
      </c>
      <c r="DL1391">
        <v>50301</v>
      </c>
      <c r="DM1391" t="s">
        <v>14156</v>
      </c>
      <c r="DO1391" t="s">
        <v>14162</v>
      </c>
      <c r="DP1391">
        <v>0</v>
      </c>
      <c r="DQ1391">
        <v>0</v>
      </c>
      <c r="DR1391" t="s">
        <v>411</v>
      </c>
      <c r="DS1391" t="b">
        <v>1</v>
      </c>
      <c r="DT1391" t="s">
        <v>470</v>
      </c>
      <c r="DU1391" t="s">
        <v>471</v>
      </c>
      <c r="DV1391" t="s">
        <v>472</v>
      </c>
      <c r="DX1391">
        <v>-9999</v>
      </c>
      <c r="DZ1391" t="s">
        <v>447</v>
      </c>
      <c r="EA1391" t="s">
        <v>448</v>
      </c>
      <c r="EB1391" t="s">
        <v>742</v>
      </c>
      <c r="EC1391">
        <v>20101217</v>
      </c>
      <c r="ED1391" t="s">
        <v>474</v>
      </c>
      <c r="EF1391">
        <v>338.6</v>
      </c>
      <c r="EG1391">
        <v>195.8</v>
      </c>
      <c r="EH1391" t="s">
        <v>451</v>
      </c>
      <c r="EI1391">
        <v>20140731</v>
      </c>
      <c r="EJ1391">
        <v>0</v>
      </c>
      <c r="EK1391">
        <v>0</v>
      </c>
      <c r="EP1391" t="s">
        <v>421</v>
      </c>
      <c r="EQ1391" t="s">
        <v>422</v>
      </c>
      <c r="ER1391">
        <v>1</v>
      </c>
      <c r="ES1391">
        <v>1</v>
      </c>
      <c r="ET1391">
        <v>193.03</v>
      </c>
      <c r="EU1391">
        <v>25.07</v>
      </c>
      <c r="EV1391">
        <v>218.1</v>
      </c>
      <c r="EW1391" s="2">
        <v>43222</v>
      </c>
      <c r="EX1391" s="1">
        <v>42879</v>
      </c>
      <c r="EY1391">
        <v>2016</v>
      </c>
      <c r="EZ1391">
        <v>193.03</v>
      </c>
      <c r="FA1391" t="s">
        <v>14163</v>
      </c>
      <c r="FB1391">
        <v>9.75</v>
      </c>
      <c r="FC1391" t="s">
        <v>424</v>
      </c>
      <c r="FD1391" t="s">
        <v>454</v>
      </c>
      <c r="FF1391">
        <v>12</v>
      </c>
      <c r="FG1391">
        <v>10021</v>
      </c>
      <c r="FH1391" t="s">
        <v>597</v>
      </c>
      <c r="FJ1391" s="1">
        <v>42151</v>
      </c>
      <c r="FK1391">
        <v>2014</v>
      </c>
      <c r="FL1391">
        <v>192.91</v>
      </c>
      <c r="FM1391" t="s">
        <v>14164</v>
      </c>
      <c r="FN1391">
        <v>5.5</v>
      </c>
      <c r="FO1391" t="s">
        <v>424</v>
      </c>
      <c r="FP1391" t="s">
        <v>425</v>
      </c>
      <c r="FQ1391" s="1">
        <v>42577</v>
      </c>
      <c r="FR1391">
        <v>14</v>
      </c>
      <c r="FS1391">
        <v>10125</v>
      </c>
      <c r="FT1391" t="s">
        <v>440</v>
      </c>
    </row>
    <row r="1392" spans="1:284" x14ac:dyDescent="0.25">
      <c r="A1392">
        <v>16486399</v>
      </c>
      <c r="B1392">
        <v>1391</v>
      </c>
      <c r="C1392" t="s">
        <v>393</v>
      </c>
      <c r="D1392" t="s">
        <v>394</v>
      </c>
      <c r="F1392" t="str">
        <f>"37-3N-27-0135-0009-0000"</f>
        <v>37-3N-27-0135-0009-0000</v>
      </c>
      <c r="H1392" t="str">
        <f t="shared" si="481"/>
        <v>BELLS RIVER SIX LLC</v>
      </c>
      <c r="I1392" t="str">
        <f t="shared" si="482"/>
        <v>2712 W JETTON AVE</v>
      </c>
      <c r="J1392" t="str">
        <f t="shared" si="483"/>
        <v>TAMPA FL 33629</v>
      </c>
      <c r="K1392" t="str">
        <f>"87267 LENTS RD"</f>
        <v>87267 LENTS RD</v>
      </c>
      <c r="L1392" t="str">
        <f t="shared" si="456"/>
        <v>YULEE FL 32097</v>
      </c>
      <c r="M1392" t="str">
        <f>"LOT 9 IN OR 2110/634 BELLS RIVER EST 2 PB 7/31"</f>
        <v>LOT 9 IN OR 2110/634 BELLS RIVER EST 2 PB 7/31</v>
      </c>
      <c r="N1392" t="str">
        <f>""</f>
        <v/>
      </c>
      <c r="O1392" t="str">
        <f>"44133"</f>
        <v>44133</v>
      </c>
      <c r="P1392" t="str">
        <f t="shared" si="467"/>
        <v>2017</v>
      </c>
      <c r="Q1392" t="str">
        <f>""</f>
        <v/>
      </c>
      <c r="R1392" t="str">
        <f t="shared" si="477"/>
        <v>N</v>
      </c>
      <c r="S1392" t="str">
        <f>""</f>
        <v/>
      </c>
      <c r="T1392" t="str">
        <f t="shared" si="484"/>
        <v>151.38</v>
      </c>
      <c r="U1392" t="str">
        <f t="shared" si="485"/>
        <v>10000.00</v>
      </c>
      <c r="V1392" t="str">
        <f t="shared" si="485"/>
        <v>10000.00</v>
      </c>
      <c r="W1392" t="str">
        <f t="shared" si="468"/>
        <v>2017</v>
      </c>
      <c r="X1392" t="str">
        <f t="shared" si="486"/>
        <v>14.00</v>
      </c>
      <c r="Y1392" t="str">
        <f t="shared" si="487"/>
        <v>187.92</v>
      </c>
      <c r="Z1392" t="str">
        <f>""</f>
        <v/>
      </c>
      <c r="AA1392" t="str">
        <f t="shared" si="488"/>
        <v>10000.00</v>
      </c>
      <c r="AB1392" t="str">
        <f t="shared" si="478"/>
        <v>Residential</v>
      </c>
      <c r="AC1392" t="str">
        <f t="shared" si="475"/>
        <v>0</v>
      </c>
      <c r="AD1392" t="str">
        <f>""</f>
        <v/>
      </c>
      <c r="AE1392" t="str">
        <f>""</f>
        <v/>
      </c>
      <c r="AF1392" t="str">
        <f t="shared" si="489"/>
        <v>000</v>
      </c>
      <c r="AG1392" t="str">
        <f t="shared" si="479"/>
        <v>FL</v>
      </c>
      <c r="AH1392" t="str">
        <f t="shared" si="480"/>
        <v>-</v>
      </c>
      <c r="AI1392" t="str">
        <f t="shared" si="490"/>
        <v>10000.00</v>
      </c>
      <c r="AJ1392" t="str">
        <f>"C55-000-589-1030-8"</f>
        <v>C55-000-589-1030-8</v>
      </c>
      <c r="AK1392" t="str">
        <f>"23541"</f>
        <v>23541</v>
      </c>
      <c r="AL1392">
        <v>5</v>
      </c>
      <c r="AM1392">
        <v>1592</v>
      </c>
      <c r="AN1392">
        <v>195.72</v>
      </c>
      <c r="AQ1392" t="s">
        <v>14165</v>
      </c>
      <c r="AR1392" t="s">
        <v>14165</v>
      </c>
      <c r="AS1392" t="s">
        <v>14165</v>
      </c>
      <c r="AU1392" t="s">
        <v>396</v>
      </c>
      <c r="AV1392">
        <v>2017</v>
      </c>
      <c r="AW1392" t="str">
        <f>"37-3N-27-0135-0009-0000 "</f>
        <v xml:space="preserve">37-3N-27-0135-0009-0000 </v>
      </c>
      <c r="AX1392">
        <v>87267</v>
      </c>
      <c r="AZ1392" t="s">
        <v>14151</v>
      </c>
      <c r="BA1392" t="s">
        <v>496</v>
      </c>
      <c r="BD1392" t="s">
        <v>2387</v>
      </c>
      <c r="BE1392" t="s">
        <v>393</v>
      </c>
      <c r="BF1392">
        <v>32097</v>
      </c>
      <c r="BG1392" t="s">
        <v>14166</v>
      </c>
      <c r="BH1392" t="s">
        <v>2388</v>
      </c>
      <c r="BI1392">
        <v>-81.552271454914504</v>
      </c>
      <c r="BJ1392">
        <v>30.679740064001098</v>
      </c>
      <c r="BK1392" t="s">
        <v>14153</v>
      </c>
      <c r="BM1392" t="s">
        <v>14167</v>
      </c>
      <c r="BN1392" t="s">
        <v>1971</v>
      </c>
      <c r="BO1392">
        <v>33629</v>
      </c>
      <c r="BP1392" t="s">
        <v>404</v>
      </c>
      <c r="BQ1392">
        <v>0</v>
      </c>
      <c r="BR1392" t="s">
        <v>491</v>
      </c>
      <c r="BS1392">
        <v>8001</v>
      </c>
      <c r="BT1392" t="s">
        <v>492</v>
      </c>
      <c r="BW1392">
        <v>2804</v>
      </c>
      <c r="BX1392" t="s">
        <v>407</v>
      </c>
      <c r="BY1392" t="s">
        <v>3019</v>
      </c>
      <c r="CD1392">
        <v>2017</v>
      </c>
      <c r="CE1392">
        <v>10000</v>
      </c>
      <c r="CG1392">
        <v>10000</v>
      </c>
      <c r="CH1392">
        <v>2017</v>
      </c>
      <c r="CI1392">
        <v>10000</v>
      </c>
      <c r="CK1392">
        <v>10000</v>
      </c>
      <c r="CL1392">
        <v>2017</v>
      </c>
      <c r="CM1392">
        <v>151.38</v>
      </c>
      <c r="CN1392" s="1">
        <v>38344</v>
      </c>
      <c r="CO1392">
        <v>300000</v>
      </c>
      <c r="CZ1392" s="1">
        <v>38344</v>
      </c>
      <c r="DD1392" t="s">
        <v>2387</v>
      </c>
      <c r="DF1392">
        <v>9</v>
      </c>
      <c r="DG1392">
        <v>37</v>
      </c>
      <c r="DJ1392" t="s">
        <v>14155</v>
      </c>
      <c r="DL1392">
        <v>50301</v>
      </c>
      <c r="DM1392" t="s">
        <v>14156</v>
      </c>
      <c r="DO1392" t="s">
        <v>14168</v>
      </c>
      <c r="DP1392">
        <v>0</v>
      </c>
      <c r="DQ1392">
        <v>0</v>
      </c>
      <c r="DR1392" t="s">
        <v>411</v>
      </c>
      <c r="DS1392" t="b">
        <v>1</v>
      </c>
      <c r="DT1392" t="s">
        <v>470</v>
      </c>
      <c r="DU1392" t="s">
        <v>471</v>
      </c>
      <c r="DV1392" t="s">
        <v>472</v>
      </c>
      <c r="DX1392">
        <v>-9999</v>
      </c>
      <c r="DZ1392" t="s">
        <v>447</v>
      </c>
      <c r="EA1392" t="s">
        <v>448</v>
      </c>
      <c r="EB1392" t="s">
        <v>742</v>
      </c>
      <c r="EC1392">
        <v>20101217</v>
      </c>
      <c r="ED1392" t="s">
        <v>474</v>
      </c>
      <c r="EF1392">
        <v>269.5</v>
      </c>
      <c r="EG1392">
        <v>137.80000000000001</v>
      </c>
      <c r="EH1392" t="s">
        <v>451</v>
      </c>
      <c r="EI1392">
        <v>20140731</v>
      </c>
      <c r="EJ1392">
        <v>0</v>
      </c>
      <c r="EK1392">
        <v>0</v>
      </c>
      <c r="EP1392" t="s">
        <v>421</v>
      </c>
      <c r="EQ1392" t="s">
        <v>422</v>
      </c>
      <c r="ER1392">
        <v>1</v>
      </c>
      <c r="ES1392">
        <v>1</v>
      </c>
      <c r="ET1392">
        <v>193.03</v>
      </c>
      <c r="EU1392">
        <v>25.07</v>
      </c>
      <c r="EV1392">
        <v>218.1</v>
      </c>
      <c r="EW1392" s="2">
        <v>43222</v>
      </c>
      <c r="EX1392" s="1">
        <v>42879</v>
      </c>
      <c r="EY1392">
        <v>2016</v>
      </c>
      <c r="EZ1392">
        <v>193.03</v>
      </c>
      <c r="FA1392" t="s">
        <v>14169</v>
      </c>
      <c r="FB1392">
        <v>9.75</v>
      </c>
      <c r="FC1392" t="s">
        <v>424</v>
      </c>
      <c r="FD1392" t="s">
        <v>454</v>
      </c>
      <c r="FF1392">
        <v>12</v>
      </c>
      <c r="FG1392">
        <v>10021</v>
      </c>
      <c r="FH1392" t="s">
        <v>597</v>
      </c>
      <c r="FJ1392" s="1">
        <v>42151</v>
      </c>
      <c r="FK1392">
        <v>2014</v>
      </c>
      <c r="FL1392">
        <v>192.91</v>
      </c>
      <c r="FM1392" t="s">
        <v>14170</v>
      </c>
      <c r="FN1392">
        <v>5.5</v>
      </c>
      <c r="FO1392" t="s">
        <v>424</v>
      </c>
      <c r="FP1392" t="s">
        <v>425</v>
      </c>
      <c r="FQ1392" s="1">
        <v>42577</v>
      </c>
      <c r="FR1392">
        <v>14</v>
      </c>
      <c r="FS1392">
        <v>10125</v>
      </c>
      <c r="FT1392" t="s">
        <v>440</v>
      </c>
    </row>
    <row r="1393" spans="1:284" x14ac:dyDescent="0.25">
      <c r="A1393">
        <v>16486400</v>
      </c>
      <c r="B1393">
        <v>1392</v>
      </c>
      <c r="C1393" t="s">
        <v>393</v>
      </c>
      <c r="D1393" t="s">
        <v>394</v>
      </c>
      <c r="F1393" t="str">
        <f>"37-3N-27-0135-0010-0000"</f>
        <v>37-3N-27-0135-0010-0000</v>
      </c>
      <c r="H1393" t="str">
        <f t="shared" si="481"/>
        <v>BELLS RIVER SIX LLC</v>
      </c>
      <c r="I1393" t="str">
        <f t="shared" si="482"/>
        <v>2712 W JETTON AVE</v>
      </c>
      <c r="J1393" t="str">
        <f t="shared" si="483"/>
        <v>TAMPA FL 33629</v>
      </c>
      <c r="K1393" t="str">
        <f>"87271 LENTS RD"</f>
        <v>87271 LENTS RD</v>
      </c>
      <c r="L1393" t="str">
        <f t="shared" si="456"/>
        <v>YULEE FL 32097</v>
      </c>
      <c r="M1393" t="str">
        <f>"LOT 10 IN OR 2110/636 BELLS RIVER EST 2 PB 7/31"</f>
        <v>LOT 10 IN OR 2110/636 BELLS RIVER EST 2 PB 7/31</v>
      </c>
      <c r="N1393" t="str">
        <f>""</f>
        <v/>
      </c>
      <c r="O1393" t="str">
        <f>"44135"</f>
        <v>44135</v>
      </c>
      <c r="P1393" t="str">
        <f t="shared" si="467"/>
        <v>2017</v>
      </c>
      <c r="Q1393" t="str">
        <f>""</f>
        <v/>
      </c>
      <c r="R1393" t="str">
        <f t="shared" si="477"/>
        <v>N</v>
      </c>
      <c r="S1393" t="str">
        <f>""</f>
        <v/>
      </c>
      <c r="T1393" t="str">
        <f t="shared" si="484"/>
        <v>151.38</v>
      </c>
      <c r="U1393" t="str">
        <f t="shared" si="485"/>
        <v>10000.00</v>
      </c>
      <c r="V1393" t="str">
        <f t="shared" si="485"/>
        <v>10000.00</v>
      </c>
      <c r="W1393" t="str">
        <f t="shared" si="468"/>
        <v>2017</v>
      </c>
      <c r="X1393" t="str">
        <f t="shared" si="486"/>
        <v>14.00</v>
      </c>
      <c r="Y1393" t="str">
        <f t="shared" si="487"/>
        <v>187.92</v>
      </c>
      <c r="Z1393" t="str">
        <f>""</f>
        <v/>
      </c>
      <c r="AA1393" t="str">
        <f t="shared" si="488"/>
        <v>10000.00</v>
      </c>
      <c r="AB1393" t="str">
        <f t="shared" si="478"/>
        <v>Residential</v>
      </c>
      <c r="AC1393" t="str">
        <f t="shared" si="475"/>
        <v>0</v>
      </c>
      <c r="AD1393" t="str">
        <f>""</f>
        <v/>
      </c>
      <c r="AE1393" t="str">
        <f>""</f>
        <v/>
      </c>
      <c r="AF1393" t="str">
        <f t="shared" si="489"/>
        <v>000</v>
      </c>
      <c r="AG1393" t="str">
        <f t="shared" si="479"/>
        <v>FL</v>
      </c>
      <c r="AH1393" t="str">
        <f t="shared" si="480"/>
        <v>-</v>
      </c>
      <c r="AI1393" t="str">
        <f t="shared" si="490"/>
        <v>10000.00</v>
      </c>
      <c r="AJ1393" t="str">
        <f>"C55-000-589-1031-6"</f>
        <v>C55-000-589-1031-6</v>
      </c>
      <c r="AK1393" t="str">
        <f>"23542"</f>
        <v>23542</v>
      </c>
      <c r="AL1393">
        <v>5</v>
      </c>
      <c r="AM1393">
        <v>1593</v>
      </c>
      <c r="AN1393">
        <v>195.72</v>
      </c>
      <c r="AQ1393" t="s">
        <v>14171</v>
      </c>
      <c r="AR1393" t="s">
        <v>14171</v>
      </c>
      <c r="AS1393" t="s">
        <v>14171</v>
      </c>
      <c r="AU1393" t="s">
        <v>396</v>
      </c>
      <c r="AV1393">
        <v>2017</v>
      </c>
      <c r="AW1393" t="str">
        <f>"37-3N-27-0135-0010-0000 "</f>
        <v xml:space="preserve">37-3N-27-0135-0010-0000 </v>
      </c>
      <c r="AX1393">
        <v>87271</v>
      </c>
      <c r="AZ1393" t="s">
        <v>14151</v>
      </c>
      <c r="BA1393" t="s">
        <v>496</v>
      </c>
      <c r="BD1393" t="s">
        <v>2387</v>
      </c>
      <c r="BE1393" t="s">
        <v>393</v>
      </c>
      <c r="BF1393">
        <v>32097</v>
      </c>
      <c r="BG1393" t="s">
        <v>14172</v>
      </c>
      <c r="BH1393" t="s">
        <v>2388</v>
      </c>
      <c r="BI1393">
        <v>-81.552261718537395</v>
      </c>
      <c r="BJ1393">
        <v>30.679794488217102</v>
      </c>
      <c r="BK1393" t="s">
        <v>14153</v>
      </c>
      <c r="BM1393" t="s">
        <v>14154</v>
      </c>
      <c r="BN1393" t="s">
        <v>1971</v>
      </c>
      <c r="BO1393">
        <v>33629</v>
      </c>
      <c r="BP1393" t="s">
        <v>404</v>
      </c>
      <c r="BQ1393">
        <v>0</v>
      </c>
      <c r="BR1393" t="s">
        <v>491</v>
      </c>
      <c r="BS1393">
        <v>8001</v>
      </c>
      <c r="BT1393" t="s">
        <v>492</v>
      </c>
      <c r="BW1393">
        <v>2804</v>
      </c>
      <c r="BX1393" t="s">
        <v>407</v>
      </c>
      <c r="BY1393" t="s">
        <v>3019</v>
      </c>
      <c r="CD1393">
        <v>2017</v>
      </c>
      <c r="CE1393">
        <v>10000</v>
      </c>
      <c r="CG1393">
        <v>10000</v>
      </c>
      <c r="CH1393">
        <v>2017</v>
      </c>
      <c r="CI1393">
        <v>10000</v>
      </c>
      <c r="CK1393">
        <v>10000</v>
      </c>
      <c r="CL1393">
        <v>2017</v>
      </c>
      <c r="CM1393">
        <v>151.38</v>
      </c>
      <c r="CN1393" s="1">
        <v>38344</v>
      </c>
      <c r="CO1393">
        <v>300000</v>
      </c>
      <c r="CZ1393" s="1">
        <v>38344</v>
      </c>
      <c r="DD1393" t="s">
        <v>2387</v>
      </c>
      <c r="DF1393">
        <v>10</v>
      </c>
      <c r="DG1393">
        <v>37</v>
      </c>
      <c r="DJ1393" t="s">
        <v>14155</v>
      </c>
      <c r="DL1393">
        <v>50301</v>
      </c>
      <c r="DM1393" t="s">
        <v>14156</v>
      </c>
      <c r="DO1393" t="s">
        <v>14173</v>
      </c>
      <c r="DP1393">
        <v>0</v>
      </c>
      <c r="DQ1393">
        <v>0</v>
      </c>
      <c r="DR1393" t="s">
        <v>411</v>
      </c>
      <c r="DS1393" t="b">
        <v>1</v>
      </c>
      <c r="DT1393" t="s">
        <v>470</v>
      </c>
      <c r="DU1393" t="s">
        <v>471</v>
      </c>
      <c r="DV1393" t="s">
        <v>472</v>
      </c>
      <c r="DX1393">
        <v>-9999</v>
      </c>
      <c r="DZ1393" t="s">
        <v>447</v>
      </c>
      <c r="EA1393" t="s">
        <v>448</v>
      </c>
      <c r="EB1393" t="s">
        <v>742</v>
      </c>
      <c r="EC1393">
        <v>20101217</v>
      </c>
      <c r="ED1393" t="s">
        <v>474</v>
      </c>
      <c r="EF1393">
        <v>190.4</v>
      </c>
      <c r="EG1393">
        <v>80.900000000000006</v>
      </c>
      <c r="EH1393" t="s">
        <v>451</v>
      </c>
      <c r="EI1393">
        <v>20140731</v>
      </c>
      <c r="EJ1393">
        <v>0</v>
      </c>
      <c r="EK1393">
        <v>0</v>
      </c>
      <c r="EP1393" t="s">
        <v>421</v>
      </c>
      <c r="EQ1393" t="s">
        <v>422</v>
      </c>
      <c r="ER1393">
        <v>1</v>
      </c>
      <c r="ES1393">
        <v>1</v>
      </c>
      <c r="ET1393">
        <v>193.03</v>
      </c>
      <c r="EU1393">
        <v>25.07</v>
      </c>
      <c r="EV1393">
        <v>218.1</v>
      </c>
      <c r="EW1393" s="2">
        <v>43222</v>
      </c>
      <c r="EX1393" s="1">
        <v>42879</v>
      </c>
      <c r="EY1393">
        <v>2016</v>
      </c>
      <c r="EZ1393">
        <v>193.03</v>
      </c>
      <c r="FA1393" t="s">
        <v>14174</v>
      </c>
      <c r="FB1393">
        <v>9.75</v>
      </c>
      <c r="FC1393" t="s">
        <v>424</v>
      </c>
      <c r="FD1393" t="s">
        <v>454</v>
      </c>
      <c r="FF1393">
        <v>12</v>
      </c>
      <c r="FG1393">
        <v>10021</v>
      </c>
      <c r="FH1393" t="s">
        <v>597</v>
      </c>
      <c r="FJ1393" s="1">
        <v>42151</v>
      </c>
      <c r="FK1393">
        <v>2014</v>
      </c>
      <c r="FL1393">
        <v>192.91</v>
      </c>
      <c r="FM1393" t="s">
        <v>14175</v>
      </c>
      <c r="FN1393">
        <v>5.5</v>
      </c>
      <c r="FO1393" t="s">
        <v>424</v>
      </c>
      <c r="FP1393" t="s">
        <v>425</v>
      </c>
      <c r="FQ1393" s="1">
        <v>42577</v>
      </c>
      <c r="FR1393">
        <v>14</v>
      </c>
      <c r="FS1393">
        <v>10125</v>
      </c>
      <c r="FT1393" t="s">
        <v>440</v>
      </c>
    </row>
    <row r="1394" spans="1:284" x14ac:dyDescent="0.25">
      <c r="A1394">
        <v>16486401</v>
      </c>
      <c r="B1394">
        <v>1393</v>
      </c>
      <c r="C1394" t="s">
        <v>393</v>
      </c>
      <c r="D1394" t="s">
        <v>394</v>
      </c>
      <c r="F1394" t="str">
        <f>"37-3N-27-0135-0011-0000"</f>
        <v>37-3N-27-0135-0011-0000</v>
      </c>
      <c r="H1394" t="str">
        <f t="shared" si="481"/>
        <v>BELLS RIVER SIX LLC</v>
      </c>
      <c r="I1394" t="str">
        <f t="shared" si="482"/>
        <v>2712 W JETTON AVE</v>
      </c>
      <c r="J1394" t="str">
        <f t="shared" si="483"/>
        <v>TAMPA FL 33629</v>
      </c>
      <c r="K1394" t="str">
        <f>"87275 LENTS RD"</f>
        <v>87275 LENTS RD</v>
      </c>
      <c r="L1394" t="str">
        <f t="shared" si="456"/>
        <v>YULEE FL 32097</v>
      </c>
      <c r="M1394" t="str">
        <f>"LOT 11 IN OR 2110/638 BELLS RIVER EST 2 PB 7/31"</f>
        <v>LOT 11 IN OR 2110/638 BELLS RIVER EST 2 PB 7/31</v>
      </c>
      <c r="N1394" t="str">
        <f>""</f>
        <v/>
      </c>
      <c r="O1394" t="str">
        <f>"44136"</f>
        <v>44136</v>
      </c>
      <c r="P1394" t="str">
        <f t="shared" si="467"/>
        <v>2017</v>
      </c>
      <c r="Q1394" t="str">
        <f>""</f>
        <v/>
      </c>
      <c r="R1394" t="str">
        <f t="shared" si="477"/>
        <v>N</v>
      </c>
      <c r="S1394" t="str">
        <f>""</f>
        <v/>
      </c>
      <c r="T1394" t="str">
        <f t="shared" si="484"/>
        <v>151.38</v>
      </c>
      <c r="U1394" t="str">
        <f t="shared" si="485"/>
        <v>10000.00</v>
      </c>
      <c r="V1394" t="str">
        <f t="shared" si="485"/>
        <v>10000.00</v>
      </c>
      <c r="W1394" t="str">
        <f t="shared" si="468"/>
        <v>2017</v>
      </c>
      <c r="X1394" t="str">
        <f t="shared" si="486"/>
        <v>14.00</v>
      </c>
      <c r="Y1394" t="str">
        <f t="shared" si="487"/>
        <v>187.92</v>
      </c>
      <c r="Z1394" t="str">
        <f>""</f>
        <v/>
      </c>
      <c r="AA1394" t="str">
        <f t="shared" si="488"/>
        <v>10000.00</v>
      </c>
      <c r="AB1394" t="str">
        <f t="shared" si="478"/>
        <v>Residential</v>
      </c>
      <c r="AC1394" t="str">
        <f t="shared" si="475"/>
        <v>0</v>
      </c>
      <c r="AD1394" t="str">
        <f>""</f>
        <v/>
      </c>
      <c r="AE1394" t="str">
        <f>""</f>
        <v/>
      </c>
      <c r="AF1394" t="str">
        <f t="shared" si="489"/>
        <v>000</v>
      </c>
      <c r="AG1394" t="str">
        <f t="shared" si="479"/>
        <v>FL</v>
      </c>
      <c r="AH1394" t="str">
        <f t="shared" si="480"/>
        <v>-</v>
      </c>
      <c r="AI1394" t="str">
        <f t="shared" si="490"/>
        <v>10000.00</v>
      </c>
      <c r="AJ1394" t="str">
        <f>"C55-000-589-1032-4"</f>
        <v>C55-000-589-1032-4</v>
      </c>
      <c r="AK1394" t="str">
        <f>"23543"</f>
        <v>23543</v>
      </c>
      <c r="AL1394">
        <v>5</v>
      </c>
      <c r="AM1394">
        <v>1594</v>
      </c>
      <c r="AN1394">
        <v>195.72</v>
      </c>
      <c r="AQ1394" t="s">
        <v>14176</v>
      </c>
      <c r="AR1394" t="s">
        <v>14176</v>
      </c>
      <c r="AS1394" t="s">
        <v>14176</v>
      </c>
      <c r="AU1394" t="s">
        <v>396</v>
      </c>
      <c r="AV1394">
        <v>2017</v>
      </c>
      <c r="AW1394" t="str">
        <f>"37-3N-27-0135-0011-0000 "</f>
        <v xml:space="preserve">37-3N-27-0135-0011-0000 </v>
      </c>
      <c r="AX1394">
        <v>87275</v>
      </c>
      <c r="AZ1394" t="s">
        <v>14151</v>
      </c>
      <c r="BA1394" t="s">
        <v>496</v>
      </c>
      <c r="BD1394" t="s">
        <v>2387</v>
      </c>
      <c r="BE1394" t="s">
        <v>393</v>
      </c>
      <c r="BF1394">
        <v>32097</v>
      </c>
      <c r="BG1394" t="s">
        <v>14177</v>
      </c>
      <c r="BH1394" t="s">
        <v>2388</v>
      </c>
      <c r="BI1394">
        <v>-81.552251973318207</v>
      </c>
      <c r="BJ1394">
        <v>30.679848910691</v>
      </c>
      <c r="BK1394" t="s">
        <v>14153</v>
      </c>
      <c r="BM1394" t="s">
        <v>14154</v>
      </c>
      <c r="BN1394" t="s">
        <v>1971</v>
      </c>
      <c r="BO1394">
        <v>33629</v>
      </c>
      <c r="BP1394" t="s">
        <v>404</v>
      </c>
      <c r="BQ1394">
        <v>0</v>
      </c>
      <c r="BR1394" t="s">
        <v>491</v>
      </c>
      <c r="BS1394">
        <v>8001</v>
      </c>
      <c r="BT1394" t="s">
        <v>492</v>
      </c>
      <c r="BW1394">
        <v>2804</v>
      </c>
      <c r="BX1394" t="s">
        <v>407</v>
      </c>
      <c r="BY1394" t="s">
        <v>3019</v>
      </c>
      <c r="CD1394">
        <v>2017</v>
      </c>
      <c r="CE1394">
        <v>10000</v>
      </c>
      <c r="CG1394">
        <v>10000</v>
      </c>
      <c r="CH1394">
        <v>2017</v>
      </c>
      <c r="CI1394">
        <v>10000</v>
      </c>
      <c r="CK1394">
        <v>10000</v>
      </c>
      <c r="CL1394">
        <v>2017</v>
      </c>
      <c r="CM1394">
        <v>151.38</v>
      </c>
      <c r="CN1394" s="1">
        <v>41050</v>
      </c>
      <c r="CO1394">
        <v>143600</v>
      </c>
      <c r="CV1394">
        <v>143525</v>
      </c>
      <c r="CX1394" t="s">
        <v>11066</v>
      </c>
      <c r="CZ1394" s="1">
        <v>41050</v>
      </c>
      <c r="DA1394">
        <v>0</v>
      </c>
      <c r="DD1394" t="s">
        <v>2387</v>
      </c>
      <c r="DF1394">
        <v>11</v>
      </c>
      <c r="DG1394">
        <v>37</v>
      </c>
      <c r="DJ1394" t="s">
        <v>14155</v>
      </c>
      <c r="DL1394">
        <v>50301</v>
      </c>
      <c r="DM1394" t="s">
        <v>14156</v>
      </c>
      <c r="DO1394" t="s">
        <v>14178</v>
      </c>
      <c r="DP1394">
        <v>0</v>
      </c>
      <c r="DQ1394">
        <v>0</v>
      </c>
      <c r="DR1394" t="s">
        <v>411</v>
      </c>
      <c r="DS1394" t="b">
        <v>1</v>
      </c>
      <c r="DT1394" t="s">
        <v>470</v>
      </c>
      <c r="DU1394" t="s">
        <v>471</v>
      </c>
      <c r="DV1394" t="s">
        <v>472</v>
      </c>
      <c r="DX1394">
        <v>-9999</v>
      </c>
      <c r="DZ1394" t="s">
        <v>447</v>
      </c>
      <c r="EA1394" t="s">
        <v>448</v>
      </c>
      <c r="EB1394" t="s">
        <v>742</v>
      </c>
      <c r="EC1394">
        <v>20101217</v>
      </c>
      <c r="ED1394" t="s">
        <v>474</v>
      </c>
      <c r="EF1394">
        <v>121.3</v>
      </c>
      <c r="EG1394">
        <v>25.1</v>
      </c>
      <c r="EH1394" t="s">
        <v>451</v>
      </c>
      <c r="EI1394">
        <v>20140731</v>
      </c>
      <c r="EJ1394">
        <v>0</v>
      </c>
      <c r="EK1394">
        <v>0</v>
      </c>
      <c r="EP1394" t="s">
        <v>421</v>
      </c>
      <c r="EQ1394" t="s">
        <v>422</v>
      </c>
      <c r="ER1394">
        <v>1</v>
      </c>
      <c r="ES1394">
        <v>1</v>
      </c>
      <c r="ET1394">
        <v>193.03</v>
      </c>
      <c r="EU1394">
        <v>25.07</v>
      </c>
      <c r="EV1394">
        <v>218.1</v>
      </c>
      <c r="EW1394" s="2">
        <v>43222</v>
      </c>
      <c r="EX1394" s="1">
        <v>42879</v>
      </c>
      <c r="EY1394">
        <v>2016</v>
      </c>
      <c r="EZ1394">
        <v>193.03</v>
      </c>
      <c r="FA1394" t="s">
        <v>14179</v>
      </c>
      <c r="FB1394">
        <v>9.75</v>
      </c>
      <c r="FC1394" t="s">
        <v>424</v>
      </c>
      <c r="FD1394" t="s">
        <v>454</v>
      </c>
      <c r="FF1394">
        <v>12</v>
      </c>
      <c r="FG1394">
        <v>10021</v>
      </c>
      <c r="FH1394" t="s">
        <v>597</v>
      </c>
      <c r="FJ1394" s="1">
        <v>42151</v>
      </c>
      <c r="FK1394">
        <v>2014</v>
      </c>
      <c r="FL1394">
        <v>192.91</v>
      </c>
      <c r="FM1394" t="s">
        <v>14180</v>
      </c>
      <c r="FN1394">
        <v>16.25</v>
      </c>
      <c r="FO1394" t="s">
        <v>424</v>
      </c>
      <c r="FP1394" t="s">
        <v>425</v>
      </c>
      <c r="FQ1394" s="1">
        <v>42577</v>
      </c>
      <c r="FR1394">
        <v>14</v>
      </c>
      <c r="FS1394">
        <v>10125</v>
      </c>
      <c r="FT1394" t="s">
        <v>440</v>
      </c>
    </row>
    <row r="1395" spans="1:284" x14ac:dyDescent="0.25">
      <c r="A1395">
        <v>16486402</v>
      </c>
      <c r="B1395">
        <v>1394</v>
      </c>
      <c r="C1395" t="s">
        <v>393</v>
      </c>
      <c r="D1395" t="s">
        <v>394</v>
      </c>
      <c r="F1395" t="str">
        <f>"37-3N-27-0135-0012-0000"</f>
        <v>37-3N-27-0135-0012-0000</v>
      </c>
      <c r="H1395" t="str">
        <f t="shared" si="481"/>
        <v>BELLS RIVER SIX LLC</v>
      </c>
      <c r="I1395" t="str">
        <f t="shared" si="482"/>
        <v>2712 W JETTON AVE</v>
      </c>
      <c r="J1395" t="str">
        <f t="shared" si="483"/>
        <v>TAMPA FL 33629</v>
      </c>
      <c r="K1395" t="str">
        <f>"87279 LENTS RD"</f>
        <v>87279 LENTS RD</v>
      </c>
      <c r="L1395" t="str">
        <f t="shared" si="456"/>
        <v>YULEE FL 32097</v>
      </c>
      <c r="M1395" t="str">
        <f>"LOT 12 IN OR 2110/640 BELLS RIVER EST 2 PB 7/31"</f>
        <v>LOT 12 IN OR 2110/640 BELLS RIVER EST 2 PB 7/31</v>
      </c>
      <c r="N1395" t="str">
        <f>""</f>
        <v/>
      </c>
      <c r="O1395" t="str">
        <f>"44137"</f>
        <v>44137</v>
      </c>
      <c r="P1395" t="str">
        <f t="shared" si="467"/>
        <v>2017</v>
      </c>
      <c r="Q1395" t="str">
        <f>""</f>
        <v/>
      </c>
      <c r="R1395" t="str">
        <f t="shared" si="477"/>
        <v>N</v>
      </c>
      <c r="S1395" t="str">
        <f>""</f>
        <v/>
      </c>
      <c r="T1395" t="str">
        <f t="shared" si="484"/>
        <v>151.38</v>
      </c>
      <c r="U1395" t="str">
        <f t="shared" si="485"/>
        <v>10000.00</v>
      </c>
      <c r="V1395" t="str">
        <f t="shared" si="485"/>
        <v>10000.00</v>
      </c>
      <c r="W1395" t="str">
        <f t="shared" si="468"/>
        <v>2017</v>
      </c>
      <c r="X1395" t="str">
        <f t="shared" si="486"/>
        <v>14.00</v>
      </c>
      <c r="Y1395" t="str">
        <f t="shared" si="487"/>
        <v>187.92</v>
      </c>
      <c r="Z1395" t="str">
        <f>""</f>
        <v/>
      </c>
      <c r="AA1395" t="str">
        <f t="shared" si="488"/>
        <v>10000.00</v>
      </c>
      <c r="AB1395" t="str">
        <f t="shared" si="478"/>
        <v>Residential</v>
      </c>
      <c r="AC1395" t="str">
        <f t="shared" si="475"/>
        <v>0</v>
      </c>
      <c r="AD1395" t="str">
        <f>""</f>
        <v/>
      </c>
      <c r="AE1395" t="str">
        <f>""</f>
        <v/>
      </c>
      <c r="AF1395" t="str">
        <f t="shared" si="489"/>
        <v>000</v>
      </c>
      <c r="AG1395" t="str">
        <f t="shared" si="479"/>
        <v>FL</v>
      </c>
      <c r="AH1395" t="str">
        <f t="shared" si="480"/>
        <v>-</v>
      </c>
      <c r="AI1395" t="str">
        <f t="shared" si="490"/>
        <v>10000.00</v>
      </c>
      <c r="AJ1395" t="str">
        <f>"C55-000-589-1033-2"</f>
        <v>C55-000-589-1033-2</v>
      </c>
      <c r="AK1395" t="str">
        <f>"23544"</f>
        <v>23544</v>
      </c>
      <c r="AL1395">
        <v>5</v>
      </c>
      <c r="AM1395">
        <v>1595</v>
      </c>
      <c r="AN1395">
        <v>195.72</v>
      </c>
      <c r="AQ1395" t="s">
        <v>14181</v>
      </c>
      <c r="AR1395" t="s">
        <v>14181</v>
      </c>
      <c r="AS1395" t="s">
        <v>14181</v>
      </c>
      <c r="AU1395" t="s">
        <v>396</v>
      </c>
      <c r="AV1395">
        <v>2017</v>
      </c>
      <c r="AW1395" t="str">
        <f>"37-3N-27-0135-0012-0000 "</f>
        <v xml:space="preserve">37-3N-27-0135-0012-0000 </v>
      </c>
      <c r="AX1395">
        <v>87279</v>
      </c>
      <c r="AZ1395" t="s">
        <v>14151</v>
      </c>
      <c r="BA1395" t="s">
        <v>496</v>
      </c>
      <c r="BD1395" t="s">
        <v>2387</v>
      </c>
      <c r="BE1395" t="s">
        <v>393</v>
      </c>
      <c r="BF1395">
        <v>32097</v>
      </c>
      <c r="BG1395" t="s">
        <v>14182</v>
      </c>
      <c r="BH1395" t="s">
        <v>2388</v>
      </c>
      <c r="BI1395">
        <v>-81.552238590847296</v>
      </c>
      <c r="BJ1395">
        <v>30.679923731328699</v>
      </c>
      <c r="BK1395" t="s">
        <v>14153</v>
      </c>
      <c r="BM1395" t="s">
        <v>14154</v>
      </c>
      <c r="BN1395" t="s">
        <v>1971</v>
      </c>
      <c r="BO1395">
        <v>33629</v>
      </c>
      <c r="BP1395" t="s">
        <v>404</v>
      </c>
      <c r="BQ1395">
        <v>0</v>
      </c>
      <c r="BR1395" t="s">
        <v>491</v>
      </c>
      <c r="BS1395">
        <v>8001</v>
      </c>
      <c r="BT1395" t="s">
        <v>492</v>
      </c>
      <c r="BW1395">
        <v>4906</v>
      </c>
      <c r="BX1395" t="s">
        <v>407</v>
      </c>
      <c r="BY1395" t="s">
        <v>3019</v>
      </c>
      <c r="CD1395">
        <v>2017</v>
      </c>
      <c r="CE1395">
        <v>10000</v>
      </c>
      <c r="CG1395">
        <v>10000</v>
      </c>
      <c r="CH1395">
        <v>2017</v>
      </c>
      <c r="CI1395">
        <v>10000</v>
      </c>
      <c r="CK1395">
        <v>10000</v>
      </c>
      <c r="CL1395">
        <v>2017</v>
      </c>
      <c r="CM1395">
        <v>151.38</v>
      </c>
      <c r="CN1395" s="1">
        <v>38344</v>
      </c>
      <c r="CO1395">
        <v>300000</v>
      </c>
      <c r="CZ1395" s="1">
        <v>38344</v>
      </c>
      <c r="DD1395" t="s">
        <v>2387</v>
      </c>
      <c r="DF1395">
        <v>12</v>
      </c>
      <c r="DG1395">
        <v>37</v>
      </c>
      <c r="DJ1395" t="s">
        <v>14155</v>
      </c>
      <c r="DL1395">
        <v>50301</v>
      </c>
      <c r="DM1395" t="s">
        <v>14156</v>
      </c>
      <c r="DO1395" t="s">
        <v>14183</v>
      </c>
      <c r="DP1395">
        <v>0</v>
      </c>
      <c r="DQ1395">
        <v>0</v>
      </c>
      <c r="DR1395" t="s">
        <v>411</v>
      </c>
      <c r="DS1395" t="b">
        <v>1</v>
      </c>
      <c r="DT1395" t="s">
        <v>470</v>
      </c>
      <c r="DU1395" t="s">
        <v>471</v>
      </c>
      <c r="DV1395" t="s">
        <v>472</v>
      </c>
      <c r="DX1395">
        <v>-9999</v>
      </c>
      <c r="DZ1395" t="s">
        <v>447</v>
      </c>
      <c r="EA1395" t="s">
        <v>448</v>
      </c>
      <c r="EB1395" t="s">
        <v>742</v>
      </c>
      <c r="EC1395">
        <v>20101217</v>
      </c>
      <c r="ED1395" t="s">
        <v>474</v>
      </c>
      <c r="EF1395">
        <v>94.9</v>
      </c>
      <c r="EG1395">
        <v>39.5</v>
      </c>
      <c r="EH1395" t="s">
        <v>451</v>
      </c>
      <c r="EI1395">
        <v>20140731</v>
      </c>
      <c r="EJ1395">
        <v>0</v>
      </c>
      <c r="EK1395">
        <v>0</v>
      </c>
      <c r="EP1395" t="s">
        <v>421</v>
      </c>
      <c r="EQ1395" t="s">
        <v>422</v>
      </c>
      <c r="ER1395">
        <v>1</v>
      </c>
      <c r="ES1395">
        <v>1</v>
      </c>
      <c r="ET1395">
        <v>193.03</v>
      </c>
      <c r="EU1395">
        <v>25.07</v>
      </c>
      <c r="EV1395">
        <v>218.1</v>
      </c>
      <c r="EW1395" s="2">
        <v>43222</v>
      </c>
      <c r="EX1395" s="1">
        <v>42879</v>
      </c>
      <c r="EY1395">
        <v>2016</v>
      </c>
      <c r="EZ1395">
        <v>193.03</v>
      </c>
      <c r="FA1395" t="s">
        <v>14184</v>
      </c>
      <c r="FB1395">
        <v>9.75</v>
      </c>
      <c r="FC1395" t="s">
        <v>424</v>
      </c>
      <c r="FD1395" t="s">
        <v>454</v>
      </c>
      <c r="FF1395">
        <v>12</v>
      </c>
      <c r="FG1395">
        <v>10021</v>
      </c>
      <c r="FH1395" t="s">
        <v>597</v>
      </c>
      <c r="FJ1395" s="1">
        <v>42151</v>
      </c>
      <c r="FK1395">
        <v>2014</v>
      </c>
      <c r="FL1395">
        <v>192.91</v>
      </c>
      <c r="FM1395" t="s">
        <v>14185</v>
      </c>
      <c r="FN1395">
        <v>5.5</v>
      </c>
      <c r="FO1395" t="s">
        <v>424</v>
      </c>
      <c r="FP1395" t="s">
        <v>425</v>
      </c>
      <c r="FQ1395" s="1">
        <v>42577</v>
      </c>
      <c r="FR1395">
        <v>14</v>
      </c>
      <c r="FS1395">
        <v>10125</v>
      </c>
      <c r="FT1395" t="s">
        <v>440</v>
      </c>
    </row>
    <row r="1396" spans="1:284" x14ac:dyDescent="0.25">
      <c r="A1396">
        <v>16486403</v>
      </c>
      <c r="B1396">
        <v>1395</v>
      </c>
      <c r="C1396" t="s">
        <v>393</v>
      </c>
      <c r="D1396" t="s">
        <v>394</v>
      </c>
      <c r="F1396" t="str">
        <f>"37-3N-27-4680-0004-0110"</f>
        <v>37-3N-27-4680-0004-0110</v>
      </c>
      <c r="H1396" t="str">
        <f>"WAREH F"</f>
        <v>WAREH F</v>
      </c>
      <c r="I1396" t="str">
        <f>"3660 PIZARRO ROAD"</f>
        <v>3660 PIZARRO ROAD</v>
      </c>
      <c r="J1396" t="str">
        <f>"JACKSONVILLE FL 32217"</f>
        <v>JACKSONVILLE FL 32217</v>
      </c>
      <c r="K1396" t="str">
        <f>"ROSES BLUFF RD"</f>
        <v>ROSES BLUFF RD</v>
      </c>
      <c r="L1396" t="str">
        <f t="shared" si="456"/>
        <v>YULEE FL 32097</v>
      </c>
      <c r="M1396" t="str">
        <f>"PT OF LOT 4 IN OR 1932/802 SUB OF HM THIGPEN DB 39/356"</f>
        <v>PT OF LOT 4 IN OR 1932/802 SUB OF HM THIGPEN DB 39/356</v>
      </c>
      <c r="N1396" t="str">
        <f>""</f>
        <v/>
      </c>
      <c r="O1396" t="str">
        <f>"44216"</f>
        <v>44216</v>
      </c>
      <c r="P1396" t="str">
        <f t="shared" si="467"/>
        <v>2017</v>
      </c>
      <c r="Q1396" t="str">
        <f>""</f>
        <v/>
      </c>
      <c r="R1396" t="str">
        <f t="shared" si="477"/>
        <v>N</v>
      </c>
      <c r="S1396" t="str">
        <f>"2.83"</f>
        <v>2.83</v>
      </c>
      <c r="T1396" t="str">
        <f>"642.65"</f>
        <v>642.65</v>
      </c>
      <c r="U1396" t="str">
        <f>"42450.00"</f>
        <v>42450.00</v>
      </c>
      <c r="V1396" t="str">
        <f>"42450.00"</f>
        <v>42450.00</v>
      </c>
      <c r="W1396" t="str">
        <f t="shared" si="468"/>
        <v>2017</v>
      </c>
      <c r="X1396" t="str">
        <f>"22.67"</f>
        <v>22.67</v>
      </c>
      <c r="Y1396" t="str">
        <f>"693.93"</f>
        <v>693.93</v>
      </c>
      <c r="Z1396" t="str">
        <f>""</f>
        <v/>
      </c>
      <c r="AA1396" t="str">
        <f>"42450.00"</f>
        <v>42450.00</v>
      </c>
      <c r="AB1396" t="str">
        <f t="shared" si="478"/>
        <v>Residential</v>
      </c>
      <c r="AC1396" t="str">
        <f t="shared" si="475"/>
        <v>0</v>
      </c>
      <c r="AD1396" t="str">
        <f>""</f>
        <v/>
      </c>
      <c r="AE1396" t="str">
        <f>""</f>
        <v/>
      </c>
      <c r="AF1396" t="str">
        <f t="shared" si="489"/>
        <v>000</v>
      </c>
      <c r="AG1396" t="str">
        <f t="shared" si="479"/>
        <v>FL</v>
      </c>
      <c r="AH1396" t="str">
        <f>"123274.00"</f>
        <v>123274.00</v>
      </c>
      <c r="AI1396" t="str">
        <f>"42450.00"</f>
        <v>42450.00</v>
      </c>
      <c r="AJ1396" t="str">
        <f>"C55-000-587-9889-3"</f>
        <v>C55-000-587-9889-3</v>
      </c>
      <c r="AK1396" t="str">
        <f>"23615"</f>
        <v>23615</v>
      </c>
      <c r="AL1396">
        <v>5</v>
      </c>
      <c r="AM1396">
        <v>1597</v>
      </c>
      <c r="AN1396">
        <v>727.03</v>
      </c>
      <c r="AQ1396" t="s">
        <v>14186</v>
      </c>
      <c r="AR1396" t="s">
        <v>14186</v>
      </c>
      <c r="AS1396" t="s">
        <v>14186</v>
      </c>
      <c r="AU1396" t="s">
        <v>396</v>
      </c>
      <c r="AV1396">
        <v>2017</v>
      </c>
      <c r="AW1396" t="str">
        <f>"37-3N-27-4680-0004-0110 "</f>
        <v xml:space="preserve">37-3N-27-4680-0004-0110 </v>
      </c>
      <c r="AZ1396" t="s">
        <v>14187</v>
      </c>
      <c r="BA1396" t="s">
        <v>496</v>
      </c>
      <c r="BD1396" t="s">
        <v>2387</v>
      </c>
      <c r="BE1396" t="s">
        <v>393</v>
      </c>
      <c r="BF1396">
        <v>32097</v>
      </c>
      <c r="BG1396" t="s">
        <v>14188</v>
      </c>
      <c r="BH1396" t="s">
        <v>2388</v>
      </c>
      <c r="BI1396">
        <v>-81.549098646865204</v>
      </c>
      <c r="BJ1396">
        <v>30.677169965418901</v>
      </c>
      <c r="BK1396" t="s">
        <v>14189</v>
      </c>
      <c r="BM1396" t="s">
        <v>14190</v>
      </c>
      <c r="BN1396" t="s">
        <v>548</v>
      </c>
      <c r="BO1396">
        <v>32217</v>
      </c>
      <c r="BP1396" t="s">
        <v>404</v>
      </c>
      <c r="BQ1396">
        <v>0</v>
      </c>
      <c r="BR1396" t="s">
        <v>491</v>
      </c>
      <c r="BS1396">
        <v>8001</v>
      </c>
      <c r="BT1396" t="s">
        <v>492</v>
      </c>
      <c r="BW1396">
        <v>123274</v>
      </c>
      <c r="BX1396" t="s">
        <v>407</v>
      </c>
      <c r="BY1396" t="s">
        <v>408</v>
      </c>
      <c r="CD1396">
        <v>2017</v>
      </c>
      <c r="CE1396">
        <v>42450</v>
      </c>
      <c r="CG1396">
        <v>42450</v>
      </c>
      <c r="CH1396">
        <v>2017</v>
      </c>
      <c r="CI1396">
        <v>42450</v>
      </c>
      <c r="CK1396">
        <v>42450</v>
      </c>
      <c r="CL1396">
        <v>2017</v>
      </c>
      <c r="CM1396">
        <v>642.65</v>
      </c>
      <c r="CN1396" s="1">
        <v>41865</v>
      </c>
      <c r="CZ1396" s="1">
        <v>41865</v>
      </c>
      <c r="DD1396" t="s">
        <v>2387</v>
      </c>
      <c r="DF1396">
        <v>4</v>
      </c>
      <c r="DG1396">
        <v>37</v>
      </c>
      <c r="DL1396">
        <v>50301</v>
      </c>
      <c r="DM1396" t="s">
        <v>14156</v>
      </c>
      <c r="DO1396" t="s">
        <v>14191</v>
      </c>
      <c r="DP1396">
        <v>0</v>
      </c>
      <c r="DQ1396">
        <v>0</v>
      </c>
      <c r="DR1396" t="s">
        <v>411</v>
      </c>
      <c r="EP1396" t="s">
        <v>421</v>
      </c>
      <c r="EQ1396" t="s">
        <v>422</v>
      </c>
      <c r="ER1396">
        <v>0</v>
      </c>
      <c r="ES1396">
        <v>5</v>
      </c>
      <c r="ET1396">
        <v>0</v>
      </c>
      <c r="EU1396">
        <v>0</v>
      </c>
      <c r="EV1396">
        <v>0</v>
      </c>
      <c r="EW1396" s="2">
        <v>43222</v>
      </c>
      <c r="EX1396" s="1">
        <v>41787</v>
      </c>
      <c r="EY1396">
        <v>2013</v>
      </c>
      <c r="EZ1396">
        <v>708.73</v>
      </c>
      <c r="FA1396" t="s">
        <v>14192</v>
      </c>
      <c r="FB1396">
        <v>3</v>
      </c>
      <c r="FC1396" t="s">
        <v>424</v>
      </c>
      <c r="FD1396" t="s">
        <v>425</v>
      </c>
      <c r="FE1396" s="1">
        <v>41865</v>
      </c>
      <c r="FF1396">
        <v>3</v>
      </c>
      <c r="FG1396">
        <v>10125</v>
      </c>
      <c r="FH1396" t="s">
        <v>440</v>
      </c>
      <c r="FJ1396" s="1">
        <v>41423</v>
      </c>
      <c r="FK1396">
        <v>2012</v>
      </c>
      <c r="FL1396">
        <v>717.31</v>
      </c>
      <c r="FM1396" t="s">
        <v>14193</v>
      </c>
      <c r="FN1396">
        <v>2.75</v>
      </c>
      <c r="FO1396" t="s">
        <v>424</v>
      </c>
      <c r="FP1396" t="s">
        <v>425</v>
      </c>
      <c r="FQ1396" s="1">
        <v>41865</v>
      </c>
      <c r="FR1396">
        <v>15</v>
      </c>
      <c r="FS1396">
        <v>1625515</v>
      </c>
      <c r="FT1396" t="s">
        <v>487</v>
      </c>
      <c r="FV1396" s="1">
        <v>41052</v>
      </c>
      <c r="FW1396">
        <v>2011</v>
      </c>
      <c r="FX1396">
        <v>862.98</v>
      </c>
      <c r="FY1396" t="s">
        <v>14194</v>
      </c>
      <c r="FZ1396">
        <v>6</v>
      </c>
      <c r="GA1396" t="s">
        <v>424</v>
      </c>
      <c r="GB1396" t="s">
        <v>425</v>
      </c>
      <c r="GC1396" s="1">
        <v>41695</v>
      </c>
      <c r="GD1396">
        <v>21</v>
      </c>
      <c r="GE1396">
        <v>1109</v>
      </c>
      <c r="GF1396" t="s">
        <v>852</v>
      </c>
      <c r="GH1396" s="1">
        <v>40688</v>
      </c>
      <c r="GI1396">
        <v>2010</v>
      </c>
      <c r="GJ1396">
        <v>1108.49</v>
      </c>
      <c r="GK1396" t="s">
        <v>14195</v>
      </c>
      <c r="GL1396">
        <v>6</v>
      </c>
      <c r="GM1396" t="s">
        <v>424</v>
      </c>
      <c r="GN1396" t="s">
        <v>425</v>
      </c>
      <c r="GO1396" s="1">
        <v>41695</v>
      </c>
      <c r="GP1396">
        <v>33</v>
      </c>
      <c r="GQ1396">
        <v>375</v>
      </c>
      <c r="GR1396" t="s">
        <v>776</v>
      </c>
      <c r="GT1396" s="1">
        <v>40688</v>
      </c>
      <c r="GU1396">
        <v>2010</v>
      </c>
      <c r="GV1396">
        <v>1108.49</v>
      </c>
      <c r="GW1396" t="s">
        <v>14195</v>
      </c>
      <c r="GX1396">
        <v>6</v>
      </c>
      <c r="GY1396" t="s">
        <v>424</v>
      </c>
      <c r="GZ1396" t="s">
        <v>425</v>
      </c>
      <c r="HB1396">
        <v>22</v>
      </c>
      <c r="HC1396">
        <v>105</v>
      </c>
      <c r="HD1396" t="s">
        <v>946</v>
      </c>
    </row>
    <row r="1397" spans="1:284" x14ac:dyDescent="0.25">
      <c r="A1397">
        <v>16486404</v>
      </c>
      <c r="B1397">
        <v>1396</v>
      </c>
      <c r="C1397" t="s">
        <v>393</v>
      </c>
      <c r="D1397" t="s">
        <v>394</v>
      </c>
      <c r="F1397" t="str">
        <f>"37-3N-27-4680-0004-0150"</f>
        <v>37-3N-27-4680-0004-0150</v>
      </c>
      <c r="H1397" t="str">
        <f>"AMERICAN RECOVERY CORPORATION INC OF USA"</f>
        <v>AMERICAN RECOVERY CORPORATION INC OF USA</v>
      </c>
      <c r="I1397" t="str">
        <f>"2200 BAYVIEW ROAD"</f>
        <v>2200 BAYVIEW ROAD</v>
      </c>
      <c r="J1397" t="str">
        <f>"JACKSONVILLE FL 32210"</f>
        <v>JACKSONVILLE FL 32210</v>
      </c>
      <c r="K1397" t="str">
        <f>"87581 ROSES BLUFF RD"</f>
        <v>87581 ROSES BLUFF RD</v>
      </c>
      <c r="L1397" t="str">
        <f t="shared" si="456"/>
        <v>YULEE FL 32097</v>
      </c>
      <c r="M1397" t="str">
        <f>"PT OF LOT 4 IN OR 1965/879 1994 SKLY TW/MH SUB OF HM THIGPEN DB 39/356"</f>
        <v>PT OF LOT 4 IN OR 1965/879 1994 SKLY TW/MH SUB OF HM THIGPEN DB 39/356</v>
      </c>
      <c r="N1397" t="str">
        <f>""</f>
        <v/>
      </c>
      <c r="O1397" t="str">
        <f>"44220"</f>
        <v>44220</v>
      </c>
      <c r="P1397" t="str">
        <f t="shared" si="467"/>
        <v>2017</v>
      </c>
      <c r="Q1397" t="str">
        <f>""</f>
        <v/>
      </c>
      <c r="R1397" t="str">
        <f t="shared" si="477"/>
        <v>N</v>
      </c>
      <c r="S1397" t="str">
        <f>"1.50"</f>
        <v>1.50</v>
      </c>
      <c r="T1397" t="str">
        <f>"1113.73"</f>
        <v>1113.73</v>
      </c>
      <c r="U1397" t="str">
        <f>"69817.00"</f>
        <v>69817.00</v>
      </c>
      <c r="V1397" t="str">
        <f>"69817.00"</f>
        <v>69817.00</v>
      </c>
      <c r="W1397" t="str">
        <f t="shared" si="468"/>
        <v>2017</v>
      </c>
      <c r="X1397" t="str">
        <f>"14.80"</f>
        <v>14.80</v>
      </c>
      <c r="Y1397" t="str">
        <f>"1179.14"</f>
        <v>1179.14</v>
      </c>
      <c r="Z1397" t="str">
        <f>""</f>
        <v/>
      </c>
      <c r="AA1397" t="str">
        <f>"78424.00"</f>
        <v>78424.00</v>
      </c>
      <c r="AB1397" t="str">
        <f t="shared" si="478"/>
        <v>Residential</v>
      </c>
      <c r="AC1397" t="str">
        <f t="shared" si="475"/>
        <v>0</v>
      </c>
      <c r="AD1397" t="str">
        <f>"4"</f>
        <v>4</v>
      </c>
      <c r="AE1397" t="str">
        <f>"WOOD (INCLUDE STEEL STUDS)"</f>
        <v>WOOD (INCLUDE STEEL STUDS)</v>
      </c>
      <c r="AF1397" t="str">
        <f>"002"</f>
        <v>002</v>
      </c>
      <c r="AG1397" t="str">
        <f t="shared" si="479"/>
        <v>FL</v>
      </c>
      <c r="AH1397" t="str">
        <f>"65340.00"</f>
        <v>65340.00</v>
      </c>
      <c r="AI1397" t="str">
        <f>"31875.00"</f>
        <v>31875.00</v>
      </c>
      <c r="AJ1397" t="str">
        <f>"C55-000-587-9893-5"</f>
        <v>C55-000-587-9893-5</v>
      </c>
      <c r="AK1397" t="str">
        <f>"23619"</f>
        <v>23619</v>
      </c>
      <c r="AL1397">
        <v>5</v>
      </c>
      <c r="AM1397">
        <v>1598</v>
      </c>
      <c r="AN1397">
        <v>1236.5</v>
      </c>
      <c r="AQ1397" t="s">
        <v>14196</v>
      </c>
      <c r="AR1397" t="s">
        <v>14196</v>
      </c>
      <c r="AS1397" t="s">
        <v>14196</v>
      </c>
      <c r="AU1397" t="s">
        <v>396</v>
      </c>
      <c r="AV1397">
        <v>2017</v>
      </c>
      <c r="AW1397" t="str">
        <f>"37-3N-27-4680-0004-0150 "</f>
        <v xml:space="preserve">37-3N-27-4680-0004-0150 </v>
      </c>
      <c r="AX1397">
        <v>87581</v>
      </c>
      <c r="AZ1397" t="s">
        <v>14187</v>
      </c>
      <c r="BA1397" t="s">
        <v>496</v>
      </c>
      <c r="BD1397" t="s">
        <v>2387</v>
      </c>
      <c r="BE1397" t="s">
        <v>393</v>
      </c>
      <c r="BF1397">
        <v>32097</v>
      </c>
      <c r="BG1397" t="s">
        <v>14197</v>
      </c>
      <c r="BH1397" t="s">
        <v>2388</v>
      </c>
      <c r="BI1397">
        <v>-81.550611739363802</v>
      </c>
      <c r="BJ1397">
        <v>30.676896668433301</v>
      </c>
      <c r="BK1397" t="s">
        <v>14198</v>
      </c>
      <c r="BM1397" t="s">
        <v>14199</v>
      </c>
      <c r="BN1397" t="s">
        <v>548</v>
      </c>
      <c r="BO1397">
        <v>32210</v>
      </c>
      <c r="BP1397" t="s">
        <v>404</v>
      </c>
      <c r="BQ1397">
        <v>200</v>
      </c>
      <c r="BR1397" t="s">
        <v>405</v>
      </c>
      <c r="BS1397">
        <v>1006</v>
      </c>
      <c r="BT1397" t="s">
        <v>406</v>
      </c>
      <c r="BW1397">
        <v>65340</v>
      </c>
      <c r="BX1397" t="s">
        <v>407</v>
      </c>
      <c r="BY1397" t="s">
        <v>408</v>
      </c>
      <c r="BZ1397">
        <v>4</v>
      </c>
      <c r="CA1397">
        <v>1994</v>
      </c>
      <c r="CB1397">
        <v>1</v>
      </c>
      <c r="CC1397">
        <v>1</v>
      </c>
      <c r="CD1397">
        <v>2017</v>
      </c>
      <c r="CE1397">
        <v>31875</v>
      </c>
      <c r="CF1397">
        <v>46549</v>
      </c>
      <c r="CG1397">
        <v>78424</v>
      </c>
      <c r="CH1397">
        <v>2017</v>
      </c>
      <c r="CI1397">
        <v>31875</v>
      </c>
      <c r="CJ1397">
        <v>46549</v>
      </c>
      <c r="CK1397">
        <v>78424</v>
      </c>
      <c r="CL1397">
        <v>2017</v>
      </c>
      <c r="CM1397">
        <v>1113.73</v>
      </c>
      <c r="CN1397" s="1">
        <v>37634</v>
      </c>
      <c r="CO1397">
        <v>100000</v>
      </c>
      <c r="CV1397">
        <v>80000</v>
      </c>
      <c r="CZ1397" s="1">
        <v>37634</v>
      </c>
      <c r="DA1397">
        <v>0</v>
      </c>
      <c r="DD1397" t="s">
        <v>2387</v>
      </c>
      <c r="DF1397">
        <v>4</v>
      </c>
      <c r="DG1397">
        <v>37</v>
      </c>
      <c r="DL1397">
        <v>50301</v>
      </c>
      <c r="DM1397" t="s">
        <v>14156</v>
      </c>
      <c r="DO1397" t="s">
        <v>14200</v>
      </c>
      <c r="DP1397">
        <v>0</v>
      </c>
      <c r="DQ1397">
        <v>0</v>
      </c>
      <c r="DR1397" t="s">
        <v>411</v>
      </c>
      <c r="DS1397" t="b">
        <v>1</v>
      </c>
      <c r="DT1397" t="s">
        <v>470</v>
      </c>
      <c r="DU1397" t="s">
        <v>471</v>
      </c>
      <c r="DV1397" t="s">
        <v>472</v>
      </c>
      <c r="DX1397">
        <v>-9999</v>
      </c>
      <c r="DZ1397" t="s">
        <v>447</v>
      </c>
      <c r="EA1397" t="s">
        <v>448</v>
      </c>
      <c r="EB1397" t="s">
        <v>742</v>
      </c>
      <c r="EC1397">
        <v>20101217</v>
      </c>
      <c r="ED1397" t="s">
        <v>474</v>
      </c>
      <c r="EF1397">
        <v>103.1</v>
      </c>
      <c r="EG1397">
        <v>62.4</v>
      </c>
      <c r="EI1397">
        <v>20160407</v>
      </c>
      <c r="EJ1397">
        <v>0</v>
      </c>
      <c r="EK1397">
        <v>0</v>
      </c>
      <c r="EP1397" t="s">
        <v>421</v>
      </c>
      <c r="EQ1397" t="s">
        <v>422</v>
      </c>
      <c r="ER1397">
        <v>2</v>
      </c>
      <c r="ES1397">
        <v>5</v>
      </c>
      <c r="ET1397">
        <v>2166.84</v>
      </c>
      <c r="EU1397">
        <v>120.84</v>
      </c>
      <c r="EV1397">
        <v>2287.6799999999998</v>
      </c>
      <c r="EW1397" s="2">
        <v>43222</v>
      </c>
      <c r="EX1397" s="1">
        <v>42879</v>
      </c>
      <c r="EY1397">
        <v>2016</v>
      </c>
      <c r="EZ1397">
        <v>1083.42</v>
      </c>
      <c r="FA1397" t="s">
        <v>14201</v>
      </c>
      <c r="FB1397">
        <v>0.25</v>
      </c>
      <c r="FC1397" t="s">
        <v>424</v>
      </c>
      <c r="FD1397" t="s">
        <v>454</v>
      </c>
      <c r="FF1397">
        <v>12</v>
      </c>
      <c r="FG1397">
        <v>7336671</v>
      </c>
      <c r="FH1397" t="s">
        <v>437</v>
      </c>
      <c r="FJ1397" s="1">
        <v>42879</v>
      </c>
      <c r="FK1397">
        <v>2016</v>
      </c>
      <c r="FL1397">
        <v>1083.42</v>
      </c>
      <c r="FM1397" t="s">
        <v>14201</v>
      </c>
      <c r="FN1397">
        <v>0.25</v>
      </c>
      <c r="FO1397" t="s">
        <v>424</v>
      </c>
      <c r="FP1397" t="s">
        <v>454</v>
      </c>
      <c r="FR1397">
        <v>12</v>
      </c>
      <c r="FS1397">
        <v>6996023</v>
      </c>
      <c r="FT1397" t="s">
        <v>14202</v>
      </c>
      <c r="FV1397" s="1">
        <v>42515</v>
      </c>
      <c r="FW1397">
        <v>2015</v>
      </c>
      <c r="FX1397">
        <v>1251.96</v>
      </c>
      <c r="FY1397" t="s">
        <v>14203</v>
      </c>
      <c r="FZ1397">
        <v>0.25</v>
      </c>
      <c r="GA1397" t="s">
        <v>424</v>
      </c>
      <c r="GB1397" t="s">
        <v>425</v>
      </c>
      <c r="GC1397" s="1">
        <v>43153</v>
      </c>
      <c r="GD1397">
        <v>21</v>
      </c>
      <c r="GE1397">
        <v>7336671</v>
      </c>
      <c r="GF1397" t="s">
        <v>437</v>
      </c>
      <c r="GH1397" s="1">
        <v>42515</v>
      </c>
      <c r="GI1397">
        <v>2015</v>
      </c>
      <c r="GJ1397">
        <v>1251.96</v>
      </c>
      <c r="GK1397" t="s">
        <v>14203</v>
      </c>
      <c r="GL1397">
        <v>0.25</v>
      </c>
      <c r="GM1397" t="s">
        <v>424</v>
      </c>
      <c r="GN1397" t="s">
        <v>425</v>
      </c>
      <c r="GP1397">
        <v>22</v>
      </c>
      <c r="GQ1397">
        <v>6974178</v>
      </c>
      <c r="GR1397" t="s">
        <v>14204</v>
      </c>
      <c r="GT1397" s="1">
        <v>42151</v>
      </c>
      <c r="GU1397">
        <v>2014</v>
      </c>
      <c r="GV1397">
        <v>1138.56</v>
      </c>
      <c r="GW1397" t="s">
        <v>14205</v>
      </c>
      <c r="GX1397">
        <v>0.25</v>
      </c>
      <c r="GY1397" t="s">
        <v>424</v>
      </c>
      <c r="GZ1397" t="s">
        <v>425</v>
      </c>
      <c r="HA1397" s="1">
        <v>42788</v>
      </c>
      <c r="HB1397">
        <v>21</v>
      </c>
      <c r="HC1397">
        <v>4975594</v>
      </c>
      <c r="HD1397" t="s">
        <v>457</v>
      </c>
      <c r="HF1397" s="1">
        <v>42151</v>
      </c>
      <c r="HG1397">
        <v>2014</v>
      </c>
      <c r="HH1397">
        <v>1138.56</v>
      </c>
      <c r="HI1397" t="s">
        <v>14205</v>
      </c>
      <c r="HJ1397">
        <v>0.25</v>
      </c>
      <c r="HK1397" t="s">
        <v>424</v>
      </c>
      <c r="HL1397" t="s">
        <v>425</v>
      </c>
      <c r="HN1397">
        <v>22</v>
      </c>
      <c r="HO1397">
        <v>6428897</v>
      </c>
      <c r="HP1397" t="s">
        <v>14206</v>
      </c>
      <c r="HR1397" s="1">
        <v>41787</v>
      </c>
      <c r="HS1397">
        <v>2013</v>
      </c>
      <c r="HT1397">
        <v>1311.47</v>
      </c>
      <c r="HU1397" t="s">
        <v>14207</v>
      </c>
      <c r="HV1397">
        <v>0.25</v>
      </c>
      <c r="HW1397" t="s">
        <v>424</v>
      </c>
      <c r="HX1397" t="s">
        <v>425</v>
      </c>
      <c r="HY1397" s="1">
        <v>42424</v>
      </c>
      <c r="HZ1397">
        <v>21</v>
      </c>
      <c r="IA1397">
        <v>2407503</v>
      </c>
      <c r="IB1397" t="s">
        <v>461</v>
      </c>
    </row>
    <row r="1398" spans="1:284" x14ac:dyDescent="0.25">
      <c r="A1398">
        <v>16486405</v>
      </c>
      <c r="B1398">
        <v>1397</v>
      </c>
      <c r="C1398" t="s">
        <v>393</v>
      </c>
      <c r="D1398" t="s">
        <v>394</v>
      </c>
      <c r="F1398" t="str">
        <f>"38-3N-27-4690-0010-0000"</f>
        <v>38-3N-27-4690-0010-0000</v>
      </c>
      <c r="H1398" t="str">
        <f>"LAWRENCE LYNDA JEAN &amp; BONNIE LOU TOLBERT LITEBORN &amp; TED TOLBERT (JT/RS)"</f>
        <v>LAWRENCE LYNDA JEAN &amp; BONNIE LOU TOLBERT LITEBORN &amp; TED TOLBERT (JT/RS)</v>
      </c>
      <c r="I1398" t="str">
        <f>""</f>
        <v/>
      </c>
      <c r="J1398" t="str">
        <f>"YULEE FL 32097"</f>
        <v>YULEE FL 32097</v>
      </c>
      <c r="K1398" t="str">
        <f>"87509 HAVEN RD"</f>
        <v>87509 HAVEN RD</v>
      </c>
      <c r="L1398" t="str">
        <f t="shared" si="456"/>
        <v>YULEE FL 32097</v>
      </c>
      <c r="M1398" t="str">
        <f>"LOT 10 OR 612/464 &amp; OR 819/365 MH/ID GAFLW75A34279WT21 HAVEN FOREST UNR"</f>
        <v>LOT 10 OR 612/464 &amp; OR 819/365 MH/ID GAFLW75A34279WT21 HAVEN FOREST UNR</v>
      </c>
      <c r="N1398" t="str">
        <f>""</f>
        <v/>
      </c>
      <c r="O1398" t="str">
        <f>"45730"</f>
        <v>45730</v>
      </c>
      <c r="P1398" t="str">
        <f t="shared" si="467"/>
        <v>2017</v>
      </c>
      <c r="Q1398" t="str">
        <f>""</f>
        <v/>
      </c>
      <c r="R1398" t="str">
        <f>"Y"</f>
        <v>Y</v>
      </c>
      <c r="S1398" t="str">
        <f>"1.52"</f>
        <v>1.52</v>
      </c>
      <c r="T1398" t="str">
        <f>"427.44"</f>
        <v>427.44</v>
      </c>
      <c r="U1398" t="str">
        <f>"57420.00"</f>
        <v>57420.00</v>
      </c>
      <c r="V1398" t="str">
        <f>"57420.00"</f>
        <v>57420.00</v>
      </c>
      <c r="W1398" t="str">
        <f t="shared" si="468"/>
        <v>2017</v>
      </c>
      <c r="X1398" t="str">
        <f>"8.00"</f>
        <v>8.00</v>
      </c>
      <c r="Y1398" t="str">
        <f>"472.26"</f>
        <v>472.26</v>
      </c>
      <c r="Z1398" t="str">
        <f>"25000.00"</f>
        <v>25000.00</v>
      </c>
      <c r="AA1398" t="str">
        <f>"32420.00"</f>
        <v>32420.00</v>
      </c>
      <c r="AB1398" t="str">
        <f t="shared" si="478"/>
        <v>Residential</v>
      </c>
      <c r="AC1398" t="str">
        <f t="shared" si="475"/>
        <v>0</v>
      </c>
      <c r="AD1398" t="str">
        <f>"4"</f>
        <v>4</v>
      </c>
      <c r="AE1398" t="str">
        <f>"WOOD (INCLUDE STEEL STUDS)"</f>
        <v>WOOD (INCLUDE STEEL STUDS)</v>
      </c>
      <c r="AF1398" t="str">
        <f>"002"</f>
        <v>002</v>
      </c>
      <c r="AG1398" t="str">
        <f t="shared" si="479"/>
        <v>FL</v>
      </c>
      <c r="AH1398" t="str">
        <f>"66211.00"</f>
        <v>66211.00</v>
      </c>
      <c r="AI1398" t="str">
        <f>"38000.00"</f>
        <v>38000.00</v>
      </c>
      <c r="AJ1398" t="str">
        <f>"C55-000-588-0487-3"</f>
        <v>C55-000-588-0487-3</v>
      </c>
      <c r="AK1398" t="str">
        <f>"23647"</f>
        <v>23647</v>
      </c>
      <c r="AL1398">
        <v>5</v>
      </c>
      <c r="AM1398">
        <v>1599</v>
      </c>
      <c r="AN1398">
        <v>494.27</v>
      </c>
      <c r="AQ1398" t="s">
        <v>14208</v>
      </c>
      <c r="AR1398" t="s">
        <v>14208</v>
      </c>
      <c r="AS1398" t="s">
        <v>14208</v>
      </c>
      <c r="AU1398" t="s">
        <v>396</v>
      </c>
      <c r="AV1398">
        <v>2017</v>
      </c>
      <c r="AW1398" t="str">
        <f>"38-3N-27-4690-0010-0000 "</f>
        <v xml:space="preserve">38-3N-27-4690-0010-0000 </v>
      </c>
      <c r="AX1398">
        <v>87509</v>
      </c>
      <c r="AZ1398" t="s">
        <v>14209</v>
      </c>
      <c r="BA1398" t="s">
        <v>496</v>
      </c>
      <c r="BD1398" t="s">
        <v>2387</v>
      </c>
      <c r="BE1398" t="s">
        <v>393</v>
      </c>
      <c r="BF1398">
        <v>32097</v>
      </c>
      <c r="BG1398" t="s">
        <v>14210</v>
      </c>
      <c r="BH1398" t="s">
        <v>2388</v>
      </c>
      <c r="BI1398">
        <v>-81.553358448845202</v>
      </c>
      <c r="BJ1398">
        <v>30.6836517795216</v>
      </c>
      <c r="BK1398" t="s">
        <v>14211</v>
      </c>
      <c r="BM1398" t="s">
        <v>14210</v>
      </c>
      <c r="BN1398" t="s">
        <v>1778</v>
      </c>
      <c r="BO1398">
        <v>32097</v>
      </c>
      <c r="BP1398" t="s">
        <v>416</v>
      </c>
      <c r="BQ1398">
        <v>200</v>
      </c>
      <c r="BR1398" t="s">
        <v>405</v>
      </c>
      <c r="BS1398">
        <v>1006</v>
      </c>
      <c r="BT1398" t="s">
        <v>406</v>
      </c>
      <c r="BW1398">
        <v>66211</v>
      </c>
      <c r="BX1398" t="s">
        <v>407</v>
      </c>
      <c r="BY1398" t="s">
        <v>408</v>
      </c>
      <c r="BZ1398">
        <v>4</v>
      </c>
      <c r="CA1398">
        <v>1999</v>
      </c>
      <c r="CB1398">
        <v>1</v>
      </c>
      <c r="CC1398">
        <v>1</v>
      </c>
      <c r="CD1398">
        <v>2017</v>
      </c>
      <c r="CG1398">
        <v>57420</v>
      </c>
      <c r="CH1398">
        <v>2017</v>
      </c>
      <c r="CI1398">
        <v>38000</v>
      </c>
      <c r="CJ1398">
        <v>28635</v>
      </c>
      <c r="CK1398">
        <v>66635</v>
      </c>
      <c r="CL1398">
        <v>2017</v>
      </c>
      <c r="CM1398">
        <v>427.44</v>
      </c>
      <c r="CN1398" s="1">
        <v>35804</v>
      </c>
      <c r="CZ1398" s="1">
        <v>35804</v>
      </c>
      <c r="DD1398" t="s">
        <v>2387</v>
      </c>
      <c r="DF1398">
        <v>10</v>
      </c>
      <c r="DG1398">
        <v>38</v>
      </c>
      <c r="DL1398">
        <v>50301</v>
      </c>
      <c r="DM1398" t="s">
        <v>14212</v>
      </c>
      <c r="DO1398" t="s">
        <v>14213</v>
      </c>
      <c r="DP1398">
        <v>0</v>
      </c>
      <c r="DQ1398">
        <v>0</v>
      </c>
      <c r="DR1398" t="s">
        <v>411</v>
      </c>
      <c r="DS1398" t="b">
        <v>1</v>
      </c>
      <c r="DT1398" t="s">
        <v>470</v>
      </c>
      <c r="DU1398" t="s">
        <v>471</v>
      </c>
      <c r="DV1398" t="s">
        <v>472</v>
      </c>
      <c r="DX1398">
        <v>-9999</v>
      </c>
      <c r="DZ1398" t="s">
        <v>447</v>
      </c>
      <c r="EA1398" t="s">
        <v>448</v>
      </c>
      <c r="EB1398" t="s">
        <v>742</v>
      </c>
      <c r="EC1398">
        <v>20101217</v>
      </c>
      <c r="ED1398" t="s">
        <v>474</v>
      </c>
      <c r="EF1398">
        <v>922.8</v>
      </c>
      <c r="EG1398">
        <v>577.29999999999995</v>
      </c>
      <c r="EI1398">
        <v>20160407</v>
      </c>
      <c r="EJ1398">
        <v>0</v>
      </c>
      <c r="EK1398">
        <v>0</v>
      </c>
      <c r="EP1398" t="s">
        <v>421</v>
      </c>
      <c r="EQ1398" t="s">
        <v>422</v>
      </c>
      <c r="ER1398">
        <v>2</v>
      </c>
      <c r="ES1398">
        <v>3</v>
      </c>
      <c r="ET1398">
        <v>975.82</v>
      </c>
      <c r="EU1398">
        <v>61.29</v>
      </c>
      <c r="EV1398">
        <v>1037.1099999999999</v>
      </c>
      <c r="EW1398" s="2">
        <v>43222</v>
      </c>
      <c r="EX1398" s="1">
        <v>42879</v>
      </c>
      <c r="EY1398">
        <v>2016</v>
      </c>
      <c r="EZ1398">
        <v>487.91</v>
      </c>
      <c r="FA1398" t="s">
        <v>14214</v>
      </c>
      <c r="FB1398">
        <v>0.25</v>
      </c>
      <c r="FC1398" t="s">
        <v>424</v>
      </c>
      <c r="FD1398" t="s">
        <v>454</v>
      </c>
      <c r="FF1398">
        <v>12</v>
      </c>
      <c r="FG1398">
        <v>2851116</v>
      </c>
      <c r="FH1398" t="s">
        <v>480</v>
      </c>
      <c r="FJ1398" s="1">
        <v>42879</v>
      </c>
      <c r="FK1398">
        <v>2016</v>
      </c>
      <c r="FL1398">
        <v>487.91</v>
      </c>
      <c r="FM1398" t="s">
        <v>14214</v>
      </c>
      <c r="FN1398">
        <v>0.25</v>
      </c>
      <c r="FO1398" t="s">
        <v>424</v>
      </c>
      <c r="FP1398" t="s">
        <v>454</v>
      </c>
      <c r="FR1398">
        <v>12</v>
      </c>
      <c r="FS1398">
        <v>5735338</v>
      </c>
      <c r="FT1398" t="s">
        <v>14215</v>
      </c>
      <c r="FV1398" s="1">
        <v>42515</v>
      </c>
      <c r="FW1398">
        <v>2015</v>
      </c>
      <c r="FX1398">
        <v>492.38</v>
      </c>
      <c r="FY1398" t="s">
        <v>14216</v>
      </c>
      <c r="FZ1398">
        <v>0.25</v>
      </c>
      <c r="GA1398" t="s">
        <v>424</v>
      </c>
      <c r="GB1398" t="s">
        <v>425</v>
      </c>
      <c r="GC1398" s="1">
        <v>42951</v>
      </c>
      <c r="GD1398">
        <v>15</v>
      </c>
      <c r="GE1398">
        <v>2851116</v>
      </c>
      <c r="GF1398" t="s">
        <v>480</v>
      </c>
      <c r="GH1398" s="1">
        <v>42515</v>
      </c>
      <c r="GI1398">
        <v>2015</v>
      </c>
      <c r="GJ1398">
        <v>492.38</v>
      </c>
      <c r="GK1398" t="s">
        <v>14216</v>
      </c>
      <c r="GL1398">
        <v>0.25</v>
      </c>
      <c r="GM1398" t="s">
        <v>424</v>
      </c>
      <c r="GN1398" t="s">
        <v>425</v>
      </c>
      <c r="GP1398">
        <v>22</v>
      </c>
      <c r="GQ1398">
        <v>4892638</v>
      </c>
      <c r="GR1398" t="s">
        <v>14217</v>
      </c>
      <c r="GT1398" s="1">
        <v>41052</v>
      </c>
      <c r="GU1398">
        <v>2011</v>
      </c>
      <c r="GV1398">
        <v>448.48</v>
      </c>
      <c r="GW1398" t="s">
        <v>14218</v>
      </c>
      <c r="GX1398">
        <v>6</v>
      </c>
      <c r="GY1398" t="s">
        <v>424</v>
      </c>
      <c r="GZ1398" t="s">
        <v>425</v>
      </c>
      <c r="HA1398" s="1">
        <v>41088</v>
      </c>
      <c r="HB1398">
        <v>1</v>
      </c>
      <c r="HC1398">
        <v>305</v>
      </c>
      <c r="HD1398" t="s">
        <v>1078</v>
      </c>
    </row>
    <row r="1399" spans="1:284" x14ac:dyDescent="0.25">
      <c r="A1399">
        <v>16486406</v>
      </c>
      <c r="B1399">
        <v>1398</v>
      </c>
      <c r="C1399" t="s">
        <v>393</v>
      </c>
      <c r="D1399" t="s">
        <v>394</v>
      </c>
      <c r="F1399" t="str">
        <f>"38-3N-27-4690-0029-0000"</f>
        <v>38-3N-27-4690-0029-0000</v>
      </c>
      <c r="H1399" t="str">
        <f>"BATTLES TOMMY D III &amp; PAMELA J"</f>
        <v>BATTLES TOMMY D III &amp; PAMELA J</v>
      </c>
      <c r="I1399" t="str">
        <f>"87465 ROSES BLUFF ROAD"</f>
        <v>87465 ROSES BLUFF ROAD</v>
      </c>
      <c r="J1399" t="str">
        <f>"YULEE FL 32097"</f>
        <v>YULEE FL 32097</v>
      </c>
      <c r="K1399" t="str">
        <f>"87465 ROSES BLUFF RD"</f>
        <v>87465 ROSES BLUFF RD</v>
      </c>
      <c r="L1399" t="str">
        <f t="shared" si="456"/>
        <v>YULEE FL 32097</v>
      </c>
      <c r="M1399" t="str">
        <f>"LOT 29 R583350 &amp; R583351 IN OR 691 PG 660 HAVEN FOREST UNR"</f>
        <v>LOT 29 R583350 &amp; R583351 IN OR 691 PG 660 HAVEN FOREST UNR</v>
      </c>
      <c r="N1399" t="str">
        <f>""</f>
        <v/>
      </c>
      <c r="O1399" t="str">
        <f>"45744"</f>
        <v>45744</v>
      </c>
      <c r="P1399" t="str">
        <f t="shared" si="467"/>
        <v>2017</v>
      </c>
      <c r="Q1399" t="str">
        <f>""</f>
        <v/>
      </c>
      <c r="R1399" t="str">
        <f>"Y"</f>
        <v>Y</v>
      </c>
      <c r="S1399" t="str">
        <f>"1.52"</f>
        <v>1.52</v>
      </c>
      <c r="T1399" t="str">
        <f>"449.07"</f>
        <v>449.07</v>
      </c>
      <c r="U1399" t="str">
        <f>"60698.00"</f>
        <v>60698.00</v>
      </c>
      <c r="V1399" t="str">
        <f>"60698.00"</f>
        <v>60698.00</v>
      </c>
      <c r="W1399" t="str">
        <f t="shared" si="468"/>
        <v>2017</v>
      </c>
      <c r="X1399" t="str">
        <f>"19.13"</f>
        <v>19.13</v>
      </c>
      <c r="Y1399" t="str">
        <f>"494.54"</f>
        <v>494.54</v>
      </c>
      <c r="Z1399" t="str">
        <f>"25000.00"</f>
        <v>25000.00</v>
      </c>
      <c r="AA1399" t="str">
        <f>"35698.00"</f>
        <v>35698.00</v>
      </c>
      <c r="AB1399" t="str">
        <f t="shared" si="478"/>
        <v>Residential</v>
      </c>
      <c r="AC1399" t="str">
        <f t="shared" si="475"/>
        <v>0</v>
      </c>
      <c r="AD1399" t="str">
        <f>"4"</f>
        <v>4</v>
      </c>
      <c r="AE1399" t="str">
        <f>"WOOD (INCLUDE STEEL STUDS)"</f>
        <v>WOOD (INCLUDE STEEL STUDS)</v>
      </c>
      <c r="AF1399" t="str">
        <f>"002"</f>
        <v>002</v>
      </c>
      <c r="AG1399" t="str">
        <f t="shared" si="479"/>
        <v>FL</v>
      </c>
      <c r="AH1399" t="str">
        <f>"66211.00"</f>
        <v>66211.00</v>
      </c>
      <c r="AI1399" t="str">
        <f>"38000.00"</f>
        <v>38000.00</v>
      </c>
      <c r="AJ1399" t="str">
        <f>"C55-000-588-0499-8"</f>
        <v>C55-000-588-0499-8</v>
      </c>
      <c r="AK1399" t="str">
        <f>"23660"</f>
        <v>23660</v>
      </c>
      <c r="AL1399">
        <v>5</v>
      </c>
      <c r="AM1399">
        <v>1600</v>
      </c>
      <c r="AN1399">
        <v>517.66999999999996</v>
      </c>
      <c r="AQ1399" t="s">
        <v>14219</v>
      </c>
      <c r="AR1399" t="s">
        <v>14219</v>
      </c>
      <c r="AS1399" t="s">
        <v>14219</v>
      </c>
      <c r="AU1399" t="s">
        <v>396</v>
      </c>
      <c r="AV1399">
        <v>2017</v>
      </c>
      <c r="AW1399" t="str">
        <f>"38-3N-27-4690-0029-0000 "</f>
        <v xml:space="preserve">38-3N-27-4690-0029-0000 </v>
      </c>
      <c r="AX1399">
        <v>87465</v>
      </c>
      <c r="AZ1399" t="s">
        <v>14187</v>
      </c>
      <c r="BA1399" t="s">
        <v>496</v>
      </c>
      <c r="BD1399" t="s">
        <v>2387</v>
      </c>
      <c r="BE1399" t="s">
        <v>393</v>
      </c>
      <c r="BF1399">
        <v>32097</v>
      </c>
      <c r="BG1399" t="s">
        <v>14220</v>
      </c>
      <c r="BH1399" t="s">
        <v>2388</v>
      </c>
      <c r="BI1399">
        <v>-81.558927439540895</v>
      </c>
      <c r="BJ1399">
        <v>30.6784970966029</v>
      </c>
      <c r="BK1399" t="s">
        <v>14221</v>
      </c>
      <c r="BL1399" t="s">
        <v>14222</v>
      </c>
      <c r="BM1399" t="s">
        <v>14220</v>
      </c>
      <c r="BN1399" t="s">
        <v>1778</v>
      </c>
      <c r="BO1399">
        <v>32097</v>
      </c>
      <c r="BP1399" t="s">
        <v>416</v>
      </c>
      <c r="BQ1399">
        <v>200</v>
      </c>
      <c r="BR1399" t="s">
        <v>405</v>
      </c>
      <c r="BS1399">
        <v>1006</v>
      </c>
      <c r="BT1399" t="s">
        <v>406</v>
      </c>
      <c r="BW1399">
        <v>66211</v>
      </c>
      <c r="BX1399" t="s">
        <v>407</v>
      </c>
      <c r="BY1399" t="s">
        <v>408</v>
      </c>
      <c r="BZ1399">
        <v>4</v>
      </c>
      <c r="CA1399">
        <v>1993</v>
      </c>
      <c r="CB1399">
        <v>1</v>
      </c>
      <c r="CC1399">
        <v>1</v>
      </c>
      <c r="CD1399">
        <v>2017</v>
      </c>
      <c r="CG1399">
        <v>60698</v>
      </c>
      <c r="CH1399">
        <v>2017</v>
      </c>
      <c r="CI1399">
        <v>38000</v>
      </c>
      <c r="CJ1399">
        <v>32973</v>
      </c>
      <c r="CK1399">
        <v>70973</v>
      </c>
      <c r="CL1399">
        <v>2017</v>
      </c>
      <c r="CM1399">
        <v>449.07</v>
      </c>
      <c r="CN1399" s="1">
        <v>34271</v>
      </c>
      <c r="CZ1399" s="1">
        <v>34271</v>
      </c>
      <c r="DD1399" t="s">
        <v>2387</v>
      </c>
      <c r="DF1399">
        <v>29</v>
      </c>
      <c r="DG1399">
        <v>38</v>
      </c>
      <c r="DJ1399" t="s">
        <v>14223</v>
      </c>
      <c r="DL1399">
        <v>50301</v>
      </c>
      <c r="DM1399" t="s">
        <v>14212</v>
      </c>
      <c r="DO1399" t="s">
        <v>14224</v>
      </c>
      <c r="DP1399">
        <v>0</v>
      </c>
      <c r="DQ1399">
        <v>0</v>
      </c>
      <c r="DR1399" t="s">
        <v>411</v>
      </c>
      <c r="DS1399" t="b">
        <v>1</v>
      </c>
      <c r="DT1399" t="s">
        <v>470</v>
      </c>
      <c r="DU1399" t="s">
        <v>471</v>
      </c>
      <c r="DV1399" t="s">
        <v>472</v>
      </c>
      <c r="DX1399">
        <v>-9999</v>
      </c>
      <c r="DZ1399" t="s">
        <v>447</v>
      </c>
      <c r="EA1399" t="s">
        <v>448</v>
      </c>
      <c r="EB1399" t="s">
        <v>742</v>
      </c>
      <c r="EC1399">
        <v>20101217</v>
      </c>
      <c r="ED1399" t="s">
        <v>474</v>
      </c>
      <c r="EF1399">
        <v>2276.1999999999998</v>
      </c>
      <c r="EG1399">
        <v>2152.6</v>
      </c>
      <c r="EI1399">
        <v>20160407</v>
      </c>
      <c r="EJ1399">
        <v>0</v>
      </c>
      <c r="EK1399">
        <v>0</v>
      </c>
      <c r="EP1399" t="s">
        <v>421</v>
      </c>
      <c r="EQ1399" t="s">
        <v>422</v>
      </c>
      <c r="ER1399">
        <v>2</v>
      </c>
      <c r="ES1399">
        <v>8</v>
      </c>
      <c r="ET1399">
        <v>1022.98</v>
      </c>
      <c r="EU1399">
        <v>63.65</v>
      </c>
      <c r="EV1399">
        <v>1086.6300000000001</v>
      </c>
      <c r="EW1399" s="2">
        <v>43222</v>
      </c>
      <c r="EX1399" s="1">
        <v>42879</v>
      </c>
      <c r="EY1399">
        <v>2016</v>
      </c>
      <c r="EZ1399">
        <v>511.49</v>
      </c>
      <c r="FA1399" t="s">
        <v>14225</v>
      </c>
      <c r="FB1399">
        <v>0.25</v>
      </c>
      <c r="FC1399" t="s">
        <v>424</v>
      </c>
      <c r="FD1399" t="s">
        <v>454</v>
      </c>
      <c r="FF1399">
        <v>12</v>
      </c>
      <c r="FG1399">
        <v>2851116</v>
      </c>
      <c r="FH1399" t="s">
        <v>480</v>
      </c>
      <c r="FJ1399" s="1">
        <v>42879</v>
      </c>
      <c r="FK1399">
        <v>2016</v>
      </c>
      <c r="FL1399">
        <v>511.49</v>
      </c>
      <c r="FM1399" t="s">
        <v>14225</v>
      </c>
      <c r="FN1399">
        <v>0.25</v>
      </c>
      <c r="FO1399" t="s">
        <v>424</v>
      </c>
      <c r="FP1399" t="s">
        <v>454</v>
      </c>
      <c r="FR1399">
        <v>12</v>
      </c>
      <c r="FS1399">
        <v>5680681</v>
      </c>
      <c r="FT1399" t="s">
        <v>14226</v>
      </c>
      <c r="FV1399" s="1">
        <v>42515</v>
      </c>
      <c r="FW1399">
        <v>2015</v>
      </c>
      <c r="FX1399">
        <v>534.22</v>
      </c>
      <c r="FY1399" t="s">
        <v>14227</v>
      </c>
      <c r="FZ1399">
        <v>0.25</v>
      </c>
      <c r="GA1399" t="s">
        <v>424</v>
      </c>
      <c r="GB1399" t="s">
        <v>425</v>
      </c>
      <c r="GC1399" s="1">
        <v>43132</v>
      </c>
      <c r="GD1399">
        <v>21</v>
      </c>
      <c r="GE1399">
        <v>2851116</v>
      </c>
      <c r="GF1399" t="s">
        <v>480</v>
      </c>
      <c r="GH1399" s="1">
        <v>42515</v>
      </c>
      <c r="GI1399">
        <v>2015</v>
      </c>
      <c r="GJ1399">
        <v>534.22</v>
      </c>
      <c r="GK1399" t="s">
        <v>14227</v>
      </c>
      <c r="GL1399">
        <v>0.25</v>
      </c>
      <c r="GM1399" t="s">
        <v>424</v>
      </c>
      <c r="GN1399" t="s">
        <v>425</v>
      </c>
      <c r="GP1399">
        <v>22</v>
      </c>
      <c r="GQ1399">
        <v>5270137</v>
      </c>
      <c r="GR1399" t="s">
        <v>14228</v>
      </c>
      <c r="GT1399" s="1">
        <v>42151</v>
      </c>
      <c r="GU1399">
        <v>2014</v>
      </c>
      <c r="GV1399">
        <v>533.33000000000004</v>
      </c>
      <c r="GW1399" t="s">
        <v>14229</v>
      </c>
      <c r="GX1399">
        <v>0.25</v>
      </c>
      <c r="GY1399" t="s">
        <v>424</v>
      </c>
      <c r="GZ1399" t="s">
        <v>425</v>
      </c>
      <c r="HA1399" s="1">
        <v>42772</v>
      </c>
      <c r="HB1399">
        <v>21</v>
      </c>
      <c r="HC1399">
        <v>2851116</v>
      </c>
      <c r="HD1399" t="s">
        <v>480</v>
      </c>
      <c r="HF1399" s="1">
        <v>42151</v>
      </c>
      <c r="HG1399">
        <v>2014</v>
      </c>
      <c r="HH1399">
        <v>533.33000000000004</v>
      </c>
      <c r="HI1399" t="s">
        <v>14229</v>
      </c>
      <c r="HJ1399">
        <v>0.25</v>
      </c>
      <c r="HK1399" t="s">
        <v>424</v>
      </c>
      <c r="HL1399" t="s">
        <v>425</v>
      </c>
      <c r="HN1399">
        <v>22</v>
      </c>
      <c r="HO1399">
        <v>5320307</v>
      </c>
      <c r="HP1399" t="s">
        <v>14230</v>
      </c>
      <c r="HR1399" s="1">
        <v>41787</v>
      </c>
      <c r="HS1399">
        <v>2013</v>
      </c>
      <c r="HT1399">
        <v>541.21</v>
      </c>
      <c r="HU1399" t="s">
        <v>14231</v>
      </c>
      <c r="HV1399">
        <v>0.25</v>
      </c>
      <c r="HW1399" t="s">
        <v>424</v>
      </c>
      <c r="HX1399" t="s">
        <v>425</v>
      </c>
      <c r="HY1399" s="1">
        <v>42417</v>
      </c>
      <c r="HZ1399">
        <v>21</v>
      </c>
      <c r="IA1399">
        <v>2407503</v>
      </c>
      <c r="IB1399" t="s">
        <v>461</v>
      </c>
      <c r="ID1399" s="1">
        <v>41423</v>
      </c>
      <c r="IE1399">
        <v>2012</v>
      </c>
      <c r="IF1399">
        <v>540.35</v>
      </c>
      <c r="IG1399" t="s">
        <v>14232</v>
      </c>
      <c r="IH1399">
        <v>0.25</v>
      </c>
      <c r="II1399" t="s">
        <v>424</v>
      </c>
      <c r="IJ1399" t="s">
        <v>425</v>
      </c>
      <c r="IK1399" s="1">
        <v>42052</v>
      </c>
      <c r="IL1399">
        <v>21</v>
      </c>
      <c r="IM1399">
        <v>62</v>
      </c>
      <c r="IN1399" t="s">
        <v>463</v>
      </c>
      <c r="IP1399" s="1">
        <v>41052</v>
      </c>
      <c r="IQ1399">
        <v>2011</v>
      </c>
      <c r="IR1399">
        <v>527.75</v>
      </c>
      <c r="IS1399" t="s">
        <v>14233</v>
      </c>
      <c r="IT1399">
        <v>6</v>
      </c>
      <c r="IU1399" t="s">
        <v>424</v>
      </c>
      <c r="IV1399" t="s">
        <v>425</v>
      </c>
      <c r="IW1399" s="1">
        <v>41696</v>
      </c>
      <c r="IX1399">
        <v>21</v>
      </c>
      <c r="IY1399">
        <v>375</v>
      </c>
      <c r="IZ1399" t="s">
        <v>776</v>
      </c>
      <c r="JB1399" s="1">
        <v>40688</v>
      </c>
      <c r="JC1399">
        <v>2010</v>
      </c>
      <c r="JD1399">
        <v>521.37</v>
      </c>
      <c r="JE1399" t="s">
        <v>14234</v>
      </c>
      <c r="JF1399">
        <v>6</v>
      </c>
      <c r="JG1399" t="s">
        <v>424</v>
      </c>
      <c r="JH1399" t="s">
        <v>425</v>
      </c>
      <c r="JI1399" s="1">
        <v>41325</v>
      </c>
      <c r="JJ1399">
        <v>21</v>
      </c>
      <c r="JK1399">
        <v>105</v>
      </c>
      <c r="JL1399" t="s">
        <v>946</v>
      </c>
    </row>
    <row r="1400" spans="1:284" x14ac:dyDescent="0.25">
      <c r="A1400">
        <v>16486407</v>
      </c>
      <c r="B1400">
        <v>1399</v>
      </c>
      <c r="C1400" t="s">
        <v>393</v>
      </c>
      <c r="D1400" t="s">
        <v>394</v>
      </c>
      <c r="F1400" t="str">
        <f>"38-3N-27-4690-0053-0010"</f>
        <v>38-3N-27-4690-0053-0010</v>
      </c>
      <c r="H1400" t="str">
        <f>"WILLIAMS LARRY SHELTON"</f>
        <v>WILLIAMS LARRY SHELTON</v>
      </c>
      <c r="I1400" t="str">
        <f>"87596 HAVEN ROAD"</f>
        <v>87596 HAVEN ROAD</v>
      </c>
      <c r="J1400" t="str">
        <f>"YULEE FL 32097"</f>
        <v>YULEE FL 32097</v>
      </c>
      <c r="K1400" t="str">
        <f>"87596 HAVEN RD"</f>
        <v>87596 HAVEN RD</v>
      </c>
      <c r="L1400" t="str">
        <f t="shared" ref="L1400:L1456" si="491">"YULEE FL 32097"</f>
        <v>YULEE FL 32097</v>
      </c>
      <c r="M1400" t="str">
        <f>"PT OF LOT 53 IN OR 1541/813 HAVEN FOREST UNR"</f>
        <v>PT OF LOT 53 IN OR 1541/813 HAVEN FOREST UNR</v>
      </c>
      <c r="N1400" t="str">
        <f>""</f>
        <v/>
      </c>
      <c r="O1400" t="str">
        <f>"45763"</f>
        <v>45763</v>
      </c>
      <c r="P1400" t="str">
        <f t="shared" si="467"/>
        <v>2017</v>
      </c>
      <c r="Q1400" t="str">
        <f>""</f>
        <v/>
      </c>
      <c r="R1400" t="str">
        <f>"Y"</f>
        <v>Y</v>
      </c>
      <c r="S1400" t="str">
        <f>""</f>
        <v/>
      </c>
      <c r="T1400" t="str">
        <f>"904.51"</f>
        <v>904.51</v>
      </c>
      <c r="U1400" t="str">
        <f>"98852.00"</f>
        <v>98852.00</v>
      </c>
      <c r="V1400" t="str">
        <f>"98852.00"</f>
        <v>98852.00</v>
      </c>
      <c r="W1400" t="str">
        <f t="shared" si="468"/>
        <v>2017</v>
      </c>
      <c r="X1400" t="str">
        <f>"16.29"</f>
        <v>16.29</v>
      </c>
      <c r="Y1400" t="str">
        <f>"963.65"</f>
        <v>963.65</v>
      </c>
      <c r="Z1400" t="str">
        <f>"25000.00"</f>
        <v>25000.00</v>
      </c>
      <c r="AA1400" t="str">
        <f>"73852.00"</f>
        <v>73852.00</v>
      </c>
      <c r="AB1400" t="str">
        <f t="shared" si="478"/>
        <v>Residential</v>
      </c>
      <c r="AC1400" t="str">
        <f t="shared" si="475"/>
        <v>0</v>
      </c>
      <c r="AD1400" t="str">
        <f>"4"</f>
        <v>4</v>
      </c>
      <c r="AE1400" t="str">
        <f>"WOOD (INCLUDE STEEL STUDS)"</f>
        <v>WOOD (INCLUDE STEEL STUDS)</v>
      </c>
      <c r="AF1400" t="str">
        <f>"001"</f>
        <v>001</v>
      </c>
      <c r="AG1400" t="str">
        <f t="shared" si="479"/>
        <v>FL</v>
      </c>
      <c r="AH1400" t="str">
        <f>"-"</f>
        <v>-</v>
      </c>
      <c r="AI1400" t="str">
        <f>"25000.00"</f>
        <v>25000.00</v>
      </c>
      <c r="AJ1400" t="str">
        <f>"C55-000-588-0516-9"</f>
        <v>C55-000-588-0516-9</v>
      </c>
      <c r="AK1400" t="str">
        <f>"23679"</f>
        <v>23679</v>
      </c>
      <c r="AL1400">
        <v>5</v>
      </c>
      <c r="AM1400">
        <v>1602</v>
      </c>
      <c r="AN1400">
        <v>1010.23</v>
      </c>
      <c r="AQ1400" t="s">
        <v>14235</v>
      </c>
      <c r="AR1400" t="s">
        <v>14235</v>
      </c>
      <c r="AS1400" t="s">
        <v>14235</v>
      </c>
      <c r="AU1400" t="s">
        <v>396</v>
      </c>
      <c r="AV1400">
        <v>2017</v>
      </c>
      <c r="AW1400" t="str">
        <f>"38-3N-27-4690-0053-0010 "</f>
        <v xml:space="preserve">38-3N-27-4690-0053-0010 </v>
      </c>
      <c r="AX1400">
        <v>87596</v>
      </c>
      <c r="AZ1400" t="s">
        <v>14209</v>
      </c>
      <c r="BA1400" t="s">
        <v>496</v>
      </c>
      <c r="BD1400" t="s">
        <v>2387</v>
      </c>
      <c r="BE1400" t="s">
        <v>393</v>
      </c>
      <c r="BF1400">
        <v>32097</v>
      </c>
      <c r="BG1400" t="s">
        <v>14236</v>
      </c>
      <c r="BH1400" t="s">
        <v>2388</v>
      </c>
      <c r="BI1400">
        <v>-81.551325745063195</v>
      </c>
      <c r="BJ1400">
        <v>30.6840574737978</v>
      </c>
      <c r="BK1400" t="s">
        <v>14237</v>
      </c>
      <c r="BM1400" t="s">
        <v>14236</v>
      </c>
      <c r="BN1400" t="s">
        <v>1778</v>
      </c>
      <c r="BO1400">
        <v>32097</v>
      </c>
      <c r="BP1400" t="s">
        <v>416</v>
      </c>
      <c r="BQ1400">
        <v>100</v>
      </c>
      <c r="BR1400" t="s">
        <v>514</v>
      </c>
      <c r="BS1400">
        <v>1001</v>
      </c>
      <c r="BT1400" t="s">
        <v>515</v>
      </c>
      <c r="BW1400">
        <v>37149</v>
      </c>
      <c r="BX1400" t="s">
        <v>407</v>
      </c>
      <c r="BY1400" t="s">
        <v>408</v>
      </c>
      <c r="BZ1400">
        <v>4</v>
      </c>
      <c r="CA1400">
        <v>1989</v>
      </c>
      <c r="CB1400">
        <v>2</v>
      </c>
      <c r="CC1400">
        <v>1</v>
      </c>
      <c r="CD1400">
        <v>2017</v>
      </c>
      <c r="CG1400">
        <v>98852</v>
      </c>
      <c r="CH1400">
        <v>2017</v>
      </c>
      <c r="CI1400">
        <v>25000</v>
      </c>
      <c r="CJ1400">
        <v>78122</v>
      </c>
      <c r="CK1400">
        <v>103122</v>
      </c>
      <c r="CL1400">
        <v>2017</v>
      </c>
      <c r="CM1400">
        <v>904.51</v>
      </c>
      <c r="CN1400" s="1">
        <v>39433</v>
      </c>
      <c r="CO1400">
        <v>195000</v>
      </c>
      <c r="CV1400">
        <v>0</v>
      </c>
      <c r="CZ1400" s="1">
        <v>39433</v>
      </c>
      <c r="DA1400">
        <v>0</v>
      </c>
      <c r="DD1400" t="s">
        <v>2387</v>
      </c>
      <c r="DF1400">
        <v>53</v>
      </c>
      <c r="DG1400">
        <v>38</v>
      </c>
      <c r="DJ1400" t="s">
        <v>14223</v>
      </c>
      <c r="DL1400">
        <v>50301</v>
      </c>
      <c r="DM1400" t="s">
        <v>14212</v>
      </c>
      <c r="DO1400" t="s">
        <v>14238</v>
      </c>
      <c r="DP1400">
        <v>0</v>
      </c>
      <c r="DQ1400">
        <v>0</v>
      </c>
      <c r="DR1400" t="s">
        <v>411</v>
      </c>
      <c r="DS1400" t="b">
        <v>1</v>
      </c>
      <c r="DT1400" t="s">
        <v>470</v>
      </c>
      <c r="DU1400" t="s">
        <v>471</v>
      </c>
      <c r="DV1400" t="s">
        <v>472</v>
      </c>
      <c r="DX1400">
        <v>-9999</v>
      </c>
      <c r="DZ1400" t="s">
        <v>447</v>
      </c>
      <c r="EA1400" t="s">
        <v>448</v>
      </c>
      <c r="EB1400" t="s">
        <v>742</v>
      </c>
      <c r="EC1400">
        <v>20101217</v>
      </c>
      <c r="ED1400" t="s">
        <v>474</v>
      </c>
      <c r="EF1400">
        <v>703.2</v>
      </c>
      <c r="EG1400">
        <v>606.20000000000005</v>
      </c>
      <c r="EI1400">
        <v>20160407</v>
      </c>
      <c r="EJ1400">
        <v>0</v>
      </c>
      <c r="EK1400">
        <v>0</v>
      </c>
      <c r="EP1400" t="s">
        <v>421</v>
      </c>
      <c r="EQ1400" t="s">
        <v>422</v>
      </c>
      <c r="ER1400">
        <v>2</v>
      </c>
      <c r="ES1400">
        <v>9</v>
      </c>
      <c r="ET1400">
        <v>1975.98</v>
      </c>
      <c r="EU1400">
        <v>111.3</v>
      </c>
      <c r="EV1400">
        <v>2087.2800000000002</v>
      </c>
      <c r="EW1400" s="2">
        <v>43222</v>
      </c>
      <c r="EX1400" s="1">
        <v>42879</v>
      </c>
      <c r="EY1400">
        <v>2016</v>
      </c>
      <c r="EZ1400">
        <v>987.99</v>
      </c>
      <c r="FA1400" t="s">
        <v>14239</v>
      </c>
      <c r="FB1400">
        <v>0.25</v>
      </c>
      <c r="FC1400" t="s">
        <v>424</v>
      </c>
      <c r="FD1400" t="s">
        <v>454</v>
      </c>
      <c r="FF1400">
        <v>12</v>
      </c>
      <c r="FG1400">
        <v>7336671</v>
      </c>
      <c r="FH1400" t="s">
        <v>437</v>
      </c>
      <c r="FJ1400" s="1">
        <v>42879</v>
      </c>
      <c r="FK1400">
        <v>2016</v>
      </c>
      <c r="FL1400">
        <v>987.99</v>
      </c>
      <c r="FM1400" t="s">
        <v>14239</v>
      </c>
      <c r="FN1400">
        <v>0.25</v>
      </c>
      <c r="FO1400" t="s">
        <v>424</v>
      </c>
      <c r="FP1400" t="s">
        <v>454</v>
      </c>
      <c r="FR1400">
        <v>12</v>
      </c>
      <c r="FS1400">
        <v>5120893</v>
      </c>
      <c r="FT1400" t="s">
        <v>14240</v>
      </c>
      <c r="FV1400" s="1">
        <v>42515</v>
      </c>
      <c r="FW1400">
        <v>2015</v>
      </c>
      <c r="FX1400">
        <v>756.37</v>
      </c>
      <c r="FY1400" t="s">
        <v>14241</v>
      </c>
      <c r="FZ1400">
        <v>0.25</v>
      </c>
      <c r="GA1400" t="s">
        <v>424</v>
      </c>
      <c r="GB1400" t="s">
        <v>425</v>
      </c>
      <c r="GC1400" s="1">
        <v>43172</v>
      </c>
      <c r="GD1400">
        <v>22</v>
      </c>
      <c r="GE1400">
        <v>5916895</v>
      </c>
      <c r="GF1400" t="s">
        <v>1390</v>
      </c>
      <c r="GH1400" s="1">
        <v>42515</v>
      </c>
      <c r="GI1400">
        <v>2015</v>
      </c>
      <c r="GJ1400">
        <v>756.37</v>
      </c>
      <c r="GK1400" t="s">
        <v>14241</v>
      </c>
      <c r="GL1400">
        <v>0.25</v>
      </c>
      <c r="GM1400" t="s">
        <v>424</v>
      </c>
      <c r="GN1400" t="s">
        <v>425</v>
      </c>
      <c r="GP1400">
        <v>22</v>
      </c>
      <c r="GQ1400">
        <v>6066511</v>
      </c>
      <c r="GR1400" t="s">
        <v>14242</v>
      </c>
      <c r="GT1400" s="1">
        <v>42151</v>
      </c>
      <c r="GU1400">
        <v>2014</v>
      </c>
      <c r="GV1400">
        <v>749.72</v>
      </c>
      <c r="GW1400" t="s">
        <v>14243</v>
      </c>
      <c r="GX1400">
        <v>0.25</v>
      </c>
      <c r="GY1400" t="s">
        <v>424</v>
      </c>
      <c r="GZ1400" t="s">
        <v>425</v>
      </c>
      <c r="HA1400" s="1">
        <v>42790</v>
      </c>
      <c r="HB1400">
        <v>21</v>
      </c>
      <c r="HC1400">
        <v>4975594</v>
      </c>
      <c r="HD1400" t="s">
        <v>457</v>
      </c>
      <c r="HF1400" s="1">
        <v>42151</v>
      </c>
      <c r="HG1400">
        <v>2014</v>
      </c>
      <c r="HH1400">
        <v>749.72</v>
      </c>
      <c r="HI1400" t="s">
        <v>14243</v>
      </c>
      <c r="HJ1400">
        <v>0.25</v>
      </c>
      <c r="HK1400" t="s">
        <v>424</v>
      </c>
      <c r="HL1400" t="s">
        <v>425</v>
      </c>
      <c r="HN1400">
        <v>22</v>
      </c>
      <c r="HO1400">
        <v>6636181</v>
      </c>
      <c r="HP1400" t="s">
        <v>14244</v>
      </c>
      <c r="HR1400" s="1">
        <v>41787</v>
      </c>
      <c r="HS1400">
        <v>2013</v>
      </c>
      <c r="HT1400">
        <v>705.71</v>
      </c>
      <c r="HU1400" t="s">
        <v>14245</v>
      </c>
      <c r="HV1400">
        <v>0.25</v>
      </c>
      <c r="HW1400" t="s">
        <v>424</v>
      </c>
      <c r="HX1400" t="s">
        <v>425</v>
      </c>
      <c r="HY1400" s="1">
        <v>42088</v>
      </c>
      <c r="HZ1400">
        <v>10</v>
      </c>
      <c r="IA1400">
        <v>2757457</v>
      </c>
      <c r="IB1400" t="s">
        <v>648</v>
      </c>
      <c r="ID1400" s="1">
        <v>41423</v>
      </c>
      <c r="IE1400">
        <v>2012</v>
      </c>
      <c r="IF1400">
        <v>722.05</v>
      </c>
      <c r="IG1400" t="s">
        <v>14246</v>
      </c>
      <c r="IH1400">
        <v>0.25</v>
      </c>
      <c r="II1400" t="s">
        <v>424</v>
      </c>
      <c r="IJ1400" t="s">
        <v>425</v>
      </c>
      <c r="IK1400" s="1">
        <v>41969</v>
      </c>
      <c r="IL1400">
        <v>18</v>
      </c>
      <c r="IM1400">
        <v>15259</v>
      </c>
      <c r="IN1400" t="s">
        <v>891</v>
      </c>
      <c r="IP1400" s="1">
        <v>41052</v>
      </c>
      <c r="IQ1400">
        <v>2011</v>
      </c>
      <c r="IR1400">
        <v>818.83</v>
      </c>
      <c r="IS1400" t="s">
        <v>14247</v>
      </c>
      <c r="IT1400">
        <v>0.25</v>
      </c>
      <c r="IU1400" t="s">
        <v>424</v>
      </c>
      <c r="IV1400" t="s">
        <v>425</v>
      </c>
      <c r="IW1400" s="1">
        <v>41681</v>
      </c>
      <c r="IX1400">
        <v>21</v>
      </c>
      <c r="IY1400">
        <v>13104</v>
      </c>
      <c r="IZ1400" t="s">
        <v>888</v>
      </c>
      <c r="JB1400" s="1">
        <v>41052</v>
      </c>
      <c r="JC1400">
        <v>2011</v>
      </c>
      <c r="JD1400">
        <v>818.83</v>
      </c>
      <c r="JE1400" t="s">
        <v>14247</v>
      </c>
      <c r="JF1400">
        <v>0.25</v>
      </c>
      <c r="JG1400" t="s">
        <v>424</v>
      </c>
      <c r="JH1400" t="s">
        <v>425</v>
      </c>
      <c r="JJ1400">
        <v>22</v>
      </c>
      <c r="JK1400">
        <v>13726</v>
      </c>
      <c r="JL1400" t="s">
        <v>14248</v>
      </c>
      <c r="JN1400" s="1">
        <v>40688</v>
      </c>
      <c r="JO1400">
        <v>2010</v>
      </c>
      <c r="JP1400">
        <v>1062.69</v>
      </c>
      <c r="JQ1400" t="s">
        <v>14249</v>
      </c>
      <c r="JR1400">
        <v>0.25</v>
      </c>
      <c r="JS1400" t="s">
        <v>424</v>
      </c>
      <c r="JT1400" t="s">
        <v>425</v>
      </c>
      <c r="JU1400" s="1">
        <v>41316</v>
      </c>
      <c r="JV1400">
        <v>21</v>
      </c>
      <c r="JW1400">
        <v>11177</v>
      </c>
      <c r="JX1400" t="s">
        <v>650</v>
      </c>
    </row>
    <row r="1401" spans="1:284" x14ac:dyDescent="0.25">
      <c r="A1401">
        <v>16486408</v>
      </c>
      <c r="B1401">
        <v>1400</v>
      </c>
      <c r="C1401" t="s">
        <v>393</v>
      </c>
      <c r="D1401" t="s">
        <v>394</v>
      </c>
      <c r="F1401" t="str">
        <f>"39-3N-27-0000-0001-0060"</f>
        <v>39-3N-27-0000-0001-0060</v>
      </c>
      <c r="H1401" t="str">
        <f>"COVER ALAN B"</f>
        <v>COVER ALAN B</v>
      </c>
      <c r="I1401" t="str">
        <f>"87667 HAVEN RD"</f>
        <v>87667 HAVEN RD</v>
      </c>
      <c r="J1401" t="str">
        <f>"YULEE FL 32097"</f>
        <v>YULEE FL 32097</v>
      </c>
      <c r="K1401" t="str">
        <f>"87115 BROOKER RD"</f>
        <v>87115 BROOKER RD</v>
      </c>
      <c r="L1401" t="str">
        <f t="shared" si="491"/>
        <v>YULEE FL 32097</v>
      </c>
      <c r="M1401" t="str">
        <f>"IN 1074/1722 &amp; L/E OR 1852/493 EX 1-31 1975 CHAMP SW"</f>
        <v>IN 1074/1722 &amp; L/E OR 1852/493 EX 1-31 1975 CHAMP SW</v>
      </c>
      <c r="N1401" t="str">
        <f>""</f>
        <v/>
      </c>
      <c r="O1401" t="str">
        <f>"46168"</f>
        <v>46168</v>
      </c>
      <c r="P1401" t="str">
        <f t="shared" si="467"/>
        <v>2017</v>
      </c>
      <c r="Q1401" t="str">
        <f>""</f>
        <v/>
      </c>
      <c r="R1401" t="str">
        <f>"N"</f>
        <v>N</v>
      </c>
      <c r="S1401" t="str">
        <f>"7.00"</f>
        <v>7.00</v>
      </c>
      <c r="T1401" t="str">
        <f>"1749.00"</f>
        <v>1749.00</v>
      </c>
      <c r="U1401" t="str">
        <f>"115531.00"</f>
        <v>115531.00</v>
      </c>
      <c r="V1401" t="str">
        <f>"115531.00"</f>
        <v>115531.00</v>
      </c>
      <c r="W1401" t="str">
        <f t="shared" si="468"/>
        <v>2017</v>
      </c>
      <c r="X1401" t="str">
        <f>"8.75"</f>
        <v>8.75</v>
      </c>
      <c r="Y1401" t="str">
        <f>"1833.47"</f>
        <v>1833.47</v>
      </c>
      <c r="Z1401" t="str">
        <f>""</f>
        <v/>
      </c>
      <c r="AA1401" t="str">
        <f>"115531.00"</f>
        <v>115531.00</v>
      </c>
      <c r="AB1401" t="str">
        <f t="shared" si="478"/>
        <v>Residential</v>
      </c>
      <c r="AC1401" t="str">
        <f t="shared" si="475"/>
        <v>0</v>
      </c>
      <c r="AD1401" t="str">
        <f>""</f>
        <v/>
      </c>
      <c r="AE1401" t="str">
        <f>""</f>
        <v/>
      </c>
      <c r="AF1401" t="str">
        <f>"000"</f>
        <v>000</v>
      </c>
      <c r="AG1401" t="str">
        <f t="shared" si="479"/>
        <v>FL</v>
      </c>
      <c r="AH1401" t="str">
        <f>"304920.00"</f>
        <v>304920.00</v>
      </c>
      <c r="AI1401" t="str">
        <f>"113750.00"</f>
        <v>113750.00</v>
      </c>
      <c r="AJ1401" t="str">
        <f>"C55-000-588-0786-8"</f>
        <v>C55-000-588-0786-8</v>
      </c>
      <c r="AK1401" t="str">
        <f>"23691"</f>
        <v>23691</v>
      </c>
      <c r="AL1401">
        <v>5</v>
      </c>
      <c r="AM1401">
        <v>1604</v>
      </c>
      <c r="AN1401">
        <v>1923.54</v>
      </c>
      <c r="AQ1401" t="s">
        <v>14250</v>
      </c>
      <c r="AR1401" t="s">
        <v>14250</v>
      </c>
      <c r="AS1401" t="s">
        <v>14250</v>
      </c>
      <c r="AU1401" t="s">
        <v>396</v>
      </c>
      <c r="AV1401">
        <v>2017</v>
      </c>
      <c r="AW1401" t="str">
        <f>"39-3N-27-0000-0001-0060 "</f>
        <v xml:space="preserve">39-3N-27-0000-0001-0060 </v>
      </c>
      <c r="AX1401">
        <v>87115</v>
      </c>
      <c r="AZ1401" t="s">
        <v>14251</v>
      </c>
      <c r="BA1401" t="s">
        <v>496</v>
      </c>
      <c r="BD1401" t="s">
        <v>2387</v>
      </c>
      <c r="BE1401" t="s">
        <v>393</v>
      </c>
      <c r="BF1401">
        <v>32097</v>
      </c>
      <c r="BG1401" t="s">
        <v>14252</v>
      </c>
      <c r="BH1401" t="s">
        <v>2388</v>
      </c>
      <c r="BI1401">
        <v>-81.563371834175797</v>
      </c>
      <c r="BJ1401">
        <v>30.684401353769701</v>
      </c>
      <c r="BK1401" t="s">
        <v>14253</v>
      </c>
      <c r="BM1401" t="s">
        <v>14254</v>
      </c>
      <c r="BN1401" t="s">
        <v>1778</v>
      </c>
      <c r="BO1401">
        <v>32097</v>
      </c>
      <c r="BP1401" t="s">
        <v>404</v>
      </c>
      <c r="BQ1401">
        <v>1</v>
      </c>
      <c r="BR1401" t="s">
        <v>491</v>
      </c>
      <c r="BS1401">
        <v>8001</v>
      </c>
      <c r="BT1401" t="s">
        <v>492</v>
      </c>
      <c r="BW1401">
        <v>304920</v>
      </c>
      <c r="BX1401" t="s">
        <v>407</v>
      </c>
      <c r="CD1401">
        <v>2017</v>
      </c>
      <c r="CE1401">
        <v>113750</v>
      </c>
      <c r="CF1401">
        <v>1781</v>
      </c>
      <c r="CG1401">
        <v>115531</v>
      </c>
      <c r="CH1401">
        <v>2017</v>
      </c>
      <c r="CI1401">
        <v>113750</v>
      </c>
      <c r="CJ1401">
        <v>1781</v>
      </c>
      <c r="CK1401">
        <v>115531</v>
      </c>
      <c r="CL1401">
        <v>2017</v>
      </c>
      <c r="CM1401">
        <v>1749</v>
      </c>
      <c r="CN1401" s="1">
        <v>37482</v>
      </c>
      <c r="CO1401">
        <v>108000</v>
      </c>
      <c r="CV1401">
        <v>54000</v>
      </c>
      <c r="CX1401" t="s">
        <v>707</v>
      </c>
      <c r="CZ1401" s="1">
        <v>37482</v>
      </c>
      <c r="DA1401">
        <v>0</v>
      </c>
      <c r="DD1401" t="s">
        <v>2387</v>
      </c>
      <c r="DG1401">
        <v>39</v>
      </c>
      <c r="DL1401">
        <v>50301</v>
      </c>
      <c r="DM1401" t="s">
        <v>14255</v>
      </c>
      <c r="DO1401" t="s">
        <v>14256</v>
      </c>
      <c r="DP1401">
        <v>0</v>
      </c>
      <c r="DQ1401">
        <v>0</v>
      </c>
      <c r="DR1401" t="s">
        <v>411</v>
      </c>
      <c r="DS1401" t="b">
        <v>1</v>
      </c>
      <c r="DT1401" t="s">
        <v>470</v>
      </c>
      <c r="DU1401" t="s">
        <v>471</v>
      </c>
      <c r="DV1401" t="s">
        <v>472</v>
      </c>
      <c r="DX1401">
        <v>-9999</v>
      </c>
      <c r="DZ1401" t="s">
        <v>447</v>
      </c>
      <c r="EA1401" t="s">
        <v>448</v>
      </c>
      <c r="EB1401" t="s">
        <v>742</v>
      </c>
      <c r="EC1401">
        <v>20101217</v>
      </c>
      <c r="ED1401" t="s">
        <v>474</v>
      </c>
      <c r="EF1401">
        <v>1110.8</v>
      </c>
      <c r="EG1401">
        <v>987.5</v>
      </c>
      <c r="EI1401">
        <v>20160407</v>
      </c>
      <c r="EJ1401">
        <v>0</v>
      </c>
      <c r="EK1401">
        <v>0</v>
      </c>
      <c r="EP1401" t="s">
        <v>421</v>
      </c>
      <c r="EQ1401" t="s">
        <v>422</v>
      </c>
      <c r="ER1401">
        <v>0</v>
      </c>
      <c r="ES1401">
        <v>5</v>
      </c>
      <c r="ET1401">
        <v>0</v>
      </c>
      <c r="EU1401">
        <v>0</v>
      </c>
      <c r="EV1401">
        <v>0</v>
      </c>
      <c r="EW1401" s="2">
        <v>43222</v>
      </c>
      <c r="EX1401" s="1">
        <v>42879</v>
      </c>
      <c r="EY1401">
        <v>2016</v>
      </c>
      <c r="EZ1401">
        <v>1948.34</v>
      </c>
      <c r="FA1401" t="s">
        <v>14257</v>
      </c>
      <c r="FB1401">
        <v>0.25</v>
      </c>
      <c r="FC1401" t="s">
        <v>424</v>
      </c>
      <c r="FD1401" t="s">
        <v>425</v>
      </c>
      <c r="FE1401" s="1">
        <v>43117</v>
      </c>
      <c r="FF1401">
        <v>8</v>
      </c>
      <c r="FG1401">
        <v>7400234</v>
      </c>
      <c r="FH1401" t="s">
        <v>426</v>
      </c>
      <c r="FJ1401" s="1">
        <v>42879</v>
      </c>
      <c r="FK1401">
        <v>2016</v>
      </c>
      <c r="FL1401">
        <v>1948.34</v>
      </c>
      <c r="FM1401" t="s">
        <v>14257</v>
      </c>
      <c r="FN1401">
        <v>0.25</v>
      </c>
      <c r="FO1401" t="s">
        <v>424</v>
      </c>
      <c r="FP1401" t="s">
        <v>425</v>
      </c>
      <c r="FR1401">
        <v>22</v>
      </c>
      <c r="FS1401">
        <v>7549149</v>
      </c>
      <c r="FT1401" t="s">
        <v>14258</v>
      </c>
      <c r="FV1401" s="1">
        <v>42515</v>
      </c>
      <c r="FW1401">
        <v>2015</v>
      </c>
      <c r="FX1401">
        <v>1993.34</v>
      </c>
      <c r="FY1401" t="s">
        <v>14259</v>
      </c>
      <c r="FZ1401">
        <v>0.25</v>
      </c>
      <c r="GA1401" t="s">
        <v>424</v>
      </c>
      <c r="GB1401" t="s">
        <v>425</v>
      </c>
      <c r="GC1401" s="1">
        <v>42893</v>
      </c>
      <c r="GD1401">
        <v>13</v>
      </c>
      <c r="GE1401">
        <v>7045080</v>
      </c>
      <c r="GF1401" t="s">
        <v>4195</v>
      </c>
      <c r="GH1401" s="1">
        <v>41787</v>
      </c>
      <c r="GI1401">
        <v>2013</v>
      </c>
      <c r="GJ1401">
        <v>2020.58</v>
      </c>
      <c r="GK1401" t="s">
        <v>14260</v>
      </c>
      <c r="GL1401">
        <v>0.25</v>
      </c>
      <c r="GM1401" t="s">
        <v>424</v>
      </c>
      <c r="GN1401" t="s">
        <v>425</v>
      </c>
      <c r="GO1401" s="1">
        <v>41806</v>
      </c>
      <c r="GP1401">
        <v>1</v>
      </c>
      <c r="GQ1401">
        <v>2851116</v>
      </c>
      <c r="GR1401" t="s">
        <v>480</v>
      </c>
      <c r="GT1401" s="1">
        <v>41423</v>
      </c>
      <c r="GU1401">
        <v>2012</v>
      </c>
      <c r="GV1401">
        <v>2048.8200000000002</v>
      </c>
      <c r="GW1401" t="s">
        <v>14261</v>
      </c>
      <c r="GX1401">
        <v>0.25</v>
      </c>
      <c r="GY1401" t="s">
        <v>424</v>
      </c>
      <c r="GZ1401" t="s">
        <v>425</v>
      </c>
      <c r="HA1401" s="1">
        <v>41806</v>
      </c>
      <c r="HB1401">
        <v>13</v>
      </c>
      <c r="HC1401">
        <v>606981</v>
      </c>
      <c r="HD1401" t="s">
        <v>792</v>
      </c>
    </row>
    <row r="1402" spans="1:284" x14ac:dyDescent="0.25">
      <c r="A1402">
        <v>16486409</v>
      </c>
      <c r="B1402">
        <v>1401</v>
      </c>
      <c r="C1402" t="s">
        <v>393</v>
      </c>
      <c r="D1402" t="s">
        <v>394</v>
      </c>
      <c r="F1402" t="str">
        <f>"39-3N-27-0000-0001-0120"</f>
        <v>39-3N-27-0000-0001-0120</v>
      </c>
      <c r="H1402" t="str">
        <f>"DONNA LYNNE CUSTOM HOMES INC &amp; YULEE HOME CENTER LLC"</f>
        <v>DONNA LYNNE CUSTOM HOMES INC &amp; YULEE HOME CENTER LLC</v>
      </c>
      <c r="I1402" t="str">
        <f>"474423 STATE ROAD 200 STE 1"</f>
        <v>474423 STATE ROAD 200 STE 1</v>
      </c>
      <c r="J1402" t="str">
        <f>"FERNANDINA BEACH FL 32034"</f>
        <v>FERNANDINA BEACH FL 32034</v>
      </c>
      <c r="K1402" t="str">
        <f>"87270 BELL RIVER EST RD"</f>
        <v>87270 BELL RIVER EST RD</v>
      </c>
      <c r="L1402" t="str">
        <f t="shared" si="491"/>
        <v>YULEE FL 32097</v>
      </c>
      <c r="M1402" t="str">
        <f>"IN OR 1277/1410"</f>
        <v>IN OR 1277/1410</v>
      </c>
      <c r="N1402" t="str">
        <f>""</f>
        <v/>
      </c>
      <c r="O1402" t="str">
        <f>"46174"</f>
        <v>46174</v>
      </c>
      <c r="P1402" t="str">
        <f t="shared" si="467"/>
        <v>2017</v>
      </c>
      <c r="Q1402" t="str">
        <f>""</f>
        <v/>
      </c>
      <c r="R1402" t="str">
        <f>"N"</f>
        <v>N</v>
      </c>
      <c r="S1402" t="str">
        <f>"1.64"</f>
        <v>1.64</v>
      </c>
      <c r="T1402" t="str">
        <f>"548.03"</f>
        <v>548.03</v>
      </c>
      <c r="U1402" t="str">
        <f>"36200.00"</f>
        <v>36200.00</v>
      </c>
      <c r="V1402" t="str">
        <f>"36200.00"</f>
        <v>36200.00</v>
      </c>
      <c r="W1402" t="str">
        <f t="shared" si="468"/>
        <v>2017</v>
      </c>
      <c r="X1402" t="str">
        <f>"20.50"</f>
        <v>20.50</v>
      </c>
      <c r="Y1402" t="str">
        <f>"596.47"</f>
        <v>596.47</v>
      </c>
      <c r="Z1402" t="str">
        <f>""</f>
        <v/>
      </c>
      <c r="AA1402" t="str">
        <f>"36200.00"</f>
        <v>36200.00</v>
      </c>
      <c r="AB1402" t="str">
        <f t="shared" si="478"/>
        <v>Residential</v>
      </c>
      <c r="AC1402" t="str">
        <f t="shared" si="475"/>
        <v>0</v>
      </c>
      <c r="AD1402" t="str">
        <f>""</f>
        <v/>
      </c>
      <c r="AE1402" t="str">
        <f>""</f>
        <v/>
      </c>
      <c r="AF1402" t="str">
        <f>"000"</f>
        <v>000</v>
      </c>
      <c r="AG1402" t="str">
        <f t="shared" si="479"/>
        <v>FL</v>
      </c>
      <c r="AH1402" t="str">
        <f>"71438.00"</f>
        <v>71438.00</v>
      </c>
      <c r="AI1402" t="str">
        <f>"28700.00"</f>
        <v>28700.00</v>
      </c>
      <c r="AJ1402" t="str">
        <f>"C55-000-588-0792-6"</f>
        <v>C55-000-588-0792-6</v>
      </c>
      <c r="AK1402" t="str">
        <f>"23697"</f>
        <v>23697</v>
      </c>
      <c r="AL1402">
        <v>5</v>
      </c>
      <c r="AM1402">
        <v>1605</v>
      </c>
      <c r="AN1402">
        <v>624.69000000000005</v>
      </c>
      <c r="AQ1402" t="s">
        <v>14262</v>
      </c>
      <c r="AR1402" t="s">
        <v>14262</v>
      </c>
      <c r="AS1402" t="s">
        <v>14262</v>
      </c>
      <c r="AU1402" t="s">
        <v>396</v>
      </c>
      <c r="AV1402">
        <v>2017</v>
      </c>
      <c r="AW1402" t="str">
        <f>"39-3N-27-0000-0001-0120 "</f>
        <v xml:space="preserve">39-3N-27-0000-0001-0120 </v>
      </c>
      <c r="AX1402">
        <v>87270</v>
      </c>
      <c r="AZ1402" t="s">
        <v>14263</v>
      </c>
      <c r="BA1402" t="s">
        <v>496</v>
      </c>
      <c r="BD1402" t="s">
        <v>2387</v>
      </c>
      <c r="BE1402" t="s">
        <v>393</v>
      </c>
      <c r="BF1402">
        <v>32097</v>
      </c>
      <c r="BG1402" t="s">
        <v>14264</v>
      </c>
      <c r="BH1402" t="s">
        <v>2388</v>
      </c>
      <c r="BI1402">
        <v>-81.565537927508302</v>
      </c>
      <c r="BJ1402">
        <v>30.685497420321301</v>
      </c>
      <c r="BK1402" t="s">
        <v>14265</v>
      </c>
      <c r="BL1402" t="s">
        <v>14266</v>
      </c>
      <c r="BM1402" t="s">
        <v>14267</v>
      </c>
      <c r="BN1402" t="s">
        <v>3983</v>
      </c>
      <c r="BO1402">
        <v>32034</v>
      </c>
      <c r="BP1402" t="s">
        <v>404</v>
      </c>
      <c r="BQ1402">
        <v>1</v>
      </c>
      <c r="BR1402" t="s">
        <v>491</v>
      </c>
      <c r="BS1402">
        <v>8001</v>
      </c>
      <c r="BT1402" t="s">
        <v>492</v>
      </c>
      <c r="BW1402">
        <v>71438</v>
      </c>
      <c r="BX1402" t="s">
        <v>407</v>
      </c>
      <c r="BY1402" t="s">
        <v>408</v>
      </c>
      <c r="CD1402">
        <v>2017</v>
      </c>
      <c r="CE1402">
        <v>28700</v>
      </c>
      <c r="CF1402">
        <v>7500</v>
      </c>
      <c r="CG1402">
        <v>36200</v>
      </c>
      <c r="CH1402">
        <v>2017</v>
      </c>
      <c r="CI1402">
        <v>28700</v>
      </c>
      <c r="CJ1402">
        <v>7500</v>
      </c>
      <c r="CK1402">
        <v>36200</v>
      </c>
      <c r="CL1402">
        <v>2017</v>
      </c>
      <c r="CM1402">
        <v>548.03</v>
      </c>
      <c r="CN1402" s="1">
        <v>38322</v>
      </c>
      <c r="CO1402">
        <v>49700</v>
      </c>
      <c r="CV1402">
        <v>0</v>
      </c>
      <c r="CZ1402" s="1">
        <v>38322</v>
      </c>
      <c r="DA1402">
        <v>0</v>
      </c>
      <c r="DD1402" t="s">
        <v>2387</v>
      </c>
      <c r="DG1402">
        <v>39</v>
      </c>
      <c r="DL1402">
        <v>50301</v>
      </c>
      <c r="DM1402" t="s">
        <v>14255</v>
      </c>
      <c r="DO1402" t="s">
        <v>14268</v>
      </c>
      <c r="DP1402">
        <v>0</v>
      </c>
      <c r="DQ1402">
        <v>0</v>
      </c>
      <c r="DR1402" t="s">
        <v>411</v>
      </c>
      <c r="DS1402" t="b">
        <v>1</v>
      </c>
      <c r="DT1402" t="s">
        <v>470</v>
      </c>
      <c r="DU1402" t="s">
        <v>471</v>
      </c>
      <c r="DV1402" t="s">
        <v>472</v>
      </c>
      <c r="DX1402">
        <v>-9999</v>
      </c>
      <c r="DZ1402" t="s">
        <v>447</v>
      </c>
      <c r="EA1402" t="s">
        <v>448</v>
      </c>
      <c r="EB1402" t="s">
        <v>742</v>
      </c>
      <c r="EC1402">
        <v>20101217</v>
      </c>
      <c r="ED1402" t="s">
        <v>474</v>
      </c>
      <c r="EF1402">
        <v>354.5</v>
      </c>
      <c r="EG1402">
        <v>216.2</v>
      </c>
      <c r="EI1402">
        <v>20160407</v>
      </c>
      <c r="EJ1402">
        <v>0</v>
      </c>
      <c r="EK1402">
        <v>0</v>
      </c>
      <c r="EP1402" t="s">
        <v>421</v>
      </c>
      <c r="EQ1402" t="s">
        <v>422</v>
      </c>
      <c r="ER1402">
        <v>1</v>
      </c>
      <c r="ES1402">
        <v>6</v>
      </c>
      <c r="ET1402">
        <v>586.49</v>
      </c>
      <c r="EU1402">
        <v>44.37</v>
      </c>
      <c r="EV1402">
        <v>630.86</v>
      </c>
      <c r="EW1402" s="2">
        <v>43222</v>
      </c>
      <c r="EX1402" s="1">
        <v>42879</v>
      </c>
      <c r="EY1402">
        <v>2016</v>
      </c>
      <c r="EZ1402">
        <v>586.49</v>
      </c>
      <c r="FA1402" t="s">
        <v>14269</v>
      </c>
      <c r="FB1402">
        <v>6.5</v>
      </c>
      <c r="FC1402" t="s">
        <v>424</v>
      </c>
      <c r="FD1402" t="s">
        <v>454</v>
      </c>
      <c r="FF1402">
        <v>12</v>
      </c>
      <c r="FG1402">
        <v>10125</v>
      </c>
      <c r="FH1402" t="s">
        <v>440</v>
      </c>
      <c r="FJ1402" s="1">
        <v>42515</v>
      </c>
      <c r="FK1402">
        <v>2015</v>
      </c>
      <c r="FL1402">
        <v>595.09</v>
      </c>
      <c r="FM1402" t="s">
        <v>14270</v>
      </c>
      <c r="FN1402">
        <v>14.75</v>
      </c>
      <c r="FO1402" t="s">
        <v>424</v>
      </c>
      <c r="FP1402" t="s">
        <v>425</v>
      </c>
      <c r="FQ1402" s="1">
        <v>43158</v>
      </c>
      <c r="FR1402">
        <v>21</v>
      </c>
      <c r="FS1402">
        <v>10125</v>
      </c>
      <c r="FT1402" t="s">
        <v>440</v>
      </c>
      <c r="FV1402" s="1">
        <v>42151</v>
      </c>
      <c r="FW1402">
        <v>2014</v>
      </c>
      <c r="FX1402">
        <v>597.98</v>
      </c>
      <c r="FY1402" t="s">
        <v>14271</v>
      </c>
      <c r="FZ1402">
        <v>4.75</v>
      </c>
      <c r="GA1402" t="s">
        <v>424</v>
      </c>
      <c r="GB1402" t="s">
        <v>425</v>
      </c>
      <c r="GC1402" s="1">
        <v>42816</v>
      </c>
      <c r="GD1402">
        <v>22</v>
      </c>
      <c r="GE1402">
        <v>4975593</v>
      </c>
      <c r="GF1402" t="s">
        <v>505</v>
      </c>
      <c r="GH1402" s="1">
        <v>41787</v>
      </c>
      <c r="GI1402">
        <v>2013</v>
      </c>
      <c r="GJ1402">
        <v>567.16999999999996</v>
      </c>
      <c r="GK1402" t="s">
        <v>14272</v>
      </c>
      <c r="GL1402">
        <v>3</v>
      </c>
      <c r="GM1402" t="s">
        <v>424</v>
      </c>
      <c r="GN1402" t="s">
        <v>425</v>
      </c>
      <c r="GO1402" s="1">
        <v>42459</v>
      </c>
      <c r="GP1402">
        <v>22</v>
      </c>
      <c r="GQ1402">
        <v>10125</v>
      </c>
      <c r="GR1402" t="s">
        <v>440</v>
      </c>
      <c r="GT1402" s="1">
        <v>41423</v>
      </c>
      <c r="GU1402">
        <v>2012</v>
      </c>
      <c r="GV1402">
        <v>573.99</v>
      </c>
      <c r="GW1402" t="s">
        <v>14273</v>
      </c>
      <c r="GX1402">
        <v>2.75</v>
      </c>
      <c r="GY1402" t="s">
        <v>424</v>
      </c>
      <c r="GZ1402" t="s">
        <v>425</v>
      </c>
      <c r="HA1402" s="1">
        <v>41982</v>
      </c>
      <c r="HB1402">
        <v>19</v>
      </c>
      <c r="HC1402">
        <v>1625515</v>
      </c>
      <c r="HD1402" t="s">
        <v>487</v>
      </c>
      <c r="HF1402" s="1">
        <v>41052</v>
      </c>
      <c r="HG1402">
        <v>2011</v>
      </c>
      <c r="HH1402">
        <v>671.31</v>
      </c>
      <c r="HI1402" t="s">
        <v>14274</v>
      </c>
      <c r="HJ1402">
        <v>6</v>
      </c>
      <c r="HK1402" t="s">
        <v>424</v>
      </c>
      <c r="HL1402" t="s">
        <v>425</v>
      </c>
      <c r="HM1402" s="1">
        <v>41698</v>
      </c>
      <c r="HN1402">
        <v>21</v>
      </c>
      <c r="HO1402">
        <v>1109</v>
      </c>
      <c r="HP1402" t="s">
        <v>852</v>
      </c>
      <c r="HR1402" s="1">
        <v>40688</v>
      </c>
      <c r="HS1402">
        <v>2010</v>
      </c>
      <c r="HT1402">
        <v>837.45</v>
      </c>
      <c r="HU1402" t="s">
        <v>14275</v>
      </c>
      <c r="HV1402">
        <v>6</v>
      </c>
      <c r="HW1402" t="s">
        <v>424</v>
      </c>
      <c r="HX1402" t="s">
        <v>425</v>
      </c>
      <c r="HY1402" s="1">
        <v>41317</v>
      </c>
      <c r="HZ1402">
        <v>21</v>
      </c>
      <c r="IA1402">
        <v>105</v>
      </c>
      <c r="IB1402" t="s">
        <v>946</v>
      </c>
    </row>
    <row r="1403" spans="1:284" x14ac:dyDescent="0.25">
      <c r="A1403">
        <v>16486410</v>
      </c>
      <c r="B1403">
        <v>1402</v>
      </c>
      <c r="C1403" t="s">
        <v>393</v>
      </c>
      <c r="D1403" t="s">
        <v>394</v>
      </c>
      <c r="F1403" t="str">
        <f>"50-3N-27-0000-0001-0050"</f>
        <v>50-3N-27-0000-0001-0050</v>
      </c>
      <c r="H1403" t="str">
        <f>"AZOR PATRICK G &amp; PATRICIA J"</f>
        <v>AZOR PATRICK G &amp; PATRICIA J</v>
      </c>
      <c r="I1403" t="str">
        <f>"86485 PAGES DAIRY RD"</f>
        <v>86485 PAGES DAIRY RD</v>
      </c>
      <c r="J1403" t="str">
        <f>"YULEE FL 32097"</f>
        <v>YULEE FL 32097</v>
      </c>
      <c r="K1403" t="str">
        <f>"US HWY 17"</f>
        <v>US HWY 17</v>
      </c>
      <c r="L1403" t="str">
        <f t="shared" si="491"/>
        <v>YULEE FL 32097</v>
      </c>
      <c r="M1403" t="str">
        <f>"PT SEC 50-3N-27E IN OR 2094/1115"</f>
        <v>PT SEC 50-3N-27E IN OR 2094/1115</v>
      </c>
      <c r="N1403" t="str">
        <f>""</f>
        <v/>
      </c>
      <c r="O1403" t="str">
        <f>"54125"</f>
        <v>54125</v>
      </c>
      <c r="P1403" t="str">
        <f t="shared" si="467"/>
        <v>2017</v>
      </c>
      <c r="Q1403" t="str">
        <f>""</f>
        <v/>
      </c>
      <c r="R1403" t="str">
        <f>"N"</f>
        <v>N</v>
      </c>
      <c r="S1403" t="str">
        <f>"10.00"</f>
        <v>10.00</v>
      </c>
      <c r="T1403" t="str">
        <f>"3027.76"</f>
        <v>3027.76</v>
      </c>
      <c r="U1403" t="str">
        <f>"200000.00"</f>
        <v>200000.00</v>
      </c>
      <c r="V1403" t="str">
        <f>"200000.00"</f>
        <v>200000.00</v>
      </c>
      <c r="W1403" t="str">
        <f t="shared" si="468"/>
        <v>2017</v>
      </c>
      <c r="X1403" t="str">
        <f>"1.00"</f>
        <v>1.00</v>
      </c>
      <c r="Y1403" t="str">
        <f>"3150.59"</f>
        <v>3150.59</v>
      </c>
      <c r="Z1403" t="str">
        <f>""</f>
        <v/>
      </c>
      <c r="AA1403" t="str">
        <f>"200000.00"</f>
        <v>200000.00</v>
      </c>
      <c r="AB1403" t="str">
        <f t="shared" si="478"/>
        <v>Residential</v>
      </c>
      <c r="AC1403" t="str">
        <f t="shared" si="475"/>
        <v>0</v>
      </c>
      <c r="AD1403" t="str">
        <f>""</f>
        <v/>
      </c>
      <c r="AE1403" t="str">
        <f>""</f>
        <v/>
      </c>
      <c r="AF1403" t="str">
        <f>"000"</f>
        <v>000</v>
      </c>
      <c r="AG1403" t="str">
        <f t="shared" si="479"/>
        <v>FL</v>
      </c>
      <c r="AH1403" t="str">
        <f>"435600.00"</f>
        <v>435600.00</v>
      </c>
      <c r="AI1403" t="str">
        <f>"200000.00"</f>
        <v>200000.00</v>
      </c>
      <c r="AJ1403" t="str">
        <f>"C55-000-588-6689-8"</f>
        <v>C55-000-588-6689-8</v>
      </c>
      <c r="AK1403" t="str">
        <f>"23748"</f>
        <v>23748</v>
      </c>
      <c r="AL1403">
        <v>5</v>
      </c>
      <c r="AM1403">
        <v>1607</v>
      </c>
      <c r="AN1403">
        <v>3306.52</v>
      </c>
      <c r="AQ1403" t="s">
        <v>14276</v>
      </c>
      <c r="AR1403" t="s">
        <v>14276</v>
      </c>
      <c r="AS1403" t="s">
        <v>14276</v>
      </c>
      <c r="AU1403" t="s">
        <v>396</v>
      </c>
      <c r="AV1403">
        <v>2017</v>
      </c>
      <c r="AW1403" t="str">
        <f>"50-3N-27-0000-0001-0050 "</f>
        <v xml:space="preserve">50-3N-27-0000-0001-0050 </v>
      </c>
      <c r="AZ1403" t="s">
        <v>11185</v>
      </c>
      <c r="BD1403" t="s">
        <v>2387</v>
      </c>
      <c r="BE1403" t="s">
        <v>393</v>
      </c>
      <c r="BF1403">
        <v>32097</v>
      </c>
      <c r="BG1403" t="s">
        <v>11185</v>
      </c>
      <c r="BH1403" t="s">
        <v>2388</v>
      </c>
      <c r="BI1403">
        <v>-81.617521552003893</v>
      </c>
      <c r="BJ1403">
        <v>30.647553247065801</v>
      </c>
      <c r="BK1403" t="s">
        <v>14277</v>
      </c>
      <c r="BL1403" t="s">
        <v>14278</v>
      </c>
      <c r="BM1403" t="s">
        <v>14279</v>
      </c>
      <c r="BN1403" t="s">
        <v>1778</v>
      </c>
      <c r="BO1403">
        <v>32097</v>
      </c>
      <c r="BP1403" t="s">
        <v>404</v>
      </c>
      <c r="BQ1403">
        <v>0</v>
      </c>
      <c r="BR1403" t="s">
        <v>491</v>
      </c>
      <c r="BS1403">
        <v>8001</v>
      </c>
      <c r="BT1403" t="s">
        <v>492</v>
      </c>
      <c r="BW1403">
        <v>435600</v>
      </c>
      <c r="BX1403" t="s">
        <v>407</v>
      </c>
      <c r="BY1403" t="s">
        <v>408</v>
      </c>
      <c r="CD1403">
        <v>2017</v>
      </c>
      <c r="CE1403">
        <v>200000</v>
      </c>
      <c r="CG1403">
        <v>200000</v>
      </c>
      <c r="CH1403">
        <v>2017</v>
      </c>
      <c r="CI1403">
        <v>200000</v>
      </c>
      <c r="CK1403">
        <v>200000</v>
      </c>
      <c r="CL1403">
        <v>2017</v>
      </c>
      <c r="CM1403">
        <v>3027.76</v>
      </c>
      <c r="CN1403" s="1">
        <v>42752</v>
      </c>
      <c r="CO1403">
        <v>125000</v>
      </c>
      <c r="CV1403">
        <v>0</v>
      </c>
      <c r="CZ1403" s="1">
        <v>42752</v>
      </c>
      <c r="DA1403">
        <v>0</v>
      </c>
      <c r="DD1403" t="s">
        <v>2387</v>
      </c>
      <c r="DG1403">
        <v>50</v>
      </c>
      <c r="DL1403">
        <v>50302</v>
      </c>
      <c r="DM1403" t="s">
        <v>14280</v>
      </c>
      <c r="DO1403" t="s">
        <v>14281</v>
      </c>
      <c r="DP1403">
        <v>0</v>
      </c>
      <c r="DQ1403">
        <v>1</v>
      </c>
      <c r="DR1403" t="s">
        <v>411</v>
      </c>
      <c r="DS1403" t="s">
        <v>695</v>
      </c>
      <c r="EJ1403">
        <v>0</v>
      </c>
      <c r="EK1403">
        <v>0</v>
      </c>
      <c r="EP1403" t="s">
        <v>421</v>
      </c>
      <c r="EQ1403" t="s">
        <v>422</v>
      </c>
      <c r="ER1403">
        <v>0</v>
      </c>
      <c r="ES1403">
        <v>1</v>
      </c>
      <c r="ET1403">
        <v>0</v>
      </c>
      <c r="EU1403">
        <v>0</v>
      </c>
      <c r="EV1403">
        <v>0</v>
      </c>
      <c r="EW1403" s="2">
        <v>43222</v>
      </c>
      <c r="EX1403" s="1">
        <v>42151</v>
      </c>
      <c r="EY1403">
        <v>2014</v>
      </c>
      <c r="EZ1403">
        <v>3440.25</v>
      </c>
      <c r="FA1403" t="s">
        <v>14282</v>
      </c>
      <c r="FB1403">
        <v>0.25</v>
      </c>
      <c r="FC1403" t="s">
        <v>424</v>
      </c>
      <c r="FD1403" t="s">
        <v>425</v>
      </c>
      <c r="FE1403" s="1">
        <v>42180</v>
      </c>
      <c r="FF1403">
        <v>1</v>
      </c>
      <c r="FG1403">
        <v>4975593</v>
      </c>
      <c r="FH1403" t="s">
        <v>505</v>
      </c>
    </row>
    <row r="1404" spans="1:284" x14ac:dyDescent="0.25">
      <c r="A1404">
        <v>16486411</v>
      </c>
      <c r="B1404">
        <v>1403</v>
      </c>
      <c r="C1404" t="s">
        <v>393</v>
      </c>
      <c r="D1404" t="s">
        <v>394</v>
      </c>
      <c r="F1404" t="str">
        <f>"50-3N-27-0000-0001-0060"</f>
        <v>50-3N-27-0000-0001-0060</v>
      </c>
      <c r="H1404" t="str">
        <f>"HALLS SALVAGE LLC"</f>
        <v>HALLS SALVAGE LLC</v>
      </c>
      <c r="I1404" t="str">
        <f>"85712 AVANT ROAD"</f>
        <v>85712 AVANT ROAD</v>
      </c>
      <c r="J1404" t="str">
        <f>"YULEE FL 32097"</f>
        <v>YULEE FL 32097</v>
      </c>
      <c r="K1404" t="str">
        <f>"GOODBREAD RD"</f>
        <v>GOODBREAD RD</v>
      </c>
      <c r="L1404" t="str">
        <f t="shared" si="491"/>
        <v>YULEE FL 32097</v>
      </c>
      <c r="M1404" t="str">
        <f>"PT E WATERMAN MILL GRANT SEC 50-3N-27E IN OR 1834/1286"</f>
        <v>PT E WATERMAN MILL GRANT SEC 50-3N-27E IN OR 1834/1286</v>
      </c>
      <c r="N1404" t="str">
        <f>""</f>
        <v/>
      </c>
      <c r="O1404" t="str">
        <f>"54126"</f>
        <v>54126</v>
      </c>
      <c r="P1404" t="str">
        <f t="shared" si="467"/>
        <v>2017</v>
      </c>
      <c r="Q1404" t="str">
        <f>""</f>
        <v/>
      </c>
      <c r="R1404" t="str">
        <f>"N"</f>
        <v>N</v>
      </c>
      <c r="S1404" t="str">
        <f>"8.00"</f>
        <v>8.00</v>
      </c>
      <c r="T1404" t="str">
        <f>"1513.88"</f>
        <v>1513.88</v>
      </c>
      <c r="U1404" t="str">
        <f>"100000.00"</f>
        <v>100000.00</v>
      </c>
      <c r="V1404" t="str">
        <f>"100000.00"</f>
        <v>100000.00</v>
      </c>
      <c r="W1404" t="str">
        <f t="shared" si="468"/>
        <v>2017</v>
      </c>
      <c r="X1404" t="str">
        <f>""</f>
        <v/>
      </c>
      <c r="Y1404" t="str">
        <f>"1591.30"</f>
        <v>1591.30</v>
      </c>
      <c r="Z1404" t="str">
        <f>""</f>
        <v/>
      </c>
      <c r="AA1404" t="str">
        <f>"100000.00"</f>
        <v>100000.00</v>
      </c>
      <c r="AB1404" t="str">
        <f t="shared" si="478"/>
        <v>Residential</v>
      </c>
      <c r="AC1404" t="str">
        <f t="shared" si="475"/>
        <v>0</v>
      </c>
      <c r="AD1404" t="str">
        <f>""</f>
        <v/>
      </c>
      <c r="AE1404" t="str">
        <f>""</f>
        <v/>
      </c>
      <c r="AF1404" t="str">
        <f>"000"</f>
        <v>000</v>
      </c>
      <c r="AG1404" t="str">
        <f t="shared" si="479"/>
        <v>FL</v>
      </c>
      <c r="AH1404" t="str">
        <f>"348480.00"</f>
        <v>348480.00</v>
      </c>
      <c r="AI1404" t="str">
        <f>"100000.00"</f>
        <v>100000.00</v>
      </c>
      <c r="AJ1404" t="str">
        <f>"C55-000-588-6690-6"</f>
        <v>C55-000-588-6690-6</v>
      </c>
      <c r="AK1404" t="str">
        <f>"23749"</f>
        <v>23749</v>
      </c>
      <c r="AL1404">
        <v>5</v>
      </c>
      <c r="AM1404">
        <v>1608</v>
      </c>
      <c r="AN1404">
        <v>1669.27</v>
      </c>
      <c r="AQ1404" t="s">
        <v>14283</v>
      </c>
      <c r="AR1404" t="s">
        <v>14283</v>
      </c>
      <c r="AS1404" t="s">
        <v>14283</v>
      </c>
      <c r="AU1404" t="s">
        <v>396</v>
      </c>
      <c r="AV1404">
        <v>2017</v>
      </c>
      <c r="AW1404" t="str">
        <f>"50-3N-27-0000-0001-0060 "</f>
        <v xml:space="preserve">50-3N-27-0000-0001-0060 </v>
      </c>
      <c r="AZ1404" t="s">
        <v>4022</v>
      </c>
      <c r="BA1404" t="s">
        <v>496</v>
      </c>
      <c r="BD1404" t="s">
        <v>2387</v>
      </c>
      <c r="BE1404" t="s">
        <v>393</v>
      </c>
      <c r="BF1404">
        <v>32097</v>
      </c>
      <c r="BG1404" t="s">
        <v>14284</v>
      </c>
      <c r="BH1404" t="s">
        <v>2388</v>
      </c>
      <c r="BI1404">
        <v>-81.612933304080101</v>
      </c>
      <c r="BJ1404">
        <v>30.644470563106498</v>
      </c>
      <c r="BK1404" t="s">
        <v>14285</v>
      </c>
      <c r="BM1404" t="s">
        <v>14286</v>
      </c>
      <c r="BN1404" t="s">
        <v>1778</v>
      </c>
      <c r="BO1404">
        <v>32097</v>
      </c>
      <c r="BP1404" t="s">
        <v>404</v>
      </c>
      <c r="BQ1404">
        <v>0</v>
      </c>
      <c r="BR1404" t="s">
        <v>491</v>
      </c>
      <c r="BS1404">
        <v>8001</v>
      </c>
      <c r="BT1404" t="s">
        <v>492</v>
      </c>
      <c r="BW1404">
        <v>348480</v>
      </c>
      <c r="BX1404" t="s">
        <v>407</v>
      </c>
      <c r="BY1404" t="s">
        <v>408</v>
      </c>
      <c r="CD1404">
        <v>2017</v>
      </c>
      <c r="CE1404">
        <v>100000</v>
      </c>
      <c r="CG1404">
        <v>100000</v>
      </c>
      <c r="CH1404">
        <v>2017</v>
      </c>
      <c r="CI1404">
        <v>100000</v>
      </c>
      <c r="CK1404">
        <v>100000</v>
      </c>
      <c r="CL1404">
        <v>2017</v>
      </c>
      <c r="CM1404">
        <v>1513.88</v>
      </c>
      <c r="CN1404" s="1">
        <v>41285</v>
      </c>
      <c r="CO1404">
        <v>225000</v>
      </c>
      <c r="CV1404">
        <v>0</v>
      </c>
      <c r="CZ1404" s="1">
        <v>41285</v>
      </c>
      <c r="DA1404">
        <v>0</v>
      </c>
      <c r="DD1404" t="s">
        <v>2387</v>
      </c>
      <c r="DG1404">
        <v>50</v>
      </c>
      <c r="DL1404">
        <v>50302</v>
      </c>
      <c r="DM1404" t="s">
        <v>14280</v>
      </c>
      <c r="DO1404" t="s">
        <v>14287</v>
      </c>
      <c r="DP1404">
        <v>0</v>
      </c>
      <c r="DQ1404">
        <v>1</v>
      </c>
      <c r="DR1404" t="s">
        <v>411</v>
      </c>
    </row>
    <row r="1405" spans="1:284" x14ac:dyDescent="0.25">
      <c r="A1405">
        <v>16486412</v>
      </c>
      <c r="B1405">
        <v>1404</v>
      </c>
      <c r="C1405" t="s">
        <v>393</v>
      </c>
      <c r="D1405" t="s">
        <v>394</v>
      </c>
      <c r="F1405" t="str">
        <f>"50-3N-27-0000-0012-0000"</f>
        <v>50-3N-27-0000-0012-0000</v>
      </c>
      <c r="H1405" t="str">
        <f>"MOSES WILLIAM HAROLD &amp; KAREN"</f>
        <v>MOSES WILLIAM HAROLD &amp; KAREN</v>
      </c>
      <c r="I1405" t="str">
        <f>"PO BOX 8"</f>
        <v>PO BOX 8</v>
      </c>
      <c r="J1405" t="str">
        <f>"YULEE FL 32041"</f>
        <v>YULEE FL 32041</v>
      </c>
      <c r="K1405" t="str">
        <f>"76044 QUAIL RIDGE RD"</f>
        <v>76044 QUAIL RIDGE RD</v>
      </c>
      <c r="L1405" t="str">
        <f t="shared" si="491"/>
        <v>YULEE FL 32097</v>
      </c>
      <c r="M1405" t="str">
        <f>"PT E WATERMAN GRANT SEC 50-3N-27E IN OR 1910/1533 BEING PARCELS 1 &amp; 2"</f>
        <v>PT E WATERMAN GRANT SEC 50-3N-27E IN OR 1910/1533 BEING PARCELS 1 &amp; 2</v>
      </c>
      <c r="N1405" t="str">
        <f>""</f>
        <v/>
      </c>
      <c r="O1405" t="str">
        <f>"54170"</f>
        <v>54170</v>
      </c>
      <c r="P1405" t="str">
        <f t="shared" si="467"/>
        <v>2017</v>
      </c>
      <c r="Q1405" t="str">
        <f>""</f>
        <v/>
      </c>
      <c r="R1405" t="str">
        <f>"N"</f>
        <v>N</v>
      </c>
      <c r="S1405" t="str">
        <f>"1.13"</f>
        <v>1.13</v>
      </c>
      <c r="T1405" t="str">
        <f>"877.81"</f>
        <v>877.81</v>
      </c>
      <c r="U1405" t="str">
        <f>"97088.00"</f>
        <v>97088.00</v>
      </c>
      <c r="V1405" t="str">
        <f>"97088.00"</f>
        <v>97088.00</v>
      </c>
      <c r="W1405" t="str">
        <f t="shared" si="468"/>
        <v>2017</v>
      </c>
      <c r="X1405" t="str">
        <f>"12.00"</f>
        <v>12.00</v>
      </c>
      <c r="Y1405" t="str">
        <f>"936.14"</f>
        <v>936.14</v>
      </c>
      <c r="Z1405" t="str">
        <f>"25000.00"</f>
        <v>25000.00</v>
      </c>
      <c r="AA1405" t="str">
        <f>"72088.00"</f>
        <v>72088.00</v>
      </c>
      <c r="AB1405" t="str">
        <f t="shared" si="478"/>
        <v>Residential</v>
      </c>
      <c r="AC1405" t="str">
        <f t="shared" si="475"/>
        <v>0</v>
      </c>
      <c r="AD1405" t="str">
        <f>""</f>
        <v/>
      </c>
      <c r="AE1405" t="str">
        <f>""</f>
        <v/>
      </c>
      <c r="AF1405" t="str">
        <f>"002"</f>
        <v>002</v>
      </c>
      <c r="AG1405" t="str">
        <f t="shared" si="479"/>
        <v>FL</v>
      </c>
      <c r="AH1405" t="str">
        <f>"49222.00"</f>
        <v>49222.00</v>
      </c>
      <c r="AI1405" t="str">
        <f>"28250.00"</f>
        <v>28250.00</v>
      </c>
      <c r="AJ1405" t="str">
        <f>"C55-000-588-6719-3"</f>
        <v>C55-000-588-6719-3</v>
      </c>
      <c r="AK1405" t="str">
        <f>"23792"</f>
        <v>23792</v>
      </c>
      <c r="AL1405">
        <v>5</v>
      </c>
      <c r="AM1405">
        <v>1609</v>
      </c>
      <c r="AN1405">
        <v>981.35</v>
      </c>
      <c r="AQ1405" t="s">
        <v>14288</v>
      </c>
      <c r="AR1405" t="s">
        <v>14288</v>
      </c>
      <c r="AS1405" t="s">
        <v>14288</v>
      </c>
      <c r="AU1405" t="s">
        <v>396</v>
      </c>
      <c r="AV1405">
        <v>2017</v>
      </c>
      <c r="AW1405" t="str">
        <f>"50-3N-27-0000-0012-0000 "</f>
        <v xml:space="preserve">50-3N-27-0000-0012-0000 </v>
      </c>
      <c r="AX1405">
        <v>76044</v>
      </c>
      <c r="AZ1405" t="s">
        <v>6707</v>
      </c>
      <c r="BA1405" t="s">
        <v>496</v>
      </c>
      <c r="BD1405" t="s">
        <v>2387</v>
      </c>
      <c r="BE1405" t="s">
        <v>393</v>
      </c>
      <c r="BF1405">
        <v>32097</v>
      </c>
      <c r="BG1405" t="s">
        <v>14289</v>
      </c>
      <c r="BH1405" t="s">
        <v>2388</v>
      </c>
      <c r="BI1405">
        <v>-81.6299448186967</v>
      </c>
      <c r="BJ1405">
        <v>30.658243893642101</v>
      </c>
      <c r="BK1405" t="s">
        <v>14290</v>
      </c>
      <c r="BL1405" t="s">
        <v>14291</v>
      </c>
      <c r="BM1405" t="s">
        <v>14292</v>
      </c>
      <c r="BN1405" t="s">
        <v>1778</v>
      </c>
      <c r="BO1405">
        <v>32041</v>
      </c>
      <c r="BP1405" t="s">
        <v>404</v>
      </c>
      <c r="BQ1405">
        <v>200</v>
      </c>
      <c r="BR1405" t="s">
        <v>405</v>
      </c>
      <c r="BS1405">
        <v>1006</v>
      </c>
      <c r="BT1405" t="s">
        <v>406</v>
      </c>
      <c r="BW1405">
        <v>49222</v>
      </c>
      <c r="BX1405" t="s">
        <v>407</v>
      </c>
      <c r="BY1405" t="s">
        <v>408</v>
      </c>
      <c r="CA1405">
        <v>2005</v>
      </c>
      <c r="CC1405">
        <v>1</v>
      </c>
      <c r="CD1405">
        <v>2017</v>
      </c>
      <c r="CE1405">
        <v>28250</v>
      </c>
      <c r="CF1405">
        <v>68838</v>
      </c>
      <c r="CG1405">
        <v>97088</v>
      </c>
      <c r="CH1405">
        <v>2017</v>
      </c>
      <c r="CI1405">
        <v>28250</v>
      </c>
      <c r="CJ1405">
        <v>68838</v>
      </c>
      <c r="CK1405">
        <v>97088</v>
      </c>
      <c r="CL1405">
        <v>2017</v>
      </c>
      <c r="CM1405">
        <v>1469.8</v>
      </c>
      <c r="CN1405" s="1">
        <v>38069</v>
      </c>
      <c r="CO1405">
        <v>30000</v>
      </c>
      <c r="CV1405">
        <v>0</v>
      </c>
      <c r="CZ1405" s="1">
        <v>38069</v>
      </c>
      <c r="DA1405">
        <v>0</v>
      </c>
      <c r="DD1405" t="s">
        <v>2387</v>
      </c>
      <c r="DG1405">
        <v>50</v>
      </c>
      <c r="DL1405">
        <v>50301</v>
      </c>
      <c r="DM1405" t="s">
        <v>14280</v>
      </c>
      <c r="DO1405" t="s">
        <v>14293</v>
      </c>
      <c r="DP1405">
        <v>0</v>
      </c>
      <c r="DQ1405">
        <v>0</v>
      </c>
      <c r="DR1405" t="s">
        <v>411</v>
      </c>
      <c r="DS1405" t="b">
        <v>1</v>
      </c>
      <c r="DT1405" t="s">
        <v>470</v>
      </c>
      <c r="DU1405" t="s">
        <v>471</v>
      </c>
      <c r="DV1405" t="s">
        <v>472</v>
      </c>
      <c r="DX1405">
        <v>-9999</v>
      </c>
      <c r="DZ1405" t="s">
        <v>447</v>
      </c>
      <c r="EA1405" t="s">
        <v>448</v>
      </c>
      <c r="EB1405" t="s">
        <v>742</v>
      </c>
      <c r="EC1405">
        <v>20101217</v>
      </c>
      <c r="ED1405" t="s">
        <v>474</v>
      </c>
      <c r="EF1405">
        <v>1213.5999999999999</v>
      </c>
      <c r="EG1405">
        <v>1213.5999999999999</v>
      </c>
      <c r="EI1405">
        <v>20160407</v>
      </c>
      <c r="EJ1405">
        <v>0</v>
      </c>
      <c r="EK1405">
        <v>0</v>
      </c>
      <c r="EP1405" t="s">
        <v>421</v>
      </c>
      <c r="EQ1405" t="s">
        <v>422</v>
      </c>
      <c r="ER1405">
        <v>2</v>
      </c>
      <c r="ES1405">
        <v>3</v>
      </c>
      <c r="ET1405">
        <v>3119.96</v>
      </c>
      <c r="EU1405">
        <v>168.5</v>
      </c>
      <c r="EV1405">
        <v>3288.46</v>
      </c>
      <c r="EW1405" s="2">
        <v>43222</v>
      </c>
      <c r="EX1405" s="1">
        <v>42879</v>
      </c>
      <c r="EY1405">
        <v>2016</v>
      </c>
      <c r="EZ1405">
        <v>1559.98</v>
      </c>
      <c r="FA1405" t="s">
        <v>14294</v>
      </c>
      <c r="FB1405">
        <v>0.25</v>
      </c>
      <c r="FC1405" t="s">
        <v>424</v>
      </c>
      <c r="FD1405" t="s">
        <v>454</v>
      </c>
      <c r="FF1405">
        <v>12</v>
      </c>
      <c r="FG1405">
        <v>2851116</v>
      </c>
      <c r="FH1405" t="s">
        <v>480</v>
      </c>
      <c r="FJ1405" s="1">
        <v>42879</v>
      </c>
      <c r="FK1405">
        <v>2016</v>
      </c>
      <c r="FL1405">
        <v>1559.98</v>
      </c>
      <c r="FM1405" t="s">
        <v>14294</v>
      </c>
      <c r="FN1405">
        <v>0.25</v>
      </c>
      <c r="FO1405" t="s">
        <v>424</v>
      </c>
      <c r="FP1405" t="s">
        <v>454</v>
      </c>
      <c r="FR1405">
        <v>12</v>
      </c>
      <c r="FS1405">
        <v>5061801</v>
      </c>
      <c r="FT1405" t="s">
        <v>14295</v>
      </c>
      <c r="FV1405" s="1">
        <v>42515</v>
      </c>
      <c r="FW1405">
        <v>2015</v>
      </c>
      <c r="FX1405">
        <v>1675.04</v>
      </c>
      <c r="FY1405" t="s">
        <v>14296</v>
      </c>
      <c r="FZ1405">
        <v>0.25</v>
      </c>
      <c r="GA1405" t="s">
        <v>424</v>
      </c>
      <c r="GB1405" t="s">
        <v>425</v>
      </c>
      <c r="GC1405" s="1">
        <v>43160</v>
      </c>
      <c r="GD1405">
        <v>22</v>
      </c>
      <c r="GE1405">
        <v>11289</v>
      </c>
      <c r="GF1405" t="s">
        <v>787</v>
      </c>
      <c r="GH1405" s="1">
        <v>42515</v>
      </c>
      <c r="GI1405">
        <v>2015</v>
      </c>
      <c r="GJ1405">
        <v>1675.04</v>
      </c>
      <c r="GK1405" t="s">
        <v>14296</v>
      </c>
      <c r="GL1405">
        <v>0.25</v>
      </c>
      <c r="GM1405" t="s">
        <v>424</v>
      </c>
      <c r="GN1405" t="s">
        <v>425</v>
      </c>
      <c r="GP1405">
        <v>22</v>
      </c>
      <c r="GQ1405">
        <v>5113110</v>
      </c>
      <c r="GR1405" t="s">
        <v>14297</v>
      </c>
      <c r="GT1405" s="1">
        <v>41052</v>
      </c>
      <c r="GU1405">
        <v>2011</v>
      </c>
      <c r="GV1405">
        <v>415.46</v>
      </c>
      <c r="GW1405" t="s">
        <v>14298</v>
      </c>
      <c r="GX1405">
        <v>5.75</v>
      </c>
      <c r="GY1405" t="s">
        <v>424</v>
      </c>
      <c r="GZ1405" t="s">
        <v>425</v>
      </c>
      <c r="HA1405" s="1">
        <v>41095</v>
      </c>
      <c r="HB1405">
        <v>2</v>
      </c>
      <c r="HC1405">
        <v>62</v>
      </c>
      <c r="HD1405" t="s">
        <v>463</v>
      </c>
    </row>
    <row r="1406" spans="1:284" x14ac:dyDescent="0.25">
      <c r="A1406">
        <v>16486413</v>
      </c>
      <c r="B1406">
        <v>1405</v>
      </c>
      <c r="C1406" t="s">
        <v>393</v>
      </c>
      <c r="D1406" t="s">
        <v>394</v>
      </c>
      <c r="F1406" t="str">
        <f>"50-3N-27-0000-0016-0000"</f>
        <v>50-3N-27-0000-0016-0000</v>
      </c>
      <c r="H1406" t="str">
        <f>"WOODWARD SPALDING &amp; GENEVA"</f>
        <v>WOODWARD SPALDING &amp; GENEVA</v>
      </c>
      <c r="I1406" t="str">
        <f>"86033 MCKENDREE DR"</f>
        <v>86033 MCKENDREE DR</v>
      </c>
      <c r="J1406" t="str">
        <f>"YULEE FL 32097"</f>
        <v>YULEE FL 32097</v>
      </c>
      <c r="K1406" t="str">
        <f>"86033 MCKENDREE DR"</f>
        <v>86033 MCKENDREE DR</v>
      </c>
      <c r="L1406" t="str">
        <f t="shared" si="491"/>
        <v>YULEE FL 32097</v>
      </c>
      <c r="M1406" t="str">
        <f>"IN OR 717 PG 851"</f>
        <v>IN OR 717 PG 851</v>
      </c>
      <c r="N1406" t="str">
        <f>""</f>
        <v/>
      </c>
      <c r="O1406" t="str">
        <f>"54181"</f>
        <v>54181</v>
      </c>
      <c r="P1406" t="str">
        <f t="shared" si="467"/>
        <v>2017</v>
      </c>
      <c r="Q1406" t="str">
        <f>""</f>
        <v/>
      </c>
      <c r="R1406" t="str">
        <f>"Y"</f>
        <v>Y</v>
      </c>
      <c r="S1406" t="str">
        <f>"1.88"</f>
        <v>1.88</v>
      </c>
      <c r="T1406" t="str">
        <f>"1456.80"</f>
        <v>1456.80</v>
      </c>
      <c r="U1406" t="str">
        <f>"135334.00"</f>
        <v>135334.00</v>
      </c>
      <c r="V1406" t="str">
        <f>"135334.00"</f>
        <v>135334.00</v>
      </c>
      <c r="W1406" t="str">
        <f t="shared" si="468"/>
        <v>2017</v>
      </c>
      <c r="X1406" t="str">
        <f>""</f>
        <v/>
      </c>
      <c r="Y1406" t="str">
        <f>"1532.50"</f>
        <v>1532.50</v>
      </c>
      <c r="Z1406" t="str">
        <f>"25000.00"</f>
        <v>25000.00</v>
      </c>
      <c r="AA1406" t="str">
        <f>"110334.00"</f>
        <v>110334.00</v>
      </c>
      <c r="AB1406" t="str">
        <f t="shared" si="478"/>
        <v>Residential</v>
      </c>
      <c r="AC1406" t="str">
        <f t="shared" si="475"/>
        <v>0</v>
      </c>
      <c r="AD1406" t="str">
        <f>"4"</f>
        <v>4</v>
      </c>
      <c r="AE1406" t="str">
        <f>"WOOD (INCLUDE STEEL STUDS)"</f>
        <v>WOOD (INCLUDE STEEL STUDS)</v>
      </c>
      <c r="AF1406" t="str">
        <f>"001"</f>
        <v>001</v>
      </c>
      <c r="AG1406" t="str">
        <f t="shared" si="479"/>
        <v>FL</v>
      </c>
      <c r="AH1406" t="str">
        <f>"81892.00"</f>
        <v>81892.00</v>
      </c>
      <c r="AI1406" t="str">
        <f>"47000.00"</f>
        <v>47000.00</v>
      </c>
      <c r="AJ1406" t="str">
        <f>"C55-000-588-6729-2"</f>
        <v>C55-000-588-6729-2</v>
      </c>
      <c r="AK1406" t="str">
        <f>"23799"</f>
        <v>23799</v>
      </c>
      <c r="AL1406">
        <v>5</v>
      </c>
      <c r="AM1406">
        <v>1610</v>
      </c>
      <c r="AN1406">
        <v>1607.53</v>
      </c>
      <c r="AQ1406" t="s">
        <v>14299</v>
      </c>
      <c r="AR1406" t="s">
        <v>14299</v>
      </c>
      <c r="AS1406" t="s">
        <v>14299</v>
      </c>
      <c r="AU1406" t="s">
        <v>396</v>
      </c>
      <c r="AV1406">
        <v>2017</v>
      </c>
      <c r="AW1406" t="str">
        <f>"50-3N-27-0000-0016-0000 "</f>
        <v xml:space="preserve">50-3N-27-0000-0016-0000 </v>
      </c>
      <c r="AX1406">
        <v>86033</v>
      </c>
      <c r="AZ1406" t="s">
        <v>6502</v>
      </c>
      <c r="BA1406" t="s">
        <v>669</v>
      </c>
      <c r="BD1406" t="s">
        <v>2387</v>
      </c>
      <c r="BE1406" t="s">
        <v>393</v>
      </c>
      <c r="BF1406">
        <v>32097</v>
      </c>
      <c r="BG1406" t="s">
        <v>14300</v>
      </c>
      <c r="BH1406" t="s">
        <v>2388</v>
      </c>
      <c r="BI1406">
        <v>-81.6068113677794</v>
      </c>
      <c r="BJ1406">
        <v>30.633041301437299</v>
      </c>
      <c r="BK1406" t="s">
        <v>14301</v>
      </c>
      <c r="BL1406" t="s">
        <v>14302</v>
      </c>
      <c r="BM1406" t="s">
        <v>14300</v>
      </c>
      <c r="BN1406" t="s">
        <v>1778</v>
      </c>
      <c r="BO1406">
        <v>32097</v>
      </c>
      <c r="BP1406" t="s">
        <v>416</v>
      </c>
      <c r="BQ1406">
        <v>100</v>
      </c>
      <c r="BR1406" t="s">
        <v>514</v>
      </c>
      <c r="BS1406">
        <v>1001</v>
      </c>
      <c r="BT1406" t="s">
        <v>515</v>
      </c>
      <c r="BW1406">
        <v>81892</v>
      </c>
      <c r="BX1406" t="s">
        <v>407</v>
      </c>
      <c r="BY1406" t="s">
        <v>408</v>
      </c>
      <c r="BZ1406">
        <v>4</v>
      </c>
      <c r="CA1406">
        <v>1988</v>
      </c>
      <c r="CB1406">
        <v>1</v>
      </c>
      <c r="CC1406">
        <v>1</v>
      </c>
      <c r="CD1406">
        <v>2017</v>
      </c>
      <c r="CG1406">
        <v>135334</v>
      </c>
      <c r="CH1406">
        <v>2017</v>
      </c>
      <c r="CI1406">
        <v>47000</v>
      </c>
      <c r="CJ1406">
        <v>109825</v>
      </c>
      <c r="CK1406">
        <v>156825</v>
      </c>
      <c r="CL1406">
        <v>2017</v>
      </c>
      <c r="CM1406">
        <v>1456.8</v>
      </c>
      <c r="CN1406" s="1">
        <v>34640</v>
      </c>
      <c r="CO1406">
        <v>83500</v>
      </c>
      <c r="CZ1406" s="1">
        <v>34640</v>
      </c>
      <c r="DD1406" t="s">
        <v>2387</v>
      </c>
      <c r="DG1406">
        <v>50</v>
      </c>
      <c r="DL1406">
        <v>50302</v>
      </c>
      <c r="DM1406" t="s">
        <v>14280</v>
      </c>
      <c r="DO1406" t="s">
        <v>14303</v>
      </c>
      <c r="DP1406">
        <v>0</v>
      </c>
      <c r="DQ1406">
        <v>3</v>
      </c>
      <c r="DR1406" t="s">
        <v>1479</v>
      </c>
    </row>
    <row r="1407" spans="1:284" x14ac:dyDescent="0.25">
      <c r="A1407">
        <v>16486414</v>
      </c>
      <c r="B1407">
        <v>1406</v>
      </c>
      <c r="C1407" t="s">
        <v>393</v>
      </c>
      <c r="D1407" t="s">
        <v>394</v>
      </c>
      <c r="F1407" t="str">
        <f>"50-3N-27-0000-0023-0000"</f>
        <v>50-3N-27-0000-0023-0000</v>
      </c>
      <c r="H1407" t="str">
        <f>"ARGOS READY MIX LLC"</f>
        <v>ARGOS READY MIX LLC</v>
      </c>
      <c r="I1407" t="str">
        <f>"3015 WINDWARD PKWY STE 300"</f>
        <v>3015 WINDWARD PKWY STE 300</v>
      </c>
      <c r="J1407" t="str">
        <f>"ALPHARETTA GA 30005"</f>
        <v>ALPHARETTA GA 30005</v>
      </c>
      <c r="K1407" t="str">
        <f>"463081 SR 200"</f>
        <v>463081 SR 200</v>
      </c>
      <c r="L1407" t="str">
        <f t="shared" si="491"/>
        <v>YULEE FL 32097</v>
      </c>
      <c r="M1407" t="str">
        <f>"IN OR 1907/1315"</f>
        <v>IN OR 1907/1315</v>
      </c>
      <c r="N1407" t="str">
        <f>""</f>
        <v/>
      </c>
      <c r="O1407" t="str">
        <f>"54191"</f>
        <v>54191</v>
      </c>
      <c r="P1407" t="str">
        <f t="shared" si="467"/>
        <v>2017</v>
      </c>
      <c r="Q1407" t="str">
        <f>""</f>
        <v/>
      </c>
      <c r="R1407" t="str">
        <f t="shared" ref="R1407:R1412" si="492">"N"</f>
        <v>N</v>
      </c>
      <c r="S1407" t="str">
        <f>"4.07"</f>
        <v>4.07</v>
      </c>
      <c r="T1407" t="str">
        <f>"2115.32"</f>
        <v>2115.32</v>
      </c>
      <c r="U1407" t="str">
        <f>"139729.00"</f>
        <v>139729.00</v>
      </c>
      <c r="V1407" t="str">
        <f>"139729.00"</f>
        <v>139729.00</v>
      </c>
      <c r="W1407" t="str">
        <f t="shared" si="468"/>
        <v>2017</v>
      </c>
      <c r="X1407" t="str">
        <f>""</f>
        <v/>
      </c>
      <c r="Y1407" t="str">
        <f>"2210.78"</f>
        <v>2210.78</v>
      </c>
      <c r="Z1407" t="str">
        <f>""</f>
        <v/>
      </c>
      <c r="AA1407" t="str">
        <f>"139729.00"</f>
        <v>139729.00</v>
      </c>
      <c r="AB1407" t="str">
        <f>"Industrial"</f>
        <v>Industrial</v>
      </c>
      <c r="AC1407" t="str">
        <f t="shared" si="475"/>
        <v>0</v>
      </c>
      <c r="AD1407" t="str">
        <f>"4"</f>
        <v>4</v>
      </c>
      <c r="AE1407" t="str">
        <f>"WOOD (INCLUDE STEEL STUDS)"</f>
        <v>WOOD (INCLUDE STEEL STUDS)</v>
      </c>
      <c r="AF1407" t="str">
        <f>"041"</f>
        <v>041</v>
      </c>
      <c r="AG1407" t="str">
        <f>"GA"</f>
        <v>GA</v>
      </c>
      <c r="AH1407" t="str">
        <f>"177289.00"</f>
        <v>177289.00</v>
      </c>
      <c r="AI1407" t="str">
        <f>"89540.00"</f>
        <v>89540.00</v>
      </c>
      <c r="AJ1407" t="str">
        <f>"C55-000-588-6739-1"</f>
        <v>C55-000-588-6739-1</v>
      </c>
      <c r="AK1407" t="str">
        <f>"23807"</f>
        <v>23807</v>
      </c>
      <c r="AL1407">
        <v>5</v>
      </c>
      <c r="AM1407">
        <v>1611</v>
      </c>
      <c r="AN1407">
        <v>2319.7199999999998</v>
      </c>
      <c r="AQ1407" t="s">
        <v>14304</v>
      </c>
      <c r="AR1407" t="s">
        <v>14304</v>
      </c>
      <c r="AS1407" t="s">
        <v>14304</v>
      </c>
      <c r="AU1407" t="s">
        <v>396</v>
      </c>
      <c r="AV1407">
        <v>2017</v>
      </c>
      <c r="AW1407" t="str">
        <f>"50-3N-27-0000-0023-0000 "</f>
        <v xml:space="preserve">50-3N-27-0000-0023-0000 </v>
      </c>
      <c r="AX1407">
        <v>463081</v>
      </c>
      <c r="AZ1407" t="s">
        <v>8071</v>
      </c>
      <c r="BD1407" t="s">
        <v>2387</v>
      </c>
      <c r="BE1407" t="s">
        <v>393</v>
      </c>
      <c r="BF1407">
        <v>32097</v>
      </c>
      <c r="BG1407" t="s">
        <v>14305</v>
      </c>
      <c r="BH1407" t="s">
        <v>2388</v>
      </c>
      <c r="BI1407">
        <v>-81.608049227489701</v>
      </c>
      <c r="BJ1407">
        <v>30.632008853822601</v>
      </c>
      <c r="BK1407" t="s">
        <v>14306</v>
      </c>
      <c r="BM1407" t="s">
        <v>14307</v>
      </c>
      <c r="BN1407" t="s">
        <v>14308</v>
      </c>
      <c r="BO1407">
        <v>30005</v>
      </c>
      <c r="BP1407" t="s">
        <v>404</v>
      </c>
      <c r="BQ1407">
        <v>4100</v>
      </c>
      <c r="BR1407" t="s">
        <v>4242</v>
      </c>
      <c r="BS1407">
        <v>5001</v>
      </c>
      <c r="BT1407" t="s">
        <v>4243</v>
      </c>
      <c r="BW1407">
        <v>177289</v>
      </c>
      <c r="BX1407" t="s">
        <v>407</v>
      </c>
      <c r="BY1407" t="s">
        <v>11188</v>
      </c>
      <c r="BZ1407">
        <v>4</v>
      </c>
      <c r="CA1407">
        <v>2000</v>
      </c>
      <c r="CB1407">
        <v>1</v>
      </c>
      <c r="CD1407">
        <v>2017</v>
      </c>
      <c r="CE1407">
        <v>89540</v>
      </c>
      <c r="CF1407">
        <v>50189</v>
      </c>
      <c r="CG1407">
        <v>139729</v>
      </c>
      <c r="CH1407">
        <v>2017</v>
      </c>
      <c r="CI1407">
        <v>89540</v>
      </c>
      <c r="CJ1407">
        <v>50189</v>
      </c>
      <c r="CK1407">
        <v>139729</v>
      </c>
      <c r="CL1407">
        <v>2017</v>
      </c>
      <c r="CM1407">
        <v>2115.3200000000002</v>
      </c>
      <c r="CN1407" s="1">
        <v>41717</v>
      </c>
      <c r="CO1407">
        <v>177100</v>
      </c>
      <c r="CV1407">
        <v>0</v>
      </c>
      <c r="CZ1407" s="1">
        <v>41717</v>
      </c>
      <c r="DA1407">
        <v>0</v>
      </c>
      <c r="DD1407" t="s">
        <v>2387</v>
      </c>
      <c r="DG1407">
        <v>50</v>
      </c>
      <c r="DL1407">
        <v>50302</v>
      </c>
      <c r="DM1407" t="s">
        <v>14280</v>
      </c>
      <c r="DO1407" t="s">
        <v>14309</v>
      </c>
      <c r="DP1407">
        <v>0</v>
      </c>
      <c r="DQ1407">
        <v>3</v>
      </c>
      <c r="DR1407" t="s">
        <v>1479</v>
      </c>
    </row>
    <row r="1408" spans="1:284" x14ac:dyDescent="0.25">
      <c r="A1408">
        <v>16486415</v>
      </c>
      <c r="B1408">
        <v>1407</v>
      </c>
      <c r="C1408" t="s">
        <v>393</v>
      </c>
      <c r="D1408" t="s">
        <v>394</v>
      </c>
      <c r="F1408" t="str">
        <f>"50-3N-27-4720-0077-0000"</f>
        <v>50-3N-27-4720-0077-0000</v>
      </c>
      <c r="H1408" t="str">
        <f>"GIBSON ELVA DARLENE L/E"</f>
        <v>GIBSON ELVA DARLENE L/E</v>
      </c>
      <c r="I1408" t="str">
        <f>"2651 S JUNIPER ST APT 101"</f>
        <v>2651 S JUNIPER ST APT 101</v>
      </c>
      <c r="J1408" t="str">
        <f>"FOLEY AL 36535"</f>
        <v>FOLEY AL 36535</v>
      </c>
      <c r="K1408" t="str">
        <f>"851008 US HWY 17"</f>
        <v>851008 US HWY 17</v>
      </c>
      <c r="L1408" t="str">
        <f t="shared" si="491"/>
        <v>YULEE FL 32097</v>
      </c>
      <c r="M1408" t="str">
        <f>"LOTS 77 &amp; 78 IN OR 2022/1205 NORTH YULEE PB 2/26"</f>
        <v>LOTS 77 &amp; 78 IN OR 2022/1205 NORTH YULEE PB 2/26</v>
      </c>
      <c r="N1408" t="str">
        <f>""</f>
        <v/>
      </c>
      <c r="O1408" t="str">
        <f>"54219"</f>
        <v>54219</v>
      </c>
      <c r="P1408" t="str">
        <f t="shared" si="467"/>
        <v>2017</v>
      </c>
      <c r="Q1408" t="str">
        <f>""</f>
        <v/>
      </c>
      <c r="R1408" t="str">
        <f t="shared" si="492"/>
        <v>N</v>
      </c>
      <c r="S1408" t="str">
        <f>""</f>
        <v/>
      </c>
      <c r="T1408" t="str">
        <f>"1806.63"</f>
        <v>1806.63</v>
      </c>
      <c r="U1408" t="str">
        <f>"119338.00"</f>
        <v>119338.00</v>
      </c>
      <c r="V1408" t="str">
        <f>"119338.00"</f>
        <v>119338.00</v>
      </c>
      <c r="W1408" t="str">
        <f t="shared" si="468"/>
        <v>2017</v>
      </c>
      <c r="X1408" t="str">
        <f>"19.11"</f>
        <v>19.11</v>
      </c>
      <c r="Y1408" t="str">
        <f>"1892.83"</f>
        <v>1892.83</v>
      </c>
      <c r="Z1408" t="str">
        <f>""</f>
        <v/>
      </c>
      <c r="AA1408" t="str">
        <f>"119338.00"</f>
        <v>119338.00</v>
      </c>
      <c r="AB1408" t="str">
        <f>"Commercial"</f>
        <v>Commercial</v>
      </c>
      <c r="AC1408" t="str">
        <f t="shared" si="475"/>
        <v>0</v>
      </c>
      <c r="AD1408" t="str">
        <f>"3"</f>
        <v>3</v>
      </c>
      <c r="AE1408" t="str">
        <f>"MASONRY"</f>
        <v>MASONRY</v>
      </c>
      <c r="AF1408" t="str">
        <f>"011"</f>
        <v>011</v>
      </c>
      <c r="AG1408" t="str">
        <f>"AL"</f>
        <v>AL</v>
      </c>
      <c r="AH1408" t="str">
        <f>"30001.00"</f>
        <v>30001.00</v>
      </c>
      <c r="AI1408" t="str">
        <f>"67501.00"</f>
        <v>67501.00</v>
      </c>
      <c r="AJ1408" t="str">
        <f>"C55-000-588-6766-4"</f>
        <v>C55-000-588-6766-4</v>
      </c>
      <c r="AK1408" t="str">
        <f>"23834"</f>
        <v>23834</v>
      </c>
      <c r="AL1408">
        <v>5</v>
      </c>
      <c r="AM1408">
        <v>1612</v>
      </c>
      <c r="AN1408">
        <v>1985.87</v>
      </c>
      <c r="AQ1408" t="s">
        <v>14310</v>
      </c>
      <c r="AR1408" t="s">
        <v>14310</v>
      </c>
      <c r="AS1408" t="s">
        <v>14310</v>
      </c>
      <c r="AU1408" t="s">
        <v>396</v>
      </c>
      <c r="AV1408">
        <v>2017</v>
      </c>
      <c r="AW1408" t="str">
        <f>"50-3N-27-4720-0077-0000 "</f>
        <v xml:space="preserve">50-3N-27-4720-0077-0000 </v>
      </c>
      <c r="AX1408">
        <v>851008</v>
      </c>
      <c r="AZ1408" t="s">
        <v>11185</v>
      </c>
      <c r="BD1408" t="s">
        <v>2387</v>
      </c>
      <c r="BE1408" t="s">
        <v>393</v>
      </c>
      <c r="BF1408">
        <v>32097</v>
      </c>
      <c r="BG1408" t="s">
        <v>14311</v>
      </c>
      <c r="BH1408" t="s">
        <v>2388</v>
      </c>
      <c r="BI1408">
        <v>-81.608819569707407</v>
      </c>
      <c r="BJ1408">
        <v>30.638892464754701</v>
      </c>
      <c r="BK1408" t="s">
        <v>14312</v>
      </c>
      <c r="BM1408" t="s">
        <v>14313</v>
      </c>
      <c r="BN1408" t="s">
        <v>14314</v>
      </c>
      <c r="BO1408">
        <v>36535</v>
      </c>
      <c r="BP1408" t="s">
        <v>404</v>
      </c>
      <c r="BQ1408">
        <v>1100</v>
      </c>
      <c r="BR1408" t="s">
        <v>4474</v>
      </c>
      <c r="BS1408">
        <v>2000</v>
      </c>
      <c r="BT1408" t="s">
        <v>4475</v>
      </c>
      <c r="BW1408">
        <v>30000</v>
      </c>
      <c r="BX1408" t="s">
        <v>407</v>
      </c>
      <c r="BY1408" t="s">
        <v>2221</v>
      </c>
      <c r="BZ1408">
        <v>3</v>
      </c>
      <c r="CA1408">
        <v>1961</v>
      </c>
      <c r="CB1408">
        <v>1</v>
      </c>
      <c r="CD1408">
        <v>2017</v>
      </c>
      <c r="CE1408">
        <v>67501</v>
      </c>
      <c r="CF1408">
        <v>51837</v>
      </c>
      <c r="CG1408">
        <v>119338</v>
      </c>
      <c r="CH1408">
        <v>2017</v>
      </c>
      <c r="CI1408">
        <v>67501</v>
      </c>
      <c r="CJ1408">
        <v>51837</v>
      </c>
      <c r="CK1408">
        <v>119338</v>
      </c>
      <c r="CL1408">
        <v>2017</v>
      </c>
      <c r="CM1408">
        <v>1806.63</v>
      </c>
      <c r="CN1408" s="1">
        <v>42375</v>
      </c>
      <c r="CZ1408" s="1">
        <v>42375</v>
      </c>
      <c r="DD1408" t="s">
        <v>2387</v>
      </c>
      <c r="DG1408">
        <v>50</v>
      </c>
      <c r="DJ1408" t="s">
        <v>14315</v>
      </c>
      <c r="DL1408">
        <v>50302</v>
      </c>
      <c r="DM1408" t="s">
        <v>14280</v>
      </c>
      <c r="DO1408" t="s">
        <v>14316</v>
      </c>
      <c r="DP1408">
        <v>0</v>
      </c>
      <c r="DQ1408">
        <v>1</v>
      </c>
      <c r="DR1408" t="s">
        <v>1479</v>
      </c>
      <c r="DS1408" t="b">
        <v>1</v>
      </c>
      <c r="DT1408" t="s">
        <v>470</v>
      </c>
      <c r="DU1408" t="s">
        <v>471</v>
      </c>
      <c r="DV1408" t="s">
        <v>472</v>
      </c>
      <c r="DX1408">
        <v>-9999</v>
      </c>
      <c r="DZ1408" t="s">
        <v>447</v>
      </c>
      <c r="EA1408" t="s">
        <v>448</v>
      </c>
      <c r="EB1408" t="s">
        <v>742</v>
      </c>
      <c r="EC1408">
        <v>20101217</v>
      </c>
      <c r="ED1408" t="s">
        <v>474</v>
      </c>
      <c r="EF1408">
        <v>3257.9</v>
      </c>
      <c r="EG1408">
        <v>3257.9</v>
      </c>
      <c r="EI1408">
        <v>20160407</v>
      </c>
      <c r="EJ1408">
        <v>0</v>
      </c>
      <c r="EK1408">
        <v>0</v>
      </c>
      <c r="EP1408" t="s">
        <v>421</v>
      </c>
      <c r="EQ1408" t="s">
        <v>422</v>
      </c>
      <c r="ER1408">
        <v>0</v>
      </c>
      <c r="ES1408">
        <v>11</v>
      </c>
      <c r="ET1408">
        <v>0</v>
      </c>
      <c r="EU1408">
        <v>0</v>
      </c>
      <c r="EV1408">
        <v>0</v>
      </c>
      <c r="EW1408" s="2">
        <v>43222</v>
      </c>
      <c r="EX1408" s="1">
        <v>42879</v>
      </c>
      <c r="EY1408">
        <v>2016</v>
      </c>
      <c r="EZ1408">
        <v>1955.26</v>
      </c>
      <c r="FA1408" t="s">
        <v>14317</v>
      </c>
      <c r="FB1408">
        <v>0.25</v>
      </c>
      <c r="FC1408" t="s">
        <v>424</v>
      </c>
      <c r="FD1408" t="s">
        <v>425</v>
      </c>
      <c r="FE1408" s="1">
        <v>43178</v>
      </c>
      <c r="FF1408">
        <v>10</v>
      </c>
      <c r="FG1408">
        <v>7336671</v>
      </c>
      <c r="FH1408" t="s">
        <v>437</v>
      </c>
      <c r="FJ1408" s="1">
        <v>42879</v>
      </c>
      <c r="FK1408">
        <v>2016</v>
      </c>
      <c r="FL1408">
        <v>1955.26</v>
      </c>
      <c r="FM1408" t="s">
        <v>14317</v>
      </c>
      <c r="FN1408">
        <v>0.25</v>
      </c>
      <c r="FO1408" t="s">
        <v>424</v>
      </c>
      <c r="FP1408" t="s">
        <v>425</v>
      </c>
      <c r="FR1408">
        <v>22</v>
      </c>
      <c r="FS1408">
        <v>5143479</v>
      </c>
      <c r="FT1408" t="s">
        <v>14318</v>
      </c>
      <c r="FV1408" s="1">
        <v>42515</v>
      </c>
      <c r="FW1408">
        <v>2015</v>
      </c>
      <c r="FX1408">
        <v>1777.9</v>
      </c>
      <c r="FY1408" t="s">
        <v>14319</v>
      </c>
      <c r="FZ1408">
        <v>0.25</v>
      </c>
      <c r="GA1408" t="s">
        <v>424</v>
      </c>
      <c r="GB1408" t="s">
        <v>425</v>
      </c>
      <c r="GC1408" s="1">
        <v>42830</v>
      </c>
      <c r="GD1408">
        <v>11</v>
      </c>
      <c r="GE1408">
        <v>2851116</v>
      </c>
      <c r="GF1408" t="s">
        <v>480</v>
      </c>
      <c r="GH1408" s="1">
        <v>42515</v>
      </c>
      <c r="GI1408">
        <v>2015</v>
      </c>
      <c r="GJ1408">
        <v>1777.9</v>
      </c>
      <c r="GK1408" t="s">
        <v>14319</v>
      </c>
      <c r="GL1408">
        <v>0.25</v>
      </c>
      <c r="GM1408" t="s">
        <v>424</v>
      </c>
      <c r="GN1408" t="s">
        <v>425</v>
      </c>
      <c r="GP1408">
        <v>22</v>
      </c>
      <c r="GQ1408">
        <v>4924741</v>
      </c>
      <c r="GR1408" t="s">
        <v>14320</v>
      </c>
      <c r="GT1408" s="1">
        <v>42151</v>
      </c>
      <c r="GU1408">
        <v>2014</v>
      </c>
      <c r="GV1408">
        <v>1778.41</v>
      </c>
      <c r="GW1408" t="s">
        <v>14321</v>
      </c>
      <c r="GX1408">
        <v>0.25</v>
      </c>
      <c r="GY1408" t="s">
        <v>424</v>
      </c>
      <c r="GZ1408" t="s">
        <v>425</v>
      </c>
      <c r="HA1408" s="1">
        <v>42796</v>
      </c>
      <c r="HB1408">
        <v>22</v>
      </c>
      <c r="HC1408">
        <v>4975594</v>
      </c>
      <c r="HD1408" t="s">
        <v>457</v>
      </c>
      <c r="HF1408" s="1">
        <v>42151</v>
      </c>
      <c r="HG1408">
        <v>2014</v>
      </c>
      <c r="HH1408">
        <v>1778.41</v>
      </c>
      <c r="HI1408" t="s">
        <v>14321</v>
      </c>
      <c r="HJ1408">
        <v>0.25</v>
      </c>
      <c r="HK1408" t="s">
        <v>424</v>
      </c>
      <c r="HL1408" t="s">
        <v>425</v>
      </c>
      <c r="HN1408">
        <v>22</v>
      </c>
      <c r="HO1408">
        <v>6591937</v>
      </c>
      <c r="HP1408" t="s">
        <v>14322</v>
      </c>
      <c r="HR1408" s="1">
        <v>41787</v>
      </c>
      <c r="HS1408">
        <v>2013</v>
      </c>
      <c r="HT1408">
        <v>1685.4</v>
      </c>
      <c r="HU1408" t="s">
        <v>14323</v>
      </c>
      <c r="HV1408">
        <v>0.25</v>
      </c>
      <c r="HW1408" t="s">
        <v>424</v>
      </c>
      <c r="HX1408" t="s">
        <v>425</v>
      </c>
      <c r="HY1408" s="1">
        <v>42422</v>
      </c>
      <c r="HZ1408">
        <v>21</v>
      </c>
      <c r="IA1408">
        <v>2851116</v>
      </c>
      <c r="IB1408" t="s">
        <v>480</v>
      </c>
      <c r="ID1408" s="1">
        <v>41423</v>
      </c>
      <c r="IE1408">
        <v>2012</v>
      </c>
      <c r="IF1408">
        <v>1728.41</v>
      </c>
      <c r="IG1408" t="s">
        <v>14324</v>
      </c>
      <c r="IH1408">
        <v>0.25</v>
      </c>
      <c r="II1408" t="s">
        <v>424</v>
      </c>
      <c r="IJ1408" t="s">
        <v>425</v>
      </c>
      <c r="IK1408" s="1">
        <v>42072</v>
      </c>
      <c r="IL1408">
        <v>22</v>
      </c>
      <c r="IM1408">
        <v>606981</v>
      </c>
      <c r="IN1408" t="s">
        <v>792</v>
      </c>
      <c r="IP1408" s="1">
        <v>41052</v>
      </c>
      <c r="IQ1408">
        <v>2011</v>
      </c>
      <c r="IR1408">
        <v>2005.82</v>
      </c>
      <c r="IS1408" t="s">
        <v>14325</v>
      </c>
      <c r="IT1408">
        <v>3.75</v>
      </c>
      <c r="IU1408" t="s">
        <v>424</v>
      </c>
      <c r="IV1408" t="s">
        <v>425</v>
      </c>
      <c r="IW1408" s="1">
        <v>41695</v>
      </c>
      <c r="IX1408">
        <v>21</v>
      </c>
      <c r="IY1408">
        <v>1625515</v>
      </c>
      <c r="IZ1408" t="s">
        <v>487</v>
      </c>
      <c r="JB1408" s="1">
        <v>41052</v>
      </c>
      <c r="JC1408">
        <v>2011</v>
      </c>
      <c r="JD1408">
        <v>2005.82</v>
      </c>
      <c r="JE1408" t="s">
        <v>14325</v>
      </c>
      <c r="JF1408">
        <v>3.75</v>
      </c>
      <c r="JG1408" t="s">
        <v>424</v>
      </c>
      <c r="JH1408" t="s">
        <v>425</v>
      </c>
      <c r="JJ1408">
        <v>22</v>
      </c>
      <c r="JK1408">
        <v>10579</v>
      </c>
      <c r="JL1408" t="s">
        <v>488</v>
      </c>
      <c r="JN1408" s="1">
        <v>40688</v>
      </c>
      <c r="JO1408">
        <v>2010</v>
      </c>
      <c r="JP1408">
        <v>2202.06</v>
      </c>
      <c r="JQ1408" t="s">
        <v>14326</v>
      </c>
      <c r="JR1408">
        <v>5</v>
      </c>
      <c r="JS1408" t="s">
        <v>424</v>
      </c>
      <c r="JT1408" t="s">
        <v>425</v>
      </c>
      <c r="JU1408" s="1">
        <v>41333</v>
      </c>
      <c r="JV1408">
        <v>21</v>
      </c>
      <c r="JW1408">
        <v>11302</v>
      </c>
      <c r="JX1408" t="s">
        <v>3940</v>
      </c>
    </row>
    <row r="1409" spans="1:296" x14ac:dyDescent="0.25">
      <c r="A1409">
        <v>16486416</v>
      </c>
      <c r="B1409">
        <v>1408</v>
      </c>
      <c r="C1409" t="s">
        <v>393</v>
      </c>
      <c r="D1409" t="s">
        <v>394</v>
      </c>
      <c r="F1409" t="str">
        <f>"50-3N-27-4720-0081-0000"</f>
        <v>50-3N-27-4720-0081-0000</v>
      </c>
      <c r="H1409" t="str">
        <f>"REBELROAMER LLC"</f>
        <v>REBELROAMER LLC</v>
      </c>
      <c r="I1409" t="str">
        <f>"851026 US HWY 17 N"</f>
        <v>851026 US HWY 17 N</v>
      </c>
      <c r="J1409" t="str">
        <f>"YULEE FL 32097"</f>
        <v>YULEE FL 32097</v>
      </c>
      <c r="K1409" t="str">
        <f>"851026 US HWY 17"</f>
        <v>851026 US HWY 17</v>
      </c>
      <c r="L1409" t="str">
        <f t="shared" si="491"/>
        <v>YULEE FL 32097</v>
      </c>
      <c r="M1409" t="str">
        <f>"LOTS 81 &amp; 82 IN OR 1533/194 NORTH YULEE PB 2/26"</f>
        <v>LOTS 81 &amp; 82 IN OR 1533/194 NORTH YULEE PB 2/26</v>
      </c>
      <c r="N1409" t="str">
        <f>""</f>
        <v/>
      </c>
      <c r="O1409" t="str">
        <f>"54222"</f>
        <v>54222</v>
      </c>
      <c r="P1409" t="str">
        <f t="shared" si="467"/>
        <v>2017</v>
      </c>
      <c r="Q1409" t="str">
        <f>""</f>
        <v/>
      </c>
      <c r="R1409" t="str">
        <f t="shared" si="492"/>
        <v>N</v>
      </c>
      <c r="S1409" t="str">
        <f>""</f>
        <v/>
      </c>
      <c r="T1409" t="str">
        <f>"2655.87"</f>
        <v>2655.87</v>
      </c>
      <c r="U1409" t="str">
        <f>"175435.00"</f>
        <v>175435.00</v>
      </c>
      <c r="V1409" t="str">
        <f>"175435.00"</f>
        <v>175435.00</v>
      </c>
      <c r="W1409" t="str">
        <f t="shared" si="468"/>
        <v>2017</v>
      </c>
      <c r="X1409" t="str">
        <f>"6.50"</f>
        <v>6.50</v>
      </c>
      <c r="Y1409" t="str">
        <f>"2767.55"</f>
        <v>2767.55</v>
      </c>
      <c r="Z1409" t="str">
        <f>""</f>
        <v/>
      </c>
      <c r="AA1409" t="str">
        <f>"175435.00"</f>
        <v>175435.00</v>
      </c>
      <c r="AB1409" t="str">
        <f>"Commercial"</f>
        <v>Commercial</v>
      </c>
      <c r="AC1409" t="str">
        <f t="shared" si="475"/>
        <v>0</v>
      </c>
      <c r="AD1409" t="str">
        <f>"5"</f>
        <v>5</v>
      </c>
      <c r="AE1409" t="str">
        <f>"STEEL FRAME/INCOMBUSTIBLE WALLS/ROOF"</f>
        <v>STEEL FRAME/INCOMBUSTIBLE WALLS/ROOF</v>
      </c>
      <c r="AF1409" t="str">
        <f>"027"</f>
        <v>027</v>
      </c>
      <c r="AG1409" t="str">
        <f t="shared" ref="AG1409:AG1416" si="493">"FL"</f>
        <v>FL</v>
      </c>
      <c r="AH1409" t="str">
        <f>"29999.00"</f>
        <v>29999.00</v>
      </c>
      <c r="AI1409" t="str">
        <f>"67498.00"</f>
        <v>67498.00</v>
      </c>
      <c r="AJ1409" t="str">
        <f>"C55-000-588-6769-8"</f>
        <v>C55-000-588-6769-8</v>
      </c>
      <c r="AK1409" t="str">
        <f>"23837"</f>
        <v>23837</v>
      </c>
      <c r="AL1409">
        <v>5</v>
      </c>
      <c r="AM1409">
        <v>1613</v>
      </c>
      <c r="AN1409">
        <v>2904.33</v>
      </c>
      <c r="AQ1409" t="s">
        <v>14327</v>
      </c>
      <c r="AR1409" t="s">
        <v>14327</v>
      </c>
      <c r="AS1409" t="s">
        <v>14327</v>
      </c>
      <c r="AU1409" t="s">
        <v>396</v>
      </c>
      <c r="AV1409">
        <v>2017</v>
      </c>
      <c r="AW1409" t="str">
        <f>"50-3N-27-4720-0081-0000 "</f>
        <v xml:space="preserve">50-3N-27-4720-0081-0000 </v>
      </c>
      <c r="AX1409">
        <v>851026</v>
      </c>
      <c r="AZ1409" t="s">
        <v>11185</v>
      </c>
      <c r="BD1409" t="s">
        <v>2387</v>
      </c>
      <c r="BE1409" t="s">
        <v>393</v>
      </c>
      <c r="BF1409">
        <v>32097</v>
      </c>
      <c r="BG1409" t="s">
        <v>14328</v>
      </c>
      <c r="BH1409" t="s">
        <v>2388</v>
      </c>
      <c r="BI1409">
        <v>-81.609740517303905</v>
      </c>
      <c r="BJ1409">
        <v>30.639650959112402</v>
      </c>
      <c r="BK1409" t="s">
        <v>14329</v>
      </c>
      <c r="BM1409" t="s">
        <v>14330</v>
      </c>
      <c r="BN1409" t="s">
        <v>1778</v>
      </c>
      <c r="BO1409">
        <v>32097</v>
      </c>
      <c r="BP1409" t="s">
        <v>404</v>
      </c>
      <c r="BQ1409">
        <v>2700</v>
      </c>
      <c r="BR1409" t="s">
        <v>4567</v>
      </c>
      <c r="BS1409">
        <v>2023</v>
      </c>
      <c r="BT1409" t="s">
        <v>4568</v>
      </c>
      <c r="BW1409">
        <v>30000</v>
      </c>
      <c r="BX1409" t="s">
        <v>407</v>
      </c>
      <c r="BY1409" t="s">
        <v>2221</v>
      </c>
      <c r="BZ1409">
        <v>5</v>
      </c>
      <c r="CA1409">
        <v>1986</v>
      </c>
      <c r="CB1409">
        <v>1</v>
      </c>
      <c r="CD1409">
        <v>2017</v>
      </c>
      <c r="CE1409">
        <v>67498</v>
      </c>
      <c r="CF1409">
        <v>107937</v>
      </c>
      <c r="CG1409">
        <v>175435</v>
      </c>
      <c r="CH1409">
        <v>2017</v>
      </c>
      <c r="CI1409">
        <v>67498</v>
      </c>
      <c r="CJ1409">
        <v>107937</v>
      </c>
      <c r="CK1409">
        <v>175435</v>
      </c>
      <c r="CL1409">
        <v>2017</v>
      </c>
      <c r="CM1409">
        <v>2655.87</v>
      </c>
      <c r="CN1409" s="1">
        <v>37466</v>
      </c>
      <c r="CO1409">
        <v>150000</v>
      </c>
      <c r="CV1409">
        <v>0</v>
      </c>
      <c r="CZ1409" s="1">
        <v>37466</v>
      </c>
      <c r="DA1409">
        <v>0</v>
      </c>
      <c r="DD1409" t="s">
        <v>2387</v>
      </c>
      <c r="DG1409">
        <v>50</v>
      </c>
      <c r="DJ1409" t="s">
        <v>14315</v>
      </c>
      <c r="DL1409">
        <v>50302</v>
      </c>
      <c r="DM1409" t="s">
        <v>14280</v>
      </c>
      <c r="DO1409" t="s">
        <v>14331</v>
      </c>
      <c r="DP1409">
        <v>0</v>
      </c>
      <c r="DQ1409">
        <v>1</v>
      </c>
      <c r="DR1409" t="s">
        <v>411</v>
      </c>
      <c r="DS1409" t="b">
        <v>1</v>
      </c>
      <c r="DT1409" t="s">
        <v>470</v>
      </c>
      <c r="DU1409" t="s">
        <v>471</v>
      </c>
      <c r="DV1409" t="s">
        <v>472</v>
      </c>
      <c r="DX1409">
        <v>-9999</v>
      </c>
      <c r="DZ1409" t="s">
        <v>447</v>
      </c>
      <c r="EA1409" t="s">
        <v>448</v>
      </c>
      <c r="EB1409" t="s">
        <v>742</v>
      </c>
      <c r="EC1409">
        <v>20101217</v>
      </c>
      <c r="ED1409" t="s">
        <v>474</v>
      </c>
      <c r="EF1409">
        <v>3286.3</v>
      </c>
      <c r="EG1409">
        <v>3286.3</v>
      </c>
      <c r="EH1409" t="s">
        <v>451</v>
      </c>
      <c r="EI1409">
        <v>20140731</v>
      </c>
      <c r="EJ1409">
        <v>0</v>
      </c>
      <c r="EK1409">
        <v>0</v>
      </c>
      <c r="EP1409" t="s">
        <v>421</v>
      </c>
      <c r="EQ1409" t="s">
        <v>422</v>
      </c>
      <c r="ER1409">
        <v>2</v>
      </c>
      <c r="ES1409">
        <v>4</v>
      </c>
      <c r="ET1409">
        <v>6061.68</v>
      </c>
      <c r="EU1409">
        <v>315.58</v>
      </c>
      <c r="EV1409">
        <v>6377.26</v>
      </c>
      <c r="EW1409" s="2">
        <v>43222</v>
      </c>
      <c r="EX1409" s="1">
        <v>42879</v>
      </c>
      <c r="EY1409">
        <v>2016</v>
      </c>
      <c r="EZ1409">
        <v>3030.84</v>
      </c>
      <c r="FA1409" t="s">
        <v>14332</v>
      </c>
      <c r="FB1409">
        <v>0.25</v>
      </c>
      <c r="FC1409" t="s">
        <v>424</v>
      </c>
      <c r="FD1409" t="s">
        <v>454</v>
      </c>
      <c r="FF1409">
        <v>12</v>
      </c>
      <c r="FG1409">
        <v>7400234</v>
      </c>
      <c r="FH1409" t="s">
        <v>426</v>
      </c>
      <c r="FJ1409" s="1">
        <v>42879</v>
      </c>
      <c r="FK1409">
        <v>2016</v>
      </c>
      <c r="FL1409">
        <v>3030.84</v>
      </c>
      <c r="FM1409" t="s">
        <v>14332</v>
      </c>
      <c r="FN1409">
        <v>0.25</v>
      </c>
      <c r="FO1409" t="s">
        <v>424</v>
      </c>
      <c r="FP1409" t="s">
        <v>454</v>
      </c>
      <c r="FR1409">
        <v>12</v>
      </c>
      <c r="FS1409">
        <v>7553836</v>
      </c>
      <c r="FT1409" t="s">
        <v>14333</v>
      </c>
      <c r="FV1409" s="1">
        <v>42151</v>
      </c>
      <c r="FW1409">
        <v>2014</v>
      </c>
      <c r="FX1409">
        <v>2651.55</v>
      </c>
      <c r="FY1409" t="s">
        <v>14334</v>
      </c>
      <c r="FZ1409">
        <v>0.25</v>
      </c>
      <c r="GA1409" t="s">
        <v>424</v>
      </c>
      <c r="GB1409" t="s">
        <v>425</v>
      </c>
      <c r="GC1409" s="1">
        <v>42174</v>
      </c>
      <c r="GD1409">
        <v>1</v>
      </c>
      <c r="GE1409">
        <v>2851116</v>
      </c>
      <c r="GF1409" t="s">
        <v>480</v>
      </c>
      <c r="GH1409" s="1">
        <v>42151</v>
      </c>
      <c r="GI1409">
        <v>2014</v>
      </c>
      <c r="GJ1409">
        <v>2651.55</v>
      </c>
      <c r="GK1409" t="s">
        <v>14334</v>
      </c>
      <c r="GL1409">
        <v>0.25</v>
      </c>
      <c r="GM1409" t="s">
        <v>424</v>
      </c>
      <c r="GN1409" t="s">
        <v>425</v>
      </c>
      <c r="GP1409">
        <v>22</v>
      </c>
      <c r="GQ1409">
        <v>5414664</v>
      </c>
      <c r="GR1409" t="s">
        <v>14335</v>
      </c>
      <c r="GT1409" s="1">
        <v>41423</v>
      </c>
      <c r="GU1409">
        <v>2012</v>
      </c>
      <c r="GV1409">
        <v>1103.48</v>
      </c>
      <c r="GW1409" t="s">
        <v>14336</v>
      </c>
      <c r="GX1409">
        <v>0.25</v>
      </c>
      <c r="GY1409" t="s">
        <v>424</v>
      </c>
      <c r="GZ1409" t="s">
        <v>425</v>
      </c>
      <c r="HA1409" s="1">
        <v>41536</v>
      </c>
      <c r="HB1409">
        <v>4</v>
      </c>
      <c r="HC1409">
        <v>606981</v>
      </c>
      <c r="HD1409" t="s">
        <v>792</v>
      </c>
      <c r="HF1409" s="1">
        <v>40688</v>
      </c>
      <c r="HG1409">
        <v>2010</v>
      </c>
      <c r="HH1409">
        <v>3288.74</v>
      </c>
      <c r="HI1409" t="s">
        <v>14337</v>
      </c>
      <c r="HJ1409">
        <v>5.75</v>
      </c>
      <c r="HK1409" t="s">
        <v>424</v>
      </c>
      <c r="HL1409" t="s">
        <v>425</v>
      </c>
      <c r="HM1409" s="1">
        <v>40996</v>
      </c>
      <c r="HN1409">
        <v>10</v>
      </c>
      <c r="HO1409">
        <v>10579</v>
      </c>
      <c r="HP1409" t="s">
        <v>488</v>
      </c>
    </row>
    <row r="1410" spans="1:296" x14ac:dyDescent="0.25">
      <c r="A1410">
        <v>16486417</v>
      </c>
      <c r="B1410">
        <v>1409</v>
      </c>
      <c r="C1410" t="s">
        <v>393</v>
      </c>
      <c r="D1410" t="s">
        <v>394</v>
      </c>
      <c r="F1410" t="str">
        <f>"50-3N-27-4720-0084-0010"</f>
        <v>50-3N-27-4720-0084-0010</v>
      </c>
      <c r="H1410" t="str">
        <f>"HALLS SALVAGE LLC"</f>
        <v>HALLS SALVAGE LLC</v>
      </c>
      <c r="I1410" t="str">
        <f>"85712 AVANT ROAD"</f>
        <v>85712 AVANT ROAD</v>
      </c>
      <c r="J1410" t="str">
        <f>"YULEE FL 32097"</f>
        <v>YULEE FL 32097</v>
      </c>
      <c r="K1410" t="str">
        <f>"851036 US HWY 17 DR"</f>
        <v>851036 US HWY 17 DR</v>
      </c>
      <c r="L1410" t="str">
        <f t="shared" si="491"/>
        <v>YULEE FL 32097</v>
      </c>
      <c r="M1410" t="str">
        <f>"LOTS 83 84 85 &amp; PT LOT 90 IN OR 1834/1286 (EX OR 2006/1546) ESMT OR 491/1087 &amp; OR 492/196 NORTH YULEE PB 2/26"</f>
        <v>LOTS 83 84 85 &amp; PT LOT 90 IN OR 1834/1286 (EX OR 2006/1546) ESMT OR 491/1087 &amp; OR 492/196 NORTH YULEE PB 2/26</v>
      </c>
      <c r="N1410" t="str">
        <f>""</f>
        <v/>
      </c>
      <c r="O1410" t="str">
        <f>"54223"</f>
        <v>54223</v>
      </c>
      <c r="P1410" t="str">
        <f t="shared" ref="P1410:P1473" si="494">"2017"</f>
        <v>2017</v>
      </c>
      <c r="Q1410" t="str">
        <f>""</f>
        <v/>
      </c>
      <c r="R1410" t="str">
        <f t="shared" si="492"/>
        <v>N</v>
      </c>
      <c r="S1410" t="str">
        <f>""</f>
        <v/>
      </c>
      <c r="T1410" t="str">
        <f>"4199.93"</f>
        <v>4199.93</v>
      </c>
      <c r="U1410" t="str">
        <f>"277428.00"</f>
        <v>277428.00</v>
      </c>
      <c r="V1410" t="str">
        <f>"277428.00"</f>
        <v>277428.00</v>
      </c>
      <c r="W1410" t="str">
        <f t="shared" ref="W1410:W1473" si="495">"2017"</f>
        <v>2017</v>
      </c>
      <c r="X1410" t="str">
        <f>""</f>
        <v/>
      </c>
      <c r="Y1410" t="str">
        <f>"4357.93"</f>
        <v>4357.93</v>
      </c>
      <c r="Z1410" t="str">
        <f>""</f>
        <v/>
      </c>
      <c r="AA1410" t="str">
        <f>"277428.00"</f>
        <v>277428.00</v>
      </c>
      <c r="AB1410" t="str">
        <f>"Commercial"</f>
        <v>Commercial</v>
      </c>
      <c r="AC1410" t="str">
        <f t="shared" si="475"/>
        <v>0</v>
      </c>
      <c r="AD1410" t="str">
        <f>"4"</f>
        <v>4</v>
      </c>
      <c r="AE1410" t="str">
        <f>"WOOD (INCLUDE STEEL STUDS)"</f>
        <v>WOOD (INCLUDE STEEL STUDS)</v>
      </c>
      <c r="AF1410" t="str">
        <f>"012"</f>
        <v>012</v>
      </c>
      <c r="AG1410" t="str">
        <f t="shared" si="493"/>
        <v>FL</v>
      </c>
      <c r="AH1410" t="str">
        <f>"123710.00"</f>
        <v>123710.00</v>
      </c>
      <c r="AI1410" t="str">
        <f>"247420.00"</f>
        <v>247420.00</v>
      </c>
      <c r="AJ1410" t="str">
        <f>"C55-000-588-6771-4"</f>
        <v>C55-000-588-6771-4</v>
      </c>
      <c r="AK1410" t="str">
        <f>"23838"</f>
        <v>23838</v>
      </c>
      <c r="AL1410">
        <v>5</v>
      </c>
      <c r="AM1410">
        <v>1614</v>
      </c>
      <c r="AN1410">
        <v>4574.2299999999996</v>
      </c>
      <c r="AQ1410" t="s">
        <v>14338</v>
      </c>
      <c r="AR1410" t="s">
        <v>14338</v>
      </c>
      <c r="AS1410" t="s">
        <v>14338</v>
      </c>
      <c r="AU1410" t="s">
        <v>396</v>
      </c>
      <c r="AV1410">
        <v>2017</v>
      </c>
      <c r="AW1410" t="str">
        <f>"50-3N-27-4720-0084-0010 "</f>
        <v xml:space="preserve">50-3N-27-4720-0084-0010 </v>
      </c>
      <c r="AX1410">
        <v>851036</v>
      </c>
      <c r="AZ1410" t="s">
        <v>11185</v>
      </c>
      <c r="BA1410" t="s">
        <v>669</v>
      </c>
      <c r="BD1410" t="s">
        <v>2387</v>
      </c>
      <c r="BE1410" t="s">
        <v>393</v>
      </c>
      <c r="BF1410">
        <v>32097</v>
      </c>
      <c r="BG1410" t="s">
        <v>14339</v>
      </c>
      <c r="BH1410" t="s">
        <v>2388</v>
      </c>
      <c r="BI1410">
        <v>-81.609944700887397</v>
      </c>
      <c r="BJ1410">
        <v>30.640375314404899</v>
      </c>
      <c r="BK1410" t="s">
        <v>14285</v>
      </c>
      <c r="BM1410" t="s">
        <v>14286</v>
      </c>
      <c r="BN1410" t="s">
        <v>1778</v>
      </c>
      <c r="BO1410">
        <v>32097</v>
      </c>
      <c r="BP1410" t="s">
        <v>404</v>
      </c>
      <c r="BQ1410">
        <v>1200</v>
      </c>
      <c r="BR1410" t="s">
        <v>5393</v>
      </c>
      <c r="BS1410">
        <v>2003</v>
      </c>
      <c r="BT1410" t="s">
        <v>5394</v>
      </c>
      <c r="BW1410">
        <v>123710</v>
      </c>
      <c r="BX1410" t="s">
        <v>407</v>
      </c>
      <c r="BY1410" t="s">
        <v>2221</v>
      </c>
      <c r="BZ1410">
        <v>4</v>
      </c>
      <c r="CA1410">
        <v>1993</v>
      </c>
      <c r="CB1410">
        <v>1</v>
      </c>
      <c r="CD1410">
        <v>2017</v>
      </c>
      <c r="CE1410">
        <v>247420</v>
      </c>
      <c r="CF1410">
        <v>30008</v>
      </c>
      <c r="CG1410">
        <v>277428</v>
      </c>
      <c r="CH1410">
        <v>2017</v>
      </c>
      <c r="CI1410">
        <v>247420</v>
      </c>
      <c r="CJ1410">
        <v>30008</v>
      </c>
      <c r="CK1410">
        <v>277428</v>
      </c>
      <c r="CL1410">
        <v>2017</v>
      </c>
      <c r="CM1410">
        <v>4199.93</v>
      </c>
      <c r="CN1410" s="1">
        <v>42291</v>
      </c>
      <c r="CO1410">
        <v>225000</v>
      </c>
      <c r="CV1410">
        <v>213750</v>
      </c>
      <c r="CX1410" t="s">
        <v>657</v>
      </c>
      <c r="CZ1410" s="1">
        <v>42291</v>
      </c>
      <c r="DA1410">
        <v>0</v>
      </c>
      <c r="DD1410" t="s">
        <v>2387</v>
      </c>
      <c r="DG1410">
        <v>50</v>
      </c>
      <c r="DL1410">
        <v>50302</v>
      </c>
      <c r="DM1410" t="s">
        <v>14280</v>
      </c>
      <c r="DO1410" t="s">
        <v>14340</v>
      </c>
      <c r="DP1410">
        <v>0</v>
      </c>
      <c r="DQ1410">
        <v>1</v>
      </c>
      <c r="DR1410" t="s">
        <v>411</v>
      </c>
    </row>
    <row r="1411" spans="1:296" x14ac:dyDescent="0.25">
      <c r="A1411">
        <v>16486418</v>
      </c>
      <c r="B1411">
        <v>1410</v>
      </c>
      <c r="C1411" t="s">
        <v>393</v>
      </c>
      <c r="D1411" t="s">
        <v>394</v>
      </c>
      <c r="F1411" t="str">
        <f>"50-3N-27-4720-0106-0010"</f>
        <v>50-3N-27-4720-0106-0010</v>
      </c>
      <c r="H1411" t="str">
        <f>"STEWART TERRELL L SR &amp; CRAVENER CHRISTINA J (JT/RS)"</f>
        <v>STEWART TERRELL L SR &amp; CRAVENER CHRISTINA J (JT/RS)</v>
      </c>
      <c r="I1411" t="str">
        <f>"1624 STEWART AVE"</f>
        <v>1624 STEWART AVE</v>
      </c>
      <c r="J1411" t="str">
        <f>"FERNANDINA BEACH FL 32034"</f>
        <v>FERNANDINA BEACH FL 32034</v>
      </c>
      <c r="K1411" t="str">
        <f>"86101 PAGES DAIRY RD"</f>
        <v>86101 PAGES DAIRY RD</v>
      </c>
      <c r="L1411" t="str">
        <f t="shared" si="491"/>
        <v>YULEE FL 32097</v>
      </c>
      <c r="M1411" t="str">
        <f>"PT OF LOT 106 IN OR 2046/1071 NORTH YULEE PB 2/26"</f>
        <v>PT OF LOT 106 IN OR 2046/1071 NORTH YULEE PB 2/26</v>
      </c>
      <c r="N1411" t="str">
        <f>""</f>
        <v/>
      </c>
      <c r="O1411" t="str">
        <f>"54243"</f>
        <v>54243</v>
      </c>
      <c r="P1411" t="str">
        <f t="shared" si="494"/>
        <v>2017</v>
      </c>
      <c r="Q1411" t="str">
        <f>""</f>
        <v/>
      </c>
      <c r="R1411" t="str">
        <f t="shared" si="492"/>
        <v>N</v>
      </c>
      <c r="S1411" t="str">
        <f>"1.00"</f>
        <v>1.00</v>
      </c>
      <c r="T1411" t="str">
        <f>"665.56"</f>
        <v>665.56</v>
      </c>
      <c r="U1411" t="str">
        <f>"43963.00"</f>
        <v>43963.00</v>
      </c>
      <c r="V1411" t="str">
        <f>"43963.00"</f>
        <v>43963.00</v>
      </c>
      <c r="W1411" t="str">
        <f t="shared" si="495"/>
        <v>2017</v>
      </c>
      <c r="X1411" t="str">
        <f>""</f>
        <v/>
      </c>
      <c r="Y1411" t="str">
        <f>"717.53"</f>
        <v>717.53</v>
      </c>
      <c r="Z1411" t="str">
        <f>""</f>
        <v/>
      </c>
      <c r="AA1411" t="str">
        <f>"43963.00"</f>
        <v>43963.00</v>
      </c>
      <c r="AB1411" t="str">
        <f>"Residential"</f>
        <v>Residential</v>
      </c>
      <c r="AC1411" t="str">
        <f t="shared" si="475"/>
        <v>0</v>
      </c>
      <c r="AD1411" t="str">
        <f>"4"</f>
        <v>4</v>
      </c>
      <c r="AE1411" t="str">
        <f>"WOOD (INCLUDE STEEL STUDS)"</f>
        <v>WOOD (INCLUDE STEEL STUDS)</v>
      </c>
      <c r="AF1411" t="str">
        <f>"002"</f>
        <v>002</v>
      </c>
      <c r="AG1411" t="str">
        <f t="shared" si="493"/>
        <v>FL</v>
      </c>
      <c r="AH1411" t="str">
        <f>"43560.00"</f>
        <v>43560.00</v>
      </c>
      <c r="AI1411" t="str">
        <f>"25000.00"</f>
        <v>25000.00</v>
      </c>
      <c r="AJ1411" t="str">
        <f>"C55-000-588-6792-0"</f>
        <v>C55-000-588-6792-0</v>
      </c>
      <c r="AK1411" t="str">
        <f>"23857"</f>
        <v>23857</v>
      </c>
      <c r="AL1411">
        <v>5</v>
      </c>
      <c r="AM1411">
        <v>1615</v>
      </c>
      <c r="AN1411">
        <v>751.81</v>
      </c>
      <c r="AQ1411" t="s">
        <v>14341</v>
      </c>
      <c r="AR1411" t="s">
        <v>14341</v>
      </c>
      <c r="AS1411" t="s">
        <v>14341</v>
      </c>
      <c r="AU1411" t="s">
        <v>396</v>
      </c>
      <c r="AV1411">
        <v>2017</v>
      </c>
      <c r="AW1411" t="str">
        <f>"50-3N-27-4720-0106-0010 "</f>
        <v xml:space="preserve">50-3N-27-4720-0106-0010 </v>
      </c>
      <c r="AX1411">
        <v>86101</v>
      </c>
      <c r="AZ1411" t="s">
        <v>14342</v>
      </c>
      <c r="BA1411" t="s">
        <v>496</v>
      </c>
      <c r="BD1411" t="s">
        <v>2387</v>
      </c>
      <c r="BE1411" t="s">
        <v>393</v>
      </c>
      <c r="BF1411">
        <v>32097</v>
      </c>
      <c r="BG1411" t="s">
        <v>14343</v>
      </c>
      <c r="BH1411" t="s">
        <v>2388</v>
      </c>
      <c r="BI1411">
        <v>-81.600948376093598</v>
      </c>
      <c r="BJ1411">
        <v>30.638064499615901</v>
      </c>
      <c r="BK1411" t="s">
        <v>14344</v>
      </c>
      <c r="BL1411" t="s">
        <v>14345</v>
      </c>
      <c r="BM1411" t="s">
        <v>14346</v>
      </c>
      <c r="BN1411" t="s">
        <v>3983</v>
      </c>
      <c r="BO1411">
        <v>32034</v>
      </c>
      <c r="BP1411" t="s">
        <v>404</v>
      </c>
      <c r="BQ1411">
        <v>200</v>
      </c>
      <c r="BR1411" t="s">
        <v>405</v>
      </c>
      <c r="BS1411">
        <v>1006</v>
      </c>
      <c r="BT1411" t="s">
        <v>406</v>
      </c>
      <c r="BW1411">
        <v>43560</v>
      </c>
      <c r="BX1411" t="s">
        <v>407</v>
      </c>
      <c r="BY1411" t="s">
        <v>408</v>
      </c>
      <c r="BZ1411">
        <v>4</v>
      </c>
      <c r="CA1411">
        <v>1986</v>
      </c>
      <c r="CC1411">
        <v>1</v>
      </c>
      <c r="CD1411">
        <v>2017</v>
      </c>
      <c r="CE1411">
        <v>25000</v>
      </c>
      <c r="CF1411">
        <v>18963</v>
      </c>
      <c r="CG1411">
        <v>43963</v>
      </c>
      <c r="CH1411">
        <v>2017</v>
      </c>
      <c r="CI1411">
        <v>25000</v>
      </c>
      <c r="CJ1411">
        <v>18963</v>
      </c>
      <c r="CK1411">
        <v>43963</v>
      </c>
      <c r="CL1411">
        <v>2017</v>
      </c>
      <c r="CM1411">
        <v>665.56</v>
      </c>
      <c r="CN1411" s="1">
        <v>42509</v>
      </c>
      <c r="CO1411">
        <v>30000</v>
      </c>
      <c r="CV1411">
        <v>0</v>
      </c>
      <c r="CZ1411" s="1">
        <v>42509</v>
      </c>
      <c r="DA1411">
        <v>0</v>
      </c>
      <c r="DD1411" t="s">
        <v>2387</v>
      </c>
      <c r="DF1411">
        <v>106</v>
      </c>
      <c r="DG1411">
        <v>50</v>
      </c>
      <c r="DJ1411" t="s">
        <v>14315</v>
      </c>
      <c r="DL1411">
        <v>50302</v>
      </c>
      <c r="DM1411" t="s">
        <v>14280</v>
      </c>
      <c r="DO1411" t="s">
        <v>14347</v>
      </c>
      <c r="DP1411">
        <v>0</v>
      </c>
      <c r="DQ1411">
        <v>0</v>
      </c>
      <c r="DR1411" t="s">
        <v>411</v>
      </c>
      <c r="EP1411" t="s">
        <v>421</v>
      </c>
      <c r="EQ1411" t="s">
        <v>422</v>
      </c>
      <c r="ER1411">
        <v>2</v>
      </c>
      <c r="ES1411">
        <v>0</v>
      </c>
      <c r="ET1411">
        <v>1050.1400000000001</v>
      </c>
      <c r="EU1411">
        <v>65.010000000000005</v>
      </c>
      <c r="EV1411">
        <v>1115.1500000000001</v>
      </c>
      <c r="EW1411" s="2">
        <v>43222</v>
      </c>
      <c r="EX1411" s="1">
        <v>42879</v>
      </c>
      <c r="EY1411">
        <v>2016</v>
      </c>
      <c r="EZ1411">
        <v>525.07000000000005</v>
      </c>
      <c r="FA1411" t="s">
        <v>14348</v>
      </c>
      <c r="FB1411">
        <v>0.25</v>
      </c>
      <c r="FC1411" t="s">
        <v>424</v>
      </c>
      <c r="FD1411" t="s">
        <v>454</v>
      </c>
      <c r="FF1411">
        <v>12</v>
      </c>
      <c r="FG1411">
        <v>2851116</v>
      </c>
      <c r="FH1411" t="s">
        <v>480</v>
      </c>
      <c r="FJ1411" s="1">
        <v>42879</v>
      </c>
      <c r="FK1411">
        <v>2016</v>
      </c>
      <c r="FL1411">
        <v>525.07000000000005</v>
      </c>
      <c r="FM1411" t="s">
        <v>14348</v>
      </c>
      <c r="FN1411">
        <v>0.25</v>
      </c>
      <c r="FO1411" t="s">
        <v>424</v>
      </c>
      <c r="FP1411" t="s">
        <v>454</v>
      </c>
      <c r="FR1411">
        <v>12</v>
      </c>
      <c r="FS1411">
        <v>4906083</v>
      </c>
      <c r="FT1411" t="s">
        <v>14349</v>
      </c>
    </row>
    <row r="1412" spans="1:296" x14ac:dyDescent="0.25">
      <c r="A1412">
        <v>16486419</v>
      </c>
      <c r="B1412">
        <v>1411</v>
      </c>
      <c r="C1412" t="s">
        <v>393</v>
      </c>
      <c r="D1412" t="s">
        <v>394</v>
      </c>
      <c r="F1412" t="str">
        <f>"50-3N-27-4781-0018-0000"</f>
        <v>50-3N-27-4781-0018-0000</v>
      </c>
      <c r="H1412" t="str">
        <f>"HALLS SALVAGE LLC"</f>
        <v>HALLS SALVAGE LLC</v>
      </c>
      <c r="I1412" t="str">
        <f>"85712 AVANT ROAD"</f>
        <v>85712 AVANT ROAD</v>
      </c>
      <c r="J1412" t="str">
        <f>"YULEE FL 32097"</f>
        <v>YULEE FL 32097</v>
      </c>
      <c r="K1412" t="str">
        <f>"US HWY 17"</f>
        <v>US HWY 17</v>
      </c>
      <c r="L1412" t="str">
        <f t="shared" si="491"/>
        <v>YULEE FL 32097</v>
      </c>
      <c r="M1412" t="str">
        <f>"LOT 18 PT OR 1834/1286 YULEE PARK 2 PB 5/60"</f>
        <v>LOT 18 PT OR 1834/1286 YULEE PARK 2 PB 5/60</v>
      </c>
      <c r="N1412" t="str">
        <f>""</f>
        <v/>
      </c>
      <c r="O1412" t="str">
        <f>"54266"</f>
        <v>54266</v>
      </c>
      <c r="P1412" t="str">
        <f t="shared" si="494"/>
        <v>2017</v>
      </c>
      <c r="Q1412" t="str">
        <f>""</f>
        <v/>
      </c>
      <c r="R1412" t="str">
        <f t="shared" si="492"/>
        <v>N</v>
      </c>
      <c r="S1412" t="str">
        <f>"1.00"</f>
        <v>1.00</v>
      </c>
      <c r="T1412" t="str">
        <f>"378.48"</f>
        <v>378.48</v>
      </c>
      <c r="U1412" t="str">
        <f>"25000.00"</f>
        <v>25000.00</v>
      </c>
      <c r="V1412" t="str">
        <f>"25000.00"</f>
        <v>25000.00</v>
      </c>
      <c r="W1412" t="str">
        <f t="shared" si="495"/>
        <v>2017</v>
      </c>
      <c r="X1412" t="str">
        <f>""</f>
        <v/>
      </c>
      <c r="Y1412" t="str">
        <f>"421.83"</f>
        <v>421.83</v>
      </c>
      <c r="Z1412" t="str">
        <f>""</f>
        <v/>
      </c>
      <c r="AA1412" t="str">
        <f>"25000.00"</f>
        <v>25000.00</v>
      </c>
      <c r="AB1412" t="str">
        <f>"Residential"</f>
        <v>Residential</v>
      </c>
      <c r="AC1412" t="str">
        <f t="shared" si="475"/>
        <v>0</v>
      </c>
      <c r="AD1412" t="str">
        <f>""</f>
        <v/>
      </c>
      <c r="AE1412" t="str">
        <f>""</f>
        <v/>
      </c>
      <c r="AF1412" t="str">
        <f>"000"</f>
        <v>000</v>
      </c>
      <c r="AG1412" t="str">
        <f t="shared" si="493"/>
        <v>FL</v>
      </c>
      <c r="AH1412" t="str">
        <f>"43560.00"</f>
        <v>43560.00</v>
      </c>
      <c r="AI1412" t="str">
        <f>"25000.00"</f>
        <v>25000.00</v>
      </c>
      <c r="AJ1412" t="str">
        <f>"C55-000-588-6812-6"</f>
        <v>C55-000-588-6812-6</v>
      </c>
      <c r="AK1412" t="str">
        <f>"23878"</f>
        <v>23878</v>
      </c>
      <c r="AL1412">
        <v>5</v>
      </c>
      <c r="AM1412">
        <v>1616</v>
      </c>
      <c r="AN1412">
        <v>441.32</v>
      </c>
      <c r="AQ1412" t="s">
        <v>14350</v>
      </c>
      <c r="AR1412" t="s">
        <v>14350</v>
      </c>
      <c r="AS1412" t="s">
        <v>14350</v>
      </c>
      <c r="AU1412" t="s">
        <v>396</v>
      </c>
      <c r="AV1412">
        <v>2017</v>
      </c>
      <c r="AW1412" t="str">
        <f>"50-3N-27-4781-0018-0000 "</f>
        <v xml:space="preserve">50-3N-27-4781-0018-0000 </v>
      </c>
      <c r="AZ1412" t="s">
        <v>11185</v>
      </c>
      <c r="BD1412" t="s">
        <v>2387</v>
      </c>
      <c r="BE1412" t="s">
        <v>393</v>
      </c>
      <c r="BF1412">
        <v>32097</v>
      </c>
      <c r="BG1412" t="s">
        <v>11185</v>
      </c>
      <c r="BH1412" t="s">
        <v>2388</v>
      </c>
      <c r="BI1412">
        <v>-81.614490264041095</v>
      </c>
      <c r="BJ1412">
        <v>30.6442175639867</v>
      </c>
      <c r="BK1412" t="s">
        <v>14285</v>
      </c>
      <c r="BM1412" t="s">
        <v>14286</v>
      </c>
      <c r="BN1412" t="s">
        <v>1778</v>
      </c>
      <c r="BO1412">
        <v>32097</v>
      </c>
      <c r="BP1412" t="s">
        <v>404</v>
      </c>
      <c r="BQ1412">
        <v>0</v>
      </c>
      <c r="BR1412" t="s">
        <v>491</v>
      </c>
      <c r="BS1412">
        <v>8001</v>
      </c>
      <c r="BT1412" t="s">
        <v>492</v>
      </c>
      <c r="BW1412">
        <v>43560</v>
      </c>
      <c r="BX1412" t="s">
        <v>407</v>
      </c>
      <c r="BY1412" t="s">
        <v>408</v>
      </c>
      <c r="CD1412">
        <v>2017</v>
      </c>
      <c r="CE1412">
        <v>25000</v>
      </c>
      <c r="CG1412">
        <v>25000</v>
      </c>
      <c r="CH1412">
        <v>2017</v>
      </c>
      <c r="CI1412">
        <v>25000</v>
      </c>
      <c r="CK1412">
        <v>25000</v>
      </c>
      <c r="CL1412">
        <v>2017</v>
      </c>
      <c r="CM1412">
        <v>378.48</v>
      </c>
      <c r="CN1412" s="1">
        <v>41285</v>
      </c>
      <c r="CO1412">
        <v>225000</v>
      </c>
      <c r="CV1412">
        <v>0</v>
      </c>
      <c r="CZ1412" s="1">
        <v>41285</v>
      </c>
      <c r="DA1412">
        <v>0</v>
      </c>
      <c r="DD1412" t="s">
        <v>2387</v>
      </c>
      <c r="DF1412">
        <v>18</v>
      </c>
      <c r="DG1412">
        <v>50</v>
      </c>
      <c r="DJ1412" t="s">
        <v>14351</v>
      </c>
      <c r="DM1412" t="s">
        <v>14280</v>
      </c>
      <c r="DO1412" t="s">
        <v>14352</v>
      </c>
      <c r="DP1412">
        <v>0</v>
      </c>
      <c r="DQ1412">
        <v>1</v>
      </c>
      <c r="DR1412" t="s">
        <v>411</v>
      </c>
    </row>
    <row r="1413" spans="1:296" x14ac:dyDescent="0.25">
      <c r="A1413">
        <v>16486420</v>
      </c>
      <c r="B1413">
        <v>1412</v>
      </c>
      <c r="C1413" t="s">
        <v>393</v>
      </c>
      <c r="D1413" t="s">
        <v>394</v>
      </c>
      <c r="F1413" t="str">
        <f>"51-3N-27-0000-0001-0040"</f>
        <v>51-3N-27-0000-0001-0040</v>
      </c>
      <c r="H1413" t="str">
        <f>"WILKINS RONALD C"</f>
        <v>WILKINS RONALD C</v>
      </c>
      <c r="I1413" t="str">
        <f>"PO BOX 1752"</f>
        <v>PO BOX 1752</v>
      </c>
      <c r="J1413" t="str">
        <f>"YULEE FL 32041"</f>
        <v>YULEE FL 32041</v>
      </c>
      <c r="K1413" t="str">
        <f>"86015 EZELL LN"</f>
        <v>86015 EZELL LN</v>
      </c>
      <c r="L1413" t="str">
        <f t="shared" si="491"/>
        <v>YULEE FL 32097</v>
      </c>
      <c r="M1413" t="str">
        <f>"IN OR 2087/65 ESMT PT OR 473/322 ESMT IN OR 474/691 EX 1-12 1-16 1-17 &amp; 1-20 R673475"</f>
        <v>IN OR 2087/65 ESMT PT OR 473/322 ESMT IN OR 474/691 EX 1-12 1-16 1-17 &amp; 1-20 R673475</v>
      </c>
      <c r="N1413" t="str">
        <f>""</f>
        <v/>
      </c>
      <c r="O1413" t="str">
        <f>"54915"</f>
        <v>54915</v>
      </c>
      <c r="P1413" t="str">
        <f t="shared" si="494"/>
        <v>2017</v>
      </c>
      <c r="Q1413" t="str">
        <f>""</f>
        <v/>
      </c>
      <c r="R1413" t="str">
        <f>"Y"</f>
        <v>Y</v>
      </c>
      <c r="S1413" t="str">
        <f>"1.00"</f>
        <v>1.00</v>
      </c>
      <c r="T1413" t="str">
        <f>"320.05"</f>
        <v>320.05</v>
      </c>
      <c r="U1413" t="str">
        <f>"40947.00"</f>
        <v>40947.00</v>
      </c>
      <c r="V1413" t="str">
        <f>"40947.00"</f>
        <v>40947.00</v>
      </c>
      <c r="W1413" t="str">
        <f t="shared" si="495"/>
        <v>2017</v>
      </c>
      <c r="X1413" t="str">
        <f>"4.00"</f>
        <v>4.00</v>
      </c>
      <c r="Y1413" t="str">
        <f>"361.65"</f>
        <v>361.65</v>
      </c>
      <c r="Z1413" t="str">
        <f>"22613.00"</f>
        <v>22613.00</v>
      </c>
      <c r="AA1413" t="str">
        <f>"24775.00"</f>
        <v>24775.00</v>
      </c>
      <c r="AB1413" t="str">
        <f>"Residential"</f>
        <v>Residential</v>
      </c>
      <c r="AC1413" t="str">
        <f t="shared" si="475"/>
        <v>0</v>
      </c>
      <c r="AD1413" t="str">
        <f>"4"</f>
        <v>4</v>
      </c>
      <c r="AE1413" t="str">
        <f>"WOOD (INCLUDE STEEL STUDS)"</f>
        <v>WOOD (INCLUDE STEEL STUDS)</v>
      </c>
      <c r="AF1413" t="str">
        <f>"002"</f>
        <v>002</v>
      </c>
      <c r="AG1413" t="str">
        <f t="shared" si="493"/>
        <v>FL</v>
      </c>
      <c r="AH1413" t="str">
        <f>"43560.00"</f>
        <v>43560.00</v>
      </c>
      <c r="AI1413" t="str">
        <f>"22500.00"</f>
        <v>22500.00</v>
      </c>
      <c r="AJ1413" t="str">
        <f>"C55-000-588-7246-6"</f>
        <v>C55-000-588-7246-6</v>
      </c>
      <c r="AK1413" t="str">
        <f>"23882"</f>
        <v>23882</v>
      </c>
      <c r="AL1413">
        <v>5</v>
      </c>
      <c r="AM1413">
        <v>1617</v>
      </c>
      <c r="AN1413">
        <v>378.13</v>
      </c>
      <c r="AQ1413" t="s">
        <v>14353</v>
      </c>
      <c r="AR1413" t="s">
        <v>14353</v>
      </c>
      <c r="AS1413" t="s">
        <v>14353</v>
      </c>
      <c r="AU1413" t="s">
        <v>396</v>
      </c>
      <c r="AV1413">
        <v>2017</v>
      </c>
      <c r="AW1413" t="str">
        <f>"51-3N-27-0000-0001-0040 "</f>
        <v xml:space="preserve">51-3N-27-0000-0001-0040 </v>
      </c>
      <c r="AX1413">
        <v>86015</v>
      </c>
      <c r="AZ1413" t="s">
        <v>14354</v>
      </c>
      <c r="BA1413" t="s">
        <v>653</v>
      </c>
      <c r="BD1413" t="s">
        <v>2387</v>
      </c>
      <c r="BE1413" t="s">
        <v>393</v>
      </c>
      <c r="BF1413">
        <v>32097</v>
      </c>
      <c r="BG1413" t="s">
        <v>14355</v>
      </c>
      <c r="BH1413" t="s">
        <v>2388</v>
      </c>
      <c r="BI1413">
        <v>-81.559081441800799</v>
      </c>
      <c r="BJ1413">
        <v>30.638392159654099</v>
      </c>
      <c r="BK1413" t="s">
        <v>14356</v>
      </c>
      <c r="BM1413" t="s">
        <v>14355</v>
      </c>
      <c r="BN1413" t="s">
        <v>1778</v>
      </c>
      <c r="BO1413">
        <v>32097</v>
      </c>
      <c r="BP1413" t="s">
        <v>416</v>
      </c>
      <c r="BQ1413">
        <v>200</v>
      </c>
      <c r="BR1413" t="s">
        <v>405</v>
      </c>
      <c r="BS1413">
        <v>1006</v>
      </c>
      <c r="BT1413" t="s">
        <v>406</v>
      </c>
      <c r="BW1413">
        <v>43560</v>
      </c>
      <c r="BX1413" t="s">
        <v>407</v>
      </c>
      <c r="BY1413" t="s">
        <v>408</v>
      </c>
      <c r="BZ1413">
        <v>4</v>
      </c>
      <c r="CA1413">
        <v>1994</v>
      </c>
      <c r="CB1413">
        <v>1</v>
      </c>
      <c r="CC1413">
        <v>1</v>
      </c>
      <c r="CD1413">
        <v>2017</v>
      </c>
      <c r="CE1413">
        <v>22500</v>
      </c>
      <c r="CF1413">
        <v>24888</v>
      </c>
      <c r="CG1413">
        <v>47388</v>
      </c>
      <c r="CH1413">
        <v>2017</v>
      </c>
      <c r="CI1413">
        <v>22500</v>
      </c>
      <c r="CJ1413">
        <v>24888</v>
      </c>
      <c r="CK1413">
        <v>47388</v>
      </c>
      <c r="CL1413">
        <v>2017</v>
      </c>
      <c r="CM1413">
        <v>320.05</v>
      </c>
      <c r="CN1413" s="1">
        <v>40497</v>
      </c>
      <c r="CZ1413" s="1">
        <v>40497</v>
      </c>
      <c r="DD1413" t="s">
        <v>2387</v>
      </c>
      <c r="DG1413">
        <v>51</v>
      </c>
      <c r="DL1413">
        <v>50301</v>
      </c>
      <c r="DM1413" t="s">
        <v>14357</v>
      </c>
      <c r="DO1413" t="s">
        <v>14358</v>
      </c>
      <c r="DP1413">
        <v>0</v>
      </c>
      <c r="DQ1413">
        <v>0</v>
      </c>
      <c r="DR1413" t="s">
        <v>411</v>
      </c>
      <c r="EP1413" t="s">
        <v>421</v>
      </c>
      <c r="EQ1413" t="s">
        <v>422</v>
      </c>
      <c r="ER1413">
        <v>2</v>
      </c>
      <c r="ES1413">
        <v>0</v>
      </c>
      <c r="ET1413">
        <v>607.4</v>
      </c>
      <c r="EU1413">
        <v>42.87</v>
      </c>
      <c r="EV1413">
        <v>650.27</v>
      </c>
      <c r="EW1413" s="2">
        <v>43222</v>
      </c>
      <c r="EX1413" s="1">
        <v>42879</v>
      </c>
      <c r="EY1413">
        <v>2016</v>
      </c>
      <c r="EZ1413">
        <v>303.7</v>
      </c>
      <c r="FA1413" t="s">
        <v>14359</v>
      </c>
      <c r="FB1413">
        <v>0.25</v>
      </c>
      <c r="FC1413" t="s">
        <v>424</v>
      </c>
      <c r="FD1413" t="s">
        <v>454</v>
      </c>
      <c r="FF1413">
        <v>12</v>
      </c>
      <c r="FG1413">
        <v>2851116</v>
      </c>
      <c r="FH1413" t="s">
        <v>480</v>
      </c>
      <c r="FJ1413" s="1">
        <v>42879</v>
      </c>
      <c r="FK1413">
        <v>2016</v>
      </c>
      <c r="FL1413">
        <v>303.7</v>
      </c>
      <c r="FM1413" t="s">
        <v>14359</v>
      </c>
      <c r="FN1413">
        <v>0.25</v>
      </c>
      <c r="FO1413" t="s">
        <v>424</v>
      </c>
      <c r="FP1413" t="s">
        <v>454</v>
      </c>
      <c r="FR1413">
        <v>12</v>
      </c>
      <c r="FS1413">
        <v>5292997</v>
      </c>
      <c r="FT1413" t="s">
        <v>14360</v>
      </c>
    </row>
    <row r="1414" spans="1:296" x14ac:dyDescent="0.25">
      <c r="A1414">
        <v>16486421</v>
      </c>
      <c r="B1414">
        <v>1413</v>
      </c>
      <c r="C1414" t="s">
        <v>393</v>
      </c>
      <c r="D1414" t="s">
        <v>394</v>
      </c>
      <c r="F1414" t="str">
        <f>"51-3N-27-0000-0001-0200"</f>
        <v>51-3N-27-0000-0001-0200</v>
      </c>
      <c r="H1414" t="str">
        <f>"KENNEDY MICHAEL &amp; TERESA J"</f>
        <v>KENNEDY MICHAEL &amp; TERESA J</v>
      </c>
      <c r="I1414" t="str">
        <f>"86055 EZELL LANE"</f>
        <v>86055 EZELL LANE</v>
      </c>
      <c r="J1414" t="str">
        <f>"YULEE FL 32097"</f>
        <v>YULEE FL 32097</v>
      </c>
      <c r="K1414" t="str">
        <f>"86055 EZELL LN"</f>
        <v>86055 EZELL LN</v>
      </c>
      <c r="L1414" t="str">
        <f t="shared" si="491"/>
        <v>YULEE FL 32097</v>
      </c>
      <c r="M1414" t="str">
        <f>"IN OR 1071 PG 1939 1995 LIBE SW/MH"</f>
        <v>IN OR 1071 PG 1939 1995 LIBE SW/MH</v>
      </c>
      <c r="N1414" t="str">
        <f>""</f>
        <v/>
      </c>
      <c r="O1414" t="str">
        <f>"54930"</f>
        <v>54930</v>
      </c>
      <c r="P1414" t="str">
        <f t="shared" si="494"/>
        <v>2017</v>
      </c>
      <c r="Q1414" t="str">
        <f>""</f>
        <v/>
      </c>
      <c r="R1414" t="str">
        <f>"Y"</f>
        <v>Y</v>
      </c>
      <c r="S1414" t="str">
        <f>"1.00"</f>
        <v>1.00</v>
      </c>
      <c r="T1414" t="str">
        <f>"405.07"</f>
        <v>405.07</v>
      </c>
      <c r="U1414" t="str">
        <f>"54031.00"</f>
        <v>54031.00</v>
      </c>
      <c r="V1414" t="str">
        <f>"54031.00"</f>
        <v>54031.00</v>
      </c>
      <c r="W1414" t="str">
        <f t="shared" si="495"/>
        <v>2017</v>
      </c>
      <c r="X1414" t="str">
        <f>"13.17"</f>
        <v>13.17</v>
      </c>
      <c r="Y1414" t="str">
        <f>"449.22"</f>
        <v>449.22</v>
      </c>
      <c r="Z1414" t="str">
        <f>"25000.00"</f>
        <v>25000.00</v>
      </c>
      <c r="AA1414" t="str">
        <f>"29031.00"</f>
        <v>29031.00</v>
      </c>
      <c r="AB1414" t="str">
        <f>"Residential"</f>
        <v>Residential</v>
      </c>
      <c r="AC1414" t="str">
        <f t="shared" si="475"/>
        <v>0</v>
      </c>
      <c r="AD1414" t="str">
        <f>"4"</f>
        <v>4</v>
      </c>
      <c r="AE1414" t="str">
        <f>"WOOD (INCLUDE STEEL STUDS)"</f>
        <v>WOOD (INCLUDE STEEL STUDS)</v>
      </c>
      <c r="AF1414" t="str">
        <f>"002"</f>
        <v>002</v>
      </c>
      <c r="AG1414" t="str">
        <f t="shared" si="493"/>
        <v>FL</v>
      </c>
      <c r="AH1414" t="str">
        <f>"43560.00"</f>
        <v>43560.00</v>
      </c>
      <c r="AI1414" t="str">
        <f>"25000.00"</f>
        <v>25000.00</v>
      </c>
      <c r="AJ1414" t="str">
        <f>"C55-000-588-7260-7"</f>
        <v>C55-000-588-7260-7</v>
      </c>
      <c r="AK1414" t="str">
        <f>"23896"</f>
        <v>23896</v>
      </c>
      <c r="AL1414">
        <v>5</v>
      </c>
      <c r="AM1414">
        <v>1618</v>
      </c>
      <c r="AN1414">
        <v>470.08</v>
      </c>
      <c r="AQ1414" t="s">
        <v>14361</v>
      </c>
      <c r="AR1414" t="s">
        <v>14361</v>
      </c>
      <c r="AS1414" t="s">
        <v>14361</v>
      </c>
      <c r="AU1414" t="s">
        <v>396</v>
      </c>
      <c r="AV1414">
        <v>2017</v>
      </c>
      <c r="AW1414" t="str">
        <f>"51-3N-27-0000-0001-0200 "</f>
        <v xml:space="preserve">51-3N-27-0000-0001-0200 </v>
      </c>
      <c r="AX1414">
        <v>86055</v>
      </c>
      <c r="AZ1414" t="s">
        <v>14354</v>
      </c>
      <c r="BA1414" t="s">
        <v>653</v>
      </c>
      <c r="BD1414" t="s">
        <v>2387</v>
      </c>
      <c r="BE1414" t="s">
        <v>393</v>
      </c>
      <c r="BF1414">
        <v>32097</v>
      </c>
      <c r="BG1414" t="s">
        <v>14362</v>
      </c>
      <c r="BH1414" t="s">
        <v>2388</v>
      </c>
      <c r="BI1414">
        <v>-81.558983036517603</v>
      </c>
      <c r="BJ1414">
        <v>30.638673471915801</v>
      </c>
      <c r="BK1414" t="s">
        <v>14363</v>
      </c>
      <c r="BL1414" t="s">
        <v>14364</v>
      </c>
      <c r="BM1414" t="s">
        <v>14362</v>
      </c>
      <c r="BN1414" t="s">
        <v>1778</v>
      </c>
      <c r="BO1414">
        <v>32097</v>
      </c>
      <c r="BP1414" t="s">
        <v>416</v>
      </c>
      <c r="BQ1414">
        <v>200</v>
      </c>
      <c r="BR1414" t="s">
        <v>405</v>
      </c>
      <c r="BS1414">
        <v>1006</v>
      </c>
      <c r="BT1414" t="s">
        <v>406</v>
      </c>
      <c r="BW1414">
        <v>43560</v>
      </c>
      <c r="BX1414" t="s">
        <v>407</v>
      </c>
      <c r="BY1414" t="s">
        <v>408</v>
      </c>
      <c r="BZ1414">
        <v>4</v>
      </c>
      <c r="CA1414">
        <v>1995</v>
      </c>
      <c r="CB1414">
        <v>1</v>
      </c>
      <c r="CC1414">
        <v>1</v>
      </c>
      <c r="CD1414">
        <v>2017</v>
      </c>
      <c r="CG1414">
        <v>54031</v>
      </c>
      <c r="CH1414">
        <v>2017</v>
      </c>
      <c r="CI1414">
        <v>25000</v>
      </c>
      <c r="CJ1414">
        <v>34694</v>
      </c>
      <c r="CK1414">
        <v>59694</v>
      </c>
      <c r="CL1414">
        <v>2017</v>
      </c>
      <c r="CM1414">
        <v>405.07</v>
      </c>
      <c r="CN1414" s="1">
        <v>37468</v>
      </c>
      <c r="CO1414">
        <v>38700</v>
      </c>
      <c r="CV1414">
        <v>37700</v>
      </c>
      <c r="CX1414" t="s">
        <v>707</v>
      </c>
      <c r="CZ1414" s="1">
        <v>37468</v>
      </c>
      <c r="DA1414">
        <v>0</v>
      </c>
      <c r="DD1414" t="s">
        <v>2387</v>
      </c>
      <c r="DG1414">
        <v>51</v>
      </c>
      <c r="DL1414">
        <v>50301</v>
      </c>
      <c r="DM1414" t="s">
        <v>14357</v>
      </c>
      <c r="DO1414" t="s">
        <v>14365</v>
      </c>
      <c r="DP1414">
        <v>0</v>
      </c>
      <c r="DQ1414">
        <v>0</v>
      </c>
      <c r="DR1414" t="s">
        <v>411</v>
      </c>
      <c r="DS1414" t="b">
        <v>1</v>
      </c>
      <c r="DT1414" t="s">
        <v>470</v>
      </c>
      <c r="DU1414" t="s">
        <v>471</v>
      </c>
      <c r="DV1414" t="s">
        <v>472</v>
      </c>
      <c r="DX1414">
        <v>-9999</v>
      </c>
      <c r="DZ1414" t="s">
        <v>447</v>
      </c>
      <c r="EA1414" t="s">
        <v>448</v>
      </c>
      <c r="EB1414" t="s">
        <v>742</v>
      </c>
      <c r="EC1414">
        <v>20101217</v>
      </c>
      <c r="ED1414" t="s">
        <v>474</v>
      </c>
      <c r="EF1414">
        <v>2681.5</v>
      </c>
      <c r="EG1414">
        <v>2681.5</v>
      </c>
      <c r="EI1414">
        <v>20160407</v>
      </c>
      <c r="EJ1414">
        <v>0</v>
      </c>
      <c r="EK1414">
        <v>0</v>
      </c>
      <c r="EP1414" t="s">
        <v>421</v>
      </c>
      <c r="EQ1414" t="s">
        <v>422</v>
      </c>
      <c r="ER1414">
        <v>2</v>
      </c>
      <c r="ES1414">
        <v>7</v>
      </c>
      <c r="ET1414">
        <v>927.04</v>
      </c>
      <c r="EU1414">
        <v>58.85</v>
      </c>
      <c r="EV1414">
        <v>985.89</v>
      </c>
      <c r="EW1414" s="2">
        <v>43222</v>
      </c>
      <c r="EX1414" s="1">
        <v>42879</v>
      </c>
      <c r="EY1414">
        <v>2016</v>
      </c>
      <c r="EZ1414">
        <v>463.52</v>
      </c>
      <c r="FA1414" t="s">
        <v>14366</v>
      </c>
      <c r="FB1414">
        <v>0.25</v>
      </c>
      <c r="FC1414" t="s">
        <v>424</v>
      </c>
      <c r="FD1414" t="s">
        <v>454</v>
      </c>
      <c r="FF1414">
        <v>12</v>
      </c>
      <c r="FG1414">
        <v>11289</v>
      </c>
      <c r="FH1414" t="s">
        <v>787</v>
      </c>
      <c r="FJ1414" s="1">
        <v>42879</v>
      </c>
      <c r="FK1414">
        <v>2016</v>
      </c>
      <c r="FL1414">
        <v>463.52</v>
      </c>
      <c r="FM1414" t="s">
        <v>14366</v>
      </c>
      <c r="FN1414">
        <v>0.25</v>
      </c>
      <c r="FO1414" t="s">
        <v>424</v>
      </c>
      <c r="FP1414" t="s">
        <v>454</v>
      </c>
      <c r="FR1414">
        <v>12</v>
      </c>
      <c r="FS1414">
        <v>7086598</v>
      </c>
      <c r="FT1414" t="s">
        <v>14367</v>
      </c>
      <c r="FV1414" s="1">
        <v>42515</v>
      </c>
      <c r="FW1414">
        <v>2015</v>
      </c>
      <c r="FX1414">
        <v>466.89</v>
      </c>
      <c r="FY1414" t="s">
        <v>14368</v>
      </c>
      <c r="FZ1414">
        <v>0.25</v>
      </c>
      <c r="GA1414" t="s">
        <v>424</v>
      </c>
      <c r="GB1414" t="s">
        <v>425</v>
      </c>
      <c r="GC1414" s="1">
        <v>43038</v>
      </c>
      <c r="GD1414">
        <v>17</v>
      </c>
      <c r="GE1414">
        <v>11289</v>
      </c>
      <c r="GF1414" t="s">
        <v>787</v>
      </c>
      <c r="GH1414" s="1">
        <v>42515</v>
      </c>
      <c r="GI1414">
        <v>2015</v>
      </c>
      <c r="GJ1414">
        <v>466.89</v>
      </c>
      <c r="GK1414" t="s">
        <v>14368</v>
      </c>
      <c r="GL1414">
        <v>0.25</v>
      </c>
      <c r="GM1414" t="s">
        <v>424</v>
      </c>
      <c r="GN1414" t="s">
        <v>425</v>
      </c>
      <c r="GP1414">
        <v>22</v>
      </c>
      <c r="GQ1414">
        <v>7173048</v>
      </c>
      <c r="GR1414" t="s">
        <v>14369</v>
      </c>
      <c r="GT1414" s="1">
        <v>42151</v>
      </c>
      <c r="GU1414">
        <v>2014</v>
      </c>
      <c r="GV1414">
        <v>465.96</v>
      </c>
      <c r="GW1414" t="s">
        <v>14370</v>
      </c>
      <c r="GX1414">
        <v>0.25</v>
      </c>
      <c r="GY1414" t="s">
        <v>424</v>
      </c>
      <c r="GZ1414" t="s">
        <v>425</v>
      </c>
      <c r="HA1414" s="1">
        <v>42634</v>
      </c>
      <c r="HB1414">
        <v>16</v>
      </c>
      <c r="HC1414">
        <v>2851116</v>
      </c>
      <c r="HD1414" t="s">
        <v>480</v>
      </c>
      <c r="HF1414" s="1">
        <v>42151</v>
      </c>
      <c r="HG1414">
        <v>2014</v>
      </c>
      <c r="HH1414">
        <v>465.96</v>
      </c>
      <c r="HI1414" t="s">
        <v>14370</v>
      </c>
      <c r="HJ1414">
        <v>0.25</v>
      </c>
      <c r="HK1414" t="s">
        <v>424</v>
      </c>
      <c r="HL1414" t="s">
        <v>425</v>
      </c>
      <c r="HN1414">
        <v>22</v>
      </c>
      <c r="HO1414">
        <v>5381166</v>
      </c>
      <c r="HP1414" t="s">
        <v>14371</v>
      </c>
      <c r="HR1414" s="1">
        <v>41787</v>
      </c>
      <c r="HS1414">
        <v>2013</v>
      </c>
      <c r="HT1414">
        <v>513.64</v>
      </c>
      <c r="HU1414" t="s">
        <v>14372</v>
      </c>
      <c r="HV1414">
        <v>0.25</v>
      </c>
      <c r="HW1414" t="s">
        <v>424</v>
      </c>
      <c r="HX1414" t="s">
        <v>425</v>
      </c>
      <c r="HY1414" s="1">
        <v>42326</v>
      </c>
      <c r="HZ1414">
        <v>18</v>
      </c>
      <c r="IA1414">
        <v>2407503</v>
      </c>
      <c r="IB1414" t="s">
        <v>461</v>
      </c>
      <c r="ID1414" s="1">
        <v>41423</v>
      </c>
      <c r="IE1414">
        <v>2012</v>
      </c>
      <c r="IF1414">
        <v>530.98</v>
      </c>
      <c r="IG1414" t="s">
        <v>14373</v>
      </c>
      <c r="IH1414">
        <v>0.25</v>
      </c>
      <c r="II1414" t="s">
        <v>424</v>
      </c>
      <c r="IJ1414" t="s">
        <v>425</v>
      </c>
      <c r="IK1414" s="1">
        <v>41899</v>
      </c>
      <c r="IL1414">
        <v>16</v>
      </c>
      <c r="IM1414">
        <v>62</v>
      </c>
      <c r="IN1414" t="s">
        <v>463</v>
      </c>
      <c r="IP1414" s="1">
        <v>40688</v>
      </c>
      <c r="IQ1414">
        <v>2010</v>
      </c>
      <c r="IR1414">
        <v>637.88</v>
      </c>
      <c r="IS1414" t="s">
        <v>14374</v>
      </c>
      <c r="IT1414">
        <v>6</v>
      </c>
      <c r="IU1414" t="s">
        <v>424</v>
      </c>
      <c r="IV1414" t="s">
        <v>425</v>
      </c>
      <c r="IW1414" s="1">
        <v>40868</v>
      </c>
      <c r="IX1414">
        <v>6</v>
      </c>
      <c r="IY1414">
        <v>105</v>
      </c>
      <c r="IZ1414" t="s">
        <v>946</v>
      </c>
    </row>
    <row r="1415" spans="1:296" x14ac:dyDescent="0.25">
      <c r="A1415">
        <v>16486422</v>
      </c>
      <c r="B1415">
        <v>1414</v>
      </c>
      <c r="C1415" t="s">
        <v>393</v>
      </c>
      <c r="D1415" t="s">
        <v>394</v>
      </c>
      <c r="F1415" t="str">
        <f>"51-3N-27-0000-0008-0010"</f>
        <v>51-3N-27-0000-0008-0010</v>
      </c>
      <c r="H1415" t="str">
        <f>"PAGE JOHN E &amp; BOBBIE SUE"</f>
        <v>PAGE JOHN E &amp; BOBBIE SUE</v>
      </c>
      <c r="I1415" t="str">
        <f>"2633 AMELIA ROAD"</f>
        <v>2633 AMELIA ROAD</v>
      </c>
      <c r="J1415" t="str">
        <f>"FERNANDINA BEACH FL 32034"</f>
        <v>FERNANDINA BEACH FL 32034</v>
      </c>
      <c r="K1415" t="str">
        <f>"86543 PAGES DAIRY RD"</f>
        <v>86543 PAGES DAIRY RD</v>
      </c>
      <c r="L1415" t="str">
        <f t="shared" si="491"/>
        <v>YULEE FL 32097</v>
      </c>
      <c r="M1415" t="str">
        <f>"IN OR 1127/877 PARCELS 8-1 &amp; 58"</f>
        <v>IN OR 1127/877 PARCELS 8-1 &amp; 58</v>
      </c>
      <c r="N1415" t="str">
        <f>""</f>
        <v/>
      </c>
      <c r="O1415" t="str">
        <f>"54952"</f>
        <v>54952</v>
      </c>
      <c r="P1415" t="str">
        <f t="shared" si="494"/>
        <v>2017</v>
      </c>
      <c r="Q1415" t="str">
        <f>""</f>
        <v/>
      </c>
      <c r="R1415" t="str">
        <f>"N"</f>
        <v>N</v>
      </c>
      <c r="S1415" t="str">
        <f>"5.00"</f>
        <v>5.00</v>
      </c>
      <c r="T1415" t="str">
        <f>"1960.15"</f>
        <v>1960.15</v>
      </c>
      <c r="U1415" t="str">
        <f>"129479.00"</f>
        <v>129479.00</v>
      </c>
      <c r="V1415" t="str">
        <f>"129479.00"</f>
        <v>129479.00</v>
      </c>
      <c r="W1415" t="str">
        <f t="shared" si="495"/>
        <v>2017</v>
      </c>
      <c r="X1415" t="str">
        <f>"16.50"</f>
        <v>16.50</v>
      </c>
      <c r="Y1415" t="str">
        <f>"2050.95"</f>
        <v>2050.95</v>
      </c>
      <c r="Z1415" t="str">
        <f>""</f>
        <v/>
      </c>
      <c r="AA1415" t="str">
        <f>"129479.00"</f>
        <v>129479.00</v>
      </c>
      <c r="AB1415" t="str">
        <f>"Residential"</f>
        <v>Residential</v>
      </c>
      <c r="AC1415" t="str">
        <f t="shared" si="475"/>
        <v>0</v>
      </c>
      <c r="AD1415" t="str">
        <f>"4"</f>
        <v>4</v>
      </c>
      <c r="AE1415" t="str">
        <f>"WOOD (INCLUDE STEEL STUDS)"</f>
        <v>WOOD (INCLUDE STEEL STUDS)</v>
      </c>
      <c r="AF1415" t="str">
        <f>"001"</f>
        <v>001</v>
      </c>
      <c r="AG1415" t="str">
        <f t="shared" si="493"/>
        <v>FL</v>
      </c>
      <c r="AH1415" t="str">
        <f>"217800.00"</f>
        <v>217800.00</v>
      </c>
      <c r="AI1415" t="str">
        <f>"42575.00"</f>
        <v>42575.00</v>
      </c>
      <c r="AJ1415" t="str">
        <f>"C55-000-588-7266-4"</f>
        <v>C55-000-588-7266-4</v>
      </c>
      <c r="AK1415" t="str">
        <f>"23912"</f>
        <v>23912</v>
      </c>
      <c r="AL1415">
        <v>5</v>
      </c>
      <c r="AM1415">
        <v>1619</v>
      </c>
      <c r="AN1415">
        <v>2151.9</v>
      </c>
      <c r="AQ1415" t="s">
        <v>14375</v>
      </c>
      <c r="AR1415" t="s">
        <v>14375</v>
      </c>
      <c r="AS1415" t="s">
        <v>14375</v>
      </c>
      <c r="AU1415" t="s">
        <v>396</v>
      </c>
      <c r="AV1415">
        <v>2017</v>
      </c>
      <c r="AW1415" t="str">
        <f>"51-3N-27-0000-0008-0010 "</f>
        <v xml:space="preserve">51-3N-27-0000-0008-0010 </v>
      </c>
      <c r="AX1415">
        <v>86543</v>
      </c>
      <c r="AZ1415" t="s">
        <v>14342</v>
      </c>
      <c r="BA1415" t="s">
        <v>496</v>
      </c>
      <c r="BD1415" t="s">
        <v>2387</v>
      </c>
      <c r="BE1415" t="s">
        <v>393</v>
      </c>
      <c r="BF1415">
        <v>32097</v>
      </c>
      <c r="BG1415" t="s">
        <v>14376</v>
      </c>
      <c r="BH1415" t="s">
        <v>2388</v>
      </c>
      <c r="BI1415">
        <v>-81.568610838937602</v>
      </c>
      <c r="BJ1415">
        <v>30.6449369607036</v>
      </c>
      <c r="BK1415" t="s">
        <v>14377</v>
      </c>
      <c r="BL1415" t="s">
        <v>14378</v>
      </c>
      <c r="BM1415" t="s">
        <v>14379</v>
      </c>
      <c r="BN1415" t="s">
        <v>3983</v>
      </c>
      <c r="BO1415">
        <v>32034</v>
      </c>
      <c r="BP1415" t="s">
        <v>404</v>
      </c>
      <c r="BQ1415">
        <v>100</v>
      </c>
      <c r="BR1415" t="s">
        <v>514</v>
      </c>
      <c r="BS1415">
        <v>1001</v>
      </c>
      <c r="BT1415" t="s">
        <v>515</v>
      </c>
      <c r="BW1415">
        <v>217800</v>
      </c>
      <c r="BX1415" t="s">
        <v>407</v>
      </c>
      <c r="BZ1415">
        <v>4</v>
      </c>
      <c r="CA1415">
        <v>1991</v>
      </c>
      <c r="CB1415">
        <v>2</v>
      </c>
      <c r="CC1415">
        <v>1</v>
      </c>
      <c r="CD1415">
        <v>2017</v>
      </c>
      <c r="CE1415">
        <v>42575</v>
      </c>
      <c r="CF1415">
        <v>86904</v>
      </c>
      <c r="CG1415">
        <v>129479</v>
      </c>
      <c r="CH1415">
        <v>2017</v>
      </c>
      <c r="CI1415">
        <v>42575</v>
      </c>
      <c r="CJ1415">
        <v>86904</v>
      </c>
      <c r="CK1415">
        <v>129479</v>
      </c>
      <c r="CL1415">
        <v>2017</v>
      </c>
      <c r="CM1415">
        <v>1960.15</v>
      </c>
      <c r="CN1415" s="1">
        <v>37715</v>
      </c>
      <c r="CZ1415" s="1">
        <v>37715</v>
      </c>
      <c r="DD1415" t="s">
        <v>2387</v>
      </c>
      <c r="DG1415">
        <v>51</v>
      </c>
      <c r="DL1415">
        <v>50301</v>
      </c>
      <c r="DM1415" t="s">
        <v>14357</v>
      </c>
      <c r="DO1415" t="s">
        <v>14380</v>
      </c>
      <c r="DP1415">
        <v>0</v>
      </c>
      <c r="DQ1415">
        <v>0</v>
      </c>
      <c r="DR1415" t="s">
        <v>411</v>
      </c>
      <c r="DS1415" t="b">
        <v>1</v>
      </c>
      <c r="DT1415" t="s">
        <v>470</v>
      </c>
      <c r="DU1415" t="s">
        <v>471</v>
      </c>
      <c r="DV1415" t="s">
        <v>472</v>
      </c>
      <c r="DX1415">
        <v>-9999</v>
      </c>
      <c r="DZ1415" t="s">
        <v>447</v>
      </c>
      <c r="EA1415" t="s">
        <v>448</v>
      </c>
      <c r="EB1415" t="s">
        <v>742</v>
      </c>
      <c r="EC1415">
        <v>20101217</v>
      </c>
      <c r="ED1415" t="s">
        <v>474</v>
      </c>
      <c r="EF1415">
        <v>886.8</v>
      </c>
      <c r="EG1415">
        <v>886.8</v>
      </c>
      <c r="EI1415">
        <v>20160407</v>
      </c>
      <c r="EJ1415">
        <v>0</v>
      </c>
      <c r="EK1415">
        <v>0</v>
      </c>
      <c r="EP1415" t="s">
        <v>421</v>
      </c>
      <c r="EQ1415" t="s">
        <v>422</v>
      </c>
      <c r="ER1415">
        <v>2</v>
      </c>
      <c r="ES1415">
        <v>6</v>
      </c>
      <c r="ET1415">
        <v>4373.1000000000004</v>
      </c>
      <c r="EU1415">
        <v>231.16</v>
      </c>
      <c r="EV1415">
        <v>4604.26</v>
      </c>
      <c r="EW1415" s="2">
        <v>43222</v>
      </c>
      <c r="EX1415" s="1">
        <v>42879</v>
      </c>
      <c r="EY1415">
        <v>2016</v>
      </c>
      <c r="EZ1415">
        <v>2186.5500000000002</v>
      </c>
      <c r="FA1415" t="s">
        <v>14381</v>
      </c>
      <c r="FB1415">
        <v>0.25</v>
      </c>
      <c r="FC1415" t="s">
        <v>424</v>
      </c>
      <c r="FD1415" t="s">
        <v>454</v>
      </c>
      <c r="FF1415">
        <v>12</v>
      </c>
      <c r="FG1415">
        <v>5857474</v>
      </c>
      <c r="FH1415" t="s">
        <v>900</v>
      </c>
      <c r="FJ1415" s="1">
        <v>42879</v>
      </c>
      <c r="FK1415">
        <v>2016</v>
      </c>
      <c r="FL1415">
        <v>2186.5500000000002</v>
      </c>
      <c r="FM1415" t="s">
        <v>14381</v>
      </c>
      <c r="FN1415">
        <v>0.25</v>
      </c>
      <c r="FO1415" t="s">
        <v>424</v>
      </c>
      <c r="FP1415" t="s">
        <v>454</v>
      </c>
      <c r="FR1415">
        <v>12</v>
      </c>
      <c r="FS1415">
        <v>6351273</v>
      </c>
      <c r="FT1415" t="s">
        <v>14382</v>
      </c>
      <c r="FV1415" s="1">
        <v>42515</v>
      </c>
      <c r="FW1415">
        <v>2015</v>
      </c>
      <c r="FX1415">
        <v>2244.48</v>
      </c>
      <c r="FY1415" t="s">
        <v>14383</v>
      </c>
      <c r="FZ1415">
        <v>0.25</v>
      </c>
      <c r="GA1415" t="s">
        <v>424</v>
      </c>
      <c r="GB1415" t="s">
        <v>425</v>
      </c>
      <c r="GC1415" s="1">
        <v>43174</v>
      </c>
      <c r="GD1415">
        <v>22</v>
      </c>
      <c r="GE1415">
        <v>7045074</v>
      </c>
      <c r="GF1415" t="s">
        <v>580</v>
      </c>
      <c r="GH1415" s="1">
        <v>42515</v>
      </c>
      <c r="GI1415">
        <v>2015</v>
      </c>
      <c r="GJ1415">
        <v>2244.48</v>
      </c>
      <c r="GK1415" t="s">
        <v>14383</v>
      </c>
      <c r="GL1415">
        <v>0.25</v>
      </c>
      <c r="GM1415" t="s">
        <v>424</v>
      </c>
      <c r="GN1415" t="s">
        <v>425</v>
      </c>
      <c r="GP1415">
        <v>22</v>
      </c>
      <c r="GQ1415">
        <v>6262908</v>
      </c>
      <c r="GR1415" t="s">
        <v>14384</v>
      </c>
      <c r="GT1415" s="1">
        <v>42151</v>
      </c>
      <c r="GU1415">
        <v>2014</v>
      </c>
      <c r="GV1415">
        <v>2126.41</v>
      </c>
      <c r="GW1415" t="s">
        <v>14385</v>
      </c>
      <c r="GX1415">
        <v>0.25</v>
      </c>
      <c r="GY1415" t="s">
        <v>424</v>
      </c>
      <c r="GZ1415" t="s">
        <v>425</v>
      </c>
      <c r="HA1415" s="1">
        <v>42776</v>
      </c>
      <c r="HB1415">
        <v>21</v>
      </c>
      <c r="HC1415">
        <v>2851116</v>
      </c>
      <c r="HD1415" t="s">
        <v>480</v>
      </c>
      <c r="HF1415" s="1">
        <v>42151</v>
      </c>
      <c r="HG1415">
        <v>2014</v>
      </c>
      <c r="HH1415">
        <v>2126.41</v>
      </c>
      <c r="HI1415" t="s">
        <v>14385</v>
      </c>
      <c r="HJ1415">
        <v>0.25</v>
      </c>
      <c r="HK1415" t="s">
        <v>424</v>
      </c>
      <c r="HL1415" t="s">
        <v>425</v>
      </c>
      <c r="HN1415">
        <v>22</v>
      </c>
      <c r="HO1415">
        <v>5375118</v>
      </c>
      <c r="HP1415" t="s">
        <v>14386</v>
      </c>
      <c r="HR1415" s="1">
        <v>41787</v>
      </c>
      <c r="HS1415">
        <v>2013</v>
      </c>
      <c r="HT1415">
        <v>1927.04</v>
      </c>
      <c r="HU1415" t="s">
        <v>14387</v>
      </c>
      <c r="HV1415">
        <v>0.25</v>
      </c>
      <c r="HW1415" t="s">
        <v>424</v>
      </c>
      <c r="HX1415" t="s">
        <v>425</v>
      </c>
      <c r="HY1415" s="1">
        <v>42333</v>
      </c>
      <c r="HZ1415">
        <v>18</v>
      </c>
      <c r="IA1415">
        <v>2407503</v>
      </c>
      <c r="IB1415" t="s">
        <v>461</v>
      </c>
      <c r="ID1415" s="1">
        <v>41423</v>
      </c>
      <c r="IE1415">
        <v>2012</v>
      </c>
      <c r="IF1415">
        <v>1982.96</v>
      </c>
      <c r="IG1415" t="s">
        <v>14388</v>
      </c>
      <c r="IH1415">
        <v>0.25</v>
      </c>
      <c r="II1415" t="s">
        <v>424</v>
      </c>
      <c r="IJ1415" t="s">
        <v>425</v>
      </c>
      <c r="IK1415" s="1">
        <v>41555</v>
      </c>
      <c r="IL1415">
        <v>5</v>
      </c>
      <c r="IM1415">
        <v>15970</v>
      </c>
      <c r="IN1415" t="s">
        <v>1435</v>
      </c>
    </row>
    <row r="1416" spans="1:296" x14ac:dyDescent="0.25">
      <c r="A1416">
        <v>16486423</v>
      </c>
      <c r="B1416">
        <v>1415</v>
      </c>
      <c r="C1416" t="s">
        <v>393</v>
      </c>
      <c r="D1416" t="s">
        <v>394</v>
      </c>
      <c r="F1416" t="str">
        <f>"51-3N-27-0000-0013-0100"</f>
        <v>51-3N-27-0000-0013-0100</v>
      </c>
      <c r="H1416" t="str">
        <f>"MORGAN RUSSELL H JR"</f>
        <v>MORGAN RUSSELL H JR</v>
      </c>
      <c r="I1416" t="str">
        <f>"463106 SR 200"</f>
        <v>463106 SR 200</v>
      </c>
      <c r="J1416" t="str">
        <f>"YULEE FL 32097"</f>
        <v>YULEE FL 32097</v>
      </c>
      <c r="K1416" t="str">
        <f>"EAST SR 200"</f>
        <v>EAST SR 200</v>
      </c>
      <c r="L1416" t="str">
        <f t="shared" si="491"/>
        <v>YULEE FL 32097</v>
      </c>
      <c r="M1416" t="str">
        <f>"IN OR 1409/626"</f>
        <v>IN OR 1409/626</v>
      </c>
      <c r="N1416" t="str">
        <f>""</f>
        <v/>
      </c>
      <c r="O1416" t="str">
        <f>"54975"</f>
        <v>54975</v>
      </c>
      <c r="P1416" t="str">
        <f t="shared" si="494"/>
        <v>2017</v>
      </c>
      <c r="Q1416" t="str">
        <f>""</f>
        <v/>
      </c>
      <c r="R1416" t="str">
        <f>"N"</f>
        <v>N</v>
      </c>
      <c r="S1416" t="str">
        <f>""</f>
        <v/>
      </c>
      <c r="T1416" t="str">
        <f>"73.85"</f>
        <v>73.85</v>
      </c>
      <c r="U1416" t="str">
        <f>"4878.00"</f>
        <v>4878.00</v>
      </c>
      <c r="V1416" t="str">
        <f>"4878.00"</f>
        <v>4878.00</v>
      </c>
      <c r="W1416" t="str">
        <f t="shared" si="495"/>
        <v>2017</v>
      </c>
      <c r="X1416" t="str">
        <f>"15.63"</f>
        <v>15.63</v>
      </c>
      <c r="Y1416" t="str">
        <f>"108.07"</f>
        <v>108.07</v>
      </c>
      <c r="Z1416" t="str">
        <f>""</f>
        <v/>
      </c>
      <c r="AA1416" t="str">
        <f>"4878.00"</f>
        <v>4878.00</v>
      </c>
      <c r="AB1416" t="str">
        <f>"Commercial"</f>
        <v>Commercial</v>
      </c>
      <c r="AC1416" t="str">
        <f t="shared" si="475"/>
        <v>0</v>
      </c>
      <c r="AD1416" t="str">
        <f>""</f>
        <v/>
      </c>
      <c r="AE1416" t="str">
        <f>""</f>
        <v/>
      </c>
      <c r="AF1416" t="str">
        <f>"010"</f>
        <v>010</v>
      </c>
      <c r="AG1416" t="str">
        <f t="shared" si="493"/>
        <v>FL</v>
      </c>
      <c r="AH1416" t="str">
        <f>"12196.00"</f>
        <v>12196.00</v>
      </c>
      <c r="AI1416" t="str">
        <f>"4878.00"</f>
        <v>4878.00</v>
      </c>
      <c r="AJ1416" t="str">
        <f>"C55-000-588-7285-4"</f>
        <v>C55-000-588-7285-4</v>
      </c>
      <c r="AK1416" t="str">
        <f>"23932"</f>
        <v>23932</v>
      </c>
      <c r="AL1416">
        <v>5</v>
      </c>
      <c r="AM1416">
        <v>1620</v>
      </c>
      <c r="AN1416">
        <v>111.87</v>
      </c>
      <c r="AQ1416" t="s">
        <v>14389</v>
      </c>
      <c r="AR1416" t="s">
        <v>14389</v>
      </c>
      <c r="AS1416" t="s">
        <v>14389</v>
      </c>
      <c r="AU1416" t="s">
        <v>396</v>
      </c>
      <c r="AV1416">
        <v>2017</v>
      </c>
      <c r="AW1416" t="str">
        <f>"51-3N-27-0000-0013-0100 "</f>
        <v xml:space="preserve">51-3N-27-0000-0013-0100 </v>
      </c>
      <c r="AY1416" t="s">
        <v>12325</v>
      </c>
      <c r="AZ1416" t="s">
        <v>8071</v>
      </c>
      <c r="BD1416" t="s">
        <v>2387</v>
      </c>
      <c r="BE1416" t="s">
        <v>393</v>
      </c>
      <c r="BF1416">
        <v>32097</v>
      </c>
      <c r="BG1416" t="s">
        <v>12374</v>
      </c>
      <c r="BH1416" t="s">
        <v>2388</v>
      </c>
      <c r="BI1416">
        <v>-81.605734530837097</v>
      </c>
      <c r="BJ1416">
        <v>30.6312017566271</v>
      </c>
      <c r="BK1416" t="s">
        <v>14390</v>
      </c>
      <c r="BM1416" t="s">
        <v>12832</v>
      </c>
      <c r="BN1416" t="s">
        <v>1778</v>
      </c>
      <c r="BO1416">
        <v>32097</v>
      </c>
      <c r="BP1416" t="s">
        <v>404</v>
      </c>
      <c r="BQ1416">
        <v>1000</v>
      </c>
      <c r="BR1416" t="s">
        <v>2391</v>
      </c>
      <c r="BS1416">
        <v>8002</v>
      </c>
      <c r="BT1416" t="s">
        <v>2392</v>
      </c>
      <c r="BW1416">
        <v>12196</v>
      </c>
      <c r="BX1416" t="s">
        <v>407</v>
      </c>
      <c r="BY1416" t="s">
        <v>2221</v>
      </c>
      <c r="CD1416">
        <v>2017</v>
      </c>
      <c r="CE1416">
        <v>4878</v>
      </c>
      <c r="CG1416">
        <v>4878</v>
      </c>
      <c r="CH1416">
        <v>2017</v>
      </c>
      <c r="CI1416">
        <v>4878</v>
      </c>
      <c r="CK1416">
        <v>4878</v>
      </c>
      <c r="CL1416">
        <v>2017</v>
      </c>
      <c r="CM1416">
        <v>73.849999999999994</v>
      </c>
      <c r="CN1416" s="1">
        <v>38840</v>
      </c>
      <c r="CO1416">
        <v>7500</v>
      </c>
      <c r="CV1416">
        <v>0</v>
      </c>
      <c r="CZ1416" s="1">
        <v>38840</v>
      </c>
      <c r="DA1416">
        <v>0</v>
      </c>
      <c r="DD1416" t="s">
        <v>2387</v>
      </c>
      <c r="DG1416">
        <v>51</v>
      </c>
      <c r="DM1416" t="s">
        <v>14357</v>
      </c>
      <c r="DO1416" t="s">
        <v>14391</v>
      </c>
      <c r="DP1416">
        <v>0</v>
      </c>
      <c r="DQ1416">
        <v>1</v>
      </c>
      <c r="DR1416" t="s">
        <v>1479</v>
      </c>
      <c r="DS1416" t="b">
        <v>1</v>
      </c>
      <c r="DT1416" t="s">
        <v>470</v>
      </c>
      <c r="DU1416" t="s">
        <v>471</v>
      </c>
      <c r="DV1416" t="s">
        <v>472</v>
      </c>
      <c r="DX1416">
        <v>-9999</v>
      </c>
      <c r="DZ1416" t="s">
        <v>447</v>
      </c>
      <c r="EA1416" t="s">
        <v>448</v>
      </c>
      <c r="EB1416" t="s">
        <v>742</v>
      </c>
      <c r="EC1416">
        <v>20101217</v>
      </c>
      <c r="ED1416" t="s">
        <v>474</v>
      </c>
      <c r="EF1416">
        <v>5561.7</v>
      </c>
      <c r="EG1416">
        <v>5561.7</v>
      </c>
      <c r="EI1416">
        <v>20160407</v>
      </c>
      <c r="EJ1416">
        <v>0</v>
      </c>
      <c r="EK1416">
        <v>0</v>
      </c>
      <c r="EP1416" t="s">
        <v>421</v>
      </c>
      <c r="EQ1416" t="s">
        <v>422</v>
      </c>
      <c r="ER1416">
        <v>0</v>
      </c>
      <c r="ES1416">
        <v>6</v>
      </c>
      <c r="ET1416">
        <v>0</v>
      </c>
      <c r="EU1416">
        <v>0</v>
      </c>
      <c r="EV1416">
        <v>0</v>
      </c>
      <c r="EW1416" s="2">
        <v>43222</v>
      </c>
      <c r="EX1416" s="1">
        <v>42515</v>
      </c>
      <c r="EY1416">
        <v>2015</v>
      </c>
      <c r="EZ1416">
        <v>104.94</v>
      </c>
      <c r="FA1416" t="s">
        <v>14392</v>
      </c>
      <c r="FB1416">
        <v>18</v>
      </c>
      <c r="FC1416" t="s">
        <v>424</v>
      </c>
      <c r="FD1416" t="s">
        <v>425</v>
      </c>
      <c r="FE1416" s="1">
        <v>42531</v>
      </c>
      <c r="FF1416">
        <v>1</v>
      </c>
      <c r="FG1416">
        <v>13139</v>
      </c>
      <c r="FH1416" t="s">
        <v>955</v>
      </c>
      <c r="FJ1416" s="1">
        <v>42151</v>
      </c>
      <c r="FK1416">
        <v>2014</v>
      </c>
      <c r="FL1416">
        <v>108.13</v>
      </c>
      <c r="FM1416" t="s">
        <v>14393</v>
      </c>
      <c r="FN1416">
        <v>14.75</v>
      </c>
      <c r="FO1416" t="s">
        <v>424</v>
      </c>
      <c r="FP1416" t="s">
        <v>425</v>
      </c>
      <c r="FQ1416" s="1">
        <v>42531</v>
      </c>
      <c r="FR1416">
        <v>13</v>
      </c>
      <c r="FS1416">
        <v>7045028</v>
      </c>
      <c r="FT1416" t="s">
        <v>8439</v>
      </c>
      <c r="FV1416" s="1">
        <v>41787</v>
      </c>
      <c r="FW1416">
        <v>2013</v>
      </c>
      <c r="FX1416">
        <v>103.52</v>
      </c>
      <c r="FY1416" t="s">
        <v>14394</v>
      </c>
      <c r="FZ1416">
        <v>0.25</v>
      </c>
      <c r="GA1416" t="s">
        <v>424</v>
      </c>
      <c r="GB1416" t="s">
        <v>425</v>
      </c>
      <c r="GC1416" s="1">
        <v>42083</v>
      </c>
      <c r="GD1416">
        <v>10</v>
      </c>
      <c r="GE1416">
        <v>13139</v>
      </c>
      <c r="GF1416" t="s">
        <v>955</v>
      </c>
      <c r="GH1416" s="1">
        <v>41423</v>
      </c>
      <c r="GI1416">
        <v>2012</v>
      </c>
      <c r="GJ1416">
        <v>104.55</v>
      </c>
      <c r="GK1416" t="s">
        <v>14395</v>
      </c>
      <c r="GL1416">
        <v>9.75</v>
      </c>
      <c r="GM1416" t="s">
        <v>424</v>
      </c>
      <c r="GN1416" t="s">
        <v>425</v>
      </c>
      <c r="GO1416" s="1">
        <v>42083</v>
      </c>
      <c r="GP1416">
        <v>22</v>
      </c>
      <c r="GQ1416">
        <v>13139</v>
      </c>
      <c r="GR1416" t="s">
        <v>955</v>
      </c>
      <c r="GT1416" s="1">
        <v>41052</v>
      </c>
      <c r="GU1416">
        <v>2011</v>
      </c>
      <c r="GV1416">
        <v>97.99</v>
      </c>
      <c r="GW1416" t="s">
        <v>14396</v>
      </c>
      <c r="GX1416">
        <v>18</v>
      </c>
      <c r="GY1416" t="s">
        <v>424</v>
      </c>
      <c r="GZ1416" t="s">
        <v>425</v>
      </c>
      <c r="HA1416" s="1">
        <v>41703</v>
      </c>
      <c r="HB1416">
        <v>22</v>
      </c>
      <c r="HC1416">
        <v>13139</v>
      </c>
      <c r="HD1416" t="s">
        <v>955</v>
      </c>
      <c r="HF1416" s="1">
        <v>40688</v>
      </c>
      <c r="HG1416">
        <v>2010</v>
      </c>
      <c r="HH1416">
        <v>97.45</v>
      </c>
      <c r="HI1416" t="s">
        <v>14397</v>
      </c>
      <c r="HJ1416">
        <v>6</v>
      </c>
      <c r="HK1416" t="s">
        <v>424</v>
      </c>
      <c r="HL1416" t="s">
        <v>425</v>
      </c>
      <c r="HM1416" s="1">
        <v>41446</v>
      </c>
      <c r="HN1416">
        <v>25</v>
      </c>
      <c r="HO1416">
        <v>105</v>
      </c>
      <c r="HP1416" t="s">
        <v>946</v>
      </c>
    </row>
    <row r="1417" spans="1:296" x14ac:dyDescent="0.25">
      <c r="A1417">
        <v>16486424</v>
      </c>
      <c r="B1417">
        <v>1416</v>
      </c>
      <c r="C1417" t="s">
        <v>393</v>
      </c>
      <c r="D1417" t="s">
        <v>394</v>
      </c>
      <c r="F1417" t="str">
        <f>"51-3N-27-0000-0017-0000"</f>
        <v>51-3N-27-0000-0017-0000</v>
      </c>
      <c r="H1417" t="str">
        <f>"PORCH SWING PROPERTIES LLC"</f>
        <v>PORCH SWING PROPERTIES LLC</v>
      </c>
      <c r="I1417" t="str">
        <f>"1832 WOODROW ST"</f>
        <v>1832 WOODROW ST</v>
      </c>
      <c r="J1417" t="str">
        <f>"AUGUSTA GA 30904"</f>
        <v>AUGUSTA GA 30904</v>
      </c>
      <c r="K1417" t="str">
        <f>"850914 US HWY 17"</f>
        <v>850914 US HWY 17</v>
      </c>
      <c r="L1417" t="str">
        <f t="shared" si="491"/>
        <v>YULEE FL 32097</v>
      </c>
      <c r="M1417" t="str">
        <f>"IN OR 1302/1490 RESOLUTION 2012-06 PT OR 1780/1948"</f>
        <v>IN OR 1302/1490 RESOLUTION 2012-06 PT OR 1780/1948</v>
      </c>
      <c r="N1417" t="str">
        <f>""</f>
        <v/>
      </c>
      <c r="O1417" t="str">
        <f>"54979"</f>
        <v>54979</v>
      </c>
      <c r="P1417" t="str">
        <f t="shared" si="494"/>
        <v>2017</v>
      </c>
      <c r="Q1417" t="str">
        <f>""</f>
        <v/>
      </c>
      <c r="R1417" t="str">
        <f>"N"</f>
        <v>N</v>
      </c>
      <c r="S1417" t="str">
        <f>""</f>
        <v/>
      </c>
      <c r="T1417" t="str">
        <f>"2977.19"</f>
        <v>2977.19</v>
      </c>
      <c r="U1417" t="str">
        <f>"196660.00"</f>
        <v>196660.00</v>
      </c>
      <c r="V1417" t="str">
        <f>"196660.00"</f>
        <v>196660.00</v>
      </c>
      <c r="W1417" t="str">
        <f t="shared" si="495"/>
        <v>2017</v>
      </c>
      <c r="X1417" t="str">
        <f>"19.11"</f>
        <v>19.11</v>
      </c>
      <c r="Y1417" t="str">
        <f>"3098.51"</f>
        <v>3098.51</v>
      </c>
      <c r="Z1417" t="str">
        <f>""</f>
        <v/>
      </c>
      <c r="AA1417" t="str">
        <f>"196660.00"</f>
        <v>196660.00</v>
      </c>
      <c r="AB1417" t="str">
        <f>"Commercial"</f>
        <v>Commercial</v>
      </c>
      <c r="AC1417" t="str">
        <f t="shared" si="475"/>
        <v>0</v>
      </c>
      <c r="AD1417" t="str">
        <f>"3"</f>
        <v>3</v>
      </c>
      <c r="AE1417" t="str">
        <f>"MASONRY"</f>
        <v>MASONRY</v>
      </c>
      <c r="AF1417" t="str">
        <f>"011"</f>
        <v>011</v>
      </c>
      <c r="AG1417" t="str">
        <f>"GA"</f>
        <v>GA</v>
      </c>
      <c r="AH1417" t="str">
        <f>"36797.00"</f>
        <v>36797.00</v>
      </c>
      <c r="AI1417" t="str">
        <f>"110391.00"</f>
        <v>110391.00</v>
      </c>
      <c r="AJ1417" t="str">
        <f>"C55-000-588-7289-6"</f>
        <v>C55-000-588-7289-6</v>
      </c>
      <c r="AK1417" t="str">
        <f>"23936"</f>
        <v>23936</v>
      </c>
      <c r="AL1417">
        <v>5</v>
      </c>
      <c r="AM1417">
        <v>1621</v>
      </c>
      <c r="AN1417">
        <v>3251.84</v>
      </c>
      <c r="AQ1417" t="s">
        <v>14398</v>
      </c>
      <c r="AR1417" t="s">
        <v>14398</v>
      </c>
      <c r="AS1417" t="s">
        <v>14398</v>
      </c>
      <c r="AU1417" t="s">
        <v>396</v>
      </c>
      <c r="AV1417">
        <v>2017</v>
      </c>
      <c r="AW1417" t="str">
        <f>"51-3N-27-0000-0017-0000 "</f>
        <v xml:space="preserve">51-3N-27-0000-0017-0000 </v>
      </c>
      <c r="AX1417">
        <v>850914</v>
      </c>
      <c r="AZ1417" t="s">
        <v>11185</v>
      </c>
      <c r="BD1417" t="s">
        <v>2387</v>
      </c>
      <c r="BE1417" t="s">
        <v>393</v>
      </c>
      <c r="BF1417">
        <v>32097</v>
      </c>
      <c r="BG1417" t="s">
        <v>14399</v>
      </c>
      <c r="BH1417" t="s">
        <v>2388</v>
      </c>
      <c r="BI1417">
        <v>-81.603325695641601</v>
      </c>
      <c r="BJ1417">
        <v>30.634595101774899</v>
      </c>
      <c r="BK1417" t="s">
        <v>14400</v>
      </c>
      <c r="BM1417" t="s">
        <v>14401</v>
      </c>
      <c r="BN1417" t="s">
        <v>14402</v>
      </c>
      <c r="BO1417">
        <v>30904</v>
      </c>
      <c r="BP1417" t="s">
        <v>404</v>
      </c>
      <c r="BQ1417">
        <v>1100</v>
      </c>
      <c r="BR1417" t="s">
        <v>4474</v>
      </c>
      <c r="BS1417">
        <v>2000</v>
      </c>
      <c r="BT1417" t="s">
        <v>4475</v>
      </c>
      <c r="BW1417">
        <v>36765</v>
      </c>
      <c r="BX1417" t="s">
        <v>407</v>
      </c>
      <c r="BY1417" t="s">
        <v>4413</v>
      </c>
      <c r="BZ1417">
        <v>3</v>
      </c>
      <c r="CA1417">
        <v>1961</v>
      </c>
      <c r="CB1417">
        <v>1</v>
      </c>
      <c r="CD1417">
        <v>2017</v>
      </c>
      <c r="CE1417">
        <v>110391</v>
      </c>
      <c r="CF1417">
        <v>86269</v>
      </c>
      <c r="CG1417">
        <v>196660</v>
      </c>
      <c r="CH1417">
        <v>2017</v>
      </c>
      <c r="CI1417">
        <v>110391</v>
      </c>
      <c r="CJ1417">
        <v>86269</v>
      </c>
      <c r="CK1417">
        <v>196660</v>
      </c>
      <c r="CL1417">
        <v>2017</v>
      </c>
      <c r="CM1417">
        <v>2977.19</v>
      </c>
      <c r="CN1417" s="1">
        <v>38429</v>
      </c>
      <c r="CO1417">
        <v>295000</v>
      </c>
      <c r="CV1417">
        <v>285000</v>
      </c>
      <c r="CX1417" t="s">
        <v>707</v>
      </c>
      <c r="CZ1417" s="1">
        <v>38429</v>
      </c>
      <c r="DA1417">
        <v>0</v>
      </c>
      <c r="DD1417" t="s">
        <v>2387</v>
      </c>
      <c r="DG1417">
        <v>51</v>
      </c>
      <c r="DL1417">
        <v>50302</v>
      </c>
      <c r="DM1417" t="s">
        <v>14357</v>
      </c>
      <c r="DO1417" t="s">
        <v>14403</v>
      </c>
      <c r="DP1417">
        <v>0</v>
      </c>
      <c r="DQ1417">
        <v>2</v>
      </c>
      <c r="DR1417" t="s">
        <v>1479</v>
      </c>
      <c r="DS1417" t="b">
        <v>1</v>
      </c>
      <c r="DT1417" t="s">
        <v>470</v>
      </c>
      <c r="DU1417" t="s">
        <v>471</v>
      </c>
      <c r="DV1417" t="s">
        <v>472</v>
      </c>
      <c r="DX1417">
        <v>-9999</v>
      </c>
      <c r="DZ1417" t="s">
        <v>447</v>
      </c>
      <c r="EA1417" t="s">
        <v>448</v>
      </c>
      <c r="EB1417" t="s">
        <v>742</v>
      </c>
      <c r="EC1417">
        <v>20101217</v>
      </c>
      <c r="ED1417" t="s">
        <v>474</v>
      </c>
      <c r="EF1417">
        <v>2212.3000000000002</v>
      </c>
      <c r="EG1417">
        <v>2212.3000000000002</v>
      </c>
      <c r="EH1417" t="s">
        <v>451</v>
      </c>
      <c r="EI1417">
        <v>20140731</v>
      </c>
      <c r="EJ1417">
        <v>0</v>
      </c>
      <c r="EK1417">
        <v>0</v>
      </c>
      <c r="EP1417" t="s">
        <v>421</v>
      </c>
      <c r="EQ1417" t="s">
        <v>452</v>
      </c>
      <c r="ER1417">
        <v>0</v>
      </c>
      <c r="ES1417">
        <v>11</v>
      </c>
      <c r="ET1417">
        <v>0</v>
      </c>
      <c r="EU1417">
        <v>0</v>
      </c>
      <c r="EV1417">
        <v>0</v>
      </c>
      <c r="EW1417" s="2">
        <v>43222</v>
      </c>
      <c r="EX1417" s="1">
        <v>42879</v>
      </c>
      <c r="EY1417">
        <v>2016</v>
      </c>
      <c r="EZ1417">
        <v>3187.31</v>
      </c>
      <c r="FA1417" t="s">
        <v>14404</v>
      </c>
      <c r="FB1417">
        <v>0.25</v>
      </c>
      <c r="FC1417" t="s">
        <v>424</v>
      </c>
      <c r="FD1417" t="s">
        <v>425</v>
      </c>
      <c r="FE1417" s="1">
        <v>43122</v>
      </c>
      <c r="FF1417">
        <v>8</v>
      </c>
      <c r="FG1417">
        <v>7400234</v>
      </c>
      <c r="FH1417" t="s">
        <v>426</v>
      </c>
      <c r="FJ1417" s="1">
        <v>42879</v>
      </c>
      <c r="FK1417">
        <v>2016</v>
      </c>
      <c r="FL1417">
        <v>3187.31</v>
      </c>
      <c r="FM1417" t="s">
        <v>14404</v>
      </c>
      <c r="FN1417">
        <v>0.25</v>
      </c>
      <c r="FO1417" t="s">
        <v>424</v>
      </c>
      <c r="FP1417" t="s">
        <v>425</v>
      </c>
      <c r="FR1417">
        <v>22</v>
      </c>
      <c r="FS1417">
        <v>7466273</v>
      </c>
      <c r="FT1417" t="s">
        <v>14405</v>
      </c>
      <c r="FV1417" s="1">
        <v>42151</v>
      </c>
      <c r="FW1417">
        <v>2014</v>
      </c>
      <c r="FX1417">
        <v>3445.19</v>
      </c>
      <c r="FY1417" t="s">
        <v>14406</v>
      </c>
      <c r="FZ1417">
        <v>0.25</v>
      </c>
      <c r="GA1417" t="s">
        <v>424</v>
      </c>
      <c r="GB1417" t="s">
        <v>425</v>
      </c>
      <c r="GC1417" s="1">
        <v>42482</v>
      </c>
      <c r="GD1417">
        <v>11</v>
      </c>
      <c r="GE1417">
        <v>4975594</v>
      </c>
      <c r="GF1417" t="s">
        <v>457</v>
      </c>
      <c r="GG1417" t="s">
        <v>458</v>
      </c>
      <c r="GH1417" s="1">
        <v>42151</v>
      </c>
      <c r="GI1417">
        <v>2014</v>
      </c>
      <c r="GJ1417">
        <v>3445.19</v>
      </c>
      <c r="GK1417" t="s">
        <v>14406</v>
      </c>
      <c r="GL1417">
        <v>0.25</v>
      </c>
      <c r="GM1417" t="s">
        <v>424</v>
      </c>
      <c r="GN1417" t="s">
        <v>425</v>
      </c>
      <c r="GP1417">
        <v>22</v>
      </c>
      <c r="GQ1417">
        <v>6214945</v>
      </c>
      <c r="GR1417" t="s">
        <v>14407</v>
      </c>
      <c r="GS1417" t="s">
        <v>458</v>
      </c>
      <c r="GT1417" s="1">
        <v>41787</v>
      </c>
      <c r="GU1417">
        <v>2013</v>
      </c>
      <c r="GV1417">
        <v>3263.85</v>
      </c>
      <c r="GW1417" t="s">
        <v>14408</v>
      </c>
      <c r="GX1417">
        <v>0.25</v>
      </c>
      <c r="GY1417" t="s">
        <v>424</v>
      </c>
      <c r="GZ1417" t="s">
        <v>425</v>
      </c>
      <c r="HB1417">
        <v>22</v>
      </c>
      <c r="HC1417">
        <v>2101382</v>
      </c>
      <c r="HD1417" t="s">
        <v>993</v>
      </c>
      <c r="HE1417" t="s">
        <v>458</v>
      </c>
      <c r="HF1417" s="1">
        <v>41423</v>
      </c>
      <c r="HG1417">
        <v>2012</v>
      </c>
      <c r="HH1417">
        <v>3306.27</v>
      </c>
      <c r="HI1417" t="s">
        <v>14409</v>
      </c>
      <c r="HJ1417">
        <v>0.25</v>
      </c>
      <c r="HK1417" t="s">
        <v>424</v>
      </c>
      <c r="HL1417" t="s">
        <v>425</v>
      </c>
      <c r="HN1417">
        <v>22</v>
      </c>
      <c r="HO1417">
        <v>11289</v>
      </c>
      <c r="HP1417" t="s">
        <v>787</v>
      </c>
      <c r="HR1417" s="1">
        <v>41423</v>
      </c>
      <c r="HS1417">
        <v>2012</v>
      </c>
      <c r="HT1417">
        <v>3306.27</v>
      </c>
      <c r="HU1417" t="s">
        <v>14409</v>
      </c>
      <c r="HV1417">
        <v>0.25</v>
      </c>
      <c r="HW1417" t="s">
        <v>424</v>
      </c>
      <c r="HX1417" t="s">
        <v>425</v>
      </c>
      <c r="HY1417" s="1">
        <v>42233</v>
      </c>
      <c r="HZ1417">
        <v>27</v>
      </c>
      <c r="IA1417">
        <v>4844954</v>
      </c>
      <c r="IB1417" t="s">
        <v>1719</v>
      </c>
      <c r="ID1417" s="1">
        <v>41052</v>
      </c>
      <c r="IE1417">
        <v>2011</v>
      </c>
      <c r="IF1417">
        <v>3313.52</v>
      </c>
      <c r="IG1417" t="s">
        <v>14410</v>
      </c>
      <c r="IH1417">
        <v>0.25</v>
      </c>
      <c r="II1417" t="s">
        <v>424</v>
      </c>
      <c r="IJ1417" t="s">
        <v>425</v>
      </c>
      <c r="IK1417" s="1">
        <v>41760</v>
      </c>
      <c r="IL1417">
        <v>24</v>
      </c>
      <c r="IM1417">
        <v>12092</v>
      </c>
      <c r="IN1417" t="s">
        <v>483</v>
      </c>
      <c r="IP1417" s="1">
        <v>41052</v>
      </c>
      <c r="IQ1417">
        <v>2011</v>
      </c>
      <c r="IR1417">
        <v>3313.52</v>
      </c>
      <c r="IS1417" t="s">
        <v>14410</v>
      </c>
      <c r="IT1417">
        <v>0.25</v>
      </c>
      <c r="IU1417" t="s">
        <v>424</v>
      </c>
      <c r="IV1417" t="s">
        <v>425</v>
      </c>
      <c r="IX1417">
        <v>22</v>
      </c>
      <c r="IY1417">
        <v>13237</v>
      </c>
      <c r="IZ1417" t="s">
        <v>14411</v>
      </c>
      <c r="JB1417" s="1">
        <v>40688</v>
      </c>
      <c r="JC1417">
        <v>2010</v>
      </c>
      <c r="JD1417">
        <v>3578.37</v>
      </c>
      <c r="JE1417" t="s">
        <v>14412</v>
      </c>
      <c r="JF1417">
        <v>5</v>
      </c>
      <c r="JG1417" t="s">
        <v>424</v>
      </c>
      <c r="JH1417" t="s">
        <v>425</v>
      </c>
      <c r="JI1417" s="1">
        <v>41452</v>
      </c>
      <c r="JJ1417">
        <v>25</v>
      </c>
      <c r="JK1417">
        <v>1117</v>
      </c>
      <c r="JL1417" t="s">
        <v>3939</v>
      </c>
      <c r="JN1417" s="1">
        <v>40688</v>
      </c>
      <c r="JO1417">
        <v>2010</v>
      </c>
      <c r="JP1417">
        <v>3578.37</v>
      </c>
      <c r="JQ1417" t="s">
        <v>14412</v>
      </c>
      <c r="JR1417">
        <v>5</v>
      </c>
      <c r="JS1417" t="s">
        <v>424</v>
      </c>
      <c r="JT1417" t="s">
        <v>425</v>
      </c>
      <c r="JV1417">
        <v>22</v>
      </c>
      <c r="JW1417">
        <v>11302</v>
      </c>
      <c r="JX1417" t="s">
        <v>3940</v>
      </c>
    </row>
    <row r="1418" spans="1:296" x14ac:dyDescent="0.25">
      <c r="A1418">
        <v>16486425</v>
      </c>
      <c r="B1418">
        <v>1417</v>
      </c>
      <c r="C1418" t="s">
        <v>393</v>
      </c>
      <c r="D1418" t="s">
        <v>394</v>
      </c>
      <c r="F1418" t="str">
        <f>"51-3N-27-0000-0030-0030"</f>
        <v>51-3N-27-0000-0030-0030</v>
      </c>
      <c r="H1418" t="str">
        <f>"HICKOX LOIS P EST"</f>
        <v>HICKOX LOIS P EST</v>
      </c>
      <c r="I1418" t="str">
        <f>"P O BOX 40"</f>
        <v>P O BOX 40</v>
      </c>
      <c r="J1418" t="str">
        <f>"YULEE FL 32041"</f>
        <v>YULEE FL 32041</v>
      </c>
      <c r="K1418" t="str">
        <f>"86102 HICKOX RD"</f>
        <v>86102 HICKOX RD</v>
      </c>
      <c r="L1418" t="str">
        <f t="shared" si="491"/>
        <v>YULEE FL 32097</v>
      </c>
      <c r="M1418" t="str">
        <f>"IN OR 51 PG 75 R334035 &amp; 334036"</f>
        <v>IN OR 51 PG 75 R334035 &amp; 334036</v>
      </c>
      <c r="N1418" t="str">
        <f>""</f>
        <v/>
      </c>
      <c r="O1418" t="str">
        <f>"55001"</f>
        <v>55001</v>
      </c>
      <c r="P1418" t="str">
        <f t="shared" si="494"/>
        <v>2017</v>
      </c>
      <c r="Q1418" t="str">
        <f>""</f>
        <v/>
      </c>
      <c r="R1418" t="str">
        <f>"N"</f>
        <v>N</v>
      </c>
      <c r="S1418" t="str">
        <f>"1.00"</f>
        <v>1.00</v>
      </c>
      <c r="T1418" t="str">
        <f>"569.21"</f>
        <v>569.21</v>
      </c>
      <c r="U1418" t="str">
        <f>"37600.00"</f>
        <v>37600.00</v>
      </c>
      <c r="V1418" t="str">
        <f>"37600.00"</f>
        <v>37600.00</v>
      </c>
      <c r="W1418" t="str">
        <f t="shared" si="495"/>
        <v>2017</v>
      </c>
      <c r="X1418" t="str">
        <f>"9.00"</f>
        <v>9.00</v>
      </c>
      <c r="Y1418" t="str">
        <f>"618.29"</f>
        <v>618.29</v>
      </c>
      <c r="Z1418" t="str">
        <f>""</f>
        <v/>
      </c>
      <c r="AA1418" t="str">
        <f>"37600.00"</f>
        <v>37600.00</v>
      </c>
      <c r="AB1418" t="str">
        <f t="shared" ref="AB1418:AB1437" si="496">"Residential"</f>
        <v>Residential</v>
      </c>
      <c r="AC1418" t="str">
        <f t="shared" si="475"/>
        <v>0</v>
      </c>
      <c r="AD1418" t="str">
        <f>"4"</f>
        <v>4</v>
      </c>
      <c r="AE1418" t="str">
        <f>"WOOD (INCLUDE STEEL STUDS)"</f>
        <v>WOOD (INCLUDE STEEL STUDS)</v>
      </c>
      <c r="AF1418" t="str">
        <f>"002"</f>
        <v>002</v>
      </c>
      <c r="AG1418" t="str">
        <f t="shared" ref="AG1418:AG1444" si="497">"FL"</f>
        <v>FL</v>
      </c>
      <c r="AH1418" t="str">
        <f>"43560.00"</f>
        <v>43560.00</v>
      </c>
      <c r="AI1418" t="str">
        <f>"17500.00"</f>
        <v>17500.00</v>
      </c>
      <c r="AJ1418" t="str">
        <f>"C55-000-588-7312-6"</f>
        <v>C55-000-588-7312-6</v>
      </c>
      <c r="AK1418" t="str">
        <f>"23959"</f>
        <v>23959</v>
      </c>
      <c r="AL1418">
        <v>5</v>
      </c>
      <c r="AM1418">
        <v>1622</v>
      </c>
      <c r="AN1418">
        <v>647.6</v>
      </c>
      <c r="AQ1418" t="s">
        <v>14413</v>
      </c>
      <c r="AR1418" t="s">
        <v>14413</v>
      </c>
      <c r="AS1418" t="s">
        <v>14413</v>
      </c>
      <c r="AU1418" t="s">
        <v>396</v>
      </c>
      <c r="AV1418">
        <v>2017</v>
      </c>
      <c r="AW1418" t="str">
        <f>"51-3N-27-0000-0030-0030 "</f>
        <v xml:space="preserve">51-3N-27-0000-0030-0030 </v>
      </c>
      <c r="AX1418">
        <v>86102</v>
      </c>
      <c r="AZ1418" t="s">
        <v>10430</v>
      </c>
      <c r="BA1418" t="s">
        <v>496</v>
      </c>
      <c r="BD1418" t="s">
        <v>2387</v>
      </c>
      <c r="BE1418" t="s">
        <v>393</v>
      </c>
      <c r="BF1418">
        <v>32097</v>
      </c>
      <c r="BG1418" t="s">
        <v>14414</v>
      </c>
      <c r="BH1418" t="s">
        <v>2388</v>
      </c>
      <c r="BI1418">
        <v>-81.599433963560003</v>
      </c>
      <c r="BJ1418">
        <v>30.6333150327754</v>
      </c>
      <c r="BK1418" t="s">
        <v>14415</v>
      </c>
      <c r="BM1418" t="s">
        <v>5871</v>
      </c>
      <c r="BN1418" t="s">
        <v>1778</v>
      </c>
      <c r="BO1418">
        <v>32041</v>
      </c>
      <c r="BP1418" t="s">
        <v>404</v>
      </c>
      <c r="BQ1418">
        <v>200</v>
      </c>
      <c r="BR1418" t="s">
        <v>405</v>
      </c>
      <c r="BS1418">
        <v>1006</v>
      </c>
      <c r="BT1418" t="s">
        <v>406</v>
      </c>
      <c r="BW1418">
        <v>43560</v>
      </c>
      <c r="BX1418" t="s">
        <v>407</v>
      </c>
      <c r="BY1418" t="s">
        <v>4413</v>
      </c>
      <c r="BZ1418">
        <v>4</v>
      </c>
      <c r="CA1418">
        <v>1974</v>
      </c>
      <c r="CB1418">
        <v>1</v>
      </c>
      <c r="CC1418">
        <v>1</v>
      </c>
      <c r="CD1418">
        <v>2017</v>
      </c>
      <c r="CE1418">
        <v>17500</v>
      </c>
      <c r="CF1418">
        <v>20100</v>
      </c>
      <c r="CG1418">
        <v>37600</v>
      </c>
      <c r="CH1418">
        <v>2017</v>
      </c>
      <c r="CI1418">
        <v>17500</v>
      </c>
      <c r="CJ1418">
        <v>20100</v>
      </c>
      <c r="CK1418">
        <v>37600</v>
      </c>
      <c r="CL1418">
        <v>2017</v>
      </c>
      <c r="CM1418">
        <v>569.21</v>
      </c>
      <c r="DD1418" t="s">
        <v>2387</v>
      </c>
      <c r="DG1418">
        <v>51</v>
      </c>
      <c r="DL1418">
        <v>50302</v>
      </c>
      <c r="DM1418" t="s">
        <v>14357</v>
      </c>
      <c r="DO1418" t="s">
        <v>14416</v>
      </c>
      <c r="DP1418">
        <v>0</v>
      </c>
      <c r="DQ1418">
        <v>6</v>
      </c>
      <c r="DR1418" t="s">
        <v>1479</v>
      </c>
      <c r="EP1418" t="s">
        <v>595</v>
      </c>
      <c r="EQ1418" t="s">
        <v>422</v>
      </c>
      <c r="ER1418">
        <v>0</v>
      </c>
      <c r="ES1418">
        <v>2</v>
      </c>
      <c r="ET1418">
        <v>0</v>
      </c>
      <c r="EU1418">
        <v>0</v>
      </c>
      <c r="EV1418">
        <v>0</v>
      </c>
      <c r="EW1418" s="2">
        <v>43222</v>
      </c>
      <c r="EX1418" s="1">
        <v>42515</v>
      </c>
      <c r="EY1418">
        <v>2015</v>
      </c>
      <c r="EZ1418">
        <v>119.25</v>
      </c>
      <c r="FA1418" t="s">
        <v>14417</v>
      </c>
      <c r="FB1418">
        <v>18</v>
      </c>
      <c r="FC1418" t="s">
        <v>603</v>
      </c>
      <c r="FD1418" t="s">
        <v>425</v>
      </c>
      <c r="FF1418">
        <v>22</v>
      </c>
      <c r="FG1418">
        <v>9999999</v>
      </c>
      <c r="FH1418" t="s">
        <v>604</v>
      </c>
      <c r="FJ1418" s="1">
        <v>42515</v>
      </c>
      <c r="FK1418">
        <v>2015</v>
      </c>
      <c r="FL1418">
        <v>136.22999999999999</v>
      </c>
      <c r="FM1418" t="s">
        <v>14417</v>
      </c>
      <c r="FN1418">
        <v>18</v>
      </c>
      <c r="FO1418" t="s">
        <v>424</v>
      </c>
      <c r="FP1418" t="s">
        <v>425</v>
      </c>
      <c r="FQ1418" s="1">
        <v>42779</v>
      </c>
      <c r="FR1418">
        <v>9</v>
      </c>
      <c r="FS1418">
        <v>4844964</v>
      </c>
      <c r="FT1418" t="s">
        <v>1788</v>
      </c>
    </row>
    <row r="1419" spans="1:296" x14ac:dyDescent="0.25">
      <c r="A1419">
        <v>16486426</v>
      </c>
      <c r="B1419">
        <v>1418</v>
      </c>
      <c r="C1419" t="s">
        <v>393</v>
      </c>
      <c r="D1419" t="s">
        <v>394</v>
      </c>
      <c r="F1419" t="str">
        <f>"51-3N-27-0000-0037-0060"</f>
        <v>51-3N-27-0000-0037-0060</v>
      </c>
      <c r="H1419" t="str">
        <f>"GRAVES CHARLOTTE"</f>
        <v>GRAVES CHARLOTTE</v>
      </c>
      <c r="I1419" t="str">
        <f>"86190 PAGES DAIRY ROAD"</f>
        <v>86190 PAGES DAIRY ROAD</v>
      </c>
      <c r="J1419" t="str">
        <f>"YULEE FL 32097"</f>
        <v>YULEE FL 32097</v>
      </c>
      <c r="K1419" t="str">
        <f>"86190 PAGES DAIRY RD"</f>
        <v>86190 PAGES DAIRY RD</v>
      </c>
      <c r="L1419" t="str">
        <f t="shared" si="491"/>
        <v>YULEE FL 32097</v>
      </c>
      <c r="M1419" t="str">
        <f>"PT JOHN LOWE MILL GRANT SEC 51-3N-27E IN OR 1515/281 {1998 JACO TW/MH)"</f>
        <v>PT JOHN LOWE MILL GRANT SEC 51-3N-27E IN OR 1515/281 {1998 JACO TW/MH)</v>
      </c>
      <c r="N1419" t="str">
        <f>""</f>
        <v/>
      </c>
      <c r="O1419" t="str">
        <f>"55020"</f>
        <v>55020</v>
      </c>
      <c r="P1419" t="str">
        <f t="shared" si="494"/>
        <v>2017</v>
      </c>
      <c r="Q1419" t="str">
        <f>""</f>
        <v/>
      </c>
      <c r="R1419" t="str">
        <f>"Y"</f>
        <v>Y</v>
      </c>
      <c r="S1419" t="str">
        <f>"2.83"</f>
        <v>2.83</v>
      </c>
      <c r="T1419" t="str">
        <f>"668.59"</f>
        <v>668.59</v>
      </c>
      <c r="U1419" t="str">
        <f>"83768.00"</f>
        <v>83768.00</v>
      </c>
      <c r="V1419" t="str">
        <f>"83768.00"</f>
        <v>83768.00</v>
      </c>
      <c r="W1419" t="str">
        <f t="shared" si="495"/>
        <v>2017</v>
      </c>
      <c r="X1419" t="str">
        <f>""</f>
        <v/>
      </c>
      <c r="Y1419" t="str">
        <f>"720.65"</f>
        <v>720.65</v>
      </c>
      <c r="Z1419" t="str">
        <f>"25500.00"</f>
        <v>25500.00</v>
      </c>
      <c r="AA1419" t="str">
        <f>"58268.00"</f>
        <v>58268.00</v>
      </c>
      <c r="AB1419" t="str">
        <f t="shared" si="496"/>
        <v>Residential</v>
      </c>
      <c r="AC1419" t="str">
        <f t="shared" si="475"/>
        <v>0</v>
      </c>
      <c r="AD1419" t="str">
        <f>"4"</f>
        <v>4</v>
      </c>
      <c r="AE1419" t="str">
        <f>"WOOD (INCLUDE STEEL STUDS)"</f>
        <v>WOOD (INCLUDE STEEL STUDS)</v>
      </c>
      <c r="AF1419" t="str">
        <f>"002"</f>
        <v>002</v>
      </c>
      <c r="AG1419" t="str">
        <f t="shared" si="497"/>
        <v>FL</v>
      </c>
      <c r="AH1419" t="str">
        <f>"123274.00"</f>
        <v>123274.00</v>
      </c>
      <c r="AI1419" t="str">
        <f>"42450.00"</f>
        <v>42450.00</v>
      </c>
      <c r="AJ1419" t="str">
        <f>"C55-000-588-7330-8"</f>
        <v>C55-000-588-7330-8</v>
      </c>
      <c r="AK1419" t="str">
        <f>"23977"</f>
        <v>23977</v>
      </c>
      <c r="AL1419">
        <v>5</v>
      </c>
      <c r="AM1419">
        <v>1623</v>
      </c>
      <c r="AN1419">
        <v>755.08</v>
      </c>
      <c r="AQ1419" t="s">
        <v>14418</v>
      </c>
      <c r="AR1419" t="s">
        <v>14418</v>
      </c>
      <c r="AS1419" t="s">
        <v>14418</v>
      </c>
      <c r="AU1419" t="s">
        <v>396</v>
      </c>
      <c r="AV1419">
        <v>2017</v>
      </c>
      <c r="AW1419" t="str">
        <f>"51-3N-27-0000-0037-0060 "</f>
        <v xml:space="preserve">51-3N-27-0000-0037-0060 </v>
      </c>
      <c r="AX1419">
        <v>86190</v>
      </c>
      <c r="AZ1419" t="s">
        <v>14342</v>
      </c>
      <c r="BA1419" t="s">
        <v>496</v>
      </c>
      <c r="BD1419" t="s">
        <v>2387</v>
      </c>
      <c r="BE1419" t="s">
        <v>393</v>
      </c>
      <c r="BF1419">
        <v>32097</v>
      </c>
      <c r="BG1419" t="s">
        <v>14419</v>
      </c>
      <c r="BH1419" t="s">
        <v>2388</v>
      </c>
      <c r="BI1419">
        <v>-81.5941357597154</v>
      </c>
      <c r="BJ1419">
        <v>30.638442042648698</v>
      </c>
      <c r="BK1419" t="s">
        <v>14420</v>
      </c>
      <c r="BL1419" t="s">
        <v>14421</v>
      </c>
      <c r="BM1419" t="s">
        <v>14419</v>
      </c>
      <c r="BN1419" t="s">
        <v>1778</v>
      </c>
      <c r="BO1419">
        <v>32097</v>
      </c>
      <c r="BP1419" t="s">
        <v>416</v>
      </c>
      <c r="BQ1419">
        <v>200</v>
      </c>
      <c r="BR1419" t="s">
        <v>405</v>
      </c>
      <c r="BS1419">
        <v>1006</v>
      </c>
      <c r="BT1419" t="s">
        <v>406</v>
      </c>
      <c r="BW1419">
        <v>123274</v>
      </c>
      <c r="BX1419" t="s">
        <v>407</v>
      </c>
      <c r="BZ1419">
        <v>4</v>
      </c>
      <c r="CA1419">
        <v>1998</v>
      </c>
      <c r="CB1419">
        <v>1</v>
      </c>
      <c r="CC1419">
        <v>1</v>
      </c>
      <c r="CD1419">
        <v>2017</v>
      </c>
      <c r="CG1419">
        <v>83768</v>
      </c>
      <c r="CH1419">
        <v>2017</v>
      </c>
      <c r="CI1419">
        <v>42450</v>
      </c>
      <c r="CJ1419">
        <v>48782</v>
      </c>
      <c r="CK1419">
        <v>91232</v>
      </c>
      <c r="CL1419">
        <v>2017</v>
      </c>
      <c r="CM1419">
        <v>668.59</v>
      </c>
      <c r="CN1419" s="1">
        <v>38439</v>
      </c>
      <c r="CO1419">
        <v>110000</v>
      </c>
      <c r="CV1419">
        <v>0</v>
      </c>
      <c r="CZ1419" s="1">
        <v>38439</v>
      </c>
      <c r="DA1419">
        <v>0</v>
      </c>
      <c r="DD1419" t="s">
        <v>2387</v>
      </c>
      <c r="DG1419">
        <v>51</v>
      </c>
      <c r="DL1419">
        <v>50302</v>
      </c>
      <c r="DM1419" t="s">
        <v>14357</v>
      </c>
      <c r="DO1419" t="s">
        <v>14422</v>
      </c>
      <c r="DP1419">
        <v>0</v>
      </c>
      <c r="DQ1419">
        <v>1</v>
      </c>
      <c r="DR1419" t="s">
        <v>411</v>
      </c>
    </row>
    <row r="1420" spans="1:296" x14ac:dyDescent="0.25">
      <c r="A1420">
        <v>16486427</v>
      </c>
      <c r="B1420">
        <v>1419</v>
      </c>
      <c r="C1420" t="s">
        <v>393</v>
      </c>
      <c r="D1420" t="s">
        <v>394</v>
      </c>
      <c r="F1420" t="str">
        <f>"51-3N-27-0000-0044-0030"</f>
        <v>51-3N-27-0000-0044-0030</v>
      </c>
      <c r="H1420" t="str">
        <f>"RAINEY LUCILLE ESTATE C/O CAMEIL S JOHNSON"</f>
        <v>RAINEY LUCILLE ESTATE C/O CAMEIL S JOHNSON</v>
      </c>
      <c r="I1420" t="str">
        <f>"86013 CHARMED WAY"</f>
        <v>86013 CHARMED WAY</v>
      </c>
      <c r="J1420" t="str">
        <f>"YULEE FL 32097"</f>
        <v>YULEE FL 32097</v>
      </c>
      <c r="K1420" t="str">
        <f>"86013 CHARMED WAY"</f>
        <v>86013 CHARMED WAY</v>
      </c>
      <c r="L1420" t="str">
        <f t="shared" si="491"/>
        <v>YULEE FL 32097</v>
      </c>
      <c r="M1420" t="str">
        <f>"PT JOHN LOWE MILL GRANT SEC 51-3N-27E IN OR 284/570 (EX PT IN OR 729/184)"</f>
        <v>PT JOHN LOWE MILL GRANT SEC 51-3N-27E IN OR 284/570 (EX PT IN OR 729/184)</v>
      </c>
      <c r="N1420" t="str">
        <f>""</f>
        <v/>
      </c>
      <c r="O1420" t="str">
        <f>"55043"</f>
        <v>55043</v>
      </c>
      <c r="P1420" t="str">
        <f t="shared" si="494"/>
        <v>2017</v>
      </c>
      <c r="Q1420" t="str">
        <f>""</f>
        <v/>
      </c>
      <c r="R1420" t="str">
        <f t="shared" ref="R1420:R1425" si="498">"N"</f>
        <v>N</v>
      </c>
      <c r="S1420" t="str">
        <f>""</f>
        <v/>
      </c>
      <c r="T1420" t="str">
        <f>"477.07"</f>
        <v>477.07</v>
      </c>
      <c r="U1420" t="str">
        <f>"31513.00"</f>
        <v>31513.00</v>
      </c>
      <c r="V1420" t="str">
        <f>"31513.00"</f>
        <v>31513.00</v>
      </c>
      <c r="W1420" t="str">
        <f t="shared" si="495"/>
        <v>2017</v>
      </c>
      <c r="X1420" t="str">
        <f>"27.44"</f>
        <v>27.44</v>
      </c>
      <c r="Y1420" t="str">
        <f>"523.38"</f>
        <v>523.38</v>
      </c>
      <c r="Z1420" t="str">
        <f>""</f>
        <v/>
      </c>
      <c r="AA1420" t="str">
        <f>"31513.00"</f>
        <v>31513.00</v>
      </c>
      <c r="AB1420" t="str">
        <f t="shared" si="496"/>
        <v>Residential</v>
      </c>
      <c r="AC1420" t="str">
        <f t="shared" si="475"/>
        <v>0</v>
      </c>
      <c r="AD1420" t="str">
        <f>"4"</f>
        <v>4</v>
      </c>
      <c r="AE1420" t="str">
        <f>"WOOD (INCLUDE STEEL STUDS)"</f>
        <v>WOOD (INCLUDE STEEL STUDS)</v>
      </c>
      <c r="AF1420" t="str">
        <f>"001"</f>
        <v>001</v>
      </c>
      <c r="AG1420" t="str">
        <f t="shared" si="497"/>
        <v>FL</v>
      </c>
      <c r="AH1420" t="str">
        <f>"5750.00"</f>
        <v>5750.00</v>
      </c>
      <c r="AI1420" t="str">
        <f>"8750.00"</f>
        <v>8750.00</v>
      </c>
      <c r="AJ1420" t="str">
        <f>"C55-000-588-7344-9"</f>
        <v>C55-000-588-7344-9</v>
      </c>
      <c r="AK1420" t="str">
        <f>"24003"</f>
        <v>24003</v>
      </c>
      <c r="AL1420">
        <v>5</v>
      </c>
      <c r="AM1420">
        <v>1624</v>
      </c>
      <c r="AN1420">
        <v>547.95000000000005</v>
      </c>
      <c r="AQ1420" t="s">
        <v>14423</v>
      </c>
      <c r="AR1420" t="s">
        <v>14423</v>
      </c>
      <c r="AS1420" t="s">
        <v>14423</v>
      </c>
      <c r="AU1420" t="s">
        <v>396</v>
      </c>
      <c r="AV1420">
        <v>2017</v>
      </c>
      <c r="AW1420" t="str">
        <f>"51-3N-27-0000-0044-0030 "</f>
        <v xml:space="preserve">51-3N-27-0000-0044-0030 </v>
      </c>
      <c r="AX1420">
        <v>86013</v>
      </c>
      <c r="AZ1420" t="s">
        <v>14424</v>
      </c>
      <c r="BA1420" t="s">
        <v>866</v>
      </c>
      <c r="BD1420" t="s">
        <v>2387</v>
      </c>
      <c r="BE1420" t="s">
        <v>393</v>
      </c>
      <c r="BF1420">
        <v>32097</v>
      </c>
      <c r="BG1420" t="s">
        <v>14425</v>
      </c>
      <c r="BH1420" t="s">
        <v>2388</v>
      </c>
      <c r="BI1420">
        <v>-81.598254092742295</v>
      </c>
      <c r="BJ1420">
        <v>30.632295426807602</v>
      </c>
      <c r="BK1420" t="s">
        <v>14426</v>
      </c>
      <c r="BM1420" t="s">
        <v>14425</v>
      </c>
      <c r="BN1420" t="s">
        <v>1778</v>
      </c>
      <c r="BO1420">
        <v>32097</v>
      </c>
      <c r="BP1420" t="s">
        <v>416</v>
      </c>
      <c r="BQ1420">
        <v>100</v>
      </c>
      <c r="BR1420" t="s">
        <v>514</v>
      </c>
      <c r="BS1420">
        <v>1001</v>
      </c>
      <c r="BT1420" t="s">
        <v>515</v>
      </c>
      <c r="BU1420">
        <v>500</v>
      </c>
      <c r="BV1420">
        <v>1150</v>
      </c>
      <c r="BW1420">
        <v>6022</v>
      </c>
      <c r="BX1420" t="s">
        <v>407</v>
      </c>
      <c r="BY1420" t="s">
        <v>2221</v>
      </c>
      <c r="BZ1420">
        <v>4</v>
      </c>
      <c r="CA1420">
        <v>1961</v>
      </c>
      <c r="CB1420">
        <v>1</v>
      </c>
      <c r="CC1420">
        <v>1</v>
      </c>
      <c r="CD1420">
        <v>2017</v>
      </c>
      <c r="CE1420">
        <v>8750</v>
      </c>
      <c r="CF1420">
        <v>22763</v>
      </c>
      <c r="CG1420">
        <v>31513</v>
      </c>
      <c r="CH1420">
        <v>2017</v>
      </c>
      <c r="CI1420">
        <v>8750</v>
      </c>
      <c r="CJ1420">
        <v>22763</v>
      </c>
      <c r="CK1420">
        <v>31513</v>
      </c>
      <c r="CL1420">
        <v>2017</v>
      </c>
      <c r="CM1420">
        <v>477.07</v>
      </c>
      <c r="CN1420" s="1">
        <v>33298</v>
      </c>
      <c r="CZ1420" s="1">
        <v>33298</v>
      </c>
      <c r="DD1420" t="s">
        <v>2387</v>
      </c>
      <c r="DG1420">
        <v>51</v>
      </c>
      <c r="DL1420">
        <v>50302</v>
      </c>
      <c r="DM1420" t="s">
        <v>14357</v>
      </c>
      <c r="DO1420" t="s">
        <v>14427</v>
      </c>
      <c r="DP1420">
        <v>0</v>
      </c>
      <c r="DQ1420">
        <v>4</v>
      </c>
      <c r="DR1420" t="s">
        <v>1479</v>
      </c>
      <c r="DS1420" t="b">
        <v>1</v>
      </c>
      <c r="DT1420" t="s">
        <v>470</v>
      </c>
      <c r="DU1420" t="s">
        <v>471</v>
      </c>
      <c r="DV1420" t="s">
        <v>472</v>
      </c>
      <c r="DX1420">
        <v>-9999</v>
      </c>
      <c r="DZ1420" t="s">
        <v>447</v>
      </c>
      <c r="EA1420" t="s">
        <v>448</v>
      </c>
      <c r="EB1420" t="s">
        <v>742</v>
      </c>
      <c r="EC1420">
        <v>20101217</v>
      </c>
      <c r="ED1420" t="s">
        <v>474</v>
      </c>
      <c r="EF1420">
        <v>3910.7</v>
      </c>
      <c r="EG1420">
        <v>3910.7</v>
      </c>
      <c r="EI1420">
        <v>20160407</v>
      </c>
      <c r="EJ1420">
        <v>0</v>
      </c>
      <c r="EK1420">
        <v>0</v>
      </c>
      <c r="EP1420" t="s">
        <v>421</v>
      </c>
      <c r="EQ1420" t="s">
        <v>452</v>
      </c>
      <c r="ER1420">
        <v>0</v>
      </c>
      <c r="ES1420">
        <v>8</v>
      </c>
      <c r="ET1420">
        <v>0</v>
      </c>
      <c r="EU1420">
        <v>0</v>
      </c>
      <c r="EV1420">
        <v>0</v>
      </c>
      <c r="EW1420" s="2">
        <v>43222</v>
      </c>
      <c r="EX1420" s="1">
        <v>42515</v>
      </c>
      <c r="EY1420">
        <v>2015</v>
      </c>
      <c r="EZ1420">
        <v>566.09</v>
      </c>
      <c r="FA1420" t="s">
        <v>14428</v>
      </c>
      <c r="FB1420">
        <v>0.25</v>
      </c>
      <c r="FC1420" t="s">
        <v>424</v>
      </c>
      <c r="FD1420" t="s">
        <v>425</v>
      </c>
      <c r="FE1420" s="1">
        <v>43194</v>
      </c>
      <c r="FF1420">
        <v>23</v>
      </c>
      <c r="FG1420">
        <v>2851116</v>
      </c>
      <c r="FH1420" t="s">
        <v>480</v>
      </c>
      <c r="FJ1420" s="1">
        <v>42515</v>
      </c>
      <c r="FK1420">
        <v>2015</v>
      </c>
      <c r="FL1420">
        <v>566.09</v>
      </c>
      <c r="FM1420" t="s">
        <v>14428</v>
      </c>
      <c r="FN1420">
        <v>0.25</v>
      </c>
      <c r="FO1420" t="s">
        <v>424</v>
      </c>
      <c r="FP1420" t="s">
        <v>425</v>
      </c>
      <c r="FR1420">
        <v>22</v>
      </c>
      <c r="FS1420">
        <v>4991252</v>
      </c>
      <c r="FT1420" t="s">
        <v>14429</v>
      </c>
      <c r="FV1420" s="1">
        <v>42151</v>
      </c>
      <c r="FW1420">
        <v>2014</v>
      </c>
      <c r="FX1420">
        <v>537.78</v>
      </c>
      <c r="FY1420" t="s">
        <v>14430</v>
      </c>
      <c r="FZ1420">
        <v>2.5</v>
      </c>
      <c r="GA1420" t="s">
        <v>424</v>
      </c>
      <c r="GB1420" t="s">
        <v>425</v>
      </c>
      <c r="GC1420" s="1">
        <v>42256</v>
      </c>
      <c r="GD1420">
        <v>4</v>
      </c>
      <c r="GE1420">
        <v>15399</v>
      </c>
      <c r="GF1420" t="s">
        <v>485</v>
      </c>
      <c r="GG1420" t="s">
        <v>458</v>
      </c>
      <c r="GH1420" s="1">
        <v>42151</v>
      </c>
      <c r="GI1420">
        <v>2014</v>
      </c>
      <c r="GJ1420">
        <v>537.78</v>
      </c>
      <c r="GK1420" t="s">
        <v>14430</v>
      </c>
      <c r="GL1420">
        <v>2.5</v>
      </c>
      <c r="GM1420" t="s">
        <v>424</v>
      </c>
      <c r="GN1420" t="s">
        <v>425</v>
      </c>
      <c r="GP1420">
        <v>22</v>
      </c>
      <c r="GQ1420">
        <v>7045016</v>
      </c>
      <c r="GR1420" t="s">
        <v>4403</v>
      </c>
      <c r="GS1420" t="s">
        <v>458</v>
      </c>
      <c r="GT1420" s="1">
        <v>41787</v>
      </c>
      <c r="GU1420">
        <v>2013</v>
      </c>
      <c r="GV1420">
        <v>485.4</v>
      </c>
      <c r="GW1420" t="s">
        <v>14431</v>
      </c>
      <c r="GX1420">
        <v>2.75</v>
      </c>
      <c r="GY1420" t="s">
        <v>424</v>
      </c>
      <c r="GZ1420" t="s">
        <v>425</v>
      </c>
      <c r="HB1420">
        <v>22</v>
      </c>
      <c r="HC1420">
        <v>10125</v>
      </c>
      <c r="HD1420" t="s">
        <v>440</v>
      </c>
      <c r="HE1420" t="s">
        <v>458</v>
      </c>
      <c r="HF1420" s="1">
        <v>41423</v>
      </c>
      <c r="HG1420">
        <v>2012</v>
      </c>
      <c r="HH1420">
        <v>493.37</v>
      </c>
      <c r="HI1420" t="s">
        <v>14432</v>
      </c>
      <c r="HJ1420">
        <v>3.5</v>
      </c>
      <c r="HK1420" t="s">
        <v>424</v>
      </c>
      <c r="HL1420" t="s">
        <v>425</v>
      </c>
      <c r="HN1420">
        <v>22</v>
      </c>
      <c r="HO1420">
        <v>10125</v>
      </c>
      <c r="HP1420" t="s">
        <v>440</v>
      </c>
      <c r="HQ1420" t="s">
        <v>458</v>
      </c>
      <c r="HR1420" s="1">
        <v>41052</v>
      </c>
      <c r="HS1420">
        <v>2011</v>
      </c>
      <c r="HT1420">
        <v>516.66999999999996</v>
      </c>
      <c r="HU1420" t="s">
        <v>14433</v>
      </c>
      <c r="HV1420">
        <v>6</v>
      </c>
      <c r="HW1420" t="s">
        <v>424</v>
      </c>
      <c r="HX1420" t="s">
        <v>425</v>
      </c>
      <c r="HY1420" s="1">
        <v>42256</v>
      </c>
      <c r="HZ1420">
        <v>40</v>
      </c>
      <c r="IA1420">
        <v>375</v>
      </c>
      <c r="IB1420" t="s">
        <v>776</v>
      </c>
      <c r="IC1420" t="s">
        <v>458</v>
      </c>
      <c r="ID1420" s="1">
        <v>40688</v>
      </c>
      <c r="IE1420">
        <v>2010</v>
      </c>
      <c r="IF1420">
        <v>520.67999999999995</v>
      </c>
      <c r="IG1420" t="s">
        <v>14434</v>
      </c>
      <c r="IH1420">
        <v>5</v>
      </c>
      <c r="II1420" t="s">
        <v>424</v>
      </c>
      <c r="IJ1420" t="s">
        <v>425</v>
      </c>
      <c r="IK1420" s="1">
        <v>41529</v>
      </c>
      <c r="IL1420">
        <v>28</v>
      </c>
      <c r="IM1420">
        <v>10003</v>
      </c>
      <c r="IN1420" t="s">
        <v>4341</v>
      </c>
    </row>
    <row r="1421" spans="1:296" x14ac:dyDescent="0.25">
      <c r="A1421">
        <v>16486428</v>
      </c>
      <c r="B1421">
        <v>1420</v>
      </c>
      <c r="C1421" t="s">
        <v>393</v>
      </c>
      <c r="D1421" t="s">
        <v>394</v>
      </c>
      <c r="F1421" t="str">
        <f>"51-3N-27-0000-0053-0010"</f>
        <v>51-3N-27-0000-0053-0010</v>
      </c>
      <c r="H1421" t="str">
        <f>"BLAKE CHRIS &amp; RHONDA"</f>
        <v>BLAKE CHRIS &amp; RHONDA</v>
      </c>
      <c r="I1421" t="str">
        <f>"97289 PIRATES POINT ROAD"</f>
        <v>97289 PIRATES POINT ROAD</v>
      </c>
      <c r="J1421" t="str">
        <f>"YULEE FL 32097"</f>
        <v>YULEE FL 32097</v>
      </c>
      <c r="K1421" t="str">
        <f>"86033 WAYLON ST"</f>
        <v>86033 WAYLON ST</v>
      </c>
      <c r="L1421" t="str">
        <f t="shared" si="491"/>
        <v>YULEE FL 32097</v>
      </c>
      <c r="M1421" t="str">
        <f>"IN OR 1439/1004 ESMT OR 200/633"</f>
        <v>IN OR 1439/1004 ESMT OR 200/633</v>
      </c>
      <c r="N1421" t="str">
        <f>""</f>
        <v/>
      </c>
      <c r="O1421" t="str">
        <f>"55064"</f>
        <v>55064</v>
      </c>
      <c r="P1421" t="str">
        <f t="shared" si="494"/>
        <v>2017</v>
      </c>
      <c r="Q1421" t="str">
        <f>""</f>
        <v/>
      </c>
      <c r="R1421" t="str">
        <f t="shared" si="498"/>
        <v>N</v>
      </c>
      <c r="S1421" t="str">
        <f>"1.00"</f>
        <v>1.00</v>
      </c>
      <c r="T1421" t="str">
        <f>"1348.34"</f>
        <v>1348.34</v>
      </c>
      <c r="U1421" t="str">
        <f>"89065.00"</f>
        <v>89065.00</v>
      </c>
      <c r="V1421" t="str">
        <f>"89065.00"</f>
        <v>89065.00</v>
      </c>
      <c r="W1421" t="str">
        <f t="shared" si="495"/>
        <v>2017</v>
      </c>
      <c r="X1421" t="str">
        <f>"4.38"</f>
        <v>4.38</v>
      </c>
      <c r="Y1421" t="str">
        <f>"1420.79"</f>
        <v>1420.79</v>
      </c>
      <c r="Z1421" t="str">
        <f>""</f>
        <v/>
      </c>
      <c r="AA1421" t="str">
        <f>"89065.00"</f>
        <v>89065.00</v>
      </c>
      <c r="AB1421" t="str">
        <f t="shared" si="496"/>
        <v>Residential</v>
      </c>
      <c r="AC1421" t="str">
        <f t="shared" si="475"/>
        <v>0</v>
      </c>
      <c r="AD1421" t="str">
        <f>"4"</f>
        <v>4</v>
      </c>
      <c r="AE1421" t="str">
        <f>"WOOD (INCLUDE STEEL STUDS)"</f>
        <v>WOOD (INCLUDE STEEL STUDS)</v>
      </c>
      <c r="AF1421" t="str">
        <f>"008"</f>
        <v>008</v>
      </c>
      <c r="AG1421" t="str">
        <f t="shared" si="497"/>
        <v>FL</v>
      </c>
      <c r="AH1421" t="str">
        <f>"43560.00"</f>
        <v>43560.00</v>
      </c>
      <c r="AI1421" t="str">
        <f>"18750.00"</f>
        <v>18750.00</v>
      </c>
      <c r="AJ1421" t="str">
        <f>"C55-000-588-7365-4"</f>
        <v>C55-000-588-7365-4</v>
      </c>
      <c r="AK1421" t="str">
        <f>"24023"</f>
        <v>24023</v>
      </c>
      <c r="AL1421">
        <v>5</v>
      </c>
      <c r="AM1421">
        <v>1625</v>
      </c>
      <c r="AN1421">
        <v>1490.23</v>
      </c>
      <c r="AQ1421" t="s">
        <v>14435</v>
      </c>
      <c r="AR1421" t="s">
        <v>14435</v>
      </c>
      <c r="AS1421" t="s">
        <v>14435</v>
      </c>
      <c r="AU1421" t="s">
        <v>396</v>
      </c>
      <c r="AV1421">
        <v>2017</v>
      </c>
      <c r="AW1421" t="str">
        <f>"51-3N-27-0000-0053-0010 "</f>
        <v xml:space="preserve">51-3N-27-0000-0053-0010 </v>
      </c>
      <c r="AX1421">
        <v>86033</v>
      </c>
      <c r="AZ1421" t="s">
        <v>14436</v>
      </c>
      <c r="BA1421" t="s">
        <v>1942</v>
      </c>
      <c r="BD1421" t="s">
        <v>2387</v>
      </c>
      <c r="BE1421" t="s">
        <v>393</v>
      </c>
      <c r="BF1421">
        <v>32097</v>
      </c>
      <c r="BG1421" t="s">
        <v>14437</v>
      </c>
      <c r="BH1421" t="s">
        <v>2388</v>
      </c>
      <c r="BI1421">
        <v>-81.582459954875603</v>
      </c>
      <c r="BJ1421">
        <v>30.636264558270501</v>
      </c>
      <c r="BK1421" t="s">
        <v>14438</v>
      </c>
      <c r="BL1421" t="s">
        <v>14439</v>
      </c>
      <c r="BM1421" t="s">
        <v>13466</v>
      </c>
      <c r="BN1421" t="s">
        <v>1778</v>
      </c>
      <c r="BO1421">
        <v>32097</v>
      </c>
      <c r="BP1421" t="s">
        <v>404</v>
      </c>
      <c r="BQ1421">
        <v>800</v>
      </c>
      <c r="BR1421" t="s">
        <v>5126</v>
      </c>
      <c r="BS1421">
        <v>1110</v>
      </c>
      <c r="BT1421" t="s">
        <v>5127</v>
      </c>
      <c r="BW1421">
        <v>43560</v>
      </c>
      <c r="BX1421" t="s">
        <v>407</v>
      </c>
      <c r="BY1421" t="s">
        <v>408</v>
      </c>
      <c r="BZ1421">
        <v>4</v>
      </c>
      <c r="CA1421">
        <v>1975</v>
      </c>
      <c r="CB1421">
        <v>1</v>
      </c>
      <c r="CC1421">
        <v>1</v>
      </c>
      <c r="CD1421">
        <v>2017</v>
      </c>
      <c r="CE1421">
        <v>18750</v>
      </c>
      <c r="CF1421">
        <v>70315</v>
      </c>
      <c r="CG1421">
        <v>89065</v>
      </c>
      <c r="CH1421">
        <v>2017</v>
      </c>
      <c r="CI1421">
        <v>18750</v>
      </c>
      <c r="CJ1421">
        <v>70315</v>
      </c>
      <c r="CK1421">
        <v>89065</v>
      </c>
      <c r="CL1421">
        <v>2017</v>
      </c>
      <c r="CM1421">
        <v>1348.34</v>
      </c>
      <c r="CN1421" s="1">
        <v>38954</v>
      </c>
      <c r="CO1421">
        <v>125000</v>
      </c>
      <c r="CV1421">
        <v>0</v>
      </c>
      <c r="CZ1421" s="1">
        <v>38954</v>
      </c>
      <c r="DA1421">
        <v>0</v>
      </c>
      <c r="DD1421" t="s">
        <v>2387</v>
      </c>
      <c r="DG1421">
        <v>51</v>
      </c>
      <c r="DL1421">
        <v>50302</v>
      </c>
      <c r="DM1421" t="s">
        <v>14357</v>
      </c>
      <c r="DO1421" t="s">
        <v>14440</v>
      </c>
      <c r="DP1421">
        <v>0</v>
      </c>
      <c r="DQ1421">
        <v>0</v>
      </c>
      <c r="DR1421" t="s">
        <v>411</v>
      </c>
      <c r="DS1421" t="b">
        <v>1</v>
      </c>
      <c r="DT1421" t="s">
        <v>470</v>
      </c>
      <c r="DU1421" t="s">
        <v>471</v>
      </c>
      <c r="DV1421" t="s">
        <v>472</v>
      </c>
      <c r="DX1421">
        <v>-9999</v>
      </c>
      <c r="DZ1421" t="s">
        <v>447</v>
      </c>
      <c r="EA1421" t="s">
        <v>448</v>
      </c>
      <c r="EB1421" t="s">
        <v>742</v>
      </c>
      <c r="EC1421">
        <v>20101217</v>
      </c>
      <c r="ED1421" t="s">
        <v>474</v>
      </c>
      <c r="EF1421">
        <v>1810.9</v>
      </c>
      <c r="EG1421">
        <v>1810.9</v>
      </c>
      <c r="EI1421">
        <v>20160407</v>
      </c>
      <c r="EJ1421">
        <v>0</v>
      </c>
      <c r="EK1421">
        <v>0</v>
      </c>
      <c r="EP1421" t="s">
        <v>421</v>
      </c>
      <c r="EQ1421" t="s">
        <v>422</v>
      </c>
      <c r="ER1421">
        <v>0</v>
      </c>
      <c r="ES1421">
        <v>10</v>
      </c>
      <c r="ET1421">
        <v>0</v>
      </c>
      <c r="EU1421">
        <v>0</v>
      </c>
      <c r="EV1421">
        <v>0</v>
      </c>
      <c r="EW1421" s="2">
        <v>43222</v>
      </c>
      <c r="EX1421" s="1">
        <v>42879</v>
      </c>
      <c r="EY1421">
        <v>2016</v>
      </c>
      <c r="EZ1421">
        <v>1461.07</v>
      </c>
      <c r="FA1421" t="s">
        <v>14441</v>
      </c>
      <c r="FB1421">
        <v>0.25</v>
      </c>
      <c r="FC1421" t="s">
        <v>424</v>
      </c>
      <c r="FD1421" t="s">
        <v>425</v>
      </c>
      <c r="FE1421" s="1">
        <v>43075</v>
      </c>
      <c r="FF1421">
        <v>7</v>
      </c>
      <c r="FG1421">
        <v>7336671</v>
      </c>
      <c r="FH1421" t="s">
        <v>437</v>
      </c>
      <c r="FJ1421" s="1">
        <v>42879</v>
      </c>
      <c r="FK1421">
        <v>2016</v>
      </c>
      <c r="FL1421">
        <v>1461.07</v>
      </c>
      <c r="FM1421" t="s">
        <v>14441</v>
      </c>
      <c r="FN1421">
        <v>0.25</v>
      </c>
      <c r="FO1421" t="s">
        <v>424</v>
      </c>
      <c r="FP1421" t="s">
        <v>425</v>
      </c>
      <c r="FR1421">
        <v>22</v>
      </c>
      <c r="FS1421">
        <v>5217352</v>
      </c>
      <c r="FT1421" t="s">
        <v>14442</v>
      </c>
      <c r="FV1421" s="1">
        <v>42515</v>
      </c>
      <c r="FW1421">
        <v>2015</v>
      </c>
      <c r="FX1421">
        <v>1317.71</v>
      </c>
      <c r="FY1421" t="s">
        <v>14443</v>
      </c>
      <c r="FZ1421">
        <v>0.25</v>
      </c>
      <c r="GA1421" t="s">
        <v>424</v>
      </c>
      <c r="GB1421" t="s">
        <v>425</v>
      </c>
      <c r="GC1421" s="1">
        <v>42661</v>
      </c>
      <c r="GD1421">
        <v>5</v>
      </c>
      <c r="GE1421">
        <v>7045074</v>
      </c>
      <c r="GF1421" t="s">
        <v>580</v>
      </c>
      <c r="GH1421" s="1">
        <v>42515</v>
      </c>
      <c r="GI1421">
        <v>2015</v>
      </c>
      <c r="GJ1421">
        <v>1317.71</v>
      </c>
      <c r="GK1421" t="s">
        <v>14443</v>
      </c>
      <c r="GL1421">
        <v>0.25</v>
      </c>
      <c r="GM1421" t="s">
        <v>424</v>
      </c>
      <c r="GN1421" t="s">
        <v>425</v>
      </c>
      <c r="GP1421">
        <v>22</v>
      </c>
      <c r="GQ1421">
        <v>6306724</v>
      </c>
      <c r="GR1421" t="s">
        <v>14444</v>
      </c>
      <c r="GT1421" s="1">
        <v>42151</v>
      </c>
      <c r="GU1421">
        <v>2014</v>
      </c>
      <c r="GV1421">
        <v>1300.6099999999999</v>
      </c>
      <c r="GW1421" t="s">
        <v>14445</v>
      </c>
      <c r="GX1421">
        <v>0.25</v>
      </c>
      <c r="GY1421" t="s">
        <v>424</v>
      </c>
      <c r="GZ1421" t="s">
        <v>425</v>
      </c>
      <c r="HA1421" s="1">
        <v>42215</v>
      </c>
      <c r="HB1421">
        <v>2</v>
      </c>
      <c r="HC1421">
        <v>4975594</v>
      </c>
      <c r="HD1421" t="s">
        <v>457</v>
      </c>
      <c r="HF1421" s="1">
        <v>42151</v>
      </c>
      <c r="HG1421">
        <v>2014</v>
      </c>
      <c r="HH1421">
        <v>1300.6099999999999</v>
      </c>
      <c r="HI1421" t="s">
        <v>14445</v>
      </c>
      <c r="HJ1421">
        <v>0.25</v>
      </c>
      <c r="HK1421" t="s">
        <v>424</v>
      </c>
      <c r="HL1421" t="s">
        <v>425</v>
      </c>
      <c r="HN1421">
        <v>22</v>
      </c>
      <c r="HO1421">
        <v>6404072</v>
      </c>
      <c r="HP1421" t="s">
        <v>14446</v>
      </c>
      <c r="HR1421" s="1">
        <v>41787</v>
      </c>
      <c r="HS1421">
        <v>2013</v>
      </c>
      <c r="HT1421">
        <v>1209.29</v>
      </c>
      <c r="HU1421" t="s">
        <v>14447</v>
      </c>
      <c r="HV1421">
        <v>0.25</v>
      </c>
      <c r="HW1421" t="s">
        <v>424</v>
      </c>
      <c r="HX1421" t="s">
        <v>425</v>
      </c>
      <c r="HY1421" s="1">
        <v>41920</v>
      </c>
      <c r="HZ1421">
        <v>5</v>
      </c>
      <c r="IA1421">
        <v>2851116</v>
      </c>
      <c r="IB1421" t="s">
        <v>480</v>
      </c>
      <c r="ID1421" s="1">
        <v>41423</v>
      </c>
      <c r="IE1421">
        <v>2012</v>
      </c>
      <c r="IF1421">
        <v>1272.81</v>
      </c>
      <c r="IG1421" t="s">
        <v>14448</v>
      </c>
      <c r="IH1421">
        <v>0.25</v>
      </c>
      <c r="II1421" t="s">
        <v>424</v>
      </c>
      <c r="IJ1421" t="s">
        <v>425</v>
      </c>
      <c r="IK1421" s="1">
        <v>41529</v>
      </c>
      <c r="IL1421">
        <v>4</v>
      </c>
      <c r="IM1421">
        <v>1625552</v>
      </c>
      <c r="IN1421" t="s">
        <v>14449</v>
      </c>
      <c r="IP1421" s="1">
        <v>41052</v>
      </c>
      <c r="IQ1421">
        <v>2011</v>
      </c>
      <c r="IR1421">
        <v>1512.12</v>
      </c>
      <c r="IS1421" t="s">
        <v>14450</v>
      </c>
      <c r="IT1421">
        <v>0.25</v>
      </c>
      <c r="IU1421" t="s">
        <v>424</v>
      </c>
      <c r="IV1421" t="s">
        <v>425</v>
      </c>
      <c r="IW1421" s="1">
        <v>41212</v>
      </c>
      <c r="IX1421">
        <v>5</v>
      </c>
      <c r="IY1421">
        <v>13710</v>
      </c>
      <c r="IZ1421" t="s">
        <v>1437</v>
      </c>
      <c r="JB1421" s="1">
        <v>40688</v>
      </c>
      <c r="JC1421">
        <v>2010</v>
      </c>
      <c r="JD1421">
        <v>1526.04</v>
      </c>
      <c r="JE1421" t="s">
        <v>14451</v>
      </c>
      <c r="JF1421">
        <v>0.25</v>
      </c>
      <c r="JG1421" t="s">
        <v>424</v>
      </c>
      <c r="JH1421" t="s">
        <v>425</v>
      </c>
      <c r="JI1421" s="1">
        <v>40820</v>
      </c>
      <c r="JJ1421">
        <v>5</v>
      </c>
      <c r="JK1421">
        <v>11177</v>
      </c>
      <c r="JL1421" t="s">
        <v>650</v>
      </c>
    </row>
    <row r="1422" spans="1:296" x14ac:dyDescent="0.25">
      <c r="A1422">
        <v>16486429</v>
      </c>
      <c r="B1422">
        <v>1421</v>
      </c>
      <c r="C1422" t="s">
        <v>393</v>
      </c>
      <c r="D1422" t="s">
        <v>394</v>
      </c>
      <c r="F1422" t="str">
        <f>"51-3N-27-0000-0053-0020"</f>
        <v>51-3N-27-0000-0053-0020</v>
      </c>
      <c r="H1422" t="str">
        <f>"BLAKE CHRIS &amp; RHONDA"</f>
        <v>BLAKE CHRIS &amp; RHONDA</v>
      </c>
      <c r="I1422" t="str">
        <f>"97289 PIRATES POINT ROAD"</f>
        <v>97289 PIRATES POINT ROAD</v>
      </c>
      <c r="J1422" t="str">
        <f>"YULEE FL 32097"</f>
        <v>YULEE FL 32097</v>
      </c>
      <c r="K1422" t="str">
        <f>"86001 WAYLON ST"</f>
        <v>86001 WAYLON ST</v>
      </c>
      <c r="L1422" t="str">
        <f t="shared" si="491"/>
        <v>YULEE FL 32097</v>
      </c>
      <c r="M1422" t="str">
        <f>"PT OR 1492/133 R498009"</f>
        <v>PT OR 1492/133 R498009</v>
      </c>
      <c r="N1422" t="str">
        <f>""</f>
        <v/>
      </c>
      <c r="O1422" t="str">
        <f>"55065"</f>
        <v>55065</v>
      </c>
      <c r="P1422" t="str">
        <f t="shared" si="494"/>
        <v>2017</v>
      </c>
      <c r="Q1422" t="str">
        <f>""</f>
        <v/>
      </c>
      <c r="R1422" t="str">
        <f t="shared" si="498"/>
        <v>N</v>
      </c>
      <c r="S1422" t="str">
        <f>"1.00"</f>
        <v>1.00</v>
      </c>
      <c r="T1422" t="str">
        <f>"496.31"</f>
        <v>496.31</v>
      </c>
      <c r="U1422" t="str">
        <f>"32783.00"</f>
        <v>32783.00</v>
      </c>
      <c r="V1422" t="str">
        <f>"32783.00"</f>
        <v>32783.00</v>
      </c>
      <c r="W1422" t="str">
        <f t="shared" si="495"/>
        <v>2017</v>
      </c>
      <c r="X1422" t="str">
        <f>"7.13"</f>
        <v>7.13</v>
      </c>
      <c r="Y1422" t="str">
        <f>"543.20"</f>
        <v>543.20</v>
      </c>
      <c r="Z1422" t="str">
        <f>""</f>
        <v/>
      </c>
      <c r="AA1422" t="str">
        <f>"32783.00"</f>
        <v>32783.00</v>
      </c>
      <c r="AB1422" t="str">
        <f t="shared" si="496"/>
        <v>Residential</v>
      </c>
      <c r="AC1422" t="str">
        <f t="shared" si="475"/>
        <v>0</v>
      </c>
      <c r="AD1422" t="str">
        <f>"4"</f>
        <v>4</v>
      </c>
      <c r="AE1422" t="str">
        <f>"WOOD (INCLUDE STEEL STUDS)"</f>
        <v>WOOD (INCLUDE STEEL STUDS)</v>
      </c>
      <c r="AF1422" t="str">
        <f>"002"</f>
        <v>002</v>
      </c>
      <c r="AG1422" t="str">
        <f t="shared" si="497"/>
        <v>FL</v>
      </c>
      <c r="AH1422" t="str">
        <f>"43560.00"</f>
        <v>43560.00</v>
      </c>
      <c r="AI1422" t="str">
        <f>"18750.00"</f>
        <v>18750.00</v>
      </c>
      <c r="AJ1422" t="str">
        <f>"C55-000-588-7366-2"</f>
        <v>C55-000-588-7366-2</v>
      </c>
      <c r="AK1422" t="str">
        <f>"24024"</f>
        <v>24024</v>
      </c>
      <c r="AL1422">
        <v>5</v>
      </c>
      <c r="AM1422">
        <v>1626</v>
      </c>
      <c r="AN1422">
        <v>568.76</v>
      </c>
      <c r="AQ1422" t="s">
        <v>14452</v>
      </c>
      <c r="AR1422" t="s">
        <v>14452</v>
      </c>
      <c r="AS1422" t="s">
        <v>14452</v>
      </c>
      <c r="AU1422" t="s">
        <v>396</v>
      </c>
      <c r="AV1422">
        <v>2017</v>
      </c>
      <c r="AW1422" t="str">
        <f>"51-3N-27-0000-0053-0020 "</f>
        <v xml:space="preserve">51-3N-27-0000-0053-0020 </v>
      </c>
      <c r="AX1422">
        <v>86001</v>
      </c>
      <c r="AZ1422" t="s">
        <v>14436</v>
      </c>
      <c r="BA1422" t="s">
        <v>1942</v>
      </c>
      <c r="BD1422" t="s">
        <v>2387</v>
      </c>
      <c r="BE1422" t="s">
        <v>393</v>
      </c>
      <c r="BF1422">
        <v>32097</v>
      </c>
      <c r="BG1422" t="s">
        <v>14453</v>
      </c>
      <c r="BH1422" t="s">
        <v>2388</v>
      </c>
      <c r="BI1422">
        <v>-81.581810452190098</v>
      </c>
      <c r="BJ1422">
        <v>30.636470390083101</v>
      </c>
      <c r="BK1422" t="s">
        <v>14438</v>
      </c>
      <c r="BL1422" t="s">
        <v>14439</v>
      </c>
      <c r="BM1422" t="s">
        <v>13466</v>
      </c>
      <c r="BN1422" t="s">
        <v>1778</v>
      </c>
      <c r="BO1422">
        <v>32097</v>
      </c>
      <c r="BP1422" t="s">
        <v>404</v>
      </c>
      <c r="BQ1422">
        <v>200</v>
      </c>
      <c r="BR1422" t="s">
        <v>405</v>
      </c>
      <c r="BS1422">
        <v>1006</v>
      </c>
      <c r="BT1422" t="s">
        <v>406</v>
      </c>
      <c r="BW1422">
        <v>43560</v>
      </c>
      <c r="BX1422" t="s">
        <v>407</v>
      </c>
      <c r="BY1422" t="s">
        <v>408</v>
      </c>
      <c r="BZ1422">
        <v>4</v>
      </c>
      <c r="CA1422">
        <v>1971</v>
      </c>
      <c r="CB1422">
        <v>1</v>
      </c>
      <c r="CC1422">
        <v>1</v>
      </c>
      <c r="CD1422">
        <v>2017</v>
      </c>
      <c r="CE1422">
        <v>18750</v>
      </c>
      <c r="CF1422">
        <v>14033</v>
      </c>
      <c r="CG1422">
        <v>32783</v>
      </c>
      <c r="CH1422">
        <v>2017</v>
      </c>
      <c r="CI1422">
        <v>18750</v>
      </c>
      <c r="CJ1422">
        <v>14033</v>
      </c>
      <c r="CK1422">
        <v>32783</v>
      </c>
      <c r="CL1422">
        <v>2017</v>
      </c>
      <c r="CM1422">
        <v>496.31</v>
      </c>
      <c r="CN1422" s="1">
        <v>39184</v>
      </c>
      <c r="CO1422">
        <v>70000</v>
      </c>
      <c r="CV1422">
        <v>0</v>
      </c>
      <c r="CZ1422" s="1">
        <v>39184</v>
      </c>
      <c r="DA1422">
        <v>0</v>
      </c>
      <c r="DD1422" t="s">
        <v>2387</v>
      </c>
      <c r="DG1422">
        <v>51</v>
      </c>
      <c r="DL1422">
        <v>50302</v>
      </c>
      <c r="DM1422" t="s">
        <v>14357</v>
      </c>
      <c r="DO1422" t="s">
        <v>14454</v>
      </c>
      <c r="DP1422">
        <v>0</v>
      </c>
      <c r="DQ1422">
        <v>0</v>
      </c>
      <c r="DR1422" t="s">
        <v>411</v>
      </c>
      <c r="DS1422" t="b">
        <v>1</v>
      </c>
      <c r="DT1422" t="s">
        <v>470</v>
      </c>
      <c r="DU1422" t="s">
        <v>471</v>
      </c>
      <c r="DV1422" t="s">
        <v>472</v>
      </c>
      <c r="DX1422">
        <v>-9999</v>
      </c>
      <c r="DZ1422" t="s">
        <v>447</v>
      </c>
      <c r="EA1422" t="s">
        <v>448</v>
      </c>
      <c r="EB1422" t="s">
        <v>742</v>
      </c>
      <c r="EC1422">
        <v>20101217</v>
      </c>
      <c r="ED1422" t="s">
        <v>474</v>
      </c>
      <c r="EF1422">
        <v>1594.9</v>
      </c>
      <c r="EG1422">
        <v>1594.9</v>
      </c>
      <c r="EI1422">
        <v>20160407</v>
      </c>
      <c r="EJ1422">
        <v>0</v>
      </c>
      <c r="EK1422">
        <v>0</v>
      </c>
      <c r="EP1422" t="s">
        <v>421</v>
      </c>
      <c r="EQ1422" t="s">
        <v>422</v>
      </c>
      <c r="ER1422">
        <v>0</v>
      </c>
      <c r="ES1422">
        <v>10</v>
      </c>
      <c r="ET1422">
        <v>0</v>
      </c>
      <c r="EU1422">
        <v>0</v>
      </c>
      <c r="EV1422">
        <v>0</v>
      </c>
      <c r="EW1422" s="2">
        <v>43222</v>
      </c>
      <c r="EX1422" s="1">
        <v>42879</v>
      </c>
      <c r="EY1422">
        <v>2016</v>
      </c>
      <c r="EZ1422">
        <v>571.28</v>
      </c>
      <c r="FA1422" t="s">
        <v>14455</v>
      </c>
      <c r="FB1422">
        <v>0.25</v>
      </c>
      <c r="FC1422" t="s">
        <v>424</v>
      </c>
      <c r="FD1422" t="s">
        <v>425</v>
      </c>
      <c r="FE1422" s="1">
        <v>43075</v>
      </c>
      <c r="FF1422">
        <v>7</v>
      </c>
      <c r="FG1422">
        <v>2851116</v>
      </c>
      <c r="FH1422" t="s">
        <v>480</v>
      </c>
      <c r="FJ1422" s="1">
        <v>42879</v>
      </c>
      <c r="FK1422">
        <v>2016</v>
      </c>
      <c r="FL1422">
        <v>571.28</v>
      </c>
      <c r="FM1422" t="s">
        <v>14455</v>
      </c>
      <c r="FN1422">
        <v>0.25</v>
      </c>
      <c r="FO1422" t="s">
        <v>424</v>
      </c>
      <c r="FP1422" t="s">
        <v>425</v>
      </c>
      <c r="FR1422">
        <v>22</v>
      </c>
      <c r="FS1422">
        <v>5343319</v>
      </c>
      <c r="FT1422" t="s">
        <v>14456</v>
      </c>
      <c r="FV1422" s="1">
        <v>42515</v>
      </c>
      <c r="FW1422">
        <v>2015</v>
      </c>
      <c r="FX1422">
        <v>579.49</v>
      </c>
      <c r="FY1422" t="s">
        <v>14457</v>
      </c>
      <c r="FZ1422">
        <v>0.25</v>
      </c>
      <c r="GA1422" t="s">
        <v>424</v>
      </c>
      <c r="GB1422" t="s">
        <v>425</v>
      </c>
      <c r="GC1422" s="1">
        <v>43075</v>
      </c>
      <c r="GD1422">
        <v>19</v>
      </c>
      <c r="GE1422">
        <v>2851116</v>
      </c>
      <c r="GF1422" t="s">
        <v>480</v>
      </c>
      <c r="GH1422" s="1">
        <v>42515</v>
      </c>
      <c r="GI1422">
        <v>2015</v>
      </c>
      <c r="GJ1422">
        <v>579.49</v>
      </c>
      <c r="GK1422" t="s">
        <v>14457</v>
      </c>
      <c r="GL1422">
        <v>0.25</v>
      </c>
      <c r="GM1422" t="s">
        <v>424</v>
      </c>
      <c r="GN1422" t="s">
        <v>425</v>
      </c>
      <c r="GP1422">
        <v>22</v>
      </c>
      <c r="GQ1422">
        <v>5047886</v>
      </c>
      <c r="GR1422" t="s">
        <v>14458</v>
      </c>
      <c r="GT1422" s="1">
        <v>42151</v>
      </c>
      <c r="GU1422">
        <v>2014</v>
      </c>
      <c r="GV1422">
        <v>558.89</v>
      </c>
      <c r="GW1422" t="s">
        <v>14459</v>
      </c>
      <c r="GX1422">
        <v>0.25</v>
      </c>
      <c r="GY1422" t="s">
        <v>424</v>
      </c>
      <c r="GZ1422" t="s">
        <v>425</v>
      </c>
      <c r="HA1422" s="1">
        <v>42215</v>
      </c>
      <c r="HB1422">
        <v>2</v>
      </c>
      <c r="HC1422">
        <v>2851116</v>
      </c>
      <c r="HD1422" t="s">
        <v>480</v>
      </c>
      <c r="HF1422" s="1">
        <v>42151</v>
      </c>
      <c r="HG1422">
        <v>2014</v>
      </c>
      <c r="HH1422">
        <v>558.89</v>
      </c>
      <c r="HI1422" t="s">
        <v>14459</v>
      </c>
      <c r="HJ1422">
        <v>0.25</v>
      </c>
      <c r="HK1422" t="s">
        <v>424</v>
      </c>
      <c r="HL1422" t="s">
        <v>425</v>
      </c>
      <c r="HN1422">
        <v>22</v>
      </c>
      <c r="HO1422">
        <v>5319830</v>
      </c>
      <c r="HP1422" t="s">
        <v>14460</v>
      </c>
      <c r="HR1422" s="1">
        <v>41787</v>
      </c>
      <c r="HS1422">
        <v>2013</v>
      </c>
      <c r="HT1422">
        <v>548.65</v>
      </c>
      <c r="HU1422" t="s">
        <v>14461</v>
      </c>
      <c r="HV1422">
        <v>2.25</v>
      </c>
      <c r="HW1422" t="s">
        <v>424</v>
      </c>
      <c r="HX1422" t="s">
        <v>425</v>
      </c>
      <c r="HY1422" s="1">
        <v>41920</v>
      </c>
      <c r="HZ1422">
        <v>5</v>
      </c>
      <c r="IA1422">
        <v>10125</v>
      </c>
      <c r="IB1422" t="s">
        <v>440</v>
      </c>
      <c r="ID1422" s="1">
        <v>41423</v>
      </c>
      <c r="IE1422">
        <v>2012</v>
      </c>
      <c r="IF1422">
        <v>598.89</v>
      </c>
      <c r="IG1422" t="s">
        <v>14462</v>
      </c>
      <c r="IH1422">
        <v>0.25</v>
      </c>
      <c r="II1422" t="s">
        <v>424</v>
      </c>
      <c r="IJ1422" t="s">
        <v>425</v>
      </c>
      <c r="IK1422" s="1">
        <v>41529</v>
      </c>
      <c r="IL1422">
        <v>4</v>
      </c>
      <c r="IM1422">
        <v>15399</v>
      </c>
      <c r="IN1422" t="s">
        <v>485</v>
      </c>
      <c r="IP1422" s="1">
        <v>41052</v>
      </c>
      <c r="IQ1422">
        <v>2011</v>
      </c>
      <c r="IR1422">
        <v>703.67</v>
      </c>
      <c r="IS1422" t="s">
        <v>14463</v>
      </c>
      <c r="IT1422">
        <v>5.75</v>
      </c>
      <c r="IU1422" t="s">
        <v>424</v>
      </c>
      <c r="IV1422" t="s">
        <v>425</v>
      </c>
      <c r="IW1422" s="1">
        <v>41212</v>
      </c>
      <c r="IX1422">
        <v>5</v>
      </c>
      <c r="IY1422">
        <v>10579</v>
      </c>
      <c r="IZ1422" t="s">
        <v>488</v>
      </c>
      <c r="JB1422" s="1">
        <v>40688</v>
      </c>
      <c r="JC1422">
        <v>2010</v>
      </c>
      <c r="JD1422">
        <v>808.41</v>
      </c>
      <c r="JE1422" t="s">
        <v>14464</v>
      </c>
      <c r="JF1422">
        <v>6</v>
      </c>
      <c r="JG1422" t="s">
        <v>424</v>
      </c>
      <c r="JH1422" t="s">
        <v>425</v>
      </c>
      <c r="JI1422" s="1">
        <v>41079</v>
      </c>
      <c r="JJ1422">
        <v>13</v>
      </c>
      <c r="JK1422">
        <v>105</v>
      </c>
      <c r="JL1422" t="s">
        <v>946</v>
      </c>
    </row>
    <row r="1423" spans="1:296" x14ac:dyDescent="0.25">
      <c r="A1423">
        <v>16486430</v>
      </c>
      <c r="B1423">
        <v>1422</v>
      </c>
      <c r="C1423" t="s">
        <v>393</v>
      </c>
      <c r="D1423" t="s">
        <v>394</v>
      </c>
      <c r="F1423" t="str">
        <f>"51-3N-27-0000-0053-0040"</f>
        <v>51-3N-27-0000-0053-0040</v>
      </c>
      <c r="H1423" t="str">
        <f>"BLAKE CHRIS &amp; RHONDA"</f>
        <v>BLAKE CHRIS &amp; RHONDA</v>
      </c>
      <c r="I1423" t="str">
        <f>"97289 PIRATES POINT ROAD"</f>
        <v>97289 PIRATES POINT ROAD</v>
      </c>
      <c r="J1423" t="str">
        <f>"YULEE FL 32097"</f>
        <v>YULEE FL 32097</v>
      </c>
      <c r="K1423" t="str">
        <f>"WAYLON ST"</f>
        <v>WAYLON ST</v>
      </c>
      <c r="L1423" t="str">
        <f t="shared" si="491"/>
        <v>YULEE FL 32097</v>
      </c>
      <c r="M1423" t="str">
        <f>"PT OR 1492/133"</f>
        <v>PT OR 1492/133</v>
      </c>
      <c r="N1423" t="str">
        <f>""</f>
        <v/>
      </c>
      <c r="O1423" t="str">
        <f>"55067"</f>
        <v>55067</v>
      </c>
      <c r="P1423" t="str">
        <f t="shared" si="494"/>
        <v>2017</v>
      </c>
      <c r="Q1423" t="str">
        <f>""</f>
        <v/>
      </c>
      <c r="R1423" t="str">
        <f t="shared" si="498"/>
        <v>N</v>
      </c>
      <c r="S1423" t="str">
        <f>"0.30"</f>
        <v>0.30</v>
      </c>
      <c r="T1423" t="str">
        <f>"113.54"</f>
        <v>113.54</v>
      </c>
      <c r="U1423" t="str">
        <f>"7500.00"</f>
        <v>7500.00</v>
      </c>
      <c r="V1423" t="str">
        <f>"7500.00"</f>
        <v>7500.00</v>
      </c>
      <c r="W1423" t="str">
        <f t="shared" si="495"/>
        <v>2017</v>
      </c>
      <c r="X1423" t="str">
        <f>"4.38"</f>
        <v>4.38</v>
      </c>
      <c r="Y1423" t="str">
        <f>"148.95"</f>
        <v>148.95</v>
      </c>
      <c r="Z1423" t="str">
        <f>""</f>
        <v/>
      </c>
      <c r="AA1423" t="str">
        <f>"7500.00"</f>
        <v>7500.00</v>
      </c>
      <c r="AB1423" t="str">
        <f t="shared" si="496"/>
        <v>Residential</v>
      </c>
      <c r="AC1423" t="str">
        <f t="shared" si="475"/>
        <v>0</v>
      </c>
      <c r="AD1423" t="str">
        <f>""</f>
        <v/>
      </c>
      <c r="AE1423" t="str">
        <f>""</f>
        <v/>
      </c>
      <c r="AF1423" t="str">
        <f>"000"</f>
        <v>000</v>
      </c>
      <c r="AG1423" t="str">
        <f t="shared" si="497"/>
        <v>FL</v>
      </c>
      <c r="AH1423" t="str">
        <f>"13068.00"</f>
        <v>13068.00</v>
      </c>
      <c r="AI1423" t="str">
        <f>"7500.00"</f>
        <v>7500.00</v>
      </c>
      <c r="AJ1423" t="str">
        <f>"C55-000-588-7368-8"</f>
        <v>C55-000-588-7368-8</v>
      </c>
      <c r="AK1423" t="str">
        <f>"24026"</f>
        <v>24026</v>
      </c>
      <c r="AL1423">
        <v>5</v>
      </c>
      <c r="AM1423">
        <v>1627</v>
      </c>
      <c r="AN1423">
        <v>154.80000000000001</v>
      </c>
      <c r="AQ1423" t="s">
        <v>14465</v>
      </c>
      <c r="AR1423" t="s">
        <v>14465</v>
      </c>
      <c r="AS1423" t="s">
        <v>14465</v>
      </c>
      <c r="AU1423" t="s">
        <v>396</v>
      </c>
      <c r="AV1423">
        <v>2017</v>
      </c>
      <c r="AW1423" t="str">
        <f>"51-3N-27-0000-0053-0040 "</f>
        <v xml:space="preserve">51-3N-27-0000-0053-0040 </v>
      </c>
      <c r="AZ1423" t="s">
        <v>14436</v>
      </c>
      <c r="BA1423" t="s">
        <v>1942</v>
      </c>
      <c r="BD1423" t="s">
        <v>2387</v>
      </c>
      <c r="BE1423" t="s">
        <v>393</v>
      </c>
      <c r="BF1423">
        <v>32097</v>
      </c>
      <c r="BG1423" t="s">
        <v>14466</v>
      </c>
      <c r="BH1423" t="s">
        <v>2388</v>
      </c>
      <c r="BI1423">
        <v>-81.582223920010406</v>
      </c>
      <c r="BJ1423">
        <v>30.636674051728399</v>
      </c>
      <c r="BK1423" t="s">
        <v>14438</v>
      </c>
      <c r="BL1423" t="s">
        <v>14439</v>
      </c>
      <c r="BM1423" t="s">
        <v>13466</v>
      </c>
      <c r="BN1423" t="s">
        <v>1778</v>
      </c>
      <c r="BO1423">
        <v>32097</v>
      </c>
      <c r="BP1423" t="s">
        <v>404</v>
      </c>
      <c r="BQ1423">
        <v>0</v>
      </c>
      <c r="BR1423" t="s">
        <v>491</v>
      </c>
      <c r="BS1423">
        <v>8001</v>
      </c>
      <c r="BT1423" t="s">
        <v>492</v>
      </c>
      <c r="BW1423">
        <v>13068</v>
      </c>
      <c r="BX1423" t="s">
        <v>407</v>
      </c>
      <c r="BY1423" t="s">
        <v>408</v>
      </c>
      <c r="CD1423">
        <v>2017</v>
      </c>
      <c r="CE1423">
        <v>7500</v>
      </c>
      <c r="CG1423">
        <v>7500</v>
      </c>
      <c r="CH1423">
        <v>2017</v>
      </c>
      <c r="CI1423">
        <v>7500</v>
      </c>
      <c r="CK1423">
        <v>7500</v>
      </c>
      <c r="CL1423">
        <v>2017</v>
      </c>
      <c r="CM1423">
        <v>113.54</v>
      </c>
      <c r="CN1423" s="1">
        <v>39184</v>
      </c>
      <c r="CO1423">
        <v>70000</v>
      </c>
      <c r="CV1423">
        <v>0</v>
      </c>
      <c r="CZ1423" s="1">
        <v>39184</v>
      </c>
      <c r="DA1423">
        <v>0</v>
      </c>
      <c r="DD1423" t="s">
        <v>2387</v>
      </c>
      <c r="DG1423">
        <v>51</v>
      </c>
      <c r="DL1423">
        <v>50302</v>
      </c>
      <c r="DM1423" t="s">
        <v>14357</v>
      </c>
      <c r="DO1423" t="s">
        <v>14467</v>
      </c>
      <c r="DP1423">
        <v>0</v>
      </c>
      <c r="DQ1423">
        <v>0</v>
      </c>
      <c r="DR1423" t="s">
        <v>411</v>
      </c>
      <c r="DS1423" t="b">
        <v>1</v>
      </c>
      <c r="DT1423" t="s">
        <v>470</v>
      </c>
      <c r="DU1423" t="s">
        <v>471</v>
      </c>
      <c r="DV1423" t="s">
        <v>472</v>
      </c>
      <c r="DX1423">
        <v>-9999</v>
      </c>
      <c r="DZ1423" t="s">
        <v>447</v>
      </c>
      <c r="EA1423" t="s">
        <v>448</v>
      </c>
      <c r="EB1423" t="s">
        <v>742</v>
      </c>
      <c r="EC1423">
        <v>20101217</v>
      </c>
      <c r="ED1423" t="s">
        <v>474</v>
      </c>
      <c r="EF1423">
        <v>1708.3</v>
      </c>
      <c r="EG1423">
        <v>1708.3</v>
      </c>
      <c r="EI1423">
        <v>20160407</v>
      </c>
      <c r="EJ1423">
        <v>0</v>
      </c>
      <c r="EK1423">
        <v>0</v>
      </c>
      <c r="EP1423" t="s">
        <v>421</v>
      </c>
      <c r="EQ1423" t="s">
        <v>422</v>
      </c>
      <c r="ER1423">
        <v>0</v>
      </c>
      <c r="ES1423">
        <v>8</v>
      </c>
      <c r="ET1423">
        <v>0</v>
      </c>
      <c r="EU1423">
        <v>0</v>
      </c>
      <c r="EV1423">
        <v>0</v>
      </c>
      <c r="EW1423" s="2">
        <v>43222</v>
      </c>
      <c r="EX1423" s="1">
        <v>42879</v>
      </c>
      <c r="EY1423">
        <v>2016</v>
      </c>
      <c r="EZ1423">
        <v>151.51</v>
      </c>
      <c r="FA1423" t="s">
        <v>14468</v>
      </c>
      <c r="FB1423">
        <v>8.5</v>
      </c>
      <c r="FC1423" t="s">
        <v>424</v>
      </c>
      <c r="FD1423" t="s">
        <v>425</v>
      </c>
      <c r="FE1423" s="1">
        <v>43075</v>
      </c>
      <c r="FF1423">
        <v>7</v>
      </c>
      <c r="FG1423">
        <v>7685285</v>
      </c>
      <c r="FH1423" t="s">
        <v>3991</v>
      </c>
      <c r="FJ1423" s="1">
        <v>42515</v>
      </c>
      <c r="FK1423">
        <v>2015</v>
      </c>
      <c r="FL1423">
        <v>149.54</v>
      </c>
      <c r="FM1423" t="s">
        <v>14469</v>
      </c>
      <c r="FN1423">
        <v>18</v>
      </c>
      <c r="FO1423" t="s">
        <v>424</v>
      </c>
      <c r="FP1423" t="s">
        <v>425</v>
      </c>
      <c r="FQ1423" s="1">
        <v>42661</v>
      </c>
      <c r="FR1423">
        <v>5</v>
      </c>
      <c r="FS1423">
        <v>7045081</v>
      </c>
      <c r="FT1423" t="s">
        <v>4351</v>
      </c>
      <c r="FV1423" s="1">
        <v>42151</v>
      </c>
      <c r="FW1423">
        <v>2014</v>
      </c>
      <c r="FX1423">
        <v>150.18</v>
      </c>
      <c r="FY1423" t="s">
        <v>14470</v>
      </c>
      <c r="FZ1423">
        <v>0.25</v>
      </c>
      <c r="GA1423" t="s">
        <v>424</v>
      </c>
      <c r="GB1423" t="s">
        <v>425</v>
      </c>
      <c r="GC1423" s="1">
        <v>42215</v>
      </c>
      <c r="GD1423">
        <v>2</v>
      </c>
      <c r="GE1423">
        <v>13026</v>
      </c>
      <c r="GF1423" t="s">
        <v>2129</v>
      </c>
      <c r="GH1423" s="1">
        <v>42151</v>
      </c>
      <c r="GI1423">
        <v>2014</v>
      </c>
      <c r="GJ1423">
        <v>150.18</v>
      </c>
      <c r="GK1423" t="s">
        <v>14470</v>
      </c>
      <c r="GL1423">
        <v>0.25</v>
      </c>
      <c r="GM1423" t="s">
        <v>424</v>
      </c>
      <c r="GN1423" t="s">
        <v>425</v>
      </c>
      <c r="GP1423">
        <v>22</v>
      </c>
      <c r="GQ1423">
        <v>4699191</v>
      </c>
      <c r="GR1423" t="s">
        <v>14471</v>
      </c>
      <c r="GT1423" s="1">
        <v>41787</v>
      </c>
      <c r="GU1423">
        <v>2013</v>
      </c>
      <c r="GV1423">
        <v>143.33000000000001</v>
      </c>
      <c r="GW1423" t="s">
        <v>14472</v>
      </c>
      <c r="GX1423">
        <v>12</v>
      </c>
      <c r="GY1423" t="s">
        <v>424</v>
      </c>
      <c r="GZ1423" t="s">
        <v>425</v>
      </c>
      <c r="HA1423" s="1">
        <v>41920</v>
      </c>
      <c r="HB1423">
        <v>5</v>
      </c>
      <c r="HC1423">
        <v>10125</v>
      </c>
      <c r="HD1423" t="s">
        <v>440</v>
      </c>
      <c r="HF1423" s="1">
        <v>41423</v>
      </c>
      <c r="HG1423">
        <v>2012</v>
      </c>
      <c r="HH1423">
        <v>144.84</v>
      </c>
      <c r="HI1423" t="s">
        <v>14473</v>
      </c>
      <c r="HJ1423">
        <v>7.5</v>
      </c>
      <c r="HK1423" t="s">
        <v>424</v>
      </c>
      <c r="HL1423" t="s">
        <v>425</v>
      </c>
      <c r="HM1423" s="1">
        <v>41529</v>
      </c>
      <c r="HN1423">
        <v>4</v>
      </c>
      <c r="HO1423">
        <v>2101381</v>
      </c>
      <c r="HP1423" t="s">
        <v>605</v>
      </c>
      <c r="HR1423" s="1">
        <v>41052</v>
      </c>
      <c r="HS1423">
        <v>2011</v>
      </c>
      <c r="HT1423">
        <v>163.98</v>
      </c>
      <c r="HU1423" t="s">
        <v>14474</v>
      </c>
      <c r="HV1423">
        <v>16.5</v>
      </c>
      <c r="HW1423" t="s">
        <v>424</v>
      </c>
      <c r="HX1423" t="s">
        <v>425</v>
      </c>
      <c r="HY1423" s="1">
        <v>41212</v>
      </c>
      <c r="HZ1423">
        <v>5</v>
      </c>
      <c r="IA1423">
        <v>619</v>
      </c>
      <c r="IB1423" t="s">
        <v>2768</v>
      </c>
      <c r="ID1423" s="1">
        <v>40688</v>
      </c>
      <c r="IE1423">
        <v>2010</v>
      </c>
      <c r="IF1423">
        <v>206.56</v>
      </c>
      <c r="IG1423" t="s">
        <v>14475</v>
      </c>
      <c r="IH1423">
        <v>6</v>
      </c>
      <c r="II1423" t="s">
        <v>424</v>
      </c>
      <c r="IJ1423" t="s">
        <v>425</v>
      </c>
      <c r="IK1423" s="1">
        <v>40820</v>
      </c>
      <c r="IL1423">
        <v>5</v>
      </c>
      <c r="IM1423">
        <v>375</v>
      </c>
      <c r="IN1423" t="s">
        <v>776</v>
      </c>
    </row>
    <row r="1424" spans="1:296" x14ac:dyDescent="0.25">
      <c r="A1424">
        <v>16486431</v>
      </c>
      <c r="B1424">
        <v>1423</v>
      </c>
      <c r="C1424" t="s">
        <v>393</v>
      </c>
      <c r="D1424" t="s">
        <v>394</v>
      </c>
      <c r="F1424" t="str">
        <f>"51-3N-27-0000-0060-0040"</f>
        <v>51-3N-27-0000-0060-0040</v>
      </c>
      <c r="H1424" t="str">
        <f>"BROWN KIMBERLY S &amp; SHEALEY RICHARD N JR &amp; SHEALEY WILLIAM S"</f>
        <v>BROWN KIMBERLY S &amp; SHEALEY RICHARD N JR &amp; SHEALEY WILLIAM S</v>
      </c>
      <c r="I1424" t="str">
        <f>""</f>
        <v/>
      </c>
      <c r="J1424" t="str">
        <f>"FERNANDINA BEACH FL 32034"</f>
        <v>FERNANDINA BEACH FL 32034</v>
      </c>
      <c r="K1424" t="str">
        <f>"86013 BOBBY DR"</f>
        <v>86013 BOBBY DR</v>
      </c>
      <c r="L1424" t="str">
        <f t="shared" si="491"/>
        <v>YULEE FL 32097</v>
      </c>
      <c r="M1424" t="str">
        <f>"IN OR 1716/920"</f>
        <v>IN OR 1716/920</v>
      </c>
      <c r="N1424" t="str">
        <f>""</f>
        <v/>
      </c>
      <c r="O1424" t="str">
        <f>"55082"</f>
        <v>55082</v>
      </c>
      <c r="P1424" t="str">
        <f t="shared" si="494"/>
        <v>2017</v>
      </c>
      <c r="Q1424" t="str">
        <f>""</f>
        <v/>
      </c>
      <c r="R1424" t="str">
        <f t="shared" si="498"/>
        <v>N</v>
      </c>
      <c r="S1424" t="str">
        <f>""</f>
        <v/>
      </c>
      <c r="T1424" t="str">
        <f>"851.85"</f>
        <v>851.85</v>
      </c>
      <c r="U1424" t="str">
        <f>"56269.00"</f>
        <v>56269.00</v>
      </c>
      <c r="V1424" t="str">
        <f>"56269.00"</f>
        <v>56269.00</v>
      </c>
      <c r="W1424" t="str">
        <f t="shared" si="495"/>
        <v>2017</v>
      </c>
      <c r="X1424" t="str">
        <f>"19.78"</f>
        <v>19.78</v>
      </c>
      <c r="Y1424" t="str">
        <f>"909.41"</f>
        <v>909.41</v>
      </c>
      <c r="Z1424" t="str">
        <f>""</f>
        <v/>
      </c>
      <c r="AA1424" t="str">
        <f>"56269.00"</f>
        <v>56269.00</v>
      </c>
      <c r="AB1424" t="str">
        <f t="shared" si="496"/>
        <v>Residential</v>
      </c>
      <c r="AC1424" t="str">
        <f t="shared" si="475"/>
        <v>0</v>
      </c>
      <c r="AD1424" t="str">
        <f>"4"</f>
        <v>4</v>
      </c>
      <c r="AE1424" t="str">
        <f>"WOOD (INCLUDE STEEL STUDS)"</f>
        <v>WOOD (INCLUDE STEEL STUDS)</v>
      </c>
      <c r="AF1424" t="str">
        <f>"001"</f>
        <v>001</v>
      </c>
      <c r="AG1424" t="str">
        <f t="shared" si="497"/>
        <v>FL</v>
      </c>
      <c r="AH1424" t="str">
        <f>"22000.00"</f>
        <v>22000.00</v>
      </c>
      <c r="AI1424" t="str">
        <f>"17850.00"</f>
        <v>17850.00</v>
      </c>
      <c r="AJ1424" t="str">
        <f>"C55-000-588-7383-7"</f>
        <v>C55-000-588-7383-7</v>
      </c>
      <c r="AK1424" t="str">
        <f>"24039"</f>
        <v>24039</v>
      </c>
      <c r="AL1424">
        <v>5</v>
      </c>
      <c r="AM1424">
        <v>1628</v>
      </c>
      <c r="AN1424">
        <v>953.28</v>
      </c>
      <c r="AQ1424" t="s">
        <v>14476</v>
      </c>
      <c r="AR1424" t="s">
        <v>14476</v>
      </c>
      <c r="AS1424" t="s">
        <v>14476</v>
      </c>
      <c r="AU1424" t="s">
        <v>396</v>
      </c>
      <c r="AV1424">
        <v>2017</v>
      </c>
      <c r="AW1424" t="str">
        <f>"51-3N-27-0000-0060-0040 "</f>
        <v xml:space="preserve">51-3N-27-0000-0060-0040 </v>
      </c>
      <c r="AX1424">
        <v>86013</v>
      </c>
      <c r="AZ1424" t="s">
        <v>14477</v>
      </c>
      <c r="BA1424" t="s">
        <v>669</v>
      </c>
      <c r="BD1424" t="s">
        <v>2387</v>
      </c>
      <c r="BE1424" t="s">
        <v>393</v>
      </c>
      <c r="BF1424">
        <v>32097</v>
      </c>
      <c r="BG1424" t="s">
        <v>14478</v>
      </c>
      <c r="BH1424" t="s">
        <v>2388</v>
      </c>
      <c r="BI1424">
        <v>-81.570181504115595</v>
      </c>
      <c r="BJ1424">
        <v>30.6427260014861</v>
      </c>
      <c r="BK1424" t="s">
        <v>14479</v>
      </c>
      <c r="BL1424" t="s">
        <v>14480</v>
      </c>
      <c r="BM1424" t="s">
        <v>14481</v>
      </c>
      <c r="BN1424" t="s">
        <v>3983</v>
      </c>
      <c r="BO1424">
        <v>32034</v>
      </c>
      <c r="BP1424" t="s">
        <v>404</v>
      </c>
      <c r="BQ1424">
        <v>100</v>
      </c>
      <c r="BR1424" t="s">
        <v>514</v>
      </c>
      <c r="BS1424">
        <v>1001</v>
      </c>
      <c r="BT1424" t="s">
        <v>515</v>
      </c>
      <c r="BU1424">
        <v>1000</v>
      </c>
      <c r="BV1424">
        <v>0</v>
      </c>
      <c r="BW1424">
        <v>22001</v>
      </c>
      <c r="BX1424" t="s">
        <v>407</v>
      </c>
      <c r="BY1424" t="s">
        <v>7351</v>
      </c>
      <c r="BZ1424">
        <v>4</v>
      </c>
      <c r="CA1424">
        <v>1963</v>
      </c>
      <c r="CB1424">
        <v>1</v>
      </c>
      <c r="CC1424">
        <v>1</v>
      </c>
      <c r="CD1424">
        <v>2017</v>
      </c>
      <c r="CE1424">
        <v>17850</v>
      </c>
      <c r="CF1424">
        <v>38419</v>
      </c>
      <c r="CG1424">
        <v>56269</v>
      </c>
      <c r="CH1424">
        <v>2017</v>
      </c>
      <c r="CI1424">
        <v>17850</v>
      </c>
      <c r="CJ1424">
        <v>38419</v>
      </c>
      <c r="CK1424">
        <v>56269</v>
      </c>
      <c r="CL1424">
        <v>2017</v>
      </c>
      <c r="CM1424">
        <v>851.85</v>
      </c>
      <c r="CN1424" s="1">
        <v>40522</v>
      </c>
      <c r="CZ1424" s="1">
        <v>40522</v>
      </c>
      <c r="DD1424" t="s">
        <v>2387</v>
      </c>
      <c r="DG1424">
        <v>51</v>
      </c>
      <c r="DL1424">
        <v>50301</v>
      </c>
      <c r="DM1424" t="s">
        <v>14357</v>
      </c>
      <c r="DO1424" t="s">
        <v>14482</v>
      </c>
      <c r="DP1424">
        <v>0</v>
      </c>
      <c r="DQ1424">
        <v>0</v>
      </c>
      <c r="DR1424" t="s">
        <v>411</v>
      </c>
      <c r="DS1424" t="b">
        <v>1</v>
      </c>
      <c r="DT1424" t="s">
        <v>470</v>
      </c>
      <c r="DU1424" t="s">
        <v>471</v>
      </c>
      <c r="DV1424" t="s">
        <v>472</v>
      </c>
      <c r="DX1424">
        <v>-9999</v>
      </c>
      <c r="DZ1424" t="s">
        <v>447</v>
      </c>
      <c r="EA1424" t="s">
        <v>448</v>
      </c>
      <c r="EB1424" t="s">
        <v>742</v>
      </c>
      <c r="EC1424">
        <v>20101217</v>
      </c>
      <c r="ED1424" t="s">
        <v>474</v>
      </c>
      <c r="EF1424">
        <v>311.5</v>
      </c>
      <c r="EG1424">
        <v>311.5</v>
      </c>
      <c r="EI1424">
        <v>20160407</v>
      </c>
      <c r="EJ1424">
        <v>0</v>
      </c>
      <c r="EK1424">
        <v>0</v>
      </c>
      <c r="EP1424" t="s">
        <v>421</v>
      </c>
      <c r="EQ1424" t="s">
        <v>422</v>
      </c>
      <c r="ER1424">
        <v>2</v>
      </c>
      <c r="ES1424">
        <v>10</v>
      </c>
      <c r="ET1424">
        <v>1915.34</v>
      </c>
      <c r="EU1424">
        <v>108.27</v>
      </c>
      <c r="EV1424">
        <v>2023.61</v>
      </c>
      <c r="EW1424" s="2">
        <v>43222</v>
      </c>
      <c r="EX1424" s="1">
        <v>42879</v>
      </c>
      <c r="EY1424">
        <v>2016</v>
      </c>
      <c r="EZ1424">
        <v>957.67</v>
      </c>
      <c r="FA1424" t="s">
        <v>14483</v>
      </c>
      <c r="FB1424">
        <v>0.25</v>
      </c>
      <c r="FC1424" t="s">
        <v>424</v>
      </c>
      <c r="FD1424" t="s">
        <v>454</v>
      </c>
      <c r="FF1424">
        <v>12</v>
      </c>
      <c r="FG1424">
        <v>7400234</v>
      </c>
      <c r="FH1424" t="s">
        <v>426</v>
      </c>
      <c r="FJ1424" s="1">
        <v>42879</v>
      </c>
      <c r="FK1424">
        <v>2016</v>
      </c>
      <c r="FL1424">
        <v>957.67</v>
      </c>
      <c r="FM1424" t="s">
        <v>14483</v>
      </c>
      <c r="FN1424">
        <v>0.25</v>
      </c>
      <c r="FO1424" t="s">
        <v>424</v>
      </c>
      <c r="FP1424" t="s">
        <v>454</v>
      </c>
      <c r="FR1424">
        <v>12</v>
      </c>
      <c r="FS1424">
        <v>7482580</v>
      </c>
      <c r="FT1424" t="s">
        <v>14484</v>
      </c>
      <c r="FV1424" s="1">
        <v>42515</v>
      </c>
      <c r="FW1424">
        <v>2015</v>
      </c>
      <c r="FX1424">
        <v>980.09</v>
      </c>
      <c r="FY1424" t="s">
        <v>14485</v>
      </c>
      <c r="FZ1424">
        <v>0.25</v>
      </c>
      <c r="GA1424" t="s">
        <v>424</v>
      </c>
      <c r="GB1424" t="s">
        <v>425</v>
      </c>
      <c r="GC1424" s="1">
        <v>43158</v>
      </c>
      <c r="GD1424">
        <v>21</v>
      </c>
      <c r="GE1424">
        <v>7045074</v>
      </c>
      <c r="GF1424" t="s">
        <v>580</v>
      </c>
      <c r="GH1424" s="1">
        <v>42515</v>
      </c>
      <c r="GI1424">
        <v>2015</v>
      </c>
      <c r="GJ1424">
        <v>980.09</v>
      </c>
      <c r="GK1424" t="s">
        <v>14485</v>
      </c>
      <c r="GL1424">
        <v>0.25</v>
      </c>
      <c r="GM1424" t="s">
        <v>424</v>
      </c>
      <c r="GN1424" t="s">
        <v>425</v>
      </c>
      <c r="GP1424">
        <v>22</v>
      </c>
      <c r="GQ1424">
        <v>6259443</v>
      </c>
      <c r="GR1424" t="s">
        <v>14486</v>
      </c>
      <c r="GT1424" s="1">
        <v>42151</v>
      </c>
      <c r="GU1424">
        <v>2014</v>
      </c>
      <c r="GV1424">
        <v>925.88</v>
      </c>
      <c r="GW1424" t="s">
        <v>14487</v>
      </c>
      <c r="GX1424">
        <v>0.25</v>
      </c>
      <c r="GY1424" t="s">
        <v>424</v>
      </c>
      <c r="GZ1424" t="s">
        <v>425</v>
      </c>
      <c r="HA1424" s="1">
        <v>42794</v>
      </c>
      <c r="HB1424">
        <v>21</v>
      </c>
      <c r="HC1424">
        <v>4975594</v>
      </c>
      <c r="HD1424" t="s">
        <v>457</v>
      </c>
      <c r="HF1424" s="1">
        <v>42151</v>
      </c>
      <c r="HG1424">
        <v>2014</v>
      </c>
      <c r="HH1424">
        <v>925.88</v>
      </c>
      <c r="HI1424" t="s">
        <v>14487</v>
      </c>
      <c r="HJ1424">
        <v>0.25</v>
      </c>
      <c r="HK1424" t="s">
        <v>424</v>
      </c>
      <c r="HL1424" t="s">
        <v>425</v>
      </c>
      <c r="HN1424">
        <v>22</v>
      </c>
      <c r="HO1424">
        <v>6599780</v>
      </c>
      <c r="HP1424" t="s">
        <v>14488</v>
      </c>
      <c r="HR1424" s="1">
        <v>41787</v>
      </c>
      <c r="HS1424">
        <v>2013</v>
      </c>
      <c r="HT1424">
        <v>839.5</v>
      </c>
      <c r="HU1424" t="s">
        <v>14489</v>
      </c>
      <c r="HV1424">
        <v>0.25</v>
      </c>
      <c r="HW1424" t="s">
        <v>424</v>
      </c>
      <c r="HX1424" t="s">
        <v>425</v>
      </c>
      <c r="HY1424" s="1">
        <v>42426</v>
      </c>
      <c r="HZ1424">
        <v>21</v>
      </c>
      <c r="IA1424">
        <v>2407503</v>
      </c>
      <c r="IB1424" t="s">
        <v>461</v>
      </c>
      <c r="ID1424" s="1">
        <v>41423</v>
      </c>
      <c r="IE1424">
        <v>2012</v>
      </c>
      <c r="IF1424">
        <v>854.18</v>
      </c>
      <c r="IG1424" t="s">
        <v>14490</v>
      </c>
      <c r="IH1424">
        <v>0.25</v>
      </c>
      <c r="II1424" t="s">
        <v>424</v>
      </c>
      <c r="IJ1424" t="s">
        <v>425</v>
      </c>
      <c r="IL1424">
        <v>22</v>
      </c>
      <c r="IM1424">
        <v>11303</v>
      </c>
      <c r="IN1424" t="s">
        <v>918</v>
      </c>
      <c r="IP1424" s="1">
        <v>41423</v>
      </c>
      <c r="IQ1424">
        <v>2012</v>
      </c>
      <c r="IR1424">
        <v>854.18</v>
      </c>
      <c r="IS1424" t="s">
        <v>14490</v>
      </c>
      <c r="IT1424">
        <v>0.25</v>
      </c>
      <c r="IU1424" t="s">
        <v>424</v>
      </c>
      <c r="IV1424" t="s">
        <v>425</v>
      </c>
      <c r="IW1424" s="1">
        <v>42060</v>
      </c>
      <c r="IX1424">
        <v>21</v>
      </c>
      <c r="IY1424">
        <v>4844956</v>
      </c>
      <c r="IZ1424" t="s">
        <v>919</v>
      </c>
      <c r="JB1424" s="1">
        <v>41052</v>
      </c>
      <c r="JC1424">
        <v>2011</v>
      </c>
      <c r="JD1424">
        <v>907.73</v>
      </c>
      <c r="JE1424" t="s">
        <v>14491</v>
      </c>
      <c r="JF1424">
        <v>4.75</v>
      </c>
      <c r="JG1424" t="s">
        <v>424</v>
      </c>
      <c r="JH1424" t="s">
        <v>425</v>
      </c>
      <c r="JI1424" s="1">
        <v>41689</v>
      </c>
      <c r="JJ1424">
        <v>21</v>
      </c>
      <c r="JK1424">
        <v>1625515</v>
      </c>
      <c r="JL1424" t="s">
        <v>487</v>
      </c>
      <c r="JN1424" s="1">
        <v>41052</v>
      </c>
      <c r="JO1424">
        <v>2011</v>
      </c>
      <c r="JP1424">
        <v>907.73</v>
      </c>
      <c r="JQ1424" t="s">
        <v>14491</v>
      </c>
      <c r="JR1424">
        <v>4.75</v>
      </c>
      <c r="JS1424" t="s">
        <v>424</v>
      </c>
      <c r="JT1424" t="s">
        <v>425</v>
      </c>
      <c r="JV1424">
        <v>22</v>
      </c>
      <c r="JW1424">
        <v>10579</v>
      </c>
      <c r="JX1424" t="s">
        <v>488</v>
      </c>
      <c r="JZ1424" s="1">
        <v>40688</v>
      </c>
      <c r="KA1424">
        <v>2010</v>
      </c>
      <c r="KB1424">
        <v>258.2</v>
      </c>
      <c r="KC1424" t="s">
        <v>14492</v>
      </c>
      <c r="KD1424">
        <v>6</v>
      </c>
      <c r="KE1424" t="s">
        <v>424</v>
      </c>
      <c r="KF1424" t="s">
        <v>425</v>
      </c>
      <c r="KG1424" s="1">
        <v>41333</v>
      </c>
      <c r="KH1424">
        <v>21</v>
      </c>
      <c r="KI1424">
        <v>105</v>
      </c>
      <c r="KJ1424" t="s">
        <v>946</v>
      </c>
    </row>
    <row r="1425" spans="1:272" x14ac:dyDescent="0.25">
      <c r="A1425">
        <v>16486432</v>
      </c>
      <c r="B1425">
        <v>1424</v>
      </c>
      <c r="C1425" t="s">
        <v>393</v>
      </c>
      <c r="D1425" t="s">
        <v>394</v>
      </c>
      <c r="F1425" t="str">
        <f>"51-3N-27-0000-0066-0010"</f>
        <v>51-3N-27-0000-0066-0010</v>
      </c>
      <c r="H1425" t="str">
        <f>"KEPNER FRANK &amp; LAURIE P"</f>
        <v>KEPNER FRANK &amp; LAURIE P</v>
      </c>
      <c r="I1425" t="str">
        <f>"PO BOX 96"</f>
        <v>PO BOX 96</v>
      </c>
      <c r="J1425" t="str">
        <f>"YULEE FL 32041"</f>
        <v>YULEE FL 32041</v>
      </c>
      <c r="K1425" t="str">
        <f>"OFF PAGES DAIRY RD"</f>
        <v>OFF PAGES DAIRY RD</v>
      </c>
      <c r="L1425" t="str">
        <f t="shared" si="491"/>
        <v>YULEE FL 32097</v>
      </c>
      <c r="M1425" t="str">
        <f>"IN OR 1645/180"</f>
        <v>IN OR 1645/180</v>
      </c>
      <c r="N1425" t="str">
        <f>""</f>
        <v/>
      </c>
      <c r="O1425" t="str">
        <f>"55092"</f>
        <v>55092</v>
      </c>
      <c r="P1425" t="str">
        <f t="shared" si="494"/>
        <v>2017</v>
      </c>
      <c r="Q1425" t="str">
        <f>""</f>
        <v/>
      </c>
      <c r="R1425" t="str">
        <f t="shared" si="498"/>
        <v>N</v>
      </c>
      <c r="S1425" t="str">
        <f>"0.47"</f>
        <v>0.47</v>
      </c>
      <c r="T1425" t="str">
        <f>"124.51"</f>
        <v>124.51</v>
      </c>
      <c r="U1425" t="str">
        <f>"8225.00"</f>
        <v>8225.00</v>
      </c>
      <c r="V1425" t="str">
        <f>"8225.00"</f>
        <v>8225.00</v>
      </c>
      <c r="W1425" t="str">
        <f t="shared" si="495"/>
        <v>2017</v>
      </c>
      <c r="X1425" t="str">
        <f>""</f>
        <v/>
      </c>
      <c r="Y1425" t="str">
        <f>"160.25"</f>
        <v>160.25</v>
      </c>
      <c r="Z1425" t="str">
        <f>""</f>
        <v/>
      </c>
      <c r="AA1425" t="str">
        <f>"8225.00"</f>
        <v>8225.00</v>
      </c>
      <c r="AB1425" t="str">
        <f t="shared" si="496"/>
        <v>Residential</v>
      </c>
      <c r="AC1425" t="str">
        <f t="shared" si="475"/>
        <v>0</v>
      </c>
      <c r="AD1425" t="str">
        <f>""</f>
        <v/>
      </c>
      <c r="AE1425" t="str">
        <f>""</f>
        <v/>
      </c>
      <c r="AF1425" t="str">
        <f>"000"</f>
        <v>000</v>
      </c>
      <c r="AG1425" t="str">
        <f t="shared" si="497"/>
        <v>FL</v>
      </c>
      <c r="AH1425" t="str">
        <f>"20473.00"</f>
        <v>20473.00</v>
      </c>
      <c r="AI1425" t="str">
        <f>"8225.00"</f>
        <v>8225.00</v>
      </c>
      <c r="AJ1425" t="str">
        <f>"C55-001-035-8338-1"</f>
        <v>C55-001-035-8338-1</v>
      </c>
      <c r="AK1425" t="str">
        <f>"24048"</f>
        <v>24048</v>
      </c>
      <c r="AL1425">
        <v>5</v>
      </c>
      <c r="AM1425">
        <v>1629</v>
      </c>
      <c r="AN1425">
        <v>166.66</v>
      </c>
      <c r="AQ1425" t="s">
        <v>14493</v>
      </c>
      <c r="AR1425" t="s">
        <v>14493</v>
      </c>
      <c r="AS1425" t="s">
        <v>14493</v>
      </c>
      <c r="AU1425" t="s">
        <v>396</v>
      </c>
      <c r="AV1425">
        <v>2017</v>
      </c>
      <c r="AW1425" t="str">
        <f>"51-3N-27-0000-0066-0010 "</f>
        <v xml:space="preserve">51-3N-27-0000-0066-0010 </v>
      </c>
      <c r="AZ1425" t="s">
        <v>14494</v>
      </c>
      <c r="BA1425" t="s">
        <v>496</v>
      </c>
      <c r="BD1425" t="s">
        <v>2387</v>
      </c>
      <c r="BE1425" t="s">
        <v>393</v>
      </c>
      <c r="BF1425">
        <v>32097</v>
      </c>
      <c r="BG1425" t="s">
        <v>14495</v>
      </c>
      <c r="BH1425" t="s">
        <v>2388</v>
      </c>
      <c r="BI1425">
        <v>-81.567133609912602</v>
      </c>
      <c r="BJ1425">
        <v>30.642044118867499</v>
      </c>
      <c r="BK1425" t="s">
        <v>14496</v>
      </c>
      <c r="BL1425" t="s">
        <v>14497</v>
      </c>
      <c r="BM1425" t="s">
        <v>14498</v>
      </c>
      <c r="BN1425" t="s">
        <v>1778</v>
      </c>
      <c r="BO1425">
        <v>32041</v>
      </c>
      <c r="BP1425" t="s">
        <v>404</v>
      </c>
      <c r="BQ1425">
        <v>0</v>
      </c>
      <c r="BR1425" t="s">
        <v>491</v>
      </c>
      <c r="BS1425">
        <v>8001</v>
      </c>
      <c r="BT1425" t="s">
        <v>492</v>
      </c>
      <c r="BW1425">
        <v>20473</v>
      </c>
      <c r="BX1425" t="s">
        <v>407</v>
      </c>
      <c r="BY1425" t="s">
        <v>7351</v>
      </c>
      <c r="CD1425">
        <v>2017</v>
      </c>
      <c r="CE1425">
        <v>8225</v>
      </c>
      <c r="CG1425">
        <v>8225</v>
      </c>
      <c r="CH1425">
        <v>2017</v>
      </c>
      <c r="CI1425">
        <v>8225</v>
      </c>
      <c r="CK1425">
        <v>8225</v>
      </c>
      <c r="CL1425">
        <v>2017</v>
      </c>
      <c r="CM1425">
        <v>124.51</v>
      </c>
      <c r="CN1425" s="1">
        <v>40108</v>
      </c>
      <c r="CO1425">
        <v>16800</v>
      </c>
      <c r="CZ1425" s="1">
        <v>40108</v>
      </c>
      <c r="DD1425" t="s">
        <v>2387</v>
      </c>
      <c r="DG1425">
        <v>51</v>
      </c>
      <c r="DI1425" t="s">
        <v>14499</v>
      </c>
      <c r="DL1425">
        <v>50301</v>
      </c>
      <c r="DM1425" t="s">
        <v>14357</v>
      </c>
      <c r="DO1425" t="s">
        <v>14500</v>
      </c>
      <c r="DP1425">
        <v>0</v>
      </c>
      <c r="DQ1425">
        <v>0</v>
      </c>
      <c r="DR1425" t="s">
        <v>411</v>
      </c>
    </row>
    <row r="1426" spans="1:272" x14ac:dyDescent="0.25">
      <c r="A1426">
        <v>16486433</v>
      </c>
      <c r="B1426">
        <v>1425</v>
      </c>
      <c r="C1426" t="s">
        <v>393</v>
      </c>
      <c r="D1426" t="s">
        <v>394</v>
      </c>
      <c r="F1426" t="str">
        <f>"51-3N-27-0000-0067-0010"</f>
        <v>51-3N-27-0000-0067-0010</v>
      </c>
      <c r="H1426" t="str">
        <f>"KEPNER FRANK A &amp; LAURIE P"</f>
        <v>KEPNER FRANK A &amp; LAURIE P</v>
      </c>
      <c r="I1426" t="str">
        <f>"PO BOX 96"</f>
        <v>PO BOX 96</v>
      </c>
      <c r="J1426" t="str">
        <f>"YULEE FL 32041"</f>
        <v>YULEE FL 32041</v>
      </c>
      <c r="K1426" t="str">
        <f>"86570 PAGES DAIRY RD"</f>
        <v>86570 PAGES DAIRY RD</v>
      </c>
      <c r="L1426" t="str">
        <f t="shared" si="491"/>
        <v>YULEE FL 32097</v>
      </c>
      <c r="M1426" t="str">
        <f>"IN OR 616 PG 1053"</f>
        <v>IN OR 616 PG 1053</v>
      </c>
      <c r="N1426" t="str">
        <f>""</f>
        <v/>
      </c>
      <c r="O1426" t="str">
        <f>"55095"</f>
        <v>55095</v>
      </c>
      <c r="P1426" t="str">
        <f t="shared" si="494"/>
        <v>2017</v>
      </c>
      <c r="Q1426" t="str">
        <f>""</f>
        <v/>
      </c>
      <c r="R1426" t="str">
        <f>"Y"</f>
        <v>Y</v>
      </c>
      <c r="S1426" t="str">
        <f>"1.70"</f>
        <v>1.70</v>
      </c>
      <c r="T1426" t="str">
        <f>"801.68"</f>
        <v>801.68</v>
      </c>
      <c r="U1426" t="str">
        <f>"92059.00"</f>
        <v>92059.00</v>
      </c>
      <c r="V1426" t="str">
        <f>"92059.00"</f>
        <v>92059.00</v>
      </c>
      <c r="W1426" t="str">
        <f t="shared" si="495"/>
        <v>2017</v>
      </c>
      <c r="X1426" t="str">
        <f>"12.00"</f>
        <v>12.00</v>
      </c>
      <c r="Y1426" t="str">
        <f>"857.73"</f>
        <v>857.73</v>
      </c>
      <c r="Z1426" t="str">
        <f>"25000.00"</f>
        <v>25000.00</v>
      </c>
      <c r="AA1426" t="str">
        <f>"67059.00"</f>
        <v>67059.00</v>
      </c>
      <c r="AB1426" t="str">
        <f t="shared" si="496"/>
        <v>Residential</v>
      </c>
      <c r="AC1426" t="str">
        <f t="shared" si="475"/>
        <v>0</v>
      </c>
      <c r="AD1426" t="str">
        <f>"4"</f>
        <v>4</v>
      </c>
      <c r="AE1426" t="str">
        <f>"WOOD (INCLUDE STEEL STUDS)"</f>
        <v>WOOD (INCLUDE STEEL STUDS)</v>
      </c>
      <c r="AF1426" t="str">
        <f>"001"</f>
        <v>001</v>
      </c>
      <c r="AG1426" t="str">
        <f t="shared" si="497"/>
        <v>FL</v>
      </c>
      <c r="AH1426" t="str">
        <f>"74052.00"</f>
        <v>74052.00</v>
      </c>
      <c r="AI1426" t="str">
        <f>"38250.00"</f>
        <v>38250.00</v>
      </c>
      <c r="AJ1426" t="str">
        <f>"C55-000-588-7392-8"</f>
        <v>C55-000-588-7392-8</v>
      </c>
      <c r="AK1426" t="str">
        <f>"24050"</f>
        <v>24050</v>
      </c>
      <c r="AL1426">
        <v>5</v>
      </c>
      <c r="AM1426">
        <v>1630</v>
      </c>
      <c r="AN1426">
        <v>899.02</v>
      </c>
      <c r="AQ1426" t="s">
        <v>14501</v>
      </c>
      <c r="AR1426" t="s">
        <v>14501</v>
      </c>
      <c r="AS1426" t="s">
        <v>14501</v>
      </c>
      <c r="AU1426" t="s">
        <v>396</v>
      </c>
      <c r="AV1426">
        <v>2017</v>
      </c>
      <c r="AW1426" t="str">
        <f>"51-3N-27-0000-0067-0010 "</f>
        <v xml:space="preserve">51-3N-27-0000-0067-0010 </v>
      </c>
      <c r="AX1426">
        <v>86570</v>
      </c>
      <c r="AZ1426" t="s">
        <v>14342</v>
      </c>
      <c r="BA1426" t="s">
        <v>496</v>
      </c>
      <c r="BD1426" t="s">
        <v>2387</v>
      </c>
      <c r="BE1426" t="s">
        <v>393</v>
      </c>
      <c r="BF1426">
        <v>32097</v>
      </c>
      <c r="BG1426" t="s">
        <v>14502</v>
      </c>
      <c r="BH1426" t="s">
        <v>2388</v>
      </c>
      <c r="BI1426">
        <v>-81.566860686898096</v>
      </c>
      <c r="BJ1426">
        <v>30.641964772211601</v>
      </c>
      <c r="BK1426" t="s">
        <v>14503</v>
      </c>
      <c r="BL1426" t="s">
        <v>14497</v>
      </c>
      <c r="BM1426" t="s">
        <v>14498</v>
      </c>
      <c r="BN1426" t="s">
        <v>1778</v>
      </c>
      <c r="BO1426">
        <v>32041</v>
      </c>
      <c r="BP1426" t="s">
        <v>404</v>
      </c>
      <c r="BQ1426">
        <v>100</v>
      </c>
      <c r="BR1426" t="s">
        <v>514</v>
      </c>
      <c r="BS1426">
        <v>1001</v>
      </c>
      <c r="BT1426" t="s">
        <v>515</v>
      </c>
      <c r="BW1426">
        <v>74052</v>
      </c>
      <c r="BX1426" t="s">
        <v>407</v>
      </c>
      <c r="BY1426" t="s">
        <v>408</v>
      </c>
      <c r="BZ1426">
        <v>4</v>
      </c>
      <c r="CA1426">
        <v>1960</v>
      </c>
      <c r="CB1426">
        <v>2</v>
      </c>
      <c r="CC1426">
        <v>1</v>
      </c>
      <c r="CD1426">
        <v>2017</v>
      </c>
      <c r="CG1426">
        <v>92059</v>
      </c>
      <c r="CH1426">
        <v>2017</v>
      </c>
      <c r="CI1426">
        <v>38250</v>
      </c>
      <c r="CJ1426">
        <v>97723</v>
      </c>
      <c r="CK1426">
        <v>135973</v>
      </c>
      <c r="CL1426">
        <v>2017</v>
      </c>
      <c r="CM1426">
        <v>801.68</v>
      </c>
      <c r="CN1426" s="1">
        <v>33249</v>
      </c>
      <c r="CO1426">
        <v>53000</v>
      </c>
      <c r="CZ1426" s="1">
        <v>33249</v>
      </c>
      <c r="DD1426" t="s">
        <v>2387</v>
      </c>
      <c r="DG1426">
        <v>51</v>
      </c>
      <c r="DL1426">
        <v>50301</v>
      </c>
      <c r="DM1426" t="s">
        <v>14357</v>
      </c>
      <c r="DO1426" t="s">
        <v>14504</v>
      </c>
      <c r="DP1426">
        <v>0</v>
      </c>
      <c r="DQ1426">
        <v>0</v>
      </c>
      <c r="DR1426" t="s">
        <v>411</v>
      </c>
    </row>
    <row r="1427" spans="1:272" x14ac:dyDescent="0.25">
      <c r="A1427">
        <v>16486434</v>
      </c>
      <c r="B1427">
        <v>1426</v>
      </c>
      <c r="C1427" t="s">
        <v>393</v>
      </c>
      <c r="D1427" t="s">
        <v>394</v>
      </c>
      <c r="F1427" t="str">
        <f>"51-3N-27-0000-0067-0020"</f>
        <v>51-3N-27-0000-0067-0020</v>
      </c>
      <c r="H1427" t="str">
        <f>"KEPNER FRANK &amp; LAURIE B"</f>
        <v>KEPNER FRANK &amp; LAURIE B</v>
      </c>
      <c r="I1427" t="str">
        <f>"PO BOX 96"</f>
        <v>PO BOX 96</v>
      </c>
      <c r="J1427" t="str">
        <f>"YULEE FL 32041"</f>
        <v>YULEE FL 32041</v>
      </c>
      <c r="K1427" t="str">
        <f>"PAGES DAIRY RD"</f>
        <v>PAGES DAIRY RD</v>
      </c>
      <c r="L1427" t="str">
        <f t="shared" si="491"/>
        <v>YULEE FL 32097</v>
      </c>
      <c r="M1427" t="str">
        <f>"IN OR 734 PG 1563"</f>
        <v>IN OR 734 PG 1563</v>
      </c>
      <c r="N1427" t="str">
        <f>""</f>
        <v/>
      </c>
      <c r="O1427" t="str">
        <f>"55096"</f>
        <v>55096</v>
      </c>
      <c r="P1427" t="str">
        <f t="shared" si="494"/>
        <v>2017</v>
      </c>
      <c r="Q1427" t="str">
        <f>""</f>
        <v/>
      </c>
      <c r="R1427" t="str">
        <f>"N"</f>
        <v>N</v>
      </c>
      <c r="S1427" t="str">
        <f>"2.80"</f>
        <v>2.80</v>
      </c>
      <c r="T1427" t="str">
        <f>"794.79"</f>
        <v>794.79</v>
      </c>
      <c r="U1427" t="str">
        <f>"52500.00"</f>
        <v>52500.00</v>
      </c>
      <c r="V1427" t="str">
        <f>"52500.00"</f>
        <v>52500.00</v>
      </c>
      <c r="W1427" t="str">
        <f t="shared" si="495"/>
        <v>2017</v>
      </c>
      <c r="X1427" t="str">
        <f>"15.40"</f>
        <v>15.40</v>
      </c>
      <c r="Y1427" t="str">
        <f>"850.63"</f>
        <v>850.63</v>
      </c>
      <c r="Z1427" t="str">
        <f>""</f>
        <v/>
      </c>
      <c r="AA1427" t="str">
        <f>"52500.00"</f>
        <v>52500.00</v>
      </c>
      <c r="AB1427" t="str">
        <f t="shared" si="496"/>
        <v>Residential</v>
      </c>
      <c r="AC1427" t="str">
        <f t="shared" si="475"/>
        <v>0</v>
      </c>
      <c r="AD1427" t="str">
        <f>""</f>
        <v/>
      </c>
      <c r="AE1427" t="str">
        <f>""</f>
        <v/>
      </c>
      <c r="AF1427" t="str">
        <f>"000"</f>
        <v>000</v>
      </c>
      <c r="AG1427" t="str">
        <f t="shared" si="497"/>
        <v>FL</v>
      </c>
      <c r="AH1427" t="str">
        <f>"121968.00"</f>
        <v>121968.00</v>
      </c>
      <c r="AI1427" t="str">
        <f>"52500.00"</f>
        <v>52500.00</v>
      </c>
      <c r="AJ1427" t="str">
        <f>"C55-000-588-7393-6"</f>
        <v>C55-000-588-7393-6</v>
      </c>
      <c r="AK1427" t="str">
        <f>"24051"</f>
        <v>24051</v>
      </c>
      <c r="AL1427">
        <v>5</v>
      </c>
      <c r="AM1427">
        <v>1631</v>
      </c>
      <c r="AN1427">
        <v>891.56</v>
      </c>
      <c r="AQ1427" t="s">
        <v>14505</v>
      </c>
      <c r="AR1427" t="s">
        <v>14505</v>
      </c>
      <c r="AS1427" t="s">
        <v>14505</v>
      </c>
      <c r="AU1427" t="s">
        <v>396</v>
      </c>
      <c r="AV1427">
        <v>2017</v>
      </c>
      <c r="AW1427" t="str">
        <f>"51-3N-27-0000-0067-0020 "</f>
        <v xml:space="preserve">51-3N-27-0000-0067-0020 </v>
      </c>
      <c r="AZ1427" t="s">
        <v>14342</v>
      </c>
      <c r="BA1427" t="s">
        <v>496</v>
      </c>
      <c r="BD1427" t="s">
        <v>2387</v>
      </c>
      <c r="BE1427" t="s">
        <v>393</v>
      </c>
      <c r="BF1427">
        <v>32097</v>
      </c>
      <c r="BG1427" t="s">
        <v>14506</v>
      </c>
      <c r="BH1427" t="s">
        <v>2388</v>
      </c>
      <c r="BI1427">
        <v>-81.566280326066206</v>
      </c>
      <c r="BJ1427">
        <v>30.641875028373398</v>
      </c>
      <c r="BK1427" t="s">
        <v>14496</v>
      </c>
      <c r="BL1427" t="s">
        <v>14507</v>
      </c>
      <c r="BM1427" t="s">
        <v>14498</v>
      </c>
      <c r="BN1427" t="s">
        <v>1778</v>
      </c>
      <c r="BO1427">
        <v>32041</v>
      </c>
      <c r="BP1427" t="s">
        <v>404</v>
      </c>
      <c r="BQ1427">
        <v>0</v>
      </c>
      <c r="BR1427" t="s">
        <v>491</v>
      </c>
      <c r="BS1427">
        <v>8001</v>
      </c>
      <c r="BT1427" t="s">
        <v>492</v>
      </c>
      <c r="BW1427">
        <v>121968</v>
      </c>
      <c r="BX1427" t="s">
        <v>407</v>
      </c>
      <c r="CD1427">
        <v>2017</v>
      </c>
      <c r="CE1427">
        <v>52500</v>
      </c>
      <c r="CG1427">
        <v>52500</v>
      </c>
      <c r="CH1427">
        <v>2017</v>
      </c>
      <c r="CI1427">
        <v>52500</v>
      </c>
      <c r="CK1427">
        <v>52500</v>
      </c>
      <c r="CL1427">
        <v>2017</v>
      </c>
      <c r="CM1427">
        <v>794.79</v>
      </c>
      <c r="CN1427" s="1">
        <v>34905</v>
      </c>
      <c r="CZ1427" s="1">
        <v>34905</v>
      </c>
      <c r="DD1427" t="s">
        <v>2387</v>
      </c>
      <c r="DG1427">
        <v>51</v>
      </c>
      <c r="DM1427" t="s">
        <v>14357</v>
      </c>
      <c r="DO1427" t="s">
        <v>14508</v>
      </c>
      <c r="DP1427">
        <v>0</v>
      </c>
      <c r="DQ1427">
        <v>0</v>
      </c>
      <c r="DR1427" t="s">
        <v>411</v>
      </c>
      <c r="EP1427" t="s">
        <v>421</v>
      </c>
      <c r="EQ1427" t="s">
        <v>422</v>
      </c>
      <c r="ER1427">
        <v>0</v>
      </c>
      <c r="ES1427">
        <v>2</v>
      </c>
      <c r="ET1427">
        <v>0</v>
      </c>
      <c r="EU1427">
        <v>0</v>
      </c>
      <c r="EV1427">
        <v>0</v>
      </c>
      <c r="EW1427" s="2">
        <v>43222</v>
      </c>
      <c r="EX1427" s="1">
        <v>41423</v>
      </c>
      <c r="EY1427">
        <v>2012</v>
      </c>
      <c r="EZ1427">
        <v>881.92</v>
      </c>
      <c r="FA1427" t="s">
        <v>14509</v>
      </c>
      <c r="FB1427">
        <v>2.75</v>
      </c>
      <c r="FC1427" t="s">
        <v>424</v>
      </c>
      <c r="FD1427" t="s">
        <v>425</v>
      </c>
      <c r="FE1427" s="1">
        <v>41786</v>
      </c>
      <c r="FF1427">
        <v>12</v>
      </c>
      <c r="FG1427">
        <v>1625515</v>
      </c>
      <c r="FH1427" t="s">
        <v>487</v>
      </c>
      <c r="FJ1427" s="1">
        <v>40688</v>
      </c>
      <c r="FK1427">
        <v>2010</v>
      </c>
      <c r="FL1427">
        <v>1367.84</v>
      </c>
      <c r="FM1427" t="s">
        <v>14510</v>
      </c>
      <c r="FN1427">
        <v>6</v>
      </c>
      <c r="FO1427" t="s">
        <v>424</v>
      </c>
      <c r="FP1427" t="s">
        <v>425</v>
      </c>
      <c r="FQ1427" s="1">
        <v>41333</v>
      </c>
      <c r="FR1427">
        <v>21</v>
      </c>
      <c r="FS1427">
        <v>105</v>
      </c>
      <c r="FT1427" t="s">
        <v>946</v>
      </c>
    </row>
    <row r="1428" spans="1:272" x14ac:dyDescent="0.25">
      <c r="A1428">
        <v>16486435</v>
      </c>
      <c r="B1428">
        <v>1427</v>
      </c>
      <c r="C1428" t="s">
        <v>393</v>
      </c>
      <c r="D1428" t="s">
        <v>394</v>
      </c>
      <c r="F1428" t="str">
        <f>"51-3N-27-0497-0003-0000"</f>
        <v>51-3N-27-0497-0003-0000</v>
      </c>
      <c r="H1428" t="str">
        <f>"ETHRIDGE LILLIAN B"</f>
        <v>ETHRIDGE LILLIAN B</v>
      </c>
      <c r="I1428" t="str">
        <f>"PO BOX 1044"</f>
        <v>PO BOX 1044</v>
      </c>
      <c r="J1428" t="str">
        <f>"YULEE FL 32041"</f>
        <v>YULEE FL 32041</v>
      </c>
      <c r="K1428" t="str">
        <f>"86223 PAGES DAIRY RD"</f>
        <v>86223 PAGES DAIRY RD</v>
      </c>
      <c r="L1428" t="str">
        <f t="shared" si="491"/>
        <v>YULEE FL 32097</v>
      </c>
      <c r="M1428" t="str">
        <f>"LOT 3 2002 LEX DW IN OR 786 PG 1163 EZELL ACRES PB 5/326"</f>
        <v>LOT 3 2002 LEX DW IN OR 786 PG 1163 EZELL ACRES PB 5/326</v>
      </c>
      <c r="N1428" t="str">
        <f>""</f>
        <v/>
      </c>
      <c r="O1428" t="str">
        <f>"55183"</f>
        <v>55183</v>
      </c>
      <c r="P1428" t="str">
        <f t="shared" si="494"/>
        <v>2017</v>
      </c>
      <c r="Q1428" t="str">
        <f>""</f>
        <v/>
      </c>
      <c r="R1428" t="str">
        <f>"Y"</f>
        <v>Y</v>
      </c>
      <c r="S1428" t="str">
        <f>"1.01"</f>
        <v>1.01</v>
      </c>
      <c r="T1428" t="str">
        <f>"526.88"</f>
        <v>526.88</v>
      </c>
      <c r="U1428" t="str">
        <f>"72492.00"</f>
        <v>72492.00</v>
      </c>
      <c r="V1428" t="str">
        <f>"72492.00"</f>
        <v>72492.00</v>
      </c>
      <c r="W1428" t="str">
        <f t="shared" si="495"/>
        <v>2017</v>
      </c>
      <c r="X1428" t="str">
        <f>"11.22"</f>
        <v>11.22</v>
      </c>
      <c r="Y1428" t="str">
        <f>"574.69"</f>
        <v>574.69</v>
      </c>
      <c r="Z1428" t="str">
        <f>"25000.00"</f>
        <v>25000.00</v>
      </c>
      <c r="AA1428" t="str">
        <f>"47492.00"</f>
        <v>47492.00</v>
      </c>
      <c r="AB1428" t="str">
        <f t="shared" si="496"/>
        <v>Residential</v>
      </c>
      <c r="AC1428" t="str">
        <f t="shared" si="475"/>
        <v>0</v>
      </c>
      <c r="AD1428" t="str">
        <f>"4"</f>
        <v>4</v>
      </c>
      <c r="AE1428" t="str">
        <f>"WOOD (INCLUDE STEEL STUDS)"</f>
        <v>WOOD (INCLUDE STEEL STUDS)</v>
      </c>
      <c r="AF1428" t="str">
        <f>"002"</f>
        <v>002</v>
      </c>
      <c r="AG1428" t="str">
        <f t="shared" si="497"/>
        <v>FL</v>
      </c>
      <c r="AH1428" t="str">
        <f>"43995.00"</f>
        <v>43995.00</v>
      </c>
      <c r="AI1428" t="str">
        <f>"25250.00"</f>
        <v>25250.00</v>
      </c>
      <c r="AJ1428" t="str">
        <f>"C55-000-588-7406-6"</f>
        <v>C55-000-588-7406-6</v>
      </c>
      <c r="AK1428" t="str">
        <f>"24134"</f>
        <v>24134</v>
      </c>
      <c r="AL1428">
        <v>5</v>
      </c>
      <c r="AM1428">
        <v>1632</v>
      </c>
      <c r="AN1428">
        <v>601.82000000000005</v>
      </c>
      <c r="AQ1428" t="s">
        <v>14511</v>
      </c>
      <c r="AR1428" t="s">
        <v>14511</v>
      </c>
      <c r="AS1428" t="s">
        <v>14511</v>
      </c>
      <c r="AU1428" t="s">
        <v>396</v>
      </c>
      <c r="AV1428">
        <v>2017</v>
      </c>
      <c r="AW1428" t="str">
        <f>"51-3N-27-0497-0003-0000 "</f>
        <v xml:space="preserve">51-3N-27-0497-0003-0000 </v>
      </c>
      <c r="AX1428">
        <v>86223</v>
      </c>
      <c r="AZ1428" t="s">
        <v>14342</v>
      </c>
      <c r="BA1428" t="s">
        <v>496</v>
      </c>
      <c r="BD1428" t="s">
        <v>2387</v>
      </c>
      <c r="BE1428" t="s">
        <v>393</v>
      </c>
      <c r="BF1428">
        <v>32097</v>
      </c>
      <c r="BG1428" t="s">
        <v>14512</v>
      </c>
      <c r="BH1428" t="s">
        <v>2388</v>
      </c>
      <c r="BI1428">
        <v>-81.591658313641503</v>
      </c>
      <c r="BJ1428">
        <v>30.638649709793601</v>
      </c>
      <c r="BK1428" t="s">
        <v>14513</v>
      </c>
      <c r="BM1428" t="s">
        <v>14514</v>
      </c>
      <c r="BN1428" t="s">
        <v>1778</v>
      </c>
      <c r="BO1428">
        <v>32041</v>
      </c>
      <c r="BP1428" t="s">
        <v>404</v>
      </c>
      <c r="BQ1428">
        <v>200</v>
      </c>
      <c r="BR1428" t="s">
        <v>405</v>
      </c>
      <c r="BS1428">
        <v>1006</v>
      </c>
      <c r="BT1428" t="s">
        <v>406</v>
      </c>
      <c r="BW1428">
        <v>43995</v>
      </c>
      <c r="BX1428" t="s">
        <v>407</v>
      </c>
      <c r="BY1428" t="s">
        <v>408</v>
      </c>
      <c r="BZ1428">
        <v>4</v>
      </c>
      <c r="CA1428">
        <v>2001</v>
      </c>
      <c r="CB1428">
        <v>1</v>
      </c>
      <c r="CC1428">
        <v>1</v>
      </c>
      <c r="CD1428">
        <v>2017</v>
      </c>
      <c r="CG1428">
        <v>72492</v>
      </c>
      <c r="CH1428">
        <v>2017</v>
      </c>
      <c r="CI1428">
        <v>25250</v>
      </c>
      <c r="CJ1428">
        <v>66581</v>
      </c>
      <c r="CK1428">
        <v>91831</v>
      </c>
      <c r="CL1428">
        <v>2017</v>
      </c>
      <c r="CM1428">
        <v>526.88</v>
      </c>
      <c r="CN1428" s="1">
        <v>35496</v>
      </c>
      <c r="CO1428">
        <v>7000</v>
      </c>
      <c r="CZ1428" s="1">
        <v>35496</v>
      </c>
      <c r="DD1428" t="s">
        <v>2387</v>
      </c>
      <c r="DF1428">
        <v>3</v>
      </c>
      <c r="DG1428">
        <v>51</v>
      </c>
      <c r="DJ1428" t="s">
        <v>14515</v>
      </c>
      <c r="DL1428">
        <v>50302</v>
      </c>
      <c r="DM1428" t="s">
        <v>14357</v>
      </c>
      <c r="DO1428" t="s">
        <v>14516</v>
      </c>
      <c r="DP1428">
        <v>0</v>
      </c>
      <c r="DQ1428">
        <v>1</v>
      </c>
      <c r="DR1428" t="s">
        <v>1479</v>
      </c>
      <c r="DS1428" t="b">
        <v>1</v>
      </c>
      <c r="DT1428" t="s">
        <v>470</v>
      </c>
      <c r="DU1428" t="s">
        <v>471</v>
      </c>
      <c r="DV1428" t="s">
        <v>472</v>
      </c>
      <c r="DX1428">
        <v>-9999</v>
      </c>
      <c r="DZ1428" t="s">
        <v>447</v>
      </c>
      <c r="EA1428" t="s">
        <v>448</v>
      </c>
      <c r="EB1428" t="s">
        <v>742</v>
      </c>
      <c r="EC1428">
        <v>20101217</v>
      </c>
      <c r="ED1428" t="s">
        <v>474</v>
      </c>
      <c r="EF1428">
        <v>815.5</v>
      </c>
      <c r="EG1428">
        <v>815.5</v>
      </c>
      <c r="EI1428">
        <v>20160407</v>
      </c>
      <c r="EJ1428">
        <v>0</v>
      </c>
      <c r="EK1428">
        <v>0</v>
      </c>
      <c r="EP1428" t="s">
        <v>421</v>
      </c>
      <c r="EQ1428" t="s">
        <v>422</v>
      </c>
      <c r="ER1428">
        <v>0</v>
      </c>
      <c r="ES1428">
        <v>7</v>
      </c>
      <c r="ET1428">
        <v>0</v>
      </c>
      <c r="EU1428">
        <v>0</v>
      </c>
      <c r="EV1428">
        <v>0</v>
      </c>
      <c r="EW1428" s="2">
        <v>43222</v>
      </c>
      <c r="EX1428" s="1">
        <v>42515</v>
      </c>
      <c r="EY1428">
        <v>2015</v>
      </c>
      <c r="EZ1428">
        <v>657.81</v>
      </c>
      <c r="FA1428" t="s">
        <v>14517</v>
      </c>
      <c r="FB1428">
        <v>0.25</v>
      </c>
      <c r="FC1428" t="s">
        <v>424</v>
      </c>
      <c r="FD1428" t="s">
        <v>425</v>
      </c>
      <c r="FE1428" s="1">
        <v>42877</v>
      </c>
      <c r="FF1428">
        <v>12</v>
      </c>
      <c r="FG1428">
        <v>7045074</v>
      </c>
      <c r="FH1428" t="s">
        <v>580</v>
      </c>
      <c r="FJ1428" s="1">
        <v>42515</v>
      </c>
      <c r="FK1428">
        <v>2015</v>
      </c>
      <c r="FL1428">
        <v>657.81</v>
      </c>
      <c r="FM1428" t="s">
        <v>14517</v>
      </c>
      <c r="FN1428">
        <v>0.25</v>
      </c>
      <c r="FO1428" t="s">
        <v>424</v>
      </c>
      <c r="FP1428" t="s">
        <v>425</v>
      </c>
      <c r="FR1428">
        <v>22</v>
      </c>
      <c r="FS1428">
        <v>6313197</v>
      </c>
      <c r="FT1428" t="s">
        <v>14518</v>
      </c>
      <c r="FV1428" s="1">
        <v>42151</v>
      </c>
      <c r="FW1428">
        <v>2014</v>
      </c>
      <c r="FX1428">
        <v>794.66</v>
      </c>
      <c r="FY1428" t="s">
        <v>14519</v>
      </c>
      <c r="FZ1428">
        <v>0.25</v>
      </c>
      <c r="GA1428" t="s">
        <v>424</v>
      </c>
      <c r="GB1428" t="s">
        <v>425</v>
      </c>
      <c r="GC1428" s="1">
        <v>42403</v>
      </c>
      <c r="GD1428">
        <v>9</v>
      </c>
      <c r="GE1428">
        <v>11289</v>
      </c>
      <c r="GF1428" t="s">
        <v>787</v>
      </c>
      <c r="GH1428" s="1">
        <v>42151</v>
      </c>
      <c r="GI1428">
        <v>2014</v>
      </c>
      <c r="GJ1428">
        <v>794.66</v>
      </c>
      <c r="GK1428" t="s">
        <v>14519</v>
      </c>
      <c r="GL1428">
        <v>0.25</v>
      </c>
      <c r="GM1428" t="s">
        <v>424</v>
      </c>
      <c r="GN1428" t="s">
        <v>425</v>
      </c>
      <c r="GP1428">
        <v>22</v>
      </c>
      <c r="GQ1428">
        <v>5189484</v>
      </c>
      <c r="GR1428" t="s">
        <v>14520</v>
      </c>
      <c r="GT1428" s="1">
        <v>41787</v>
      </c>
      <c r="GU1428">
        <v>2013</v>
      </c>
      <c r="GV1428">
        <v>826.21</v>
      </c>
      <c r="GW1428" t="s">
        <v>14521</v>
      </c>
      <c r="GX1428">
        <v>0.25</v>
      </c>
      <c r="GY1428" t="s">
        <v>424</v>
      </c>
      <c r="GZ1428" t="s">
        <v>425</v>
      </c>
      <c r="HA1428" s="1">
        <v>42403</v>
      </c>
      <c r="HB1428">
        <v>21</v>
      </c>
      <c r="HC1428">
        <v>2407503</v>
      </c>
      <c r="HD1428" t="s">
        <v>461</v>
      </c>
      <c r="HF1428" s="1">
        <v>41423</v>
      </c>
      <c r="HG1428">
        <v>2012</v>
      </c>
      <c r="HH1428">
        <v>816.86</v>
      </c>
      <c r="HI1428" t="s">
        <v>14522</v>
      </c>
      <c r="HJ1428">
        <v>0.25</v>
      </c>
      <c r="HK1428" t="s">
        <v>424</v>
      </c>
      <c r="HL1428" t="s">
        <v>425</v>
      </c>
      <c r="HM1428" s="1">
        <v>41789</v>
      </c>
      <c r="HN1428">
        <v>12</v>
      </c>
      <c r="HO1428">
        <v>15399</v>
      </c>
      <c r="HP1428" t="s">
        <v>485</v>
      </c>
      <c r="HR1428" s="1">
        <v>40688</v>
      </c>
      <c r="HS1428">
        <v>2010</v>
      </c>
      <c r="HT1428">
        <v>1153.9000000000001</v>
      </c>
      <c r="HU1428" t="s">
        <v>14523</v>
      </c>
      <c r="HV1428">
        <v>6</v>
      </c>
      <c r="HW1428" t="s">
        <v>424</v>
      </c>
      <c r="HX1428" t="s">
        <v>425</v>
      </c>
      <c r="HY1428" s="1">
        <v>41025</v>
      </c>
      <c r="HZ1428">
        <v>11</v>
      </c>
      <c r="IA1428">
        <v>375</v>
      </c>
      <c r="IB1428" t="s">
        <v>776</v>
      </c>
    </row>
    <row r="1429" spans="1:272" x14ac:dyDescent="0.25">
      <c r="A1429">
        <v>16486436</v>
      </c>
      <c r="B1429">
        <v>1428</v>
      </c>
      <c r="C1429" t="s">
        <v>393</v>
      </c>
      <c r="D1429" t="s">
        <v>394</v>
      </c>
      <c r="F1429" t="str">
        <f>"51-3N-27-0497-0005-0000"</f>
        <v>51-3N-27-0497-0005-0000</v>
      </c>
      <c r="H1429" t="str">
        <f>"SEWELL ROBERT B &amp; AMY E"</f>
        <v>SEWELL ROBERT B &amp; AMY E</v>
      </c>
      <c r="I1429" t="str">
        <f>"1507 SUNNYMEADE DR"</f>
        <v>1507 SUNNYMEADE DR</v>
      </c>
      <c r="J1429" t="str">
        <f>"JACKSONVILLE FL 32211"</f>
        <v>JACKSONVILLE FL 32211</v>
      </c>
      <c r="K1429" t="str">
        <f>"PAGES DAIRY RD"</f>
        <v>PAGES DAIRY RD</v>
      </c>
      <c r="L1429" t="str">
        <f t="shared" si="491"/>
        <v>YULEE FL 32097</v>
      </c>
      <c r="M1429" t="str">
        <f>"LOT 5 IN OR 1253/1859 EZELL ACRES PB 5/326"</f>
        <v>LOT 5 IN OR 1253/1859 EZELL ACRES PB 5/326</v>
      </c>
      <c r="N1429" t="str">
        <f>""</f>
        <v/>
      </c>
      <c r="O1429" t="str">
        <f>"55185"</f>
        <v>55185</v>
      </c>
      <c r="P1429" t="str">
        <f t="shared" si="494"/>
        <v>2017</v>
      </c>
      <c r="Q1429" t="str">
        <f>""</f>
        <v/>
      </c>
      <c r="R1429" t="str">
        <f>"N"</f>
        <v>N</v>
      </c>
      <c r="S1429" t="str">
        <f>"1.17"</f>
        <v>1.17</v>
      </c>
      <c r="T1429" t="str">
        <f>"442.81"</f>
        <v>442.81</v>
      </c>
      <c r="U1429" t="str">
        <f>"29250.00"</f>
        <v>29250.00</v>
      </c>
      <c r="V1429" t="str">
        <f>"29250.00"</f>
        <v>29250.00</v>
      </c>
      <c r="W1429" t="str">
        <f t="shared" si="495"/>
        <v>2017</v>
      </c>
      <c r="X1429" t="str">
        <f>""</f>
        <v/>
      </c>
      <c r="Y1429" t="str">
        <f>"488.09"</f>
        <v>488.09</v>
      </c>
      <c r="Z1429" t="str">
        <f>""</f>
        <v/>
      </c>
      <c r="AA1429" t="str">
        <f>"29250.00"</f>
        <v>29250.00</v>
      </c>
      <c r="AB1429" t="str">
        <f t="shared" si="496"/>
        <v>Residential</v>
      </c>
      <c r="AC1429" t="str">
        <f t="shared" si="475"/>
        <v>0</v>
      </c>
      <c r="AD1429" t="str">
        <f>""</f>
        <v/>
      </c>
      <c r="AE1429" t="str">
        <f>""</f>
        <v/>
      </c>
      <c r="AF1429" t="str">
        <f>"000"</f>
        <v>000</v>
      </c>
      <c r="AG1429" t="str">
        <f t="shared" si="497"/>
        <v>FL</v>
      </c>
      <c r="AH1429" t="str">
        <f>"50965.00"</f>
        <v>50965.00</v>
      </c>
      <c r="AI1429" t="str">
        <f>"29250.00"</f>
        <v>29250.00</v>
      </c>
      <c r="AJ1429" t="str">
        <f>"C55-000-588-7408-2"</f>
        <v>C55-000-588-7408-2</v>
      </c>
      <c r="AK1429" t="str">
        <f>"24136"</f>
        <v>24136</v>
      </c>
      <c r="AL1429">
        <v>5</v>
      </c>
      <c r="AM1429">
        <v>1633</v>
      </c>
      <c r="AN1429">
        <v>510.89</v>
      </c>
      <c r="AQ1429" t="s">
        <v>14524</v>
      </c>
      <c r="AR1429" t="s">
        <v>14524</v>
      </c>
      <c r="AS1429" t="s">
        <v>14524</v>
      </c>
      <c r="AU1429" t="s">
        <v>396</v>
      </c>
      <c r="AV1429">
        <v>2017</v>
      </c>
      <c r="AW1429" t="str">
        <f>"51-3N-27-0497-0005-0000 "</f>
        <v xml:space="preserve">51-3N-27-0497-0005-0000 </v>
      </c>
      <c r="AZ1429" t="s">
        <v>14342</v>
      </c>
      <c r="BA1429" t="s">
        <v>496</v>
      </c>
      <c r="BD1429" t="s">
        <v>2387</v>
      </c>
      <c r="BE1429" t="s">
        <v>393</v>
      </c>
      <c r="BF1429">
        <v>32097</v>
      </c>
      <c r="BG1429" t="s">
        <v>14506</v>
      </c>
      <c r="BH1429" t="s">
        <v>2388</v>
      </c>
      <c r="BI1429">
        <v>-81.592020048850799</v>
      </c>
      <c r="BJ1429">
        <v>30.639148431048302</v>
      </c>
      <c r="BK1429" t="s">
        <v>14525</v>
      </c>
      <c r="BL1429" t="s">
        <v>14526</v>
      </c>
      <c r="BM1429" t="s">
        <v>14527</v>
      </c>
      <c r="BN1429" t="s">
        <v>548</v>
      </c>
      <c r="BO1429">
        <v>32211</v>
      </c>
      <c r="BP1429" t="s">
        <v>404</v>
      </c>
      <c r="BQ1429">
        <v>0</v>
      </c>
      <c r="BR1429" t="s">
        <v>491</v>
      </c>
      <c r="BS1429">
        <v>8001</v>
      </c>
      <c r="BT1429" t="s">
        <v>492</v>
      </c>
      <c r="BW1429">
        <v>50965</v>
      </c>
      <c r="BX1429" t="s">
        <v>407</v>
      </c>
      <c r="BY1429" t="s">
        <v>408</v>
      </c>
      <c r="CD1429">
        <v>2017</v>
      </c>
      <c r="CE1429">
        <v>29250</v>
      </c>
      <c r="CG1429">
        <v>29250</v>
      </c>
      <c r="CH1429">
        <v>2017</v>
      </c>
      <c r="CI1429">
        <v>29250</v>
      </c>
      <c r="CK1429">
        <v>29250</v>
      </c>
      <c r="CL1429">
        <v>2017</v>
      </c>
      <c r="CM1429">
        <v>442.81</v>
      </c>
      <c r="CN1429" s="1">
        <v>38218</v>
      </c>
      <c r="CO1429">
        <v>36000</v>
      </c>
      <c r="CV1429">
        <v>32400</v>
      </c>
      <c r="CX1429" t="s">
        <v>675</v>
      </c>
      <c r="CZ1429" s="1">
        <v>38218</v>
      </c>
      <c r="DA1429">
        <v>0</v>
      </c>
      <c r="DD1429" t="s">
        <v>2387</v>
      </c>
      <c r="DF1429">
        <v>5</v>
      </c>
      <c r="DG1429">
        <v>51</v>
      </c>
      <c r="DJ1429" t="s">
        <v>14515</v>
      </c>
      <c r="DL1429">
        <v>50302</v>
      </c>
      <c r="DM1429" t="s">
        <v>14357</v>
      </c>
      <c r="DO1429" t="s">
        <v>14528</v>
      </c>
      <c r="DP1429">
        <v>0</v>
      </c>
      <c r="DQ1429">
        <v>1</v>
      </c>
      <c r="DR1429" t="s">
        <v>1479</v>
      </c>
      <c r="EP1429" t="s">
        <v>421</v>
      </c>
      <c r="EQ1429" t="s">
        <v>422</v>
      </c>
      <c r="ER1429">
        <v>7</v>
      </c>
      <c r="ES1429">
        <v>0</v>
      </c>
      <c r="ET1429">
        <v>6124.33</v>
      </c>
      <c r="EU1429">
        <v>349.97</v>
      </c>
      <c r="EV1429">
        <v>6474.3</v>
      </c>
      <c r="EW1429" s="2">
        <v>43222</v>
      </c>
      <c r="EX1429" s="1">
        <v>42879</v>
      </c>
      <c r="EY1429">
        <v>2016</v>
      </c>
      <c r="EZ1429">
        <v>512.61</v>
      </c>
      <c r="FA1429" t="s">
        <v>14529</v>
      </c>
      <c r="FB1429">
        <v>0.25</v>
      </c>
      <c r="FC1429" t="s">
        <v>424</v>
      </c>
      <c r="FD1429" t="s">
        <v>454</v>
      </c>
      <c r="FF1429">
        <v>12</v>
      </c>
      <c r="FG1429">
        <v>7045081</v>
      </c>
      <c r="FH1429" t="s">
        <v>4351</v>
      </c>
      <c r="FJ1429" s="1">
        <v>42879</v>
      </c>
      <c r="FK1429">
        <v>2015</v>
      </c>
      <c r="FL1429">
        <v>611.33000000000004</v>
      </c>
      <c r="FM1429" t="s">
        <v>14530</v>
      </c>
      <c r="FN1429">
        <v>4.75</v>
      </c>
      <c r="FO1429" t="s">
        <v>424</v>
      </c>
      <c r="FP1429" t="s">
        <v>454</v>
      </c>
      <c r="FR1429">
        <v>12</v>
      </c>
      <c r="FS1429">
        <v>7336143</v>
      </c>
      <c r="FT1429" t="s">
        <v>539</v>
      </c>
      <c r="FV1429" s="1">
        <v>42879</v>
      </c>
      <c r="FW1429">
        <v>2014</v>
      </c>
      <c r="FX1429">
        <v>701.64</v>
      </c>
      <c r="FY1429" t="s">
        <v>14531</v>
      </c>
      <c r="FZ1429">
        <v>4.75</v>
      </c>
      <c r="GA1429" t="s">
        <v>424</v>
      </c>
      <c r="GB1429" t="s">
        <v>454</v>
      </c>
      <c r="GD1429">
        <v>12</v>
      </c>
      <c r="GE1429">
        <v>7336143</v>
      </c>
      <c r="GF1429" t="s">
        <v>539</v>
      </c>
      <c r="GH1429" s="1">
        <v>42879</v>
      </c>
      <c r="GI1429">
        <v>2013</v>
      </c>
      <c r="GJ1429">
        <v>748.26</v>
      </c>
      <c r="GK1429" t="s">
        <v>14532</v>
      </c>
      <c r="GL1429">
        <v>4.75</v>
      </c>
      <c r="GM1429" t="s">
        <v>424</v>
      </c>
      <c r="GN1429" t="s">
        <v>454</v>
      </c>
      <c r="GP1429">
        <v>12</v>
      </c>
      <c r="GQ1429">
        <v>7336143</v>
      </c>
      <c r="GR1429" t="s">
        <v>539</v>
      </c>
      <c r="GT1429" s="1">
        <v>42879</v>
      </c>
      <c r="GU1429">
        <v>2012</v>
      </c>
      <c r="GV1429">
        <v>841.01</v>
      </c>
      <c r="GW1429" t="s">
        <v>14533</v>
      </c>
      <c r="GX1429">
        <v>4.75</v>
      </c>
      <c r="GY1429" t="s">
        <v>424</v>
      </c>
      <c r="GZ1429" t="s">
        <v>454</v>
      </c>
      <c r="HB1429">
        <v>12</v>
      </c>
      <c r="HC1429">
        <v>7336143</v>
      </c>
      <c r="HD1429" t="s">
        <v>539</v>
      </c>
      <c r="HF1429" s="1">
        <v>42879</v>
      </c>
      <c r="HG1429">
        <v>2011</v>
      </c>
      <c r="HH1429">
        <v>1130.1400000000001</v>
      </c>
      <c r="HI1429" t="s">
        <v>14534</v>
      </c>
      <c r="HJ1429">
        <v>4.75</v>
      </c>
      <c r="HK1429" t="s">
        <v>424</v>
      </c>
      <c r="HL1429" t="s">
        <v>454</v>
      </c>
      <c r="HN1429">
        <v>12</v>
      </c>
      <c r="HO1429">
        <v>7336143</v>
      </c>
      <c r="HP1429" t="s">
        <v>539</v>
      </c>
      <c r="HR1429" s="1">
        <v>42879</v>
      </c>
      <c r="HS1429">
        <v>2010</v>
      </c>
      <c r="HT1429">
        <v>1579.34</v>
      </c>
      <c r="HU1429" t="s">
        <v>14535</v>
      </c>
      <c r="HV1429">
        <v>4.75</v>
      </c>
      <c r="HW1429" t="s">
        <v>424</v>
      </c>
      <c r="HX1429" t="s">
        <v>454</v>
      </c>
      <c r="HZ1429">
        <v>12</v>
      </c>
      <c r="IA1429">
        <v>7336143</v>
      </c>
      <c r="IB1429" t="s">
        <v>539</v>
      </c>
    </row>
    <row r="1430" spans="1:272" x14ac:dyDescent="0.25">
      <c r="A1430">
        <v>16486437</v>
      </c>
      <c r="B1430">
        <v>1429</v>
      </c>
      <c r="C1430" t="s">
        <v>393</v>
      </c>
      <c r="D1430" t="s">
        <v>394</v>
      </c>
      <c r="F1430" t="str">
        <f>"51-3N-27-0497-0006-0000"</f>
        <v>51-3N-27-0497-0006-0000</v>
      </c>
      <c r="H1430" t="str">
        <f>"GROVE NANCY ANN TRUSTEE OF THE NANCY ANN GROVE LIVING TRUST"</f>
        <v>GROVE NANCY ANN TRUSTEE OF THE NANCY ANN GROVE LIVING TRUST</v>
      </c>
      <c r="I1430" t="str">
        <f>"96082 PARK PLACE"</f>
        <v>96082 PARK PLACE</v>
      </c>
      <c r="J1430" t="str">
        <f>"FERNANDINA BEACH FL 32034"</f>
        <v>FERNANDINA BEACH FL 32034</v>
      </c>
      <c r="K1430" t="str">
        <f>"86209 PAGES DAIRY RD"</f>
        <v>86209 PAGES DAIRY RD</v>
      </c>
      <c r="L1430" t="str">
        <f t="shared" si="491"/>
        <v>YULEE FL 32097</v>
      </c>
      <c r="M1430" t="str">
        <f>"LOT 6 IN OR 2045/1859 2002 JACO DW/MH EZELL ACRES PB 5/326"</f>
        <v>LOT 6 IN OR 2045/1859 2002 JACO DW/MH EZELL ACRES PB 5/326</v>
      </c>
      <c r="N1430" t="str">
        <f>""</f>
        <v/>
      </c>
      <c r="O1430" t="str">
        <f>"55186"</f>
        <v>55186</v>
      </c>
      <c r="P1430" t="str">
        <f t="shared" si="494"/>
        <v>2017</v>
      </c>
      <c r="Q1430" t="str">
        <f>""</f>
        <v/>
      </c>
      <c r="R1430" t="str">
        <f>"N"</f>
        <v>N</v>
      </c>
      <c r="S1430" t="str">
        <f>"1.31"</f>
        <v>1.31</v>
      </c>
      <c r="T1430" t="str">
        <f>"1361.80"</f>
        <v>1361.80</v>
      </c>
      <c r="U1430" t="str">
        <f>"87443.00"</f>
        <v>87443.00</v>
      </c>
      <c r="V1430" t="str">
        <f>"87443.00"</f>
        <v>87443.00</v>
      </c>
      <c r="W1430" t="str">
        <f t="shared" si="495"/>
        <v>2017</v>
      </c>
      <c r="X1430" t="str">
        <f>""</f>
        <v/>
      </c>
      <c r="Y1430" t="str">
        <f>"1434.65"</f>
        <v>1434.65</v>
      </c>
      <c r="Z1430" t="str">
        <f>""</f>
        <v/>
      </c>
      <c r="AA1430" t="str">
        <f>"93205.00"</f>
        <v>93205.00</v>
      </c>
      <c r="AB1430" t="str">
        <f t="shared" si="496"/>
        <v>Residential</v>
      </c>
      <c r="AC1430" t="str">
        <f t="shared" si="475"/>
        <v>0</v>
      </c>
      <c r="AD1430" t="str">
        <f>"4"</f>
        <v>4</v>
      </c>
      <c r="AE1430" t="str">
        <f>"WOOD (INCLUDE STEEL STUDS)"</f>
        <v>WOOD (INCLUDE STEEL STUDS)</v>
      </c>
      <c r="AF1430" t="str">
        <f>"002"</f>
        <v>002</v>
      </c>
      <c r="AG1430" t="str">
        <f t="shared" si="497"/>
        <v>FL</v>
      </c>
      <c r="AH1430" t="str">
        <f>"57063.00"</f>
        <v>57063.00</v>
      </c>
      <c r="AI1430" t="str">
        <f>"32750.00"</f>
        <v>32750.00</v>
      </c>
      <c r="AJ1430" t="str">
        <f>"C55-000-588-7409-0"</f>
        <v>C55-000-588-7409-0</v>
      </c>
      <c r="AK1430" t="str">
        <f>"24137"</f>
        <v>24137</v>
      </c>
      <c r="AL1430">
        <v>5</v>
      </c>
      <c r="AM1430">
        <v>1634</v>
      </c>
      <c r="AN1430">
        <v>1504.78</v>
      </c>
      <c r="AQ1430" t="s">
        <v>14536</v>
      </c>
      <c r="AR1430" t="s">
        <v>14536</v>
      </c>
      <c r="AS1430" t="s">
        <v>14536</v>
      </c>
      <c r="AU1430" t="s">
        <v>396</v>
      </c>
      <c r="AV1430">
        <v>2017</v>
      </c>
      <c r="AW1430" t="str">
        <f>"51-3N-27-0497-0006-0000 "</f>
        <v xml:space="preserve">51-3N-27-0497-0006-0000 </v>
      </c>
      <c r="AX1430">
        <v>86209</v>
      </c>
      <c r="AZ1430" t="s">
        <v>14342</v>
      </c>
      <c r="BA1430" t="s">
        <v>496</v>
      </c>
      <c r="BD1430" t="s">
        <v>2387</v>
      </c>
      <c r="BE1430" t="s">
        <v>393</v>
      </c>
      <c r="BF1430">
        <v>32097</v>
      </c>
      <c r="BG1430" t="s">
        <v>14537</v>
      </c>
      <c r="BH1430" t="s">
        <v>2388</v>
      </c>
      <c r="BI1430">
        <v>-81.592196991577694</v>
      </c>
      <c r="BJ1430">
        <v>30.639389792426599</v>
      </c>
      <c r="BK1430" t="s">
        <v>13512</v>
      </c>
      <c r="BL1430" t="s">
        <v>13513</v>
      </c>
      <c r="BM1430" t="s">
        <v>13514</v>
      </c>
      <c r="BN1430" t="s">
        <v>3983</v>
      </c>
      <c r="BO1430">
        <v>32034</v>
      </c>
      <c r="BP1430" t="s">
        <v>404</v>
      </c>
      <c r="BQ1430">
        <v>200</v>
      </c>
      <c r="BR1430" t="s">
        <v>405</v>
      </c>
      <c r="BS1430">
        <v>1006</v>
      </c>
      <c r="BT1430" t="s">
        <v>406</v>
      </c>
      <c r="BW1430">
        <v>57063</v>
      </c>
      <c r="BX1430" t="s">
        <v>407</v>
      </c>
      <c r="BY1430" t="s">
        <v>408</v>
      </c>
      <c r="BZ1430">
        <v>4</v>
      </c>
      <c r="CA1430">
        <v>2002</v>
      </c>
      <c r="CC1430">
        <v>1</v>
      </c>
      <c r="CD1430">
        <v>2017</v>
      </c>
      <c r="CE1430">
        <v>32750</v>
      </c>
      <c r="CF1430">
        <v>60455</v>
      </c>
      <c r="CG1430">
        <v>93205</v>
      </c>
      <c r="CH1430">
        <v>2017</v>
      </c>
      <c r="CI1430">
        <v>32750</v>
      </c>
      <c r="CJ1430">
        <v>60455</v>
      </c>
      <c r="CK1430">
        <v>93205</v>
      </c>
      <c r="CL1430">
        <v>2017</v>
      </c>
      <c r="CM1430">
        <v>1361.8</v>
      </c>
      <c r="CN1430" s="1">
        <v>38916</v>
      </c>
      <c r="CO1430">
        <v>178000</v>
      </c>
      <c r="CV1430">
        <v>0</v>
      </c>
      <c r="CZ1430" s="1">
        <v>38916</v>
      </c>
      <c r="DA1430">
        <v>0</v>
      </c>
      <c r="DD1430" t="s">
        <v>2387</v>
      </c>
      <c r="DF1430">
        <v>6</v>
      </c>
      <c r="DG1430">
        <v>51</v>
      </c>
      <c r="DJ1430" t="s">
        <v>14515</v>
      </c>
      <c r="DL1430">
        <v>50302</v>
      </c>
      <c r="DM1430" t="s">
        <v>14357</v>
      </c>
      <c r="DO1430" t="s">
        <v>14538</v>
      </c>
      <c r="DP1430">
        <v>1</v>
      </c>
      <c r="DQ1430">
        <v>1</v>
      </c>
      <c r="DR1430" t="s">
        <v>1479</v>
      </c>
    </row>
    <row r="1431" spans="1:272" x14ac:dyDescent="0.25">
      <c r="A1431">
        <v>16486438</v>
      </c>
      <c r="B1431">
        <v>1430</v>
      </c>
      <c r="C1431" t="s">
        <v>393</v>
      </c>
      <c r="D1431" t="s">
        <v>394</v>
      </c>
      <c r="F1431" t="str">
        <f>"51-3N-27-1626-0002-0000"</f>
        <v>51-3N-27-1626-0002-0000</v>
      </c>
      <c r="H1431" t="str">
        <f>"HALLMARK HOMES INC"</f>
        <v>HALLMARK HOMES INC</v>
      </c>
      <c r="I1431" t="str">
        <f>"8130 BAYMEADOWS CIRCLE W 107"</f>
        <v>8130 BAYMEADOWS CIRCLE W 107</v>
      </c>
      <c r="J1431" t="str">
        <f>"JACKSONVILLE FL 32256"</f>
        <v>JACKSONVILLE FL 32256</v>
      </c>
      <c r="K1431" t="str">
        <f>"86375 WORTHINGTON DR"</f>
        <v>86375 WORTHINGTON DR</v>
      </c>
      <c r="L1431" t="str">
        <f t="shared" si="491"/>
        <v>YULEE FL 32097</v>
      </c>
      <c r="M1431" t="str">
        <f>"LOT 2 IN OR 1106/1070 ESMT PT OR 1117/1699 PAGE HILL 2 PB 6/318"</f>
        <v>LOT 2 IN OR 1106/1070 ESMT PT OR 1117/1699 PAGE HILL 2 PB 6/318</v>
      </c>
      <c r="N1431" t="str">
        <f>""</f>
        <v/>
      </c>
      <c r="O1431" t="str">
        <f>"55243"</f>
        <v>55243</v>
      </c>
      <c r="P1431" t="str">
        <f t="shared" si="494"/>
        <v>2017</v>
      </c>
      <c r="Q1431" t="str">
        <f>""</f>
        <v/>
      </c>
      <c r="R1431" t="str">
        <f>"N"</f>
        <v>N</v>
      </c>
      <c r="S1431" t="str">
        <f>""</f>
        <v/>
      </c>
      <c r="T1431" t="str">
        <f>"494.45"</f>
        <v>494.45</v>
      </c>
      <c r="U1431" t="str">
        <f>"30855.00"</f>
        <v>30855.00</v>
      </c>
      <c r="V1431" t="str">
        <f>"30855.00"</f>
        <v>30855.00</v>
      </c>
      <c r="W1431" t="str">
        <f t="shared" si="495"/>
        <v>2017</v>
      </c>
      <c r="X1431" t="str">
        <f>""</f>
        <v/>
      </c>
      <c r="Y1431" t="str">
        <f>"541.28"</f>
        <v>541.28</v>
      </c>
      <c r="Z1431" t="str">
        <f>""</f>
        <v/>
      </c>
      <c r="AA1431" t="str">
        <f>"35000.00"</f>
        <v>35000.00</v>
      </c>
      <c r="AB1431" t="str">
        <f t="shared" si="496"/>
        <v>Residential</v>
      </c>
      <c r="AC1431" t="str">
        <f t="shared" si="475"/>
        <v>0</v>
      </c>
      <c r="AD1431" t="str">
        <f>""</f>
        <v/>
      </c>
      <c r="AE1431" t="str">
        <f>""</f>
        <v/>
      </c>
      <c r="AF1431" t="str">
        <f>"000"</f>
        <v>000</v>
      </c>
      <c r="AG1431" t="str">
        <f t="shared" si="497"/>
        <v>FL</v>
      </c>
      <c r="AH1431" t="str">
        <f>"-"</f>
        <v>-</v>
      </c>
      <c r="AI1431" t="str">
        <f>"35000.00"</f>
        <v>35000.00</v>
      </c>
      <c r="AJ1431" t="str">
        <f>"C55-000-588-9013-8"</f>
        <v>C55-000-588-9013-8</v>
      </c>
      <c r="AK1431" t="str">
        <f>"24192"</f>
        <v>24192</v>
      </c>
      <c r="AL1431">
        <v>5</v>
      </c>
      <c r="AM1431">
        <v>1635</v>
      </c>
      <c r="AN1431">
        <v>566.74</v>
      </c>
      <c r="AQ1431" t="s">
        <v>14539</v>
      </c>
      <c r="AR1431" t="s">
        <v>14539</v>
      </c>
      <c r="AS1431" t="s">
        <v>14539</v>
      </c>
      <c r="AU1431" t="s">
        <v>396</v>
      </c>
      <c r="AV1431">
        <v>2017</v>
      </c>
      <c r="AW1431" t="str">
        <f>"51-3N-27-1626-0002-0000 "</f>
        <v xml:space="preserve">51-3N-27-1626-0002-0000 </v>
      </c>
      <c r="AX1431">
        <v>86375</v>
      </c>
      <c r="AZ1431" t="s">
        <v>14540</v>
      </c>
      <c r="BA1431" t="s">
        <v>669</v>
      </c>
      <c r="BD1431" t="s">
        <v>2387</v>
      </c>
      <c r="BE1431" t="s">
        <v>393</v>
      </c>
      <c r="BF1431">
        <v>32097</v>
      </c>
      <c r="BG1431" t="s">
        <v>14541</v>
      </c>
      <c r="BH1431" t="s">
        <v>2388</v>
      </c>
      <c r="BI1431">
        <v>-81.565091919523496</v>
      </c>
      <c r="BJ1431">
        <v>30.647232583804399</v>
      </c>
      <c r="BK1431" t="s">
        <v>14542</v>
      </c>
      <c r="BM1431" t="s">
        <v>14543</v>
      </c>
      <c r="BN1431" t="s">
        <v>548</v>
      </c>
      <c r="BO1431">
        <v>32256</v>
      </c>
      <c r="BP1431" t="s">
        <v>404</v>
      </c>
      <c r="BQ1431">
        <v>0</v>
      </c>
      <c r="BR1431" t="s">
        <v>491</v>
      </c>
      <c r="BS1431">
        <v>8001</v>
      </c>
      <c r="BT1431" t="s">
        <v>492</v>
      </c>
      <c r="BW1431">
        <v>138214</v>
      </c>
      <c r="BX1431" t="s">
        <v>407</v>
      </c>
      <c r="BY1431" t="s">
        <v>408</v>
      </c>
      <c r="CD1431">
        <v>2017</v>
      </c>
      <c r="CE1431">
        <v>35000</v>
      </c>
      <c r="CG1431">
        <v>35000</v>
      </c>
      <c r="CH1431">
        <v>2017</v>
      </c>
      <c r="CI1431">
        <v>35000</v>
      </c>
      <c r="CK1431">
        <v>35000</v>
      </c>
      <c r="CL1431">
        <v>2017</v>
      </c>
      <c r="CM1431">
        <v>494.45</v>
      </c>
      <c r="CN1431" s="1">
        <v>37630</v>
      </c>
      <c r="CO1431">
        <v>23500</v>
      </c>
      <c r="CV1431">
        <v>0</v>
      </c>
      <c r="CZ1431" s="1">
        <v>37630</v>
      </c>
      <c r="DA1431">
        <v>0</v>
      </c>
      <c r="DD1431" t="s">
        <v>2387</v>
      </c>
      <c r="DF1431">
        <v>2</v>
      </c>
      <c r="DG1431">
        <v>51</v>
      </c>
      <c r="DL1431">
        <v>50301</v>
      </c>
      <c r="DM1431" t="s">
        <v>14357</v>
      </c>
      <c r="DO1431" t="s">
        <v>14544</v>
      </c>
      <c r="DP1431">
        <v>0</v>
      </c>
      <c r="DQ1431">
        <v>0</v>
      </c>
      <c r="DR1431" t="s">
        <v>411</v>
      </c>
      <c r="DS1431" t="b">
        <v>1</v>
      </c>
      <c r="DT1431" t="s">
        <v>470</v>
      </c>
      <c r="DU1431" t="s">
        <v>471</v>
      </c>
      <c r="DV1431" t="s">
        <v>472</v>
      </c>
      <c r="DX1431">
        <v>-9999</v>
      </c>
      <c r="DZ1431" t="s">
        <v>447</v>
      </c>
      <c r="EA1431" t="s">
        <v>448</v>
      </c>
      <c r="EB1431" t="s">
        <v>742</v>
      </c>
      <c r="EC1431">
        <v>20101217</v>
      </c>
      <c r="ED1431" t="s">
        <v>474</v>
      </c>
      <c r="EF1431">
        <v>2214.1</v>
      </c>
      <c r="EG1431">
        <v>2214.1</v>
      </c>
      <c r="EI1431">
        <v>20160407</v>
      </c>
      <c r="EJ1431">
        <v>0</v>
      </c>
      <c r="EK1431">
        <v>0</v>
      </c>
      <c r="EP1431" t="s">
        <v>595</v>
      </c>
      <c r="EQ1431" t="s">
        <v>422</v>
      </c>
      <c r="ER1431">
        <v>9</v>
      </c>
      <c r="ES1431">
        <v>0</v>
      </c>
      <c r="ET1431">
        <v>4190.2</v>
      </c>
      <c r="EU1431">
        <v>2845.41</v>
      </c>
      <c r="EV1431">
        <v>7035.61</v>
      </c>
      <c r="EW1431" s="2">
        <v>43222</v>
      </c>
      <c r="EX1431" s="1">
        <v>42879</v>
      </c>
      <c r="EY1431">
        <v>2016</v>
      </c>
      <c r="EZ1431">
        <v>507.02</v>
      </c>
      <c r="FA1431" t="s">
        <v>14545</v>
      </c>
      <c r="FB1431">
        <v>17.75</v>
      </c>
      <c r="FC1431" t="s">
        <v>424</v>
      </c>
      <c r="FD1431" t="s">
        <v>454</v>
      </c>
      <c r="FF1431">
        <v>12</v>
      </c>
      <c r="FG1431">
        <v>10125</v>
      </c>
      <c r="FH1431" t="s">
        <v>440</v>
      </c>
      <c r="FJ1431" s="1">
        <v>42515</v>
      </c>
      <c r="FK1431">
        <v>2015</v>
      </c>
      <c r="FL1431">
        <v>455.64</v>
      </c>
      <c r="FM1431" t="s">
        <v>14546</v>
      </c>
      <c r="FN1431">
        <v>18</v>
      </c>
      <c r="FO1431" t="s">
        <v>603</v>
      </c>
      <c r="FP1431" t="s">
        <v>454</v>
      </c>
      <c r="FR1431">
        <v>24</v>
      </c>
      <c r="FS1431">
        <v>9999999</v>
      </c>
      <c r="FT1431" t="s">
        <v>604</v>
      </c>
      <c r="FV1431" s="1">
        <v>42515</v>
      </c>
      <c r="FW1431">
        <v>2015</v>
      </c>
      <c r="FX1431">
        <v>482.39</v>
      </c>
      <c r="FY1431" t="s">
        <v>14546</v>
      </c>
      <c r="FZ1431">
        <v>18</v>
      </c>
      <c r="GA1431" t="s">
        <v>424</v>
      </c>
      <c r="GB1431" t="s">
        <v>454</v>
      </c>
      <c r="GD1431">
        <v>24</v>
      </c>
      <c r="GE1431">
        <v>14851</v>
      </c>
      <c r="GF1431" t="s">
        <v>4401</v>
      </c>
      <c r="GH1431" s="1">
        <v>42151</v>
      </c>
      <c r="GI1431">
        <v>2014</v>
      </c>
      <c r="GJ1431">
        <v>457.82</v>
      </c>
      <c r="GK1431" t="s">
        <v>14547</v>
      </c>
      <c r="GL1431">
        <v>18</v>
      </c>
      <c r="GM1431" t="s">
        <v>424</v>
      </c>
      <c r="GN1431" t="s">
        <v>454</v>
      </c>
      <c r="GP1431">
        <v>36</v>
      </c>
      <c r="GQ1431">
        <v>10125</v>
      </c>
      <c r="GR1431" t="s">
        <v>440</v>
      </c>
      <c r="GT1431" s="1">
        <v>41787</v>
      </c>
      <c r="GU1431">
        <v>2013</v>
      </c>
      <c r="GV1431">
        <v>434.51</v>
      </c>
      <c r="GW1431" t="s">
        <v>14548</v>
      </c>
      <c r="GX1431">
        <v>12.5</v>
      </c>
      <c r="GY1431" t="s">
        <v>424</v>
      </c>
      <c r="GZ1431" t="s">
        <v>454</v>
      </c>
      <c r="HB1431">
        <v>48</v>
      </c>
      <c r="HC1431">
        <v>10125</v>
      </c>
      <c r="HD1431" t="s">
        <v>440</v>
      </c>
      <c r="HF1431" s="1">
        <v>41423</v>
      </c>
      <c r="HG1431">
        <v>2012</v>
      </c>
      <c r="HH1431">
        <v>439.69</v>
      </c>
      <c r="HI1431" t="s">
        <v>14549</v>
      </c>
      <c r="HJ1431">
        <v>16.75</v>
      </c>
      <c r="HK1431" t="s">
        <v>424</v>
      </c>
      <c r="HL1431" t="s">
        <v>454</v>
      </c>
      <c r="HN1431">
        <v>60</v>
      </c>
      <c r="HO1431">
        <v>10125</v>
      </c>
      <c r="HP1431" t="s">
        <v>440</v>
      </c>
      <c r="HR1431" s="1">
        <v>41052</v>
      </c>
      <c r="HS1431">
        <v>2011</v>
      </c>
      <c r="HT1431">
        <v>458.41</v>
      </c>
      <c r="HU1431" t="s">
        <v>14550</v>
      </c>
      <c r="HV1431">
        <v>18</v>
      </c>
      <c r="HW1431" t="s">
        <v>424</v>
      </c>
      <c r="HX1431" t="s">
        <v>454</v>
      </c>
      <c r="HZ1431">
        <v>72</v>
      </c>
      <c r="IA1431">
        <v>10125</v>
      </c>
      <c r="IB1431" t="s">
        <v>440</v>
      </c>
      <c r="ID1431" s="1">
        <v>41052</v>
      </c>
      <c r="IE1431">
        <v>2011</v>
      </c>
      <c r="IF1431">
        <v>438.99</v>
      </c>
      <c r="IG1431" t="s">
        <v>14550</v>
      </c>
      <c r="IH1431">
        <v>18</v>
      </c>
      <c r="II1431" t="s">
        <v>603</v>
      </c>
      <c r="IJ1431" t="s">
        <v>454</v>
      </c>
      <c r="IL1431">
        <v>72</v>
      </c>
      <c r="IM1431">
        <v>9999999</v>
      </c>
      <c r="IN1431" t="s">
        <v>604</v>
      </c>
      <c r="IP1431" s="1">
        <v>40688</v>
      </c>
      <c r="IQ1431">
        <v>2010</v>
      </c>
      <c r="IR1431">
        <v>515.73</v>
      </c>
      <c r="IS1431" t="s">
        <v>14551</v>
      </c>
      <c r="IT1431">
        <v>15.5</v>
      </c>
      <c r="IU1431" t="s">
        <v>424</v>
      </c>
      <c r="IV1431" t="s">
        <v>454</v>
      </c>
      <c r="IX1431">
        <v>84</v>
      </c>
      <c r="IY1431">
        <v>10125</v>
      </c>
      <c r="IZ1431" t="s">
        <v>440</v>
      </c>
    </row>
    <row r="1432" spans="1:272" x14ac:dyDescent="0.25">
      <c r="A1432">
        <v>16486439</v>
      </c>
      <c r="B1432">
        <v>1431</v>
      </c>
      <c r="C1432" t="s">
        <v>393</v>
      </c>
      <c r="D1432" t="s">
        <v>394</v>
      </c>
      <c r="F1432" t="str">
        <f>"51-3N-27-1627-0009-0000"</f>
        <v>51-3N-27-1627-0009-0000</v>
      </c>
      <c r="H1432" t="str">
        <f>"STEPHENSON DANIEL M &amp; DAINA H"</f>
        <v>STEPHENSON DANIEL M &amp; DAINA H</v>
      </c>
      <c r="I1432" t="str">
        <f>"86961 WORTHINGTON DRIVE"</f>
        <v>86961 WORTHINGTON DRIVE</v>
      </c>
      <c r="J1432" t="str">
        <f>"YULEE FL 32097"</f>
        <v>YULEE FL 32097</v>
      </c>
      <c r="K1432" t="str">
        <f>"86961 WORTHINGTON DR"</f>
        <v>86961 WORTHINGTON DR</v>
      </c>
      <c r="L1432" t="str">
        <f t="shared" si="491"/>
        <v>YULEE FL 32097</v>
      </c>
      <c r="M1432" t="str">
        <f>"LOT 9 IN OR 2045/1603 PAGE HILL 3 PB 6/341"</f>
        <v>LOT 9 IN OR 2045/1603 PAGE HILL 3 PB 6/341</v>
      </c>
      <c r="N1432" t="str">
        <f>""</f>
        <v/>
      </c>
      <c r="O1432" t="str">
        <f>"55310"</f>
        <v>55310</v>
      </c>
      <c r="P1432" t="str">
        <f t="shared" si="494"/>
        <v>2017</v>
      </c>
      <c r="Q1432" t="str">
        <f>""</f>
        <v/>
      </c>
      <c r="R1432" t="str">
        <f>"N"</f>
        <v>N</v>
      </c>
      <c r="S1432" t="str">
        <f>""</f>
        <v/>
      </c>
      <c r="T1432" t="str">
        <f>"3183.00"</f>
        <v>3183.00</v>
      </c>
      <c r="U1432" t="str">
        <f>"210255.00"</f>
        <v>210255.00</v>
      </c>
      <c r="V1432" t="str">
        <f>"210255.00"</f>
        <v>210255.00</v>
      </c>
      <c r="W1432" t="str">
        <f t="shared" si="495"/>
        <v>2017</v>
      </c>
      <c r="X1432" t="str">
        <f>"5.00"</f>
        <v>5.00</v>
      </c>
      <c r="Y1432" t="str">
        <f>"3310.49"</f>
        <v>3310.49</v>
      </c>
      <c r="Z1432" t="str">
        <f>""</f>
        <v/>
      </c>
      <c r="AA1432" t="str">
        <f>"210255.00"</f>
        <v>210255.00</v>
      </c>
      <c r="AB1432" t="str">
        <f t="shared" si="496"/>
        <v>Residential</v>
      </c>
      <c r="AC1432" t="str">
        <f t="shared" ref="AC1432:AC1495" si="499">"0"</f>
        <v>0</v>
      </c>
      <c r="AD1432" t="str">
        <f>"4"</f>
        <v>4</v>
      </c>
      <c r="AE1432" t="str">
        <f>"WOOD (INCLUDE STEEL STUDS)"</f>
        <v>WOOD (INCLUDE STEEL STUDS)</v>
      </c>
      <c r="AF1432" t="str">
        <f>"001"</f>
        <v>001</v>
      </c>
      <c r="AG1432" t="str">
        <f t="shared" si="497"/>
        <v>FL</v>
      </c>
      <c r="AH1432" t="str">
        <f>"-"</f>
        <v>-</v>
      </c>
      <c r="AI1432" t="str">
        <f>"36750.00"</f>
        <v>36750.00</v>
      </c>
      <c r="AJ1432" t="str">
        <f>"C55-000-588-9079-9"</f>
        <v>C55-000-588-9079-9</v>
      </c>
      <c r="AK1432" t="str">
        <f>"24258"</f>
        <v>24258</v>
      </c>
      <c r="AL1432">
        <v>5</v>
      </c>
      <c r="AM1432">
        <v>1636</v>
      </c>
      <c r="AN1432">
        <v>3474.41</v>
      </c>
      <c r="AQ1432" t="s">
        <v>14552</v>
      </c>
      <c r="AR1432" t="s">
        <v>14552</v>
      </c>
      <c r="AS1432" t="s">
        <v>14552</v>
      </c>
      <c r="AU1432" t="s">
        <v>396</v>
      </c>
      <c r="AV1432">
        <v>2017</v>
      </c>
      <c r="AW1432" t="str">
        <f>"51-3N-27-1627-0009-0000 "</f>
        <v xml:space="preserve">51-3N-27-1627-0009-0000 </v>
      </c>
      <c r="AX1432">
        <v>86961</v>
      </c>
      <c r="AZ1432" t="s">
        <v>14540</v>
      </c>
      <c r="BA1432" t="s">
        <v>669</v>
      </c>
      <c r="BD1432" t="s">
        <v>2387</v>
      </c>
      <c r="BE1432" t="s">
        <v>393</v>
      </c>
      <c r="BF1432">
        <v>32097</v>
      </c>
      <c r="BG1432" t="s">
        <v>14553</v>
      </c>
      <c r="BH1432" t="s">
        <v>2388</v>
      </c>
      <c r="BI1432">
        <v>-81.560726888488603</v>
      </c>
      <c r="BJ1432">
        <v>30.655120781232402</v>
      </c>
      <c r="BK1432" t="s">
        <v>14554</v>
      </c>
      <c r="BL1432" t="s">
        <v>14555</v>
      </c>
      <c r="BM1432" t="s">
        <v>14553</v>
      </c>
      <c r="BN1432" t="s">
        <v>1778</v>
      </c>
      <c r="BO1432">
        <v>32097</v>
      </c>
      <c r="BP1432" t="s">
        <v>416</v>
      </c>
      <c r="BQ1432">
        <v>100</v>
      </c>
      <c r="BR1432" t="s">
        <v>514</v>
      </c>
      <c r="BS1432">
        <v>1001</v>
      </c>
      <c r="BT1432" t="s">
        <v>515</v>
      </c>
      <c r="BW1432">
        <v>53909</v>
      </c>
      <c r="BX1432" t="s">
        <v>407</v>
      </c>
      <c r="BY1432" t="s">
        <v>408</v>
      </c>
      <c r="BZ1432">
        <v>4</v>
      </c>
      <c r="CA1432">
        <v>2004</v>
      </c>
      <c r="CB1432">
        <v>1</v>
      </c>
      <c r="CC1432">
        <v>1</v>
      </c>
      <c r="CD1432">
        <v>2017</v>
      </c>
      <c r="CE1432">
        <v>36750</v>
      </c>
      <c r="CF1432">
        <v>173505</v>
      </c>
      <c r="CG1432">
        <v>210255</v>
      </c>
      <c r="CH1432">
        <v>2017</v>
      </c>
      <c r="CI1432">
        <v>36750</v>
      </c>
      <c r="CJ1432">
        <v>173505</v>
      </c>
      <c r="CK1432">
        <v>210255</v>
      </c>
      <c r="CL1432">
        <v>2017</v>
      </c>
      <c r="CM1432">
        <v>3183</v>
      </c>
      <c r="CN1432" s="1">
        <v>42503</v>
      </c>
      <c r="CO1432">
        <v>255000</v>
      </c>
      <c r="CV1432">
        <v>0</v>
      </c>
      <c r="CZ1432" s="1">
        <v>42503</v>
      </c>
      <c r="DA1432">
        <v>0</v>
      </c>
      <c r="DD1432" t="s">
        <v>2387</v>
      </c>
      <c r="DF1432">
        <v>9</v>
      </c>
      <c r="DG1432">
        <v>51</v>
      </c>
      <c r="DJ1432" t="s">
        <v>14556</v>
      </c>
      <c r="DL1432">
        <v>50301</v>
      </c>
      <c r="DM1432" t="s">
        <v>14357</v>
      </c>
      <c r="DO1432" t="s">
        <v>14557</v>
      </c>
      <c r="DP1432">
        <v>0</v>
      </c>
      <c r="DQ1432">
        <v>0</v>
      </c>
      <c r="DR1432" t="s">
        <v>411</v>
      </c>
      <c r="EP1432" t="s">
        <v>421</v>
      </c>
      <c r="EQ1432" t="s">
        <v>422</v>
      </c>
      <c r="ER1432">
        <v>0</v>
      </c>
      <c r="ES1432">
        <v>2</v>
      </c>
      <c r="ET1432">
        <v>0</v>
      </c>
      <c r="EU1432">
        <v>0</v>
      </c>
      <c r="EV1432">
        <v>0</v>
      </c>
      <c r="EW1432" s="2">
        <v>43222</v>
      </c>
      <c r="EX1432" s="1">
        <v>42879</v>
      </c>
      <c r="EY1432">
        <v>2016</v>
      </c>
      <c r="EZ1432">
        <v>2151.15</v>
      </c>
      <c r="FA1432" t="s">
        <v>14558</v>
      </c>
      <c r="FB1432">
        <v>0.25</v>
      </c>
      <c r="FC1432" t="s">
        <v>424</v>
      </c>
      <c r="FD1432" t="s">
        <v>425</v>
      </c>
      <c r="FE1432" s="1">
        <v>43032</v>
      </c>
      <c r="FF1432">
        <v>5</v>
      </c>
      <c r="FG1432">
        <v>7400234</v>
      </c>
      <c r="FH1432" t="s">
        <v>426</v>
      </c>
      <c r="FJ1432" s="1">
        <v>42879</v>
      </c>
      <c r="FK1432">
        <v>2016</v>
      </c>
      <c r="FL1432">
        <v>2151.15</v>
      </c>
      <c r="FM1432" t="s">
        <v>14558</v>
      </c>
      <c r="FN1432">
        <v>0.25</v>
      </c>
      <c r="FO1432" t="s">
        <v>424</v>
      </c>
      <c r="FP1432" t="s">
        <v>425</v>
      </c>
      <c r="FR1432">
        <v>22</v>
      </c>
      <c r="FS1432">
        <v>7530144</v>
      </c>
      <c r="FT1432" t="s">
        <v>14559</v>
      </c>
    </row>
    <row r="1433" spans="1:272" x14ac:dyDescent="0.25">
      <c r="A1433">
        <v>16486440</v>
      </c>
      <c r="B1433">
        <v>1432</v>
      </c>
      <c r="C1433" t="s">
        <v>393</v>
      </c>
      <c r="D1433" t="s">
        <v>394</v>
      </c>
      <c r="F1433" t="str">
        <f>"51-3N-27-1627-0084-0000"</f>
        <v>51-3N-27-1627-0084-0000</v>
      </c>
      <c r="H1433" t="str">
        <f>"BREELAND DONNA R"</f>
        <v>BREELAND DONNA R</v>
      </c>
      <c r="I1433" t="str">
        <f>"86842 WORTHINGTON DRIVE"</f>
        <v>86842 WORTHINGTON DRIVE</v>
      </c>
      <c r="J1433" t="str">
        <f>"YULEE FL 32097"</f>
        <v>YULEE FL 32097</v>
      </c>
      <c r="K1433" t="str">
        <f>"86842 WORTHINGTON DR"</f>
        <v>86842 WORTHINGTON DR</v>
      </c>
      <c r="L1433" t="str">
        <f t="shared" si="491"/>
        <v>YULEE FL 32097</v>
      </c>
      <c r="M1433" t="str">
        <f>"LOT 84 IN OR 1285/590 PAGE HILL 3 PB 6/341"</f>
        <v>LOT 84 IN OR 1285/590 PAGE HILL 3 PB 6/341</v>
      </c>
      <c r="N1433" t="str">
        <f>""</f>
        <v/>
      </c>
      <c r="O1433" t="str">
        <f>"55386"</f>
        <v>55386</v>
      </c>
      <c r="P1433" t="str">
        <f t="shared" si="494"/>
        <v>2017</v>
      </c>
      <c r="Q1433" t="str">
        <f>""</f>
        <v/>
      </c>
      <c r="R1433" t="str">
        <f>"Y"</f>
        <v>Y</v>
      </c>
      <c r="S1433" t="str">
        <f>""</f>
        <v/>
      </c>
      <c r="T1433" t="str">
        <f>"1059.07"</f>
        <v>1059.07</v>
      </c>
      <c r="U1433" t="str">
        <f>"109061.00"</f>
        <v>109061.00</v>
      </c>
      <c r="V1433" t="str">
        <f>"109061.00"</f>
        <v>109061.00</v>
      </c>
      <c r="W1433" t="str">
        <f t="shared" si="495"/>
        <v>2017</v>
      </c>
      <c r="X1433" t="str">
        <f>"4.50"</f>
        <v>4.50</v>
      </c>
      <c r="Y1433" t="str">
        <f>"1122.84"</f>
        <v>1122.84</v>
      </c>
      <c r="Z1433" t="str">
        <f>"25000.00"</f>
        <v>25000.00</v>
      </c>
      <c r="AA1433" t="str">
        <f>"84061.00"</f>
        <v>84061.00</v>
      </c>
      <c r="AB1433" t="str">
        <f t="shared" si="496"/>
        <v>Residential</v>
      </c>
      <c r="AC1433" t="str">
        <f t="shared" si="499"/>
        <v>0</v>
      </c>
      <c r="AD1433" t="str">
        <f>"4"</f>
        <v>4</v>
      </c>
      <c r="AE1433" t="str">
        <f>"WOOD (INCLUDE STEEL STUDS)"</f>
        <v>WOOD (INCLUDE STEEL STUDS)</v>
      </c>
      <c r="AF1433" t="str">
        <f>"001"</f>
        <v>001</v>
      </c>
      <c r="AG1433" t="str">
        <f t="shared" si="497"/>
        <v>FL</v>
      </c>
      <c r="AH1433" t="str">
        <f>"-"</f>
        <v>-</v>
      </c>
      <c r="AI1433" t="str">
        <f>"35000.00"</f>
        <v>35000.00</v>
      </c>
      <c r="AJ1433" t="str">
        <f>"C55-000-588-9155-7"</f>
        <v>C55-000-588-9155-7</v>
      </c>
      <c r="AK1433" t="str">
        <f>"24333"</f>
        <v>24333</v>
      </c>
      <c r="AL1433">
        <v>5</v>
      </c>
      <c r="AM1433">
        <v>1637</v>
      </c>
      <c r="AN1433">
        <v>1177.3800000000001</v>
      </c>
      <c r="AQ1433" t="s">
        <v>14560</v>
      </c>
      <c r="AR1433" t="s">
        <v>14560</v>
      </c>
      <c r="AS1433" t="s">
        <v>14560</v>
      </c>
      <c r="AU1433" t="s">
        <v>396</v>
      </c>
      <c r="AV1433">
        <v>2017</v>
      </c>
      <c r="AW1433" t="str">
        <f>"51-3N-27-1627-0084-0000 "</f>
        <v xml:space="preserve">51-3N-27-1627-0084-0000 </v>
      </c>
      <c r="AX1433">
        <v>86842</v>
      </c>
      <c r="AZ1433" t="s">
        <v>14540</v>
      </c>
      <c r="BA1433" t="s">
        <v>669</v>
      </c>
      <c r="BD1433" t="s">
        <v>2387</v>
      </c>
      <c r="BE1433" t="s">
        <v>393</v>
      </c>
      <c r="BF1433">
        <v>32097</v>
      </c>
      <c r="BG1433" t="s">
        <v>14561</v>
      </c>
      <c r="BH1433" t="s">
        <v>2388</v>
      </c>
      <c r="BI1433">
        <v>-81.562616765260501</v>
      </c>
      <c r="BJ1433">
        <v>30.6538368781389</v>
      </c>
      <c r="BK1433" t="s">
        <v>14562</v>
      </c>
      <c r="BM1433" t="s">
        <v>14561</v>
      </c>
      <c r="BN1433" t="s">
        <v>1778</v>
      </c>
      <c r="BO1433">
        <v>32097</v>
      </c>
      <c r="BP1433" t="s">
        <v>416</v>
      </c>
      <c r="BQ1433">
        <v>100</v>
      </c>
      <c r="BR1433" t="s">
        <v>514</v>
      </c>
      <c r="BS1433">
        <v>1001</v>
      </c>
      <c r="BT1433" t="s">
        <v>515</v>
      </c>
      <c r="BW1433">
        <v>24999</v>
      </c>
      <c r="BX1433" t="s">
        <v>407</v>
      </c>
      <c r="BY1433" t="s">
        <v>408</v>
      </c>
      <c r="BZ1433">
        <v>4</v>
      </c>
      <c r="CA1433">
        <v>2004</v>
      </c>
      <c r="CB1433">
        <v>1</v>
      </c>
      <c r="CC1433">
        <v>1</v>
      </c>
      <c r="CD1433">
        <v>2017</v>
      </c>
      <c r="CG1433">
        <v>109061</v>
      </c>
      <c r="CH1433">
        <v>2017</v>
      </c>
      <c r="CI1433">
        <v>35000</v>
      </c>
      <c r="CJ1433">
        <v>102814</v>
      </c>
      <c r="CK1433">
        <v>137814</v>
      </c>
      <c r="CL1433">
        <v>2017</v>
      </c>
      <c r="CM1433">
        <v>1059.07</v>
      </c>
      <c r="CN1433" s="1">
        <v>38355</v>
      </c>
      <c r="CO1433">
        <v>128900</v>
      </c>
      <c r="CV1433">
        <v>64000</v>
      </c>
      <c r="CX1433" t="s">
        <v>675</v>
      </c>
      <c r="CZ1433" s="1">
        <v>38355</v>
      </c>
      <c r="DA1433">
        <v>0</v>
      </c>
      <c r="DD1433" t="s">
        <v>2387</v>
      </c>
      <c r="DF1433">
        <v>84</v>
      </c>
      <c r="DG1433">
        <v>51</v>
      </c>
      <c r="DJ1433" t="s">
        <v>14556</v>
      </c>
      <c r="DL1433">
        <v>50301</v>
      </c>
      <c r="DM1433" t="s">
        <v>14357</v>
      </c>
      <c r="DO1433" t="s">
        <v>14563</v>
      </c>
      <c r="DP1433">
        <v>0</v>
      </c>
      <c r="DQ1433">
        <v>0</v>
      </c>
      <c r="DR1433" t="s">
        <v>411</v>
      </c>
      <c r="EP1433" t="s">
        <v>421</v>
      </c>
      <c r="EQ1433" t="s">
        <v>422</v>
      </c>
      <c r="ER1433">
        <v>2</v>
      </c>
      <c r="ES1433">
        <v>3</v>
      </c>
      <c r="ET1433">
        <v>2307.98</v>
      </c>
      <c r="EU1433">
        <v>127.9</v>
      </c>
      <c r="EV1433">
        <v>2435.88</v>
      </c>
      <c r="EW1433" s="2">
        <v>43222</v>
      </c>
      <c r="EX1433" s="1">
        <v>42879</v>
      </c>
      <c r="EY1433">
        <v>2016</v>
      </c>
      <c r="EZ1433">
        <v>1153.99</v>
      </c>
      <c r="FA1433" t="s">
        <v>14564</v>
      </c>
      <c r="FB1433">
        <v>0.25</v>
      </c>
      <c r="FC1433" t="s">
        <v>424</v>
      </c>
      <c r="FD1433" t="s">
        <v>454</v>
      </c>
      <c r="FF1433">
        <v>12</v>
      </c>
      <c r="FG1433">
        <v>7336671</v>
      </c>
      <c r="FH1433" t="s">
        <v>437</v>
      </c>
      <c r="FJ1433" s="1">
        <v>42879</v>
      </c>
      <c r="FK1433">
        <v>2016</v>
      </c>
      <c r="FL1433">
        <v>1153.99</v>
      </c>
      <c r="FM1433" t="s">
        <v>14564</v>
      </c>
      <c r="FN1433">
        <v>0.25</v>
      </c>
      <c r="FO1433" t="s">
        <v>424</v>
      </c>
      <c r="FP1433" t="s">
        <v>454</v>
      </c>
      <c r="FR1433">
        <v>12</v>
      </c>
      <c r="FS1433">
        <v>5144669</v>
      </c>
      <c r="FT1433" t="s">
        <v>14565</v>
      </c>
      <c r="FV1433" s="1">
        <v>41423</v>
      </c>
      <c r="FW1433">
        <v>2012</v>
      </c>
      <c r="FX1433">
        <v>1083.3699999999999</v>
      </c>
      <c r="FY1433" t="s">
        <v>14566</v>
      </c>
      <c r="FZ1433">
        <v>0.25</v>
      </c>
      <c r="GA1433" t="s">
        <v>424</v>
      </c>
      <c r="GB1433" t="s">
        <v>425</v>
      </c>
      <c r="GC1433" s="1">
        <v>41458</v>
      </c>
      <c r="GD1433">
        <v>2</v>
      </c>
      <c r="GE1433">
        <v>15259</v>
      </c>
      <c r="GF1433" t="s">
        <v>891</v>
      </c>
      <c r="GH1433" s="1">
        <v>41052</v>
      </c>
      <c r="GI1433">
        <v>2011</v>
      </c>
      <c r="GJ1433">
        <v>1104.5999999999999</v>
      </c>
      <c r="GK1433" t="s">
        <v>14567</v>
      </c>
      <c r="GL1433">
        <v>0.25</v>
      </c>
      <c r="GM1433" t="s">
        <v>424</v>
      </c>
      <c r="GN1433" t="s">
        <v>425</v>
      </c>
      <c r="GO1433" s="1">
        <v>41271</v>
      </c>
      <c r="GP1433">
        <v>7</v>
      </c>
      <c r="GQ1433">
        <v>13866</v>
      </c>
      <c r="GR1433" t="s">
        <v>14568</v>
      </c>
      <c r="GT1433" s="1">
        <v>40688</v>
      </c>
      <c r="GU1433">
        <v>2010</v>
      </c>
      <c r="GV1433">
        <v>1190.49</v>
      </c>
      <c r="GW1433" t="s">
        <v>14569</v>
      </c>
      <c r="GX1433">
        <v>0.25</v>
      </c>
      <c r="GY1433" t="s">
        <v>424</v>
      </c>
      <c r="GZ1433" t="s">
        <v>425</v>
      </c>
      <c r="HA1433" s="1">
        <v>40758</v>
      </c>
      <c r="HB1433">
        <v>3</v>
      </c>
      <c r="HC1433">
        <v>11177</v>
      </c>
      <c r="HD1433" t="s">
        <v>650</v>
      </c>
    </row>
    <row r="1434" spans="1:272" x14ac:dyDescent="0.25">
      <c r="A1434">
        <v>16486441</v>
      </c>
      <c r="B1434">
        <v>1433</v>
      </c>
      <c r="C1434" t="s">
        <v>393</v>
      </c>
      <c r="D1434" t="s">
        <v>394</v>
      </c>
      <c r="F1434" t="str">
        <f>"51-3N-27-4800-0006-0000"</f>
        <v>51-3N-27-4800-0006-0000</v>
      </c>
      <c r="H1434" t="str">
        <f>"PRITCHARD KENNETH C SR &amp; PRITCHARD GLENDA F"</f>
        <v>PRITCHARD KENNETH C SR &amp; PRITCHARD GLENDA F</v>
      </c>
      <c r="I1434" t="str">
        <f>"PO BOX 686"</f>
        <v>PO BOX 686</v>
      </c>
      <c r="J1434" t="str">
        <f>"YULEE FL 32041"</f>
        <v>YULEE FL 32041</v>
      </c>
      <c r="K1434" t="str">
        <f>"86075 FLORIDA AVE"</f>
        <v>86075 FLORIDA AVE</v>
      </c>
      <c r="L1434" t="str">
        <f t="shared" si="491"/>
        <v>YULEE FL 32097</v>
      </c>
      <c r="M1434" t="str">
        <f>"LOT 6 IN OR 124/149 NASSAU ACRES SUB PB 3/48"</f>
        <v>LOT 6 IN OR 124/149 NASSAU ACRES SUB PB 3/48</v>
      </c>
      <c r="N1434" t="str">
        <f>""</f>
        <v/>
      </c>
      <c r="O1434" t="str">
        <f>"55412"</f>
        <v>55412</v>
      </c>
      <c r="P1434" t="str">
        <f t="shared" si="494"/>
        <v>2017</v>
      </c>
      <c r="Q1434" t="str">
        <f>""</f>
        <v/>
      </c>
      <c r="R1434" t="str">
        <f>"Y"</f>
        <v>Y</v>
      </c>
      <c r="S1434" t="str">
        <f>""</f>
        <v/>
      </c>
      <c r="T1434" t="str">
        <f>"319.20"</f>
        <v>319.20</v>
      </c>
      <c r="U1434" t="str">
        <f>"46085.00"</f>
        <v>46085.00</v>
      </c>
      <c r="V1434" t="str">
        <f>"46085.00"</f>
        <v>46085.00</v>
      </c>
      <c r="W1434" t="str">
        <f t="shared" si="495"/>
        <v>2017</v>
      </c>
      <c r="X1434" t="str">
        <f>"22.38"</f>
        <v>22.38</v>
      </c>
      <c r="Y1434" t="str">
        <f>"360.78"</f>
        <v>360.78</v>
      </c>
      <c r="Z1434" t="str">
        <f>"25000.00"</f>
        <v>25000.00</v>
      </c>
      <c r="AA1434" t="str">
        <f>"21085.00"</f>
        <v>21085.00</v>
      </c>
      <c r="AB1434" t="str">
        <f t="shared" si="496"/>
        <v>Residential</v>
      </c>
      <c r="AC1434" t="str">
        <f t="shared" si="499"/>
        <v>0</v>
      </c>
      <c r="AD1434" t="str">
        <f>"4"</f>
        <v>4</v>
      </c>
      <c r="AE1434" t="str">
        <f>"WOOD (INCLUDE STEEL STUDS)"</f>
        <v>WOOD (INCLUDE STEEL STUDS)</v>
      </c>
      <c r="AF1434" t="str">
        <f>"001"</f>
        <v>001</v>
      </c>
      <c r="AG1434" t="str">
        <f t="shared" si="497"/>
        <v>FL</v>
      </c>
      <c r="AH1434" t="str">
        <f>"10800.00"</f>
        <v>10800.00</v>
      </c>
      <c r="AI1434" t="str">
        <f>"17920.00"</f>
        <v>17920.00</v>
      </c>
      <c r="AJ1434" t="str">
        <f>"C55-000-588-7485-0"</f>
        <v>C55-000-588-7485-0</v>
      </c>
      <c r="AK1434" t="str">
        <f>"24357"</f>
        <v>24357</v>
      </c>
      <c r="AL1434">
        <v>5</v>
      </c>
      <c r="AM1434">
        <v>1638</v>
      </c>
      <c r="AN1434">
        <v>377.22</v>
      </c>
      <c r="AQ1434" t="s">
        <v>14570</v>
      </c>
      <c r="AR1434" t="s">
        <v>14570</v>
      </c>
      <c r="AS1434" t="s">
        <v>14570</v>
      </c>
      <c r="AU1434" t="s">
        <v>396</v>
      </c>
      <c r="AV1434">
        <v>2017</v>
      </c>
      <c r="AW1434" t="str">
        <f>"51-3N-27-4800-0006-0000 "</f>
        <v xml:space="preserve">51-3N-27-4800-0006-0000 </v>
      </c>
      <c r="AX1434">
        <v>86075</v>
      </c>
      <c r="AZ1434" t="s">
        <v>14571</v>
      </c>
      <c r="BA1434" t="s">
        <v>1112</v>
      </c>
      <c r="BD1434" t="s">
        <v>2387</v>
      </c>
      <c r="BE1434" t="s">
        <v>393</v>
      </c>
      <c r="BF1434">
        <v>32097</v>
      </c>
      <c r="BG1434" t="s">
        <v>14572</v>
      </c>
      <c r="BH1434" t="s">
        <v>2388</v>
      </c>
      <c r="BI1434">
        <v>-81.599836636819305</v>
      </c>
      <c r="BJ1434">
        <v>30.6366633067307</v>
      </c>
      <c r="BK1434" t="s">
        <v>14573</v>
      </c>
      <c r="BL1434" t="s">
        <v>14574</v>
      </c>
      <c r="BM1434" t="s">
        <v>14575</v>
      </c>
      <c r="BN1434" t="s">
        <v>1778</v>
      </c>
      <c r="BO1434">
        <v>32041</v>
      </c>
      <c r="BP1434" t="s">
        <v>404</v>
      </c>
      <c r="BQ1434">
        <v>100</v>
      </c>
      <c r="BR1434" t="s">
        <v>514</v>
      </c>
      <c r="BS1434">
        <v>1001</v>
      </c>
      <c r="BT1434" t="s">
        <v>515</v>
      </c>
      <c r="BU1434">
        <v>800</v>
      </c>
      <c r="BV1434">
        <v>1350</v>
      </c>
      <c r="BW1434">
        <v>10561</v>
      </c>
      <c r="BX1434" t="s">
        <v>407</v>
      </c>
      <c r="BY1434" t="s">
        <v>7351</v>
      </c>
      <c r="BZ1434">
        <v>4</v>
      </c>
      <c r="CA1434">
        <v>1958</v>
      </c>
      <c r="CB1434">
        <v>1</v>
      </c>
      <c r="CC1434">
        <v>1</v>
      </c>
      <c r="CD1434">
        <v>2017</v>
      </c>
      <c r="CG1434">
        <v>46085</v>
      </c>
      <c r="CH1434">
        <v>2017</v>
      </c>
      <c r="CI1434">
        <v>17920</v>
      </c>
      <c r="CJ1434">
        <v>56229</v>
      </c>
      <c r="CK1434">
        <v>74149</v>
      </c>
      <c r="CL1434">
        <v>2017</v>
      </c>
      <c r="CM1434">
        <v>319.2</v>
      </c>
      <c r="CN1434" s="1">
        <v>26665</v>
      </c>
      <c r="CO1434">
        <v>9600</v>
      </c>
      <c r="CZ1434" s="1">
        <v>26665</v>
      </c>
      <c r="DD1434" t="s">
        <v>2387</v>
      </c>
      <c r="DF1434">
        <v>6</v>
      </c>
      <c r="DG1434">
        <v>51</v>
      </c>
      <c r="DJ1434" t="s">
        <v>14576</v>
      </c>
      <c r="DL1434">
        <v>50302</v>
      </c>
      <c r="DM1434" t="s">
        <v>14357</v>
      </c>
      <c r="DO1434" t="s">
        <v>14577</v>
      </c>
      <c r="DP1434">
        <v>0</v>
      </c>
      <c r="DQ1434">
        <v>1</v>
      </c>
      <c r="DR1434" t="s">
        <v>411</v>
      </c>
      <c r="DS1434" t="b">
        <v>1</v>
      </c>
      <c r="DT1434" t="s">
        <v>470</v>
      </c>
      <c r="DU1434" t="s">
        <v>471</v>
      </c>
      <c r="DV1434" t="s">
        <v>472</v>
      </c>
      <c r="DX1434">
        <v>-9999</v>
      </c>
      <c r="DZ1434" t="s">
        <v>447</v>
      </c>
      <c r="EA1434" t="s">
        <v>448</v>
      </c>
      <c r="EB1434" t="s">
        <v>742</v>
      </c>
      <c r="EC1434">
        <v>20101217</v>
      </c>
      <c r="ED1434" t="s">
        <v>474</v>
      </c>
      <c r="EF1434">
        <v>4239.6000000000004</v>
      </c>
      <c r="EG1434">
        <v>4216.1000000000004</v>
      </c>
      <c r="EH1434" t="s">
        <v>451</v>
      </c>
      <c r="EI1434">
        <v>20140731</v>
      </c>
      <c r="EJ1434">
        <v>0</v>
      </c>
      <c r="EK1434">
        <v>0</v>
      </c>
      <c r="EP1434" t="s">
        <v>421</v>
      </c>
      <c r="EQ1434" t="s">
        <v>452</v>
      </c>
      <c r="ER1434">
        <v>2</v>
      </c>
      <c r="ES1434">
        <v>8</v>
      </c>
      <c r="ET1434">
        <v>722.62</v>
      </c>
      <c r="EU1434">
        <v>48.63</v>
      </c>
      <c r="EV1434">
        <v>771.25</v>
      </c>
      <c r="EW1434" s="2">
        <v>43222</v>
      </c>
      <c r="EX1434" s="1">
        <v>42879</v>
      </c>
      <c r="EY1434">
        <v>2016</v>
      </c>
      <c r="EZ1434">
        <v>361.31</v>
      </c>
      <c r="FA1434" t="s">
        <v>14578</v>
      </c>
      <c r="FB1434">
        <v>0.25</v>
      </c>
      <c r="FC1434" t="s">
        <v>424</v>
      </c>
      <c r="FD1434" t="s">
        <v>454</v>
      </c>
      <c r="FF1434">
        <v>12</v>
      </c>
      <c r="FG1434">
        <v>2851116</v>
      </c>
      <c r="FH1434" t="s">
        <v>480</v>
      </c>
      <c r="FJ1434" s="1">
        <v>42879</v>
      </c>
      <c r="FK1434">
        <v>2016</v>
      </c>
      <c r="FL1434">
        <v>361.31</v>
      </c>
      <c r="FM1434" t="s">
        <v>14578</v>
      </c>
      <c r="FN1434">
        <v>0.25</v>
      </c>
      <c r="FO1434" t="s">
        <v>424</v>
      </c>
      <c r="FP1434" t="s">
        <v>454</v>
      </c>
      <c r="FR1434">
        <v>12</v>
      </c>
      <c r="FS1434">
        <v>5304391</v>
      </c>
      <c r="FT1434" t="s">
        <v>14579</v>
      </c>
      <c r="FV1434" s="1">
        <v>42151</v>
      </c>
      <c r="FW1434">
        <v>2014</v>
      </c>
      <c r="FX1434">
        <v>354.72</v>
      </c>
      <c r="FY1434" t="s">
        <v>14580</v>
      </c>
      <c r="FZ1434">
        <v>0.25</v>
      </c>
      <c r="GA1434" t="s">
        <v>424</v>
      </c>
      <c r="GB1434" t="s">
        <v>425</v>
      </c>
      <c r="GC1434" s="1">
        <v>42486</v>
      </c>
      <c r="GD1434">
        <v>11</v>
      </c>
      <c r="GE1434">
        <v>2851116</v>
      </c>
      <c r="GF1434" t="s">
        <v>480</v>
      </c>
      <c r="GG1434" t="s">
        <v>458</v>
      </c>
      <c r="GH1434" s="1">
        <v>42151</v>
      </c>
      <c r="GI1434">
        <v>2014</v>
      </c>
      <c r="GJ1434">
        <v>354.72</v>
      </c>
      <c r="GK1434" t="s">
        <v>14580</v>
      </c>
      <c r="GL1434">
        <v>0.25</v>
      </c>
      <c r="GM1434" t="s">
        <v>424</v>
      </c>
      <c r="GN1434" t="s">
        <v>425</v>
      </c>
      <c r="GP1434">
        <v>22</v>
      </c>
      <c r="GQ1434">
        <v>5079567</v>
      </c>
      <c r="GR1434" t="s">
        <v>14581</v>
      </c>
      <c r="GS1434" t="s">
        <v>458</v>
      </c>
      <c r="GT1434" s="1">
        <v>41787</v>
      </c>
      <c r="GU1434">
        <v>2013</v>
      </c>
      <c r="GV1434">
        <v>326.3</v>
      </c>
      <c r="GW1434" t="s">
        <v>14582</v>
      </c>
      <c r="GX1434">
        <v>0.25</v>
      </c>
      <c r="GY1434" t="s">
        <v>424</v>
      </c>
      <c r="GZ1434" t="s">
        <v>425</v>
      </c>
      <c r="HB1434">
        <v>22</v>
      </c>
      <c r="HC1434">
        <v>15259</v>
      </c>
      <c r="HD1434" t="s">
        <v>891</v>
      </c>
      <c r="HE1434" t="s">
        <v>458</v>
      </c>
      <c r="HF1434" s="1">
        <v>41787</v>
      </c>
      <c r="HG1434">
        <v>2013</v>
      </c>
      <c r="HH1434">
        <v>326.3</v>
      </c>
      <c r="HI1434" t="s">
        <v>14582</v>
      </c>
      <c r="HJ1434">
        <v>0.25</v>
      </c>
      <c r="HK1434" t="s">
        <v>424</v>
      </c>
      <c r="HL1434" t="s">
        <v>425</v>
      </c>
      <c r="HN1434">
        <v>22</v>
      </c>
      <c r="HO1434">
        <v>7045049</v>
      </c>
      <c r="HP1434" t="s">
        <v>1335</v>
      </c>
      <c r="HQ1434" t="s">
        <v>458</v>
      </c>
      <c r="HR1434" s="1">
        <v>41423</v>
      </c>
      <c r="HS1434">
        <v>2012</v>
      </c>
      <c r="HT1434">
        <v>318.10000000000002</v>
      </c>
      <c r="HU1434" t="s">
        <v>14583</v>
      </c>
      <c r="HV1434">
        <v>0.25</v>
      </c>
      <c r="HW1434" t="s">
        <v>424</v>
      </c>
      <c r="HX1434" t="s">
        <v>425</v>
      </c>
      <c r="HY1434" s="1">
        <v>42132</v>
      </c>
      <c r="HZ1434">
        <v>24</v>
      </c>
      <c r="IA1434">
        <v>15407</v>
      </c>
      <c r="IB1434" t="s">
        <v>1134</v>
      </c>
      <c r="ID1434" s="1">
        <v>41052</v>
      </c>
      <c r="IE1434">
        <v>2011</v>
      </c>
      <c r="IF1434">
        <v>294.36</v>
      </c>
      <c r="IG1434" t="s">
        <v>14584</v>
      </c>
      <c r="IH1434">
        <v>5.75</v>
      </c>
      <c r="II1434" t="s">
        <v>424</v>
      </c>
      <c r="IJ1434" t="s">
        <v>425</v>
      </c>
      <c r="IK1434" s="1">
        <v>41736</v>
      </c>
      <c r="IL1434">
        <v>23</v>
      </c>
      <c r="IM1434">
        <v>13027</v>
      </c>
      <c r="IN1434" t="s">
        <v>826</v>
      </c>
      <c r="IP1434" s="1">
        <v>40688</v>
      </c>
      <c r="IQ1434">
        <v>2010</v>
      </c>
      <c r="IR1434">
        <v>284.55</v>
      </c>
      <c r="IS1434" t="s">
        <v>14585</v>
      </c>
      <c r="IT1434">
        <v>6</v>
      </c>
      <c r="IU1434" t="s">
        <v>424</v>
      </c>
      <c r="IV1434" t="s">
        <v>425</v>
      </c>
      <c r="IW1434" s="1">
        <v>41729</v>
      </c>
      <c r="IX1434">
        <v>34</v>
      </c>
      <c r="IY1434">
        <v>375</v>
      </c>
      <c r="IZ1434" t="s">
        <v>776</v>
      </c>
      <c r="JB1434" s="1">
        <v>40688</v>
      </c>
      <c r="JC1434">
        <v>2010</v>
      </c>
      <c r="JD1434">
        <v>284.55</v>
      </c>
      <c r="JE1434" t="s">
        <v>14585</v>
      </c>
      <c r="JF1434">
        <v>6</v>
      </c>
      <c r="JG1434" t="s">
        <v>424</v>
      </c>
      <c r="JH1434" t="s">
        <v>425</v>
      </c>
      <c r="JJ1434">
        <v>22</v>
      </c>
      <c r="JK1434">
        <v>105</v>
      </c>
      <c r="JL1434" t="s">
        <v>946</v>
      </c>
    </row>
    <row r="1435" spans="1:272" x14ac:dyDescent="0.25">
      <c r="A1435">
        <v>16486442</v>
      </c>
      <c r="B1435">
        <v>1434</v>
      </c>
      <c r="C1435" t="s">
        <v>393</v>
      </c>
      <c r="D1435" t="s">
        <v>394</v>
      </c>
      <c r="F1435" t="str">
        <f>"51-3N-27-4820-0032-0000"</f>
        <v>51-3N-27-4820-0032-0000</v>
      </c>
      <c r="H1435" t="str">
        <f>"STUART LOUIS"</f>
        <v>STUART LOUIS</v>
      </c>
      <c r="I1435" t="str">
        <f>"203 OCEAN FRONT"</f>
        <v>203 OCEAN FRONT</v>
      </c>
      <c r="J1435" t="str">
        <f>"NEPTUNE BEACH FL 32266"</f>
        <v>NEPTUNE BEACH FL 32266</v>
      </c>
      <c r="K1435" t="str">
        <f>"OAK ST"</f>
        <v>OAK ST</v>
      </c>
      <c r="L1435" t="str">
        <f t="shared" si="491"/>
        <v>YULEE FL 32097</v>
      </c>
      <c r="M1435" t="str">
        <f>"LOT 32 PT OR 973/519 NASSAU ACRES 2 PB 3/61"</f>
        <v>LOT 32 PT OR 973/519 NASSAU ACRES 2 PB 3/61</v>
      </c>
      <c r="N1435" t="str">
        <f>""</f>
        <v/>
      </c>
      <c r="O1435" t="str">
        <f>"55441"</f>
        <v>55441</v>
      </c>
      <c r="P1435" t="str">
        <f t="shared" si="494"/>
        <v>2017</v>
      </c>
      <c r="Q1435" t="str">
        <f>""</f>
        <v/>
      </c>
      <c r="R1435" t="str">
        <f>"N"</f>
        <v>N</v>
      </c>
      <c r="S1435" t="str">
        <f>""</f>
        <v/>
      </c>
      <c r="T1435" t="str">
        <f>"265.08"</f>
        <v>265.08</v>
      </c>
      <c r="U1435" t="str">
        <f>"17510.00"</f>
        <v>17510.00</v>
      </c>
      <c r="V1435" t="str">
        <f>"17510.00"</f>
        <v>17510.00</v>
      </c>
      <c r="W1435" t="str">
        <f t="shared" si="495"/>
        <v>2017</v>
      </c>
      <c r="X1435" t="str">
        <f>"8.63"</f>
        <v>8.63</v>
      </c>
      <c r="Y1435" t="str">
        <f>"305.03"</f>
        <v>305.03</v>
      </c>
      <c r="Z1435" t="str">
        <f>""</f>
        <v/>
      </c>
      <c r="AA1435" t="str">
        <f>"17510.00"</f>
        <v>17510.00</v>
      </c>
      <c r="AB1435" t="str">
        <f t="shared" si="496"/>
        <v>Residential</v>
      </c>
      <c r="AC1435" t="str">
        <f t="shared" si="499"/>
        <v>0</v>
      </c>
      <c r="AD1435" t="str">
        <f>""</f>
        <v/>
      </c>
      <c r="AE1435" t="str">
        <f>""</f>
        <v/>
      </c>
      <c r="AF1435" t="str">
        <f>"000"</f>
        <v>000</v>
      </c>
      <c r="AG1435" t="str">
        <f t="shared" si="497"/>
        <v>FL</v>
      </c>
      <c r="AH1435" t="str">
        <f>"8840.00"</f>
        <v>8840.00</v>
      </c>
      <c r="AI1435" t="str">
        <f>"17510.00"</f>
        <v>17510.00</v>
      </c>
      <c r="AJ1435" t="str">
        <f>"C55-000-588-7509-7"</f>
        <v>C55-000-588-7509-7</v>
      </c>
      <c r="AK1435" t="str">
        <f>"24380"</f>
        <v>24380</v>
      </c>
      <c r="AL1435">
        <v>5</v>
      </c>
      <c r="AM1435">
        <v>1641</v>
      </c>
      <c r="AN1435">
        <v>318.68</v>
      </c>
      <c r="AQ1435" t="s">
        <v>14586</v>
      </c>
      <c r="AR1435" t="s">
        <v>14586</v>
      </c>
      <c r="AS1435" t="s">
        <v>14586</v>
      </c>
      <c r="AU1435" t="s">
        <v>396</v>
      </c>
      <c r="AV1435">
        <v>2017</v>
      </c>
      <c r="AW1435" t="str">
        <f>"51-3N-27-4820-0032-0000 "</f>
        <v xml:space="preserve">51-3N-27-4820-0032-0000 </v>
      </c>
      <c r="AZ1435" t="s">
        <v>4713</v>
      </c>
      <c r="BA1435" t="s">
        <v>1942</v>
      </c>
      <c r="BD1435" t="s">
        <v>2387</v>
      </c>
      <c r="BE1435" t="s">
        <v>393</v>
      </c>
      <c r="BF1435">
        <v>32097</v>
      </c>
      <c r="BG1435" t="s">
        <v>4714</v>
      </c>
      <c r="BH1435" t="s">
        <v>2388</v>
      </c>
      <c r="BI1435">
        <v>-81.6017090084773</v>
      </c>
      <c r="BJ1435">
        <v>30.633724778840701</v>
      </c>
      <c r="BK1435" t="s">
        <v>14587</v>
      </c>
      <c r="BM1435" t="s">
        <v>14588</v>
      </c>
      <c r="BN1435" t="s">
        <v>2291</v>
      </c>
      <c r="BO1435">
        <v>32266</v>
      </c>
      <c r="BP1435" t="s">
        <v>404</v>
      </c>
      <c r="BQ1435">
        <v>0</v>
      </c>
      <c r="BR1435" t="s">
        <v>491</v>
      </c>
      <c r="BS1435">
        <v>8001</v>
      </c>
      <c r="BT1435" t="s">
        <v>492</v>
      </c>
      <c r="BU1435">
        <v>850</v>
      </c>
      <c r="BV1435">
        <v>1040</v>
      </c>
      <c r="BW1435">
        <v>8839</v>
      </c>
      <c r="BX1435" t="s">
        <v>407</v>
      </c>
      <c r="BY1435" t="s">
        <v>7351</v>
      </c>
      <c r="CD1435">
        <v>2017</v>
      </c>
      <c r="CE1435">
        <v>17510</v>
      </c>
      <c r="CG1435">
        <v>17510</v>
      </c>
      <c r="CH1435">
        <v>2017</v>
      </c>
      <c r="CI1435">
        <v>17510</v>
      </c>
      <c r="CK1435">
        <v>17510</v>
      </c>
      <c r="CL1435">
        <v>2017</v>
      </c>
      <c r="CM1435">
        <v>265.08</v>
      </c>
      <c r="CN1435" s="1">
        <v>36952</v>
      </c>
      <c r="CZ1435" s="1">
        <v>36952</v>
      </c>
      <c r="DD1435" t="s">
        <v>2387</v>
      </c>
      <c r="DF1435">
        <v>32</v>
      </c>
      <c r="DG1435">
        <v>51</v>
      </c>
      <c r="DJ1435" t="s">
        <v>14576</v>
      </c>
      <c r="DL1435">
        <v>50302</v>
      </c>
      <c r="DM1435" t="s">
        <v>14357</v>
      </c>
      <c r="DO1435" t="s">
        <v>14589</v>
      </c>
      <c r="DP1435">
        <v>0</v>
      </c>
      <c r="DQ1435">
        <v>3</v>
      </c>
      <c r="DR1435" t="s">
        <v>1479</v>
      </c>
      <c r="DS1435" t="s">
        <v>695</v>
      </c>
      <c r="EJ1435">
        <v>0</v>
      </c>
      <c r="EK1435">
        <v>0</v>
      </c>
      <c r="EP1435" t="s">
        <v>421</v>
      </c>
      <c r="EQ1435" t="s">
        <v>422</v>
      </c>
      <c r="ER1435">
        <v>0</v>
      </c>
      <c r="ES1435">
        <v>5</v>
      </c>
      <c r="ET1435">
        <v>0</v>
      </c>
      <c r="EU1435">
        <v>0</v>
      </c>
      <c r="EV1435">
        <v>0</v>
      </c>
      <c r="EW1435" s="2">
        <v>43222</v>
      </c>
      <c r="EX1435" s="1">
        <v>42879</v>
      </c>
      <c r="EY1435">
        <v>2016</v>
      </c>
      <c r="EZ1435">
        <v>317.69</v>
      </c>
      <c r="FA1435" t="s">
        <v>14590</v>
      </c>
      <c r="FB1435">
        <v>7.5</v>
      </c>
      <c r="FC1435" t="s">
        <v>424</v>
      </c>
      <c r="FD1435" t="s">
        <v>425</v>
      </c>
      <c r="FE1435" s="1">
        <v>43053</v>
      </c>
      <c r="FF1435">
        <v>6</v>
      </c>
      <c r="FG1435">
        <v>10021</v>
      </c>
      <c r="FH1435" t="s">
        <v>597</v>
      </c>
      <c r="FJ1435" s="1">
        <v>41787</v>
      </c>
      <c r="FK1435">
        <v>2013</v>
      </c>
      <c r="FL1435">
        <v>305.26</v>
      </c>
      <c r="FM1435" t="s">
        <v>14591</v>
      </c>
      <c r="FN1435">
        <v>3</v>
      </c>
      <c r="FO1435" t="s">
        <v>424</v>
      </c>
      <c r="FP1435" t="s">
        <v>425</v>
      </c>
      <c r="FQ1435" s="1">
        <v>42067</v>
      </c>
      <c r="FR1435">
        <v>10</v>
      </c>
      <c r="FS1435">
        <v>10125</v>
      </c>
      <c r="FT1435" t="s">
        <v>440</v>
      </c>
      <c r="FV1435" s="1">
        <v>41423</v>
      </c>
      <c r="FW1435">
        <v>2012</v>
      </c>
      <c r="FX1435">
        <v>308.8</v>
      </c>
      <c r="FY1435" t="s">
        <v>14592</v>
      </c>
      <c r="FZ1435">
        <v>4.75</v>
      </c>
      <c r="GA1435" t="s">
        <v>424</v>
      </c>
      <c r="GB1435" t="s">
        <v>425</v>
      </c>
      <c r="GC1435" s="1">
        <v>41906</v>
      </c>
      <c r="GD1435">
        <v>16</v>
      </c>
      <c r="GE1435">
        <v>10125</v>
      </c>
      <c r="GF1435" t="s">
        <v>440</v>
      </c>
      <c r="GH1435" s="1">
        <v>41052</v>
      </c>
      <c r="GI1435">
        <v>2011</v>
      </c>
      <c r="GJ1435">
        <v>378.78</v>
      </c>
      <c r="GK1435" t="s">
        <v>14593</v>
      </c>
      <c r="GL1435">
        <v>5.75</v>
      </c>
      <c r="GM1435" t="s">
        <v>424</v>
      </c>
      <c r="GN1435" t="s">
        <v>425</v>
      </c>
      <c r="GO1435" s="1">
        <v>41529</v>
      </c>
      <c r="GP1435">
        <v>16</v>
      </c>
      <c r="GQ1435">
        <v>62</v>
      </c>
      <c r="GR1435" t="s">
        <v>463</v>
      </c>
      <c r="GT1435" s="1">
        <v>40688</v>
      </c>
      <c r="GU1435">
        <v>2010</v>
      </c>
      <c r="GV1435">
        <v>379.78</v>
      </c>
      <c r="GW1435" t="s">
        <v>14594</v>
      </c>
      <c r="GX1435">
        <v>6</v>
      </c>
      <c r="GY1435" t="s">
        <v>424</v>
      </c>
      <c r="GZ1435" t="s">
        <v>425</v>
      </c>
      <c r="HA1435" s="1">
        <v>40955</v>
      </c>
      <c r="HB1435">
        <v>9</v>
      </c>
      <c r="HC1435">
        <v>105</v>
      </c>
      <c r="HD1435" t="s">
        <v>946</v>
      </c>
    </row>
    <row r="1436" spans="1:272" x14ac:dyDescent="0.25">
      <c r="A1436">
        <v>16486443</v>
      </c>
      <c r="B1436">
        <v>1435</v>
      </c>
      <c r="C1436" t="s">
        <v>393</v>
      </c>
      <c r="D1436" t="s">
        <v>394</v>
      </c>
      <c r="F1436" t="str">
        <f>"51-3N-27-4820-0038-0000"</f>
        <v>51-3N-27-4820-0038-0000</v>
      </c>
      <c r="H1436" t="str">
        <f>"WILLIAMS EVA M"</f>
        <v>WILLIAMS EVA M</v>
      </c>
      <c r="I1436" t="str">
        <f>"86054 OAK STREET"</f>
        <v>86054 OAK STREET</v>
      </c>
      <c r="J1436" t="str">
        <f>"YULEE FL 32097"</f>
        <v>YULEE FL 32097</v>
      </c>
      <c r="K1436" t="str">
        <f>"86054 OAK ST"</f>
        <v>86054 OAK ST</v>
      </c>
      <c r="L1436" t="str">
        <f t="shared" si="491"/>
        <v>YULEE FL 32097</v>
      </c>
      <c r="M1436" t="str">
        <f>"LOTS 38 &amp; 39 IN OR 1343/136 2002 CYPRE DW NASSAU ACRES 2 PB 3/61"</f>
        <v>LOTS 38 &amp; 39 IN OR 1343/136 2002 CYPRE DW NASSAU ACRES 2 PB 3/61</v>
      </c>
      <c r="N1436" t="str">
        <f>""</f>
        <v/>
      </c>
      <c r="O1436" t="str">
        <f>"55446"</f>
        <v>55446</v>
      </c>
      <c r="P1436" t="str">
        <f t="shared" si="494"/>
        <v>2017</v>
      </c>
      <c r="Q1436" t="str">
        <f>""</f>
        <v/>
      </c>
      <c r="R1436" t="str">
        <f>"Y"</f>
        <v>Y</v>
      </c>
      <c r="S1436" t="str">
        <f>""</f>
        <v/>
      </c>
      <c r="T1436" t="str">
        <f>"478.09"</f>
        <v>478.09</v>
      </c>
      <c r="U1436" t="str">
        <f>"66247.00"</f>
        <v>66247.00</v>
      </c>
      <c r="V1436" t="str">
        <f>"66247.00"</f>
        <v>66247.00</v>
      </c>
      <c r="W1436" t="str">
        <f t="shared" si="495"/>
        <v>2017</v>
      </c>
      <c r="X1436" t="str">
        <f>""</f>
        <v/>
      </c>
      <c r="Y1436" t="str">
        <f>"524.43"</f>
        <v>524.43</v>
      </c>
      <c r="Z1436" t="str">
        <f>"25500.00"</f>
        <v>25500.00</v>
      </c>
      <c r="AA1436" t="str">
        <f>"40747.00"</f>
        <v>40747.00</v>
      </c>
      <c r="AB1436" t="str">
        <f t="shared" si="496"/>
        <v>Residential</v>
      </c>
      <c r="AC1436" t="str">
        <f t="shared" si="499"/>
        <v>0</v>
      </c>
      <c r="AD1436" t="str">
        <f>"4"</f>
        <v>4</v>
      </c>
      <c r="AE1436" t="str">
        <f>"WOOD (INCLUDE STEEL STUDS)"</f>
        <v>WOOD (INCLUDE STEEL STUDS)</v>
      </c>
      <c r="AF1436" t="str">
        <f>"002"</f>
        <v>002</v>
      </c>
      <c r="AG1436" t="str">
        <f t="shared" si="497"/>
        <v>FL</v>
      </c>
      <c r="AH1436" t="str">
        <f>"15000.00"</f>
        <v>15000.00</v>
      </c>
      <c r="AI1436" t="str">
        <f>"21000.00"</f>
        <v>21000.00</v>
      </c>
      <c r="AJ1436" t="str">
        <f>"C55-000-588-7514-7"</f>
        <v>C55-000-588-7514-7</v>
      </c>
      <c r="AK1436" t="str">
        <f>"24384"</f>
        <v>24384</v>
      </c>
      <c r="AL1436">
        <v>5</v>
      </c>
      <c r="AM1436">
        <v>1642</v>
      </c>
      <c r="AN1436">
        <v>549.04999999999995</v>
      </c>
      <c r="AQ1436" t="s">
        <v>14595</v>
      </c>
      <c r="AR1436" t="s">
        <v>14595</v>
      </c>
      <c r="AS1436" t="s">
        <v>14595</v>
      </c>
      <c r="AU1436" t="s">
        <v>396</v>
      </c>
      <c r="AV1436">
        <v>2017</v>
      </c>
      <c r="AW1436" t="str">
        <f>"51-3N-27-4820-0038-0000 "</f>
        <v xml:space="preserve">51-3N-27-4820-0038-0000 </v>
      </c>
      <c r="AX1436">
        <v>86054</v>
      </c>
      <c r="AZ1436" t="s">
        <v>4713</v>
      </c>
      <c r="BA1436" t="s">
        <v>1942</v>
      </c>
      <c r="BD1436" t="s">
        <v>2387</v>
      </c>
      <c r="BE1436" t="s">
        <v>393</v>
      </c>
      <c r="BF1436">
        <v>32097</v>
      </c>
      <c r="BG1436" t="s">
        <v>14596</v>
      </c>
      <c r="BH1436" t="s">
        <v>2388</v>
      </c>
      <c r="BI1436">
        <v>-81.600512495743899</v>
      </c>
      <c r="BJ1436">
        <v>30.634092783277801</v>
      </c>
      <c r="BK1436" t="s">
        <v>14597</v>
      </c>
      <c r="BM1436" t="s">
        <v>14596</v>
      </c>
      <c r="BN1436" t="s">
        <v>1778</v>
      </c>
      <c r="BO1436">
        <v>32097</v>
      </c>
      <c r="BP1436" t="s">
        <v>416</v>
      </c>
      <c r="BQ1436">
        <v>200</v>
      </c>
      <c r="BR1436" t="s">
        <v>405</v>
      </c>
      <c r="BS1436">
        <v>1006</v>
      </c>
      <c r="BT1436" t="s">
        <v>406</v>
      </c>
      <c r="BU1436">
        <v>1500</v>
      </c>
      <c r="BV1436">
        <v>1000</v>
      </c>
      <c r="BW1436">
        <v>14347</v>
      </c>
      <c r="BX1436" t="s">
        <v>407</v>
      </c>
      <c r="BY1436" t="s">
        <v>7351</v>
      </c>
      <c r="BZ1436">
        <v>4</v>
      </c>
      <c r="CA1436">
        <v>2002</v>
      </c>
      <c r="CB1436">
        <v>1</v>
      </c>
      <c r="CC1436">
        <v>2</v>
      </c>
      <c r="CD1436">
        <v>2017</v>
      </c>
      <c r="CG1436">
        <v>66247</v>
      </c>
      <c r="CH1436">
        <v>2017</v>
      </c>
      <c r="CI1436">
        <v>21000</v>
      </c>
      <c r="CJ1436">
        <v>54432</v>
      </c>
      <c r="CK1436">
        <v>75432</v>
      </c>
      <c r="CL1436">
        <v>2017</v>
      </c>
      <c r="CM1436">
        <v>478.09</v>
      </c>
      <c r="CN1436" s="1">
        <v>38474</v>
      </c>
      <c r="CO1436">
        <v>103000</v>
      </c>
      <c r="CV1436">
        <v>0</v>
      </c>
      <c r="CZ1436" s="1">
        <v>38474</v>
      </c>
      <c r="DA1436">
        <v>0</v>
      </c>
      <c r="DD1436" t="s">
        <v>2387</v>
      </c>
      <c r="DG1436">
        <v>51</v>
      </c>
      <c r="DL1436">
        <v>50302</v>
      </c>
      <c r="DM1436" t="s">
        <v>14357</v>
      </c>
      <c r="DO1436" t="s">
        <v>14598</v>
      </c>
      <c r="DP1436">
        <v>0</v>
      </c>
      <c r="DQ1436">
        <v>0</v>
      </c>
      <c r="DR1436" t="s">
        <v>411</v>
      </c>
    </row>
    <row r="1437" spans="1:272" x14ac:dyDescent="0.25">
      <c r="A1437">
        <v>16486444</v>
      </c>
      <c r="B1437">
        <v>1436</v>
      </c>
      <c r="C1437" t="s">
        <v>393</v>
      </c>
      <c r="D1437" t="s">
        <v>394</v>
      </c>
      <c r="F1437" t="str">
        <f>"51-3N-27-4820-0044-0000"</f>
        <v>51-3N-27-4820-0044-0000</v>
      </c>
      <c r="H1437" t="str">
        <f>"POWELL JOYCE E"</f>
        <v>POWELL JOYCE E</v>
      </c>
      <c r="I1437" t="str">
        <f>"PO BOX 402"</f>
        <v>PO BOX 402</v>
      </c>
      <c r="J1437" t="str">
        <f>"YULEE FL 32041"</f>
        <v>YULEE FL 32041</v>
      </c>
      <c r="K1437" t="str">
        <f>"86067 OAK ST"</f>
        <v>86067 OAK ST</v>
      </c>
      <c r="L1437" t="str">
        <f t="shared" si="491"/>
        <v>YULEE FL 32097</v>
      </c>
      <c r="M1437" t="str">
        <f>"LOT 44 IN OR 672/1633 NASSAU ACRES 2 PB 3/61"</f>
        <v>LOT 44 IN OR 672/1633 NASSAU ACRES 2 PB 3/61</v>
      </c>
      <c r="N1437" t="str">
        <f>""</f>
        <v/>
      </c>
      <c r="O1437" t="str">
        <f>"55450"</f>
        <v>55450</v>
      </c>
      <c r="P1437" t="str">
        <f t="shared" si="494"/>
        <v>2017</v>
      </c>
      <c r="Q1437" t="str">
        <f>""</f>
        <v/>
      </c>
      <c r="R1437" t="str">
        <f>"Y"</f>
        <v>Y</v>
      </c>
      <c r="S1437" t="str">
        <f>""</f>
        <v/>
      </c>
      <c r="T1437" t="str">
        <f>"410.82"</f>
        <v>410.82</v>
      </c>
      <c r="U1437" t="str">
        <f>"54901.00"</f>
        <v>54901.00</v>
      </c>
      <c r="V1437" t="str">
        <f>"54901.00"</f>
        <v>54901.00</v>
      </c>
      <c r="W1437" t="str">
        <f t="shared" si="495"/>
        <v>2017</v>
      </c>
      <c r="X1437" t="str">
        <f>"14.60"</f>
        <v>14.60</v>
      </c>
      <c r="Y1437" t="str">
        <f>"349.72"</f>
        <v>349.72</v>
      </c>
      <c r="Z1437" t="str">
        <f>"25000.00"</f>
        <v>25000.00</v>
      </c>
      <c r="AA1437" t="str">
        <f>"29901.00"</f>
        <v>29901.00</v>
      </c>
      <c r="AB1437" t="str">
        <f t="shared" si="496"/>
        <v>Residential</v>
      </c>
      <c r="AC1437" t="str">
        <f t="shared" si="499"/>
        <v>0</v>
      </c>
      <c r="AD1437" t="str">
        <f>"4"</f>
        <v>4</v>
      </c>
      <c r="AE1437" t="str">
        <f>"WOOD (INCLUDE STEEL STUDS)"</f>
        <v>WOOD (INCLUDE STEEL STUDS)</v>
      </c>
      <c r="AF1437" t="str">
        <f>"001"</f>
        <v>001</v>
      </c>
      <c r="AG1437" t="str">
        <f t="shared" si="497"/>
        <v>FL</v>
      </c>
      <c r="AH1437" t="str">
        <f>"7480.00"</f>
        <v>7480.00</v>
      </c>
      <c r="AI1437" t="str">
        <f>"16368.00"</f>
        <v>16368.00</v>
      </c>
      <c r="AJ1437" t="str">
        <f>"C55-000-588-7518-8"</f>
        <v>C55-000-588-7518-8</v>
      </c>
      <c r="AK1437" t="str">
        <f>"24387"</f>
        <v>24387</v>
      </c>
      <c r="AL1437">
        <v>5</v>
      </c>
      <c r="AM1437">
        <v>1643</v>
      </c>
      <c r="AN1437">
        <v>365.61</v>
      </c>
      <c r="AQ1437" t="s">
        <v>14599</v>
      </c>
      <c r="AR1437" t="s">
        <v>14599</v>
      </c>
      <c r="AS1437" t="s">
        <v>14599</v>
      </c>
      <c r="AU1437" t="s">
        <v>396</v>
      </c>
      <c r="AV1437">
        <v>2017</v>
      </c>
      <c r="AW1437" t="str">
        <f>"51-3N-27-4820-0044-0000 "</f>
        <v xml:space="preserve">51-3N-27-4820-0044-0000 </v>
      </c>
      <c r="AX1437">
        <v>86067</v>
      </c>
      <c r="AZ1437" t="s">
        <v>4713</v>
      </c>
      <c r="BA1437" t="s">
        <v>1942</v>
      </c>
      <c r="BD1437" t="s">
        <v>2387</v>
      </c>
      <c r="BE1437" t="s">
        <v>393</v>
      </c>
      <c r="BF1437">
        <v>32097</v>
      </c>
      <c r="BG1437" t="s">
        <v>14600</v>
      </c>
      <c r="BH1437" t="s">
        <v>2388</v>
      </c>
      <c r="BI1437">
        <v>-81.600340939262907</v>
      </c>
      <c r="BJ1437">
        <v>30.634560065662299</v>
      </c>
      <c r="BK1437" t="s">
        <v>14601</v>
      </c>
      <c r="BM1437" t="s">
        <v>14602</v>
      </c>
      <c r="BN1437" t="s">
        <v>1778</v>
      </c>
      <c r="BO1437">
        <v>32041</v>
      </c>
      <c r="BP1437" t="s">
        <v>404</v>
      </c>
      <c r="BQ1437">
        <v>100</v>
      </c>
      <c r="BR1437" t="s">
        <v>514</v>
      </c>
      <c r="BS1437">
        <v>1001</v>
      </c>
      <c r="BT1437" t="s">
        <v>515</v>
      </c>
      <c r="BU1437">
        <v>880</v>
      </c>
      <c r="BV1437">
        <v>0</v>
      </c>
      <c r="BW1437">
        <v>8431</v>
      </c>
      <c r="BX1437" t="s">
        <v>407</v>
      </c>
      <c r="BY1437" t="s">
        <v>7351</v>
      </c>
      <c r="BZ1437">
        <v>4</v>
      </c>
      <c r="CA1437">
        <v>1976</v>
      </c>
      <c r="CB1437">
        <v>1</v>
      </c>
      <c r="CC1437">
        <v>1</v>
      </c>
      <c r="CD1437">
        <v>2017</v>
      </c>
      <c r="CG1437">
        <v>54901</v>
      </c>
      <c r="CH1437">
        <v>2017</v>
      </c>
      <c r="CI1437">
        <v>16368</v>
      </c>
      <c r="CJ1437">
        <v>56621</v>
      </c>
      <c r="CK1437">
        <v>72989</v>
      </c>
      <c r="CL1437">
        <v>2017</v>
      </c>
      <c r="CM1437">
        <v>410.82</v>
      </c>
      <c r="CN1437" s="1">
        <v>33968</v>
      </c>
      <c r="CO1437">
        <v>8500</v>
      </c>
      <c r="CZ1437" s="1">
        <v>33968</v>
      </c>
      <c r="DD1437" t="s">
        <v>2387</v>
      </c>
      <c r="DF1437">
        <v>44</v>
      </c>
      <c r="DG1437">
        <v>51</v>
      </c>
      <c r="DJ1437" t="s">
        <v>14576</v>
      </c>
      <c r="DL1437">
        <v>50302</v>
      </c>
      <c r="DM1437" t="s">
        <v>14357</v>
      </c>
      <c r="DO1437" t="s">
        <v>14603</v>
      </c>
      <c r="DP1437">
        <v>0</v>
      </c>
      <c r="DQ1437">
        <v>0</v>
      </c>
      <c r="DR1437" t="s">
        <v>411</v>
      </c>
      <c r="EP1437" t="s">
        <v>595</v>
      </c>
      <c r="EQ1437" t="s">
        <v>422</v>
      </c>
      <c r="ER1437">
        <v>0</v>
      </c>
      <c r="ES1437">
        <v>2</v>
      </c>
      <c r="ET1437">
        <v>0</v>
      </c>
      <c r="EU1437">
        <v>0</v>
      </c>
      <c r="EV1437">
        <v>0</v>
      </c>
      <c r="EW1437" s="2">
        <v>43222</v>
      </c>
      <c r="EX1437" s="1">
        <v>42515</v>
      </c>
      <c r="EY1437">
        <v>2015</v>
      </c>
      <c r="EZ1437">
        <v>135.09</v>
      </c>
      <c r="FA1437" t="s">
        <v>14604</v>
      </c>
      <c r="FB1437">
        <v>18</v>
      </c>
      <c r="FC1437" t="s">
        <v>603</v>
      </c>
      <c r="FD1437" t="s">
        <v>425</v>
      </c>
      <c r="FE1437" s="1">
        <v>42832</v>
      </c>
      <c r="FF1437">
        <v>11</v>
      </c>
      <c r="FG1437">
        <v>9999999</v>
      </c>
      <c r="FH1437" t="s">
        <v>604</v>
      </c>
      <c r="FJ1437" s="1">
        <v>40688</v>
      </c>
      <c r="FK1437">
        <v>2010</v>
      </c>
      <c r="FL1437">
        <v>416.66</v>
      </c>
      <c r="FM1437" t="s">
        <v>14605</v>
      </c>
      <c r="FN1437">
        <v>6</v>
      </c>
      <c r="FO1437" t="s">
        <v>424</v>
      </c>
      <c r="FP1437" t="s">
        <v>425</v>
      </c>
      <c r="FQ1437" s="1">
        <v>40998</v>
      </c>
      <c r="FR1437">
        <v>10</v>
      </c>
      <c r="FS1437">
        <v>105</v>
      </c>
      <c r="FT1437" t="s">
        <v>946</v>
      </c>
    </row>
    <row r="1438" spans="1:272" x14ac:dyDescent="0.25">
      <c r="A1438">
        <v>16486445</v>
      </c>
      <c r="B1438">
        <v>1437</v>
      </c>
      <c r="C1438" t="s">
        <v>393</v>
      </c>
      <c r="D1438" t="s">
        <v>394</v>
      </c>
      <c r="F1438" t="str">
        <f>"51-3N-27-4840-0017-0000"</f>
        <v>51-3N-27-4840-0017-0000</v>
      </c>
      <c r="H1438" t="str">
        <f>"ALL AMERICAN OIL LLC"</f>
        <v>ALL AMERICAN OIL LLC</v>
      </c>
      <c r="I1438" t="str">
        <f>"380 COMMERCE PKWY"</f>
        <v>380 COMMERCE PKWY</v>
      </c>
      <c r="J1438" t="str">
        <f>"ROCKLEDGE FL 32955"</f>
        <v>ROCKLEDGE FL 32955</v>
      </c>
      <c r="K1438" t="str">
        <f>"463152 SR 200"</f>
        <v>463152 SR 200</v>
      </c>
      <c r="L1438" t="str">
        <f t="shared" si="491"/>
        <v>YULEE FL 32097</v>
      </c>
      <c r="M1438" t="str">
        <f>"LOTS 17 18 &amp; 19 &amp; PARCEL 35 IN OR 2087/516 ESMT IN OR 917/772 EAST YULEE PB 2/29"</f>
        <v>LOTS 17 18 &amp; 19 &amp; PARCEL 35 IN OR 2087/516 ESMT IN OR 917/772 EAST YULEE PB 2/29</v>
      </c>
      <c r="N1438" t="str">
        <f>""</f>
        <v/>
      </c>
      <c r="O1438" t="str">
        <f>"55456"</f>
        <v>55456</v>
      </c>
      <c r="P1438" t="str">
        <f t="shared" si="494"/>
        <v>2017</v>
      </c>
      <c r="Q1438" t="str">
        <f>""</f>
        <v/>
      </c>
      <c r="R1438" t="str">
        <f t="shared" ref="R1438:R1443" si="500">"N"</f>
        <v>N</v>
      </c>
      <c r="S1438" t="str">
        <f>""</f>
        <v/>
      </c>
      <c r="T1438" t="str">
        <f>"13667.23"</f>
        <v>13667.23</v>
      </c>
      <c r="U1438" t="str">
        <f>"902795.00"</f>
        <v>902795.00</v>
      </c>
      <c r="V1438" t="str">
        <f>"902795.00"</f>
        <v>902795.00</v>
      </c>
      <c r="W1438" t="str">
        <f t="shared" si="495"/>
        <v>2017</v>
      </c>
      <c r="X1438" t="str">
        <f>"12.33"</f>
        <v>12.33</v>
      </c>
      <c r="Y1438" t="str">
        <f>"14109.25"</f>
        <v>14109.25</v>
      </c>
      <c r="Z1438" t="str">
        <f>""</f>
        <v/>
      </c>
      <c r="AA1438" t="str">
        <f>"902795.00"</f>
        <v>902795.00</v>
      </c>
      <c r="AB1438" t="str">
        <f>"Commercial"</f>
        <v>Commercial</v>
      </c>
      <c r="AC1438" t="str">
        <f t="shared" si="499"/>
        <v>0</v>
      </c>
      <c r="AD1438" t="str">
        <f>"3"</f>
        <v>3</v>
      </c>
      <c r="AE1438" t="str">
        <f>"MASONRY"</f>
        <v>MASONRY</v>
      </c>
      <c r="AF1438" t="str">
        <f>"014"</f>
        <v>014</v>
      </c>
      <c r="AG1438" t="str">
        <f t="shared" si="497"/>
        <v>FL</v>
      </c>
      <c r="AH1438" t="str">
        <f>"43124.00"</f>
        <v>43124.00</v>
      </c>
      <c r="AI1438" t="str">
        <f>"431240.00"</f>
        <v>431240.00</v>
      </c>
      <c r="AJ1438" t="str">
        <f>"C55-000-588-7523-8"</f>
        <v>C55-000-588-7523-8</v>
      </c>
      <c r="AK1438" t="str">
        <f>"24392"</f>
        <v>24392</v>
      </c>
      <c r="AL1438">
        <v>5</v>
      </c>
      <c r="AM1438">
        <v>1644</v>
      </c>
      <c r="AN1438">
        <v>14813.11</v>
      </c>
      <c r="AQ1438" t="s">
        <v>14606</v>
      </c>
      <c r="AR1438" t="s">
        <v>14606</v>
      </c>
      <c r="AS1438" t="s">
        <v>14606</v>
      </c>
      <c r="AU1438" t="s">
        <v>396</v>
      </c>
      <c r="AV1438">
        <v>2017</v>
      </c>
      <c r="AW1438" t="str">
        <f>"51-3N-27-4840-0017-0000 "</f>
        <v xml:space="preserve">51-3N-27-4840-0017-0000 </v>
      </c>
      <c r="AX1438">
        <v>463152</v>
      </c>
      <c r="AZ1438" t="s">
        <v>8071</v>
      </c>
      <c r="BD1438" t="s">
        <v>2387</v>
      </c>
      <c r="BE1438" t="s">
        <v>393</v>
      </c>
      <c r="BF1438">
        <v>32097</v>
      </c>
      <c r="BG1438" t="s">
        <v>14607</v>
      </c>
      <c r="BH1438" t="s">
        <v>2388</v>
      </c>
      <c r="BI1438">
        <v>-81.601462950169307</v>
      </c>
      <c r="BJ1438">
        <v>30.631529699476499</v>
      </c>
      <c r="BK1438" t="s">
        <v>14608</v>
      </c>
      <c r="BM1438" t="s">
        <v>14609</v>
      </c>
      <c r="BN1438" t="s">
        <v>14610</v>
      </c>
      <c r="BO1438">
        <v>32955</v>
      </c>
      <c r="BP1438" t="s">
        <v>404</v>
      </c>
      <c r="BQ1438">
        <v>1410</v>
      </c>
      <c r="BR1438" t="s">
        <v>4534</v>
      </c>
      <c r="BS1438">
        <v>2006</v>
      </c>
      <c r="BT1438" t="s">
        <v>4535</v>
      </c>
      <c r="BW1438">
        <v>43124</v>
      </c>
      <c r="BX1438" t="s">
        <v>407</v>
      </c>
      <c r="BY1438" t="s">
        <v>4413</v>
      </c>
      <c r="BZ1438">
        <v>3</v>
      </c>
      <c r="CA1438">
        <v>2000</v>
      </c>
      <c r="CB1438">
        <v>1</v>
      </c>
      <c r="CD1438">
        <v>2017</v>
      </c>
      <c r="CE1438">
        <v>431240</v>
      </c>
      <c r="CF1438">
        <v>471555</v>
      </c>
      <c r="CG1438">
        <v>902795</v>
      </c>
      <c r="CH1438">
        <v>2017</v>
      </c>
      <c r="CI1438">
        <v>431240</v>
      </c>
      <c r="CJ1438">
        <v>471555</v>
      </c>
      <c r="CK1438">
        <v>902795</v>
      </c>
      <c r="CL1438">
        <v>2017</v>
      </c>
      <c r="CM1438">
        <v>13667.23</v>
      </c>
      <c r="CN1438" s="1">
        <v>42711</v>
      </c>
      <c r="CO1438">
        <v>1300000</v>
      </c>
      <c r="CV1438">
        <v>1755000</v>
      </c>
      <c r="CX1438" t="s">
        <v>2312</v>
      </c>
      <c r="CZ1438" s="1">
        <v>42711</v>
      </c>
      <c r="DA1438">
        <v>0</v>
      </c>
      <c r="DD1438" t="s">
        <v>2387</v>
      </c>
      <c r="DG1438">
        <v>51</v>
      </c>
      <c r="DL1438">
        <v>50302</v>
      </c>
      <c r="DM1438" t="s">
        <v>14357</v>
      </c>
      <c r="DO1438" t="s">
        <v>14611</v>
      </c>
      <c r="DP1438">
        <v>0</v>
      </c>
      <c r="DQ1438">
        <v>17</v>
      </c>
      <c r="DR1438" t="s">
        <v>1174</v>
      </c>
      <c r="DS1438" t="b">
        <v>1</v>
      </c>
      <c r="DT1438" t="s">
        <v>470</v>
      </c>
      <c r="DU1438" t="s">
        <v>471</v>
      </c>
      <c r="DV1438" t="s">
        <v>472</v>
      </c>
      <c r="DX1438">
        <v>-9999</v>
      </c>
      <c r="DZ1438" t="s">
        <v>447</v>
      </c>
      <c r="EA1438" t="s">
        <v>448</v>
      </c>
      <c r="EB1438" t="s">
        <v>742</v>
      </c>
      <c r="EC1438">
        <v>20101217</v>
      </c>
      <c r="ED1438" t="s">
        <v>474</v>
      </c>
      <c r="EF1438">
        <v>4841.8999999999996</v>
      </c>
      <c r="EG1438">
        <v>4841.8999999999996</v>
      </c>
      <c r="EI1438">
        <v>20160407</v>
      </c>
      <c r="EJ1438">
        <v>0</v>
      </c>
      <c r="EK1438">
        <v>0</v>
      </c>
      <c r="EP1438" t="s">
        <v>421</v>
      </c>
      <c r="EQ1438" t="s">
        <v>422</v>
      </c>
      <c r="ER1438">
        <v>0</v>
      </c>
      <c r="ES1438">
        <v>2</v>
      </c>
      <c r="ET1438">
        <v>0</v>
      </c>
      <c r="EU1438">
        <v>0</v>
      </c>
      <c r="EV1438">
        <v>0</v>
      </c>
      <c r="EW1438" s="2">
        <v>43222</v>
      </c>
      <c r="EX1438" s="1">
        <v>42515</v>
      </c>
      <c r="EY1438">
        <v>2015</v>
      </c>
      <c r="EZ1438">
        <v>12899.04</v>
      </c>
      <c r="FA1438" t="s">
        <v>14612</v>
      </c>
      <c r="FB1438">
        <v>0.25</v>
      </c>
      <c r="FC1438" t="s">
        <v>424</v>
      </c>
      <c r="FD1438" t="s">
        <v>425</v>
      </c>
      <c r="FE1438" s="1">
        <v>42696</v>
      </c>
      <c r="FF1438">
        <v>6</v>
      </c>
      <c r="FG1438">
        <v>2851116</v>
      </c>
      <c r="FH1438" t="s">
        <v>480</v>
      </c>
      <c r="FJ1438" s="1">
        <v>42515</v>
      </c>
      <c r="FK1438">
        <v>2015</v>
      </c>
      <c r="FL1438">
        <v>12899.04</v>
      </c>
      <c r="FM1438" t="s">
        <v>14612</v>
      </c>
      <c r="FN1438">
        <v>0.25</v>
      </c>
      <c r="FO1438" t="s">
        <v>424</v>
      </c>
      <c r="FP1438" t="s">
        <v>425</v>
      </c>
      <c r="FR1438">
        <v>22</v>
      </c>
      <c r="FS1438">
        <v>5462577</v>
      </c>
      <c r="FT1438" t="s">
        <v>14613</v>
      </c>
    </row>
    <row r="1439" spans="1:272" x14ac:dyDescent="0.25">
      <c r="A1439">
        <v>16486446</v>
      </c>
      <c r="B1439">
        <v>1438</v>
      </c>
      <c r="C1439" t="s">
        <v>393</v>
      </c>
      <c r="D1439" t="s">
        <v>394</v>
      </c>
      <c r="F1439" t="str">
        <f>"51-3N-27-4860-000A-0040"</f>
        <v>51-3N-27-4860-000A-0040</v>
      </c>
      <c r="H1439" t="str">
        <f>"DANIEL MUTT J &amp; BARLOW RICHARD (T/I/C)"</f>
        <v>DANIEL MUTT J &amp; BARLOW RICHARD (T/I/C)</v>
      </c>
      <c r="I1439" t="str">
        <f>"PO BOX 15321"</f>
        <v>PO BOX 15321</v>
      </c>
      <c r="J1439" t="str">
        <f>"FERNANDINA BEACH FL 32035"</f>
        <v>FERNANDINA BEACH FL 32035</v>
      </c>
      <c r="K1439" t="str">
        <f>"86078 CLYDE ST"</f>
        <v>86078 CLYDE ST</v>
      </c>
      <c r="L1439" t="str">
        <f t="shared" si="491"/>
        <v>YULEE FL 32097</v>
      </c>
      <c r="M1439" t="str">
        <f>"BLOCK A LOT 4 IN OR 1893/300 R433474 FELMORE PARK SUB PB 3/41"</f>
        <v>BLOCK A LOT 4 IN OR 1893/300 R433474 FELMORE PARK SUB PB 3/41</v>
      </c>
      <c r="N1439" t="str">
        <f>""</f>
        <v/>
      </c>
      <c r="O1439" t="str">
        <f>"55469"</f>
        <v>55469</v>
      </c>
      <c r="P1439" t="str">
        <f t="shared" si="494"/>
        <v>2017</v>
      </c>
      <c r="Q1439" t="str">
        <f>""</f>
        <v/>
      </c>
      <c r="R1439" t="str">
        <f t="shared" si="500"/>
        <v>N</v>
      </c>
      <c r="S1439" t="str">
        <f>""</f>
        <v/>
      </c>
      <c r="T1439" t="str">
        <f>"457.55"</f>
        <v>457.55</v>
      </c>
      <c r="U1439" t="str">
        <f>"30224.00"</f>
        <v>30224.00</v>
      </c>
      <c r="V1439" t="str">
        <f>"30224.00"</f>
        <v>30224.00</v>
      </c>
      <c r="W1439" t="str">
        <f t="shared" si="495"/>
        <v>2017</v>
      </c>
      <c r="X1439" t="str">
        <f>"18.00"</f>
        <v>18.00</v>
      </c>
      <c r="Y1439" t="str">
        <f>"503.28"</f>
        <v>503.28</v>
      </c>
      <c r="Z1439" t="str">
        <f>""</f>
        <v/>
      </c>
      <c r="AA1439" t="str">
        <f>"30224.00"</f>
        <v>30224.00</v>
      </c>
      <c r="AB1439" t="str">
        <f t="shared" ref="AB1439:AB1480" si="501">"Residential"</f>
        <v>Residential</v>
      </c>
      <c r="AC1439" t="str">
        <f t="shared" si="499"/>
        <v>0</v>
      </c>
      <c r="AD1439" t="str">
        <f>"4"</f>
        <v>4</v>
      </c>
      <c r="AE1439" t="str">
        <f>"WOOD (INCLUDE STEEL STUDS)"</f>
        <v>WOOD (INCLUDE STEEL STUDS)</v>
      </c>
      <c r="AF1439" t="str">
        <f>"002"</f>
        <v>002</v>
      </c>
      <c r="AG1439" t="str">
        <f t="shared" si="497"/>
        <v>FL</v>
      </c>
      <c r="AH1439" t="str">
        <f>"12500.00"</f>
        <v>12500.00</v>
      </c>
      <c r="AI1439" t="str">
        <f>"20000.00"</f>
        <v>20000.00</v>
      </c>
      <c r="AJ1439" t="str">
        <f>"C55-000-588-7535-2"</f>
        <v>C55-000-588-7535-2</v>
      </c>
      <c r="AK1439" t="str">
        <f>"24404"</f>
        <v>24404</v>
      </c>
      <c r="AL1439">
        <v>5</v>
      </c>
      <c r="AM1439">
        <v>1645</v>
      </c>
      <c r="AN1439">
        <v>526.84</v>
      </c>
      <c r="AQ1439" t="s">
        <v>14614</v>
      </c>
      <c r="AR1439" t="s">
        <v>14614</v>
      </c>
      <c r="AS1439" t="s">
        <v>14614</v>
      </c>
      <c r="AU1439" t="s">
        <v>396</v>
      </c>
      <c r="AV1439">
        <v>2017</v>
      </c>
      <c r="AW1439" t="str">
        <f>"51-3N-27-4860-000A-0040 "</f>
        <v xml:space="preserve">51-3N-27-4860-000A-0040 </v>
      </c>
      <c r="AX1439">
        <v>86078</v>
      </c>
      <c r="AZ1439" t="s">
        <v>14615</v>
      </c>
      <c r="BA1439" t="s">
        <v>1942</v>
      </c>
      <c r="BD1439" t="s">
        <v>2387</v>
      </c>
      <c r="BE1439" t="s">
        <v>393</v>
      </c>
      <c r="BF1439">
        <v>32097</v>
      </c>
      <c r="BG1439" t="s">
        <v>14616</v>
      </c>
      <c r="BH1439" t="s">
        <v>2388</v>
      </c>
      <c r="BI1439">
        <v>-81.588458781908798</v>
      </c>
      <c r="BJ1439">
        <v>30.6354216113482</v>
      </c>
      <c r="BK1439" t="s">
        <v>14617</v>
      </c>
      <c r="BL1439" t="s">
        <v>14618</v>
      </c>
      <c r="BM1439" t="s">
        <v>14619</v>
      </c>
      <c r="BN1439" t="s">
        <v>3983</v>
      </c>
      <c r="BO1439">
        <v>32035</v>
      </c>
      <c r="BP1439" t="s">
        <v>404</v>
      </c>
      <c r="BQ1439">
        <v>200</v>
      </c>
      <c r="BR1439" t="s">
        <v>405</v>
      </c>
      <c r="BS1439">
        <v>1006</v>
      </c>
      <c r="BT1439" t="s">
        <v>406</v>
      </c>
      <c r="BU1439">
        <v>1000</v>
      </c>
      <c r="BV1439">
        <v>1250</v>
      </c>
      <c r="BW1439">
        <v>12500</v>
      </c>
      <c r="BX1439" t="s">
        <v>407</v>
      </c>
      <c r="BY1439" t="s">
        <v>7351</v>
      </c>
      <c r="BZ1439">
        <v>4</v>
      </c>
      <c r="CA1439">
        <v>1983</v>
      </c>
      <c r="CB1439">
        <v>1</v>
      </c>
      <c r="CC1439">
        <v>1</v>
      </c>
      <c r="CD1439">
        <v>2017</v>
      </c>
      <c r="CE1439">
        <v>20000</v>
      </c>
      <c r="CF1439">
        <v>10224</v>
      </c>
      <c r="CG1439">
        <v>30224</v>
      </c>
      <c r="CH1439">
        <v>2017</v>
      </c>
      <c r="CI1439">
        <v>20000</v>
      </c>
      <c r="CJ1439">
        <v>10224</v>
      </c>
      <c r="CK1439">
        <v>30224</v>
      </c>
      <c r="CL1439">
        <v>2017</v>
      </c>
      <c r="CM1439">
        <v>457.55</v>
      </c>
      <c r="CN1439" s="1">
        <v>41620</v>
      </c>
      <c r="CO1439">
        <v>45000</v>
      </c>
      <c r="CV1439">
        <v>0</v>
      </c>
      <c r="CZ1439" s="1">
        <v>41620</v>
      </c>
      <c r="DA1439">
        <v>0</v>
      </c>
      <c r="DD1439" t="s">
        <v>2387</v>
      </c>
      <c r="DF1439">
        <v>4</v>
      </c>
      <c r="DG1439">
        <v>51</v>
      </c>
      <c r="DJ1439" t="s">
        <v>14620</v>
      </c>
      <c r="DL1439">
        <v>50302</v>
      </c>
      <c r="DM1439" t="s">
        <v>14357</v>
      </c>
      <c r="DO1439" t="s">
        <v>14621</v>
      </c>
      <c r="DP1439">
        <v>0</v>
      </c>
      <c r="DQ1439">
        <v>1</v>
      </c>
      <c r="DR1439" t="s">
        <v>1479</v>
      </c>
      <c r="DS1439" t="b">
        <v>1</v>
      </c>
      <c r="DT1439" t="s">
        <v>470</v>
      </c>
      <c r="DU1439" t="s">
        <v>471</v>
      </c>
      <c r="DV1439" t="s">
        <v>472</v>
      </c>
      <c r="DX1439">
        <v>-9999</v>
      </c>
      <c r="DZ1439" t="s">
        <v>447</v>
      </c>
      <c r="EA1439" t="s">
        <v>448</v>
      </c>
      <c r="EB1439" t="s">
        <v>742</v>
      </c>
      <c r="EC1439">
        <v>20101217</v>
      </c>
      <c r="ED1439" t="s">
        <v>474</v>
      </c>
      <c r="EF1439">
        <v>1611</v>
      </c>
      <c r="EG1439">
        <v>1611</v>
      </c>
      <c r="EI1439">
        <v>20160407</v>
      </c>
      <c r="EJ1439">
        <v>0</v>
      </c>
      <c r="EK1439">
        <v>0</v>
      </c>
      <c r="EP1439" t="s">
        <v>421</v>
      </c>
      <c r="EQ1439" t="s">
        <v>422</v>
      </c>
      <c r="ER1439">
        <v>0</v>
      </c>
      <c r="ES1439">
        <v>5</v>
      </c>
      <c r="ET1439">
        <v>0</v>
      </c>
      <c r="EU1439">
        <v>0</v>
      </c>
      <c r="EV1439">
        <v>0</v>
      </c>
      <c r="EW1439" s="2">
        <v>43222</v>
      </c>
      <c r="EX1439" s="1">
        <v>42515</v>
      </c>
      <c r="EY1439">
        <v>2015</v>
      </c>
      <c r="EZ1439">
        <v>529.75</v>
      </c>
      <c r="FA1439" t="s">
        <v>14622</v>
      </c>
      <c r="FB1439">
        <v>18</v>
      </c>
      <c r="FC1439" t="s">
        <v>424</v>
      </c>
      <c r="FD1439" t="s">
        <v>425</v>
      </c>
      <c r="FE1439" s="1">
        <v>42830</v>
      </c>
      <c r="FF1439">
        <v>11</v>
      </c>
      <c r="FG1439">
        <v>10628</v>
      </c>
      <c r="FH1439" t="s">
        <v>943</v>
      </c>
      <c r="FJ1439" s="1">
        <v>42151</v>
      </c>
      <c r="FK1439">
        <v>2014</v>
      </c>
      <c r="FL1439">
        <v>477.61</v>
      </c>
      <c r="FM1439" t="s">
        <v>14623</v>
      </c>
      <c r="FN1439">
        <v>3.75</v>
      </c>
      <c r="FO1439" t="s">
        <v>424</v>
      </c>
      <c r="FP1439" t="s">
        <v>425</v>
      </c>
      <c r="FQ1439" s="1">
        <v>42830</v>
      </c>
      <c r="FR1439">
        <v>23</v>
      </c>
      <c r="FS1439">
        <v>4975593</v>
      </c>
      <c r="FT1439" t="s">
        <v>505</v>
      </c>
      <c r="FV1439" s="1">
        <v>41423</v>
      </c>
      <c r="FW1439">
        <v>2012</v>
      </c>
      <c r="FX1439">
        <v>508.97</v>
      </c>
      <c r="FY1439" t="s">
        <v>14624</v>
      </c>
      <c r="FZ1439">
        <v>0.25</v>
      </c>
      <c r="GA1439" t="s">
        <v>424</v>
      </c>
      <c r="GB1439" t="s">
        <v>425</v>
      </c>
      <c r="GC1439" s="1">
        <v>41536</v>
      </c>
      <c r="GD1439">
        <v>4</v>
      </c>
      <c r="GE1439">
        <v>15399</v>
      </c>
      <c r="GF1439" t="s">
        <v>485</v>
      </c>
      <c r="GH1439" s="1">
        <v>41052</v>
      </c>
      <c r="GI1439">
        <v>2011</v>
      </c>
      <c r="GJ1439">
        <v>674.91</v>
      </c>
      <c r="GK1439" t="s">
        <v>14625</v>
      </c>
      <c r="GL1439">
        <v>5</v>
      </c>
      <c r="GM1439" t="s">
        <v>424</v>
      </c>
      <c r="GN1439" t="s">
        <v>425</v>
      </c>
      <c r="GO1439" s="1">
        <v>41536</v>
      </c>
      <c r="GP1439">
        <v>16</v>
      </c>
      <c r="GQ1439">
        <v>62</v>
      </c>
      <c r="GR1439" t="s">
        <v>463</v>
      </c>
      <c r="GT1439" s="1">
        <v>40688</v>
      </c>
      <c r="GU1439">
        <v>2010</v>
      </c>
      <c r="GV1439">
        <v>680.03</v>
      </c>
      <c r="GW1439" t="s">
        <v>14626</v>
      </c>
      <c r="GX1439">
        <v>6</v>
      </c>
      <c r="GY1439" t="s">
        <v>424</v>
      </c>
      <c r="GZ1439" t="s">
        <v>425</v>
      </c>
      <c r="HA1439" s="1">
        <v>41317</v>
      </c>
      <c r="HB1439">
        <v>21</v>
      </c>
      <c r="HC1439">
        <v>375</v>
      </c>
      <c r="HD1439" t="s">
        <v>776</v>
      </c>
    </row>
    <row r="1440" spans="1:272" x14ac:dyDescent="0.25">
      <c r="A1440">
        <v>16486447</v>
      </c>
      <c r="B1440">
        <v>1439</v>
      </c>
      <c r="C1440" t="s">
        <v>393</v>
      </c>
      <c r="D1440" t="s">
        <v>394</v>
      </c>
      <c r="F1440" t="str">
        <f>"51-3N-27-4860-000A-0100"</f>
        <v>51-3N-27-4860-000A-0100</v>
      </c>
      <c r="H1440" t="str">
        <f>"WIGGINS JESSICA K"</f>
        <v>WIGGINS JESSICA K</v>
      </c>
      <c r="I1440" t="str">
        <f>"44055 SWALLOWFORK AVE"</f>
        <v>44055 SWALLOWFORK AVE</v>
      </c>
      <c r="J1440" t="str">
        <f>"AVENTURA FL 33160"</f>
        <v>AVENTURA FL 33160</v>
      </c>
      <c r="K1440" t="str">
        <f>"86018 CLYDE ST"</f>
        <v>86018 CLYDE ST</v>
      </c>
      <c r="L1440" t="str">
        <f t="shared" si="491"/>
        <v>YULEE FL 32097</v>
      </c>
      <c r="M1440" t="str">
        <f>"BLOCK A LOT 10 IN OR 1643/1510 FELMORE PARK SUB PB 3/41"</f>
        <v>BLOCK A LOT 10 IN OR 1643/1510 FELMORE PARK SUB PB 3/41</v>
      </c>
      <c r="N1440" t="str">
        <f>""</f>
        <v/>
      </c>
      <c r="O1440" t="str">
        <f>"55474"</f>
        <v>55474</v>
      </c>
      <c r="P1440" t="str">
        <f t="shared" si="494"/>
        <v>2017</v>
      </c>
      <c r="Q1440" t="str">
        <f>""</f>
        <v/>
      </c>
      <c r="R1440" t="str">
        <f t="shared" si="500"/>
        <v>N</v>
      </c>
      <c r="S1440" t="str">
        <f>""</f>
        <v/>
      </c>
      <c r="T1440" t="str">
        <f>"416.32"</f>
        <v>416.32</v>
      </c>
      <c r="U1440" t="str">
        <f>"27500.00"</f>
        <v>27500.00</v>
      </c>
      <c r="V1440" t="str">
        <f>"27500.00"</f>
        <v>27500.00</v>
      </c>
      <c r="W1440" t="str">
        <f t="shared" si="495"/>
        <v>2017</v>
      </c>
      <c r="X1440" t="str">
        <f>"30.33"</f>
        <v>30.33</v>
      </c>
      <c r="Y1440" t="str">
        <f>"460.81"</f>
        <v>460.81</v>
      </c>
      <c r="Z1440" t="str">
        <f>""</f>
        <v/>
      </c>
      <c r="AA1440" t="str">
        <f>"27500.00"</f>
        <v>27500.00</v>
      </c>
      <c r="AB1440" t="str">
        <f t="shared" si="501"/>
        <v>Residential</v>
      </c>
      <c r="AC1440" t="str">
        <f t="shared" si="499"/>
        <v>0</v>
      </c>
      <c r="AD1440" t="str">
        <f>""</f>
        <v/>
      </c>
      <c r="AE1440" t="str">
        <f>""</f>
        <v/>
      </c>
      <c r="AF1440" t="str">
        <f>"000"</f>
        <v>000</v>
      </c>
      <c r="AG1440" t="str">
        <f t="shared" si="497"/>
        <v>FL</v>
      </c>
      <c r="AH1440" t="str">
        <f>"12500.00"</f>
        <v>12500.00</v>
      </c>
      <c r="AI1440" t="str">
        <f>"20000.00"</f>
        <v>20000.00</v>
      </c>
      <c r="AJ1440" t="str">
        <f>"C55-000-588-7540-2"</f>
        <v>C55-000-588-7540-2</v>
      </c>
      <c r="AK1440" t="str">
        <f>"24409"</f>
        <v>24409</v>
      </c>
      <c r="AL1440">
        <v>6</v>
      </c>
      <c r="AM1440">
        <v>1646</v>
      </c>
      <c r="AN1440">
        <v>482.25</v>
      </c>
      <c r="AQ1440" t="s">
        <v>14627</v>
      </c>
      <c r="AR1440" t="s">
        <v>14627</v>
      </c>
      <c r="AS1440" t="s">
        <v>14627</v>
      </c>
      <c r="AU1440" t="s">
        <v>396</v>
      </c>
      <c r="AV1440">
        <v>2017</v>
      </c>
      <c r="AW1440" t="str">
        <f>"51-3N-27-4860-000A-0100 "</f>
        <v xml:space="preserve">51-3N-27-4860-000A-0100 </v>
      </c>
      <c r="AX1440">
        <v>86018</v>
      </c>
      <c r="AZ1440" t="s">
        <v>14615</v>
      </c>
      <c r="BA1440" t="s">
        <v>1942</v>
      </c>
      <c r="BD1440" t="s">
        <v>2387</v>
      </c>
      <c r="BE1440" t="s">
        <v>393</v>
      </c>
      <c r="BF1440">
        <v>32097</v>
      </c>
      <c r="BG1440" t="s">
        <v>14628</v>
      </c>
      <c r="BH1440" t="s">
        <v>2388</v>
      </c>
      <c r="BI1440">
        <v>-81.589354238382498</v>
      </c>
      <c r="BJ1440">
        <v>30.635137490326098</v>
      </c>
      <c r="BK1440" t="s">
        <v>14629</v>
      </c>
      <c r="BM1440" t="s">
        <v>8403</v>
      </c>
      <c r="BN1440" t="s">
        <v>8404</v>
      </c>
      <c r="BO1440">
        <v>33160</v>
      </c>
      <c r="BP1440" t="s">
        <v>404</v>
      </c>
      <c r="BQ1440">
        <v>1</v>
      </c>
      <c r="BR1440" t="s">
        <v>491</v>
      </c>
      <c r="BS1440">
        <v>8001</v>
      </c>
      <c r="BT1440" t="s">
        <v>492</v>
      </c>
      <c r="BU1440">
        <v>1000</v>
      </c>
      <c r="BV1440">
        <v>1250</v>
      </c>
      <c r="BW1440">
        <v>12499</v>
      </c>
      <c r="BX1440" t="s">
        <v>407</v>
      </c>
      <c r="BY1440" t="s">
        <v>7351</v>
      </c>
      <c r="CD1440">
        <v>2017</v>
      </c>
      <c r="CE1440">
        <v>20000</v>
      </c>
      <c r="CF1440">
        <v>7500</v>
      </c>
      <c r="CG1440">
        <v>27500</v>
      </c>
      <c r="CH1440">
        <v>2017</v>
      </c>
      <c r="CI1440">
        <v>20000</v>
      </c>
      <c r="CJ1440">
        <v>7500</v>
      </c>
      <c r="CK1440">
        <v>27500</v>
      </c>
      <c r="CL1440">
        <v>2017</v>
      </c>
      <c r="CM1440">
        <v>416.32</v>
      </c>
      <c r="CN1440" s="1">
        <v>40099</v>
      </c>
      <c r="CO1440">
        <v>4400</v>
      </c>
      <c r="CZ1440" s="1">
        <v>40099</v>
      </c>
      <c r="DD1440" t="s">
        <v>2387</v>
      </c>
      <c r="DF1440">
        <v>10</v>
      </c>
      <c r="DG1440">
        <v>51</v>
      </c>
      <c r="DJ1440" t="s">
        <v>14620</v>
      </c>
      <c r="DL1440">
        <v>50302</v>
      </c>
      <c r="DM1440" t="s">
        <v>14357</v>
      </c>
      <c r="DO1440" t="s">
        <v>14630</v>
      </c>
      <c r="DP1440">
        <v>0</v>
      </c>
      <c r="DQ1440">
        <v>1</v>
      </c>
      <c r="DR1440" t="s">
        <v>1479</v>
      </c>
      <c r="DS1440" t="b">
        <v>1</v>
      </c>
      <c r="DT1440" t="s">
        <v>470</v>
      </c>
      <c r="DU1440" t="s">
        <v>471</v>
      </c>
      <c r="DV1440" t="s">
        <v>472</v>
      </c>
      <c r="DX1440">
        <v>-9999</v>
      </c>
      <c r="DZ1440" t="s">
        <v>447</v>
      </c>
      <c r="EA1440" t="s">
        <v>448</v>
      </c>
      <c r="EB1440" t="s">
        <v>742</v>
      </c>
      <c r="EC1440">
        <v>20101217</v>
      </c>
      <c r="ED1440" t="s">
        <v>474</v>
      </c>
      <c r="EF1440">
        <v>1720.8</v>
      </c>
      <c r="EG1440">
        <v>1720.8</v>
      </c>
      <c r="EI1440">
        <v>20160407</v>
      </c>
      <c r="EJ1440">
        <v>0</v>
      </c>
      <c r="EK1440">
        <v>0</v>
      </c>
      <c r="EP1440" t="s">
        <v>595</v>
      </c>
      <c r="EQ1440" t="s">
        <v>422</v>
      </c>
      <c r="ER1440">
        <v>8</v>
      </c>
      <c r="ES1440">
        <v>0</v>
      </c>
      <c r="ET1440">
        <v>3479.04</v>
      </c>
      <c r="EU1440">
        <v>1180.28</v>
      </c>
      <c r="EV1440">
        <v>4659.32</v>
      </c>
      <c r="EW1440" s="2">
        <v>43222</v>
      </c>
      <c r="EX1440" s="1">
        <v>42879</v>
      </c>
      <c r="EY1440">
        <v>2016</v>
      </c>
      <c r="EZ1440">
        <v>442.05</v>
      </c>
      <c r="FA1440" t="s">
        <v>14631</v>
      </c>
      <c r="FB1440">
        <v>17.75</v>
      </c>
      <c r="FC1440" t="s">
        <v>424</v>
      </c>
      <c r="FD1440" t="s">
        <v>454</v>
      </c>
      <c r="FF1440">
        <v>12</v>
      </c>
      <c r="FG1440">
        <v>10125</v>
      </c>
      <c r="FH1440" t="s">
        <v>440</v>
      </c>
      <c r="FJ1440" s="1">
        <v>42515</v>
      </c>
      <c r="FK1440">
        <v>2015</v>
      </c>
      <c r="FL1440">
        <v>447.15</v>
      </c>
      <c r="FM1440" t="s">
        <v>14632</v>
      </c>
      <c r="FN1440">
        <v>18</v>
      </c>
      <c r="FO1440" t="s">
        <v>603</v>
      </c>
      <c r="FP1440" t="s">
        <v>454</v>
      </c>
      <c r="FR1440">
        <v>24</v>
      </c>
      <c r="FS1440">
        <v>9999999</v>
      </c>
      <c r="FT1440" t="s">
        <v>604</v>
      </c>
      <c r="FV1440" s="1">
        <v>42515</v>
      </c>
      <c r="FW1440">
        <v>2015</v>
      </c>
      <c r="FX1440">
        <v>473.52</v>
      </c>
      <c r="FY1440" t="s">
        <v>14632</v>
      </c>
      <c r="FZ1440">
        <v>18</v>
      </c>
      <c r="GA1440" t="s">
        <v>424</v>
      </c>
      <c r="GB1440" t="s">
        <v>454</v>
      </c>
      <c r="GD1440">
        <v>24</v>
      </c>
      <c r="GE1440">
        <v>14851</v>
      </c>
      <c r="GF1440" t="s">
        <v>4401</v>
      </c>
      <c r="GH1440" s="1">
        <v>42151</v>
      </c>
      <c r="GI1440">
        <v>2014</v>
      </c>
      <c r="GJ1440">
        <v>432.19</v>
      </c>
      <c r="GK1440" t="s">
        <v>14633</v>
      </c>
      <c r="GL1440">
        <v>18</v>
      </c>
      <c r="GM1440" t="s">
        <v>424</v>
      </c>
      <c r="GN1440" t="s">
        <v>454</v>
      </c>
      <c r="GP1440">
        <v>36</v>
      </c>
      <c r="GQ1440">
        <v>10125</v>
      </c>
      <c r="GR1440" t="s">
        <v>440</v>
      </c>
      <c r="GT1440" s="1">
        <v>41787</v>
      </c>
      <c r="GU1440">
        <v>2013</v>
      </c>
      <c r="GV1440">
        <v>391.18</v>
      </c>
      <c r="GW1440" t="s">
        <v>14634</v>
      </c>
      <c r="GX1440">
        <v>0.25</v>
      </c>
      <c r="GY1440" t="s">
        <v>424</v>
      </c>
      <c r="GZ1440" t="s">
        <v>454</v>
      </c>
      <c r="HB1440">
        <v>48</v>
      </c>
      <c r="HC1440">
        <v>10125</v>
      </c>
      <c r="HD1440" t="s">
        <v>440</v>
      </c>
      <c r="HF1440" s="1">
        <v>41423</v>
      </c>
      <c r="HG1440">
        <v>2012</v>
      </c>
      <c r="HH1440">
        <v>395.79</v>
      </c>
      <c r="HI1440" t="s">
        <v>14635</v>
      </c>
      <c r="HJ1440">
        <v>6</v>
      </c>
      <c r="HK1440" t="s">
        <v>424</v>
      </c>
      <c r="HL1440" t="s">
        <v>454</v>
      </c>
      <c r="HN1440">
        <v>60</v>
      </c>
      <c r="HO1440">
        <v>10125</v>
      </c>
      <c r="HP1440" t="s">
        <v>440</v>
      </c>
      <c r="HR1440" s="1">
        <v>41052</v>
      </c>
      <c r="HS1440">
        <v>2011</v>
      </c>
      <c r="HT1440">
        <v>468.57</v>
      </c>
      <c r="HU1440" t="s">
        <v>14636</v>
      </c>
      <c r="HV1440">
        <v>6</v>
      </c>
      <c r="HW1440" t="s">
        <v>424</v>
      </c>
      <c r="HX1440" t="s">
        <v>454</v>
      </c>
      <c r="HZ1440">
        <v>72</v>
      </c>
      <c r="IA1440">
        <v>375</v>
      </c>
      <c r="IB1440" t="s">
        <v>776</v>
      </c>
      <c r="ID1440" s="1">
        <v>40688</v>
      </c>
      <c r="IE1440">
        <v>2010</v>
      </c>
      <c r="IF1440">
        <v>428.59</v>
      </c>
      <c r="IG1440" t="s">
        <v>14637</v>
      </c>
      <c r="IH1440">
        <v>6</v>
      </c>
      <c r="II1440" t="s">
        <v>424</v>
      </c>
      <c r="IJ1440" t="s">
        <v>454</v>
      </c>
      <c r="IL1440">
        <v>84</v>
      </c>
      <c r="IM1440">
        <v>375</v>
      </c>
      <c r="IN1440" t="s">
        <v>776</v>
      </c>
    </row>
    <row r="1441" spans="1:272" x14ac:dyDescent="0.25">
      <c r="A1441">
        <v>16486448</v>
      </c>
      <c r="B1441">
        <v>1440</v>
      </c>
      <c r="C1441" t="s">
        <v>393</v>
      </c>
      <c r="D1441" t="s">
        <v>394</v>
      </c>
      <c r="F1441" t="str">
        <f>"51-3N-27-4881-0018-0000"</f>
        <v>51-3N-27-4881-0018-0000</v>
      </c>
      <c r="H1441" t="str">
        <f>"ROYAL DAVID R"</f>
        <v>ROYAL DAVID R</v>
      </c>
      <c r="I1441" t="str">
        <f>"85089 SUTTON PL"</f>
        <v>85089 SUTTON PL</v>
      </c>
      <c r="J1441" t="str">
        <f>"YULEE FL 32097"</f>
        <v>YULEE FL 32097</v>
      </c>
      <c r="K1441" t="str">
        <f>"86209 HILL VALLEY AVE"</f>
        <v>86209 HILL VALLEY AVE</v>
      </c>
      <c r="L1441" t="str">
        <f t="shared" si="491"/>
        <v>YULEE FL 32097</v>
      </c>
      <c r="M1441" t="str">
        <f>"TRACT 18 IN OR 1935/1386 R433994 &amp; R433995 YULEE HILLS PB 4/31"</f>
        <v>TRACT 18 IN OR 1935/1386 R433994 &amp; R433995 YULEE HILLS PB 4/31</v>
      </c>
      <c r="N1441" t="str">
        <f>""</f>
        <v/>
      </c>
      <c r="O1441" t="str">
        <f>"55526"</f>
        <v>55526</v>
      </c>
      <c r="P1441" t="str">
        <f t="shared" si="494"/>
        <v>2017</v>
      </c>
      <c r="Q1441" t="str">
        <f>""</f>
        <v/>
      </c>
      <c r="R1441" t="str">
        <f t="shared" si="500"/>
        <v>N</v>
      </c>
      <c r="S1441" t="str">
        <f>""</f>
        <v/>
      </c>
      <c r="T1441" t="str">
        <f>"493.29"</f>
        <v>493.29</v>
      </c>
      <c r="U1441" t="str">
        <f>"32584.00"</f>
        <v>32584.00</v>
      </c>
      <c r="V1441" t="str">
        <f>"32584.00"</f>
        <v>32584.00</v>
      </c>
      <c r="W1441" t="str">
        <f t="shared" si="495"/>
        <v>2017</v>
      </c>
      <c r="X1441" t="str">
        <f>""</f>
        <v/>
      </c>
      <c r="Y1441" t="str">
        <f>"540.09"</f>
        <v>540.09</v>
      </c>
      <c r="Z1441" t="str">
        <f>""</f>
        <v/>
      </c>
      <c r="AA1441" t="str">
        <f>"32584.00"</f>
        <v>32584.00</v>
      </c>
      <c r="AB1441" t="str">
        <f t="shared" si="501"/>
        <v>Residential</v>
      </c>
      <c r="AC1441" t="str">
        <f t="shared" si="499"/>
        <v>0</v>
      </c>
      <c r="AD1441" t="str">
        <f t="shared" ref="AD1441:AD1450" si="502">"4"</f>
        <v>4</v>
      </c>
      <c r="AE1441" t="str">
        <f t="shared" ref="AE1441:AE1450" si="503">"WOOD (INCLUDE STEEL STUDS)"</f>
        <v>WOOD (INCLUDE STEEL STUDS)</v>
      </c>
      <c r="AF1441" t="str">
        <f t="shared" ref="AF1441:AF1450" si="504">"002"</f>
        <v>002</v>
      </c>
      <c r="AG1441" t="str">
        <f t="shared" si="497"/>
        <v>FL</v>
      </c>
      <c r="AH1441" t="str">
        <f>"43624.00"</f>
        <v>43624.00</v>
      </c>
      <c r="AI1441" t="str">
        <f t="shared" ref="AI1441:AI1451" si="505">"25000.00"</f>
        <v>25000.00</v>
      </c>
      <c r="AJ1441" t="str">
        <f>"C55-000-588-7585-7"</f>
        <v>C55-000-588-7585-7</v>
      </c>
      <c r="AK1441" t="str">
        <f>"24454"</f>
        <v>24454</v>
      </c>
      <c r="AL1441">
        <v>6</v>
      </c>
      <c r="AM1441">
        <v>1648</v>
      </c>
      <c r="AN1441">
        <v>565.49</v>
      </c>
      <c r="AQ1441" t="s">
        <v>14638</v>
      </c>
      <c r="AR1441" t="s">
        <v>14638</v>
      </c>
      <c r="AS1441" t="s">
        <v>14638</v>
      </c>
      <c r="AU1441" t="s">
        <v>396</v>
      </c>
      <c r="AV1441">
        <v>2017</v>
      </c>
      <c r="AW1441" t="str">
        <f>"51-3N-27-4881-0018-0000 "</f>
        <v xml:space="preserve">51-3N-27-4881-0018-0000 </v>
      </c>
      <c r="AX1441">
        <v>86209</v>
      </c>
      <c r="AZ1441" t="s">
        <v>14639</v>
      </c>
      <c r="BA1441" t="s">
        <v>1112</v>
      </c>
      <c r="BD1441" t="s">
        <v>2387</v>
      </c>
      <c r="BE1441" t="s">
        <v>393</v>
      </c>
      <c r="BF1441">
        <v>32097</v>
      </c>
      <c r="BG1441" t="s">
        <v>14640</v>
      </c>
      <c r="BH1441" t="s">
        <v>2388</v>
      </c>
      <c r="BI1441">
        <v>-81.580418652994496</v>
      </c>
      <c r="BJ1441">
        <v>30.6552837602135</v>
      </c>
      <c r="BK1441" t="s">
        <v>14641</v>
      </c>
      <c r="BM1441" t="s">
        <v>14642</v>
      </c>
      <c r="BN1441" t="s">
        <v>1778</v>
      </c>
      <c r="BO1441">
        <v>32097</v>
      </c>
      <c r="BP1441" t="s">
        <v>404</v>
      </c>
      <c r="BQ1441">
        <v>200</v>
      </c>
      <c r="BR1441" t="s">
        <v>405</v>
      </c>
      <c r="BS1441">
        <v>1006</v>
      </c>
      <c r="BT1441" t="s">
        <v>406</v>
      </c>
      <c r="BW1441">
        <v>43627</v>
      </c>
      <c r="BX1441" t="s">
        <v>407</v>
      </c>
      <c r="BY1441" t="s">
        <v>4360</v>
      </c>
      <c r="BZ1441">
        <v>4</v>
      </c>
      <c r="CA1441">
        <v>1982</v>
      </c>
      <c r="CB1441">
        <v>1</v>
      </c>
      <c r="CC1441">
        <v>1</v>
      </c>
      <c r="CD1441">
        <v>2017</v>
      </c>
      <c r="CE1441">
        <v>25000</v>
      </c>
      <c r="CF1441">
        <v>7584</v>
      </c>
      <c r="CG1441">
        <v>32584</v>
      </c>
      <c r="CH1441">
        <v>2017</v>
      </c>
      <c r="CI1441">
        <v>25000</v>
      </c>
      <c r="CJ1441">
        <v>7584</v>
      </c>
      <c r="CK1441">
        <v>32584</v>
      </c>
      <c r="CL1441">
        <v>2017</v>
      </c>
      <c r="CM1441">
        <v>493.29</v>
      </c>
      <c r="CN1441" s="1">
        <v>41885</v>
      </c>
      <c r="CO1441">
        <v>38000</v>
      </c>
      <c r="CV1441">
        <v>0</v>
      </c>
      <c r="CZ1441" s="1">
        <v>41885</v>
      </c>
      <c r="DA1441">
        <v>0</v>
      </c>
      <c r="DD1441" t="s">
        <v>2387</v>
      </c>
      <c r="DG1441">
        <v>51</v>
      </c>
      <c r="DL1441">
        <v>50302</v>
      </c>
      <c r="DM1441" t="s">
        <v>14357</v>
      </c>
      <c r="DO1441" t="s">
        <v>14643</v>
      </c>
      <c r="DP1441">
        <v>0</v>
      </c>
      <c r="DQ1441">
        <v>0</v>
      </c>
      <c r="DR1441" t="s">
        <v>411</v>
      </c>
    </row>
    <row r="1442" spans="1:272" x14ac:dyDescent="0.25">
      <c r="A1442">
        <v>16486449</v>
      </c>
      <c r="B1442">
        <v>1441</v>
      </c>
      <c r="C1442" t="s">
        <v>393</v>
      </c>
      <c r="D1442" t="s">
        <v>394</v>
      </c>
      <c r="F1442" t="str">
        <f>"51-3N-27-4881-0023-0000"</f>
        <v>51-3N-27-4881-0023-0000</v>
      </c>
      <c r="H1442" t="str">
        <f>"POPE JOHN R JR"</f>
        <v>POPE JOHN R JR</v>
      </c>
      <c r="I1442" t="str">
        <f>"86063 HILL VALLEY AVE"</f>
        <v>86063 HILL VALLEY AVE</v>
      </c>
      <c r="J1442" t="str">
        <f>"YULEE FL 32097"</f>
        <v>YULEE FL 32097</v>
      </c>
      <c r="K1442" t="str">
        <f>"86063 HILL VALLEY AVE"</f>
        <v>86063 HILL VALLEY AVE</v>
      </c>
      <c r="L1442" t="str">
        <f t="shared" si="491"/>
        <v>YULEE FL 32097</v>
      </c>
      <c r="M1442" t="str">
        <f>"TRACT 23 1993 LIBE SW/MH IN OR 1995/160 YULEE HILLS PB 4/31"</f>
        <v>TRACT 23 1993 LIBE SW/MH IN OR 1995/160 YULEE HILLS PB 4/31</v>
      </c>
      <c r="N1442" t="str">
        <f>""</f>
        <v/>
      </c>
      <c r="O1442" t="str">
        <f>"55531"</f>
        <v>55531</v>
      </c>
      <c r="P1442" t="str">
        <f t="shared" si="494"/>
        <v>2017</v>
      </c>
      <c r="Q1442" t="str">
        <f>""</f>
        <v/>
      </c>
      <c r="R1442" t="str">
        <f t="shared" si="500"/>
        <v>N</v>
      </c>
      <c r="S1442" t="str">
        <f>""</f>
        <v/>
      </c>
      <c r="T1442" t="str">
        <f>"608.04"</f>
        <v>608.04</v>
      </c>
      <c r="U1442" t="str">
        <f>"38913.00"</f>
        <v>38913.00</v>
      </c>
      <c r="V1442" t="str">
        <f>"38913.00"</f>
        <v>38913.00</v>
      </c>
      <c r="W1442" t="str">
        <f t="shared" si="495"/>
        <v>2017</v>
      </c>
      <c r="X1442" t="str">
        <f>"9.00"</f>
        <v>9.00</v>
      </c>
      <c r="Y1442" t="str">
        <f>"658.28"</f>
        <v>658.28</v>
      </c>
      <c r="Z1442" t="str">
        <f>""</f>
        <v/>
      </c>
      <c r="AA1442" t="str">
        <f>"41783.00"</f>
        <v>41783.00</v>
      </c>
      <c r="AB1442" t="str">
        <f t="shared" si="501"/>
        <v>Residential</v>
      </c>
      <c r="AC1442" t="str">
        <f t="shared" si="499"/>
        <v>0</v>
      </c>
      <c r="AD1442" t="str">
        <f t="shared" si="502"/>
        <v>4</v>
      </c>
      <c r="AE1442" t="str">
        <f t="shared" si="503"/>
        <v>WOOD (INCLUDE STEEL STUDS)</v>
      </c>
      <c r="AF1442" t="str">
        <f t="shared" si="504"/>
        <v>002</v>
      </c>
      <c r="AG1442" t="str">
        <f t="shared" si="497"/>
        <v>FL</v>
      </c>
      <c r="AH1442" t="str">
        <f>"43624.00"</f>
        <v>43624.00</v>
      </c>
      <c r="AI1442" t="str">
        <f t="shared" si="505"/>
        <v>25000.00</v>
      </c>
      <c r="AJ1442" t="str">
        <f>"C55-000-588-7590-7"</f>
        <v>C55-000-588-7590-7</v>
      </c>
      <c r="AK1442" t="str">
        <f>"24459"</f>
        <v>24459</v>
      </c>
      <c r="AL1442">
        <v>6</v>
      </c>
      <c r="AM1442">
        <v>1649</v>
      </c>
      <c r="AN1442">
        <v>689.59</v>
      </c>
      <c r="AQ1442" t="s">
        <v>14644</v>
      </c>
      <c r="AR1442" t="s">
        <v>14644</v>
      </c>
      <c r="AS1442" t="s">
        <v>14644</v>
      </c>
      <c r="AU1442" t="s">
        <v>396</v>
      </c>
      <c r="AV1442">
        <v>2017</v>
      </c>
      <c r="AW1442" t="str">
        <f>"51-3N-27-4881-0023-0000 "</f>
        <v xml:space="preserve">51-3N-27-4881-0023-0000 </v>
      </c>
      <c r="AX1442">
        <v>86063</v>
      </c>
      <c r="AZ1442" t="s">
        <v>14639</v>
      </c>
      <c r="BA1442" t="s">
        <v>1112</v>
      </c>
      <c r="BD1442" t="s">
        <v>2387</v>
      </c>
      <c r="BE1442" t="s">
        <v>393</v>
      </c>
      <c r="BF1442">
        <v>32097</v>
      </c>
      <c r="BG1442" t="s">
        <v>14645</v>
      </c>
      <c r="BH1442" t="s">
        <v>2388</v>
      </c>
      <c r="BI1442">
        <v>-81.582089720346104</v>
      </c>
      <c r="BJ1442">
        <v>30.653774137074599</v>
      </c>
      <c r="BK1442" t="s">
        <v>14646</v>
      </c>
      <c r="BM1442" t="s">
        <v>14645</v>
      </c>
      <c r="BN1442" t="s">
        <v>1778</v>
      </c>
      <c r="BO1442">
        <v>32097</v>
      </c>
      <c r="BP1442" t="s">
        <v>416</v>
      </c>
      <c r="BQ1442">
        <v>200</v>
      </c>
      <c r="BR1442" t="s">
        <v>405</v>
      </c>
      <c r="BS1442">
        <v>1006</v>
      </c>
      <c r="BT1442" t="s">
        <v>406</v>
      </c>
      <c r="BW1442">
        <v>43626</v>
      </c>
      <c r="BX1442" t="s">
        <v>407</v>
      </c>
      <c r="BY1442" t="s">
        <v>4360</v>
      </c>
      <c r="BZ1442">
        <v>4</v>
      </c>
      <c r="CA1442">
        <v>1993</v>
      </c>
      <c r="CB1442">
        <v>1</v>
      </c>
      <c r="CC1442">
        <v>1</v>
      </c>
      <c r="CD1442">
        <v>2017</v>
      </c>
      <c r="CE1442">
        <v>25000</v>
      </c>
      <c r="CF1442">
        <v>16783</v>
      </c>
      <c r="CG1442">
        <v>41783</v>
      </c>
      <c r="CH1442">
        <v>2017</v>
      </c>
      <c r="CI1442">
        <v>25000</v>
      </c>
      <c r="CJ1442">
        <v>16783</v>
      </c>
      <c r="CK1442">
        <v>41783</v>
      </c>
      <c r="CL1442">
        <v>2017</v>
      </c>
      <c r="CM1442">
        <v>608.04</v>
      </c>
      <c r="CN1442" s="1">
        <v>39777</v>
      </c>
      <c r="CZ1442" s="1">
        <v>39777</v>
      </c>
      <c r="DD1442" t="s">
        <v>2387</v>
      </c>
      <c r="DG1442">
        <v>51</v>
      </c>
      <c r="DJ1442" t="s">
        <v>14647</v>
      </c>
      <c r="DL1442">
        <v>50302</v>
      </c>
      <c r="DM1442" t="s">
        <v>14357</v>
      </c>
      <c r="DO1442" t="s">
        <v>14648</v>
      </c>
      <c r="DP1442">
        <v>0</v>
      </c>
      <c r="DQ1442">
        <v>1</v>
      </c>
      <c r="DR1442" t="s">
        <v>1479</v>
      </c>
      <c r="DS1442" t="b">
        <v>1</v>
      </c>
      <c r="DT1442" t="s">
        <v>470</v>
      </c>
      <c r="DU1442" t="s">
        <v>471</v>
      </c>
      <c r="DV1442" t="s">
        <v>472</v>
      </c>
      <c r="DX1442">
        <v>-9999</v>
      </c>
      <c r="DZ1442" t="s">
        <v>447</v>
      </c>
      <c r="EA1442" t="s">
        <v>448</v>
      </c>
      <c r="EB1442" t="s">
        <v>742</v>
      </c>
      <c r="EC1442">
        <v>20101217</v>
      </c>
      <c r="ED1442" t="s">
        <v>474</v>
      </c>
      <c r="EF1442">
        <v>965.6</v>
      </c>
      <c r="EG1442">
        <v>965.6</v>
      </c>
      <c r="EI1442">
        <v>20160407</v>
      </c>
      <c r="EJ1442">
        <v>0</v>
      </c>
      <c r="EK1442">
        <v>0</v>
      </c>
      <c r="EP1442" t="s">
        <v>421</v>
      </c>
      <c r="EQ1442" t="s">
        <v>422</v>
      </c>
      <c r="ER1442">
        <v>2</v>
      </c>
      <c r="ES1442">
        <v>2</v>
      </c>
      <c r="ET1442">
        <v>1228.6199999999999</v>
      </c>
      <c r="EU1442">
        <v>73.930000000000007</v>
      </c>
      <c r="EV1442">
        <v>1302.55</v>
      </c>
      <c r="EW1442" s="2">
        <v>43222</v>
      </c>
      <c r="EX1442" s="1">
        <v>42879</v>
      </c>
      <c r="EY1442">
        <v>2016</v>
      </c>
      <c r="EZ1442">
        <v>614.30999999999995</v>
      </c>
      <c r="FA1442" t="s">
        <v>14649</v>
      </c>
      <c r="FB1442">
        <v>0.25</v>
      </c>
      <c r="FC1442" t="s">
        <v>424</v>
      </c>
      <c r="FD1442" t="s">
        <v>454</v>
      </c>
      <c r="FF1442">
        <v>12</v>
      </c>
      <c r="FG1442">
        <v>2851116</v>
      </c>
      <c r="FH1442" t="s">
        <v>480</v>
      </c>
      <c r="FJ1442" s="1">
        <v>42879</v>
      </c>
      <c r="FK1442">
        <v>2016</v>
      </c>
      <c r="FL1442">
        <v>614.30999999999995</v>
      </c>
      <c r="FM1442" t="s">
        <v>14649</v>
      </c>
      <c r="FN1442">
        <v>0.25</v>
      </c>
      <c r="FO1442" t="s">
        <v>424</v>
      </c>
      <c r="FP1442" t="s">
        <v>454</v>
      </c>
      <c r="FR1442">
        <v>12</v>
      </c>
      <c r="FS1442">
        <v>4936558</v>
      </c>
      <c r="FT1442" t="s">
        <v>14650</v>
      </c>
      <c r="FV1442" s="1">
        <v>42515</v>
      </c>
      <c r="FW1442">
        <v>2015</v>
      </c>
      <c r="FX1442">
        <v>685.83</v>
      </c>
      <c r="FY1442" t="s">
        <v>14651</v>
      </c>
      <c r="FZ1442">
        <v>0.25</v>
      </c>
      <c r="GA1442" t="s">
        <v>424</v>
      </c>
      <c r="GB1442" t="s">
        <v>425</v>
      </c>
      <c r="GC1442" s="1">
        <v>43012</v>
      </c>
      <c r="GD1442">
        <v>17</v>
      </c>
      <c r="GE1442">
        <v>2851116</v>
      </c>
      <c r="GF1442" t="s">
        <v>480</v>
      </c>
      <c r="GH1442" s="1">
        <v>42515</v>
      </c>
      <c r="GI1442">
        <v>2015</v>
      </c>
      <c r="GJ1442">
        <v>685.83</v>
      </c>
      <c r="GK1442" t="s">
        <v>14651</v>
      </c>
      <c r="GL1442">
        <v>0.25</v>
      </c>
      <c r="GM1442" t="s">
        <v>424</v>
      </c>
      <c r="GN1442" t="s">
        <v>425</v>
      </c>
      <c r="GP1442">
        <v>22</v>
      </c>
      <c r="GQ1442">
        <v>5657248</v>
      </c>
      <c r="GR1442" t="s">
        <v>14652</v>
      </c>
    </row>
    <row r="1443" spans="1:272" x14ac:dyDescent="0.25">
      <c r="A1443">
        <v>16486450</v>
      </c>
      <c r="B1443">
        <v>1442</v>
      </c>
      <c r="C1443" t="s">
        <v>393</v>
      </c>
      <c r="D1443" t="s">
        <v>394</v>
      </c>
      <c r="F1443" t="str">
        <f>"51-3N-27-4881-0028-0000"</f>
        <v>51-3N-27-4881-0028-0000</v>
      </c>
      <c r="H1443" t="str">
        <f>"TRUJILLO KIMBERLY BELL"</f>
        <v>TRUJILLO KIMBERLY BELL</v>
      </c>
      <c r="I1443" t="str">
        <f>"86112 HILL VALLEY AVENUE"</f>
        <v>86112 HILL VALLEY AVENUE</v>
      </c>
      <c r="J1443" t="str">
        <f>"YULEE FL 32097"</f>
        <v>YULEE FL 32097</v>
      </c>
      <c r="K1443" t="str">
        <f>"86112 HILL VALLEY AVE"</f>
        <v>86112 HILL VALLEY AVE</v>
      </c>
      <c r="L1443" t="str">
        <f t="shared" si="491"/>
        <v>YULEE FL 32097</v>
      </c>
      <c r="M1443" t="str">
        <f>"TRACT 28 IN OR 1677/440 1978 VOGUE/PINE DW/MH YULEE HILLS PB 4/31"</f>
        <v>TRACT 28 IN OR 1677/440 1978 VOGUE/PINE DW/MH YULEE HILLS PB 4/31</v>
      </c>
      <c r="N1443" t="str">
        <f>""</f>
        <v/>
      </c>
      <c r="O1443" t="str">
        <f>"55536"</f>
        <v>55536</v>
      </c>
      <c r="P1443" t="str">
        <f t="shared" si="494"/>
        <v>2017</v>
      </c>
      <c r="Q1443" t="str">
        <f>""</f>
        <v/>
      </c>
      <c r="R1443" t="str">
        <f t="shared" si="500"/>
        <v>N</v>
      </c>
      <c r="S1443" t="str">
        <f>""</f>
        <v/>
      </c>
      <c r="T1443" t="str">
        <f>"910.68"</f>
        <v>910.68</v>
      </c>
      <c r="U1443" t="str">
        <f>"60156.00"</f>
        <v>60156.00</v>
      </c>
      <c r="V1443" t="str">
        <f>"60156.00"</f>
        <v>60156.00</v>
      </c>
      <c r="W1443" t="str">
        <f t="shared" si="495"/>
        <v>2017</v>
      </c>
      <c r="X1443" t="str">
        <f>""</f>
        <v/>
      </c>
      <c r="Y1443" t="str">
        <f>"970.00"</f>
        <v>970.00</v>
      </c>
      <c r="Z1443" t="str">
        <f>""</f>
        <v/>
      </c>
      <c r="AA1443" t="str">
        <f>"60156.00"</f>
        <v>60156.00</v>
      </c>
      <c r="AB1443" t="str">
        <f t="shared" si="501"/>
        <v>Residential</v>
      </c>
      <c r="AC1443" t="str">
        <f t="shared" si="499"/>
        <v>0</v>
      </c>
      <c r="AD1443" t="str">
        <f t="shared" si="502"/>
        <v>4</v>
      </c>
      <c r="AE1443" t="str">
        <f t="shared" si="503"/>
        <v>WOOD (INCLUDE STEEL STUDS)</v>
      </c>
      <c r="AF1443" t="str">
        <f t="shared" si="504"/>
        <v>002</v>
      </c>
      <c r="AG1443" t="str">
        <f t="shared" si="497"/>
        <v>FL</v>
      </c>
      <c r="AH1443" t="str">
        <f>"43758.00"</f>
        <v>43758.00</v>
      </c>
      <c r="AI1443" t="str">
        <f t="shared" si="505"/>
        <v>25000.00</v>
      </c>
      <c r="AJ1443" t="str">
        <f>"C55-000-588-7595-6"</f>
        <v>C55-000-588-7595-6</v>
      </c>
      <c r="AK1443" t="str">
        <f>"24464"</f>
        <v>24464</v>
      </c>
      <c r="AL1443">
        <v>6</v>
      </c>
      <c r="AM1443">
        <v>1650</v>
      </c>
      <c r="AN1443">
        <v>1016.9</v>
      </c>
      <c r="AQ1443" t="s">
        <v>14653</v>
      </c>
      <c r="AR1443" t="s">
        <v>14653</v>
      </c>
      <c r="AS1443" t="s">
        <v>14653</v>
      </c>
      <c r="AU1443" t="s">
        <v>396</v>
      </c>
      <c r="AV1443">
        <v>2017</v>
      </c>
      <c r="AW1443" t="str">
        <f>"51-3N-27-4881-0028-0000 "</f>
        <v xml:space="preserve">51-3N-27-4881-0028-0000 </v>
      </c>
      <c r="AX1443">
        <v>86112</v>
      </c>
      <c r="AZ1443" t="s">
        <v>14639</v>
      </c>
      <c r="BA1443" t="s">
        <v>1112</v>
      </c>
      <c r="BD1443" t="s">
        <v>2387</v>
      </c>
      <c r="BE1443" t="s">
        <v>393</v>
      </c>
      <c r="BF1443">
        <v>32097</v>
      </c>
      <c r="BG1443" t="s">
        <v>14654</v>
      </c>
      <c r="BH1443" t="s">
        <v>2388</v>
      </c>
      <c r="BI1443">
        <v>-81.580661195945396</v>
      </c>
      <c r="BJ1443">
        <v>30.653685915011199</v>
      </c>
      <c r="BK1443" t="s">
        <v>14655</v>
      </c>
      <c r="BM1443" t="s">
        <v>14654</v>
      </c>
      <c r="BN1443" t="s">
        <v>1778</v>
      </c>
      <c r="BO1443">
        <v>32097</v>
      </c>
      <c r="BP1443" t="s">
        <v>416</v>
      </c>
      <c r="BQ1443">
        <v>200</v>
      </c>
      <c r="BR1443" t="s">
        <v>405</v>
      </c>
      <c r="BS1443">
        <v>1006</v>
      </c>
      <c r="BT1443" t="s">
        <v>406</v>
      </c>
      <c r="BW1443">
        <v>43817</v>
      </c>
      <c r="BX1443" t="s">
        <v>407</v>
      </c>
      <c r="BY1443" t="s">
        <v>4360</v>
      </c>
      <c r="BZ1443">
        <v>4</v>
      </c>
      <c r="CA1443">
        <v>1978</v>
      </c>
      <c r="CB1443">
        <v>1</v>
      </c>
      <c r="CC1443">
        <v>1</v>
      </c>
      <c r="CD1443">
        <v>2017</v>
      </c>
      <c r="CE1443">
        <v>25000</v>
      </c>
      <c r="CF1443">
        <v>35156</v>
      </c>
      <c r="CG1443">
        <v>60156</v>
      </c>
      <c r="CH1443">
        <v>2017</v>
      </c>
      <c r="CI1443">
        <v>25000</v>
      </c>
      <c r="CJ1443">
        <v>35156</v>
      </c>
      <c r="CK1443">
        <v>60156</v>
      </c>
      <c r="CL1443">
        <v>2017</v>
      </c>
      <c r="CM1443">
        <v>910.68</v>
      </c>
      <c r="CN1443" s="1">
        <v>38868</v>
      </c>
      <c r="CO1443">
        <v>85000</v>
      </c>
      <c r="CV1443">
        <v>0</v>
      </c>
      <c r="CZ1443" s="1">
        <v>38868</v>
      </c>
      <c r="DA1443">
        <v>0</v>
      </c>
      <c r="DD1443" t="s">
        <v>2387</v>
      </c>
      <c r="DG1443">
        <v>51</v>
      </c>
      <c r="DL1443">
        <v>50302</v>
      </c>
      <c r="DM1443" t="s">
        <v>14357</v>
      </c>
      <c r="DO1443" t="s">
        <v>14656</v>
      </c>
      <c r="DP1443">
        <v>0</v>
      </c>
      <c r="DQ1443">
        <v>1</v>
      </c>
      <c r="DR1443" t="s">
        <v>1479</v>
      </c>
      <c r="EP1443" t="s">
        <v>421</v>
      </c>
      <c r="EQ1443" t="s">
        <v>422</v>
      </c>
      <c r="ER1443">
        <v>2</v>
      </c>
      <c r="ES1443">
        <v>0</v>
      </c>
      <c r="ET1443">
        <v>2069.96</v>
      </c>
      <c r="EU1443">
        <v>116</v>
      </c>
      <c r="EV1443">
        <v>2185.96</v>
      </c>
      <c r="EW1443" s="2">
        <v>43222</v>
      </c>
      <c r="EX1443" s="1">
        <v>42879</v>
      </c>
      <c r="EY1443">
        <v>2016</v>
      </c>
      <c r="EZ1443">
        <v>1034.98</v>
      </c>
      <c r="FA1443" t="s">
        <v>14657</v>
      </c>
      <c r="FB1443">
        <v>0.25</v>
      </c>
      <c r="FC1443" t="s">
        <v>424</v>
      </c>
      <c r="FD1443" t="s">
        <v>454</v>
      </c>
      <c r="FF1443">
        <v>12</v>
      </c>
      <c r="FG1443">
        <v>11289</v>
      </c>
      <c r="FH1443" t="s">
        <v>787</v>
      </c>
      <c r="FJ1443" s="1">
        <v>42879</v>
      </c>
      <c r="FK1443">
        <v>2016</v>
      </c>
      <c r="FL1443">
        <v>1034.98</v>
      </c>
      <c r="FM1443" t="s">
        <v>14657</v>
      </c>
      <c r="FN1443">
        <v>0.25</v>
      </c>
      <c r="FO1443" t="s">
        <v>424</v>
      </c>
      <c r="FP1443" t="s">
        <v>454</v>
      </c>
      <c r="FR1443">
        <v>12</v>
      </c>
      <c r="FS1443">
        <v>7112288</v>
      </c>
      <c r="FT1443" t="s">
        <v>14658</v>
      </c>
    </row>
    <row r="1444" spans="1:272" x14ac:dyDescent="0.25">
      <c r="A1444">
        <v>16486451</v>
      </c>
      <c r="B1444">
        <v>1443</v>
      </c>
      <c r="C1444" t="s">
        <v>393</v>
      </c>
      <c r="D1444" t="s">
        <v>394</v>
      </c>
      <c r="F1444" t="str">
        <f>"51-3N-27-4881-0035-0000"</f>
        <v>51-3N-27-4881-0035-0000</v>
      </c>
      <c r="H1444" t="str">
        <f>"MIXON DARRELL G &amp; JUDITH A"</f>
        <v>MIXON DARRELL G &amp; JUDITH A</v>
      </c>
      <c r="I1444" t="str">
        <f>"86326 HILL VALLEY AVE"</f>
        <v>86326 HILL VALLEY AVE</v>
      </c>
      <c r="J1444" t="str">
        <f>"YULEE FL 32097"</f>
        <v>YULEE FL 32097</v>
      </c>
      <c r="K1444" t="str">
        <f>"86326 HILL VALLEY AVE"</f>
        <v>86326 HILL VALLEY AVE</v>
      </c>
      <c r="L1444" t="str">
        <f t="shared" si="491"/>
        <v>YULEE FL 32097</v>
      </c>
      <c r="M1444" t="str">
        <f>"TRACT 35 IN OR 814/745 MH/ID 10644L &amp; 10644R YULEE HILLS PB 4/31"</f>
        <v>TRACT 35 IN OR 814/745 MH/ID 10644L &amp; 10644R YULEE HILLS PB 4/31</v>
      </c>
      <c r="N1444" t="str">
        <f>""</f>
        <v/>
      </c>
      <c r="O1444" t="str">
        <f>"55543"</f>
        <v>55543</v>
      </c>
      <c r="P1444" t="str">
        <f t="shared" si="494"/>
        <v>2017</v>
      </c>
      <c r="Q1444" t="str">
        <f>""</f>
        <v/>
      </c>
      <c r="R1444" t="str">
        <f>"Y"</f>
        <v>Y</v>
      </c>
      <c r="S1444" t="str">
        <f>""</f>
        <v/>
      </c>
      <c r="T1444" t="str">
        <f>"205.12"</f>
        <v>205.12</v>
      </c>
      <c r="U1444" t="str">
        <f>"39050.00"</f>
        <v>39050.00</v>
      </c>
      <c r="V1444" t="str">
        <f>"39050.00"</f>
        <v>39050.00</v>
      </c>
      <c r="W1444" t="str">
        <f t="shared" si="495"/>
        <v>2017</v>
      </c>
      <c r="X1444" t="str">
        <f>""</f>
        <v/>
      </c>
      <c r="Y1444" t="str">
        <f>"243.27"</f>
        <v>243.27</v>
      </c>
      <c r="Z1444" t="str">
        <f>"25500.00"</f>
        <v>25500.00</v>
      </c>
      <c r="AA1444" t="str">
        <f>"13550.00"</f>
        <v>13550.00</v>
      </c>
      <c r="AB1444" t="str">
        <f t="shared" si="501"/>
        <v>Residential</v>
      </c>
      <c r="AC1444" t="str">
        <f t="shared" si="499"/>
        <v>0</v>
      </c>
      <c r="AD1444" t="str">
        <f t="shared" si="502"/>
        <v>4</v>
      </c>
      <c r="AE1444" t="str">
        <f t="shared" si="503"/>
        <v>WOOD (INCLUDE STEEL STUDS)</v>
      </c>
      <c r="AF1444" t="str">
        <f t="shared" si="504"/>
        <v>002</v>
      </c>
      <c r="AG1444" t="str">
        <f t="shared" si="497"/>
        <v>FL</v>
      </c>
      <c r="AH1444" t="str">
        <f>"43758.00"</f>
        <v>43758.00</v>
      </c>
      <c r="AI1444" t="str">
        <f t="shared" si="505"/>
        <v>25000.00</v>
      </c>
      <c r="AJ1444" t="str">
        <f>"C55-000-588-7602-0"</f>
        <v>C55-000-588-7602-0</v>
      </c>
      <c r="AK1444" t="str">
        <f>"24471"</f>
        <v>24471</v>
      </c>
      <c r="AL1444">
        <v>6</v>
      </c>
      <c r="AM1444">
        <v>1651</v>
      </c>
      <c r="AN1444">
        <v>253.83</v>
      </c>
      <c r="AQ1444" t="s">
        <v>14659</v>
      </c>
      <c r="AR1444" t="s">
        <v>14659</v>
      </c>
      <c r="AS1444" t="s">
        <v>14659</v>
      </c>
      <c r="AU1444" t="s">
        <v>396</v>
      </c>
      <c r="AV1444">
        <v>2017</v>
      </c>
      <c r="AW1444" t="str">
        <f>"51-3N-27-4881-0035-0000 "</f>
        <v xml:space="preserve">51-3N-27-4881-0035-0000 </v>
      </c>
      <c r="AX1444">
        <v>86326</v>
      </c>
      <c r="AZ1444" t="s">
        <v>14639</v>
      </c>
      <c r="BA1444" t="s">
        <v>1112</v>
      </c>
      <c r="BD1444" t="s">
        <v>2387</v>
      </c>
      <c r="BE1444" t="s">
        <v>393</v>
      </c>
      <c r="BF1444">
        <v>32097</v>
      </c>
      <c r="BG1444" t="s">
        <v>14660</v>
      </c>
      <c r="BH1444" t="s">
        <v>2388</v>
      </c>
      <c r="BI1444">
        <v>-81.578306640176294</v>
      </c>
      <c r="BJ1444">
        <v>30.655813554874602</v>
      </c>
      <c r="BK1444" t="s">
        <v>14661</v>
      </c>
      <c r="BL1444" t="s">
        <v>14662</v>
      </c>
      <c r="BM1444" t="s">
        <v>14660</v>
      </c>
      <c r="BN1444" t="s">
        <v>1778</v>
      </c>
      <c r="BO1444">
        <v>32097</v>
      </c>
      <c r="BP1444" t="s">
        <v>416</v>
      </c>
      <c r="BQ1444">
        <v>200</v>
      </c>
      <c r="BR1444" t="s">
        <v>405</v>
      </c>
      <c r="BS1444">
        <v>1006</v>
      </c>
      <c r="BT1444" t="s">
        <v>406</v>
      </c>
      <c r="BW1444">
        <v>43769</v>
      </c>
      <c r="BX1444" t="s">
        <v>407</v>
      </c>
      <c r="BY1444" t="s">
        <v>4360</v>
      </c>
      <c r="BZ1444">
        <v>4</v>
      </c>
      <c r="CA1444">
        <v>1974</v>
      </c>
      <c r="CB1444">
        <v>1</v>
      </c>
      <c r="CC1444">
        <v>1</v>
      </c>
      <c r="CD1444">
        <v>2017</v>
      </c>
      <c r="CG1444">
        <v>39050</v>
      </c>
      <c r="CH1444">
        <v>2017</v>
      </c>
      <c r="CI1444">
        <v>25000</v>
      </c>
      <c r="CJ1444">
        <v>20204</v>
      </c>
      <c r="CK1444">
        <v>45204</v>
      </c>
      <c r="CL1444">
        <v>2017</v>
      </c>
      <c r="CM1444">
        <v>205.12</v>
      </c>
      <c r="CN1444" s="1">
        <v>35755</v>
      </c>
      <c r="CO1444">
        <v>31000</v>
      </c>
      <c r="CZ1444" s="1">
        <v>35755</v>
      </c>
      <c r="DD1444" t="s">
        <v>2387</v>
      </c>
      <c r="DG1444">
        <v>51</v>
      </c>
      <c r="DJ1444" t="s">
        <v>14647</v>
      </c>
      <c r="DL1444">
        <v>50302</v>
      </c>
      <c r="DM1444" t="s">
        <v>14357</v>
      </c>
      <c r="DO1444" t="s">
        <v>14663</v>
      </c>
      <c r="DP1444">
        <v>0</v>
      </c>
      <c r="DQ1444">
        <v>0</v>
      </c>
      <c r="DR1444" t="s">
        <v>411</v>
      </c>
    </row>
    <row r="1445" spans="1:272" x14ac:dyDescent="0.25">
      <c r="A1445">
        <v>16486452</v>
      </c>
      <c r="B1445">
        <v>1444</v>
      </c>
      <c r="C1445" t="s">
        <v>393</v>
      </c>
      <c r="D1445" t="s">
        <v>394</v>
      </c>
      <c r="F1445" t="str">
        <f>"51-3N-27-4881-0051-0000"</f>
        <v>51-3N-27-4881-0051-0000</v>
      </c>
      <c r="H1445" t="str">
        <f>"ALLEN MARION J"</f>
        <v>ALLEN MARION J</v>
      </c>
      <c r="I1445" t="str">
        <f>"913 JESS ALLEN RD"</f>
        <v>913 JESS ALLEN RD</v>
      </c>
      <c r="J1445" t="str">
        <f>"NAHUNTA GA 31553"</f>
        <v>NAHUNTA GA 31553</v>
      </c>
      <c r="K1445" t="str">
        <f>"86423 JEAN RD"</f>
        <v>86423 JEAN RD</v>
      </c>
      <c r="L1445" t="str">
        <f t="shared" si="491"/>
        <v>YULEE FL 32097</v>
      </c>
      <c r="M1445" t="str">
        <f>"TRACT 51 IN OR 420 PG 589 R621593 &amp; R621594 YULEE HILLS PB 4/31"</f>
        <v>TRACT 51 IN OR 420 PG 589 R621593 &amp; R621594 YULEE HILLS PB 4/31</v>
      </c>
      <c r="N1445" t="str">
        <f>""</f>
        <v/>
      </c>
      <c r="O1445" t="str">
        <f>"55559"</f>
        <v>55559</v>
      </c>
      <c r="P1445" t="str">
        <f t="shared" si="494"/>
        <v>2017</v>
      </c>
      <c r="Q1445" t="str">
        <f>""</f>
        <v/>
      </c>
      <c r="R1445" t="str">
        <f>"N"</f>
        <v>N</v>
      </c>
      <c r="S1445" t="str">
        <f>""</f>
        <v/>
      </c>
      <c r="T1445" t="str">
        <f>"842.35"</f>
        <v>842.35</v>
      </c>
      <c r="U1445" t="str">
        <f>"55642.00"</f>
        <v>55642.00</v>
      </c>
      <c r="V1445" t="str">
        <f>"55642.00"</f>
        <v>55642.00</v>
      </c>
      <c r="W1445" t="str">
        <f t="shared" si="495"/>
        <v>2017</v>
      </c>
      <c r="X1445" t="str">
        <f>"18.50"</f>
        <v>18.50</v>
      </c>
      <c r="Y1445" t="str">
        <f>"899.62"</f>
        <v>899.62</v>
      </c>
      <c r="Z1445" t="str">
        <f>""</f>
        <v/>
      </c>
      <c r="AA1445" t="str">
        <f>"55642.00"</f>
        <v>55642.00</v>
      </c>
      <c r="AB1445" t="str">
        <f t="shared" si="501"/>
        <v>Residential</v>
      </c>
      <c r="AC1445" t="str">
        <f t="shared" si="499"/>
        <v>0</v>
      </c>
      <c r="AD1445" t="str">
        <f t="shared" si="502"/>
        <v>4</v>
      </c>
      <c r="AE1445" t="str">
        <f t="shared" si="503"/>
        <v>WOOD (INCLUDE STEEL STUDS)</v>
      </c>
      <c r="AF1445" t="str">
        <f t="shared" si="504"/>
        <v>002</v>
      </c>
      <c r="AG1445" t="str">
        <f>"GA"</f>
        <v>GA</v>
      </c>
      <c r="AH1445" t="str">
        <f>"43911.00"</f>
        <v>43911.00</v>
      </c>
      <c r="AI1445" t="str">
        <f t="shared" si="505"/>
        <v>25000.00</v>
      </c>
      <c r="AJ1445" t="str">
        <f>"C55-000-588-7618-6"</f>
        <v>C55-000-588-7618-6</v>
      </c>
      <c r="AK1445" t="str">
        <f>"24487"</f>
        <v>24487</v>
      </c>
      <c r="AL1445">
        <v>6</v>
      </c>
      <c r="AM1445">
        <v>1652</v>
      </c>
      <c r="AN1445">
        <v>943</v>
      </c>
      <c r="AQ1445" t="s">
        <v>14664</v>
      </c>
      <c r="AR1445" t="s">
        <v>14664</v>
      </c>
      <c r="AS1445" t="s">
        <v>14664</v>
      </c>
      <c r="AU1445" t="s">
        <v>396</v>
      </c>
      <c r="AV1445">
        <v>2017</v>
      </c>
      <c r="AW1445" t="str">
        <f>"51-3N-27-4881-0051-0000 "</f>
        <v xml:space="preserve">51-3N-27-4881-0051-0000 </v>
      </c>
      <c r="AX1445">
        <v>86423</v>
      </c>
      <c r="AZ1445" t="s">
        <v>14665</v>
      </c>
      <c r="BA1445" t="s">
        <v>496</v>
      </c>
      <c r="BD1445" t="s">
        <v>2387</v>
      </c>
      <c r="BE1445" t="s">
        <v>393</v>
      </c>
      <c r="BF1445">
        <v>32097</v>
      </c>
      <c r="BG1445" t="s">
        <v>14666</v>
      </c>
      <c r="BH1445" t="s">
        <v>2388</v>
      </c>
      <c r="BI1445">
        <v>-81.576309144711203</v>
      </c>
      <c r="BJ1445">
        <v>30.656480378163501</v>
      </c>
      <c r="BK1445" t="s">
        <v>14667</v>
      </c>
      <c r="BM1445" t="s">
        <v>14668</v>
      </c>
      <c r="BN1445" t="s">
        <v>14669</v>
      </c>
      <c r="BO1445">
        <v>31553</v>
      </c>
      <c r="BP1445" t="s">
        <v>404</v>
      </c>
      <c r="BQ1445">
        <v>200</v>
      </c>
      <c r="BR1445" t="s">
        <v>405</v>
      </c>
      <c r="BS1445">
        <v>1006</v>
      </c>
      <c r="BT1445" t="s">
        <v>406</v>
      </c>
      <c r="BW1445">
        <v>43826</v>
      </c>
      <c r="BX1445" t="s">
        <v>407</v>
      </c>
      <c r="BY1445" t="s">
        <v>4360</v>
      </c>
      <c r="BZ1445">
        <v>4</v>
      </c>
      <c r="CA1445">
        <v>1984</v>
      </c>
      <c r="CB1445">
        <v>1</v>
      </c>
      <c r="CC1445">
        <v>1</v>
      </c>
      <c r="CD1445">
        <v>2017</v>
      </c>
      <c r="CE1445">
        <v>25000</v>
      </c>
      <c r="CF1445">
        <v>30642</v>
      </c>
      <c r="CG1445">
        <v>55642</v>
      </c>
      <c r="CH1445">
        <v>2017</v>
      </c>
      <c r="CI1445">
        <v>25000</v>
      </c>
      <c r="CJ1445">
        <v>30642</v>
      </c>
      <c r="CK1445">
        <v>55642</v>
      </c>
      <c r="CL1445">
        <v>2017</v>
      </c>
      <c r="CM1445">
        <v>842.35</v>
      </c>
      <c r="CN1445" s="1">
        <v>30803</v>
      </c>
      <c r="CO1445">
        <v>9500</v>
      </c>
      <c r="CZ1445" s="1">
        <v>30803</v>
      </c>
      <c r="DD1445" t="s">
        <v>2387</v>
      </c>
      <c r="DG1445">
        <v>51</v>
      </c>
      <c r="DL1445">
        <v>50302</v>
      </c>
      <c r="DM1445" t="s">
        <v>14357</v>
      </c>
      <c r="DO1445" t="s">
        <v>14670</v>
      </c>
      <c r="DP1445">
        <v>0</v>
      </c>
      <c r="DQ1445">
        <v>0</v>
      </c>
      <c r="DR1445" t="s">
        <v>411</v>
      </c>
      <c r="DS1445" t="b">
        <v>1</v>
      </c>
      <c r="DT1445" t="s">
        <v>470</v>
      </c>
      <c r="DU1445" t="s">
        <v>471</v>
      </c>
      <c r="DV1445" t="s">
        <v>472</v>
      </c>
      <c r="DX1445">
        <v>-9999</v>
      </c>
      <c r="DZ1445" t="s">
        <v>447</v>
      </c>
      <c r="EA1445" t="s">
        <v>448</v>
      </c>
      <c r="EB1445" t="s">
        <v>742</v>
      </c>
      <c r="EC1445">
        <v>20101217</v>
      </c>
      <c r="ED1445" t="s">
        <v>474</v>
      </c>
      <c r="EF1445">
        <v>2904.9</v>
      </c>
      <c r="EG1445">
        <v>2904.9</v>
      </c>
      <c r="EI1445">
        <v>20160407</v>
      </c>
      <c r="EJ1445">
        <v>0</v>
      </c>
      <c r="EK1445">
        <v>0</v>
      </c>
      <c r="EP1445" t="s">
        <v>421</v>
      </c>
      <c r="EQ1445" t="s">
        <v>422</v>
      </c>
      <c r="ER1445">
        <v>0</v>
      </c>
      <c r="ES1445">
        <v>6</v>
      </c>
      <c r="ET1445">
        <v>0</v>
      </c>
      <c r="EU1445">
        <v>0</v>
      </c>
      <c r="EV1445">
        <v>0</v>
      </c>
      <c r="EW1445" s="2">
        <v>43222</v>
      </c>
      <c r="EX1445" s="1">
        <v>42515</v>
      </c>
      <c r="EY1445">
        <v>2015</v>
      </c>
      <c r="EZ1445">
        <v>970.71</v>
      </c>
      <c r="FA1445" t="s">
        <v>14671</v>
      </c>
      <c r="FB1445">
        <v>0.25</v>
      </c>
      <c r="FC1445" t="s">
        <v>424</v>
      </c>
      <c r="FD1445" t="s">
        <v>425</v>
      </c>
      <c r="FE1445" s="1">
        <v>42821</v>
      </c>
      <c r="FF1445">
        <v>10</v>
      </c>
      <c r="FG1445">
        <v>7045074</v>
      </c>
      <c r="FH1445" t="s">
        <v>580</v>
      </c>
      <c r="FJ1445" s="1">
        <v>42515</v>
      </c>
      <c r="FK1445">
        <v>2015</v>
      </c>
      <c r="FL1445">
        <v>970.71</v>
      </c>
      <c r="FM1445" t="s">
        <v>14671</v>
      </c>
      <c r="FN1445">
        <v>0.25</v>
      </c>
      <c r="FO1445" t="s">
        <v>424</v>
      </c>
      <c r="FP1445" t="s">
        <v>425</v>
      </c>
      <c r="FR1445">
        <v>22</v>
      </c>
      <c r="FS1445">
        <v>6550316</v>
      </c>
      <c r="FT1445" t="s">
        <v>14672</v>
      </c>
      <c r="FV1445" s="1">
        <v>42151</v>
      </c>
      <c r="FW1445">
        <v>2014</v>
      </c>
      <c r="FX1445">
        <v>848.31</v>
      </c>
      <c r="FY1445" t="s">
        <v>14673</v>
      </c>
      <c r="FZ1445">
        <v>0.25</v>
      </c>
      <c r="GA1445" t="s">
        <v>424</v>
      </c>
      <c r="GB1445" t="s">
        <v>425</v>
      </c>
      <c r="GC1445" s="1">
        <v>42774</v>
      </c>
      <c r="GD1445">
        <v>21</v>
      </c>
      <c r="GE1445">
        <v>4975594</v>
      </c>
      <c r="GF1445" t="s">
        <v>457</v>
      </c>
      <c r="GH1445" s="1">
        <v>42151</v>
      </c>
      <c r="GI1445">
        <v>2014</v>
      </c>
      <c r="GJ1445">
        <v>848.31</v>
      </c>
      <c r="GK1445" t="s">
        <v>14673</v>
      </c>
      <c r="GL1445">
        <v>0.25</v>
      </c>
      <c r="GM1445" t="s">
        <v>424</v>
      </c>
      <c r="GN1445" t="s">
        <v>425</v>
      </c>
      <c r="GP1445">
        <v>22</v>
      </c>
      <c r="GQ1445">
        <v>6359266</v>
      </c>
      <c r="GR1445" t="s">
        <v>14674</v>
      </c>
      <c r="GT1445" s="1">
        <v>41787</v>
      </c>
      <c r="GU1445">
        <v>2013</v>
      </c>
      <c r="GV1445">
        <v>1039.56</v>
      </c>
      <c r="GW1445" t="s">
        <v>14675</v>
      </c>
      <c r="GX1445">
        <v>0.25</v>
      </c>
      <c r="GY1445" t="s">
        <v>424</v>
      </c>
      <c r="GZ1445" t="s">
        <v>425</v>
      </c>
      <c r="HA1445" s="1">
        <v>42429</v>
      </c>
      <c r="HB1445">
        <v>21</v>
      </c>
      <c r="HC1445">
        <v>2851116</v>
      </c>
      <c r="HD1445" t="s">
        <v>480</v>
      </c>
      <c r="HF1445" s="1">
        <v>40688</v>
      </c>
      <c r="HG1445">
        <v>2010</v>
      </c>
      <c r="HH1445">
        <v>414.92</v>
      </c>
      <c r="HI1445" t="s">
        <v>14676</v>
      </c>
      <c r="HJ1445">
        <v>6</v>
      </c>
      <c r="HK1445" t="s">
        <v>424</v>
      </c>
      <c r="HL1445" t="s">
        <v>425</v>
      </c>
      <c r="HM1445" s="1">
        <v>41351</v>
      </c>
      <c r="HN1445">
        <v>22</v>
      </c>
      <c r="HO1445">
        <v>105</v>
      </c>
      <c r="HP1445" t="s">
        <v>946</v>
      </c>
    </row>
    <row r="1446" spans="1:272" x14ac:dyDescent="0.25">
      <c r="A1446">
        <v>16486453</v>
      </c>
      <c r="B1446">
        <v>1445</v>
      </c>
      <c r="C1446" t="s">
        <v>393</v>
      </c>
      <c r="D1446" t="s">
        <v>394</v>
      </c>
      <c r="F1446" t="str">
        <f>"51-3N-27-4881-0055-0000"</f>
        <v>51-3N-27-4881-0055-0000</v>
      </c>
      <c r="H1446" t="str">
        <f>"MUSIC STEVE"</f>
        <v>MUSIC STEVE</v>
      </c>
      <c r="I1446" t="str">
        <f>"86313 JEAN ROAD"</f>
        <v>86313 JEAN ROAD</v>
      </c>
      <c r="J1446" t="str">
        <f t="shared" ref="J1446:J1453" si="506">"YULEE FL 32097"</f>
        <v>YULEE FL 32097</v>
      </c>
      <c r="K1446" t="str">
        <f>"86313 JEAN RD"</f>
        <v>86313 JEAN RD</v>
      </c>
      <c r="L1446" t="str">
        <f t="shared" si="491"/>
        <v>YULEE FL 32097</v>
      </c>
      <c r="M1446" t="str">
        <f>"TRACT 55 IN OR 577 PG 544 R672466 &amp; R672467 YULEE HILLS PB 4/31"</f>
        <v>TRACT 55 IN OR 577 PG 544 R672466 &amp; R672467 YULEE HILLS PB 4/31</v>
      </c>
      <c r="N1446" t="str">
        <f>""</f>
        <v/>
      </c>
      <c r="O1446" t="str">
        <f>"55563"</f>
        <v>55563</v>
      </c>
      <c r="P1446" t="str">
        <f t="shared" si="494"/>
        <v>2017</v>
      </c>
      <c r="Q1446" t="str">
        <f>""</f>
        <v/>
      </c>
      <c r="R1446" t="str">
        <f>"Y"</f>
        <v>Y</v>
      </c>
      <c r="S1446" t="str">
        <f>""</f>
        <v/>
      </c>
      <c r="T1446" t="str">
        <f>"511.51"</f>
        <v>511.51</v>
      </c>
      <c r="U1446" t="str">
        <f>"71312.00"</f>
        <v>71312.00</v>
      </c>
      <c r="V1446" t="str">
        <f>"71312.00"</f>
        <v>71312.00</v>
      </c>
      <c r="W1446" t="str">
        <f t="shared" si="495"/>
        <v>2017</v>
      </c>
      <c r="X1446" t="str">
        <f>"9.25"</f>
        <v>9.25</v>
      </c>
      <c r="Y1446" t="str">
        <f>"558.86"</f>
        <v>558.86</v>
      </c>
      <c r="Z1446" t="str">
        <f>"25500.00"</f>
        <v>25500.00</v>
      </c>
      <c r="AA1446" t="str">
        <f>"45812.00"</f>
        <v>45812.00</v>
      </c>
      <c r="AB1446" t="str">
        <f t="shared" si="501"/>
        <v>Residential</v>
      </c>
      <c r="AC1446" t="str">
        <f t="shared" si="499"/>
        <v>0</v>
      </c>
      <c r="AD1446" t="str">
        <f t="shared" si="502"/>
        <v>4</v>
      </c>
      <c r="AE1446" t="str">
        <f t="shared" si="503"/>
        <v>WOOD (INCLUDE STEEL STUDS)</v>
      </c>
      <c r="AF1446" t="str">
        <f t="shared" si="504"/>
        <v>002</v>
      </c>
      <c r="AG1446" t="str">
        <f t="shared" ref="AG1446:AG1464" si="507">"FL"</f>
        <v>FL</v>
      </c>
      <c r="AH1446" t="str">
        <f>"43758.00"</f>
        <v>43758.00</v>
      </c>
      <c r="AI1446" t="str">
        <f t="shared" si="505"/>
        <v>25000.00</v>
      </c>
      <c r="AJ1446" t="str">
        <f>"C55-000-588-7622-8"</f>
        <v>C55-000-588-7622-8</v>
      </c>
      <c r="AK1446" t="str">
        <f>"24491"</f>
        <v>24491</v>
      </c>
      <c r="AL1446">
        <v>6</v>
      </c>
      <c r="AM1446">
        <v>1653</v>
      </c>
      <c r="AN1446">
        <v>585.20000000000005</v>
      </c>
      <c r="AQ1446" t="s">
        <v>14677</v>
      </c>
      <c r="AR1446" t="s">
        <v>14677</v>
      </c>
      <c r="AS1446" t="s">
        <v>14677</v>
      </c>
      <c r="AU1446" t="s">
        <v>396</v>
      </c>
      <c r="AV1446">
        <v>2017</v>
      </c>
      <c r="AW1446" t="str">
        <f>"51-3N-27-4881-0055-0000 "</f>
        <v xml:space="preserve">51-3N-27-4881-0055-0000 </v>
      </c>
      <c r="AX1446">
        <v>86313</v>
      </c>
      <c r="AZ1446" t="s">
        <v>14665</v>
      </c>
      <c r="BA1446" t="s">
        <v>496</v>
      </c>
      <c r="BD1446" t="s">
        <v>2387</v>
      </c>
      <c r="BE1446" t="s">
        <v>393</v>
      </c>
      <c r="BF1446">
        <v>32097</v>
      </c>
      <c r="BG1446" t="s">
        <v>14678</v>
      </c>
      <c r="BH1446" t="s">
        <v>2388</v>
      </c>
      <c r="BI1446">
        <v>-81.5776546477355</v>
      </c>
      <c r="BJ1446">
        <v>30.6552645840686</v>
      </c>
      <c r="BK1446" t="s">
        <v>14679</v>
      </c>
      <c r="BM1446" t="s">
        <v>14678</v>
      </c>
      <c r="BN1446" t="s">
        <v>1778</v>
      </c>
      <c r="BO1446">
        <v>32097</v>
      </c>
      <c r="BP1446" t="s">
        <v>416</v>
      </c>
      <c r="BQ1446">
        <v>200</v>
      </c>
      <c r="BR1446" t="s">
        <v>405</v>
      </c>
      <c r="BS1446">
        <v>1006</v>
      </c>
      <c r="BT1446" t="s">
        <v>406</v>
      </c>
      <c r="BW1446">
        <v>43798</v>
      </c>
      <c r="BX1446" t="s">
        <v>407</v>
      </c>
      <c r="BY1446" t="s">
        <v>4360</v>
      </c>
      <c r="BZ1446">
        <v>4</v>
      </c>
      <c r="CA1446">
        <v>1997</v>
      </c>
      <c r="CB1446">
        <v>1</v>
      </c>
      <c r="CC1446">
        <v>1</v>
      </c>
      <c r="CD1446">
        <v>2017</v>
      </c>
      <c r="CG1446">
        <v>71312</v>
      </c>
      <c r="CH1446">
        <v>2017</v>
      </c>
      <c r="CI1446">
        <v>25000</v>
      </c>
      <c r="CJ1446">
        <v>58279</v>
      </c>
      <c r="CK1446">
        <v>83279</v>
      </c>
      <c r="CL1446">
        <v>2017</v>
      </c>
      <c r="CM1446">
        <v>511.51</v>
      </c>
      <c r="CN1446" s="1">
        <v>32722</v>
      </c>
      <c r="CO1446">
        <v>6000</v>
      </c>
      <c r="CZ1446" s="1">
        <v>32722</v>
      </c>
      <c r="DD1446" t="s">
        <v>2387</v>
      </c>
      <c r="DG1446">
        <v>51</v>
      </c>
      <c r="DL1446">
        <v>50302</v>
      </c>
      <c r="DM1446" t="s">
        <v>14357</v>
      </c>
      <c r="DO1446" t="s">
        <v>14680</v>
      </c>
      <c r="DP1446">
        <v>0</v>
      </c>
      <c r="DQ1446">
        <v>0</v>
      </c>
      <c r="DR1446" t="s">
        <v>411</v>
      </c>
      <c r="DS1446" t="b">
        <v>1</v>
      </c>
      <c r="DT1446" t="s">
        <v>470</v>
      </c>
      <c r="DU1446" t="s">
        <v>471</v>
      </c>
      <c r="DV1446" t="s">
        <v>472</v>
      </c>
      <c r="DX1446">
        <v>-9999</v>
      </c>
      <c r="DZ1446" t="s">
        <v>447</v>
      </c>
      <c r="EA1446" t="s">
        <v>448</v>
      </c>
      <c r="EB1446" t="s">
        <v>742</v>
      </c>
      <c r="EC1446">
        <v>20101217</v>
      </c>
      <c r="ED1446" t="s">
        <v>474</v>
      </c>
      <c r="EF1446">
        <v>2313.8000000000002</v>
      </c>
      <c r="EG1446">
        <v>2313.8000000000002</v>
      </c>
      <c r="EI1446">
        <v>20160407</v>
      </c>
      <c r="EJ1446">
        <v>0</v>
      </c>
      <c r="EK1446">
        <v>0</v>
      </c>
      <c r="EP1446" t="s">
        <v>421</v>
      </c>
      <c r="EQ1446" t="s">
        <v>422</v>
      </c>
      <c r="ER1446">
        <v>0</v>
      </c>
      <c r="ES1446">
        <v>4</v>
      </c>
      <c r="ET1446">
        <v>0</v>
      </c>
      <c r="EU1446">
        <v>0</v>
      </c>
      <c r="EV1446">
        <v>0</v>
      </c>
      <c r="EW1446" s="2">
        <v>43222</v>
      </c>
      <c r="EX1446" s="1">
        <v>42515</v>
      </c>
      <c r="EY1446">
        <v>2015</v>
      </c>
      <c r="EZ1446">
        <v>604.15</v>
      </c>
      <c r="FA1446" t="s">
        <v>14681</v>
      </c>
      <c r="FB1446">
        <v>0.25</v>
      </c>
      <c r="FC1446" t="s">
        <v>424</v>
      </c>
      <c r="FD1446" t="s">
        <v>425</v>
      </c>
      <c r="FE1446" s="1">
        <v>43159</v>
      </c>
      <c r="FF1446">
        <v>21</v>
      </c>
      <c r="FG1446">
        <v>2851116</v>
      </c>
      <c r="FH1446" t="s">
        <v>480</v>
      </c>
      <c r="FJ1446" s="1">
        <v>42515</v>
      </c>
      <c r="FK1446">
        <v>2015</v>
      </c>
      <c r="FL1446">
        <v>604.15</v>
      </c>
      <c r="FM1446" t="s">
        <v>14681</v>
      </c>
      <c r="FN1446">
        <v>0.25</v>
      </c>
      <c r="FO1446" t="s">
        <v>424</v>
      </c>
      <c r="FP1446" t="s">
        <v>425</v>
      </c>
      <c r="FR1446">
        <v>22</v>
      </c>
      <c r="FS1446">
        <v>4878172</v>
      </c>
      <c r="FT1446" t="s">
        <v>14682</v>
      </c>
      <c r="FV1446" s="1">
        <v>41787</v>
      </c>
      <c r="FW1446">
        <v>2013</v>
      </c>
      <c r="FX1446">
        <v>727.22</v>
      </c>
      <c r="FY1446" t="s">
        <v>14683</v>
      </c>
      <c r="FZ1446">
        <v>0.25</v>
      </c>
      <c r="GA1446" t="s">
        <v>424</v>
      </c>
      <c r="GB1446" t="s">
        <v>425</v>
      </c>
      <c r="GC1446" s="1">
        <v>42041</v>
      </c>
      <c r="GD1446">
        <v>9</v>
      </c>
      <c r="GE1446">
        <v>2101382</v>
      </c>
      <c r="GF1446" t="s">
        <v>993</v>
      </c>
      <c r="GH1446" s="1">
        <v>40688</v>
      </c>
      <c r="GI1446">
        <v>2010</v>
      </c>
      <c r="GJ1446">
        <v>745.99</v>
      </c>
      <c r="GK1446" t="s">
        <v>14684</v>
      </c>
      <c r="GL1446">
        <v>6</v>
      </c>
      <c r="GM1446" t="s">
        <v>424</v>
      </c>
      <c r="GN1446" t="s">
        <v>425</v>
      </c>
      <c r="GO1446" s="1">
        <v>40815</v>
      </c>
      <c r="GP1446">
        <v>4</v>
      </c>
      <c r="GQ1446">
        <v>105</v>
      </c>
      <c r="GR1446" t="s">
        <v>946</v>
      </c>
    </row>
    <row r="1447" spans="1:272" x14ac:dyDescent="0.25">
      <c r="A1447">
        <v>16486454</v>
      </c>
      <c r="B1447">
        <v>1446</v>
      </c>
      <c r="C1447" t="s">
        <v>393</v>
      </c>
      <c r="D1447" t="s">
        <v>394</v>
      </c>
      <c r="F1447" t="str">
        <f>"51-3N-27-4881-0056-0000"</f>
        <v>51-3N-27-4881-0056-0000</v>
      </c>
      <c r="H1447" t="str">
        <f>"FREEMAN SIDNEY A JR &amp; DOYLE BARBARA &amp; JAMES (JT/RS)"</f>
        <v>FREEMAN SIDNEY A JR &amp; DOYLE BARBARA &amp; JAMES (JT/RS)</v>
      </c>
      <c r="I1447" t="str">
        <f>"86279 JEAN RD"</f>
        <v>86279 JEAN RD</v>
      </c>
      <c r="J1447" t="str">
        <f t="shared" si="506"/>
        <v>YULEE FL 32097</v>
      </c>
      <c r="K1447" t="str">
        <f>"86277 JEAN RD"</f>
        <v>86277 JEAN RD</v>
      </c>
      <c r="L1447" t="str">
        <f t="shared" si="491"/>
        <v>YULEE FL 32097</v>
      </c>
      <c r="M1447" t="str">
        <f>"TRACT 56 1971 GRNDR SW &amp; 2000 HOMD DW IN OR 1777/83 YULEE HILLS PB 4/31"</f>
        <v>TRACT 56 1971 GRNDR SW &amp; 2000 HOMD DW IN OR 1777/83 YULEE HILLS PB 4/31</v>
      </c>
      <c r="N1447" t="str">
        <f>""</f>
        <v/>
      </c>
      <c r="O1447" t="str">
        <f>"55564"</f>
        <v>55564</v>
      </c>
      <c r="P1447" t="str">
        <f t="shared" si="494"/>
        <v>2017</v>
      </c>
      <c r="Q1447" t="str">
        <f>""</f>
        <v/>
      </c>
      <c r="R1447" t="str">
        <f>"Y"</f>
        <v>Y</v>
      </c>
      <c r="S1447" t="str">
        <f>""</f>
        <v/>
      </c>
      <c r="T1447" t="str">
        <f>"420.09"</f>
        <v>420.09</v>
      </c>
      <c r="U1447" t="str">
        <f>"55341.00"</f>
        <v>55341.00</v>
      </c>
      <c r="V1447" t="str">
        <f>"55341.00"</f>
        <v>55341.00</v>
      </c>
      <c r="W1447" t="str">
        <f t="shared" si="495"/>
        <v>2017</v>
      </c>
      <c r="X1447" t="str">
        <f>"16.00"</f>
        <v>16.00</v>
      </c>
      <c r="Y1447" t="str">
        <f>"464.69"</f>
        <v>464.69</v>
      </c>
      <c r="Z1447" t="str">
        <f>"25000.00"</f>
        <v>25000.00</v>
      </c>
      <c r="AA1447" t="str">
        <f>"30341.00"</f>
        <v>30341.00</v>
      </c>
      <c r="AB1447" t="str">
        <f t="shared" si="501"/>
        <v>Residential</v>
      </c>
      <c r="AC1447" t="str">
        <f t="shared" si="499"/>
        <v>0</v>
      </c>
      <c r="AD1447" t="str">
        <f t="shared" si="502"/>
        <v>4</v>
      </c>
      <c r="AE1447" t="str">
        <f t="shared" si="503"/>
        <v>WOOD (INCLUDE STEEL STUDS)</v>
      </c>
      <c r="AF1447" t="str">
        <f t="shared" si="504"/>
        <v>002</v>
      </c>
      <c r="AG1447" t="str">
        <f t="shared" si="507"/>
        <v>FL</v>
      </c>
      <c r="AH1447" t="str">
        <f>"43758.00"</f>
        <v>43758.00</v>
      </c>
      <c r="AI1447" t="str">
        <f t="shared" si="505"/>
        <v>25000.00</v>
      </c>
      <c r="AJ1447" t="str">
        <f>"C55-000-588-7623-6"</f>
        <v>C55-000-588-7623-6</v>
      </c>
      <c r="AK1447" t="str">
        <f>"24492"</f>
        <v>24492</v>
      </c>
      <c r="AL1447">
        <v>6</v>
      </c>
      <c r="AM1447">
        <v>1654</v>
      </c>
      <c r="AN1447">
        <v>486.32</v>
      </c>
      <c r="AQ1447" t="s">
        <v>14685</v>
      </c>
      <c r="AR1447" t="s">
        <v>14685</v>
      </c>
      <c r="AS1447" t="s">
        <v>14685</v>
      </c>
      <c r="AU1447" t="s">
        <v>396</v>
      </c>
      <c r="AV1447">
        <v>2017</v>
      </c>
      <c r="AW1447" t="str">
        <f>"51-3N-27-4881-0056-0000 "</f>
        <v xml:space="preserve">51-3N-27-4881-0056-0000 </v>
      </c>
      <c r="AX1447">
        <v>86277</v>
      </c>
      <c r="AZ1447" t="s">
        <v>14665</v>
      </c>
      <c r="BA1447" t="s">
        <v>496</v>
      </c>
      <c r="BD1447" t="s">
        <v>2387</v>
      </c>
      <c r="BE1447" t="s">
        <v>393</v>
      </c>
      <c r="BF1447">
        <v>32097</v>
      </c>
      <c r="BG1447" t="s">
        <v>14686</v>
      </c>
      <c r="BH1447" t="s">
        <v>2388</v>
      </c>
      <c r="BI1447">
        <v>-81.5779910255701</v>
      </c>
      <c r="BJ1447">
        <v>30.654960646940498</v>
      </c>
      <c r="BK1447" t="s">
        <v>14687</v>
      </c>
      <c r="BM1447" t="s">
        <v>14688</v>
      </c>
      <c r="BN1447" t="s">
        <v>1778</v>
      </c>
      <c r="BO1447">
        <v>32097</v>
      </c>
      <c r="BP1447" t="s">
        <v>404</v>
      </c>
      <c r="BQ1447">
        <v>200</v>
      </c>
      <c r="BR1447" t="s">
        <v>405</v>
      </c>
      <c r="BS1447">
        <v>1006</v>
      </c>
      <c r="BT1447" t="s">
        <v>406</v>
      </c>
      <c r="BW1447">
        <v>43792</v>
      </c>
      <c r="BX1447" t="s">
        <v>407</v>
      </c>
      <c r="BY1447" t="s">
        <v>4360</v>
      </c>
      <c r="BZ1447">
        <v>4</v>
      </c>
      <c r="CA1447">
        <v>1971</v>
      </c>
      <c r="CB1447">
        <v>1</v>
      </c>
      <c r="CC1447">
        <v>2</v>
      </c>
      <c r="CD1447">
        <v>2017</v>
      </c>
      <c r="CG1447">
        <v>55341</v>
      </c>
      <c r="CH1447">
        <v>2017</v>
      </c>
      <c r="CI1447">
        <v>25000</v>
      </c>
      <c r="CJ1447">
        <v>44065</v>
      </c>
      <c r="CK1447">
        <v>69065</v>
      </c>
      <c r="CL1447">
        <v>2017</v>
      </c>
      <c r="CM1447">
        <v>420.09</v>
      </c>
      <c r="CN1447" s="1">
        <v>40941</v>
      </c>
      <c r="CO1447">
        <v>20000</v>
      </c>
      <c r="CZ1447" s="1">
        <v>40941</v>
      </c>
      <c r="DD1447" t="s">
        <v>2387</v>
      </c>
      <c r="DG1447">
        <v>51</v>
      </c>
      <c r="DL1447">
        <v>50302</v>
      </c>
      <c r="DM1447" t="s">
        <v>14357</v>
      </c>
      <c r="DO1447" t="s">
        <v>14689</v>
      </c>
      <c r="DP1447">
        <v>0</v>
      </c>
      <c r="DQ1447">
        <v>0</v>
      </c>
      <c r="DR1447" t="s">
        <v>411</v>
      </c>
      <c r="DS1447" t="b">
        <v>1</v>
      </c>
      <c r="DT1447" t="s">
        <v>470</v>
      </c>
      <c r="DU1447" t="s">
        <v>471</v>
      </c>
      <c r="DV1447" t="s">
        <v>472</v>
      </c>
      <c r="DX1447">
        <v>-9999</v>
      </c>
      <c r="DZ1447" t="s">
        <v>447</v>
      </c>
      <c r="EA1447" t="s">
        <v>448</v>
      </c>
      <c r="EB1447" t="s">
        <v>742</v>
      </c>
      <c r="EC1447">
        <v>20101217</v>
      </c>
      <c r="ED1447" t="s">
        <v>474</v>
      </c>
      <c r="EF1447">
        <v>2161.6</v>
      </c>
      <c r="EG1447">
        <v>2161.6</v>
      </c>
      <c r="EI1447">
        <v>20160407</v>
      </c>
      <c r="EJ1447">
        <v>0</v>
      </c>
      <c r="EK1447">
        <v>0</v>
      </c>
      <c r="EP1447" t="s">
        <v>421</v>
      </c>
      <c r="EQ1447" t="s">
        <v>422</v>
      </c>
      <c r="ER1447">
        <v>2</v>
      </c>
      <c r="ES1447">
        <v>8</v>
      </c>
      <c r="ET1447">
        <v>961.02</v>
      </c>
      <c r="EU1447">
        <v>60.55</v>
      </c>
      <c r="EV1447">
        <v>1021.57</v>
      </c>
      <c r="EW1447" s="2">
        <v>43222</v>
      </c>
      <c r="EX1447" s="1">
        <v>42879</v>
      </c>
      <c r="EY1447">
        <v>2016</v>
      </c>
      <c r="EZ1447">
        <v>480.51</v>
      </c>
      <c r="FA1447" t="s">
        <v>14690</v>
      </c>
      <c r="FB1447">
        <v>0.25</v>
      </c>
      <c r="FC1447" t="s">
        <v>424</v>
      </c>
      <c r="FD1447" t="s">
        <v>454</v>
      </c>
      <c r="FF1447">
        <v>12</v>
      </c>
      <c r="FG1447">
        <v>7400234</v>
      </c>
      <c r="FH1447" t="s">
        <v>426</v>
      </c>
      <c r="FJ1447" s="1">
        <v>42879</v>
      </c>
      <c r="FK1447">
        <v>2016</v>
      </c>
      <c r="FL1447">
        <v>480.51</v>
      </c>
      <c r="FM1447" t="s">
        <v>14690</v>
      </c>
      <c r="FN1447">
        <v>0.25</v>
      </c>
      <c r="FO1447" t="s">
        <v>424</v>
      </c>
      <c r="FP1447" t="s">
        <v>454</v>
      </c>
      <c r="FR1447">
        <v>12</v>
      </c>
      <c r="FS1447">
        <v>7566819</v>
      </c>
      <c r="FT1447" t="s">
        <v>14691</v>
      </c>
      <c r="FV1447" s="1">
        <v>42515</v>
      </c>
      <c r="FW1447">
        <v>2015</v>
      </c>
      <c r="FX1447">
        <v>505.92</v>
      </c>
      <c r="FY1447" t="s">
        <v>14692</v>
      </c>
      <c r="FZ1447">
        <v>0.25</v>
      </c>
      <c r="GA1447" t="s">
        <v>424</v>
      </c>
      <c r="GB1447" t="s">
        <v>425</v>
      </c>
      <c r="GC1447" s="1">
        <v>42840</v>
      </c>
      <c r="GD1447">
        <v>11</v>
      </c>
      <c r="GE1447">
        <v>7045074</v>
      </c>
      <c r="GF1447" t="s">
        <v>580</v>
      </c>
      <c r="GH1447" s="1">
        <v>42515</v>
      </c>
      <c r="GI1447">
        <v>2015</v>
      </c>
      <c r="GJ1447">
        <v>505.92</v>
      </c>
      <c r="GK1447" t="s">
        <v>14692</v>
      </c>
      <c r="GL1447">
        <v>0.25</v>
      </c>
      <c r="GM1447" t="s">
        <v>424</v>
      </c>
      <c r="GN1447" t="s">
        <v>425</v>
      </c>
      <c r="GP1447">
        <v>22</v>
      </c>
      <c r="GQ1447">
        <v>6367017</v>
      </c>
      <c r="GR1447" t="s">
        <v>14693</v>
      </c>
      <c r="GT1447" s="1">
        <v>42151</v>
      </c>
      <c r="GU1447">
        <v>2014</v>
      </c>
      <c r="GV1447">
        <v>614.47</v>
      </c>
      <c r="GW1447" t="s">
        <v>14694</v>
      </c>
      <c r="GX1447">
        <v>0.25</v>
      </c>
      <c r="GY1447" t="s">
        <v>424</v>
      </c>
      <c r="GZ1447" t="s">
        <v>425</v>
      </c>
      <c r="HA1447" s="1">
        <v>42772</v>
      </c>
      <c r="HB1447">
        <v>21</v>
      </c>
      <c r="HC1447">
        <v>4975594</v>
      </c>
      <c r="HD1447" t="s">
        <v>457</v>
      </c>
      <c r="HF1447" s="1">
        <v>42151</v>
      </c>
      <c r="HG1447">
        <v>2014</v>
      </c>
      <c r="HH1447">
        <v>614.47</v>
      </c>
      <c r="HI1447" t="s">
        <v>14694</v>
      </c>
      <c r="HJ1447">
        <v>0.25</v>
      </c>
      <c r="HK1447" t="s">
        <v>424</v>
      </c>
      <c r="HL1447" t="s">
        <v>425</v>
      </c>
      <c r="HN1447">
        <v>22</v>
      </c>
      <c r="HO1447">
        <v>6404826</v>
      </c>
      <c r="HP1447" t="s">
        <v>14695</v>
      </c>
      <c r="HR1447" s="1">
        <v>41787</v>
      </c>
      <c r="HS1447">
        <v>2013</v>
      </c>
      <c r="HT1447">
        <v>628.16999999999996</v>
      </c>
      <c r="HU1447" t="s">
        <v>14696</v>
      </c>
      <c r="HV1447">
        <v>0.25</v>
      </c>
      <c r="HW1447" t="s">
        <v>424</v>
      </c>
      <c r="HX1447" t="s">
        <v>425</v>
      </c>
      <c r="HY1447" s="1">
        <v>42096</v>
      </c>
      <c r="HZ1447">
        <v>11</v>
      </c>
      <c r="IA1447">
        <v>2407503</v>
      </c>
      <c r="IB1447" t="s">
        <v>461</v>
      </c>
      <c r="ID1447" s="1">
        <v>41423</v>
      </c>
      <c r="IE1447">
        <v>2012</v>
      </c>
      <c r="IF1447">
        <v>623.72</v>
      </c>
      <c r="IG1447" t="s">
        <v>14697</v>
      </c>
      <c r="IH1447">
        <v>0.25</v>
      </c>
      <c r="II1447" t="s">
        <v>424</v>
      </c>
      <c r="IJ1447" t="s">
        <v>425</v>
      </c>
      <c r="IK1447" s="1">
        <v>42058</v>
      </c>
      <c r="IL1447">
        <v>21</v>
      </c>
      <c r="IM1447">
        <v>15399</v>
      </c>
      <c r="IN1447" t="s">
        <v>485</v>
      </c>
      <c r="IP1447" s="1">
        <v>41052</v>
      </c>
      <c r="IQ1447">
        <v>2011</v>
      </c>
      <c r="IR1447">
        <v>789.27</v>
      </c>
      <c r="IS1447" t="s">
        <v>14698</v>
      </c>
      <c r="IT1447">
        <v>5.75</v>
      </c>
      <c r="IU1447" t="s">
        <v>424</v>
      </c>
      <c r="IV1447" t="s">
        <v>425</v>
      </c>
      <c r="IW1447" s="1">
        <v>41691</v>
      </c>
      <c r="IX1447">
        <v>21</v>
      </c>
      <c r="IY1447">
        <v>62</v>
      </c>
      <c r="IZ1447" t="s">
        <v>463</v>
      </c>
      <c r="JB1447" s="1">
        <v>40688</v>
      </c>
      <c r="JC1447">
        <v>2010</v>
      </c>
      <c r="JD1447">
        <v>811.83</v>
      </c>
      <c r="JE1447" t="s">
        <v>14699</v>
      </c>
      <c r="JF1447">
        <v>6</v>
      </c>
      <c r="JG1447" t="s">
        <v>424</v>
      </c>
      <c r="JH1447" t="s">
        <v>425</v>
      </c>
      <c r="JI1447" s="1">
        <v>41026</v>
      </c>
      <c r="JJ1447">
        <v>11</v>
      </c>
      <c r="JK1447">
        <v>105</v>
      </c>
      <c r="JL1447" t="s">
        <v>946</v>
      </c>
    </row>
    <row r="1448" spans="1:272" x14ac:dyDescent="0.25">
      <c r="A1448">
        <v>16486455</v>
      </c>
      <c r="B1448">
        <v>1447</v>
      </c>
      <c r="C1448" t="s">
        <v>393</v>
      </c>
      <c r="D1448" t="s">
        <v>394</v>
      </c>
      <c r="F1448" t="str">
        <f>"51-3N-27-4881-0072-0000"</f>
        <v>51-3N-27-4881-0072-0000</v>
      </c>
      <c r="H1448" t="str">
        <f>"OSBORNE GERALDINE"</f>
        <v>OSBORNE GERALDINE</v>
      </c>
      <c r="I1448" t="str">
        <f>"86204 JEAN ROAD"</f>
        <v>86204 JEAN ROAD</v>
      </c>
      <c r="J1448" t="str">
        <f t="shared" si="506"/>
        <v>YULEE FL 32097</v>
      </c>
      <c r="K1448" t="str">
        <f>"86204 JEAN RD"</f>
        <v>86204 JEAN RD</v>
      </c>
      <c r="L1448" t="str">
        <f t="shared" si="491"/>
        <v>YULEE FL 32097</v>
      </c>
      <c r="M1448" t="str">
        <f>"TRACT 72 IN OR 534/82 8D610194N YULEE HILLS PB 4/31"</f>
        <v>TRACT 72 IN OR 534/82 8D610194N YULEE HILLS PB 4/31</v>
      </c>
      <c r="N1448" t="str">
        <f>""</f>
        <v/>
      </c>
      <c r="O1448" t="str">
        <f>"55580"</f>
        <v>55580</v>
      </c>
      <c r="P1448" t="str">
        <f t="shared" si="494"/>
        <v>2017</v>
      </c>
      <c r="Q1448" t="str">
        <f>""</f>
        <v/>
      </c>
      <c r="R1448" t="str">
        <f>"Y"</f>
        <v>Y</v>
      </c>
      <c r="S1448" t="str">
        <f>""</f>
        <v/>
      </c>
      <c r="T1448" t="str">
        <f>"368.99"</f>
        <v>368.99</v>
      </c>
      <c r="U1448" t="str">
        <f>"49874.00"</f>
        <v>49874.00</v>
      </c>
      <c r="V1448" t="str">
        <f>"49874.00"</f>
        <v>49874.00</v>
      </c>
      <c r="W1448" t="str">
        <f t="shared" si="495"/>
        <v>2017</v>
      </c>
      <c r="X1448" t="str">
        <f>""</f>
        <v/>
      </c>
      <c r="Y1448" t="str">
        <f>"412.06"</f>
        <v>412.06</v>
      </c>
      <c r="Z1448" t="str">
        <f>"25500.00"</f>
        <v>25500.00</v>
      </c>
      <c r="AA1448" t="str">
        <f>"24374.00"</f>
        <v>24374.00</v>
      </c>
      <c r="AB1448" t="str">
        <f t="shared" si="501"/>
        <v>Residential</v>
      </c>
      <c r="AC1448" t="str">
        <f t="shared" si="499"/>
        <v>0</v>
      </c>
      <c r="AD1448" t="str">
        <f t="shared" si="502"/>
        <v>4</v>
      </c>
      <c r="AE1448" t="str">
        <f t="shared" si="503"/>
        <v>WOOD (INCLUDE STEEL STUDS)</v>
      </c>
      <c r="AF1448" t="str">
        <f t="shared" si="504"/>
        <v>002</v>
      </c>
      <c r="AG1448" t="str">
        <f t="shared" si="507"/>
        <v>FL</v>
      </c>
      <c r="AH1448" t="str">
        <f>"43605.00"</f>
        <v>43605.00</v>
      </c>
      <c r="AI1448" t="str">
        <f t="shared" si="505"/>
        <v>25000.00</v>
      </c>
      <c r="AJ1448" t="str">
        <f>"C55-000-588-7639-2"</f>
        <v>C55-000-588-7639-2</v>
      </c>
      <c r="AK1448" t="str">
        <f>"24508"</f>
        <v>24508</v>
      </c>
      <c r="AL1448">
        <v>6</v>
      </c>
      <c r="AM1448">
        <v>1655</v>
      </c>
      <c r="AN1448">
        <v>431.06</v>
      </c>
      <c r="AQ1448" t="s">
        <v>14700</v>
      </c>
      <c r="AR1448" t="s">
        <v>14700</v>
      </c>
      <c r="AS1448" t="s">
        <v>14700</v>
      </c>
      <c r="AU1448" t="s">
        <v>396</v>
      </c>
      <c r="AV1448">
        <v>2017</v>
      </c>
      <c r="AW1448" t="str">
        <f>"51-3N-27-4881-0072-0000 "</f>
        <v xml:space="preserve">51-3N-27-4881-0072-0000 </v>
      </c>
      <c r="AX1448">
        <v>86204</v>
      </c>
      <c r="AZ1448" t="s">
        <v>14665</v>
      </c>
      <c r="BA1448" t="s">
        <v>496</v>
      </c>
      <c r="BD1448" t="s">
        <v>2387</v>
      </c>
      <c r="BE1448" t="s">
        <v>393</v>
      </c>
      <c r="BF1448">
        <v>32097</v>
      </c>
      <c r="BG1448" t="s">
        <v>14701</v>
      </c>
      <c r="BH1448" t="s">
        <v>2388</v>
      </c>
      <c r="BI1448">
        <v>-81.578116902028995</v>
      </c>
      <c r="BJ1448">
        <v>30.653472649891899</v>
      </c>
      <c r="BK1448" t="s">
        <v>14702</v>
      </c>
      <c r="BM1448" t="s">
        <v>14701</v>
      </c>
      <c r="BN1448" t="s">
        <v>1778</v>
      </c>
      <c r="BO1448">
        <v>32097</v>
      </c>
      <c r="BP1448" t="s">
        <v>416</v>
      </c>
      <c r="BQ1448">
        <v>200</v>
      </c>
      <c r="BR1448" t="s">
        <v>405</v>
      </c>
      <c r="BS1448">
        <v>1006</v>
      </c>
      <c r="BT1448" t="s">
        <v>406</v>
      </c>
      <c r="BW1448">
        <v>43606</v>
      </c>
      <c r="BX1448" t="s">
        <v>407</v>
      </c>
      <c r="BY1448" t="s">
        <v>4360</v>
      </c>
      <c r="BZ1448">
        <v>4</v>
      </c>
      <c r="CA1448">
        <v>2000</v>
      </c>
      <c r="CB1448">
        <v>1</v>
      </c>
      <c r="CC1448">
        <v>1</v>
      </c>
      <c r="CD1448">
        <v>2017</v>
      </c>
      <c r="CG1448">
        <v>49874</v>
      </c>
      <c r="CH1448">
        <v>2017</v>
      </c>
      <c r="CI1448">
        <v>25000</v>
      </c>
      <c r="CJ1448">
        <v>31164</v>
      </c>
      <c r="CK1448">
        <v>56164</v>
      </c>
      <c r="CL1448">
        <v>2017</v>
      </c>
      <c r="CM1448">
        <v>368.99</v>
      </c>
      <c r="CN1448" s="1">
        <v>28157</v>
      </c>
      <c r="CO1448">
        <v>3500</v>
      </c>
      <c r="CZ1448" s="1">
        <v>28157</v>
      </c>
      <c r="DD1448" t="s">
        <v>2387</v>
      </c>
      <c r="DG1448">
        <v>51</v>
      </c>
      <c r="DJ1448" t="s">
        <v>14647</v>
      </c>
      <c r="DL1448">
        <v>50302</v>
      </c>
      <c r="DM1448" t="s">
        <v>14357</v>
      </c>
      <c r="DO1448" t="s">
        <v>14703</v>
      </c>
      <c r="DP1448">
        <v>0</v>
      </c>
      <c r="DQ1448">
        <v>0</v>
      </c>
      <c r="DR1448" t="s">
        <v>411</v>
      </c>
      <c r="EP1448" t="s">
        <v>421</v>
      </c>
      <c r="EQ1448" t="s">
        <v>422</v>
      </c>
      <c r="ER1448">
        <v>2</v>
      </c>
      <c r="ES1448">
        <v>0</v>
      </c>
      <c r="ET1448">
        <v>845.84</v>
      </c>
      <c r="EU1448">
        <v>54.79</v>
      </c>
      <c r="EV1448">
        <v>900.63</v>
      </c>
      <c r="EW1448" s="2">
        <v>43222</v>
      </c>
      <c r="EX1448" s="1">
        <v>42879</v>
      </c>
      <c r="EY1448">
        <v>2016</v>
      </c>
      <c r="EZ1448">
        <v>422.92</v>
      </c>
      <c r="FA1448" t="s">
        <v>14704</v>
      </c>
      <c r="FB1448">
        <v>0.25</v>
      </c>
      <c r="FC1448" t="s">
        <v>424</v>
      </c>
      <c r="FD1448" t="s">
        <v>454</v>
      </c>
      <c r="FF1448">
        <v>12</v>
      </c>
      <c r="FG1448">
        <v>2851116</v>
      </c>
      <c r="FH1448" t="s">
        <v>480</v>
      </c>
      <c r="FJ1448" s="1">
        <v>42879</v>
      </c>
      <c r="FK1448">
        <v>2016</v>
      </c>
      <c r="FL1448">
        <v>422.92</v>
      </c>
      <c r="FM1448" t="s">
        <v>14704</v>
      </c>
      <c r="FN1448">
        <v>0.25</v>
      </c>
      <c r="FO1448" t="s">
        <v>424</v>
      </c>
      <c r="FP1448" t="s">
        <v>454</v>
      </c>
      <c r="FR1448">
        <v>12</v>
      </c>
      <c r="FS1448">
        <v>4891248</v>
      </c>
      <c r="FT1448" t="s">
        <v>14705</v>
      </c>
    </row>
    <row r="1449" spans="1:272" x14ac:dyDescent="0.25">
      <c r="A1449">
        <v>16486456</v>
      </c>
      <c r="B1449">
        <v>1448</v>
      </c>
      <c r="C1449" t="s">
        <v>393</v>
      </c>
      <c r="D1449" t="s">
        <v>394</v>
      </c>
      <c r="F1449" t="str">
        <f>"51-3N-27-4881-0075-0000"</f>
        <v>51-3N-27-4881-0075-0000</v>
      </c>
      <c r="H1449" t="str">
        <f>"HANIFEE JASON &amp; MEGAN"</f>
        <v>HANIFEE JASON &amp; MEGAN</v>
      </c>
      <c r="I1449" t="str">
        <f>"86294 JEAN ROAD"</f>
        <v>86294 JEAN ROAD</v>
      </c>
      <c r="J1449" t="str">
        <f t="shared" si="506"/>
        <v>YULEE FL 32097</v>
      </c>
      <c r="K1449" t="str">
        <f>"86294 JEAN RD"</f>
        <v>86294 JEAN RD</v>
      </c>
      <c r="L1449" t="str">
        <f t="shared" si="491"/>
        <v>YULEE FL 32097</v>
      </c>
      <c r="M1449" t="str">
        <f>"TRACT 75 IN OR 2148/371 R224263 &amp; R224264 YULEE HILLS PB 4/31"</f>
        <v>TRACT 75 IN OR 2148/371 R224263 &amp; R224264 YULEE HILLS PB 4/31</v>
      </c>
      <c r="N1449" t="str">
        <f>""</f>
        <v/>
      </c>
      <c r="O1449" t="str">
        <f>"55583"</f>
        <v>55583</v>
      </c>
      <c r="P1449" t="str">
        <f t="shared" si="494"/>
        <v>2017</v>
      </c>
      <c r="Q1449" t="str">
        <f>""</f>
        <v/>
      </c>
      <c r="R1449" t="str">
        <f>"N"</f>
        <v>N</v>
      </c>
      <c r="S1449" t="str">
        <f>""</f>
        <v/>
      </c>
      <c r="T1449" t="str">
        <f>"557.81"</f>
        <v>557.81</v>
      </c>
      <c r="U1449" t="str">
        <f>"36846.00"</f>
        <v>36846.00</v>
      </c>
      <c r="V1449" t="str">
        <f>"36846.00"</f>
        <v>36846.00</v>
      </c>
      <c r="W1449" t="str">
        <f t="shared" si="495"/>
        <v>2017</v>
      </c>
      <c r="X1449" t="str">
        <f>""</f>
        <v/>
      </c>
      <c r="Y1449" t="str">
        <f>"606.54"</f>
        <v>606.54</v>
      </c>
      <c r="Z1449" t="str">
        <f>""</f>
        <v/>
      </c>
      <c r="AA1449" t="str">
        <f>"36846.00"</f>
        <v>36846.00</v>
      </c>
      <c r="AB1449" t="str">
        <f t="shared" si="501"/>
        <v>Residential</v>
      </c>
      <c r="AC1449" t="str">
        <f t="shared" si="499"/>
        <v>0</v>
      </c>
      <c r="AD1449" t="str">
        <f t="shared" si="502"/>
        <v>4</v>
      </c>
      <c r="AE1449" t="str">
        <f t="shared" si="503"/>
        <v>WOOD (INCLUDE STEEL STUDS)</v>
      </c>
      <c r="AF1449" t="str">
        <f t="shared" si="504"/>
        <v>002</v>
      </c>
      <c r="AG1449" t="str">
        <f t="shared" si="507"/>
        <v>FL</v>
      </c>
      <c r="AH1449" t="str">
        <f>"43605.00"</f>
        <v>43605.00</v>
      </c>
      <c r="AI1449" t="str">
        <f t="shared" si="505"/>
        <v>25000.00</v>
      </c>
      <c r="AJ1449" t="str">
        <f>"C55-000-588-7642-6"</f>
        <v>C55-000-588-7642-6</v>
      </c>
      <c r="AK1449" t="str">
        <f>"24511"</f>
        <v>24511</v>
      </c>
      <c r="AL1449">
        <v>6</v>
      </c>
      <c r="AM1449">
        <v>1656</v>
      </c>
      <c r="AN1449">
        <v>635.27</v>
      </c>
      <c r="AQ1449" t="s">
        <v>14706</v>
      </c>
      <c r="AR1449" t="s">
        <v>14706</v>
      </c>
      <c r="AS1449" t="s">
        <v>14706</v>
      </c>
      <c r="AU1449" t="s">
        <v>396</v>
      </c>
      <c r="AV1449">
        <v>2017</v>
      </c>
      <c r="AW1449" t="str">
        <f>"51-3N-27-4881-0075-0000 "</f>
        <v xml:space="preserve">51-3N-27-4881-0075-0000 </v>
      </c>
      <c r="AX1449">
        <v>86294</v>
      </c>
      <c r="AZ1449" t="s">
        <v>14665</v>
      </c>
      <c r="BA1449" t="s">
        <v>496</v>
      </c>
      <c r="BD1449" t="s">
        <v>2387</v>
      </c>
      <c r="BE1449" t="s">
        <v>393</v>
      </c>
      <c r="BF1449">
        <v>32097</v>
      </c>
      <c r="BG1449" t="s">
        <v>14707</v>
      </c>
      <c r="BH1449" t="s">
        <v>2388</v>
      </c>
      <c r="BI1449">
        <v>-81.577107643884901</v>
      </c>
      <c r="BJ1449">
        <v>30.6543843447112</v>
      </c>
      <c r="BK1449" t="s">
        <v>14708</v>
      </c>
      <c r="BL1449" t="s">
        <v>14709</v>
      </c>
      <c r="BM1449" t="s">
        <v>14707</v>
      </c>
      <c r="BN1449" t="s">
        <v>1778</v>
      </c>
      <c r="BO1449">
        <v>32097</v>
      </c>
      <c r="BP1449" t="s">
        <v>416</v>
      </c>
      <c r="BQ1449">
        <v>200</v>
      </c>
      <c r="BR1449" t="s">
        <v>405</v>
      </c>
      <c r="BS1449">
        <v>1006</v>
      </c>
      <c r="BT1449" t="s">
        <v>406</v>
      </c>
      <c r="BW1449">
        <v>43606</v>
      </c>
      <c r="BX1449" t="s">
        <v>407</v>
      </c>
      <c r="BY1449" t="s">
        <v>4360</v>
      </c>
      <c r="BZ1449">
        <v>4</v>
      </c>
      <c r="CA1449">
        <v>1985</v>
      </c>
      <c r="CB1449">
        <v>1</v>
      </c>
      <c r="CC1449">
        <v>1</v>
      </c>
      <c r="CD1449">
        <v>2017</v>
      </c>
      <c r="CE1449">
        <v>25000</v>
      </c>
      <c r="CF1449">
        <v>11846</v>
      </c>
      <c r="CG1449">
        <v>36846</v>
      </c>
      <c r="CH1449">
        <v>2017</v>
      </c>
      <c r="CI1449">
        <v>25000</v>
      </c>
      <c r="CJ1449">
        <v>11846</v>
      </c>
      <c r="CK1449">
        <v>36846</v>
      </c>
      <c r="CL1449">
        <v>2017</v>
      </c>
      <c r="CM1449">
        <v>557.80999999999995</v>
      </c>
      <c r="CN1449" s="1">
        <v>43005</v>
      </c>
      <c r="CO1449">
        <v>48000</v>
      </c>
      <c r="CV1449">
        <v>43956</v>
      </c>
      <c r="CX1449" t="s">
        <v>5513</v>
      </c>
      <c r="CZ1449" s="1">
        <v>43005</v>
      </c>
      <c r="DA1449">
        <v>0</v>
      </c>
      <c r="DD1449" t="s">
        <v>2387</v>
      </c>
      <c r="DG1449">
        <v>51</v>
      </c>
      <c r="DL1449">
        <v>50302</v>
      </c>
      <c r="DM1449" t="s">
        <v>14357</v>
      </c>
      <c r="DO1449" t="s">
        <v>14710</v>
      </c>
      <c r="DP1449">
        <v>0</v>
      </c>
      <c r="DQ1449">
        <v>0</v>
      </c>
      <c r="DR1449" t="s">
        <v>411</v>
      </c>
    </row>
    <row r="1450" spans="1:272" x14ac:dyDescent="0.25">
      <c r="A1450">
        <v>16486457</v>
      </c>
      <c r="B1450">
        <v>1449</v>
      </c>
      <c r="C1450" t="s">
        <v>393</v>
      </c>
      <c r="D1450" t="s">
        <v>394</v>
      </c>
      <c r="F1450" t="str">
        <f>"51-3N-27-4881-0096-0000"</f>
        <v>51-3N-27-4881-0096-0000</v>
      </c>
      <c r="H1450" t="str">
        <f>"GUEST VERNON WAYNE EST"</f>
        <v>GUEST VERNON WAYNE EST</v>
      </c>
      <c r="I1450" t="str">
        <f>"86258 TIMBER RIDGE ST"</f>
        <v>86258 TIMBER RIDGE ST</v>
      </c>
      <c r="J1450" t="str">
        <f t="shared" si="506"/>
        <v>YULEE FL 32097</v>
      </c>
      <c r="K1450" t="str">
        <f>"86258 TIMBER RIDGE ST"</f>
        <v>86258 TIMBER RIDGE ST</v>
      </c>
      <c r="L1450" t="str">
        <f t="shared" si="491"/>
        <v>YULEE FL 32097</v>
      </c>
      <c r="M1450" t="str">
        <f>"TRACT 96 IN OR 1662/848-853 1977 CHAMP SW/MH YULEE HILLS PB 4/31"</f>
        <v>TRACT 96 IN OR 1662/848-853 1977 CHAMP SW/MH YULEE HILLS PB 4/31</v>
      </c>
      <c r="N1450" t="str">
        <f>""</f>
        <v/>
      </c>
      <c r="O1450" t="str">
        <f>"55604"</f>
        <v>55604</v>
      </c>
      <c r="P1450" t="str">
        <f t="shared" si="494"/>
        <v>2017</v>
      </c>
      <c r="Q1450" t="str">
        <f>""</f>
        <v/>
      </c>
      <c r="R1450" t="str">
        <f>"N"</f>
        <v>N</v>
      </c>
      <c r="S1450" t="str">
        <f>""</f>
        <v/>
      </c>
      <c r="T1450" t="str">
        <f>"496.13"</f>
        <v>496.13</v>
      </c>
      <c r="U1450" t="str">
        <f>"32772.00"</f>
        <v>32772.00</v>
      </c>
      <c r="V1450" t="str">
        <f>"32772.00"</f>
        <v>32772.00</v>
      </c>
      <c r="W1450" t="str">
        <f t="shared" si="495"/>
        <v>2017</v>
      </c>
      <c r="X1450" t="str">
        <f>""</f>
        <v/>
      </c>
      <c r="Y1450" t="str">
        <f>"543.01"</f>
        <v>543.01</v>
      </c>
      <c r="Z1450" t="str">
        <f>""</f>
        <v/>
      </c>
      <c r="AA1450" t="str">
        <f>"32772.00"</f>
        <v>32772.00</v>
      </c>
      <c r="AB1450" t="str">
        <f t="shared" si="501"/>
        <v>Residential</v>
      </c>
      <c r="AC1450" t="str">
        <f t="shared" si="499"/>
        <v>0</v>
      </c>
      <c r="AD1450" t="str">
        <f t="shared" si="502"/>
        <v>4</v>
      </c>
      <c r="AE1450" t="str">
        <f t="shared" si="503"/>
        <v>WOOD (INCLUDE STEEL STUDS)</v>
      </c>
      <c r="AF1450" t="str">
        <f t="shared" si="504"/>
        <v>002</v>
      </c>
      <c r="AG1450" t="str">
        <f t="shared" si="507"/>
        <v>FL</v>
      </c>
      <c r="AH1450" t="str">
        <f>"45600.00"</f>
        <v>45600.00</v>
      </c>
      <c r="AI1450" t="str">
        <f t="shared" si="505"/>
        <v>25000.00</v>
      </c>
      <c r="AJ1450" t="str">
        <f>"C55-000-588-7663-2"</f>
        <v>C55-000-588-7663-2</v>
      </c>
      <c r="AK1450" t="str">
        <f>"24531"</f>
        <v>24531</v>
      </c>
      <c r="AL1450">
        <v>6</v>
      </c>
      <c r="AM1450">
        <v>1657</v>
      </c>
      <c r="AN1450">
        <v>568.55999999999995</v>
      </c>
      <c r="AQ1450" t="s">
        <v>14711</v>
      </c>
      <c r="AR1450" t="s">
        <v>14711</v>
      </c>
      <c r="AS1450" t="s">
        <v>14711</v>
      </c>
      <c r="AU1450" t="s">
        <v>396</v>
      </c>
      <c r="AV1450">
        <v>2017</v>
      </c>
      <c r="AW1450" t="str">
        <f>"51-3N-27-4881-0096-0000 "</f>
        <v xml:space="preserve">51-3N-27-4881-0096-0000 </v>
      </c>
      <c r="AX1450">
        <v>86258</v>
      </c>
      <c r="AZ1450" t="s">
        <v>14712</v>
      </c>
      <c r="BA1450" t="s">
        <v>1942</v>
      </c>
      <c r="BD1450" t="s">
        <v>2387</v>
      </c>
      <c r="BE1450" t="s">
        <v>393</v>
      </c>
      <c r="BF1450">
        <v>32097</v>
      </c>
      <c r="BG1450" t="s">
        <v>14713</v>
      </c>
      <c r="BH1450" t="s">
        <v>2388</v>
      </c>
      <c r="BI1450">
        <v>-81.5795020227755</v>
      </c>
      <c r="BJ1450">
        <v>30.651101916067802</v>
      </c>
      <c r="BK1450" t="s">
        <v>14714</v>
      </c>
      <c r="BM1450" t="s">
        <v>14713</v>
      </c>
      <c r="BN1450" t="s">
        <v>1778</v>
      </c>
      <c r="BO1450">
        <v>32097</v>
      </c>
      <c r="BP1450" t="s">
        <v>416</v>
      </c>
      <c r="BQ1450">
        <v>200</v>
      </c>
      <c r="BR1450" t="s">
        <v>405</v>
      </c>
      <c r="BS1450">
        <v>1006</v>
      </c>
      <c r="BT1450" t="s">
        <v>406</v>
      </c>
      <c r="BW1450">
        <v>45600</v>
      </c>
      <c r="BX1450" t="s">
        <v>407</v>
      </c>
      <c r="BY1450" t="s">
        <v>4360</v>
      </c>
      <c r="BZ1450">
        <v>4</v>
      </c>
      <c r="CA1450">
        <v>1977</v>
      </c>
      <c r="CC1450">
        <v>1</v>
      </c>
      <c r="CD1450">
        <v>2017</v>
      </c>
      <c r="CE1450">
        <v>25000</v>
      </c>
      <c r="CF1450">
        <v>7772</v>
      </c>
      <c r="CG1450">
        <v>32772</v>
      </c>
      <c r="CH1450">
        <v>2017</v>
      </c>
      <c r="CI1450">
        <v>25000</v>
      </c>
      <c r="CJ1450">
        <v>7772</v>
      </c>
      <c r="CK1450">
        <v>32772</v>
      </c>
      <c r="CL1450">
        <v>2017</v>
      </c>
      <c r="CM1450">
        <v>496.13</v>
      </c>
      <c r="CN1450" s="1">
        <v>40219</v>
      </c>
      <c r="CZ1450" s="1">
        <v>40219</v>
      </c>
      <c r="DD1450" t="s">
        <v>2387</v>
      </c>
      <c r="DG1450">
        <v>51</v>
      </c>
      <c r="DL1450">
        <v>50302</v>
      </c>
      <c r="DM1450" t="s">
        <v>14357</v>
      </c>
      <c r="DO1450" t="s">
        <v>14715</v>
      </c>
      <c r="DP1450">
        <v>0</v>
      </c>
      <c r="DQ1450">
        <v>0</v>
      </c>
      <c r="DR1450" t="s">
        <v>411</v>
      </c>
      <c r="DS1450" t="b">
        <v>1</v>
      </c>
      <c r="DT1450" t="s">
        <v>470</v>
      </c>
      <c r="DU1450" t="s">
        <v>471</v>
      </c>
      <c r="DV1450" t="s">
        <v>472</v>
      </c>
      <c r="DX1450">
        <v>-9999</v>
      </c>
      <c r="DZ1450" t="s">
        <v>447</v>
      </c>
      <c r="EA1450" t="s">
        <v>448</v>
      </c>
      <c r="EB1450" t="s">
        <v>742</v>
      </c>
      <c r="EC1450">
        <v>20101217</v>
      </c>
      <c r="ED1450" t="s">
        <v>474</v>
      </c>
      <c r="EF1450">
        <v>712.7</v>
      </c>
      <c r="EG1450">
        <v>712.7</v>
      </c>
      <c r="EI1450">
        <v>20160407</v>
      </c>
      <c r="EJ1450">
        <v>0</v>
      </c>
      <c r="EK1450">
        <v>0</v>
      </c>
      <c r="EP1450" t="s">
        <v>421</v>
      </c>
      <c r="EQ1450" t="s">
        <v>422</v>
      </c>
      <c r="ER1450">
        <v>4</v>
      </c>
      <c r="ES1450">
        <v>0</v>
      </c>
      <c r="ET1450">
        <v>2436.04</v>
      </c>
      <c r="EU1450">
        <v>146.80000000000001</v>
      </c>
      <c r="EV1450">
        <v>2582.84</v>
      </c>
      <c r="EW1450" s="2">
        <v>43222</v>
      </c>
      <c r="EX1450" s="1">
        <v>42879</v>
      </c>
      <c r="EY1450">
        <v>2016</v>
      </c>
      <c r="EZ1450">
        <v>604.5</v>
      </c>
      <c r="FA1450" t="s">
        <v>14716</v>
      </c>
      <c r="FB1450">
        <v>0.25</v>
      </c>
      <c r="FC1450" t="s">
        <v>424</v>
      </c>
      <c r="FD1450" t="s">
        <v>454</v>
      </c>
      <c r="FF1450">
        <v>12</v>
      </c>
      <c r="FG1450">
        <v>2851116</v>
      </c>
      <c r="FH1450" t="s">
        <v>480</v>
      </c>
      <c r="FJ1450" s="1">
        <v>42879</v>
      </c>
      <c r="FK1450">
        <v>2016</v>
      </c>
      <c r="FL1450">
        <v>604.5</v>
      </c>
      <c r="FM1450" t="s">
        <v>14716</v>
      </c>
      <c r="FN1450">
        <v>0.25</v>
      </c>
      <c r="FO1450" t="s">
        <v>424</v>
      </c>
      <c r="FP1450" t="s">
        <v>454</v>
      </c>
      <c r="FR1450">
        <v>12</v>
      </c>
      <c r="FS1450">
        <v>4928770</v>
      </c>
      <c r="FT1450" t="s">
        <v>14717</v>
      </c>
      <c r="FV1450" s="1">
        <v>42515</v>
      </c>
      <c r="FW1450">
        <v>2015</v>
      </c>
      <c r="FX1450">
        <v>613.52</v>
      </c>
      <c r="FY1450" t="s">
        <v>14718</v>
      </c>
      <c r="FZ1450">
        <v>0.25</v>
      </c>
      <c r="GA1450" t="s">
        <v>424</v>
      </c>
      <c r="GB1450" t="s">
        <v>454</v>
      </c>
      <c r="GD1450">
        <v>24</v>
      </c>
      <c r="GE1450">
        <v>2851116</v>
      </c>
      <c r="GF1450" t="s">
        <v>480</v>
      </c>
      <c r="GH1450" s="1">
        <v>42515</v>
      </c>
      <c r="GI1450">
        <v>2015</v>
      </c>
      <c r="GJ1450">
        <v>613.52</v>
      </c>
      <c r="GK1450" t="s">
        <v>14718</v>
      </c>
      <c r="GL1450">
        <v>0.25</v>
      </c>
      <c r="GM1450" t="s">
        <v>424</v>
      </c>
      <c r="GN1450" t="s">
        <v>454</v>
      </c>
      <c r="GP1450">
        <v>24</v>
      </c>
      <c r="GQ1450">
        <v>4945922</v>
      </c>
      <c r="GR1450" t="s">
        <v>14719</v>
      </c>
    </row>
    <row r="1451" spans="1:272" x14ac:dyDescent="0.25">
      <c r="A1451">
        <v>16486458</v>
      </c>
      <c r="B1451">
        <v>1450</v>
      </c>
      <c r="C1451" t="s">
        <v>393</v>
      </c>
      <c r="D1451" t="s">
        <v>394</v>
      </c>
      <c r="F1451" t="str">
        <f>"51-3N-27-4881-0130-0000"</f>
        <v>51-3N-27-4881-0130-0000</v>
      </c>
      <c r="H1451" t="str">
        <f>"POTTS HERBERT MICHAEL"</f>
        <v>POTTS HERBERT MICHAEL</v>
      </c>
      <c r="I1451" t="str">
        <f>"86262 YULEE HILLS RD"</f>
        <v>86262 YULEE HILLS RD</v>
      </c>
      <c r="J1451" t="str">
        <f t="shared" si="506"/>
        <v>YULEE FL 32097</v>
      </c>
      <c r="K1451" t="str">
        <f>"86262 YULEE HILLS RD"</f>
        <v>86262 YULEE HILLS RD</v>
      </c>
      <c r="L1451" t="str">
        <f t="shared" si="491"/>
        <v>YULEE FL 32097</v>
      </c>
      <c r="M1451" t="str">
        <f>"TRACT 130 IN OR 732/794 YULEE HILLS PB 4/31"</f>
        <v>TRACT 130 IN OR 732/794 YULEE HILLS PB 4/31</v>
      </c>
      <c r="N1451" t="str">
        <f>""</f>
        <v/>
      </c>
      <c r="O1451" t="str">
        <f>"55638"</f>
        <v>55638</v>
      </c>
      <c r="P1451" t="str">
        <f t="shared" si="494"/>
        <v>2017</v>
      </c>
      <c r="Q1451" t="str">
        <f>""</f>
        <v/>
      </c>
      <c r="R1451" t="str">
        <f>"N"</f>
        <v>N</v>
      </c>
      <c r="S1451" t="str">
        <f>""</f>
        <v/>
      </c>
      <c r="T1451" t="str">
        <f>"492.02"</f>
        <v>492.02</v>
      </c>
      <c r="U1451" t="str">
        <f>"32500.00"</f>
        <v>32500.00</v>
      </c>
      <c r="V1451" t="str">
        <f>"32500.00"</f>
        <v>32500.00</v>
      </c>
      <c r="W1451" t="str">
        <f t="shared" si="495"/>
        <v>2017</v>
      </c>
      <c r="X1451" t="str">
        <f>"17.00"</f>
        <v>17.00</v>
      </c>
      <c r="Y1451" t="str">
        <f>"538.78"</f>
        <v>538.78</v>
      </c>
      <c r="Z1451" t="str">
        <f>""</f>
        <v/>
      </c>
      <c r="AA1451" t="str">
        <f>"32500.00"</f>
        <v>32500.00</v>
      </c>
      <c r="AB1451" t="str">
        <f t="shared" si="501"/>
        <v>Residential</v>
      </c>
      <c r="AC1451" t="str">
        <f t="shared" si="499"/>
        <v>0</v>
      </c>
      <c r="AD1451" t="str">
        <f>""</f>
        <v/>
      </c>
      <c r="AE1451" t="str">
        <f>""</f>
        <v/>
      </c>
      <c r="AF1451" t="str">
        <f>"000"</f>
        <v>000</v>
      </c>
      <c r="AG1451" t="str">
        <f t="shared" si="507"/>
        <v>FL</v>
      </c>
      <c r="AH1451" t="str">
        <f>"43650.00"</f>
        <v>43650.00</v>
      </c>
      <c r="AI1451" t="str">
        <f t="shared" si="505"/>
        <v>25000.00</v>
      </c>
      <c r="AJ1451" t="str">
        <f>"C55-000-588-7696-2"</f>
        <v>C55-000-588-7696-2</v>
      </c>
      <c r="AK1451" t="str">
        <f>"24564"</f>
        <v>24564</v>
      </c>
      <c r="AL1451">
        <v>6</v>
      </c>
      <c r="AM1451">
        <v>1660</v>
      </c>
      <c r="AN1451">
        <v>564.12</v>
      </c>
      <c r="AQ1451" t="s">
        <v>14720</v>
      </c>
      <c r="AR1451" t="s">
        <v>14720</v>
      </c>
      <c r="AS1451" t="s">
        <v>14720</v>
      </c>
      <c r="AU1451" t="s">
        <v>396</v>
      </c>
      <c r="AV1451">
        <v>2017</v>
      </c>
      <c r="AW1451" t="str">
        <f>"51-3N-27-4881-0130-0000 "</f>
        <v xml:space="preserve">51-3N-27-4881-0130-0000 </v>
      </c>
      <c r="AX1451">
        <v>86262</v>
      </c>
      <c r="AZ1451" t="s">
        <v>14647</v>
      </c>
      <c r="BA1451" t="s">
        <v>496</v>
      </c>
      <c r="BD1451" t="s">
        <v>2387</v>
      </c>
      <c r="BE1451" t="s">
        <v>393</v>
      </c>
      <c r="BF1451">
        <v>32097</v>
      </c>
      <c r="BG1451" t="s">
        <v>14721</v>
      </c>
      <c r="BH1451" t="s">
        <v>2388</v>
      </c>
      <c r="BI1451">
        <v>-81.574208126652394</v>
      </c>
      <c r="BJ1451">
        <v>30.651158423053701</v>
      </c>
      <c r="BK1451" t="s">
        <v>14722</v>
      </c>
      <c r="BM1451" t="s">
        <v>14721</v>
      </c>
      <c r="BN1451" t="s">
        <v>1778</v>
      </c>
      <c r="BO1451">
        <v>32097</v>
      </c>
      <c r="BP1451" t="s">
        <v>404</v>
      </c>
      <c r="BQ1451">
        <v>1</v>
      </c>
      <c r="BR1451" t="s">
        <v>491</v>
      </c>
      <c r="BS1451">
        <v>8001</v>
      </c>
      <c r="BT1451" t="s">
        <v>492</v>
      </c>
      <c r="BW1451">
        <v>43650</v>
      </c>
      <c r="BX1451" t="s">
        <v>407</v>
      </c>
      <c r="BY1451" t="s">
        <v>4360</v>
      </c>
      <c r="CD1451">
        <v>2017</v>
      </c>
      <c r="CE1451">
        <v>25000</v>
      </c>
      <c r="CF1451">
        <v>7500</v>
      </c>
      <c r="CG1451">
        <v>32500</v>
      </c>
      <c r="CH1451">
        <v>2017</v>
      </c>
      <c r="CI1451">
        <v>25000</v>
      </c>
      <c r="CJ1451">
        <v>7500</v>
      </c>
      <c r="CK1451">
        <v>32500</v>
      </c>
      <c r="CL1451">
        <v>2017</v>
      </c>
      <c r="CM1451">
        <v>492.02</v>
      </c>
      <c r="CN1451" s="1">
        <v>34876</v>
      </c>
      <c r="CZ1451" s="1">
        <v>34876</v>
      </c>
      <c r="DD1451" t="s">
        <v>2387</v>
      </c>
      <c r="DG1451">
        <v>51</v>
      </c>
      <c r="DJ1451" t="s">
        <v>14647</v>
      </c>
      <c r="DL1451">
        <v>50302</v>
      </c>
      <c r="DM1451" t="s">
        <v>14357</v>
      </c>
      <c r="DO1451" t="s">
        <v>14723</v>
      </c>
      <c r="DP1451">
        <v>0</v>
      </c>
      <c r="DQ1451">
        <v>0</v>
      </c>
      <c r="DR1451" t="s">
        <v>411</v>
      </c>
      <c r="DS1451" t="b">
        <v>1</v>
      </c>
      <c r="DT1451" t="s">
        <v>470</v>
      </c>
      <c r="DU1451" t="s">
        <v>471</v>
      </c>
      <c r="DV1451" t="s">
        <v>472</v>
      </c>
      <c r="DX1451">
        <v>-9999</v>
      </c>
      <c r="DZ1451" t="s">
        <v>447</v>
      </c>
      <c r="EA1451" t="s">
        <v>448</v>
      </c>
      <c r="EB1451" t="s">
        <v>742</v>
      </c>
      <c r="EC1451">
        <v>20101217</v>
      </c>
      <c r="ED1451" t="s">
        <v>474</v>
      </c>
      <c r="EF1451">
        <v>4239.6000000000004</v>
      </c>
      <c r="EG1451">
        <v>4216.1000000000004</v>
      </c>
      <c r="EH1451" t="s">
        <v>451</v>
      </c>
      <c r="EI1451">
        <v>20140731</v>
      </c>
      <c r="EJ1451">
        <v>0</v>
      </c>
      <c r="EK1451">
        <v>0</v>
      </c>
      <c r="EP1451" t="s">
        <v>421</v>
      </c>
      <c r="EQ1451" t="s">
        <v>452</v>
      </c>
      <c r="ER1451">
        <v>1</v>
      </c>
      <c r="ES1451">
        <v>6</v>
      </c>
      <c r="ET1451">
        <v>525.07000000000005</v>
      </c>
      <c r="EU1451">
        <v>35.130000000000003</v>
      </c>
      <c r="EV1451">
        <v>560.20000000000005</v>
      </c>
      <c r="EW1451" s="2">
        <v>43222</v>
      </c>
      <c r="EX1451" s="1">
        <v>42879</v>
      </c>
      <c r="EY1451">
        <v>2016</v>
      </c>
      <c r="EZ1451">
        <v>525.07000000000005</v>
      </c>
      <c r="FA1451" t="s">
        <v>14724</v>
      </c>
      <c r="FB1451">
        <v>5.5</v>
      </c>
      <c r="FC1451" t="s">
        <v>424</v>
      </c>
      <c r="FD1451" t="s">
        <v>454</v>
      </c>
      <c r="FF1451">
        <v>12</v>
      </c>
      <c r="FG1451">
        <v>10125</v>
      </c>
      <c r="FH1451" t="s">
        <v>440</v>
      </c>
      <c r="FJ1451" s="1">
        <v>42151</v>
      </c>
      <c r="FK1451">
        <v>2014</v>
      </c>
      <c r="FL1451">
        <v>534.74</v>
      </c>
      <c r="FM1451" t="s">
        <v>14725</v>
      </c>
      <c r="FN1451">
        <v>4.25</v>
      </c>
      <c r="FO1451" t="s">
        <v>424</v>
      </c>
      <c r="FP1451" t="s">
        <v>425</v>
      </c>
      <c r="FQ1451" s="1">
        <v>42167</v>
      </c>
      <c r="FR1451">
        <v>1</v>
      </c>
      <c r="FS1451">
        <v>1129</v>
      </c>
      <c r="FT1451" t="s">
        <v>14726</v>
      </c>
      <c r="FU1451" t="s">
        <v>458</v>
      </c>
      <c r="FV1451" s="1">
        <v>41787</v>
      </c>
      <c r="FW1451">
        <v>2013</v>
      </c>
      <c r="FX1451">
        <v>507.32</v>
      </c>
      <c r="FY1451" t="s">
        <v>14727</v>
      </c>
      <c r="FZ1451">
        <v>3</v>
      </c>
      <c r="GA1451" t="s">
        <v>424</v>
      </c>
      <c r="GB1451" t="s">
        <v>425</v>
      </c>
      <c r="GC1451" s="1">
        <v>42167</v>
      </c>
      <c r="GD1451">
        <v>13</v>
      </c>
      <c r="GE1451">
        <v>10125</v>
      </c>
      <c r="GF1451" t="s">
        <v>440</v>
      </c>
      <c r="GG1451" t="s">
        <v>458</v>
      </c>
      <c r="GH1451" s="1">
        <v>41423</v>
      </c>
      <c r="GI1451">
        <v>2012</v>
      </c>
      <c r="GJ1451">
        <v>595.29999999999995</v>
      </c>
      <c r="GK1451" t="s">
        <v>14728</v>
      </c>
      <c r="GL1451">
        <v>2.75</v>
      </c>
      <c r="GM1451" t="s">
        <v>424</v>
      </c>
      <c r="GN1451" t="s">
        <v>425</v>
      </c>
      <c r="GP1451">
        <v>22</v>
      </c>
      <c r="GQ1451">
        <v>1625515</v>
      </c>
      <c r="GR1451" t="s">
        <v>487</v>
      </c>
      <c r="GS1451" t="s">
        <v>458</v>
      </c>
      <c r="GT1451" s="1">
        <v>41052</v>
      </c>
      <c r="GU1451">
        <v>2011</v>
      </c>
      <c r="GV1451">
        <v>597.34</v>
      </c>
      <c r="GW1451" t="s">
        <v>14729</v>
      </c>
      <c r="GX1451">
        <v>6</v>
      </c>
      <c r="GY1451" t="s">
        <v>424</v>
      </c>
      <c r="GZ1451" t="s">
        <v>425</v>
      </c>
      <c r="HA1451" s="1">
        <v>41764</v>
      </c>
      <c r="HB1451">
        <v>24</v>
      </c>
      <c r="HC1451">
        <v>375</v>
      </c>
      <c r="HD1451" t="s">
        <v>776</v>
      </c>
      <c r="HF1451" s="1">
        <v>41052</v>
      </c>
      <c r="HG1451">
        <v>2011</v>
      </c>
      <c r="HH1451">
        <v>597.34</v>
      </c>
      <c r="HI1451" t="s">
        <v>14729</v>
      </c>
      <c r="HJ1451">
        <v>6</v>
      </c>
      <c r="HK1451" t="s">
        <v>424</v>
      </c>
      <c r="HL1451" t="s">
        <v>425</v>
      </c>
      <c r="HN1451">
        <v>22</v>
      </c>
      <c r="HO1451">
        <v>105</v>
      </c>
      <c r="HP1451" t="s">
        <v>946</v>
      </c>
      <c r="HR1451" s="1">
        <v>40688</v>
      </c>
      <c r="HS1451">
        <v>2010</v>
      </c>
      <c r="HT1451">
        <v>618.87</v>
      </c>
      <c r="HU1451" t="s">
        <v>14730</v>
      </c>
      <c r="HV1451">
        <v>6</v>
      </c>
      <c r="HW1451" t="s">
        <v>424</v>
      </c>
      <c r="HX1451" t="s">
        <v>425</v>
      </c>
      <c r="HY1451" s="1">
        <v>41453</v>
      </c>
      <c r="HZ1451">
        <v>25</v>
      </c>
      <c r="IA1451">
        <v>105</v>
      </c>
      <c r="IB1451" t="s">
        <v>946</v>
      </c>
    </row>
    <row r="1452" spans="1:272" x14ac:dyDescent="0.25">
      <c r="A1452">
        <v>16486459</v>
      </c>
      <c r="B1452">
        <v>1451</v>
      </c>
      <c r="C1452" t="s">
        <v>393</v>
      </c>
      <c r="D1452" t="s">
        <v>394</v>
      </c>
      <c r="F1452" t="str">
        <f>"51-3N-27-4881-0152-0000"</f>
        <v>51-3N-27-4881-0152-0000</v>
      </c>
      <c r="H1452" t="str">
        <f>"HALE DENNIS MICHAEL"</f>
        <v>HALE DENNIS MICHAEL</v>
      </c>
      <c r="I1452" t="str">
        <f>"86419 TIMBER RIDGE RD"</f>
        <v>86419 TIMBER RIDGE RD</v>
      </c>
      <c r="J1452" t="str">
        <f t="shared" si="506"/>
        <v>YULEE FL 32097</v>
      </c>
      <c r="K1452" t="str">
        <f>"86419 TIMBER RIDGE ST"</f>
        <v>86419 TIMBER RIDGE ST</v>
      </c>
      <c r="L1452" t="str">
        <f t="shared" si="491"/>
        <v>YULEE FL 32097</v>
      </c>
      <c r="M1452" t="str">
        <f>"PT TRACT A IN OR 501/739 YULEE HILLS PBK 4/31 {A/K/A UNR TRACT 152 OF TRACT A}"</f>
        <v>PT TRACT A IN OR 501/739 YULEE HILLS PBK 4/31 {A/K/A UNR TRACT 152 OF TRACT A}</v>
      </c>
      <c r="N1452" t="str">
        <f>""</f>
        <v/>
      </c>
      <c r="O1452" t="str">
        <f>"55659"</f>
        <v>55659</v>
      </c>
      <c r="P1452" t="str">
        <f t="shared" si="494"/>
        <v>2017</v>
      </c>
      <c r="Q1452" t="str">
        <f>""</f>
        <v/>
      </c>
      <c r="R1452" t="str">
        <f>"Y"</f>
        <v>Y</v>
      </c>
      <c r="S1452" t="str">
        <f>""</f>
        <v/>
      </c>
      <c r="T1452" t="str">
        <f>"286.60"</f>
        <v>286.60</v>
      </c>
      <c r="U1452" t="str">
        <f>"43931.00"</f>
        <v>43931.00</v>
      </c>
      <c r="V1452" t="str">
        <f>"43931.00"</f>
        <v>43931.00</v>
      </c>
      <c r="W1452" t="str">
        <f t="shared" si="495"/>
        <v>2017</v>
      </c>
      <c r="X1452" t="str">
        <f>"15.89"</f>
        <v>15.89</v>
      </c>
      <c r="Y1452" t="str">
        <f>"327.20"</f>
        <v>327.20</v>
      </c>
      <c r="Z1452" t="str">
        <f>"25000.00"</f>
        <v>25000.00</v>
      </c>
      <c r="AA1452" t="str">
        <f>"18931.00"</f>
        <v>18931.00</v>
      </c>
      <c r="AB1452" t="str">
        <f t="shared" si="501"/>
        <v>Residential</v>
      </c>
      <c r="AC1452" t="str">
        <f t="shared" si="499"/>
        <v>0</v>
      </c>
      <c r="AD1452" t="str">
        <f>"4"</f>
        <v>4</v>
      </c>
      <c r="AE1452" t="str">
        <f>"WOOD (INCLUDE STEEL STUDS)"</f>
        <v>WOOD (INCLUDE STEEL STUDS)</v>
      </c>
      <c r="AF1452" t="str">
        <f>"002"</f>
        <v>002</v>
      </c>
      <c r="AG1452" t="str">
        <f t="shared" si="507"/>
        <v>FL</v>
      </c>
      <c r="AH1452" t="str">
        <f>"313500.00"</f>
        <v>313500.00</v>
      </c>
      <c r="AI1452" t="str">
        <f>"31250.00"</f>
        <v>31250.00</v>
      </c>
      <c r="AJ1452" t="str">
        <f>"C55-000-588-7717-6"</f>
        <v>C55-000-588-7717-6</v>
      </c>
      <c r="AK1452" t="str">
        <f>"24585"</f>
        <v>24585</v>
      </c>
      <c r="AL1452">
        <v>6</v>
      </c>
      <c r="AM1452">
        <v>1662</v>
      </c>
      <c r="AN1452">
        <v>341.96</v>
      </c>
      <c r="AQ1452" t="s">
        <v>14731</v>
      </c>
      <c r="AR1452" t="s">
        <v>14731</v>
      </c>
      <c r="AS1452" t="s">
        <v>14731</v>
      </c>
      <c r="AU1452" t="s">
        <v>396</v>
      </c>
      <c r="AV1452">
        <v>2017</v>
      </c>
      <c r="AW1452" t="str">
        <f>"51-3N-27-4881-0152-0000 "</f>
        <v xml:space="preserve">51-3N-27-4881-0152-0000 </v>
      </c>
      <c r="AX1452">
        <v>86419</v>
      </c>
      <c r="AZ1452" t="s">
        <v>14712</v>
      </c>
      <c r="BA1452" t="s">
        <v>1942</v>
      </c>
      <c r="BD1452" t="s">
        <v>2387</v>
      </c>
      <c r="BE1452" t="s">
        <v>393</v>
      </c>
      <c r="BF1452">
        <v>32097</v>
      </c>
      <c r="BG1452" t="s">
        <v>14732</v>
      </c>
      <c r="BH1452" t="s">
        <v>2388</v>
      </c>
      <c r="BI1452">
        <v>-81.583828626019297</v>
      </c>
      <c r="BJ1452">
        <v>30.650133363064501</v>
      </c>
      <c r="BK1452" t="s">
        <v>14733</v>
      </c>
      <c r="BM1452" t="s">
        <v>14732</v>
      </c>
      <c r="BN1452" t="s">
        <v>1778</v>
      </c>
      <c r="BO1452">
        <v>32097</v>
      </c>
      <c r="BP1452" t="s">
        <v>416</v>
      </c>
      <c r="BQ1452">
        <v>200</v>
      </c>
      <c r="BR1452" t="s">
        <v>405</v>
      </c>
      <c r="BS1452">
        <v>1006</v>
      </c>
      <c r="BT1452" t="s">
        <v>406</v>
      </c>
      <c r="BW1452">
        <v>293042</v>
      </c>
      <c r="BX1452" t="s">
        <v>407</v>
      </c>
      <c r="BY1452" t="s">
        <v>4360</v>
      </c>
      <c r="BZ1452">
        <v>4</v>
      </c>
      <c r="CA1452">
        <v>1981</v>
      </c>
      <c r="CB1452">
        <v>1</v>
      </c>
      <c r="CC1452">
        <v>1</v>
      </c>
      <c r="CD1452">
        <v>2017</v>
      </c>
      <c r="CG1452">
        <v>43931</v>
      </c>
      <c r="CH1452">
        <v>2017</v>
      </c>
      <c r="CI1452">
        <v>31250</v>
      </c>
      <c r="CJ1452">
        <v>16099</v>
      </c>
      <c r="CK1452">
        <v>47349</v>
      </c>
      <c r="CL1452">
        <v>2017</v>
      </c>
      <c r="CM1452">
        <v>286.60000000000002</v>
      </c>
      <c r="CN1452" s="1">
        <v>31686</v>
      </c>
      <c r="CO1452">
        <v>8500</v>
      </c>
      <c r="CZ1452" s="1">
        <v>31686</v>
      </c>
      <c r="DD1452" t="s">
        <v>2387</v>
      </c>
      <c r="DG1452">
        <v>51</v>
      </c>
      <c r="DJ1452" t="s">
        <v>14647</v>
      </c>
      <c r="DL1452">
        <v>50302</v>
      </c>
      <c r="DM1452" t="s">
        <v>14357</v>
      </c>
      <c r="DO1452" t="s">
        <v>14734</v>
      </c>
      <c r="DP1452">
        <v>0</v>
      </c>
      <c r="DQ1452">
        <v>0</v>
      </c>
      <c r="DR1452" t="s">
        <v>411</v>
      </c>
      <c r="DS1452" t="b">
        <v>1</v>
      </c>
      <c r="DT1452" t="s">
        <v>396</v>
      </c>
      <c r="DV1452" t="s">
        <v>446</v>
      </c>
      <c r="DX1452">
        <v>-9999</v>
      </c>
      <c r="DZ1452" t="s">
        <v>447</v>
      </c>
      <c r="EA1452" t="s">
        <v>448</v>
      </c>
      <c r="EB1452" t="s">
        <v>14735</v>
      </c>
      <c r="EC1452">
        <v>20101217</v>
      </c>
      <c r="ED1452" t="s">
        <v>450</v>
      </c>
      <c r="EE1452">
        <v>5</v>
      </c>
      <c r="EF1452">
        <v>0</v>
      </c>
      <c r="EG1452">
        <v>0</v>
      </c>
      <c r="EI1452">
        <v>20160407</v>
      </c>
      <c r="EJ1452">
        <v>0</v>
      </c>
      <c r="EK1452">
        <v>0</v>
      </c>
      <c r="EP1452" t="s">
        <v>421</v>
      </c>
      <c r="EQ1452" t="s">
        <v>422</v>
      </c>
      <c r="ER1452">
        <v>2</v>
      </c>
      <c r="ES1452">
        <v>4</v>
      </c>
      <c r="ET1452">
        <v>653.14</v>
      </c>
      <c r="EU1452">
        <v>45.16</v>
      </c>
      <c r="EV1452">
        <v>698.3</v>
      </c>
      <c r="EW1452" s="2">
        <v>43222</v>
      </c>
      <c r="EX1452" s="1">
        <v>42879</v>
      </c>
      <c r="EY1452">
        <v>2016</v>
      </c>
      <c r="EZ1452">
        <v>326.57</v>
      </c>
      <c r="FA1452" t="s">
        <v>14736</v>
      </c>
      <c r="FB1452">
        <v>0.25</v>
      </c>
      <c r="FC1452" t="s">
        <v>424</v>
      </c>
      <c r="FD1452" t="s">
        <v>454</v>
      </c>
      <c r="FF1452">
        <v>12</v>
      </c>
      <c r="FG1452">
        <v>2851116</v>
      </c>
      <c r="FH1452" t="s">
        <v>480</v>
      </c>
      <c r="FJ1452" s="1">
        <v>42879</v>
      </c>
      <c r="FK1452">
        <v>2016</v>
      </c>
      <c r="FL1452">
        <v>326.57</v>
      </c>
      <c r="FM1452" t="s">
        <v>14736</v>
      </c>
      <c r="FN1452">
        <v>0.25</v>
      </c>
      <c r="FO1452" t="s">
        <v>424</v>
      </c>
      <c r="FP1452" t="s">
        <v>454</v>
      </c>
      <c r="FR1452">
        <v>12</v>
      </c>
      <c r="FS1452">
        <v>5689537</v>
      </c>
      <c r="FT1452" t="s">
        <v>14737</v>
      </c>
      <c r="FV1452" s="1">
        <v>42151</v>
      </c>
      <c r="FW1452">
        <v>2014</v>
      </c>
      <c r="FX1452">
        <v>319.83</v>
      </c>
      <c r="FY1452" t="s">
        <v>14738</v>
      </c>
      <c r="FZ1452">
        <v>0.25</v>
      </c>
      <c r="GA1452" t="s">
        <v>424</v>
      </c>
      <c r="GB1452" t="s">
        <v>425</v>
      </c>
      <c r="GC1452" s="1">
        <v>42510</v>
      </c>
      <c r="GD1452">
        <v>12</v>
      </c>
      <c r="GE1452">
        <v>2851116</v>
      </c>
      <c r="GF1452" t="s">
        <v>480</v>
      </c>
      <c r="GH1452" s="1">
        <v>42151</v>
      </c>
      <c r="GI1452">
        <v>2014</v>
      </c>
      <c r="GJ1452">
        <v>319.83</v>
      </c>
      <c r="GK1452" t="s">
        <v>14738</v>
      </c>
      <c r="GL1452">
        <v>0.25</v>
      </c>
      <c r="GM1452" t="s">
        <v>424</v>
      </c>
      <c r="GN1452" t="s">
        <v>425</v>
      </c>
      <c r="GP1452">
        <v>22</v>
      </c>
      <c r="GQ1452">
        <v>5054511</v>
      </c>
      <c r="GR1452" t="s">
        <v>14739</v>
      </c>
      <c r="GT1452" s="1">
        <v>41787</v>
      </c>
      <c r="GU1452">
        <v>2013</v>
      </c>
      <c r="GV1452">
        <v>388.46</v>
      </c>
      <c r="GW1452" t="s">
        <v>14740</v>
      </c>
      <c r="GX1452">
        <v>0.25</v>
      </c>
      <c r="GY1452" t="s">
        <v>424</v>
      </c>
      <c r="GZ1452" t="s">
        <v>425</v>
      </c>
      <c r="HA1452" s="1">
        <v>42402</v>
      </c>
      <c r="HB1452">
        <v>21</v>
      </c>
      <c r="HC1452">
        <v>13026</v>
      </c>
      <c r="HD1452" t="s">
        <v>2129</v>
      </c>
      <c r="HF1452" s="1">
        <v>41423</v>
      </c>
      <c r="HG1452">
        <v>2012</v>
      </c>
      <c r="HH1452">
        <v>397.72</v>
      </c>
      <c r="HI1452" t="s">
        <v>14741</v>
      </c>
      <c r="HJ1452">
        <v>0.25</v>
      </c>
      <c r="HK1452" t="s">
        <v>424</v>
      </c>
      <c r="HL1452" t="s">
        <v>425</v>
      </c>
      <c r="HM1452" s="1">
        <v>41498</v>
      </c>
      <c r="HN1452">
        <v>3</v>
      </c>
      <c r="HO1452">
        <v>15399</v>
      </c>
      <c r="HP1452" t="s">
        <v>485</v>
      </c>
    </row>
    <row r="1453" spans="1:272" x14ac:dyDescent="0.25">
      <c r="A1453">
        <v>16486460</v>
      </c>
      <c r="B1453">
        <v>1452</v>
      </c>
      <c r="C1453" t="s">
        <v>393</v>
      </c>
      <c r="D1453" t="s">
        <v>394</v>
      </c>
      <c r="F1453" t="str">
        <f>"51-3N-27-4881-0179-0000"</f>
        <v>51-3N-27-4881-0179-0000</v>
      </c>
      <c r="H1453" t="str">
        <f>"RUSS LISA VALERIE &amp; KINDT CHARLES &amp; DALE S (T/I/C)"</f>
        <v>RUSS LISA VALERIE &amp; KINDT CHARLES &amp; DALE S (T/I/C)</v>
      </c>
      <c r="I1453" t="str">
        <f>"85057 MINER RD"</f>
        <v>85057 MINER RD</v>
      </c>
      <c r="J1453" t="str">
        <f t="shared" si="506"/>
        <v>YULEE FL 32097</v>
      </c>
      <c r="K1453" t="str">
        <f>"897 YULEE HILLS RD"</f>
        <v>897 YULEE HILLS RD</v>
      </c>
      <c r="L1453" t="str">
        <f t="shared" si="491"/>
        <v>YULEE FL 32097</v>
      </c>
      <c r="M1453" t="str">
        <f>"PT TRACT A PT OR 966/500 YULEE HILLS PBK 4/31 {A/K/A UNR TRACT 179 OF TRACT A}"</f>
        <v>PT TRACT A PT OR 966/500 YULEE HILLS PBK 4/31 {A/K/A UNR TRACT 179 OF TRACT A}</v>
      </c>
      <c r="N1453" t="str">
        <f>""</f>
        <v/>
      </c>
      <c r="O1453" t="str">
        <f>"55684"</f>
        <v>55684</v>
      </c>
      <c r="P1453" t="str">
        <f t="shared" si="494"/>
        <v>2017</v>
      </c>
      <c r="Q1453" t="str">
        <f>""</f>
        <v/>
      </c>
      <c r="R1453" t="str">
        <f>"N"</f>
        <v>N</v>
      </c>
      <c r="S1453" t="str">
        <f>""</f>
        <v/>
      </c>
      <c r="T1453" t="str">
        <f>"473.09"</f>
        <v>473.09</v>
      </c>
      <c r="U1453" t="str">
        <f>"31250.00"</f>
        <v>31250.00</v>
      </c>
      <c r="V1453" t="str">
        <f>"31250.00"</f>
        <v>31250.00</v>
      </c>
      <c r="W1453" t="str">
        <f t="shared" si="495"/>
        <v>2017</v>
      </c>
      <c r="X1453" t="str">
        <f>"17.30"</f>
        <v>17.30</v>
      </c>
      <c r="Y1453" t="str">
        <f>"519.28"</f>
        <v>519.28</v>
      </c>
      <c r="Z1453" t="str">
        <f>""</f>
        <v/>
      </c>
      <c r="AA1453" t="str">
        <f>"31250.00"</f>
        <v>31250.00</v>
      </c>
      <c r="AB1453" t="str">
        <f t="shared" si="501"/>
        <v>Residential</v>
      </c>
      <c r="AC1453" t="str">
        <f t="shared" si="499"/>
        <v>0</v>
      </c>
      <c r="AD1453" t="str">
        <f>""</f>
        <v/>
      </c>
      <c r="AE1453" t="str">
        <f>""</f>
        <v/>
      </c>
      <c r="AF1453" t="str">
        <f>"000"</f>
        <v>000</v>
      </c>
      <c r="AG1453" t="str">
        <f t="shared" si="507"/>
        <v>FL</v>
      </c>
      <c r="AH1453" t="str">
        <f>"240000.00"</f>
        <v>240000.00</v>
      </c>
      <c r="AI1453" t="str">
        <f>"31250.00"</f>
        <v>31250.00</v>
      </c>
      <c r="AJ1453" t="str">
        <f>"C55-000-588-7742-4"</f>
        <v>C55-000-588-7742-4</v>
      </c>
      <c r="AK1453" t="str">
        <f>"24610"</f>
        <v>24610</v>
      </c>
      <c r="AL1453">
        <v>6</v>
      </c>
      <c r="AM1453">
        <v>1664</v>
      </c>
      <c r="AN1453">
        <v>543.64</v>
      </c>
      <c r="AQ1453" t="s">
        <v>14742</v>
      </c>
      <c r="AR1453" t="s">
        <v>14742</v>
      </c>
      <c r="AS1453" t="s">
        <v>14742</v>
      </c>
      <c r="AU1453" t="s">
        <v>396</v>
      </c>
      <c r="AV1453">
        <v>2017</v>
      </c>
      <c r="AW1453" t="str">
        <f>"51-3N-27-4881-0179-0000 "</f>
        <v xml:space="preserve">51-3N-27-4881-0179-0000 </v>
      </c>
      <c r="AX1453">
        <v>897</v>
      </c>
      <c r="AZ1453" t="s">
        <v>14647</v>
      </c>
      <c r="BA1453" t="s">
        <v>496</v>
      </c>
      <c r="BD1453" t="s">
        <v>2387</v>
      </c>
      <c r="BE1453" t="s">
        <v>393</v>
      </c>
      <c r="BF1453">
        <v>32097</v>
      </c>
      <c r="BG1453" t="s">
        <v>14743</v>
      </c>
      <c r="BH1453" t="s">
        <v>2388</v>
      </c>
      <c r="BI1453">
        <v>-81.576530197489703</v>
      </c>
      <c r="BJ1453">
        <v>30.644219134149601</v>
      </c>
      <c r="BK1453" t="s">
        <v>14744</v>
      </c>
      <c r="BM1453" t="s">
        <v>14745</v>
      </c>
      <c r="BN1453" t="s">
        <v>1778</v>
      </c>
      <c r="BO1453">
        <v>32097</v>
      </c>
      <c r="BP1453" t="s">
        <v>404</v>
      </c>
      <c r="BQ1453">
        <v>0</v>
      </c>
      <c r="BR1453" t="s">
        <v>491</v>
      </c>
      <c r="BS1453">
        <v>8001</v>
      </c>
      <c r="BT1453" t="s">
        <v>492</v>
      </c>
      <c r="BW1453">
        <v>387094</v>
      </c>
      <c r="BX1453" t="s">
        <v>407</v>
      </c>
      <c r="BY1453" t="s">
        <v>4360</v>
      </c>
      <c r="CD1453">
        <v>2017</v>
      </c>
      <c r="CE1453">
        <v>31250</v>
      </c>
      <c r="CG1453">
        <v>31250</v>
      </c>
      <c r="CH1453">
        <v>2017</v>
      </c>
      <c r="CI1453">
        <v>31250</v>
      </c>
      <c r="CK1453">
        <v>31250</v>
      </c>
      <c r="CL1453">
        <v>2017</v>
      </c>
      <c r="CM1453">
        <v>473.09</v>
      </c>
      <c r="CN1453" s="1">
        <v>36902</v>
      </c>
      <c r="CZ1453" s="1">
        <v>36902</v>
      </c>
      <c r="DD1453" t="s">
        <v>2387</v>
      </c>
      <c r="DG1453">
        <v>51</v>
      </c>
      <c r="DJ1453" t="s">
        <v>14647</v>
      </c>
      <c r="DL1453">
        <v>50302</v>
      </c>
      <c r="DM1453" t="s">
        <v>14357</v>
      </c>
      <c r="DO1453" t="s">
        <v>14746</v>
      </c>
      <c r="DP1453">
        <v>0</v>
      </c>
      <c r="DQ1453">
        <v>0</v>
      </c>
      <c r="DR1453" t="s">
        <v>411</v>
      </c>
      <c r="DS1453" t="b">
        <v>1</v>
      </c>
      <c r="DT1453" t="s">
        <v>396</v>
      </c>
      <c r="DV1453" t="s">
        <v>446</v>
      </c>
      <c r="DX1453">
        <v>-9999</v>
      </c>
      <c r="DZ1453" t="s">
        <v>447</v>
      </c>
      <c r="EA1453" t="s">
        <v>448</v>
      </c>
      <c r="EB1453" t="s">
        <v>14735</v>
      </c>
      <c r="EC1453">
        <v>20101217</v>
      </c>
      <c r="ED1453" t="s">
        <v>450</v>
      </c>
      <c r="EE1453">
        <v>5</v>
      </c>
      <c r="EF1453">
        <v>0</v>
      </c>
      <c r="EG1453">
        <v>0</v>
      </c>
      <c r="EI1453">
        <v>20160407</v>
      </c>
      <c r="EJ1453">
        <v>0</v>
      </c>
      <c r="EK1453">
        <v>0</v>
      </c>
      <c r="EP1453" t="s">
        <v>421</v>
      </c>
      <c r="EQ1453" t="s">
        <v>422</v>
      </c>
      <c r="ER1453">
        <v>1</v>
      </c>
      <c r="ES1453">
        <v>6</v>
      </c>
      <c r="ET1453">
        <v>545.83000000000004</v>
      </c>
      <c r="EU1453">
        <v>41.73</v>
      </c>
      <c r="EV1453">
        <v>587.55999999999995</v>
      </c>
      <c r="EW1453" s="2">
        <v>43222</v>
      </c>
      <c r="EX1453" s="1">
        <v>42879</v>
      </c>
      <c r="EY1453">
        <v>2016</v>
      </c>
      <c r="EZ1453">
        <v>545.83000000000004</v>
      </c>
      <c r="FA1453" t="s">
        <v>14747</v>
      </c>
      <c r="FB1453">
        <v>6.5</v>
      </c>
      <c r="FC1453" t="s">
        <v>424</v>
      </c>
      <c r="FD1453" t="s">
        <v>454</v>
      </c>
      <c r="FF1453">
        <v>12</v>
      </c>
      <c r="FG1453">
        <v>10125</v>
      </c>
      <c r="FH1453" t="s">
        <v>440</v>
      </c>
      <c r="FJ1453" s="1">
        <v>42515</v>
      </c>
      <c r="FK1453">
        <v>2015</v>
      </c>
      <c r="FL1453">
        <v>553.42999999999995</v>
      </c>
      <c r="FM1453" t="s">
        <v>14748</v>
      </c>
      <c r="FN1453">
        <v>12.75</v>
      </c>
      <c r="FO1453" t="s">
        <v>424</v>
      </c>
      <c r="FP1453" t="s">
        <v>425</v>
      </c>
      <c r="FQ1453" s="1">
        <v>43159</v>
      </c>
      <c r="FR1453">
        <v>21</v>
      </c>
      <c r="FS1453">
        <v>10125</v>
      </c>
      <c r="FT1453" t="s">
        <v>440</v>
      </c>
      <c r="FV1453" s="1">
        <v>42151</v>
      </c>
      <c r="FW1453">
        <v>2014</v>
      </c>
      <c r="FX1453">
        <v>556.12</v>
      </c>
      <c r="FY1453" t="s">
        <v>14749</v>
      </c>
      <c r="FZ1453">
        <v>11.75</v>
      </c>
      <c r="GA1453" t="s">
        <v>424</v>
      </c>
      <c r="GB1453" t="s">
        <v>425</v>
      </c>
      <c r="GC1453" s="1">
        <v>42788</v>
      </c>
      <c r="GD1453">
        <v>21</v>
      </c>
      <c r="GE1453">
        <v>10125</v>
      </c>
      <c r="GF1453" t="s">
        <v>440</v>
      </c>
      <c r="GH1453" s="1">
        <v>41787</v>
      </c>
      <c r="GI1453">
        <v>2013</v>
      </c>
      <c r="GJ1453">
        <v>527.54</v>
      </c>
      <c r="GK1453" t="s">
        <v>14750</v>
      </c>
      <c r="GL1453">
        <v>4.75</v>
      </c>
      <c r="GM1453" t="s">
        <v>424</v>
      </c>
      <c r="GN1453" t="s">
        <v>425</v>
      </c>
      <c r="GO1453" s="1">
        <v>42150</v>
      </c>
      <c r="GP1453">
        <v>12</v>
      </c>
      <c r="GQ1453">
        <v>10125</v>
      </c>
      <c r="GR1453" t="s">
        <v>440</v>
      </c>
      <c r="GT1453" s="1">
        <v>41423</v>
      </c>
      <c r="GU1453">
        <v>2012</v>
      </c>
      <c r="GV1453">
        <v>636.22</v>
      </c>
      <c r="GW1453" t="s">
        <v>14751</v>
      </c>
      <c r="GX1453">
        <v>2.75</v>
      </c>
      <c r="GY1453" t="s">
        <v>424</v>
      </c>
      <c r="GZ1453" t="s">
        <v>425</v>
      </c>
      <c r="HA1453" s="1">
        <v>41726</v>
      </c>
      <c r="HB1453">
        <v>10</v>
      </c>
      <c r="HC1453">
        <v>1625515</v>
      </c>
      <c r="HD1453" t="s">
        <v>487</v>
      </c>
      <c r="HF1453" s="1">
        <v>41052</v>
      </c>
      <c r="HG1453">
        <v>2011</v>
      </c>
      <c r="HH1453">
        <v>638.97</v>
      </c>
      <c r="HI1453" t="s">
        <v>14752</v>
      </c>
      <c r="HJ1453">
        <v>5.75</v>
      </c>
      <c r="HK1453" t="s">
        <v>424</v>
      </c>
      <c r="HL1453" t="s">
        <v>425</v>
      </c>
      <c r="HM1453" s="1">
        <v>41388</v>
      </c>
      <c r="HN1453">
        <v>11</v>
      </c>
      <c r="HO1453">
        <v>62</v>
      </c>
      <c r="HP1453" t="s">
        <v>463</v>
      </c>
      <c r="HR1453" s="1">
        <v>40688</v>
      </c>
      <c r="HS1453">
        <v>2010</v>
      </c>
      <c r="HT1453">
        <v>654.69000000000005</v>
      </c>
      <c r="HU1453" t="s">
        <v>14753</v>
      </c>
      <c r="HV1453">
        <v>6</v>
      </c>
      <c r="HW1453" t="s">
        <v>424</v>
      </c>
      <c r="HX1453" t="s">
        <v>425</v>
      </c>
      <c r="HY1453" s="1">
        <v>41333</v>
      </c>
      <c r="HZ1453">
        <v>21</v>
      </c>
      <c r="IA1453">
        <v>105</v>
      </c>
      <c r="IB1453" t="s">
        <v>946</v>
      </c>
    </row>
    <row r="1454" spans="1:272" x14ac:dyDescent="0.25">
      <c r="A1454">
        <v>16486461</v>
      </c>
      <c r="B1454">
        <v>1453</v>
      </c>
      <c r="C1454" t="s">
        <v>393</v>
      </c>
      <c r="D1454" t="s">
        <v>394</v>
      </c>
      <c r="F1454" t="str">
        <f>"52-3N-27-0000-0002-0150"</f>
        <v>52-3N-27-0000-0002-0150</v>
      </c>
      <c r="H1454" t="str">
        <f>"THEOBALD THOMAS A &amp; MONA R"</f>
        <v>THEOBALD THOMAS A &amp; MONA R</v>
      </c>
      <c r="I1454" t="str">
        <f>"96568 CALHOUN RD"</f>
        <v>96568 CALHOUN RD</v>
      </c>
      <c r="J1454" t="str">
        <f>"FERNANDINA BEACH FL 32034"</f>
        <v>FERNANDINA BEACH FL 32034</v>
      </c>
      <c r="K1454" t="str">
        <f>"86016 RUSH RD"</f>
        <v>86016 RUSH RD</v>
      </c>
      <c r="L1454" t="str">
        <f t="shared" si="491"/>
        <v>YULEE FL 32097</v>
      </c>
      <c r="M1454" t="str">
        <f>"IN OR 1408/232 R360206 &amp; R360207"</f>
        <v>IN OR 1408/232 R360206 &amp; R360207</v>
      </c>
      <c r="N1454" t="str">
        <f>""</f>
        <v/>
      </c>
      <c r="O1454" t="str">
        <f>"55714"</f>
        <v>55714</v>
      </c>
      <c r="P1454" t="str">
        <f t="shared" si="494"/>
        <v>2017</v>
      </c>
      <c r="Q1454" t="str">
        <f>""</f>
        <v/>
      </c>
      <c r="R1454" t="str">
        <f>"N"</f>
        <v>N</v>
      </c>
      <c r="S1454" t="str">
        <f>""</f>
        <v/>
      </c>
      <c r="T1454" t="str">
        <f>"1349.01"</f>
        <v>1349.01</v>
      </c>
      <c r="U1454" t="str">
        <f>"88259.00"</f>
        <v>88259.00</v>
      </c>
      <c r="V1454" t="str">
        <f>"88259.00"</f>
        <v>88259.00</v>
      </c>
      <c r="W1454" t="str">
        <f t="shared" si="495"/>
        <v>2017</v>
      </c>
      <c r="X1454" t="str">
        <f>"21.00"</f>
        <v>21.00</v>
      </c>
      <c r="Y1454" t="str">
        <f>"1421.48"</f>
        <v>1421.48</v>
      </c>
      <c r="Z1454" t="str">
        <f>""</f>
        <v/>
      </c>
      <c r="AA1454" t="str">
        <f>"90211.00"</f>
        <v>90211.00</v>
      </c>
      <c r="AB1454" t="str">
        <f t="shared" si="501"/>
        <v>Residential</v>
      </c>
      <c r="AC1454" t="str">
        <f t="shared" si="499"/>
        <v>0</v>
      </c>
      <c r="AD1454" t="str">
        <f>"4"</f>
        <v>4</v>
      </c>
      <c r="AE1454" t="str">
        <f>"WOOD (INCLUDE STEEL STUDS)"</f>
        <v>WOOD (INCLUDE STEEL STUDS)</v>
      </c>
      <c r="AF1454" t="str">
        <f>"002"</f>
        <v>002</v>
      </c>
      <c r="AG1454" t="str">
        <f t="shared" si="507"/>
        <v>FL</v>
      </c>
      <c r="AH1454" t="str">
        <f>"64100.00"</f>
        <v>64100.00</v>
      </c>
      <c r="AI1454" t="str">
        <f>"64260.00"</f>
        <v>64260.00</v>
      </c>
      <c r="AJ1454" t="str">
        <f>"C55-000-588-7768-9"</f>
        <v>C55-000-588-7768-9</v>
      </c>
      <c r="AK1454" t="str">
        <f>"24628"</f>
        <v>24628</v>
      </c>
      <c r="AL1454">
        <v>6</v>
      </c>
      <c r="AM1454">
        <v>1665</v>
      </c>
      <c r="AN1454">
        <v>1490.95</v>
      </c>
      <c r="AQ1454" t="s">
        <v>14754</v>
      </c>
      <c r="AR1454" t="s">
        <v>14754</v>
      </c>
      <c r="AS1454" t="s">
        <v>14754</v>
      </c>
      <c r="AU1454" t="s">
        <v>396</v>
      </c>
      <c r="AV1454">
        <v>2017</v>
      </c>
      <c r="AW1454" t="str">
        <f>"52-3N-27-0000-0002-0150 "</f>
        <v xml:space="preserve">52-3N-27-0000-0002-0150 </v>
      </c>
      <c r="AX1454">
        <v>86016</v>
      </c>
      <c r="AZ1454" t="s">
        <v>14755</v>
      </c>
      <c r="BA1454" t="s">
        <v>496</v>
      </c>
      <c r="BD1454" t="s">
        <v>2387</v>
      </c>
      <c r="BE1454" t="s">
        <v>393</v>
      </c>
      <c r="BF1454">
        <v>32097</v>
      </c>
      <c r="BG1454" t="s">
        <v>14756</v>
      </c>
      <c r="BH1454" t="s">
        <v>2388</v>
      </c>
      <c r="BI1454">
        <v>-81.574903623467094</v>
      </c>
      <c r="BJ1454">
        <v>30.635735124687098</v>
      </c>
      <c r="BK1454" t="s">
        <v>12193</v>
      </c>
      <c r="BL1454" t="s">
        <v>14757</v>
      </c>
      <c r="BM1454" t="s">
        <v>12187</v>
      </c>
      <c r="BN1454" t="s">
        <v>3983</v>
      </c>
      <c r="BO1454">
        <v>32034</v>
      </c>
      <c r="BP1454" t="s">
        <v>404</v>
      </c>
      <c r="BQ1454">
        <v>200</v>
      </c>
      <c r="BR1454" t="s">
        <v>405</v>
      </c>
      <c r="BS1454">
        <v>1006</v>
      </c>
      <c r="BT1454" t="s">
        <v>406</v>
      </c>
      <c r="BU1454">
        <v>1000</v>
      </c>
      <c r="BV1454">
        <v>0</v>
      </c>
      <c r="BW1454">
        <v>61593</v>
      </c>
      <c r="BX1454" t="s">
        <v>407</v>
      </c>
      <c r="BY1454" t="s">
        <v>408</v>
      </c>
      <c r="BZ1454">
        <v>4</v>
      </c>
      <c r="CA1454">
        <v>1973</v>
      </c>
      <c r="CB1454">
        <v>1</v>
      </c>
      <c r="CC1454">
        <v>1</v>
      </c>
      <c r="CD1454">
        <v>2017</v>
      </c>
      <c r="CE1454">
        <v>64260</v>
      </c>
      <c r="CF1454">
        <v>25951</v>
      </c>
      <c r="CG1454">
        <v>90211</v>
      </c>
      <c r="CH1454">
        <v>2017</v>
      </c>
      <c r="CI1454">
        <v>64260</v>
      </c>
      <c r="CJ1454">
        <v>25951</v>
      </c>
      <c r="CK1454">
        <v>90211</v>
      </c>
      <c r="CL1454">
        <v>2017</v>
      </c>
      <c r="CM1454">
        <v>1349.01</v>
      </c>
      <c r="CN1454" s="1">
        <v>38835</v>
      </c>
      <c r="CO1454">
        <v>225000</v>
      </c>
      <c r="CV1454">
        <v>0</v>
      </c>
      <c r="CZ1454" s="1">
        <v>38835</v>
      </c>
      <c r="DA1454">
        <v>0</v>
      </c>
      <c r="DD1454" t="s">
        <v>2387</v>
      </c>
      <c r="DG1454">
        <v>52</v>
      </c>
      <c r="DL1454">
        <v>50302</v>
      </c>
      <c r="DM1454" t="s">
        <v>14758</v>
      </c>
      <c r="DO1454" t="s">
        <v>14759</v>
      </c>
      <c r="DP1454">
        <v>0</v>
      </c>
      <c r="DQ1454">
        <v>0</v>
      </c>
      <c r="DR1454" t="s">
        <v>411</v>
      </c>
      <c r="EP1454" t="s">
        <v>421</v>
      </c>
      <c r="EQ1454" t="s">
        <v>422</v>
      </c>
      <c r="ER1454">
        <v>0</v>
      </c>
      <c r="ES1454">
        <v>2</v>
      </c>
      <c r="ET1454">
        <v>0</v>
      </c>
      <c r="EU1454">
        <v>0</v>
      </c>
      <c r="EV1454">
        <v>0</v>
      </c>
      <c r="EW1454" s="2">
        <v>43222</v>
      </c>
      <c r="EX1454" s="1">
        <v>41052</v>
      </c>
      <c r="EY1454">
        <v>2011</v>
      </c>
      <c r="EZ1454">
        <v>2531.5</v>
      </c>
      <c r="FA1454" t="s">
        <v>14760</v>
      </c>
      <c r="FB1454">
        <v>0.25</v>
      </c>
      <c r="FC1454" t="s">
        <v>424</v>
      </c>
      <c r="FD1454" t="s">
        <v>425</v>
      </c>
      <c r="FE1454" s="1">
        <v>41698</v>
      </c>
      <c r="FF1454">
        <v>21</v>
      </c>
      <c r="FG1454">
        <v>13067</v>
      </c>
      <c r="FH1454" t="s">
        <v>429</v>
      </c>
      <c r="FJ1454" s="1">
        <v>41052</v>
      </c>
      <c r="FK1454">
        <v>2011</v>
      </c>
      <c r="FL1454">
        <v>2531.5</v>
      </c>
      <c r="FM1454" t="s">
        <v>14760</v>
      </c>
      <c r="FN1454">
        <v>0.25</v>
      </c>
      <c r="FO1454" t="s">
        <v>424</v>
      </c>
      <c r="FP1454" t="s">
        <v>425</v>
      </c>
      <c r="FR1454">
        <v>22</v>
      </c>
      <c r="FS1454">
        <v>13444</v>
      </c>
      <c r="FT1454" t="s">
        <v>14761</v>
      </c>
    </row>
    <row r="1455" spans="1:272" x14ac:dyDescent="0.25">
      <c r="A1455">
        <v>16486462</v>
      </c>
      <c r="B1455">
        <v>1454</v>
      </c>
      <c r="C1455" t="s">
        <v>393</v>
      </c>
      <c r="D1455" t="s">
        <v>394</v>
      </c>
      <c r="F1455" t="str">
        <f>"52-3N-27-0000-0002-0330"</f>
        <v>52-3N-27-0000-0002-0330</v>
      </c>
      <c r="H1455" t="str">
        <f>"GREEN HARRY E JR"</f>
        <v>GREEN HARRY E JR</v>
      </c>
      <c r="I1455" t="str">
        <f>"86456 HARRY GREEN RD"</f>
        <v>86456 HARRY GREEN RD</v>
      </c>
      <c r="J1455" t="str">
        <f>"YULEE FL 32097"</f>
        <v>YULEE FL 32097</v>
      </c>
      <c r="K1455" t="str">
        <f>"86100 RON NELSON LN"</f>
        <v>86100 RON NELSON LN</v>
      </c>
      <c r="L1455" t="str">
        <f t="shared" si="491"/>
        <v>YULEE FL 32097</v>
      </c>
      <c r="M1455" t="str">
        <f>"PT OF JOHN VAUGHAN GRANT SEC 52-3N-27E IN OR 960/317 &amp; OR 1943/899"</f>
        <v>PT OF JOHN VAUGHAN GRANT SEC 52-3N-27E IN OR 960/317 &amp; OR 1943/899</v>
      </c>
      <c r="N1455" t="str">
        <f>""</f>
        <v/>
      </c>
      <c r="O1455" t="str">
        <f>"55729"</f>
        <v>55729</v>
      </c>
      <c r="P1455" t="str">
        <f t="shared" si="494"/>
        <v>2017</v>
      </c>
      <c r="Q1455" t="str">
        <f>""</f>
        <v/>
      </c>
      <c r="R1455" t="str">
        <f>"N"</f>
        <v>N</v>
      </c>
      <c r="S1455" t="str">
        <f>"1.23"</f>
        <v>1.23</v>
      </c>
      <c r="T1455" t="str">
        <f>"2510.57"</f>
        <v>2510.57</v>
      </c>
      <c r="U1455" t="str">
        <f>"165837.00"</f>
        <v>165837.00</v>
      </c>
      <c r="V1455" t="str">
        <f>"165837.00"</f>
        <v>165837.00</v>
      </c>
      <c r="W1455" t="str">
        <f t="shared" si="495"/>
        <v>2017</v>
      </c>
      <c r="X1455" t="str">
        <f>""</f>
        <v/>
      </c>
      <c r="Y1455" t="str">
        <f>"2617.89"</f>
        <v>2617.89</v>
      </c>
      <c r="Z1455" t="str">
        <f>""</f>
        <v/>
      </c>
      <c r="AA1455" t="str">
        <f>"165837.00"</f>
        <v>165837.00</v>
      </c>
      <c r="AB1455" t="str">
        <f t="shared" si="501"/>
        <v>Residential</v>
      </c>
      <c r="AC1455" t="str">
        <f t="shared" si="499"/>
        <v>0</v>
      </c>
      <c r="AD1455" t="str">
        <f>"4"</f>
        <v>4</v>
      </c>
      <c r="AE1455" t="str">
        <f>"WOOD (INCLUDE STEEL STUDS)"</f>
        <v>WOOD (INCLUDE STEEL STUDS)</v>
      </c>
      <c r="AF1455" t="str">
        <f>"001"</f>
        <v>001</v>
      </c>
      <c r="AG1455" t="str">
        <f t="shared" si="507"/>
        <v>FL</v>
      </c>
      <c r="AH1455" t="str">
        <f>"53578.00"</f>
        <v>53578.00</v>
      </c>
      <c r="AI1455" t="str">
        <f>"24600.00"</f>
        <v>24600.00</v>
      </c>
      <c r="AJ1455" t="str">
        <f>"C55-000-588-7783-8"</f>
        <v>C55-000-588-7783-8</v>
      </c>
      <c r="AK1455" t="str">
        <f>"24640"</f>
        <v>24640</v>
      </c>
      <c r="AL1455">
        <v>6</v>
      </c>
      <c r="AM1455">
        <v>1666</v>
      </c>
      <c r="AN1455">
        <v>2747.18</v>
      </c>
      <c r="AQ1455" t="s">
        <v>14762</v>
      </c>
      <c r="AR1455" t="s">
        <v>14762</v>
      </c>
      <c r="AS1455" t="s">
        <v>14762</v>
      </c>
      <c r="AU1455" t="s">
        <v>396</v>
      </c>
      <c r="AV1455">
        <v>2017</v>
      </c>
      <c r="AW1455" t="str">
        <f>"52-3N-27-0000-0002-0330 "</f>
        <v xml:space="preserve">52-3N-27-0000-0002-0330 </v>
      </c>
      <c r="AX1455">
        <v>86100</v>
      </c>
      <c r="AZ1455" t="s">
        <v>14763</v>
      </c>
      <c r="BA1455" t="s">
        <v>653</v>
      </c>
      <c r="BD1455" t="s">
        <v>2387</v>
      </c>
      <c r="BE1455" t="s">
        <v>393</v>
      </c>
      <c r="BF1455">
        <v>32097</v>
      </c>
      <c r="BG1455" t="s">
        <v>14764</v>
      </c>
      <c r="BH1455" t="s">
        <v>2388</v>
      </c>
      <c r="BI1455">
        <v>-81.578998260581301</v>
      </c>
      <c r="BJ1455">
        <v>30.637074335121</v>
      </c>
      <c r="BK1455" t="s">
        <v>14765</v>
      </c>
      <c r="BM1455" t="s">
        <v>14766</v>
      </c>
      <c r="BN1455" t="s">
        <v>1778</v>
      </c>
      <c r="BO1455">
        <v>32097</v>
      </c>
      <c r="BP1455" t="s">
        <v>404</v>
      </c>
      <c r="BQ1455">
        <v>100</v>
      </c>
      <c r="BR1455" t="s">
        <v>514</v>
      </c>
      <c r="BS1455">
        <v>1001</v>
      </c>
      <c r="BT1455" t="s">
        <v>515</v>
      </c>
      <c r="BW1455">
        <v>53578</v>
      </c>
      <c r="BX1455" t="s">
        <v>407</v>
      </c>
      <c r="BY1455" t="s">
        <v>408</v>
      </c>
      <c r="BZ1455">
        <v>4</v>
      </c>
      <c r="CA1455">
        <v>1985</v>
      </c>
      <c r="CB1455">
        <v>1</v>
      </c>
      <c r="CC1455">
        <v>1</v>
      </c>
      <c r="CD1455">
        <v>2017</v>
      </c>
      <c r="CE1455">
        <v>24600</v>
      </c>
      <c r="CF1455">
        <v>141237</v>
      </c>
      <c r="CG1455">
        <v>165837</v>
      </c>
      <c r="CH1455">
        <v>2017</v>
      </c>
      <c r="CI1455">
        <v>24600</v>
      </c>
      <c r="CJ1455">
        <v>141237</v>
      </c>
      <c r="CK1455">
        <v>165837</v>
      </c>
      <c r="CL1455">
        <v>2017</v>
      </c>
      <c r="CM1455">
        <v>2510.5700000000002</v>
      </c>
      <c r="CN1455" s="1">
        <v>41934</v>
      </c>
      <c r="CZ1455" s="1">
        <v>41934</v>
      </c>
      <c r="DD1455" t="s">
        <v>2387</v>
      </c>
      <c r="DG1455">
        <v>52</v>
      </c>
      <c r="DL1455">
        <v>50302</v>
      </c>
      <c r="DM1455" t="s">
        <v>14758</v>
      </c>
      <c r="DO1455" t="s">
        <v>14767</v>
      </c>
      <c r="DP1455">
        <v>0</v>
      </c>
      <c r="DQ1455">
        <v>0</v>
      </c>
      <c r="DR1455" t="s">
        <v>411</v>
      </c>
    </row>
    <row r="1456" spans="1:272" x14ac:dyDescent="0.25">
      <c r="A1456">
        <v>16486463</v>
      </c>
      <c r="B1456">
        <v>1455</v>
      </c>
      <c r="C1456" t="s">
        <v>393</v>
      </c>
      <c r="D1456" t="s">
        <v>394</v>
      </c>
      <c r="F1456" t="str">
        <f>"52-3N-27-4890-0018-0000"</f>
        <v>52-3N-27-4890-0018-0000</v>
      </c>
      <c r="H1456" t="str">
        <f>"CRUMP LESLIE LANDRUM"</f>
        <v>CRUMP LESLIE LANDRUM</v>
      </c>
      <c r="I1456" t="str">
        <f>"85125 RADIO AVE"</f>
        <v>85125 RADIO AVE</v>
      </c>
      <c r="J1456" t="str">
        <f>"YULEE FL 32097"</f>
        <v>YULEE FL 32097</v>
      </c>
      <c r="K1456" t="str">
        <f>"86385 HARRY GREEN RD"</f>
        <v>86385 HARRY GREEN RD</v>
      </c>
      <c r="L1456" t="str">
        <f t="shared" si="491"/>
        <v>YULEE FL 32097</v>
      </c>
      <c r="M1456" t="str">
        <f>"LOT 18 (EX 18-1) IN OR 791/1057 RP 1572 &amp; 1573 FLOOD SURVEY UNR SUB"</f>
        <v>LOT 18 (EX 18-1) IN OR 791/1057 RP 1572 &amp; 1573 FLOOD SURVEY UNR SUB</v>
      </c>
      <c r="N1456" t="str">
        <f>""</f>
        <v/>
      </c>
      <c r="O1456" t="str">
        <f>"55776"</f>
        <v>55776</v>
      </c>
      <c r="P1456" t="str">
        <f t="shared" si="494"/>
        <v>2017</v>
      </c>
      <c r="Q1456" t="str">
        <f>""</f>
        <v/>
      </c>
      <c r="R1456" t="str">
        <f>"N"</f>
        <v>N</v>
      </c>
      <c r="S1456" t="str">
        <f>"1.71"</f>
        <v>1.71</v>
      </c>
      <c r="T1456" t="str">
        <f>"702.70"</f>
        <v>702.70</v>
      </c>
      <c r="U1456" t="str">
        <f>"46417.00"</f>
        <v>46417.00</v>
      </c>
      <c r="V1456" t="str">
        <f>"46417.00"</f>
        <v>46417.00</v>
      </c>
      <c r="W1456" t="str">
        <f t="shared" si="495"/>
        <v>2017</v>
      </c>
      <c r="X1456" t="str">
        <f>"16.44"</f>
        <v>16.44</v>
      </c>
      <c r="Y1456" t="str">
        <f>"755.78"</f>
        <v>755.78</v>
      </c>
      <c r="Z1456" t="str">
        <f>""</f>
        <v/>
      </c>
      <c r="AA1456" t="str">
        <f>"46417.00"</f>
        <v>46417.00</v>
      </c>
      <c r="AB1456" t="str">
        <f t="shared" si="501"/>
        <v>Residential</v>
      </c>
      <c r="AC1456" t="str">
        <f t="shared" si="499"/>
        <v>0</v>
      </c>
      <c r="AD1456" t="str">
        <f>"4"</f>
        <v>4</v>
      </c>
      <c r="AE1456" t="str">
        <f>"WOOD (INCLUDE STEEL STUDS)"</f>
        <v>WOOD (INCLUDE STEEL STUDS)</v>
      </c>
      <c r="AF1456" t="str">
        <f>"002"</f>
        <v>002</v>
      </c>
      <c r="AG1456" t="str">
        <f t="shared" si="507"/>
        <v>FL</v>
      </c>
      <c r="AH1456" t="str">
        <f>"74487.00"</f>
        <v>74487.00</v>
      </c>
      <c r="AI1456" t="str">
        <f>"34200.00"</f>
        <v>34200.00</v>
      </c>
      <c r="AJ1456" t="str">
        <f>"C55-000-588-7816-6"</f>
        <v>C55-000-588-7816-6</v>
      </c>
      <c r="AK1456" t="str">
        <f>"24684"</f>
        <v>24684</v>
      </c>
      <c r="AL1456">
        <v>6</v>
      </c>
      <c r="AM1456">
        <v>1671</v>
      </c>
      <c r="AN1456">
        <v>791.97</v>
      </c>
      <c r="AQ1456" t="s">
        <v>14768</v>
      </c>
      <c r="AR1456" t="s">
        <v>14768</v>
      </c>
      <c r="AS1456" t="s">
        <v>14768</v>
      </c>
      <c r="AU1456" t="s">
        <v>396</v>
      </c>
      <c r="AV1456">
        <v>2017</v>
      </c>
      <c r="AW1456" t="str">
        <f>"52-3N-27-4890-0018-0000 "</f>
        <v xml:space="preserve">52-3N-27-4890-0018-0000 </v>
      </c>
      <c r="AX1456">
        <v>86385</v>
      </c>
      <c r="AZ1456" t="s">
        <v>14769</v>
      </c>
      <c r="BA1456" t="s">
        <v>496</v>
      </c>
      <c r="BD1456" t="s">
        <v>2387</v>
      </c>
      <c r="BE1456" t="s">
        <v>393</v>
      </c>
      <c r="BF1456">
        <v>32097</v>
      </c>
      <c r="BG1456" t="s">
        <v>14770</v>
      </c>
      <c r="BH1456" t="s">
        <v>2388</v>
      </c>
      <c r="BI1456">
        <v>-81.581616491663198</v>
      </c>
      <c r="BJ1456">
        <v>30.635853640380201</v>
      </c>
      <c r="BK1456" t="s">
        <v>14771</v>
      </c>
      <c r="BM1456" t="s">
        <v>13034</v>
      </c>
      <c r="BN1456" t="s">
        <v>1778</v>
      </c>
      <c r="BO1456">
        <v>32097</v>
      </c>
      <c r="BP1456" t="s">
        <v>404</v>
      </c>
      <c r="BQ1456">
        <v>200</v>
      </c>
      <c r="BR1456" t="s">
        <v>405</v>
      </c>
      <c r="BS1456">
        <v>1006</v>
      </c>
      <c r="BT1456" t="s">
        <v>406</v>
      </c>
      <c r="BW1456">
        <v>74487</v>
      </c>
      <c r="BX1456" t="s">
        <v>407</v>
      </c>
      <c r="BY1456" t="s">
        <v>12744</v>
      </c>
      <c r="BZ1456">
        <v>4</v>
      </c>
      <c r="CA1456">
        <v>1975</v>
      </c>
      <c r="CB1456">
        <v>1</v>
      </c>
      <c r="CC1456">
        <v>1</v>
      </c>
      <c r="CD1456">
        <v>2017</v>
      </c>
      <c r="CE1456">
        <v>34200</v>
      </c>
      <c r="CF1456">
        <v>12217</v>
      </c>
      <c r="CG1456">
        <v>46417</v>
      </c>
      <c r="CH1456">
        <v>2017</v>
      </c>
      <c r="CI1456">
        <v>34200</v>
      </c>
      <c r="CJ1456">
        <v>12217</v>
      </c>
      <c r="CK1456">
        <v>46417</v>
      </c>
      <c r="CL1456">
        <v>2017</v>
      </c>
      <c r="CM1456">
        <v>702.7</v>
      </c>
      <c r="CN1456" s="1">
        <v>39601</v>
      </c>
      <c r="CZ1456" s="1">
        <v>39601</v>
      </c>
      <c r="DD1456" t="s">
        <v>2387</v>
      </c>
      <c r="DF1456">
        <v>18</v>
      </c>
      <c r="DG1456">
        <v>52</v>
      </c>
      <c r="DL1456">
        <v>50302</v>
      </c>
      <c r="DM1456" t="s">
        <v>14758</v>
      </c>
      <c r="DO1456" t="s">
        <v>14772</v>
      </c>
      <c r="DP1456">
        <v>0</v>
      </c>
      <c r="DQ1456">
        <v>0</v>
      </c>
      <c r="DR1456" t="s">
        <v>411</v>
      </c>
      <c r="DS1456" t="b">
        <v>1</v>
      </c>
      <c r="DT1456" t="s">
        <v>470</v>
      </c>
      <c r="DU1456" t="s">
        <v>471</v>
      </c>
      <c r="DV1456" t="s">
        <v>472</v>
      </c>
      <c r="DX1456">
        <v>-9999</v>
      </c>
      <c r="DZ1456" t="s">
        <v>447</v>
      </c>
      <c r="EA1456" t="s">
        <v>448</v>
      </c>
      <c r="EB1456" t="s">
        <v>742</v>
      </c>
      <c r="EC1456">
        <v>20101217</v>
      </c>
      <c r="ED1456" t="s">
        <v>474</v>
      </c>
      <c r="EF1456">
        <v>1584</v>
      </c>
      <c r="EG1456">
        <v>1584</v>
      </c>
      <c r="EI1456">
        <v>20160407</v>
      </c>
      <c r="EJ1456">
        <v>0</v>
      </c>
      <c r="EK1456">
        <v>0</v>
      </c>
      <c r="EP1456" t="s">
        <v>421</v>
      </c>
      <c r="EQ1456" t="s">
        <v>422</v>
      </c>
      <c r="ER1456">
        <v>0</v>
      </c>
      <c r="ES1456">
        <v>8</v>
      </c>
      <c r="ET1456">
        <v>0</v>
      </c>
      <c r="EU1456">
        <v>0</v>
      </c>
      <c r="EV1456">
        <v>0</v>
      </c>
      <c r="EW1456" s="2">
        <v>43222</v>
      </c>
      <c r="EX1456" s="1">
        <v>42515</v>
      </c>
      <c r="EY1456">
        <v>2015</v>
      </c>
      <c r="EZ1456">
        <v>854.74</v>
      </c>
      <c r="FA1456" t="s">
        <v>14773</v>
      </c>
      <c r="FB1456">
        <v>0.25</v>
      </c>
      <c r="FC1456" t="s">
        <v>424</v>
      </c>
      <c r="FD1456" t="s">
        <v>425</v>
      </c>
      <c r="FE1456" s="1">
        <v>42851</v>
      </c>
      <c r="FF1456">
        <v>11</v>
      </c>
      <c r="FG1456">
        <v>2851116</v>
      </c>
      <c r="FH1456" t="s">
        <v>480</v>
      </c>
      <c r="FJ1456" s="1">
        <v>42515</v>
      </c>
      <c r="FK1456">
        <v>2015</v>
      </c>
      <c r="FL1456">
        <v>854.74</v>
      </c>
      <c r="FM1456" t="s">
        <v>14773</v>
      </c>
      <c r="FN1456">
        <v>0.25</v>
      </c>
      <c r="FO1456" t="s">
        <v>424</v>
      </c>
      <c r="FP1456" t="s">
        <v>425</v>
      </c>
      <c r="FR1456">
        <v>22</v>
      </c>
      <c r="FS1456">
        <v>5650393</v>
      </c>
      <c r="FT1456" t="s">
        <v>14774</v>
      </c>
      <c r="FV1456" s="1">
        <v>42151</v>
      </c>
      <c r="FW1456">
        <v>2014</v>
      </c>
      <c r="FX1456">
        <v>798.96</v>
      </c>
      <c r="FY1456" t="s">
        <v>14775</v>
      </c>
      <c r="FZ1456">
        <v>0.25</v>
      </c>
      <c r="GA1456" t="s">
        <v>424</v>
      </c>
      <c r="GB1456" t="s">
        <v>425</v>
      </c>
      <c r="GC1456" s="1">
        <v>42794</v>
      </c>
      <c r="GD1456">
        <v>21</v>
      </c>
      <c r="GE1456">
        <v>2851116</v>
      </c>
      <c r="GF1456" t="s">
        <v>480</v>
      </c>
      <c r="GH1456" s="1">
        <v>42151</v>
      </c>
      <c r="GI1456">
        <v>2014</v>
      </c>
      <c r="GJ1456">
        <v>798.96</v>
      </c>
      <c r="GK1456" t="s">
        <v>14775</v>
      </c>
      <c r="GL1456">
        <v>0.25</v>
      </c>
      <c r="GM1456" t="s">
        <v>424</v>
      </c>
      <c r="GN1456" t="s">
        <v>425</v>
      </c>
      <c r="GP1456">
        <v>22</v>
      </c>
      <c r="GQ1456">
        <v>5017517</v>
      </c>
      <c r="GR1456" t="s">
        <v>14776</v>
      </c>
      <c r="GT1456" s="1">
        <v>41787</v>
      </c>
      <c r="GU1456">
        <v>2013</v>
      </c>
      <c r="GV1456">
        <v>712.27</v>
      </c>
      <c r="GW1456" t="s">
        <v>14777</v>
      </c>
      <c r="GX1456">
        <v>2.75</v>
      </c>
      <c r="GY1456" t="s">
        <v>424</v>
      </c>
      <c r="GZ1456" t="s">
        <v>425</v>
      </c>
      <c r="HA1456" s="1">
        <v>42419</v>
      </c>
      <c r="HB1456">
        <v>21</v>
      </c>
      <c r="HC1456">
        <v>10125</v>
      </c>
      <c r="HD1456" t="s">
        <v>440</v>
      </c>
      <c r="HF1456" s="1">
        <v>41423</v>
      </c>
      <c r="HG1456">
        <v>2012</v>
      </c>
      <c r="HH1456">
        <v>721.16</v>
      </c>
      <c r="HI1456" t="s">
        <v>14778</v>
      </c>
      <c r="HJ1456">
        <v>2.75</v>
      </c>
      <c r="HK1456" t="s">
        <v>424</v>
      </c>
      <c r="HL1456" t="s">
        <v>425</v>
      </c>
      <c r="HM1456" s="1">
        <v>42060</v>
      </c>
      <c r="HN1456">
        <v>21</v>
      </c>
      <c r="HO1456">
        <v>1625515</v>
      </c>
      <c r="HP1456" t="s">
        <v>487</v>
      </c>
      <c r="HR1456" s="1">
        <v>41052</v>
      </c>
      <c r="HS1456">
        <v>2011</v>
      </c>
      <c r="HT1456">
        <v>550.12</v>
      </c>
      <c r="HU1456" t="s">
        <v>14779</v>
      </c>
      <c r="HV1456">
        <v>5.75</v>
      </c>
      <c r="HW1456" t="s">
        <v>424</v>
      </c>
      <c r="HX1456" t="s">
        <v>425</v>
      </c>
      <c r="HY1456" s="1">
        <v>41697</v>
      </c>
      <c r="HZ1456">
        <v>21</v>
      </c>
      <c r="IA1456">
        <v>62</v>
      </c>
      <c r="IB1456" t="s">
        <v>463</v>
      </c>
      <c r="ID1456" s="1">
        <v>40688</v>
      </c>
      <c r="IE1456">
        <v>2010</v>
      </c>
      <c r="IF1456">
        <v>606.12</v>
      </c>
      <c r="IG1456" t="s">
        <v>14780</v>
      </c>
      <c r="IH1456">
        <v>6</v>
      </c>
      <c r="II1456" t="s">
        <v>424</v>
      </c>
      <c r="IJ1456" t="s">
        <v>425</v>
      </c>
      <c r="IK1456" s="1">
        <v>41332</v>
      </c>
      <c r="IL1456">
        <v>21</v>
      </c>
      <c r="IM1456">
        <v>105</v>
      </c>
      <c r="IN1456" t="s">
        <v>946</v>
      </c>
    </row>
    <row r="1457" spans="1:284" x14ac:dyDescent="0.25">
      <c r="A1457">
        <v>16486464</v>
      </c>
      <c r="B1457">
        <v>1456</v>
      </c>
      <c r="C1457" t="s">
        <v>393</v>
      </c>
      <c r="D1457" t="s">
        <v>394</v>
      </c>
      <c r="F1457" t="str">
        <f>"13-2N-28-0000-0002-0080"</f>
        <v>13-2N-28-0000-0002-0080</v>
      </c>
      <c r="H1457" t="str">
        <f>"MILLER JOE W &amp; EVA LEE"</f>
        <v>MILLER JOE W &amp; EVA LEE</v>
      </c>
      <c r="I1457" t="str">
        <f>"54083 PLANTATION ROAD"</f>
        <v>54083 PLANTATION ROAD</v>
      </c>
      <c r="J1457" t="str">
        <f>"AVENTURA FL 33160"</f>
        <v>AVENTURA FL 33160</v>
      </c>
      <c r="K1457" t="str">
        <f>"AMELIA ISLAND PKWY"</f>
        <v>AMELIA ISLAND PKWY</v>
      </c>
      <c r="L1457" t="str">
        <f t="shared" ref="L1457:L1464" si="508">"FERNANDINA BEACH FL 32034"</f>
        <v>FERNANDINA BEACH FL 32034</v>
      </c>
      <c r="M1457" t="str">
        <f>"OPEN SPACE &amp; PT ABANDONED SANCHEZ RD RESOLUTION PER OR 106/668 IN OR 1696/738 EX 2-17"</f>
        <v>OPEN SPACE &amp; PT ABANDONED SANCHEZ RD RESOLUTION PER OR 106/668 IN OR 1696/738 EX 2-17</v>
      </c>
      <c r="N1457" t="str">
        <f>""</f>
        <v/>
      </c>
      <c r="O1457" t="str">
        <f>"29513"</f>
        <v>29513</v>
      </c>
      <c r="P1457" t="str">
        <f t="shared" si="494"/>
        <v>2017</v>
      </c>
      <c r="Q1457" t="str">
        <f>""</f>
        <v/>
      </c>
      <c r="R1457" t="str">
        <f>"N"</f>
        <v>N</v>
      </c>
      <c r="S1457" t="str">
        <f>"1.28"</f>
        <v>1.28</v>
      </c>
      <c r="T1457" t="str">
        <f>"19.71"</f>
        <v>19.71</v>
      </c>
      <c r="U1457" t="str">
        <f>"1280.00"</f>
        <v>1280.00</v>
      </c>
      <c r="V1457" t="str">
        <f>"1280.00"</f>
        <v>1280.00</v>
      </c>
      <c r="W1457" t="str">
        <f t="shared" si="495"/>
        <v>2017</v>
      </c>
      <c r="X1457" t="str">
        <f>"11.00"</f>
        <v>11.00</v>
      </c>
      <c r="Y1457" t="str">
        <f>"52.30"</f>
        <v>52.30</v>
      </c>
      <c r="Z1457" t="str">
        <f>""</f>
        <v/>
      </c>
      <c r="AA1457" t="str">
        <f>"1280.00"</f>
        <v>1280.00</v>
      </c>
      <c r="AB1457" t="str">
        <f t="shared" si="501"/>
        <v>Residential</v>
      </c>
      <c r="AC1457" t="str">
        <f t="shared" si="499"/>
        <v>0</v>
      </c>
      <c r="AD1457" t="str">
        <f>""</f>
        <v/>
      </c>
      <c r="AE1457" t="str">
        <f>""</f>
        <v/>
      </c>
      <c r="AF1457" t="str">
        <f>"000"</f>
        <v>000</v>
      </c>
      <c r="AG1457" t="str">
        <f t="shared" si="507"/>
        <v>FL</v>
      </c>
      <c r="AH1457" t="str">
        <f>"55756.00"</f>
        <v>55756.00</v>
      </c>
      <c r="AI1457" t="str">
        <f>"1280.00"</f>
        <v>1280.00</v>
      </c>
      <c r="AJ1457" t="str">
        <f>"C55-000-587-0013-9"</f>
        <v>C55-000-587-0013-9</v>
      </c>
      <c r="AK1457" t="str">
        <f>"24922"</f>
        <v>24922</v>
      </c>
      <c r="AL1457">
        <v>6</v>
      </c>
      <c r="AM1457">
        <v>1673</v>
      </c>
      <c r="AN1457">
        <v>53.32</v>
      </c>
      <c r="AQ1457" t="s">
        <v>14781</v>
      </c>
      <c r="AR1457" t="s">
        <v>14781</v>
      </c>
      <c r="AS1457" t="s">
        <v>14781</v>
      </c>
      <c r="AU1457" t="s">
        <v>396</v>
      </c>
      <c r="AV1457">
        <v>2017</v>
      </c>
      <c r="AW1457" t="str">
        <f>"13-2N-28-0000-0002-0080 "</f>
        <v xml:space="preserve">13-2N-28-0000-0002-0080 </v>
      </c>
      <c r="AZ1457" t="s">
        <v>14782</v>
      </c>
      <c r="BA1457" t="s">
        <v>11138</v>
      </c>
      <c r="BD1457" t="s">
        <v>11749</v>
      </c>
      <c r="BE1457" t="s">
        <v>393</v>
      </c>
      <c r="BF1457">
        <v>32034</v>
      </c>
      <c r="BG1457" t="s">
        <v>14783</v>
      </c>
      <c r="BH1457" t="s">
        <v>11751</v>
      </c>
      <c r="BI1457">
        <v>-81.448232755764295</v>
      </c>
      <c r="BJ1457">
        <v>30.5985209219252</v>
      </c>
      <c r="BK1457" t="s">
        <v>14784</v>
      </c>
      <c r="BM1457" t="s">
        <v>8403</v>
      </c>
      <c r="BN1457" t="s">
        <v>8404</v>
      </c>
      <c r="BO1457">
        <v>33160</v>
      </c>
      <c r="BP1457" t="s">
        <v>404</v>
      </c>
      <c r="BQ1457">
        <v>0</v>
      </c>
      <c r="BR1457" t="s">
        <v>491</v>
      </c>
      <c r="BS1457">
        <v>8001</v>
      </c>
      <c r="BT1457" t="s">
        <v>492</v>
      </c>
      <c r="BW1457">
        <v>55756</v>
      </c>
      <c r="BX1457" t="s">
        <v>407</v>
      </c>
      <c r="BY1457" t="s">
        <v>3019</v>
      </c>
      <c r="CD1457">
        <v>2017</v>
      </c>
      <c r="CE1457">
        <v>1280</v>
      </c>
      <c r="CG1457">
        <v>1280</v>
      </c>
      <c r="CH1457">
        <v>2017</v>
      </c>
      <c r="CI1457">
        <v>1280</v>
      </c>
      <c r="CK1457">
        <v>1280</v>
      </c>
      <c r="CL1457">
        <v>2017</v>
      </c>
      <c r="CM1457">
        <v>19.71</v>
      </c>
      <c r="CN1457" s="1">
        <v>37503</v>
      </c>
      <c r="CO1457">
        <v>340300</v>
      </c>
      <c r="CV1457">
        <v>0</v>
      </c>
      <c r="CZ1457" s="1">
        <v>37503</v>
      </c>
      <c r="DA1457">
        <v>0</v>
      </c>
      <c r="DD1457" t="s">
        <v>11749</v>
      </c>
      <c r="DG1457">
        <v>13</v>
      </c>
      <c r="DL1457">
        <v>50203</v>
      </c>
      <c r="DM1457" t="s">
        <v>14785</v>
      </c>
      <c r="DO1457" t="s">
        <v>14786</v>
      </c>
      <c r="DP1457">
        <v>0</v>
      </c>
      <c r="DQ1457">
        <v>0</v>
      </c>
      <c r="DR1457" t="s">
        <v>411</v>
      </c>
      <c r="DS1457" t="b">
        <v>1</v>
      </c>
      <c r="DT1457" t="s">
        <v>470</v>
      </c>
      <c r="DU1457" t="s">
        <v>471</v>
      </c>
      <c r="DV1457" t="s">
        <v>472</v>
      </c>
      <c r="DX1457">
        <v>-9999</v>
      </c>
      <c r="DZ1457" t="s">
        <v>447</v>
      </c>
      <c r="EA1457" t="s">
        <v>448</v>
      </c>
      <c r="EB1457" t="s">
        <v>14787</v>
      </c>
      <c r="EC1457">
        <v>20101217</v>
      </c>
      <c r="ED1457" t="s">
        <v>474</v>
      </c>
      <c r="EF1457">
        <v>1465.2</v>
      </c>
      <c r="EG1457">
        <v>597.4</v>
      </c>
      <c r="EI1457">
        <v>20160407</v>
      </c>
      <c r="EJ1457">
        <v>0</v>
      </c>
      <c r="EK1457">
        <v>0</v>
      </c>
      <c r="EP1457" t="s">
        <v>595</v>
      </c>
      <c r="EQ1457" t="s">
        <v>422</v>
      </c>
      <c r="ER1457">
        <v>11</v>
      </c>
      <c r="ES1457">
        <v>0</v>
      </c>
      <c r="ET1457">
        <v>457.3</v>
      </c>
      <c r="EU1457">
        <v>265.12</v>
      </c>
      <c r="EV1457">
        <v>722.42</v>
      </c>
      <c r="EW1457" s="2">
        <v>43222</v>
      </c>
      <c r="EX1457" s="1">
        <v>42879</v>
      </c>
      <c r="EY1457">
        <v>2016</v>
      </c>
      <c r="EZ1457">
        <v>48.62</v>
      </c>
      <c r="FA1457" t="s">
        <v>14788</v>
      </c>
      <c r="FB1457">
        <v>17.75</v>
      </c>
      <c r="FC1457" t="s">
        <v>424</v>
      </c>
      <c r="FD1457" t="s">
        <v>454</v>
      </c>
      <c r="FF1457">
        <v>12</v>
      </c>
      <c r="FG1457">
        <v>10125</v>
      </c>
      <c r="FH1457" t="s">
        <v>440</v>
      </c>
      <c r="FJ1457" s="1">
        <v>42515</v>
      </c>
      <c r="FK1457">
        <v>2015</v>
      </c>
      <c r="FL1457">
        <v>43.99</v>
      </c>
      <c r="FM1457" t="s">
        <v>14789</v>
      </c>
      <c r="FN1457">
        <v>14.75</v>
      </c>
      <c r="FO1457" t="s">
        <v>424</v>
      </c>
      <c r="FP1457" t="s">
        <v>454</v>
      </c>
      <c r="FR1457">
        <v>24</v>
      </c>
      <c r="FS1457">
        <v>6516843</v>
      </c>
      <c r="FT1457" t="s">
        <v>601</v>
      </c>
      <c r="FV1457" s="1">
        <v>42151</v>
      </c>
      <c r="FW1457">
        <v>2014</v>
      </c>
      <c r="FX1457">
        <v>44.08</v>
      </c>
      <c r="FY1457" t="s">
        <v>14790</v>
      </c>
      <c r="FZ1457">
        <v>18</v>
      </c>
      <c r="GA1457" t="s">
        <v>603</v>
      </c>
      <c r="GB1457" t="s">
        <v>454</v>
      </c>
      <c r="GD1457">
        <v>36</v>
      </c>
      <c r="GE1457">
        <v>9999999</v>
      </c>
      <c r="GF1457" t="s">
        <v>604</v>
      </c>
      <c r="GH1457" s="1">
        <v>42151</v>
      </c>
      <c r="GI1457">
        <v>2014</v>
      </c>
      <c r="GJ1457">
        <v>50.99</v>
      </c>
      <c r="GK1457" t="s">
        <v>14790</v>
      </c>
      <c r="GL1457">
        <v>18</v>
      </c>
      <c r="GM1457" t="s">
        <v>424</v>
      </c>
      <c r="GN1457" t="s">
        <v>454</v>
      </c>
      <c r="GP1457">
        <v>36</v>
      </c>
      <c r="GQ1457">
        <v>5253620</v>
      </c>
      <c r="GR1457" t="s">
        <v>14791</v>
      </c>
      <c r="GT1457" s="1">
        <v>41787</v>
      </c>
      <c r="GU1457">
        <v>2013</v>
      </c>
      <c r="GV1457">
        <v>42.92</v>
      </c>
      <c r="GW1457" t="s">
        <v>14792</v>
      </c>
      <c r="GX1457">
        <v>18</v>
      </c>
      <c r="GY1457" t="s">
        <v>424</v>
      </c>
      <c r="GZ1457" t="s">
        <v>454</v>
      </c>
      <c r="HB1457">
        <v>48</v>
      </c>
      <c r="HC1457">
        <v>6408</v>
      </c>
      <c r="HD1457" t="s">
        <v>8410</v>
      </c>
      <c r="HF1457" s="1">
        <v>41423</v>
      </c>
      <c r="HG1457">
        <v>2012</v>
      </c>
      <c r="HH1457">
        <v>43.17</v>
      </c>
      <c r="HI1457" t="s">
        <v>14793</v>
      </c>
      <c r="HJ1457">
        <v>10</v>
      </c>
      <c r="HK1457" t="s">
        <v>424</v>
      </c>
      <c r="HL1457" t="s">
        <v>454</v>
      </c>
      <c r="HN1457">
        <v>60</v>
      </c>
      <c r="HO1457">
        <v>375</v>
      </c>
      <c r="HP1457" t="s">
        <v>776</v>
      </c>
      <c r="HR1457" s="1">
        <v>41423</v>
      </c>
      <c r="HS1457">
        <v>2012</v>
      </c>
      <c r="HT1457">
        <v>43.17</v>
      </c>
      <c r="HU1457" t="s">
        <v>14793</v>
      </c>
      <c r="HV1457">
        <v>10</v>
      </c>
      <c r="HW1457" t="s">
        <v>424</v>
      </c>
      <c r="HX1457" t="s">
        <v>454</v>
      </c>
      <c r="HZ1457">
        <v>60</v>
      </c>
      <c r="IA1457">
        <v>1109</v>
      </c>
      <c r="IB1457" t="s">
        <v>852</v>
      </c>
      <c r="ID1457" s="1">
        <v>41052</v>
      </c>
      <c r="IE1457">
        <v>2011</v>
      </c>
      <c r="IF1457">
        <v>35.54</v>
      </c>
      <c r="IG1457" t="s">
        <v>14794</v>
      </c>
      <c r="IH1457">
        <v>4.75</v>
      </c>
      <c r="II1457" t="s">
        <v>424</v>
      </c>
      <c r="IJ1457" t="s">
        <v>454</v>
      </c>
      <c r="IL1457">
        <v>72</v>
      </c>
      <c r="IM1457">
        <v>15038</v>
      </c>
      <c r="IN1457" t="s">
        <v>14795</v>
      </c>
      <c r="IP1457" s="1">
        <v>41052</v>
      </c>
      <c r="IQ1457">
        <v>2011</v>
      </c>
      <c r="IR1457">
        <v>35.54</v>
      </c>
      <c r="IS1457" t="s">
        <v>14794</v>
      </c>
      <c r="IT1457">
        <v>4.75</v>
      </c>
      <c r="IU1457" t="s">
        <v>424</v>
      </c>
      <c r="IV1457" t="s">
        <v>454</v>
      </c>
      <c r="IX1457">
        <v>72</v>
      </c>
      <c r="IY1457">
        <v>10995</v>
      </c>
      <c r="IZ1457" t="s">
        <v>14796</v>
      </c>
      <c r="JB1457" s="1">
        <v>40688</v>
      </c>
      <c r="JC1457">
        <v>2010</v>
      </c>
      <c r="JD1457">
        <v>34.64</v>
      </c>
      <c r="JE1457" t="s">
        <v>14797</v>
      </c>
      <c r="JF1457">
        <v>6</v>
      </c>
      <c r="JG1457" t="s">
        <v>424</v>
      </c>
      <c r="JH1457" t="s">
        <v>454</v>
      </c>
      <c r="JJ1457">
        <v>84</v>
      </c>
      <c r="JK1457">
        <v>375</v>
      </c>
      <c r="JL1457" t="s">
        <v>776</v>
      </c>
      <c r="JN1457" s="1">
        <v>40688</v>
      </c>
      <c r="JO1457">
        <v>2010</v>
      </c>
      <c r="JP1457">
        <v>34.64</v>
      </c>
      <c r="JQ1457" t="s">
        <v>14797</v>
      </c>
      <c r="JR1457">
        <v>6</v>
      </c>
      <c r="JS1457" t="s">
        <v>424</v>
      </c>
      <c r="JT1457" t="s">
        <v>454</v>
      </c>
      <c r="JV1457">
        <v>84</v>
      </c>
      <c r="JW1457">
        <v>105</v>
      </c>
      <c r="JX1457" t="s">
        <v>946</v>
      </c>
    </row>
    <row r="1458" spans="1:284" x14ac:dyDescent="0.25">
      <c r="A1458">
        <v>16486465</v>
      </c>
      <c r="B1458">
        <v>1457</v>
      </c>
      <c r="C1458" t="s">
        <v>393</v>
      </c>
      <c r="D1458" t="s">
        <v>394</v>
      </c>
      <c r="F1458" t="str">
        <f>"14-2N-28-0000-0005-0000"</f>
        <v>14-2N-28-0000-0005-0000</v>
      </c>
      <c r="H1458" t="str">
        <f>"HOLLIDAY JOHN F"</f>
        <v>HOLLIDAY JOHN F</v>
      </c>
      <c r="I1458" t="str">
        <f>"5162 FIRST COAST HIGHWAY"</f>
        <v>5162 FIRST COAST HIGHWAY</v>
      </c>
      <c r="J1458" t="str">
        <f t="shared" ref="J1458:J1464" si="509">"FERNANDINA BEACH FL 32034"</f>
        <v>FERNANDINA BEACH FL 32034</v>
      </c>
      <c r="K1458" t="str">
        <f>"5162 FIRST COAST HWY"</f>
        <v>5162 FIRST COAST HWY</v>
      </c>
      <c r="L1458" t="str">
        <f t="shared" si="508"/>
        <v>FERNANDINA BEACH FL 32034</v>
      </c>
      <c r="M1458" t="str">
        <f>"IN OR 1654/1419"</f>
        <v>IN OR 1654/1419</v>
      </c>
      <c r="N1458" t="str">
        <f>""</f>
        <v/>
      </c>
      <c r="O1458" t="str">
        <f>"30054"</f>
        <v>30054</v>
      </c>
      <c r="P1458" t="str">
        <f t="shared" si="494"/>
        <v>2017</v>
      </c>
      <c r="Q1458" t="str">
        <f>""</f>
        <v/>
      </c>
      <c r="R1458" t="str">
        <f>"Y"</f>
        <v>Y</v>
      </c>
      <c r="S1458" t="str">
        <f>"5.00"</f>
        <v>5.00</v>
      </c>
      <c r="T1458" t="str">
        <f>"3373.82"</f>
        <v>3373.82</v>
      </c>
      <c r="U1458" t="str">
        <f>"258498.00"</f>
        <v>258498.00</v>
      </c>
      <c r="V1458" t="str">
        <f>"258498.00"</f>
        <v>258498.00</v>
      </c>
      <c r="W1458" t="str">
        <f t="shared" si="495"/>
        <v>2017</v>
      </c>
      <c r="X1458" t="str">
        <f>"9.60"</f>
        <v>9.60</v>
      </c>
      <c r="Y1458" t="str">
        <f>"3507.03"</f>
        <v>3507.03</v>
      </c>
      <c r="Z1458" t="str">
        <f>"25000.00"</f>
        <v>25000.00</v>
      </c>
      <c r="AA1458" t="str">
        <f>"233498.00"</f>
        <v>233498.00</v>
      </c>
      <c r="AB1458" t="str">
        <f t="shared" si="501"/>
        <v>Residential</v>
      </c>
      <c r="AC1458" t="str">
        <f t="shared" si="499"/>
        <v>0</v>
      </c>
      <c r="AD1458" t="str">
        <f>"4"</f>
        <v>4</v>
      </c>
      <c r="AE1458" t="str">
        <f>"WOOD (INCLUDE STEEL STUDS)"</f>
        <v>WOOD (INCLUDE STEEL STUDS)</v>
      </c>
      <c r="AF1458" t="str">
        <f>"001"</f>
        <v>001</v>
      </c>
      <c r="AG1458" t="str">
        <f t="shared" si="507"/>
        <v>FL</v>
      </c>
      <c r="AH1458" t="str">
        <f>"217800.00"</f>
        <v>217800.00</v>
      </c>
      <c r="AI1458" t="str">
        <f>"468750.00"</f>
        <v>468750.00</v>
      </c>
      <c r="AJ1458" t="str">
        <f>"C55-000-587-0274-7"</f>
        <v>C55-000-587-0274-7</v>
      </c>
      <c r="AK1458" t="str">
        <f>"24941"</f>
        <v>24941</v>
      </c>
      <c r="AL1458">
        <v>6</v>
      </c>
      <c r="AM1458">
        <v>1674</v>
      </c>
      <c r="AN1458">
        <v>3680.78</v>
      </c>
      <c r="AQ1458" t="s">
        <v>14798</v>
      </c>
      <c r="AR1458" t="s">
        <v>14798</v>
      </c>
      <c r="AS1458" t="s">
        <v>14798</v>
      </c>
      <c r="AU1458" t="s">
        <v>396</v>
      </c>
      <c r="AV1458">
        <v>2017</v>
      </c>
      <c r="AW1458" t="str">
        <f>"14-2N-28-0000-0005-0000 "</f>
        <v xml:space="preserve">14-2N-28-0000-0005-0000 </v>
      </c>
      <c r="AX1458">
        <v>5162</v>
      </c>
      <c r="AZ1458" t="s">
        <v>14799</v>
      </c>
      <c r="BA1458" t="s">
        <v>3713</v>
      </c>
      <c r="BD1458" t="s">
        <v>11749</v>
      </c>
      <c r="BE1458" t="s">
        <v>393</v>
      </c>
      <c r="BF1458">
        <v>32034</v>
      </c>
      <c r="BG1458" t="s">
        <v>14800</v>
      </c>
      <c r="BH1458" t="s">
        <v>11751</v>
      </c>
      <c r="BI1458">
        <v>-81.451535126119396</v>
      </c>
      <c r="BJ1458">
        <v>30.580229462220199</v>
      </c>
      <c r="BK1458" t="s">
        <v>14801</v>
      </c>
      <c r="BM1458" t="s">
        <v>14800</v>
      </c>
      <c r="BN1458" t="s">
        <v>3983</v>
      </c>
      <c r="BO1458">
        <v>32034</v>
      </c>
      <c r="BP1458" t="s">
        <v>416</v>
      </c>
      <c r="BQ1458">
        <v>100</v>
      </c>
      <c r="BR1458" t="s">
        <v>514</v>
      </c>
      <c r="BS1458">
        <v>1001</v>
      </c>
      <c r="BT1458" t="s">
        <v>515</v>
      </c>
      <c r="BW1458">
        <v>217800</v>
      </c>
      <c r="BX1458" t="s">
        <v>407</v>
      </c>
      <c r="BY1458" t="s">
        <v>2221</v>
      </c>
      <c r="BZ1458">
        <v>4</v>
      </c>
      <c r="CA1458">
        <v>1952</v>
      </c>
      <c r="CB1458">
        <v>1</v>
      </c>
      <c r="CC1458">
        <v>1</v>
      </c>
      <c r="CD1458">
        <v>2017</v>
      </c>
      <c r="CG1458">
        <v>258498</v>
      </c>
      <c r="CH1458">
        <v>2017</v>
      </c>
      <c r="CI1458">
        <v>468750</v>
      </c>
      <c r="CJ1458">
        <v>110546</v>
      </c>
      <c r="CK1458">
        <v>579296</v>
      </c>
      <c r="CL1458">
        <v>2017</v>
      </c>
      <c r="CM1458">
        <v>3373.82</v>
      </c>
      <c r="CN1458" s="1">
        <v>40168</v>
      </c>
      <c r="CZ1458" s="1">
        <v>40168</v>
      </c>
      <c r="DD1458" t="s">
        <v>11749</v>
      </c>
      <c r="DG1458">
        <v>14</v>
      </c>
      <c r="DL1458">
        <v>50203</v>
      </c>
      <c r="DM1458" t="s">
        <v>14802</v>
      </c>
      <c r="DO1458" t="s">
        <v>14803</v>
      </c>
      <c r="DP1458">
        <v>0</v>
      </c>
      <c r="DQ1458">
        <v>3</v>
      </c>
      <c r="DR1458" t="s">
        <v>411</v>
      </c>
      <c r="DS1458" t="b">
        <v>1</v>
      </c>
      <c r="DT1458" t="s">
        <v>470</v>
      </c>
      <c r="DU1458" t="s">
        <v>471</v>
      </c>
      <c r="DV1458" t="s">
        <v>472</v>
      </c>
      <c r="DX1458">
        <v>-9999</v>
      </c>
      <c r="DZ1458" t="s">
        <v>447</v>
      </c>
      <c r="EA1458" t="s">
        <v>448</v>
      </c>
      <c r="EB1458" t="s">
        <v>14787</v>
      </c>
      <c r="EC1458">
        <v>20101217</v>
      </c>
      <c r="ED1458" t="s">
        <v>474</v>
      </c>
      <c r="EF1458">
        <v>1004</v>
      </c>
      <c r="EG1458">
        <v>1004</v>
      </c>
      <c r="EI1458">
        <v>20160407</v>
      </c>
      <c r="EJ1458">
        <v>0</v>
      </c>
      <c r="EK1458">
        <v>0</v>
      </c>
      <c r="EP1458" t="s">
        <v>421</v>
      </c>
      <c r="EQ1458" t="s">
        <v>422</v>
      </c>
      <c r="ER1458">
        <v>0</v>
      </c>
      <c r="ES1458">
        <v>8</v>
      </c>
      <c r="ET1458">
        <v>0</v>
      </c>
      <c r="EU1458">
        <v>0</v>
      </c>
      <c r="EV1458">
        <v>0</v>
      </c>
      <c r="EW1458" s="2">
        <v>43222</v>
      </c>
      <c r="EX1458" s="1">
        <v>42879</v>
      </c>
      <c r="EY1458">
        <v>2016</v>
      </c>
      <c r="EZ1458">
        <v>3641.21</v>
      </c>
      <c r="FA1458" t="s">
        <v>14804</v>
      </c>
      <c r="FB1458">
        <v>0.25</v>
      </c>
      <c r="FC1458" t="s">
        <v>424</v>
      </c>
      <c r="FD1458" t="s">
        <v>425</v>
      </c>
      <c r="FE1458" s="1">
        <v>43183</v>
      </c>
      <c r="FF1458">
        <v>10</v>
      </c>
      <c r="FG1458">
        <v>7400234</v>
      </c>
      <c r="FH1458" t="s">
        <v>426</v>
      </c>
      <c r="FJ1458" s="1">
        <v>42879</v>
      </c>
      <c r="FK1458">
        <v>2016</v>
      </c>
      <c r="FL1458">
        <v>3641.21</v>
      </c>
      <c r="FM1458" t="s">
        <v>14804</v>
      </c>
      <c r="FN1458">
        <v>0.25</v>
      </c>
      <c r="FO1458" t="s">
        <v>424</v>
      </c>
      <c r="FP1458" t="s">
        <v>425</v>
      </c>
      <c r="FR1458">
        <v>22</v>
      </c>
      <c r="FS1458">
        <v>7438638</v>
      </c>
      <c r="FT1458" t="s">
        <v>14805</v>
      </c>
      <c r="FV1458" s="1">
        <v>42515</v>
      </c>
      <c r="FW1458">
        <v>2015</v>
      </c>
      <c r="FX1458">
        <v>3672.67</v>
      </c>
      <c r="FY1458" t="s">
        <v>14806</v>
      </c>
      <c r="FZ1458">
        <v>0.25</v>
      </c>
      <c r="GA1458" t="s">
        <v>424</v>
      </c>
      <c r="GB1458" t="s">
        <v>425</v>
      </c>
      <c r="GC1458" s="1">
        <v>42867</v>
      </c>
      <c r="GD1458">
        <v>12</v>
      </c>
      <c r="GE1458">
        <v>5894185</v>
      </c>
      <c r="GF1458" t="s">
        <v>7135</v>
      </c>
      <c r="GH1458" s="1">
        <v>42515</v>
      </c>
      <c r="GI1458">
        <v>2015</v>
      </c>
      <c r="GJ1458">
        <v>3672.67</v>
      </c>
      <c r="GK1458" t="s">
        <v>14806</v>
      </c>
      <c r="GL1458">
        <v>0.25</v>
      </c>
      <c r="GM1458" t="s">
        <v>424</v>
      </c>
      <c r="GN1458" t="s">
        <v>425</v>
      </c>
      <c r="GP1458">
        <v>22</v>
      </c>
      <c r="GQ1458">
        <v>6248093</v>
      </c>
      <c r="GR1458" t="s">
        <v>14807</v>
      </c>
      <c r="GT1458" s="1">
        <v>42151</v>
      </c>
      <c r="GU1458">
        <v>2014</v>
      </c>
      <c r="GV1458">
        <v>3658.37</v>
      </c>
      <c r="GW1458" t="s">
        <v>14808</v>
      </c>
      <c r="GX1458">
        <v>0.25</v>
      </c>
      <c r="GY1458" t="s">
        <v>424</v>
      </c>
      <c r="GZ1458" t="s">
        <v>425</v>
      </c>
      <c r="HA1458" s="1">
        <v>42447</v>
      </c>
      <c r="HB1458">
        <v>10</v>
      </c>
      <c r="HC1458">
        <v>4975594</v>
      </c>
      <c r="HD1458" t="s">
        <v>457</v>
      </c>
      <c r="HF1458" s="1">
        <v>42151</v>
      </c>
      <c r="HG1458">
        <v>2014</v>
      </c>
      <c r="HH1458">
        <v>3658.37</v>
      </c>
      <c r="HI1458" t="s">
        <v>14808</v>
      </c>
      <c r="HJ1458">
        <v>0.25</v>
      </c>
      <c r="HK1458" t="s">
        <v>424</v>
      </c>
      <c r="HL1458" t="s">
        <v>425</v>
      </c>
      <c r="HN1458">
        <v>22</v>
      </c>
      <c r="HO1458">
        <v>6341710</v>
      </c>
      <c r="HP1458" t="s">
        <v>14809</v>
      </c>
      <c r="HR1458" s="1">
        <v>41787</v>
      </c>
      <c r="HS1458">
        <v>2013</v>
      </c>
      <c r="HT1458">
        <v>2937.87</v>
      </c>
      <c r="HU1458" t="s">
        <v>14810</v>
      </c>
      <c r="HV1458">
        <v>0.25</v>
      </c>
      <c r="HW1458" t="s">
        <v>424</v>
      </c>
      <c r="HX1458" t="s">
        <v>425</v>
      </c>
      <c r="HY1458" s="1">
        <v>41830</v>
      </c>
      <c r="HZ1458">
        <v>2</v>
      </c>
      <c r="IA1458">
        <v>2407503</v>
      </c>
      <c r="IB1458" t="s">
        <v>461</v>
      </c>
      <c r="ID1458" s="1">
        <v>41423</v>
      </c>
      <c r="IE1458">
        <v>2012</v>
      </c>
      <c r="IF1458">
        <v>2916.33</v>
      </c>
      <c r="IG1458" t="s">
        <v>14811</v>
      </c>
      <c r="IH1458">
        <v>0.25</v>
      </c>
      <c r="II1458" t="s">
        <v>424</v>
      </c>
      <c r="IJ1458" t="s">
        <v>425</v>
      </c>
      <c r="IK1458" s="1">
        <v>41830</v>
      </c>
      <c r="IL1458">
        <v>14</v>
      </c>
      <c r="IM1458">
        <v>2101382</v>
      </c>
      <c r="IN1458" t="s">
        <v>993</v>
      </c>
    </row>
    <row r="1459" spans="1:284" x14ac:dyDescent="0.25">
      <c r="A1459">
        <v>16486466</v>
      </c>
      <c r="B1459">
        <v>1458</v>
      </c>
      <c r="C1459" t="s">
        <v>393</v>
      </c>
      <c r="D1459" t="s">
        <v>394</v>
      </c>
      <c r="F1459" t="str">
        <f>"14-2N-28-0000-0007-0000"</f>
        <v>14-2N-28-0000-0007-0000</v>
      </c>
      <c r="H1459" t="str">
        <f>"FOSTER MARY &amp; PAMELIA"</f>
        <v>FOSTER MARY &amp; PAMELIA</v>
      </c>
      <c r="I1459" t="str">
        <f>"816 VERNON ST"</f>
        <v>816 VERNON ST</v>
      </c>
      <c r="J1459" t="str">
        <f t="shared" si="509"/>
        <v>FERNANDINA BEACH FL 32034</v>
      </c>
      <c r="K1459" t="str">
        <f>"STEWART AV"</f>
        <v>STEWART AV</v>
      </c>
      <c r="L1459" t="str">
        <f t="shared" si="508"/>
        <v>FERNANDINA BEACH FL 32034</v>
      </c>
      <c r="M1459" t="str">
        <f>"LOT 3 IN OR 123/111 WILLIE B WILLIAMS SUB OR 77/122"</f>
        <v>LOT 3 IN OR 123/111 WILLIE B WILLIAMS SUB OR 77/122</v>
      </c>
      <c r="N1459" t="str">
        <f>""</f>
        <v/>
      </c>
      <c r="O1459" t="str">
        <f>"30058"</f>
        <v>30058</v>
      </c>
      <c r="P1459" t="str">
        <f t="shared" si="494"/>
        <v>2017</v>
      </c>
      <c r="Q1459" t="str">
        <f>""</f>
        <v/>
      </c>
      <c r="R1459" t="str">
        <f t="shared" ref="R1459:R1466" si="510">"N"</f>
        <v>N</v>
      </c>
      <c r="S1459" t="str">
        <f>""</f>
        <v/>
      </c>
      <c r="T1459" t="str">
        <f>"169.29"</f>
        <v>169.29</v>
      </c>
      <c r="U1459" t="str">
        <f>"11000.00"</f>
        <v>11000.00</v>
      </c>
      <c r="V1459" t="str">
        <f>"11000.00"</f>
        <v>11000.00</v>
      </c>
      <c r="W1459" t="str">
        <f t="shared" si="495"/>
        <v>2017</v>
      </c>
      <c r="X1459" t="str">
        <f>"18.50"</f>
        <v>18.50</v>
      </c>
      <c r="Y1459" t="str">
        <f>"206.37"</f>
        <v>206.37</v>
      </c>
      <c r="Z1459" t="str">
        <f>""</f>
        <v/>
      </c>
      <c r="AA1459" t="str">
        <f>"11000.00"</f>
        <v>11000.00</v>
      </c>
      <c r="AB1459" t="str">
        <f t="shared" si="501"/>
        <v>Residential</v>
      </c>
      <c r="AC1459" t="str">
        <f t="shared" si="499"/>
        <v>0</v>
      </c>
      <c r="AD1459" t="str">
        <f>""</f>
        <v/>
      </c>
      <c r="AE1459" t="str">
        <f>""</f>
        <v/>
      </c>
      <c r="AF1459" t="str">
        <f>"000"</f>
        <v>000</v>
      </c>
      <c r="AG1459" t="str">
        <f t="shared" si="507"/>
        <v>FL</v>
      </c>
      <c r="AH1459" t="str">
        <f t="shared" ref="AH1459:AH1464" si="511">"-"</f>
        <v>-</v>
      </c>
      <c r="AI1459" t="str">
        <f>"11000.00"</f>
        <v>11000.00</v>
      </c>
      <c r="AJ1459" t="str">
        <f>"C55-000-587-0277-0"</f>
        <v>C55-000-587-0277-0</v>
      </c>
      <c r="AK1459" t="str">
        <f>"24945"</f>
        <v>24945</v>
      </c>
      <c r="AL1459">
        <v>6</v>
      </c>
      <c r="AM1459">
        <v>1675</v>
      </c>
      <c r="AN1459">
        <v>215.09</v>
      </c>
      <c r="AQ1459" t="s">
        <v>14812</v>
      </c>
      <c r="AR1459" t="s">
        <v>14812</v>
      </c>
      <c r="AS1459" t="s">
        <v>14812</v>
      </c>
      <c r="AU1459" t="s">
        <v>396</v>
      </c>
      <c r="AV1459">
        <v>2017</v>
      </c>
      <c r="AW1459" t="str">
        <f>"14-2N-28-0000-0007-0000 "</f>
        <v xml:space="preserve">14-2N-28-0000-0007-0000 </v>
      </c>
      <c r="AZ1459" t="s">
        <v>14813</v>
      </c>
      <c r="BA1459" t="s">
        <v>1122</v>
      </c>
      <c r="BD1459" t="s">
        <v>11749</v>
      </c>
      <c r="BE1459" t="s">
        <v>393</v>
      </c>
      <c r="BF1459">
        <v>32034</v>
      </c>
      <c r="BG1459" t="s">
        <v>14814</v>
      </c>
      <c r="BH1459" t="s">
        <v>11751</v>
      </c>
      <c r="BI1459">
        <v>-81.449834414651207</v>
      </c>
      <c r="BJ1459">
        <v>30.579190596871701</v>
      </c>
      <c r="BK1459" t="s">
        <v>14815</v>
      </c>
      <c r="BL1459" t="s">
        <v>14816</v>
      </c>
      <c r="BM1459" t="s">
        <v>14817</v>
      </c>
      <c r="BN1459" t="s">
        <v>3983</v>
      </c>
      <c r="BO1459">
        <v>32034</v>
      </c>
      <c r="BP1459" t="s">
        <v>404</v>
      </c>
      <c r="BQ1459">
        <v>0</v>
      </c>
      <c r="BR1459" t="s">
        <v>491</v>
      </c>
      <c r="BS1459">
        <v>8001</v>
      </c>
      <c r="BT1459" t="s">
        <v>492</v>
      </c>
      <c r="BW1459">
        <v>4719</v>
      </c>
      <c r="BX1459" t="s">
        <v>407</v>
      </c>
      <c r="BY1459" t="s">
        <v>7351</v>
      </c>
      <c r="CD1459">
        <v>2017</v>
      </c>
      <c r="CE1459">
        <v>11000</v>
      </c>
      <c r="CG1459">
        <v>11000</v>
      </c>
      <c r="CH1459">
        <v>2017</v>
      </c>
      <c r="CI1459">
        <v>11000</v>
      </c>
      <c r="CK1459">
        <v>11000</v>
      </c>
      <c r="CL1459">
        <v>2017</v>
      </c>
      <c r="CM1459">
        <v>169.29</v>
      </c>
      <c r="CN1459" s="1">
        <v>26299</v>
      </c>
      <c r="CZ1459" s="1">
        <v>26299</v>
      </c>
      <c r="DD1459" t="s">
        <v>11749</v>
      </c>
      <c r="DF1459">
        <v>3</v>
      </c>
      <c r="DG1459">
        <v>14</v>
      </c>
      <c r="DL1459">
        <v>50203</v>
      </c>
      <c r="DM1459" t="s">
        <v>14802</v>
      </c>
      <c r="DO1459" t="s">
        <v>14818</v>
      </c>
      <c r="DP1459">
        <v>0</v>
      </c>
      <c r="DQ1459">
        <v>0</v>
      </c>
      <c r="DR1459" t="s">
        <v>411</v>
      </c>
      <c r="DS1459" t="b">
        <v>1</v>
      </c>
      <c r="DT1459" t="s">
        <v>470</v>
      </c>
      <c r="DU1459" t="s">
        <v>471</v>
      </c>
      <c r="DV1459" t="s">
        <v>472</v>
      </c>
      <c r="DX1459">
        <v>-9999</v>
      </c>
      <c r="DZ1459" t="s">
        <v>447</v>
      </c>
      <c r="EA1459" t="s">
        <v>448</v>
      </c>
      <c r="EB1459" t="s">
        <v>14787</v>
      </c>
      <c r="EC1459">
        <v>20101217</v>
      </c>
      <c r="ED1459" t="s">
        <v>474</v>
      </c>
      <c r="EF1459">
        <v>1595.6</v>
      </c>
      <c r="EG1459">
        <v>1468.5</v>
      </c>
      <c r="EI1459">
        <v>20160407</v>
      </c>
      <c r="EJ1459">
        <v>0</v>
      </c>
      <c r="EK1459">
        <v>0</v>
      </c>
      <c r="EP1459" t="s">
        <v>421</v>
      </c>
      <c r="EQ1459" t="s">
        <v>422</v>
      </c>
      <c r="ER1459">
        <v>1</v>
      </c>
      <c r="ES1459">
        <v>5</v>
      </c>
      <c r="ET1459">
        <v>212.72</v>
      </c>
      <c r="EU1459">
        <v>26.99</v>
      </c>
      <c r="EV1459">
        <v>239.71</v>
      </c>
      <c r="EW1459" s="2">
        <v>43222</v>
      </c>
      <c r="EX1459" s="1">
        <v>42879</v>
      </c>
      <c r="EY1459">
        <v>2016</v>
      </c>
      <c r="EZ1459">
        <v>212.72</v>
      </c>
      <c r="FA1459" t="s">
        <v>14819</v>
      </c>
      <c r="FB1459">
        <v>9.75</v>
      </c>
      <c r="FC1459" t="s">
        <v>424</v>
      </c>
      <c r="FD1459" t="s">
        <v>454</v>
      </c>
      <c r="FF1459">
        <v>12</v>
      </c>
      <c r="FG1459">
        <v>10021</v>
      </c>
      <c r="FH1459" t="s">
        <v>597</v>
      </c>
      <c r="FJ1459" s="1">
        <v>42515</v>
      </c>
      <c r="FK1459">
        <v>2015</v>
      </c>
      <c r="FL1459">
        <v>300.23</v>
      </c>
      <c r="FM1459" t="s">
        <v>14820</v>
      </c>
      <c r="FN1459">
        <v>15.25</v>
      </c>
      <c r="FO1459" t="s">
        <v>424</v>
      </c>
      <c r="FP1459" t="s">
        <v>425</v>
      </c>
      <c r="FQ1459" s="1">
        <v>43187</v>
      </c>
      <c r="FR1459">
        <v>22</v>
      </c>
      <c r="FS1459">
        <v>7336143</v>
      </c>
      <c r="FT1459" t="s">
        <v>539</v>
      </c>
      <c r="FV1459" s="1">
        <v>42151</v>
      </c>
      <c r="FW1459">
        <v>2014</v>
      </c>
      <c r="FX1459">
        <v>275.12</v>
      </c>
      <c r="FY1459" t="s">
        <v>14821</v>
      </c>
      <c r="FZ1459">
        <v>0</v>
      </c>
      <c r="GA1459" t="s">
        <v>424</v>
      </c>
      <c r="GB1459" t="s">
        <v>425</v>
      </c>
      <c r="GC1459" s="1">
        <v>42828</v>
      </c>
      <c r="GD1459">
        <v>23</v>
      </c>
      <c r="GE1459">
        <v>5253620</v>
      </c>
      <c r="GF1459" t="s">
        <v>14791</v>
      </c>
      <c r="GH1459" s="1">
        <v>41787</v>
      </c>
      <c r="GI1459">
        <v>2013</v>
      </c>
      <c r="GJ1459">
        <v>237.65</v>
      </c>
      <c r="GK1459" t="s">
        <v>14822</v>
      </c>
      <c r="GL1459">
        <v>3.75</v>
      </c>
      <c r="GM1459" t="s">
        <v>424</v>
      </c>
      <c r="GN1459" t="s">
        <v>425</v>
      </c>
      <c r="GO1459" s="1">
        <v>42431</v>
      </c>
      <c r="GP1459">
        <v>22</v>
      </c>
      <c r="GQ1459">
        <v>10125</v>
      </c>
      <c r="GR1459" t="s">
        <v>440</v>
      </c>
      <c r="GT1459" s="1">
        <v>41423</v>
      </c>
      <c r="GU1459">
        <v>2012</v>
      </c>
      <c r="GV1459">
        <v>226.66</v>
      </c>
      <c r="GW1459" t="s">
        <v>14823</v>
      </c>
      <c r="GX1459">
        <v>6</v>
      </c>
      <c r="GY1459" t="s">
        <v>424</v>
      </c>
      <c r="GZ1459" t="s">
        <v>425</v>
      </c>
      <c r="HA1459" s="1">
        <v>42061</v>
      </c>
      <c r="HB1459">
        <v>21</v>
      </c>
      <c r="HC1459">
        <v>375</v>
      </c>
      <c r="HD1459" t="s">
        <v>776</v>
      </c>
      <c r="HF1459" s="1">
        <v>41052</v>
      </c>
      <c r="HG1459">
        <v>2011</v>
      </c>
      <c r="HH1459">
        <v>329.27</v>
      </c>
      <c r="HI1459" t="s">
        <v>14824</v>
      </c>
      <c r="HJ1459">
        <v>6</v>
      </c>
      <c r="HK1459" t="s">
        <v>424</v>
      </c>
      <c r="HL1459" t="s">
        <v>425</v>
      </c>
      <c r="HM1459" s="1">
        <v>41726</v>
      </c>
      <c r="HN1459">
        <v>22</v>
      </c>
      <c r="HO1459">
        <v>10125</v>
      </c>
      <c r="HP1459" t="s">
        <v>440</v>
      </c>
    </row>
    <row r="1460" spans="1:284" x14ac:dyDescent="0.25">
      <c r="A1460">
        <v>16486467</v>
      </c>
      <c r="B1460">
        <v>1459</v>
      </c>
      <c r="C1460" t="s">
        <v>393</v>
      </c>
      <c r="D1460" t="s">
        <v>394</v>
      </c>
      <c r="F1460" t="str">
        <f>"14-2N-28-0000-0007-0050"</f>
        <v>14-2N-28-0000-0007-0050</v>
      </c>
      <c r="H1460" t="str">
        <f>"EMORY EUGENE K"</f>
        <v>EMORY EUGENE K</v>
      </c>
      <c r="I1460" t="str">
        <f>"5576 GREEG ST"</f>
        <v>5576 GREEG ST</v>
      </c>
      <c r="J1460" t="str">
        <f t="shared" si="509"/>
        <v>FERNANDINA BEACH FL 32034</v>
      </c>
      <c r="K1460" t="str">
        <f>"1510 STEWART AVE"</f>
        <v>1510 STEWART AVE</v>
      </c>
      <c r="L1460" t="str">
        <f t="shared" si="508"/>
        <v>FERNANDINA BEACH FL 32034</v>
      </c>
      <c r="M1460" t="str">
        <f>"PT GOVT LOT 2 OF SEC 14-2N-28E IN OR 1097/333"</f>
        <v>PT GOVT LOT 2 OF SEC 14-2N-28E IN OR 1097/333</v>
      </c>
      <c r="N1460" t="str">
        <f>""</f>
        <v/>
      </c>
      <c r="O1460" t="str">
        <f>"30063"</f>
        <v>30063</v>
      </c>
      <c r="P1460" t="str">
        <f t="shared" si="494"/>
        <v>2017</v>
      </c>
      <c r="Q1460" t="str">
        <f>""</f>
        <v/>
      </c>
      <c r="R1460" t="str">
        <f t="shared" si="510"/>
        <v>N</v>
      </c>
      <c r="S1460" t="str">
        <f>""</f>
        <v/>
      </c>
      <c r="T1460" t="str">
        <f>"489.77"</f>
        <v>489.77</v>
      </c>
      <c r="U1460" t="str">
        <f>"31398.00"</f>
        <v>31398.00</v>
      </c>
      <c r="V1460" t="str">
        <f>"31398.00"</f>
        <v>31398.00</v>
      </c>
      <c r="W1460" t="str">
        <f t="shared" si="495"/>
        <v>2017</v>
      </c>
      <c r="X1460" t="str">
        <f>"30.20"</f>
        <v>30.20</v>
      </c>
      <c r="Y1460" t="str">
        <f>"536.46"</f>
        <v>536.46</v>
      </c>
      <c r="Z1460" t="str">
        <f>""</f>
        <v/>
      </c>
      <c r="AA1460" t="str">
        <f>"32391.00"</f>
        <v>32391.00</v>
      </c>
      <c r="AB1460" t="str">
        <f t="shared" si="501"/>
        <v>Residential</v>
      </c>
      <c r="AC1460" t="str">
        <f t="shared" si="499"/>
        <v>0</v>
      </c>
      <c r="AD1460" t="str">
        <f>"4"</f>
        <v>4</v>
      </c>
      <c r="AE1460" t="str">
        <f>"WOOD (INCLUDE STEEL STUDS)"</f>
        <v>WOOD (INCLUDE STEEL STUDS)</v>
      </c>
      <c r="AF1460" t="str">
        <f>"001"</f>
        <v>001</v>
      </c>
      <c r="AG1460" t="str">
        <f t="shared" si="507"/>
        <v>FL</v>
      </c>
      <c r="AH1460" t="str">
        <f t="shared" si="511"/>
        <v>-</v>
      </c>
      <c r="AI1460" t="str">
        <f>"11000.00"</f>
        <v>11000.00</v>
      </c>
      <c r="AJ1460" t="str">
        <f>"C55-000-587-0282-0"</f>
        <v>C55-000-587-0282-0</v>
      </c>
      <c r="AK1460" t="str">
        <f>"24950"</f>
        <v>24950</v>
      </c>
      <c r="AL1460">
        <v>6</v>
      </c>
      <c r="AM1460">
        <v>1676</v>
      </c>
      <c r="AN1460">
        <v>561.67999999999995</v>
      </c>
      <c r="AQ1460" t="s">
        <v>14825</v>
      </c>
      <c r="AR1460" t="s">
        <v>14825</v>
      </c>
      <c r="AS1460" t="s">
        <v>14825</v>
      </c>
      <c r="AU1460" t="s">
        <v>396</v>
      </c>
      <c r="AV1460">
        <v>2017</v>
      </c>
      <c r="AW1460" t="str">
        <f>"14-2N-28-0000-0007-0050 "</f>
        <v xml:space="preserve">14-2N-28-0000-0007-0050 </v>
      </c>
      <c r="AX1460">
        <v>1510</v>
      </c>
      <c r="AZ1460" t="s">
        <v>14813</v>
      </c>
      <c r="BA1460" t="s">
        <v>1112</v>
      </c>
      <c r="BD1460" t="s">
        <v>11749</v>
      </c>
      <c r="BE1460" t="s">
        <v>393</v>
      </c>
      <c r="BF1460">
        <v>32034</v>
      </c>
      <c r="BG1460" t="s">
        <v>14826</v>
      </c>
      <c r="BH1460" t="s">
        <v>11751</v>
      </c>
      <c r="BI1460">
        <v>-81.452039083098498</v>
      </c>
      <c r="BJ1460">
        <v>30.579032373640299</v>
      </c>
      <c r="BK1460" t="s">
        <v>14827</v>
      </c>
      <c r="BM1460" t="s">
        <v>14828</v>
      </c>
      <c r="BN1460" t="s">
        <v>3983</v>
      </c>
      <c r="BO1460">
        <v>32034</v>
      </c>
      <c r="BP1460" t="s">
        <v>404</v>
      </c>
      <c r="BQ1460">
        <v>100</v>
      </c>
      <c r="BR1460" t="s">
        <v>514</v>
      </c>
      <c r="BS1460">
        <v>1001</v>
      </c>
      <c r="BT1460" t="s">
        <v>515</v>
      </c>
      <c r="BW1460">
        <v>4714</v>
      </c>
      <c r="BX1460" t="s">
        <v>407</v>
      </c>
      <c r="BY1460" t="s">
        <v>7351</v>
      </c>
      <c r="BZ1460">
        <v>4</v>
      </c>
      <c r="CA1460">
        <v>1961</v>
      </c>
      <c r="CB1460">
        <v>1</v>
      </c>
      <c r="CC1460">
        <v>1</v>
      </c>
      <c r="CD1460">
        <v>2017</v>
      </c>
      <c r="CE1460">
        <v>11000</v>
      </c>
      <c r="CF1460">
        <v>21391</v>
      </c>
      <c r="CG1460">
        <v>32391</v>
      </c>
      <c r="CH1460">
        <v>2017</v>
      </c>
      <c r="CI1460">
        <v>11000</v>
      </c>
      <c r="CJ1460">
        <v>21391</v>
      </c>
      <c r="CK1460">
        <v>32391</v>
      </c>
      <c r="CL1460">
        <v>2017</v>
      </c>
      <c r="CM1460">
        <v>489.77</v>
      </c>
      <c r="CN1460" s="1">
        <v>37586</v>
      </c>
      <c r="CO1460">
        <v>15000</v>
      </c>
      <c r="CV1460">
        <v>0</v>
      </c>
      <c r="CZ1460" s="1">
        <v>37586</v>
      </c>
      <c r="DA1460">
        <v>0</v>
      </c>
      <c r="DD1460" t="s">
        <v>11749</v>
      </c>
      <c r="DF1460">
        <v>2</v>
      </c>
      <c r="DG1460">
        <v>14</v>
      </c>
      <c r="DL1460">
        <v>50203</v>
      </c>
      <c r="DM1460" t="s">
        <v>14802</v>
      </c>
      <c r="DO1460" t="s">
        <v>14829</v>
      </c>
      <c r="DP1460">
        <v>0</v>
      </c>
      <c r="DQ1460">
        <v>3</v>
      </c>
      <c r="DR1460" t="s">
        <v>1479</v>
      </c>
      <c r="DS1460" t="b">
        <v>1</v>
      </c>
      <c r="DT1460" t="s">
        <v>470</v>
      </c>
      <c r="DU1460" t="s">
        <v>471</v>
      </c>
      <c r="DV1460" t="s">
        <v>472</v>
      </c>
      <c r="DX1460">
        <v>-9999</v>
      </c>
      <c r="DZ1460" t="s">
        <v>447</v>
      </c>
      <c r="EA1460" t="s">
        <v>448</v>
      </c>
      <c r="EB1460" t="s">
        <v>14787</v>
      </c>
      <c r="EC1460">
        <v>20101217</v>
      </c>
      <c r="ED1460" t="s">
        <v>474</v>
      </c>
      <c r="EF1460">
        <v>922.5</v>
      </c>
      <c r="EG1460">
        <v>854.2</v>
      </c>
      <c r="EI1460">
        <v>20160407</v>
      </c>
      <c r="EJ1460">
        <v>0</v>
      </c>
      <c r="EK1460">
        <v>0</v>
      </c>
      <c r="EP1460" t="s">
        <v>421</v>
      </c>
      <c r="EQ1460" t="s">
        <v>422</v>
      </c>
      <c r="ER1460">
        <v>2</v>
      </c>
      <c r="ES1460">
        <v>6</v>
      </c>
      <c r="ET1460">
        <v>1074.82</v>
      </c>
      <c r="EU1460">
        <v>66.239999999999995</v>
      </c>
      <c r="EV1460">
        <v>1141.06</v>
      </c>
      <c r="EW1460" s="2">
        <v>43222</v>
      </c>
      <c r="EX1460" s="1">
        <v>42879</v>
      </c>
      <c r="EY1460">
        <v>2016</v>
      </c>
      <c r="EZ1460">
        <v>537.41</v>
      </c>
      <c r="FA1460" t="s">
        <v>14830</v>
      </c>
      <c r="FB1460">
        <v>0.25</v>
      </c>
      <c r="FC1460" t="s">
        <v>424</v>
      </c>
      <c r="FD1460" t="s">
        <v>454</v>
      </c>
      <c r="FF1460">
        <v>12</v>
      </c>
      <c r="FG1460">
        <v>7400234</v>
      </c>
      <c r="FH1460" t="s">
        <v>426</v>
      </c>
      <c r="FJ1460" s="1">
        <v>42879</v>
      </c>
      <c r="FK1460">
        <v>2016</v>
      </c>
      <c r="FL1460">
        <v>537.41</v>
      </c>
      <c r="FM1460" t="s">
        <v>14830</v>
      </c>
      <c r="FN1460">
        <v>0.25</v>
      </c>
      <c r="FO1460" t="s">
        <v>424</v>
      </c>
      <c r="FP1460" t="s">
        <v>454</v>
      </c>
      <c r="FR1460">
        <v>12</v>
      </c>
      <c r="FS1460">
        <v>7447023</v>
      </c>
      <c r="FT1460" t="s">
        <v>14831</v>
      </c>
      <c r="FV1460" s="1">
        <v>42515</v>
      </c>
      <c r="FW1460">
        <v>2015</v>
      </c>
      <c r="FX1460">
        <v>560.22</v>
      </c>
      <c r="FY1460" t="s">
        <v>14832</v>
      </c>
      <c r="FZ1460">
        <v>0.25</v>
      </c>
      <c r="GA1460" t="s">
        <v>424</v>
      </c>
      <c r="GB1460" t="s">
        <v>425</v>
      </c>
      <c r="GC1460" s="1">
        <v>42608</v>
      </c>
      <c r="GD1460">
        <v>3</v>
      </c>
      <c r="GE1460">
        <v>11289</v>
      </c>
      <c r="GF1460" t="s">
        <v>787</v>
      </c>
      <c r="GH1460" s="1">
        <v>42515</v>
      </c>
      <c r="GI1460">
        <v>2015</v>
      </c>
      <c r="GJ1460">
        <v>560.22</v>
      </c>
      <c r="GK1460" t="s">
        <v>14832</v>
      </c>
      <c r="GL1460">
        <v>0.25</v>
      </c>
      <c r="GM1460" t="s">
        <v>424</v>
      </c>
      <c r="GN1460" t="s">
        <v>425</v>
      </c>
      <c r="GP1460">
        <v>22</v>
      </c>
      <c r="GQ1460">
        <v>7232597</v>
      </c>
      <c r="GR1460" t="s">
        <v>14833</v>
      </c>
      <c r="GT1460" s="1">
        <v>42151</v>
      </c>
      <c r="GU1460">
        <v>2014</v>
      </c>
      <c r="GV1460">
        <v>512.25</v>
      </c>
      <c r="GW1460" t="s">
        <v>14834</v>
      </c>
      <c r="GX1460">
        <v>18</v>
      </c>
      <c r="GY1460" t="s">
        <v>424</v>
      </c>
      <c r="GZ1460" t="s">
        <v>425</v>
      </c>
      <c r="HA1460" s="1">
        <v>42608</v>
      </c>
      <c r="HB1460">
        <v>15</v>
      </c>
      <c r="HC1460">
        <v>10125</v>
      </c>
      <c r="HD1460" t="s">
        <v>440</v>
      </c>
      <c r="HF1460" s="1">
        <v>41787</v>
      </c>
      <c r="HG1460">
        <v>2013</v>
      </c>
      <c r="HH1460">
        <v>372.33</v>
      </c>
      <c r="HI1460" t="s">
        <v>14835</v>
      </c>
      <c r="HJ1460">
        <v>16.5</v>
      </c>
      <c r="HK1460" t="s">
        <v>424</v>
      </c>
      <c r="HL1460" t="s">
        <v>425</v>
      </c>
      <c r="HM1460" s="1">
        <v>42608</v>
      </c>
      <c r="HN1460">
        <v>27</v>
      </c>
      <c r="HO1460">
        <v>10125</v>
      </c>
      <c r="HP1460" t="s">
        <v>440</v>
      </c>
      <c r="HR1460" s="1">
        <v>41423</v>
      </c>
      <c r="HS1460">
        <v>2012</v>
      </c>
      <c r="HT1460">
        <v>364.14</v>
      </c>
      <c r="HU1460" t="s">
        <v>14836</v>
      </c>
      <c r="HV1460">
        <v>3.5</v>
      </c>
      <c r="HW1460" t="s">
        <v>424</v>
      </c>
      <c r="HX1460" t="s">
        <v>425</v>
      </c>
      <c r="HY1460" s="1">
        <v>42241</v>
      </c>
      <c r="HZ1460">
        <v>27</v>
      </c>
      <c r="IA1460">
        <v>10125</v>
      </c>
      <c r="IB1460" t="s">
        <v>440</v>
      </c>
      <c r="ID1460" s="1">
        <v>41052</v>
      </c>
      <c r="IE1460">
        <v>2011</v>
      </c>
      <c r="IF1460">
        <v>323.92</v>
      </c>
      <c r="IG1460" t="s">
        <v>14837</v>
      </c>
      <c r="IH1460">
        <v>15.75</v>
      </c>
      <c r="II1460" t="s">
        <v>424</v>
      </c>
      <c r="IJ1460" t="s">
        <v>425</v>
      </c>
      <c r="IK1460" s="1">
        <v>42257</v>
      </c>
      <c r="IL1460">
        <v>40</v>
      </c>
      <c r="IM1460">
        <v>10125</v>
      </c>
      <c r="IN1460" t="s">
        <v>440</v>
      </c>
    </row>
    <row r="1461" spans="1:284" x14ac:dyDescent="0.25">
      <c r="A1461">
        <v>16486468</v>
      </c>
      <c r="B1461">
        <v>1460</v>
      </c>
      <c r="C1461" t="s">
        <v>393</v>
      </c>
      <c r="D1461" t="s">
        <v>394</v>
      </c>
      <c r="F1461" t="str">
        <f>"14-2N-28-0000-0007-0110"</f>
        <v>14-2N-28-0000-0007-0110</v>
      </c>
      <c r="H1461" t="str">
        <f>"EMORY EUGENE K"</f>
        <v>EMORY EUGENE K</v>
      </c>
      <c r="I1461" t="str">
        <f>"5576 GREEG ST"</f>
        <v>5576 GREEG ST</v>
      </c>
      <c r="J1461" t="str">
        <f t="shared" si="509"/>
        <v>FERNANDINA BEACH FL 32034</v>
      </c>
      <c r="K1461" t="str">
        <f>"1428 STEWART AVE"</f>
        <v>1428 STEWART AVE</v>
      </c>
      <c r="L1461" t="str">
        <f t="shared" si="508"/>
        <v>FERNANDINA BEACH FL 32034</v>
      </c>
      <c r="M1461" t="str">
        <f>"PT GOVT LOT 2 OF SEC 14-2N-28E IN OR 1092/215"</f>
        <v>PT GOVT LOT 2 OF SEC 14-2N-28E IN OR 1092/215</v>
      </c>
      <c r="N1461" t="str">
        <f>""</f>
        <v/>
      </c>
      <c r="O1461" t="str">
        <f>"30069"</f>
        <v>30069</v>
      </c>
      <c r="P1461" t="str">
        <f t="shared" si="494"/>
        <v>2017</v>
      </c>
      <c r="Q1461" t="str">
        <f>""</f>
        <v/>
      </c>
      <c r="R1461" t="str">
        <f t="shared" si="510"/>
        <v>N</v>
      </c>
      <c r="S1461" t="str">
        <f>""</f>
        <v/>
      </c>
      <c r="T1461" t="str">
        <f>"169.29"</f>
        <v>169.29</v>
      </c>
      <c r="U1461" t="str">
        <f t="shared" ref="U1461:V1463" si="512">"11000.00"</f>
        <v>11000.00</v>
      </c>
      <c r="V1461" t="str">
        <f t="shared" si="512"/>
        <v>11000.00</v>
      </c>
      <c r="W1461" t="str">
        <f t="shared" si="495"/>
        <v>2017</v>
      </c>
      <c r="X1461" t="str">
        <f>"20.33"</f>
        <v>20.33</v>
      </c>
      <c r="Y1461" t="str">
        <f>"206.37"</f>
        <v>206.37</v>
      </c>
      <c r="Z1461" t="str">
        <f>""</f>
        <v/>
      </c>
      <c r="AA1461" t="str">
        <f>"11000.00"</f>
        <v>11000.00</v>
      </c>
      <c r="AB1461" t="str">
        <f t="shared" si="501"/>
        <v>Residential</v>
      </c>
      <c r="AC1461" t="str">
        <f t="shared" si="499"/>
        <v>0</v>
      </c>
      <c r="AD1461" t="str">
        <f>""</f>
        <v/>
      </c>
      <c r="AE1461" t="str">
        <f>""</f>
        <v/>
      </c>
      <c r="AF1461" t="str">
        <f>"000"</f>
        <v>000</v>
      </c>
      <c r="AG1461" t="str">
        <f t="shared" si="507"/>
        <v>FL</v>
      </c>
      <c r="AH1461" t="str">
        <f t="shared" si="511"/>
        <v>-</v>
      </c>
      <c r="AI1461" t="str">
        <f>"11000.00"</f>
        <v>11000.00</v>
      </c>
      <c r="AJ1461" t="str">
        <f>"C55-000-587-0288-7"</f>
        <v>C55-000-587-0288-7</v>
      </c>
      <c r="AK1461" t="str">
        <f>"24956"</f>
        <v>24956</v>
      </c>
      <c r="AL1461">
        <v>6</v>
      </c>
      <c r="AM1461">
        <v>1678</v>
      </c>
      <c r="AN1461">
        <v>215.09</v>
      </c>
      <c r="AQ1461" t="s">
        <v>14838</v>
      </c>
      <c r="AR1461" t="s">
        <v>14838</v>
      </c>
      <c r="AS1461" t="s">
        <v>14838</v>
      </c>
      <c r="AU1461" t="s">
        <v>396</v>
      </c>
      <c r="AV1461">
        <v>2017</v>
      </c>
      <c r="AW1461" t="str">
        <f>"14-2N-28-0000-0007-0110 "</f>
        <v xml:space="preserve">14-2N-28-0000-0007-0110 </v>
      </c>
      <c r="AX1461">
        <v>1428</v>
      </c>
      <c r="AZ1461" t="s">
        <v>14813</v>
      </c>
      <c r="BA1461" t="s">
        <v>1112</v>
      </c>
      <c r="BD1461" t="s">
        <v>11749</v>
      </c>
      <c r="BE1461" t="s">
        <v>393</v>
      </c>
      <c r="BF1461">
        <v>32034</v>
      </c>
      <c r="BG1461" t="s">
        <v>14839</v>
      </c>
      <c r="BH1461" t="s">
        <v>11751</v>
      </c>
      <c r="BI1461">
        <v>-81.452752234942594</v>
      </c>
      <c r="BJ1461">
        <v>30.578981197529298</v>
      </c>
      <c r="BK1461" t="s">
        <v>14827</v>
      </c>
      <c r="BM1461" t="s">
        <v>14828</v>
      </c>
      <c r="BN1461" t="s">
        <v>3983</v>
      </c>
      <c r="BO1461">
        <v>32034</v>
      </c>
      <c r="BP1461" t="s">
        <v>404</v>
      </c>
      <c r="BQ1461">
        <v>0</v>
      </c>
      <c r="BR1461" t="s">
        <v>491</v>
      </c>
      <c r="BS1461">
        <v>8001</v>
      </c>
      <c r="BT1461" t="s">
        <v>492</v>
      </c>
      <c r="BW1461">
        <v>4677</v>
      </c>
      <c r="BX1461" t="s">
        <v>407</v>
      </c>
      <c r="BY1461" t="s">
        <v>7351</v>
      </c>
      <c r="CD1461">
        <v>2017</v>
      </c>
      <c r="CE1461">
        <v>11000</v>
      </c>
      <c r="CG1461">
        <v>11000</v>
      </c>
      <c r="CH1461">
        <v>2017</v>
      </c>
      <c r="CI1461">
        <v>11000</v>
      </c>
      <c r="CK1461">
        <v>11000</v>
      </c>
      <c r="CL1461">
        <v>2017</v>
      </c>
      <c r="CM1461">
        <v>169.29</v>
      </c>
      <c r="CN1461" s="1">
        <v>37565</v>
      </c>
      <c r="CO1461">
        <v>25000</v>
      </c>
      <c r="CV1461">
        <v>0</v>
      </c>
      <c r="CZ1461" s="1">
        <v>37565</v>
      </c>
      <c r="DA1461">
        <v>0</v>
      </c>
      <c r="DD1461" t="s">
        <v>11749</v>
      </c>
      <c r="DF1461">
        <v>2</v>
      </c>
      <c r="DG1461">
        <v>14</v>
      </c>
      <c r="DL1461">
        <v>50203</v>
      </c>
      <c r="DM1461" t="s">
        <v>14802</v>
      </c>
      <c r="DO1461" t="s">
        <v>14840</v>
      </c>
      <c r="DP1461">
        <v>0</v>
      </c>
      <c r="DQ1461">
        <v>4</v>
      </c>
      <c r="DR1461" t="s">
        <v>1174</v>
      </c>
      <c r="DS1461" t="b">
        <v>1</v>
      </c>
      <c r="DT1461" t="s">
        <v>470</v>
      </c>
      <c r="DU1461" t="s">
        <v>471</v>
      </c>
      <c r="DV1461" t="s">
        <v>472</v>
      </c>
      <c r="DX1461">
        <v>-9999</v>
      </c>
      <c r="DZ1461" t="s">
        <v>447</v>
      </c>
      <c r="EA1461" t="s">
        <v>448</v>
      </c>
      <c r="EB1461" t="s">
        <v>14787</v>
      </c>
      <c r="EC1461">
        <v>20101217</v>
      </c>
      <c r="ED1461" t="s">
        <v>474</v>
      </c>
      <c r="EF1461">
        <v>709.5</v>
      </c>
      <c r="EG1461">
        <v>685.7</v>
      </c>
      <c r="EI1461">
        <v>20160407</v>
      </c>
      <c r="EJ1461">
        <v>0</v>
      </c>
      <c r="EK1461">
        <v>0</v>
      </c>
      <c r="EP1461" t="s">
        <v>421</v>
      </c>
      <c r="EQ1461" t="s">
        <v>422</v>
      </c>
      <c r="ER1461">
        <v>1</v>
      </c>
      <c r="ES1461">
        <v>4</v>
      </c>
      <c r="ET1461">
        <v>212.72</v>
      </c>
      <c r="EU1461">
        <v>26.99</v>
      </c>
      <c r="EV1461">
        <v>239.71</v>
      </c>
      <c r="EW1461" s="2">
        <v>43222</v>
      </c>
      <c r="EX1461" s="1">
        <v>42879</v>
      </c>
      <c r="EY1461">
        <v>2016</v>
      </c>
      <c r="EZ1461">
        <v>212.72</v>
      </c>
      <c r="FA1461" t="s">
        <v>14841</v>
      </c>
      <c r="FB1461">
        <v>9.75</v>
      </c>
      <c r="FC1461" t="s">
        <v>424</v>
      </c>
      <c r="FD1461" t="s">
        <v>454</v>
      </c>
      <c r="FF1461">
        <v>12</v>
      </c>
      <c r="FG1461">
        <v>10021</v>
      </c>
      <c r="FH1461" t="s">
        <v>597</v>
      </c>
      <c r="FJ1461" s="1">
        <v>42515</v>
      </c>
      <c r="FK1461">
        <v>2015</v>
      </c>
      <c r="FL1461">
        <v>300.23</v>
      </c>
      <c r="FM1461" t="s">
        <v>14842</v>
      </c>
      <c r="FN1461">
        <v>18</v>
      </c>
      <c r="FO1461" t="s">
        <v>424</v>
      </c>
      <c r="FP1461" t="s">
        <v>425</v>
      </c>
      <c r="FQ1461" s="1">
        <v>42608</v>
      </c>
      <c r="FR1461">
        <v>3</v>
      </c>
      <c r="FS1461">
        <v>7336677</v>
      </c>
      <c r="FT1461" t="s">
        <v>5826</v>
      </c>
      <c r="FV1461" s="1">
        <v>42151</v>
      </c>
      <c r="FW1461">
        <v>2014</v>
      </c>
      <c r="FX1461">
        <v>275.12</v>
      </c>
      <c r="FY1461" t="s">
        <v>14843</v>
      </c>
      <c r="FZ1461">
        <v>9</v>
      </c>
      <c r="GA1461" t="s">
        <v>424</v>
      </c>
      <c r="GB1461" t="s">
        <v>425</v>
      </c>
      <c r="GC1461" s="1">
        <v>42608</v>
      </c>
      <c r="GD1461">
        <v>15</v>
      </c>
      <c r="GE1461">
        <v>10125</v>
      </c>
      <c r="GF1461" t="s">
        <v>440</v>
      </c>
      <c r="GH1461" s="1">
        <v>41787</v>
      </c>
      <c r="GI1461">
        <v>2013</v>
      </c>
      <c r="GJ1461">
        <v>237.65</v>
      </c>
      <c r="GK1461" t="s">
        <v>14844</v>
      </c>
      <c r="GL1461">
        <v>15.5</v>
      </c>
      <c r="GM1461" t="s">
        <v>424</v>
      </c>
      <c r="GN1461" t="s">
        <v>425</v>
      </c>
      <c r="GO1461" s="1">
        <v>42608</v>
      </c>
      <c r="GP1461">
        <v>27</v>
      </c>
      <c r="GQ1461">
        <v>10125</v>
      </c>
      <c r="GR1461" t="s">
        <v>440</v>
      </c>
      <c r="GT1461" s="1">
        <v>41052</v>
      </c>
      <c r="GU1461">
        <v>2011</v>
      </c>
      <c r="GV1461">
        <v>208.88</v>
      </c>
      <c r="GW1461" t="s">
        <v>14845</v>
      </c>
      <c r="GX1461">
        <v>8.75</v>
      </c>
      <c r="GY1461" t="s">
        <v>424</v>
      </c>
      <c r="GZ1461" t="s">
        <v>425</v>
      </c>
      <c r="HA1461" s="1">
        <v>41274</v>
      </c>
      <c r="HB1461">
        <v>7</v>
      </c>
      <c r="HC1461">
        <v>10125</v>
      </c>
      <c r="HD1461" t="s">
        <v>440</v>
      </c>
    </row>
    <row r="1462" spans="1:284" x14ac:dyDescent="0.25">
      <c r="A1462">
        <v>16486469</v>
      </c>
      <c r="B1462">
        <v>1461</v>
      </c>
      <c r="C1462" t="s">
        <v>393</v>
      </c>
      <c r="D1462" t="s">
        <v>394</v>
      </c>
      <c r="F1462" t="str">
        <f>"14-2N-28-0000-0007-0170"</f>
        <v>14-2N-28-0000-0007-0170</v>
      </c>
      <c r="H1462" t="str">
        <f>"TINER JAMES P"</f>
        <v>TINER JAMES P</v>
      </c>
      <c r="I1462" t="str">
        <f>"1448 IAN DR"</f>
        <v>1448 IAN DR</v>
      </c>
      <c r="J1462" t="str">
        <f t="shared" si="509"/>
        <v>FERNANDINA BEACH FL 32034</v>
      </c>
      <c r="K1462" t="str">
        <f>"STEWART AV"</f>
        <v>STEWART AV</v>
      </c>
      <c r="L1462" t="str">
        <f t="shared" si="508"/>
        <v>FERNANDINA BEACH FL 32034</v>
      </c>
      <c r="M1462" t="str">
        <f>"LOT 9 IN OR 1791/1341 WILLIE B WILLIAMS SUB OR 77/122"</f>
        <v>LOT 9 IN OR 1791/1341 WILLIE B WILLIAMS SUB OR 77/122</v>
      </c>
      <c r="N1462" t="str">
        <f>""</f>
        <v/>
      </c>
      <c r="O1462" t="str">
        <f>"30075"</f>
        <v>30075</v>
      </c>
      <c r="P1462" t="str">
        <f t="shared" si="494"/>
        <v>2017</v>
      </c>
      <c r="Q1462" t="str">
        <f>""</f>
        <v/>
      </c>
      <c r="R1462" t="str">
        <f t="shared" si="510"/>
        <v>N</v>
      </c>
      <c r="S1462" t="str">
        <f>""</f>
        <v/>
      </c>
      <c r="T1462" t="str">
        <f>"169.29"</f>
        <v>169.29</v>
      </c>
      <c r="U1462" t="str">
        <f t="shared" si="512"/>
        <v>11000.00</v>
      </c>
      <c r="V1462" t="str">
        <f t="shared" si="512"/>
        <v>11000.00</v>
      </c>
      <c r="W1462" t="str">
        <f t="shared" si="495"/>
        <v>2017</v>
      </c>
      <c r="X1462" t="str">
        <f>"14.33"</f>
        <v>14.33</v>
      </c>
      <c r="Y1462" t="str">
        <f>"206.37"</f>
        <v>206.37</v>
      </c>
      <c r="Z1462" t="str">
        <f>""</f>
        <v/>
      </c>
      <c r="AA1462" t="str">
        <f>"11000.00"</f>
        <v>11000.00</v>
      </c>
      <c r="AB1462" t="str">
        <f t="shared" si="501"/>
        <v>Residential</v>
      </c>
      <c r="AC1462" t="str">
        <f t="shared" si="499"/>
        <v>0</v>
      </c>
      <c r="AD1462" t="str">
        <f>""</f>
        <v/>
      </c>
      <c r="AE1462" t="str">
        <f>""</f>
        <v/>
      </c>
      <c r="AF1462" t="str">
        <f>"000"</f>
        <v>000</v>
      </c>
      <c r="AG1462" t="str">
        <f t="shared" si="507"/>
        <v>FL</v>
      </c>
      <c r="AH1462" t="str">
        <f t="shared" si="511"/>
        <v>-</v>
      </c>
      <c r="AI1462" t="str">
        <f>"11000.00"</f>
        <v>11000.00</v>
      </c>
      <c r="AJ1462" t="str">
        <f>"C55-000-587-0294-5"</f>
        <v>C55-000-587-0294-5</v>
      </c>
      <c r="AK1462" t="str">
        <f>"24962"</f>
        <v>24962</v>
      </c>
      <c r="AL1462">
        <v>6</v>
      </c>
      <c r="AM1462">
        <v>1679</v>
      </c>
      <c r="AN1462">
        <v>215.09</v>
      </c>
      <c r="AQ1462" t="s">
        <v>14846</v>
      </c>
      <c r="AR1462" t="s">
        <v>14846</v>
      </c>
      <c r="AS1462" t="s">
        <v>14846</v>
      </c>
      <c r="AU1462" t="s">
        <v>396</v>
      </c>
      <c r="AV1462">
        <v>2017</v>
      </c>
      <c r="AW1462" t="str">
        <f>"14-2N-28-0000-0007-0170 "</f>
        <v xml:space="preserve">14-2N-28-0000-0007-0170 </v>
      </c>
      <c r="AZ1462" t="s">
        <v>14813</v>
      </c>
      <c r="BA1462" t="s">
        <v>1122</v>
      </c>
      <c r="BD1462" t="s">
        <v>11749</v>
      </c>
      <c r="BE1462" t="s">
        <v>393</v>
      </c>
      <c r="BF1462">
        <v>32034</v>
      </c>
      <c r="BG1462" t="s">
        <v>14814</v>
      </c>
      <c r="BH1462" t="s">
        <v>11751</v>
      </c>
      <c r="BI1462">
        <v>-81.450785435589694</v>
      </c>
      <c r="BJ1462">
        <v>30.579122353190002</v>
      </c>
      <c r="BK1462" t="s">
        <v>14847</v>
      </c>
      <c r="BM1462" t="s">
        <v>14848</v>
      </c>
      <c r="BN1462" t="s">
        <v>3983</v>
      </c>
      <c r="BO1462">
        <v>32034</v>
      </c>
      <c r="BP1462" t="s">
        <v>404</v>
      </c>
      <c r="BQ1462">
        <v>0</v>
      </c>
      <c r="BR1462" t="s">
        <v>491</v>
      </c>
      <c r="BS1462">
        <v>8001</v>
      </c>
      <c r="BT1462" t="s">
        <v>492</v>
      </c>
      <c r="BW1462">
        <v>4724</v>
      </c>
      <c r="BX1462" t="s">
        <v>407</v>
      </c>
      <c r="BY1462" t="s">
        <v>7351</v>
      </c>
      <c r="CD1462">
        <v>2017</v>
      </c>
      <c r="CE1462">
        <v>11000</v>
      </c>
      <c r="CG1462">
        <v>11000</v>
      </c>
      <c r="CH1462">
        <v>2017</v>
      </c>
      <c r="CI1462">
        <v>11000</v>
      </c>
      <c r="CK1462">
        <v>11000</v>
      </c>
      <c r="CL1462">
        <v>2017</v>
      </c>
      <c r="CM1462">
        <v>169.29</v>
      </c>
      <c r="CN1462" s="1">
        <v>41032</v>
      </c>
      <c r="CV1462">
        <v>0</v>
      </c>
      <c r="CZ1462" s="1">
        <v>41032</v>
      </c>
      <c r="DA1462">
        <v>0</v>
      </c>
      <c r="DD1462" t="s">
        <v>11749</v>
      </c>
      <c r="DG1462">
        <v>14</v>
      </c>
      <c r="DL1462">
        <v>50203</v>
      </c>
      <c r="DM1462" t="s">
        <v>14802</v>
      </c>
      <c r="DO1462" t="s">
        <v>14849</v>
      </c>
      <c r="DP1462">
        <v>0</v>
      </c>
      <c r="DQ1462">
        <v>0</v>
      </c>
      <c r="DR1462" t="s">
        <v>411</v>
      </c>
      <c r="DS1462" t="s">
        <v>695</v>
      </c>
      <c r="EJ1462">
        <v>0</v>
      </c>
      <c r="EK1462">
        <v>0</v>
      </c>
      <c r="EP1462" t="s">
        <v>421</v>
      </c>
      <c r="EQ1462" t="s">
        <v>422</v>
      </c>
      <c r="ER1462">
        <v>1</v>
      </c>
      <c r="ES1462">
        <v>4</v>
      </c>
      <c r="ET1462">
        <v>212.72</v>
      </c>
      <c r="EU1462">
        <v>26.99</v>
      </c>
      <c r="EV1462">
        <v>239.71</v>
      </c>
      <c r="EW1462" s="2">
        <v>43222</v>
      </c>
      <c r="EX1462" s="1">
        <v>42879</v>
      </c>
      <c r="EY1462">
        <v>2016</v>
      </c>
      <c r="EZ1462">
        <v>212.72</v>
      </c>
      <c r="FA1462" t="s">
        <v>14850</v>
      </c>
      <c r="FB1462">
        <v>9.75</v>
      </c>
      <c r="FC1462" t="s">
        <v>424</v>
      </c>
      <c r="FD1462" t="s">
        <v>454</v>
      </c>
      <c r="FF1462">
        <v>12</v>
      </c>
      <c r="FG1462">
        <v>10021</v>
      </c>
      <c r="FH1462" t="s">
        <v>597</v>
      </c>
      <c r="FJ1462" s="1">
        <v>42515</v>
      </c>
      <c r="FK1462">
        <v>2015</v>
      </c>
      <c r="FL1462">
        <v>300.23</v>
      </c>
      <c r="FM1462" t="s">
        <v>14851</v>
      </c>
      <c r="FN1462">
        <v>0.25</v>
      </c>
      <c r="FO1462" t="s">
        <v>424</v>
      </c>
      <c r="FP1462" t="s">
        <v>425</v>
      </c>
      <c r="FQ1462" s="1">
        <v>43112</v>
      </c>
      <c r="FR1462">
        <v>20</v>
      </c>
      <c r="FS1462">
        <v>7336671</v>
      </c>
      <c r="FT1462" t="s">
        <v>437</v>
      </c>
      <c r="FV1462" s="1">
        <v>42515</v>
      </c>
      <c r="FW1462">
        <v>2015</v>
      </c>
      <c r="FX1462">
        <v>300.23</v>
      </c>
      <c r="FY1462" t="s">
        <v>14851</v>
      </c>
      <c r="FZ1462">
        <v>0.25</v>
      </c>
      <c r="GA1462" t="s">
        <v>424</v>
      </c>
      <c r="GB1462" t="s">
        <v>425</v>
      </c>
      <c r="GD1462">
        <v>22</v>
      </c>
      <c r="GE1462">
        <v>7000974</v>
      </c>
      <c r="GF1462" t="s">
        <v>14852</v>
      </c>
      <c r="GH1462" s="1">
        <v>41787</v>
      </c>
      <c r="GI1462">
        <v>2013</v>
      </c>
      <c r="GJ1462">
        <v>237.65</v>
      </c>
      <c r="GK1462" t="s">
        <v>14853</v>
      </c>
      <c r="GL1462">
        <v>0.25</v>
      </c>
      <c r="GM1462" t="s">
        <v>424</v>
      </c>
      <c r="GN1462" t="s">
        <v>425</v>
      </c>
      <c r="GO1462" s="1">
        <v>42044</v>
      </c>
      <c r="GP1462">
        <v>9</v>
      </c>
      <c r="GQ1462">
        <v>10125</v>
      </c>
      <c r="GR1462" t="s">
        <v>440</v>
      </c>
      <c r="GT1462" s="1">
        <v>40688</v>
      </c>
      <c r="GU1462">
        <v>2010</v>
      </c>
      <c r="GV1462">
        <v>494.58</v>
      </c>
      <c r="GW1462" t="s">
        <v>14854</v>
      </c>
      <c r="GX1462">
        <v>6</v>
      </c>
      <c r="GY1462" t="s">
        <v>424</v>
      </c>
      <c r="GZ1462" t="s">
        <v>425</v>
      </c>
      <c r="HA1462" s="1">
        <v>41324</v>
      </c>
      <c r="HB1462">
        <v>21</v>
      </c>
      <c r="HC1462">
        <v>105</v>
      </c>
      <c r="HD1462" t="s">
        <v>946</v>
      </c>
    </row>
    <row r="1463" spans="1:284" x14ac:dyDescent="0.25">
      <c r="A1463">
        <v>16486470</v>
      </c>
      <c r="B1463">
        <v>1462</v>
      </c>
      <c r="C1463" t="s">
        <v>393</v>
      </c>
      <c r="D1463" t="s">
        <v>394</v>
      </c>
      <c r="F1463" t="str">
        <f>"14-2N-28-0000-0007-0190"</f>
        <v>14-2N-28-0000-0007-0190</v>
      </c>
      <c r="H1463" t="str">
        <f>"TINER JAMES P"</f>
        <v>TINER JAMES P</v>
      </c>
      <c r="I1463" t="str">
        <f>"1436 IAN DR"</f>
        <v>1436 IAN DR</v>
      </c>
      <c r="J1463" t="str">
        <f t="shared" si="509"/>
        <v>FERNANDINA BEACH FL 32034</v>
      </c>
      <c r="K1463" t="str">
        <f>"1618 STEWART AVE"</f>
        <v>1618 STEWART AVE</v>
      </c>
      <c r="L1463" t="str">
        <f t="shared" si="508"/>
        <v>FERNANDINA BEACH FL 32034</v>
      </c>
      <c r="M1463" t="str">
        <f>"LOT 8 IN OR 1977/1161 WILLIE B WILLIAMS SUB OR 77/122"</f>
        <v>LOT 8 IN OR 1977/1161 WILLIE B WILLIAMS SUB OR 77/122</v>
      </c>
      <c r="N1463" t="str">
        <f>""</f>
        <v/>
      </c>
      <c r="O1463" t="str">
        <f>"30077"</f>
        <v>30077</v>
      </c>
      <c r="P1463" t="str">
        <f t="shared" si="494"/>
        <v>2017</v>
      </c>
      <c r="Q1463" t="str">
        <f>""</f>
        <v/>
      </c>
      <c r="R1463" t="str">
        <f t="shared" si="510"/>
        <v>N</v>
      </c>
      <c r="S1463" t="str">
        <f>""</f>
        <v/>
      </c>
      <c r="T1463" t="str">
        <f>"169.29"</f>
        <v>169.29</v>
      </c>
      <c r="U1463" t="str">
        <f t="shared" si="512"/>
        <v>11000.00</v>
      </c>
      <c r="V1463" t="str">
        <f t="shared" si="512"/>
        <v>11000.00</v>
      </c>
      <c r="W1463" t="str">
        <f t="shared" si="495"/>
        <v>2017</v>
      </c>
      <c r="X1463" t="str">
        <f>"20.00"</f>
        <v>20.00</v>
      </c>
      <c r="Y1463" t="str">
        <f>"206.37"</f>
        <v>206.37</v>
      </c>
      <c r="Z1463" t="str">
        <f>""</f>
        <v/>
      </c>
      <c r="AA1463" t="str">
        <f>"11000.00"</f>
        <v>11000.00</v>
      </c>
      <c r="AB1463" t="str">
        <f t="shared" si="501"/>
        <v>Residential</v>
      </c>
      <c r="AC1463" t="str">
        <f t="shared" si="499"/>
        <v>0</v>
      </c>
      <c r="AD1463" t="str">
        <f>""</f>
        <v/>
      </c>
      <c r="AE1463" t="str">
        <f>""</f>
        <v/>
      </c>
      <c r="AF1463" t="str">
        <f>"000"</f>
        <v>000</v>
      </c>
      <c r="AG1463" t="str">
        <f t="shared" si="507"/>
        <v>FL</v>
      </c>
      <c r="AH1463" t="str">
        <f t="shared" si="511"/>
        <v>-</v>
      </c>
      <c r="AI1463" t="str">
        <f>"11000.00"</f>
        <v>11000.00</v>
      </c>
      <c r="AJ1463" t="str">
        <f>"C55-000-587-0296-0"</f>
        <v>C55-000-587-0296-0</v>
      </c>
      <c r="AK1463" t="str">
        <f>"24964"</f>
        <v>24964</v>
      </c>
      <c r="AL1463">
        <v>6</v>
      </c>
      <c r="AM1463">
        <v>1680</v>
      </c>
      <c r="AN1463">
        <v>215.09</v>
      </c>
      <c r="AQ1463" t="s">
        <v>14855</v>
      </c>
      <c r="AR1463" t="s">
        <v>14855</v>
      </c>
      <c r="AS1463" t="s">
        <v>14855</v>
      </c>
      <c r="AU1463" t="s">
        <v>396</v>
      </c>
      <c r="AV1463">
        <v>2017</v>
      </c>
      <c r="AW1463" t="str">
        <f>"14-2N-28-0000-0007-0190 "</f>
        <v xml:space="preserve">14-2N-28-0000-0007-0190 </v>
      </c>
      <c r="AX1463">
        <v>1618</v>
      </c>
      <c r="AZ1463" t="s">
        <v>14813</v>
      </c>
      <c r="BA1463" t="s">
        <v>1112</v>
      </c>
      <c r="BD1463" t="s">
        <v>11749</v>
      </c>
      <c r="BE1463" t="s">
        <v>393</v>
      </c>
      <c r="BF1463">
        <v>32034</v>
      </c>
      <c r="BG1463" t="s">
        <v>14856</v>
      </c>
      <c r="BH1463" t="s">
        <v>11751</v>
      </c>
      <c r="BI1463">
        <v>-81.450627024173997</v>
      </c>
      <c r="BJ1463">
        <v>30.5791337210885</v>
      </c>
      <c r="BK1463" t="s">
        <v>14847</v>
      </c>
      <c r="BM1463" t="s">
        <v>14857</v>
      </c>
      <c r="BN1463" t="s">
        <v>3983</v>
      </c>
      <c r="BO1463">
        <v>32034</v>
      </c>
      <c r="BP1463" t="s">
        <v>404</v>
      </c>
      <c r="BQ1463">
        <v>0</v>
      </c>
      <c r="BR1463" t="s">
        <v>491</v>
      </c>
      <c r="BS1463">
        <v>8001</v>
      </c>
      <c r="BT1463" t="s">
        <v>492</v>
      </c>
      <c r="BW1463">
        <v>4723</v>
      </c>
      <c r="BX1463" t="s">
        <v>407</v>
      </c>
      <c r="BY1463" t="s">
        <v>7351</v>
      </c>
      <c r="CD1463">
        <v>2017</v>
      </c>
      <c r="CE1463">
        <v>11000</v>
      </c>
      <c r="CG1463">
        <v>11000</v>
      </c>
      <c r="CH1463">
        <v>2017</v>
      </c>
      <c r="CI1463">
        <v>11000</v>
      </c>
      <c r="CK1463">
        <v>11000</v>
      </c>
      <c r="CL1463">
        <v>2017</v>
      </c>
      <c r="CM1463">
        <v>169.29</v>
      </c>
      <c r="CN1463" s="1">
        <v>42128</v>
      </c>
      <c r="CV1463">
        <v>0</v>
      </c>
      <c r="CZ1463" s="1">
        <v>42128</v>
      </c>
      <c r="DA1463">
        <v>0</v>
      </c>
      <c r="DD1463" t="s">
        <v>11749</v>
      </c>
      <c r="DF1463">
        <v>8</v>
      </c>
      <c r="DG1463">
        <v>14</v>
      </c>
      <c r="DL1463">
        <v>50203</v>
      </c>
      <c r="DM1463" t="s">
        <v>14802</v>
      </c>
      <c r="DO1463" t="s">
        <v>14858</v>
      </c>
      <c r="DP1463">
        <v>0</v>
      </c>
      <c r="DQ1463">
        <v>0</v>
      </c>
      <c r="DR1463" t="s">
        <v>411</v>
      </c>
      <c r="DS1463" t="b">
        <v>1</v>
      </c>
      <c r="DT1463" t="s">
        <v>470</v>
      </c>
      <c r="DU1463" t="s">
        <v>471</v>
      </c>
      <c r="DV1463" t="s">
        <v>472</v>
      </c>
      <c r="DX1463">
        <v>-9999</v>
      </c>
      <c r="DZ1463" t="s">
        <v>447</v>
      </c>
      <c r="EA1463" t="s">
        <v>448</v>
      </c>
      <c r="EB1463" t="s">
        <v>14787</v>
      </c>
      <c r="EC1463">
        <v>20101217</v>
      </c>
      <c r="ED1463" t="s">
        <v>474</v>
      </c>
      <c r="EF1463">
        <v>1328.3</v>
      </c>
      <c r="EG1463">
        <v>1215.0999999999999</v>
      </c>
      <c r="EI1463">
        <v>20160407</v>
      </c>
      <c r="EJ1463">
        <v>0</v>
      </c>
      <c r="EK1463">
        <v>0</v>
      </c>
      <c r="EP1463" t="s">
        <v>421</v>
      </c>
      <c r="EQ1463" t="s">
        <v>422</v>
      </c>
      <c r="ER1463">
        <v>1</v>
      </c>
      <c r="ES1463">
        <v>1</v>
      </c>
      <c r="ET1463">
        <v>212.72</v>
      </c>
      <c r="EU1463">
        <v>26.99</v>
      </c>
      <c r="EV1463">
        <v>239.71</v>
      </c>
      <c r="EW1463" s="2">
        <v>43222</v>
      </c>
      <c r="EX1463" s="1">
        <v>42879</v>
      </c>
      <c r="EY1463">
        <v>2016</v>
      </c>
      <c r="EZ1463">
        <v>212.72</v>
      </c>
      <c r="FA1463" t="s">
        <v>14859</v>
      </c>
      <c r="FB1463">
        <v>9.75</v>
      </c>
      <c r="FC1463" t="s">
        <v>424</v>
      </c>
      <c r="FD1463" t="s">
        <v>454</v>
      </c>
      <c r="FF1463">
        <v>12</v>
      </c>
      <c r="FG1463">
        <v>10021</v>
      </c>
      <c r="FH1463" t="s">
        <v>597</v>
      </c>
      <c r="FJ1463" s="1">
        <v>42515</v>
      </c>
      <c r="FK1463">
        <v>2015</v>
      </c>
      <c r="FL1463">
        <v>300.23</v>
      </c>
      <c r="FM1463" t="s">
        <v>14860</v>
      </c>
      <c r="FN1463">
        <v>15.75</v>
      </c>
      <c r="FO1463" t="s">
        <v>424</v>
      </c>
      <c r="FP1463" t="s">
        <v>425</v>
      </c>
      <c r="FQ1463" s="1">
        <v>43112</v>
      </c>
      <c r="FR1463">
        <v>20</v>
      </c>
      <c r="FS1463">
        <v>7336677</v>
      </c>
      <c r="FT1463" t="s">
        <v>5826</v>
      </c>
    </row>
    <row r="1464" spans="1:284" x14ac:dyDescent="0.25">
      <c r="A1464">
        <v>16486471</v>
      </c>
      <c r="B1464">
        <v>1463</v>
      </c>
      <c r="C1464" t="s">
        <v>393</v>
      </c>
      <c r="D1464" t="s">
        <v>394</v>
      </c>
      <c r="F1464" t="str">
        <f>"14-2N-28-0000-0008-0000"</f>
        <v>14-2N-28-0000-0008-0000</v>
      </c>
      <c r="H1464" t="str">
        <f>"EMORY EUGENE K"</f>
        <v>EMORY EUGENE K</v>
      </c>
      <c r="I1464" t="str">
        <f>"5576 GREEG ST"</f>
        <v>5576 GREEG ST</v>
      </c>
      <c r="J1464" t="str">
        <f t="shared" si="509"/>
        <v>FERNANDINA BEACH FL 32034</v>
      </c>
      <c r="K1464" t="str">
        <f>"STEWART AV"</f>
        <v>STEWART AV</v>
      </c>
      <c r="L1464" t="str">
        <f t="shared" si="508"/>
        <v>FERNANDINA BEACH FL 32034</v>
      </c>
      <c r="M1464" t="str">
        <f>"PT GOVT LOT 2 OF SEC 14-2N-28E IN OR 1079/39 BEING ONLY WLY 75 FT LYING N OF LANDS PLATTED IN OR 77/122"</f>
        <v>PT GOVT LOT 2 OF SEC 14-2N-28E IN OR 1079/39 BEING ONLY WLY 75 FT LYING N OF LANDS PLATTED IN OR 77/122</v>
      </c>
      <c r="N1464" t="str">
        <f>""</f>
        <v/>
      </c>
      <c r="O1464" t="str">
        <f>"30080"</f>
        <v>30080</v>
      </c>
      <c r="P1464" t="str">
        <f t="shared" si="494"/>
        <v>2017</v>
      </c>
      <c r="Q1464" t="str">
        <f>""</f>
        <v/>
      </c>
      <c r="R1464" t="str">
        <f t="shared" si="510"/>
        <v>N</v>
      </c>
      <c r="S1464" t="str">
        <f>""</f>
        <v/>
      </c>
      <c r="T1464" t="str">
        <f>"185.00"</f>
        <v>185.00</v>
      </c>
      <c r="U1464" t="str">
        <f>"12100.00"</f>
        <v>12100.00</v>
      </c>
      <c r="V1464" t="str">
        <f>"12100.00"</f>
        <v>12100.00</v>
      </c>
      <c r="W1464" t="str">
        <f t="shared" si="495"/>
        <v>2017</v>
      </c>
      <c r="X1464" t="str">
        <f>"22.00"</f>
        <v>22.00</v>
      </c>
      <c r="Y1464" t="str">
        <f>"222.55"</f>
        <v>222.55</v>
      </c>
      <c r="Z1464" t="str">
        <f>""</f>
        <v/>
      </c>
      <c r="AA1464" t="str">
        <f>"12100.00"</f>
        <v>12100.00</v>
      </c>
      <c r="AB1464" t="str">
        <f t="shared" si="501"/>
        <v>Residential</v>
      </c>
      <c r="AC1464" t="str">
        <f t="shared" si="499"/>
        <v>0</v>
      </c>
      <c r="AD1464" t="str">
        <f>""</f>
        <v/>
      </c>
      <c r="AE1464" t="str">
        <f>""</f>
        <v/>
      </c>
      <c r="AF1464" t="str">
        <f>"000"</f>
        <v>000</v>
      </c>
      <c r="AG1464" t="str">
        <f t="shared" si="507"/>
        <v>FL</v>
      </c>
      <c r="AH1464" t="str">
        <f t="shared" si="511"/>
        <v>-</v>
      </c>
      <c r="AI1464" t="str">
        <f>"12100.00"</f>
        <v>12100.00</v>
      </c>
      <c r="AJ1464" t="str">
        <f>"C55-001-059-8842-2"</f>
        <v>C55-001-059-8842-2</v>
      </c>
      <c r="AK1464" t="str">
        <f>"24967"</f>
        <v>24967</v>
      </c>
      <c r="AL1464">
        <v>6</v>
      </c>
      <c r="AM1464">
        <v>1681</v>
      </c>
      <c r="AN1464">
        <v>232.08</v>
      </c>
      <c r="AQ1464" t="s">
        <v>14861</v>
      </c>
      <c r="AR1464" t="s">
        <v>14861</v>
      </c>
      <c r="AS1464" t="s">
        <v>14861</v>
      </c>
      <c r="AU1464" t="s">
        <v>396</v>
      </c>
      <c r="AV1464">
        <v>2017</v>
      </c>
      <c r="AW1464" t="str">
        <f>"14-2N-28-0000-0008-0000 "</f>
        <v xml:space="preserve">14-2N-28-0000-0008-0000 </v>
      </c>
      <c r="AZ1464" t="s">
        <v>14813</v>
      </c>
      <c r="BA1464" t="s">
        <v>1122</v>
      </c>
      <c r="BD1464" t="s">
        <v>11749</v>
      </c>
      <c r="BE1464" t="s">
        <v>393</v>
      </c>
      <c r="BF1464">
        <v>32034</v>
      </c>
      <c r="BG1464" t="s">
        <v>14814</v>
      </c>
      <c r="BH1464" t="s">
        <v>11751</v>
      </c>
      <c r="BI1464">
        <v>-81.452376000000001</v>
      </c>
      <c r="BJ1464">
        <v>30.579008000000002</v>
      </c>
      <c r="BK1464" t="s">
        <v>14827</v>
      </c>
      <c r="BM1464" t="s">
        <v>14828</v>
      </c>
      <c r="BN1464" t="s">
        <v>3983</v>
      </c>
      <c r="BO1464">
        <v>32034</v>
      </c>
      <c r="BP1464" t="s">
        <v>404</v>
      </c>
      <c r="BQ1464">
        <v>0</v>
      </c>
      <c r="BR1464" t="s">
        <v>491</v>
      </c>
      <c r="BS1464">
        <v>8001</v>
      </c>
      <c r="BT1464" t="s">
        <v>492</v>
      </c>
      <c r="BX1464" t="s">
        <v>407</v>
      </c>
      <c r="BY1464" t="s">
        <v>7351</v>
      </c>
      <c r="CD1464">
        <v>2017</v>
      </c>
      <c r="CE1464">
        <v>12100</v>
      </c>
      <c r="CG1464">
        <v>12100</v>
      </c>
      <c r="CH1464">
        <v>2017</v>
      </c>
      <c r="CI1464">
        <v>12100</v>
      </c>
      <c r="CK1464">
        <v>12100</v>
      </c>
      <c r="CL1464">
        <v>2017</v>
      </c>
      <c r="CM1464">
        <v>185</v>
      </c>
      <c r="CN1464" s="1">
        <v>37503</v>
      </c>
      <c r="CO1464">
        <v>58500</v>
      </c>
      <c r="CZ1464" s="1">
        <v>37503</v>
      </c>
      <c r="DD1464" t="s">
        <v>11749</v>
      </c>
      <c r="DF1464">
        <v>2</v>
      </c>
      <c r="DG1464">
        <v>14</v>
      </c>
      <c r="DL1464">
        <v>50203</v>
      </c>
      <c r="DM1464" t="s">
        <v>14802</v>
      </c>
      <c r="DO1464" t="s">
        <v>14862</v>
      </c>
      <c r="DP1464">
        <v>0</v>
      </c>
      <c r="DQ1464">
        <v>3</v>
      </c>
      <c r="DR1464" t="s">
        <v>1174</v>
      </c>
      <c r="DS1464" t="s">
        <v>695</v>
      </c>
      <c r="EJ1464">
        <v>0</v>
      </c>
      <c r="EK1464">
        <v>0</v>
      </c>
      <c r="EP1464" t="s">
        <v>421</v>
      </c>
      <c r="EQ1464" t="s">
        <v>422</v>
      </c>
      <c r="ER1464">
        <v>2</v>
      </c>
      <c r="ES1464">
        <v>1</v>
      </c>
      <c r="ET1464">
        <v>533.61</v>
      </c>
      <c r="EU1464">
        <v>130.57</v>
      </c>
      <c r="EV1464">
        <v>664.18</v>
      </c>
      <c r="EW1464" s="2">
        <v>43222</v>
      </c>
      <c r="EX1464" s="1">
        <v>42879</v>
      </c>
      <c r="EY1464">
        <v>2016</v>
      </c>
      <c r="EZ1464">
        <v>229.97</v>
      </c>
      <c r="FA1464" t="s">
        <v>14863</v>
      </c>
      <c r="FB1464">
        <v>9.75</v>
      </c>
      <c r="FC1464" t="s">
        <v>424</v>
      </c>
      <c r="FD1464" t="s">
        <v>454</v>
      </c>
      <c r="FF1464">
        <v>12</v>
      </c>
      <c r="FG1464">
        <v>10021</v>
      </c>
      <c r="FH1464" t="s">
        <v>597</v>
      </c>
      <c r="FJ1464" s="1">
        <v>42515</v>
      </c>
      <c r="FK1464">
        <v>2015</v>
      </c>
      <c r="FL1464">
        <v>303.64</v>
      </c>
      <c r="FM1464" t="s">
        <v>14864</v>
      </c>
      <c r="FN1464">
        <v>15.75</v>
      </c>
      <c r="FO1464" t="s">
        <v>424</v>
      </c>
      <c r="FP1464" t="s">
        <v>454</v>
      </c>
      <c r="FR1464">
        <v>24</v>
      </c>
      <c r="FS1464">
        <v>7336677</v>
      </c>
      <c r="FT1464" t="s">
        <v>5826</v>
      </c>
      <c r="FV1464" s="1">
        <v>42151</v>
      </c>
      <c r="FW1464">
        <v>2014</v>
      </c>
      <c r="FX1464">
        <v>278.25</v>
      </c>
      <c r="FY1464" t="s">
        <v>14865</v>
      </c>
      <c r="FZ1464">
        <v>5.5</v>
      </c>
      <c r="GA1464" t="s">
        <v>424</v>
      </c>
      <c r="GB1464" t="s">
        <v>425</v>
      </c>
      <c r="GC1464" s="1">
        <v>42797</v>
      </c>
      <c r="GD1464">
        <v>22</v>
      </c>
      <c r="GE1464">
        <v>10125</v>
      </c>
      <c r="GF1464" t="s">
        <v>440</v>
      </c>
    </row>
    <row r="1465" spans="1:284" x14ac:dyDescent="0.25">
      <c r="A1465">
        <v>16486472</v>
      </c>
      <c r="B1465">
        <v>1464</v>
      </c>
      <c r="C1465" t="s">
        <v>393</v>
      </c>
      <c r="D1465" t="s">
        <v>394</v>
      </c>
      <c r="F1465" t="str">
        <f>"24-2N-28-0000-0002-0020"</f>
        <v>24-2N-28-0000-0002-0020</v>
      </c>
      <c r="H1465" t="str">
        <f>"HUGHES PATRICIA A"</f>
        <v>HUGHES PATRICIA A</v>
      </c>
      <c r="I1465" t="str">
        <f>"445 WEBS RD"</f>
        <v>445 WEBS RD</v>
      </c>
      <c r="J1465" t="str">
        <f>"KINGSTREE SC 29556"</f>
        <v>KINGSTREE SC 29556</v>
      </c>
      <c r="K1465" t="str">
        <f>"96142 BLACKROCK RD"</f>
        <v>96142 BLACKROCK RD</v>
      </c>
      <c r="L1465" t="str">
        <f>"YULEE FL 32097"</f>
        <v>YULEE FL 32097</v>
      </c>
      <c r="M1465" t="str">
        <f>"IN OR 1703/701 CASE 10-CP-185 R107809"</f>
        <v>IN OR 1703/701 CASE 10-CP-185 R107809</v>
      </c>
      <c r="N1465" t="str">
        <f>""</f>
        <v/>
      </c>
      <c r="O1465" t="str">
        <f>"34674"</f>
        <v>34674</v>
      </c>
      <c r="P1465" t="str">
        <f t="shared" si="494"/>
        <v>2017</v>
      </c>
      <c r="Q1465" t="str">
        <f>""</f>
        <v/>
      </c>
      <c r="R1465" t="str">
        <f t="shared" si="510"/>
        <v>N</v>
      </c>
      <c r="S1465" t="str">
        <f>"1.00"</f>
        <v>1.00</v>
      </c>
      <c r="T1465" t="str">
        <f>"614.52"</f>
        <v>614.52</v>
      </c>
      <c r="U1465" t="str">
        <f>"40592.00"</f>
        <v>40592.00</v>
      </c>
      <c r="V1465" t="str">
        <f>"40592.00"</f>
        <v>40592.00</v>
      </c>
      <c r="W1465" t="str">
        <f t="shared" si="495"/>
        <v>2017</v>
      </c>
      <c r="X1465" t="str">
        <f>""</f>
        <v/>
      </c>
      <c r="Y1465" t="str">
        <f>"192.55"</f>
        <v>192.55</v>
      </c>
      <c r="Z1465" t="str">
        <f>""</f>
        <v/>
      </c>
      <c r="AA1465" t="str">
        <f>"40592.00"</f>
        <v>40592.00</v>
      </c>
      <c r="AB1465" t="str">
        <f t="shared" si="501"/>
        <v>Residential</v>
      </c>
      <c r="AC1465" t="str">
        <f t="shared" si="499"/>
        <v>0</v>
      </c>
      <c r="AD1465" t="str">
        <f>"4"</f>
        <v>4</v>
      </c>
      <c r="AE1465" t="str">
        <f>"WOOD (INCLUDE STEEL STUDS)"</f>
        <v>WOOD (INCLUDE STEEL STUDS)</v>
      </c>
      <c r="AF1465" t="str">
        <f>"002"</f>
        <v>002</v>
      </c>
      <c r="AG1465" t="str">
        <f>"SC"</f>
        <v>SC</v>
      </c>
      <c r="AH1465" t="str">
        <f>"43560.00"</f>
        <v>43560.00</v>
      </c>
      <c r="AI1465" t="str">
        <f>"25000.00"</f>
        <v>25000.00</v>
      </c>
      <c r="AJ1465" t="str">
        <f>"C55-000-587-3685-1"</f>
        <v>C55-000-587-3685-1</v>
      </c>
      <c r="AK1465" t="str">
        <f>"25023"</f>
        <v>25023</v>
      </c>
      <c r="AL1465">
        <v>6</v>
      </c>
      <c r="AM1465">
        <v>1682</v>
      </c>
      <c r="AN1465">
        <v>200.58</v>
      </c>
      <c r="AQ1465" t="s">
        <v>14866</v>
      </c>
      <c r="AR1465" t="s">
        <v>14866</v>
      </c>
      <c r="AS1465" t="s">
        <v>14866</v>
      </c>
      <c r="AU1465" t="s">
        <v>396</v>
      </c>
      <c r="AV1465">
        <v>2017</v>
      </c>
      <c r="AW1465" t="str">
        <f>"24-2N-28-0000-0002-0020 "</f>
        <v xml:space="preserve">24-2N-28-0000-0002-0020 </v>
      </c>
      <c r="AX1465">
        <v>96142</v>
      </c>
      <c r="AZ1465" t="s">
        <v>14867</v>
      </c>
      <c r="BA1465" t="s">
        <v>496</v>
      </c>
      <c r="BD1465" t="s">
        <v>2387</v>
      </c>
      <c r="BE1465" t="s">
        <v>393</v>
      </c>
      <c r="BF1465">
        <v>32097</v>
      </c>
      <c r="BG1465" t="s">
        <v>14868</v>
      </c>
      <c r="BH1465" t="s">
        <v>2388</v>
      </c>
      <c r="BI1465">
        <v>-81.528972960165703</v>
      </c>
      <c r="BJ1465">
        <v>30.631813235271402</v>
      </c>
      <c r="BK1465" t="s">
        <v>14869</v>
      </c>
      <c r="BM1465" t="s">
        <v>14870</v>
      </c>
      <c r="BN1465" t="s">
        <v>14871</v>
      </c>
      <c r="BO1465">
        <v>29556</v>
      </c>
      <c r="BP1465" t="s">
        <v>404</v>
      </c>
      <c r="BQ1465">
        <v>200</v>
      </c>
      <c r="BR1465" t="s">
        <v>405</v>
      </c>
      <c r="BS1465">
        <v>1006</v>
      </c>
      <c r="BT1465" t="s">
        <v>406</v>
      </c>
      <c r="BW1465">
        <v>43560</v>
      </c>
      <c r="BX1465" t="s">
        <v>407</v>
      </c>
      <c r="BY1465" t="s">
        <v>2729</v>
      </c>
      <c r="BZ1465">
        <v>4</v>
      </c>
      <c r="CA1465">
        <v>1983</v>
      </c>
      <c r="CB1465">
        <v>1</v>
      </c>
      <c r="CC1465">
        <v>1</v>
      </c>
      <c r="CD1465">
        <v>2017</v>
      </c>
      <c r="CE1465">
        <v>25000</v>
      </c>
      <c r="CF1465">
        <v>15592</v>
      </c>
      <c r="CG1465">
        <v>40592</v>
      </c>
      <c r="CH1465">
        <v>2017</v>
      </c>
      <c r="CI1465">
        <v>25000</v>
      </c>
      <c r="CJ1465">
        <v>15592</v>
      </c>
      <c r="CK1465">
        <v>40592</v>
      </c>
      <c r="CL1465">
        <v>2017</v>
      </c>
      <c r="CM1465">
        <v>614.52</v>
      </c>
      <c r="CN1465" s="1">
        <v>36880</v>
      </c>
      <c r="CO1465">
        <v>63000</v>
      </c>
      <c r="CV1465">
        <v>0</v>
      </c>
      <c r="CZ1465" s="1">
        <v>36880</v>
      </c>
      <c r="DA1465">
        <v>0</v>
      </c>
      <c r="DD1465" t="s">
        <v>2387</v>
      </c>
      <c r="DG1465">
        <v>24</v>
      </c>
      <c r="DL1465">
        <v>50303</v>
      </c>
      <c r="DM1465" t="s">
        <v>14872</v>
      </c>
      <c r="DO1465" t="s">
        <v>14873</v>
      </c>
      <c r="DP1465">
        <v>0</v>
      </c>
      <c r="DQ1465">
        <v>0</v>
      </c>
      <c r="DR1465" t="s">
        <v>411</v>
      </c>
    </row>
    <row r="1466" spans="1:284" x14ac:dyDescent="0.25">
      <c r="A1466">
        <v>16486473</v>
      </c>
      <c r="B1466">
        <v>1465</v>
      </c>
      <c r="C1466" t="s">
        <v>393</v>
      </c>
      <c r="D1466" t="s">
        <v>394</v>
      </c>
      <c r="F1466" t="str">
        <f>"24-2N-28-0000-0005-0000"</f>
        <v>24-2N-28-0000-0005-0000</v>
      </c>
      <c r="H1466" t="str">
        <f>"ALDERMAN ANTHONY &amp; HOLZENDORF MAMIE LOU"</f>
        <v>ALDERMAN ANTHONY &amp; HOLZENDORF MAMIE LOU</v>
      </c>
      <c r="I1466" t="str">
        <f>"96157 NORTH PRINCE DR"</f>
        <v>96157 NORTH PRINCE DR</v>
      </c>
      <c r="J1466" t="str">
        <f>"YULEE FL 32097"</f>
        <v>YULEE FL 32097</v>
      </c>
      <c r="K1466" t="str">
        <f>"PRINCE DR OFF A1A"</f>
        <v>PRINCE DR OFF A1A</v>
      </c>
      <c r="L1466" t="str">
        <f>"FERNANDINA BEACH FL 32034"</f>
        <v>FERNANDINA BEACH FL 32034</v>
      </c>
      <c r="M1466" t="str">
        <f>"IN OR 1737/890 R497752"</f>
        <v>IN OR 1737/890 R497752</v>
      </c>
      <c r="N1466" t="str">
        <f>""</f>
        <v/>
      </c>
      <c r="O1466" t="str">
        <f>"34696"</f>
        <v>34696</v>
      </c>
      <c r="P1466" t="str">
        <f t="shared" si="494"/>
        <v>2017</v>
      </c>
      <c r="Q1466" t="str">
        <f>""</f>
        <v/>
      </c>
      <c r="R1466" t="str">
        <f t="shared" si="510"/>
        <v>N</v>
      </c>
      <c r="S1466" t="str">
        <f>"1.13"</f>
        <v>1.13</v>
      </c>
      <c r="T1466" t="str">
        <f>"846.80"</f>
        <v>846.80</v>
      </c>
      <c r="U1466" t="str">
        <f>"55935.00"</f>
        <v>55935.00</v>
      </c>
      <c r="V1466" t="str">
        <f>"55935.00"</f>
        <v>55935.00</v>
      </c>
      <c r="W1466" t="str">
        <f t="shared" si="495"/>
        <v>2017</v>
      </c>
      <c r="X1466" t="str">
        <f>"20.60"</f>
        <v>20.60</v>
      </c>
      <c r="Y1466" t="str">
        <f>"904.20"</f>
        <v>904.20</v>
      </c>
      <c r="Z1466" t="str">
        <f>""</f>
        <v/>
      </c>
      <c r="AA1466" t="str">
        <f>"55935.00"</f>
        <v>55935.00</v>
      </c>
      <c r="AB1466" t="str">
        <f t="shared" si="501"/>
        <v>Residential</v>
      </c>
      <c r="AC1466" t="str">
        <f t="shared" si="499"/>
        <v>0</v>
      </c>
      <c r="AD1466" t="str">
        <f>""</f>
        <v/>
      </c>
      <c r="AE1466" t="str">
        <f>""</f>
        <v/>
      </c>
      <c r="AF1466" t="str">
        <f>"000"</f>
        <v>000</v>
      </c>
      <c r="AG1466" t="str">
        <f>"FL"</f>
        <v>FL</v>
      </c>
      <c r="AH1466" t="str">
        <f>"49222.00"</f>
        <v>49222.00</v>
      </c>
      <c r="AI1466" t="str">
        <f>"55935.00"</f>
        <v>55935.00</v>
      </c>
      <c r="AJ1466" t="str">
        <f>"C55-000-587-3698-4"</f>
        <v>C55-000-587-3698-4</v>
      </c>
      <c r="AK1466" t="str">
        <f>"25033"</f>
        <v>25033</v>
      </c>
      <c r="AL1466">
        <v>6</v>
      </c>
      <c r="AM1466">
        <v>1683</v>
      </c>
      <c r="AN1466">
        <v>947.81</v>
      </c>
      <c r="AQ1466" t="s">
        <v>14874</v>
      </c>
      <c r="AR1466" t="s">
        <v>14874</v>
      </c>
      <c r="AS1466" t="s">
        <v>14874</v>
      </c>
      <c r="AU1466" t="s">
        <v>396</v>
      </c>
      <c r="AV1466">
        <v>2017</v>
      </c>
      <c r="AW1466" t="str">
        <f>"24-2N-28-0000-0005-0000 "</f>
        <v xml:space="preserve">24-2N-28-0000-0005-0000 </v>
      </c>
      <c r="AZ1466" t="s">
        <v>14875</v>
      </c>
      <c r="BC1466" t="s">
        <v>14876</v>
      </c>
      <c r="BD1466" t="s">
        <v>11749</v>
      </c>
      <c r="BE1466" t="s">
        <v>393</v>
      </c>
      <c r="BF1466">
        <v>32034</v>
      </c>
      <c r="BG1466" t="s">
        <v>14877</v>
      </c>
      <c r="BH1466" t="s">
        <v>11751</v>
      </c>
      <c r="BI1466">
        <v>-81.524433343142903</v>
      </c>
      <c r="BJ1466">
        <v>30.621807598487599</v>
      </c>
      <c r="BK1466" t="s">
        <v>14878</v>
      </c>
      <c r="BL1466" t="s">
        <v>14879</v>
      </c>
      <c r="BM1466" t="s">
        <v>14880</v>
      </c>
      <c r="BN1466" t="s">
        <v>1778</v>
      </c>
      <c r="BO1466">
        <v>32097</v>
      </c>
      <c r="BP1466" t="s">
        <v>404</v>
      </c>
      <c r="BQ1466">
        <v>0</v>
      </c>
      <c r="BR1466" t="s">
        <v>491</v>
      </c>
      <c r="BS1466">
        <v>8001</v>
      </c>
      <c r="BT1466" t="s">
        <v>492</v>
      </c>
      <c r="BW1466">
        <v>49222</v>
      </c>
      <c r="BX1466" t="s">
        <v>407</v>
      </c>
      <c r="BY1466" t="s">
        <v>4360</v>
      </c>
      <c r="CD1466">
        <v>2017</v>
      </c>
      <c r="CE1466">
        <v>55935</v>
      </c>
      <c r="CG1466">
        <v>55935</v>
      </c>
      <c r="CH1466">
        <v>2017</v>
      </c>
      <c r="CI1466">
        <v>55935</v>
      </c>
      <c r="CK1466">
        <v>55935</v>
      </c>
      <c r="CL1466">
        <v>2017</v>
      </c>
      <c r="CM1466">
        <v>846.8</v>
      </c>
      <c r="CN1466" s="1">
        <v>40540</v>
      </c>
      <c r="CZ1466" s="1">
        <v>40540</v>
      </c>
      <c r="DD1466" t="s">
        <v>11749</v>
      </c>
      <c r="DG1466">
        <v>24</v>
      </c>
      <c r="DL1466">
        <v>50303</v>
      </c>
      <c r="DM1466" t="s">
        <v>14872</v>
      </c>
      <c r="DO1466" t="s">
        <v>14881</v>
      </c>
      <c r="DP1466">
        <v>0</v>
      </c>
      <c r="DQ1466">
        <v>0</v>
      </c>
      <c r="DR1466" t="s">
        <v>411</v>
      </c>
      <c r="DS1466" t="b">
        <v>1</v>
      </c>
      <c r="DT1466" t="s">
        <v>8902</v>
      </c>
      <c r="DV1466" t="s">
        <v>446</v>
      </c>
      <c r="DX1466">
        <v>10</v>
      </c>
      <c r="DY1466" t="s">
        <v>11438</v>
      </c>
      <c r="DZ1466" t="s">
        <v>447</v>
      </c>
      <c r="EA1466" t="s">
        <v>448</v>
      </c>
      <c r="EB1466" t="s">
        <v>14882</v>
      </c>
      <c r="EC1466">
        <v>20101217</v>
      </c>
      <c r="ED1466" t="s">
        <v>450</v>
      </c>
      <c r="EE1466">
        <v>5</v>
      </c>
      <c r="EF1466">
        <v>0</v>
      </c>
      <c r="EG1466">
        <v>0</v>
      </c>
      <c r="EH1466" t="s">
        <v>14883</v>
      </c>
      <c r="EI1466">
        <v>20160407</v>
      </c>
      <c r="EJ1466">
        <v>0</v>
      </c>
      <c r="EK1466">
        <v>0</v>
      </c>
      <c r="EP1466" t="s">
        <v>421</v>
      </c>
      <c r="EQ1466" t="s">
        <v>422</v>
      </c>
      <c r="ER1466">
        <v>1</v>
      </c>
      <c r="ES1466">
        <v>5</v>
      </c>
      <c r="ET1466">
        <v>955.64</v>
      </c>
      <c r="EU1466">
        <v>54.03</v>
      </c>
      <c r="EV1466">
        <v>1009.67</v>
      </c>
      <c r="EW1466" s="2">
        <v>43222</v>
      </c>
      <c r="EX1466" s="1">
        <v>42879</v>
      </c>
      <c r="EY1466">
        <v>2016</v>
      </c>
      <c r="EZ1466">
        <v>955.64</v>
      </c>
      <c r="FA1466" t="s">
        <v>14884</v>
      </c>
      <c r="FB1466">
        <v>0.25</v>
      </c>
      <c r="FC1466" t="s">
        <v>424</v>
      </c>
      <c r="FD1466" t="s">
        <v>454</v>
      </c>
      <c r="FF1466">
        <v>12</v>
      </c>
      <c r="FG1466">
        <v>305</v>
      </c>
      <c r="FH1466" t="s">
        <v>1078</v>
      </c>
      <c r="FJ1466" s="1">
        <v>42515</v>
      </c>
      <c r="FK1466">
        <v>2015</v>
      </c>
      <c r="FL1466">
        <v>973.2</v>
      </c>
      <c r="FM1466" t="s">
        <v>14885</v>
      </c>
      <c r="FN1466">
        <v>4.75</v>
      </c>
      <c r="FO1466" t="s">
        <v>424</v>
      </c>
      <c r="FP1466" t="s">
        <v>425</v>
      </c>
      <c r="FQ1466" s="1">
        <v>43116</v>
      </c>
      <c r="FR1466">
        <v>20</v>
      </c>
      <c r="FS1466">
        <v>2035919</v>
      </c>
      <c r="FT1466" t="s">
        <v>507</v>
      </c>
      <c r="FV1466" s="1">
        <v>42151</v>
      </c>
      <c r="FW1466">
        <v>2014</v>
      </c>
      <c r="FX1466">
        <v>930.19</v>
      </c>
      <c r="FY1466" t="s">
        <v>14886</v>
      </c>
      <c r="FZ1466">
        <v>4.75</v>
      </c>
      <c r="GA1466" t="s">
        <v>424</v>
      </c>
      <c r="GB1466" t="s">
        <v>425</v>
      </c>
      <c r="GC1466" s="1">
        <v>42752</v>
      </c>
      <c r="GD1466">
        <v>20</v>
      </c>
      <c r="GE1466">
        <v>4975593</v>
      </c>
      <c r="GF1466" t="s">
        <v>505</v>
      </c>
      <c r="GH1466" s="1">
        <v>41787</v>
      </c>
      <c r="GI1466">
        <v>2013</v>
      </c>
      <c r="GJ1466">
        <v>836.39</v>
      </c>
      <c r="GK1466" t="s">
        <v>14887</v>
      </c>
      <c r="GL1466">
        <v>3</v>
      </c>
      <c r="GM1466" t="s">
        <v>424</v>
      </c>
      <c r="GN1466" t="s">
        <v>425</v>
      </c>
      <c r="GO1466" s="1">
        <v>42419</v>
      </c>
      <c r="GP1466">
        <v>21</v>
      </c>
      <c r="GQ1466">
        <v>10125</v>
      </c>
      <c r="GR1466" t="s">
        <v>440</v>
      </c>
      <c r="GT1466" s="1">
        <v>41423</v>
      </c>
      <c r="GU1466">
        <v>2012</v>
      </c>
      <c r="GV1466">
        <v>846.58</v>
      </c>
      <c r="GW1466" t="s">
        <v>14888</v>
      </c>
      <c r="GX1466">
        <v>2.75</v>
      </c>
      <c r="GY1466" t="s">
        <v>424</v>
      </c>
      <c r="GZ1466" t="s">
        <v>425</v>
      </c>
      <c r="HA1466" s="1">
        <v>42037</v>
      </c>
      <c r="HB1466">
        <v>21</v>
      </c>
      <c r="HC1466">
        <v>1625515</v>
      </c>
      <c r="HD1466" t="s">
        <v>487</v>
      </c>
      <c r="HF1466" s="1">
        <v>41052</v>
      </c>
      <c r="HG1466">
        <v>2011</v>
      </c>
      <c r="HH1466">
        <v>1238.57</v>
      </c>
      <c r="HI1466" t="s">
        <v>14889</v>
      </c>
      <c r="HJ1466">
        <v>4.75</v>
      </c>
      <c r="HK1466" t="s">
        <v>424</v>
      </c>
      <c r="HL1466" t="s">
        <v>425</v>
      </c>
      <c r="HM1466" s="1">
        <v>41683</v>
      </c>
      <c r="HN1466">
        <v>21</v>
      </c>
      <c r="HO1466">
        <v>10125</v>
      </c>
      <c r="HP1466" t="s">
        <v>440</v>
      </c>
    </row>
    <row r="1467" spans="1:284" x14ac:dyDescent="0.25">
      <c r="A1467">
        <v>16486474</v>
      </c>
      <c r="B1467">
        <v>1466</v>
      </c>
      <c r="C1467" t="s">
        <v>393</v>
      </c>
      <c r="D1467" t="s">
        <v>394</v>
      </c>
      <c r="F1467" t="str">
        <f>"24-2N-28-0000-0006-0000"</f>
        <v>24-2N-28-0000-0006-0000</v>
      </c>
      <c r="H1467" t="str">
        <f>"ALDERMAN ANTHONY"</f>
        <v>ALDERMAN ANTHONY</v>
      </c>
      <c r="I1467" t="str">
        <f>"96157 NORTH PRINCE DRIVE"</f>
        <v>96157 NORTH PRINCE DRIVE</v>
      </c>
      <c r="J1467" t="str">
        <f>"YULEE FL 32097"</f>
        <v>YULEE FL 32097</v>
      </c>
      <c r="K1467" t="str">
        <f>"69 PRINCE DR"</f>
        <v>69 PRINCE DR</v>
      </c>
      <c r="L1467" t="str">
        <f>"YULEE FL 32097"</f>
        <v>YULEE FL 32097</v>
      </c>
      <c r="M1467" t="str">
        <f>"PT GOVT LOT 3 OF SEC 24-2N-28E IN OR 1723/549"</f>
        <v>PT GOVT LOT 3 OF SEC 24-2N-28E IN OR 1723/549</v>
      </c>
      <c r="N1467" t="str">
        <f>""</f>
        <v/>
      </c>
      <c r="O1467" t="str">
        <f>"34699"</f>
        <v>34699</v>
      </c>
      <c r="P1467" t="str">
        <f t="shared" si="494"/>
        <v>2017</v>
      </c>
      <c r="Q1467" t="str">
        <f>""</f>
        <v/>
      </c>
      <c r="R1467" t="str">
        <f>"Y"</f>
        <v>Y</v>
      </c>
      <c r="S1467" t="str">
        <f>"1.00"</f>
        <v>1.00</v>
      </c>
      <c r="T1467" t="str">
        <f>"234.36"</f>
        <v>234.36</v>
      </c>
      <c r="U1467" t="str">
        <f>"40481.00"</f>
        <v>40481.00</v>
      </c>
      <c r="V1467" t="str">
        <f>"40481.00"</f>
        <v>40481.00</v>
      </c>
      <c r="W1467" t="str">
        <f t="shared" si="495"/>
        <v>2017</v>
      </c>
      <c r="X1467" t="str">
        <f>"14.38"</f>
        <v>14.38</v>
      </c>
      <c r="Y1467" t="str">
        <f>"273.39"</f>
        <v>273.39</v>
      </c>
      <c r="Z1467" t="str">
        <f>"25000.00"</f>
        <v>25000.00</v>
      </c>
      <c r="AA1467" t="str">
        <f>"15481.00"</f>
        <v>15481.00</v>
      </c>
      <c r="AB1467" t="str">
        <f t="shared" si="501"/>
        <v>Residential</v>
      </c>
      <c r="AC1467" t="str">
        <f t="shared" si="499"/>
        <v>0</v>
      </c>
      <c r="AD1467" t="str">
        <f>"4"</f>
        <v>4</v>
      </c>
      <c r="AE1467" t="str">
        <f>"WOOD (INCLUDE STEEL STUDS)"</f>
        <v>WOOD (INCLUDE STEEL STUDS)</v>
      </c>
      <c r="AF1467" t="str">
        <f>"001"</f>
        <v>001</v>
      </c>
      <c r="AG1467" t="str">
        <f>"FL"</f>
        <v>FL</v>
      </c>
      <c r="AH1467" t="str">
        <f>"43560.00"</f>
        <v>43560.00</v>
      </c>
      <c r="AI1467" t="str">
        <f>"18750.00"</f>
        <v>18750.00</v>
      </c>
      <c r="AJ1467" t="str">
        <f>"C55-000-587-3701-6"</f>
        <v>C55-000-587-3701-6</v>
      </c>
      <c r="AK1467" t="str">
        <f>"25036"</f>
        <v>25036</v>
      </c>
      <c r="AL1467">
        <v>6</v>
      </c>
      <c r="AM1467">
        <v>1684</v>
      </c>
      <c r="AN1467">
        <v>285.45999999999998</v>
      </c>
      <c r="AQ1467" t="s">
        <v>14890</v>
      </c>
      <c r="AR1467" t="s">
        <v>14890</v>
      </c>
      <c r="AS1467" t="s">
        <v>14890</v>
      </c>
      <c r="AU1467" t="s">
        <v>396</v>
      </c>
      <c r="AV1467">
        <v>2017</v>
      </c>
      <c r="AW1467" t="str">
        <f>"24-2N-28-0000-0006-0000 "</f>
        <v xml:space="preserve">24-2N-28-0000-0006-0000 </v>
      </c>
      <c r="AX1467">
        <v>69</v>
      </c>
      <c r="AZ1467" t="s">
        <v>14891</v>
      </c>
      <c r="BA1467" t="s">
        <v>669</v>
      </c>
      <c r="BD1467" t="s">
        <v>2387</v>
      </c>
      <c r="BE1467" t="s">
        <v>393</v>
      </c>
      <c r="BF1467">
        <v>32097</v>
      </c>
      <c r="BG1467" t="s">
        <v>14892</v>
      </c>
      <c r="BH1467" t="s">
        <v>2388</v>
      </c>
      <c r="BI1467">
        <v>-81.525160553769098</v>
      </c>
      <c r="BJ1467">
        <v>30.621980931539898</v>
      </c>
      <c r="BK1467" t="s">
        <v>14878</v>
      </c>
      <c r="BM1467" t="s">
        <v>14893</v>
      </c>
      <c r="BN1467" t="s">
        <v>1778</v>
      </c>
      <c r="BO1467">
        <v>32097</v>
      </c>
      <c r="BP1467" t="s">
        <v>404</v>
      </c>
      <c r="BQ1467">
        <v>100</v>
      </c>
      <c r="BR1467" t="s">
        <v>514</v>
      </c>
      <c r="BS1467">
        <v>1001</v>
      </c>
      <c r="BT1467" t="s">
        <v>515</v>
      </c>
      <c r="BW1467">
        <v>43560</v>
      </c>
      <c r="BX1467" t="s">
        <v>407</v>
      </c>
      <c r="BY1467" t="s">
        <v>4360</v>
      </c>
      <c r="BZ1467">
        <v>4</v>
      </c>
      <c r="CA1467">
        <v>1952</v>
      </c>
      <c r="CB1467">
        <v>1</v>
      </c>
      <c r="CC1467">
        <v>1</v>
      </c>
      <c r="CD1467">
        <v>2017</v>
      </c>
      <c r="CG1467">
        <v>40481</v>
      </c>
      <c r="CH1467">
        <v>2017</v>
      </c>
      <c r="CI1467">
        <v>18750</v>
      </c>
      <c r="CJ1467">
        <v>24994</v>
      </c>
      <c r="CK1467">
        <v>43744</v>
      </c>
      <c r="CL1467">
        <v>2017</v>
      </c>
      <c r="CM1467">
        <v>234.36</v>
      </c>
      <c r="CN1467" s="1">
        <v>40526</v>
      </c>
      <c r="CZ1467" s="1">
        <v>40526</v>
      </c>
      <c r="DD1467" t="s">
        <v>2387</v>
      </c>
      <c r="DG1467">
        <v>24</v>
      </c>
      <c r="DL1467">
        <v>50303</v>
      </c>
      <c r="DM1467" t="s">
        <v>14872</v>
      </c>
      <c r="DO1467" t="s">
        <v>14894</v>
      </c>
      <c r="DP1467">
        <v>0</v>
      </c>
      <c r="DQ1467">
        <v>0</v>
      </c>
      <c r="DR1467" t="s">
        <v>411</v>
      </c>
      <c r="DS1467" t="b">
        <v>1</v>
      </c>
      <c r="DT1467" t="s">
        <v>470</v>
      </c>
      <c r="DU1467" t="s">
        <v>10249</v>
      </c>
      <c r="DV1467" t="s">
        <v>472</v>
      </c>
      <c r="DX1467">
        <v>-9999</v>
      </c>
      <c r="DZ1467" t="s">
        <v>447</v>
      </c>
      <c r="EA1467" t="s">
        <v>448</v>
      </c>
      <c r="EB1467" t="s">
        <v>14895</v>
      </c>
      <c r="EC1467">
        <v>20101217</v>
      </c>
      <c r="ED1467" t="s">
        <v>10251</v>
      </c>
      <c r="EE1467">
        <v>5</v>
      </c>
      <c r="EF1467">
        <v>70.599999999999994</v>
      </c>
      <c r="EG1467">
        <v>0</v>
      </c>
      <c r="EI1467">
        <v>20160407</v>
      </c>
      <c r="EJ1467">
        <v>0</v>
      </c>
      <c r="EK1467">
        <v>0</v>
      </c>
      <c r="EP1467" t="s">
        <v>595</v>
      </c>
      <c r="EQ1467" t="s">
        <v>422</v>
      </c>
      <c r="ER1467">
        <v>0</v>
      </c>
      <c r="ES1467">
        <v>9</v>
      </c>
      <c r="ET1467">
        <v>0</v>
      </c>
      <c r="EU1467">
        <v>0</v>
      </c>
      <c r="EV1467">
        <v>0</v>
      </c>
      <c r="EW1467" s="2">
        <v>43222</v>
      </c>
      <c r="EX1467" s="1">
        <v>42879</v>
      </c>
      <c r="EY1467">
        <v>2016</v>
      </c>
      <c r="EZ1467">
        <v>270.18</v>
      </c>
      <c r="FA1467" t="s">
        <v>14896</v>
      </c>
      <c r="FB1467">
        <v>0.25</v>
      </c>
      <c r="FC1467" t="s">
        <v>424</v>
      </c>
      <c r="FD1467" t="s">
        <v>425</v>
      </c>
      <c r="FE1467" s="1">
        <v>43116</v>
      </c>
      <c r="FF1467">
        <v>8</v>
      </c>
      <c r="FG1467">
        <v>7400234</v>
      </c>
      <c r="FH1467" t="s">
        <v>426</v>
      </c>
      <c r="FJ1467" s="1">
        <v>42879</v>
      </c>
      <c r="FK1467">
        <v>2016</v>
      </c>
      <c r="FL1467">
        <v>270.18</v>
      </c>
      <c r="FM1467" t="s">
        <v>14896</v>
      </c>
      <c r="FN1467">
        <v>0.25</v>
      </c>
      <c r="FO1467" t="s">
        <v>424</v>
      </c>
      <c r="FP1467" t="s">
        <v>425</v>
      </c>
      <c r="FR1467">
        <v>22</v>
      </c>
      <c r="FS1467">
        <v>7452159</v>
      </c>
      <c r="FT1467" t="s">
        <v>14897</v>
      </c>
      <c r="FV1467" s="1">
        <v>42515</v>
      </c>
      <c r="FW1467">
        <v>2015</v>
      </c>
      <c r="FX1467">
        <v>266.39</v>
      </c>
      <c r="FY1467" t="s">
        <v>14898</v>
      </c>
      <c r="FZ1467">
        <v>0.25</v>
      </c>
      <c r="GA1467" t="s">
        <v>424</v>
      </c>
      <c r="GB1467" t="s">
        <v>425</v>
      </c>
      <c r="GC1467" s="1">
        <v>43116</v>
      </c>
      <c r="GD1467">
        <v>20</v>
      </c>
      <c r="GE1467">
        <v>2851116</v>
      </c>
      <c r="GF1467" t="s">
        <v>480</v>
      </c>
      <c r="GH1467" s="1">
        <v>42515</v>
      </c>
      <c r="GI1467">
        <v>2015</v>
      </c>
      <c r="GJ1467">
        <v>266.39</v>
      </c>
      <c r="GK1467" t="s">
        <v>14898</v>
      </c>
      <c r="GL1467">
        <v>0.25</v>
      </c>
      <c r="GM1467" t="s">
        <v>424</v>
      </c>
      <c r="GN1467" t="s">
        <v>425</v>
      </c>
      <c r="GP1467">
        <v>22</v>
      </c>
      <c r="GQ1467">
        <v>5622092</v>
      </c>
      <c r="GR1467" t="s">
        <v>14899</v>
      </c>
      <c r="GT1467" s="1">
        <v>42151</v>
      </c>
      <c r="GU1467">
        <v>2014</v>
      </c>
      <c r="GV1467">
        <v>255.14</v>
      </c>
      <c r="GW1467" t="s">
        <v>14900</v>
      </c>
      <c r="GX1467">
        <v>0.25</v>
      </c>
      <c r="GY1467" t="s">
        <v>424</v>
      </c>
      <c r="GZ1467" t="s">
        <v>425</v>
      </c>
      <c r="HA1467" s="1">
        <v>42797</v>
      </c>
      <c r="HB1467">
        <v>22</v>
      </c>
      <c r="HC1467">
        <v>2851116</v>
      </c>
      <c r="HD1467" t="s">
        <v>480</v>
      </c>
      <c r="HF1467" s="1">
        <v>42151</v>
      </c>
      <c r="HG1467">
        <v>2014</v>
      </c>
      <c r="HH1467">
        <v>255.14</v>
      </c>
      <c r="HI1467" t="s">
        <v>14900</v>
      </c>
      <c r="HJ1467">
        <v>0.25</v>
      </c>
      <c r="HK1467" t="s">
        <v>424</v>
      </c>
      <c r="HL1467" t="s">
        <v>425</v>
      </c>
      <c r="HN1467">
        <v>22</v>
      </c>
      <c r="HO1467">
        <v>5308408</v>
      </c>
      <c r="HP1467" t="s">
        <v>14901</v>
      </c>
      <c r="HR1467" s="1">
        <v>41787</v>
      </c>
      <c r="HS1467">
        <v>2013</v>
      </c>
      <c r="HT1467">
        <v>233.44</v>
      </c>
      <c r="HU1467" t="s">
        <v>14902</v>
      </c>
      <c r="HV1467">
        <v>18</v>
      </c>
      <c r="HW1467" t="s">
        <v>603</v>
      </c>
      <c r="HX1467" t="s">
        <v>425</v>
      </c>
      <c r="HZ1467">
        <v>22</v>
      </c>
      <c r="IA1467">
        <v>9999999</v>
      </c>
      <c r="IB1467" t="s">
        <v>604</v>
      </c>
      <c r="ID1467" s="1">
        <v>41787</v>
      </c>
      <c r="IE1467">
        <v>2013</v>
      </c>
      <c r="IF1467">
        <v>271.2</v>
      </c>
      <c r="IG1467" t="s">
        <v>14902</v>
      </c>
      <c r="IH1467">
        <v>18</v>
      </c>
      <c r="II1467" t="s">
        <v>424</v>
      </c>
      <c r="IJ1467" t="s">
        <v>425</v>
      </c>
      <c r="IK1467" s="1">
        <v>42419</v>
      </c>
      <c r="IL1467">
        <v>21</v>
      </c>
      <c r="IM1467">
        <v>4844963</v>
      </c>
      <c r="IN1467" t="s">
        <v>4674</v>
      </c>
      <c r="IP1467" s="1">
        <v>41423</v>
      </c>
      <c r="IQ1467">
        <v>2012</v>
      </c>
      <c r="IR1467">
        <v>239.14</v>
      </c>
      <c r="IS1467" t="s">
        <v>14903</v>
      </c>
      <c r="IT1467">
        <v>18</v>
      </c>
      <c r="IU1467" t="s">
        <v>603</v>
      </c>
      <c r="IV1467" t="s">
        <v>425</v>
      </c>
      <c r="IW1467" s="1">
        <v>42044</v>
      </c>
      <c r="IX1467">
        <v>21</v>
      </c>
      <c r="IY1467">
        <v>9999999</v>
      </c>
      <c r="IZ1467" t="s">
        <v>604</v>
      </c>
    </row>
    <row r="1468" spans="1:284" x14ac:dyDescent="0.25">
      <c r="A1468">
        <v>16486475</v>
      </c>
      <c r="B1468">
        <v>1467</v>
      </c>
      <c r="C1468" t="s">
        <v>393</v>
      </c>
      <c r="D1468" t="s">
        <v>394</v>
      </c>
      <c r="F1468" t="str">
        <f>"24-2N-28-0000-0007-0000"</f>
        <v>24-2N-28-0000-0007-0000</v>
      </c>
      <c r="H1468" t="str">
        <f>"ALBERTIE DOLPHUS SR EST C/O ALDOLPHUS ALBERTIE JR"</f>
        <v>ALBERTIE DOLPHUS SR EST C/O ALDOLPHUS ALBERTIE JR</v>
      </c>
      <c r="I1468" t="str">
        <f>"8309 DALESFORD ROAD"</f>
        <v>8309 DALESFORD ROAD</v>
      </c>
      <c r="J1468" t="str">
        <f>"PARKVILLE MD 21234"</f>
        <v>PARKVILLE MD 21234</v>
      </c>
      <c r="K1468" t="str">
        <f>"PRINCE DR"</f>
        <v>PRINCE DR</v>
      </c>
      <c r="L1468" t="str">
        <f>"FERNANDINA BEACH FL 32034"</f>
        <v>FERNANDINA BEACH FL 32034</v>
      </c>
      <c r="M1468" t="str">
        <f>"PT GOVT LOT 3 OF SEC 24-2N-28E IN OR 680/448"</f>
        <v>PT GOVT LOT 3 OF SEC 24-2N-28E IN OR 680/448</v>
      </c>
      <c r="N1468" t="str">
        <f>""</f>
        <v/>
      </c>
      <c r="O1468" t="str">
        <f>"34700"</f>
        <v>34700</v>
      </c>
      <c r="P1468" t="str">
        <f t="shared" si="494"/>
        <v>2017</v>
      </c>
      <c r="Q1468" t="str">
        <f>""</f>
        <v/>
      </c>
      <c r="R1468" t="str">
        <f>"N"</f>
        <v>N</v>
      </c>
      <c r="S1468" t="str">
        <f>""</f>
        <v/>
      </c>
      <c r="T1468" t="str">
        <f>"132.46"</f>
        <v>132.46</v>
      </c>
      <c r="U1468" t="str">
        <f>"8750.00"</f>
        <v>8750.00</v>
      </c>
      <c r="V1468" t="str">
        <f>"8750.00"</f>
        <v>8750.00</v>
      </c>
      <c r="W1468" t="str">
        <f t="shared" si="495"/>
        <v>2017</v>
      </c>
      <c r="X1468" t="str">
        <f>"30.78"</f>
        <v>30.78</v>
      </c>
      <c r="Y1468" t="str">
        <f>"168.43"</f>
        <v>168.43</v>
      </c>
      <c r="Z1468" t="str">
        <f>""</f>
        <v/>
      </c>
      <c r="AA1468" t="str">
        <f>"8750.00"</f>
        <v>8750.00</v>
      </c>
      <c r="AB1468" t="str">
        <f t="shared" si="501"/>
        <v>Residential</v>
      </c>
      <c r="AC1468" t="str">
        <f t="shared" si="499"/>
        <v>0</v>
      </c>
      <c r="AD1468" t="str">
        <f>""</f>
        <v/>
      </c>
      <c r="AE1468" t="str">
        <f>""</f>
        <v/>
      </c>
      <c r="AF1468" t="str">
        <f>"000"</f>
        <v>000</v>
      </c>
      <c r="AG1468" t="str">
        <f>"MD"</f>
        <v>MD</v>
      </c>
      <c r="AH1468" t="str">
        <f>"13000.00"</f>
        <v>13000.00</v>
      </c>
      <c r="AI1468" t="str">
        <f>"8750.00"</f>
        <v>8750.00</v>
      </c>
      <c r="AJ1468" t="str">
        <f>"C55-000-587-3702-4"</f>
        <v>C55-000-587-3702-4</v>
      </c>
      <c r="AK1468" t="str">
        <f>"25037"</f>
        <v>25037</v>
      </c>
      <c r="AL1468">
        <v>6</v>
      </c>
      <c r="AM1468">
        <v>1685</v>
      </c>
      <c r="AN1468">
        <v>175.25</v>
      </c>
      <c r="AQ1468" t="s">
        <v>14904</v>
      </c>
      <c r="AR1468" t="s">
        <v>14904</v>
      </c>
      <c r="AS1468" t="s">
        <v>14904</v>
      </c>
      <c r="AU1468" t="s">
        <v>396</v>
      </c>
      <c r="AV1468">
        <v>2017</v>
      </c>
      <c r="AW1468" t="str">
        <f>"24-2N-28-0000-0007-0000 "</f>
        <v xml:space="preserve">24-2N-28-0000-0007-0000 </v>
      </c>
      <c r="AZ1468" t="s">
        <v>14891</v>
      </c>
      <c r="BA1468" t="s">
        <v>669</v>
      </c>
      <c r="BD1468" t="s">
        <v>11749</v>
      </c>
      <c r="BE1468" t="s">
        <v>393</v>
      </c>
      <c r="BF1468">
        <v>32034</v>
      </c>
      <c r="BG1468" t="s">
        <v>14905</v>
      </c>
      <c r="BH1468" t="s">
        <v>11751</v>
      </c>
      <c r="BI1468">
        <v>-81.525515462358797</v>
      </c>
      <c r="BJ1468">
        <v>30.6219196331311</v>
      </c>
      <c r="BK1468" t="s">
        <v>14906</v>
      </c>
      <c r="BM1468" t="s">
        <v>14907</v>
      </c>
      <c r="BN1468" t="s">
        <v>14908</v>
      </c>
      <c r="BO1468">
        <v>21234</v>
      </c>
      <c r="BP1468" t="s">
        <v>404</v>
      </c>
      <c r="BQ1468">
        <v>0</v>
      </c>
      <c r="BR1468" t="s">
        <v>491</v>
      </c>
      <c r="BS1468">
        <v>8001</v>
      </c>
      <c r="BT1468" t="s">
        <v>492</v>
      </c>
      <c r="BU1468">
        <v>1000</v>
      </c>
      <c r="BV1468">
        <v>1300</v>
      </c>
      <c r="BW1468">
        <v>13774</v>
      </c>
      <c r="BX1468" t="s">
        <v>407</v>
      </c>
      <c r="BY1468" t="s">
        <v>4360</v>
      </c>
      <c r="CD1468">
        <v>2017</v>
      </c>
      <c r="CE1468">
        <v>8750</v>
      </c>
      <c r="CG1468">
        <v>8750</v>
      </c>
      <c r="CH1468">
        <v>2017</v>
      </c>
      <c r="CI1468">
        <v>8750</v>
      </c>
      <c r="CK1468">
        <v>8750</v>
      </c>
      <c r="CL1468">
        <v>2017</v>
      </c>
      <c r="CM1468">
        <v>132.46</v>
      </c>
      <c r="CN1468" s="1">
        <v>34093</v>
      </c>
      <c r="CZ1468" s="1">
        <v>34093</v>
      </c>
      <c r="DD1468" t="s">
        <v>11749</v>
      </c>
      <c r="DF1468">
        <v>3</v>
      </c>
      <c r="DG1468">
        <v>24</v>
      </c>
      <c r="DL1468">
        <v>50303</v>
      </c>
      <c r="DM1468" t="s">
        <v>14872</v>
      </c>
      <c r="DO1468" t="s">
        <v>14909</v>
      </c>
      <c r="DP1468">
        <v>0</v>
      </c>
      <c r="DQ1468">
        <v>0</v>
      </c>
      <c r="DR1468" t="s">
        <v>411</v>
      </c>
      <c r="DS1468" t="b">
        <v>1</v>
      </c>
      <c r="DT1468" t="s">
        <v>470</v>
      </c>
      <c r="DU1468" t="s">
        <v>471</v>
      </c>
      <c r="DV1468" t="s">
        <v>472</v>
      </c>
      <c r="DX1468">
        <v>-9999</v>
      </c>
      <c r="DZ1468" t="s">
        <v>447</v>
      </c>
      <c r="EA1468" t="s">
        <v>448</v>
      </c>
      <c r="EB1468" t="s">
        <v>742</v>
      </c>
      <c r="EC1468">
        <v>20101217</v>
      </c>
      <c r="ED1468" t="s">
        <v>474</v>
      </c>
      <c r="EF1468">
        <v>183.2</v>
      </c>
      <c r="EG1468">
        <v>88.6</v>
      </c>
      <c r="EI1468">
        <v>20160407</v>
      </c>
      <c r="EJ1468">
        <v>0</v>
      </c>
      <c r="EK1468">
        <v>0</v>
      </c>
      <c r="EP1468" t="s">
        <v>595</v>
      </c>
      <c r="EQ1468" t="s">
        <v>452</v>
      </c>
      <c r="ER1468">
        <v>1</v>
      </c>
      <c r="ES1468">
        <v>7</v>
      </c>
      <c r="ET1468">
        <v>172.27</v>
      </c>
      <c r="EU1468">
        <v>14.86</v>
      </c>
      <c r="EV1468">
        <v>187.13</v>
      </c>
      <c r="EW1468" s="2">
        <v>43222</v>
      </c>
      <c r="EX1468" s="1">
        <v>42879</v>
      </c>
      <c r="EY1468">
        <v>2016</v>
      </c>
      <c r="EZ1468">
        <v>172.27</v>
      </c>
      <c r="FA1468" t="s">
        <v>14910</v>
      </c>
      <c r="FB1468">
        <v>0.25</v>
      </c>
      <c r="FC1468" t="s">
        <v>424</v>
      </c>
      <c r="FD1468" t="s">
        <v>454</v>
      </c>
      <c r="FF1468">
        <v>12</v>
      </c>
      <c r="FG1468">
        <v>62</v>
      </c>
      <c r="FH1468" t="s">
        <v>463</v>
      </c>
      <c r="FJ1468" s="1">
        <v>42515</v>
      </c>
      <c r="FK1468">
        <v>2015</v>
      </c>
      <c r="FL1468">
        <v>170.81</v>
      </c>
      <c r="FM1468" t="s">
        <v>14911</v>
      </c>
      <c r="FN1468">
        <v>18</v>
      </c>
      <c r="FO1468" t="s">
        <v>603</v>
      </c>
      <c r="FP1468" t="s">
        <v>425</v>
      </c>
      <c r="FQ1468" s="1">
        <v>42584</v>
      </c>
      <c r="FR1468">
        <v>3</v>
      </c>
      <c r="FS1468">
        <v>9999999</v>
      </c>
      <c r="FT1468" t="s">
        <v>604</v>
      </c>
      <c r="FU1468" t="s">
        <v>458</v>
      </c>
      <c r="FV1468" s="1">
        <v>42151</v>
      </c>
      <c r="FW1468">
        <v>2014</v>
      </c>
      <c r="FX1468">
        <v>171.56</v>
      </c>
      <c r="FY1468" t="s">
        <v>14912</v>
      </c>
      <c r="FZ1468">
        <v>18</v>
      </c>
      <c r="GA1468" t="s">
        <v>424</v>
      </c>
      <c r="GB1468" t="s">
        <v>425</v>
      </c>
      <c r="GD1468">
        <v>22</v>
      </c>
      <c r="GE1468">
        <v>10125</v>
      </c>
      <c r="GF1468" t="s">
        <v>440</v>
      </c>
      <c r="GG1468" t="s">
        <v>458</v>
      </c>
      <c r="GH1468" s="1">
        <v>41787</v>
      </c>
      <c r="GI1468">
        <v>2013</v>
      </c>
      <c r="GJ1468">
        <v>163.56</v>
      </c>
      <c r="GK1468" t="s">
        <v>14913</v>
      </c>
      <c r="GL1468">
        <v>3.75</v>
      </c>
      <c r="GM1468" t="s">
        <v>424</v>
      </c>
      <c r="GN1468" t="s">
        <v>425</v>
      </c>
      <c r="GP1468">
        <v>22</v>
      </c>
      <c r="GQ1468">
        <v>10125</v>
      </c>
      <c r="GR1468" t="s">
        <v>440</v>
      </c>
      <c r="GS1468" t="s">
        <v>458</v>
      </c>
      <c r="GT1468" s="1">
        <v>41423</v>
      </c>
      <c r="GU1468">
        <v>2012</v>
      </c>
      <c r="GV1468">
        <v>165.33</v>
      </c>
      <c r="GW1468" t="s">
        <v>14914</v>
      </c>
      <c r="GX1468">
        <v>7.5</v>
      </c>
      <c r="GY1468" t="s">
        <v>424</v>
      </c>
      <c r="GZ1468" t="s">
        <v>425</v>
      </c>
      <c r="HA1468" s="1">
        <v>42584</v>
      </c>
      <c r="HB1468">
        <v>39</v>
      </c>
      <c r="HC1468">
        <v>1127</v>
      </c>
      <c r="HD1468" t="s">
        <v>1379</v>
      </c>
      <c r="HE1468" t="s">
        <v>458</v>
      </c>
      <c r="HF1468" s="1">
        <v>41423</v>
      </c>
      <c r="HG1468">
        <v>2012</v>
      </c>
      <c r="HH1468">
        <v>165.33</v>
      </c>
      <c r="HI1468" t="s">
        <v>14914</v>
      </c>
      <c r="HJ1468">
        <v>7.5</v>
      </c>
      <c r="HK1468" t="s">
        <v>424</v>
      </c>
      <c r="HL1468" t="s">
        <v>425</v>
      </c>
      <c r="HN1468">
        <v>22</v>
      </c>
      <c r="HO1468">
        <v>2035919</v>
      </c>
      <c r="HP1468" t="s">
        <v>507</v>
      </c>
      <c r="HQ1468" t="s">
        <v>458</v>
      </c>
      <c r="HR1468" s="1">
        <v>41052</v>
      </c>
      <c r="HS1468">
        <v>2011</v>
      </c>
      <c r="HT1468">
        <v>180.66</v>
      </c>
      <c r="HU1468" t="s">
        <v>14915</v>
      </c>
      <c r="HV1468">
        <v>18</v>
      </c>
      <c r="HW1468" t="s">
        <v>424</v>
      </c>
      <c r="HX1468" t="s">
        <v>425</v>
      </c>
      <c r="HZ1468">
        <v>22</v>
      </c>
      <c r="IA1468">
        <v>10125</v>
      </c>
      <c r="IB1468" t="s">
        <v>440</v>
      </c>
      <c r="IC1468" t="s">
        <v>458</v>
      </c>
      <c r="ID1468" s="1">
        <v>40688</v>
      </c>
      <c r="IE1468">
        <v>2010</v>
      </c>
      <c r="IF1468">
        <v>179.75</v>
      </c>
      <c r="IG1468" t="s">
        <v>14916</v>
      </c>
      <c r="IH1468">
        <v>12</v>
      </c>
      <c r="II1468" t="s">
        <v>424</v>
      </c>
      <c r="IJ1468" t="s">
        <v>425</v>
      </c>
      <c r="IK1468" s="1">
        <v>41732</v>
      </c>
      <c r="IL1468">
        <v>35</v>
      </c>
      <c r="IM1468">
        <v>10125</v>
      </c>
      <c r="IN1468" t="s">
        <v>440</v>
      </c>
    </row>
    <row r="1469" spans="1:284" x14ac:dyDescent="0.25">
      <c r="A1469">
        <v>16486476</v>
      </c>
      <c r="B1469">
        <v>1468</v>
      </c>
      <c r="C1469" t="s">
        <v>393</v>
      </c>
      <c r="D1469" t="s">
        <v>394</v>
      </c>
      <c r="F1469" t="str">
        <f>"24-2N-28-0000-0007-0010"</f>
        <v>24-2N-28-0000-0007-0010</v>
      </c>
      <c r="H1469" t="str">
        <f>"ALBERTIE THELMA W C/O BERTHA FLEMMING"</f>
        <v>ALBERTIE THELMA W C/O BERTHA FLEMMING</v>
      </c>
      <c r="I1469" t="str">
        <f>"2040 SOUTEL DRIVE"</f>
        <v>2040 SOUTEL DRIVE</v>
      </c>
      <c r="J1469" t="str">
        <f>"JACKSONVILLE FL 32208"</f>
        <v>JACKSONVILLE FL 32208</v>
      </c>
      <c r="K1469" t="str">
        <f>"96101 NORTH PRINCE DR"</f>
        <v>96101 NORTH PRINCE DR</v>
      </c>
      <c r="L1469" t="str">
        <f>"YULEE FL 32097"</f>
        <v>YULEE FL 32097</v>
      </c>
      <c r="M1469" t="str">
        <f>"PT GOVT LOT 3 OF SEC 24-2N-28E IN OR 670/846"</f>
        <v>PT GOVT LOT 3 OF SEC 24-2N-28E IN OR 670/846</v>
      </c>
      <c r="N1469" t="str">
        <f>""</f>
        <v/>
      </c>
      <c r="O1469" t="str">
        <f>"34701"</f>
        <v>34701</v>
      </c>
      <c r="P1469" t="str">
        <f t="shared" si="494"/>
        <v>2017</v>
      </c>
      <c r="Q1469" t="str">
        <f>""</f>
        <v/>
      </c>
      <c r="R1469" t="str">
        <f>"Y"</f>
        <v>Y</v>
      </c>
      <c r="S1469" t="str">
        <f>""</f>
        <v/>
      </c>
      <c r="T1469" t="str">
        <f>"538.77"</f>
        <v>538.77</v>
      </c>
      <c r="U1469" t="str">
        <f>"74294.00"</f>
        <v>74294.00</v>
      </c>
      <c r="V1469" t="str">
        <f>"74294.00"</f>
        <v>74294.00</v>
      </c>
      <c r="W1469" t="str">
        <f t="shared" si="495"/>
        <v>2017</v>
      </c>
      <c r="X1469" t="str">
        <f>"20.80"</f>
        <v>20.80</v>
      </c>
      <c r="Y1469" t="str">
        <f>"586.93"</f>
        <v>586.93</v>
      </c>
      <c r="Z1469" t="str">
        <f>"25000.00"</f>
        <v>25000.00</v>
      </c>
      <c r="AA1469" t="str">
        <f>"49294.00"</f>
        <v>49294.00</v>
      </c>
      <c r="AB1469" t="str">
        <f t="shared" si="501"/>
        <v>Residential</v>
      </c>
      <c r="AC1469" t="str">
        <f t="shared" si="499"/>
        <v>0</v>
      </c>
      <c r="AD1469" t="str">
        <f>"4"</f>
        <v>4</v>
      </c>
      <c r="AE1469" t="str">
        <f>"WOOD (INCLUDE STEEL STUDS)"</f>
        <v>WOOD (INCLUDE STEEL STUDS)</v>
      </c>
      <c r="AF1469" t="str">
        <f>"001"</f>
        <v>001</v>
      </c>
      <c r="AG1469" t="str">
        <f t="shared" ref="AG1469:AG1485" si="513">"FL"</f>
        <v>FL</v>
      </c>
      <c r="AH1469" t="str">
        <f>"13000.00"</f>
        <v>13000.00</v>
      </c>
      <c r="AI1469" t="str">
        <f>"8750.00"</f>
        <v>8750.00</v>
      </c>
      <c r="AJ1469" t="str">
        <f>"C55-000-587-3703-2"</f>
        <v>C55-000-587-3703-2</v>
      </c>
      <c r="AK1469" t="str">
        <f>"25038"</f>
        <v>25038</v>
      </c>
      <c r="AL1469">
        <v>6</v>
      </c>
      <c r="AM1469">
        <v>1686</v>
      </c>
      <c r="AN1469">
        <v>614.67999999999995</v>
      </c>
      <c r="AQ1469" t="s">
        <v>14917</v>
      </c>
      <c r="AR1469" t="s">
        <v>14917</v>
      </c>
      <c r="AS1469" t="s">
        <v>14917</v>
      </c>
      <c r="AU1469" t="s">
        <v>396</v>
      </c>
      <c r="AV1469">
        <v>2017</v>
      </c>
      <c r="AW1469" t="str">
        <f>"24-2N-28-0000-0007-0010 "</f>
        <v xml:space="preserve">24-2N-28-0000-0007-0010 </v>
      </c>
      <c r="AX1469">
        <v>96101</v>
      </c>
      <c r="AY1469" t="s">
        <v>11533</v>
      </c>
      <c r="AZ1469" t="s">
        <v>14891</v>
      </c>
      <c r="BA1469" t="s">
        <v>669</v>
      </c>
      <c r="BD1469" t="s">
        <v>2387</v>
      </c>
      <c r="BE1469" t="s">
        <v>393</v>
      </c>
      <c r="BF1469">
        <v>32097</v>
      </c>
      <c r="BG1469" t="s">
        <v>14918</v>
      </c>
      <c r="BH1469" t="s">
        <v>2388</v>
      </c>
      <c r="BI1469">
        <v>-81.525833326528797</v>
      </c>
      <c r="BJ1469">
        <v>30.621906439760199</v>
      </c>
      <c r="BK1469" t="s">
        <v>14919</v>
      </c>
      <c r="BM1469" t="s">
        <v>14920</v>
      </c>
      <c r="BN1469" t="s">
        <v>548</v>
      </c>
      <c r="BO1469">
        <v>32208</v>
      </c>
      <c r="BP1469" t="s">
        <v>404</v>
      </c>
      <c r="BQ1469">
        <v>100</v>
      </c>
      <c r="BR1469" t="s">
        <v>514</v>
      </c>
      <c r="BS1469">
        <v>1001</v>
      </c>
      <c r="BT1469" t="s">
        <v>515</v>
      </c>
      <c r="BU1469">
        <v>1000</v>
      </c>
      <c r="BV1469">
        <v>1300</v>
      </c>
      <c r="BW1469">
        <v>13796</v>
      </c>
      <c r="BX1469" t="s">
        <v>407</v>
      </c>
      <c r="BY1469" t="s">
        <v>4360</v>
      </c>
      <c r="BZ1469">
        <v>4</v>
      </c>
      <c r="CA1469">
        <v>1968</v>
      </c>
      <c r="CB1469">
        <v>1</v>
      </c>
      <c r="CC1469">
        <v>1</v>
      </c>
      <c r="CD1469">
        <v>2017</v>
      </c>
      <c r="CG1469">
        <v>74294</v>
      </c>
      <c r="CH1469">
        <v>2017</v>
      </c>
      <c r="CI1469">
        <v>8750</v>
      </c>
      <c r="CJ1469">
        <v>72186</v>
      </c>
      <c r="CK1469">
        <v>80936</v>
      </c>
      <c r="CL1469">
        <v>2017</v>
      </c>
      <c r="CM1469">
        <v>538.77</v>
      </c>
      <c r="CN1469" s="1">
        <v>33925</v>
      </c>
      <c r="CZ1469" s="1">
        <v>33925</v>
      </c>
      <c r="DD1469" t="s">
        <v>2387</v>
      </c>
      <c r="DF1469">
        <v>3</v>
      </c>
      <c r="DG1469">
        <v>24</v>
      </c>
      <c r="DL1469">
        <v>50303</v>
      </c>
      <c r="DM1469" t="s">
        <v>14872</v>
      </c>
      <c r="DO1469" t="s">
        <v>14921</v>
      </c>
      <c r="DP1469">
        <v>0</v>
      </c>
      <c r="DQ1469">
        <v>0</v>
      </c>
      <c r="DR1469" t="s">
        <v>411</v>
      </c>
      <c r="DS1469" t="b">
        <v>1</v>
      </c>
      <c r="DT1469" t="s">
        <v>470</v>
      </c>
      <c r="DU1469" t="s">
        <v>471</v>
      </c>
      <c r="DV1469" t="s">
        <v>472</v>
      </c>
      <c r="DX1469">
        <v>-9999</v>
      </c>
      <c r="DZ1469" t="s">
        <v>447</v>
      </c>
      <c r="EA1469" t="s">
        <v>448</v>
      </c>
      <c r="EB1469" t="s">
        <v>742</v>
      </c>
      <c r="EC1469">
        <v>20101217</v>
      </c>
      <c r="ED1469" t="s">
        <v>474</v>
      </c>
      <c r="EF1469">
        <v>282.5</v>
      </c>
      <c r="EG1469">
        <v>176.6</v>
      </c>
      <c r="EI1469">
        <v>20160407</v>
      </c>
      <c r="EJ1469">
        <v>0</v>
      </c>
      <c r="EK1469">
        <v>0</v>
      </c>
      <c r="EP1469" t="s">
        <v>421</v>
      </c>
      <c r="EQ1469" t="s">
        <v>422</v>
      </c>
      <c r="ER1469">
        <v>7</v>
      </c>
      <c r="ES1469">
        <v>1</v>
      </c>
      <c r="ET1469">
        <v>4312.9799999999996</v>
      </c>
      <c r="EU1469">
        <v>259.39999999999998</v>
      </c>
      <c r="EV1469">
        <v>4572.38</v>
      </c>
      <c r="EW1469" s="2">
        <v>43222</v>
      </c>
      <c r="EX1469" s="1">
        <v>42879</v>
      </c>
      <c r="EY1469">
        <v>2016</v>
      </c>
      <c r="EZ1469">
        <v>609.33000000000004</v>
      </c>
      <c r="FA1469" t="s">
        <v>14922</v>
      </c>
      <c r="FB1469">
        <v>0.25</v>
      </c>
      <c r="FC1469" t="s">
        <v>424</v>
      </c>
      <c r="FD1469" t="s">
        <v>454</v>
      </c>
      <c r="FF1469">
        <v>12</v>
      </c>
      <c r="FG1469">
        <v>5856195</v>
      </c>
      <c r="FH1469" t="s">
        <v>1060</v>
      </c>
      <c r="FJ1469" s="1">
        <v>42879</v>
      </c>
      <c r="FK1469">
        <v>2016</v>
      </c>
      <c r="FL1469">
        <v>609.33000000000004</v>
      </c>
      <c r="FM1469" t="s">
        <v>14922</v>
      </c>
      <c r="FN1469">
        <v>0.25</v>
      </c>
      <c r="FO1469" t="s">
        <v>424</v>
      </c>
      <c r="FP1469" t="s">
        <v>454</v>
      </c>
      <c r="FR1469">
        <v>12</v>
      </c>
      <c r="FS1469">
        <v>7601215</v>
      </c>
      <c r="FT1469" t="s">
        <v>14923</v>
      </c>
      <c r="FV1469" s="1">
        <v>42515</v>
      </c>
      <c r="FW1469">
        <v>2015</v>
      </c>
      <c r="FX1469">
        <v>619.35</v>
      </c>
      <c r="FY1469" t="s">
        <v>14924</v>
      </c>
      <c r="FZ1469">
        <v>0.25</v>
      </c>
      <c r="GA1469" t="s">
        <v>424</v>
      </c>
      <c r="GB1469" t="s">
        <v>454</v>
      </c>
      <c r="GD1469">
        <v>24</v>
      </c>
      <c r="GE1469">
        <v>2851116</v>
      </c>
      <c r="GF1469" t="s">
        <v>480</v>
      </c>
      <c r="GH1469" s="1">
        <v>42515</v>
      </c>
      <c r="GI1469">
        <v>2015</v>
      </c>
      <c r="GJ1469">
        <v>619.35</v>
      </c>
      <c r="GK1469" t="s">
        <v>14924</v>
      </c>
      <c r="GL1469">
        <v>0.25</v>
      </c>
      <c r="GM1469" t="s">
        <v>424</v>
      </c>
      <c r="GN1469" t="s">
        <v>454</v>
      </c>
      <c r="GP1469">
        <v>24</v>
      </c>
      <c r="GQ1469">
        <v>4970185</v>
      </c>
      <c r="GR1469" t="s">
        <v>14925</v>
      </c>
      <c r="GT1469" s="1">
        <v>42151</v>
      </c>
      <c r="GU1469">
        <v>2014</v>
      </c>
      <c r="GV1469">
        <v>618.54</v>
      </c>
      <c r="GW1469" t="s">
        <v>14926</v>
      </c>
      <c r="GX1469">
        <v>0.25</v>
      </c>
      <c r="GY1469" t="s">
        <v>424</v>
      </c>
      <c r="GZ1469" t="s">
        <v>454</v>
      </c>
      <c r="HB1469">
        <v>36</v>
      </c>
      <c r="HC1469">
        <v>4975594</v>
      </c>
      <c r="HD1469" t="s">
        <v>457</v>
      </c>
      <c r="HF1469" s="1">
        <v>42151</v>
      </c>
      <c r="HG1469">
        <v>2014</v>
      </c>
      <c r="HH1469">
        <v>618.54</v>
      </c>
      <c r="HI1469" t="s">
        <v>14926</v>
      </c>
      <c r="HJ1469">
        <v>0.25</v>
      </c>
      <c r="HK1469" t="s">
        <v>424</v>
      </c>
      <c r="HL1469" t="s">
        <v>454</v>
      </c>
      <c r="HN1469">
        <v>36</v>
      </c>
      <c r="HO1469">
        <v>6463026</v>
      </c>
      <c r="HP1469" t="s">
        <v>14927</v>
      </c>
      <c r="HR1469" s="1">
        <v>42151</v>
      </c>
      <c r="HS1469">
        <v>2014</v>
      </c>
      <c r="HT1469">
        <v>618.54</v>
      </c>
      <c r="HU1469" t="s">
        <v>14926</v>
      </c>
      <c r="HV1469">
        <v>0.25</v>
      </c>
      <c r="HW1469" t="s">
        <v>424</v>
      </c>
      <c r="HX1469" t="s">
        <v>454</v>
      </c>
      <c r="HZ1469">
        <v>36</v>
      </c>
      <c r="IA1469">
        <v>12259</v>
      </c>
      <c r="IB1469" t="s">
        <v>1032</v>
      </c>
      <c r="ID1469" s="1">
        <v>41423</v>
      </c>
      <c r="IE1469">
        <v>2012</v>
      </c>
      <c r="IF1469">
        <v>590.13</v>
      </c>
      <c r="IG1469" t="s">
        <v>14928</v>
      </c>
      <c r="IH1469">
        <v>0.25</v>
      </c>
      <c r="II1469" t="s">
        <v>424</v>
      </c>
      <c r="IJ1469" t="s">
        <v>425</v>
      </c>
      <c r="IK1469" s="1">
        <v>41752</v>
      </c>
      <c r="IL1469">
        <v>11</v>
      </c>
      <c r="IM1469">
        <v>15407</v>
      </c>
      <c r="IN1469" t="s">
        <v>1134</v>
      </c>
    </row>
    <row r="1470" spans="1:284" x14ac:dyDescent="0.25">
      <c r="A1470">
        <v>16486477</v>
      </c>
      <c r="B1470">
        <v>1469</v>
      </c>
      <c r="C1470" t="s">
        <v>393</v>
      </c>
      <c r="D1470" t="s">
        <v>394</v>
      </c>
      <c r="F1470" t="str">
        <f>"24-2N-28-0000-0011-0000"</f>
        <v>24-2N-28-0000-0011-0000</v>
      </c>
      <c r="H1470" t="str">
        <f>"BAKER SYDNEY &amp; ANGELA (JT/RS)&amp; BAKER STEVE ET AL"</f>
        <v>BAKER SYDNEY &amp; ANGELA (JT/RS)&amp; BAKER STEVE ET AL</v>
      </c>
      <c r="I1470" t="str">
        <f>"96079 NORTH PRINCE DR"</f>
        <v>96079 NORTH PRINCE DR</v>
      </c>
      <c r="J1470" t="str">
        <f>"YULEE FL 32097"</f>
        <v>YULEE FL 32097</v>
      </c>
      <c r="K1470" t="str">
        <f>"96079 NORTH PRINCE DR"</f>
        <v>96079 NORTH PRINCE DR</v>
      </c>
      <c r="L1470" t="str">
        <f>"YULEE FL 32097"</f>
        <v>YULEE FL 32097</v>
      </c>
      <c r="M1470" t="str">
        <f>"PT GOVT LOT 3 OF SEC 24-2N-28E IN OR 1032/45 (EX UTIL ESMT IN OR 863/1524)"</f>
        <v>PT GOVT LOT 3 OF SEC 24-2N-28E IN OR 1032/45 (EX UTIL ESMT IN OR 863/1524)</v>
      </c>
      <c r="N1470" t="str">
        <f>""</f>
        <v/>
      </c>
      <c r="O1470" t="str">
        <f>"34706"</f>
        <v>34706</v>
      </c>
      <c r="P1470" t="str">
        <f t="shared" si="494"/>
        <v>2017</v>
      </c>
      <c r="Q1470" t="str">
        <f>""</f>
        <v/>
      </c>
      <c r="R1470" t="str">
        <f>"N"</f>
        <v>N</v>
      </c>
      <c r="S1470" t="str">
        <f>""</f>
        <v/>
      </c>
      <c r="T1470" t="str">
        <f>"981.76"</f>
        <v>981.76</v>
      </c>
      <c r="U1470" t="str">
        <f>"64850.00"</f>
        <v>64850.00</v>
      </c>
      <c r="V1470" t="str">
        <f>"64850.00"</f>
        <v>64850.00</v>
      </c>
      <c r="W1470" t="str">
        <f t="shared" si="495"/>
        <v>2017</v>
      </c>
      <c r="X1470" t="str">
        <f>""</f>
        <v/>
      </c>
      <c r="Y1470" t="str">
        <f>"1043.21"</f>
        <v>1043.21</v>
      </c>
      <c r="Z1470" t="str">
        <f>""</f>
        <v/>
      </c>
      <c r="AA1470" t="str">
        <f>"64850.00"</f>
        <v>64850.00</v>
      </c>
      <c r="AB1470" t="str">
        <f t="shared" si="501"/>
        <v>Residential</v>
      </c>
      <c r="AC1470" t="str">
        <f t="shared" si="499"/>
        <v>0</v>
      </c>
      <c r="AD1470" t="str">
        <f>"4"</f>
        <v>4</v>
      </c>
      <c r="AE1470" t="str">
        <f>"WOOD (INCLUDE STEEL STUDS)"</f>
        <v>WOOD (INCLUDE STEEL STUDS)</v>
      </c>
      <c r="AF1470" t="str">
        <f>"001"</f>
        <v>001</v>
      </c>
      <c r="AG1470" t="str">
        <f t="shared" si="513"/>
        <v>FL</v>
      </c>
      <c r="AH1470" t="str">
        <f>"32560.00"</f>
        <v>32560.00</v>
      </c>
      <c r="AI1470" t="str">
        <f>"14115.00"</f>
        <v>14115.00</v>
      </c>
      <c r="AJ1470" t="str">
        <f>"C55-000-587-3708-1"</f>
        <v>C55-000-587-3708-1</v>
      </c>
      <c r="AK1470" t="str">
        <f>"25043"</f>
        <v>25043</v>
      </c>
      <c r="AL1470">
        <v>6</v>
      </c>
      <c r="AM1470">
        <v>1687</v>
      </c>
      <c r="AN1470">
        <v>1093.77</v>
      </c>
      <c r="AQ1470" t="s">
        <v>14929</v>
      </c>
      <c r="AR1470" t="s">
        <v>14929</v>
      </c>
      <c r="AS1470" t="s">
        <v>14929</v>
      </c>
      <c r="AU1470" t="s">
        <v>396</v>
      </c>
      <c r="AV1470">
        <v>2017</v>
      </c>
      <c r="AW1470" t="str">
        <f>"24-2N-28-0000-0011-0000 "</f>
        <v xml:space="preserve">24-2N-28-0000-0011-0000 </v>
      </c>
      <c r="AX1470">
        <v>96079</v>
      </c>
      <c r="AY1470" t="s">
        <v>11533</v>
      </c>
      <c r="AZ1470" t="s">
        <v>14891</v>
      </c>
      <c r="BA1470" t="s">
        <v>669</v>
      </c>
      <c r="BD1470" t="s">
        <v>2387</v>
      </c>
      <c r="BE1470" t="s">
        <v>393</v>
      </c>
      <c r="BF1470">
        <v>32097</v>
      </c>
      <c r="BG1470" t="s">
        <v>14930</v>
      </c>
      <c r="BH1470" t="s">
        <v>2388</v>
      </c>
      <c r="BI1470">
        <v>-81.526524235689607</v>
      </c>
      <c r="BJ1470">
        <v>30.6217636841175</v>
      </c>
      <c r="BK1470" t="s">
        <v>14931</v>
      </c>
      <c r="BL1470" t="s">
        <v>14932</v>
      </c>
      <c r="BM1470" t="s">
        <v>14930</v>
      </c>
      <c r="BN1470" t="s">
        <v>1778</v>
      </c>
      <c r="BO1470">
        <v>32097</v>
      </c>
      <c r="BP1470" t="s">
        <v>416</v>
      </c>
      <c r="BQ1470">
        <v>100</v>
      </c>
      <c r="BR1470" t="s">
        <v>514</v>
      </c>
      <c r="BS1470">
        <v>1001</v>
      </c>
      <c r="BT1470" t="s">
        <v>515</v>
      </c>
      <c r="BU1470">
        <v>1480</v>
      </c>
      <c r="BV1470">
        <v>0</v>
      </c>
      <c r="BW1470">
        <v>32605</v>
      </c>
      <c r="BX1470" t="s">
        <v>407</v>
      </c>
      <c r="BY1470" t="s">
        <v>4360</v>
      </c>
      <c r="BZ1470">
        <v>4</v>
      </c>
      <c r="CA1470">
        <v>1945</v>
      </c>
      <c r="CB1470">
        <v>1</v>
      </c>
      <c r="CC1470">
        <v>1</v>
      </c>
      <c r="CD1470">
        <v>2017</v>
      </c>
      <c r="CE1470">
        <v>14115</v>
      </c>
      <c r="CF1470">
        <v>50735</v>
      </c>
      <c r="CG1470">
        <v>64850</v>
      </c>
      <c r="CH1470">
        <v>2017</v>
      </c>
      <c r="CI1470">
        <v>14115</v>
      </c>
      <c r="CJ1470">
        <v>50735</v>
      </c>
      <c r="CK1470">
        <v>64850</v>
      </c>
      <c r="CL1470">
        <v>2017</v>
      </c>
      <c r="CM1470">
        <v>981.76</v>
      </c>
      <c r="CN1470" s="1">
        <v>36896</v>
      </c>
      <c r="CV1470">
        <v>0</v>
      </c>
      <c r="CZ1470" s="1">
        <v>36896</v>
      </c>
      <c r="DA1470">
        <v>0</v>
      </c>
      <c r="DD1470" t="s">
        <v>2387</v>
      </c>
      <c r="DG1470">
        <v>24</v>
      </c>
      <c r="DL1470">
        <v>50303</v>
      </c>
      <c r="DM1470" t="s">
        <v>14872</v>
      </c>
      <c r="DO1470" t="s">
        <v>14933</v>
      </c>
      <c r="DP1470">
        <v>0</v>
      </c>
      <c r="DQ1470">
        <v>0</v>
      </c>
      <c r="DR1470" t="s">
        <v>411</v>
      </c>
      <c r="DS1470" t="b">
        <v>1</v>
      </c>
      <c r="DT1470" t="s">
        <v>470</v>
      </c>
      <c r="DU1470" t="s">
        <v>471</v>
      </c>
      <c r="DV1470" t="s">
        <v>472</v>
      </c>
      <c r="DX1470">
        <v>-9999</v>
      </c>
      <c r="DZ1470" t="s">
        <v>447</v>
      </c>
      <c r="EA1470" t="s">
        <v>448</v>
      </c>
      <c r="EB1470" t="s">
        <v>742</v>
      </c>
      <c r="EC1470">
        <v>20101217</v>
      </c>
      <c r="ED1470" t="s">
        <v>474</v>
      </c>
      <c r="EF1470">
        <v>523.79999999999995</v>
      </c>
      <c r="EG1470">
        <v>406.8</v>
      </c>
      <c r="EI1470">
        <v>20160407</v>
      </c>
      <c r="EJ1470">
        <v>0</v>
      </c>
      <c r="EK1470">
        <v>0</v>
      </c>
    </row>
    <row r="1471" spans="1:284" x14ac:dyDescent="0.25">
      <c r="A1471">
        <v>16486478</v>
      </c>
      <c r="B1471">
        <v>1470</v>
      </c>
      <c r="C1471" t="s">
        <v>393</v>
      </c>
      <c r="D1471" t="s">
        <v>394</v>
      </c>
      <c r="F1471" t="str">
        <f>"24-2N-28-0000-0017-0010"</f>
        <v>24-2N-28-0000-0017-0010</v>
      </c>
      <c r="H1471" t="str">
        <f>"HOLZENDORF QUINN EST C/O ANTHONY ALDERMAN"</f>
        <v>HOLZENDORF QUINN EST C/O ANTHONY ALDERMAN</v>
      </c>
      <c r="I1471" t="str">
        <f>"96157 NORTH PRINCE DR"</f>
        <v>96157 NORTH PRINCE DR</v>
      </c>
      <c r="J1471" t="str">
        <f>"YULEE FL 32097"</f>
        <v>YULEE FL 32097</v>
      </c>
      <c r="K1471" t="str">
        <f>"464101 SR 200"</f>
        <v>464101 SR 200</v>
      </c>
      <c r="L1471" t="str">
        <f>"YULEE FL 32097"</f>
        <v>YULEE FL 32097</v>
      </c>
      <c r="M1471" t="str">
        <f>"PT GOVT LOT 3 OF SEC 24-2N-28E IN OR 90/534 (EX DOT R/W IN OR 206/59)"</f>
        <v>PT GOVT LOT 3 OF SEC 24-2N-28E IN OR 90/534 (EX DOT R/W IN OR 206/59)</v>
      </c>
      <c r="N1471" t="str">
        <f>""</f>
        <v/>
      </c>
      <c r="O1471" t="str">
        <f>"34721"</f>
        <v>34721</v>
      </c>
      <c r="P1471" t="str">
        <f t="shared" si="494"/>
        <v>2017</v>
      </c>
      <c r="Q1471" t="str">
        <f>""</f>
        <v/>
      </c>
      <c r="R1471" t="str">
        <f>"N"</f>
        <v>N</v>
      </c>
      <c r="S1471" t="str">
        <f>""</f>
        <v/>
      </c>
      <c r="T1471" t="str">
        <f>"1059.44"</f>
        <v>1059.44</v>
      </c>
      <c r="U1471" t="str">
        <f>"69981.00"</f>
        <v>69981.00</v>
      </c>
      <c r="V1471" t="str">
        <f>"69981.00"</f>
        <v>69981.00</v>
      </c>
      <c r="W1471" t="str">
        <f t="shared" si="495"/>
        <v>2017</v>
      </c>
      <c r="X1471" t="str">
        <f>"18.40"</f>
        <v>18.40</v>
      </c>
      <c r="Y1471" t="str">
        <f>"1123.22"</f>
        <v>1123.22</v>
      </c>
      <c r="Z1471" t="str">
        <f>""</f>
        <v/>
      </c>
      <c r="AA1471" t="str">
        <f>"69981.00"</f>
        <v>69981.00</v>
      </c>
      <c r="AB1471" t="str">
        <f t="shared" si="501"/>
        <v>Residential</v>
      </c>
      <c r="AC1471" t="str">
        <f t="shared" si="499"/>
        <v>0</v>
      </c>
      <c r="AD1471" t="str">
        <f>"4"</f>
        <v>4</v>
      </c>
      <c r="AE1471" t="str">
        <f>"WOOD (INCLUDE STEEL STUDS)"</f>
        <v>WOOD (INCLUDE STEEL STUDS)</v>
      </c>
      <c r="AF1471" t="str">
        <f>"001"</f>
        <v>001</v>
      </c>
      <c r="AG1471" t="str">
        <f t="shared" si="513"/>
        <v>FL</v>
      </c>
      <c r="AH1471" t="str">
        <f>"11050.00"</f>
        <v>11050.00</v>
      </c>
      <c r="AI1471" t="str">
        <f>"35425.00"</f>
        <v>35425.00</v>
      </c>
      <c r="AJ1471" t="str">
        <f>"C55-000-587-3723-0"</f>
        <v>C55-000-587-3723-0</v>
      </c>
      <c r="AK1471" t="str">
        <f>"25058"</f>
        <v>25058</v>
      </c>
      <c r="AL1471">
        <v>6</v>
      </c>
      <c r="AM1471">
        <v>1688</v>
      </c>
      <c r="AN1471">
        <v>1177.78</v>
      </c>
      <c r="AQ1471" t="s">
        <v>14934</v>
      </c>
      <c r="AR1471" t="s">
        <v>14934</v>
      </c>
      <c r="AS1471" t="s">
        <v>14934</v>
      </c>
      <c r="AU1471" t="s">
        <v>396</v>
      </c>
      <c r="AV1471">
        <v>2017</v>
      </c>
      <c r="AW1471" t="str">
        <f>"24-2N-28-0000-0017-0010 "</f>
        <v xml:space="preserve">24-2N-28-0000-0017-0010 </v>
      </c>
      <c r="AX1471">
        <v>464101</v>
      </c>
      <c r="AZ1471" t="s">
        <v>8071</v>
      </c>
      <c r="BD1471" t="s">
        <v>2387</v>
      </c>
      <c r="BE1471" t="s">
        <v>393</v>
      </c>
      <c r="BF1471">
        <v>32097</v>
      </c>
      <c r="BG1471" t="s">
        <v>14935</v>
      </c>
      <c r="BH1471" t="s">
        <v>2388</v>
      </c>
      <c r="BI1471">
        <v>-81.527241723225302</v>
      </c>
      <c r="BJ1471">
        <v>30.621301584805199</v>
      </c>
      <c r="BK1471" t="s">
        <v>14936</v>
      </c>
      <c r="BM1471" t="s">
        <v>14880</v>
      </c>
      <c r="BN1471" t="s">
        <v>1778</v>
      </c>
      <c r="BO1471">
        <v>32097</v>
      </c>
      <c r="BP1471" t="s">
        <v>404</v>
      </c>
      <c r="BQ1471">
        <v>100</v>
      </c>
      <c r="BR1471" t="s">
        <v>514</v>
      </c>
      <c r="BS1471">
        <v>1001</v>
      </c>
      <c r="BT1471" t="s">
        <v>515</v>
      </c>
      <c r="BU1471">
        <v>650</v>
      </c>
      <c r="BV1471">
        <v>1700</v>
      </c>
      <c r="BW1471">
        <v>20956</v>
      </c>
      <c r="BX1471" t="s">
        <v>407</v>
      </c>
      <c r="BY1471" t="s">
        <v>4360</v>
      </c>
      <c r="BZ1471">
        <v>4</v>
      </c>
      <c r="CA1471">
        <v>1968</v>
      </c>
      <c r="CB1471">
        <v>1</v>
      </c>
      <c r="CC1471">
        <v>1</v>
      </c>
      <c r="CD1471">
        <v>2017</v>
      </c>
      <c r="CE1471">
        <v>35425</v>
      </c>
      <c r="CF1471">
        <v>34556</v>
      </c>
      <c r="CG1471">
        <v>69981</v>
      </c>
      <c r="CH1471">
        <v>2017</v>
      </c>
      <c r="CI1471">
        <v>35425</v>
      </c>
      <c r="CJ1471">
        <v>34556</v>
      </c>
      <c r="CK1471">
        <v>69981</v>
      </c>
      <c r="CL1471">
        <v>2017</v>
      </c>
      <c r="CM1471">
        <v>1059.44</v>
      </c>
      <c r="DD1471" t="s">
        <v>2387</v>
      </c>
      <c r="DG1471">
        <v>24</v>
      </c>
      <c r="DL1471">
        <v>50303</v>
      </c>
      <c r="DM1471" t="s">
        <v>14872</v>
      </c>
      <c r="DO1471" t="s">
        <v>14937</v>
      </c>
      <c r="DP1471">
        <v>0</v>
      </c>
      <c r="DQ1471">
        <v>0</v>
      </c>
      <c r="DR1471" t="s">
        <v>411</v>
      </c>
      <c r="DS1471" t="b">
        <v>1</v>
      </c>
      <c r="DT1471" t="s">
        <v>470</v>
      </c>
      <c r="DU1471" t="s">
        <v>471</v>
      </c>
      <c r="DV1471" t="s">
        <v>472</v>
      </c>
      <c r="DX1471">
        <v>-9999</v>
      </c>
      <c r="DZ1471" t="s">
        <v>447</v>
      </c>
      <c r="EA1471" t="s">
        <v>448</v>
      </c>
      <c r="EB1471" t="s">
        <v>742</v>
      </c>
      <c r="EC1471">
        <v>20101217</v>
      </c>
      <c r="ED1471" t="s">
        <v>474</v>
      </c>
      <c r="EF1471">
        <v>719.8</v>
      </c>
      <c r="EG1471">
        <v>560.20000000000005</v>
      </c>
      <c r="EI1471">
        <v>20160407</v>
      </c>
      <c r="EJ1471">
        <v>0</v>
      </c>
      <c r="EK1471">
        <v>0</v>
      </c>
      <c r="EP1471" t="s">
        <v>421</v>
      </c>
      <c r="EQ1471" t="s">
        <v>422</v>
      </c>
      <c r="ER1471">
        <v>2</v>
      </c>
      <c r="ES1471">
        <v>6</v>
      </c>
      <c r="ET1471">
        <v>2382.2199999999998</v>
      </c>
      <c r="EU1471">
        <v>131.61000000000001</v>
      </c>
      <c r="EV1471">
        <v>2513.83</v>
      </c>
      <c r="EW1471" s="2">
        <v>43222</v>
      </c>
      <c r="EX1471" s="1">
        <v>42879</v>
      </c>
      <c r="EY1471">
        <v>2016</v>
      </c>
      <c r="EZ1471">
        <v>1191.1099999999999</v>
      </c>
      <c r="FA1471" t="s">
        <v>14938</v>
      </c>
      <c r="FB1471">
        <v>0.25</v>
      </c>
      <c r="FC1471" t="s">
        <v>424</v>
      </c>
      <c r="FD1471" t="s">
        <v>454</v>
      </c>
      <c r="FF1471">
        <v>12</v>
      </c>
      <c r="FG1471">
        <v>2851116</v>
      </c>
      <c r="FH1471" t="s">
        <v>480</v>
      </c>
      <c r="FJ1471" s="1">
        <v>42879</v>
      </c>
      <c r="FK1471">
        <v>2016</v>
      </c>
      <c r="FL1471">
        <v>1191.1099999999999</v>
      </c>
      <c r="FM1471" t="s">
        <v>14938</v>
      </c>
      <c r="FN1471">
        <v>0.25</v>
      </c>
      <c r="FO1471" t="s">
        <v>424</v>
      </c>
      <c r="FP1471" t="s">
        <v>454</v>
      </c>
      <c r="FR1471">
        <v>12</v>
      </c>
      <c r="FS1471">
        <v>4949204</v>
      </c>
      <c r="FT1471" t="s">
        <v>14939</v>
      </c>
      <c r="FV1471" s="1">
        <v>42515</v>
      </c>
      <c r="FW1471">
        <v>2015</v>
      </c>
      <c r="FX1471">
        <v>1216.95</v>
      </c>
      <c r="FY1471" t="s">
        <v>14940</v>
      </c>
      <c r="FZ1471">
        <v>0.25</v>
      </c>
      <c r="GA1471" t="s">
        <v>424</v>
      </c>
      <c r="GB1471" t="s">
        <v>425</v>
      </c>
      <c r="GC1471" s="1">
        <v>43116</v>
      </c>
      <c r="GD1471">
        <v>20</v>
      </c>
      <c r="GE1471">
        <v>2851116</v>
      </c>
      <c r="GF1471" t="s">
        <v>480</v>
      </c>
      <c r="GH1471" s="1">
        <v>42515</v>
      </c>
      <c r="GI1471">
        <v>2015</v>
      </c>
      <c r="GJ1471">
        <v>1216.95</v>
      </c>
      <c r="GK1471" t="s">
        <v>14940</v>
      </c>
      <c r="GL1471">
        <v>0.25</v>
      </c>
      <c r="GM1471" t="s">
        <v>424</v>
      </c>
      <c r="GN1471" t="s">
        <v>425</v>
      </c>
      <c r="GP1471">
        <v>22</v>
      </c>
      <c r="GQ1471">
        <v>5313395</v>
      </c>
      <c r="GR1471" t="s">
        <v>14941</v>
      </c>
      <c r="GT1471" s="1">
        <v>42151</v>
      </c>
      <c r="GU1471">
        <v>2014</v>
      </c>
      <c r="GV1471">
        <v>1168.3599999999999</v>
      </c>
      <c r="GW1471" t="s">
        <v>14942</v>
      </c>
      <c r="GX1471">
        <v>0.25</v>
      </c>
      <c r="GY1471" t="s">
        <v>424</v>
      </c>
      <c r="GZ1471" t="s">
        <v>425</v>
      </c>
      <c r="HA1471" s="1">
        <v>42794</v>
      </c>
      <c r="HB1471">
        <v>21</v>
      </c>
      <c r="HC1471">
        <v>4975594</v>
      </c>
      <c r="HD1471" t="s">
        <v>457</v>
      </c>
      <c r="HF1471" s="1">
        <v>42151</v>
      </c>
      <c r="HG1471">
        <v>2014</v>
      </c>
      <c r="HH1471">
        <v>1168.3599999999999</v>
      </c>
      <c r="HI1471" t="s">
        <v>14942</v>
      </c>
      <c r="HJ1471">
        <v>0.25</v>
      </c>
      <c r="HK1471" t="s">
        <v>424</v>
      </c>
      <c r="HL1471" t="s">
        <v>425</v>
      </c>
      <c r="HN1471">
        <v>22</v>
      </c>
      <c r="HO1471">
        <v>6442686</v>
      </c>
      <c r="HP1471" t="s">
        <v>14943</v>
      </c>
      <c r="HR1471" s="1">
        <v>41787</v>
      </c>
      <c r="HS1471">
        <v>2013</v>
      </c>
      <c r="HT1471">
        <v>1063.05</v>
      </c>
      <c r="HU1471" t="s">
        <v>14944</v>
      </c>
      <c r="HV1471">
        <v>0.25</v>
      </c>
      <c r="HW1471" t="s">
        <v>424</v>
      </c>
      <c r="HX1471" t="s">
        <v>425</v>
      </c>
      <c r="HY1471" s="1">
        <v>42412</v>
      </c>
      <c r="HZ1471">
        <v>21</v>
      </c>
      <c r="IA1471">
        <v>2101382</v>
      </c>
      <c r="IB1471" t="s">
        <v>993</v>
      </c>
      <c r="ID1471" s="1">
        <v>41423</v>
      </c>
      <c r="IE1471">
        <v>2012</v>
      </c>
      <c r="IF1471">
        <v>1077.51</v>
      </c>
      <c r="IG1471" t="s">
        <v>14945</v>
      </c>
      <c r="IH1471">
        <v>0.25</v>
      </c>
      <c r="II1471" t="s">
        <v>424</v>
      </c>
      <c r="IJ1471" t="s">
        <v>425</v>
      </c>
      <c r="IK1471" s="1">
        <v>42034</v>
      </c>
      <c r="IL1471">
        <v>20</v>
      </c>
      <c r="IM1471">
        <v>2101382</v>
      </c>
      <c r="IN1471" t="s">
        <v>993</v>
      </c>
    </row>
    <row r="1472" spans="1:284" x14ac:dyDescent="0.25">
      <c r="A1472">
        <v>16486479</v>
      </c>
      <c r="B1472">
        <v>1471</v>
      </c>
      <c r="C1472" t="s">
        <v>393</v>
      </c>
      <c r="D1472" t="s">
        <v>394</v>
      </c>
      <c r="F1472" t="str">
        <f>"24-2N-28-0000-0020-0000"</f>
        <v>24-2N-28-0000-0020-0000</v>
      </c>
      <c r="H1472" t="str">
        <f>"SOLOMON CLAUDIA H EST C/O JAMES THOMAS"</f>
        <v>SOLOMON CLAUDIA H EST C/O JAMES THOMAS</v>
      </c>
      <c r="I1472" t="str">
        <f>"P O BOX 24"</f>
        <v>P O BOX 24</v>
      </c>
      <c r="J1472" t="str">
        <f>"YULEE FL 32041"</f>
        <v>YULEE FL 32041</v>
      </c>
      <c r="K1472" t="str">
        <f>"96053 MT ZION LOOP"</f>
        <v>96053 MT ZION LOOP</v>
      </c>
      <c r="L1472" t="str">
        <f>"YULEE FL 32097"</f>
        <v>YULEE FL 32097</v>
      </c>
      <c r="M1472" t="str">
        <f>"PT GOVT LOT 3 OF SEC 24-2N-28E IN OR 144/514 &amp; OR 244/314 &amp; OR 244/317 (EX R/W OR 201/583)"</f>
        <v>PT GOVT LOT 3 OF SEC 24-2N-28E IN OR 144/514 &amp; OR 244/314 &amp; OR 244/317 (EX R/W OR 201/583)</v>
      </c>
      <c r="N1472" t="str">
        <f>""</f>
        <v/>
      </c>
      <c r="O1472" t="str">
        <f>"34726"</f>
        <v>34726</v>
      </c>
      <c r="P1472" t="str">
        <f t="shared" si="494"/>
        <v>2017</v>
      </c>
      <c r="Q1472" t="str">
        <f>""</f>
        <v/>
      </c>
      <c r="R1472" t="str">
        <f>"Y"</f>
        <v>Y</v>
      </c>
      <c r="S1472" t="str">
        <f>""</f>
        <v/>
      </c>
      <c r="T1472" t="str">
        <f>"3109.14"</f>
        <v>3109.14</v>
      </c>
      <c r="U1472" t="str">
        <f>"230876.00"</f>
        <v>230876.00</v>
      </c>
      <c r="V1472" t="str">
        <f>"230876.00"</f>
        <v>230876.00</v>
      </c>
      <c r="W1472" t="str">
        <f t="shared" si="495"/>
        <v>2017</v>
      </c>
      <c r="X1472" t="str">
        <f>"15.38"</f>
        <v>15.38</v>
      </c>
      <c r="Y1472" t="str">
        <f>"3234.41"</f>
        <v>3234.41</v>
      </c>
      <c r="Z1472" t="str">
        <f>"25500.00"</f>
        <v>25500.00</v>
      </c>
      <c r="AA1472" t="str">
        <f>"205376.00"</f>
        <v>205376.00</v>
      </c>
      <c r="AB1472" t="str">
        <f t="shared" si="501"/>
        <v>Residential</v>
      </c>
      <c r="AC1472" t="str">
        <f t="shared" si="499"/>
        <v>0</v>
      </c>
      <c r="AD1472" t="str">
        <f>"4"</f>
        <v>4</v>
      </c>
      <c r="AE1472" t="str">
        <f>"WOOD (INCLUDE STEEL STUDS)"</f>
        <v>WOOD (INCLUDE STEEL STUDS)</v>
      </c>
      <c r="AF1472" t="str">
        <f>"001"</f>
        <v>001</v>
      </c>
      <c r="AG1472" t="str">
        <f t="shared" si="513"/>
        <v>FL</v>
      </c>
      <c r="AH1472" t="str">
        <f>"54380.00"</f>
        <v>54380.00</v>
      </c>
      <c r="AI1472" t="str">
        <f>"106163.00"</f>
        <v>106163.00</v>
      </c>
      <c r="AJ1472" t="str">
        <f>"C55-000-587-3727-1"</f>
        <v>C55-000-587-3727-1</v>
      </c>
      <c r="AK1472" t="str">
        <f>"25062"</f>
        <v>25062</v>
      </c>
      <c r="AL1472">
        <v>6</v>
      </c>
      <c r="AM1472">
        <v>1689</v>
      </c>
      <c r="AN1472">
        <v>3394.53</v>
      </c>
      <c r="AQ1472" t="s">
        <v>14946</v>
      </c>
      <c r="AR1472" t="s">
        <v>14946</v>
      </c>
      <c r="AS1472" t="s">
        <v>14946</v>
      </c>
      <c r="AU1472" t="s">
        <v>396</v>
      </c>
      <c r="AV1472">
        <v>2017</v>
      </c>
      <c r="AW1472" t="str">
        <f>"24-2N-28-0000-0020-0000 "</f>
        <v xml:space="preserve">24-2N-28-0000-0020-0000 </v>
      </c>
      <c r="AX1472">
        <v>96053</v>
      </c>
      <c r="AZ1472" t="s">
        <v>14947</v>
      </c>
      <c r="BA1472" t="s">
        <v>14948</v>
      </c>
      <c r="BD1472" t="s">
        <v>2387</v>
      </c>
      <c r="BE1472" t="s">
        <v>393</v>
      </c>
      <c r="BF1472">
        <v>32097</v>
      </c>
      <c r="BG1472" t="s">
        <v>14949</v>
      </c>
      <c r="BH1472" t="s">
        <v>2388</v>
      </c>
      <c r="BI1472">
        <v>-81.528667661767898</v>
      </c>
      <c r="BJ1472">
        <v>30.6205829427285</v>
      </c>
      <c r="BK1472" t="s">
        <v>14950</v>
      </c>
      <c r="BM1472" t="s">
        <v>12362</v>
      </c>
      <c r="BN1472" t="s">
        <v>1778</v>
      </c>
      <c r="BO1472">
        <v>32041</v>
      </c>
      <c r="BP1472" t="s">
        <v>404</v>
      </c>
      <c r="BQ1472">
        <v>100</v>
      </c>
      <c r="BR1472" t="s">
        <v>514</v>
      </c>
      <c r="BS1472">
        <v>1001</v>
      </c>
      <c r="BT1472" t="s">
        <v>515</v>
      </c>
      <c r="BW1472">
        <v>48299</v>
      </c>
      <c r="BX1472" t="s">
        <v>407</v>
      </c>
      <c r="BY1472" t="s">
        <v>2221</v>
      </c>
      <c r="BZ1472">
        <v>4</v>
      </c>
      <c r="CA1472">
        <v>1966</v>
      </c>
      <c r="CB1472">
        <v>2</v>
      </c>
      <c r="CC1472">
        <v>2</v>
      </c>
      <c r="CD1472">
        <v>2017</v>
      </c>
      <c r="CE1472">
        <v>106163</v>
      </c>
      <c r="CF1472">
        <v>124713</v>
      </c>
      <c r="CG1472">
        <v>230876</v>
      </c>
      <c r="CH1472">
        <v>2017</v>
      </c>
      <c r="CI1472">
        <v>106163</v>
      </c>
      <c r="CJ1472">
        <v>124713</v>
      </c>
      <c r="CK1472">
        <v>230876</v>
      </c>
      <c r="CL1472">
        <v>2017</v>
      </c>
      <c r="CM1472">
        <v>3109.14</v>
      </c>
      <c r="DD1472" t="s">
        <v>2387</v>
      </c>
      <c r="DG1472">
        <v>24</v>
      </c>
      <c r="DL1472">
        <v>50303</v>
      </c>
      <c r="DM1472" t="s">
        <v>14872</v>
      </c>
      <c r="DO1472" t="s">
        <v>14951</v>
      </c>
      <c r="DP1472">
        <v>0</v>
      </c>
      <c r="DQ1472">
        <v>3</v>
      </c>
      <c r="DR1472" t="s">
        <v>411</v>
      </c>
      <c r="DS1472" t="b">
        <v>1</v>
      </c>
      <c r="DT1472" t="s">
        <v>470</v>
      </c>
      <c r="DU1472" t="s">
        <v>471</v>
      </c>
      <c r="DV1472" t="s">
        <v>472</v>
      </c>
      <c r="DX1472">
        <v>-9999</v>
      </c>
      <c r="DZ1472" t="s">
        <v>447</v>
      </c>
      <c r="EA1472" t="s">
        <v>448</v>
      </c>
      <c r="EB1472" t="s">
        <v>742</v>
      </c>
      <c r="EC1472">
        <v>20101217</v>
      </c>
      <c r="ED1472" t="s">
        <v>474</v>
      </c>
      <c r="EF1472">
        <v>1194.2</v>
      </c>
      <c r="EG1472">
        <v>980.4</v>
      </c>
      <c r="EI1472">
        <v>20160407</v>
      </c>
      <c r="EJ1472">
        <v>0</v>
      </c>
      <c r="EK1472">
        <v>0</v>
      </c>
      <c r="EP1472" t="s">
        <v>421</v>
      </c>
      <c r="EQ1472" t="s">
        <v>422</v>
      </c>
      <c r="ER1472">
        <v>2</v>
      </c>
      <c r="ES1472">
        <v>9</v>
      </c>
      <c r="ET1472">
        <v>6898.84</v>
      </c>
      <c r="EU1472">
        <v>357.44</v>
      </c>
      <c r="EV1472">
        <v>7256.28</v>
      </c>
      <c r="EW1472" s="2">
        <v>43222</v>
      </c>
      <c r="EX1472" s="1">
        <v>42879</v>
      </c>
      <c r="EY1472">
        <v>2016</v>
      </c>
      <c r="EZ1472">
        <v>3449.42</v>
      </c>
      <c r="FA1472" t="s">
        <v>14952</v>
      </c>
      <c r="FB1472">
        <v>0.25</v>
      </c>
      <c r="FC1472" t="s">
        <v>424</v>
      </c>
      <c r="FD1472" t="s">
        <v>454</v>
      </c>
      <c r="FF1472">
        <v>12</v>
      </c>
      <c r="FG1472">
        <v>2851116</v>
      </c>
      <c r="FH1472" t="s">
        <v>480</v>
      </c>
      <c r="FJ1472" s="1">
        <v>42879</v>
      </c>
      <c r="FK1472">
        <v>2016</v>
      </c>
      <c r="FL1472">
        <v>3449.42</v>
      </c>
      <c r="FM1472" t="s">
        <v>14952</v>
      </c>
      <c r="FN1472">
        <v>0.25</v>
      </c>
      <c r="FO1472" t="s">
        <v>424</v>
      </c>
      <c r="FP1472" t="s">
        <v>454</v>
      </c>
      <c r="FR1472">
        <v>12</v>
      </c>
      <c r="FS1472">
        <v>5045797</v>
      </c>
      <c r="FT1472" t="s">
        <v>14953</v>
      </c>
      <c r="FV1472" s="1">
        <v>42515</v>
      </c>
      <c r="FW1472">
        <v>2015</v>
      </c>
      <c r="FX1472">
        <v>3540.59</v>
      </c>
      <c r="FY1472" t="s">
        <v>14954</v>
      </c>
      <c r="FZ1472">
        <v>0.25</v>
      </c>
      <c r="GA1472" t="s">
        <v>424</v>
      </c>
      <c r="GB1472" t="s">
        <v>425</v>
      </c>
      <c r="GC1472" s="1">
        <v>43187</v>
      </c>
      <c r="GD1472">
        <v>22</v>
      </c>
      <c r="GE1472">
        <v>7045074</v>
      </c>
      <c r="GF1472" t="s">
        <v>580</v>
      </c>
      <c r="GH1472" s="1">
        <v>42515</v>
      </c>
      <c r="GI1472">
        <v>2015</v>
      </c>
      <c r="GJ1472">
        <v>3540.59</v>
      </c>
      <c r="GK1472" t="s">
        <v>14954</v>
      </c>
      <c r="GL1472">
        <v>0.25</v>
      </c>
      <c r="GM1472" t="s">
        <v>424</v>
      </c>
      <c r="GN1472" t="s">
        <v>425</v>
      </c>
      <c r="GP1472">
        <v>22</v>
      </c>
      <c r="GQ1472">
        <v>6305915</v>
      </c>
      <c r="GR1472" t="s">
        <v>14955</v>
      </c>
      <c r="GT1472" s="1">
        <v>42151</v>
      </c>
      <c r="GU1472">
        <v>2014</v>
      </c>
      <c r="GV1472">
        <v>3876.78</v>
      </c>
      <c r="GW1472" t="s">
        <v>14956</v>
      </c>
      <c r="GX1472">
        <v>0.25</v>
      </c>
      <c r="GY1472" t="s">
        <v>424</v>
      </c>
      <c r="GZ1472" t="s">
        <v>425</v>
      </c>
      <c r="HA1472" s="1">
        <v>42808</v>
      </c>
      <c r="HB1472">
        <v>22</v>
      </c>
      <c r="HC1472">
        <v>2101382</v>
      </c>
      <c r="HD1472" t="s">
        <v>993</v>
      </c>
      <c r="HF1472" s="1">
        <v>42151</v>
      </c>
      <c r="HG1472">
        <v>2014</v>
      </c>
      <c r="HH1472">
        <v>3876.78</v>
      </c>
      <c r="HI1472" t="s">
        <v>14956</v>
      </c>
      <c r="HJ1472">
        <v>0.25</v>
      </c>
      <c r="HK1472" t="s">
        <v>424</v>
      </c>
      <c r="HL1472" t="s">
        <v>425</v>
      </c>
      <c r="HN1472">
        <v>22</v>
      </c>
      <c r="HO1472">
        <v>5663958</v>
      </c>
      <c r="HP1472" t="s">
        <v>14957</v>
      </c>
      <c r="HR1472" s="1">
        <v>41787</v>
      </c>
      <c r="HS1472">
        <v>2013</v>
      </c>
      <c r="HT1472">
        <v>1249.1199999999999</v>
      </c>
      <c r="HU1472" t="s">
        <v>14958</v>
      </c>
      <c r="HV1472">
        <v>0.25</v>
      </c>
      <c r="HW1472" t="s">
        <v>424</v>
      </c>
      <c r="HX1472" t="s">
        <v>425</v>
      </c>
      <c r="HY1472" s="1">
        <v>41995</v>
      </c>
      <c r="HZ1472">
        <v>7</v>
      </c>
      <c r="IA1472">
        <v>2757457</v>
      </c>
      <c r="IB1472" t="s">
        <v>648</v>
      </c>
      <c r="ID1472" s="1">
        <v>41423</v>
      </c>
      <c r="IE1472">
        <v>2012</v>
      </c>
      <c r="IF1472">
        <v>1237.03</v>
      </c>
      <c r="IG1472" t="s">
        <v>14959</v>
      </c>
      <c r="IH1472">
        <v>0.25</v>
      </c>
      <c r="II1472" t="s">
        <v>424</v>
      </c>
      <c r="IJ1472" t="s">
        <v>425</v>
      </c>
      <c r="IK1472" s="1">
        <v>41995</v>
      </c>
      <c r="IL1472">
        <v>19</v>
      </c>
      <c r="IM1472">
        <v>2101382</v>
      </c>
      <c r="IN1472" t="s">
        <v>993</v>
      </c>
      <c r="IP1472" s="1">
        <v>41052</v>
      </c>
      <c r="IQ1472">
        <v>2011</v>
      </c>
      <c r="IR1472">
        <v>1611.1</v>
      </c>
      <c r="IS1472" t="s">
        <v>14960</v>
      </c>
      <c r="IT1472">
        <v>0.25</v>
      </c>
      <c r="IU1472" t="s">
        <v>424</v>
      </c>
      <c r="IV1472" t="s">
        <v>425</v>
      </c>
      <c r="IW1472" s="1">
        <v>41680</v>
      </c>
      <c r="IX1472">
        <v>21</v>
      </c>
      <c r="IY1472">
        <v>13261</v>
      </c>
      <c r="IZ1472" t="s">
        <v>7678</v>
      </c>
      <c r="JB1472" s="1">
        <v>41052</v>
      </c>
      <c r="JC1472">
        <v>2011</v>
      </c>
      <c r="JD1472">
        <v>1611.1</v>
      </c>
      <c r="JE1472" t="s">
        <v>14960</v>
      </c>
      <c r="JF1472">
        <v>0.25</v>
      </c>
      <c r="JG1472" t="s">
        <v>424</v>
      </c>
      <c r="JH1472" t="s">
        <v>425</v>
      </c>
      <c r="JJ1472">
        <v>22</v>
      </c>
      <c r="JK1472">
        <v>13276</v>
      </c>
      <c r="JL1472" t="s">
        <v>14961</v>
      </c>
      <c r="JN1472" s="1">
        <v>40688</v>
      </c>
      <c r="JO1472">
        <v>2010</v>
      </c>
      <c r="JP1472">
        <v>1215.94</v>
      </c>
      <c r="JQ1472" t="s">
        <v>14962</v>
      </c>
      <c r="JR1472">
        <v>0.25</v>
      </c>
      <c r="JS1472" t="s">
        <v>424</v>
      </c>
      <c r="JT1472" t="s">
        <v>425</v>
      </c>
      <c r="JU1472" s="1">
        <v>41313</v>
      </c>
      <c r="JV1472">
        <v>21</v>
      </c>
      <c r="JW1472">
        <v>11177</v>
      </c>
      <c r="JX1472" t="s">
        <v>650</v>
      </c>
    </row>
    <row r="1473" spans="1:272" x14ac:dyDescent="0.25">
      <c r="A1473">
        <v>16486480</v>
      </c>
      <c r="B1473">
        <v>1472</v>
      </c>
      <c r="C1473" t="s">
        <v>393</v>
      </c>
      <c r="D1473" t="s">
        <v>394</v>
      </c>
      <c r="F1473" t="str">
        <f>"24-2N-28-0000-0037-0000"</f>
        <v>24-2N-28-0000-0037-0000</v>
      </c>
      <c r="H1473" t="str">
        <f>"WATSON FRANK EST C/O THELMA ALBERTIE"</f>
        <v>WATSON FRANK EST C/O THELMA ALBERTIE</v>
      </c>
      <c r="I1473" t="str">
        <f>"2040 SOUTEL DRIVE"</f>
        <v>2040 SOUTEL DRIVE</v>
      </c>
      <c r="J1473" t="str">
        <f>"JACKSONVILLE FL 32208"</f>
        <v>JACKSONVILLE FL 32208</v>
      </c>
      <c r="K1473" t="str">
        <f>"A1A"</f>
        <v>A1A</v>
      </c>
      <c r="L1473" t="str">
        <f>"FERNANDINA BEACH FL 32034"</f>
        <v>FERNANDINA BEACH FL 32034</v>
      </c>
      <c r="M1473" t="str">
        <f>"PT GOVT LOT 3 PAR 37 IN DB 122/29 (EX R/W OR 199/540)"</f>
        <v>PT GOVT LOT 3 PAR 37 IN DB 122/29 (EX R/W OR 199/540)</v>
      </c>
      <c r="N1473" t="str">
        <f>""</f>
        <v/>
      </c>
      <c r="O1473" t="str">
        <f>"34745"</f>
        <v>34745</v>
      </c>
      <c r="P1473" t="str">
        <f t="shared" si="494"/>
        <v>2017</v>
      </c>
      <c r="Q1473" t="str">
        <f>""</f>
        <v/>
      </c>
      <c r="R1473" t="str">
        <f>"N"</f>
        <v>N</v>
      </c>
      <c r="S1473" t="str">
        <f>""</f>
        <v/>
      </c>
      <c r="T1473" t="str">
        <f>"230.11"</f>
        <v>230.11</v>
      </c>
      <c r="U1473" t="str">
        <f>"15200.00"</f>
        <v>15200.00</v>
      </c>
      <c r="V1473" t="str">
        <f>"15200.00"</f>
        <v>15200.00</v>
      </c>
      <c r="W1473" t="str">
        <f t="shared" si="495"/>
        <v>2017</v>
      </c>
      <c r="X1473" t="str">
        <f>"24.00"</f>
        <v>24.00</v>
      </c>
      <c r="Y1473" t="str">
        <f>"269.01"</f>
        <v>269.01</v>
      </c>
      <c r="Z1473" t="str">
        <f>""</f>
        <v/>
      </c>
      <c r="AA1473" t="str">
        <f>"15200.00"</f>
        <v>15200.00</v>
      </c>
      <c r="AB1473" t="str">
        <f t="shared" si="501"/>
        <v>Residential</v>
      </c>
      <c r="AC1473" t="str">
        <f t="shared" si="499"/>
        <v>0</v>
      </c>
      <c r="AD1473" t="str">
        <f>""</f>
        <v/>
      </c>
      <c r="AE1473" t="str">
        <f>""</f>
        <v/>
      </c>
      <c r="AF1473" t="str">
        <f>"000"</f>
        <v>000</v>
      </c>
      <c r="AG1473" t="str">
        <f t="shared" si="513"/>
        <v>FL</v>
      </c>
      <c r="AH1473" t="str">
        <f>"14250.00"</f>
        <v>14250.00</v>
      </c>
      <c r="AI1473" t="str">
        <f>"15200.00"</f>
        <v>15200.00</v>
      </c>
      <c r="AJ1473" t="str">
        <f>"C55-000-587-3746-1"</f>
        <v>C55-000-587-3746-1</v>
      </c>
      <c r="AK1473" t="str">
        <f>"25079"</f>
        <v>25079</v>
      </c>
      <c r="AL1473">
        <v>6</v>
      </c>
      <c r="AM1473">
        <v>1690</v>
      </c>
      <c r="AN1473">
        <v>280.86</v>
      </c>
      <c r="AQ1473" t="s">
        <v>14963</v>
      </c>
      <c r="AR1473" t="s">
        <v>14963</v>
      </c>
      <c r="AS1473" t="s">
        <v>14963</v>
      </c>
      <c r="AU1473" t="s">
        <v>396</v>
      </c>
      <c r="AV1473">
        <v>2017</v>
      </c>
      <c r="AW1473" t="str">
        <f>"24-2N-28-0000-0037-0000 "</f>
        <v xml:space="preserve">24-2N-28-0000-0037-0000 </v>
      </c>
      <c r="AX1473" t="s">
        <v>14876</v>
      </c>
      <c r="BD1473" t="s">
        <v>11749</v>
      </c>
      <c r="BE1473" t="s">
        <v>393</v>
      </c>
      <c r="BF1473">
        <v>32034</v>
      </c>
      <c r="BG1473" t="s">
        <v>14876</v>
      </c>
      <c r="BH1473" t="s">
        <v>11751</v>
      </c>
      <c r="BI1473">
        <v>-81.525101377383905</v>
      </c>
      <c r="BJ1473">
        <v>30.619864455995799</v>
      </c>
      <c r="BK1473" t="s">
        <v>14964</v>
      </c>
      <c r="BM1473" t="s">
        <v>14920</v>
      </c>
      <c r="BN1473" t="s">
        <v>548</v>
      </c>
      <c r="BO1473">
        <v>32208</v>
      </c>
      <c r="BP1473" t="s">
        <v>404</v>
      </c>
      <c r="BQ1473">
        <v>0</v>
      </c>
      <c r="BR1473" t="s">
        <v>491</v>
      </c>
      <c r="BS1473">
        <v>8001</v>
      </c>
      <c r="BT1473" t="s">
        <v>492</v>
      </c>
      <c r="BU1473">
        <v>1900</v>
      </c>
      <c r="BV1473">
        <v>0</v>
      </c>
      <c r="BW1473">
        <v>7792</v>
      </c>
      <c r="BX1473" t="s">
        <v>407</v>
      </c>
      <c r="BY1473" t="s">
        <v>4360</v>
      </c>
      <c r="CD1473">
        <v>2017</v>
      </c>
      <c r="CE1473">
        <v>15200</v>
      </c>
      <c r="CG1473">
        <v>15200</v>
      </c>
      <c r="CH1473">
        <v>2017</v>
      </c>
      <c r="CI1473">
        <v>15200</v>
      </c>
      <c r="CK1473">
        <v>15200</v>
      </c>
      <c r="CL1473">
        <v>2017</v>
      </c>
      <c r="CM1473">
        <v>230.11</v>
      </c>
      <c r="DD1473" t="s">
        <v>11749</v>
      </c>
      <c r="DF1473">
        <v>3</v>
      </c>
      <c r="DG1473">
        <v>24</v>
      </c>
      <c r="DL1473">
        <v>50303</v>
      </c>
      <c r="DM1473" t="s">
        <v>14872</v>
      </c>
      <c r="DO1473" t="s">
        <v>14965</v>
      </c>
      <c r="DP1473">
        <v>0</v>
      </c>
      <c r="DQ1473">
        <v>0</v>
      </c>
      <c r="DR1473" t="s">
        <v>411</v>
      </c>
      <c r="DS1473" t="b">
        <v>1</v>
      </c>
      <c r="DT1473" t="s">
        <v>470</v>
      </c>
      <c r="DU1473" t="s">
        <v>471</v>
      </c>
      <c r="DV1473" t="s">
        <v>472</v>
      </c>
      <c r="DX1473">
        <v>-9999</v>
      </c>
      <c r="DZ1473" t="s">
        <v>447</v>
      </c>
      <c r="EA1473" t="s">
        <v>448</v>
      </c>
      <c r="EB1473" t="s">
        <v>742</v>
      </c>
      <c r="EC1473">
        <v>20101217</v>
      </c>
      <c r="ED1473" t="s">
        <v>474</v>
      </c>
      <c r="EF1473">
        <v>316.7</v>
      </c>
      <c r="EG1473">
        <v>32.9</v>
      </c>
      <c r="EI1473">
        <v>20160407</v>
      </c>
      <c r="EJ1473">
        <v>0</v>
      </c>
      <c r="EK1473">
        <v>0</v>
      </c>
      <c r="EP1473" t="s">
        <v>421</v>
      </c>
      <c r="EQ1473" t="s">
        <v>422</v>
      </c>
      <c r="ER1473">
        <v>4</v>
      </c>
      <c r="ES1473">
        <v>3</v>
      </c>
      <c r="ET1473">
        <v>1123.4000000000001</v>
      </c>
      <c r="EU1473">
        <v>203.42</v>
      </c>
      <c r="EV1473">
        <v>1326.82</v>
      </c>
      <c r="EW1473" s="2">
        <v>43222</v>
      </c>
      <c r="EX1473" s="1">
        <v>42879</v>
      </c>
      <c r="EY1473">
        <v>2016</v>
      </c>
      <c r="EZ1473">
        <v>279.36</v>
      </c>
      <c r="FA1473" t="s">
        <v>14966</v>
      </c>
      <c r="FB1473">
        <v>0.25</v>
      </c>
      <c r="FC1473" t="s">
        <v>424</v>
      </c>
      <c r="FD1473" t="s">
        <v>454</v>
      </c>
      <c r="FF1473">
        <v>12</v>
      </c>
      <c r="FG1473">
        <v>62</v>
      </c>
      <c r="FH1473" t="s">
        <v>463</v>
      </c>
      <c r="FJ1473" s="1">
        <v>42515</v>
      </c>
      <c r="FK1473">
        <v>2015</v>
      </c>
      <c r="FL1473">
        <v>280.48</v>
      </c>
      <c r="FM1473" t="s">
        <v>14967</v>
      </c>
      <c r="FN1473">
        <v>15</v>
      </c>
      <c r="FO1473" t="s">
        <v>424</v>
      </c>
      <c r="FP1473" t="s">
        <v>454</v>
      </c>
      <c r="FR1473">
        <v>24</v>
      </c>
      <c r="FS1473">
        <v>10003</v>
      </c>
      <c r="FT1473" t="s">
        <v>4341</v>
      </c>
      <c r="FV1473" s="1">
        <v>42151</v>
      </c>
      <c r="FW1473">
        <v>2014</v>
      </c>
      <c r="FX1473">
        <v>281.77999999999997</v>
      </c>
      <c r="FY1473" t="s">
        <v>14968</v>
      </c>
      <c r="FZ1473">
        <v>4.75</v>
      </c>
      <c r="GA1473" t="s">
        <v>424</v>
      </c>
      <c r="GB1473" t="s">
        <v>454</v>
      </c>
      <c r="GD1473">
        <v>36</v>
      </c>
      <c r="GE1473">
        <v>4975593</v>
      </c>
      <c r="GF1473" t="s">
        <v>505</v>
      </c>
      <c r="GH1473" s="1">
        <v>42151</v>
      </c>
      <c r="GI1473">
        <v>2014</v>
      </c>
      <c r="GJ1473">
        <v>281.77999999999997</v>
      </c>
      <c r="GK1473" t="s">
        <v>14968</v>
      </c>
      <c r="GL1473">
        <v>4.75</v>
      </c>
      <c r="GM1473" t="s">
        <v>424</v>
      </c>
      <c r="GN1473" t="s">
        <v>454</v>
      </c>
      <c r="GP1473">
        <v>36</v>
      </c>
      <c r="GQ1473">
        <v>7045068</v>
      </c>
      <c r="GR1473" t="s">
        <v>4968</v>
      </c>
      <c r="GT1473" s="1">
        <v>41423</v>
      </c>
      <c r="GU1473">
        <v>2012</v>
      </c>
      <c r="GV1473">
        <v>270.97000000000003</v>
      </c>
      <c r="GW1473" t="s">
        <v>14969</v>
      </c>
      <c r="GX1473">
        <v>5.75</v>
      </c>
      <c r="GY1473" t="s">
        <v>424</v>
      </c>
      <c r="GZ1473" t="s">
        <v>425</v>
      </c>
      <c r="HA1473" s="1">
        <v>41752</v>
      </c>
      <c r="HB1473">
        <v>11</v>
      </c>
      <c r="HC1473">
        <v>2101381</v>
      </c>
      <c r="HD1473" t="s">
        <v>605</v>
      </c>
      <c r="HF1473" s="1">
        <v>41052</v>
      </c>
      <c r="HG1473">
        <v>2011</v>
      </c>
      <c r="HH1473">
        <v>267.32</v>
      </c>
      <c r="HI1473" t="s">
        <v>14970</v>
      </c>
      <c r="HJ1473">
        <v>15.75</v>
      </c>
      <c r="HK1473" t="s">
        <v>424</v>
      </c>
      <c r="HL1473" t="s">
        <v>425</v>
      </c>
      <c r="HM1473" s="1">
        <v>41752</v>
      </c>
      <c r="HN1473">
        <v>23</v>
      </c>
      <c r="HO1473">
        <v>10125</v>
      </c>
      <c r="HP1473" t="s">
        <v>440</v>
      </c>
      <c r="HR1473" s="1">
        <v>40688</v>
      </c>
      <c r="HS1473">
        <v>2010</v>
      </c>
      <c r="HT1473">
        <v>267.70999999999998</v>
      </c>
      <c r="HU1473" t="s">
        <v>14971</v>
      </c>
      <c r="HV1473">
        <v>13</v>
      </c>
      <c r="HW1473" t="s">
        <v>424</v>
      </c>
      <c r="HX1473" t="s">
        <v>425</v>
      </c>
      <c r="HY1473" s="1">
        <v>41752</v>
      </c>
      <c r="HZ1473">
        <v>35</v>
      </c>
      <c r="IA1473">
        <v>10125</v>
      </c>
      <c r="IB1473" t="s">
        <v>440</v>
      </c>
    </row>
    <row r="1474" spans="1:272" x14ac:dyDescent="0.25">
      <c r="A1474">
        <v>16486481</v>
      </c>
      <c r="B1474">
        <v>1473</v>
      </c>
      <c r="C1474" t="s">
        <v>393</v>
      </c>
      <c r="D1474" t="s">
        <v>394</v>
      </c>
      <c r="F1474" t="str">
        <f>"24-2N-28-0000-0038-0050"</f>
        <v>24-2N-28-0000-0038-0050</v>
      </c>
      <c r="H1474" t="str">
        <f>"GOLPHIN ESTELLA B C/O VIVIEN E YOUNG"</f>
        <v>GOLPHIN ESTELLA B C/O VIVIEN E YOUNG</v>
      </c>
      <c r="I1474" t="str">
        <f>"11730 TORTOISE WAY NORTH"</f>
        <v>11730 TORTOISE WAY NORTH</v>
      </c>
      <c r="J1474" t="str">
        <f>"JACKSONVILLE FL 32218"</f>
        <v>JACKSONVILLE FL 32218</v>
      </c>
      <c r="K1474" t="str">
        <f>"MT ZION AV"</f>
        <v>MT ZION AV</v>
      </c>
      <c r="L1474" t="str">
        <f>"FERNANDINA BEACH FL 32034"</f>
        <v>FERNANDINA BEACH FL 32034</v>
      </c>
      <c r="M1474" t="str">
        <f>"PT GOVT LOT 3 PAR 38-5 IN OR 1323/1768"</f>
        <v>PT GOVT LOT 3 PAR 38-5 IN OR 1323/1768</v>
      </c>
      <c r="N1474" t="str">
        <f>""</f>
        <v/>
      </c>
      <c r="O1474" t="str">
        <f>"34751"</f>
        <v>34751</v>
      </c>
      <c r="P1474" t="str">
        <f t="shared" ref="P1474:P1537" si="514">"2017"</f>
        <v>2017</v>
      </c>
      <c r="Q1474" t="str">
        <f>""</f>
        <v/>
      </c>
      <c r="R1474" t="str">
        <f>"N"</f>
        <v>N</v>
      </c>
      <c r="S1474" t="str">
        <f>""</f>
        <v/>
      </c>
      <c r="T1474" t="str">
        <f>"204.64"</f>
        <v>204.64</v>
      </c>
      <c r="U1474" t="str">
        <f>"13518.00"</f>
        <v>13518.00</v>
      </c>
      <c r="V1474" t="str">
        <f>"13518.00"</f>
        <v>13518.00</v>
      </c>
      <c r="W1474" t="str">
        <f t="shared" ref="W1474:W1537" si="515">"2017"</f>
        <v>2017</v>
      </c>
      <c r="X1474" t="str">
        <f>"15.00"</f>
        <v>15.00</v>
      </c>
      <c r="Y1474" t="str">
        <f>"242.78"</f>
        <v>242.78</v>
      </c>
      <c r="Z1474" t="str">
        <f>""</f>
        <v/>
      </c>
      <c r="AA1474" t="str">
        <f>"13518.00"</f>
        <v>13518.00</v>
      </c>
      <c r="AB1474" t="str">
        <f t="shared" si="501"/>
        <v>Residential</v>
      </c>
      <c r="AC1474" t="str">
        <f t="shared" si="499"/>
        <v>0</v>
      </c>
      <c r="AD1474" t="str">
        <f>""</f>
        <v/>
      </c>
      <c r="AE1474" t="str">
        <f>""</f>
        <v/>
      </c>
      <c r="AF1474" t="str">
        <f>"000"</f>
        <v>000</v>
      </c>
      <c r="AG1474" t="str">
        <f t="shared" si="513"/>
        <v>FL</v>
      </c>
      <c r="AH1474" t="str">
        <f>"10500.00"</f>
        <v>10500.00</v>
      </c>
      <c r="AI1474" t="str">
        <f>"13518.00"</f>
        <v>13518.00</v>
      </c>
      <c r="AJ1474" t="str">
        <f>"C55-000-587-3752-9"</f>
        <v>C55-000-587-3752-9</v>
      </c>
      <c r="AK1474" t="str">
        <f>"25085"</f>
        <v>25085</v>
      </c>
      <c r="AL1474">
        <v>6</v>
      </c>
      <c r="AM1474">
        <v>1691</v>
      </c>
      <c r="AN1474">
        <v>253.32</v>
      </c>
      <c r="AQ1474" t="s">
        <v>14972</v>
      </c>
      <c r="AR1474" t="s">
        <v>14972</v>
      </c>
      <c r="AS1474" t="s">
        <v>14972</v>
      </c>
      <c r="AU1474" t="s">
        <v>396</v>
      </c>
      <c r="AV1474">
        <v>2017</v>
      </c>
      <c r="AW1474" t="str">
        <f>"24-2N-28-0000-0038-0050 "</f>
        <v xml:space="preserve">24-2N-28-0000-0038-0050 </v>
      </c>
      <c r="AZ1474" t="s">
        <v>14947</v>
      </c>
      <c r="BA1474" t="s">
        <v>1122</v>
      </c>
      <c r="BD1474" t="s">
        <v>11749</v>
      </c>
      <c r="BE1474" t="s">
        <v>393</v>
      </c>
      <c r="BF1474">
        <v>32034</v>
      </c>
      <c r="BG1474" t="s">
        <v>14973</v>
      </c>
      <c r="BH1474" t="s">
        <v>11751</v>
      </c>
      <c r="BI1474">
        <v>-81.525200224798198</v>
      </c>
      <c r="BJ1474">
        <v>30.619516376756099</v>
      </c>
      <c r="BK1474" t="s">
        <v>14974</v>
      </c>
      <c r="BM1474" t="s">
        <v>14975</v>
      </c>
      <c r="BN1474" t="s">
        <v>14976</v>
      </c>
      <c r="BO1474">
        <v>33311</v>
      </c>
      <c r="BP1474" t="s">
        <v>404</v>
      </c>
      <c r="BQ1474">
        <v>0</v>
      </c>
      <c r="BR1474" t="s">
        <v>491</v>
      </c>
      <c r="BS1474">
        <v>8001</v>
      </c>
      <c r="BT1474" t="s">
        <v>492</v>
      </c>
      <c r="BU1474">
        <v>750</v>
      </c>
      <c r="BV1474">
        <v>1400</v>
      </c>
      <c r="BW1474">
        <v>13813</v>
      </c>
      <c r="BX1474" t="s">
        <v>407</v>
      </c>
      <c r="BY1474" t="s">
        <v>4360</v>
      </c>
      <c r="CD1474">
        <v>2017</v>
      </c>
      <c r="CE1474">
        <v>13518</v>
      </c>
      <c r="CG1474">
        <v>13518</v>
      </c>
      <c r="CH1474">
        <v>2017</v>
      </c>
      <c r="CI1474">
        <v>13518</v>
      </c>
      <c r="CK1474">
        <v>13518</v>
      </c>
      <c r="CL1474">
        <v>2017</v>
      </c>
      <c r="CM1474">
        <v>204.64</v>
      </c>
      <c r="CN1474" s="1">
        <v>38511</v>
      </c>
      <c r="CZ1474" s="1">
        <v>38511</v>
      </c>
      <c r="DD1474" t="s">
        <v>11749</v>
      </c>
      <c r="DF1474">
        <v>3</v>
      </c>
      <c r="DG1474">
        <v>24</v>
      </c>
      <c r="DL1474">
        <v>50303</v>
      </c>
      <c r="DM1474" t="s">
        <v>14872</v>
      </c>
      <c r="DO1474" t="s">
        <v>14977</v>
      </c>
      <c r="DP1474">
        <v>0</v>
      </c>
      <c r="DQ1474">
        <v>0</v>
      </c>
      <c r="DR1474" t="s">
        <v>411</v>
      </c>
      <c r="DS1474" t="b">
        <v>1</v>
      </c>
      <c r="DT1474" t="s">
        <v>470</v>
      </c>
      <c r="DU1474" t="s">
        <v>471</v>
      </c>
      <c r="DV1474" t="s">
        <v>472</v>
      </c>
      <c r="DX1474">
        <v>-9999</v>
      </c>
      <c r="DZ1474" t="s">
        <v>447</v>
      </c>
      <c r="EA1474" t="s">
        <v>448</v>
      </c>
      <c r="EB1474" t="s">
        <v>742</v>
      </c>
      <c r="EC1474">
        <v>20101217</v>
      </c>
      <c r="ED1474" t="s">
        <v>474</v>
      </c>
      <c r="EF1474">
        <v>404.9</v>
      </c>
      <c r="EG1474">
        <v>149.80000000000001</v>
      </c>
      <c r="EI1474">
        <v>20160407</v>
      </c>
      <c r="EJ1474">
        <v>0</v>
      </c>
      <c r="EK1474">
        <v>0</v>
      </c>
      <c r="EP1474" t="s">
        <v>421</v>
      </c>
      <c r="EQ1474" t="s">
        <v>452</v>
      </c>
      <c r="ER1474">
        <v>1</v>
      </c>
      <c r="ES1474">
        <v>3</v>
      </c>
      <c r="ET1474">
        <v>251.43</v>
      </c>
      <c r="EU1474">
        <v>18.82</v>
      </c>
      <c r="EV1474">
        <v>270.25</v>
      </c>
      <c r="EW1474" s="2">
        <v>43222</v>
      </c>
      <c r="EX1474" s="1">
        <v>42879</v>
      </c>
      <c r="EY1474">
        <v>2016</v>
      </c>
      <c r="EZ1474">
        <v>251.43</v>
      </c>
      <c r="FA1474" t="s">
        <v>14978</v>
      </c>
      <c r="FB1474">
        <v>0.25</v>
      </c>
      <c r="FC1474" t="s">
        <v>424</v>
      </c>
      <c r="FD1474" t="s">
        <v>454</v>
      </c>
      <c r="FF1474">
        <v>12</v>
      </c>
      <c r="FG1474">
        <v>62</v>
      </c>
      <c r="FH1474" t="s">
        <v>463</v>
      </c>
      <c r="FJ1474" s="1">
        <v>42515</v>
      </c>
      <c r="FK1474">
        <v>2015</v>
      </c>
      <c r="FL1474">
        <v>251.89</v>
      </c>
      <c r="FM1474" t="s">
        <v>14979</v>
      </c>
      <c r="FN1474">
        <v>18</v>
      </c>
      <c r="FO1474" t="s">
        <v>424</v>
      </c>
      <c r="FP1474" t="s">
        <v>425</v>
      </c>
      <c r="FQ1474" s="1">
        <v>42584</v>
      </c>
      <c r="FR1474">
        <v>3</v>
      </c>
      <c r="FS1474">
        <v>7336677</v>
      </c>
      <c r="FT1474" t="s">
        <v>5826</v>
      </c>
      <c r="FU1474" t="s">
        <v>458</v>
      </c>
      <c r="FV1474" s="1">
        <v>42151</v>
      </c>
      <c r="FW1474">
        <v>2014</v>
      </c>
      <c r="FX1474">
        <v>253.05</v>
      </c>
      <c r="FY1474" t="s">
        <v>14980</v>
      </c>
      <c r="FZ1474">
        <v>5.5</v>
      </c>
      <c r="GA1474" t="s">
        <v>424</v>
      </c>
      <c r="GB1474" t="s">
        <v>425</v>
      </c>
      <c r="GD1474">
        <v>22</v>
      </c>
      <c r="GE1474">
        <v>10125</v>
      </c>
      <c r="GF1474" t="s">
        <v>440</v>
      </c>
      <c r="GG1474" t="s">
        <v>458</v>
      </c>
      <c r="GH1474" s="1">
        <v>41787</v>
      </c>
      <c r="GI1474">
        <v>2013</v>
      </c>
      <c r="GJ1474">
        <v>240.69</v>
      </c>
      <c r="GK1474" t="s">
        <v>14981</v>
      </c>
      <c r="GL1474">
        <v>3</v>
      </c>
      <c r="GM1474" t="s">
        <v>424</v>
      </c>
      <c r="GN1474" t="s">
        <v>425</v>
      </c>
      <c r="GP1474">
        <v>22</v>
      </c>
      <c r="GQ1474">
        <v>10125</v>
      </c>
      <c r="GR1474" t="s">
        <v>440</v>
      </c>
      <c r="GS1474" t="s">
        <v>458</v>
      </c>
    </row>
    <row r="1475" spans="1:272" x14ac:dyDescent="0.25">
      <c r="A1475">
        <v>16486482</v>
      </c>
      <c r="B1475">
        <v>1474</v>
      </c>
      <c r="C1475" t="s">
        <v>393</v>
      </c>
      <c r="D1475" t="s">
        <v>394</v>
      </c>
      <c r="F1475" t="str">
        <f>"24-2N-28-4940-0005-0000"</f>
        <v>24-2N-28-4940-0005-0000</v>
      </c>
      <c r="H1475" t="str">
        <f>"GILYARD TORRIE &amp; GILYARD ALLEAN D (JT/RS)"</f>
        <v>GILYARD TORRIE &amp; GILYARD ALLEAN D (JT/RS)</v>
      </c>
      <c r="I1475" t="str">
        <f>"96025 ZION CT"</f>
        <v>96025 ZION CT</v>
      </c>
      <c r="J1475" t="str">
        <f>"YULEE FL 32097"</f>
        <v>YULEE FL 32097</v>
      </c>
      <c r="K1475" t="str">
        <f>"96025 ZION CT"</f>
        <v>96025 ZION CT</v>
      </c>
      <c r="L1475" t="str">
        <f>"YULEE FL 32097"</f>
        <v>YULEE FL 32097</v>
      </c>
      <c r="M1475" t="str">
        <f>"LOT 5 PT OR 1605/1768 G A PRINCE SURVEY OR 15/534"</f>
        <v>LOT 5 PT OR 1605/1768 G A PRINCE SURVEY OR 15/534</v>
      </c>
      <c r="N1475" t="str">
        <f>""</f>
        <v/>
      </c>
      <c r="O1475" t="str">
        <f>"34851"</f>
        <v>34851</v>
      </c>
      <c r="P1475" t="str">
        <f t="shared" si="514"/>
        <v>2017</v>
      </c>
      <c r="Q1475" t="str">
        <f>""</f>
        <v/>
      </c>
      <c r="R1475" t="str">
        <f>"Y"</f>
        <v>Y</v>
      </c>
      <c r="S1475" t="str">
        <f>""</f>
        <v/>
      </c>
      <c r="T1475" t="str">
        <f>"733.88"</f>
        <v>733.88</v>
      </c>
      <c r="U1475" t="str">
        <f>"87581.00"</f>
        <v>87581.00</v>
      </c>
      <c r="V1475" t="str">
        <f>"87581.00"</f>
        <v>87581.00</v>
      </c>
      <c r="W1475" t="str">
        <f t="shared" si="515"/>
        <v>2017</v>
      </c>
      <c r="X1475" t="str">
        <f>""</f>
        <v/>
      </c>
      <c r="Y1475" t="str">
        <f>"417.55"</f>
        <v>417.55</v>
      </c>
      <c r="Z1475" t="str">
        <f>"25000.00"</f>
        <v>25000.00</v>
      </c>
      <c r="AA1475" t="str">
        <f>"62581.00"</f>
        <v>62581.00</v>
      </c>
      <c r="AB1475" t="str">
        <f t="shared" si="501"/>
        <v>Residential</v>
      </c>
      <c r="AC1475" t="str">
        <f t="shared" si="499"/>
        <v>0</v>
      </c>
      <c r="AD1475" t="str">
        <f>"4"</f>
        <v>4</v>
      </c>
      <c r="AE1475" t="str">
        <f>"WOOD (INCLUDE STEEL STUDS)"</f>
        <v>WOOD (INCLUDE STEEL STUDS)</v>
      </c>
      <c r="AF1475" t="str">
        <f>"001"</f>
        <v>001</v>
      </c>
      <c r="AG1475" t="str">
        <f t="shared" si="513"/>
        <v>FL</v>
      </c>
      <c r="AH1475" t="str">
        <f>"8249.00"</f>
        <v>8249.00</v>
      </c>
      <c r="AI1475" t="str">
        <f>"12775.00"</f>
        <v>12775.00</v>
      </c>
      <c r="AJ1475" t="str">
        <f>"C55-000-587-3786-7"</f>
        <v>C55-000-587-3786-7</v>
      </c>
      <c r="AK1475" t="str">
        <f>"25176"</f>
        <v>25176</v>
      </c>
      <c r="AL1475">
        <v>6</v>
      </c>
      <c r="AM1475">
        <v>1692</v>
      </c>
      <c r="AN1475">
        <v>436.83</v>
      </c>
      <c r="AQ1475" t="s">
        <v>14982</v>
      </c>
      <c r="AR1475" t="s">
        <v>14982</v>
      </c>
      <c r="AS1475" t="s">
        <v>14982</v>
      </c>
      <c r="AU1475" t="s">
        <v>396</v>
      </c>
      <c r="AV1475">
        <v>2017</v>
      </c>
      <c r="AW1475" t="str">
        <f>"24-2N-28-4940-0005-0000 "</f>
        <v xml:space="preserve">24-2N-28-4940-0005-0000 </v>
      </c>
      <c r="AX1475">
        <v>96025</v>
      </c>
      <c r="AZ1475" t="s">
        <v>14983</v>
      </c>
      <c r="BA1475" t="s">
        <v>3181</v>
      </c>
      <c r="BD1475" t="s">
        <v>2387</v>
      </c>
      <c r="BE1475" t="s">
        <v>393</v>
      </c>
      <c r="BF1475">
        <v>32097</v>
      </c>
      <c r="BG1475" t="s">
        <v>14984</v>
      </c>
      <c r="BH1475" t="s">
        <v>2388</v>
      </c>
      <c r="BI1475">
        <v>-81.523918855361103</v>
      </c>
      <c r="BJ1475">
        <v>30.619064389777101</v>
      </c>
      <c r="BK1475" t="s">
        <v>14985</v>
      </c>
      <c r="BL1475" t="s">
        <v>14986</v>
      </c>
      <c r="BM1475" t="s">
        <v>14984</v>
      </c>
      <c r="BN1475" t="s">
        <v>1778</v>
      </c>
      <c r="BO1475">
        <v>32097</v>
      </c>
      <c r="BP1475" t="s">
        <v>416</v>
      </c>
      <c r="BQ1475">
        <v>100</v>
      </c>
      <c r="BR1475" t="s">
        <v>514</v>
      </c>
      <c r="BS1475">
        <v>1001</v>
      </c>
      <c r="BT1475" t="s">
        <v>515</v>
      </c>
      <c r="BU1475">
        <v>730</v>
      </c>
      <c r="BV1475">
        <v>1130</v>
      </c>
      <c r="BW1475">
        <v>8488</v>
      </c>
      <c r="BX1475" t="s">
        <v>407</v>
      </c>
      <c r="BY1475" t="s">
        <v>4360</v>
      </c>
      <c r="BZ1475">
        <v>4</v>
      </c>
      <c r="CA1475">
        <v>1982</v>
      </c>
      <c r="CB1475">
        <v>1</v>
      </c>
      <c r="CC1475">
        <v>1</v>
      </c>
      <c r="CD1475">
        <v>2017</v>
      </c>
      <c r="CG1475">
        <v>87581</v>
      </c>
      <c r="CH1475">
        <v>2017</v>
      </c>
      <c r="CI1475">
        <v>12775</v>
      </c>
      <c r="CJ1475">
        <v>77769</v>
      </c>
      <c r="CK1475">
        <v>90544</v>
      </c>
      <c r="CL1475">
        <v>2017</v>
      </c>
      <c r="CM1475">
        <v>733.88</v>
      </c>
      <c r="CN1475" s="1">
        <v>39805</v>
      </c>
      <c r="CZ1475" s="1">
        <v>39805</v>
      </c>
      <c r="DD1475" t="s">
        <v>2387</v>
      </c>
      <c r="DF1475">
        <v>5</v>
      </c>
      <c r="DG1475">
        <v>24</v>
      </c>
      <c r="DL1475">
        <v>50303</v>
      </c>
      <c r="DM1475" t="s">
        <v>14872</v>
      </c>
      <c r="DO1475" t="s">
        <v>14987</v>
      </c>
      <c r="DP1475">
        <v>0</v>
      </c>
      <c r="DQ1475">
        <v>0</v>
      </c>
      <c r="DR1475" t="s">
        <v>411</v>
      </c>
    </row>
    <row r="1476" spans="1:272" x14ac:dyDescent="0.25">
      <c r="A1476">
        <v>16486483</v>
      </c>
      <c r="B1476">
        <v>1475</v>
      </c>
      <c r="C1476" t="s">
        <v>393</v>
      </c>
      <c r="D1476" t="s">
        <v>394</v>
      </c>
      <c r="F1476" t="str">
        <f>"24-2N-28-4940-0013-0000"</f>
        <v>24-2N-28-4940-0013-0000</v>
      </c>
      <c r="H1476" t="str">
        <f>"DEMPS OSTEEN JR &amp; MILDRED"</f>
        <v>DEMPS OSTEEN JR &amp; MILDRED</v>
      </c>
      <c r="I1476" t="str">
        <f>"225 S 13TH STREET"</f>
        <v>225 S 13TH STREET</v>
      </c>
      <c r="J1476" t="str">
        <f>"FERNANDINA BEACH FL 32034"</f>
        <v>FERNANDINA BEACH FL 32034</v>
      </c>
      <c r="K1476" t="str">
        <f>"96466 MT ZION LOOP"</f>
        <v>96466 MT ZION LOOP</v>
      </c>
      <c r="L1476" t="str">
        <f>"YULEE FL 32097"</f>
        <v>YULEE FL 32097</v>
      </c>
      <c r="M1476" t="str">
        <f>"LOT 13 PT OR 585/355 G A PRINCE SURVEY OR 15/534"</f>
        <v>LOT 13 PT OR 585/355 G A PRINCE SURVEY OR 15/534</v>
      </c>
      <c r="N1476" t="str">
        <f>""</f>
        <v/>
      </c>
      <c r="O1476" t="str">
        <f>"34857"</f>
        <v>34857</v>
      </c>
      <c r="P1476" t="str">
        <f t="shared" si="514"/>
        <v>2017</v>
      </c>
      <c r="Q1476" t="str">
        <f>""</f>
        <v/>
      </c>
      <c r="R1476" t="str">
        <f t="shared" ref="R1476:R1494" si="516">"N"</f>
        <v>N</v>
      </c>
      <c r="S1476" t="str">
        <f>""</f>
        <v/>
      </c>
      <c r="T1476" t="str">
        <f>"132.46"</f>
        <v>132.46</v>
      </c>
      <c r="U1476" t="str">
        <f>"8750.00"</f>
        <v>8750.00</v>
      </c>
      <c r="V1476" t="str">
        <f>"8750.00"</f>
        <v>8750.00</v>
      </c>
      <c r="W1476" t="str">
        <f t="shared" si="515"/>
        <v>2017</v>
      </c>
      <c r="X1476" t="str">
        <f>"19.13"</f>
        <v>19.13</v>
      </c>
      <c r="Y1476" t="str">
        <f>"168.43"</f>
        <v>168.43</v>
      </c>
      <c r="Z1476" t="str">
        <f>""</f>
        <v/>
      </c>
      <c r="AA1476" t="str">
        <f>"8750.00"</f>
        <v>8750.00</v>
      </c>
      <c r="AB1476" t="str">
        <f t="shared" si="501"/>
        <v>Residential</v>
      </c>
      <c r="AC1476" t="str">
        <f t="shared" si="499"/>
        <v>0</v>
      </c>
      <c r="AD1476" t="str">
        <f>""</f>
        <v/>
      </c>
      <c r="AE1476" t="str">
        <f>""</f>
        <v/>
      </c>
      <c r="AF1476" t="str">
        <f>"000"</f>
        <v>000</v>
      </c>
      <c r="AG1476" t="str">
        <f t="shared" si="513"/>
        <v>FL</v>
      </c>
      <c r="AH1476" t="str">
        <f>"5650.00"</f>
        <v>5650.00</v>
      </c>
      <c r="AI1476" t="str">
        <f>"8750.00"</f>
        <v>8750.00</v>
      </c>
      <c r="AJ1476" t="str">
        <f>"C55-000-587-3792-5"</f>
        <v>C55-000-587-3792-5</v>
      </c>
      <c r="AK1476" t="str">
        <f>"25182"</f>
        <v>25182</v>
      </c>
      <c r="AL1476">
        <v>6</v>
      </c>
      <c r="AM1476">
        <v>1693</v>
      </c>
      <c r="AN1476">
        <v>175.25</v>
      </c>
      <c r="AQ1476" t="s">
        <v>14988</v>
      </c>
      <c r="AR1476" t="s">
        <v>14988</v>
      </c>
      <c r="AS1476" t="s">
        <v>14988</v>
      </c>
      <c r="AU1476" t="s">
        <v>396</v>
      </c>
      <c r="AV1476">
        <v>2017</v>
      </c>
      <c r="AW1476" t="str">
        <f>"24-2N-28-4940-0013-0000 "</f>
        <v xml:space="preserve">24-2N-28-4940-0013-0000 </v>
      </c>
      <c r="AX1476">
        <v>96466</v>
      </c>
      <c r="AZ1476" t="s">
        <v>14947</v>
      </c>
      <c r="BA1476" t="s">
        <v>14948</v>
      </c>
      <c r="BD1476" t="s">
        <v>2387</v>
      </c>
      <c r="BE1476" t="s">
        <v>393</v>
      </c>
      <c r="BF1476">
        <v>32097</v>
      </c>
      <c r="BG1476" t="s">
        <v>14989</v>
      </c>
      <c r="BH1476" t="s">
        <v>2388</v>
      </c>
      <c r="BI1476">
        <v>-81.523373435413504</v>
      </c>
      <c r="BJ1476">
        <v>30.6191888432806</v>
      </c>
      <c r="BK1476" t="s">
        <v>14990</v>
      </c>
      <c r="BL1476" t="s">
        <v>14991</v>
      </c>
      <c r="BM1476" t="s">
        <v>14992</v>
      </c>
      <c r="BN1476" t="s">
        <v>3983</v>
      </c>
      <c r="BO1476">
        <v>32034</v>
      </c>
      <c r="BP1476" t="s">
        <v>404</v>
      </c>
      <c r="BQ1476">
        <v>0</v>
      </c>
      <c r="BR1476" t="s">
        <v>491</v>
      </c>
      <c r="BS1476">
        <v>8001</v>
      </c>
      <c r="BT1476" t="s">
        <v>492</v>
      </c>
      <c r="BU1476">
        <v>500</v>
      </c>
      <c r="BV1476">
        <v>1130</v>
      </c>
      <c r="BW1476">
        <v>5625</v>
      </c>
      <c r="BX1476" t="s">
        <v>407</v>
      </c>
      <c r="BY1476" t="s">
        <v>4360</v>
      </c>
      <c r="CD1476">
        <v>2017</v>
      </c>
      <c r="CE1476">
        <v>8750</v>
      </c>
      <c r="CG1476">
        <v>8750</v>
      </c>
      <c r="CH1476">
        <v>2017</v>
      </c>
      <c r="CI1476">
        <v>8750</v>
      </c>
      <c r="CK1476">
        <v>8750</v>
      </c>
      <c r="CL1476">
        <v>2017</v>
      </c>
      <c r="CM1476">
        <v>132.46</v>
      </c>
      <c r="CN1476" s="1">
        <v>32847</v>
      </c>
      <c r="CZ1476" s="1">
        <v>32847</v>
      </c>
      <c r="DD1476" t="s">
        <v>2387</v>
      </c>
      <c r="DF1476">
        <v>13</v>
      </c>
      <c r="DG1476">
        <v>24</v>
      </c>
      <c r="DL1476">
        <v>50303</v>
      </c>
      <c r="DM1476" t="s">
        <v>14872</v>
      </c>
      <c r="DO1476" t="s">
        <v>14993</v>
      </c>
      <c r="DP1476">
        <v>0</v>
      </c>
      <c r="DQ1476">
        <v>0</v>
      </c>
      <c r="DR1476" t="s">
        <v>411</v>
      </c>
      <c r="DS1476" t="s">
        <v>695</v>
      </c>
      <c r="EJ1476">
        <v>2</v>
      </c>
      <c r="EK1476">
        <v>0</v>
      </c>
      <c r="EP1476" t="s">
        <v>421</v>
      </c>
      <c r="EQ1476" t="s">
        <v>422</v>
      </c>
      <c r="ER1476">
        <v>1</v>
      </c>
      <c r="ES1476">
        <v>5</v>
      </c>
      <c r="ET1476">
        <v>172.27</v>
      </c>
      <c r="EU1476">
        <v>14.86</v>
      </c>
      <c r="EV1476">
        <v>187.13</v>
      </c>
      <c r="EW1476" s="2">
        <v>43222</v>
      </c>
      <c r="EX1476" s="1">
        <v>42879</v>
      </c>
      <c r="EY1476">
        <v>2016</v>
      </c>
      <c r="EZ1476">
        <v>172.27</v>
      </c>
      <c r="FA1476" t="s">
        <v>14994</v>
      </c>
      <c r="FB1476">
        <v>0.25</v>
      </c>
      <c r="FC1476" t="s">
        <v>424</v>
      </c>
      <c r="FD1476" t="s">
        <v>454</v>
      </c>
      <c r="FF1476">
        <v>12</v>
      </c>
      <c r="FG1476">
        <v>62</v>
      </c>
      <c r="FH1476" t="s">
        <v>463</v>
      </c>
      <c r="FJ1476" s="1">
        <v>42151</v>
      </c>
      <c r="FK1476">
        <v>2014</v>
      </c>
      <c r="FL1476">
        <v>171.56</v>
      </c>
      <c r="FM1476" t="s">
        <v>14995</v>
      </c>
      <c r="FN1476">
        <v>18</v>
      </c>
      <c r="FO1476" t="s">
        <v>424</v>
      </c>
      <c r="FP1476" t="s">
        <v>425</v>
      </c>
      <c r="FQ1476" s="1">
        <v>42466</v>
      </c>
      <c r="FR1476">
        <v>11</v>
      </c>
      <c r="FS1476">
        <v>10125</v>
      </c>
      <c r="FT1476" t="s">
        <v>440</v>
      </c>
      <c r="FV1476" s="1">
        <v>41787</v>
      </c>
      <c r="FW1476">
        <v>2013</v>
      </c>
      <c r="FX1476">
        <v>163.56</v>
      </c>
      <c r="FY1476" t="s">
        <v>14996</v>
      </c>
      <c r="FZ1476">
        <v>3.75</v>
      </c>
      <c r="GA1476" t="s">
        <v>424</v>
      </c>
      <c r="GB1476" t="s">
        <v>425</v>
      </c>
      <c r="GC1476" s="1">
        <v>42466</v>
      </c>
      <c r="GD1476">
        <v>23</v>
      </c>
      <c r="GE1476">
        <v>10125</v>
      </c>
      <c r="GF1476" t="s">
        <v>440</v>
      </c>
      <c r="GH1476" s="1">
        <v>41423</v>
      </c>
      <c r="GI1476">
        <v>2012</v>
      </c>
      <c r="GJ1476">
        <v>165.33</v>
      </c>
      <c r="GK1476" t="s">
        <v>14997</v>
      </c>
      <c r="GL1476">
        <v>6.25</v>
      </c>
      <c r="GM1476" t="s">
        <v>424</v>
      </c>
      <c r="GN1476" t="s">
        <v>425</v>
      </c>
      <c r="GO1476" s="1">
        <v>42109</v>
      </c>
      <c r="GP1476">
        <v>23</v>
      </c>
      <c r="GQ1476">
        <v>2101381</v>
      </c>
      <c r="GR1476" t="s">
        <v>605</v>
      </c>
      <c r="GT1476" s="1">
        <v>41052</v>
      </c>
      <c r="GU1476">
        <v>2011</v>
      </c>
      <c r="GV1476">
        <v>180.66</v>
      </c>
      <c r="GW1476" t="s">
        <v>14998</v>
      </c>
      <c r="GX1476">
        <v>15.75</v>
      </c>
      <c r="GY1476" t="s">
        <v>424</v>
      </c>
      <c r="GZ1476" t="s">
        <v>425</v>
      </c>
      <c r="HA1476" s="1">
        <v>41730</v>
      </c>
      <c r="HB1476">
        <v>23</v>
      </c>
      <c r="HC1476">
        <v>10125</v>
      </c>
      <c r="HD1476" t="s">
        <v>440</v>
      </c>
      <c r="HF1476" s="1">
        <v>40688</v>
      </c>
      <c r="HG1476">
        <v>2010</v>
      </c>
      <c r="HH1476">
        <v>179.75</v>
      </c>
      <c r="HI1476" t="s">
        <v>14999</v>
      </c>
      <c r="HJ1476">
        <v>6</v>
      </c>
      <c r="HK1476" t="s">
        <v>424</v>
      </c>
      <c r="HL1476" t="s">
        <v>425</v>
      </c>
      <c r="HM1476" s="1">
        <v>41320</v>
      </c>
      <c r="HN1476">
        <v>21</v>
      </c>
      <c r="HO1476">
        <v>105</v>
      </c>
      <c r="HP1476" t="s">
        <v>946</v>
      </c>
    </row>
    <row r="1477" spans="1:272" x14ac:dyDescent="0.25">
      <c r="A1477">
        <v>16486484</v>
      </c>
      <c r="B1477">
        <v>1476</v>
      </c>
      <c r="C1477" t="s">
        <v>393</v>
      </c>
      <c r="D1477" t="s">
        <v>394</v>
      </c>
      <c r="F1477" t="str">
        <f>"24-2N-28-4940-0014-0000"</f>
        <v>24-2N-28-4940-0014-0000</v>
      </c>
      <c r="H1477" t="str">
        <f>"DEMPS OSTEEN JR &amp; MILDRED"</f>
        <v>DEMPS OSTEEN JR &amp; MILDRED</v>
      </c>
      <c r="I1477" t="str">
        <f>"225 S 13TH STREET"</f>
        <v>225 S 13TH STREET</v>
      </c>
      <c r="J1477" t="str">
        <f>"FERNANDINA BEACH FL 32034"</f>
        <v>FERNANDINA BEACH FL 32034</v>
      </c>
      <c r="K1477" t="str">
        <f>"ZION CIR"</f>
        <v>ZION CIR</v>
      </c>
      <c r="L1477" t="str">
        <f>"FERNANDINA BEACH FL 32034"</f>
        <v>FERNANDINA BEACH FL 32034</v>
      </c>
      <c r="M1477" t="str">
        <f>"LOT 14 PT OR 585/355 GA PRINCE SURVEY OR 15/534"</f>
        <v>LOT 14 PT OR 585/355 GA PRINCE SURVEY OR 15/534</v>
      </c>
      <c r="N1477" t="str">
        <f>""</f>
        <v/>
      </c>
      <c r="O1477" t="str">
        <f>"34858"</f>
        <v>34858</v>
      </c>
      <c r="P1477" t="str">
        <f t="shared" si="514"/>
        <v>2017</v>
      </c>
      <c r="Q1477" t="str">
        <f>""</f>
        <v/>
      </c>
      <c r="R1477" t="str">
        <f t="shared" si="516"/>
        <v>N</v>
      </c>
      <c r="S1477" t="str">
        <f>""</f>
        <v/>
      </c>
      <c r="T1477" t="str">
        <f>"132.46"</f>
        <v>132.46</v>
      </c>
      <c r="U1477" t="str">
        <f>"8750.00"</f>
        <v>8750.00</v>
      </c>
      <c r="V1477" t="str">
        <f>"8750.00"</f>
        <v>8750.00</v>
      </c>
      <c r="W1477" t="str">
        <f t="shared" si="515"/>
        <v>2017</v>
      </c>
      <c r="X1477" t="str">
        <f>"19.13"</f>
        <v>19.13</v>
      </c>
      <c r="Y1477" t="str">
        <f>"168.43"</f>
        <v>168.43</v>
      </c>
      <c r="Z1477" t="str">
        <f>""</f>
        <v/>
      </c>
      <c r="AA1477" t="str">
        <f>"8750.00"</f>
        <v>8750.00</v>
      </c>
      <c r="AB1477" t="str">
        <f t="shared" si="501"/>
        <v>Residential</v>
      </c>
      <c r="AC1477" t="str">
        <f t="shared" si="499"/>
        <v>0</v>
      </c>
      <c r="AD1477" t="str">
        <f>""</f>
        <v/>
      </c>
      <c r="AE1477" t="str">
        <f>""</f>
        <v/>
      </c>
      <c r="AF1477" t="str">
        <f>"000"</f>
        <v>000</v>
      </c>
      <c r="AG1477" t="str">
        <f t="shared" si="513"/>
        <v>FL</v>
      </c>
      <c r="AH1477" t="str">
        <f>"5650.00"</f>
        <v>5650.00</v>
      </c>
      <c r="AI1477" t="str">
        <f>"8750.00"</f>
        <v>8750.00</v>
      </c>
      <c r="AJ1477" t="str">
        <f>"C55-000-587-3793-3"</f>
        <v>C55-000-587-3793-3</v>
      </c>
      <c r="AK1477" t="str">
        <f>"25183"</f>
        <v>25183</v>
      </c>
      <c r="AL1477">
        <v>6</v>
      </c>
      <c r="AM1477">
        <v>1694</v>
      </c>
      <c r="AN1477">
        <v>175.25</v>
      </c>
      <c r="AQ1477" t="s">
        <v>15000</v>
      </c>
      <c r="AR1477" t="s">
        <v>15000</v>
      </c>
      <c r="AS1477" t="s">
        <v>15000</v>
      </c>
      <c r="AU1477" t="s">
        <v>396</v>
      </c>
      <c r="AV1477">
        <v>2017</v>
      </c>
      <c r="AW1477" t="str">
        <f>"24-2N-28-4940-0014-0000 "</f>
        <v xml:space="preserve">24-2N-28-4940-0014-0000 </v>
      </c>
      <c r="AZ1477" t="s">
        <v>14983</v>
      </c>
      <c r="BA1477" t="s">
        <v>1799</v>
      </c>
      <c r="BD1477" t="s">
        <v>11749</v>
      </c>
      <c r="BE1477" t="s">
        <v>393</v>
      </c>
      <c r="BF1477">
        <v>32034</v>
      </c>
      <c r="BG1477" t="s">
        <v>15001</v>
      </c>
      <c r="BH1477" t="s">
        <v>11751</v>
      </c>
      <c r="BI1477">
        <v>-81.523380847336</v>
      </c>
      <c r="BJ1477">
        <v>30.619326076857</v>
      </c>
      <c r="BK1477" t="s">
        <v>14990</v>
      </c>
      <c r="BL1477" t="s">
        <v>14991</v>
      </c>
      <c r="BM1477" t="s">
        <v>14992</v>
      </c>
      <c r="BN1477" t="s">
        <v>3983</v>
      </c>
      <c r="BO1477">
        <v>32034</v>
      </c>
      <c r="BP1477" t="s">
        <v>404</v>
      </c>
      <c r="BQ1477">
        <v>0</v>
      </c>
      <c r="BR1477" t="s">
        <v>491</v>
      </c>
      <c r="BS1477">
        <v>8001</v>
      </c>
      <c r="BT1477" t="s">
        <v>492</v>
      </c>
      <c r="BU1477">
        <v>500</v>
      </c>
      <c r="BV1477">
        <v>1130</v>
      </c>
      <c r="BW1477">
        <v>5618</v>
      </c>
      <c r="BX1477" t="s">
        <v>407</v>
      </c>
      <c r="BY1477" t="s">
        <v>4360</v>
      </c>
      <c r="CD1477">
        <v>2017</v>
      </c>
      <c r="CE1477">
        <v>8750</v>
      </c>
      <c r="CG1477">
        <v>8750</v>
      </c>
      <c r="CH1477">
        <v>2017</v>
      </c>
      <c r="CI1477">
        <v>8750</v>
      </c>
      <c r="CK1477">
        <v>8750</v>
      </c>
      <c r="CL1477">
        <v>2017</v>
      </c>
      <c r="CM1477">
        <v>132.46</v>
      </c>
      <c r="CN1477" s="1">
        <v>32847</v>
      </c>
      <c r="CZ1477" s="1">
        <v>32847</v>
      </c>
      <c r="DD1477" t="s">
        <v>11749</v>
      </c>
      <c r="DF1477">
        <v>14</v>
      </c>
      <c r="DG1477">
        <v>24</v>
      </c>
      <c r="DJ1477" t="s">
        <v>15002</v>
      </c>
      <c r="DM1477" t="s">
        <v>14872</v>
      </c>
      <c r="DO1477" t="s">
        <v>15003</v>
      </c>
      <c r="DP1477">
        <v>0</v>
      </c>
      <c r="DQ1477">
        <v>0</v>
      </c>
      <c r="DR1477" t="s">
        <v>411</v>
      </c>
      <c r="DS1477" t="s">
        <v>695</v>
      </c>
      <c r="EJ1477">
        <v>2</v>
      </c>
      <c r="EK1477">
        <v>0</v>
      </c>
      <c r="EP1477" t="s">
        <v>421</v>
      </c>
      <c r="EQ1477" t="s">
        <v>422</v>
      </c>
      <c r="ER1477">
        <v>1</v>
      </c>
      <c r="ES1477">
        <v>5</v>
      </c>
      <c r="ET1477">
        <v>172.27</v>
      </c>
      <c r="EU1477">
        <v>14.86</v>
      </c>
      <c r="EV1477">
        <v>187.13</v>
      </c>
      <c r="EW1477" s="2">
        <v>43222</v>
      </c>
      <c r="EX1477" s="1">
        <v>42879</v>
      </c>
      <c r="EY1477">
        <v>2016</v>
      </c>
      <c r="EZ1477">
        <v>172.27</v>
      </c>
      <c r="FA1477" t="s">
        <v>15004</v>
      </c>
      <c r="FB1477">
        <v>0.25</v>
      </c>
      <c r="FC1477" t="s">
        <v>424</v>
      </c>
      <c r="FD1477" t="s">
        <v>454</v>
      </c>
      <c r="FF1477">
        <v>12</v>
      </c>
      <c r="FG1477">
        <v>305</v>
      </c>
      <c r="FH1477" t="s">
        <v>1078</v>
      </c>
      <c r="FJ1477" s="1">
        <v>42151</v>
      </c>
      <c r="FK1477">
        <v>2014</v>
      </c>
      <c r="FL1477">
        <v>171.56</v>
      </c>
      <c r="FM1477" t="s">
        <v>15005</v>
      </c>
      <c r="FN1477">
        <v>18</v>
      </c>
      <c r="FO1477" t="s">
        <v>424</v>
      </c>
      <c r="FP1477" t="s">
        <v>425</v>
      </c>
      <c r="FQ1477" s="1">
        <v>42466</v>
      </c>
      <c r="FR1477">
        <v>11</v>
      </c>
      <c r="FS1477">
        <v>10125</v>
      </c>
      <c r="FT1477" t="s">
        <v>440</v>
      </c>
      <c r="FV1477" s="1">
        <v>41787</v>
      </c>
      <c r="FW1477">
        <v>2013</v>
      </c>
      <c r="FX1477">
        <v>163.56</v>
      </c>
      <c r="FY1477" t="s">
        <v>15006</v>
      </c>
      <c r="FZ1477">
        <v>3.75</v>
      </c>
      <c r="GA1477" t="s">
        <v>424</v>
      </c>
      <c r="GB1477" t="s">
        <v>425</v>
      </c>
      <c r="GC1477" s="1">
        <v>42466</v>
      </c>
      <c r="GD1477">
        <v>23</v>
      </c>
      <c r="GE1477">
        <v>10125</v>
      </c>
      <c r="GF1477" t="s">
        <v>440</v>
      </c>
      <c r="GH1477" s="1">
        <v>41423</v>
      </c>
      <c r="GI1477">
        <v>2012</v>
      </c>
      <c r="GJ1477">
        <v>165.33</v>
      </c>
      <c r="GK1477" t="s">
        <v>15007</v>
      </c>
      <c r="GL1477">
        <v>6.25</v>
      </c>
      <c r="GM1477" t="s">
        <v>424</v>
      </c>
      <c r="GN1477" t="s">
        <v>425</v>
      </c>
      <c r="GO1477" s="1">
        <v>42109</v>
      </c>
      <c r="GP1477">
        <v>23</v>
      </c>
      <c r="GQ1477">
        <v>2101381</v>
      </c>
      <c r="GR1477" t="s">
        <v>605</v>
      </c>
      <c r="GT1477" s="1">
        <v>41052</v>
      </c>
      <c r="GU1477">
        <v>2011</v>
      </c>
      <c r="GV1477">
        <v>180.66</v>
      </c>
      <c r="GW1477" t="s">
        <v>15008</v>
      </c>
      <c r="GX1477">
        <v>15.75</v>
      </c>
      <c r="GY1477" t="s">
        <v>424</v>
      </c>
      <c r="GZ1477" t="s">
        <v>425</v>
      </c>
      <c r="HA1477" s="1">
        <v>41730</v>
      </c>
      <c r="HB1477">
        <v>23</v>
      </c>
      <c r="HC1477">
        <v>10125</v>
      </c>
      <c r="HD1477" t="s">
        <v>440</v>
      </c>
      <c r="HF1477" s="1">
        <v>40688</v>
      </c>
      <c r="HG1477">
        <v>2010</v>
      </c>
      <c r="HH1477">
        <v>179.75</v>
      </c>
      <c r="HI1477" t="s">
        <v>15009</v>
      </c>
      <c r="HJ1477">
        <v>6</v>
      </c>
      <c r="HK1477" t="s">
        <v>424</v>
      </c>
      <c r="HL1477" t="s">
        <v>425</v>
      </c>
      <c r="HM1477" s="1">
        <v>41320</v>
      </c>
      <c r="HN1477">
        <v>21</v>
      </c>
      <c r="HO1477">
        <v>105</v>
      </c>
      <c r="HP1477" t="s">
        <v>946</v>
      </c>
    </row>
    <row r="1478" spans="1:272" x14ac:dyDescent="0.25">
      <c r="A1478">
        <v>16486485</v>
      </c>
      <c r="B1478">
        <v>1477</v>
      </c>
      <c r="C1478" t="s">
        <v>393</v>
      </c>
      <c r="D1478" t="s">
        <v>394</v>
      </c>
      <c r="F1478" t="str">
        <f>"24-2N-28-4940-0015-0000"</f>
        <v>24-2N-28-4940-0015-0000</v>
      </c>
      <c r="H1478" t="str">
        <f>"DEMPS OSTEEN JR &amp; MILDRED"</f>
        <v>DEMPS OSTEEN JR &amp; MILDRED</v>
      </c>
      <c r="I1478" t="str">
        <f>"225 S 13TH STREET"</f>
        <v>225 S 13TH STREET</v>
      </c>
      <c r="J1478" t="str">
        <f>"FERNANDINA BEACH FL 32034"</f>
        <v>FERNANDINA BEACH FL 32034</v>
      </c>
      <c r="K1478" t="str">
        <f>"A1A/ZION CR"</f>
        <v>A1A/ZION CR</v>
      </c>
      <c r="L1478" t="str">
        <f>"FERNANDINA BEACH FL 32034"</f>
        <v>FERNANDINA BEACH FL 32034</v>
      </c>
      <c r="M1478" t="str">
        <f>"LOT 15 PT OR 585/355 EX R/W OR 207 PG 325 G A PRINCE SURVEY OR 15/534"</f>
        <v>LOT 15 PT OR 585/355 EX R/W OR 207 PG 325 G A PRINCE SURVEY OR 15/534</v>
      </c>
      <c r="N1478" t="str">
        <f>""</f>
        <v/>
      </c>
      <c r="O1478" t="str">
        <f>"34859"</f>
        <v>34859</v>
      </c>
      <c r="P1478" t="str">
        <f t="shared" si="514"/>
        <v>2017</v>
      </c>
      <c r="Q1478" t="str">
        <f>""</f>
        <v/>
      </c>
      <c r="R1478" t="str">
        <f t="shared" si="516"/>
        <v>N</v>
      </c>
      <c r="S1478" t="str">
        <f>""</f>
        <v/>
      </c>
      <c r="T1478" t="str">
        <f>"590.41"</f>
        <v>590.41</v>
      </c>
      <c r="U1478" t="str">
        <f>"39000.00"</f>
        <v>39000.00</v>
      </c>
      <c r="V1478" t="str">
        <f>"39000.00"</f>
        <v>39000.00</v>
      </c>
      <c r="W1478" t="str">
        <f t="shared" si="515"/>
        <v>2017</v>
      </c>
      <c r="X1478" t="str">
        <f>"20.44"</f>
        <v>20.44</v>
      </c>
      <c r="Y1478" t="str">
        <f>"640.12"</f>
        <v>640.12</v>
      </c>
      <c r="Z1478" t="str">
        <f>""</f>
        <v/>
      </c>
      <c r="AA1478" t="str">
        <f>"39000.00"</f>
        <v>39000.00</v>
      </c>
      <c r="AB1478" t="str">
        <f t="shared" si="501"/>
        <v>Residential</v>
      </c>
      <c r="AC1478" t="str">
        <f t="shared" si="499"/>
        <v>0</v>
      </c>
      <c r="AD1478" t="str">
        <f>""</f>
        <v/>
      </c>
      <c r="AE1478" t="str">
        <f>""</f>
        <v/>
      </c>
      <c r="AF1478" t="str">
        <f>"000"</f>
        <v>000</v>
      </c>
      <c r="AG1478" t="str">
        <f t="shared" si="513"/>
        <v>FL</v>
      </c>
      <c r="AH1478" t="str">
        <f>"6000.00"</f>
        <v>6000.00</v>
      </c>
      <c r="AI1478" t="str">
        <f>"39000.00"</f>
        <v>39000.00</v>
      </c>
      <c r="AJ1478" t="str">
        <f>"C55-000-587-3794-1"</f>
        <v>C55-000-587-3794-1</v>
      </c>
      <c r="AK1478" t="str">
        <f>"25184"</f>
        <v>25184</v>
      </c>
      <c r="AL1478">
        <v>6</v>
      </c>
      <c r="AM1478">
        <v>1695</v>
      </c>
      <c r="AN1478">
        <v>670.53</v>
      </c>
      <c r="AQ1478" t="s">
        <v>15010</v>
      </c>
      <c r="AR1478" t="s">
        <v>15010</v>
      </c>
      <c r="AS1478" t="s">
        <v>15010</v>
      </c>
      <c r="AU1478" t="s">
        <v>396</v>
      </c>
      <c r="AV1478">
        <v>2017</v>
      </c>
      <c r="AW1478" t="str">
        <f>"24-2N-28-4940-0015-0000 "</f>
        <v xml:space="preserve">24-2N-28-4940-0015-0000 </v>
      </c>
      <c r="AZ1478" t="s">
        <v>15011</v>
      </c>
      <c r="BA1478" t="s">
        <v>15012</v>
      </c>
      <c r="BD1478" t="s">
        <v>11749</v>
      </c>
      <c r="BE1478" t="s">
        <v>393</v>
      </c>
      <c r="BF1478">
        <v>32034</v>
      </c>
      <c r="BG1478" t="s">
        <v>15013</v>
      </c>
      <c r="BH1478" t="s">
        <v>11751</v>
      </c>
      <c r="BI1478">
        <v>-81.523486517670904</v>
      </c>
      <c r="BJ1478">
        <v>30.6194551033716</v>
      </c>
      <c r="BK1478" t="s">
        <v>14990</v>
      </c>
      <c r="BL1478" t="s">
        <v>14991</v>
      </c>
      <c r="BM1478" t="s">
        <v>14992</v>
      </c>
      <c r="BN1478" t="s">
        <v>3983</v>
      </c>
      <c r="BO1478">
        <v>32034</v>
      </c>
      <c r="BP1478" t="s">
        <v>404</v>
      </c>
      <c r="BQ1478">
        <v>0</v>
      </c>
      <c r="BR1478" t="s">
        <v>491</v>
      </c>
      <c r="BS1478">
        <v>8001</v>
      </c>
      <c r="BT1478" t="s">
        <v>492</v>
      </c>
      <c r="BU1478">
        <v>600</v>
      </c>
      <c r="BV1478">
        <v>1000</v>
      </c>
      <c r="BW1478">
        <v>2538</v>
      </c>
      <c r="BX1478" t="s">
        <v>407</v>
      </c>
      <c r="BY1478" t="s">
        <v>4360</v>
      </c>
      <c r="CD1478">
        <v>2017</v>
      </c>
      <c r="CE1478">
        <v>39000</v>
      </c>
      <c r="CG1478">
        <v>39000</v>
      </c>
      <c r="CH1478">
        <v>2017</v>
      </c>
      <c r="CI1478">
        <v>39000</v>
      </c>
      <c r="CK1478">
        <v>39000</v>
      </c>
      <c r="CL1478">
        <v>2017</v>
      </c>
      <c r="CM1478">
        <v>590.41</v>
      </c>
      <c r="CN1478" s="1">
        <v>32847</v>
      </c>
      <c r="CZ1478" s="1">
        <v>32847</v>
      </c>
      <c r="DD1478" t="s">
        <v>11749</v>
      </c>
      <c r="DF1478">
        <v>15</v>
      </c>
      <c r="DG1478">
        <v>24</v>
      </c>
      <c r="DM1478" t="s">
        <v>14872</v>
      </c>
      <c r="DO1478" t="s">
        <v>15014</v>
      </c>
      <c r="DP1478">
        <v>0</v>
      </c>
      <c r="DQ1478">
        <v>0</v>
      </c>
      <c r="DR1478" t="s">
        <v>411</v>
      </c>
      <c r="DS1478" t="s">
        <v>695</v>
      </c>
      <c r="EJ1478">
        <v>2</v>
      </c>
      <c r="EK1478">
        <v>0</v>
      </c>
      <c r="EP1478" t="s">
        <v>421</v>
      </c>
      <c r="EQ1478" t="s">
        <v>422</v>
      </c>
      <c r="ER1478">
        <v>1</v>
      </c>
      <c r="ES1478">
        <v>5</v>
      </c>
      <c r="ET1478">
        <v>674.47</v>
      </c>
      <c r="EU1478">
        <v>39.97</v>
      </c>
      <c r="EV1478">
        <v>714.44</v>
      </c>
      <c r="EW1478" s="2">
        <v>43222</v>
      </c>
      <c r="EX1478" s="1">
        <v>42879</v>
      </c>
      <c r="EY1478">
        <v>2016</v>
      </c>
      <c r="EZ1478">
        <v>674.47</v>
      </c>
      <c r="FA1478" t="s">
        <v>15015</v>
      </c>
      <c r="FB1478">
        <v>0.25</v>
      </c>
      <c r="FC1478" t="s">
        <v>424</v>
      </c>
      <c r="FD1478" t="s">
        <v>454</v>
      </c>
      <c r="FF1478">
        <v>12</v>
      </c>
      <c r="FG1478">
        <v>62</v>
      </c>
      <c r="FH1478" t="s">
        <v>463</v>
      </c>
      <c r="FJ1478" s="1">
        <v>42151</v>
      </c>
      <c r="FK1478">
        <v>2014</v>
      </c>
      <c r="FL1478">
        <v>688.56</v>
      </c>
      <c r="FM1478" t="s">
        <v>15016</v>
      </c>
      <c r="FN1478">
        <v>9</v>
      </c>
      <c r="FO1478" t="s">
        <v>424</v>
      </c>
      <c r="FP1478" t="s">
        <v>425</v>
      </c>
      <c r="FQ1478" s="1">
        <v>42466</v>
      </c>
      <c r="FR1478">
        <v>11</v>
      </c>
      <c r="FS1478">
        <v>10125</v>
      </c>
      <c r="FT1478" t="s">
        <v>440</v>
      </c>
      <c r="FV1478" s="1">
        <v>41787</v>
      </c>
      <c r="FW1478">
        <v>2013</v>
      </c>
      <c r="FX1478">
        <v>652.91</v>
      </c>
      <c r="FY1478" t="s">
        <v>15017</v>
      </c>
      <c r="FZ1478">
        <v>6.5</v>
      </c>
      <c r="GA1478" t="s">
        <v>424</v>
      </c>
      <c r="GB1478" t="s">
        <v>425</v>
      </c>
      <c r="GC1478" s="1">
        <v>42466</v>
      </c>
      <c r="GD1478">
        <v>23</v>
      </c>
      <c r="GE1478">
        <v>10125</v>
      </c>
      <c r="GF1478" t="s">
        <v>440</v>
      </c>
      <c r="GH1478" s="1">
        <v>41423</v>
      </c>
      <c r="GI1478">
        <v>2012</v>
      </c>
      <c r="GJ1478">
        <v>660.81</v>
      </c>
      <c r="GK1478" t="s">
        <v>15018</v>
      </c>
      <c r="GL1478">
        <v>3.25</v>
      </c>
      <c r="GM1478" t="s">
        <v>424</v>
      </c>
      <c r="GN1478" t="s">
        <v>425</v>
      </c>
      <c r="GO1478" s="1">
        <v>42109</v>
      </c>
      <c r="GP1478">
        <v>23</v>
      </c>
      <c r="GQ1478">
        <v>10125</v>
      </c>
      <c r="GR1478" t="s">
        <v>440</v>
      </c>
      <c r="GT1478" s="1">
        <v>41052</v>
      </c>
      <c r="GU1478">
        <v>2011</v>
      </c>
      <c r="GV1478">
        <v>663.98</v>
      </c>
      <c r="GW1478" t="s">
        <v>15019</v>
      </c>
      <c r="GX1478">
        <v>4.75</v>
      </c>
      <c r="GY1478" t="s">
        <v>424</v>
      </c>
      <c r="GZ1478" t="s">
        <v>425</v>
      </c>
      <c r="HA1478" s="1">
        <v>41730</v>
      </c>
      <c r="HB1478">
        <v>23</v>
      </c>
      <c r="HC1478">
        <v>10125</v>
      </c>
      <c r="HD1478" t="s">
        <v>440</v>
      </c>
      <c r="HF1478" s="1">
        <v>40688</v>
      </c>
      <c r="HG1478">
        <v>2010</v>
      </c>
      <c r="HH1478">
        <v>666.55</v>
      </c>
      <c r="HI1478" t="s">
        <v>15020</v>
      </c>
      <c r="HJ1478">
        <v>6</v>
      </c>
      <c r="HK1478" t="s">
        <v>424</v>
      </c>
      <c r="HL1478" t="s">
        <v>425</v>
      </c>
      <c r="HM1478" s="1">
        <v>41320</v>
      </c>
      <c r="HN1478">
        <v>21</v>
      </c>
      <c r="HO1478">
        <v>375</v>
      </c>
      <c r="HP1478" t="s">
        <v>776</v>
      </c>
    </row>
    <row r="1479" spans="1:272" x14ac:dyDescent="0.25">
      <c r="A1479">
        <v>16486486</v>
      </c>
      <c r="B1479">
        <v>1478</v>
      </c>
      <c r="C1479" t="s">
        <v>393</v>
      </c>
      <c r="D1479" t="s">
        <v>394</v>
      </c>
      <c r="F1479" t="str">
        <f>"24-2N-28-4940-0016-0000"</f>
        <v>24-2N-28-4940-0016-0000</v>
      </c>
      <c r="H1479" t="str">
        <f>"DEMPS OSTEEN JR &amp; MILDRED"</f>
        <v>DEMPS OSTEEN JR &amp; MILDRED</v>
      </c>
      <c r="I1479" t="str">
        <f>"225 S 13TH STREET"</f>
        <v>225 S 13TH STREET</v>
      </c>
      <c r="J1479" t="str">
        <f>"FERNANDINA BEACH FL 32034"</f>
        <v>FERNANDINA BEACH FL 32034</v>
      </c>
      <c r="K1479" t="str">
        <f>"A1A/ ZION CR"</f>
        <v>A1A/ ZION CR</v>
      </c>
      <c r="L1479" t="str">
        <f>"FERNANDINA BEACH FL 32034"</f>
        <v>FERNANDINA BEACH FL 32034</v>
      </c>
      <c r="M1479" t="str">
        <f>"LOT 16 PT OR 585/355 EX R/W OR 207 PG 325 G A PRINCE SURVEY OR 15/534"</f>
        <v>LOT 16 PT OR 585/355 EX R/W OR 207 PG 325 G A PRINCE SURVEY OR 15/534</v>
      </c>
      <c r="N1479" t="str">
        <f>""</f>
        <v/>
      </c>
      <c r="O1479" t="str">
        <f>"34860"</f>
        <v>34860</v>
      </c>
      <c r="P1479" t="str">
        <f t="shared" si="514"/>
        <v>2017</v>
      </c>
      <c r="Q1479" t="str">
        <f>""</f>
        <v/>
      </c>
      <c r="R1479" t="str">
        <f t="shared" si="516"/>
        <v>N</v>
      </c>
      <c r="S1479" t="str">
        <f>""</f>
        <v/>
      </c>
      <c r="T1479" t="str">
        <f>"544.50"</f>
        <v>544.50</v>
      </c>
      <c r="U1479" t="str">
        <f>"35967.00"</f>
        <v>35967.00</v>
      </c>
      <c r="V1479" t="str">
        <f>"35967.00"</f>
        <v>35967.00</v>
      </c>
      <c r="W1479" t="str">
        <f t="shared" si="515"/>
        <v>2017</v>
      </c>
      <c r="X1479" t="str">
        <f>"20.44"</f>
        <v>20.44</v>
      </c>
      <c r="Y1479" t="str">
        <f>"592.84"</f>
        <v>592.84</v>
      </c>
      <c r="Z1479" t="str">
        <f>""</f>
        <v/>
      </c>
      <c r="AA1479" t="str">
        <f>"35967.00"</f>
        <v>35967.00</v>
      </c>
      <c r="AB1479" t="str">
        <f t="shared" si="501"/>
        <v>Residential</v>
      </c>
      <c r="AC1479" t="str">
        <f t="shared" si="499"/>
        <v>0</v>
      </c>
      <c r="AD1479" t="str">
        <f>""</f>
        <v/>
      </c>
      <c r="AE1479" t="str">
        <f>""</f>
        <v/>
      </c>
      <c r="AF1479" t="str">
        <f>"000"</f>
        <v>000</v>
      </c>
      <c r="AG1479" t="str">
        <f t="shared" si="513"/>
        <v>FL</v>
      </c>
      <c r="AH1479" t="str">
        <f>"5130.00"</f>
        <v>5130.00</v>
      </c>
      <c r="AI1479" t="str">
        <f>"35967.00"</f>
        <v>35967.00</v>
      </c>
      <c r="AJ1479" t="str">
        <f>"C55-000-587-3795-8"</f>
        <v>C55-000-587-3795-8</v>
      </c>
      <c r="AK1479" t="str">
        <f>"25185"</f>
        <v>25185</v>
      </c>
      <c r="AL1479">
        <v>6</v>
      </c>
      <c r="AM1479">
        <v>1696</v>
      </c>
      <c r="AN1479">
        <v>620.88</v>
      </c>
      <c r="AQ1479" t="s">
        <v>15021</v>
      </c>
      <c r="AR1479" t="s">
        <v>15021</v>
      </c>
      <c r="AS1479" t="s">
        <v>15021</v>
      </c>
      <c r="AU1479" t="s">
        <v>396</v>
      </c>
      <c r="AV1479">
        <v>2017</v>
      </c>
      <c r="AW1479" t="str">
        <f>"24-2N-28-4940-0016-0000 "</f>
        <v xml:space="preserve">24-2N-28-4940-0016-0000 </v>
      </c>
      <c r="AZ1479" t="s">
        <v>15011</v>
      </c>
      <c r="BA1479" t="s">
        <v>15012</v>
      </c>
      <c r="BD1479" t="s">
        <v>11749</v>
      </c>
      <c r="BE1479" t="s">
        <v>393</v>
      </c>
      <c r="BF1479">
        <v>32034</v>
      </c>
      <c r="BG1479" t="s">
        <v>15022</v>
      </c>
      <c r="BH1479" t="s">
        <v>11751</v>
      </c>
      <c r="BI1479">
        <v>-81.523331450066607</v>
      </c>
      <c r="BJ1479">
        <v>30.619424043212302</v>
      </c>
      <c r="BK1479" t="s">
        <v>15023</v>
      </c>
      <c r="BP1479" t="s">
        <v>404</v>
      </c>
      <c r="BQ1479">
        <v>0</v>
      </c>
      <c r="BR1479" t="s">
        <v>491</v>
      </c>
      <c r="BS1479">
        <v>8001</v>
      </c>
      <c r="BT1479" t="s">
        <v>492</v>
      </c>
      <c r="BU1479">
        <v>570</v>
      </c>
      <c r="BV1479">
        <v>0</v>
      </c>
      <c r="BW1479">
        <v>757</v>
      </c>
      <c r="BX1479" t="s">
        <v>407</v>
      </c>
      <c r="BY1479" t="s">
        <v>4360</v>
      </c>
      <c r="CD1479">
        <v>2017</v>
      </c>
      <c r="CE1479">
        <v>35967</v>
      </c>
      <c r="CG1479">
        <v>35967</v>
      </c>
      <c r="CH1479">
        <v>2017</v>
      </c>
      <c r="CI1479">
        <v>35967</v>
      </c>
      <c r="CK1479">
        <v>35967</v>
      </c>
      <c r="CL1479">
        <v>2017</v>
      </c>
      <c r="CM1479">
        <v>544.5</v>
      </c>
      <c r="CN1479" s="1">
        <v>32847</v>
      </c>
      <c r="CZ1479" s="1">
        <v>32847</v>
      </c>
      <c r="DD1479" t="s">
        <v>11749</v>
      </c>
      <c r="DF1479">
        <v>16</v>
      </c>
      <c r="DG1479">
        <v>24</v>
      </c>
      <c r="DM1479" t="s">
        <v>14872</v>
      </c>
      <c r="DO1479" t="s">
        <v>15024</v>
      </c>
      <c r="DP1479">
        <v>0</v>
      </c>
      <c r="DQ1479">
        <v>0</v>
      </c>
      <c r="DR1479" t="s">
        <v>411</v>
      </c>
      <c r="DS1479" t="s">
        <v>695</v>
      </c>
      <c r="EJ1479">
        <v>2</v>
      </c>
      <c r="EK1479">
        <v>0</v>
      </c>
      <c r="EP1479" t="s">
        <v>421</v>
      </c>
      <c r="EQ1479" t="s">
        <v>422</v>
      </c>
      <c r="ER1479">
        <v>1</v>
      </c>
      <c r="ES1479">
        <v>5</v>
      </c>
      <c r="ET1479">
        <v>624.12</v>
      </c>
      <c r="EU1479">
        <v>37.46</v>
      </c>
      <c r="EV1479">
        <v>661.58</v>
      </c>
      <c r="EW1479" s="2">
        <v>43222</v>
      </c>
      <c r="EX1479" s="1">
        <v>42879</v>
      </c>
      <c r="EY1479">
        <v>2016</v>
      </c>
      <c r="EZ1479">
        <v>624.12</v>
      </c>
      <c r="FA1479" t="s">
        <v>15025</v>
      </c>
      <c r="FB1479">
        <v>0.25</v>
      </c>
      <c r="FC1479" t="s">
        <v>424</v>
      </c>
      <c r="FD1479" t="s">
        <v>454</v>
      </c>
      <c r="FF1479">
        <v>12</v>
      </c>
      <c r="FG1479">
        <v>305</v>
      </c>
      <c r="FH1479" t="s">
        <v>1078</v>
      </c>
      <c r="FJ1479" s="1">
        <v>42151</v>
      </c>
      <c r="FK1479">
        <v>2014</v>
      </c>
      <c r="FL1479">
        <v>636.72</v>
      </c>
      <c r="FM1479" t="s">
        <v>15026</v>
      </c>
      <c r="FN1479">
        <v>8.75</v>
      </c>
      <c r="FO1479" t="s">
        <v>424</v>
      </c>
      <c r="FP1479" t="s">
        <v>425</v>
      </c>
      <c r="FQ1479" s="1">
        <v>42466</v>
      </c>
      <c r="FR1479">
        <v>11</v>
      </c>
      <c r="FS1479">
        <v>10125</v>
      </c>
      <c r="FT1479" t="s">
        <v>440</v>
      </c>
      <c r="FV1479" s="1">
        <v>41787</v>
      </c>
      <c r="FW1479">
        <v>2013</v>
      </c>
      <c r="FX1479">
        <v>603.85</v>
      </c>
      <c r="FY1479" t="s">
        <v>15027</v>
      </c>
      <c r="FZ1479">
        <v>9.5</v>
      </c>
      <c r="GA1479" t="s">
        <v>424</v>
      </c>
      <c r="GB1479" t="s">
        <v>425</v>
      </c>
      <c r="GC1479" s="1">
        <v>42466</v>
      </c>
      <c r="GD1479">
        <v>23</v>
      </c>
      <c r="GE1479">
        <v>10125</v>
      </c>
      <c r="GF1479" t="s">
        <v>440</v>
      </c>
      <c r="GH1479" s="1">
        <v>41423</v>
      </c>
      <c r="GI1479">
        <v>2012</v>
      </c>
      <c r="GJ1479">
        <v>611.12</v>
      </c>
      <c r="GK1479" t="s">
        <v>15028</v>
      </c>
      <c r="GL1479">
        <v>3.75</v>
      </c>
      <c r="GM1479" t="s">
        <v>424</v>
      </c>
      <c r="GN1479" t="s">
        <v>425</v>
      </c>
      <c r="GO1479" s="1">
        <v>42109</v>
      </c>
      <c r="GP1479">
        <v>23</v>
      </c>
      <c r="GQ1479">
        <v>10125</v>
      </c>
      <c r="GR1479" t="s">
        <v>440</v>
      </c>
      <c r="GT1479" s="1">
        <v>41052</v>
      </c>
      <c r="GU1479">
        <v>2011</v>
      </c>
      <c r="GV1479">
        <v>613.42999999999995</v>
      </c>
      <c r="GW1479" t="s">
        <v>15029</v>
      </c>
      <c r="GX1479">
        <v>4.75</v>
      </c>
      <c r="GY1479" t="s">
        <v>424</v>
      </c>
      <c r="GZ1479" t="s">
        <v>425</v>
      </c>
      <c r="HA1479" s="1">
        <v>41730</v>
      </c>
      <c r="HB1479">
        <v>23</v>
      </c>
      <c r="HC1479">
        <v>10125</v>
      </c>
      <c r="HD1479" t="s">
        <v>440</v>
      </c>
      <c r="HF1479" s="1">
        <v>40688</v>
      </c>
      <c r="HG1479">
        <v>2010</v>
      </c>
      <c r="HH1479">
        <v>615.72</v>
      </c>
      <c r="HI1479" t="s">
        <v>15030</v>
      </c>
      <c r="HJ1479">
        <v>6</v>
      </c>
      <c r="HK1479" t="s">
        <v>424</v>
      </c>
      <c r="HL1479" t="s">
        <v>425</v>
      </c>
      <c r="HM1479" s="1">
        <v>41320</v>
      </c>
      <c r="HN1479">
        <v>21</v>
      </c>
      <c r="HO1479">
        <v>375</v>
      </c>
      <c r="HP1479" t="s">
        <v>776</v>
      </c>
    </row>
    <row r="1480" spans="1:272" x14ac:dyDescent="0.25">
      <c r="A1480">
        <v>16486487</v>
      </c>
      <c r="B1480">
        <v>1479</v>
      </c>
      <c r="C1480" t="s">
        <v>393</v>
      </c>
      <c r="D1480" t="s">
        <v>394</v>
      </c>
      <c r="F1480" t="str">
        <f>"25-2N-28-0000-0001-0050"</f>
        <v>25-2N-28-0000-0001-0050</v>
      </c>
      <c r="H1480" t="str">
        <f>"HARTLEY JAMES E"</f>
        <v>HARTLEY JAMES E</v>
      </c>
      <c r="I1480" t="str">
        <f>"9140 BON AIR DR"</f>
        <v>9140 BON AIR DR</v>
      </c>
      <c r="J1480" t="str">
        <f>"JACKSONVILLE FL 32218"</f>
        <v>JACKSONVILLE FL 32218</v>
      </c>
      <c r="K1480" t="str">
        <f>"BLACKROCK RD"</f>
        <v>BLACKROCK RD</v>
      </c>
      <c r="L1480" t="str">
        <f>"FERNANDINA BEACH FL 32034"</f>
        <v>FERNANDINA BEACH FL 32034</v>
      </c>
      <c r="M1480" t="str">
        <f>"IN OR 1834/653 PARCELS 1-5 1-12 &amp; 1-13"</f>
        <v>IN OR 1834/653 PARCELS 1-5 1-12 &amp; 1-13</v>
      </c>
      <c r="N1480" t="str">
        <f>""</f>
        <v/>
      </c>
      <c r="O1480" t="str">
        <f>"35188"</f>
        <v>35188</v>
      </c>
      <c r="P1480" t="str">
        <f t="shared" si="514"/>
        <v>2017</v>
      </c>
      <c r="Q1480" t="str">
        <f>""</f>
        <v/>
      </c>
      <c r="R1480" t="str">
        <f t="shared" si="516"/>
        <v>N</v>
      </c>
      <c r="S1480" t="str">
        <f>"11.42"</f>
        <v>11.42</v>
      </c>
      <c r="T1480" t="str">
        <f>"3241.83"</f>
        <v>3241.83</v>
      </c>
      <c r="U1480" t="str">
        <f>"197082.00"</f>
        <v>197082.00</v>
      </c>
      <c r="V1480" t="str">
        <f>"197082.00"</f>
        <v>197082.00</v>
      </c>
      <c r="W1480" t="str">
        <f t="shared" si="515"/>
        <v>2017</v>
      </c>
      <c r="X1480" t="str">
        <f>"6.00"</f>
        <v>6.00</v>
      </c>
      <c r="Y1480" t="str">
        <f>"3371.08"</f>
        <v>3371.08</v>
      </c>
      <c r="Z1480" t="str">
        <f>""</f>
        <v/>
      </c>
      <c r="AA1480" t="str">
        <f>"236220.00"</f>
        <v>236220.00</v>
      </c>
      <c r="AB1480" t="str">
        <f t="shared" si="501"/>
        <v>Residential</v>
      </c>
      <c r="AC1480" t="str">
        <f t="shared" si="499"/>
        <v>0</v>
      </c>
      <c r="AD1480" t="str">
        <f>""</f>
        <v/>
      </c>
      <c r="AE1480" t="str">
        <f>""</f>
        <v/>
      </c>
      <c r="AF1480" t="str">
        <f>"000"</f>
        <v>000</v>
      </c>
      <c r="AG1480" t="str">
        <f t="shared" si="513"/>
        <v>FL</v>
      </c>
      <c r="AH1480" t="str">
        <f>"497455.00"</f>
        <v>497455.00</v>
      </c>
      <c r="AI1480" t="str">
        <f>"228400.00"</f>
        <v>228400.00</v>
      </c>
      <c r="AJ1480" t="str">
        <f>"C55-000-587-4088-7"</f>
        <v>C55-000-587-4088-7</v>
      </c>
      <c r="AK1480" t="str">
        <f>"25206"</f>
        <v>25206</v>
      </c>
      <c r="AL1480">
        <v>6</v>
      </c>
      <c r="AM1480">
        <v>1697</v>
      </c>
      <c r="AN1480">
        <v>3538.03</v>
      </c>
      <c r="AQ1480" t="s">
        <v>15031</v>
      </c>
      <c r="AR1480" t="s">
        <v>15031</v>
      </c>
      <c r="AS1480" t="s">
        <v>15031</v>
      </c>
      <c r="AU1480" t="s">
        <v>396</v>
      </c>
      <c r="AV1480">
        <v>2017</v>
      </c>
      <c r="AW1480" t="str">
        <f>"25-2N-28-0000-0001-0050 "</f>
        <v xml:space="preserve">25-2N-28-0000-0001-0050 </v>
      </c>
      <c r="AZ1480" t="s">
        <v>14867</v>
      </c>
      <c r="BA1480" t="s">
        <v>496</v>
      </c>
      <c r="BD1480" t="s">
        <v>11749</v>
      </c>
      <c r="BE1480" t="s">
        <v>393</v>
      </c>
      <c r="BF1480">
        <v>32034</v>
      </c>
      <c r="BG1480" t="s">
        <v>15032</v>
      </c>
      <c r="BH1480" t="s">
        <v>11751</v>
      </c>
      <c r="BI1480">
        <v>-81.533779037719597</v>
      </c>
      <c r="BJ1480">
        <v>30.631332208748098</v>
      </c>
      <c r="BK1480" t="s">
        <v>15033</v>
      </c>
      <c r="BM1480" t="s">
        <v>15034</v>
      </c>
      <c r="BN1480" t="s">
        <v>548</v>
      </c>
      <c r="BO1480">
        <v>32218</v>
      </c>
      <c r="BP1480" t="s">
        <v>404</v>
      </c>
      <c r="BQ1480">
        <v>1</v>
      </c>
      <c r="BR1480" t="s">
        <v>491</v>
      </c>
      <c r="BS1480">
        <v>8001</v>
      </c>
      <c r="BT1480" t="s">
        <v>492</v>
      </c>
      <c r="BW1480">
        <v>497455</v>
      </c>
      <c r="BX1480" t="s">
        <v>407</v>
      </c>
      <c r="BY1480" t="s">
        <v>408</v>
      </c>
      <c r="CD1480">
        <v>2017</v>
      </c>
      <c r="CE1480">
        <v>228400</v>
      </c>
      <c r="CF1480">
        <v>7820</v>
      </c>
      <c r="CG1480">
        <v>236220</v>
      </c>
      <c r="CH1480">
        <v>2017</v>
      </c>
      <c r="CI1480">
        <v>228400</v>
      </c>
      <c r="CJ1480">
        <v>7820</v>
      </c>
      <c r="CK1480">
        <v>236220</v>
      </c>
      <c r="CL1480">
        <v>2017</v>
      </c>
      <c r="CM1480">
        <v>3241.83</v>
      </c>
      <c r="CN1480" s="1">
        <v>41214</v>
      </c>
      <c r="CZ1480" s="1">
        <v>41214</v>
      </c>
      <c r="DD1480" t="s">
        <v>11749</v>
      </c>
      <c r="DG1480">
        <v>25</v>
      </c>
      <c r="DL1480">
        <v>50301</v>
      </c>
      <c r="DM1480" t="s">
        <v>15035</v>
      </c>
      <c r="DO1480" t="s">
        <v>15036</v>
      </c>
      <c r="DP1480">
        <v>0</v>
      </c>
      <c r="DQ1480">
        <v>0</v>
      </c>
      <c r="DR1480" t="s">
        <v>411</v>
      </c>
      <c r="EP1480" t="s">
        <v>421</v>
      </c>
      <c r="EQ1480" t="s">
        <v>422</v>
      </c>
      <c r="ER1480">
        <v>0</v>
      </c>
      <c r="ES1480">
        <v>2</v>
      </c>
      <c r="ET1480">
        <v>0</v>
      </c>
      <c r="EU1480">
        <v>0</v>
      </c>
      <c r="EV1480">
        <v>0</v>
      </c>
      <c r="EW1480" s="2">
        <v>43222</v>
      </c>
      <c r="EX1480" s="1">
        <v>42879</v>
      </c>
      <c r="EY1480">
        <v>2016</v>
      </c>
      <c r="EZ1480">
        <v>3402.35</v>
      </c>
      <c r="FA1480" t="s">
        <v>15037</v>
      </c>
      <c r="FB1480">
        <v>0.25</v>
      </c>
      <c r="FC1480" t="s">
        <v>424</v>
      </c>
      <c r="FD1480" t="s">
        <v>425</v>
      </c>
      <c r="FE1480" s="1">
        <v>43051</v>
      </c>
      <c r="FF1480">
        <v>6</v>
      </c>
      <c r="FG1480">
        <v>11289</v>
      </c>
      <c r="FH1480" t="s">
        <v>787</v>
      </c>
      <c r="FJ1480" s="1">
        <v>42879</v>
      </c>
      <c r="FK1480">
        <v>2016</v>
      </c>
      <c r="FL1480">
        <v>3402.35</v>
      </c>
      <c r="FM1480" t="s">
        <v>15037</v>
      </c>
      <c r="FN1480">
        <v>0.25</v>
      </c>
      <c r="FO1480" t="s">
        <v>424</v>
      </c>
      <c r="FP1480" t="s">
        <v>425</v>
      </c>
      <c r="FR1480">
        <v>22</v>
      </c>
      <c r="FS1480">
        <v>7062564</v>
      </c>
      <c r="FT1480" t="s">
        <v>15038</v>
      </c>
    </row>
    <row r="1481" spans="1:272" x14ac:dyDescent="0.25">
      <c r="A1481">
        <v>16486488</v>
      </c>
      <c r="B1481">
        <v>1480</v>
      </c>
      <c r="C1481" t="s">
        <v>393</v>
      </c>
      <c r="D1481" t="s">
        <v>394</v>
      </c>
      <c r="F1481" t="str">
        <f>"25-2N-28-0000-0002-0030"</f>
        <v>25-2N-28-0000-0002-0030</v>
      </c>
      <c r="H1481" t="str">
        <f>"BRASWELL ENTERPRISES II INC"</f>
        <v>BRASWELL ENTERPRISES II INC</v>
      </c>
      <c r="I1481" t="str">
        <f>"PO BOX 735"</f>
        <v>PO BOX 735</v>
      </c>
      <c r="J1481" t="str">
        <f>"FERNANDINA BEACH FL 32035"</f>
        <v>FERNANDINA BEACH FL 32035</v>
      </c>
      <c r="K1481" t="str">
        <f>"96063 BLACKROCK RD"</f>
        <v>96063 BLACKROCK RD</v>
      </c>
      <c r="L1481" t="str">
        <f>"YULEE FL 32097"</f>
        <v>YULEE FL 32097</v>
      </c>
      <c r="M1481" t="str">
        <f>"IN OR 1254/1682 EX BLACKROCK ESTATES PB 5/57"</f>
        <v>IN OR 1254/1682 EX BLACKROCK ESTATES PB 5/57</v>
      </c>
      <c r="N1481" t="str">
        <f>""</f>
        <v/>
      </c>
      <c r="O1481" t="str">
        <f>"35199"</f>
        <v>35199</v>
      </c>
      <c r="P1481" t="str">
        <f t="shared" si="514"/>
        <v>2017</v>
      </c>
      <c r="Q1481" t="str">
        <f>""</f>
        <v/>
      </c>
      <c r="R1481" t="str">
        <f t="shared" si="516"/>
        <v>N</v>
      </c>
      <c r="S1481" t="str">
        <f>"17.49"</f>
        <v>17.49</v>
      </c>
      <c r="T1481" t="str">
        <f>"51.36"</f>
        <v>51.36</v>
      </c>
      <c r="U1481" t="str">
        <f>"3392.00"</f>
        <v>3392.00</v>
      </c>
      <c r="V1481" t="str">
        <f>"3392.00"</f>
        <v>3392.00</v>
      </c>
      <c r="W1481" t="str">
        <f t="shared" si="515"/>
        <v>2017</v>
      </c>
      <c r="X1481" t="str">
        <f>"23.13"</f>
        <v>23.13</v>
      </c>
      <c r="Y1481" t="str">
        <f>"84.90"</f>
        <v>84.90</v>
      </c>
      <c r="Z1481" t="str">
        <f>""</f>
        <v/>
      </c>
      <c r="AA1481" t="str">
        <f>"3392.00"</f>
        <v>3392.00</v>
      </c>
      <c r="AB1481" t="str">
        <f>"Agricultural"</f>
        <v>Agricultural</v>
      </c>
      <c r="AC1481" t="str">
        <f t="shared" si="499"/>
        <v>0</v>
      </c>
      <c r="AD1481" t="str">
        <f>""</f>
        <v/>
      </c>
      <c r="AE1481" t="str">
        <f>""</f>
        <v/>
      </c>
      <c r="AF1481" t="str">
        <f>"056"</f>
        <v>056</v>
      </c>
      <c r="AG1481" t="str">
        <f t="shared" si="513"/>
        <v>FL</v>
      </c>
      <c r="AH1481" t="str">
        <f>"761864.00"</f>
        <v>761864.00</v>
      </c>
      <c r="AI1481" t="str">
        <f>"3392.00"</f>
        <v>3392.00</v>
      </c>
      <c r="AJ1481" t="str">
        <f>"C55-000-587-4099-4"</f>
        <v>C55-000-587-4099-4</v>
      </c>
      <c r="AK1481" t="str">
        <f>"25216"</f>
        <v>25216</v>
      </c>
      <c r="AL1481">
        <v>6</v>
      </c>
      <c r="AM1481">
        <v>1698</v>
      </c>
      <c r="AN1481">
        <v>87.55</v>
      </c>
      <c r="AQ1481" t="s">
        <v>15039</v>
      </c>
      <c r="AR1481" t="s">
        <v>15039</v>
      </c>
      <c r="AS1481" t="s">
        <v>15039</v>
      </c>
      <c r="AU1481" t="s">
        <v>396</v>
      </c>
      <c r="AV1481">
        <v>2017</v>
      </c>
      <c r="AW1481" t="str">
        <f>"25-2N-28-0000-0002-0030 "</f>
        <v xml:space="preserve">25-2N-28-0000-0002-0030 </v>
      </c>
      <c r="AX1481">
        <v>96063</v>
      </c>
      <c r="AZ1481" t="s">
        <v>14867</v>
      </c>
      <c r="BA1481" t="s">
        <v>496</v>
      </c>
      <c r="BD1481" t="s">
        <v>2387</v>
      </c>
      <c r="BE1481" t="s">
        <v>393</v>
      </c>
      <c r="BF1481">
        <v>32097</v>
      </c>
      <c r="BG1481" t="s">
        <v>15040</v>
      </c>
      <c r="BH1481" t="s">
        <v>2388</v>
      </c>
      <c r="BI1481">
        <v>-81.532535122917906</v>
      </c>
      <c r="BJ1481">
        <v>30.627615941148299</v>
      </c>
      <c r="BK1481" t="s">
        <v>15041</v>
      </c>
      <c r="BM1481" t="s">
        <v>9322</v>
      </c>
      <c r="BN1481" t="s">
        <v>3983</v>
      </c>
      <c r="BO1481">
        <v>32035</v>
      </c>
      <c r="BP1481" t="s">
        <v>404</v>
      </c>
      <c r="BQ1481">
        <v>5600</v>
      </c>
      <c r="BR1481" t="s">
        <v>417</v>
      </c>
      <c r="BS1481">
        <v>7009</v>
      </c>
      <c r="BT1481" t="s">
        <v>418</v>
      </c>
      <c r="BW1481">
        <v>761864</v>
      </c>
      <c r="BX1481" t="s">
        <v>407</v>
      </c>
      <c r="BY1481" t="s">
        <v>408</v>
      </c>
      <c r="CD1481">
        <v>2017</v>
      </c>
      <c r="CG1481">
        <v>3392</v>
      </c>
      <c r="CH1481">
        <v>2017</v>
      </c>
      <c r="CI1481">
        <v>3392</v>
      </c>
      <c r="CJ1481">
        <v>171508</v>
      </c>
      <c r="CK1481">
        <v>174900</v>
      </c>
      <c r="CL1481">
        <v>2017</v>
      </c>
      <c r="CM1481">
        <v>51.36</v>
      </c>
      <c r="CN1481" s="1">
        <v>38715</v>
      </c>
      <c r="CO1481">
        <v>258500</v>
      </c>
      <c r="CV1481">
        <v>206750</v>
      </c>
      <c r="CX1481" t="s">
        <v>2312</v>
      </c>
      <c r="CZ1481" s="1">
        <v>38715</v>
      </c>
      <c r="DA1481">
        <v>0</v>
      </c>
      <c r="DD1481" t="s">
        <v>2387</v>
      </c>
      <c r="DG1481">
        <v>25</v>
      </c>
      <c r="DJ1481" t="s">
        <v>15042</v>
      </c>
      <c r="DL1481">
        <v>50301</v>
      </c>
      <c r="DM1481" t="s">
        <v>15035</v>
      </c>
      <c r="DO1481" t="s">
        <v>15043</v>
      </c>
      <c r="DP1481">
        <v>0</v>
      </c>
      <c r="DQ1481">
        <v>2</v>
      </c>
      <c r="DR1481" t="s">
        <v>411</v>
      </c>
      <c r="DS1481" t="b">
        <v>1</v>
      </c>
      <c r="DT1481" t="s">
        <v>470</v>
      </c>
      <c r="DU1481" t="s">
        <v>471</v>
      </c>
      <c r="DV1481" t="s">
        <v>472</v>
      </c>
      <c r="DX1481">
        <v>-9999</v>
      </c>
      <c r="DZ1481" t="s">
        <v>447</v>
      </c>
      <c r="EA1481" t="s">
        <v>448</v>
      </c>
      <c r="EB1481" t="s">
        <v>742</v>
      </c>
      <c r="EC1481">
        <v>20101217</v>
      </c>
      <c r="ED1481" t="s">
        <v>474</v>
      </c>
      <c r="EF1481">
        <v>681.8</v>
      </c>
      <c r="EG1481">
        <v>251.1</v>
      </c>
      <c r="EH1481" t="s">
        <v>451</v>
      </c>
      <c r="EI1481">
        <v>20140731</v>
      </c>
      <c r="EJ1481">
        <v>0</v>
      </c>
      <c r="EK1481">
        <v>0</v>
      </c>
      <c r="EP1481" t="s">
        <v>421</v>
      </c>
      <c r="EQ1481" t="s">
        <v>422</v>
      </c>
      <c r="ER1481">
        <v>1</v>
      </c>
      <c r="ES1481">
        <v>3</v>
      </c>
      <c r="ET1481">
        <v>77.510000000000005</v>
      </c>
      <c r="EU1481">
        <v>10.130000000000001</v>
      </c>
      <c r="EV1481">
        <v>87.64</v>
      </c>
      <c r="EW1481" s="2">
        <v>43222</v>
      </c>
      <c r="EX1481" s="1">
        <v>42879</v>
      </c>
      <c r="EY1481">
        <v>2016</v>
      </c>
      <c r="EZ1481">
        <v>77.510000000000005</v>
      </c>
      <c r="FA1481" t="s">
        <v>15044</v>
      </c>
      <c r="FB1481">
        <v>0.25</v>
      </c>
      <c r="FC1481" t="s">
        <v>424</v>
      </c>
      <c r="FD1481" t="s">
        <v>454</v>
      </c>
      <c r="FF1481">
        <v>12</v>
      </c>
      <c r="FG1481">
        <v>7336669</v>
      </c>
      <c r="FH1481" t="s">
        <v>2230</v>
      </c>
      <c r="FJ1481" s="1">
        <v>42151</v>
      </c>
      <c r="FK1481">
        <v>2014</v>
      </c>
      <c r="FL1481">
        <v>69.819999999999993</v>
      </c>
      <c r="FM1481" t="s">
        <v>15045</v>
      </c>
      <c r="FN1481">
        <v>17.75</v>
      </c>
      <c r="FO1481" t="s">
        <v>424</v>
      </c>
      <c r="FP1481" t="s">
        <v>425</v>
      </c>
      <c r="FQ1481" s="1">
        <v>42459</v>
      </c>
      <c r="FR1481">
        <v>10</v>
      </c>
      <c r="FS1481">
        <v>10125</v>
      </c>
      <c r="FT1481" t="s">
        <v>440</v>
      </c>
      <c r="FV1481" s="1">
        <v>41423</v>
      </c>
      <c r="FW1481">
        <v>2012</v>
      </c>
      <c r="FX1481">
        <v>55.78</v>
      </c>
      <c r="FY1481" t="s">
        <v>15046</v>
      </c>
      <c r="FZ1481">
        <v>4.25</v>
      </c>
      <c r="GA1481" t="s">
        <v>424</v>
      </c>
      <c r="GB1481" t="s">
        <v>425</v>
      </c>
      <c r="GC1481" s="1">
        <v>41681</v>
      </c>
      <c r="GD1481">
        <v>9</v>
      </c>
      <c r="GE1481">
        <v>10178</v>
      </c>
      <c r="GF1481" t="s">
        <v>8022</v>
      </c>
      <c r="GH1481" s="1">
        <v>41052</v>
      </c>
      <c r="GI1481">
        <v>2011</v>
      </c>
      <c r="GJ1481">
        <v>48.37</v>
      </c>
      <c r="GK1481" t="s">
        <v>15047</v>
      </c>
      <c r="GL1481">
        <v>11.5</v>
      </c>
      <c r="GM1481" t="s">
        <v>424</v>
      </c>
      <c r="GN1481" t="s">
        <v>425</v>
      </c>
      <c r="GO1481" s="1">
        <v>41681</v>
      </c>
      <c r="GP1481">
        <v>21</v>
      </c>
      <c r="GQ1481">
        <v>10125</v>
      </c>
      <c r="GR1481" t="s">
        <v>440</v>
      </c>
    </row>
    <row r="1482" spans="1:272" x14ac:dyDescent="0.25">
      <c r="A1482">
        <v>16486489</v>
      </c>
      <c r="B1482">
        <v>1481</v>
      </c>
      <c r="C1482" t="s">
        <v>393</v>
      </c>
      <c r="D1482" t="s">
        <v>394</v>
      </c>
      <c r="F1482" t="str">
        <f>"25-2N-28-0000-0002-0280"</f>
        <v>25-2N-28-0000-0002-0280</v>
      </c>
      <c r="H1482" t="str">
        <f>"CROSBY JOHN B JR &amp; KELLY ANN"</f>
        <v>CROSBY JOHN B JR &amp; KELLY ANN</v>
      </c>
      <c r="I1482" t="str">
        <f>"43239 RATLIFF ROAD"</f>
        <v>43239 RATLIFF ROAD</v>
      </c>
      <c r="J1482" t="str">
        <f>"JACKSONVILLE FL 32224"</f>
        <v>JACKSONVILLE FL 32224</v>
      </c>
      <c r="K1482" t="str">
        <f>"AMELIA CONCOURSE"</f>
        <v>AMELIA CONCOURSE</v>
      </c>
      <c r="L1482" t="str">
        <f>"FERNANDINA BEACH FL 32034"</f>
        <v>FERNANDINA BEACH FL 32034</v>
      </c>
      <c r="M1482" t="str">
        <f>"PT OR 963/1580 &amp; PT 963/1590 EX 2-78 ESMT PT OR 1127/1783 ESMT PT OR 1333/365 EX ESMT PT OR 1449/848"</f>
        <v>PT OR 963/1580 &amp; PT 963/1590 EX 2-78 ESMT PT OR 1127/1783 ESMT PT OR 1333/365 EX ESMT PT OR 1449/848</v>
      </c>
      <c r="N1482" t="str">
        <f>""</f>
        <v/>
      </c>
      <c r="O1482" t="str">
        <f>"35223"</f>
        <v>35223</v>
      </c>
      <c r="P1482" t="str">
        <f t="shared" si="514"/>
        <v>2017</v>
      </c>
      <c r="Q1482" t="str">
        <f>""</f>
        <v/>
      </c>
      <c r="R1482" t="str">
        <f t="shared" si="516"/>
        <v>N</v>
      </c>
      <c r="S1482" t="str">
        <f>"9.07"</f>
        <v>9.07</v>
      </c>
      <c r="T1482" t="str">
        <f>"343.28"</f>
        <v>343.28</v>
      </c>
      <c r="U1482" t="str">
        <f>"22675.00"</f>
        <v>22675.00</v>
      </c>
      <c r="V1482" t="str">
        <f>"22675.00"</f>
        <v>22675.00</v>
      </c>
      <c r="W1482" t="str">
        <f t="shared" si="515"/>
        <v>2017</v>
      </c>
      <c r="X1482" t="str">
        <f>"16.50"</f>
        <v>16.50</v>
      </c>
      <c r="Y1482" t="str">
        <f>"385.58"</f>
        <v>385.58</v>
      </c>
      <c r="Z1482" t="str">
        <f>""</f>
        <v/>
      </c>
      <c r="AA1482" t="str">
        <f>"22675.00"</f>
        <v>22675.00</v>
      </c>
      <c r="AB1482" t="str">
        <f>"Residential"</f>
        <v>Residential</v>
      </c>
      <c r="AC1482" t="str">
        <f t="shared" si="499"/>
        <v>0</v>
      </c>
      <c r="AD1482" t="str">
        <f>""</f>
        <v/>
      </c>
      <c r="AE1482" t="str">
        <f>""</f>
        <v/>
      </c>
      <c r="AF1482" t="str">
        <f>"000"</f>
        <v>000</v>
      </c>
      <c r="AG1482" t="str">
        <f t="shared" si="513"/>
        <v>FL</v>
      </c>
      <c r="AH1482" t="str">
        <f>"395089.00"</f>
        <v>395089.00</v>
      </c>
      <c r="AI1482" t="str">
        <f>"22675.00"</f>
        <v>22675.00</v>
      </c>
      <c r="AJ1482" t="str">
        <f>"C55-000-587-4125-7"</f>
        <v>C55-000-587-4125-7</v>
      </c>
      <c r="AK1482" t="str">
        <f>"25231"</f>
        <v>25231</v>
      </c>
      <c r="AL1482">
        <v>6</v>
      </c>
      <c r="AM1482">
        <v>1699</v>
      </c>
      <c r="AN1482">
        <v>403.26</v>
      </c>
      <c r="AQ1482" t="s">
        <v>15048</v>
      </c>
      <c r="AR1482" t="s">
        <v>15048</v>
      </c>
      <c r="AS1482" t="s">
        <v>15048</v>
      </c>
      <c r="AU1482" t="s">
        <v>396</v>
      </c>
      <c r="AV1482">
        <v>2017</v>
      </c>
      <c r="AW1482" t="str">
        <f>"25-2N-28-0000-0002-0280 "</f>
        <v xml:space="preserve">25-2N-28-0000-0002-0280 </v>
      </c>
      <c r="AZ1482" t="s">
        <v>11474</v>
      </c>
      <c r="BD1482" t="s">
        <v>11749</v>
      </c>
      <c r="BE1482" t="s">
        <v>393</v>
      </c>
      <c r="BF1482">
        <v>32034</v>
      </c>
      <c r="BG1482" t="s">
        <v>11474</v>
      </c>
      <c r="BH1482" t="s">
        <v>11751</v>
      </c>
      <c r="BI1482">
        <v>-81.543633470165204</v>
      </c>
      <c r="BJ1482">
        <v>30.620535686928498</v>
      </c>
      <c r="BK1482" t="s">
        <v>11476</v>
      </c>
      <c r="BM1482" t="s">
        <v>11454</v>
      </c>
      <c r="BN1482" t="s">
        <v>3983</v>
      </c>
      <c r="BO1482">
        <v>32035</v>
      </c>
      <c r="BP1482" t="s">
        <v>404</v>
      </c>
      <c r="BQ1482">
        <v>0</v>
      </c>
      <c r="BR1482" t="s">
        <v>491</v>
      </c>
      <c r="BS1482">
        <v>8001</v>
      </c>
      <c r="BT1482" t="s">
        <v>492</v>
      </c>
      <c r="BW1482">
        <v>395089</v>
      </c>
      <c r="BX1482" t="s">
        <v>407</v>
      </c>
      <c r="BY1482" t="s">
        <v>408</v>
      </c>
      <c r="CD1482">
        <v>2017</v>
      </c>
      <c r="CE1482">
        <v>22675</v>
      </c>
      <c r="CG1482">
        <v>22675</v>
      </c>
      <c r="CH1482">
        <v>2017</v>
      </c>
      <c r="CI1482">
        <v>22675</v>
      </c>
      <c r="CK1482">
        <v>22675</v>
      </c>
      <c r="CL1482">
        <v>2017</v>
      </c>
      <c r="CM1482">
        <v>343.28</v>
      </c>
      <c r="CN1482" s="1">
        <v>38670</v>
      </c>
      <c r="CZ1482" s="1">
        <v>38670</v>
      </c>
      <c r="DD1482" t="s">
        <v>11749</v>
      </c>
      <c r="DG1482">
        <v>25</v>
      </c>
      <c r="DL1482">
        <v>50303</v>
      </c>
      <c r="DM1482" t="s">
        <v>15035</v>
      </c>
      <c r="DO1482" t="s">
        <v>15049</v>
      </c>
      <c r="DP1482">
        <v>0</v>
      </c>
      <c r="DQ1482">
        <v>2</v>
      </c>
      <c r="DR1482" t="s">
        <v>411</v>
      </c>
      <c r="DS1482" t="b">
        <v>1</v>
      </c>
      <c r="DT1482" t="s">
        <v>470</v>
      </c>
      <c r="DU1482" t="s">
        <v>471</v>
      </c>
      <c r="DV1482" t="s">
        <v>472</v>
      </c>
      <c r="DX1482">
        <v>-9999</v>
      </c>
      <c r="DZ1482" t="s">
        <v>447</v>
      </c>
      <c r="EA1482" t="s">
        <v>448</v>
      </c>
      <c r="EB1482" t="s">
        <v>742</v>
      </c>
      <c r="EC1482">
        <v>20101217</v>
      </c>
      <c r="ED1482" t="s">
        <v>474</v>
      </c>
      <c r="EF1482">
        <v>4490.6000000000004</v>
      </c>
      <c r="EG1482">
        <v>4112.2</v>
      </c>
      <c r="EI1482">
        <v>20160407</v>
      </c>
      <c r="EJ1482">
        <v>0</v>
      </c>
      <c r="EK1482">
        <v>0</v>
      </c>
      <c r="EP1482" t="s">
        <v>421</v>
      </c>
      <c r="EQ1482" t="s">
        <v>422</v>
      </c>
      <c r="ER1482">
        <v>8</v>
      </c>
      <c r="ES1482">
        <v>0</v>
      </c>
      <c r="ET1482">
        <v>3939.81</v>
      </c>
      <c r="EU1482">
        <v>1585.51</v>
      </c>
      <c r="EV1482">
        <v>5525.32</v>
      </c>
      <c r="EW1482" s="2">
        <v>43222</v>
      </c>
      <c r="EX1482" s="1">
        <v>42879</v>
      </c>
      <c r="EY1482">
        <v>2016</v>
      </c>
      <c r="EZ1482">
        <v>403.46</v>
      </c>
      <c r="FA1482" t="s">
        <v>15050</v>
      </c>
      <c r="FB1482">
        <v>0.25</v>
      </c>
      <c r="FC1482" t="s">
        <v>424</v>
      </c>
      <c r="FD1482" t="s">
        <v>454</v>
      </c>
      <c r="FF1482">
        <v>12</v>
      </c>
      <c r="FG1482">
        <v>305</v>
      </c>
      <c r="FH1482" t="s">
        <v>1078</v>
      </c>
      <c r="FJ1482" s="1">
        <v>42515</v>
      </c>
      <c r="FK1482">
        <v>2015</v>
      </c>
      <c r="FL1482">
        <v>407.6</v>
      </c>
      <c r="FM1482" t="s">
        <v>15051</v>
      </c>
      <c r="FN1482">
        <v>18</v>
      </c>
      <c r="FO1482" t="s">
        <v>424</v>
      </c>
      <c r="FP1482" t="s">
        <v>454</v>
      </c>
      <c r="FR1482">
        <v>24</v>
      </c>
      <c r="FS1482">
        <v>10125</v>
      </c>
      <c r="FT1482" t="s">
        <v>440</v>
      </c>
      <c r="FV1482" s="1">
        <v>42151</v>
      </c>
      <c r="FW1482">
        <v>2014</v>
      </c>
      <c r="FX1482">
        <v>409.54</v>
      </c>
      <c r="FY1482" t="s">
        <v>15052</v>
      </c>
      <c r="FZ1482">
        <v>18</v>
      </c>
      <c r="GA1482" t="s">
        <v>424</v>
      </c>
      <c r="GB1482" t="s">
        <v>454</v>
      </c>
      <c r="GD1482">
        <v>36</v>
      </c>
      <c r="GE1482">
        <v>10125</v>
      </c>
      <c r="GF1482" t="s">
        <v>440</v>
      </c>
      <c r="GH1482" s="1">
        <v>41787</v>
      </c>
      <c r="GI1482">
        <v>2013</v>
      </c>
      <c r="GJ1482">
        <v>388.82</v>
      </c>
      <c r="GK1482" t="s">
        <v>15053</v>
      </c>
      <c r="GL1482">
        <v>16.5</v>
      </c>
      <c r="GM1482" t="s">
        <v>424</v>
      </c>
      <c r="GN1482" t="s">
        <v>454</v>
      </c>
      <c r="GP1482">
        <v>48</v>
      </c>
      <c r="GQ1482">
        <v>10125</v>
      </c>
      <c r="GR1482" t="s">
        <v>440</v>
      </c>
      <c r="GT1482" s="1">
        <v>41423</v>
      </c>
      <c r="GU1482">
        <v>2012</v>
      </c>
      <c r="GV1482">
        <v>393.4</v>
      </c>
      <c r="GW1482" t="s">
        <v>15054</v>
      </c>
      <c r="GX1482">
        <v>6</v>
      </c>
      <c r="GY1482" t="s">
        <v>424</v>
      </c>
      <c r="GZ1482" t="s">
        <v>454</v>
      </c>
      <c r="HB1482">
        <v>60</v>
      </c>
      <c r="HC1482">
        <v>10125</v>
      </c>
      <c r="HD1482" t="s">
        <v>440</v>
      </c>
      <c r="HF1482" s="1">
        <v>41052</v>
      </c>
      <c r="HG1482">
        <v>2011</v>
      </c>
      <c r="HH1482">
        <v>543.07000000000005</v>
      </c>
      <c r="HI1482" t="s">
        <v>15055</v>
      </c>
      <c r="HJ1482">
        <v>5.75</v>
      </c>
      <c r="HK1482" t="s">
        <v>424</v>
      </c>
      <c r="HL1482" t="s">
        <v>454</v>
      </c>
      <c r="HN1482">
        <v>72</v>
      </c>
      <c r="HO1482">
        <v>10125</v>
      </c>
      <c r="HP1482" t="s">
        <v>440</v>
      </c>
      <c r="HR1482" s="1">
        <v>40688</v>
      </c>
      <c r="HS1482">
        <v>2010</v>
      </c>
      <c r="HT1482">
        <v>696.96</v>
      </c>
      <c r="HU1482" t="s">
        <v>15056</v>
      </c>
      <c r="HV1482">
        <v>6</v>
      </c>
      <c r="HW1482" t="s">
        <v>424</v>
      </c>
      <c r="HX1482" t="s">
        <v>454</v>
      </c>
      <c r="HZ1482">
        <v>84</v>
      </c>
      <c r="IA1482">
        <v>375</v>
      </c>
      <c r="IB1482" t="s">
        <v>776</v>
      </c>
      <c r="ID1482" s="1">
        <v>40688</v>
      </c>
      <c r="IE1482">
        <v>2010</v>
      </c>
      <c r="IF1482">
        <v>696.96</v>
      </c>
      <c r="IG1482" t="s">
        <v>15056</v>
      </c>
      <c r="IH1482">
        <v>6</v>
      </c>
      <c r="II1482" t="s">
        <v>424</v>
      </c>
      <c r="IJ1482" t="s">
        <v>454</v>
      </c>
      <c r="IL1482">
        <v>84</v>
      </c>
      <c r="IM1482">
        <v>105</v>
      </c>
      <c r="IN1482" t="s">
        <v>946</v>
      </c>
    </row>
    <row r="1483" spans="1:272" x14ac:dyDescent="0.25">
      <c r="A1483">
        <v>16486490</v>
      </c>
      <c r="B1483">
        <v>1482</v>
      </c>
      <c r="C1483" t="s">
        <v>393</v>
      </c>
      <c r="D1483" t="s">
        <v>394</v>
      </c>
      <c r="F1483" t="str">
        <f>"25-2N-28-0000-0002-0400"</f>
        <v>25-2N-28-0000-0002-0400</v>
      </c>
      <c r="H1483" t="str">
        <f>"HARRISON GEORGE WAYNE"</f>
        <v>HARRISON GEORGE WAYNE</v>
      </c>
      <c r="I1483" t="str">
        <f>"3000 NORTH ATLANTIC AVE 14"</f>
        <v>3000 NORTH ATLANTIC AVE 14</v>
      </c>
      <c r="J1483" t="str">
        <f>"DAYTONA BEACH FL 32118"</f>
        <v>DAYTONA BEACH FL 32118</v>
      </c>
      <c r="K1483" t="str">
        <f>"463949 SR 200"</f>
        <v>463949 SR 200</v>
      </c>
      <c r="L1483" t="str">
        <f>"YULEE FL 32097"</f>
        <v>YULEE FL 32097</v>
      </c>
      <c r="M1483" t="str">
        <f>"IN OR 802 PG 783 RECIPROCAL ESMT PT OR 803/1773 ESMT OR 1457/909"</f>
        <v>IN OR 802 PG 783 RECIPROCAL ESMT PT OR 803/1773 ESMT OR 1457/909</v>
      </c>
      <c r="N1483" t="str">
        <f>""</f>
        <v/>
      </c>
      <c r="O1483" t="str">
        <f>"35232"</f>
        <v>35232</v>
      </c>
      <c r="P1483" t="str">
        <f t="shared" si="514"/>
        <v>2017</v>
      </c>
      <c r="Q1483" t="str">
        <f>""</f>
        <v/>
      </c>
      <c r="R1483" t="str">
        <f t="shared" si="516"/>
        <v>N</v>
      </c>
      <c r="S1483" t="str">
        <f>""</f>
        <v/>
      </c>
      <c r="T1483" t="str">
        <f>"5256.83"</f>
        <v>5256.83</v>
      </c>
      <c r="U1483" t="str">
        <f>"347242.00"</f>
        <v>347242.00</v>
      </c>
      <c r="V1483" t="str">
        <f>"347242.00"</f>
        <v>347242.00</v>
      </c>
      <c r="W1483" t="str">
        <f t="shared" si="515"/>
        <v>2017</v>
      </c>
      <c r="X1483" t="str">
        <f>"14.60"</f>
        <v>14.60</v>
      </c>
      <c r="Y1483" t="str">
        <f>"5446.53"</f>
        <v>5446.53</v>
      </c>
      <c r="Z1483" t="str">
        <f>""</f>
        <v/>
      </c>
      <c r="AA1483" t="str">
        <f>"347242.00"</f>
        <v>347242.00</v>
      </c>
      <c r="AB1483" t="str">
        <f>"Commercial"</f>
        <v>Commercial</v>
      </c>
      <c r="AC1483" t="str">
        <f t="shared" si="499"/>
        <v>0</v>
      </c>
      <c r="AD1483" t="str">
        <f>"3"</f>
        <v>3</v>
      </c>
      <c r="AE1483" t="str">
        <f>"MASONRY"</f>
        <v>MASONRY</v>
      </c>
      <c r="AF1483" t="str">
        <f>"021"</f>
        <v>021</v>
      </c>
      <c r="AG1483" t="str">
        <f t="shared" si="513"/>
        <v>FL</v>
      </c>
      <c r="AH1483" t="str">
        <f>"20000.00"</f>
        <v>20000.00</v>
      </c>
      <c r="AI1483" t="str">
        <f>"200000.00"</f>
        <v>200000.00</v>
      </c>
      <c r="AJ1483" t="str">
        <f>"C55-000-587-4134-9"</f>
        <v>C55-000-587-4134-9</v>
      </c>
      <c r="AK1483" t="str">
        <f>"25241"</f>
        <v>25241</v>
      </c>
      <c r="AL1483">
        <v>6</v>
      </c>
      <c r="AM1483">
        <v>1700</v>
      </c>
      <c r="AN1483">
        <v>5717.26</v>
      </c>
      <c r="AQ1483" t="s">
        <v>15057</v>
      </c>
      <c r="AR1483" t="s">
        <v>15057</v>
      </c>
      <c r="AS1483" t="s">
        <v>15057</v>
      </c>
      <c r="AU1483" t="s">
        <v>396</v>
      </c>
      <c r="AV1483">
        <v>2017</v>
      </c>
      <c r="AW1483" t="str">
        <f>"25-2N-28-0000-0002-0400 "</f>
        <v xml:space="preserve">25-2N-28-0000-0002-0400 </v>
      </c>
      <c r="AX1483">
        <v>463949</v>
      </c>
      <c r="AZ1483" t="s">
        <v>8071</v>
      </c>
      <c r="BD1483" t="s">
        <v>2387</v>
      </c>
      <c r="BE1483" t="s">
        <v>393</v>
      </c>
      <c r="BF1483">
        <v>32097</v>
      </c>
      <c r="BG1483" t="s">
        <v>15058</v>
      </c>
      <c r="BH1483" t="s">
        <v>2388</v>
      </c>
      <c r="BI1483">
        <v>-81.538974274673294</v>
      </c>
      <c r="BJ1483">
        <v>30.624430034665099</v>
      </c>
      <c r="BK1483" t="s">
        <v>15059</v>
      </c>
      <c r="BM1483" t="s">
        <v>15060</v>
      </c>
      <c r="BN1483" t="s">
        <v>15061</v>
      </c>
      <c r="BO1483">
        <v>32118</v>
      </c>
      <c r="BP1483" t="s">
        <v>404</v>
      </c>
      <c r="BQ1483">
        <v>2100</v>
      </c>
      <c r="BR1483" t="s">
        <v>15062</v>
      </c>
      <c r="BS1483">
        <v>2012</v>
      </c>
      <c r="BT1483" t="s">
        <v>15063</v>
      </c>
      <c r="BW1483">
        <v>18182</v>
      </c>
      <c r="BX1483" t="s">
        <v>407</v>
      </c>
      <c r="BY1483" t="s">
        <v>3019</v>
      </c>
      <c r="BZ1483">
        <v>3</v>
      </c>
      <c r="CA1483">
        <v>1997</v>
      </c>
      <c r="CB1483">
        <v>1</v>
      </c>
      <c r="CD1483">
        <v>2017</v>
      </c>
      <c r="CE1483">
        <v>200000</v>
      </c>
      <c r="CF1483">
        <v>147242</v>
      </c>
      <c r="CG1483">
        <v>347242</v>
      </c>
      <c r="CH1483">
        <v>2017</v>
      </c>
      <c r="CI1483">
        <v>200000</v>
      </c>
      <c r="CJ1483">
        <v>147242</v>
      </c>
      <c r="CK1483">
        <v>347242</v>
      </c>
      <c r="CL1483">
        <v>2017</v>
      </c>
      <c r="CM1483">
        <v>5256.83</v>
      </c>
      <c r="CN1483" s="1">
        <v>35650</v>
      </c>
      <c r="CO1483">
        <v>500000</v>
      </c>
      <c r="CZ1483" s="1">
        <v>35650</v>
      </c>
      <c r="DD1483" t="s">
        <v>2387</v>
      </c>
      <c r="DG1483">
        <v>25</v>
      </c>
      <c r="DL1483">
        <v>50301</v>
      </c>
      <c r="DM1483" t="s">
        <v>15035</v>
      </c>
      <c r="DO1483" t="s">
        <v>15064</v>
      </c>
      <c r="DP1483">
        <v>0</v>
      </c>
      <c r="DQ1483">
        <v>2</v>
      </c>
      <c r="DR1483" t="s">
        <v>1479</v>
      </c>
      <c r="DS1483" t="b">
        <v>1</v>
      </c>
      <c r="DT1483" t="s">
        <v>470</v>
      </c>
      <c r="DU1483" t="s">
        <v>471</v>
      </c>
      <c r="DV1483" t="s">
        <v>472</v>
      </c>
      <c r="DX1483">
        <v>-9999</v>
      </c>
      <c r="DZ1483" t="s">
        <v>447</v>
      </c>
      <c r="EA1483" t="s">
        <v>448</v>
      </c>
      <c r="EB1483" t="s">
        <v>742</v>
      </c>
      <c r="EC1483">
        <v>20101217</v>
      </c>
      <c r="ED1483" t="s">
        <v>474</v>
      </c>
      <c r="EF1483">
        <v>2488.8000000000002</v>
      </c>
      <c r="EG1483">
        <v>2109.3000000000002</v>
      </c>
      <c r="EI1483">
        <v>20160407</v>
      </c>
      <c r="EJ1483">
        <v>0</v>
      </c>
      <c r="EK1483">
        <v>0</v>
      </c>
      <c r="EP1483" t="s">
        <v>421</v>
      </c>
      <c r="EQ1483" t="s">
        <v>422</v>
      </c>
      <c r="ER1483">
        <v>2</v>
      </c>
      <c r="ES1483">
        <v>8</v>
      </c>
      <c r="ET1483">
        <v>10203.959999999999</v>
      </c>
      <c r="EU1483">
        <v>522.70000000000005</v>
      </c>
      <c r="EV1483">
        <v>10726.66</v>
      </c>
      <c r="EW1483" s="2">
        <v>43222</v>
      </c>
      <c r="EX1483" s="1">
        <v>42879</v>
      </c>
      <c r="EY1483">
        <v>2016</v>
      </c>
      <c r="EZ1483">
        <v>5101.9799999999996</v>
      </c>
      <c r="FA1483" t="s">
        <v>15065</v>
      </c>
      <c r="FB1483">
        <v>0.25</v>
      </c>
      <c r="FC1483" t="s">
        <v>424</v>
      </c>
      <c r="FD1483" t="s">
        <v>454</v>
      </c>
      <c r="FF1483">
        <v>12</v>
      </c>
      <c r="FG1483">
        <v>2851116</v>
      </c>
      <c r="FH1483" t="s">
        <v>480</v>
      </c>
      <c r="FJ1483" s="1">
        <v>42879</v>
      </c>
      <c r="FK1483">
        <v>2016</v>
      </c>
      <c r="FL1483">
        <v>5101.9799999999996</v>
      </c>
      <c r="FM1483" t="s">
        <v>15065</v>
      </c>
      <c r="FN1483">
        <v>0.25</v>
      </c>
      <c r="FO1483" t="s">
        <v>424</v>
      </c>
      <c r="FP1483" t="s">
        <v>454</v>
      </c>
      <c r="FR1483">
        <v>12</v>
      </c>
      <c r="FS1483">
        <v>5324870</v>
      </c>
      <c r="FT1483" t="s">
        <v>15066</v>
      </c>
      <c r="FV1483" s="1">
        <v>42515</v>
      </c>
      <c r="FW1483">
        <v>2015</v>
      </c>
      <c r="FX1483">
        <v>5298.03</v>
      </c>
      <c r="FY1483" t="s">
        <v>15067</v>
      </c>
      <c r="FZ1483">
        <v>0.25</v>
      </c>
      <c r="GA1483" t="s">
        <v>424</v>
      </c>
      <c r="GB1483" t="s">
        <v>425</v>
      </c>
      <c r="GC1483" s="1">
        <v>43157</v>
      </c>
      <c r="GD1483">
        <v>21</v>
      </c>
      <c r="GE1483">
        <v>7045074</v>
      </c>
      <c r="GF1483" t="s">
        <v>580</v>
      </c>
      <c r="GH1483" s="1">
        <v>42515</v>
      </c>
      <c r="GI1483">
        <v>2015</v>
      </c>
      <c r="GJ1483">
        <v>5298.03</v>
      </c>
      <c r="GK1483" t="s">
        <v>15067</v>
      </c>
      <c r="GL1483">
        <v>0.25</v>
      </c>
      <c r="GM1483" t="s">
        <v>424</v>
      </c>
      <c r="GN1483" t="s">
        <v>425</v>
      </c>
      <c r="GP1483">
        <v>22</v>
      </c>
      <c r="GQ1483">
        <v>6431996</v>
      </c>
      <c r="GR1483" t="s">
        <v>15068</v>
      </c>
      <c r="GT1483" s="1">
        <v>42151</v>
      </c>
      <c r="GU1483">
        <v>2014</v>
      </c>
      <c r="GV1483">
        <v>4878.21</v>
      </c>
      <c r="GW1483" t="s">
        <v>15069</v>
      </c>
      <c r="GX1483">
        <v>0.25</v>
      </c>
      <c r="GY1483" t="s">
        <v>424</v>
      </c>
      <c r="GZ1483" t="s">
        <v>425</v>
      </c>
      <c r="HB1483">
        <v>22</v>
      </c>
      <c r="HC1483">
        <v>15259</v>
      </c>
      <c r="HD1483" t="s">
        <v>891</v>
      </c>
      <c r="HF1483" s="1">
        <v>42151</v>
      </c>
      <c r="HG1483">
        <v>2014</v>
      </c>
      <c r="HH1483">
        <v>4878.21</v>
      </c>
      <c r="HI1483" t="s">
        <v>15069</v>
      </c>
      <c r="HJ1483">
        <v>0.25</v>
      </c>
      <c r="HK1483" t="s">
        <v>424</v>
      </c>
      <c r="HL1483" t="s">
        <v>425</v>
      </c>
      <c r="HN1483">
        <v>22</v>
      </c>
      <c r="HO1483">
        <v>6775544</v>
      </c>
      <c r="HP1483" t="s">
        <v>15070</v>
      </c>
      <c r="HR1483" s="1">
        <v>42151</v>
      </c>
      <c r="HS1483">
        <v>2014</v>
      </c>
      <c r="HT1483">
        <v>4878.21</v>
      </c>
      <c r="HU1483" t="s">
        <v>15069</v>
      </c>
      <c r="HV1483">
        <v>0.25</v>
      </c>
      <c r="HW1483" t="s">
        <v>424</v>
      </c>
      <c r="HX1483" t="s">
        <v>425</v>
      </c>
      <c r="HY1483" s="1">
        <v>42408</v>
      </c>
      <c r="HZ1483">
        <v>9</v>
      </c>
      <c r="IA1483">
        <v>7045049</v>
      </c>
      <c r="IB1483" t="s">
        <v>1335</v>
      </c>
      <c r="ID1483" s="1">
        <v>41787</v>
      </c>
      <c r="IE1483">
        <v>2013</v>
      </c>
      <c r="IF1483">
        <v>4696.68</v>
      </c>
      <c r="IG1483" t="s">
        <v>15071</v>
      </c>
      <c r="IH1483">
        <v>0.25</v>
      </c>
      <c r="II1483" t="s">
        <v>424</v>
      </c>
      <c r="IJ1483" t="s">
        <v>425</v>
      </c>
      <c r="IK1483" s="1">
        <v>42408</v>
      </c>
      <c r="IL1483">
        <v>21</v>
      </c>
      <c r="IM1483">
        <v>2851116</v>
      </c>
      <c r="IN1483" t="s">
        <v>480</v>
      </c>
      <c r="IP1483" s="1">
        <v>41423</v>
      </c>
      <c r="IQ1483">
        <v>2012</v>
      </c>
      <c r="IR1483">
        <v>4676.5</v>
      </c>
      <c r="IS1483" t="s">
        <v>15072</v>
      </c>
      <c r="IT1483">
        <v>0.25</v>
      </c>
      <c r="IU1483" t="s">
        <v>424</v>
      </c>
      <c r="IV1483" t="s">
        <v>425</v>
      </c>
      <c r="IW1483" s="1">
        <v>41565</v>
      </c>
      <c r="IX1483">
        <v>5</v>
      </c>
      <c r="IY1483">
        <v>15259</v>
      </c>
      <c r="IZ1483" t="s">
        <v>891</v>
      </c>
      <c r="JB1483" s="1">
        <v>41052</v>
      </c>
      <c r="JC1483">
        <v>2011</v>
      </c>
      <c r="JD1483">
        <v>4194.93</v>
      </c>
      <c r="JE1483" t="s">
        <v>15073</v>
      </c>
      <c r="JF1483">
        <v>0.25</v>
      </c>
      <c r="JG1483" t="s">
        <v>424</v>
      </c>
      <c r="JH1483" t="s">
        <v>425</v>
      </c>
      <c r="JI1483" s="1">
        <v>41565</v>
      </c>
      <c r="JJ1483">
        <v>17</v>
      </c>
      <c r="JK1483">
        <v>13264</v>
      </c>
      <c r="JL1483" t="s">
        <v>15074</v>
      </c>
    </row>
    <row r="1484" spans="1:272" x14ac:dyDescent="0.25">
      <c r="A1484">
        <v>16486491</v>
      </c>
      <c r="B1484">
        <v>1483</v>
      </c>
      <c r="C1484" t="s">
        <v>393</v>
      </c>
      <c r="D1484" t="s">
        <v>394</v>
      </c>
      <c r="F1484" t="str">
        <f>"25-2N-28-0000-0002-0720"</f>
        <v>25-2N-28-0000-0002-0720</v>
      </c>
      <c r="H1484" t="str">
        <f>"TREVETT FAMILY COMPANIES INC"</f>
        <v>TREVETT FAMILY COMPANIES INC</v>
      </c>
      <c r="I1484" t="str">
        <f>"PO BOX 706"</f>
        <v>PO BOX 706</v>
      </c>
      <c r="J1484" t="str">
        <f>"FERNANDINA BEACH FL 32035"</f>
        <v>FERNANDINA BEACH FL 32035</v>
      </c>
      <c r="K1484" t="str">
        <f>"AMELIA CONCOURSE"</f>
        <v>AMELIA CONCOURSE</v>
      </c>
      <c r="L1484" t="str">
        <f t="shared" ref="L1484:L1515" si="517">"FERNANDINA BEACH FL 32034"</f>
        <v>FERNANDINA BEACH FL 32034</v>
      </c>
      <c r="M1484" t="str">
        <f>"PT OR 971/1311 &amp; PT 963/1593"</f>
        <v>PT OR 971/1311 &amp; PT 963/1593</v>
      </c>
      <c r="N1484" t="str">
        <f>""</f>
        <v/>
      </c>
      <c r="O1484" t="str">
        <f>"35262"</f>
        <v>35262</v>
      </c>
      <c r="P1484" t="str">
        <f t="shared" si="514"/>
        <v>2017</v>
      </c>
      <c r="Q1484" t="str">
        <f>""</f>
        <v/>
      </c>
      <c r="R1484" t="str">
        <f t="shared" si="516"/>
        <v>N</v>
      </c>
      <c r="S1484" t="str">
        <f>"4.47"</f>
        <v>4.47</v>
      </c>
      <c r="T1484" t="str">
        <f>"406.03"</f>
        <v>406.03</v>
      </c>
      <c r="U1484" t="str">
        <f>"26820.00"</f>
        <v>26820.00</v>
      </c>
      <c r="V1484" t="str">
        <f>"26820.00"</f>
        <v>26820.00</v>
      </c>
      <c r="W1484" t="str">
        <f t="shared" si="515"/>
        <v>2017</v>
      </c>
      <c r="X1484" t="str">
        <f>"28.67"</f>
        <v>28.67</v>
      </c>
      <c r="Y1484" t="str">
        <f>"450.21"</f>
        <v>450.21</v>
      </c>
      <c r="Z1484" t="str">
        <f>""</f>
        <v/>
      </c>
      <c r="AA1484" t="str">
        <f>"26820.00"</f>
        <v>26820.00</v>
      </c>
      <c r="AB1484" t="str">
        <f t="shared" ref="AB1484:AB1507" si="518">"Residential"</f>
        <v>Residential</v>
      </c>
      <c r="AC1484" t="str">
        <f t="shared" si="499"/>
        <v>0</v>
      </c>
      <c r="AD1484" t="str">
        <f>""</f>
        <v/>
      </c>
      <c r="AE1484" t="str">
        <f>""</f>
        <v/>
      </c>
      <c r="AF1484" t="str">
        <f>"000"</f>
        <v>000</v>
      </c>
      <c r="AG1484" t="str">
        <f t="shared" si="513"/>
        <v>FL</v>
      </c>
      <c r="AH1484" t="str">
        <f>"194713.00"</f>
        <v>194713.00</v>
      </c>
      <c r="AI1484" t="str">
        <f>"26820.00"</f>
        <v>26820.00</v>
      </c>
      <c r="AJ1484" t="str">
        <f>"C55-000-587-4159-6"</f>
        <v>C55-000-587-4159-6</v>
      </c>
      <c r="AK1484" t="str">
        <f>"25259"</f>
        <v>25259</v>
      </c>
      <c r="AL1484">
        <v>6</v>
      </c>
      <c r="AM1484">
        <v>1701</v>
      </c>
      <c r="AN1484">
        <v>471.12</v>
      </c>
      <c r="AQ1484" t="s">
        <v>15075</v>
      </c>
      <c r="AR1484" t="s">
        <v>15075</v>
      </c>
      <c r="AS1484" t="s">
        <v>15075</v>
      </c>
      <c r="AU1484" t="s">
        <v>396</v>
      </c>
      <c r="AV1484">
        <v>2017</v>
      </c>
      <c r="AW1484" t="str">
        <f>"25-2N-28-0000-0002-0720 "</f>
        <v xml:space="preserve">25-2N-28-0000-0002-0720 </v>
      </c>
      <c r="AZ1484" t="s">
        <v>11474</v>
      </c>
      <c r="BD1484" t="s">
        <v>11749</v>
      </c>
      <c r="BE1484" t="s">
        <v>393</v>
      </c>
      <c r="BF1484">
        <v>32034</v>
      </c>
      <c r="BG1484" t="s">
        <v>11474</v>
      </c>
      <c r="BH1484" t="s">
        <v>11751</v>
      </c>
      <c r="BI1484">
        <v>-81.544947573968798</v>
      </c>
      <c r="BJ1484">
        <v>30.622289617799201</v>
      </c>
      <c r="BK1484" t="s">
        <v>11453</v>
      </c>
      <c r="BM1484" t="s">
        <v>11454</v>
      </c>
      <c r="BN1484" t="s">
        <v>3983</v>
      </c>
      <c r="BO1484">
        <v>32035</v>
      </c>
      <c r="BP1484" t="s">
        <v>404</v>
      </c>
      <c r="BQ1484">
        <v>0</v>
      </c>
      <c r="BR1484" t="s">
        <v>491</v>
      </c>
      <c r="BS1484">
        <v>8001</v>
      </c>
      <c r="BT1484" t="s">
        <v>492</v>
      </c>
      <c r="BW1484">
        <v>194713</v>
      </c>
      <c r="BX1484" t="s">
        <v>407</v>
      </c>
      <c r="CD1484">
        <v>2017</v>
      </c>
      <c r="CE1484">
        <v>26820</v>
      </c>
      <c r="CG1484">
        <v>26820</v>
      </c>
      <c r="CH1484">
        <v>2017</v>
      </c>
      <c r="CI1484">
        <v>26820</v>
      </c>
      <c r="CK1484">
        <v>26820</v>
      </c>
      <c r="CL1484">
        <v>2017</v>
      </c>
      <c r="CM1484">
        <v>406.03</v>
      </c>
      <c r="CN1484" s="1">
        <v>36943</v>
      </c>
      <c r="CZ1484" s="1">
        <v>36943</v>
      </c>
      <c r="DD1484" t="s">
        <v>11749</v>
      </c>
      <c r="DG1484">
        <v>25</v>
      </c>
      <c r="DL1484">
        <v>50301</v>
      </c>
      <c r="DM1484" t="s">
        <v>15035</v>
      </c>
      <c r="DO1484" t="s">
        <v>11465</v>
      </c>
      <c r="DP1484">
        <v>0</v>
      </c>
      <c r="DQ1484">
        <v>2</v>
      </c>
      <c r="DR1484" t="s">
        <v>411</v>
      </c>
      <c r="DS1484" t="s">
        <v>695</v>
      </c>
      <c r="EJ1484">
        <v>0</v>
      </c>
      <c r="EK1484">
        <v>0</v>
      </c>
      <c r="EP1484" t="s">
        <v>421</v>
      </c>
      <c r="EQ1484" t="s">
        <v>452</v>
      </c>
      <c r="ER1484">
        <v>1</v>
      </c>
      <c r="ES1484">
        <v>6</v>
      </c>
      <c r="ET1484">
        <v>472.27</v>
      </c>
      <c r="EU1484">
        <v>29.86</v>
      </c>
      <c r="EV1484">
        <v>502.13</v>
      </c>
      <c r="EW1484" s="2">
        <v>43222</v>
      </c>
      <c r="EX1484" s="1">
        <v>42879</v>
      </c>
      <c r="EY1484">
        <v>2016</v>
      </c>
      <c r="EZ1484">
        <v>472.27</v>
      </c>
      <c r="FA1484" t="s">
        <v>15076</v>
      </c>
      <c r="FB1484">
        <v>0.25</v>
      </c>
      <c r="FC1484" t="s">
        <v>424</v>
      </c>
      <c r="FD1484" t="s">
        <v>454</v>
      </c>
      <c r="FF1484">
        <v>12</v>
      </c>
      <c r="FG1484">
        <v>62</v>
      </c>
      <c r="FH1484" t="s">
        <v>463</v>
      </c>
      <c r="FJ1484" s="1">
        <v>42151</v>
      </c>
      <c r="FK1484">
        <v>2014</v>
      </c>
      <c r="FL1484">
        <v>499.47</v>
      </c>
      <c r="FM1484" t="s">
        <v>15077</v>
      </c>
      <c r="FN1484">
        <v>18</v>
      </c>
      <c r="FO1484" t="s">
        <v>424</v>
      </c>
      <c r="FP1484" t="s">
        <v>425</v>
      </c>
      <c r="FR1484">
        <v>22</v>
      </c>
      <c r="FS1484">
        <v>10125</v>
      </c>
      <c r="FT1484" t="s">
        <v>440</v>
      </c>
      <c r="FU1484" t="s">
        <v>458</v>
      </c>
      <c r="FV1484" s="1">
        <v>41787</v>
      </c>
      <c r="FW1484">
        <v>2013</v>
      </c>
      <c r="FX1484">
        <v>473.95</v>
      </c>
      <c r="FY1484" t="s">
        <v>15078</v>
      </c>
      <c r="FZ1484">
        <v>16.5</v>
      </c>
      <c r="GA1484" t="s">
        <v>424</v>
      </c>
      <c r="GB1484" t="s">
        <v>425</v>
      </c>
      <c r="GD1484">
        <v>22</v>
      </c>
      <c r="GE1484">
        <v>10125</v>
      </c>
      <c r="GF1484" t="s">
        <v>440</v>
      </c>
      <c r="GG1484" t="s">
        <v>458</v>
      </c>
      <c r="GH1484" s="1">
        <v>41423</v>
      </c>
      <c r="GI1484">
        <v>2012</v>
      </c>
      <c r="GJ1484">
        <v>479.6</v>
      </c>
      <c r="GK1484" t="s">
        <v>15079</v>
      </c>
      <c r="GL1484">
        <v>4.5</v>
      </c>
      <c r="GM1484" t="s">
        <v>424</v>
      </c>
      <c r="GN1484" t="s">
        <v>425</v>
      </c>
      <c r="GP1484">
        <v>22</v>
      </c>
      <c r="GQ1484">
        <v>10125</v>
      </c>
      <c r="GR1484" t="s">
        <v>440</v>
      </c>
      <c r="GS1484" t="s">
        <v>458</v>
      </c>
      <c r="GT1484" s="1">
        <v>41052</v>
      </c>
      <c r="GU1484">
        <v>2011</v>
      </c>
      <c r="GV1484">
        <v>572.74</v>
      </c>
      <c r="GW1484" t="s">
        <v>15080</v>
      </c>
      <c r="GX1484">
        <v>14.75</v>
      </c>
      <c r="GY1484" t="s">
        <v>424</v>
      </c>
      <c r="GZ1484" t="s">
        <v>425</v>
      </c>
      <c r="HB1484">
        <v>22</v>
      </c>
      <c r="HC1484">
        <v>10125</v>
      </c>
      <c r="HD1484" t="s">
        <v>440</v>
      </c>
      <c r="HE1484" t="s">
        <v>458</v>
      </c>
      <c r="HF1484" s="1">
        <v>40688</v>
      </c>
      <c r="HG1484">
        <v>2010</v>
      </c>
      <c r="HH1484">
        <v>733.96</v>
      </c>
      <c r="HI1484" t="s">
        <v>15081</v>
      </c>
      <c r="HJ1484">
        <v>6</v>
      </c>
      <c r="HK1484" t="s">
        <v>424</v>
      </c>
      <c r="HL1484" t="s">
        <v>425</v>
      </c>
      <c r="HM1484" s="1">
        <v>42256</v>
      </c>
      <c r="HN1484">
        <v>52</v>
      </c>
      <c r="HO1484">
        <v>375</v>
      </c>
      <c r="HP1484" t="s">
        <v>776</v>
      </c>
      <c r="HQ1484" t="s">
        <v>458</v>
      </c>
      <c r="HR1484" s="1">
        <v>40688</v>
      </c>
      <c r="HS1484">
        <v>2010</v>
      </c>
      <c r="HT1484">
        <v>733.96</v>
      </c>
      <c r="HU1484" t="s">
        <v>15081</v>
      </c>
      <c r="HV1484">
        <v>6</v>
      </c>
      <c r="HW1484" t="s">
        <v>424</v>
      </c>
      <c r="HX1484" t="s">
        <v>425</v>
      </c>
      <c r="HZ1484">
        <v>22</v>
      </c>
      <c r="IA1484">
        <v>105</v>
      </c>
      <c r="IB1484" t="s">
        <v>946</v>
      </c>
      <c r="IC1484" t="s">
        <v>458</v>
      </c>
    </row>
    <row r="1485" spans="1:272" x14ac:dyDescent="0.25">
      <c r="A1485">
        <v>16486492</v>
      </c>
      <c r="B1485">
        <v>1484</v>
      </c>
      <c r="C1485" t="s">
        <v>393</v>
      </c>
      <c r="D1485" t="s">
        <v>394</v>
      </c>
      <c r="F1485" t="str">
        <f>"25-2N-28-0000-0002-0730"</f>
        <v>25-2N-28-0000-0002-0730</v>
      </c>
      <c r="H1485" t="str">
        <f>"TREVETT FAMILY COMPANIES INC"</f>
        <v>TREVETT FAMILY COMPANIES INC</v>
      </c>
      <c r="I1485" t="str">
        <f>"PO BOX 706"</f>
        <v>PO BOX 706</v>
      </c>
      <c r="J1485" t="str">
        <f>"FERNANDINA BEACH FL 32035"</f>
        <v>FERNANDINA BEACH FL 32035</v>
      </c>
      <c r="K1485" t="str">
        <f>"AMELIA CONCOURSE"</f>
        <v>AMELIA CONCOURSE</v>
      </c>
      <c r="L1485" t="str">
        <f t="shared" si="517"/>
        <v>FERNANDINA BEACH FL 32034</v>
      </c>
      <c r="M1485" t="str">
        <f>"PT OR 971/1311 &amp; PT 963/1593 ESMT PT OR 1127/1783 EX ESMT PT OR 1449/848"</f>
        <v>PT OR 971/1311 &amp; PT 963/1593 ESMT PT OR 1127/1783 EX ESMT PT OR 1449/848</v>
      </c>
      <c r="N1485" t="str">
        <f>""</f>
        <v/>
      </c>
      <c r="O1485" t="str">
        <f>"35263"</f>
        <v>35263</v>
      </c>
      <c r="P1485" t="str">
        <f t="shared" si="514"/>
        <v>2017</v>
      </c>
      <c r="Q1485" t="str">
        <f>""</f>
        <v/>
      </c>
      <c r="R1485" t="str">
        <f t="shared" si="516"/>
        <v>N</v>
      </c>
      <c r="S1485" t="str">
        <f>"7.82"</f>
        <v>7.82</v>
      </c>
      <c r="T1485" t="str">
        <f>"710.31"</f>
        <v>710.31</v>
      </c>
      <c r="U1485" t="str">
        <f>"46920.00"</f>
        <v>46920.00</v>
      </c>
      <c r="V1485" t="str">
        <f>"46920.00"</f>
        <v>46920.00</v>
      </c>
      <c r="W1485" t="str">
        <f t="shared" si="515"/>
        <v>2017</v>
      </c>
      <c r="X1485" t="str">
        <f>"29.63"</f>
        <v>29.63</v>
      </c>
      <c r="Y1485" t="str">
        <f>"763.62"</f>
        <v>763.62</v>
      </c>
      <c r="Z1485" t="str">
        <f>""</f>
        <v/>
      </c>
      <c r="AA1485" t="str">
        <f>"46920.00"</f>
        <v>46920.00</v>
      </c>
      <c r="AB1485" t="str">
        <f t="shared" si="518"/>
        <v>Residential</v>
      </c>
      <c r="AC1485" t="str">
        <f t="shared" si="499"/>
        <v>0</v>
      </c>
      <c r="AD1485" t="str">
        <f>""</f>
        <v/>
      </c>
      <c r="AE1485" t="str">
        <f>""</f>
        <v/>
      </c>
      <c r="AF1485" t="str">
        <f>"000"</f>
        <v>000</v>
      </c>
      <c r="AG1485" t="str">
        <f t="shared" si="513"/>
        <v>FL</v>
      </c>
      <c r="AH1485" t="str">
        <f>"340639.00"</f>
        <v>340639.00</v>
      </c>
      <c r="AI1485" t="str">
        <f>"46920.00"</f>
        <v>46920.00</v>
      </c>
      <c r="AJ1485" t="str">
        <f>"C55-000-587-4160-4"</f>
        <v>C55-000-587-4160-4</v>
      </c>
      <c r="AK1485" t="str">
        <f>"25260"</f>
        <v>25260</v>
      </c>
      <c r="AL1485">
        <v>6</v>
      </c>
      <c r="AM1485">
        <v>1702</v>
      </c>
      <c r="AN1485">
        <v>800.2</v>
      </c>
      <c r="AQ1485" t="s">
        <v>15082</v>
      </c>
      <c r="AR1485" t="s">
        <v>15082</v>
      </c>
      <c r="AS1485" t="s">
        <v>15082</v>
      </c>
      <c r="AU1485" t="s">
        <v>396</v>
      </c>
      <c r="AV1485">
        <v>2017</v>
      </c>
      <c r="AW1485" t="str">
        <f>"25-2N-28-0000-0002-0730 "</f>
        <v xml:space="preserve">25-2N-28-0000-0002-0730 </v>
      </c>
      <c r="AZ1485" t="s">
        <v>11474</v>
      </c>
      <c r="BD1485" t="s">
        <v>11749</v>
      </c>
      <c r="BE1485" t="s">
        <v>393</v>
      </c>
      <c r="BF1485">
        <v>32034</v>
      </c>
      <c r="BG1485" t="s">
        <v>11474</v>
      </c>
      <c r="BH1485" t="s">
        <v>11751</v>
      </c>
      <c r="BI1485">
        <v>-81.543784569009702</v>
      </c>
      <c r="BJ1485">
        <v>30.621551771486299</v>
      </c>
      <c r="BK1485" t="s">
        <v>11453</v>
      </c>
      <c r="BM1485" t="s">
        <v>11454</v>
      </c>
      <c r="BN1485" t="s">
        <v>3983</v>
      </c>
      <c r="BO1485">
        <v>32035</v>
      </c>
      <c r="BP1485" t="s">
        <v>404</v>
      </c>
      <c r="BQ1485">
        <v>0</v>
      </c>
      <c r="BR1485" t="s">
        <v>491</v>
      </c>
      <c r="BS1485">
        <v>8001</v>
      </c>
      <c r="BT1485" t="s">
        <v>492</v>
      </c>
      <c r="BW1485">
        <v>340639</v>
      </c>
      <c r="BX1485" t="s">
        <v>407</v>
      </c>
      <c r="CD1485">
        <v>2017</v>
      </c>
      <c r="CE1485">
        <v>46920</v>
      </c>
      <c r="CG1485">
        <v>46920</v>
      </c>
      <c r="CH1485">
        <v>2017</v>
      </c>
      <c r="CI1485">
        <v>46920</v>
      </c>
      <c r="CK1485">
        <v>46920</v>
      </c>
      <c r="CL1485">
        <v>2017</v>
      </c>
      <c r="CM1485">
        <v>710.31</v>
      </c>
      <c r="CN1485" s="1">
        <v>36943</v>
      </c>
      <c r="CZ1485" s="1">
        <v>36943</v>
      </c>
      <c r="DD1485" t="s">
        <v>11749</v>
      </c>
      <c r="DG1485">
        <v>25</v>
      </c>
      <c r="DL1485">
        <v>50301</v>
      </c>
      <c r="DM1485" t="s">
        <v>15035</v>
      </c>
      <c r="DO1485" t="s">
        <v>15083</v>
      </c>
      <c r="DP1485">
        <v>0</v>
      </c>
      <c r="DQ1485">
        <v>2</v>
      </c>
      <c r="DR1485" t="s">
        <v>411</v>
      </c>
      <c r="DS1485" t="s">
        <v>695</v>
      </c>
      <c r="EJ1485">
        <v>0</v>
      </c>
      <c r="EK1485">
        <v>0</v>
      </c>
      <c r="EP1485" t="s">
        <v>421</v>
      </c>
      <c r="EQ1485" t="s">
        <v>452</v>
      </c>
      <c r="ER1485">
        <v>1</v>
      </c>
      <c r="ES1485">
        <v>6</v>
      </c>
      <c r="ET1485">
        <v>805.96</v>
      </c>
      <c r="EU1485">
        <v>46.55</v>
      </c>
      <c r="EV1485">
        <v>852.51</v>
      </c>
      <c r="EW1485" s="2">
        <v>43222</v>
      </c>
      <c r="EX1485" s="1">
        <v>42879</v>
      </c>
      <c r="EY1485">
        <v>2016</v>
      </c>
      <c r="EZ1485">
        <v>805.96</v>
      </c>
      <c r="FA1485" t="s">
        <v>15084</v>
      </c>
      <c r="FB1485">
        <v>0.25</v>
      </c>
      <c r="FC1485" t="s">
        <v>424</v>
      </c>
      <c r="FD1485" t="s">
        <v>454</v>
      </c>
      <c r="FF1485">
        <v>12</v>
      </c>
      <c r="FG1485">
        <v>305</v>
      </c>
      <c r="FH1485" t="s">
        <v>1078</v>
      </c>
      <c r="FJ1485" s="1">
        <v>42151</v>
      </c>
      <c r="FK1485">
        <v>2014</v>
      </c>
      <c r="FL1485">
        <v>857.33</v>
      </c>
      <c r="FM1485" t="s">
        <v>15085</v>
      </c>
      <c r="FN1485">
        <v>18</v>
      </c>
      <c r="FO1485" t="s">
        <v>424</v>
      </c>
      <c r="FP1485" t="s">
        <v>425</v>
      </c>
      <c r="FR1485">
        <v>22</v>
      </c>
      <c r="FS1485">
        <v>10125</v>
      </c>
      <c r="FT1485" t="s">
        <v>440</v>
      </c>
      <c r="FU1485" t="s">
        <v>458</v>
      </c>
      <c r="FV1485" s="1">
        <v>41787</v>
      </c>
      <c r="FW1485">
        <v>2013</v>
      </c>
      <c r="FX1485">
        <v>812.67</v>
      </c>
      <c r="FY1485" t="s">
        <v>15086</v>
      </c>
      <c r="FZ1485">
        <v>12.5</v>
      </c>
      <c r="GA1485" t="s">
        <v>424</v>
      </c>
      <c r="GB1485" t="s">
        <v>425</v>
      </c>
      <c r="GD1485">
        <v>22</v>
      </c>
      <c r="GE1485">
        <v>10125</v>
      </c>
      <c r="GF1485" t="s">
        <v>440</v>
      </c>
      <c r="GG1485" t="s">
        <v>458</v>
      </c>
      <c r="GH1485" s="1">
        <v>41423</v>
      </c>
      <c r="GI1485">
        <v>2012</v>
      </c>
      <c r="GJ1485">
        <v>822.55</v>
      </c>
      <c r="GK1485" t="s">
        <v>15087</v>
      </c>
      <c r="GL1485">
        <v>4.5</v>
      </c>
      <c r="GM1485" t="s">
        <v>424</v>
      </c>
      <c r="GN1485" t="s">
        <v>425</v>
      </c>
      <c r="GP1485">
        <v>22</v>
      </c>
      <c r="GQ1485">
        <v>10125</v>
      </c>
      <c r="GR1485" t="s">
        <v>440</v>
      </c>
      <c r="GS1485" t="s">
        <v>458</v>
      </c>
      <c r="GT1485" s="1">
        <v>41052</v>
      </c>
      <c r="GU1485">
        <v>2011</v>
      </c>
      <c r="GV1485">
        <v>991.46</v>
      </c>
      <c r="GW1485" t="s">
        <v>15088</v>
      </c>
      <c r="GX1485">
        <v>14.75</v>
      </c>
      <c r="GY1485" t="s">
        <v>424</v>
      </c>
      <c r="GZ1485" t="s">
        <v>425</v>
      </c>
      <c r="HB1485">
        <v>22</v>
      </c>
      <c r="HC1485">
        <v>10125</v>
      </c>
      <c r="HD1485" t="s">
        <v>440</v>
      </c>
      <c r="HE1485" t="s">
        <v>458</v>
      </c>
      <c r="HF1485" s="1">
        <v>40688</v>
      </c>
      <c r="HG1485">
        <v>2010</v>
      </c>
      <c r="HH1485">
        <v>1274.29</v>
      </c>
      <c r="HI1485" t="s">
        <v>15089</v>
      </c>
      <c r="HJ1485">
        <v>6</v>
      </c>
      <c r="HK1485" t="s">
        <v>424</v>
      </c>
      <c r="HL1485" t="s">
        <v>425</v>
      </c>
      <c r="HM1485" s="1">
        <v>42256</v>
      </c>
      <c r="HN1485">
        <v>52</v>
      </c>
      <c r="HO1485">
        <v>375</v>
      </c>
      <c r="HP1485" t="s">
        <v>776</v>
      </c>
      <c r="HQ1485" t="s">
        <v>458</v>
      </c>
      <c r="HR1485" s="1">
        <v>40688</v>
      </c>
      <c r="HS1485">
        <v>2010</v>
      </c>
      <c r="HT1485">
        <v>1274.29</v>
      </c>
      <c r="HU1485" t="s">
        <v>15089</v>
      </c>
      <c r="HV1485">
        <v>6</v>
      </c>
      <c r="HW1485" t="s">
        <v>424</v>
      </c>
      <c r="HX1485" t="s">
        <v>425</v>
      </c>
      <c r="HZ1485">
        <v>22</v>
      </c>
      <c r="IA1485">
        <v>105</v>
      </c>
      <c r="IB1485" t="s">
        <v>946</v>
      </c>
      <c r="IC1485" t="s">
        <v>458</v>
      </c>
    </row>
    <row r="1486" spans="1:272" x14ac:dyDescent="0.25">
      <c r="A1486">
        <v>16486493</v>
      </c>
      <c r="B1486">
        <v>1485</v>
      </c>
      <c r="C1486" t="s">
        <v>393</v>
      </c>
      <c r="D1486" t="s">
        <v>394</v>
      </c>
      <c r="F1486" t="str">
        <f>"25-2N-28-027C-0808-0000"</f>
        <v>25-2N-28-027C-0808-0000</v>
      </c>
      <c r="H1486" t="str">
        <f>"CAMPO RICHARD &amp; ANGELA"</f>
        <v>CAMPO RICHARD &amp; ANGELA</v>
      </c>
      <c r="I1486" t="str">
        <f>"9202 STONEY MOUNTAIN DRIVE"</f>
        <v>9202 STONEY MOUNTAIN DRIVE</v>
      </c>
      <c r="J1486" t="str">
        <f>"CHATTANOOGA TN 37421"</f>
        <v>CHATTANOOGA TN 37421</v>
      </c>
      <c r="K1486" t="str">
        <f>"96062 STONEY CREEK PKWY"</f>
        <v>96062 STONEY CREEK PKWY</v>
      </c>
      <c r="L1486" t="str">
        <f t="shared" si="517"/>
        <v>FERNANDINA BEACH FL 32034</v>
      </c>
      <c r="M1486" t="str">
        <f>"UNIT 808 IN OR 1697/809 THE COTTAGES AT STONEY CREEK CONDO OR 1518/1834"</f>
        <v>UNIT 808 IN OR 1697/809 THE COTTAGES AT STONEY CREEK CONDO OR 1518/1834</v>
      </c>
      <c r="N1486" t="str">
        <f>""</f>
        <v/>
      </c>
      <c r="O1486" t="str">
        <f>"35383"</f>
        <v>35383</v>
      </c>
      <c r="P1486" t="str">
        <f t="shared" si="514"/>
        <v>2017</v>
      </c>
      <c r="Q1486" t="str">
        <f>""</f>
        <v/>
      </c>
      <c r="R1486" t="str">
        <f t="shared" si="516"/>
        <v>N</v>
      </c>
      <c r="S1486" t="str">
        <f>""</f>
        <v/>
      </c>
      <c r="T1486" t="str">
        <f>"1937.77"</f>
        <v>1937.77</v>
      </c>
      <c r="U1486" t="str">
        <f>"128000.00"</f>
        <v>128000.00</v>
      </c>
      <c r="V1486" t="str">
        <f>"128000.00"</f>
        <v>128000.00</v>
      </c>
      <c r="W1486" t="str">
        <f t="shared" si="515"/>
        <v>2017</v>
      </c>
      <c r="X1486" t="str">
        <f>"8.00"</f>
        <v>8.00</v>
      </c>
      <c r="Y1486" t="str">
        <f>"2027.90"</f>
        <v>2027.90</v>
      </c>
      <c r="Z1486" t="str">
        <f>""</f>
        <v/>
      </c>
      <c r="AA1486" t="str">
        <f>"128000.00"</f>
        <v>128000.00</v>
      </c>
      <c r="AB1486" t="str">
        <f t="shared" si="518"/>
        <v>Residential</v>
      </c>
      <c r="AC1486" t="str">
        <f t="shared" si="499"/>
        <v>0</v>
      </c>
      <c r="AD1486" t="str">
        <f>""</f>
        <v/>
      </c>
      <c r="AE1486" t="str">
        <f>""</f>
        <v/>
      </c>
      <c r="AF1486" t="str">
        <f t="shared" ref="AF1486:AF1491" si="519">"004"</f>
        <v>004</v>
      </c>
      <c r="AG1486" t="str">
        <f>"TN"</f>
        <v>TN</v>
      </c>
      <c r="AH1486" t="str">
        <f t="shared" ref="AH1486:AI1491" si="520">"-"</f>
        <v>-</v>
      </c>
      <c r="AI1486" t="str">
        <f t="shared" si="520"/>
        <v>-</v>
      </c>
      <c r="AJ1486" t="str">
        <f>"C55-001-011-3315-5"</f>
        <v>C55-001-011-3315-5</v>
      </c>
      <c r="AK1486" t="str">
        <f>"25356"</f>
        <v>25356</v>
      </c>
      <c r="AL1486">
        <v>6</v>
      </c>
      <c r="AM1486">
        <v>1703</v>
      </c>
      <c r="AN1486">
        <v>2127.6999999999998</v>
      </c>
      <c r="AQ1486" t="s">
        <v>15090</v>
      </c>
      <c r="AR1486" t="s">
        <v>15090</v>
      </c>
      <c r="AS1486" t="s">
        <v>15090</v>
      </c>
      <c r="AU1486" t="s">
        <v>396</v>
      </c>
      <c r="AV1486">
        <v>2017</v>
      </c>
      <c r="AW1486" t="str">
        <f>"25-2N-28-027C-0808-0000 "</f>
        <v xml:space="preserve">25-2N-28-027C-0808-0000 </v>
      </c>
      <c r="AX1486">
        <v>96062</v>
      </c>
      <c r="AZ1486" t="s">
        <v>15091</v>
      </c>
      <c r="BA1486" t="s">
        <v>11138</v>
      </c>
      <c r="BD1486" t="s">
        <v>11749</v>
      </c>
      <c r="BE1486" t="s">
        <v>393</v>
      </c>
      <c r="BF1486">
        <v>32034</v>
      </c>
      <c r="BG1486" t="s">
        <v>15092</v>
      </c>
      <c r="BH1486" t="s">
        <v>11751</v>
      </c>
      <c r="BI1486">
        <v>-81.533325780921402</v>
      </c>
      <c r="BJ1486">
        <v>30.6142724728902</v>
      </c>
      <c r="BK1486" t="s">
        <v>15093</v>
      </c>
      <c r="BL1486" t="s">
        <v>15094</v>
      </c>
      <c r="BM1486" t="s">
        <v>15095</v>
      </c>
      <c r="BN1486" t="s">
        <v>15096</v>
      </c>
      <c r="BO1486">
        <v>37421</v>
      </c>
      <c r="BP1486" t="s">
        <v>404</v>
      </c>
      <c r="BQ1486">
        <v>400</v>
      </c>
      <c r="BR1486" t="s">
        <v>15097</v>
      </c>
      <c r="BS1486">
        <v>1004</v>
      </c>
      <c r="BT1486" t="s">
        <v>15098</v>
      </c>
      <c r="BW1486">
        <v>5082346</v>
      </c>
      <c r="BX1486" t="s">
        <v>407</v>
      </c>
      <c r="CA1486">
        <v>2008</v>
      </c>
      <c r="CC1486">
        <v>1</v>
      </c>
      <c r="CD1486">
        <v>2017</v>
      </c>
      <c r="CF1486">
        <v>128000</v>
      </c>
      <c r="CG1486">
        <v>128000</v>
      </c>
      <c r="CH1486">
        <v>2017</v>
      </c>
      <c r="CJ1486">
        <v>128000</v>
      </c>
      <c r="CK1486">
        <v>128000</v>
      </c>
      <c r="CL1486">
        <v>2017</v>
      </c>
      <c r="CM1486">
        <v>1937.77</v>
      </c>
      <c r="CN1486" s="1">
        <v>40424</v>
      </c>
      <c r="CO1486">
        <v>121900</v>
      </c>
      <c r="CV1486">
        <v>0</v>
      </c>
      <c r="CZ1486" s="1">
        <v>40424</v>
      </c>
      <c r="DA1486">
        <v>0</v>
      </c>
      <c r="DD1486" t="s">
        <v>11749</v>
      </c>
      <c r="DG1486">
        <v>25</v>
      </c>
      <c r="DJ1486" t="s">
        <v>15099</v>
      </c>
      <c r="DL1486">
        <v>50303</v>
      </c>
      <c r="DM1486" t="s">
        <v>15035</v>
      </c>
      <c r="DO1486" t="s">
        <v>15100</v>
      </c>
      <c r="DP1486">
        <v>0</v>
      </c>
      <c r="DQ1486">
        <v>9</v>
      </c>
      <c r="DR1486" t="s">
        <v>411</v>
      </c>
      <c r="DS1486" t="b">
        <v>1</v>
      </c>
      <c r="DT1486" t="s">
        <v>470</v>
      </c>
      <c r="DU1486" t="s">
        <v>471</v>
      </c>
      <c r="DV1486" t="s">
        <v>472</v>
      </c>
      <c r="DX1486">
        <v>-9999</v>
      </c>
      <c r="DZ1486" t="s">
        <v>447</v>
      </c>
      <c r="EA1486" t="s">
        <v>448</v>
      </c>
      <c r="EB1486" t="s">
        <v>742</v>
      </c>
      <c r="EC1486">
        <v>20101217</v>
      </c>
      <c r="ED1486" t="s">
        <v>474</v>
      </c>
      <c r="EF1486">
        <v>3392</v>
      </c>
      <c r="EG1486">
        <v>2319.1</v>
      </c>
      <c r="EI1486">
        <v>20160407</v>
      </c>
      <c r="EJ1486">
        <v>0</v>
      </c>
      <c r="EK1486">
        <v>0</v>
      </c>
      <c r="EP1486" t="s">
        <v>421</v>
      </c>
      <c r="EQ1486" t="s">
        <v>422</v>
      </c>
      <c r="ER1486">
        <v>0</v>
      </c>
      <c r="ES1486">
        <v>7</v>
      </c>
      <c r="ET1486">
        <v>0</v>
      </c>
      <c r="EU1486">
        <v>0</v>
      </c>
      <c r="EV1486">
        <v>0</v>
      </c>
      <c r="EW1486" s="2">
        <v>43222</v>
      </c>
      <c r="EX1486" s="1">
        <v>42515</v>
      </c>
      <c r="EY1486">
        <v>2015</v>
      </c>
      <c r="EZ1486">
        <v>1926.57</v>
      </c>
      <c r="FA1486" t="s">
        <v>15101</v>
      </c>
      <c r="FB1486">
        <v>0.25</v>
      </c>
      <c r="FC1486" t="s">
        <v>424</v>
      </c>
      <c r="FD1486" t="s">
        <v>425</v>
      </c>
      <c r="FE1486" s="1">
        <v>42776</v>
      </c>
      <c r="FF1486">
        <v>9</v>
      </c>
      <c r="FG1486">
        <v>7336671</v>
      </c>
      <c r="FH1486" t="s">
        <v>437</v>
      </c>
      <c r="FJ1486" s="1">
        <v>42515</v>
      </c>
      <c r="FK1486">
        <v>2015</v>
      </c>
      <c r="FL1486">
        <v>1926.57</v>
      </c>
      <c r="FM1486" t="s">
        <v>15101</v>
      </c>
      <c r="FN1486">
        <v>0.25</v>
      </c>
      <c r="FO1486" t="s">
        <v>424</v>
      </c>
      <c r="FP1486" t="s">
        <v>425</v>
      </c>
      <c r="FR1486">
        <v>22</v>
      </c>
      <c r="FS1486">
        <v>6817428</v>
      </c>
      <c r="FT1486" t="s">
        <v>15102</v>
      </c>
      <c r="FV1486" s="1">
        <v>42151</v>
      </c>
      <c r="FW1486">
        <v>2014</v>
      </c>
      <c r="FX1486">
        <v>1890.71</v>
      </c>
      <c r="FY1486" t="s">
        <v>15103</v>
      </c>
      <c r="FZ1486">
        <v>0.25</v>
      </c>
      <c r="GA1486" t="s">
        <v>424</v>
      </c>
      <c r="GB1486" t="s">
        <v>425</v>
      </c>
      <c r="GD1486">
        <v>22</v>
      </c>
      <c r="GE1486">
        <v>15259</v>
      </c>
      <c r="GF1486" t="s">
        <v>891</v>
      </c>
      <c r="GH1486" s="1">
        <v>42151</v>
      </c>
      <c r="GI1486">
        <v>2014</v>
      </c>
      <c r="GJ1486">
        <v>1890.71</v>
      </c>
      <c r="GK1486" t="s">
        <v>15103</v>
      </c>
      <c r="GL1486">
        <v>0.25</v>
      </c>
      <c r="GM1486" t="s">
        <v>424</v>
      </c>
      <c r="GN1486" t="s">
        <v>425</v>
      </c>
      <c r="GP1486">
        <v>22</v>
      </c>
      <c r="GQ1486">
        <v>6899901</v>
      </c>
      <c r="GR1486" t="s">
        <v>15104</v>
      </c>
      <c r="GT1486" s="1">
        <v>42151</v>
      </c>
      <c r="GU1486">
        <v>2014</v>
      </c>
      <c r="GV1486">
        <v>1890.71</v>
      </c>
      <c r="GW1486" t="s">
        <v>15103</v>
      </c>
      <c r="GX1486">
        <v>0.25</v>
      </c>
      <c r="GY1486" t="s">
        <v>424</v>
      </c>
      <c r="GZ1486" t="s">
        <v>425</v>
      </c>
      <c r="HA1486" s="1">
        <v>42776</v>
      </c>
      <c r="HB1486">
        <v>21</v>
      </c>
      <c r="HC1486">
        <v>7045049</v>
      </c>
      <c r="HD1486" t="s">
        <v>1335</v>
      </c>
      <c r="HF1486" s="1">
        <v>41787</v>
      </c>
      <c r="HG1486">
        <v>2013</v>
      </c>
      <c r="HH1486">
        <v>1676.77</v>
      </c>
      <c r="HI1486" t="s">
        <v>15105</v>
      </c>
      <c r="HJ1486">
        <v>0.25</v>
      </c>
      <c r="HK1486" t="s">
        <v>424</v>
      </c>
      <c r="HL1486" t="s">
        <v>425</v>
      </c>
      <c r="HM1486" s="1">
        <v>41813</v>
      </c>
      <c r="HN1486">
        <v>1</v>
      </c>
      <c r="HO1486">
        <v>2757457</v>
      </c>
      <c r="HP1486" t="s">
        <v>648</v>
      </c>
      <c r="HR1486" s="1">
        <v>40688</v>
      </c>
      <c r="HS1486">
        <v>2010</v>
      </c>
      <c r="HT1486">
        <v>2238.4</v>
      </c>
      <c r="HU1486" t="s">
        <v>15106</v>
      </c>
      <c r="HV1486">
        <v>0.25</v>
      </c>
      <c r="HW1486" t="s">
        <v>424</v>
      </c>
      <c r="HX1486" t="s">
        <v>425</v>
      </c>
      <c r="HY1486" s="1">
        <v>40715</v>
      </c>
      <c r="HZ1486">
        <v>1</v>
      </c>
      <c r="IA1486">
        <v>11177</v>
      </c>
      <c r="IB1486" t="s">
        <v>650</v>
      </c>
    </row>
    <row r="1487" spans="1:272" x14ac:dyDescent="0.25">
      <c r="A1487">
        <v>16486494</v>
      </c>
      <c r="B1487">
        <v>1486</v>
      </c>
      <c r="C1487" t="s">
        <v>393</v>
      </c>
      <c r="D1487" t="s">
        <v>394</v>
      </c>
      <c r="F1487" t="str">
        <f>"25-2N-28-027C-1101-0000"</f>
        <v>25-2N-28-027C-1101-0000</v>
      </c>
      <c r="H1487" t="str">
        <f>"DEAVER RAYMON T LIVING TRUST JEANETTE LANGEVIN CO-TRUSTEE"</f>
        <v>DEAVER RAYMON T LIVING TRUST JEANETTE LANGEVIN CO-TRUSTEE</v>
      </c>
      <c r="I1487" t="str">
        <f>"2365 LAKE AVENUE"</f>
        <v>2365 LAKE AVENUE</v>
      </c>
      <c r="J1487" t="str">
        <f>"THORTON CO 80241"</f>
        <v>THORTON CO 80241</v>
      </c>
      <c r="K1487" t="str">
        <f>"96041 COTTAGE CT"</f>
        <v>96041 COTTAGE CT</v>
      </c>
      <c r="L1487" t="str">
        <f t="shared" si="517"/>
        <v>FERNANDINA BEACH FL 32034</v>
      </c>
      <c r="M1487" t="str">
        <f>"UNIT 1101 IN OR 2011/1809 THE COTTAGES AT STONEY CREEK OR 1518/1834"</f>
        <v>UNIT 1101 IN OR 2011/1809 THE COTTAGES AT STONEY CREEK OR 1518/1834</v>
      </c>
      <c r="N1487" t="str">
        <f>""</f>
        <v/>
      </c>
      <c r="O1487" t="str">
        <f>"35400"</f>
        <v>35400</v>
      </c>
      <c r="P1487" t="str">
        <f t="shared" si="514"/>
        <v>2017</v>
      </c>
      <c r="Q1487" t="str">
        <f>""</f>
        <v/>
      </c>
      <c r="R1487" t="str">
        <f t="shared" si="516"/>
        <v>N</v>
      </c>
      <c r="S1487" t="str">
        <f>""</f>
        <v/>
      </c>
      <c r="T1487" t="str">
        <f>"1937.77"</f>
        <v>1937.77</v>
      </c>
      <c r="U1487" t="str">
        <f>"128000.00"</f>
        <v>128000.00</v>
      </c>
      <c r="V1487" t="str">
        <f>"128000.00"</f>
        <v>128000.00</v>
      </c>
      <c r="W1487" t="str">
        <f t="shared" si="515"/>
        <v>2017</v>
      </c>
      <c r="X1487" t="str">
        <f>"5.67"</f>
        <v>5.67</v>
      </c>
      <c r="Y1487" t="str">
        <f>"2027.90"</f>
        <v>2027.90</v>
      </c>
      <c r="Z1487" t="str">
        <f>""</f>
        <v/>
      </c>
      <c r="AA1487" t="str">
        <f>"128000.00"</f>
        <v>128000.00</v>
      </c>
      <c r="AB1487" t="str">
        <f t="shared" si="518"/>
        <v>Residential</v>
      </c>
      <c r="AC1487" t="str">
        <f t="shared" si="499"/>
        <v>0</v>
      </c>
      <c r="AD1487" t="str">
        <f>""</f>
        <v/>
      </c>
      <c r="AE1487" t="str">
        <f>""</f>
        <v/>
      </c>
      <c r="AF1487" t="str">
        <f t="shared" si="519"/>
        <v>004</v>
      </c>
      <c r="AG1487" t="str">
        <f>"CO"</f>
        <v>CO</v>
      </c>
      <c r="AH1487" t="str">
        <f t="shared" si="520"/>
        <v>-</v>
      </c>
      <c r="AI1487" t="str">
        <f t="shared" si="520"/>
        <v>-</v>
      </c>
      <c r="AJ1487" t="str">
        <f>"C55-001-011-3332-0"</f>
        <v>C55-001-011-3332-0</v>
      </c>
      <c r="AK1487" t="str">
        <f>"25373"</f>
        <v>25373</v>
      </c>
      <c r="AL1487">
        <v>6</v>
      </c>
      <c r="AM1487">
        <v>1704</v>
      </c>
      <c r="AN1487">
        <v>2127.6999999999998</v>
      </c>
      <c r="AQ1487" t="s">
        <v>15107</v>
      </c>
      <c r="AR1487" t="s">
        <v>15107</v>
      </c>
      <c r="AS1487" t="s">
        <v>15107</v>
      </c>
      <c r="AU1487" t="s">
        <v>396</v>
      </c>
      <c r="AV1487">
        <v>2017</v>
      </c>
      <c r="AW1487" t="str">
        <f>"25-2N-28-027C-1101-0000 "</f>
        <v xml:space="preserve">25-2N-28-027C-1101-0000 </v>
      </c>
      <c r="AX1487">
        <v>96041</v>
      </c>
      <c r="AZ1487" t="s">
        <v>15108</v>
      </c>
      <c r="BA1487" t="s">
        <v>3181</v>
      </c>
      <c r="BD1487" t="s">
        <v>11749</v>
      </c>
      <c r="BE1487" t="s">
        <v>393</v>
      </c>
      <c r="BF1487">
        <v>32034</v>
      </c>
      <c r="BG1487" t="s">
        <v>15109</v>
      </c>
      <c r="BH1487" t="s">
        <v>11751</v>
      </c>
      <c r="BI1487">
        <v>-81.533325780921402</v>
      </c>
      <c r="BJ1487">
        <v>30.6142724728902</v>
      </c>
      <c r="BK1487" t="s">
        <v>15110</v>
      </c>
      <c r="BM1487" t="s">
        <v>15111</v>
      </c>
      <c r="BN1487" t="s">
        <v>15112</v>
      </c>
      <c r="BO1487">
        <v>80241</v>
      </c>
      <c r="BP1487" t="s">
        <v>404</v>
      </c>
      <c r="BQ1487">
        <v>400</v>
      </c>
      <c r="BR1487" t="s">
        <v>15097</v>
      </c>
      <c r="BS1487">
        <v>1004</v>
      </c>
      <c r="BT1487" t="s">
        <v>15098</v>
      </c>
      <c r="BW1487">
        <v>5082346</v>
      </c>
      <c r="BX1487" t="s">
        <v>407</v>
      </c>
      <c r="CA1487">
        <v>2007</v>
      </c>
      <c r="CC1487">
        <v>1</v>
      </c>
      <c r="CD1487">
        <v>2017</v>
      </c>
      <c r="CF1487">
        <v>128000</v>
      </c>
      <c r="CG1487">
        <v>128000</v>
      </c>
      <c r="CH1487">
        <v>2017</v>
      </c>
      <c r="CJ1487">
        <v>128000</v>
      </c>
      <c r="CK1487">
        <v>128000</v>
      </c>
      <c r="CL1487">
        <v>2017</v>
      </c>
      <c r="CM1487">
        <v>1937.77</v>
      </c>
      <c r="CN1487" s="1">
        <v>40528</v>
      </c>
      <c r="CO1487">
        <v>117900</v>
      </c>
      <c r="CV1487">
        <v>0</v>
      </c>
      <c r="CZ1487" s="1">
        <v>40528</v>
      </c>
      <c r="DA1487">
        <v>0</v>
      </c>
      <c r="DD1487" t="s">
        <v>11749</v>
      </c>
      <c r="DG1487">
        <v>25</v>
      </c>
      <c r="DJ1487" t="s">
        <v>15099</v>
      </c>
      <c r="DL1487">
        <v>50303</v>
      </c>
      <c r="DM1487" t="s">
        <v>15035</v>
      </c>
      <c r="DO1487" t="s">
        <v>15113</v>
      </c>
      <c r="DP1487">
        <v>0</v>
      </c>
      <c r="DQ1487">
        <v>9</v>
      </c>
      <c r="DR1487" t="s">
        <v>411</v>
      </c>
      <c r="DS1487" t="b">
        <v>1</v>
      </c>
      <c r="DT1487" t="s">
        <v>470</v>
      </c>
      <c r="DU1487" t="s">
        <v>471</v>
      </c>
      <c r="DV1487" t="s">
        <v>472</v>
      </c>
      <c r="DX1487">
        <v>-9999</v>
      </c>
      <c r="DZ1487" t="s">
        <v>447</v>
      </c>
      <c r="EA1487" t="s">
        <v>448</v>
      </c>
      <c r="EB1487" t="s">
        <v>742</v>
      </c>
      <c r="EC1487">
        <v>20101217</v>
      </c>
      <c r="ED1487" t="s">
        <v>474</v>
      </c>
      <c r="EF1487">
        <v>3392</v>
      </c>
      <c r="EG1487">
        <v>2319.1</v>
      </c>
      <c r="EI1487">
        <v>20160407</v>
      </c>
      <c r="EJ1487">
        <v>0</v>
      </c>
      <c r="EK1487">
        <v>0</v>
      </c>
      <c r="EP1487" t="s">
        <v>421</v>
      </c>
      <c r="EQ1487" t="s">
        <v>422</v>
      </c>
      <c r="ER1487">
        <v>0</v>
      </c>
      <c r="ES1487">
        <v>7</v>
      </c>
      <c r="ET1487">
        <v>0</v>
      </c>
      <c r="EU1487">
        <v>0</v>
      </c>
      <c r="EV1487">
        <v>0</v>
      </c>
      <c r="EW1487" s="2">
        <v>43222</v>
      </c>
      <c r="EX1487" s="1">
        <v>42879</v>
      </c>
      <c r="EY1487">
        <v>2016</v>
      </c>
      <c r="EZ1487">
        <v>1969.43</v>
      </c>
      <c r="FA1487" t="s">
        <v>15114</v>
      </c>
      <c r="FB1487">
        <v>0.25</v>
      </c>
      <c r="FC1487" t="s">
        <v>424</v>
      </c>
      <c r="FD1487" t="s">
        <v>425</v>
      </c>
      <c r="FE1487" s="1">
        <v>42978</v>
      </c>
      <c r="FF1487">
        <v>3</v>
      </c>
      <c r="FG1487">
        <v>5857474</v>
      </c>
      <c r="FH1487" t="s">
        <v>900</v>
      </c>
      <c r="FJ1487" s="1">
        <v>42879</v>
      </c>
      <c r="FK1487">
        <v>2016</v>
      </c>
      <c r="FL1487">
        <v>1969.43</v>
      </c>
      <c r="FM1487" t="s">
        <v>15114</v>
      </c>
      <c r="FN1487">
        <v>0.25</v>
      </c>
      <c r="FO1487" t="s">
        <v>424</v>
      </c>
      <c r="FP1487" t="s">
        <v>425</v>
      </c>
      <c r="FR1487">
        <v>22</v>
      </c>
      <c r="FS1487">
        <v>6452373</v>
      </c>
      <c r="FT1487" t="s">
        <v>15115</v>
      </c>
      <c r="FV1487" s="1">
        <v>42515</v>
      </c>
      <c r="FW1487">
        <v>2015</v>
      </c>
      <c r="FX1487">
        <v>1926.57</v>
      </c>
      <c r="FY1487" t="s">
        <v>15116</v>
      </c>
      <c r="FZ1487">
        <v>0.25</v>
      </c>
      <c r="GA1487" t="s">
        <v>424</v>
      </c>
      <c r="GB1487" t="s">
        <v>425</v>
      </c>
      <c r="GC1487" s="1">
        <v>42531</v>
      </c>
      <c r="GD1487">
        <v>1</v>
      </c>
      <c r="GE1487">
        <v>5894185</v>
      </c>
      <c r="GF1487" t="s">
        <v>7135</v>
      </c>
      <c r="GH1487" s="1">
        <v>42515</v>
      </c>
      <c r="GI1487">
        <v>2015</v>
      </c>
      <c r="GJ1487">
        <v>1926.57</v>
      </c>
      <c r="GK1487" t="s">
        <v>15116</v>
      </c>
      <c r="GL1487">
        <v>0.25</v>
      </c>
      <c r="GM1487" t="s">
        <v>424</v>
      </c>
      <c r="GN1487" t="s">
        <v>425</v>
      </c>
      <c r="GP1487">
        <v>22</v>
      </c>
      <c r="GQ1487">
        <v>6181989</v>
      </c>
      <c r="GR1487" t="s">
        <v>15117</v>
      </c>
      <c r="GT1487" s="1">
        <v>42151</v>
      </c>
      <c r="GU1487">
        <v>2014</v>
      </c>
      <c r="GV1487">
        <v>1831.54</v>
      </c>
      <c r="GW1487" t="s">
        <v>15118</v>
      </c>
      <c r="GX1487">
        <v>0.25</v>
      </c>
      <c r="GY1487" t="s">
        <v>424</v>
      </c>
      <c r="GZ1487" t="s">
        <v>425</v>
      </c>
      <c r="HB1487">
        <v>22</v>
      </c>
      <c r="HC1487">
        <v>15259</v>
      </c>
      <c r="HD1487" t="s">
        <v>891</v>
      </c>
      <c r="HF1487" s="1">
        <v>42151</v>
      </c>
      <c r="HG1487">
        <v>2014</v>
      </c>
      <c r="HH1487">
        <v>1831.54</v>
      </c>
      <c r="HI1487" t="s">
        <v>15118</v>
      </c>
      <c r="HJ1487">
        <v>0.25</v>
      </c>
      <c r="HK1487" t="s">
        <v>424</v>
      </c>
      <c r="HL1487" t="s">
        <v>425</v>
      </c>
      <c r="HN1487">
        <v>22</v>
      </c>
      <c r="HO1487">
        <v>6838454</v>
      </c>
      <c r="HP1487" t="s">
        <v>15119</v>
      </c>
      <c r="HR1487" s="1">
        <v>42151</v>
      </c>
      <c r="HS1487">
        <v>2014</v>
      </c>
      <c r="HT1487">
        <v>1831.54</v>
      </c>
      <c r="HU1487" t="s">
        <v>15118</v>
      </c>
      <c r="HV1487">
        <v>0.25</v>
      </c>
      <c r="HW1487" t="s">
        <v>424</v>
      </c>
      <c r="HX1487" t="s">
        <v>425</v>
      </c>
      <c r="HY1487" s="1">
        <v>42529</v>
      </c>
      <c r="HZ1487">
        <v>13</v>
      </c>
      <c r="IA1487">
        <v>7045049</v>
      </c>
      <c r="IB1487" t="s">
        <v>1335</v>
      </c>
    </row>
    <row r="1488" spans="1:272" x14ac:dyDescent="0.25">
      <c r="A1488">
        <v>16486495</v>
      </c>
      <c r="B1488">
        <v>1487</v>
      </c>
      <c r="C1488" t="s">
        <v>393</v>
      </c>
      <c r="D1488" t="s">
        <v>394</v>
      </c>
      <c r="F1488" t="str">
        <f>"25-2N-28-027C-1307-0000"</f>
        <v>25-2N-28-027C-1307-0000</v>
      </c>
      <c r="H1488" t="str">
        <f>"DEAVER RAYMON T LIVING TRUST JEANETTE LANGEVIN CO-TRUSTEE"</f>
        <v>DEAVER RAYMON T LIVING TRUST JEANETTE LANGEVIN CO-TRUSTEE</v>
      </c>
      <c r="I1488" t="str">
        <f>"2365 LAKE AVENUE"</f>
        <v>2365 LAKE AVENUE</v>
      </c>
      <c r="J1488" t="str">
        <f>"THORTON CO 80241"</f>
        <v>THORTON CO 80241</v>
      </c>
      <c r="K1488" t="str">
        <f>"96013 COTTAGE CT"</f>
        <v>96013 COTTAGE CT</v>
      </c>
      <c r="L1488" t="str">
        <f t="shared" si="517"/>
        <v>FERNANDINA BEACH FL 32034</v>
      </c>
      <c r="M1488" t="str">
        <f>"UNIT 1307 IN OR 2011/1809 THE COTTAGES AT STONEY CREEK OR 1518/1834"</f>
        <v>UNIT 1307 IN OR 2011/1809 THE COTTAGES AT STONEY CREEK OR 1518/1834</v>
      </c>
      <c r="N1488" t="str">
        <f>""</f>
        <v/>
      </c>
      <c r="O1488" t="str">
        <f>"35422"</f>
        <v>35422</v>
      </c>
      <c r="P1488" t="str">
        <f t="shared" si="514"/>
        <v>2017</v>
      </c>
      <c r="Q1488" t="str">
        <f>""</f>
        <v/>
      </c>
      <c r="R1488" t="str">
        <f t="shared" si="516"/>
        <v>N</v>
      </c>
      <c r="S1488" t="str">
        <f>""</f>
        <v/>
      </c>
      <c r="T1488" t="str">
        <f>"1892.36"</f>
        <v>1892.36</v>
      </c>
      <c r="U1488" t="str">
        <f>"125000.00"</f>
        <v>125000.00</v>
      </c>
      <c r="V1488" t="str">
        <f>"125000.00"</f>
        <v>125000.00</v>
      </c>
      <c r="W1488" t="str">
        <f t="shared" si="515"/>
        <v>2017</v>
      </c>
      <c r="X1488" t="str">
        <f>"9.00"</f>
        <v>9.00</v>
      </c>
      <c r="Y1488" t="str">
        <f>"1981.13"</f>
        <v>1981.13</v>
      </c>
      <c r="Z1488" t="str">
        <f>""</f>
        <v/>
      </c>
      <c r="AA1488" t="str">
        <f>"125000.00"</f>
        <v>125000.00</v>
      </c>
      <c r="AB1488" t="str">
        <f t="shared" si="518"/>
        <v>Residential</v>
      </c>
      <c r="AC1488" t="str">
        <f t="shared" si="499"/>
        <v>0</v>
      </c>
      <c r="AD1488" t="str">
        <f>""</f>
        <v/>
      </c>
      <c r="AE1488" t="str">
        <f>""</f>
        <v/>
      </c>
      <c r="AF1488" t="str">
        <f t="shared" si="519"/>
        <v>004</v>
      </c>
      <c r="AG1488" t="str">
        <f>"CO"</f>
        <v>CO</v>
      </c>
      <c r="AH1488" t="str">
        <f t="shared" si="520"/>
        <v>-</v>
      </c>
      <c r="AI1488" t="str">
        <f t="shared" si="520"/>
        <v>-</v>
      </c>
      <c r="AJ1488" t="str">
        <f>"C55-001-011-3354-4"</f>
        <v>C55-001-011-3354-4</v>
      </c>
      <c r="AK1488" t="str">
        <f>"25395"</f>
        <v>25395</v>
      </c>
      <c r="AL1488">
        <v>6</v>
      </c>
      <c r="AM1488">
        <v>1705</v>
      </c>
      <c r="AN1488">
        <v>2078.59</v>
      </c>
      <c r="AQ1488" t="s">
        <v>15120</v>
      </c>
      <c r="AR1488" t="s">
        <v>15120</v>
      </c>
      <c r="AS1488" t="s">
        <v>15120</v>
      </c>
      <c r="AU1488" t="s">
        <v>396</v>
      </c>
      <c r="AV1488">
        <v>2017</v>
      </c>
      <c r="AW1488" t="str">
        <f>"25-2N-28-027C-1307-0000 "</f>
        <v xml:space="preserve">25-2N-28-027C-1307-0000 </v>
      </c>
      <c r="AX1488">
        <v>96013</v>
      </c>
      <c r="AZ1488" t="s">
        <v>15108</v>
      </c>
      <c r="BA1488" t="s">
        <v>3181</v>
      </c>
      <c r="BD1488" t="s">
        <v>11749</v>
      </c>
      <c r="BE1488" t="s">
        <v>393</v>
      </c>
      <c r="BF1488">
        <v>32034</v>
      </c>
      <c r="BG1488" t="s">
        <v>15121</v>
      </c>
      <c r="BH1488" t="s">
        <v>11751</v>
      </c>
      <c r="BI1488">
        <v>-81.533325780921402</v>
      </c>
      <c r="BJ1488">
        <v>30.6142724728902</v>
      </c>
      <c r="BK1488" t="s">
        <v>15110</v>
      </c>
      <c r="BM1488" t="s">
        <v>15111</v>
      </c>
      <c r="BN1488" t="s">
        <v>15112</v>
      </c>
      <c r="BO1488">
        <v>80241</v>
      </c>
      <c r="BP1488" t="s">
        <v>404</v>
      </c>
      <c r="BQ1488">
        <v>400</v>
      </c>
      <c r="BR1488" t="s">
        <v>15097</v>
      </c>
      <c r="BS1488">
        <v>1004</v>
      </c>
      <c r="BT1488" t="s">
        <v>15098</v>
      </c>
      <c r="BW1488">
        <v>5082346</v>
      </c>
      <c r="BX1488" t="s">
        <v>407</v>
      </c>
      <c r="CA1488">
        <v>2007</v>
      </c>
      <c r="CC1488">
        <v>1</v>
      </c>
      <c r="CD1488">
        <v>2017</v>
      </c>
      <c r="CF1488">
        <v>125000</v>
      </c>
      <c r="CG1488">
        <v>125000</v>
      </c>
      <c r="CH1488">
        <v>2017</v>
      </c>
      <c r="CJ1488">
        <v>125000</v>
      </c>
      <c r="CK1488">
        <v>125000</v>
      </c>
      <c r="CL1488">
        <v>2017</v>
      </c>
      <c r="CM1488">
        <v>1892.36</v>
      </c>
      <c r="CN1488" s="1">
        <v>40528</v>
      </c>
      <c r="CO1488">
        <v>104900</v>
      </c>
      <c r="CV1488">
        <v>0</v>
      </c>
      <c r="CZ1488" s="1">
        <v>40528</v>
      </c>
      <c r="DA1488">
        <v>0</v>
      </c>
      <c r="DD1488" t="s">
        <v>11749</v>
      </c>
      <c r="DG1488">
        <v>25</v>
      </c>
      <c r="DJ1488" t="s">
        <v>15099</v>
      </c>
      <c r="DL1488">
        <v>50303</v>
      </c>
      <c r="DM1488" t="s">
        <v>15035</v>
      </c>
      <c r="DO1488" t="s">
        <v>15122</v>
      </c>
      <c r="DP1488">
        <v>0</v>
      </c>
      <c r="DQ1488">
        <v>9</v>
      </c>
      <c r="DR1488" t="s">
        <v>411</v>
      </c>
      <c r="DS1488" t="b">
        <v>1</v>
      </c>
      <c r="DT1488" t="s">
        <v>470</v>
      </c>
      <c r="DU1488" t="s">
        <v>471</v>
      </c>
      <c r="DV1488" t="s">
        <v>472</v>
      </c>
      <c r="DX1488">
        <v>-9999</v>
      </c>
      <c r="DZ1488" t="s">
        <v>447</v>
      </c>
      <c r="EA1488" t="s">
        <v>448</v>
      </c>
      <c r="EB1488" t="s">
        <v>742</v>
      </c>
      <c r="EC1488">
        <v>20101217</v>
      </c>
      <c r="ED1488" t="s">
        <v>474</v>
      </c>
      <c r="EF1488">
        <v>3392</v>
      </c>
      <c r="EG1488">
        <v>2319.1</v>
      </c>
      <c r="EI1488">
        <v>20160407</v>
      </c>
      <c r="EJ1488">
        <v>0</v>
      </c>
      <c r="EK1488">
        <v>0</v>
      </c>
      <c r="EP1488" t="s">
        <v>421</v>
      </c>
      <c r="EQ1488" t="s">
        <v>422</v>
      </c>
      <c r="ER1488">
        <v>0</v>
      </c>
      <c r="ES1488">
        <v>4</v>
      </c>
      <c r="ET1488">
        <v>0</v>
      </c>
      <c r="EU1488">
        <v>0</v>
      </c>
      <c r="EV1488">
        <v>0</v>
      </c>
      <c r="EW1488" s="2">
        <v>43222</v>
      </c>
      <c r="EX1488" s="1">
        <v>42879</v>
      </c>
      <c r="EY1488">
        <v>2016</v>
      </c>
      <c r="EZ1488">
        <v>1936.24</v>
      </c>
      <c r="FA1488" t="s">
        <v>15123</v>
      </c>
      <c r="FB1488">
        <v>0.25</v>
      </c>
      <c r="FC1488" t="s">
        <v>424</v>
      </c>
      <c r="FD1488" t="s">
        <v>425</v>
      </c>
      <c r="FE1488" s="1">
        <v>43045</v>
      </c>
      <c r="FF1488">
        <v>6</v>
      </c>
      <c r="FG1488">
        <v>7336671</v>
      </c>
      <c r="FH1488" t="s">
        <v>437</v>
      </c>
      <c r="FJ1488" s="1">
        <v>42879</v>
      </c>
      <c r="FK1488">
        <v>2016</v>
      </c>
      <c r="FL1488">
        <v>1936.24</v>
      </c>
      <c r="FM1488" t="s">
        <v>15123</v>
      </c>
      <c r="FN1488">
        <v>0.25</v>
      </c>
      <c r="FO1488" t="s">
        <v>424</v>
      </c>
      <c r="FP1488" t="s">
        <v>425</v>
      </c>
      <c r="FR1488">
        <v>22</v>
      </c>
      <c r="FS1488">
        <v>6752126</v>
      </c>
      <c r="FT1488" t="s">
        <v>15124</v>
      </c>
      <c r="FV1488" s="1">
        <v>42151</v>
      </c>
      <c r="FW1488">
        <v>2014</v>
      </c>
      <c r="FX1488">
        <v>1712.65</v>
      </c>
      <c r="FY1488" t="s">
        <v>15125</v>
      </c>
      <c r="FZ1488">
        <v>0.25</v>
      </c>
      <c r="GA1488" t="s">
        <v>424</v>
      </c>
      <c r="GB1488" t="s">
        <v>425</v>
      </c>
      <c r="GC1488" s="1">
        <v>42513</v>
      </c>
      <c r="GD1488">
        <v>12</v>
      </c>
      <c r="GE1488">
        <v>2851116</v>
      </c>
      <c r="GF1488" t="s">
        <v>480</v>
      </c>
      <c r="GH1488" s="1">
        <v>42151</v>
      </c>
      <c r="GI1488">
        <v>2014</v>
      </c>
      <c r="GJ1488">
        <v>1712.65</v>
      </c>
      <c r="GK1488" t="s">
        <v>15125</v>
      </c>
      <c r="GL1488">
        <v>0.25</v>
      </c>
      <c r="GM1488" t="s">
        <v>424</v>
      </c>
      <c r="GN1488" t="s">
        <v>425</v>
      </c>
      <c r="GP1488">
        <v>22</v>
      </c>
      <c r="GQ1488">
        <v>5072072</v>
      </c>
      <c r="GR1488" t="s">
        <v>15126</v>
      </c>
    </row>
    <row r="1489" spans="1:236" x14ac:dyDescent="0.25">
      <c r="A1489">
        <v>16486496</v>
      </c>
      <c r="B1489">
        <v>1488</v>
      </c>
      <c r="C1489" t="s">
        <v>393</v>
      </c>
      <c r="D1489" t="s">
        <v>394</v>
      </c>
      <c r="F1489" t="str">
        <f>"25-2N-28-027C-1404-0000"</f>
        <v>25-2N-28-027C-1404-0000</v>
      </c>
      <c r="H1489" t="str">
        <f>"LATZA SABINE DOROTHEE"</f>
        <v>LATZA SABINE DOROTHEE</v>
      </c>
      <c r="I1489" t="str">
        <f>"2402 S WINONA COURT"</f>
        <v>2402 S WINONA COURT</v>
      </c>
      <c r="J1489" t="str">
        <f>"DENVER CO 80219"</f>
        <v>DENVER CO 80219</v>
      </c>
      <c r="K1489" t="str">
        <f>"96022 COTTAGE CT"</f>
        <v>96022 COTTAGE CT</v>
      </c>
      <c r="L1489" t="str">
        <f t="shared" si="517"/>
        <v>FERNANDINA BEACH FL 32034</v>
      </c>
      <c r="M1489" t="str">
        <f>"UNIT 1404 IN OR 2148/347 THE COTTAGES AT STONEY CREEK OR 1518/1834"</f>
        <v>UNIT 1404 IN OR 2148/347 THE COTTAGES AT STONEY CREEK OR 1518/1834</v>
      </c>
      <c r="N1489" t="str">
        <f>""</f>
        <v/>
      </c>
      <c r="O1489" t="str">
        <f>"35427"</f>
        <v>35427</v>
      </c>
      <c r="P1489" t="str">
        <f t="shared" si="514"/>
        <v>2017</v>
      </c>
      <c r="Q1489" t="str">
        <f>""</f>
        <v/>
      </c>
      <c r="R1489" t="str">
        <f t="shared" si="516"/>
        <v>N</v>
      </c>
      <c r="S1489" t="str">
        <f>""</f>
        <v/>
      </c>
      <c r="T1489" t="str">
        <f>"1937.77"</f>
        <v>1937.77</v>
      </c>
      <c r="U1489" t="str">
        <f>"128000.00"</f>
        <v>128000.00</v>
      </c>
      <c r="V1489" t="str">
        <f>"128000.00"</f>
        <v>128000.00</v>
      </c>
      <c r="W1489" t="str">
        <f t="shared" si="515"/>
        <v>2017</v>
      </c>
      <c r="X1489" t="str">
        <f>"2.00"</f>
        <v>2.00</v>
      </c>
      <c r="Y1489" t="str">
        <f>"2027.90"</f>
        <v>2027.90</v>
      </c>
      <c r="Z1489" t="str">
        <f>""</f>
        <v/>
      </c>
      <c r="AA1489" t="str">
        <f>"128000.00"</f>
        <v>128000.00</v>
      </c>
      <c r="AB1489" t="str">
        <f t="shared" si="518"/>
        <v>Residential</v>
      </c>
      <c r="AC1489" t="str">
        <f t="shared" si="499"/>
        <v>0</v>
      </c>
      <c r="AD1489" t="str">
        <f>""</f>
        <v/>
      </c>
      <c r="AE1489" t="str">
        <f>""</f>
        <v/>
      </c>
      <c r="AF1489" t="str">
        <f t="shared" si="519"/>
        <v>004</v>
      </c>
      <c r="AG1489" t="str">
        <f>"CO"</f>
        <v>CO</v>
      </c>
      <c r="AH1489" t="str">
        <f t="shared" si="520"/>
        <v>-</v>
      </c>
      <c r="AI1489" t="str">
        <f t="shared" si="520"/>
        <v>-</v>
      </c>
      <c r="AJ1489" t="str">
        <f>"C55-001-011-3359-3"</f>
        <v>C55-001-011-3359-3</v>
      </c>
      <c r="AK1489" t="str">
        <f>"25400"</f>
        <v>25400</v>
      </c>
      <c r="AL1489">
        <v>6</v>
      </c>
      <c r="AM1489">
        <v>1706</v>
      </c>
      <c r="AN1489">
        <v>2127.6999999999998</v>
      </c>
      <c r="AQ1489" t="s">
        <v>15127</v>
      </c>
      <c r="AR1489" t="s">
        <v>15127</v>
      </c>
      <c r="AS1489" t="s">
        <v>15127</v>
      </c>
      <c r="AU1489" t="s">
        <v>396</v>
      </c>
      <c r="AV1489">
        <v>2017</v>
      </c>
      <c r="AW1489" t="str">
        <f>"25-2N-28-027C-1404-0000 "</f>
        <v xml:space="preserve">25-2N-28-027C-1404-0000 </v>
      </c>
      <c r="AX1489">
        <v>96022</v>
      </c>
      <c r="AZ1489" t="s">
        <v>15108</v>
      </c>
      <c r="BA1489" t="s">
        <v>3181</v>
      </c>
      <c r="BD1489" t="s">
        <v>11749</v>
      </c>
      <c r="BE1489" t="s">
        <v>393</v>
      </c>
      <c r="BF1489">
        <v>32034</v>
      </c>
      <c r="BG1489" t="s">
        <v>15128</v>
      </c>
      <c r="BH1489" t="s">
        <v>11751</v>
      </c>
      <c r="BI1489">
        <v>-81.533325780921402</v>
      </c>
      <c r="BJ1489">
        <v>30.6142724728902</v>
      </c>
      <c r="BK1489" t="s">
        <v>15129</v>
      </c>
      <c r="BM1489" t="s">
        <v>15130</v>
      </c>
      <c r="BN1489" t="s">
        <v>15131</v>
      </c>
      <c r="BO1489">
        <v>80219</v>
      </c>
      <c r="BP1489" t="s">
        <v>404</v>
      </c>
      <c r="BQ1489">
        <v>400</v>
      </c>
      <c r="BR1489" t="s">
        <v>15097</v>
      </c>
      <c r="BS1489">
        <v>1004</v>
      </c>
      <c r="BT1489" t="s">
        <v>15098</v>
      </c>
      <c r="BW1489">
        <v>5082346</v>
      </c>
      <c r="BX1489" t="s">
        <v>407</v>
      </c>
      <c r="CA1489">
        <v>2007</v>
      </c>
      <c r="CC1489">
        <v>1</v>
      </c>
      <c r="CD1489">
        <v>2017</v>
      </c>
      <c r="CF1489">
        <v>128000</v>
      </c>
      <c r="CG1489">
        <v>128000</v>
      </c>
      <c r="CH1489">
        <v>2017</v>
      </c>
      <c r="CJ1489">
        <v>128000</v>
      </c>
      <c r="CK1489">
        <v>128000</v>
      </c>
      <c r="CL1489">
        <v>2017</v>
      </c>
      <c r="CM1489">
        <v>1937.77</v>
      </c>
      <c r="CN1489" s="1">
        <v>43005</v>
      </c>
      <c r="CO1489">
        <v>168000</v>
      </c>
      <c r="CV1489">
        <v>0</v>
      </c>
      <c r="CZ1489" s="1">
        <v>43005</v>
      </c>
      <c r="DA1489">
        <v>0</v>
      </c>
      <c r="DD1489" t="s">
        <v>11749</v>
      </c>
      <c r="DG1489">
        <v>25</v>
      </c>
      <c r="DJ1489" t="s">
        <v>15099</v>
      </c>
      <c r="DL1489">
        <v>50303</v>
      </c>
      <c r="DM1489" t="s">
        <v>15035</v>
      </c>
      <c r="DO1489" t="s">
        <v>15132</v>
      </c>
      <c r="DP1489">
        <v>0</v>
      </c>
      <c r="DQ1489">
        <v>9</v>
      </c>
      <c r="DR1489" t="s">
        <v>411</v>
      </c>
    </row>
    <row r="1490" spans="1:236" x14ac:dyDescent="0.25">
      <c r="A1490">
        <v>16486497</v>
      </c>
      <c r="B1490">
        <v>1489</v>
      </c>
      <c r="C1490" t="s">
        <v>393</v>
      </c>
      <c r="D1490" t="s">
        <v>394</v>
      </c>
      <c r="F1490" t="str">
        <f>"25-2N-28-027C-2607-0000"</f>
        <v>25-2N-28-027C-2607-0000</v>
      </c>
      <c r="H1490" t="str">
        <f>"DEAVER RAYMON T LIVING TRUST JEANETTE LANGEVIN CO-TRUSTEE"</f>
        <v>DEAVER RAYMON T LIVING TRUST JEANETTE LANGEVIN CO-TRUSTEE</v>
      </c>
      <c r="I1490" t="str">
        <f>"2365 LAKE AVENUE"</f>
        <v>2365 LAKE AVENUE</v>
      </c>
      <c r="J1490" t="str">
        <f>"THORNTON CO 80241"</f>
        <v>THORNTON CO 80241</v>
      </c>
      <c r="K1490" t="str">
        <f>"96094 STONEY DR"</f>
        <v>96094 STONEY DR</v>
      </c>
      <c r="L1490" t="str">
        <f t="shared" si="517"/>
        <v>FERNANDINA BEACH FL 32034</v>
      </c>
      <c r="M1490" t="str">
        <f>"UNIT 2607 IN OR 2011/1809 THE COTTAGES AT STONEY CREEK OR 1518/1834"</f>
        <v>UNIT 2607 IN OR 2011/1809 THE COTTAGES AT STONEY CREEK OR 1518/1834</v>
      </c>
      <c r="N1490" t="str">
        <f>""</f>
        <v/>
      </c>
      <c r="O1490" t="str">
        <f>"35526"</f>
        <v>35526</v>
      </c>
      <c r="P1490" t="str">
        <f t="shared" si="514"/>
        <v>2017</v>
      </c>
      <c r="Q1490" t="str">
        <f>""</f>
        <v/>
      </c>
      <c r="R1490" t="str">
        <f t="shared" si="516"/>
        <v>N</v>
      </c>
      <c r="S1490" t="str">
        <f>""</f>
        <v/>
      </c>
      <c r="T1490" t="str">
        <f>"1892.36"</f>
        <v>1892.36</v>
      </c>
      <c r="U1490" t="str">
        <f>"125000.00"</f>
        <v>125000.00</v>
      </c>
      <c r="V1490" t="str">
        <f>"125000.00"</f>
        <v>125000.00</v>
      </c>
      <c r="W1490" t="str">
        <f t="shared" si="515"/>
        <v>2017</v>
      </c>
      <c r="X1490" t="str">
        <f>"9.50"</f>
        <v>9.50</v>
      </c>
      <c r="Y1490" t="str">
        <f>"1981.13"</f>
        <v>1981.13</v>
      </c>
      <c r="Z1490" t="str">
        <f>""</f>
        <v/>
      </c>
      <c r="AA1490" t="str">
        <f>"125000.00"</f>
        <v>125000.00</v>
      </c>
      <c r="AB1490" t="str">
        <f t="shared" si="518"/>
        <v>Residential</v>
      </c>
      <c r="AC1490" t="str">
        <f t="shared" si="499"/>
        <v>0</v>
      </c>
      <c r="AD1490" t="str">
        <f>""</f>
        <v/>
      </c>
      <c r="AE1490" t="str">
        <f>""</f>
        <v/>
      </c>
      <c r="AF1490" t="str">
        <f t="shared" si="519"/>
        <v>004</v>
      </c>
      <c r="AG1490" t="str">
        <f>"CO"</f>
        <v>CO</v>
      </c>
      <c r="AH1490" t="str">
        <f t="shared" si="520"/>
        <v>-</v>
      </c>
      <c r="AI1490" t="str">
        <f t="shared" si="520"/>
        <v>-</v>
      </c>
      <c r="AJ1490" t="str">
        <f>"C55-001-011-3458-3"</f>
        <v>C55-001-011-3458-3</v>
      </c>
      <c r="AK1490" t="str">
        <f>"25499"</f>
        <v>25499</v>
      </c>
      <c r="AL1490">
        <v>6</v>
      </c>
      <c r="AM1490">
        <v>1707</v>
      </c>
      <c r="AN1490">
        <v>2078.59</v>
      </c>
      <c r="AQ1490" t="s">
        <v>15133</v>
      </c>
      <c r="AR1490" t="s">
        <v>15133</v>
      </c>
      <c r="AS1490" t="s">
        <v>15133</v>
      </c>
      <c r="AU1490" t="s">
        <v>396</v>
      </c>
      <c r="AV1490">
        <v>2017</v>
      </c>
      <c r="AW1490" t="str">
        <f>"25-2N-28-027C-2607-0000 "</f>
        <v xml:space="preserve">25-2N-28-027C-2607-0000 </v>
      </c>
      <c r="AX1490">
        <v>96094</v>
      </c>
      <c r="AZ1490" t="s">
        <v>15134</v>
      </c>
      <c r="BA1490" t="s">
        <v>669</v>
      </c>
      <c r="BD1490" t="s">
        <v>11749</v>
      </c>
      <c r="BE1490" t="s">
        <v>393</v>
      </c>
      <c r="BF1490">
        <v>32034</v>
      </c>
      <c r="BG1490" t="s">
        <v>15135</v>
      </c>
      <c r="BH1490" t="s">
        <v>11751</v>
      </c>
      <c r="BI1490">
        <v>-81.533325780921402</v>
      </c>
      <c r="BJ1490">
        <v>30.6142724728902</v>
      </c>
      <c r="BK1490" t="s">
        <v>15110</v>
      </c>
      <c r="BM1490" t="s">
        <v>15111</v>
      </c>
      <c r="BN1490" t="s">
        <v>15112</v>
      </c>
      <c r="BO1490">
        <v>80241</v>
      </c>
      <c r="BP1490" t="s">
        <v>404</v>
      </c>
      <c r="BQ1490">
        <v>400</v>
      </c>
      <c r="BR1490" t="s">
        <v>15097</v>
      </c>
      <c r="BS1490">
        <v>1004</v>
      </c>
      <c r="BT1490" t="s">
        <v>15098</v>
      </c>
      <c r="BW1490">
        <v>5082346</v>
      </c>
      <c r="BX1490" t="s">
        <v>407</v>
      </c>
      <c r="CA1490">
        <v>2007</v>
      </c>
      <c r="CC1490">
        <v>1</v>
      </c>
      <c r="CD1490">
        <v>2017</v>
      </c>
      <c r="CF1490">
        <v>125000</v>
      </c>
      <c r="CG1490">
        <v>125000</v>
      </c>
      <c r="CH1490">
        <v>2017</v>
      </c>
      <c r="CJ1490">
        <v>125000</v>
      </c>
      <c r="CK1490">
        <v>125000</v>
      </c>
      <c r="CL1490">
        <v>2017</v>
      </c>
      <c r="CM1490">
        <v>1892.36</v>
      </c>
      <c r="CN1490" s="1">
        <v>40529</v>
      </c>
      <c r="CO1490">
        <v>109900</v>
      </c>
      <c r="CV1490">
        <v>0</v>
      </c>
      <c r="CZ1490" s="1">
        <v>40529</v>
      </c>
      <c r="DA1490">
        <v>0</v>
      </c>
      <c r="DD1490" t="s">
        <v>11749</v>
      </c>
      <c r="DG1490">
        <v>25</v>
      </c>
      <c r="DJ1490" t="s">
        <v>15099</v>
      </c>
      <c r="DL1490">
        <v>50303</v>
      </c>
      <c r="DM1490" t="s">
        <v>15035</v>
      </c>
      <c r="DO1490" t="s">
        <v>15136</v>
      </c>
      <c r="DP1490">
        <v>0</v>
      </c>
      <c r="DQ1490">
        <v>9</v>
      </c>
      <c r="DR1490" t="s">
        <v>411</v>
      </c>
      <c r="DS1490" t="b">
        <v>1</v>
      </c>
      <c r="DT1490" t="s">
        <v>470</v>
      </c>
      <c r="DU1490" t="s">
        <v>471</v>
      </c>
      <c r="DV1490" t="s">
        <v>472</v>
      </c>
      <c r="DX1490">
        <v>-9999</v>
      </c>
      <c r="DZ1490" t="s">
        <v>447</v>
      </c>
      <c r="EA1490" t="s">
        <v>448</v>
      </c>
      <c r="EB1490" t="s">
        <v>742</v>
      </c>
      <c r="EC1490">
        <v>20101217</v>
      </c>
      <c r="ED1490" t="s">
        <v>474</v>
      </c>
      <c r="EF1490">
        <v>3392</v>
      </c>
      <c r="EG1490">
        <v>2319.1</v>
      </c>
      <c r="EI1490">
        <v>20160407</v>
      </c>
      <c r="EJ1490">
        <v>0</v>
      </c>
      <c r="EK1490">
        <v>0</v>
      </c>
      <c r="EP1490" t="s">
        <v>421</v>
      </c>
      <c r="EQ1490" t="s">
        <v>422</v>
      </c>
      <c r="ER1490">
        <v>0</v>
      </c>
      <c r="ES1490">
        <v>7</v>
      </c>
      <c r="ET1490">
        <v>0</v>
      </c>
      <c r="EU1490">
        <v>0</v>
      </c>
      <c r="EV1490">
        <v>0</v>
      </c>
      <c r="EW1490" s="2">
        <v>43222</v>
      </c>
      <c r="EX1490" s="1">
        <v>42879</v>
      </c>
      <c r="EY1490">
        <v>2016</v>
      </c>
      <c r="EZ1490">
        <v>1936.24</v>
      </c>
      <c r="FA1490" t="s">
        <v>15137</v>
      </c>
      <c r="FB1490">
        <v>0.25</v>
      </c>
      <c r="FC1490" t="s">
        <v>424</v>
      </c>
      <c r="FD1490" t="s">
        <v>425</v>
      </c>
      <c r="FE1490" s="1">
        <v>42978</v>
      </c>
      <c r="FF1490">
        <v>3</v>
      </c>
      <c r="FG1490">
        <v>11289</v>
      </c>
      <c r="FH1490" t="s">
        <v>787</v>
      </c>
      <c r="FJ1490" s="1">
        <v>42879</v>
      </c>
      <c r="FK1490">
        <v>2016</v>
      </c>
      <c r="FL1490">
        <v>1936.24</v>
      </c>
      <c r="FM1490" t="s">
        <v>15137</v>
      </c>
      <c r="FN1490">
        <v>0.25</v>
      </c>
      <c r="FO1490" t="s">
        <v>424</v>
      </c>
      <c r="FP1490" t="s">
        <v>425</v>
      </c>
      <c r="FR1490">
        <v>22</v>
      </c>
      <c r="FS1490">
        <v>7052772</v>
      </c>
      <c r="FT1490" t="s">
        <v>15138</v>
      </c>
      <c r="FV1490" s="1">
        <v>42515</v>
      </c>
      <c r="FW1490">
        <v>2015</v>
      </c>
      <c r="FX1490">
        <v>1856.8</v>
      </c>
      <c r="FY1490" t="s">
        <v>15139</v>
      </c>
      <c r="FZ1490">
        <v>0.25</v>
      </c>
      <c r="GA1490" t="s">
        <v>424</v>
      </c>
      <c r="GB1490" t="s">
        <v>425</v>
      </c>
      <c r="GC1490" s="1">
        <v>42531</v>
      </c>
      <c r="GD1490">
        <v>1</v>
      </c>
      <c r="GE1490">
        <v>7045074</v>
      </c>
      <c r="GF1490" t="s">
        <v>580</v>
      </c>
      <c r="GH1490" s="1">
        <v>42515</v>
      </c>
      <c r="GI1490">
        <v>2015</v>
      </c>
      <c r="GJ1490">
        <v>1856.8</v>
      </c>
      <c r="GK1490" t="s">
        <v>15139</v>
      </c>
      <c r="GL1490">
        <v>0.25</v>
      </c>
      <c r="GM1490" t="s">
        <v>424</v>
      </c>
      <c r="GN1490" t="s">
        <v>425</v>
      </c>
      <c r="GP1490">
        <v>22</v>
      </c>
      <c r="GQ1490">
        <v>6281448</v>
      </c>
      <c r="GR1490" t="s">
        <v>15140</v>
      </c>
      <c r="GT1490" s="1">
        <v>42151</v>
      </c>
      <c r="GU1490">
        <v>2014</v>
      </c>
      <c r="GV1490">
        <v>1712.65</v>
      </c>
      <c r="GW1490" t="s">
        <v>15141</v>
      </c>
      <c r="GX1490">
        <v>0.25</v>
      </c>
      <c r="GY1490" t="s">
        <v>424</v>
      </c>
      <c r="GZ1490" t="s">
        <v>425</v>
      </c>
      <c r="HA1490" s="1">
        <v>42529</v>
      </c>
      <c r="HB1490">
        <v>13</v>
      </c>
      <c r="HC1490">
        <v>4975594</v>
      </c>
      <c r="HD1490" t="s">
        <v>457</v>
      </c>
      <c r="HF1490" s="1">
        <v>42151</v>
      </c>
      <c r="HG1490">
        <v>2014</v>
      </c>
      <c r="HH1490">
        <v>1712.65</v>
      </c>
      <c r="HI1490" t="s">
        <v>15141</v>
      </c>
      <c r="HJ1490">
        <v>0.25</v>
      </c>
      <c r="HK1490" t="s">
        <v>424</v>
      </c>
      <c r="HL1490" t="s">
        <v>425</v>
      </c>
      <c r="HN1490">
        <v>22</v>
      </c>
      <c r="HO1490">
        <v>6478962</v>
      </c>
      <c r="HP1490" t="s">
        <v>15142</v>
      </c>
      <c r="HR1490" s="1">
        <v>41787</v>
      </c>
      <c r="HS1490">
        <v>2013</v>
      </c>
      <c r="HT1490">
        <v>1478.51</v>
      </c>
      <c r="HU1490" t="s">
        <v>15143</v>
      </c>
      <c r="HV1490">
        <v>0.25</v>
      </c>
      <c r="HW1490" t="s">
        <v>424</v>
      </c>
      <c r="HX1490" t="s">
        <v>425</v>
      </c>
      <c r="HY1490" s="1">
        <v>42418</v>
      </c>
      <c r="HZ1490">
        <v>21</v>
      </c>
      <c r="IA1490">
        <v>2851116</v>
      </c>
      <c r="IB1490" t="s">
        <v>480</v>
      </c>
    </row>
    <row r="1491" spans="1:236" x14ac:dyDescent="0.25">
      <c r="A1491">
        <v>16486498</v>
      </c>
      <c r="B1491">
        <v>1490</v>
      </c>
      <c r="C1491" t="s">
        <v>393</v>
      </c>
      <c r="D1491" t="s">
        <v>394</v>
      </c>
      <c r="F1491" t="str">
        <f>"25-2N-28-027C-2702-0000"</f>
        <v>25-2N-28-027C-2702-0000</v>
      </c>
      <c r="H1491" t="str">
        <f>"CAMPO RICHARD &amp; ANGELA"</f>
        <v>CAMPO RICHARD &amp; ANGELA</v>
      </c>
      <c r="I1491" t="str">
        <f>"9202 STONEY MOUNTAIN DRIVE"</f>
        <v>9202 STONEY MOUNTAIN DRIVE</v>
      </c>
      <c r="J1491" t="str">
        <f>"CHATTANOOGA TN 37421"</f>
        <v>CHATTANOOGA TN 37421</v>
      </c>
      <c r="K1491" t="str">
        <f>"96138 STONEY DR"</f>
        <v>96138 STONEY DR</v>
      </c>
      <c r="L1491" t="str">
        <f t="shared" si="517"/>
        <v>FERNANDINA BEACH FL 32034</v>
      </c>
      <c r="M1491" t="str">
        <f>"UNIT 2702 IN OR 1710/1261 THE COTTAGES AT STONEY CREEK OR 1518/1834"</f>
        <v>UNIT 2702 IN OR 1710/1261 THE COTTAGES AT STONEY CREEK OR 1518/1834</v>
      </c>
      <c r="N1491" t="str">
        <f>""</f>
        <v/>
      </c>
      <c r="O1491" t="str">
        <f>"35529"</f>
        <v>35529</v>
      </c>
      <c r="P1491" t="str">
        <f t="shared" si="514"/>
        <v>2017</v>
      </c>
      <c r="Q1491" t="str">
        <f>""</f>
        <v/>
      </c>
      <c r="R1491" t="str">
        <f t="shared" si="516"/>
        <v>N</v>
      </c>
      <c r="S1491" t="str">
        <f>""</f>
        <v/>
      </c>
      <c r="T1491" t="str">
        <f>"1892.36"</f>
        <v>1892.36</v>
      </c>
      <c r="U1491" t="str">
        <f>"125000.00"</f>
        <v>125000.00</v>
      </c>
      <c r="V1491" t="str">
        <f>"125000.00"</f>
        <v>125000.00</v>
      </c>
      <c r="W1491" t="str">
        <f t="shared" si="515"/>
        <v>2017</v>
      </c>
      <c r="X1491" t="str">
        <f>"14.33"</f>
        <v>14.33</v>
      </c>
      <c r="Y1491" t="str">
        <f>"1981.13"</f>
        <v>1981.13</v>
      </c>
      <c r="Z1491" t="str">
        <f>""</f>
        <v/>
      </c>
      <c r="AA1491" t="str">
        <f>"125000.00"</f>
        <v>125000.00</v>
      </c>
      <c r="AB1491" t="str">
        <f t="shared" si="518"/>
        <v>Residential</v>
      </c>
      <c r="AC1491" t="str">
        <f t="shared" si="499"/>
        <v>0</v>
      </c>
      <c r="AD1491" t="str">
        <f>""</f>
        <v/>
      </c>
      <c r="AE1491" t="str">
        <f>""</f>
        <v/>
      </c>
      <c r="AF1491" t="str">
        <f t="shared" si="519"/>
        <v>004</v>
      </c>
      <c r="AG1491" t="str">
        <f>"TN"</f>
        <v>TN</v>
      </c>
      <c r="AH1491" t="str">
        <f t="shared" si="520"/>
        <v>-</v>
      </c>
      <c r="AI1491" t="str">
        <f t="shared" si="520"/>
        <v>-</v>
      </c>
      <c r="AJ1491" t="str">
        <f>"C55-001-011-3461-7"</f>
        <v>C55-001-011-3461-7</v>
      </c>
      <c r="AK1491" t="str">
        <f>"25502"</f>
        <v>25502</v>
      </c>
      <c r="AL1491">
        <v>6</v>
      </c>
      <c r="AM1491">
        <v>1708</v>
      </c>
      <c r="AN1491">
        <v>2078.59</v>
      </c>
      <c r="AQ1491" t="s">
        <v>15144</v>
      </c>
      <c r="AR1491" t="s">
        <v>15144</v>
      </c>
      <c r="AS1491" t="s">
        <v>15144</v>
      </c>
      <c r="AU1491" t="s">
        <v>396</v>
      </c>
      <c r="AV1491">
        <v>2017</v>
      </c>
      <c r="AW1491" t="str">
        <f>"25-2N-28-027C-2702-0000 "</f>
        <v xml:space="preserve">25-2N-28-027C-2702-0000 </v>
      </c>
      <c r="AX1491">
        <v>96138</v>
      </c>
      <c r="AZ1491" t="s">
        <v>15134</v>
      </c>
      <c r="BA1491" t="s">
        <v>669</v>
      </c>
      <c r="BD1491" t="s">
        <v>11749</v>
      </c>
      <c r="BE1491" t="s">
        <v>393</v>
      </c>
      <c r="BF1491">
        <v>32034</v>
      </c>
      <c r="BG1491" t="s">
        <v>15145</v>
      </c>
      <c r="BH1491" t="s">
        <v>11751</v>
      </c>
      <c r="BI1491">
        <v>-81.533325780921402</v>
      </c>
      <c r="BJ1491">
        <v>30.6142724728902</v>
      </c>
      <c r="BK1491" t="s">
        <v>15093</v>
      </c>
      <c r="BL1491" t="s">
        <v>15094</v>
      </c>
      <c r="BM1491" t="s">
        <v>15095</v>
      </c>
      <c r="BN1491" t="s">
        <v>15096</v>
      </c>
      <c r="BO1491">
        <v>37421</v>
      </c>
      <c r="BP1491" t="s">
        <v>404</v>
      </c>
      <c r="BQ1491">
        <v>400</v>
      </c>
      <c r="BR1491" t="s">
        <v>15097</v>
      </c>
      <c r="BS1491">
        <v>1004</v>
      </c>
      <c r="BT1491" t="s">
        <v>15098</v>
      </c>
      <c r="BW1491">
        <v>5082346</v>
      </c>
      <c r="BX1491" t="s">
        <v>407</v>
      </c>
      <c r="CA1491">
        <v>2007</v>
      </c>
      <c r="CC1491">
        <v>1</v>
      </c>
      <c r="CD1491">
        <v>2017</v>
      </c>
      <c r="CF1491">
        <v>125000</v>
      </c>
      <c r="CG1491">
        <v>125000</v>
      </c>
      <c r="CH1491">
        <v>2017</v>
      </c>
      <c r="CJ1491">
        <v>125000</v>
      </c>
      <c r="CK1491">
        <v>125000</v>
      </c>
      <c r="CL1491">
        <v>2017</v>
      </c>
      <c r="CM1491">
        <v>1892.36</v>
      </c>
      <c r="CN1491" s="1">
        <v>40501</v>
      </c>
      <c r="CO1491">
        <v>107900</v>
      </c>
      <c r="CV1491">
        <v>0</v>
      </c>
      <c r="CZ1491" s="1">
        <v>40501</v>
      </c>
      <c r="DA1491">
        <v>0</v>
      </c>
      <c r="DD1491" t="s">
        <v>11749</v>
      </c>
      <c r="DG1491">
        <v>25</v>
      </c>
      <c r="DJ1491" t="s">
        <v>15099</v>
      </c>
      <c r="DL1491">
        <v>50303</v>
      </c>
      <c r="DM1491" t="s">
        <v>15035</v>
      </c>
      <c r="DO1491" t="s">
        <v>15146</v>
      </c>
      <c r="DP1491">
        <v>0</v>
      </c>
      <c r="DQ1491">
        <v>9</v>
      </c>
      <c r="DR1491" t="s">
        <v>411</v>
      </c>
      <c r="DS1491" t="b">
        <v>1</v>
      </c>
      <c r="DT1491" t="s">
        <v>470</v>
      </c>
      <c r="DU1491" t="s">
        <v>471</v>
      </c>
      <c r="DV1491" t="s">
        <v>472</v>
      </c>
      <c r="DX1491">
        <v>-9999</v>
      </c>
      <c r="DZ1491" t="s">
        <v>447</v>
      </c>
      <c r="EA1491" t="s">
        <v>448</v>
      </c>
      <c r="EB1491" t="s">
        <v>742</v>
      </c>
      <c r="EC1491">
        <v>20101217</v>
      </c>
      <c r="ED1491" t="s">
        <v>474</v>
      </c>
      <c r="EF1491">
        <v>3392</v>
      </c>
      <c r="EG1491">
        <v>2319.1</v>
      </c>
      <c r="EI1491">
        <v>20160407</v>
      </c>
      <c r="EJ1491">
        <v>0</v>
      </c>
      <c r="EK1491">
        <v>0</v>
      </c>
      <c r="EP1491" t="s">
        <v>421</v>
      </c>
      <c r="EQ1491" t="s">
        <v>422</v>
      </c>
      <c r="ER1491">
        <v>2</v>
      </c>
      <c r="ES1491">
        <v>5</v>
      </c>
      <c r="ET1491">
        <v>3872.48</v>
      </c>
      <c r="EU1491">
        <v>206.12</v>
      </c>
      <c r="EV1491">
        <v>4078.6</v>
      </c>
      <c r="EW1491" s="2">
        <v>43222</v>
      </c>
      <c r="EX1491" s="1">
        <v>42879</v>
      </c>
      <c r="EY1491">
        <v>2016</v>
      </c>
      <c r="EZ1491">
        <v>1936.24</v>
      </c>
      <c r="FA1491" t="s">
        <v>15147</v>
      </c>
      <c r="FB1491">
        <v>0.25</v>
      </c>
      <c r="FC1491" t="s">
        <v>424</v>
      </c>
      <c r="FD1491" t="s">
        <v>454</v>
      </c>
      <c r="FF1491">
        <v>12</v>
      </c>
      <c r="FG1491">
        <v>5856194</v>
      </c>
      <c r="FH1491" t="s">
        <v>2685</v>
      </c>
      <c r="FJ1491" s="1">
        <v>42879</v>
      </c>
      <c r="FK1491">
        <v>2016</v>
      </c>
      <c r="FL1491">
        <v>1936.24</v>
      </c>
      <c r="FM1491" t="s">
        <v>15147</v>
      </c>
      <c r="FN1491">
        <v>0.25</v>
      </c>
      <c r="FO1491" t="s">
        <v>424</v>
      </c>
      <c r="FP1491" t="s">
        <v>454</v>
      </c>
      <c r="FR1491">
        <v>12</v>
      </c>
      <c r="FS1491">
        <v>5877878</v>
      </c>
      <c r="FT1491" t="s">
        <v>15148</v>
      </c>
      <c r="FV1491" s="1">
        <v>42515</v>
      </c>
      <c r="FW1491">
        <v>2015</v>
      </c>
      <c r="FX1491">
        <v>1856.8</v>
      </c>
      <c r="FY1491" t="s">
        <v>15149</v>
      </c>
      <c r="FZ1491">
        <v>0.25</v>
      </c>
      <c r="GA1491" t="s">
        <v>424</v>
      </c>
      <c r="GB1491" t="s">
        <v>425</v>
      </c>
      <c r="GC1491" s="1">
        <v>43135</v>
      </c>
      <c r="GD1491">
        <v>21</v>
      </c>
      <c r="GE1491">
        <v>5894185</v>
      </c>
      <c r="GF1491" t="s">
        <v>7135</v>
      </c>
      <c r="GH1491" s="1">
        <v>42515</v>
      </c>
      <c r="GI1491">
        <v>2015</v>
      </c>
      <c r="GJ1491">
        <v>1856.8</v>
      </c>
      <c r="GK1491" t="s">
        <v>15149</v>
      </c>
      <c r="GL1491">
        <v>0.25</v>
      </c>
      <c r="GM1491" t="s">
        <v>424</v>
      </c>
      <c r="GN1491" t="s">
        <v>425</v>
      </c>
      <c r="GP1491">
        <v>22</v>
      </c>
      <c r="GQ1491">
        <v>6167131</v>
      </c>
      <c r="GR1491" t="s">
        <v>15150</v>
      </c>
      <c r="GT1491" s="1">
        <v>42151</v>
      </c>
      <c r="GU1491">
        <v>2014</v>
      </c>
      <c r="GV1491">
        <v>1712.65</v>
      </c>
      <c r="GW1491" t="s">
        <v>15151</v>
      </c>
      <c r="GX1491">
        <v>0.25</v>
      </c>
      <c r="GY1491" t="s">
        <v>424</v>
      </c>
      <c r="GZ1491" t="s">
        <v>425</v>
      </c>
      <c r="HA1491" s="1">
        <v>42776</v>
      </c>
      <c r="HB1491">
        <v>21</v>
      </c>
      <c r="HC1491">
        <v>4844984</v>
      </c>
      <c r="HD1491" t="s">
        <v>1323</v>
      </c>
      <c r="HF1491" s="1">
        <v>42151</v>
      </c>
      <c r="HG1491">
        <v>2014</v>
      </c>
      <c r="HH1491">
        <v>1712.65</v>
      </c>
      <c r="HI1491" t="s">
        <v>15151</v>
      </c>
      <c r="HJ1491">
        <v>0.25</v>
      </c>
      <c r="HK1491" t="s">
        <v>424</v>
      </c>
      <c r="HL1491" t="s">
        <v>425</v>
      </c>
      <c r="HN1491">
        <v>22</v>
      </c>
      <c r="HO1491">
        <v>5857944</v>
      </c>
      <c r="HP1491" t="s">
        <v>15152</v>
      </c>
      <c r="HR1491" s="1">
        <v>41787</v>
      </c>
      <c r="HS1491">
        <v>2013</v>
      </c>
      <c r="HT1491">
        <v>1478.51</v>
      </c>
      <c r="HU1491" t="s">
        <v>15153</v>
      </c>
      <c r="HV1491">
        <v>0.25</v>
      </c>
      <c r="HW1491" t="s">
        <v>424</v>
      </c>
      <c r="HX1491" t="s">
        <v>425</v>
      </c>
      <c r="HY1491" s="1">
        <v>41813</v>
      </c>
      <c r="HZ1491">
        <v>1</v>
      </c>
      <c r="IA1491">
        <v>2662137</v>
      </c>
      <c r="IB1491" t="s">
        <v>916</v>
      </c>
    </row>
    <row r="1492" spans="1:236" x14ac:dyDescent="0.25">
      <c r="A1492">
        <v>16486499</v>
      </c>
      <c r="B1492">
        <v>1491</v>
      </c>
      <c r="C1492" t="s">
        <v>393</v>
      </c>
      <c r="D1492" t="s">
        <v>394</v>
      </c>
      <c r="F1492" t="str">
        <f>"25-2N-28-0551-0067-0000"</f>
        <v>25-2N-28-0551-0067-0000</v>
      </c>
      <c r="H1492" t="str">
        <f>"ROSS WILLIAM L"</f>
        <v>ROSS WILLIAM L</v>
      </c>
      <c r="I1492" t="str">
        <f>"33119 SUNNY PARKE CIRCLE"</f>
        <v>33119 SUNNY PARKE CIRCLE</v>
      </c>
      <c r="J1492" t="str">
        <f>"FERNANDINA BEACH FL 32034"</f>
        <v>FERNANDINA BEACH FL 32034</v>
      </c>
      <c r="K1492" t="str">
        <f>"33119 SUNNY PARKE CIR"</f>
        <v>33119 SUNNY PARKE CIR</v>
      </c>
      <c r="L1492" t="str">
        <f t="shared" si="517"/>
        <v>FERNANDINA BEACH FL 32034</v>
      </c>
      <c r="M1492" t="str">
        <f>"LOT 67 IN OR 2018/204 FLORA PARKE 3 PB 6/402"</f>
        <v>LOT 67 IN OR 2018/204 FLORA PARKE 3 PB 6/402</v>
      </c>
      <c r="N1492" t="str">
        <f>""</f>
        <v/>
      </c>
      <c r="O1492" t="str">
        <f>"35810"</f>
        <v>35810</v>
      </c>
      <c r="P1492" t="str">
        <f t="shared" si="514"/>
        <v>2017</v>
      </c>
      <c r="Q1492" t="str">
        <f>""</f>
        <v/>
      </c>
      <c r="R1492" t="str">
        <f t="shared" si="516"/>
        <v>N</v>
      </c>
      <c r="S1492" t="str">
        <f>""</f>
        <v/>
      </c>
      <c r="T1492" t="str">
        <f>"3834.46"</f>
        <v>3834.46</v>
      </c>
      <c r="U1492" t="str">
        <f>"253286.00"</f>
        <v>253286.00</v>
      </c>
      <c r="V1492" t="str">
        <f>"253286.00"</f>
        <v>253286.00</v>
      </c>
      <c r="W1492" t="str">
        <f t="shared" si="515"/>
        <v>2017</v>
      </c>
      <c r="X1492" t="str">
        <f>""</f>
        <v/>
      </c>
      <c r="Y1492" t="str">
        <f>"3981.49"</f>
        <v>3981.49</v>
      </c>
      <c r="Z1492" t="str">
        <f>""</f>
        <v/>
      </c>
      <c r="AA1492" t="str">
        <f>"253286.00"</f>
        <v>253286.00</v>
      </c>
      <c r="AB1492" t="str">
        <f t="shared" si="518"/>
        <v>Residential</v>
      </c>
      <c r="AC1492" t="str">
        <f t="shared" si="499"/>
        <v>0</v>
      </c>
      <c r="AD1492" t="str">
        <f>"4"</f>
        <v>4</v>
      </c>
      <c r="AE1492" t="str">
        <f>"WOOD (INCLUDE STEEL STUDS)"</f>
        <v>WOOD (INCLUDE STEEL STUDS)</v>
      </c>
      <c r="AF1492" t="str">
        <f>"001"</f>
        <v>001</v>
      </c>
      <c r="AG1492" t="str">
        <f>"FL"</f>
        <v>FL</v>
      </c>
      <c r="AH1492" t="str">
        <f t="shared" ref="AH1492:AH1507" si="521">"-"</f>
        <v>-</v>
      </c>
      <c r="AI1492" t="str">
        <f>"36750.00"</f>
        <v>36750.00</v>
      </c>
      <c r="AJ1492" t="str">
        <f>"C55-000-589-0910-2"</f>
        <v>C55-000-589-0910-2</v>
      </c>
      <c r="AK1492" t="str">
        <f>"25796"</f>
        <v>25796</v>
      </c>
      <c r="AL1492">
        <v>6</v>
      </c>
      <c r="AM1492">
        <v>1709</v>
      </c>
      <c r="AN1492">
        <v>4178.96</v>
      </c>
      <c r="AQ1492" t="s">
        <v>15154</v>
      </c>
      <c r="AR1492" t="s">
        <v>15154</v>
      </c>
      <c r="AS1492" t="s">
        <v>15154</v>
      </c>
      <c r="AU1492" t="s">
        <v>396</v>
      </c>
      <c r="AV1492">
        <v>2017</v>
      </c>
      <c r="AW1492" t="str">
        <f>"25-2N-28-0551-0067-0000 "</f>
        <v xml:space="preserve">25-2N-28-0551-0067-0000 </v>
      </c>
      <c r="AX1492">
        <v>33119</v>
      </c>
      <c r="AZ1492" t="s">
        <v>15155</v>
      </c>
      <c r="BA1492" t="s">
        <v>1799</v>
      </c>
      <c r="BD1492" t="s">
        <v>11749</v>
      </c>
      <c r="BE1492" t="s">
        <v>393</v>
      </c>
      <c r="BF1492">
        <v>32034</v>
      </c>
      <c r="BG1492" t="s">
        <v>15156</v>
      </c>
      <c r="BH1492" t="s">
        <v>11751</v>
      </c>
      <c r="BI1492">
        <v>-81.538250200636696</v>
      </c>
      <c r="BJ1492">
        <v>30.6140699318678</v>
      </c>
      <c r="BK1492" t="s">
        <v>15157</v>
      </c>
      <c r="BM1492" t="s">
        <v>15156</v>
      </c>
      <c r="BN1492" t="s">
        <v>3983</v>
      </c>
      <c r="BO1492">
        <v>32034</v>
      </c>
      <c r="BP1492" t="s">
        <v>416</v>
      </c>
      <c r="BQ1492">
        <v>100</v>
      </c>
      <c r="BR1492" t="s">
        <v>514</v>
      </c>
      <c r="BS1492">
        <v>1001</v>
      </c>
      <c r="BT1492" t="s">
        <v>515</v>
      </c>
      <c r="BW1492">
        <v>23945</v>
      </c>
      <c r="BX1492" t="s">
        <v>407</v>
      </c>
      <c r="BZ1492">
        <v>4</v>
      </c>
      <c r="CA1492">
        <v>2005</v>
      </c>
      <c r="CB1492">
        <v>1</v>
      </c>
      <c r="CC1492">
        <v>1</v>
      </c>
      <c r="CD1492">
        <v>2017</v>
      </c>
      <c r="CE1492">
        <v>36750</v>
      </c>
      <c r="CF1492">
        <v>216536</v>
      </c>
      <c r="CG1492">
        <v>253286</v>
      </c>
      <c r="CH1492">
        <v>2017</v>
      </c>
      <c r="CI1492">
        <v>36750</v>
      </c>
      <c r="CJ1492">
        <v>216536</v>
      </c>
      <c r="CK1492">
        <v>253286</v>
      </c>
      <c r="CL1492">
        <v>2017</v>
      </c>
      <c r="CM1492">
        <v>3834.46</v>
      </c>
      <c r="CN1492" s="1">
        <v>42349</v>
      </c>
      <c r="CO1492">
        <v>297000</v>
      </c>
      <c r="CV1492">
        <v>0</v>
      </c>
      <c r="CZ1492" s="1">
        <v>42349</v>
      </c>
      <c r="DA1492">
        <v>0</v>
      </c>
      <c r="DD1492" t="s">
        <v>11749</v>
      </c>
      <c r="DF1492">
        <v>67</v>
      </c>
      <c r="DG1492">
        <v>25</v>
      </c>
      <c r="DJ1492" t="s">
        <v>15158</v>
      </c>
      <c r="DL1492">
        <v>50303</v>
      </c>
      <c r="DM1492" t="s">
        <v>15035</v>
      </c>
      <c r="DO1492" t="s">
        <v>15159</v>
      </c>
      <c r="DP1492">
        <v>0</v>
      </c>
      <c r="DQ1492">
        <v>0</v>
      </c>
      <c r="DR1492" t="s">
        <v>411</v>
      </c>
    </row>
    <row r="1493" spans="1:236" x14ac:dyDescent="0.25">
      <c r="A1493">
        <v>16486500</v>
      </c>
      <c r="B1493">
        <v>1492</v>
      </c>
      <c r="C1493" t="s">
        <v>393</v>
      </c>
      <c r="D1493" t="s">
        <v>394</v>
      </c>
      <c r="F1493" t="str">
        <f>"26-2N-28-006A-0068-0000"</f>
        <v>26-2N-28-006A-0068-0000</v>
      </c>
      <c r="H1493" t="str">
        <f>"WEEKLEY HOMES LP"</f>
        <v>WEEKLEY HOMES LP</v>
      </c>
      <c r="I1493" t="str">
        <f>"1235 NORTH LOOP WEST STE 205"</f>
        <v>1235 NORTH LOOP WEST STE 205</v>
      </c>
      <c r="J1493" t="str">
        <f>"HOUSTON TX 77008"</f>
        <v>HOUSTON TX 77008</v>
      </c>
      <c r="K1493" t="str">
        <f>"95092 BUCKEYE CT"</f>
        <v>95092 BUCKEYE CT</v>
      </c>
      <c r="L1493" t="str">
        <f t="shared" si="517"/>
        <v>FERNANDINA BEACH FL 32034</v>
      </c>
      <c r="M1493" t="str">
        <f>"LOT 68 IN OR 2003/1820 AMELIA NATIONAL 1 PB 7/48"</f>
        <v>LOT 68 IN OR 2003/1820 AMELIA NATIONAL 1 PB 7/48</v>
      </c>
      <c r="N1493" t="str">
        <f>""</f>
        <v/>
      </c>
      <c r="O1493" t="str">
        <f>"36185"</f>
        <v>36185</v>
      </c>
      <c r="P1493" t="str">
        <f t="shared" si="514"/>
        <v>2017</v>
      </c>
      <c r="Q1493" t="str">
        <f>""</f>
        <v/>
      </c>
      <c r="R1493" t="str">
        <f t="shared" si="516"/>
        <v>N</v>
      </c>
      <c r="S1493" t="str">
        <f>""</f>
        <v/>
      </c>
      <c r="T1493" t="str">
        <f>"2486.04"</f>
        <v>2486.04</v>
      </c>
      <c r="U1493" t="str">
        <f>"50000.00"</f>
        <v>50000.00</v>
      </c>
      <c r="V1493" t="str">
        <f>"50000.00"</f>
        <v>50000.00</v>
      </c>
      <c r="W1493" t="str">
        <f t="shared" si="515"/>
        <v>2017</v>
      </c>
      <c r="X1493" t="str">
        <f>""</f>
        <v/>
      </c>
      <c r="Y1493" t="str">
        <f>"2592.62"</f>
        <v>2592.62</v>
      </c>
      <c r="Z1493" t="str">
        <f>""</f>
        <v/>
      </c>
      <c r="AA1493" t="str">
        <f>"50000.00"</f>
        <v>50000.00</v>
      </c>
      <c r="AB1493" t="str">
        <f t="shared" si="518"/>
        <v>Residential</v>
      </c>
      <c r="AC1493" t="str">
        <f t="shared" si="499"/>
        <v>0</v>
      </c>
      <c r="AD1493" t="str">
        <f>""</f>
        <v/>
      </c>
      <c r="AE1493" t="str">
        <f>""</f>
        <v/>
      </c>
      <c r="AF1493" t="str">
        <f>"000"</f>
        <v>000</v>
      </c>
      <c r="AG1493" t="str">
        <f>"TX"</f>
        <v>TX</v>
      </c>
      <c r="AH1493" t="str">
        <f t="shared" si="521"/>
        <v>-</v>
      </c>
      <c r="AI1493" t="str">
        <f>"50000.00"</f>
        <v>50000.00</v>
      </c>
      <c r="AJ1493" t="str">
        <f>"C55-000-589-1691-7"</f>
        <v>C55-000-589-1691-7</v>
      </c>
      <c r="AK1493" t="str">
        <f>"25917"</f>
        <v>25917</v>
      </c>
      <c r="AL1493">
        <v>6</v>
      </c>
      <c r="AM1493">
        <v>1710</v>
      </c>
      <c r="AN1493">
        <v>2720.65</v>
      </c>
      <c r="AQ1493" t="s">
        <v>15160</v>
      </c>
      <c r="AR1493" t="s">
        <v>15160</v>
      </c>
      <c r="AS1493" t="s">
        <v>15160</v>
      </c>
      <c r="AU1493" t="s">
        <v>396</v>
      </c>
      <c r="AV1493">
        <v>2017</v>
      </c>
      <c r="AW1493" t="str">
        <f>"26-2N-28-006A-0068-0000 "</f>
        <v xml:space="preserve">26-2N-28-006A-0068-0000 </v>
      </c>
      <c r="AX1493">
        <v>95092</v>
      </c>
      <c r="AZ1493" t="s">
        <v>15161</v>
      </c>
      <c r="BA1493" t="s">
        <v>3181</v>
      </c>
      <c r="BD1493" t="s">
        <v>11749</v>
      </c>
      <c r="BE1493" t="s">
        <v>393</v>
      </c>
      <c r="BF1493">
        <v>32034</v>
      </c>
      <c r="BG1493" t="s">
        <v>15162</v>
      </c>
      <c r="BH1493" t="s">
        <v>11751</v>
      </c>
      <c r="BI1493">
        <v>-81.535099193644797</v>
      </c>
      <c r="BJ1493">
        <v>30.5959037106051</v>
      </c>
      <c r="BK1493" t="s">
        <v>15163</v>
      </c>
      <c r="BM1493" t="s">
        <v>15164</v>
      </c>
      <c r="BN1493" t="s">
        <v>548</v>
      </c>
      <c r="BO1493">
        <v>32223</v>
      </c>
      <c r="BP1493" t="s">
        <v>404</v>
      </c>
      <c r="BQ1493">
        <v>0</v>
      </c>
      <c r="BR1493" t="s">
        <v>491</v>
      </c>
      <c r="BS1493">
        <v>8001</v>
      </c>
      <c r="BT1493" t="s">
        <v>492</v>
      </c>
      <c r="BW1493">
        <v>15767</v>
      </c>
      <c r="BX1493" t="s">
        <v>407</v>
      </c>
      <c r="BY1493" t="s">
        <v>3019</v>
      </c>
      <c r="CD1493">
        <v>2017</v>
      </c>
      <c r="CE1493">
        <v>50000</v>
      </c>
      <c r="CG1493">
        <v>50000</v>
      </c>
      <c r="CH1493">
        <v>2017</v>
      </c>
      <c r="CI1493">
        <v>50000</v>
      </c>
      <c r="CK1493">
        <v>50000</v>
      </c>
      <c r="CL1493">
        <v>2017</v>
      </c>
      <c r="CM1493">
        <v>2486.04</v>
      </c>
      <c r="CN1493" s="1">
        <v>43019</v>
      </c>
      <c r="CO1493">
        <v>111000</v>
      </c>
      <c r="CV1493">
        <v>0</v>
      </c>
      <c r="CZ1493" s="1">
        <v>43019</v>
      </c>
      <c r="DA1493">
        <v>0</v>
      </c>
      <c r="DD1493" t="s">
        <v>11749</v>
      </c>
      <c r="DF1493">
        <v>68</v>
      </c>
      <c r="DG1493">
        <v>26</v>
      </c>
      <c r="DJ1493" t="s">
        <v>15165</v>
      </c>
      <c r="DL1493">
        <v>50303</v>
      </c>
      <c r="DM1493" t="s">
        <v>15166</v>
      </c>
      <c r="DO1493" t="s">
        <v>15167</v>
      </c>
      <c r="DP1493">
        <v>0</v>
      </c>
      <c r="DQ1493">
        <v>0</v>
      </c>
      <c r="DR1493" t="s">
        <v>411</v>
      </c>
      <c r="EL1493" s="1">
        <v>38848</v>
      </c>
      <c r="EM1493" t="s">
        <v>15168</v>
      </c>
      <c r="EN1493" t="s">
        <v>15169</v>
      </c>
      <c r="EO1493" s="3">
        <v>14575000</v>
      </c>
    </row>
    <row r="1494" spans="1:236" x14ac:dyDescent="0.25">
      <c r="A1494">
        <v>16486501</v>
      </c>
      <c r="B1494">
        <v>1493</v>
      </c>
      <c r="C1494" t="s">
        <v>393</v>
      </c>
      <c r="D1494" t="s">
        <v>394</v>
      </c>
      <c r="F1494" t="str">
        <f>"26-2N-28-006A-0127-0000"</f>
        <v>26-2N-28-006A-0127-0000</v>
      </c>
      <c r="H1494" t="str">
        <f>"WEEKLEY HOMES LP"</f>
        <v>WEEKLEY HOMES LP</v>
      </c>
      <c r="I1494" t="str">
        <f>"1235 NORTH LOOP WEST STE 205"</f>
        <v>1235 NORTH LOOP WEST STE 205</v>
      </c>
      <c r="J1494" t="str">
        <f>"HOUSTON TX 77008"</f>
        <v>HOUSTON TX 77008</v>
      </c>
      <c r="K1494" t="str">
        <f>"95034 BERMUDA DR"</f>
        <v>95034 BERMUDA DR</v>
      </c>
      <c r="L1494" t="str">
        <f t="shared" si="517"/>
        <v>FERNANDINA BEACH FL 32034</v>
      </c>
      <c r="M1494" t="str">
        <f>"LOT 127 IN OR 2003/1820 AMELIA NATIONAL 1 PB 7/48"</f>
        <v>LOT 127 IN OR 2003/1820 AMELIA NATIONAL 1 PB 7/48</v>
      </c>
      <c r="N1494" t="str">
        <f>""</f>
        <v/>
      </c>
      <c r="O1494" t="str">
        <f>"36247"</f>
        <v>36247</v>
      </c>
      <c r="P1494" t="str">
        <f t="shared" si="514"/>
        <v>2017</v>
      </c>
      <c r="Q1494" t="str">
        <f>""</f>
        <v/>
      </c>
      <c r="R1494" t="str">
        <f t="shared" si="516"/>
        <v>N</v>
      </c>
      <c r="S1494" t="str">
        <f>""</f>
        <v/>
      </c>
      <c r="T1494" t="str">
        <f>"2523.89"</f>
        <v>2523.89</v>
      </c>
      <c r="U1494" t="str">
        <f>"52500.00"</f>
        <v>52500.00</v>
      </c>
      <c r="V1494" t="str">
        <f>"52500.00"</f>
        <v>52500.00</v>
      </c>
      <c r="W1494" t="str">
        <f t="shared" si="515"/>
        <v>2017</v>
      </c>
      <c r="X1494" t="str">
        <f>""</f>
        <v/>
      </c>
      <c r="Y1494" t="str">
        <f>"2631.61"</f>
        <v>2631.61</v>
      </c>
      <c r="Z1494" t="str">
        <f>""</f>
        <v/>
      </c>
      <c r="AA1494" t="str">
        <f>"52500.00"</f>
        <v>52500.00</v>
      </c>
      <c r="AB1494" t="str">
        <f t="shared" si="518"/>
        <v>Residential</v>
      </c>
      <c r="AC1494" t="str">
        <f t="shared" si="499"/>
        <v>0</v>
      </c>
      <c r="AD1494" t="str">
        <f>""</f>
        <v/>
      </c>
      <c r="AE1494" t="str">
        <f>""</f>
        <v/>
      </c>
      <c r="AF1494" t="str">
        <f>"000"</f>
        <v>000</v>
      </c>
      <c r="AG1494" t="str">
        <f>"TX"</f>
        <v>TX</v>
      </c>
      <c r="AH1494" t="str">
        <f t="shared" si="521"/>
        <v>-</v>
      </c>
      <c r="AI1494" t="str">
        <f>"52500.00"</f>
        <v>52500.00</v>
      </c>
      <c r="AJ1494" t="str">
        <f>"C55-000-589-1753-5"</f>
        <v>C55-000-589-1753-5</v>
      </c>
      <c r="AK1494" t="str">
        <f>"25976"</f>
        <v>25976</v>
      </c>
      <c r="AL1494">
        <v>6</v>
      </c>
      <c r="AM1494">
        <v>1711</v>
      </c>
      <c r="AN1494">
        <v>2761.59</v>
      </c>
      <c r="AQ1494" t="s">
        <v>15170</v>
      </c>
      <c r="AR1494" t="s">
        <v>15170</v>
      </c>
      <c r="AS1494" t="s">
        <v>15170</v>
      </c>
      <c r="AU1494" t="s">
        <v>396</v>
      </c>
      <c r="AV1494">
        <v>2017</v>
      </c>
      <c r="AW1494" t="str">
        <f>"26-2N-28-006A-0127-0000 "</f>
        <v xml:space="preserve">26-2N-28-006A-0127-0000 </v>
      </c>
      <c r="AX1494">
        <v>95034</v>
      </c>
      <c r="AZ1494" t="s">
        <v>15171</v>
      </c>
      <c r="BA1494" t="s">
        <v>669</v>
      </c>
      <c r="BD1494" t="s">
        <v>11749</v>
      </c>
      <c r="BE1494" t="s">
        <v>393</v>
      </c>
      <c r="BF1494">
        <v>32034</v>
      </c>
      <c r="BG1494" t="s">
        <v>15172</v>
      </c>
      <c r="BH1494" t="s">
        <v>11751</v>
      </c>
      <c r="BI1494">
        <v>-81.540305681549398</v>
      </c>
      <c r="BJ1494">
        <v>30.5982354986415</v>
      </c>
      <c r="BK1494" t="s">
        <v>15163</v>
      </c>
      <c r="BM1494" t="s">
        <v>15164</v>
      </c>
      <c r="BN1494" t="s">
        <v>548</v>
      </c>
      <c r="BO1494">
        <v>32223</v>
      </c>
      <c r="BP1494" t="s">
        <v>404</v>
      </c>
      <c r="BQ1494">
        <v>0</v>
      </c>
      <c r="BR1494" t="s">
        <v>491</v>
      </c>
      <c r="BS1494">
        <v>8001</v>
      </c>
      <c r="BT1494" t="s">
        <v>492</v>
      </c>
      <c r="BW1494">
        <v>8990</v>
      </c>
      <c r="BX1494" t="s">
        <v>407</v>
      </c>
      <c r="BY1494" t="s">
        <v>3019</v>
      </c>
      <c r="CD1494">
        <v>2017</v>
      </c>
      <c r="CE1494">
        <v>52500</v>
      </c>
      <c r="CG1494">
        <v>52500</v>
      </c>
      <c r="CH1494">
        <v>2017</v>
      </c>
      <c r="CI1494">
        <v>52500</v>
      </c>
      <c r="CK1494">
        <v>52500</v>
      </c>
      <c r="CL1494">
        <v>2017</v>
      </c>
      <c r="CM1494">
        <v>2523.89</v>
      </c>
      <c r="CN1494" s="1">
        <v>43019</v>
      </c>
      <c r="CO1494">
        <v>111000</v>
      </c>
      <c r="CV1494">
        <v>0</v>
      </c>
      <c r="CZ1494" s="1">
        <v>43019</v>
      </c>
      <c r="DA1494">
        <v>0</v>
      </c>
      <c r="DD1494" t="s">
        <v>11749</v>
      </c>
      <c r="DF1494">
        <v>127</v>
      </c>
      <c r="DG1494">
        <v>26</v>
      </c>
      <c r="DJ1494" t="s">
        <v>15165</v>
      </c>
      <c r="DL1494">
        <v>50303</v>
      </c>
      <c r="DM1494" t="s">
        <v>15166</v>
      </c>
      <c r="DO1494" t="s">
        <v>15173</v>
      </c>
      <c r="DP1494">
        <v>0</v>
      </c>
      <c r="DQ1494">
        <v>0</v>
      </c>
      <c r="DR1494" t="s">
        <v>411</v>
      </c>
      <c r="EL1494" s="1">
        <v>38910</v>
      </c>
      <c r="EM1494" t="s">
        <v>15168</v>
      </c>
      <c r="EN1494" t="s">
        <v>15169</v>
      </c>
      <c r="EO1494" s="3">
        <v>14575000</v>
      </c>
    </row>
    <row r="1495" spans="1:236" x14ac:dyDescent="0.25">
      <c r="A1495">
        <v>16486502</v>
      </c>
      <c r="B1495">
        <v>1494</v>
      </c>
      <c r="C1495" t="s">
        <v>393</v>
      </c>
      <c r="D1495" t="s">
        <v>394</v>
      </c>
      <c r="F1495" t="str">
        <f>"26-2N-28-006A-0145-0000"</f>
        <v>26-2N-28-006A-0145-0000</v>
      </c>
      <c r="H1495" t="str">
        <f>"GOWER JAMES N &amp; VALENCIA D"</f>
        <v>GOWER JAMES N &amp; VALENCIA D</v>
      </c>
      <c r="I1495" t="str">
        <f>"95012 SUNFLOWER COURT"</f>
        <v>95012 SUNFLOWER COURT</v>
      </c>
      <c r="J1495" t="str">
        <f>"FERNANDINA BEACH FL 32034"</f>
        <v>FERNANDINA BEACH FL 32034</v>
      </c>
      <c r="K1495" t="str">
        <f>"95012 SUNFLOWER CT"</f>
        <v>95012 SUNFLOWER CT</v>
      </c>
      <c r="L1495" t="str">
        <f t="shared" si="517"/>
        <v>FERNANDINA BEACH FL 32034</v>
      </c>
      <c r="M1495" t="str">
        <f>"LOT 145 IN OR 1855/208 AMELIA NATIONAL 1 PB 7/48"</f>
        <v>LOT 145 IN OR 1855/208 AMELIA NATIONAL 1 PB 7/48</v>
      </c>
      <c r="N1495" t="str">
        <f>""</f>
        <v/>
      </c>
      <c r="O1495" t="str">
        <f>"36265"</f>
        <v>36265</v>
      </c>
      <c r="P1495" t="str">
        <f t="shared" si="514"/>
        <v>2017</v>
      </c>
      <c r="Q1495" t="str">
        <f>""</f>
        <v/>
      </c>
      <c r="R1495" t="str">
        <f>"Y"</f>
        <v>Y</v>
      </c>
      <c r="S1495" t="str">
        <f>""</f>
        <v/>
      </c>
      <c r="T1495" t="str">
        <f>"3813.54"</f>
        <v>3813.54</v>
      </c>
      <c r="U1495" t="str">
        <f>"176792.00"</f>
        <v>176792.00</v>
      </c>
      <c r="V1495" t="str">
        <f>"176792.00"</f>
        <v>176792.00</v>
      </c>
      <c r="W1495" t="str">
        <f t="shared" si="515"/>
        <v>2017</v>
      </c>
      <c r="X1495" t="str">
        <f>"18.00"</f>
        <v>18.00</v>
      </c>
      <c r="Y1495" t="str">
        <f>"3959.95"</f>
        <v>3959.95</v>
      </c>
      <c r="Z1495" t="str">
        <f>"25000.00"</f>
        <v>25000.00</v>
      </c>
      <c r="AA1495" t="str">
        <f>"151792.00"</f>
        <v>151792.00</v>
      </c>
      <c r="AB1495" t="str">
        <f t="shared" si="518"/>
        <v>Residential</v>
      </c>
      <c r="AC1495" t="str">
        <f t="shared" si="499"/>
        <v>0</v>
      </c>
      <c r="AD1495" t="str">
        <f>"4"</f>
        <v>4</v>
      </c>
      <c r="AE1495" t="str">
        <f>"WOOD (INCLUDE STEEL STUDS)"</f>
        <v>WOOD (INCLUDE STEEL STUDS)</v>
      </c>
      <c r="AF1495" t="str">
        <f>"001"</f>
        <v>001</v>
      </c>
      <c r="AG1495" t="str">
        <f>"FL"</f>
        <v>FL</v>
      </c>
      <c r="AH1495" t="str">
        <f t="shared" si="521"/>
        <v>-</v>
      </c>
      <c r="AI1495" t="str">
        <f>"50000.00"</f>
        <v>50000.00</v>
      </c>
      <c r="AJ1495" t="str">
        <f>"C55-000-589-1771-7"</f>
        <v>C55-000-589-1771-7</v>
      </c>
      <c r="AK1495" t="str">
        <f>"25994"</f>
        <v>25994</v>
      </c>
      <c r="AL1495">
        <v>6</v>
      </c>
      <c r="AM1495">
        <v>1712</v>
      </c>
      <c r="AN1495">
        <v>4156.3500000000004</v>
      </c>
      <c r="AQ1495" t="s">
        <v>15174</v>
      </c>
      <c r="AR1495" t="s">
        <v>15174</v>
      </c>
      <c r="AS1495" t="s">
        <v>15174</v>
      </c>
      <c r="AU1495" t="s">
        <v>396</v>
      </c>
      <c r="AV1495">
        <v>2017</v>
      </c>
      <c r="AW1495" t="str">
        <f>"26-2N-28-006A-0145-0000 "</f>
        <v xml:space="preserve">26-2N-28-006A-0145-0000 </v>
      </c>
      <c r="AX1495">
        <v>95012</v>
      </c>
      <c r="AZ1495" t="s">
        <v>15175</v>
      </c>
      <c r="BA1495" t="s">
        <v>3181</v>
      </c>
      <c r="BD1495" t="s">
        <v>11749</v>
      </c>
      <c r="BE1495" t="s">
        <v>393</v>
      </c>
      <c r="BF1495">
        <v>32034</v>
      </c>
      <c r="BG1495" t="s">
        <v>15176</v>
      </c>
      <c r="BH1495" t="s">
        <v>11751</v>
      </c>
      <c r="BI1495">
        <v>-81.542774660022005</v>
      </c>
      <c r="BJ1495">
        <v>30.59981581161</v>
      </c>
      <c r="BK1495" t="s">
        <v>15177</v>
      </c>
      <c r="BL1495" t="s">
        <v>15178</v>
      </c>
      <c r="BM1495" t="s">
        <v>15176</v>
      </c>
      <c r="BN1495" t="s">
        <v>3983</v>
      </c>
      <c r="BO1495">
        <v>32034</v>
      </c>
      <c r="BP1495" t="s">
        <v>416</v>
      </c>
      <c r="BQ1495">
        <v>100</v>
      </c>
      <c r="BR1495" t="s">
        <v>514</v>
      </c>
      <c r="BS1495">
        <v>1001</v>
      </c>
      <c r="BT1495" t="s">
        <v>515</v>
      </c>
      <c r="BW1495">
        <v>12553</v>
      </c>
      <c r="BX1495" t="s">
        <v>407</v>
      </c>
      <c r="BY1495" t="s">
        <v>3019</v>
      </c>
      <c r="BZ1495">
        <v>4</v>
      </c>
      <c r="CA1495">
        <v>2005</v>
      </c>
      <c r="CB1495">
        <v>1</v>
      </c>
      <c r="CC1495">
        <v>1</v>
      </c>
      <c r="CD1495">
        <v>2017</v>
      </c>
      <c r="CG1495">
        <v>176792</v>
      </c>
      <c r="CH1495">
        <v>2017</v>
      </c>
      <c r="CI1495">
        <v>50000</v>
      </c>
      <c r="CJ1495">
        <v>217748</v>
      </c>
      <c r="CK1495">
        <v>267748</v>
      </c>
      <c r="CL1495">
        <v>2017</v>
      </c>
      <c r="CM1495">
        <v>3813.54</v>
      </c>
      <c r="CN1495" s="1">
        <v>41400</v>
      </c>
      <c r="CO1495">
        <v>239000</v>
      </c>
      <c r="CV1495">
        <v>0</v>
      </c>
      <c r="CZ1495" s="1">
        <v>41400</v>
      </c>
      <c r="DA1495">
        <v>0</v>
      </c>
      <c r="DD1495" t="s">
        <v>11749</v>
      </c>
      <c r="DF1495">
        <v>145</v>
      </c>
      <c r="DG1495">
        <v>26</v>
      </c>
      <c r="DJ1495" t="s">
        <v>15165</v>
      </c>
      <c r="DL1495">
        <v>50303</v>
      </c>
      <c r="DM1495" t="s">
        <v>15166</v>
      </c>
      <c r="DO1495" t="s">
        <v>15179</v>
      </c>
      <c r="DP1495">
        <v>0</v>
      </c>
      <c r="DQ1495">
        <v>0</v>
      </c>
      <c r="DR1495" t="s">
        <v>411</v>
      </c>
      <c r="DS1495" t="b">
        <v>1</v>
      </c>
      <c r="DT1495" t="s">
        <v>470</v>
      </c>
      <c r="DU1495" t="s">
        <v>471</v>
      </c>
      <c r="DV1495" t="s">
        <v>472</v>
      </c>
      <c r="DX1495">
        <v>-9999</v>
      </c>
      <c r="DZ1495" t="s">
        <v>447</v>
      </c>
      <c r="EA1495" t="s">
        <v>448</v>
      </c>
      <c r="EB1495" t="s">
        <v>742</v>
      </c>
      <c r="EC1495">
        <v>20101217</v>
      </c>
      <c r="ED1495" t="s">
        <v>474</v>
      </c>
      <c r="EF1495">
        <v>3123.6</v>
      </c>
      <c r="EG1495">
        <v>1946.1</v>
      </c>
      <c r="EI1495">
        <v>20160407</v>
      </c>
      <c r="EJ1495">
        <v>0</v>
      </c>
      <c r="EK1495">
        <v>0</v>
      </c>
      <c r="EL1495" s="1">
        <v>38928</v>
      </c>
      <c r="EM1495" t="s">
        <v>15168</v>
      </c>
      <c r="EN1495" t="s">
        <v>15169</v>
      </c>
      <c r="EO1495" s="3">
        <v>14575000</v>
      </c>
      <c r="EP1495" t="s">
        <v>421</v>
      </c>
      <c r="EQ1495" t="s">
        <v>422</v>
      </c>
      <c r="ER1495">
        <v>2</v>
      </c>
      <c r="ES1495">
        <v>5</v>
      </c>
      <c r="ET1495">
        <v>8238.14</v>
      </c>
      <c r="EU1495">
        <v>424.41</v>
      </c>
      <c r="EV1495">
        <v>8662.5499999999993</v>
      </c>
      <c r="EW1495" s="2">
        <v>43222</v>
      </c>
      <c r="EX1495" s="1">
        <v>42879</v>
      </c>
      <c r="EY1495">
        <v>2016</v>
      </c>
      <c r="EZ1495">
        <v>4119.07</v>
      </c>
      <c r="FA1495" t="s">
        <v>15180</v>
      </c>
      <c r="FB1495">
        <v>0.25</v>
      </c>
      <c r="FC1495" t="s">
        <v>424</v>
      </c>
      <c r="FD1495" t="s">
        <v>454</v>
      </c>
      <c r="FF1495">
        <v>12</v>
      </c>
      <c r="FG1495">
        <v>7400234</v>
      </c>
      <c r="FH1495" t="s">
        <v>426</v>
      </c>
      <c r="FJ1495" s="1">
        <v>42879</v>
      </c>
      <c r="FK1495">
        <v>2016</v>
      </c>
      <c r="FL1495">
        <v>4119.07</v>
      </c>
      <c r="FM1495" t="s">
        <v>15180</v>
      </c>
      <c r="FN1495">
        <v>0.25</v>
      </c>
      <c r="FO1495" t="s">
        <v>424</v>
      </c>
      <c r="FP1495" t="s">
        <v>454</v>
      </c>
      <c r="FR1495">
        <v>12</v>
      </c>
      <c r="FS1495">
        <v>7537821</v>
      </c>
      <c r="FT1495" t="s">
        <v>15181</v>
      </c>
      <c r="FV1495" s="1">
        <v>42515</v>
      </c>
      <c r="FW1495">
        <v>2015</v>
      </c>
      <c r="FX1495">
        <v>4040.67</v>
      </c>
      <c r="FY1495" t="s">
        <v>15182</v>
      </c>
      <c r="FZ1495">
        <v>0.25</v>
      </c>
      <c r="GA1495" t="s">
        <v>424</v>
      </c>
      <c r="GB1495" t="s">
        <v>425</v>
      </c>
      <c r="GC1495" s="1">
        <v>43172</v>
      </c>
      <c r="GD1495">
        <v>22</v>
      </c>
      <c r="GE1495">
        <v>2851116</v>
      </c>
      <c r="GF1495" t="s">
        <v>480</v>
      </c>
      <c r="GH1495" s="1">
        <v>42515</v>
      </c>
      <c r="GI1495">
        <v>2015</v>
      </c>
      <c r="GJ1495">
        <v>4040.67</v>
      </c>
      <c r="GK1495" t="s">
        <v>15182</v>
      </c>
      <c r="GL1495">
        <v>0.25</v>
      </c>
      <c r="GM1495" t="s">
        <v>424</v>
      </c>
      <c r="GN1495" t="s">
        <v>425</v>
      </c>
      <c r="GP1495">
        <v>22</v>
      </c>
      <c r="GQ1495">
        <v>5625059</v>
      </c>
      <c r="GR1495" t="s">
        <v>15183</v>
      </c>
      <c r="GT1495" s="1">
        <v>42151</v>
      </c>
      <c r="GU1495">
        <v>2014</v>
      </c>
      <c r="GV1495">
        <v>4152.7700000000004</v>
      </c>
      <c r="GW1495" t="s">
        <v>15184</v>
      </c>
      <c r="GX1495">
        <v>0.25</v>
      </c>
      <c r="GY1495" t="s">
        <v>424</v>
      </c>
      <c r="GZ1495" t="s">
        <v>425</v>
      </c>
      <c r="HA1495" s="1">
        <v>42823</v>
      </c>
      <c r="HB1495">
        <v>22</v>
      </c>
      <c r="HC1495">
        <v>2101382</v>
      </c>
      <c r="HD1495" t="s">
        <v>993</v>
      </c>
      <c r="HF1495" s="1">
        <v>42151</v>
      </c>
      <c r="HG1495">
        <v>2014</v>
      </c>
      <c r="HH1495">
        <v>4152.7700000000004</v>
      </c>
      <c r="HI1495" t="s">
        <v>15184</v>
      </c>
      <c r="HJ1495">
        <v>0.25</v>
      </c>
      <c r="HK1495" t="s">
        <v>424</v>
      </c>
      <c r="HL1495" t="s">
        <v>425</v>
      </c>
      <c r="HN1495">
        <v>22</v>
      </c>
      <c r="HO1495">
        <v>5453294</v>
      </c>
      <c r="HP1495" t="s">
        <v>15185</v>
      </c>
      <c r="HR1495" s="1">
        <v>41787</v>
      </c>
      <c r="HS1495">
        <v>2013</v>
      </c>
      <c r="HT1495">
        <v>4454.63</v>
      </c>
      <c r="HU1495" t="s">
        <v>15186</v>
      </c>
      <c r="HV1495">
        <v>0.25</v>
      </c>
      <c r="HW1495" t="s">
        <v>424</v>
      </c>
      <c r="HX1495" t="s">
        <v>425</v>
      </c>
      <c r="HY1495" s="1">
        <v>42458</v>
      </c>
      <c r="HZ1495">
        <v>22</v>
      </c>
      <c r="IA1495">
        <v>2407503</v>
      </c>
      <c r="IB1495" t="s">
        <v>461</v>
      </c>
    </row>
    <row r="1496" spans="1:236" x14ac:dyDescent="0.25">
      <c r="A1496">
        <v>16486503</v>
      </c>
      <c r="B1496">
        <v>1495</v>
      </c>
      <c r="C1496" t="s">
        <v>393</v>
      </c>
      <c r="D1496" t="s">
        <v>394</v>
      </c>
      <c r="F1496" t="str">
        <f>"26-2N-28-006A-0223-0000"</f>
        <v>26-2N-28-006A-0223-0000</v>
      </c>
      <c r="H1496" t="str">
        <f>"HEIDER JEANETTE D"</f>
        <v>HEIDER JEANETTE D</v>
      </c>
      <c r="I1496" t="str">
        <f>"604 OCEAN CLUB CT"</f>
        <v>604 OCEAN CLUB CT</v>
      </c>
      <c r="J1496" t="str">
        <f>"FERNANDINA BEACH FL 32034"</f>
        <v>FERNANDINA BEACH FL 32034</v>
      </c>
      <c r="K1496" t="str">
        <f>"95048 SUGARBERRY CT"</f>
        <v>95048 SUGARBERRY CT</v>
      </c>
      <c r="L1496" t="str">
        <f t="shared" si="517"/>
        <v>FERNANDINA BEACH FL 32034</v>
      </c>
      <c r="M1496" t="str">
        <f>"LOT 223 IN OR 1600/216 AMELIA NATIONAL 1B PB 7/191"</f>
        <v>LOT 223 IN OR 1600/216 AMELIA NATIONAL 1B PB 7/191</v>
      </c>
      <c r="N1496" t="str">
        <f>""</f>
        <v/>
      </c>
      <c r="O1496" t="str">
        <f>"36323"</f>
        <v>36323</v>
      </c>
      <c r="P1496" t="str">
        <f t="shared" si="514"/>
        <v>2017</v>
      </c>
      <c r="Q1496" t="str">
        <f>""</f>
        <v/>
      </c>
      <c r="R1496" t="str">
        <f t="shared" ref="R1496:R1512" si="522">"N"</f>
        <v>N</v>
      </c>
      <c r="S1496" t="str">
        <f>""</f>
        <v/>
      </c>
      <c r="T1496" t="str">
        <f>"6271.40"</f>
        <v>6271.40</v>
      </c>
      <c r="U1496" t="str">
        <f>"300044.00"</f>
        <v>300044.00</v>
      </c>
      <c r="V1496" t="str">
        <f>"300044.00"</f>
        <v>300044.00</v>
      </c>
      <c r="W1496" t="str">
        <f t="shared" si="515"/>
        <v>2017</v>
      </c>
      <c r="X1496" t="str">
        <f>""</f>
        <v/>
      </c>
      <c r="Y1496" t="str">
        <f>"6491.54"</f>
        <v>6491.54</v>
      </c>
      <c r="Z1496" t="str">
        <f>""</f>
        <v/>
      </c>
      <c r="AA1496" t="str">
        <f>"300044.00"</f>
        <v>300044.00</v>
      </c>
      <c r="AB1496" t="str">
        <f t="shared" si="518"/>
        <v>Residential</v>
      </c>
      <c r="AC1496" t="str">
        <f t="shared" ref="AC1496:AC1559" si="523">"0"</f>
        <v>0</v>
      </c>
      <c r="AD1496" t="str">
        <f>"4"</f>
        <v>4</v>
      </c>
      <c r="AE1496" t="str">
        <f>"WOOD (INCLUDE STEEL STUDS)"</f>
        <v>WOOD (INCLUDE STEEL STUDS)</v>
      </c>
      <c r="AF1496" t="str">
        <f>"001"</f>
        <v>001</v>
      </c>
      <c r="AG1496" t="str">
        <f>"FL"</f>
        <v>FL</v>
      </c>
      <c r="AH1496" t="str">
        <f t="shared" si="521"/>
        <v>-</v>
      </c>
      <c r="AI1496" t="str">
        <f>"52500.00"</f>
        <v>52500.00</v>
      </c>
      <c r="AJ1496" t="str">
        <f>"C55-000-988-1971-7"</f>
        <v>C55-000-988-1971-7</v>
      </c>
      <c r="AK1496" t="str">
        <f>"26052"</f>
        <v>26052</v>
      </c>
      <c r="AL1496">
        <v>6</v>
      </c>
      <c r="AM1496">
        <v>1713</v>
      </c>
      <c r="AN1496">
        <v>6814.52</v>
      </c>
      <c r="AQ1496" t="s">
        <v>15187</v>
      </c>
      <c r="AR1496" t="s">
        <v>15187</v>
      </c>
      <c r="AS1496" t="s">
        <v>15187</v>
      </c>
      <c r="AU1496" t="s">
        <v>396</v>
      </c>
      <c r="AV1496">
        <v>2017</v>
      </c>
      <c r="AW1496" t="str">
        <f>"26-2N-28-006A-0223-0000 "</f>
        <v xml:space="preserve">26-2N-28-006A-0223-0000 </v>
      </c>
      <c r="AX1496">
        <v>95048</v>
      </c>
      <c r="AZ1496" t="s">
        <v>15188</v>
      </c>
      <c r="BA1496" t="s">
        <v>3181</v>
      </c>
      <c r="BD1496" t="s">
        <v>11749</v>
      </c>
      <c r="BE1496" t="s">
        <v>393</v>
      </c>
      <c r="BF1496">
        <v>32034</v>
      </c>
      <c r="BG1496" t="s">
        <v>15189</v>
      </c>
      <c r="BH1496" t="s">
        <v>11751</v>
      </c>
      <c r="BI1496">
        <v>-81.530354473535894</v>
      </c>
      <c r="BJ1496">
        <v>30.595246399508198</v>
      </c>
      <c r="BK1496" t="s">
        <v>15190</v>
      </c>
      <c r="BM1496" t="s">
        <v>15191</v>
      </c>
      <c r="BN1496" t="s">
        <v>3983</v>
      </c>
      <c r="BO1496">
        <v>32034</v>
      </c>
      <c r="BP1496" t="s">
        <v>404</v>
      </c>
      <c r="BQ1496">
        <v>100</v>
      </c>
      <c r="BR1496" t="s">
        <v>514</v>
      </c>
      <c r="BS1496">
        <v>1001</v>
      </c>
      <c r="BT1496" t="s">
        <v>515</v>
      </c>
      <c r="BW1496">
        <v>12421</v>
      </c>
      <c r="BX1496" t="s">
        <v>407</v>
      </c>
      <c r="BY1496" t="s">
        <v>3019</v>
      </c>
      <c r="BZ1496">
        <v>4</v>
      </c>
      <c r="CA1496">
        <v>2008</v>
      </c>
      <c r="CB1496">
        <v>1</v>
      </c>
      <c r="CC1496">
        <v>1</v>
      </c>
      <c r="CD1496">
        <v>2017</v>
      </c>
      <c r="CE1496">
        <v>52500</v>
      </c>
      <c r="CF1496">
        <v>247544</v>
      </c>
      <c r="CG1496">
        <v>300044</v>
      </c>
      <c r="CH1496">
        <v>2017</v>
      </c>
      <c r="CI1496">
        <v>52500</v>
      </c>
      <c r="CJ1496">
        <v>247544</v>
      </c>
      <c r="CK1496">
        <v>300044</v>
      </c>
      <c r="CL1496">
        <v>2017</v>
      </c>
      <c r="CM1496">
        <v>6271.4</v>
      </c>
      <c r="CN1496" s="1">
        <v>39821</v>
      </c>
      <c r="CO1496">
        <v>384700</v>
      </c>
      <c r="CV1496">
        <v>0</v>
      </c>
      <c r="CZ1496" s="1">
        <v>39821</v>
      </c>
      <c r="DA1496">
        <v>0</v>
      </c>
      <c r="DD1496" t="s">
        <v>11749</v>
      </c>
      <c r="DF1496">
        <v>223</v>
      </c>
      <c r="DG1496">
        <v>26</v>
      </c>
      <c r="DJ1496" t="s">
        <v>15165</v>
      </c>
      <c r="DL1496">
        <v>50303</v>
      </c>
      <c r="DM1496" t="s">
        <v>15166</v>
      </c>
      <c r="DO1496" t="s">
        <v>15192</v>
      </c>
      <c r="DP1496">
        <v>0</v>
      </c>
      <c r="DQ1496">
        <v>0</v>
      </c>
      <c r="DR1496" t="s">
        <v>411</v>
      </c>
      <c r="EL1496" s="1">
        <v>38986</v>
      </c>
      <c r="EM1496" t="s">
        <v>15168</v>
      </c>
      <c r="EN1496" t="s">
        <v>15169</v>
      </c>
      <c r="EO1496" s="3">
        <v>14575000</v>
      </c>
    </row>
    <row r="1497" spans="1:236" x14ac:dyDescent="0.25">
      <c r="A1497">
        <v>16486504</v>
      </c>
      <c r="B1497">
        <v>1496</v>
      </c>
      <c r="C1497" t="s">
        <v>393</v>
      </c>
      <c r="D1497" t="s">
        <v>394</v>
      </c>
      <c r="F1497" t="str">
        <f>"26-2N-28-006A-0262-0000"</f>
        <v>26-2N-28-006A-0262-0000</v>
      </c>
      <c r="H1497" t="str">
        <f>"WEEKLEY HOMES LP"</f>
        <v>WEEKLEY HOMES LP</v>
      </c>
      <c r="I1497" t="str">
        <f>"1235 NORTH LOOP WEST STE 205"</f>
        <v>1235 NORTH LOOP WEST STE 205</v>
      </c>
      <c r="J1497" t="str">
        <f>"HOUSTON TX 77008"</f>
        <v>HOUSTON TX 77008</v>
      </c>
      <c r="K1497" t="str">
        <f>"95040 KESTREL CT"</f>
        <v>95040 KESTREL CT</v>
      </c>
      <c r="L1497" t="str">
        <f t="shared" si="517"/>
        <v>FERNANDINA BEACH FL 32034</v>
      </c>
      <c r="M1497" t="str">
        <f>"LOT 262 PT OR 1421/1082 AMELIA NATIONAL 1B PB 7/191"</f>
        <v>LOT 262 PT OR 1421/1082 AMELIA NATIONAL 1B PB 7/191</v>
      </c>
      <c r="N1497" t="str">
        <f>""</f>
        <v/>
      </c>
      <c r="O1497" t="str">
        <f>"36362"</f>
        <v>36362</v>
      </c>
      <c r="P1497" t="str">
        <f t="shared" si="514"/>
        <v>2017</v>
      </c>
      <c r="Q1497" t="str">
        <f>""</f>
        <v/>
      </c>
      <c r="R1497" t="str">
        <f t="shared" si="522"/>
        <v>N</v>
      </c>
      <c r="S1497" t="str">
        <f>""</f>
        <v/>
      </c>
      <c r="T1497" t="str">
        <f>"2346.79"</f>
        <v>2346.79</v>
      </c>
      <c r="U1497" t="str">
        <f>"31763.00"</f>
        <v>31763.00</v>
      </c>
      <c r="V1497" t="str">
        <f>"31763.00"</f>
        <v>31763.00</v>
      </c>
      <c r="W1497" t="str">
        <f t="shared" si="515"/>
        <v>2017</v>
      </c>
      <c r="X1497" t="str">
        <f>""</f>
        <v/>
      </c>
      <c r="Y1497" t="str">
        <f>"2449.19"</f>
        <v>2449.19</v>
      </c>
      <c r="Z1497" t="str">
        <f>""</f>
        <v/>
      </c>
      <c r="AA1497" t="str">
        <f>"52500.00"</f>
        <v>52500.00</v>
      </c>
      <c r="AB1497" t="str">
        <f t="shared" si="518"/>
        <v>Residential</v>
      </c>
      <c r="AC1497" t="str">
        <f t="shared" si="523"/>
        <v>0</v>
      </c>
      <c r="AD1497" t="str">
        <f>""</f>
        <v/>
      </c>
      <c r="AE1497" t="str">
        <f>""</f>
        <v/>
      </c>
      <c r="AF1497" t="str">
        <f t="shared" ref="AF1497:AF1507" si="524">"000"</f>
        <v>000</v>
      </c>
      <c r="AG1497" t="str">
        <f>"TX"</f>
        <v>TX</v>
      </c>
      <c r="AH1497" t="str">
        <f t="shared" si="521"/>
        <v>-</v>
      </c>
      <c r="AI1497" t="str">
        <f>"52500.00"</f>
        <v>52500.00</v>
      </c>
      <c r="AJ1497" t="str">
        <f>"C55-000-988-2010-3"</f>
        <v>C55-000-988-2010-3</v>
      </c>
      <c r="AK1497" t="str">
        <f>"26091"</f>
        <v>26091</v>
      </c>
      <c r="AL1497">
        <v>6</v>
      </c>
      <c r="AM1497">
        <v>1714</v>
      </c>
      <c r="AN1497">
        <v>2570.0500000000002</v>
      </c>
      <c r="AQ1497" t="s">
        <v>15193</v>
      </c>
      <c r="AR1497" t="s">
        <v>15193</v>
      </c>
      <c r="AS1497" t="s">
        <v>15193</v>
      </c>
      <c r="AU1497" t="s">
        <v>396</v>
      </c>
      <c r="AV1497">
        <v>2017</v>
      </c>
      <c r="AW1497" t="str">
        <f>"26-2N-28-006A-0262-0000 "</f>
        <v xml:space="preserve">26-2N-28-006A-0262-0000 </v>
      </c>
      <c r="AX1497">
        <v>95040</v>
      </c>
      <c r="AZ1497" t="s">
        <v>15194</v>
      </c>
      <c r="BA1497" t="s">
        <v>3181</v>
      </c>
      <c r="BD1497" t="s">
        <v>11749</v>
      </c>
      <c r="BE1497" t="s">
        <v>393</v>
      </c>
      <c r="BF1497">
        <v>32034</v>
      </c>
      <c r="BG1497" t="s">
        <v>15195</v>
      </c>
      <c r="BH1497" t="s">
        <v>11751</v>
      </c>
      <c r="BI1497">
        <v>-81.525157116172693</v>
      </c>
      <c r="BJ1497">
        <v>30.595269313231999</v>
      </c>
      <c r="BK1497" t="s">
        <v>15196</v>
      </c>
      <c r="BM1497" t="s">
        <v>15197</v>
      </c>
      <c r="BN1497" t="s">
        <v>15198</v>
      </c>
      <c r="BO1497">
        <v>77055</v>
      </c>
      <c r="BP1497" t="s">
        <v>404</v>
      </c>
      <c r="BQ1497">
        <v>0</v>
      </c>
      <c r="BR1497" t="s">
        <v>491</v>
      </c>
      <c r="BS1497">
        <v>8001</v>
      </c>
      <c r="BT1497" t="s">
        <v>492</v>
      </c>
      <c r="BW1497">
        <v>15010</v>
      </c>
      <c r="BX1497" t="s">
        <v>407</v>
      </c>
      <c r="BY1497" t="s">
        <v>3019</v>
      </c>
      <c r="CD1497">
        <v>2017</v>
      </c>
      <c r="CE1497">
        <v>52500</v>
      </c>
      <c r="CG1497">
        <v>52500</v>
      </c>
      <c r="CH1497">
        <v>2017</v>
      </c>
      <c r="CI1497">
        <v>52500</v>
      </c>
      <c r="CK1497">
        <v>52500</v>
      </c>
      <c r="CL1497">
        <v>2017</v>
      </c>
      <c r="CM1497">
        <v>2346.79</v>
      </c>
      <c r="CN1497" s="1">
        <v>38888</v>
      </c>
      <c r="CO1497">
        <v>2589500</v>
      </c>
      <c r="CZ1497" s="1">
        <v>38888</v>
      </c>
      <c r="DD1497" t="s">
        <v>11749</v>
      </c>
      <c r="DF1497">
        <v>262</v>
      </c>
      <c r="DG1497">
        <v>26</v>
      </c>
      <c r="DJ1497" t="s">
        <v>15165</v>
      </c>
      <c r="DL1497">
        <v>50303</v>
      </c>
      <c r="DM1497" t="s">
        <v>15166</v>
      </c>
      <c r="DO1497" t="s">
        <v>15199</v>
      </c>
      <c r="DP1497">
        <v>0</v>
      </c>
      <c r="DQ1497">
        <v>0</v>
      </c>
      <c r="DR1497" t="s">
        <v>411</v>
      </c>
      <c r="EL1497" s="1">
        <v>39025</v>
      </c>
      <c r="EM1497" t="s">
        <v>15168</v>
      </c>
      <c r="EN1497" t="s">
        <v>15169</v>
      </c>
      <c r="EO1497" s="3">
        <v>14575000</v>
      </c>
    </row>
    <row r="1498" spans="1:236" x14ac:dyDescent="0.25">
      <c r="A1498">
        <v>16486505</v>
      </c>
      <c r="B1498">
        <v>1497</v>
      </c>
      <c r="C1498" t="s">
        <v>393</v>
      </c>
      <c r="D1498" t="s">
        <v>394</v>
      </c>
      <c r="F1498" t="str">
        <f>"26-2N-28-168P-0003-0000"</f>
        <v>26-2N-28-168P-0003-0000</v>
      </c>
      <c r="H1498" t="str">
        <f t="shared" ref="H1498:H1507" si="525">"ADVANTAGE HOME BUILDERS INC"</f>
        <v>ADVANTAGE HOME BUILDERS INC</v>
      </c>
      <c r="I1498" t="str">
        <f t="shared" ref="I1498:I1507" si="526">"305 KINGSLEY LAKE DR STE 704"</f>
        <v>305 KINGSLEY LAKE DR STE 704</v>
      </c>
      <c r="J1498" t="str">
        <f t="shared" ref="J1498:J1507" si="527">"ST AUGUSTINE FL 32092"</f>
        <v>ST AUGUSTINE FL 32092</v>
      </c>
      <c r="K1498" t="str">
        <f>"94006 HEMLOCK CT"</f>
        <v>94006 HEMLOCK CT</v>
      </c>
      <c r="L1498" t="str">
        <f t="shared" si="517"/>
        <v>FERNANDINA BEACH FL 32034</v>
      </c>
      <c r="M1498" t="str">
        <f>"LOT 3 IN OR 1976/675 DECL COV &amp; RESTR OR 1458/887 PRIVATE QUARTERS PB 7/175"</f>
        <v>LOT 3 IN OR 1976/675 DECL COV &amp; RESTR OR 1458/887 PRIVATE QUARTERS PB 7/175</v>
      </c>
      <c r="N1498" t="str">
        <f>""</f>
        <v/>
      </c>
      <c r="O1498" t="str">
        <f>"36760"</f>
        <v>36760</v>
      </c>
      <c r="P1498" t="str">
        <f t="shared" si="514"/>
        <v>2017</v>
      </c>
      <c r="Q1498" t="str">
        <f>""</f>
        <v/>
      </c>
      <c r="R1498" t="str">
        <f t="shared" si="522"/>
        <v>N</v>
      </c>
      <c r="S1498" t="str">
        <f>""</f>
        <v/>
      </c>
      <c r="T1498" t="str">
        <f t="shared" ref="T1498:T1503" si="528">"2258.96"</f>
        <v>2258.96</v>
      </c>
      <c r="U1498" t="str">
        <f t="shared" ref="U1498:V1503" si="529">"35000.00"</f>
        <v>35000.00</v>
      </c>
      <c r="V1498" t="str">
        <f t="shared" si="529"/>
        <v>35000.00</v>
      </c>
      <c r="W1498" t="str">
        <f t="shared" si="515"/>
        <v>2017</v>
      </c>
      <c r="X1498" t="str">
        <f t="shared" ref="X1498:X1507" si="530">"14.00"</f>
        <v>14.00</v>
      </c>
      <c r="Y1498" t="str">
        <f t="shared" ref="Y1498:Y1503" si="531">"2358.73"</f>
        <v>2358.73</v>
      </c>
      <c r="Z1498" t="str">
        <f>""</f>
        <v/>
      </c>
      <c r="AA1498" t="str">
        <f t="shared" ref="AA1498:AA1503" si="532">"35000.00"</f>
        <v>35000.00</v>
      </c>
      <c r="AB1498" t="str">
        <f t="shared" si="518"/>
        <v>Residential</v>
      </c>
      <c r="AC1498" t="str">
        <f t="shared" si="523"/>
        <v>0</v>
      </c>
      <c r="AD1498" t="str">
        <f>""</f>
        <v/>
      </c>
      <c r="AE1498" t="str">
        <f>""</f>
        <v/>
      </c>
      <c r="AF1498" t="str">
        <f t="shared" si="524"/>
        <v>000</v>
      </c>
      <c r="AG1498" t="str">
        <f t="shared" ref="AG1498:AG1508" si="533">"FL"</f>
        <v>FL</v>
      </c>
      <c r="AH1498" t="str">
        <f t="shared" si="521"/>
        <v>-</v>
      </c>
      <c r="AI1498" t="str">
        <f t="shared" ref="AI1498:AI1503" si="534">"35000.00"</f>
        <v>35000.00</v>
      </c>
      <c r="AJ1498" t="str">
        <f>"C55-000-969-7639-4"</f>
        <v>C55-000-969-7639-4</v>
      </c>
      <c r="AK1498" t="str">
        <f>"26531"</f>
        <v>26531</v>
      </c>
      <c r="AL1498">
        <v>6</v>
      </c>
      <c r="AM1498">
        <v>1715</v>
      </c>
      <c r="AN1498">
        <v>2475.0700000000002</v>
      </c>
      <c r="AQ1498" t="s">
        <v>15200</v>
      </c>
      <c r="AR1498" t="s">
        <v>15200</v>
      </c>
      <c r="AS1498" t="s">
        <v>15200</v>
      </c>
      <c r="AU1498" t="s">
        <v>396</v>
      </c>
      <c r="AV1498">
        <v>2017</v>
      </c>
      <c r="AW1498" t="str">
        <f>"26-2N-28-168P-0003-0000 "</f>
        <v xml:space="preserve">26-2N-28-168P-0003-0000 </v>
      </c>
      <c r="AX1498">
        <v>94006</v>
      </c>
      <c r="AZ1498" t="s">
        <v>15201</v>
      </c>
      <c r="BA1498" t="s">
        <v>3181</v>
      </c>
      <c r="BD1498" t="s">
        <v>11749</v>
      </c>
      <c r="BE1498" t="s">
        <v>393</v>
      </c>
      <c r="BF1498">
        <v>32034</v>
      </c>
      <c r="BG1498" t="s">
        <v>15202</v>
      </c>
      <c r="BH1498" t="s">
        <v>11751</v>
      </c>
      <c r="BI1498">
        <v>-81.541983434498206</v>
      </c>
      <c r="BJ1498">
        <v>30.6043774964227</v>
      </c>
      <c r="BK1498" t="s">
        <v>15203</v>
      </c>
      <c r="BM1498" t="s">
        <v>15204</v>
      </c>
      <c r="BN1498" t="s">
        <v>2756</v>
      </c>
      <c r="BO1498">
        <v>32092</v>
      </c>
      <c r="BP1498" t="s">
        <v>404</v>
      </c>
      <c r="BQ1498">
        <v>0</v>
      </c>
      <c r="BR1498" t="s">
        <v>491</v>
      </c>
      <c r="BS1498">
        <v>8001</v>
      </c>
      <c r="BT1498" t="s">
        <v>492</v>
      </c>
      <c r="BW1498">
        <v>9695</v>
      </c>
      <c r="BX1498" t="s">
        <v>407</v>
      </c>
      <c r="CD1498">
        <v>2017</v>
      </c>
      <c r="CE1498">
        <v>35000</v>
      </c>
      <c r="CG1498">
        <v>35000</v>
      </c>
      <c r="CH1498">
        <v>2017</v>
      </c>
      <c r="CI1498">
        <v>35000</v>
      </c>
      <c r="CK1498">
        <v>35000</v>
      </c>
      <c r="CL1498">
        <v>2017</v>
      </c>
      <c r="CM1498">
        <v>2258.96</v>
      </c>
      <c r="CN1498" s="1">
        <v>42107</v>
      </c>
      <c r="CO1498">
        <v>238000</v>
      </c>
      <c r="CZ1498" s="1">
        <v>42107</v>
      </c>
      <c r="DD1498" t="s">
        <v>11749</v>
      </c>
      <c r="DF1498">
        <v>3</v>
      </c>
      <c r="DG1498">
        <v>24</v>
      </c>
      <c r="DL1498">
        <v>50303</v>
      </c>
      <c r="DM1498" t="s">
        <v>15205</v>
      </c>
      <c r="DO1498" t="s">
        <v>15206</v>
      </c>
      <c r="DP1498">
        <v>0</v>
      </c>
      <c r="DQ1498">
        <v>0</v>
      </c>
      <c r="DR1498" t="s">
        <v>411</v>
      </c>
      <c r="DS1498" t="b">
        <v>1</v>
      </c>
      <c r="DT1498" t="s">
        <v>470</v>
      </c>
      <c r="DU1498" t="s">
        <v>471</v>
      </c>
      <c r="DV1498" t="s">
        <v>472</v>
      </c>
      <c r="DX1498">
        <v>-9999</v>
      </c>
      <c r="DZ1498" t="s">
        <v>447</v>
      </c>
      <c r="EA1498" t="s">
        <v>448</v>
      </c>
      <c r="EB1498" t="s">
        <v>742</v>
      </c>
      <c r="EC1498">
        <v>20101217</v>
      </c>
      <c r="ED1498" t="s">
        <v>474</v>
      </c>
      <c r="EF1498">
        <v>5468.9</v>
      </c>
      <c r="EG1498">
        <v>2997.2</v>
      </c>
      <c r="EI1498">
        <v>20160407</v>
      </c>
      <c r="EJ1498">
        <v>0</v>
      </c>
      <c r="EK1498">
        <v>0</v>
      </c>
      <c r="EL1498" s="1">
        <v>39119</v>
      </c>
      <c r="EM1498" t="s">
        <v>15168</v>
      </c>
      <c r="EN1498" t="s">
        <v>15169</v>
      </c>
      <c r="EO1498" s="3">
        <v>14575000</v>
      </c>
      <c r="EP1498" t="s">
        <v>421</v>
      </c>
      <c r="EQ1498" t="s">
        <v>422</v>
      </c>
      <c r="ER1498">
        <v>2</v>
      </c>
      <c r="ES1498">
        <v>1</v>
      </c>
      <c r="ET1498">
        <v>4943.6400000000003</v>
      </c>
      <c r="EU1498">
        <v>259.68</v>
      </c>
      <c r="EV1498">
        <v>5203.32</v>
      </c>
      <c r="EW1498" s="2">
        <v>43222</v>
      </c>
      <c r="EX1498" s="1">
        <v>42879</v>
      </c>
      <c r="EY1498">
        <v>2016</v>
      </c>
      <c r="EZ1498">
        <v>2471.8200000000002</v>
      </c>
      <c r="FA1498" t="s">
        <v>15207</v>
      </c>
      <c r="FB1498">
        <v>0.25</v>
      </c>
      <c r="FC1498" t="s">
        <v>424</v>
      </c>
      <c r="FD1498" t="s">
        <v>454</v>
      </c>
      <c r="FF1498">
        <v>12</v>
      </c>
      <c r="FG1498">
        <v>11289</v>
      </c>
      <c r="FH1498" t="s">
        <v>787</v>
      </c>
      <c r="FJ1498" s="1">
        <v>42879</v>
      </c>
      <c r="FK1498">
        <v>2016</v>
      </c>
      <c r="FL1498">
        <v>2471.8200000000002</v>
      </c>
      <c r="FM1498" t="s">
        <v>15207</v>
      </c>
      <c r="FN1498">
        <v>0.25</v>
      </c>
      <c r="FO1498" t="s">
        <v>424</v>
      </c>
      <c r="FP1498" t="s">
        <v>454</v>
      </c>
      <c r="FR1498">
        <v>12</v>
      </c>
      <c r="FS1498">
        <v>7094781</v>
      </c>
      <c r="FT1498" t="s">
        <v>15208</v>
      </c>
      <c r="FV1498" s="1">
        <v>42515</v>
      </c>
      <c r="FW1498">
        <v>2015</v>
      </c>
      <c r="FX1498">
        <v>2368.65</v>
      </c>
      <c r="FY1498" t="s">
        <v>15209</v>
      </c>
      <c r="FZ1498">
        <v>0.25</v>
      </c>
      <c r="GA1498" t="s">
        <v>424</v>
      </c>
      <c r="GB1498" t="s">
        <v>425</v>
      </c>
      <c r="GC1498" s="1">
        <v>43158</v>
      </c>
      <c r="GD1498">
        <v>21</v>
      </c>
      <c r="GE1498">
        <v>2035919</v>
      </c>
      <c r="GF1498" t="s">
        <v>507</v>
      </c>
    </row>
    <row r="1499" spans="1:236" x14ac:dyDescent="0.25">
      <c r="A1499">
        <v>16486506</v>
      </c>
      <c r="B1499">
        <v>1498</v>
      </c>
      <c r="C1499" t="s">
        <v>393</v>
      </c>
      <c r="D1499" t="s">
        <v>394</v>
      </c>
      <c r="F1499" t="str">
        <f>"26-2N-28-168P-0004-0000"</f>
        <v>26-2N-28-168P-0004-0000</v>
      </c>
      <c r="H1499" t="str">
        <f t="shared" si="525"/>
        <v>ADVANTAGE HOME BUILDERS INC</v>
      </c>
      <c r="I1499" t="str">
        <f t="shared" si="526"/>
        <v>305 KINGSLEY LAKE DR STE 704</v>
      </c>
      <c r="J1499" t="str">
        <f t="shared" si="527"/>
        <v>ST AUGUSTINE FL 32092</v>
      </c>
      <c r="K1499" t="str">
        <f>"94008 HEMLOCK CT"</f>
        <v>94008 HEMLOCK CT</v>
      </c>
      <c r="L1499" t="str">
        <f t="shared" si="517"/>
        <v>FERNANDINA BEACH FL 32034</v>
      </c>
      <c r="M1499" t="str">
        <f>"LOT 4 IN OR 1976/675 DECL COV &amp; RESTR OR 1458/887 PRIVATE QUARTERS PB 7/175"</f>
        <v>LOT 4 IN OR 1976/675 DECL COV &amp; RESTR OR 1458/887 PRIVATE QUARTERS PB 7/175</v>
      </c>
      <c r="N1499" t="str">
        <f>""</f>
        <v/>
      </c>
      <c r="O1499" t="str">
        <f>"36761"</f>
        <v>36761</v>
      </c>
      <c r="P1499" t="str">
        <f t="shared" si="514"/>
        <v>2017</v>
      </c>
      <c r="Q1499" t="str">
        <f>""</f>
        <v/>
      </c>
      <c r="R1499" t="str">
        <f t="shared" si="522"/>
        <v>N</v>
      </c>
      <c r="S1499" t="str">
        <f>""</f>
        <v/>
      </c>
      <c r="T1499" t="str">
        <f t="shared" si="528"/>
        <v>2258.96</v>
      </c>
      <c r="U1499" t="str">
        <f t="shared" si="529"/>
        <v>35000.00</v>
      </c>
      <c r="V1499" t="str">
        <f t="shared" si="529"/>
        <v>35000.00</v>
      </c>
      <c r="W1499" t="str">
        <f t="shared" si="515"/>
        <v>2017</v>
      </c>
      <c r="X1499" t="str">
        <f t="shared" si="530"/>
        <v>14.00</v>
      </c>
      <c r="Y1499" t="str">
        <f t="shared" si="531"/>
        <v>2358.73</v>
      </c>
      <c r="Z1499" t="str">
        <f>""</f>
        <v/>
      </c>
      <c r="AA1499" t="str">
        <f t="shared" si="532"/>
        <v>35000.00</v>
      </c>
      <c r="AB1499" t="str">
        <f t="shared" si="518"/>
        <v>Residential</v>
      </c>
      <c r="AC1499" t="str">
        <f t="shared" si="523"/>
        <v>0</v>
      </c>
      <c r="AD1499" t="str">
        <f>""</f>
        <v/>
      </c>
      <c r="AE1499" t="str">
        <f>""</f>
        <v/>
      </c>
      <c r="AF1499" t="str">
        <f t="shared" si="524"/>
        <v>000</v>
      </c>
      <c r="AG1499" t="str">
        <f t="shared" si="533"/>
        <v>FL</v>
      </c>
      <c r="AH1499" t="str">
        <f t="shared" si="521"/>
        <v>-</v>
      </c>
      <c r="AI1499" t="str">
        <f t="shared" si="534"/>
        <v>35000.00</v>
      </c>
      <c r="AJ1499" t="str">
        <f>"C55-000-969-7640-2"</f>
        <v>C55-000-969-7640-2</v>
      </c>
      <c r="AK1499" t="str">
        <f>"26532"</f>
        <v>26532</v>
      </c>
      <c r="AL1499">
        <v>6</v>
      </c>
      <c r="AM1499">
        <v>1716</v>
      </c>
      <c r="AN1499">
        <v>2475.0700000000002</v>
      </c>
      <c r="AQ1499" t="s">
        <v>15210</v>
      </c>
      <c r="AR1499" t="s">
        <v>15210</v>
      </c>
      <c r="AS1499" t="s">
        <v>15210</v>
      </c>
      <c r="AU1499" t="s">
        <v>396</v>
      </c>
      <c r="AV1499">
        <v>2017</v>
      </c>
      <c r="AW1499" t="str">
        <f>"26-2N-28-168P-0004-0000 "</f>
        <v xml:space="preserve">26-2N-28-168P-0004-0000 </v>
      </c>
      <c r="AX1499">
        <v>94008</v>
      </c>
      <c r="AZ1499" t="s">
        <v>15201</v>
      </c>
      <c r="BA1499" t="s">
        <v>3181</v>
      </c>
      <c r="BD1499" t="s">
        <v>11749</v>
      </c>
      <c r="BE1499" t="s">
        <v>393</v>
      </c>
      <c r="BF1499">
        <v>32034</v>
      </c>
      <c r="BG1499" t="s">
        <v>15211</v>
      </c>
      <c r="BH1499" t="s">
        <v>11751</v>
      </c>
      <c r="BI1499">
        <v>-81.542083031267396</v>
      </c>
      <c r="BJ1499">
        <v>30.604539207624001</v>
      </c>
      <c r="BK1499" t="s">
        <v>15203</v>
      </c>
      <c r="BM1499" t="s">
        <v>15204</v>
      </c>
      <c r="BN1499" t="s">
        <v>2756</v>
      </c>
      <c r="BO1499">
        <v>32092</v>
      </c>
      <c r="BP1499" t="s">
        <v>404</v>
      </c>
      <c r="BQ1499">
        <v>0</v>
      </c>
      <c r="BR1499" t="s">
        <v>491</v>
      </c>
      <c r="BS1499">
        <v>8001</v>
      </c>
      <c r="BT1499" t="s">
        <v>492</v>
      </c>
      <c r="BW1499">
        <v>7978</v>
      </c>
      <c r="BX1499" t="s">
        <v>407</v>
      </c>
      <c r="CD1499">
        <v>2017</v>
      </c>
      <c r="CE1499">
        <v>35000</v>
      </c>
      <c r="CG1499">
        <v>35000</v>
      </c>
      <c r="CH1499">
        <v>2017</v>
      </c>
      <c r="CI1499">
        <v>35000</v>
      </c>
      <c r="CK1499">
        <v>35000</v>
      </c>
      <c r="CL1499">
        <v>2017</v>
      </c>
      <c r="CM1499">
        <v>2258.96</v>
      </c>
      <c r="CN1499" s="1">
        <v>42107</v>
      </c>
      <c r="CO1499">
        <v>238000</v>
      </c>
      <c r="CZ1499" s="1">
        <v>42107</v>
      </c>
      <c r="DD1499" t="s">
        <v>11749</v>
      </c>
      <c r="DF1499">
        <v>4</v>
      </c>
      <c r="DG1499">
        <v>24</v>
      </c>
      <c r="DL1499">
        <v>50303</v>
      </c>
      <c r="DM1499" t="s">
        <v>15166</v>
      </c>
      <c r="DO1499" t="s">
        <v>15212</v>
      </c>
      <c r="DP1499">
        <v>0</v>
      </c>
      <c r="DQ1499">
        <v>0</v>
      </c>
      <c r="DR1499" t="s">
        <v>411</v>
      </c>
      <c r="DS1499" t="b">
        <v>1</v>
      </c>
      <c r="DT1499" t="s">
        <v>470</v>
      </c>
      <c r="DU1499" t="s">
        <v>471</v>
      </c>
      <c r="DV1499" t="s">
        <v>472</v>
      </c>
      <c r="DX1499">
        <v>-9999</v>
      </c>
      <c r="DZ1499" t="s">
        <v>447</v>
      </c>
      <c r="EA1499" t="s">
        <v>448</v>
      </c>
      <c r="EB1499" t="s">
        <v>742</v>
      </c>
      <c r="EC1499">
        <v>20101217</v>
      </c>
      <c r="ED1499" t="s">
        <v>474</v>
      </c>
      <c r="EF1499">
        <v>5462.5</v>
      </c>
      <c r="EG1499">
        <v>2994.3</v>
      </c>
      <c r="EI1499">
        <v>20160407</v>
      </c>
      <c r="EJ1499">
        <v>0</v>
      </c>
      <c r="EK1499">
        <v>0</v>
      </c>
      <c r="EL1499" s="1">
        <v>39120</v>
      </c>
      <c r="EM1499" t="s">
        <v>15168</v>
      </c>
      <c r="EN1499" t="s">
        <v>15169</v>
      </c>
      <c r="EO1499" s="3">
        <v>14575000</v>
      </c>
      <c r="EP1499" t="s">
        <v>421</v>
      </c>
      <c r="EQ1499" t="s">
        <v>422</v>
      </c>
      <c r="ER1499">
        <v>1</v>
      </c>
      <c r="ES1499">
        <v>1</v>
      </c>
      <c r="ET1499">
        <v>2471.8200000000002</v>
      </c>
      <c r="EU1499">
        <v>129.84</v>
      </c>
      <c r="EV1499">
        <v>2601.66</v>
      </c>
      <c r="EW1499" s="2">
        <v>43222</v>
      </c>
      <c r="EX1499" s="1">
        <v>42879</v>
      </c>
      <c r="EY1499">
        <v>2016</v>
      </c>
      <c r="EZ1499">
        <v>2471.8200000000002</v>
      </c>
      <c r="FA1499" t="s">
        <v>15213</v>
      </c>
      <c r="FB1499">
        <v>0.25</v>
      </c>
      <c r="FC1499" t="s">
        <v>424</v>
      </c>
      <c r="FD1499" t="s">
        <v>454</v>
      </c>
      <c r="FF1499">
        <v>12</v>
      </c>
      <c r="FG1499">
        <v>62</v>
      </c>
      <c r="FH1499" t="s">
        <v>463</v>
      </c>
      <c r="FJ1499" s="1">
        <v>42515</v>
      </c>
      <c r="FK1499">
        <v>2015</v>
      </c>
      <c r="FL1499">
        <v>2368.65</v>
      </c>
      <c r="FM1499" t="s">
        <v>15214</v>
      </c>
      <c r="FN1499">
        <v>0.25</v>
      </c>
      <c r="FO1499" t="s">
        <v>424</v>
      </c>
      <c r="FP1499" t="s">
        <v>425</v>
      </c>
      <c r="FQ1499" s="1">
        <v>43158</v>
      </c>
      <c r="FR1499">
        <v>21</v>
      </c>
      <c r="FS1499">
        <v>2035919</v>
      </c>
      <c r="FT1499" t="s">
        <v>507</v>
      </c>
    </row>
    <row r="1500" spans="1:236" x14ac:dyDescent="0.25">
      <c r="A1500">
        <v>16486507</v>
      </c>
      <c r="B1500">
        <v>1499</v>
      </c>
      <c r="C1500" t="s">
        <v>393</v>
      </c>
      <c r="D1500" t="s">
        <v>394</v>
      </c>
      <c r="F1500" t="str">
        <f>"26-2N-28-168P-0005-0000"</f>
        <v>26-2N-28-168P-0005-0000</v>
      </c>
      <c r="H1500" t="str">
        <f t="shared" si="525"/>
        <v>ADVANTAGE HOME BUILDERS INC</v>
      </c>
      <c r="I1500" t="str">
        <f t="shared" si="526"/>
        <v>305 KINGSLEY LAKE DR STE 704</v>
      </c>
      <c r="J1500" t="str">
        <f t="shared" si="527"/>
        <v>ST AUGUSTINE FL 32092</v>
      </c>
      <c r="K1500" t="str">
        <f>"94010 HEMLOCK CT"</f>
        <v>94010 HEMLOCK CT</v>
      </c>
      <c r="L1500" t="str">
        <f t="shared" si="517"/>
        <v>FERNANDINA BEACH FL 32034</v>
      </c>
      <c r="M1500" t="str">
        <f>"LOT 5 IN OR 1976/675 DECL COV &amp; RESTR OR 1458/887 PRIVATE QUARTERS PB 7/175"</f>
        <v>LOT 5 IN OR 1976/675 DECL COV &amp; RESTR OR 1458/887 PRIVATE QUARTERS PB 7/175</v>
      </c>
      <c r="N1500" t="str">
        <f>""</f>
        <v/>
      </c>
      <c r="O1500" t="str">
        <f>"36762"</f>
        <v>36762</v>
      </c>
      <c r="P1500" t="str">
        <f t="shared" si="514"/>
        <v>2017</v>
      </c>
      <c r="Q1500" t="str">
        <f>""</f>
        <v/>
      </c>
      <c r="R1500" t="str">
        <f t="shared" si="522"/>
        <v>N</v>
      </c>
      <c r="S1500" t="str">
        <f>""</f>
        <v/>
      </c>
      <c r="T1500" t="str">
        <f t="shared" si="528"/>
        <v>2258.96</v>
      </c>
      <c r="U1500" t="str">
        <f t="shared" si="529"/>
        <v>35000.00</v>
      </c>
      <c r="V1500" t="str">
        <f t="shared" si="529"/>
        <v>35000.00</v>
      </c>
      <c r="W1500" t="str">
        <f t="shared" si="515"/>
        <v>2017</v>
      </c>
      <c r="X1500" t="str">
        <f t="shared" si="530"/>
        <v>14.00</v>
      </c>
      <c r="Y1500" t="str">
        <f t="shared" si="531"/>
        <v>2358.73</v>
      </c>
      <c r="Z1500" t="str">
        <f>""</f>
        <v/>
      </c>
      <c r="AA1500" t="str">
        <f t="shared" si="532"/>
        <v>35000.00</v>
      </c>
      <c r="AB1500" t="str">
        <f t="shared" si="518"/>
        <v>Residential</v>
      </c>
      <c r="AC1500" t="str">
        <f t="shared" si="523"/>
        <v>0</v>
      </c>
      <c r="AD1500" t="str">
        <f>""</f>
        <v/>
      </c>
      <c r="AE1500" t="str">
        <f>""</f>
        <v/>
      </c>
      <c r="AF1500" t="str">
        <f t="shared" si="524"/>
        <v>000</v>
      </c>
      <c r="AG1500" t="str">
        <f t="shared" si="533"/>
        <v>FL</v>
      </c>
      <c r="AH1500" t="str">
        <f t="shared" si="521"/>
        <v>-</v>
      </c>
      <c r="AI1500" t="str">
        <f t="shared" si="534"/>
        <v>35000.00</v>
      </c>
      <c r="AJ1500" t="str">
        <f>"C55-000-969-7641-0"</f>
        <v>C55-000-969-7641-0</v>
      </c>
      <c r="AK1500" t="str">
        <f>"26533"</f>
        <v>26533</v>
      </c>
      <c r="AL1500">
        <v>6</v>
      </c>
      <c r="AM1500">
        <v>1717</v>
      </c>
      <c r="AN1500">
        <v>2475.0700000000002</v>
      </c>
      <c r="AQ1500" t="s">
        <v>15215</v>
      </c>
      <c r="AR1500" t="s">
        <v>15215</v>
      </c>
      <c r="AS1500" t="s">
        <v>15215</v>
      </c>
      <c r="AU1500" t="s">
        <v>396</v>
      </c>
      <c r="AV1500">
        <v>2017</v>
      </c>
      <c r="AW1500" t="str">
        <f>"26-2N-28-168P-0005-0000 "</f>
        <v xml:space="preserve">26-2N-28-168P-0005-0000 </v>
      </c>
      <c r="AX1500">
        <v>94010</v>
      </c>
      <c r="AZ1500" t="s">
        <v>15201</v>
      </c>
      <c r="BA1500" t="s">
        <v>3181</v>
      </c>
      <c r="BD1500" t="s">
        <v>11749</v>
      </c>
      <c r="BE1500" t="s">
        <v>393</v>
      </c>
      <c r="BF1500">
        <v>32034</v>
      </c>
      <c r="BG1500" t="s">
        <v>15216</v>
      </c>
      <c r="BH1500" t="s">
        <v>11751</v>
      </c>
      <c r="BI1500">
        <v>-81.542312792954107</v>
      </c>
      <c r="BJ1500">
        <v>30.604534497511999</v>
      </c>
      <c r="BK1500" t="s">
        <v>15203</v>
      </c>
      <c r="BM1500" t="s">
        <v>15204</v>
      </c>
      <c r="BN1500" t="s">
        <v>2756</v>
      </c>
      <c r="BO1500">
        <v>32092</v>
      </c>
      <c r="BP1500" t="s">
        <v>404</v>
      </c>
      <c r="BQ1500">
        <v>0</v>
      </c>
      <c r="BR1500" t="s">
        <v>491</v>
      </c>
      <c r="BS1500">
        <v>8001</v>
      </c>
      <c r="BT1500" t="s">
        <v>492</v>
      </c>
      <c r="BW1500">
        <v>8521</v>
      </c>
      <c r="BX1500" t="s">
        <v>407</v>
      </c>
      <c r="CD1500">
        <v>2017</v>
      </c>
      <c r="CE1500">
        <v>35000</v>
      </c>
      <c r="CG1500">
        <v>35000</v>
      </c>
      <c r="CH1500">
        <v>2017</v>
      </c>
      <c r="CI1500">
        <v>35000</v>
      </c>
      <c r="CK1500">
        <v>35000</v>
      </c>
      <c r="CL1500">
        <v>2017</v>
      </c>
      <c r="CM1500">
        <v>2258.96</v>
      </c>
      <c r="CN1500" s="1">
        <v>42107</v>
      </c>
      <c r="CO1500">
        <v>238000</v>
      </c>
      <c r="CZ1500" s="1">
        <v>42107</v>
      </c>
      <c r="DD1500" t="s">
        <v>11749</v>
      </c>
      <c r="DF1500">
        <v>5</v>
      </c>
      <c r="DG1500">
        <v>24</v>
      </c>
      <c r="DL1500">
        <v>50303</v>
      </c>
      <c r="DM1500" t="s">
        <v>15205</v>
      </c>
      <c r="DO1500" t="s">
        <v>15217</v>
      </c>
      <c r="DP1500">
        <v>0</v>
      </c>
      <c r="DQ1500">
        <v>0</v>
      </c>
      <c r="DR1500" t="s">
        <v>411</v>
      </c>
      <c r="DS1500" t="b">
        <v>1</v>
      </c>
      <c r="DT1500" t="s">
        <v>470</v>
      </c>
      <c r="DU1500" t="s">
        <v>471</v>
      </c>
      <c r="DV1500" t="s">
        <v>472</v>
      </c>
      <c r="DX1500">
        <v>-9999</v>
      </c>
      <c r="DZ1500" t="s">
        <v>447</v>
      </c>
      <c r="EA1500" t="s">
        <v>448</v>
      </c>
      <c r="EB1500" t="s">
        <v>742</v>
      </c>
      <c r="EC1500">
        <v>20101217</v>
      </c>
      <c r="ED1500" t="s">
        <v>474</v>
      </c>
      <c r="EF1500">
        <v>5395.4</v>
      </c>
      <c r="EG1500">
        <v>2928.1</v>
      </c>
      <c r="EI1500">
        <v>20160407</v>
      </c>
      <c r="EJ1500">
        <v>0</v>
      </c>
      <c r="EK1500">
        <v>0</v>
      </c>
      <c r="EL1500" s="1">
        <v>39121</v>
      </c>
      <c r="EM1500" t="s">
        <v>15168</v>
      </c>
      <c r="EN1500" t="s">
        <v>15169</v>
      </c>
      <c r="EO1500" s="3">
        <v>14575000</v>
      </c>
      <c r="EP1500" t="s">
        <v>421</v>
      </c>
      <c r="EQ1500" t="s">
        <v>422</v>
      </c>
      <c r="ER1500">
        <v>1</v>
      </c>
      <c r="ES1500">
        <v>1</v>
      </c>
      <c r="ET1500">
        <v>2471.8200000000002</v>
      </c>
      <c r="EU1500">
        <v>129.84</v>
      </c>
      <c r="EV1500">
        <v>2601.66</v>
      </c>
      <c r="EW1500" s="2">
        <v>43222</v>
      </c>
      <c r="EX1500" s="1">
        <v>42879</v>
      </c>
      <c r="EY1500">
        <v>2016</v>
      </c>
      <c r="EZ1500">
        <v>2471.8200000000002</v>
      </c>
      <c r="FA1500" t="s">
        <v>15218</v>
      </c>
      <c r="FB1500">
        <v>0.25</v>
      </c>
      <c r="FC1500" t="s">
        <v>424</v>
      </c>
      <c r="FD1500" t="s">
        <v>454</v>
      </c>
      <c r="FF1500">
        <v>12</v>
      </c>
      <c r="FG1500">
        <v>305</v>
      </c>
      <c r="FH1500" t="s">
        <v>1078</v>
      </c>
      <c r="FJ1500" s="1">
        <v>42515</v>
      </c>
      <c r="FK1500">
        <v>2015</v>
      </c>
      <c r="FL1500">
        <v>2368.65</v>
      </c>
      <c r="FM1500" t="s">
        <v>15219</v>
      </c>
      <c r="FN1500">
        <v>0.25</v>
      </c>
      <c r="FO1500" t="s">
        <v>424</v>
      </c>
      <c r="FP1500" t="s">
        <v>425</v>
      </c>
      <c r="FQ1500" s="1">
        <v>43158</v>
      </c>
      <c r="FR1500">
        <v>21</v>
      </c>
      <c r="FS1500">
        <v>2035919</v>
      </c>
      <c r="FT1500" t="s">
        <v>507</v>
      </c>
    </row>
    <row r="1501" spans="1:236" x14ac:dyDescent="0.25">
      <c r="A1501">
        <v>16486508</v>
      </c>
      <c r="B1501">
        <v>1500</v>
      </c>
      <c r="C1501" t="s">
        <v>393</v>
      </c>
      <c r="D1501" t="s">
        <v>394</v>
      </c>
      <c r="F1501" t="str">
        <f>"26-2N-28-168P-0006-0000"</f>
        <v>26-2N-28-168P-0006-0000</v>
      </c>
      <c r="H1501" t="str">
        <f t="shared" si="525"/>
        <v>ADVANTAGE HOME BUILDERS INC</v>
      </c>
      <c r="I1501" t="str">
        <f t="shared" si="526"/>
        <v>305 KINGSLEY LAKE DR STE 704</v>
      </c>
      <c r="J1501" t="str">
        <f t="shared" si="527"/>
        <v>ST AUGUSTINE FL 32092</v>
      </c>
      <c r="K1501" t="str">
        <f>"94012 HEMLOCK CT"</f>
        <v>94012 HEMLOCK CT</v>
      </c>
      <c r="L1501" t="str">
        <f t="shared" si="517"/>
        <v>FERNANDINA BEACH FL 32034</v>
      </c>
      <c r="M1501" t="str">
        <f>"LOT 6 IN OR 1976/675 DECL COV &amp; RESTR OR 1458/887 PRIVATE QUARTERS PB 7/175"</f>
        <v>LOT 6 IN OR 1976/675 DECL COV &amp; RESTR OR 1458/887 PRIVATE QUARTERS PB 7/175</v>
      </c>
      <c r="N1501" t="str">
        <f>""</f>
        <v/>
      </c>
      <c r="O1501" t="str">
        <f>"36763"</f>
        <v>36763</v>
      </c>
      <c r="P1501" t="str">
        <f t="shared" si="514"/>
        <v>2017</v>
      </c>
      <c r="Q1501" t="str">
        <f>""</f>
        <v/>
      </c>
      <c r="R1501" t="str">
        <f t="shared" si="522"/>
        <v>N</v>
      </c>
      <c r="S1501" t="str">
        <f>""</f>
        <v/>
      </c>
      <c r="T1501" t="str">
        <f t="shared" si="528"/>
        <v>2258.96</v>
      </c>
      <c r="U1501" t="str">
        <f t="shared" si="529"/>
        <v>35000.00</v>
      </c>
      <c r="V1501" t="str">
        <f t="shared" si="529"/>
        <v>35000.00</v>
      </c>
      <c r="W1501" t="str">
        <f t="shared" si="515"/>
        <v>2017</v>
      </c>
      <c r="X1501" t="str">
        <f t="shared" si="530"/>
        <v>14.00</v>
      </c>
      <c r="Y1501" t="str">
        <f t="shared" si="531"/>
        <v>2358.73</v>
      </c>
      <c r="Z1501" t="str">
        <f>""</f>
        <v/>
      </c>
      <c r="AA1501" t="str">
        <f t="shared" si="532"/>
        <v>35000.00</v>
      </c>
      <c r="AB1501" t="str">
        <f t="shared" si="518"/>
        <v>Residential</v>
      </c>
      <c r="AC1501" t="str">
        <f t="shared" si="523"/>
        <v>0</v>
      </c>
      <c r="AD1501" t="str">
        <f>""</f>
        <v/>
      </c>
      <c r="AE1501" t="str">
        <f>""</f>
        <v/>
      </c>
      <c r="AF1501" t="str">
        <f t="shared" si="524"/>
        <v>000</v>
      </c>
      <c r="AG1501" t="str">
        <f t="shared" si="533"/>
        <v>FL</v>
      </c>
      <c r="AH1501" t="str">
        <f t="shared" si="521"/>
        <v>-</v>
      </c>
      <c r="AI1501" t="str">
        <f t="shared" si="534"/>
        <v>35000.00</v>
      </c>
      <c r="AJ1501" t="str">
        <f>"C55-000-969-7642-8"</f>
        <v>C55-000-969-7642-8</v>
      </c>
      <c r="AK1501" t="str">
        <f>"26534"</f>
        <v>26534</v>
      </c>
      <c r="AL1501">
        <v>6</v>
      </c>
      <c r="AM1501">
        <v>1718</v>
      </c>
      <c r="AN1501">
        <v>2475.0700000000002</v>
      </c>
      <c r="AQ1501" t="s">
        <v>15220</v>
      </c>
      <c r="AR1501" t="s">
        <v>15220</v>
      </c>
      <c r="AS1501" t="s">
        <v>15220</v>
      </c>
      <c r="AU1501" t="s">
        <v>396</v>
      </c>
      <c r="AV1501">
        <v>2017</v>
      </c>
      <c r="AW1501" t="str">
        <f>"26-2N-28-168P-0006-0000 "</f>
        <v xml:space="preserve">26-2N-28-168P-0006-0000 </v>
      </c>
      <c r="AX1501">
        <v>94012</v>
      </c>
      <c r="AZ1501" t="s">
        <v>15201</v>
      </c>
      <c r="BA1501" t="s">
        <v>3181</v>
      </c>
      <c r="BD1501" t="s">
        <v>11749</v>
      </c>
      <c r="BE1501" t="s">
        <v>393</v>
      </c>
      <c r="BF1501">
        <v>32034</v>
      </c>
      <c r="BG1501" t="s">
        <v>15221</v>
      </c>
      <c r="BH1501" t="s">
        <v>11751</v>
      </c>
      <c r="BI1501">
        <v>-81.542619304333101</v>
      </c>
      <c r="BJ1501">
        <v>30.6045130365546</v>
      </c>
      <c r="BK1501" t="s">
        <v>15203</v>
      </c>
      <c r="BM1501" t="s">
        <v>15204</v>
      </c>
      <c r="BN1501" t="s">
        <v>2756</v>
      </c>
      <c r="BO1501">
        <v>32092</v>
      </c>
      <c r="BP1501" t="s">
        <v>404</v>
      </c>
      <c r="BQ1501">
        <v>0</v>
      </c>
      <c r="BR1501" t="s">
        <v>491</v>
      </c>
      <c r="BS1501">
        <v>8001</v>
      </c>
      <c r="BT1501" t="s">
        <v>492</v>
      </c>
      <c r="BW1501">
        <v>17647</v>
      </c>
      <c r="BX1501" t="s">
        <v>407</v>
      </c>
      <c r="CD1501">
        <v>2017</v>
      </c>
      <c r="CE1501">
        <v>35000</v>
      </c>
      <c r="CG1501">
        <v>35000</v>
      </c>
      <c r="CH1501">
        <v>2017</v>
      </c>
      <c r="CI1501">
        <v>35000</v>
      </c>
      <c r="CK1501">
        <v>35000</v>
      </c>
      <c r="CL1501">
        <v>2017</v>
      </c>
      <c r="CM1501">
        <v>2258.96</v>
      </c>
      <c r="CN1501" s="1">
        <v>42107</v>
      </c>
      <c r="CO1501">
        <v>238000</v>
      </c>
      <c r="CZ1501" s="1">
        <v>42107</v>
      </c>
      <c r="DD1501" t="s">
        <v>11749</v>
      </c>
      <c r="DF1501">
        <v>6</v>
      </c>
      <c r="DG1501">
        <v>24</v>
      </c>
      <c r="DL1501">
        <v>50303</v>
      </c>
      <c r="DM1501" t="s">
        <v>15205</v>
      </c>
      <c r="DO1501" t="s">
        <v>15222</v>
      </c>
      <c r="DP1501">
        <v>0</v>
      </c>
      <c r="DQ1501">
        <v>0</v>
      </c>
      <c r="DR1501" t="s">
        <v>411</v>
      </c>
      <c r="DS1501" t="b">
        <v>1</v>
      </c>
      <c r="DT1501" t="s">
        <v>470</v>
      </c>
      <c r="DU1501" t="s">
        <v>471</v>
      </c>
      <c r="DV1501" t="s">
        <v>472</v>
      </c>
      <c r="DX1501">
        <v>-9999</v>
      </c>
      <c r="DZ1501" t="s">
        <v>447</v>
      </c>
      <c r="EA1501" t="s">
        <v>448</v>
      </c>
      <c r="EB1501" t="s">
        <v>742</v>
      </c>
      <c r="EC1501">
        <v>20101217</v>
      </c>
      <c r="ED1501" t="s">
        <v>474</v>
      </c>
      <c r="EF1501">
        <v>5303.7</v>
      </c>
      <c r="EG1501">
        <v>2837.7</v>
      </c>
      <c r="EI1501">
        <v>20160407</v>
      </c>
      <c r="EJ1501">
        <v>0</v>
      </c>
      <c r="EK1501">
        <v>0</v>
      </c>
      <c r="EL1501" s="1">
        <v>39122</v>
      </c>
      <c r="EM1501" t="s">
        <v>15168</v>
      </c>
      <c r="EN1501" t="s">
        <v>15169</v>
      </c>
      <c r="EO1501" s="3">
        <v>14575000</v>
      </c>
      <c r="EP1501" t="s">
        <v>421</v>
      </c>
      <c r="EQ1501" t="s">
        <v>422</v>
      </c>
      <c r="ER1501">
        <v>1</v>
      </c>
      <c r="ES1501">
        <v>1</v>
      </c>
      <c r="ET1501">
        <v>2471.8200000000002</v>
      </c>
      <c r="EU1501">
        <v>129.84</v>
      </c>
      <c r="EV1501">
        <v>2601.66</v>
      </c>
      <c r="EW1501" s="2">
        <v>43222</v>
      </c>
      <c r="EX1501" s="1">
        <v>42879</v>
      </c>
      <c r="EY1501">
        <v>2016</v>
      </c>
      <c r="EZ1501">
        <v>2471.8200000000002</v>
      </c>
      <c r="FA1501" t="s">
        <v>15223</v>
      </c>
      <c r="FB1501">
        <v>0.25</v>
      </c>
      <c r="FC1501" t="s">
        <v>424</v>
      </c>
      <c r="FD1501" t="s">
        <v>454</v>
      </c>
      <c r="FF1501">
        <v>12</v>
      </c>
      <c r="FG1501">
        <v>305</v>
      </c>
      <c r="FH1501" t="s">
        <v>1078</v>
      </c>
      <c r="FJ1501" s="1">
        <v>42515</v>
      </c>
      <c r="FK1501">
        <v>2015</v>
      </c>
      <c r="FL1501">
        <v>2368.65</v>
      </c>
      <c r="FM1501" t="s">
        <v>15224</v>
      </c>
      <c r="FN1501">
        <v>0.25</v>
      </c>
      <c r="FO1501" t="s">
        <v>424</v>
      </c>
      <c r="FP1501" t="s">
        <v>425</v>
      </c>
      <c r="FQ1501" s="1">
        <v>43158</v>
      </c>
      <c r="FR1501">
        <v>21</v>
      </c>
      <c r="FS1501">
        <v>2035919</v>
      </c>
      <c r="FT1501" t="s">
        <v>507</v>
      </c>
    </row>
    <row r="1502" spans="1:236" x14ac:dyDescent="0.25">
      <c r="A1502">
        <v>16486509</v>
      </c>
      <c r="B1502">
        <v>1501</v>
      </c>
      <c r="C1502" t="s">
        <v>393</v>
      </c>
      <c r="D1502" t="s">
        <v>394</v>
      </c>
      <c r="F1502" t="str">
        <f>"26-2N-28-168P-0007-0000"</f>
        <v>26-2N-28-168P-0007-0000</v>
      </c>
      <c r="H1502" t="str">
        <f t="shared" si="525"/>
        <v>ADVANTAGE HOME BUILDERS INC</v>
      </c>
      <c r="I1502" t="str">
        <f t="shared" si="526"/>
        <v>305 KINGSLEY LAKE DR STE 704</v>
      </c>
      <c r="J1502" t="str">
        <f t="shared" si="527"/>
        <v>ST AUGUSTINE FL 32092</v>
      </c>
      <c r="K1502" t="str">
        <f>"94014 HEMLOCK CT"</f>
        <v>94014 HEMLOCK CT</v>
      </c>
      <c r="L1502" t="str">
        <f t="shared" si="517"/>
        <v>FERNANDINA BEACH FL 32034</v>
      </c>
      <c r="M1502" t="str">
        <f>"LOT 7 IN OR 1976/675 DECL COV &amp; RESTR OR 1458/887 PRIVATE QUARTERS PB 7/175"</f>
        <v>LOT 7 IN OR 1976/675 DECL COV &amp; RESTR OR 1458/887 PRIVATE QUARTERS PB 7/175</v>
      </c>
      <c r="N1502" t="str">
        <f>""</f>
        <v/>
      </c>
      <c r="O1502" t="str">
        <f>"36764"</f>
        <v>36764</v>
      </c>
      <c r="P1502" t="str">
        <f t="shared" si="514"/>
        <v>2017</v>
      </c>
      <c r="Q1502" t="str">
        <f>""</f>
        <v/>
      </c>
      <c r="R1502" t="str">
        <f t="shared" si="522"/>
        <v>N</v>
      </c>
      <c r="S1502" t="str">
        <f>""</f>
        <v/>
      </c>
      <c r="T1502" t="str">
        <f t="shared" si="528"/>
        <v>2258.96</v>
      </c>
      <c r="U1502" t="str">
        <f t="shared" si="529"/>
        <v>35000.00</v>
      </c>
      <c r="V1502" t="str">
        <f t="shared" si="529"/>
        <v>35000.00</v>
      </c>
      <c r="W1502" t="str">
        <f t="shared" si="515"/>
        <v>2017</v>
      </c>
      <c r="X1502" t="str">
        <f t="shared" si="530"/>
        <v>14.00</v>
      </c>
      <c r="Y1502" t="str">
        <f t="shared" si="531"/>
        <v>2358.73</v>
      </c>
      <c r="Z1502" t="str">
        <f>""</f>
        <v/>
      </c>
      <c r="AA1502" t="str">
        <f t="shared" si="532"/>
        <v>35000.00</v>
      </c>
      <c r="AB1502" t="str">
        <f t="shared" si="518"/>
        <v>Residential</v>
      </c>
      <c r="AC1502" t="str">
        <f t="shared" si="523"/>
        <v>0</v>
      </c>
      <c r="AD1502" t="str">
        <f>""</f>
        <v/>
      </c>
      <c r="AE1502" t="str">
        <f>""</f>
        <v/>
      </c>
      <c r="AF1502" t="str">
        <f t="shared" si="524"/>
        <v>000</v>
      </c>
      <c r="AG1502" t="str">
        <f t="shared" si="533"/>
        <v>FL</v>
      </c>
      <c r="AH1502" t="str">
        <f t="shared" si="521"/>
        <v>-</v>
      </c>
      <c r="AI1502" t="str">
        <f t="shared" si="534"/>
        <v>35000.00</v>
      </c>
      <c r="AJ1502" t="str">
        <f>"C55-000-969-7643-6"</f>
        <v>C55-000-969-7643-6</v>
      </c>
      <c r="AK1502" t="str">
        <f>"26535"</f>
        <v>26535</v>
      </c>
      <c r="AL1502">
        <v>6</v>
      </c>
      <c r="AM1502">
        <v>1719</v>
      </c>
      <c r="AN1502">
        <v>2475.0700000000002</v>
      </c>
      <c r="AQ1502" t="s">
        <v>15225</v>
      </c>
      <c r="AR1502" t="s">
        <v>15225</v>
      </c>
      <c r="AS1502" t="s">
        <v>15225</v>
      </c>
      <c r="AU1502" t="s">
        <v>396</v>
      </c>
      <c r="AV1502">
        <v>2017</v>
      </c>
      <c r="AW1502" t="str">
        <f>"26-2N-28-168P-0007-0000 "</f>
        <v xml:space="preserve">26-2N-28-168P-0007-0000 </v>
      </c>
      <c r="AX1502">
        <v>94014</v>
      </c>
      <c r="AZ1502" t="s">
        <v>15201</v>
      </c>
      <c r="BA1502" t="s">
        <v>3181</v>
      </c>
      <c r="BD1502" t="s">
        <v>11749</v>
      </c>
      <c r="BE1502" t="s">
        <v>393</v>
      </c>
      <c r="BF1502">
        <v>32034</v>
      </c>
      <c r="BG1502" t="s">
        <v>15226</v>
      </c>
      <c r="BH1502" t="s">
        <v>11751</v>
      </c>
      <c r="BI1502">
        <v>-81.542798749922198</v>
      </c>
      <c r="BJ1502">
        <v>30.604759835471299</v>
      </c>
      <c r="BK1502" t="s">
        <v>15203</v>
      </c>
      <c r="BM1502" t="s">
        <v>15204</v>
      </c>
      <c r="BN1502" t="s">
        <v>2756</v>
      </c>
      <c r="BO1502">
        <v>32092</v>
      </c>
      <c r="BP1502" t="s">
        <v>404</v>
      </c>
      <c r="BQ1502">
        <v>0</v>
      </c>
      <c r="BR1502" t="s">
        <v>491</v>
      </c>
      <c r="BS1502">
        <v>8001</v>
      </c>
      <c r="BT1502" t="s">
        <v>492</v>
      </c>
      <c r="BW1502">
        <v>14339</v>
      </c>
      <c r="BX1502" t="s">
        <v>407</v>
      </c>
      <c r="CD1502">
        <v>2017</v>
      </c>
      <c r="CE1502">
        <v>35000</v>
      </c>
      <c r="CG1502">
        <v>35000</v>
      </c>
      <c r="CH1502">
        <v>2017</v>
      </c>
      <c r="CI1502">
        <v>35000</v>
      </c>
      <c r="CK1502">
        <v>35000</v>
      </c>
      <c r="CL1502">
        <v>2017</v>
      </c>
      <c r="CM1502">
        <v>2258.96</v>
      </c>
      <c r="CN1502" s="1">
        <v>42107</v>
      </c>
      <c r="CO1502">
        <v>238000</v>
      </c>
      <c r="CZ1502" s="1">
        <v>42107</v>
      </c>
      <c r="DD1502" t="s">
        <v>11749</v>
      </c>
      <c r="DF1502">
        <v>7</v>
      </c>
      <c r="DG1502">
        <v>24</v>
      </c>
      <c r="DL1502">
        <v>50303</v>
      </c>
      <c r="DM1502" t="s">
        <v>15205</v>
      </c>
      <c r="DO1502" t="s">
        <v>15227</v>
      </c>
      <c r="DP1502">
        <v>0</v>
      </c>
      <c r="DQ1502">
        <v>0</v>
      </c>
      <c r="DR1502" t="s">
        <v>411</v>
      </c>
      <c r="DS1502" t="b">
        <v>1</v>
      </c>
      <c r="DT1502" t="s">
        <v>470</v>
      </c>
      <c r="DU1502" t="s">
        <v>471</v>
      </c>
      <c r="DV1502" t="s">
        <v>472</v>
      </c>
      <c r="DX1502">
        <v>-9999</v>
      </c>
      <c r="DZ1502" t="s">
        <v>447</v>
      </c>
      <c r="EA1502" t="s">
        <v>448</v>
      </c>
      <c r="EB1502" t="s">
        <v>742</v>
      </c>
      <c r="EC1502">
        <v>20101217</v>
      </c>
      <c r="ED1502" t="s">
        <v>474</v>
      </c>
      <c r="EF1502">
        <v>5288.8</v>
      </c>
      <c r="EG1502">
        <v>2825.1</v>
      </c>
      <c r="EI1502">
        <v>20160407</v>
      </c>
      <c r="EJ1502">
        <v>0</v>
      </c>
      <c r="EK1502">
        <v>0</v>
      </c>
      <c r="EL1502" s="1">
        <v>39123</v>
      </c>
      <c r="EM1502" t="s">
        <v>15168</v>
      </c>
      <c r="EN1502" t="s">
        <v>15169</v>
      </c>
      <c r="EO1502" s="3">
        <v>14575000</v>
      </c>
      <c r="EP1502" t="s">
        <v>421</v>
      </c>
      <c r="EQ1502" t="s">
        <v>422</v>
      </c>
      <c r="ER1502">
        <v>1</v>
      </c>
      <c r="ES1502">
        <v>1</v>
      </c>
      <c r="ET1502">
        <v>2471.8200000000002</v>
      </c>
      <c r="EU1502">
        <v>129.84</v>
      </c>
      <c r="EV1502">
        <v>2601.66</v>
      </c>
      <c r="EW1502" s="2">
        <v>43222</v>
      </c>
      <c r="EX1502" s="1">
        <v>42879</v>
      </c>
      <c r="EY1502">
        <v>2016</v>
      </c>
      <c r="EZ1502">
        <v>2471.8200000000002</v>
      </c>
      <c r="FA1502" t="s">
        <v>15228</v>
      </c>
      <c r="FB1502">
        <v>0.25</v>
      </c>
      <c r="FC1502" t="s">
        <v>424</v>
      </c>
      <c r="FD1502" t="s">
        <v>454</v>
      </c>
      <c r="FF1502">
        <v>12</v>
      </c>
      <c r="FG1502">
        <v>305</v>
      </c>
      <c r="FH1502" t="s">
        <v>1078</v>
      </c>
      <c r="FJ1502" s="1">
        <v>42515</v>
      </c>
      <c r="FK1502">
        <v>2015</v>
      </c>
      <c r="FL1502">
        <v>2368.65</v>
      </c>
      <c r="FM1502" t="s">
        <v>15229</v>
      </c>
      <c r="FN1502">
        <v>0.25</v>
      </c>
      <c r="FO1502" t="s">
        <v>424</v>
      </c>
      <c r="FP1502" t="s">
        <v>425</v>
      </c>
      <c r="FQ1502" s="1">
        <v>43158</v>
      </c>
      <c r="FR1502">
        <v>21</v>
      </c>
      <c r="FS1502">
        <v>2035919</v>
      </c>
      <c r="FT1502" t="s">
        <v>507</v>
      </c>
    </row>
    <row r="1503" spans="1:236" x14ac:dyDescent="0.25">
      <c r="A1503">
        <v>16486510</v>
      </c>
      <c r="B1503">
        <v>1502</v>
      </c>
      <c r="C1503" t="s">
        <v>393</v>
      </c>
      <c r="D1503" t="s">
        <v>394</v>
      </c>
      <c r="F1503" t="str">
        <f>"26-2N-28-168P-0008-0000"</f>
        <v>26-2N-28-168P-0008-0000</v>
      </c>
      <c r="H1503" t="str">
        <f t="shared" si="525"/>
        <v>ADVANTAGE HOME BUILDERS INC</v>
      </c>
      <c r="I1503" t="str">
        <f t="shared" si="526"/>
        <v>305 KINGSLEY LAKE DR STE 704</v>
      </c>
      <c r="J1503" t="str">
        <f t="shared" si="527"/>
        <v>ST AUGUSTINE FL 32092</v>
      </c>
      <c r="K1503" t="str">
        <f>"94016 HEMLOCK CT"</f>
        <v>94016 HEMLOCK CT</v>
      </c>
      <c r="L1503" t="str">
        <f t="shared" si="517"/>
        <v>FERNANDINA BEACH FL 32034</v>
      </c>
      <c r="M1503" t="str">
        <f>"LOT 8 IN OR 1976/675 DECL COV &amp; RESTR OR 1458/887 PRIVATE QUARTERS PB 7/175"</f>
        <v>LOT 8 IN OR 1976/675 DECL COV &amp; RESTR OR 1458/887 PRIVATE QUARTERS PB 7/175</v>
      </c>
      <c r="N1503" t="str">
        <f>""</f>
        <v/>
      </c>
      <c r="O1503" t="str">
        <f>"36765"</f>
        <v>36765</v>
      </c>
      <c r="P1503" t="str">
        <f t="shared" si="514"/>
        <v>2017</v>
      </c>
      <c r="Q1503" t="str">
        <f>""</f>
        <v/>
      </c>
      <c r="R1503" t="str">
        <f t="shared" si="522"/>
        <v>N</v>
      </c>
      <c r="S1503" t="str">
        <f>""</f>
        <v/>
      </c>
      <c r="T1503" t="str">
        <f t="shared" si="528"/>
        <v>2258.96</v>
      </c>
      <c r="U1503" t="str">
        <f t="shared" si="529"/>
        <v>35000.00</v>
      </c>
      <c r="V1503" t="str">
        <f t="shared" si="529"/>
        <v>35000.00</v>
      </c>
      <c r="W1503" t="str">
        <f t="shared" si="515"/>
        <v>2017</v>
      </c>
      <c r="X1503" t="str">
        <f t="shared" si="530"/>
        <v>14.00</v>
      </c>
      <c r="Y1503" t="str">
        <f t="shared" si="531"/>
        <v>2358.73</v>
      </c>
      <c r="Z1503" t="str">
        <f>""</f>
        <v/>
      </c>
      <c r="AA1503" t="str">
        <f t="shared" si="532"/>
        <v>35000.00</v>
      </c>
      <c r="AB1503" t="str">
        <f t="shared" si="518"/>
        <v>Residential</v>
      </c>
      <c r="AC1503" t="str">
        <f t="shared" si="523"/>
        <v>0</v>
      </c>
      <c r="AD1503" t="str">
        <f>""</f>
        <v/>
      </c>
      <c r="AE1503" t="str">
        <f>""</f>
        <v/>
      </c>
      <c r="AF1503" t="str">
        <f t="shared" si="524"/>
        <v>000</v>
      </c>
      <c r="AG1503" t="str">
        <f t="shared" si="533"/>
        <v>FL</v>
      </c>
      <c r="AH1503" t="str">
        <f t="shared" si="521"/>
        <v>-</v>
      </c>
      <c r="AI1503" t="str">
        <f t="shared" si="534"/>
        <v>35000.00</v>
      </c>
      <c r="AJ1503" t="str">
        <f>"C55-000-969-7644-4"</f>
        <v>C55-000-969-7644-4</v>
      </c>
      <c r="AK1503" t="str">
        <f>"26536"</f>
        <v>26536</v>
      </c>
      <c r="AL1503">
        <v>6</v>
      </c>
      <c r="AM1503">
        <v>1720</v>
      </c>
      <c r="AN1503">
        <v>2475.0700000000002</v>
      </c>
      <c r="AQ1503" t="s">
        <v>15230</v>
      </c>
      <c r="AR1503" t="s">
        <v>15230</v>
      </c>
      <c r="AS1503" t="s">
        <v>15230</v>
      </c>
      <c r="AU1503" t="s">
        <v>396</v>
      </c>
      <c r="AV1503">
        <v>2017</v>
      </c>
      <c r="AW1503" t="str">
        <f>"26-2N-28-168P-0008-0000 "</f>
        <v xml:space="preserve">26-2N-28-168P-0008-0000 </v>
      </c>
      <c r="AX1503">
        <v>94016</v>
      </c>
      <c r="AZ1503" t="s">
        <v>15201</v>
      </c>
      <c r="BA1503" t="s">
        <v>3181</v>
      </c>
      <c r="BD1503" t="s">
        <v>11749</v>
      </c>
      <c r="BE1503" t="s">
        <v>393</v>
      </c>
      <c r="BF1503">
        <v>32034</v>
      </c>
      <c r="BG1503" t="s">
        <v>15231</v>
      </c>
      <c r="BH1503" t="s">
        <v>11751</v>
      </c>
      <c r="BI1503">
        <v>-81.542729601942099</v>
      </c>
      <c r="BJ1503">
        <v>30.605004853912799</v>
      </c>
      <c r="BK1503" t="s">
        <v>15203</v>
      </c>
      <c r="BM1503" t="s">
        <v>15204</v>
      </c>
      <c r="BN1503" t="s">
        <v>2756</v>
      </c>
      <c r="BO1503">
        <v>32092</v>
      </c>
      <c r="BP1503" t="s">
        <v>404</v>
      </c>
      <c r="BQ1503">
        <v>0</v>
      </c>
      <c r="BR1503" t="s">
        <v>491</v>
      </c>
      <c r="BS1503">
        <v>8001</v>
      </c>
      <c r="BT1503" t="s">
        <v>492</v>
      </c>
      <c r="BW1503">
        <v>11796</v>
      </c>
      <c r="BX1503" t="s">
        <v>407</v>
      </c>
      <c r="CD1503">
        <v>2017</v>
      </c>
      <c r="CE1503">
        <v>35000</v>
      </c>
      <c r="CG1503">
        <v>35000</v>
      </c>
      <c r="CH1503">
        <v>2017</v>
      </c>
      <c r="CI1503">
        <v>35000</v>
      </c>
      <c r="CK1503">
        <v>35000</v>
      </c>
      <c r="CL1503">
        <v>2017</v>
      </c>
      <c r="CM1503">
        <v>2258.96</v>
      </c>
      <c r="CN1503" s="1">
        <v>42107</v>
      </c>
      <c r="CO1503">
        <v>238000</v>
      </c>
      <c r="CZ1503" s="1">
        <v>42107</v>
      </c>
      <c r="DD1503" t="s">
        <v>11749</v>
      </c>
      <c r="DF1503">
        <v>8</v>
      </c>
      <c r="DG1503">
        <v>24</v>
      </c>
      <c r="DL1503">
        <v>50303</v>
      </c>
      <c r="DM1503" t="s">
        <v>15205</v>
      </c>
      <c r="DO1503" t="s">
        <v>15232</v>
      </c>
      <c r="DP1503">
        <v>0</v>
      </c>
      <c r="DQ1503">
        <v>0</v>
      </c>
      <c r="DR1503" t="s">
        <v>411</v>
      </c>
      <c r="DS1503" t="b">
        <v>1</v>
      </c>
      <c r="DT1503" t="s">
        <v>470</v>
      </c>
      <c r="DU1503" t="s">
        <v>471</v>
      </c>
      <c r="DV1503" t="s">
        <v>472</v>
      </c>
      <c r="DX1503">
        <v>-9999</v>
      </c>
      <c r="DZ1503" t="s">
        <v>447</v>
      </c>
      <c r="EA1503" t="s">
        <v>448</v>
      </c>
      <c r="EB1503" t="s">
        <v>742</v>
      </c>
      <c r="EC1503">
        <v>20101217</v>
      </c>
      <c r="ED1503" t="s">
        <v>474</v>
      </c>
      <c r="EF1503">
        <v>5346.3</v>
      </c>
      <c r="EG1503">
        <v>2878.1</v>
      </c>
      <c r="EI1503">
        <v>20160407</v>
      </c>
      <c r="EJ1503">
        <v>0</v>
      </c>
      <c r="EK1503">
        <v>0</v>
      </c>
      <c r="EL1503" s="1">
        <v>39124</v>
      </c>
      <c r="EM1503" t="s">
        <v>15168</v>
      </c>
      <c r="EN1503" t="s">
        <v>15169</v>
      </c>
      <c r="EO1503" s="3">
        <v>14575000</v>
      </c>
      <c r="EP1503" t="s">
        <v>421</v>
      </c>
      <c r="EQ1503" t="s">
        <v>422</v>
      </c>
      <c r="ER1503">
        <v>1</v>
      </c>
      <c r="ES1503">
        <v>1</v>
      </c>
      <c r="ET1503">
        <v>2471.8200000000002</v>
      </c>
      <c r="EU1503">
        <v>129.84</v>
      </c>
      <c r="EV1503">
        <v>2601.66</v>
      </c>
      <c r="EW1503" s="2">
        <v>43222</v>
      </c>
      <c r="EX1503" s="1">
        <v>42879</v>
      </c>
      <c r="EY1503">
        <v>2016</v>
      </c>
      <c r="EZ1503">
        <v>2471.8200000000002</v>
      </c>
      <c r="FA1503" t="s">
        <v>15233</v>
      </c>
      <c r="FB1503">
        <v>0.25</v>
      </c>
      <c r="FC1503" t="s">
        <v>424</v>
      </c>
      <c r="FD1503" t="s">
        <v>454</v>
      </c>
      <c r="FF1503">
        <v>12</v>
      </c>
      <c r="FG1503">
        <v>62</v>
      </c>
      <c r="FH1503" t="s">
        <v>463</v>
      </c>
      <c r="FJ1503" s="1">
        <v>42515</v>
      </c>
      <c r="FK1503">
        <v>2015</v>
      </c>
      <c r="FL1503">
        <v>2368.65</v>
      </c>
      <c r="FM1503" t="s">
        <v>15234</v>
      </c>
      <c r="FN1503">
        <v>0.25</v>
      </c>
      <c r="FO1503" t="s">
        <v>424</v>
      </c>
      <c r="FP1503" t="s">
        <v>425</v>
      </c>
      <c r="FQ1503" s="1">
        <v>43158</v>
      </c>
      <c r="FR1503">
        <v>21</v>
      </c>
      <c r="FS1503">
        <v>2035919</v>
      </c>
      <c r="FT1503" t="s">
        <v>507</v>
      </c>
    </row>
    <row r="1504" spans="1:236" x14ac:dyDescent="0.25">
      <c r="A1504">
        <v>16486511</v>
      </c>
      <c r="B1504">
        <v>1503</v>
      </c>
      <c r="C1504" t="s">
        <v>393</v>
      </c>
      <c r="D1504" t="s">
        <v>394</v>
      </c>
      <c r="F1504" t="str">
        <f>"26-2N-28-168P-0011-0000"</f>
        <v>26-2N-28-168P-0011-0000</v>
      </c>
      <c r="H1504" t="str">
        <f t="shared" si="525"/>
        <v>ADVANTAGE HOME BUILDERS INC</v>
      </c>
      <c r="I1504" t="str">
        <f t="shared" si="526"/>
        <v>305 KINGSLEY LAKE DR STE 704</v>
      </c>
      <c r="J1504" t="str">
        <f t="shared" si="527"/>
        <v>ST AUGUSTINE FL 32092</v>
      </c>
      <c r="K1504" t="str">
        <f>"94022 HEMLOCK CT"</f>
        <v>94022 HEMLOCK CT</v>
      </c>
      <c r="L1504" t="str">
        <f t="shared" si="517"/>
        <v>FERNANDINA BEACH FL 32034</v>
      </c>
      <c r="M1504" t="str">
        <f>"LOT 11 IN OR 1976/675 DECL COV &amp; RESTR OR 1458/887 PRIVATE QUARTERS PB 7/175"</f>
        <v>LOT 11 IN OR 1976/675 DECL COV &amp; RESTR OR 1458/887 PRIVATE QUARTERS PB 7/175</v>
      </c>
      <c r="N1504" t="str">
        <f>""</f>
        <v/>
      </c>
      <c r="O1504" t="str">
        <f>"36772"</f>
        <v>36772</v>
      </c>
      <c r="P1504" t="str">
        <f t="shared" si="514"/>
        <v>2017</v>
      </c>
      <c r="Q1504" t="str">
        <f>""</f>
        <v/>
      </c>
      <c r="R1504" t="str">
        <f t="shared" si="522"/>
        <v>N</v>
      </c>
      <c r="S1504" t="str">
        <f>""</f>
        <v/>
      </c>
      <c r="T1504" t="str">
        <f>"2561.74"</f>
        <v>2561.74</v>
      </c>
      <c r="U1504" t="str">
        <f>"55000.00"</f>
        <v>55000.00</v>
      </c>
      <c r="V1504" t="str">
        <f>"55000.00"</f>
        <v>55000.00</v>
      </c>
      <c r="W1504" t="str">
        <f t="shared" si="515"/>
        <v>2017</v>
      </c>
      <c r="X1504" t="str">
        <f t="shared" si="530"/>
        <v>14.00</v>
      </c>
      <c r="Y1504" t="str">
        <f>"2670.59"</f>
        <v>2670.59</v>
      </c>
      <c r="Z1504" t="str">
        <f>""</f>
        <v/>
      </c>
      <c r="AA1504" t="str">
        <f>"55000.00"</f>
        <v>55000.00</v>
      </c>
      <c r="AB1504" t="str">
        <f t="shared" si="518"/>
        <v>Residential</v>
      </c>
      <c r="AC1504" t="str">
        <f t="shared" si="523"/>
        <v>0</v>
      </c>
      <c r="AD1504" t="str">
        <f>""</f>
        <v/>
      </c>
      <c r="AE1504" t="str">
        <f>""</f>
        <v/>
      </c>
      <c r="AF1504" t="str">
        <f t="shared" si="524"/>
        <v>000</v>
      </c>
      <c r="AG1504" t="str">
        <f t="shared" si="533"/>
        <v>FL</v>
      </c>
      <c r="AH1504" t="str">
        <f t="shared" si="521"/>
        <v>-</v>
      </c>
      <c r="AI1504" t="str">
        <f>"55000.00"</f>
        <v>55000.00</v>
      </c>
      <c r="AJ1504" t="str">
        <f>"C55-000-969-7648-5"</f>
        <v>C55-000-969-7648-5</v>
      </c>
      <c r="AK1504" t="str">
        <f>"26539"</f>
        <v>26539</v>
      </c>
      <c r="AL1504">
        <v>6</v>
      </c>
      <c r="AM1504">
        <v>1721</v>
      </c>
      <c r="AN1504">
        <v>2802.52</v>
      </c>
      <c r="AQ1504" t="s">
        <v>15235</v>
      </c>
      <c r="AR1504" t="s">
        <v>15235</v>
      </c>
      <c r="AS1504" t="s">
        <v>15235</v>
      </c>
      <c r="AU1504" t="s">
        <v>396</v>
      </c>
      <c r="AV1504">
        <v>2017</v>
      </c>
      <c r="AW1504" t="str">
        <f>"26-2N-28-168P-0011-0000 "</f>
        <v xml:space="preserve">26-2N-28-168P-0011-0000 </v>
      </c>
      <c r="AX1504">
        <v>94022</v>
      </c>
      <c r="AZ1504" t="s">
        <v>15201</v>
      </c>
      <c r="BA1504" t="s">
        <v>3181</v>
      </c>
      <c r="BD1504" t="s">
        <v>11749</v>
      </c>
      <c r="BE1504" t="s">
        <v>393</v>
      </c>
      <c r="BF1504">
        <v>32034</v>
      </c>
      <c r="BG1504" t="s">
        <v>15236</v>
      </c>
      <c r="BH1504" t="s">
        <v>11751</v>
      </c>
      <c r="BI1504">
        <v>-81.542025332510505</v>
      </c>
      <c r="BJ1504">
        <v>30.605247734918599</v>
      </c>
      <c r="BK1504" t="s">
        <v>15203</v>
      </c>
      <c r="BM1504" t="s">
        <v>15204</v>
      </c>
      <c r="BN1504" t="s">
        <v>2756</v>
      </c>
      <c r="BO1504">
        <v>32092</v>
      </c>
      <c r="BP1504" t="s">
        <v>404</v>
      </c>
      <c r="BQ1504">
        <v>0</v>
      </c>
      <c r="BR1504" t="s">
        <v>491</v>
      </c>
      <c r="BS1504">
        <v>8001</v>
      </c>
      <c r="BT1504" t="s">
        <v>492</v>
      </c>
      <c r="BW1504">
        <v>12319</v>
      </c>
      <c r="BX1504" t="s">
        <v>407</v>
      </c>
      <c r="CD1504">
        <v>2017</v>
      </c>
      <c r="CE1504">
        <v>55000</v>
      </c>
      <c r="CG1504">
        <v>55000</v>
      </c>
      <c r="CH1504">
        <v>2017</v>
      </c>
      <c r="CI1504">
        <v>55000</v>
      </c>
      <c r="CK1504">
        <v>55000</v>
      </c>
      <c r="CL1504">
        <v>2017</v>
      </c>
      <c r="CM1504">
        <v>2561.7399999999998</v>
      </c>
      <c r="CN1504" s="1">
        <v>42107</v>
      </c>
      <c r="CO1504">
        <v>238000</v>
      </c>
      <c r="CZ1504" s="1">
        <v>42107</v>
      </c>
      <c r="DD1504" t="s">
        <v>11749</v>
      </c>
      <c r="DF1504">
        <v>11</v>
      </c>
      <c r="DG1504">
        <v>24</v>
      </c>
      <c r="DL1504">
        <v>50303</v>
      </c>
      <c r="DM1504" t="s">
        <v>15205</v>
      </c>
      <c r="DO1504" t="s">
        <v>15237</v>
      </c>
      <c r="DP1504">
        <v>0</v>
      </c>
      <c r="DQ1504">
        <v>0</v>
      </c>
      <c r="DR1504" t="s">
        <v>411</v>
      </c>
      <c r="DS1504" t="b">
        <v>1</v>
      </c>
      <c r="DT1504" t="s">
        <v>470</v>
      </c>
      <c r="DU1504" t="s">
        <v>471</v>
      </c>
      <c r="DV1504" t="s">
        <v>472</v>
      </c>
      <c r="DX1504">
        <v>-9999</v>
      </c>
      <c r="DZ1504" t="s">
        <v>447</v>
      </c>
      <c r="EA1504" t="s">
        <v>448</v>
      </c>
      <c r="EB1504" t="s">
        <v>742</v>
      </c>
      <c r="EC1504">
        <v>20101217</v>
      </c>
      <c r="ED1504" t="s">
        <v>474</v>
      </c>
      <c r="EF1504">
        <v>5584.3</v>
      </c>
      <c r="EG1504">
        <v>3115.6</v>
      </c>
      <c r="EI1504">
        <v>20160407</v>
      </c>
      <c r="EJ1504">
        <v>0</v>
      </c>
      <c r="EK1504">
        <v>0</v>
      </c>
      <c r="EL1504" s="1">
        <v>39131</v>
      </c>
      <c r="EM1504" t="s">
        <v>15168</v>
      </c>
      <c r="EN1504" t="s">
        <v>15169</v>
      </c>
      <c r="EO1504" s="3">
        <v>14575000</v>
      </c>
      <c r="EP1504" t="s">
        <v>421</v>
      </c>
      <c r="EQ1504" t="s">
        <v>422</v>
      </c>
      <c r="ER1504">
        <v>1</v>
      </c>
      <c r="ES1504">
        <v>2</v>
      </c>
      <c r="ET1504">
        <v>2803.86</v>
      </c>
      <c r="EU1504">
        <v>146.44</v>
      </c>
      <c r="EV1504">
        <v>2950.3</v>
      </c>
      <c r="EW1504" s="2">
        <v>43222</v>
      </c>
      <c r="EX1504" s="1">
        <v>42879</v>
      </c>
      <c r="EY1504">
        <v>2016</v>
      </c>
      <c r="EZ1504">
        <v>2803.86</v>
      </c>
      <c r="FA1504" t="s">
        <v>15238</v>
      </c>
      <c r="FB1504">
        <v>0.25</v>
      </c>
      <c r="FC1504" t="s">
        <v>424</v>
      </c>
      <c r="FD1504" t="s">
        <v>454</v>
      </c>
      <c r="FF1504">
        <v>12</v>
      </c>
      <c r="FG1504">
        <v>305</v>
      </c>
      <c r="FH1504" t="s">
        <v>1078</v>
      </c>
      <c r="FJ1504" s="1">
        <v>42515</v>
      </c>
      <c r="FK1504">
        <v>2015</v>
      </c>
      <c r="FL1504">
        <v>2708.76</v>
      </c>
      <c r="FM1504" t="s">
        <v>15239</v>
      </c>
      <c r="FN1504">
        <v>0.25</v>
      </c>
      <c r="FO1504" t="s">
        <v>424</v>
      </c>
      <c r="FP1504" t="s">
        <v>425</v>
      </c>
      <c r="FQ1504" s="1">
        <v>43158</v>
      </c>
      <c r="FR1504">
        <v>21</v>
      </c>
      <c r="FS1504">
        <v>7336671</v>
      </c>
      <c r="FT1504" t="s">
        <v>437</v>
      </c>
      <c r="FV1504" s="1">
        <v>42515</v>
      </c>
      <c r="FW1504">
        <v>2015</v>
      </c>
      <c r="FX1504">
        <v>2708.76</v>
      </c>
      <c r="FY1504" t="s">
        <v>15239</v>
      </c>
      <c r="FZ1504">
        <v>0.25</v>
      </c>
      <c r="GA1504" t="s">
        <v>424</v>
      </c>
      <c r="GB1504" t="s">
        <v>425</v>
      </c>
      <c r="GD1504">
        <v>22</v>
      </c>
      <c r="GE1504">
        <v>7010694</v>
      </c>
      <c r="GF1504" t="s">
        <v>15240</v>
      </c>
    </row>
    <row r="1505" spans="1:248" x14ac:dyDescent="0.25">
      <c r="A1505">
        <v>16486512</v>
      </c>
      <c r="B1505">
        <v>1504</v>
      </c>
      <c r="C1505" t="s">
        <v>393</v>
      </c>
      <c r="D1505" t="s">
        <v>394</v>
      </c>
      <c r="F1505" t="str">
        <f>"26-2N-28-168P-0012-0000"</f>
        <v>26-2N-28-168P-0012-0000</v>
      </c>
      <c r="H1505" t="str">
        <f t="shared" si="525"/>
        <v>ADVANTAGE HOME BUILDERS INC</v>
      </c>
      <c r="I1505" t="str">
        <f t="shared" si="526"/>
        <v>305 KINGSLEY LAKE DR STE 704</v>
      </c>
      <c r="J1505" t="str">
        <f t="shared" si="527"/>
        <v>ST AUGUSTINE FL 32092</v>
      </c>
      <c r="K1505" t="str">
        <f>"94024 HEMLOCK CT"</f>
        <v>94024 HEMLOCK CT</v>
      </c>
      <c r="L1505" t="str">
        <f t="shared" si="517"/>
        <v>FERNANDINA BEACH FL 32034</v>
      </c>
      <c r="M1505" t="str">
        <f>"LOT 12 IN OR 1976/675 DECL COV &amp; RESTR OR 1458/887 PRIVATE QUARTERS PB 7/175"</f>
        <v>LOT 12 IN OR 1976/675 DECL COV &amp; RESTR OR 1458/887 PRIVATE QUARTERS PB 7/175</v>
      </c>
      <c r="N1505" t="str">
        <f>""</f>
        <v/>
      </c>
      <c r="O1505" t="str">
        <f>"36773"</f>
        <v>36773</v>
      </c>
      <c r="P1505" t="str">
        <f t="shared" si="514"/>
        <v>2017</v>
      </c>
      <c r="Q1505" t="str">
        <f>""</f>
        <v/>
      </c>
      <c r="R1505" t="str">
        <f t="shared" si="522"/>
        <v>N</v>
      </c>
      <c r="S1505" t="str">
        <f>""</f>
        <v/>
      </c>
      <c r="T1505" t="str">
        <f>"2561.74"</f>
        <v>2561.74</v>
      </c>
      <c r="U1505" t="str">
        <f>"55000.00"</f>
        <v>55000.00</v>
      </c>
      <c r="V1505" t="str">
        <f>"55000.00"</f>
        <v>55000.00</v>
      </c>
      <c r="W1505" t="str">
        <f t="shared" si="515"/>
        <v>2017</v>
      </c>
      <c r="X1505" t="str">
        <f t="shared" si="530"/>
        <v>14.00</v>
      </c>
      <c r="Y1505" t="str">
        <f>"2670.59"</f>
        <v>2670.59</v>
      </c>
      <c r="Z1505" t="str">
        <f>""</f>
        <v/>
      </c>
      <c r="AA1505" t="str">
        <f>"55000.00"</f>
        <v>55000.00</v>
      </c>
      <c r="AB1505" t="str">
        <f t="shared" si="518"/>
        <v>Residential</v>
      </c>
      <c r="AC1505" t="str">
        <f t="shared" si="523"/>
        <v>0</v>
      </c>
      <c r="AD1505" t="str">
        <f>""</f>
        <v/>
      </c>
      <c r="AE1505" t="str">
        <f>""</f>
        <v/>
      </c>
      <c r="AF1505" t="str">
        <f t="shared" si="524"/>
        <v>000</v>
      </c>
      <c r="AG1505" t="str">
        <f t="shared" si="533"/>
        <v>FL</v>
      </c>
      <c r="AH1505" t="str">
        <f t="shared" si="521"/>
        <v>-</v>
      </c>
      <c r="AI1505" t="str">
        <f>"55000.00"</f>
        <v>55000.00</v>
      </c>
      <c r="AJ1505" t="str">
        <f>"C55-000-969-7649-3"</f>
        <v>C55-000-969-7649-3</v>
      </c>
      <c r="AK1505" t="str">
        <f>"26540"</f>
        <v>26540</v>
      </c>
      <c r="AL1505">
        <v>6</v>
      </c>
      <c r="AM1505">
        <v>1722</v>
      </c>
      <c r="AN1505">
        <v>2802.52</v>
      </c>
      <c r="AQ1505" t="s">
        <v>15241</v>
      </c>
      <c r="AR1505" t="s">
        <v>15241</v>
      </c>
      <c r="AS1505" t="s">
        <v>15241</v>
      </c>
      <c r="AU1505" t="s">
        <v>396</v>
      </c>
      <c r="AV1505">
        <v>2017</v>
      </c>
      <c r="AW1505" t="str">
        <f>"26-2N-28-168P-0012-0000 "</f>
        <v xml:space="preserve">26-2N-28-168P-0012-0000 </v>
      </c>
      <c r="AX1505">
        <v>94024</v>
      </c>
      <c r="AZ1505" t="s">
        <v>15201</v>
      </c>
      <c r="BA1505" t="s">
        <v>3181</v>
      </c>
      <c r="BD1505" t="s">
        <v>11749</v>
      </c>
      <c r="BE1505" t="s">
        <v>393</v>
      </c>
      <c r="BF1505">
        <v>32034</v>
      </c>
      <c r="BG1505" t="s">
        <v>15242</v>
      </c>
      <c r="BH1505" t="s">
        <v>11751</v>
      </c>
      <c r="BI1505">
        <v>-81.541654556856699</v>
      </c>
      <c r="BJ1505">
        <v>30.6051698290334</v>
      </c>
      <c r="BK1505" t="s">
        <v>15203</v>
      </c>
      <c r="BM1505" t="s">
        <v>15204</v>
      </c>
      <c r="BN1505" t="s">
        <v>2756</v>
      </c>
      <c r="BO1505">
        <v>32092</v>
      </c>
      <c r="BP1505" t="s">
        <v>404</v>
      </c>
      <c r="BQ1505">
        <v>0</v>
      </c>
      <c r="BR1505" t="s">
        <v>491</v>
      </c>
      <c r="BS1505">
        <v>8001</v>
      </c>
      <c r="BT1505" t="s">
        <v>492</v>
      </c>
      <c r="BW1505">
        <v>33142</v>
      </c>
      <c r="BX1505" t="s">
        <v>407</v>
      </c>
      <c r="CD1505">
        <v>2017</v>
      </c>
      <c r="CE1505">
        <v>55000</v>
      </c>
      <c r="CG1505">
        <v>55000</v>
      </c>
      <c r="CH1505">
        <v>2017</v>
      </c>
      <c r="CI1505">
        <v>55000</v>
      </c>
      <c r="CK1505">
        <v>55000</v>
      </c>
      <c r="CL1505">
        <v>2017</v>
      </c>
      <c r="CM1505">
        <v>2561.7399999999998</v>
      </c>
      <c r="CN1505" s="1">
        <v>42107</v>
      </c>
      <c r="CO1505">
        <v>238000</v>
      </c>
      <c r="CZ1505" s="1">
        <v>42107</v>
      </c>
      <c r="DD1505" t="s">
        <v>11749</v>
      </c>
      <c r="DF1505">
        <v>12</v>
      </c>
      <c r="DG1505">
        <v>24</v>
      </c>
      <c r="DL1505">
        <v>50303</v>
      </c>
      <c r="DM1505" t="s">
        <v>15205</v>
      </c>
      <c r="DO1505" t="s">
        <v>15243</v>
      </c>
      <c r="DP1505">
        <v>0</v>
      </c>
      <c r="DQ1505">
        <v>0</v>
      </c>
      <c r="DR1505" t="s">
        <v>411</v>
      </c>
      <c r="DS1505" t="b">
        <v>1</v>
      </c>
      <c r="DT1505" t="s">
        <v>470</v>
      </c>
      <c r="DU1505" t="s">
        <v>471</v>
      </c>
      <c r="DV1505" t="s">
        <v>472</v>
      </c>
      <c r="DX1505">
        <v>-9999</v>
      </c>
      <c r="DZ1505" t="s">
        <v>447</v>
      </c>
      <c r="EA1505" t="s">
        <v>448</v>
      </c>
      <c r="EB1505" t="s">
        <v>742</v>
      </c>
      <c r="EC1505">
        <v>20101217</v>
      </c>
      <c r="ED1505" t="s">
        <v>474</v>
      </c>
      <c r="EF1505">
        <v>5678.2</v>
      </c>
      <c r="EG1505">
        <v>3214.1</v>
      </c>
      <c r="EI1505">
        <v>20160407</v>
      </c>
      <c r="EJ1505">
        <v>0</v>
      </c>
      <c r="EK1505">
        <v>0</v>
      </c>
      <c r="EL1505" s="1">
        <v>39132</v>
      </c>
      <c r="EM1505" t="s">
        <v>15168</v>
      </c>
      <c r="EN1505" t="s">
        <v>15169</v>
      </c>
      <c r="EO1505" s="3">
        <v>14575000</v>
      </c>
      <c r="EP1505" t="s">
        <v>421</v>
      </c>
      <c r="EQ1505" t="s">
        <v>422</v>
      </c>
      <c r="ER1505">
        <v>1</v>
      </c>
      <c r="ES1505">
        <v>2</v>
      </c>
      <c r="ET1505">
        <v>2803.86</v>
      </c>
      <c r="EU1505">
        <v>146.44</v>
      </c>
      <c r="EV1505">
        <v>2950.3</v>
      </c>
      <c r="EW1505" s="2">
        <v>43222</v>
      </c>
      <c r="EX1505" s="1">
        <v>42879</v>
      </c>
      <c r="EY1505">
        <v>2016</v>
      </c>
      <c r="EZ1505">
        <v>2803.86</v>
      </c>
      <c r="FA1505" t="s">
        <v>15244</v>
      </c>
      <c r="FB1505">
        <v>0.25</v>
      </c>
      <c r="FC1505" t="s">
        <v>424</v>
      </c>
      <c r="FD1505" t="s">
        <v>454</v>
      </c>
      <c r="FF1505">
        <v>12</v>
      </c>
      <c r="FG1505">
        <v>2035919</v>
      </c>
      <c r="FH1505" t="s">
        <v>507</v>
      </c>
      <c r="FJ1505" s="1">
        <v>42515</v>
      </c>
      <c r="FK1505">
        <v>2015</v>
      </c>
      <c r="FL1505">
        <v>2708.76</v>
      </c>
      <c r="FM1505" t="s">
        <v>15245</v>
      </c>
      <c r="FN1505">
        <v>0.25</v>
      </c>
      <c r="FO1505" t="s">
        <v>424</v>
      </c>
      <c r="FP1505" t="s">
        <v>425</v>
      </c>
      <c r="FQ1505" s="1">
        <v>43158</v>
      </c>
      <c r="FR1505">
        <v>21</v>
      </c>
      <c r="FS1505">
        <v>5894185</v>
      </c>
      <c r="FT1505" t="s">
        <v>7135</v>
      </c>
      <c r="FV1505" s="1">
        <v>42515</v>
      </c>
      <c r="FW1505">
        <v>2015</v>
      </c>
      <c r="FX1505">
        <v>2708.76</v>
      </c>
      <c r="FY1505" t="s">
        <v>15245</v>
      </c>
      <c r="FZ1505">
        <v>0.25</v>
      </c>
      <c r="GA1505" t="s">
        <v>424</v>
      </c>
      <c r="GB1505" t="s">
        <v>425</v>
      </c>
      <c r="GD1505">
        <v>22</v>
      </c>
      <c r="GE1505">
        <v>6084552</v>
      </c>
      <c r="GF1505" t="s">
        <v>15246</v>
      </c>
    </row>
    <row r="1506" spans="1:248" x14ac:dyDescent="0.25">
      <c r="A1506">
        <v>16486513</v>
      </c>
      <c r="B1506">
        <v>1505</v>
      </c>
      <c r="C1506" t="s">
        <v>393</v>
      </c>
      <c r="D1506" t="s">
        <v>394</v>
      </c>
      <c r="F1506" t="str">
        <f>"26-2N-28-168P-0013-0000"</f>
        <v>26-2N-28-168P-0013-0000</v>
      </c>
      <c r="H1506" t="str">
        <f t="shared" si="525"/>
        <v>ADVANTAGE HOME BUILDERS INC</v>
      </c>
      <c r="I1506" t="str">
        <f t="shared" si="526"/>
        <v>305 KINGSLEY LAKE DR STE 704</v>
      </c>
      <c r="J1506" t="str">
        <f t="shared" si="527"/>
        <v>ST AUGUSTINE FL 32092</v>
      </c>
      <c r="K1506" t="str">
        <f>"94028 HEMLOCK CT"</f>
        <v>94028 HEMLOCK CT</v>
      </c>
      <c r="L1506" t="str">
        <f t="shared" si="517"/>
        <v>FERNANDINA BEACH FL 32034</v>
      </c>
      <c r="M1506" t="str">
        <f>"LOT 13 IN OR 1976/675 DECL COV &amp; RESTR OR 1458/887 PRIVATE QUARTERS PB 7/175"</f>
        <v>LOT 13 IN OR 1976/675 DECL COV &amp; RESTR OR 1458/887 PRIVATE QUARTERS PB 7/175</v>
      </c>
      <c r="N1506" t="str">
        <f>""</f>
        <v/>
      </c>
      <c r="O1506" t="str">
        <f>"36774"</f>
        <v>36774</v>
      </c>
      <c r="P1506" t="str">
        <f t="shared" si="514"/>
        <v>2017</v>
      </c>
      <c r="Q1506" t="str">
        <f>""</f>
        <v/>
      </c>
      <c r="R1506" t="str">
        <f t="shared" si="522"/>
        <v>N</v>
      </c>
      <c r="S1506" t="str">
        <f>""</f>
        <v/>
      </c>
      <c r="T1506" t="str">
        <f>"2258.96"</f>
        <v>2258.96</v>
      </c>
      <c r="U1506" t="str">
        <f>"35000.00"</f>
        <v>35000.00</v>
      </c>
      <c r="V1506" t="str">
        <f>"35000.00"</f>
        <v>35000.00</v>
      </c>
      <c r="W1506" t="str">
        <f t="shared" si="515"/>
        <v>2017</v>
      </c>
      <c r="X1506" t="str">
        <f t="shared" si="530"/>
        <v>14.00</v>
      </c>
      <c r="Y1506" t="str">
        <f>"2358.73"</f>
        <v>2358.73</v>
      </c>
      <c r="Z1506" t="str">
        <f>""</f>
        <v/>
      </c>
      <c r="AA1506" t="str">
        <f>"35000.00"</f>
        <v>35000.00</v>
      </c>
      <c r="AB1506" t="str">
        <f t="shared" si="518"/>
        <v>Residential</v>
      </c>
      <c r="AC1506" t="str">
        <f t="shared" si="523"/>
        <v>0</v>
      </c>
      <c r="AD1506" t="str">
        <f>""</f>
        <v/>
      </c>
      <c r="AE1506" t="str">
        <f>""</f>
        <v/>
      </c>
      <c r="AF1506" t="str">
        <f t="shared" si="524"/>
        <v>000</v>
      </c>
      <c r="AG1506" t="str">
        <f t="shared" si="533"/>
        <v>FL</v>
      </c>
      <c r="AH1506" t="str">
        <f t="shared" si="521"/>
        <v>-</v>
      </c>
      <c r="AI1506" t="str">
        <f>"35000.00"</f>
        <v>35000.00</v>
      </c>
      <c r="AJ1506" t="str">
        <f>"C55-000-969-7650-1"</f>
        <v>C55-000-969-7650-1</v>
      </c>
      <c r="AK1506" t="str">
        <f>"26541"</f>
        <v>26541</v>
      </c>
      <c r="AL1506">
        <v>6</v>
      </c>
      <c r="AM1506">
        <v>1723</v>
      </c>
      <c r="AN1506">
        <v>2475.0700000000002</v>
      </c>
      <c r="AQ1506" t="s">
        <v>15247</v>
      </c>
      <c r="AR1506" t="s">
        <v>15247</v>
      </c>
      <c r="AS1506" t="s">
        <v>15247</v>
      </c>
      <c r="AU1506" t="s">
        <v>396</v>
      </c>
      <c r="AV1506">
        <v>2017</v>
      </c>
      <c r="AW1506" t="str">
        <f>"26-2N-28-168P-0013-0000 "</f>
        <v xml:space="preserve">26-2N-28-168P-0013-0000 </v>
      </c>
      <c r="AX1506">
        <v>94028</v>
      </c>
      <c r="AZ1506" t="s">
        <v>15201</v>
      </c>
      <c r="BA1506" t="s">
        <v>3181</v>
      </c>
      <c r="BD1506" t="s">
        <v>11749</v>
      </c>
      <c r="BE1506" t="s">
        <v>393</v>
      </c>
      <c r="BF1506">
        <v>32034</v>
      </c>
      <c r="BG1506" t="s">
        <v>15248</v>
      </c>
      <c r="BH1506" t="s">
        <v>11751</v>
      </c>
      <c r="BI1506">
        <v>-81.540965722591693</v>
      </c>
      <c r="BJ1506">
        <v>30.604609036044</v>
      </c>
      <c r="BK1506" t="s">
        <v>15203</v>
      </c>
      <c r="BM1506" t="s">
        <v>15204</v>
      </c>
      <c r="BN1506" t="s">
        <v>2756</v>
      </c>
      <c r="BO1506">
        <v>32092</v>
      </c>
      <c r="BP1506" t="s">
        <v>404</v>
      </c>
      <c r="BQ1506">
        <v>0</v>
      </c>
      <c r="BR1506" t="s">
        <v>491</v>
      </c>
      <c r="BS1506">
        <v>8001</v>
      </c>
      <c r="BT1506" t="s">
        <v>492</v>
      </c>
      <c r="BW1506">
        <v>10119</v>
      </c>
      <c r="BX1506" t="s">
        <v>407</v>
      </c>
      <c r="CD1506">
        <v>2017</v>
      </c>
      <c r="CE1506">
        <v>35000</v>
      </c>
      <c r="CG1506">
        <v>35000</v>
      </c>
      <c r="CH1506">
        <v>2017</v>
      </c>
      <c r="CI1506">
        <v>35000</v>
      </c>
      <c r="CK1506">
        <v>35000</v>
      </c>
      <c r="CL1506">
        <v>2017</v>
      </c>
      <c r="CM1506">
        <v>2258.96</v>
      </c>
      <c r="CN1506" s="1">
        <v>42107</v>
      </c>
      <c r="CO1506">
        <v>238000</v>
      </c>
      <c r="CZ1506" s="1">
        <v>42107</v>
      </c>
      <c r="DD1506" t="s">
        <v>11749</v>
      </c>
      <c r="DF1506">
        <v>13</v>
      </c>
      <c r="DG1506">
        <v>24</v>
      </c>
      <c r="DL1506">
        <v>50303</v>
      </c>
      <c r="DM1506" t="s">
        <v>15205</v>
      </c>
      <c r="DO1506" t="s">
        <v>15249</v>
      </c>
      <c r="DP1506">
        <v>0</v>
      </c>
      <c r="DQ1506">
        <v>0</v>
      </c>
      <c r="DR1506" t="s">
        <v>411</v>
      </c>
      <c r="DS1506" t="b">
        <v>1</v>
      </c>
      <c r="DT1506" t="s">
        <v>470</v>
      </c>
      <c r="DU1506" t="s">
        <v>471</v>
      </c>
      <c r="DV1506" t="s">
        <v>472</v>
      </c>
      <c r="DX1506">
        <v>-9999</v>
      </c>
      <c r="DZ1506" t="s">
        <v>447</v>
      </c>
      <c r="EA1506" t="s">
        <v>448</v>
      </c>
      <c r="EB1506" t="s">
        <v>742</v>
      </c>
      <c r="EC1506">
        <v>20101217</v>
      </c>
      <c r="ED1506" t="s">
        <v>474</v>
      </c>
      <c r="EF1506">
        <v>5797.4</v>
      </c>
      <c r="EG1506">
        <v>3289.3</v>
      </c>
      <c r="EI1506">
        <v>20160407</v>
      </c>
      <c r="EJ1506">
        <v>0</v>
      </c>
      <c r="EK1506">
        <v>0</v>
      </c>
      <c r="EL1506" s="1">
        <v>39133</v>
      </c>
      <c r="EM1506" t="s">
        <v>15168</v>
      </c>
      <c r="EN1506" t="s">
        <v>15169</v>
      </c>
      <c r="EO1506" s="3">
        <v>14575000</v>
      </c>
      <c r="EP1506" t="s">
        <v>421</v>
      </c>
      <c r="EQ1506" t="s">
        <v>422</v>
      </c>
      <c r="ER1506">
        <v>1</v>
      </c>
      <c r="ES1506">
        <v>1</v>
      </c>
      <c r="ET1506">
        <v>2471.8200000000002</v>
      </c>
      <c r="EU1506">
        <v>129.84</v>
      </c>
      <c r="EV1506">
        <v>2601.66</v>
      </c>
      <c r="EW1506" s="2">
        <v>43222</v>
      </c>
      <c r="EX1506" s="1">
        <v>42879</v>
      </c>
      <c r="EY1506">
        <v>2016</v>
      </c>
      <c r="EZ1506">
        <v>2471.8200000000002</v>
      </c>
      <c r="FA1506" t="s">
        <v>15250</v>
      </c>
      <c r="FB1506">
        <v>0.25</v>
      </c>
      <c r="FC1506" t="s">
        <v>424</v>
      </c>
      <c r="FD1506" t="s">
        <v>454</v>
      </c>
      <c r="FF1506">
        <v>12</v>
      </c>
      <c r="FG1506">
        <v>305</v>
      </c>
      <c r="FH1506" t="s">
        <v>1078</v>
      </c>
      <c r="FJ1506" s="1">
        <v>42515</v>
      </c>
      <c r="FK1506">
        <v>2015</v>
      </c>
      <c r="FL1506">
        <v>2368.65</v>
      </c>
      <c r="FM1506" t="s">
        <v>15251</v>
      </c>
      <c r="FN1506">
        <v>0.25</v>
      </c>
      <c r="FO1506" t="s">
        <v>424</v>
      </c>
      <c r="FP1506" t="s">
        <v>425</v>
      </c>
      <c r="FQ1506" s="1">
        <v>43158</v>
      </c>
      <c r="FR1506">
        <v>21</v>
      </c>
      <c r="FS1506">
        <v>13139</v>
      </c>
      <c r="FT1506" t="s">
        <v>955</v>
      </c>
    </row>
    <row r="1507" spans="1:248" x14ac:dyDescent="0.25">
      <c r="A1507">
        <v>16486514</v>
      </c>
      <c r="B1507">
        <v>1506</v>
      </c>
      <c r="C1507" t="s">
        <v>393</v>
      </c>
      <c r="D1507" t="s">
        <v>394</v>
      </c>
      <c r="F1507" t="str">
        <f>"26-2N-28-168P-0014-0000"</f>
        <v>26-2N-28-168P-0014-0000</v>
      </c>
      <c r="H1507" t="str">
        <f t="shared" si="525"/>
        <v>ADVANTAGE HOME BUILDERS INC</v>
      </c>
      <c r="I1507" t="str">
        <f t="shared" si="526"/>
        <v>305 KINGSLEY LAKE DR STE 704</v>
      </c>
      <c r="J1507" t="str">
        <f t="shared" si="527"/>
        <v>ST AUGUSTINE FL 32092</v>
      </c>
      <c r="K1507" t="str">
        <f>"94030 HEMLOCK CT"</f>
        <v>94030 HEMLOCK CT</v>
      </c>
      <c r="L1507" t="str">
        <f t="shared" si="517"/>
        <v>FERNANDINA BEACH FL 32034</v>
      </c>
      <c r="M1507" t="str">
        <f>"LOT 14 IN OR 1976/675 DECL COV &amp; RESTR OR 1458/887 PRIVATE QUARTERS PB 7/175"</f>
        <v>LOT 14 IN OR 1976/675 DECL COV &amp; RESTR OR 1458/887 PRIVATE QUARTERS PB 7/175</v>
      </c>
      <c r="N1507" t="str">
        <f>""</f>
        <v/>
      </c>
      <c r="O1507" t="str">
        <f>"36775"</f>
        <v>36775</v>
      </c>
      <c r="P1507" t="str">
        <f t="shared" si="514"/>
        <v>2017</v>
      </c>
      <c r="Q1507" t="str">
        <f>""</f>
        <v/>
      </c>
      <c r="R1507" t="str">
        <f t="shared" si="522"/>
        <v>N</v>
      </c>
      <c r="S1507" t="str">
        <f>""</f>
        <v/>
      </c>
      <c r="T1507" t="str">
        <f>"2258.96"</f>
        <v>2258.96</v>
      </c>
      <c r="U1507" t="str">
        <f>"35000.00"</f>
        <v>35000.00</v>
      </c>
      <c r="V1507" t="str">
        <f>"35000.00"</f>
        <v>35000.00</v>
      </c>
      <c r="W1507" t="str">
        <f t="shared" si="515"/>
        <v>2017</v>
      </c>
      <c r="X1507" t="str">
        <f t="shared" si="530"/>
        <v>14.00</v>
      </c>
      <c r="Y1507" t="str">
        <f>"2358.73"</f>
        <v>2358.73</v>
      </c>
      <c r="Z1507" t="str">
        <f>""</f>
        <v/>
      </c>
      <c r="AA1507" t="str">
        <f>"35000.00"</f>
        <v>35000.00</v>
      </c>
      <c r="AB1507" t="str">
        <f t="shared" si="518"/>
        <v>Residential</v>
      </c>
      <c r="AC1507" t="str">
        <f t="shared" si="523"/>
        <v>0</v>
      </c>
      <c r="AD1507" t="str">
        <f>""</f>
        <v/>
      </c>
      <c r="AE1507" t="str">
        <f>""</f>
        <v/>
      </c>
      <c r="AF1507" t="str">
        <f t="shared" si="524"/>
        <v>000</v>
      </c>
      <c r="AG1507" t="str">
        <f t="shared" si="533"/>
        <v>FL</v>
      </c>
      <c r="AH1507" t="str">
        <f t="shared" si="521"/>
        <v>-</v>
      </c>
      <c r="AI1507" t="str">
        <f>"35000.00"</f>
        <v>35000.00</v>
      </c>
      <c r="AJ1507" t="str">
        <f>"C55-000-969-7651-9"</f>
        <v>C55-000-969-7651-9</v>
      </c>
      <c r="AK1507" t="str">
        <f>"26542"</f>
        <v>26542</v>
      </c>
      <c r="AL1507">
        <v>6</v>
      </c>
      <c r="AM1507">
        <v>1724</v>
      </c>
      <c r="AN1507">
        <v>2475.0700000000002</v>
      </c>
      <c r="AQ1507" t="s">
        <v>15252</v>
      </c>
      <c r="AR1507" t="s">
        <v>15252</v>
      </c>
      <c r="AS1507" t="s">
        <v>15252</v>
      </c>
      <c r="AU1507" t="s">
        <v>396</v>
      </c>
      <c r="AV1507">
        <v>2017</v>
      </c>
      <c r="AW1507" t="str">
        <f>"26-2N-28-168P-0014-0000 "</f>
        <v xml:space="preserve">26-2N-28-168P-0014-0000 </v>
      </c>
      <c r="AX1507">
        <v>94030</v>
      </c>
      <c r="AZ1507" t="s">
        <v>15201</v>
      </c>
      <c r="BA1507" t="s">
        <v>3181</v>
      </c>
      <c r="BD1507" t="s">
        <v>11749</v>
      </c>
      <c r="BE1507" t="s">
        <v>393</v>
      </c>
      <c r="BF1507">
        <v>32034</v>
      </c>
      <c r="BG1507" t="s">
        <v>15253</v>
      </c>
      <c r="BH1507" t="s">
        <v>11751</v>
      </c>
      <c r="BI1507">
        <v>-81.540819660104702</v>
      </c>
      <c r="BJ1507">
        <v>30.604810582908399</v>
      </c>
      <c r="BK1507" t="s">
        <v>15203</v>
      </c>
      <c r="BM1507" t="s">
        <v>15204</v>
      </c>
      <c r="BN1507" t="s">
        <v>2756</v>
      </c>
      <c r="BO1507">
        <v>32092</v>
      </c>
      <c r="BP1507" t="s">
        <v>404</v>
      </c>
      <c r="BQ1507">
        <v>0</v>
      </c>
      <c r="BR1507" t="s">
        <v>491</v>
      </c>
      <c r="BS1507">
        <v>8001</v>
      </c>
      <c r="BT1507" t="s">
        <v>492</v>
      </c>
      <c r="BW1507">
        <v>10179</v>
      </c>
      <c r="BX1507" t="s">
        <v>407</v>
      </c>
      <c r="CD1507">
        <v>2017</v>
      </c>
      <c r="CE1507">
        <v>35000</v>
      </c>
      <c r="CG1507">
        <v>35000</v>
      </c>
      <c r="CH1507">
        <v>2017</v>
      </c>
      <c r="CI1507">
        <v>35000</v>
      </c>
      <c r="CK1507">
        <v>35000</v>
      </c>
      <c r="CL1507">
        <v>2017</v>
      </c>
      <c r="CM1507">
        <v>2258.96</v>
      </c>
      <c r="CN1507" s="1">
        <v>42107</v>
      </c>
      <c r="CO1507">
        <v>238000</v>
      </c>
      <c r="CZ1507" s="1">
        <v>42107</v>
      </c>
      <c r="DD1507" t="s">
        <v>11749</v>
      </c>
      <c r="DF1507">
        <v>14</v>
      </c>
      <c r="DG1507">
        <v>24</v>
      </c>
      <c r="DL1507">
        <v>50303</v>
      </c>
      <c r="DM1507" t="s">
        <v>15205</v>
      </c>
      <c r="DO1507" t="s">
        <v>15254</v>
      </c>
      <c r="DP1507">
        <v>0</v>
      </c>
      <c r="DQ1507">
        <v>0</v>
      </c>
      <c r="DR1507" t="s">
        <v>411</v>
      </c>
      <c r="DS1507" t="b">
        <v>1</v>
      </c>
      <c r="DT1507" t="s">
        <v>470</v>
      </c>
      <c r="DU1507" t="s">
        <v>471</v>
      </c>
      <c r="DV1507" t="s">
        <v>472</v>
      </c>
      <c r="DX1507">
        <v>-9999</v>
      </c>
      <c r="DZ1507" t="s">
        <v>447</v>
      </c>
      <c r="EA1507" t="s">
        <v>448</v>
      </c>
      <c r="EB1507" t="s">
        <v>742</v>
      </c>
      <c r="EC1507">
        <v>20101217</v>
      </c>
      <c r="ED1507" t="s">
        <v>474</v>
      </c>
      <c r="EF1507">
        <v>5867.5</v>
      </c>
      <c r="EG1507">
        <v>3372.4</v>
      </c>
      <c r="EI1507">
        <v>20160407</v>
      </c>
      <c r="EJ1507">
        <v>0</v>
      </c>
      <c r="EK1507">
        <v>0</v>
      </c>
      <c r="EL1507" s="1">
        <v>39134</v>
      </c>
      <c r="EM1507" t="s">
        <v>15168</v>
      </c>
      <c r="EN1507" t="s">
        <v>15169</v>
      </c>
      <c r="EO1507" s="3">
        <v>14575000</v>
      </c>
      <c r="EP1507" t="s">
        <v>421</v>
      </c>
      <c r="EQ1507" t="s">
        <v>422</v>
      </c>
      <c r="ER1507">
        <v>1</v>
      </c>
      <c r="ES1507">
        <v>1</v>
      </c>
      <c r="ET1507">
        <v>2471.8200000000002</v>
      </c>
      <c r="EU1507">
        <v>129.84</v>
      </c>
      <c r="EV1507">
        <v>2601.66</v>
      </c>
      <c r="EW1507" s="2">
        <v>43222</v>
      </c>
      <c r="EX1507" s="1">
        <v>42879</v>
      </c>
      <c r="EY1507">
        <v>2016</v>
      </c>
      <c r="EZ1507">
        <v>2471.8200000000002</v>
      </c>
      <c r="FA1507" t="s">
        <v>15255</v>
      </c>
      <c r="FB1507">
        <v>0.25</v>
      </c>
      <c r="FC1507" t="s">
        <v>424</v>
      </c>
      <c r="FD1507" t="s">
        <v>454</v>
      </c>
      <c r="FF1507">
        <v>12</v>
      </c>
      <c r="FG1507">
        <v>1155951</v>
      </c>
      <c r="FH1507" t="s">
        <v>1451</v>
      </c>
      <c r="FJ1507" s="1">
        <v>42515</v>
      </c>
      <c r="FK1507">
        <v>2015</v>
      </c>
      <c r="FL1507">
        <v>2368.65</v>
      </c>
      <c r="FM1507" t="s">
        <v>15256</v>
      </c>
      <c r="FN1507">
        <v>0.25</v>
      </c>
      <c r="FO1507" t="s">
        <v>424</v>
      </c>
      <c r="FP1507" t="s">
        <v>425</v>
      </c>
      <c r="FQ1507" s="1">
        <v>43158</v>
      </c>
      <c r="FR1507">
        <v>21</v>
      </c>
      <c r="FS1507">
        <v>13139</v>
      </c>
      <c r="FT1507" t="s">
        <v>955</v>
      </c>
    </row>
    <row r="1508" spans="1:248" x14ac:dyDescent="0.25">
      <c r="A1508">
        <v>16486515</v>
      </c>
      <c r="B1508">
        <v>1507</v>
      </c>
      <c r="C1508" t="s">
        <v>393</v>
      </c>
      <c r="D1508" t="s">
        <v>394</v>
      </c>
      <c r="F1508" t="str">
        <f>"27-2N-28-0000-0004-0000"</f>
        <v>27-2N-28-0000-0004-0000</v>
      </c>
      <c r="H1508" t="str">
        <f>"BRADDOCK DALE P &amp; CAROL E"</f>
        <v>BRADDOCK DALE P &amp; CAROL E</v>
      </c>
      <c r="I1508" t="str">
        <f>"PO BOX 511"</f>
        <v>PO BOX 511</v>
      </c>
      <c r="J1508" t="str">
        <f>"CALLAHAN FL 32011"</f>
        <v>CALLAHAN FL 32011</v>
      </c>
      <c r="K1508" t="str">
        <f>"942699 OLD NASSAUVILLE RD"</f>
        <v>942699 OLD NASSAUVILLE RD</v>
      </c>
      <c r="L1508" t="str">
        <f t="shared" si="517"/>
        <v>FERNANDINA BEACH FL 32034</v>
      </c>
      <c r="M1508" t="str">
        <f>"IN OR 710 PG 160 EX R/W IN OR 674/1035 EX 4-1 ESMT OR 1457/945"</f>
        <v>IN OR 710 PG 160 EX R/W IN OR 674/1035 EX 4-1 ESMT OR 1457/945</v>
      </c>
      <c r="N1508" t="str">
        <f>""</f>
        <v/>
      </c>
      <c r="O1508" t="str">
        <f>"37179"</f>
        <v>37179</v>
      </c>
      <c r="P1508" t="str">
        <f t="shared" si="514"/>
        <v>2017</v>
      </c>
      <c r="Q1508" t="str">
        <f>""</f>
        <v/>
      </c>
      <c r="R1508" t="str">
        <f t="shared" si="522"/>
        <v>N</v>
      </c>
      <c r="S1508" t="str">
        <f>""</f>
        <v/>
      </c>
      <c r="T1508" t="str">
        <f>"4969.24"</f>
        <v>4969.24</v>
      </c>
      <c r="U1508" t="str">
        <f>"303547.00"</f>
        <v>303547.00</v>
      </c>
      <c r="V1508" t="str">
        <f>"303547.00"</f>
        <v>303547.00</v>
      </c>
      <c r="W1508" t="str">
        <f t="shared" si="515"/>
        <v>2017</v>
      </c>
      <c r="X1508" t="str">
        <f>"17.00"</f>
        <v>17.00</v>
      </c>
      <c r="Y1508" t="str">
        <f>"5150.32"</f>
        <v>5150.32</v>
      </c>
      <c r="Z1508" t="str">
        <f>""</f>
        <v/>
      </c>
      <c r="AA1508" t="str">
        <f>"360216.00"</f>
        <v>360216.00</v>
      </c>
      <c r="AB1508" t="str">
        <f>"Commercial"</f>
        <v>Commercial</v>
      </c>
      <c r="AC1508" t="str">
        <f t="shared" si="523"/>
        <v>0</v>
      </c>
      <c r="AD1508" t="str">
        <f>"3"</f>
        <v>3</v>
      </c>
      <c r="AE1508" t="str">
        <f>"MASONRY"</f>
        <v>MASONRY</v>
      </c>
      <c r="AF1508" t="str">
        <f>"021"</f>
        <v>021</v>
      </c>
      <c r="AG1508" t="str">
        <f t="shared" si="533"/>
        <v>FL</v>
      </c>
      <c r="AH1508" t="str">
        <f>"55321.00"</f>
        <v>55321.00</v>
      </c>
      <c r="AI1508" t="str">
        <f>"199155.00"</f>
        <v>199155.00</v>
      </c>
      <c r="AJ1508" t="str">
        <f>"C55-000-587-4856-7"</f>
        <v>C55-000-587-4856-7</v>
      </c>
      <c r="AK1508" t="str">
        <f>"26562"</f>
        <v>26562</v>
      </c>
      <c r="AL1508">
        <v>6</v>
      </c>
      <c r="AM1508">
        <v>1725</v>
      </c>
      <c r="AN1508">
        <v>5406.24</v>
      </c>
      <c r="AQ1508" t="s">
        <v>15257</v>
      </c>
      <c r="AR1508" t="s">
        <v>15257</v>
      </c>
      <c r="AS1508" t="s">
        <v>15257</v>
      </c>
      <c r="AU1508" t="s">
        <v>396</v>
      </c>
      <c r="AV1508">
        <v>2017</v>
      </c>
      <c r="AW1508" t="str">
        <f>"27-2N-28-0000-0004-0000 "</f>
        <v xml:space="preserve">27-2N-28-0000-0004-0000 </v>
      </c>
      <c r="AX1508">
        <v>942699</v>
      </c>
      <c r="AZ1508" t="s">
        <v>15258</v>
      </c>
      <c r="BA1508" t="s">
        <v>496</v>
      </c>
      <c r="BD1508" t="s">
        <v>11749</v>
      </c>
      <c r="BE1508" t="s">
        <v>393</v>
      </c>
      <c r="BF1508">
        <v>32034</v>
      </c>
      <c r="BG1508" t="s">
        <v>15259</v>
      </c>
      <c r="BH1508" t="s">
        <v>11751</v>
      </c>
      <c r="BI1508">
        <v>-81.516088691726793</v>
      </c>
      <c r="BJ1508">
        <v>30.616767374258298</v>
      </c>
      <c r="BK1508" t="s">
        <v>8938</v>
      </c>
      <c r="BL1508" t="s">
        <v>8939</v>
      </c>
      <c r="BM1508" t="s">
        <v>8940</v>
      </c>
      <c r="BN1508" t="s">
        <v>928</v>
      </c>
      <c r="BO1508">
        <v>32011</v>
      </c>
      <c r="BP1508" t="s">
        <v>404</v>
      </c>
      <c r="BQ1508">
        <v>2100</v>
      </c>
      <c r="BR1508" t="s">
        <v>15062</v>
      </c>
      <c r="BS1508">
        <v>2012</v>
      </c>
      <c r="BT1508" t="s">
        <v>15063</v>
      </c>
      <c r="BW1508">
        <v>55321</v>
      </c>
      <c r="BX1508" t="s">
        <v>407</v>
      </c>
      <c r="BY1508" t="s">
        <v>2221</v>
      </c>
      <c r="BZ1508">
        <v>3</v>
      </c>
      <c r="CA1508">
        <v>1976</v>
      </c>
      <c r="CB1508">
        <v>1</v>
      </c>
      <c r="CD1508">
        <v>2017</v>
      </c>
      <c r="CE1508">
        <v>199155</v>
      </c>
      <c r="CF1508">
        <v>161061</v>
      </c>
      <c r="CG1508">
        <v>360216</v>
      </c>
      <c r="CH1508">
        <v>2017</v>
      </c>
      <c r="CI1508">
        <v>199155</v>
      </c>
      <c r="CJ1508">
        <v>161061</v>
      </c>
      <c r="CK1508">
        <v>360216</v>
      </c>
      <c r="CL1508">
        <v>2017</v>
      </c>
      <c r="CM1508">
        <v>4969.24</v>
      </c>
      <c r="CN1508" s="1">
        <v>37050</v>
      </c>
      <c r="CO1508">
        <v>475000</v>
      </c>
      <c r="CV1508">
        <v>325000</v>
      </c>
      <c r="CX1508" t="s">
        <v>707</v>
      </c>
      <c r="CZ1508" s="1">
        <v>37050</v>
      </c>
      <c r="DA1508">
        <v>0</v>
      </c>
      <c r="DD1508" t="s">
        <v>11749</v>
      </c>
      <c r="DG1508">
        <v>27</v>
      </c>
      <c r="DL1508">
        <v>50303</v>
      </c>
      <c r="DM1508" t="s">
        <v>15260</v>
      </c>
      <c r="DO1508" t="s">
        <v>15261</v>
      </c>
      <c r="DP1508">
        <v>0</v>
      </c>
      <c r="DQ1508">
        <v>4</v>
      </c>
      <c r="DR1508" t="s">
        <v>1174</v>
      </c>
      <c r="DS1508" t="b">
        <v>1</v>
      </c>
      <c r="DT1508" t="s">
        <v>470</v>
      </c>
      <c r="DU1508" t="s">
        <v>10249</v>
      </c>
      <c r="DV1508" t="s">
        <v>472</v>
      </c>
      <c r="DX1508">
        <v>-9999</v>
      </c>
      <c r="DZ1508" t="s">
        <v>447</v>
      </c>
      <c r="EA1508" t="s">
        <v>448</v>
      </c>
      <c r="EB1508" t="s">
        <v>14895</v>
      </c>
      <c r="EC1508">
        <v>20101217</v>
      </c>
      <c r="ED1508" t="s">
        <v>10251</v>
      </c>
      <c r="EE1508">
        <v>5</v>
      </c>
      <c r="EF1508">
        <v>460.3</v>
      </c>
      <c r="EG1508">
        <v>0</v>
      </c>
      <c r="EH1508" t="s">
        <v>451</v>
      </c>
      <c r="EI1508">
        <v>20140731</v>
      </c>
      <c r="EJ1508">
        <v>0</v>
      </c>
      <c r="EK1508">
        <v>0</v>
      </c>
      <c r="EP1508" t="s">
        <v>421</v>
      </c>
      <c r="EQ1508" t="s">
        <v>422</v>
      </c>
      <c r="ER1508">
        <v>2</v>
      </c>
      <c r="ES1508">
        <v>5</v>
      </c>
      <c r="ET1508">
        <v>10104.08</v>
      </c>
      <c r="EU1508">
        <v>517.70000000000005</v>
      </c>
      <c r="EV1508">
        <v>10621.78</v>
      </c>
      <c r="EW1508" s="2">
        <v>43222</v>
      </c>
      <c r="EX1508" s="1">
        <v>42879</v>
      </c>
      <c r="EY1508">
        <v>2016</v>
      </c>
      <c r="EZ1508">
        <v>5052.04</v>
      </c>
      <c r="FA1508" t="s">
        <v>15262</v>
      </c>
      <c r="FB1508">
        <v>0.25</v>
      </c>
      <c r="FC1508" t="s">
        <v>424</v>
      </c>
      <c r="FD1508" t="s">
        <v>454</v>
      </c>
      <c r="FF1508">
        <v>12</v>
      </c>
      <c r="FG1508">
        <v>5856195</v>
      </c>
      <c r="FH1508" t="s">
        <v>1060</v>
      </c>
      <c r="FJ1508" s="1">
        <v>42879</v>
      </c>
      <c r="FK1508">
        <v>2016</v>
      </c>
      <c r="FL1508">
        <v>5052.04</v>
      </c>
      <c r="FM1508" t="s">
        <v>15262</v>
      </c>
      <c r="FN1508">
        <v>0.25</v>
      </c>
      <c r="FO1508" t="s">
        <v>424</v>
      </c>
      <c r="FP1508" t="s">
        <v>454</v>
      </c>
      <c r="FR1508">
        <v>12</v>
      </c>
      <c r="FS1508">
        <v>5781472</v>
      </c>
      <c r="FT1508" t="s">
        <v>15263</v>
      </c>
      <c r="FV1508" s="1">
        <v>42151</v>
      </c>
      <c r="FW1508">
        <v>2014</v>
      </c>
      <c r="FX1508">
        <v>3538.9</v>
      </c>
      <c r="FY1508" t="s">
        <v>15264</v>
      </c>
      <c r="FZ1508">
        <v>0.25</v>
      </c>
      <c r="GA1508" t="s">
        <v>424</v>
      </c>
      <c r="GB1508" t="s">
        <v>425</v>
      </c>
      <c r="GC1508" s="1">
        <v>42201</v>
      </c>
      <c r="GD1508">
        <v>2</v>
      </c>
      <c r="GE1508">
        <v>2851116</v>
      </c>
      <c r="GF1508" t="s">
        <v>480</v>
      </c>
      <c r="GH1508" s="1">
        <v>42151</v>
      </c>
      <c r="GI1508">
        <v>2014</v>
      </c>
      <c r="GJ1508">
        <v>3538.9</v>
      </c>
      <c r="GK1508" t="s">
        <v>15264</v>
      </c>
      <c r="GL1508">
        <v>0.25</v>
      </c>
      <c r="GM1508" t="s">
        <v>424</v>
      </c>
      <c r="GN1508" t="s">
        <v>425</v>
      </c>
      <c r="GP1508">
        <v>22</v>
      </c>
      <c r="GQ1508">
        <v>4948780</v>
      </c>
      <c r="GR1508" t="s">
        <v>15265</v>
      </c>
      <c r="GT1508" s="1">
        <v>41423</v>
      </c>
      <c r="GU1508">
        <v>2012</v>
      </c>
      <c r="GV1508">
        <v>3196.53</v>
      </c>
      <c r="GW1508" t="s">
        <v>15266</v>
      </c>
      <c r="GX1508">
        <v>0.25</v>
      </c>
      <c r="GY1508" t="s">
        <v>424</v>
      </c>
      <c r="GZ1508" t="s">
        <v>425</v>
      </c>
      <c r="HA1508" s="1">
        <v>42047</v>
      </c>
      <c r="HB1508">
        <v>21</v>
      </c>
      <c r="HC1508">
        <v>606981</v>
      </c>
      <c r="HD1508" t="s">
        <v>792</v>
      </c>
      <c r="HF1508" s="1">
        <v>41052</v>
      </c>
      <c r="HG1508">
        <v>2011</v>
      </c>
      <c r="HH1508">
        <v>3453.32</v>
      </c>
      <c r="HI1508" t="s">
        <v>15267</v>
      </c>
      <c r="HJ1508">
        <v>0.25</v>
      </c>
      <c r="HK1508" t="s">
        <v>424</v>
      </c>
      <c r="HL1508" t="s">
        <v>425</v>
      </c>
      <c r="HM1508" s="1">
        <v>41683</v>
      </c>
      <c r="HN1508">
        <v>21</v>
      </c>
      <c r="HO1508">
        <v>13229</v>
      </c>
      <c r="HP1508" t="s">
        <v>15268</v>
      </c>
      <c r="HR1508" s="1">
        <v>40688</v>
      </c>
      <c r="HS1508">
        <v>2010</v>
      </c>
      <c r="HT1508">
        <v>3464</v>
      </c>
      <c r="HU1508" t="s">
        <v>15269</v>
      </c>
      <c r="HV1508">
        <v>5</v>
      </c>
      <c r="HW1508" t="s">
        <v>424</v>
      </c>
      <c r="HX1508" t="s">
        <v>425</v>
      </c>
      <c r="HY1508" s="1">
        <v>41333</v>
      </c>
      <c r="HZ1508">
        <v>21</v>
      </c>
      <c r="IA1508">
        <v>11302</v>
      </c>
      <c r="IB1508" t="s">
        <v>3940</v>
      </c>
    </row>
    <row r="1509" spans="1:248" x14ac:dyDescent="0.25">
      <c r="A1509">
        <v>16486516</v>
      </c>
      <c r="B1509">
        <v>1508</v>
      </c>
      <c r="C1509" t="s">
        <v>393</v>
      </c>
      <c r="D1509" t="s">
        <v>394</v>
      </c>
      <c r="F1509" t="str">
        <f>"27-2N-28-004L-0G22-0000"</f>
        <v>27-2N-28-004L-0G22-0000</v>
      </c>
      <c r="H1509" t="str">
        <f>"CASWELL DAVID &amp; CRYSTAL SIRLES"</f>
        <v>CASWELL DAVID &amp; CRYSTAL SIRLES</v>
      </c>
      <c r="I1509" t="str">
        <f>"7038 RIVER CREST DR"</f>
        <v>7038 RIVER CREST DR</v>
      </c>
      <c r="J1509" t="str">
        <f>"GREENVILLE SC 29601"</f>
        <v>GREENVILLE SC 29601</v>
      </c>
      <c r="K1509" t="str">
        <f>"PARADISE COMMONS"</f>
        <v>PARADISE COMMONS</v>
      </c>
      <c r="L1509" t="str">
        <f t="shared" si="517"/>
        <v>FERNANDINA BEACH FL 32034</v>
      </c>
      <c r="M1509" t="str">
        <f>"GARAGE UNIT G-22 AMELIA LAKES at FDNA BEACH CONDO OR 1344/1628"</f>
        <v>GARAGE UNIT G-22 AMELIA LAKES at FDNA BEACH CONDO OR 1344/1628</v>
      </c>
      <c r="N1509" t="str">
        <f>""</f>
        <v/>
      </c>
      <c r="O1509" t="str">
        <f>"37366"</f>
        <v>37366</v>
      </c>
      <c r="P1509" t="str">
        <f t="shared" si="514"/>
        <v>2017</v>
      </c>
      <c r="Q1509" t="str">
        <f>""</f>
        <v/>
      </c>
      <c r="R1509" t="str">
        <f t="shared" si="522"/>
        <v>N</v>
      </c>
      <c r="S1509" t="str">
        <f>""</f>
        <v/>
      </c>
      <c r="T1509" t="str">
        <f>"75.70"</f>
        <v>75.70</v>
      </c>
      <c r="U1509" t="str">
        <f>"5000.00"</f>
        <v>5000.00</v>
      </c>
      <c r="V1509" t="str">
        <f>"5000.00"</f>
        <v>5000.00</v>
      </c>
      <c r="W1509" t="str">
        <f t="shared" si="515"/>
        <v>2017</v>
      </c>
      <c r="X1509" t="str">
        <f>"28.00"</f>
        <v>28.00</v>
      </c>
      <c r="Y1509" t="str">
        <f>"109.97"</f>
        <v>109.97</v>
      </c>
      <c r="Z1509" t="str">
        <f>""</f>
        <v/>
      </c>
      <c r="AA1509" t="str">
        <f>"5000.00"</f>
        <v>5000.00</v>
      </c>
      <c r="AB1509" t="str">
        <f t="shared" ref="AB1509:AB1538" si="535">"Residential"</f>
        <v>Residential</v>
      </c>
      <c r="AC1509" t="str">
        <f t="shared" si="523"/>
        <v>0</v>
      </c>
      <c r="AD1509" t="str">
        <f>""</f>
        <v/>
      </c>
      <c r="AE1509" t="str">
        <f>""</f>
        <v/>
      </c>
      <c r="AF1509" t="str">
        <f>"004"</f>
        <v>004</v>
      </c>
      <c r="AG1509" t="str">
        <f>"SC"</f>
        <v>SC</v>
      </c>
      <c r="AH1509" t="str">
        <f t="shared" ref="AH1509:AI1512" si="536">"-"</f>
        <v>-</v>
      </c>
      <c r="AI1509" t="str">
        <f t="shared" si="536"/>
        <v>-</v>
      </c>
      <c r="AJ1509" t="str">
        <f>"C55-000-589-2753-4"</f>
        <v>C55-000-589-2753-4</v>
      </c>
      <c r="AK1509" t="str">
        <f>"26598"</f>
        <v>26598</v>
      </c>
      <c r="AL1509">
        <v>6</v>
      </c>
      <c r="AM1509">
        <v>1727</v>
      </c>
      <c r="AN1509">
        <v>113.87</v>
      </c>
      <c r="AQ1509" t="s">
        <v>15270</v>
      </c>
      <c r="AR1509" t="s">
        <v>15270</v>
      </c>
      <c r="AS1509" t="s">
        <v>15270</v>
      </c>
      <c r="AU1509" t="s">
        <v>396</v>
      </c>
      <c r="AV1509">
        <v>2017</v>
      </c>
      <c r="AW1509" t="str">
        <f>"27-2N-28-004L-0G22-0000 "</f>
        <v xml:space="preserve">27-2N-28-004L-0G22-0000 </v>
      </c>
      <c r="AZ1509" t="s">
        <v>15271</v>
      </c>
      <c r="BD1509" t="s">
        <v>11749</v>
      </c>
      <c r="BE1509" t="s">
        <v>393</v>
      </c>
      <c r="BF1509">
        <v>32034</v>
      </c>
      <c r="BG1509" t="s">
        <v>15271</v>
      </c>
      <c r="BH1509" t="s">
        <v>11751</v>
      </c>
      <c r="BI1509">
        <v>-81.526905598080006</v>
      </c>
      <c r="BJ1509">
        <v>30.6168609622997</v>
      </c>
      <c r="BK1509" t="s">
        <v>15272</v>
      </c>
      <c r="BM1509" t="s">
        <v>15273</v>
      </c>
      <c r="BN1509" t="s">
        <v>15274</v>
      </c>
      <c r="BO1509">
        <v>29601</v>
      </c>
      <c r="BP1509" t="s">
        <v>404</v>
      </c>
      <c r="BQ1509">
        <v>403</v>
      </c>
      <c r="BR1509" t="s">
        <v>15097</v>
      </c>
      <c r="BS1509">
        <v>1004</v>
      </c>
      <c r="BT1509" t="s">
        <v>15098</v>
      </c>
      <c r="BW1509">
        <v>1156030</v>
      </c>
      <c r="BX1509" t="s">
        <v>407</v>
      </c>
      <c r="CA1509">
        <v>2000</v>
      </c>
      <c r="CC1509">
        <v>1</v>
      </c>
      <c r="CD1509">
        <v>2017</v>
      </c>
      <c r="CF1509">
        <v>5000</v>
      </c>
      <c r="CG1509">
        <v>5000</v>
      </c>
      <c r="CH1509">
        <v>2017</v>
      </c>
      <c r="CJ1509">
        <v>5000</v>
      </c>
      <c r="CK1509">
        <v>5000</v>
      </c>
      <c r="CL1509">
        <v>2017</v>
      </c>
      <c r="CM1509">
        <v>75.7</v>
      </c>
      <c r="DD1509" t="s">
        <v>11749</v>
      </c>
      <c r="DG1509">
        <v>27</v>
      </c>
      <c r="DI1509" t="s">
        <v>15275</v>
      </c>
      <c r="DJ1509" t="s">
        <v>15276</v>
      </c>
      <c r="DL1509">
        <v>50303</v>
      </c>
      <c r="DM1509" t="s">
        <v>15260</v>
      </c>
      <c r="DO1509" t="s">
        <v>15277</v>
      </c>
      <c r="DP1509">
        <v>0</v>
      </c>
      <c r="DQ1509">
        <v>3</v>
      </c>
      <c r="DR1509" t="s">
        <v>411</v>
      </c>
      <c r="EP1509" t="s">
        <v>421</v>
      </c>
      <c r="EQ1509" t="s">
        <v>422</v>
      </c>
      <c r="ER1509">
        <v>0</v>
      </c>
      <c r="ES1509">
        <v>3</v>
      </c>
      <c r="ET1509">
        <v>0</v>
      </c>
      <c r="EU1509">
        <v>0</v>
      </c>
      <c r="EV1509">
        <v>0</v>
      </c>
      <c r="EW1509" s="2">
        <v>43222</v>
      </c>
      <c r="EX1509" s="1">
        <v>41787</v>
      </c>
      <c r="EY1509">
        <v>2013</v>
      </c>
      <c r="EZ1509">
        <v>102.89</v>
      </c>
      <c r="FA1509" t="s">
        <v>15278</v>
      </c>
      <c r="FB1509">
        <v>15.75</v>
      </c>
      <c r="FC1509" t="s">
        <v>424</v>
      </c>
      <c r="FD1509" t="s">
        <v>425</v>
      </c>
      <c r="FE1509" s="1">
        <v>42034</v>
      </c>
      <c r="FF1509">
        <v>8</v>
      </c>
      <c r="FG1509">
        <v>10125</v>
      </c>
      <c r="FH1509" t="s">
        <v>440</v>
      </c>
      <c r="FJ1509" s="1">
        <v>41052</v>
      </c>
      <c r="FK1509">
        <v>2011</v>
      </c>
      <c r="FL1509">
        <v>114</v>
      </c>
      <c r="FM1509" t="s">
        <v>15279</v>
      </c>
      <c r="FN1509">
        <v>15.75</v>
      </c>
      <c r="FO1509" t="s">
        <v>424</v>
      </c>
      <c r="FP1509" t="s">
        <v>425</v>
      </c>
      <c r="FQ1509" s="1">
        <v>42034</v>
      </c>
      <c r="FR1509">
        <v>32</v>
      </c>
      <c r="FS1509">
        <v>10125</v>
      </c>
      <c r="FT1509" t="s">
        <v>440</v>
      </c>
      <c r="FV1509" s="1">
        <v>40688</v>
      </c>
      <c r="FW1509">
        <v>2010</v>
      </c>
      <c r="FX1509">
        <v>113.55</v>
      </c>
      <c r="FY1509" t="s">
        <v>15280</v>
      </c>
      <c r="FZ1509">
        <v>10</v>
      </c>
      <c r="GA1509" t="s">
        <v>424</v>
      </c>
      <c r="GB1509" t="s">
        <v>425</v>
      </c>
      <c r="GC1509" s="1">
        <v>42034</v>
      </c>
      <c r="GD1509">
        <v>44</v>
      </c>
      <c r="GE1509">
        <v>10486</v>
      </c>
      <c r="GF1509" t="s">
        <v>6351</v>
      </c>
    </row>
    <row r="1510" spans="1:248" x14ac:dyDescent="0.25">
      <c r="A1510">
        <v>16486517</v>
      </c>
      <c r="B1510">
        <v>1509</v>
      </c>
      <c r="C1510" t="s">
        <v>393</v>
      </c>
      <c r="D1510" t="s">
        <v>394</v>
      </c>
      <c r="F1510" t="str">
        <f>"27-2N-28-004L-0G30-0000"</f>
        <v>27-2N-28-004L-0G30-0000</v>
      </c>
      <c r="H1510" t="str">
        <f>"SHAW CHRISTOPHER W &amp; PATRICIA"</f>
        <v>SHAW CHRISTOPHER W &amp; PATRICIA</v>
      </c>
      <c r="I1510" t="str">
        <f>"36365 DYAL RD"</f>
        <v>36365 DYAL RD</v>
      </c>
      <c r="J1510" t="str">
        <f>"GREENVILLE SC 29601"</f>
        <v>GREENVILLE SC 29601</v>
      </c>
      <c r="K1510" t="str">
        <f>"PARADISE COMMONS"</f>
        <v>PARADISE COMMONS</v>
      </c>
      <c r="L1510" t="str">
        <f t="shared" si="517"/>
        <v>FERNANDINA BEACH FL 32034</v>
      </c>
      <c r="M1510" t="str">
        <f>"GARAGE UNIT G-30 AMELIA LAKES at FDNA BEACH CONDO OR 1344/1628"</f>
        <v>GARAGE UNIT G-30 AMELIA LAKES at FDNA BEACH CONDO OR 1344/1628</v>
      </c>
      <c r="N1510" t="str">
        <f>""</f>
        <v/>
      </c>
      <c r="O1510" t="str">
        <f>"37374"</f>
        <v>37374</v>
      </c>
      <c r="P1510" t="str">
        <f t="shared" si="514"/>
        <v>2017</v>
      </c>
      <c r="Q1510" t="str">
        <f>""</f>
        <v/>
      </c>
      <c r="R1510" t="str">
        <f t="shared" si="522"/>
        <v>N</v>
      </c>
      <c r="S1510" t="str">
        <f>""</f>
        <v/>
      </c>
      <c r="T1510" t="str">
        <f>"75.70"</f>
        <v>75.70</v>
      </c>
      <c r="U1510" t="str">
        <f>"5000.00"</f>
        <v>5000.00</v>
      </c>
      <c r="V1510" t="str">
        <f>"5000.00"</f>
        <v>5000.00</v>
      </c>
      <c r="W1510" t="str">
        <f t="shared" si="515"/>
        <v>2017</v>
      </c>
      <c r="X1510" t="str">
        <f>"28.00"</f>
        <v>28.00</v>
      </c>
      <c r="Y1510" t="str">
        <f>"109.97"</f>
        <v>109.97</v>
      </c>
      <c r="Z1510" t="str">
        <f>""</f>
        <v/>
      </c>
      <c r="AA1510" t="str">
        <f>"5000.00"</f>
        <v>5000.00</v>
      </c>
      <c r="AB1510" t="str">
        <f t="shared" si="535"/>
        <v>Residential</v>
      </c>
      <c r="AC1510" t="str">
        <f t="shared" si="523"/>
        <v>0</v>
      </c>
      <c r="AD1510" t="str">
        <f>""</f>
        <v/>
      </c>
      <c r="AE1510" t="str">
        <f>""</f>
        <v/>
      </c>
      <c r="AF1510" t="str">
        <f>"004"</f>
        <v>004</v>
      </c>
      <c r="AG1510" t="str">
        <f>"SC"</f>
        <v>SC</v>
      </c>
      <c r="AH1510" t="str">
        <f t="shared" si="536"/>
        <v>-</v>
      </c>
      <c r="AI1510" t="str">
        <f t="shared" si="536"/>
        <v>-</v>
      </c>
      <c r="AJ1510" t="str">
        <f>"C55-000-589-2761-7"</f>
        <v>C55-000-589-2761-7</v>
      </c>
      <c r="AK1510" t="str">
        <f>"26606"</f>
        <v>26606</v>
      </c>
      <c r="AL1510">
        <v>6</v>
      </c>
      <c r="AM1510">
        <v>1728</v>
      </c>
      <c r="AN1510">
        <v>113.87</v>
      </c>
      <c r="AQ1510" t="s">
        <v>15281</v>
      </c>
      <c r="AR1510" t="s">
        <v>15281</v>
      </c>
      <c r="AS1510" t="s">
        <v>15281</v>
      </c>
      <c r="AU1510" t="s">
        <v>396</v>
      </c>
      <c r="AV1510">
        <v>2017</v>
      </c>
      <c r="AW1510" t="str">
        <f>"27-2N-28-004L-0G30-0000 "</f>
        <v xml:space="preserve">27-2N-28-004L-0G30-0000 </v>
      </c>
      <c r="AZ1510" t="s">
        <v>15271</v>
      </c>
      <c r="BD1510" t="s">
        <v>11749</v>
      </c>
      <c r="BE1510" t="s">
        <v>393</v>
      </c>
      <c r="BF1510">
        <v>32034</v>
      </c>
      <c r="BG1510" t="s">
        <v>15271</v>
      </c>
      <c r="BH1510" t="s">
        <v>11751</v>
      </c>
      <c r="BI1510">
        <v>-81.526905598080006</v>
      </c>
      <c r="BJ1510">
        <v>30.6168609622997</v>
      </c>
      <c r="BK1510" t="s">
        <v>15272</v>
      </c>
      <c r="BM1510" t="s">
        <v>15273</v>
      </c>
      <c r="BN1510" t="s">
        <v>15274</v>
      </c>
      <c r="BO1510">
        <v>29601</v>
      </c>
      <c r="BP1510" t="s">
        <v>404</v>
      </c>
      <c r="BQ1510">
        <v>403</v>
      </c>
      <c r="BR1510" t="s">
        <v>15097</v>
      </c>
      <c r="BS1510">
        <v>1004</v>
      </c>
      <c r="BT1510" t="s">
        <v>15098</v>
      </c>
      <c r="BW1510">
        <v>1156030</v>
      </c>
      <c r="BX1510" t="s">
        <v>407</v>
      </c>
      <c r="CA1510">
        <v>2000</v>
      </c>
      <c r="CC1510">
        <v>1</v>
      </c>
      <c r="CD1510">
        <v>2017</v>
      </c>
      <c r="CF1510">
        <v>5000</v>
      </c>
      <c r="CG1510">
        <v>5000</v>
      </c>
      <c r="CH1510">
        <v>2017</v>
      </c>
      <c r="CJ1510">
        <v>5000</v>
      </c>
      <c r="CK1510">
        <v>5000</v>
      </c>
      <c r="CL1510">
        <v>2017</v>
      </c>
      <c r="CM1510">
        <v>75.7</v>
      </c>
      <c r="DD1510" t="s">
        <v>11749</v>
      </c>
      <c r="DG1510">
        <v>27</v>
      </c>
      <c r="DI1510" t="s">
        <v>15282</v>
      </c>
      <c r="DJ1510" t="s">
        <v>15276</v>
      </c>
      <c r="DL1510">
        <v>50303</v>
      </c>
      <c r="DM1510" t="s">
        <v>15260</v>
      </c>
      <c r="DO1510" t="s">
        <v>15283</v>
      </c>
      <c r="DP1510">
        <v>0</v>
      </c>
      <c r="DQ1510">
        <v>3</v>
      </c>
      <c r="DR1510" t="s">
        <v>411</v>
      </c>
      <c r="EP1510" t="s">
        <v>421</v>
      </c>
      <c r="EQ1510" t="s">
        <v>422</v>
      </c>
      <c r="ER1510">
        <v>1</v>
      </c>
      <c r="ES1510">
        <v>2</v>
      </c>
      <c r="ET1510">
        <v>110.01</v>
      </c>
      <c r="EU1510">
        <v>11.75</v>
      </c>
      <c r="EV1510">
        <v>121.76</v>
      </c>
      <c r="EW1510" s="2">
        <v>43222</v>
      </c>
      <c r="EX1510" s="1">
        <v>42879</v>
      </c>
      <c r="EY1510">
        <v>2016</v>
      </c>
      <c r="EZ1510">
        <v>110.01</v>
      </c>
      <c r="FA1510" t="s">
        <v>15284</v>
      </c>
      <c r="FB1510">
        <v>0.25</v>
      </c>
      <c r="FC1510" t="s">
        <v>424</v>
      </c>
      <c r="FD1510" t="s">
        <v>454</v>
      </c>
      <c r="FF1510">
        <v>12</v>
      </c>
      <c r="FG1510">
        <v>62</v>
      </c>
      <c r="FH1510" t="s">
        <v>463</v>
      </c>
      <c r="FJ1510" s="1">
        <v>41052</v>
      </c>
      <c r="FK1510">
        <v>2011</v>
      </c>
      <c r="FL1510">
        <v>114</v>
      </c>
      <c r="FM1510" t="s">
        <v>15285</v>
      </c>
      <c r="FN1510">
        <v>15.75</v>
      </c>
      <c r="FO1510" t="s">
        <v>424</v>
      </c>
      <c r="FP1510" t="s">
        <v>425</v>
      </c>
      <c r="FQ1510" s="1">
        <v>41726</v>
      </c>
      <c r="FR1510">
        <v>22</v>
      </c>
      <c r="FS1510">
        <v>10125</v>
      </c>
      <c r="FT1510" t="s">
        <v>440</v>
      </c>
      <c r="FV1510" s="1">
        <v>40688</v>
      </c>
      <c r="FW1510">
        <v>2010</v>
      </c>
      <c r="FX1510">
        <v>113.55</v>
      </c>
      <c r="FY1510" t="s">
        <v>15286</v>
      </c>
      <c r="FZ1510">
        <v>10</v>
      </c>
      <c r="GA1510" t="s">
        <v>424</v>
      </c>
      <c r="GB1510" t="s">
        <v>425</v>
      </c>
      <c r="GC1510" s="1">
        <v>41726</v>
      </c>
      <c r="GD1510">
        <v>34</v>
      </c>
      <c r="GE1510">
        <v>10486</v>
      </c>
      <c r="GF1510" t="s">
        <v>6351</v>
      </c>
    </row>
    <row r="1511" spans="1:248" x14ac:dyDescent="0.25">
      <c r="A1511">
        <v>16486518</v>
      </c>
      <c r="B1511">
        <v>1510</v>
      </c>
      <c r="C1511" t="s">
        <v>393</v>
      </c>
      <c r="D1511" t="s">
        <v>394</v>
      </c>
      <c r="F1511" t="str">
        <f>"27-2N-28-004L-1222-0000"</f>
        <v>27-2N-28-004L-1222-0000</v>
      </c>
      <c r="H1511" t="str">
        <f>"ANDREWS WALTER F &amp; VIRGINIA J"</f>
        <v>ANDREWS WALTER F &amp; VIRGINIA J</v>
      </c>
      <c r="I1511" t="str">
        <f>"95366 ARBOR LANE"</f>
        <v>95366 ARBOR LANE</v>
      </c>
      <c r="J1511" t="str">
        <f>"FERNANDINA BEACH FL 32034"</f>
        <v>FERNANDINA BEACH FL 32034</v>
      </c>
      <c r="K1511" t="str">
        <f>"23671 BAHAMA PT 1222"</f>
        <v>23671 BAHAMA PT 1222</v>
      </c>
      <c r="L1511" t="str">
        <f t="shared" si="517"/>
        <v>FERNANDINA BEACH FL 32034</v>
      </c>
      <c r="M1511" t="str">
        <f>"UNIT 1222 IN OR 1382/220 AMELIA LAKES at FDNA BEACH CONDO OR 1344/1628"</f>
        <v>UNIT 1222 IN OR 1382/220 AMELIA LAKES at FDNA BEACH CONDO OR 1344/1628</v>
      </c>
      <c r="N1511" t="str">
        <f>""</f>
        <v/>
      </c>
      <c r="O1511" t="str">
        <f>"37406"</f>
        <v>37406</v>
      </c>
      <c r="P1511" t="str">
        <f t="shared" si="514"/>
        <v>2017</v>
      </c>
      <c r="Q1511" t="str">
        <f>""</f>
        <v/>
      </c>
      <c r="R1511" t="str">
        <f t="shared" si="522"/>
        <v>N</v>
      </c>
      <c r="S1511" t="str">
        <f>""</f>
        <v/>
      </c>
      <c r="T1511" t="str">
        <f>"1152.71"</f>
        <v>1152.71</v>
      </c>
      <c r="U1511" t="str">
        <f>"69300.00"</f>
        <v>69300.00</v>
      </c>
      <c r="V1511" t="str">
        <f>"69300.00"</f>
        <v>69300.00</v>
      </c>
      <c r="W1511" t="str">
        <f t="shared" si="515"/>
        <v>2017</v>
      </c>
      <c r="X1511" t="str">
        <f>"19.00"</f>
        <v>19.00</v>
      </c>
      <c r="Y1511" t="str">
        <f>"1219.29"</f>
        <v>1219.29</v>
      </c>
      <c r="Z1511" t="str">
        <f>""</f>
        <v/>
      </c>
      <c r="AA1511" t="str">
        <f>"85000.00"</f>
        <v>85000.00</v>
      </c>
      <c r="AB1511" t="str">
        <f t="shared" si="535"/>
        <v>Residential</v>
      </c>
      <c r="AC1511" t="str">
        <f t="shared" si="523"/>
        <v>0</v>
      </c>
      <c r="AD1511" t="str">
        <f>""</f>
        <v/>
      </c>
      <c r="AE1511" t="str">
        <f>""</f>
        <v/>
      </c>
      <c r="AF1511" t="str">
        <f>"004"</f>
        <v>004</v>
      </c>
      <c r="AG1511" t="str">
        <f>"FL"</f>
        <v>FL</v>
      </c>
      <c r="AH1511" t="str">
        <f t="shared" si="536"/>
        <v>-</v>
      </c>
      <c r="AI1511" t="str">
        <f t="shared" si="536"/>
        <v>-</v>
      </c>
      <c r="AJ1511" t="str">
        <f>"C55-000-589-2793-0"</f>
        <v>C55-000-589-2793-0</v>
      </c>
      <c r="AK1511" t="str">
        <f>"26783"</f>
        <v>26783</v>
      </c>
      <c r="AL1511">
        <v>6</v>
      </c>
      <c r="AM1511">
        <v>1729</v>
      </c>
      <c r="AN1511">
        <v>1278.6500000000001</v>
      </c>
      <c r="AQ1511" t="s">
        <v>15287</v>
      </c>
      <c r="AR1511" t="s">
        <v>15287</v>
      </c>
      <c r="AS1511" t="s">
        <v>15287</v>
      </c>
      <c r="AU1511" t="s">
        <v>396</v>
      </c>
      <c r="AV1511">
        <v>2017</v>
      </c>
      <c r="AW1511" t="str">
        <f>"27-2N-28-004L-1222-0000 "</f>
        <v xml:space="preserve">27-2N-28-004L-1222-0000 </v>
      </c>
      <c r="AX1511">
        <v>23671</v>
      </c>
      <c r="AZ1511" t="s">
        <v>15288</v>
      </c>
      <c r="BA1511" t="s">
        <v>15289</v>
      </c>
      <c r="BC1511">
        <v>1222</v>
      </c>
      <c r="BD1511" t="s">
        <v>11749</v>
      </c>
      <c r="BE1511" t="s">
        <v>393</v>
      </c>
      <c r="BF1511">
        <v>32034</v>
      </c>
      <c r="BG1511" t="s">
        <v>15290</v>
      </c>
      <c r="BH1511" t="s">
        <v>11751</v>
      </c>
      <c r="BI1511">
        <v>-81.526905598080006</v>
      </c>
      <c r="BJ1511">
        <v>30.6168609622997</v>
      </c>
      <c r="BK1511" t="s">
        <v>15291</v>
      </c>
      <c r="BL1511" t="s">
        <v>15292</v>
      </c>
      <c r="BM1511" t="s">
        <v>15293</v>
      </c>
      <c r="BN1511" t="s">
        <v>3983</v>
      </c>
      <c r="BO1511">
        <v>32034</v>
      </c>
      <c r="BP1511" t="s">
        <v>404</v>
      </c>
      <c r="BQ1511">
        <v>400</v>
      </c>
      <c r="BR1511" t="s">
        <v>15097</v>
      </c>
      <c r="BS1511">
        <v>1004</v>
      </c>
      <c r="BT1511" t="s">
        <v>15098</v>
      </c>
      <c r="BW1511">
        <v>1156030</v>
      </c>
      <c r="BX1511" t="s">
        <v>407</v>
      </c>
      <c r="CA1511">
        <v>2000</v>
      </c>
      <c r="CC1511">
        <v>1</v>
      </c>
      <c r="CD1511">
        <v>2017</v>
      </c>
      <c r="CF1511">
        <v>85000</v>
      </c>
      <c r="CG1511">
        <v>85000</v>
      </c>
      <c r="CH1511">
        <v>2017</v>
      </c>
      <c r="CJ1511">
        <v>85000</v>
      </c>
      <c r="CK1511">
        <v>85000</v>
      </c>
      <c r="CL1511">
        <v>2017</v>
      </c>
      <c r="CM1511">
        <v>1152.71</v>
      </c>
      <c r="CN1511" s="1">
        <v>38734</v>
      </c>
      <c r="CO1511">
        <v>135800</v>
      </c>
      <c r="CV1511">
        <v>0</v>
      </c>
      <c r="CZ1511" s="1">
        <v>38734</v>
      </c>
      <c r="DA1511">
        <v>0</v>
      </c>
      <c r="DD1511" t="s">
        <v>11749</v>
      </c>
      <c r="DG1511">
        <v>27</v>
      </c>
      <c r="DI1511">
        <v>1222</v>
      </c>
      <c r="DJ1511" t="s">
        <v>15294</v>
      </c>
      <c r="DL1511">
        <v>50303</v>
      </c>
      <c r="DM1511" t="s">
        <v>15260</v>
      </c>
      <c r="DO1511" t="s">
        <v>15295</v>
      </c>
      <c r="DP1511">
        <v>0</v>
      </c>
      <c r="DQ1511">
        <v>3</v>
      </c>
      <c r="DR1511" t="s">
        <v>411</v>
      </c>
      <c r="DS1511" t="b">
        <v>1</v>
      </c>
      <c r="DT1511" t="s">
        <v>470</v>
      </c>
      <c r="DU1511" t="s">
        <v>471</v>
      </c>
      <c r="DV1511" t="s">
        <v>472</v>
      </c>
      <c r="DX1511">
        <v>-9999</v>
      </c>
      <c r="DZ1511" t="s">
        <v>447</v>
      </c>
      <c r="EA1511" t="s">
        <v>448</v>
      </c>
      <c r="EB1511" t="s">
        <v>742</v>
      </c>
      <c r="EC1511">
        <v>20101217</v>
      </c>
      <c r="ED1511" t="s">
        <v>474</v>
      </c>
      <c r="EF1511">
        <v>1409.3</v>
      </c>
      <c r="EG1511">
        <v>228.7</v>
      </c>
      <c r="EH1511" t="s">
        <v>451</v>
      </c>
      <c r="EI1511">
        <v>20140731</v>
      </c>
      <c r="EJ1511">
        <v>1</v>
      </c>
      <c r="EK1511">
        <v>0</v>
      </c>
      <c r="EP1511" t="s">
        <v>421</v>
      </c>
      <c r="EQ1511" t="s">
        <v>452</v>
      </c>
      <c r="ER1511">
        <v>2</v>
      </c>
      <c r="ES1511">
        <v>5</v>
      </c>
      <c r="ET1511">
        <v>2145.86</v>
      </c>
      <c r="EU1511">
        <v>119.79</v>
      </c>
      <c r="EV1511">
        <v>2265.65</v>
      </c>
      <c r="EW1511" s="2">
        <v>43222</v>
      </c>
      <c r="EX1511" s="1">
        <v>42879</v>
      </c>
      <c r="EY1511">
        <v>2016</v>
      </c>
      <c r="EZ1511">
        <v>1072.93</v>
      </c>
      <c r="FA1511" t="s">
        <v>15296</v>
      </c>
      <c r="FB1511">
        <v>0.25</v>
      </c>
      <c r="FC1511" t="s">
        <v>424</v>
      </c>
      <c r="FD1511" t="s">
        <v>454</v>
      </c>
      <c r="FF1511">
        <v>12</v>
      </c>
      <c r="FG1511">
        <v>2851116</v>
      </c>
      <c r="FH1511" t="s">
        <v>480</v>
      </c>
      <c r="FJ1511" s="1">
        <v>42879</v>
      </c>
      <c r="FK1511">
        <v>2016</v>
      </c>
      <c r="FL1511">
        <v>1072.93</v>
      </c>
      <c r="FM1511" t="s">
        <v>15296</v>
      </c>
      <c r="FN1511">
        <v>0.25</v>
      </c>
      <c r="FO1511" t="s">
        <v>424</v>
      </c>
      <c r="FP1511" t="s">
        <v>454</v>
      </c>
      <c r="FR1511">
        <v>12</v>
      </c>
      <c r="FS1511">
        <v>4924098</v>
      </c>
      <c r="FT1511" t="s">
        <v>15297</v>
      </c>
      <c r="FV1511" s="1">
        <v>42151</v>
      </c>
      <c r="FW1511">
        <v>2014</v>
      </c>
      <c r="FX1511">
        <v>962.03</v>
      </c>
      <c r="FY1511" t="s">
        <v>15298</v>
      </c>
      <c r="FZ1511">
        <v>0.25</v>
      </c>
      <c r="GA1511" t="s">
        <v>424</v>
      </c>
      <c r="GB1511" t="s">
        <v>425</v>
      </c>
      <c r="GC1511" s="1">
        <v>42482</v>
      </c>
      <c r="GD1511">
        <v>11</v>
      </c>
      <c r="GE1511">
        <v>2851116</v>
      </c>
      <c r="GF1511" t="s">
        <v>480</v>
      </c>
      <c r="GG1511" t="s">
        <v>458</v>
      </c>
      <c r="GH1511" s="1">
        <v>42151</v>
      </c>
      <c r="GI1511">
        <v>2014</v>
      </c>
      <c r="GJ1511">
        <v>962.03</v>
      </c>
      <c r="GK1511" t="s">
        <v>15298</v>
      </c>
      <c r="GL1511">
        <v>0.25</v>
      </c>
      <c r="GM1511" t="s">
        <v>424</v>
      </c>
      <c r="GN1511" t="s">
        <v>425</v>
      </c>
      <c r="GP1511">
        <v>22</v>
      </c>
      <c r="GQ1511">
        <v>4902590</v>
      </c>
      <c r="GR1511" t="s">
        <v>15299</v>
      </c>
      <c r="GS1511" t="s">
        <v>458</v>
      </c>
      <c r="GT1511" s="1">
        <v>41787</v>
      </c>
      <c r="GU1511">
        <v>2013</v>
      </c>
      <c r="GV1511">
        <v>863.21</v>
      </c>
      <c r="GW1511" t="s">
        <v>15300</v>
      </c>
      <c r="GX1511">
        <v>0.25</v>
      </c>
      <c r="GY1511" t="s">
        <v>424</v>
      </c>
      <c r="GZ1511" t="s">
        <v>425</v>
      </c>
      <c r="HB1511">
        <v>22</v>
      </c>
      <c r="HC1511">
        <v>2101382</v>
      </c>
      <c r="HD1511" t="s">
        <v>993</v>
      </c>
      <c r="HE1511" t="s">
        <v>458</v>
      </c>
      <c r="HF1511" s="1">
        <v>41423</v>
      </c>
      <c r="HG1511">
        <v>2012</v>
      </c>
      <c r="HH1511">
        <v>890.12</v>
      </c>
      <c r="HI1511" t="s">
        <v>15301</v>
      </c>
      <c r="HJ1511">
        <v>0.25</v>
      </c>
      <c r="HK1511" t="s">
        <v>424</v>
      </c>
      <c r="HL1511" t="s">
        <v>425</v>
      </c>
      <c r="HM1511" s="1">
        <v>42062</v>
      </c>
      <c r="HN1511">
        <v>21</v>
      </c>
      <c r="HO1511">
        <v>15970</v>
      </c>
      <c r="HP1511" t="s">
        <v>1435</v>
      </c>
      <c r="HR1511" s="1">
        <v>41052</v>
      </c>
      <c r="HS1511">
        <v>2011</v>
      </c>
      <c r="HT1511">
        <v>1167.31</v>
      </c>
      <c r="HU1511" t="s">
        <v>15302</v>
      </c>
      <c r="HV1511">
        <v>0.25</v>
      </c>
      <c r="HW1511" t="s">
        <v>424</v>
      </c>
      <c r="HX1511" t="s">
        <v>425</v>
      </c>
      <c r="HY1511" s="1">
        <v>41698</v>
      </c>
      <c r="HZ1511">
        <v>21</v>
      </c>
      <c r="IA1511">
        <v>13930</v>
      </c>
      <c r="IB1511" t="s">
        <v>15303</v>
      </c>
    </row>
    <row r="1512" spans="1:248" x14ac:dyDescent="0.25">
      <c r="A1512">
        <v>16486519</v>
      </c>
      <c r="B1512">
        <v>1511</v>
      </c>
      <c r="C1512" t="s">
        <v>393</v>
      </c>
      <c r="D1512" t="s">
        <v>394</v>
      </c>
      <c r="F1512" t="str">
        <f>"27-2N-28-004L-1524-0000"</f>
        <v>27-2N-28-004L-1524-0000</v>
      </c>
      <c r="H1512" t="str">
        <f>"LINDSAY DEBORAH L"</f>
        <v>LINDSAY DEBORAH L</v>
      </c>
      <c r="I1512" t="str">
        <f>"24 WATER STREET"</f>
        <v>24 WATER STREET</v>
      </c>
      <c r="J1512" t="str">
        <f>"LUBEE ME 04652"</f>
        <v>LUBEE ME 04652</v>
      </c>
      <c r="K1512" t="str">
        <f>"23583 BAHAMA PT 1524"</f>
        <v>23583 BAHAMA PT 1524</v>
      </c>
      <c r="L1512" t="str">
        <f t="shared" si="517"/>
        <v>FERNANDINA BEACH FL 32034</v>
      </c>
      <c r="M1512" t="str">
        <f>"UNIT 1524 IN OR 2070/251 AMELIA LAKES at FDNA BEACH CONDO OR 1344/1628"</f>
        <v>UNIT 1524 IN OR 2070/251 AMELIA LAKES at FDNA BEACH CONDO OR 1344/1628</v>
      </c>
      <c r="N1512" t="str">
        <f>""</f>
        <v/>
      </c>
      <c r="O1512" t="str">
        <f>"37456"</f>
        <v>37456</v>
      </c>
      <c r="P1512" t="str">
        <f t="shared" si="514"/>
        <v>2017</v>
      </c>
      <c r="Q1512" t="str">
        <f>""</f>
        <v/>
      </c>
      <c r="R1512" t="str">
        <f t="shared" si="522"/>
        <v>N</v>
      </c>
      <c r="S1512" t="str">
        <f>""</f>
        <v/>
      </c>
      <c r="T1512" t="str">
        <f>"1286.80"</f>
        <v>1286.80</v>
      </c>
      <c r="U1512" t="str">
        <f>"85000.00"</f>
        <v>85000.00</v>
      </c>
      <c r="V1512" t="str">
        <f>"85000.00"</f>
        <v>85000.00</v>
      </c>
      <c r="W1512" t="str">
        <f t="shared" si="515"/>
        <v>2017</v>
      </c>
      <c r="X1512" t="str">
        <f>""</f>
        <v/>
      </c>
      <c r="Y1512" t="str">
        <f>"1357.40"</f>
        <v>1357.40</v>
      </c>
      <c r="Z1512" t="str">
        <f>""</f>
        <v/>
      </c>
      <c r="AA1512" t="str">
        <f>"85000.00"</f>
        <v>85000.00</v>
      </c>
      <c r="AB1512" t="str">
        <f t="shared" si="535"/>
        <v>Residential</v>
      </c>
      <c r="AC1512" t="str">
        <f t="shared" si="523"/>
        <v>0</v>
      </c>
      <c r="AD1512" t="str">
        <f>""</f>
        <v/>
      </c>
      <c r="AE1512" t="str">
        <f>""</f>
        <v/>
      </c>
      <c r="AF1512" t="str">
        <f>"004"</f>
        <v>004</v>
      </c>
      <c r="AG1512" t="str">
        <f>"ME"</f>
        <v>ME</v>
      </c>
      <c r="AH1512" t="str">
        <f t="shared" si="536"/>
        <v>-</v>
      </c>
      <c r="AI1512" t="str">
        <f t="shared" si="536"/>
        <v>-</v>
      </c>
      <c r="AJ1512" t="str">
        <f>"C55-000-589-2843-3"</f>
        <v>C55-000-589-2843-3</v>
      </c>
      <c r="AK1512" t="str">
        <f>"26833"</f>
        <v>26833</v>
      </c>
      <c r="AL1512">
        <v>6</v>
      </c>
      <c r="AM1512">
        <v>1730</v>
      </c>
      <c r="AN1512">
        <v>1423.67</v>
      </c>
      <c r="AQ1512" t="s">
        <v>15304</v>
      </c>
      <c r="AR1512" t="s">
        <v>15304</v>
      </c>
      <c r="AS1512" t="s">
        <v>15304</v>
      </c>
      <c r="AU1512" t="s">
        <v>396</v>
      </c>
      <c r="AV1512">
        <v>2017</v>
      </c>
      <c r="AW1512" t="str">
        <f>"27-2N-28-004L-1524-0000 "</f>
        <v xml:space="preserve">27-2N-28-004L-1524-0000 </v>
      </c>
      <c r="AX1512">
        <v>23583</v>
      </c>
      <c r="AZ1512" t="s">
        <v>15288</v>
      </c>
      <c r="BA1512" t="s">
        <v>15289</v>
      </c>
      <c r="BC1512">
        <v>1524</v>
      </c>
      <c r="BD1512" t="s">
        <v>11749</v>
      </c>
      <c r="BE1512" t="s">
        <v>393</v>
      </c>
      <c r="BF1512">
        <v>32034</v>
      </c>
      <c r="BG1512" t="s">
        <v>15305</v>
      </c>
      <c r="BH1512" t="s">
        <v>11751</v>
      </c>
      <c r="BI1512">
        <v>-81.526905598080006</v>
      </c>
      <c r="BJ1512">
        <v>30.6168609622997</v>
      </c>
      <c r="BK1512" t="s">
        <v>15306</v>
      </c>
      <c r="BM1512" t="s">
        <v>15307</v>
      </c>
      <c r="BN1512" t="s">
        <v>15308</v>
      </c>
      <c r="BO1512">
        <v>4652</v>
      </c>
      <c r="BP1512" t="s">
        <v>404</v>
      </c>
      <c r="BQ1512">
        <v>400</v>
      </c>
      <c r="BR1512" t="s">
        <v>15097</v>
      </c>
      <c r="BS1512">
        <v>1004</v>
      </c>
      <c r="BT1512" t="s">
        <v>15098</v>
      </c>
      <c r="BW1512">
        <v>1156030</v>
      </c>
      <c r="BX1512" t="s">
        <v>407</v>
      </c>
      <c r="CA1512">
        <v>2000</v>
      </c>
      <c r="CC1512">
        <v>1</v>
      </c>
      <c r="CD1512">
        <v>2017</v>
      </c>
      <c r="CF1512">
        <v>85000</v>
      </c>
      <c r="CG1512">
        <v>85000</v>
      </c>
      <c r="CH1512">
        <v>2017</v>
      </c>
      <c r="CJ1512">
        <v>85000</v>
      </c>
      <c r="CK1512">
        <v>85000</v>
      </c>
      <c r="CL1512">
        <v>2017</v>
      </c>
      <c r="CM1512">
        <v>1286.8</v>
      </c>
      <c r="CN1512" s="1">
        <v>42620</v>
      </c>
      <c r="CO1512">
        <v>111900</v>
      </c>
      <c r="CV1512">
        <v>0</v>
      </c>
      <c r="CZ1512" s="1">
        <v>42620</v>
      </c>
      <c r="DA1512">
        <v>0</v>
      </c>
      <c r="DD1512" t="s">
        <v>11749</v>
      </c>
      <c r="DG1512">
        <v>27</v>
      </c>
      <c r="DI1512">
        <v>1524</v>
      </c>
      <c r="DJ1512" t="s">
        <v>15294</v>
      </c>
      <c r="DL1512">
        <v>50303</v>
      </c>
      <c r="DM1512" t="s">
        <v>15260</v>
      </c>
      <c r="DO1512" t="s">
        <v>15309</v>
      </c>
      <c r="DP1512">
        <v>0</v>
      </c>
      <c r="DQ1512">
        <v>3</v>
      </c>
      <c r="DR1512" t="s">
        <v>411</v>
      </c>
      <c r="EP1512" t="s">
        <v>421</v>
      </c>
      <c r="EQ1512" t="s">
        <v>422</v>
      </c>
      <c r="ER1512">
        <v>2</v>
      </c>
      <c r="ES1512">
        <v>0</v>
      </c>
      <c r="ET1512">
        <v>2145.86</v>
      </c>
      <c r="EU1512">
        <v>119.79</v>
      </c>
      <c r="EV1512">
        <v>2265.65</v>
      </c>
      <c r="EW1512" s="2">
        <v>43222</v>
      </c>
      <c r="EX1512" s="1">
        <v>42879</v>
      </c>
      <c r="EY1512">
        <v>2016</v>
      </c>
      <c r="EZ1512">
        <v>1072.93</v>
      </c>
      <c r="FA1512" t="s">
        <v>15310</v>
      </c>
      <c r="FB1512">
        <v>0.25</v>
      </c>
      <c r="FC1512" t="s">
        <v>424</v>
      </c>
      <c r="FD1512" t="s">
        <v>454</v>
      </c>
      <c r="FF1512">
        <v>12</v>
      </c>
      <c r="FG1512">
        <v>7336671</v>
      </c>
      <c r="FH1512" t="s">
        <v>437</v>
      </c>
      <c r="FJ1512" s="1">
        <v>42879</v>
      </c>
      <c r="FK1512">
        <v>2016</v>
      </c>
      <c r="FL1512">
        <v>1072.93</v>
      </c>
      <c r="FM1512" t="s">
        <v>15310</v>
      </c>
      <c r="FN1512">
        <v>0.25</v>
      </c>
      <c r="FO1512" t="s">
        <v>424</v>
      </c>
      <c r="FP1512" t="s">
        <v>454</v>
      </c>
      <c r="FR1512">
        <v>12</v>
      </c>
      <c r="FS1512">
        <v>6782156</v>
      </c>
      <c r="FT1512" t="s">
        <v>15311</v>
      </c>
    </row>
    <row r="1513" spans="1:248" x14ac:dyDescent="0.25">
      <c r="A1513">
        <v>16486520</v>
      </c>
      <c r="B1513">
        <v>1512</v>
      </c>
      <c r="C1513" t="s">
        <v>393</v>
      </c>
      <c r="D1513" t="s">
        <v>394</v>
      </c>
      <c r="F1513" t="str">
        <f>"27-2N-28-014A-0006-0000"</f>
        <v>27-2N-28-014A-0006-0000</v>
      </c>
      <c r="H1513" t="str">
        <f>"ERICKSON KATHY L &amp; SOWELL NOLAN C (JT/RS)"</f>
        <v>ERICKSON KATHY L &amp; SOWELL NOLAN C (JT/RS)</v>
      </c>
      <c r="I1513" t="str">
        <f>"23722 ARRIGO BLVD"</f>
        <v>23722 ARRIGO BLVD</v>
      </c>
      <c r="J1513" t="str">
        <f>"FERNANDINA BEACH FL 32034"</f>
        <v>FERNANDINA BEACH FL 32034</v>
      </c>
      <c r="K1513" t="str">
        <f>"23722 ARRIGO BLVD"</f>
        <v>23722 ARRIGO BLVD</v>
      </c>
      <c r="L1513" t="str">
        <f t="shared" si="517"/>
        <v>FERNANDINA BEACH FL 32034</v>
      </c>
      <c r="M1513" t="str">
        <f>"LOT 6 IN OR 1765/803 BEACHWAY at NASSAU LAKE 1-A PB 6/199"</f>
        <v>LOT 6 IN OR 1765/803 BEACHWAY at NASSAU LAKE 1-A PB 6/199</v>
      </c>
      <c r="N1513" t="str">
        <f>""</f>
        <v/>
      </c>
      <c r="O1513" t="str">
        <f>"37475"</f>
        <v>37475</v>
      </c>
      <c r="P1513" t="str">
        <f t="shared" si="514"/>
        <v>2017</v>
      </c>
      <c r="Q1513" t="str">
        <f>""</f>
        <v/>
      </c>
      <c r="R1513" t="str">
        <f>"Y"</f>
        <v>Y</v>
      </c>
      <c r="S1513" t="str">
        <f>""</f>
        <v/>
      </c>
      <c r="T1513" t="str">
        <f>"1159.73"</f>
        <v>1159.73</v>
      </c>
      <c r="U1513" t="str">
        <f>"115711.00"</f>
        <v>115711.00</v>
      </c>
      <c r="V1513" t="str">
        <f>"115711.00"</f>
        <v>115711.00</v>
      </c>
      <c r="W1513" t="str">
        <f t="shared" si="515"/>
        <v>2017</v>
      </c>
      <c r="X1513" t="str">
        <f>"1.00"</f>
        <v>1.00</v>
      </c>
      <c r="Y1513" t="str">
        <f>"335.18"</f>
        <v>335.18</v>
      </c>
      <c r="Z1513" t="str">
        <f>"25000.00"</f>
        <v>25000.00</v>
      </c>
      <c r="AA1513" t="str">
        <f>"90711.00"</f>
        <v>90711.00</v>
      </c>
      <c r="AB1513" t="str">
        <f t="shared" si="535"/>
        <v>Residential</v>
      </c>
      <c r="AC1513" t="str">
        <f t="shared" si="523"/>
        <v>0</v>
      </c>
      <c r="AD1513" t="str">
        <f>"4"</f>
        <v>4</v>
      </c>
      <c r="AE1513" t="str">
        <f>"WOOD (INCLUDE STEEL STUDS)"</f>
        <v>WOOD (INCLUDE STEEL STUDS)</v>
      </c>
      <c r="AF1513" t="str">
        <f>"001"</f>
        <v>001</v>
      </c>
      <c r="AG1513" t="str">
        <f t="shared" ref="AG1513:AG1525" si="537">"FL"</f>
        <v>FL</v>
      </c>
      <c r="AH1513" t="str">
        <f>"-"</f>
        <v>-</v>
      </c>
      <c r="AI1513" t="str">
        <f>"40000.00"</f>
        <v>40000.00</v>
      </c>
      <c r="AJ1513" t="str">
        <f>"C55-000-587-4886-4"</f>
        <v>C55-000-587-4886-4</v>
      </c>
      <c r="AK1513" t="str">
        <f>"26858"</f>
        <v>26858</v>
      </c>
      <c r="AL1513">
        <v>6</v>
      </c>
      <c r="AM1513">
        <v>1731</v>
      </c>
      <c r="AN1513">
        <v>350.34</v>
      </c>
      <c r="AQ1513" t="s">
        <v>15312</v>
      </c>
      <c r="AR1513" t="s">
        <v>15312</v>
      </c>
      <c r="AS1513" t="s">
        <v>15312</v>
      </c>
      <c r="AU1513" t="s">
        <v>396</v>
      </c>
      <c r="AV1513">
        <v>2017</v>
      </c>
      <c r="AW1513" t="str">
        <f>"27-2N-28-014A-0006-0000 "</f>
        <v xml:space="preserve">27-2N-28-014A-0006-0000 </v>
      </c>
      <c r="AX1513">
        <v>23722</v>
      </c>
      <c r="AZ1513" t="s">
        <v>15313</v>
      </c>
      <c r="BA1513" t="s">
        <v>6622</v>
      </c>
      <c r="BD1513" t="s">
        <v>11749</v>
      </c>
      <c r="BE1513" t="s">
        <v>393</v>
      </c>
      <c r="BF1513">
        <v>32034</v>
      </c>
      <c r="BG1513" t="s">
        <v>15314</v>
      </c>
      <c r="BH1513" t="s">
        <v>11751</v>
      </c>
      <c r="BI1513">
        <v>-81.530086363956002</v>
      </c>
      <c r="BJ1513">
        <v>30.6160926484893</v>
      </c>
      <c r="BK1513" t="s">
        <v>15315</v>
      </c>
      <c r="BL1513" t="s">
        <v>15316</v>
      </c>
      <c r="BM1513" t="s">
        <v>15314</v>
      </c>
      <c r="BN1513" t="s">
        <v>3983</v>
      </c>
      <c r="BO1513">
        <v>32034</v>
      </c>
      <c r="BP1513" t="s">
        <v>416</v>
      </c>
      <c r="BQ1513">
        <v>100</v>
      </c>
      <c r="BR1513" t="s">
        <v>514</v>
      </c>
      <c r="BS1513">
        <v>1001</v>
      </c>
      <c r="BT1513" t="s">
        <v>515</v>
      </c>
      <c r="BW1513">
        <v>18476</v>
      </c>
      <c r="BX1513" t="s">
        <v>407</v>
      </c>
      <c r="BZ1513">
        <v>4</v>
      </c>
      <c r="CA1513">
        <v>2001</v>
      </c>
      <c r="CB1513">
        <v>1</v>
      </c>
      <c r="CC1513">
        <v>1</v>
      </c>
      <c r="CD1513">
        <v>2017</v>
      </c>
      <c r="CG1513">
        <v>115711</v>
      </c>
      <c r="CH1513">
        <v>2017</v>
      </c>
      <c r="CI1513">
        <v>40000</v>
      </c>
      <c r="CJ1513">
        <v>115892</v>
      </c>
      <c r="CK1513">
        <v>155892</v>
      </c>
      <c r="CL1513">
        <v>2017</v>
      </c>
      <c r="CM1513">
        <v>1159.73</v>
      </c>
      <c r="CN1513" s="1">
        <v>40865</v>
      </c>
      <c r="CZ1513" s="1">
        <v>40865</v>
      </c>
      <c r="DD1513" t="s">
        <v>11749</v>
      </c>
      <c r="DF1513">
        <v>6</v>
      </c>
      <c r="DG1513">
        <v>26</v>
      </c>
      <c r="DL1513">
        <v>50303</v>
      </c>
      <c r="DM1513" t="s">
        <v>15166</v>
      </c>
      <c r="DO1513" t="s">
        <v>15317</v>
      </c>
      <c r="DP1513">
        <v>0</v>
      </c>
      <c r="DQ1513">
        <v>0</v>
      </c>
      <c r="DR1513" t="s">
        <v>411</v>
      </c>
      <c r="DS1513" t="b">
        <v>1</v>
      </c>
      <c r="DT1513" t="s">
        <v>470</v>
      </c>
      <c r="DU1513" t="s">
        <v>471</v>
      </c>
      <c r="DV1513" t="s">
        <v>472</v>
      </c>
      <c r="DX1513">
        <v>-9999</v>
      </c>
      <c r="DZ1513" t="s">
        <v>447</v>
      </c>
      <c r="EA1513" t="s">
        <v>448</v>
      </c>
      <c r="EB1513" t="s">
        <v>742</v>
      </c>
      <c r="EC1513">
        <v>20101217</v>
      </c>
      <c r="ED1513" t="s">
        <v>474</v>
      </c>
      <c r="EF1513">
        <v>2298.6999999999998</v>
      </c>
      <c r="EG1513">
        <v>1218.0999999999999</v>
      </c>
      <c r="EI1513">
        <v>20160407</v>
      </c>
      <c r="EJ1513">
        <v>0</v>
      </c>
      <c r="EK1513">
        <v>0</v>
      </c>
      <c r="EP1513" t="s">
        <v>421</v>
      </c>
      <c r="EQ1513" t="s">
        <v>422</v>
      </c>
      <c r="ER1513">
        <v>0</v>
      </c>
      <c r="ES1513">
        <v>5</v>
      </c>
      <c r="ET1513">
        <v>0</v>
      </c>
      <c r="EU1513">
        <v>0</v>
      </c>
      <c r="EV1513">
        <v>0</v>
      </c>
      <c r="EW1513" s="2">
        <v>43222</v>
      </c>
      <c r="EX1513" s="1">
        <v>42515</v>
      </c>
      <c r="EY1513">
        <v>2015</v>
      </c>
      <c r="EZ1513">
        <v>338.27</v>
      </c>
      <c r="FA1513" t="s">
        <v>15318</v>
      </c>
      <c r="FB1513">
        <v>0.25</v>
      </c>
      <c r="FC1513" t="s">
        <v>424</v>
      </c>
      <c r="FD1513" t="s">
        <v>425</v>
      </c>
      <c r="FE1513" s="1">
        <v>42551</v>
      </c>
      <c r="FF1513">
        <v>1</v>
      </c>
      <c r="FG1513">
        <v>2851116</v>
      </c>
      <c r="FH1513" t="s">
        <v>480</v>
      </c>
      <c r="FJ1513" s="1">
        <v>42515</v>
      </c>
      <c r="FK1513">
        <v>2015</v>
      </c>
      <c r="FL1513">
        <v>338.27</v>
      </c>
      <c r="FM1513" t="s">
        <v>15318</v>
      </c>
      <c r="FN1513">
        <v>0.25</v>
      </c>
      <c r="FO1513" t="s">
        <v>424</v>
      </c>
      <c r="FP1513" t="s">
        <v>425</v>
      </c>
      <c r="FR1513">
        <v>22</v>
      </c>
      <c r="FS1513">
        <v>5090286</v>
      </c>
      <c r="FT1513" t="s">
        <v>15319</v>
      </c>
      <c r="FV1513" s="1">
        <v>42151</v>
      </c>
      <c r="FW1513">
        <v>2014</v>
      </c>
      <c r="FX1513">
        <v>353.98</v>
      </c>
      <c r="FY1513" t="s">
        <v>15320</v>
      </c>
      <c r="FZ1513">
        <v>0.25</v>
      </c>
      <c r="GA1513" t="s">
        <v>424</v>
      </c>
      <c r="GB1513" t="s">
        <v>425</v>
      </c>
      <c r="GC1513" s="1">
        <v>42185</v>
      </c>
      <c r="GD1513">
        <v>1</v>
      </c>
      <c r="GE1513">
        <v>4844983</v>
      </c>
      <c r="GF1513" t="s">
        <v>3901</v>
      </c>
      <c r="GH1513" s="1">
        <v>42151</v>
      </c>
      <c r="GI1513">
        <v>2014</v>
      </c>
      <c r="GJ1513">
        <v>353.98</v>
      </c>
      <c r="GK1513" t="s">
        <v>15320</v>
      </c>
      <c r="GL1513">
        <v>0.25</v>
      </c>
      <c r="GM1513" t="s">
        <v>424</v>
      </c>
      <c r="GN1513" t="s">
        <v>425</v>
      </c>
      <c r="GP1513">
        <v>22</v>
      </c>
      <c r="GQ1513">
        <v>5922886</v>
      </c>
      <c r="GR1513" t="s">
        <v>15321</v>
      </c>
      <c r="GT1513" s="1">
        <v>41787</v>
      </c>
      <c r="GU1513">
        <v>2013</v>
      </c>
      <c r="GV1513">
        <v>317.64999999999998</v>
      </c>
      <c r="GW1513" t="s">
        <v>15322</v>
      </c>
      <c r="GX1513">
        <v>0.25</v>
      </c>
      <c r="GY1513" t="s">
        <v>424</v>
      </c>
      <c r="GZ1513" t="s">
        <v>425</v>
      </c>
      <c r="HA1513" s="1">
        <v>41820</v>
      </c>
      <c r="HB1513">
        <v>1</v>
      </c>
      <c r="HC1513">
        <v>2757457</v>
      </c>
      <c r="HD1513" t="s">
        <v>648</v>
      </c>
    </row>
    <row r="1514" spans="1:248" x14ac:dyDescent="0.25">
      <c r="A1514">
        <v>16486521</v>
      </c>
      <c r="B1514">
        <v>1513</v>
      </c>
      <c r="C1514" t="s">
        <v>393</v>
      </c>
      <c r="D1514" t="s">
        <v>394</v>
      </c>
      <c r="F1514" t="str">
        <f>"27-2N-28-014A-000A-0000"</f>
        <v>27-2N-28-014A-000A-0000</v>
      </c>
      <c r="H1514" t="str">
        <f>"W R HOWELL COMPANY"</f>
        <v>W R HOWELL COMPANY</v>
      </c>
      <c r="I1514" t="str">
        <f>"4545 ORTEGA BLVD"</f>
        <v>4545 ORTEGA BLVD</v>
      </c>
      <c r="J1514" t="str">
        <f>"JACKSONVILLE FL 32210"</f>
        <v>JACKSONVILLE FL 32210</v>
      </c>
      <c r="K1514" t="str">
        <f>"ARRIGO BLVD"</f>
        <v>ARRIGO BLVD</v>
      </c>
      <c r="L1514" t="str">
        <f t="shared" si="517"/>
        <v>FERNANDINA BEACH FL 32034</v>
      </c>
      <c r="M1514" t="str">
        <f>"FOR INFO ONLY COMMON ELEMENT PROPERTY HB1721 TRACT A PT OR 1623/505 (EX CNSVTN ESMT OR 971/282) BEACHWAY at NASSAU LAKE 1-A PBK 6/199"</f>
        <v>FOR INFO ONLY COMMON ELEMENT PROPERTY HB1721 TRACT A PT OR 1623/505 (EX CNSVTN ESMT OR 971/282) BEACHWAY at NASSAU LAKE 1-A PBK 6/199</v>
      </c>
      <c r="N1514" t="str">
        <f>""</f>
        <v/>
      </c>
      <c r="O1514" t="str">
        <f>"37479"</f>
        <v>37479</v>
      </c>
      <c r="P1514" t="str">
        <f t="shared" si="514"/>
        <v>2017</v>
      </c>
      <c r="Q1514" t="str">
        <f>""</f>
        <v/>
      </c>
      <c r="R1514" t="str">
        <f>"N"</f>
        <v>N</v>
      </c>
      <c r="S1514" t="str">
        <f>"1.65"</f>
        <v>1.65</v>
      </c>
      <c r="T1514" t="str">
        <f>"24.98"</f>
        <v>24.98</v>
      </c>
      <c r="U1514" t="str">
        <f>"1650.00"</f>
        <v>1650.00</v>
      </c>
      <c r="V1514" t="str">
        <f>"1650.00"</f>
        <v>1650.00</v>
      </c>
      <c r="W1514" t="str">
        <f t="shared" si="515"/>
        <v>2017</v>
      </c>
      <c r="X1514" t="str">
        <f>"12.00"</f>
        <v>12.00</v>
      </c>
      <c r="Y1514" t="str">
        <f>"57.73"</f>
        <v>57.73</v>
      </c>
      <c r="Z1514" t="str">
        <f>""</f>
        <v/>
      </c>
      <c r="AA1514" t="str">
        <f>"1650.00"</f>
        <v>1650.00</v>
      </c>
      <c r="AB1514" t="str">
        <f t="shared" si="535"/>
        <v>Residential</v>
      </c>
      <c r="AC1514" t="str">
        <f t="shared" si="523"/>
        <v>0</v>
      </c>
      <c r="AD1514" t="str">
        <f>""</f>
        <v/>
      </c>
      <c r="AE1514" t="str">
        <f>""</f>
        <v/>
      </c>
      <c r="AF1514" t="str">
        <f>"000"</f>
        <v>000</v>
      </c>
      <c r="AG1514" t="str">
        <f t="shared" si="537"/>
        <v>FL</v>
      </c>
      <c r="AH1514" t="str">
        <f>"71874.00"</f>
        <v>71874.00</v>
      </c>
      <c r="AI1514" t="str">
        <f>"1650.00"</f>
        <v>1650.00</v>
      </c>
      <c r="AJ1514" t="str">
        <f>"C55-000-587-4890-6"</f>
        <v>C55-000-587-4890-6</v>
      </c>
      <c r="AK1514" t="str">
        <f>"26846"</f>
        <v>26846</v>
      </c>
      <c r="AL1514">
        <v>6</v>
      </c>
      <c r="AM1514">
        <v>1732</v>
      </c>
      <c r="AN1514">
        <v>59.02</v>
      </c>
      <c r="AQ1514" t="s">
        <v>15323</v>
      </c>
      <c r="AR1514" t="s">
        <v>15323</v>
      </c>
      <c r="AS1514" t="s">
        <v>15323</v>
      </c>
      <c r="AU1514" t="s">
        <v>396</v>
      </c>
      <c r="AV1514">
        <v>2017</v>
      </c>
      <c r="AW1514" t="str">
        <f>"27-2N-28-014A-000A-0000 "</f>
        <v xml:space="preserve">27-2N-28-014A-000A-0000 </v>
      </c>
      <c r="AZ1514" t="s">
        <v>15313</v>
      </c>
      <c r="BA1514" t="s">
        <v>6622</v>
      </c>
      <c r="BD1514" t="s">
        <v>11749</v>
      </c>
      <c r="BE1514" t="s">
        <v>393</v>
      </c>
      <c r="BF1514">
        <v>32034</v>
      </c>
      <c r="BG1514" t="s">
        <v>15324</v>
      </c>
      <c r="BH1514" t="s">
        <v>11751</v>
      </c>
      <c r="BI1514">
        <v>-81.531122017166396</v>
      </c>
      <c r="BJ1514">
        <v>30.618091509530601</v>
      </c>
      <c r="BK1514" t="s">
        <v>15325</v>
      </c>
      <c r="BM1514" t="s">
        <v>15326</v>
      </c>
      <c r="BN1514" t="s">
        <v>548</v>
      </c>
      <c r="BO1514">
        <v>32210</v>
      </c>
      <c r="BP1514" t="s">
        <v>404</v>
      </c>
      <c r="BQ1514">
        <v>10</v>
      </c>
      <c r="BR1514" t="s">
        <v>491</v>
      </c>
      <c r="BS1514">
        <v>8001</v>
      </c>
      <c r="BT1514" t="s">
        <v>492</v>
      </c>
      <c r="BW1514">
        <v>71874</v>
      </c>
      <c r="BX1514" t="s">
        <v>407</v>
      </c>
      <c r="CD1514">
        <v>2017</v>
      </c>
      <c r="CE1514">
        <v>1650</v>
      </c>
      <c r="CG1514">
        <v>1650</v>
      </c>
      <c r="CH1514">
        <v>2017</v>
      </c>
      <c r="CI1514">
        <v>1650</v>
      </c>
      <c r="CK1514">
        <v>1650</v>
      </c>
      <c r="CL1514">
        <v>2017</v>
      </c>
      <c r="CM1514">
        <v>24.98</v>
      </c>
      <c r="CN1514" s="1">
        <v>39903</v>
      </c>
      <c r="CZ1514" s="1">
        <v>39903</v>
      </c>
      <c r="DD1514" t="s">
        <v>11749</v>
      </c>
      <c r="DG1514">
        <v>27</v>
      </c>
      <c r="DL1514">
        <v>50303</v>
      </c>
      <c r="DM1514" t="s">
        <v>15260</v>
      </c>
      <c r="DO1514" t="s">
        <v>15327</v>
      </c>
      <c r="DP1514">
        <v>0</v>
      </c>
      <c r="DQ1514">
        <v>3</v>
      </c>
      <c r="DR1514" t="s">
        <v>411</v>
      </c>
      <c r="DS1514" t="b">
        <v>1</v>
      </c>
      <c r="DT1514" t="s">
        <v>470</v>
      </c>
      <c r="DU1514" t="s">
        <v>471</v>
      </c>
      <c r="DV1514" t="s">
        <v>472</v>
      </c>
      <c r="DX1514">
        <v>-9999</v>
      </c>
      <c r="DZ1514" t="s">
        <v>447</v>
      </c>
      <c r="EA1514" t="s">
        <v>448</v>
      </c>
      <c r="EB1514" t="s">
        <v>742</v>
      </c>
      <c r="EC1514">
        <v>20101217</v>
      </c>
      <c r="ED1514" t="s">
        <v>474</v>
      </c>
      <c r="EF1514">
        <v>2271</v>
      </c>
      <c r="EG1514">
        <v>1499.9</v>
      </c>
      <c r="EI1514">
        <v>20160407</v>
      </c>
      <c r="EJ1514">
        <v>0</v>
      </c>
      <c r="EK1514">
        <v>0</v>
      </c>
      <c r="EP1514" t="s">
        <v>421</v>
      </c>
      <c r="EQ1514" t="s">
        <v>422</v>
      </c>
      <c r="ER1514">
        <v>0</v>
      </c>
      <c r="ES1514">
        <v>2</v>
      </c>
      <c r="ET1514">
        <v>0</v>
      </c>
      <c r="EU1514">
        <v>0</v>
      </c>
      <c r="EV1514">
        <v>0</v>
      </c>
      <c r="EW1514" s="2">
        <v>43222</v>
      </c>
      <c r="EX1514" s="1">
        <v>42515</v>
      </c>
      <c r="EY1514">
        <v>2015</v>
      </c>
      <c r="EZ1514">
        <v>50.06</v>
      </c>
      <c r="FA1514" t="s">
        <v>15328</v>
      </c>
      <c r="FB1514">
        <v>18</v>
      </c>
      <c r="FC1514" t="s">
        <v>424</v>
      </c>
      <c r="FD1514" t="s">
        <v>425</v>
      </c>
      <c r="FE1514" s="1">
        <v>42703</v>
      </c>
      <c r="FF1514">
        <v>6</v>
      </c>
      <c r="FG1514">
        <v>10125</v>
      </c>
      <c r="FH1514" t="s">
        <v>440</v>
      </c>
      <c r="FJ1514" s="1">
        <v>42151</v>
      </c>
      <c r="FK1514">
        <v>2014</v>
      </c>
      <c r="FL1514">
        <v>50.19</v>
      </c>
      <c r="FM1514" t="s">
        <v>15329</v>
      </c>
      <c r="FN1514">
        <v>18</v>
      </c>
      <c r="FO1514" t="s">
        <v>424</v>
      </c>
      <c r="FP1514" t="s">
        <v>425</v>
      </c>
      <c r="FQ1514" s="1">
        <v>42703</v>
      </c>
      <c r="FR1514">
        <v>18</v>
      </c>
      <c r="FS1514">
        <v>5100525</v>
      </c>
      <c r="FT1514" t="s">
        <v>6804</v>
      </c>
    </row>
    <row r="1515" spans="1:248" x14ac:dyDescent="0.25">
      <c r="A1515">
        <v>16486522</v>
      </c>
      <c r="B1515">
        <v>1514</v>
      </c>
      <c r="C1515" t="s">
        <v>393</v>
      </c>
      <c r="D1515" t="s">
        <v>394</v>
      </c>
      <c r="F1515" t="str">
        <f>"27-2N-28-014A-000B-0000"</f>
        <v>27-2N-28-014A-000B-0000</v>
      </c>
      <c r="H1515" t="str">
        <f>"W R HOWELL COMPANY"</f>
        <v>W R HOWELL COMPANY</v>
      </c>
      <c r="I1515" t="str">
        <f>"4545 ORTEGA BLVD"</f>
        <v>4545 ORTEGA BLVD</v>
      </c>
      <c r="J1515" t="str">
        <f>"JACKSONVILLE FL 32210"</f>
        <v>JACKSONVILLE FL 32210</v>
      </c>
      <c r="K1515" t="str">
        <f>"ARRIGO BV"</f>
        <v>ARRIGO BV</v>
      </c>
      <c r="L1515" t="str">
        <f t="shared" si="517"/>
        <v>FERNANDINA BEACH FL 32034</v>
      </c>
      <c r="M1515" t="str">
        <f>"FOR INFO ONLY COMMON ELEMENT PROPERTY HB1721 TRACT B PT OR 1623/505 BEACHWAY at NASSAU LAKE 1-A PBK 6/199"</f>
        <v>FOR INFO ONLY COMMON ELEMENT PROPERTY HB1721 TRACT B PT OR 1623/505 BEACHWAY at NASSAU LAKE 1-A PBK 6/199</v>
      </c>
      <c r="N1515" t="str">
        <f>""</f>
        <v/>
      </c>
      <c r="O1515" t="str">
        <f>"37480"</f>
        <v>37480</v>
      </c>
      <c r="P1515" t="str">
        <f t="shared" si="514"/>
        <v>2017</v>
      </c>
      <c r="Q1515" t="str">
        <f>""</f>
        <v/>
      </c>
      <c r="R1515" t="str">
        <f>"N"</f>
        <v>N</v>
      </c>
      <c r="S1515" t="str">
        <f>"2.57"</f>
        <v>2.57</v>
      </c>
      <c r="T1515" t="str">
        <f>"38.91"</f>
        <v>38.91</v>
      </c>
      <c r="U1515" t="str">
        <f>"2570.00"</f>
        <v>2570.00</v>
      </c>
      <c r="V1515" t="str">
        <f>"2570.00"</f>
        <v>2570.00</v>
      </c>
      <c r="W1515" t="str">
        <f t="shared" si="515"/>
        <v>2017</v>
      </c>
      <c r="X1515" t="str">
        <f>"12.00"</f>
        <v>12.00</v>
      </c>
      <c r="Y1515" t="str">
        <f>"72.08"</f>
        <v>72.08</v>
      </c>
      <c r="Z1515" t="str">
        <f>""</f>
        <v/>
      </c>
      <c r="AA1515" t="str">
        <f>"2570.00"</f>
        <v>2570.00</v>
      </c>
      <c r="AB1515" t="str">
        <f t="shared" si="535"/>
        <v>Residential</v>
      </c>
      <c r="AC1515" t="str">
        <f t="shared" si="523"/>
        <v>0</v>
      </c>
      <c r="AD1515" t="str">
        <f>""</f>
        <v/>
      </c>
      <c r="AE1515" t="str">
        <f>""</f>
        <v/>
      </c>
      <c r="AF1515" t="str">
        <f>"000"</f>
        <v>000</v>
      </c>
      <c r="AG1515" t="str">
        <f t="shared" si="537"/>
        <v>FL</v>
      </c>
      <c r="AH1515" t="str">
        <f>"111949.00"</f>
        <v>111949.00</v>
      </c>
      <c r="AI1515" t="str">
        <f>"2570.00"</f>
        <v>2570.00</v>
      </c>
      <c r="AJ1515" t="str">
        <f>"C55-001-059-8959-4"</f>
        <v>C55-001-059-8959-4</v>
      </c>
      <c r="AK1515" t="str">
        <f>"26847"</f>
        <v>26847</v>
      </c>
      <c r="AL1515">
        <v>6</v>
      </c>
      <c r="AM1515">
        <v>1733</v>
      </c>
      <c r="AN1515">
        <v>74.08</v>
      </c>
      <c r="AQ1515" t="s">
        <v>15330</v>
      </c>
      <c r="AR1515" t="s">
        <v>15330</v>
      </c>
      <c r="AS1515" t="s">
        <v>15330</v>
      </c>
      <c r="AU1515" t="s">
        <v>396</v>
      </c>
      <c r="AV1515">
        <v>2017</v>
      </c>
      <c r="AW1515" t="str">
        <f>"27-2N-28-014A-000B-0000 "</f>
        <v xml:space="preserve">27-2N-28-014A-000B-0000 </v>
      </c>
      <c r="AZ1515" t="s">
        <v>15331</v>
      </c>
      <c r="BD1515" t="s">
        <v>11749</v>
      </c>
      <c r="BE1515" t="s">
        <v>393</v>
      </c>
      <c r="BF1515">
        <v>32034</v>
      </c>
      <c r="BG1515" t="s">
        <v>15331</v>
      </c>
      <c r="BH1515" t="s">
        <v>11751</v>
      </c>
      <c r="BI1515">
        <v>-81.531557948222499</v>
      </c>
      <c r="BJ1515">
        <v>30.6174559904243</v>
      </c>
      <c r="BK1515" t="s">
        <v>15325</v>
      </c>
      <c r="BM1515" t="s">
        <v>15326</v>
      </c>
      <c r="BN1515" t="s">
        <v>548</v>
      </c>
      <c r="BO1515">
        <v>32210</v>
      </c>
      <c r="BP1515" t="s">
        <v>404</v>
      </c>
      <c r="BQ1515">
        <v>10</v>
      </c>
      <c r="BR1515" t="s">
        <v>491</v>
      </c>
      <c r="BS1515">
        <v>8001</v>
      </c>
      <c r="BT1515" t="s">
        <v>492</v>
      </c>
      <c r="BW1515">
        <v>111949</v>
      </c>
      <c r="BX1515" t="s">
        <v>407</v>
      </c>
      <c r="CD1515">
        <v>2017</v>
      </c>
      <c r="CE1515">
        <v>2570</v>
      </c>
      <c r="CG1515">
        <v>2570</v>
      </c>
      <c r="CH1515">
        <v>2017</v>
      </c>
      <c r="CI1515">
        <v>2570</v>
      </c>
      <c r="CK1515">
        <v>2570</v>
      </c>
      <c r="CL1515">
        <v>2017</v>
      </c>
      <c r="CM1515">
        <v>38.909999999999997</v>
      </c>
      <c r="CN1515" s="1">
        <v>39903</v>
      </c>
      <c r="CZ1515" s="1">
        <v>39903</v>
      </c>
      <c r="DD1515" t="s">
        <v>11749</v>
      </c>
      <c r="DG1515">
        <v>26</v>
      </c>
      <c r="DL1515">
        <v>50303</v>
      </c>
      <c r="DM1515" t="s">
        <v>15166</v>
      </c>
      <c r="DO1515" t="s">
        <v>15332</v>
      </c>
      <c r="DP1515">
        <v>0</v>
      </c>
      <c r="DQ1515">
        <v>0</v>
      </c>
      <c r="DR1515" t="s">
        <v>411</v>
      </c>
      <c r="DS1515" t="b">
        <v>1</v>
      </c>
      <c r="DT1515" t="s">
        <v>470</v>
      </c>
      <c r="DU1515" t="s">
        <v>471</v>
      </c>
      <c r="DV1515" t="s">
        <v>472</v>
      </c>
      <c r="DX1515">
        <v>-9999</v>
      </c>
      <c r="DZ1515" t="s">
        <v>447</v>
      </c>
      <c r="EA1515" t="s">
        <v>448</v>
      </c>
      <c r="EB1515" t="s">
        <v>742</v>
      </c>
      <c r="EC1515">
        <v>20101217</v>
      </c>
      <c r="ED1515" t="s">
        <v>474</v>
      </c>
      <c r="EF1515">
        <v>2512.4</v>
      </c>
      <c r="EG1515">
        <v>1621.7</v>
      </c>
      <c r="EI1515">
        <v>20160407</v>
      </c>
      <c r="EJ1515">
        <v>0</v>
      </c>
      <c r="EK1515">
        <v>0</v>
      </c>
      <c r="EP1515" t="s">
        <v>421</v>
      </c>
      <c r="EQ1515" t="s">
        <v>422</v>
      </c>
      <c r="ER1515">
        <v>0</v>
      </c>
      <c r="ES1515">
        <v>2</v>
      </c>
      <c r="ET1515">
        <v>0</v>
      </c>
      <c r="EU1515">
        <v>0</v>
      </c>
      <c r="EV1515">
        <v>0</v>
      </c>
      <c r="EW1515" s="2">
        <v>43222</v>
      </c>
      <c r="EX1515" s="1">
        <v>42515</v>
      </c>
      <c r="EY1515">
        <v>2015</v>
      </c>
      <c r="EZ1515">
        <v>65.7</v>
      </c>
      <c r="FA1515" t="s">
        <v>15333</v>
      </c>
      <c r="FB1515">
        <v>17.75</v>
      </c>
      <c r="FC1515" t="s">
        <v>424</v>
      </c>
      <c r="FD1515" t="s">
        <v>425</v>
      </c>
      <c r="FE1515" s="1">
        <v>42703</v>
      </c>
      <c r="FF1515">
        <v>6</v>
      </c>
      <c r="FG1515">
        <v>10125</v>
      </c>
      <c r="FH1515" t="s">
        <v>440</v>
      </c>
      <c r="FJ1515" s="1">
        <v>42151</v>
      </c>
      <c r="FK1515">
        <v>2014</v>
      </c>
      <c r="FL1515">
        <v>65.92</v>
      </c>
      <c r="FM1515" t="s">
        <v>15334</v>
      </c>
      <c r="FN1515">
        <v>17.75</v>
      </c>
      <c r="FO1515" t="s">
        <v>424</v>
      </c>
      <c r="FP1515" t="s">
        <v>425</v>
      </c>
      <c r="FQ1515" s="1">
        <v>42703</v>
      </c>
      <c r="FR1515">
        <v>18</v>
      </c>
      <c r="FS1515">
        <v>10125</v>
      </c>
      <c r="FT1515" t="s">
        <v>440</v>
      </c>
    </row>
    <row r="1516" spans="1:248" x14ac:dyDescent="0.25">
      <c r="A1516">
        <v>16486523</v>
      </c>
      <c r="B1516">
        <v>1515</v>
      </c>
      <c r="C1516" t="s">
        <v>393</v>
      </c>
      <c r="D1516" t="s">
        <v>394</v>
      </c>
      <c r="F1516" t="str">
        <f>"27-2N-28-141A-0004-0010"</f>
        <v>27-2N-28-141A-0004-0010</v>
      </c>
      <c r="H1516" t="str">
        <f>"CARTRETTE GARY &amp; JENNIFER L"</f>
        <v>CARTRETTE GARY &amp; JENNIFER L</v>
      </c>
      <c r="I1516" t="str">
        <f>"96029 PARLIAMENT DRIVE"</f>
        <v>96029 PARLIAMENT DRIVE</v>
      </c>
      <c r="J1516" t="str">
        <f>"FERNANDINA BEACH FL 32034"</f>
        <v>FERNANDINA BEACH FL 32034</v>
      </c>
      <c r="K1516" t="str">
        <f>"96029 PARLIAMENT DR"</f>
        <v>96029 PARLIAMENT DR</v>
      </c>
      <c r="L1516" t="str">
        <f t="shared" ref="L1516:L1547" si="538">"FERNANDINA BEACH FL 32034"</f>
        <v>FERNANDINA BEACH FL 32034</v>
      </c>
      <c r="M1516" t="str">
        <f>"BLOCK 4 LOT 1 IN OR 1309/1560 &amp; OR 1424/1650 NASSAU LAKES PB 5/70"</f>
        <v>BLOCK 4 LOT 1 IN OR 1309/1560 &amp; OR 1424/1650 NASSAU LAKES PB 5/70</v>
      </c>
      <c r="N1516" t="str">
        <f>""</f>
        <v/>
      </c>
      <c r="O1516" t="str">
        <f>"37611"</f>
        <v>37611</v>
      </c>
      <c r="P1516" t="str">
        <f t="shared" si="514"/>
        <v>2017</v>
      </c>
      <c r="Q1516" t="str">
        <f>""</f>
        <v/>
      </c>
      <c r="R1516" t="str">
        <f>"Y"</f>
        <v>Y</v>
      </c>
      <c r="S1516" t="str">
        <f>""</f>
        <v/>
      </c>
      <c r="T1516" t="str">
        <f>"1249.31"</f>
        <v>1249.31</v>
      </c>
      <c r="U1516" t="str">
        <f>"121628.00"</f>
        <v>121628.00</v>
      </c>
      <c r="V1516" t="str">
        <f>"121628.00"</f>
        <v>121628.00</v>
      </c>
      <c r="W1516" t="str">
        <f t="shared" si="515"/>
        <v>2017</v>
      </c>
      <c r="X1516" t="str">
        <f>"16.00"</f>
        <v>16.00</v>
      </c>
      <c r="Y1516" t="str">
        <f>"1318.79"</f>
        <v>1318.79</v>
      </c>
      <c r="Z1516" t="str">
        <f>"25000.00"</f>
        <v>25000.00</v>
      </c>
      <c r="AA1516" t="str">
        <f>"96628.00"</f>
        <v>96628.00</v>
      </c>
      <c r="AB1516" t="str">
        <f t="shared" si="535"/>
        <v>Residential</v>
      </c>
      <c r="AC1516" t="str">
        <f t="shared" si="523"/>
        <v>0</v>
      </c>
      <c r="AD1516" t="str">
        <f>"4"</f>
        <v>4</v>
      </c>
      <c r="AE1516" t="str">
        <f>"WOOD (INCLUDE STEEL STUDS)"</f>
        <v>WOOD (INCLUDE STEEL STUDS)</v>
      </c>
      <c r="AF1516" t="str">
        <f>"001"</f>
        <v>001</v>
      </c>
      <c r="AG1516" t="str">
        <f t="shared" si="537"/>
        <v>FL</v>
      </c>
      <c r="AH1516" t="str">
        <f>"-"</f>
        <v>-</v>
      </c>
      <c r="AI1516" t="str">
        <f>"50000.00"</f>
        <v>50000.00</v>
      </c>
      <c r="AJ1516" t="str">
        <f>"C55-000-587-4972-2"</f>
        <v>C55-000-587-4972-2</v>
      </c>
      <c r="AK1516" t="str">
        <f>"26988"</f>
        <v>26988</v>
      </c>
      <c r="AL1516">
        <v>6</v>
      </c>
      <c r="AM1516">
        <v>1734</v>
      </c>
      <c r="AN1516">
        <v>1383.13</v>
      </c>
      <c r="AQ1516" t="s">
        <v>15335</v>
      </c>
      <c r="AR1516" t="s">
        <v>15335</v>
      </c>
      <c r="AS1516" t="s">
        <v>15335</v>
      </c>
      <c r="AU1516" t="s">
        <v>396</v>
      </c>
      <c r="AV1516">
        <v>2017</v>
      </c>
      <c r="AW1516" t="str">
        <f>"27-2N-28-141A-0004-0010 "</f>
        <v xml:space="preserve">27-2N-28-141A-0004-0010 </v>
      </c>
      <c r="AX1516">
        <v>96029</v>
      </c>
      <c r="AZ1516" t="s">
        <v>15336</v>
      </c>
      <c r="BA1516" t="s">
        <v>669</v>
      </c>
      <c r="BD1516" t="s">
        <v>11749</v>
      </c>
      <c r="BE1516" t="s">
        <v>393</v>
      </c>
      <c r="BF1516">
        <v>32034</v>
      </c>
      <c r="BG1516" t="s">
        <v>15337</v>
      </c>
      <c r="BH1516" t="s">
        <v>11751</v>
      </c>
      <c r="BI1516">
        <v>-81.526524837382695</v>
      </c>
      <c r="BJ1516">
        <v>30.611477566557902</v>
      </c>
      <c r="BK1516" t="s">
        <v>15338</v>
      </c>
      <c r="BL1516" t="s">
        <v>15339</v>
      </c>
      <c r="BM1516" t="s">
        <v>15337</v>
      </c>
      <c r="BN1516" t="s">
        <v>3983</v>
      </c>
      <c r="BO1516">
        <v>32034</v>
      </c>
      <c r="BP1516" t="s">
        <v>416</v>
      </c>
      <c r="BQ1516">
        <v>100</v>
      </c>
      <c r="BR1516" t="s">
        <v>514</v>
      </c>
      <c r="BS1516">
        <v>1001</v>
      </c>
      <c r="BT1516" t="s">
        <v>515</v>
      </c>
      <c r="BW1516">
        <v>31571</v>
      </c>
      <c r="BX1516" t="s">
        <v>407</v>
      </c>
      <c r="BY1516" t="s">
        <v>3019</v>
      </c>
      <c r="BZ1516">
        <v>4</v>
      </c>
      <c r="CA1516">
        <v>1992</v>
      </c>
      <c r="CB1516">
        <v>1</v>
      </c>
      <c r="CC1516">
        <v>1</v>
      </c>
      <c r="CD1516">
        <v>2017</v>
      </c>
      <c r="CG1516">
        <v>121628</v>
      </c>
      <c r="CH1516">
        <v>2017</v>
      </c>
      <c r="CI1516">
        <v>50000</v>
      </c>
      <c r="CJ1516">
        <v>118934</v>
      </c>
      <c r="CK1516">
        <v>168934</v>
      </c>
      <c r="CL1516">
        <v>2017</v>
      </c>
      <c r="CM1516">
        <v>1249.31</v>
      </c>
      <c r="CN1516" s="1">
        <v>38898</v>
      </c>
      <c r="CV1516">
        <v>70000</v>
      </c>
      <c r="CX1516" t="s">
        <v>15340</v>
      </c>
      <c r="CZ1516" s="1">
        <v>38898</v>
      </c>
      <c r="DA1516">
        <v>0</v>
      </c>
      <c r="DD1516" t="s">
        <v>11749</v>
      </c>
      <c r="DF1516">
        <v>1</v>
      </c>
      <c r="DG1516">
        <v>27</v>
      </c>
      <c r="DJ1516" t="s">
        <v>15341</v>
      </c>
      <c r="DL1516">
        <v>50303</v>
      </c>
      <c r="DM1516" t="s">
        <v>15260</v>
      </c>
      <c r="DO1516" t="s">
        <v>15342</v>
      </c>
      <c r="DP1516">
        <v>0</v>
      </c>
      <c r="DQ1516">
        <v>0</v>
      </c>
      <c r="DR1516" t="s">
        <v>411</v>
      </c>
      <c r="EP1516" t="s">
        <v>421</v>
      </c>
      <c r="EQ1516" t="s">
        <v>422</v>
      </c>
      <c r="ER1516">
        <v>0</v>
      </c>
      <c r="ES1516">
        <v>1</v>
      </c>
      <c r="ET1516">
        <v>0</v>
      </c>
      <c r="EU1516">
        <v>0</v>
      </c>
      <c r="EV1516">
        <v>0</v>
      </c>
      <c r="EW1516" s="2">
        <v>43222</v>
      </c>
      <c r="EX1516" s="1">
        <v>40688</v>
      </c>
      <c r="EY1516">
        <v>2010</v>
      </c>
      <c r="EZ1516">
        <v>1208.6199999999999</v>
      </c>
      <c r="FA1516" t="s">
        <v>15343</v>
      </c>
      <c r="FB1516">
        <v>0.25</v>
      </c>
      <c r="FC1516" t="s">
        <v>424</v>
      </c>
      <c r="FD1516" t="s">
        <v>425</v>
      </c>
      <c r="FE1516" s="1">
        <v>41164</v>
      </c>
      <c r="FF1516">
        <v>16</v>
      </c>
      <c r="FG1516">
        <v>11289</v>
      </c>
      <c r="FH1516" t="s">
        <v>787</v>
      </c>
    </row>
    <row r="1517" spans="1:248" x14ac:dyDescent="0.25">
      <c r="A1517">
        <v>16486524</v>
      </c>
      <c r="B1517">
        <v>1516</v>
      </c>
      <c r="C1517" t="s">
        <v>393</v>
      </c>
      <c r="D1517" t="s">
        <v>394</v>
      </c>
      <c r="F1517" t="str">
        <f>"28-2N-28-0000-0002-0000"</f>
        <v>28-2N-28-0000-0002-0000</v>
      </c>
      <c r="H1517" t="str">
        <f>"HEAPE BARBARA L"</f>
        <v>HEAPE BARBARA L</v>
      </c>
      <c r="I1517" t="str">
        <f>"95139 RANCH WAY"</f>
        <v>95139 RANCH WAY</v>
      </c>
      <c r="J1517" t="str">
        <f>"FERNANDINA BEACH FL 32034"</f>
        <v>FERNANDINA BEACH FL 32034</v>
      </c>
      <c r="K1517" t="str">
        <f>"95139 RANCH WAY"</f>
        <v>95139 RANCH WAY</v>
      </c>
      <c r="L1517" t="str">
        <f t="shared" si="538"/>
        <v>FERNANDINA BEACH FL 32034</v>
      </c>
      <c r="M1517" t="str">
        <f>"PT FRAC SEC 28-2N-28E PT OR 696/574 ESMT PT OR 518/810 {1985 DUTCH DW/MH}"</f>
        <v>PT FRAC SEC 28-2N-28E PT OR 696/574 ESMT PT OR 518/810 {1985 DUTCH DW/MH}</v>
      </c>
      <c r="N1517" t="str">
        <f>""</f>
        <v/>
      </c>
      <c r="O1517" t="str">
        <f>"38212"</f>
        <v>38212</v>
      </c>
      <c r="P1517" t="str">
        <f t="shared" si="514"/>
        <v>2017</v>
      </c>
      <c r="Q1517" t="str">
        <f>""</f>
        <v/>
      </c>
      <c r="R1517" t="str">
        <f>"Y"</f>
        <v>Y</v>
      </c>
      <c r="S1517" t="str">
        <f>"3.50"</f>
        <v>3.50</v>
      </c>
      <c r="T1517" t="str">
        <f>"1275.07"</f>
        <v>1275.07</v>
      </c>
      <c r="U1517" t="str">
        <f>"108341.00"</f>
        <v>108341.00</v>
      </c>
      <c r="V1517" t="str">
        <f>"108341.00"</f>
        <v>108341.00</v>
      </c>
      <c r="W1517" t="str">
        <f t="shared" si="515"/>
        <v>2017</v>
      </c>
      <c r="X1517" t="str">
        <f>"11.00"</f>
        <v>11.00</v>
      </c>
      <c r="Y1517" t="str">
        <f>"1345.32"</f>
        <v>1345.32</v>
      </c>
      <c r="Z1517" t="str">
        <f>"25500.00"</f>
        <v>25500.00</v>
      </c>
      <c r="AA1517" t="str">
        <f>"90341.00"</f>
        <v>90341.00</v>
      </c>
      <c r="AB1517" t="str">
        <f t="shared" si="535"/>
        <v>Residential</v>
      </c>
      <c r="AC1517" t="str">
        <f t="shared" si="523"/>
        <v>0</v>
      </c>
      <c r="AD1517" t="str">
        <f>"4"</f>
        <v>4</v>
      </c>
      <c r="AE1517" t="str">
        <f>"WOOD (INCLUDE STEEL STUDS)"</f>
        <v>WOOD (INCLUDE STEEL STUDS)</v>
      </c>
      <c r="AF1517" t="str">
        <f>"002"</f>
        <v>002</v>
      </c>
      <c r="AG1517" t="str">
        <f t="shared" si="537"/>
        <v>FL</v>
      </c>
      <c r="AH1517" t="str">
        <f>"152460.00"</f>
        <v>152460.00</v>
      </c>
      <c r="AI1517" t="str">
        <f>"87500.00"</f>
        <v>87500.00</v>
      </c>
      <c r="AJ1517" t="str">
        <f>"C55-000-587-5353-4"</f>
        <v>C55-000-587-5353-4</v>
      </c>
      <c r="AK1517" t="str">
        <f>"27136"</f>
        <v>27136</v>
      </c>
      <c r="AL1517">
        <v>6</v>
      </c>
      <c r="AM1517">
        <v>1735</v>
      </c>
      <c r="AN1517">
        <v>1410.99</v>
      </c>
      <c r="AQ1517" t="s">
        <v>15344</v>
      </c>
      <c r="AR1517" t="s">
        <v>15344</v>
      </c>
      <c r="AS1517" t="s">
        <v>15344</v>
      </c>
      <c r="AU1517" t="s">
        <v>396</v>
      </c>
      <c r="AV1517">
        <v>2017</v>
      </c>
      <c r="AW1517" t="str">
        <f>"28-2N-28-0000-0002-0000 "</f>
        <v xml:space="preserve">28-2N-28-0000-0002-0000 </v>
      </c>
      <c r="AX1517">
        <v>95139</v>
      </c>
      <c r="AZ1517" t="s">
        <v>15345</v>
      </c>
      <c r="BA1517" t="s">
        <v>866</v>
      </c>
      <c r="BD1517" t="s">
        <v>11749</v>
      </c>
      <c r="BE1517" t="s">
        <v>393</v>
      </c>
      <c r="BF1517">
        <v>32034</v>
      </c>
      <c r="BG1517" t="s">
        <v>15346</v>
      </c>
      <c r="BH1517" t="s">
        <v>11751</v>
      </c>
      <c r="BI1517">
        <v>-81.511289357631696</v>
      </c>
      <c r="BJ1517">
        <v>30.590201314741702</v>
      </c>
      <c r="BK1517" t="s">
        <v>15347</v>
      </c>
      <c r="BM1517" t="s">
        <v>15346</v>
      </c>
      <c r="BN1517" t="s">
        <v>3983</v>
      </c>
      <c r="BO1517">
        <v>32034</v>
      </c>
      <c r="BP1517" t="s">
        <v>416</v>
      </c>
      <c r="BQ1517">
        <v>200</v>
      </c>
      <c r="BR1517" t="s">
        <v>405</v>
      </c>
      <c r="BS1517">
        <v>1006</v>
      </c>
      <c r="BT1517" t="s">
        <v>406</v>
      </c>
      <c r="BW1517">
        <v>152460</v>
      </c>
      <c r="BX1517" t="s">
        <v>407</v>
      </c>
      <c r="BY1517" t="s">
        <v>408</v>
      </c>
      <c r="BZ1517">
        <v>4</v>
      </c>
      <c r="CA1517">
        <v>1985</v>
      </c>
      <c r="CB1517">
        <v>1</v>
      </c>
      <c r="CC1517">
        <v>2</v>
      </c>
      <c r="CD1517">
        <v>2017</v>
      </c>
      <c r="CG1517">
        <v>115841</v>
      </c>
      <c r="CH1517">
        <v>2017</v>
      </c>
      <c r="CI1517">
        <v>87500</v>
      </c>
      <c r="CJ1517">
        <v>34665</v>
      </c>
      <c r="CK1517">
        <v>122165</v>
      </c>
      <c r="CL1517">
        <v>2017</v>
      </c>
      <c r="CM1517">
        <v>1275.07</v>
      </c>
      <c r="CN1517" s="1">
        <v>34347</v>
      </c>
      <c r="CZ1517" s="1">
        <v>34347</v>
      </c>
      <c r="DD1517" t="s">
        <v>11749</v>
      </c>
      <c r="DG1517">
        <v>28</v>
      </c>
      <c r="DL1517">
        <v>50303</v>
      </c>
      <c r="DM1517" t="s">
        <v>15348</v>
      </c>
      <c r="DO1517" t="s">
        <v>15349</v>
      </c>
      <c r="DP1517">
        <v>0</v>
      </c>
      <c r="DQ1517">
        <v>0</v>
      </c>
      <c r="DR1517" t="s">
        <v>411</v>
      </c>
      <c r="DS1517" t="b">
        <v>1</v>
      </c>
      <c r="DT1517" t="s">
        <v>470</v>
      </c>
      <c r="DU1517" t="s">
        <v>10249</v>
      </c>
      <c r="DV1517" t="s">
        <v>472</v>
      </c>
      <c r="DX1517">
        <v>-9999</v>
      </c>
      <c r="DZ1517" t="s">
        <v>447</v>
      </c>
      <c r="EA1517" t="s">
        <v>448</v>
      </c>
      <c r="EB1517" t="s">
        <v>14895</v>
      </c>
      <c r="EC1517">
        <v>20101217</v>
      </c>
      <c r="ED1517" t="s">
        <v>10251</v>
      </c>
      <c r="EE1517">
        <v>5</v>
      </c>
      <c r="EF1517">
        <v>598.5</v>
      </c>
      <c r="EG1517">
        <v>0</v>
      </c>
      <c r="EI1517">
        <v>20160407</v>
      </c>
      <c r="EJ1517">
        <v>0</v>
      </c>
      <c r="EK1517">
        <v>0</v>
      </c>
      <c r="EP1517" t="s">
        <v>421</v>
      </c>
      <c r="EQ1517" t="s">
        <v>422</v>
      </c>
      <c r="ER1517">
        <v>2</v>
      </c>
      <c r="ES1517">
        <v>2</v>
      </c>
      <c r="ET1517">
        <v>2609.7600000000002</v>
      </c>
      <c r="EU1517">
        <v>142.99</v>
      </c>
      <c r="EV1517">
        <v>2752.75</v>
      </c>
      <c r="EW1517" s="2">
        <v>43222</v>
      </c>
      <c r="EX1517" s="1">
        <v>42879</v>
      </c>
      <c r="EY1517">
        <v>2016</v>
      </c>
      <c r="EZ1517">
        <v>1304.8800000000001</v>
      </c>
      <c r="FA1517" t="s">
        <v>15350</v>
      </c>
      <c r="FB1517">
        <v>0.25</v>
      </c>
      <c r="FC1517" t="s">
        <v>424</v>
      </c>
      <c r="FD1517" t="s">
        <v>454</v>
      </c>
      <c r="FF1517">
        <v>12</v>
      </c>
      <c r="FG1517">
        <v>7400234</v>
      </c>
      <c r="FH1517" t="s">
        <v>426</v>
      </c>
      <c r="FJ1517" s="1">
        <v>42879</v>
      </c>
      <c r="FK1517">
        <v>2016</v>
      </c>
      <c r="FL1517">
        <v>1304.8800000000001</v>
      </c>
      <c r="FM1517" t="s">
        <v>15350</v>
      </c>
      <c r="FN1517">
        <v>0.25</v>
      </c>
      <c r="FO1517" t="s">
        <v>424</v>
      </c>
      <c r="FP1517" t="s">
        <v>454</v>
      </c>
      <c r="FR1517">
        <v>12</v>
      </c>
      <c r="FS1517">
        <v>7507428</v>
      </c>
      <c r="FT1517" t="s">
        <v>15351</v>
      </c>
      <c r="FV1517" s="1">
        <v>42515</v>
      </c>
      <c r="FW1517">
        <v>2015</v>
      </c>
      <c r="FX1517">
        <v>1389.89</v>
      </c>
      <c r="FY1517" t="s">
        <v>15352</v>
      </c>
      <c r="FZ1517">
        <v>0.25</v>
      </c>
      <c r="GA1517" t="s">
        <v>424</v>
      </c>
      <c r="GB1517" t="s">
        <v>425</v>
      </c>
      <c r="GC1517" s="1">
        <v>43153</v>
      </c>
      <c r="GD1517">
        <v>21</v>
      </c>
      <c r="GE1517">
        <v>2851116</v>
      </c>
      <c r="GF1517" t="s">
        <v>480</v>
      </c>
      <c r="GH1517" s="1">
        <v>42515</v>
      </c>
      <c r="GI1517">
        <v>2015</v>
      </c>
      <c r="GJ1517">
        <v>1389.89</v>
      </c>
      <c r="GK1517" t="s">
        <v>15352</v>
      </c>
      <c r="GL1517">
        <v>0.25</v>
      </c>
      <c r="GM1517" t="s">
        <v>424</v>
      </c>
      <c r="GN1517" t="s">
        <v>425</v>
      </c>
      <c r="GP1517">
        <v>22</v>
      </c>
      <c r="GQ1517">
        <v>5093707</v>
      </c>
      <c r="GR1517" t="s">
        <v>15353</v>
      </c>
    </row>
    <row r="1518" spans="1:248" x14ac:dyDescent="0.25">
      <c r="A1518">
        <v>16486525</v>
      </c>
      <c r="B1518">
        <v>1517</v>
      </c>
      <c r="C1518" t="s">
        <v>393</v>
      </c>
      <c r="D1518" t="s">
        <v>394</v>
      </c>
      <c r="F1518" t="str">
        <f>"29-2N-28-0000-0002-0040"</f>
        <v>29-2N-28-0000-0002-0040</v>
      </c>
      <c r="H1518" t="str">
        <f>"D R HORTON INC-JACKSONVILLE"</f>
        <v>D R HORTON INC-JACKSONVILLE</v>
      </c>
      <c r="I1518" t="str">
        <f>"4220 RACE TRACK RD STE 100"</f>
        <v>4220 RACE TRACK RD STE 100</v>
      </c>
      <c r="J1518" t="str">
        <f>"ST JOHNS FL 32259"</f>
        <v>ST JOHNS FL 32259</v>
      </c>
      <c r="K1518" t="str">
        <f>"AMELIA CONCOURSE"</f>
        <v>AMELIA CONCOURSE</v>
      </c>
      <c r="L1518" t="str">
        <f t="shared" si="538"/>
        <v>FERNANDINA BEACH FL 32034</v>
      </c>
      <c r="M1518" t="str">
        <f>"PT SEC 30-2N-28E PT OR 2010/1594 BEING PARCEL B"</f>
        <v>PT SEC 30-2N-28E PT OR 2010/1594 BEING PARCEL B</v>
      </c>
      <c r="N1518" t="str">
        <f>""</f>
        <v/>
      </c>
      <c r="O1518" t="str">
        <f>"56309"</f>
        <v>56309</v>
      </c>
      <c r="P1518" t="str">
        <f t="shared" si="514"/>
        <v>2017</v>
      </c>
      <c r="Q1518" t="str">
        <f>""</f>
        <v/>
      </c>
      <c r="R1518" t="str">
        <f>"N"</f>
        <v>N</v>
      </c>
      <c r="S1518" t="str">
        <f>"4.00"</f>
        <v>4.00</v>
      </c>
      <c r="T1518" t="str">
        <f>"1211.10"</f>
        <v>1211.10</v>
      </c>
      <c r="U1518" t="str">
        <f>"80000.00"</f>
        <v>80000.00</v>
      </c>
      <c r="V1518" t="str">
        <f>"80000.00"</f>
        <v>80000.00</v>
      </c>
      <c r="W1518" t="str">
        <f t="shared" si="515"/>
        <v>2017</v>
      </c>
      <c r="X1518" t="str">
        <f>""</f>
        <v/>
      </c>
      <c r="Y1518" t="str">
        <f>"1279.43"</f>
        <v>1279.43</v>
      </c>
      <c r="Z1518" t="str">
        <f>""</f>
        <v/>
      </c>
      <c r="AA1518" t="str">
        <f>"80000.00"</f>
        <v>80000.00</v>
      </c>
      <c r="AB1518" t="str">
        <f t="shared" si="535"/>
        <v>Residential</v>
      </c>
      <c r="AC1518" t="str">
        <f t="shared" si="523"/>
        <v>0</v>
      </c>
      <c r="AD1518" t="str">
        <f>""</f>
        <v/>
      </c>
      <c r="AE1518" t="str">
        <f>""</f>
        <v/>
      </c>
      <c r="AF1518" t="str">
        <f>"000"</f>
        <v>000</v>
      </c>
      <c r="AG1518" t="str">
        <f t="shared" si="537"/>
        <v>FL</v>
      </c>
      <c r="AH1518" t="str">
        <f>"174240.00"</f>
        <v>174240.00</v>
      </c>
      <c r="AI1518" t="str">
        <f>"80000.00"</f>
        <v>80000.00</v>
      </c>
      <c r="AJ1518" t="str">
        <f>"C55-001-080-5107-9"</f>
        <v>C55-001-080-5107-9</v>
      </c>
      <c r="AK1518" t="str">
        <f>"27157"</f>
        <v>27157</v>
      </c>
      <c r="AL1518">
        <v>6</v>
      </c>
      <c r="AM1518">
        <v>1736</v>
      </c>
      <c r="AN1518">
        <v>1341.8</v>
      </c>
      <c r="AQ1518" t="s">
        <v>15354</v>
      </c>
      <c r="AR1518" t="s">
        <v>15354</v>
      </c>
      <c r="AS1518" t="s">
        <v>15354</v>
      </c>
      <c r="AU1518" t="s">
        <v>396</v>
      </c>
      <c r="AV1518">
        <v>2017</v>
      </c>
      <c r="AW1518" t="str">
        <f>"29-2N-28-0000-0002-0040 "</f>
        <v xml:space="preserve">29-2N-28-0000-0002-0040 </v>
      </c>
      <c r="AZ1518" t="s">
        <v>11474</v>
      </c>
      <c r="BD1518" t="s">
        <v>11749</v>
      </c>
      <c r="BE1518" t="s">
        <v>393</v>
      </c>
      <c r="BF1518">
        <v>32034</v>
      </c>
      <c r="BG1518" t="s">
        <v>11474</v>
      </c>
      <c r="BH1518" t="s">
        <v>11751</v>
      </c>
      <c r="BI1518">
        <v>-81.523176500000005</v>
      </c>
      <c r="BJ1518">
        <v>30.594887</v>
      </c>
      <c r="BK1518" t="s">
        <v>15355</v>
      </c>
      <c r="BM1518" t="s">
        <v>15356</v>
      </c>
      <c r="BN1518" t="s">
        <v>15357</v>
      </c>
      <c r="BO1518">
        <v>32259</v>
      </c>
      <c r="BP1518" t="s">
        <v>404</v>
      </c>
      <c r="BQ1518">
        <v>0</v>
      </c>
      <c r="BR1518" t="s">
        <v>491</v>
      </c>
      <c r="BS1518">
        <v>8001</v>
      </c>
      <c r="BT1518" t="s">
        <v>492</v>
      </c>
      <c r="BW1518">
        <v>174240</v>
      </c>
      <c r="BX1518" t="s">
        <v>407</v>
      </c>
      <c r="CD1518">
        <v>2017</v>
      </c>
      <c r="CE1518">
        <v>80000</v>
      </c>
      <c r="CG1518">
        <v>80000</v>
      </c>
      <c r="CH1518">
        <v>2017</v>
      </c>
      <c r="CI1518">
        <v>80000</v>
      </c>
      <c r="CK1518">
        <v>80000</v>
      </c>
      <c r="CL1518">
        <v>2017</v>
      </c>
      <c r="CM1518">
        <v>1211.0999999999999</v>
      </c>
      <c r="CN1518" s="1">
        <v>42299</v>
      </c>
      <c r="CO1518">
        <v>1425500</v>
      </c>
      <c r="CZ1518" s="1">
        <v>42299</v>
      </c>
      <c r="DD1518" t="s">
        <v>11749</v>
      </c>
      <c r="DG1518">
        <v>29</v>
      </c>
      <c r="DM1518" t="s">
        <v>15358</v>
      </c>
      <c r="DO1518" t="s">
        <v>15359</v>
      </c>
      <c r="DP1518">
        <v>0</v>
      </c>
      <c r="DQ1518">
        <v>0</v>
      </c>
      <c r="DR1518" t="s">
        <v>411</v>
      </c>
    </row>
    <row r="1519" spans="1:248" x14ac:dyDescent="0.25">
      <c r="A1519">
        <v>16486526</v>
      </c>
      <c r="B1519">
        <v>1518</v>
      </c>
      <c r="C1519" t="s">
        <v>393</v>
      </c>
      <c r="D1519" t="s">
        <v>394</v>
      </c>
      <c r="F1519" t="str">
        <f>"29-2N-28-4950-0020-0000"</f>
        <v>29-2N-28-4950-0020-0000</v>
      </c>
      <c r="H1519" t="str">
        <f>"BOONE DANIEL LEE &amp; SHIRLEY ANN"</f>
        <v>BOONE DANIEL LEE &amp; SHIRLEY ANN</v>
      </c>
      <c r="I1519" t="str">
        <f>"95199 MARC ANTHONY ROAD"</f>
        <v>95199 MARC ANTHONY ROAD</v>
      </c>
      <c r="J1519" t="str">
        <f>"FERNANDINA BEACH FL 32034"</f>
        <v>FERNANDINA BEACH FL 32034</v>
      </c>
      <c r="K1519" t="str">
        <f>"95199 MARC ANTHONY RD"</f>
        <v>95199 MARC ANTHONY RD</v>
      </c>
      <c r="L1519" t="str">
        <f t="shared" si="538"/>
        <v>FERNANDINA BEACH FL 32034</v>
      </c>
      <c r="M1519" t="str">
        <f>"LOTS 20 &amp; 21 IN OR 703 PG 1353 R788167 &amp; R788168 ESMT IN OR 361 PG 543 EX R/W OR 400/807 SUB OF GOV LOT 2 UNR"</f>
        <v>LOTS 20 &amp; 21 IN OR 703 PG 1353 R788167 &amp; R788168 ESMT IN OR 361 PG 543 EX R/W OR 400/807 SUB OF GOV LOT 2 UNR</v>
      </c>
      <c r="N1519" t="str">
        <f>""</f>
        <v/>
      </c>
      <c r="O1519" t="str">
        <f>"38893"</f>
        <v>38893</v>
      </c>
      <c r="P1519" t="str">
        <f t="shared" si="514"/>
        <v>2017</v>
      </c>
      <c r="Q1519" t="str">
        <f>""</f>
        <v/>
      </c>
      <c r="R1519" t="str">
        <f>"Y"</f>
        <v>Y</v>
      </c>
      <c r="S1519" t="str">
        <f>"2.08"</f>
        <v>2.08</v>
      </c>
      <c r="T1519" t="str">
        <f>"604.78"</f>
        <v>604.78</v>
      </c>
      <c r="U1519" t="str">
        <f>"79054.00"</f>
        <v>79054.00</v>
      </c>
      <c r="V1519" t="str">
        <f>"79054.00"</f>
        <v>79054.00</v>
      </c>
      <c r="W1519" t="str">
        <f t="shared" si="515"/>
        <v>2017</v>
      </c>
      <c r="X1519" t="str">
        <f>"26.53"</f>
        <v>26.53</v>
      </c>
      <c r="Y1519" t="str">
        <f>"654.92"</f>
        <v>654.92</v>
      </c>
      <c r="Z1519" t="str">
        <f>"25000.00"</f>
        <v>25000.00</v>
      </c>
      <c r="AA1519" t="str">
        <f>"54054.00"</f>
        <v>54054.00</v>
      </c>
      <c r="AB1519" t="str">
        <f t="shared" si="535"/>
        <v>Residential</v>
      </c>
      <c r="AC1519" t="str">
        <f t="shared" si="523"/>
        <v>0</v>
      </c>
      <c r="AD1519" t="str">
        <f t="shared" ref="AD1519:AD1526" si="539">"4"</f>
        <v>4</v>
      </c>
      <c r="AE1519" t="str">
        <f t="shared" ref="AE1519:AE1526" si="540">"WOOD (INCLUDE STEEL STUDS)"</f>
        <v>WOOD (INCLUDE STEEL STUDS)</v>
      </c>
      <c r="AF1519" t="str">
        <f>"002"</f>
        <v>002</v>
      </c>
      <c r="AG1519" t="str">
        <f t="shared" si="537"/>
        <v>FL</v>
      </c>
      <c r="AH1519" t="str">
        <f>"90604.00"</f>
        <v>90604.00</v>
      </c>
      <c r="AI1519" t="str">
        <f>"52000.00"</f>
        <v>52000.00</v>
      </c>
      <c r="AJ1519" t="str">
        <f>"C55-000-587-5878-0"</f>
        <v>C55-000-587-5878-0</v>
      </c>
      <c r="AK1519" t="str">
        <f>"27518"</f>
        <v>27518</v>
      </c>
      <c r="AL1519">
        <v>6</v>
      </c>
      <c r="AM1519">
        <v>1737</v>
      </c>
      <c r="AN1519">
        <v>686.07</v>
      </c>
      <c r="AQ1519" t="s">
        <v>15360</v>
      </c>
      <c r="AR1519" t="s">
        <v>15360</v>
      </c>
      <c r="AS1519" t="s">
        <v>15360</v>
      </c>
      <c r="AU1519" t="s">
        <v>396</v>
      </c>
      <c r="AV1519">
        <v>2017</v>
      </c>
      <c r="AW1519" t="str">
        <f>"29-2N-28-4950-0020-0000 "</f>
        <v xml:space="preserve">29-2N-28-4950-0020-0000 </v>
      </c>
      <c r="AX1519">
        <v>95199</v>
      </c>
      <c r="AZ1519" t="s">
        <v>15361</v>
      </c>
      <c r="BA1519" t="s">
        <v>496</v>
      </c>
      <c r="BD1519" t="s">
        <v>11749</v>
      </c>
      <c r="BE1519" t="s">
        <v>393</v>
      </c>
      <c r="BF1519">
        <v>32034</v>
      </c>
      <c r="BG1519" t="s">
        <v>15362</v>
      </c>
      <c r="BH1519" t="s">
        <v>11751</v>
      </c>
      <c r="BI1519">
        <v>-81.519737704572805</v>
      </c>
      <c r="BJ1519">
        <v>30.597012824128001</v>
      </c>
      <c r="BK1519" t="s">
        <v>15363</v>
      </c>
      <c r="BL1519" t="s">
        <v>15364</v>
      </c>
      <c r="BM1519" t="s">
        <v>15362</v>
      </c>
      <c r="BN1519" t="s">
        <v>3983</v>
      </c>
      <c r="BO1519">
        <v>32034</v>
      </c>
      <c r="BP1519" t="s">
        <v>416</v>
      </c>
      <c r="BQ1519">
        <v>200</v>
      </c>
      <c r="BR1519" t="s">
        <v>405</v>
      </c>
      <c r="BS1519">
        <v>1006</v>
      </c>
      <c r="BT1519" t="s">
        <v>406</v>
      </c>
      <c r="BW1519">
        <v>90604</v>
      </c>
      <c r="BX1519" t="s">
        <v>407</v>
      </c>
      <c r="BY1519" t="s">
        <v>408</v>
      </c>
      <c r="BZ1519">
        <v>4</v>
      </c>
      <c r="CA1519">
        <v>1998</v>
      </c>
      <c r="CB1519">
        <v>1</v>
      </c>
      <c r="CC1519">
        <v>1</v>
      </c>
      <c r="CD1519">
        <v>2017</v>
      </c>
      <c r="CG1519">
        <v>79054</v>
      </c>
      <c r="CH1519">
        <v>2017</v>
      </c>
      <c r="CI1519">
        <v>52000</v>
      </c>
      <c r="CJ1519">
        <v>43864</v>
      </c>
      <c r="CK1519">
        <v>95864</v>
      </c>
      <c r="CL1519">
        <v>2017</v>
      </c>
      <c r="CM1519">
        <v>604.78</v>
      </c>
      <c r="CN1519" s="1">
        <v>34457</v>
      </c>
      <c r="CO1519">
        <v>40000</v>
      </c>
      <c r="CZ1519" s="1">
        <v>34457</v>
      </c>
      <c r="DD1519" t="s">
        <v>11749</v>
      </c>
      <c r="DG1519">
        <v>29</v>
      </c>
      <c r="DL1519">
        <v>50303</v>
      </c>
      <c r="DM1519" t="s">
        <v>15358</v>
      </c>
      <c r="DO1519" t="s">
        <v>15365</v>
      </c>
      <c r="DP1519">
        <v>0</v>
      </c>
      <c r="DQ1519">
        <v>0</v>
      </c>
      <c r="DR1519" t="s">
        <v>411</v>
      </c>
      <c r="DS1519" t="b">
        <v>1</v>
      </c>
      <c r="DT1519" t="s">
        <v>470</v>
      </c>
      <c r="DU1519" t="s">
        <v>471</v>
      </c>
      <c r="DV1519" t="s">
        <v>472</v>
      </c>
      <c r="DX1519">
        <v>-9999</v>
      </c>
      <c r="DZ1519" t="s">
        <v>447</v>
      </c>
      <c r="EA1519" t="s">
        <v>448</v>
      </c>
      <c r="EB1519" t="s">
        <v>742</v>
      </c>
      <c r="EC1519">
        <v>20101217</v>
      </c>
      <c r="ED1519" t="s">
        <v>474</v>
      </c>
      <c r="EF1519">
        <v>972.8</v>
      </c>
      <c r="EG1519">
        <v>348.5</v>
      </c>
      <c r="EI1519">
        <v>20160407</v>
      </c>
      <c r="EJ1519">
        <v>0</v>
      </c>
      <c r="EK1519">
        <v>0</v>
      </c>
      <c r="EP1519" t="s">
        <v>421</v>
      </c>
      <c r="EQ1519" t="s">
        <v>422</v>
      </c>
      <c r="ER1519">
        <v>2</v>
      </c>
      <c r="ES1519">
        <v>6</v>
      </c>
      <c r="ET1519">
        <v>1498.14</v>
      </c>
      <c r="EU1519">
        <v>87.41</v>
      </c>
      <c r="EV1519">
        <v>1585.55</v>
      </c>
      <c r="EW1519" s="2">
        <v>43222</v>
      </c>
      <c r="EX1519" s="1">
        <v>42879</v>
      </c>
      <c r="EY1519">
        <v>2016</v>
      </c>
      <c r="EZ1519">
        <v>749.07</v>
      </c>
      <c r="FA1519" t="s">
        <v>15366</v>
      </c>
      <c r="FB1519">
        <v>0.25</v>
      </c>
      <c r="FC1519" t="s">
        <v>424</v>
      </c>
      <c r="FD1519" t="s">
        <v>454</v>
      </c>
      <c r="FF1519">
        <v>12</v>
      </c>
      <c r="FG1519">
        <v>7400234</v>
      </c>
      <c r="FH1519" t="s">
        <v>426</v>
      </c>
      <c r="FJ1519" s="1">
        <v>42879</v>
      </c>
      <c r="FK1519">
        <v>2016</v>
      </c>
      <c r="FL1519">
        <v>749.07</v>
      </c>
      <c r="FM1519" t="s">
        <v>15366</v>
      </c>
      <c r="FN1519">
        <v>0.25</v>
      </c>
      <c r="FO1519" t="s">
        <v>424</v>
      </c>
      <c r="FP1519" t="s">
        <v>454</v>
      </c>
      <c r="FR1519">
        <v>12</v>
      </c>
      <c r="FS1519">
        <v>7422795</v>
      </c>
      <c r="FT1519" t="s">
        <v>15367</v>
      </c>
      <c r="FV1519" s="1">
        <v>42515</v>
      </c>
      <c r="FW1519">
        <v>2015</v>
      </c>
      <c r="FX1519">
        <v>757.09</v>
      </c>
      <c r="FY1519" t="s">
        <v>15368</v>
      </c>
      <c r="FZ1519">
        <v>0.25</v>
      </c>
      <c r="GA1519" t="s">
        <v>424</v>
      </c>
      <c r="GB1519" t="s">
        <v>425</v>
      </c>
      <c r="GC1519" s="1">
        <v>42664</v>
      </c>
      <c r="GD1519">
        <v>5</v>
      </c>
      <c r="GE1519">
        <v>2851116</v>
      </c>
      <c r="GF1519" t="s">
        <v>480</v>
      </c>
      <c r="GH1519" s="1">
        <v>42515</v>
      </c>
      <c r="GI1519">
        <v>2015</v>
      </c>
      <c r="GJ1519">
        <v>757.09</v>
      </c>
      <c r="GK1519" t="s">
        <v>15368</v>
      </c>
      <c r="GL1519">
        <v>0.25</v>
      </c>
      <c r="GM1519" t="s">
        <v>424</v>
      </c>
      <c r="GN1519" t="s">
        <v>425</v>
      </c>
      <c r="GP1519">
        <v>22</v>
      </c>
      <c r="GQ1519">
        <v>5289407</v>
      </c>
      <c r="GR1519" t="s">
        <v>15369</v>
      </c>
      <c r="GT1519" s="1">
        <v>42151</v>
      </c>
      <c r="GU1519">
        <v>2014</v>
      </c>
      <c r="GV1519">
        <v>750.44</v>
      </c>
      <c r="GW1519" t="s">
        <v>15370</v>
      </c>
      <c r="GX1519">
        <v>0.25</v>
      </c>
      <c r="GY1519" t="s">
        <v>424</v>
      </c>
      <c r="GZ1519" t="s">
        <v>425</v>
      </c>
      <c r="HA1519" s="1">
        <v>42664</v>
      </c>
      <c r="HB1519">
        <v>17</v>
      </c>
      <c r="HC1519">
        <v>4975594</v>
      </c>
      <c r="HD1519" t="s">
        <v>457</v>
      </c>
      <c r="HF1519" s="1">
        <v>42151</v>
      </c>
      <c r="HG1519">
        <v>2014</v>
      </c>
      <c r="HH1519">
        <v>750.44</v>
      </c>
      <c r="HI1519" t="s">
        <v>15370</v>
      </c>
      <c r="HJ1519">
        <v>0.25</v>
      </c>
      <c r="HK1519" t="s">
        <v>424</v>
      </c>
      <c r="HL1519" t="s">
        <v>425</v>
      </c>
      <c r="HN1519">
        <v>22</v>
      </c>
      <c r="HO1519">
        <v>6498596</v>
      </c>
      <c r="HP1519" t="s">
        <v>15371</v>
      </c>
      <c r="HR1519" s="1">
        <v>41787</v>
      </c>
      <c r="HS1519">
        <v>2013</v>
      </c>
      <c r="HT1519">
        <v>818.49</v>
      </c>
      <c r="HU1519" t="s">
        <v>15372</v>
      </c>
      <c r="HV1519">
        <v>0.25</v>
      </c>
      <c r="HW1519" t="s">
        <v>424</v>
      </c>
      <c r="HX1519" t="s">
        <v>425</v>
      </c>
      <c r="HY1519" s="1">
        <v>42426</v>
      </c>
      <c r="HZ1519">
        <v>21</v>
      </c>
      <c r="IA1519">
        <v>2407503</v>
      </c>
      <c r="IB1519" t="s">
        <v>461</v>
      </c>
      <c r="ID1519" s="1">
        <v>41052</v>
      </c>
      <c r="IE1519">
        <v>2011</v>
      </c>
      <c r="IF1519">
        <v>994.83</v>
      </c>
      <c r="IG1519" t="s">
        <v>15373</v>
      </c>
      <c r="IH1519">
        <v>4.25</v>
      </c>
      <c r="II1519" t="s">
        <v>424</v>
      </c>
      <c r="IJ1519" t="s">
        <v>425</v>
      </c>
      <c r="IK1519" s="1">
        <v>41698</v>
      </c>
      <c r="IL1519">
        <v>21</v>
      </c>
      <c r="IM1519">
        <v>12407</v>
      </c>
      <c r="IN1519" t="s">
        <v>838</v>
      </c>
    </row>
    <row r="1520" spans="1:248" x14ac:dyDescent="0.25">
      <c r="A1520">
        <v>16486527</v>
      </c>
      <c r="B1520">
        <v>1519</v>
      </c>
      <c r="C1520" t="s">
        <v>393</v>
      </c>
      <c r="D1520" t="s">
        <v>394</v>
      </c>
      <c r="F1520" t="str">
        <f>"30-2N-28-0150-0095-0000"</f>
        <v>30-2N-28-0150-0095-0000</v>
      </c>
      <c r="H1520" t="str">
        <f>"HICKOX EPHRIAM"</f>
        <v>HICKOX EPHRIAM</v>
      </c>
      <c r="I1520" t="str">
        <f>"85352 AMARYLLIS CT"</f>
        <v>85352 AMARYLLIS CT</v>
      </c>
      <c r="J1520" t="str">
        <f>"FERNANIDNA BEACH FL 32034"</f>
        <v>FERNANIDNA BEACH FL 32034</v>
      </c>
      <c r="K1520" t="str">
        <f>"85352 AMARYLLIS CT"</f>
        <v>85352 AMARYLLIS CT</v>
      </c>
      <c r="L1520" t="str">
        <f t="shared" si="538"/>
        <v>FERNANDINA BEACH FL 32034</v>
      </c>
      <c r="M1520" t="str">
        <f>"LOT 95 IN OR 1897/187 AMELIA CONCOURSE SUB 1 PB 7/183"</f>
        <v>LOT 95 IN OR 1897/187 AMELIA CONCOURSE SUB 1 PB 7/183</v>
      </c>
      <c r="N1520" t="str">
        <f>""</f>
        <v/>
      </c>
      <c r="O1520" t="str">
        <f>"39458"</f>
        <v>39458</v>
      </c>
      <c r="P1520" t="str">
        <f t="shared" si="514"/>
        <v>2017</v>
      </c>
      <c r="Q1520" t="str">
        <f>""</f>
        <v/>
      </c>
      <c r="R1520" t="str">
        <f>"Y"</f>
        <v>Y</v>
      </c>
      <c r="S1520" t="str">
        <f>""</f>
        <v/>
      </c>
      <c r="T1520" t="str">
        <f>"3993.63"</f>
        <v>3993.63</v>
      </c>
      <c r="U1520" t="str">
        <f>"174319.00"</f>
        <v>174319.00</v>
      </c>
      <c r="V1520" t="str">
        <f>"174319.00"</f>
        <v>174319.00</v>
      </c>
      <c r="W1520" t="str">
        <f t="shared" si="515"/>
        <v>2017</v>
      </c>
      <c r="X1520" t="str">
        <f>"13.00"</f>
        <v>13.00</v>
      </c>
      <c r="Y1520" t="str">
        <f>"4145.44"</f>
        <v>4145.44</v>
      </c>
      <c r="Z1520" t="str">
        <f>"25000.00"</f>
        <v>25000.00</v>
      </c>
      <c r="AA1520" t="str">
        <f>"149319.00"</f>
        <v>149319.00</v>
      </c>
      <c r="AB1520" t="str">
        <f t="shared" si="535"/>
        <v>Residential</v>
      </c>
      <c r="AC1520" t="str">
        <f t="shared" si="523"/>
        <v>0</v>
      </c>
      <c r="AD1520" t="str">
        <f t="shared" si="539"/>
        <v>4</v>
      </c>
      <c r="AE1520" t="str">
        <f t="shared" si="540"/>
        <v>WOOD (INCLUDE STEEL STUDS)</v>
      </c>
      <c r="AF1520" t="str">
        <f>"001"</f>
        <v>001</v>
      </c>
      <c r="AG1520" t="str">
        <f t="shared" si="537"/>
        <v>FL</v>
      </c>
      <c r="AH1520" t="str">
        <f>"-"</f>
        <v>-</v>
      </c>
      <c r="AI1520" t="str">
        <f>"36750.00"</f>
        <v>36750.00</v>
      </c>
      <c r="AJ1520" t="str">
        <f>"C55-000-988-2210-9"</f>
        <v>C55-000-988-2210-9</v>
      </c>
      <c r="AK1520" t="str">
        <f>"27617"</f>
        <v>27617</v>
      </c>
      <c r="AL1520">
        <v>6</v>
      </c>
      <c r="AM1520">
        <v>1738</v>
      </c>
      <c r="AN1520">
        <v>4351.1099999999997</v>
      </c>
      <c r="AQ1520" t="s">
        <v>15374</v>
      </c>
      <c r="AR1520" t="s">
        <v>15374</v>
      </c>
      <c r="AS1520" t="s">
        <v>15374</v>
      </c>
      <c r="AU1520" t="s">
        <v>396</v>
      </c>
      <c r="AV1520">
        <v>2017</v>
      </c>
      <c r="AW1520" t="str">
        <f>"30-2N-28-0150-0095-0000 "</f>
        <v xml:space="preserve">30-2N-28-0150-0095-0000 </v>
      </c>
      <c r="AX1520">
        <v>85352</v>
      </c>
      <c r="AZ1520" t="s">
        <v>15375</v>
      </c>
      <c r="BA1520" t="s">
        <v>3181</v>
      </c>
      <c r="BD1520" t="s">
        <v>11749</v>
      </c>
      <c r="BE1520" t="s">
        <v>393</v>
      </c>
      <c r="BF1520">
        <v>32034</v>
      </c>
      <c r="BG1520" t="s">
        <v>15376</v>
      </c>
      <c r="BH1520" t="s">
        <v>11751</v>
      </c>
      <c r="BI1520">
        <v>-81.538784826930296</v>
      </c>
      <c r="BJ1520">
        <v>30.593173509911701</v>
      </c>
      <c r="BK1520" t="s">
        <v>15377</v>
      </c>
      <c r="BL1520" t="s">
        <v>15378</v>
      </c>
      <c r="BM1520" t="s">
        <v>15376</v>
      </c>
      <c r="BN1520" t="s">
        <v>3983</v>
      </c>
      <c r="BO1520">
        <v>32034</v>
      </c>
      <c r="BP1520" t="s">
        <v>416</v>
      </c>
      <c r="BQ1520">
        <v>100</v>
      </c>
      <c r="BR1520" t="s">
        <v>514</v>
      </c>
      <c r="BS1520">
        <v>1001</v>
      </c>
      <c r="BT1520" t="s">
        <v>515</v>
      </c>
      <c r="BW1520">
        <v>9936</v>
      </c>
      <c r="BX1520" t="s">
        <v>407</v>
      </c>
      <c r="BY1520" t="s">
        <v>7351</v>
      </c>
      <c r="BZ1520">
        <v>4</v>
      </c>
      <c r="CA1520">
        <v>2013</v>
      </c>
      <c r="CB1520">
        <v>1</v>
      </c>
      <c r="CC1520">
        <v>1</v>
      </c>
      <c r="CD1520">
        <v>2017</v>
      </c>
      <c r="CE1520">
        <v>36750</v>
      </c>
      <c r="CF1520">
        <v>137569</v>
      </c>
      <c r="CG1520">
        <v>174319</v>
      </c>
      <c r="CH1520">
        <v>2017</v>
      </c>
      <c r="CI1520">
        <v>36750</v>
      </c>
      <c r="CJ1520">
        <v>137569</v>
      </c>
      <c r="CK1520">
        <v>174319</v>
      </c>
      <c r="CL1520">
        <v>2017</v>
      </c>
      <c r="CM1520">
        <v>3993.63</v>
      </c>
      <c r="CN1520" s="1">
        <v>43019</v>
      </c>
      <c r="CO1520">
        <v>220000</v>
      </c>
      <c r="CV1520">
        <v>0</v>
      </c>
      <c r="CZ1520" s="1">
        <v>43019</v>
      </c>
      <c r="DA1520">
        <v>0</v>
      </c>
      <c r="DD1520" t="s">
        <v>11749</v>
      </c>
      <c r="DF1520">
        <v>95</v>
      </c>
      <c r="DG1520">
        <v>30</v>
      </c>
      <c r="DJ1520" t="s">
        <v>11474</v>
      </c>
      <c r="DL1520">
        <v>50303</v>
      </c>
      <c r="DM1520" t="s">
        <v>15379</v>
      </c>
      <c r="DO1520" t="s">
        <v>15380</v>
      </c>
      <c r="DP1520">
        <v>0</v>
      </c>
      <c r="DQ1520">
        <v>0</v>
      </c>
      <c r="DR1520" t="s">
        <v>411</v>
      </c>
      <c r="EL1520" s="1">
        <v>39385</v>
      </c>
      <c r="EM1520" t="s">
        <v>15381</v>
      </c>
      <c r="EN1520" t="s">
        <v>11071</v>
      </c>
      <c r="EO1520" s="3">
        <v>7350000</v>
      </c>
    </row>
    <row r="1521" spans="1:284" x14ac:dyDescent="0.25">
      <c r="A1521">
        <v>16486528</v>
      </c>
      <c r="B1521">
        <v>1520</v>
      </c>
      <c r="C1521" t="s">
        <v>393</v>
      </c>
      <c r="D1521" t="s">
        <v>394</v>
      </c>
      <c r="F1521" t="str">
        <f>"31-2N-28-0000-0003-0090"</f>
        <v>31-2N-28-0000-0003-0090</v>
      </c>
      <c r="H1521" t="str">
        <f>"WORTMAN VICKIE"</f>
        <v>WORTMAN VICKIE</v>
      </c>
      <c r="I1521" t="str">
        <f>"95274 CATALINA DRIVE"</f>
        <v>95274 CATALINA DRIVE</v>
      </c>
      <c r="J1521" t="str">
        <f>"FERNANDINA BEACH FL 32034"</f>
        <v>FERNANDINA BEACH FL 32034</v>
      </c>
      <c r="K1521" t="str">
        <f>"95274 CATALINA DR"</f>
        <v>95274 CATALINA DR</v>
      </c>
      <c r="L1521" t="str">
        <f t="shared" si="538"/>
        <v>FERNANDINA BEACH FL 32034</v>
      </c>
      <c r="M1521" t="str">
        <f>"IN OR 1583/1318 2000 FLEE DW/MH 1986 ARLI DW/MH FPL ESMT OR 333 PG 769 EX R/W IN OR 375/651"</f>
        <v>IN OR 1583/1318 2000 FLEE DW/MH 1986 ARLI DW/MH FPL ESMT OR 333 PG 769 EX R/W IN OR 375/651</v>
      </c>
      <c r="N1521" t="str">
        <f>""</f>
        <v/>
      </c>
      <c r="O1521" t="str">
        <f>"39751"</f>
        <v>39751</v>
      </c>
      <c r="P1521" t="str">
        <f t="shared" si="514"/>
        <v>2017</v>
      </c>
      <c r="Q1521" t="str">
        <f>""</f>
        <v/>
      </c>
      <c r="R1521" t="str">
        <f>"Y"</f>
        <v>Y</v>
      </c>
      <c r="S1521" t="str">
        <f>"1.86"</f>
        <v>1.86</v>
      </c>
      <c r="T1521" t="str">
        <f>"651.32"</f>
        <v>651.32</v>
      </c>
      <c r="U1521" t="str">
        <f>"82128.00"</f>
        <v>82128.00</v>
      </c>
      <c r="V1521" t="str">
        <f>"82128.00"</f>
        <v>82128.00</v>
      </c>
      <c r="W1521" t="str">
        <f t="shared" si="515"/>
        <v>2017</v>
      </c>
      <c r="X1521" t="str">
        <f>"14.50"</f>
        <v>14.50</v>
      </c>
      <c r="Y1521" t="str">
        <f>"702.86"</f>
        <v>702.86</v>
      </c>
      <c r="Z1521" t="str">
        <f>"25000.00"</f>
        <v>25000.00</v>
      </c>
      <c r="AA1521" t="str">
        <f>"57128.00"</f>
        <v>57128.00</v>
      </c>
      <c r="AB1521" t="str">
        <f t="shared" si="535"/>
        <v>Residential</v>
      </c>
      <c r="AC1521" t="str">
        <f t="shared" si="523"/>
        <v>0</v>
      </c>
      <c r="AD1521" t="str">
        <f t="shared" si="539"/>
        <v>4</v>
      </c>
      <c r="AE1521" t="str">
        <f t="shared" si="540"/>
        <v>WOOD (INCLUDE STEEL STUDS)</v>
      </c>
      <c r="AF1521" t="str">
        <f t="shared" ref="AF1521:AF1526" si="541">"002"</f>
        <v>002</v>
      </c>
      <c r="AG1521" t="str">
        <f t="shared" si="537"/>
        <v>FL</v>
      </c>
      <c r="AH1521" t="str">
        <f>"81021.00"</f>
        <v>81021.00</v>
      </c>
      <c r="AI1521" t="str">
        <f>"46500.00"</f>
        <v>46500.00</v>
      </c>
      <c r="AJ1521" t="str">
        <f>"C55-000-587-6433-3"</f>
        <v>C55-000-587-6433-3</v>
      </c>
      <c r="AK1521" t="str">
        <f>"27835"</f>
        <v>27835</v>
      </c>
      <c r="AL1521">
        <v>6</v>
      </c>
      <c r="AM1521">
        <v>1739</v>
      </c>
      <c r="AN1521">
        <v>736.4</v>
      </c>
      <c r="AQ1521" t="s">
        <v>15382</v>
      </c>
      <c r="AR1521" t="s">
        <v>15382</v>
      </c>
      <c r="AS1521" t="s">
        <v>15382</v>
      </c>
      <c r="AU1521" t="s">
        <v>396</v>
      </c>
      <c r="AV1521">
        <v>2017</v>
      </c>
      <c r="AW1521" t="str">
        <f>"31-2N-28-0000-0003-0090 "</f>
        <v xml:space="preserve">31-2N-28-0000-0003-0090 </v>
      </c>
      <c r="AX1521">
        <v>95274</v>
      </c>
      <c r="AZ1521" t="s">
        <v>15383</v>
      </c>
      <c r="BA1521" t="s">
        <v>669</v>
      </c>
      <c r="BD1521" t="s">
        <v>11749</v>
      </c>
      <c r="BE1521" t="s">
        <v>393</v>
      </c>
      <c r="BF1521">
        <v>32034</v>
      </c>
      <c r="BG1521" t="s">
        <v>15384</v>
      </c>
      <c r="BH1521" t="s">
        <v>11751</v>
      </c>
      <c r="BI1521">
        <v>-81.541885207897096</v>
      </c>
      <c r="BJ1521">
        <v>30.5754585423538</v>
      </c>
      <c r="BK1521" t="s">
        <v>15385</v>
      </c>
      <c r="BM1521" t="s">
        <v>15384</v>
      </c>
      <c r="BN1521" t="s">
        <v>3983</v>
      </c>
      <c r="BO1521">
        <v>32034</v>
      </c>
      <c r="BP1521" t="s">
        <v>416</v>
      </c>
      <c r="BQ1521">
        <v>200</v>
      </c>
      <c r="BR1521" t="s">
        <v>405</v>
      </c>
      <c r="BS1521">
        <v>1006</v>
      </c>
      <c r="BT1521" t="s">
        <v>406</v>
      </c>
      <c r="BW1521">
        <v>81021</v>
      </c>
      <c r="BX1521" t="s">
        <v>407</v>
      </c>
      <c r="BY1521" t="s">
        <v>408</v>
      </c>
      <c r="BZ1521">
        <v>4</v>
      </c>
      <c r="CA1521">
        <v>1986</v>
      </c>
      <c r="CB1521">
        <v>1</v>
      </c>
      <c r="CC1521">
        <v>2</v>
      </c>
      <c r="CD1521">
        <v>2017</v>
      </c>
      <c r="CG1521">
        <v>82128</v>
      </c>
      <c r="CH1521">
        <v>2017</v>
      </c>
      <c r="CI1521">
        <v>46500</v>
      </c>
      <c r="CJ1521">
        <v>53042</v>
      </c>
      <c r="CK1521">
        <v>99542</v>
      </c>
      <c r="CL1521">
        <v>2017</v>
      </c>
      <c r="CM1521">
        <v>651.32000000000005</v>
      </c>
      <c r="CN1521" s="1">
        <v>41361</v>
      </c>
      <c r="CZ1521" s="1">
        <v>41361</v>
      </c>
      <c r="DD1521" t="s">
        <v>11749</v>
      </c>
      <c r="DG1521">
        <v>31</v>
      </c>
      <c r="DL1521">
        <v>50303</v>
      </c>
      <c r="DM1521" t="s">
        <v>15386</v>
      </c>
      <c r="DO1521" t="s">
        <v>15387</v>
      </c>
      <c r="DP1521">
        <v>0</v>
      </c>
      <c r="DQ1521">
        <v>0</v>
      </c>
      <c r="DR1521" t="s">
        <v>411</v>
      </c>
      <c r="EP1521" t="s">
        <v>595</v>
      </c>
      <c r="EQ1521" t="s">
        <v>422</v>
      </c>
      <c r="ER1521">
        <v>2</v>
      </c>
      <c r="ES1521">
        <v>3</v>
      </c>
      <c r="ET1521">
        <v>1432.04</v>
      </c>
      <c r="EU1521">
        <v>84.1</v>
      </c>
      <c r="EV1521">
        <v>1516.14</v>
      </c>
      <c r="EW1521" s="2">
        <v>43222</v>
      </c>
      <c r="EX1521" s="1">
        <v>42879</v>
      </c>
      <c r="EY1521">
        <v>2016</v>
      </c>
      <c r="EZ1521">
        <v>716.02</v>
      </c>
      <c r="FA1521" t="s">
        <v>15388</v>
      </c>
      <c r="FB1521">
        <v>0.25</v>
      </c>
      <c r="FC1521" t="s">
        <v>424</v>
      </c>
      <c r="FD1521" t="s">
        <v>454</v>
      </c>
      <c r="FF1521">
        <v>12</v>
      </c>
      <c r="FG1521">
        <v>7336671</v>
      </c>
      <c r="FH1521" t="s">
        <v>437</v>
      </c>
      <c r="FJ1521" s="1">
        <v>42879</v>
      </c>
      <c r="FK1521">
        <v>2016</v>
      </c>
      <c r="FL1521">
        <v>716.02</v>
      </c>
      <c r="FM1521" t="s">
        <v>15388</v>
      </c>
      <c r="FN1521">
        <v>0.25</v>
      </c>
      <c r="FO1521" t="s">
        <v>424</v>
      </c>
      <c r="FP1521" t="s">
        <v>454</v>
      </c>
      <c r="FR1521">
        <v>12</v>
      </c>
      <c r="FS1521">
        <v>7043118</v>
      </c>
      <c r="FT1521" t="s">
        <v>15389</v>
      </c>
      <c r="FV1521" s="1">
        <v>42515</v>
      </c>
      <c r="FW1521">
        <v>2015</v>
      </c>
      <c r="FX1521">
        <v>195.15</v>
      </c>
      <c r="FY1521" t="s">
        <v>15390</v>
      </c>
      <c r="FZ1521">
        <v>18</v>
      </c>
      <c r="GA1521" t="s">
        <v>603</v>
      </c>
      <c r="GB1521" t="s">
        <v>425</v>
      </c>
      <c r="GD1521">
        <v>22</v>
      </c>
      <c r="GE1521">
        <v>9999999</v>
      </c>
      <c r="GF1521" t="s">
        <v>604</v>
      </c>
      <c r="GH1521" s="1">
        <v>42515</v>
      </c>
      <c r="GI1521">
        <v>2015</v>
      </c>
      <c r="GJ1521">
        <v>257.02</v>
      </c>
      <c r="GK1521" t="s">
        <v>15390</v>
      </c>
      <c r="GL1521">
        <v>18</v>
      </c>
      <c r="GM1521" t="s">
        <v>424</v>
      </c>
      <c r="GN1521" t="s">
        <v>425</v>
      </c>
      <c r="GO1521" s="1">
        <v>43157</v>
      </c>
      <c r="GP1521">
        <v>21</v>
      </c>
      <c r="GQ1521">
        <v>7685302</v>
      </c>
      <c r="GR1521" t="s">
        <v>15391</v>
      </c>
      <c r="GT1521" s="1">
        <v>41787</v>
      </c>
      <c r="GU1521">
        <v>2013</v>
      </c>
      <c r="GV1521">
        <v>638.23</v>
      </c>
      <c r="GW1521" t="s">
        <v>15392</v>
      </c>
      <c r="GX1521">
        <v>0.25</v>
      </c>
      <c r="GY1521" t="s">
        <v>424</v>
      </c>
      <c r="GZ1521" t="s">
        <v>425</v>
      </c>
      <c r="HA1521" s="1">
        <v>42031</v>
      </c>
      <c r="HB1521">
        <v>8</v>
      </c>
      <c r="HC1521">
        <v>2407503</v>
      </c>
      <c r="HD1521" t="s">
        <v>461</v>
      </c>
    </row>
    <row r="1522" spans="1:284" x14ac:dyDescent="0.25">
      <c r="A1522">
        <v>16486529</v>
      </c>
      <c r="B1522">
        <v>1521</v>
      </c>
      <c r="C1522" t="s">
        <v>393</v>
      </c>
      <c r="D1522" t="s">
        <v>394</v>
      </c>
      <c r="F1522" t="str">
        <f>"31-2N-28-0000-0003-0170"</f>
        <v>31-2N-28-0000-0003-0170</v>
      </c>
      <c r="H1522" t="str">
        <f>"COLLINS MARYANN"</f>
        <v>COLLINS MARYANN</v>
      </c>
      <c r="I1522" t="str">
        <f>"P O BOX 1762"</f>
        <v>P O BOX 1762</v>
      </c>
      <c r="J1522" t="str">
        <f>"YULEE FL 32041"</f>
        <v>YULEE FL 32041</v>
      </c>
      <c r="K1522" t="str">
        <f>"95323 KAREN WALK"</f>
        <v>95323 KAREN WALK</v>
      </c>
      <c r="L1522" t="str">
        <f t="shared" si="538"/>
        <v>FERNANDINA BEACH FL 32034</v>
      </c>
      <c r="M1522" t="str">
        <f>"PT OF SW1/4 OF SW1/4 IN OR 1602/1264 1997 OAKK DW/MH FPL ESMT OR 333/768 EX R/W IN OR 375/651"</f>
        <v>PT OF SW1/4 OF SW1/4 IN OR 1602/1264 1997 OAKK DW/MH FPL ESMT OR 333/768 EX R/W IN OR 375/651</v>
      </c>
      <c r="N1522" t="str">
        <f>""</f>
        <v/>
      </c>
      <c r="O1522" t="str">
        <f>"39757"</f>
        <v>39757</v>
      </c>
      <c r="P1522" t="str">
        <f t="shared" si="514"/>
        <v>2017</v>
      </c>
      <c r="Q1522" t="str">
        <f>""</f>
        <v/>
      </c>
      <c r="R1522" t="str">
        <f>"N"</f>
        <v>N</v>
      </c>
      <c r="S1522" t="str">
        <f>"1.36"</f>
        <v>1.36</v>
      </c>
      <c r="T1522" t="str">
        <f>"578.98"</f>
        <v>578.98</v>
      </c>
      <c r="U1522" t="str">
        <f>"36736.00"</f>
        <v>36736.00</v>
      </c>
      <c r="V1522" t="str">
        <f>"36736.00"</f>
        <v>36736.00</v>
      </c>
      <c r="W1522" t="str">
        <f t="shared" si="515"/>
        <v>2017</v>
      </c>
      <c r="X1522" t="str">
        <f>""</f>
        <v/>
      </c>
      <c r="Y1522" t="str">
        <f>"628.35"</f>
        <v>628.35</v>
      </c>
      <c r="Z1522" t="str">
        <f>""</f>
        <v/>
      </c>
      <c r="AA1522" t="str">
        <f>"40196.00"</f>
        <v>40196.00</v>
      </c>
      <c r="AB1522" t="str">
        <f t="shared" si="535"/>
        <v>Residential</v>
      </c>
      <c r="AC1522" t="str">
        <f t="shared" si="523"/>
        <v>0</v>
      </c>
      <c r="AD1522" t="str">
        <f t="shared" si="539"/>
        <v>4</v>
      </c>
      <c r="AE1522" t="str">
        <f t="shared" si="540"/>
        <v>WOOD (INCLUDE STEEL STUDS)</v>
      </c>
      <c r="AF1522" t="str">
        <f t="shared" si="541"/>
        <v>002</v>
      </c>
      <c r="AG1522" t="str">
        <f t="shared" si="537"/>
        <v>FL</v>
      </c>
      <c r="AH1522" t="str">
        <f>"59241.00"</f>
        <v>59241.00</v>
      </c>
      <c r="AI1522" t="str">
        <f>"34000.00"</f>
        <v>34000.00</v>
      </c>
      <c r="AJ1522" t="str">
        <f>"C55-000-587-6439-0"</f>
        <v>C55-000-587-6439-0</v>
      </c>
      <c r="AK1522" t="str">
        <f>"27840"</f>
        <v>27840</v>
      </c>
      <c r="AL1522">
        <v>6</v>
      </c>
      <c r="AM1522">
        <v>1740</v>
      </c>
      <c r="AN1522">
        <v>658.17</v>
      </c>
      <c r="AQ1522" t="s">
        <v>15393</v>
      </c>
      <c r="AR1522" t="s">
        <v>15393</v>
      </c>
      <c r="AS1522" t="s">
        <v>15393</v>
      </c>
      <c r="AU1522" t="s">
        <v>396</v>
      </c>
      <c r="AV1522">
        <v>2017</v>
      </c>
      <c r="AW1522" t="str">
        <f>"31-2N-28-0000-0003-0170 "</f>
        <v xml:space="preserve">31-2N-28-0000-0003-0170 </v>
      </c>
      <c r="AX1522">
        <v>95323</v>
      </c>
      <c r="AZ1522" t="s">
        <v>15394</v>
      </c>
      <c r="BD1522" t="s">
        <v>11749</v>
      </c>
      <c r="BE1522" t="s">
        <v>393</v>
      </c>
      <c r="BF1522">
        <v>32034</v>
      </c>
      <c r="BG1522" t="s">
        <v>15395</v>
      </c>
      <c r="BH1522" t="s">
        <v>11751</v>
      </c>
      <c r="BI1522">
        <v>-81.540756521643601</v>
      </c>
      <c r="BJ1522">
        <v>30.575465940428</v>
      </c>
      <c r="BK1522" t="s">
        <v>15396</v>
      </c>
      <c r="BL1522" t="s">
        <v>15397</v>
      </c>
      <c r="BM1522" t="s">
        <v>15398</v>
      </c>
      <c r="BN1522" t="s">
        <v>1778</v>
      </c>
      <c r="BO1522">
        <v>32041</v>
      </c>
      <c r="BP1522" t="s">
        <v>404</v>
      </c>
      <c r="BQ1522">
        <v>200</v>
      </c>
      <c r="BR1522" t="s">
        <v>405</v>
      </c>
      <c r="BS1522">
        <v>1006</v>
      </c>
      <c r="BT1522" t="s">
        <v>406</v>
      </c>
      <c r="BW1522">
        <v>59241</v>
      </c>
      <c r="BX1522" t="s">
        <v>407</v>
      </c>
      <c r="BY1522" t="s">
        <v>408</v>
      </c>
      <c r="BZ1522">
        <v>4</v>
      </c>
      <c r="CA1522">
        <v>1997</v>
      </c>
      <c r="CC1522">
        <v>1</v>
      </c>
      <c r="CD1522">
        <v>2017</v>
      </c>
      <c r="CE1522">
        <v>34000</v>
      </c>
      <c r="CF1522">
        <v>6196</v>
      </c>
      <c r="CG1522">
        <v>40196</v>
      </c>
      <c r="CH1522">
        <v>2017</v>
      </c>
      <c r="CI1522">
        <v>34000</v>
      </c>
      <c r="CJ1522">
        <v>6196</v>
      </c>
      <c r="CK1522">
        <v>40196</v>
      </c>
      <c r="CL1522">
        <v>2017</v>
      </c>
      <c r="CM1522">
        <v>578.98</v>
      </c>
      <c r="CN1522" s="1">
        <v>39840</v>
      </c>
      <c r="CO1522">
        <v>110000</v>
      </c>
      <c r="CV1522">
        <v>108567</v>
      </c>
      <c r="CX1522" t="s">
        <v>9036</v>
      </c>
      <c r="CZ1522" s="1">
        <v>39840</v>
      </c>
      <c r="DA1522">
        <v>0</v>
      </c>
      <c r="DD1522" t="s">
        <v>11749</v>
      </c>
      <c r="DG1522">
        <v>31</v>
      </c>
      <c r="DL1522">
        <v>50303</v>
      </c>
      <c r="DM1522" t="s">
        <v>15386</v>
      </c>
      <c r="DO1522" t="s">
        <v>15399</v>
      </c>
      <c r="DP1522">
        <v>0</v>
      </c>
      <c r="DQ1522">
        <v>0</v>
      </c>
      <c r="DR1522" t="s">
        <v>411</v>
      </c>
    </row>
    <row r="1523" spans="1:284" x14ac:dyDescent="0.25">
      <c r="A1523">
        <v>16486530</v>
      </c>
      <c r="B1523">
        <v>1522</v>
      </c>
      <c r="C1523" t="s">
        <v>393</v>
      </c>
      <c r="D1523" t="s">
        <v>394</v>
      </c>
      <c r="F1523" t="str">
        <f>"31-2N-28-0235-0004-0000"</f>
        <v>31-2N-28-0235-0004-0000</v>
      </c>
      <c r="H1523" t="str">
        <f>"DEJESUS LUIS &amp; LINDA"</f>
        <v>DEJESUS LUIS &amp; LINDA</v>
      </c>
      <c r="I1523" t="str">
        <f>"95232 BARBARAS PLACE"</f>
        <v>95232 BARBARAS PLACE</v>
      </c>
      <c r="J1523" t="str">
        <f>"FERNANDINA BEACH FL 32034"</f>
        <v>FERNANDINA BEACH FL 32034</v>
      </c>
      <c r="K1523" t="str">
        <f>"95232 BARBARAS PL"</f>
        <v>95232 BARBARAS PL</v>
      </c>
      <c r="L1523" t="str">
        <f t="shared" si="538"/>
        <v>FERNANDINA BEACH FL 32034</v>
      </c>
      <c r="M1523" t="str">
        <f>"LOT 4 R673359 &amp; R673360 IN OR 842/1332 CEDAR RIDGE 1 PB 6/95"</f>
        <v>LOT 4 R673359 &amp; R673360 IN OR 842/1332 CEDAR RIDGE 1 PB 6/95</v>
      </c>
      <c r="N1523" t="str">
        <f>""</f>
        <v/>
      </c>
      <c r="O1523" t="str">
        <f>"39780"</f>
        <v>39780</v>
      </c>
      <c r="P1523" t="str">
        <f t="shared" si="514"/>
        <v>2017</v>
      </c>
      <c r="Q1523" t="str">
        <f>""</f>
        <v/>
      </c>
      <c r="R1523" t="str">
        <f>"Y"</f>
        <v>Y</v>
      </c>
      <c r="S1523" t="str">
        <f>"1.00"</f>
        <v>1.00</v>
      </c>
      <c r="T1523" t="str">
        <f>"440.91"</f>
        <v>440.91</v>
      </c>
      <c r="U1523" t="str">
        <f>"59462.00"</f>
        <v>59462.00</v>
      </c>
      <c r="V1523" t="str">
        <f>"59462.00"</f>
        <v>59462.00</v>
      </c>
      <c r="W1523" t="str">
        <f t="shared" si="515"/>
        <v>2017</v>
      </c>
      <c r="X1523" t="str">
        <f>"21.00"</f>
        <v>21.00</v>
      </c>
      <c r="Y1523" t="str">
        <f>"486.14"</f>
        <v>486.14</v>
      </c>
      <c r="Z1523" t="str">
        <f>"25000.00"</f>
        <v>25000.00</v>
      </c>
      <c r="AA1523" t="str">
        <f>"34462.00"</f>
        <v>34462.00</v>
      </c>
      <c r="AB1523" t="str">
        <f t="shared" si="535"/>
        <v>Residential</v>
      </c>
      <c r="AC1523" t="str">
        <f t="shared" si="523"/>
        <v>0</v>
      </c>
      <c r="AD1523" t="str">
        <f t="shared" si="539"/>
        <v>4</v>
      </c>
      <c r="AE1523" t="str">
        <f t="shared" si="540"/>
        <v>WOOD (INCLUDE STEEL STUDS)</v>
      </c>
      <c r="AF1523" t="str">
        <f t="shared" si="541"/>
        <v>002</v>
      </c>
      <c r="AG1523" t="str">
        <f t="shared" si="537"/>
        <v>FL</v>
      </c>
      <c r="AH1523" t="str">
        <f>"43560.00"</f>
        <v>43560.00</v>
      </c>
      <c r="AI1523" t="str">
        <f>"25000.00"</f>
        <v>25000.00</v>
      </c>
      <c r="AJ1523" t="str">
        <f>"C55-000-587-6451-5"</f>
        <v>C55-000-587-6451-5</v>
      </c>
      <c r="AK1523" t="str">
        <f>"27863"</f>
        <v>27863</v>
      </c>
      <c r="AL1523">
        <v>6</v>
      </c>
      <c r="AM1523">
        <v>1742</v>
      </c>
      <c r="AN1523">
        <v>508.85</v>
      </c>
      <c r="AQ1523" t="s">
        <v>15400</v>
      </c>
      <c r="AR1523" t="s">
        <v>15400</v>
      </c>
      <c r="AS1523" t="s">
        <v>15400</v>
      </c>
      <c r="AU1523" t="s">
        <v>396</v>
      </c>
      <c r="AV1523">
        <v>2017</v>
      </c>
      <c r="AW1523" t="str">
        <f>"31-2N-28-0235-0004-0000 "</f>
        <v xml:space="preserve">31-2N-28-0235-0004-0000 </v>
      </c>
      <c r="AX1523">
        <v>95232</v>
      </c>
      <c r="AZ1523" t="s">
        <v>15401</v>
      </c>
      <c r="BA1523" t="s">
        <v>641</v>
      </c>
      <c r="BD1523" t="s">
        <v>11749</v>
      </c>
      <c r="BE1523" t="s">
        <v>393</v>
      </c>
      <c r="BF1523">
        <v>32034</v>
      </c>
      <c r="BG1523" t="s">
        <v>15402</v>
      </c>
      <c r="BH1523" t="s">
        <v>11751</v>
      </c>
      <c r="BI1523">
        <v>-81.536642564697502</v>
      </c>
      <c r="BJ1523">
        <v>30.573530672518299</v>
      </c>
      <c r="BK1523" t="s">
        <v>15403</v>
      </c>
      <c r="BL1523" t="s">
        <v>15404</v>
      </c>
      <c r="BM1523" t="s">
        <v>15402</v>
      </c>
      <c r="BN1523" t="s">
        <v>3983</v>
      </c>
      <c r="BO1523">
        <v>32034</v>
      </c>
      <c r="BP1523" t="s">
        <v>416</v>
      </c>
      <c r="BQ1523">
        <v>200</v>
      </c>
      <c r="BR1523" t="s">
        <v>405</v>
      </c>
      <c r="BS1523">
        <v>1006</v>
      </c>
      <c r="BT1523" t="s">
        <v>406</v>
      </c>
      <c r="BW1523">
        <v>43560</v>
      </c>
      <c r="BX1523" t="s">
        <v>407</v>
      </c>
      <c r="BZ1523">
        <v>4</v>
      </c>
      <c r="CA1523">
        <v>1998</v>
      </c>
      <c r="CB1523">
        <v>1</v>
      </c>
      <c r="CC1523">
        <v>1</v>
      </c>
      <c r="CD1523">
        <v>2017</v>
      </c>
      <c r="CG1523">
        <v>59462</v>
      </c>
      <c r="CH1523">
        <v>2017</v>
      </c>
      <c r="CI1523">
        <v>25000</v>
      </c>
      <c r="CJ1523">
        <v>45894</v>
      </c>
      <c r="CK1523">
        <v>70894</v>
      </c>
      <c r="CL1523">
        <v>2017</v>
      </c>
      <c r="CM1523">
        <v>440.91</v>
      </c>
      <c r="CN1523" s="1">
        <v>36004</v>
      </c>
      <c r="CO1523">
        <v>25900</v>
      </c>
      <c r="CZ1523" s="1">
        <v>36004</v>
      </c>
      <c r="DD1523" t="s">
        <v>11749</v>
      </c>
      <c r="DF1523">
        <v>4</v>
      </c>
      <c r="DG1523">
        <v>31</v>
      </c>
      <c r="DJ1523" t="s">
        <v>15405</v>
      </c>
      <c r="DL1523">
        <v>50303</v>
      </c>
      <c r="DM1523" t="s">
        <v>15386</v>
      </c>
      <c r="DO1523" t="s">
        <v>15406</v>
      </c>
      <c r="DP1523">
        <v>0</v>
      </c>
      <c r="DQ1523">
        <v>0</v>
      </c>
      <c r="DR1523" t="s">
        <v>411</v>
      </c>
      <c r="DS1523" t="b">
        <v>1</v>
      </c>
      <c r="DT1523" t="s">
        <v>470</v>
      </c>
      <c r="DU1523" t="s">
        <v>471</v>
      </c>
      <c r="DV1523" t="s">
        <v>472</v>
      </c>
      <c r="DX1523">
        <v>-9999</v>
      </c>
      <c r="DZ1523" t="s">
        <v>447</v>
      </c>
      <c r="EA1523" t="s">
        <v>448</v>
      </c>
      <c r="EB1523" t="s">
        <v>742</v>
      </c>
      <c r="EC1523">
        <v>20101217</v>
      </c>
      <c r="ED1523" t="s">
        <v>474</v>
      </c>
      <c r="EF1523">
        <v>2394.5</v>
      </c>
      <c r="EG1523">
        <v>1999.2</v>
      </c>
      <c r="EI1523">
        <v>20160407</v>
      </c>
      <c r="EJ1523">
        <v>0</v>
      </c>
      <c r="EK1523">
        <v>0</v>
      </c>
      <c r="EP1523" t="s">
        <v>421</v>
      </c>
      <c r="EQ1523" t="s">
        <v>422</v>
      </c>
      <c r="ER1523">
        <v>4</v>
      </c>
      <c r="ES1523">
        <v>6</v>
      </c>
      <c r="ET1523">
        <v>2037.62</v>
      </c>
      <c r="EU1523">
        <v>126.88</v>
      </c>
      <c r="EV1523">
        <v>2164.5</v>
      </c>
      <c r="EW1523" s="2">
        <v>43222</v>
      </c>
      <c r="EX1523" s="1">
        <v>42879</v>
      </c>
      <c r="EY1523">
        <v>2016</v>
      </c>
      <c r="EZ1523">
        <v>502.6</v>
      </c>
      <c r="FA1523" t="s">
        <v>15407</v>
      </c>
      <c r="FB1523">
        <v>0.25</v>
      </c>
      <c r="FC1523" t="s">
        <v>424</v>
      </c>
      <c r="FD1523" t="s">
        <v>454</v>
      </c>
      <c r="FF1523">
        <v>12</v>
      </c>
      <c r="FG1523">
        <v>7400234</v>
      </c>
      <c r="FH1523" t="s">
        <v>426</v>
      </c>
      <c r="FJ1523" s="1">
        <v>42879</v>
      </c>
      <c r="FK1523">
        <v>2016</v>
      </c>
      <c r="FL1523">
        <v>502.6</v>
      </c>
      <c r="FM1523" t="s">
        <v>15407</v>
      </c>
      <c r="FN1523">
        <v>0.25</v>
      </c>
      <c r="FO1523" t="s">
        <v>424</v>
      </c>
      <c r="FP1523" t="s">
        <v>454</v>
      </c>
      <c r="FR1523">
        <v>12</v>
      </c>
      <c r="FS1523">
        <v>7412536</v>
      </c>
      <c r="FT1523" t="s">
        <v>15408</v>
      </c>
      <c r="FV1523" s="1">
        <v>42515</v>
      </c>
      <c r="FW1523">
        <v>2015</v>
      </c>
      <c r="FX1523">
        <v>516.21</v>
      </c>
      <c r="FY1523" t="s">
        <v>15409</v>
      </c>
      <c r="FZ1523">
        <v>0.25</v>
      </c>
      <c r="GA1523" t="s">
        <v>424</v>
      </c>
      <c r="GB1523" t="s">
        <v>454</v>
      </c>
      <c r="GD1523">
        <v>24</v>
      </c>
      <c r="GE1523">
        <v>2851116</v>
      </c>
      <c r="GF1523" t="s">
        <v>480</v>
      </c>
      <c r="GH1523" s="1">
        <v>42515</v>
      </c>
      <c r="GI1523">
        <v>2015</v>
      </c>
      <c r="GJ1523">
        <v>516.21</v>
      </c>
      <c r="GK1523" t="s">
        <v>15409</v>
      </c>
      <c r="GL1523">
        <v>0.25</v>
      </c>
      <c r="GM1523" t="s">
        <v>424</v>
      </c>
      <c r="GN1523" t="s">
        <v>454</v>
      </c>
      <c r="GP1523">
        <v>24</v>
      </c>
      <c r="GQ1523">
        <v>5523491</v>
      </c>
      <c r="GR1523" t="s">
        <v>15410</v>
      </c>
      <c r="GT1523" s="1">
        <v>42151</v>
      </c>
      <c r="GU1523">
        <v>2014</v>
      </c>
      <c r="GV1523">
        <v>528.46</v>
      </c>
      <c r="GW1523" t="s">
        <v>15411</v>
      </c>
      <c r="GX1523">
        <v>0.25</v>
      </c>
      <c r="GY1523" t="s">
        <v>424</v>
      </c>
      <c r="GZ1523" t="s">
        <v>425</v>
      </c>
      <c r="HA1523" s="1">
        <v>42790</v>
      </c>
      <c r="HB1523">
        <v>21</v>
      </c>
      <c r="HC1523">
        <v>2851116</v>
      </c>
      <c r="HD1523" t="s">
        <v>480</v>
      </c>
      <c r="HF1523" s="1">
        <v>42151</v>
      </c>
      <c r="HG1523">
        <v>2014</v>
      </c>
      <c r="HH1523">
        <v>528.46</v>
      </c>
      <c r="HI1523" t="s">
        <v>15411</v>
      </c>
      <c r="HJ1523">
        <v>0.25</v>
      </c>
      <c r="HK1523" t="s">
        <v>424</v>
      </c>
      <c r="HL1523" t="s">
        <v>425</v>
      </c>
      <c r="HN1523">
        <v>22</v>
      </c>
      <c r="HO1523">
        <v>5262178</v>
      </c>
      <c r="HP1523" t="s">
        <v>15412</v>
      </c>
      <c r="HR1523" s="1">
        <v>41787</v>
      </c>
      <c r="HS1523">
        <v>2013</v>
      </c>
      <c r="HT1523">
        <v>551.99</v>
      </c>
      <c r="HU1523" t="s">
        <v>15413</v>
      </c>
      <c r="HV1523">
        <v>0.25</v>
      </c>
      <c r="HW1523" t="s">
        <v>424</v>
      </c>
      <c r="HX1523" t="s">
        <v>425</v>
      </c>
      <c r="HY1523" s="1">
        <v>42417</v>
      </c>
      <c r="HZ1523">
        <v>21</v>
      </c>
      <c r="IA1523">
        <v>2407503</v>
      </c>
      <c r="IB1523" t="s">
        <v>461</v>
      </c>
      <c r="ID1523" s="1">
        <v>41423</v>
      </c>
      <c r="IE1523">
        <v>2012</v>
      </c>
      <c r="IF1523">
        <v>570.89</v>
      </c>
      <c r="IG1523" t="s">
        <v>15414</v>
      </c>
      <c r="IH1523">
        <v>2.75</v>
      </c>
      <c r="II1523" t="s">
        <v>424</v>
      </c>
      <c r="IJ1523" t="s">
        <v>425</v>
      </c>
      <c r="IK1523" s="1">
        <v>42053</v>
      </c>
      <c r="IL1523">
        <v>21</v>
      </c>
      <c r="IM1523">
        <v>15399</v>
      </c>
      <c r="IN1523" t="s">
        <v>485</v>
      </c>
      <c r="IP1523" s="1">
        <v>41052</v>
      </c>
      <c r="IQ1523">
        <v>2011</v>
      </c>
      <c r="IR1523">
        <v>569.92999999999995</v>
      </c>
      <c r="IS1523" t="s">
        <v>15415</v>
      </c>
      <c r="IT1523">
        <v>6</v>
      </c>
      <c r="IU1523" t="s">
        <v>424</v>
      </c>
      <c r="IV1523" t="s">
        <v>425</v>
      </c>
      <c r="IW1523" s="1">
        <v>41694</v>
      </c>
      <c r="IX1523">
        <v>21</v>
      </c>
      <c r="IY1523">
        <v>375</v>
      </c>
      <c r="IZ1523" t="s">
        <v>776</v>
      </c>
      <c r="JB1523" s="1">
        <v>40688</v>
      </c>
      <c r="JC1523">
        <v>2010</v>
      </c>
      <c r="JD1523">
        <v>615.63</v>
      </c>
      <c r="JE1523" t="s">
        <v>15416</v>
      </c>
      <c r="JF1523">
        <v>6</v>
      </c>
      <c r="JG1523" t="s">
        <v>424</v>
      </c>
      <c r="JH1523" t="s">
        <v>425</v>
      </c>
      <c r="JI1523" s="1">
        <v>41324</v>
      </c>
      <c r="JJ1523">
        <v>21</v>
      </c>
      <c r="JK1523">
        <v>105</v>
      </c>
      <c r="JL1523" t="s">
        <v>946</v>
      </c>
    </row>
    <row r="1524" spans="1:284" x14ac:dyDescent="0.25">
      <c r="A1524">
        <v>16486531</v>
      </c>
      <c r="B1524">
        <v>1523</v>
      </c>
      <c r="C1524" t="s">
        <v>393</v>
      </c>
      <c r="D1524" t="s">
        <v>394</v>
      </c>
      <c r="F1524" t="str">
        <f>"31-2N-28-0235-0005-0000"</f>
        <v>31-2N-28-0235-0005-0000</v>
      </c>
      <c r="H1524" t="str">
        <f>"HAYS ANN M"</f>
        <v>HAYS ANN M</v>
      </c>
      <c r="I1524" t="str">
        <f>"95260 BARBARAS PL"</f>
        <v>95260 BARBARAS PL</v>
      </c>
      <c r="J1524" t="str">
        <f>"FERNANDINA BEACH FL 32034"</f>
        <v>FERNANDINA BEACH FL 32034</v>
      </c>
      <c r="K1524" t="str">
        <f>"95260 BARBARAS PL"</f>
        <v>95260 BARBARAS PL</v>
      </c>
      <c r="L1524" t="str">
        <f t="shared" si="538"/>
        <v>FERNANDINA BEACH FL 32034</v>
      </c>
      <c r="M1524" t="str">
        <f>"LOT 5 &amp; PT GOVT LOT 2 OF SEC 35-2N-28E IN OR 1740/1277 CEDAR RIDGE 1 PBK 6/95 {1999 FTWD DW/MH}"</f>
        <v>LOT 5 &amp; PT GOVT LOT 2 OF SEC 35-2N-28E IN OR 1740/1277 CEDAR RIDGE 1 PBK 6/95 {1999 FTWD DW/MH}</v>
      </c>
      <c r="N1524" t="str">
        <f>""</f>
        <v/>
      </c>
      <c r="O1524" t="str">
        <f>"39781"</f>
        <v>39781</v>
      </c>
      <c r="P1524" t="str">
        <f t="shared" si="514"/>
        <v>2017</v>
      </c>
      <c r="Q1524" t="str">
        <f>""</f>
        <v/>
      </c>
      <c r="R1524" t="str">
        <f>"Y"</f>
        <v>Y</v>
      </c>
      <c r="S1524" t="str">
        <f>"2.00"</f>
        <v>2.00</v>
      </c>
      <c r="T1524" t="str">
        <f>"780.27"</f>
        <v>780.27</v>
      </c>
      <c r="U1524" t="str">
        <f>"90645.00"</f>
        <v>90645.00</v>
      </c>
      <c r="V1524" t="str">
        <f>"90645.00"</f>
        <v>90645.00</v>
      </c>
      <c r="W1524" t="str">
        <f t="shared" si="515"/>
        <v>2017</v>
      </c>
      <c r="X1524" t="str">
        <f>"23.67"</f>
        <v>23.67</v>
      </c>
      <c r="Y1524" t="str">
        <f>"835.68"</f>
        <v>835.68</v>
      </c>
      <c r="Z1524" t="str">
        <f>"25000.00"</f>
        <v>25000.00</v>
      </c>
      <c r="AA1524" t="str">
        <f>"65645.00"</f>
        <v>65645.00</v>
      </c>
      <c r="AB1524" t="str">
        <f t="shared" si="535"/>
        <v>Residential</v>
      </c>
      <c r="AC1524" t="str">
        <f t="shared" si="523"/>
        <v>0</v>
      </c>
      <c r="AD1524" t="str">
        <f t="shared" si="539"/>
        <v>4</v>
      </c>
      <c r="AE1524" t="str">
        <f t="shared" si="540"/>
        <v>WOOD (INCLUDE STEEL STUDS)</v>
      </c>
      <c r="AF1524" t="str">
        <f t="shared" si="541"/>
        <v>002</v>
      </c>
      <c r="AG1524" t="str">
        <f t="shared" si="537"/>
        <v>FL</v>
      </c>
      <c r="AH1524" t="str">
        <f>"87120.00"</f>
        <v>87120.00</v>
      </c>
      <c r="AI1524" t="str">
        <f>"50000.00"</f>
        <v>50000.00</v>
      </c>
      <c r="AJ1524" t="str">
        <f>"C55-000-587-6452-3"</f>
        <v>C55-000-587-6452-3</v>
      </c>
      <c r="AK1524" t="str">
        <f>"27864"</f>
        <v>27864</v>
      </c>
      <c r="AL1524">
        <v>6</v>
      </c>
      <c r="AM1524">
        <v>1743</v>
      </c>
      <c r="AN1524">
        <v>875.86</v>
      </c>
      <c r="AQ1524" t="s">
        <v>15417</v>
      </c>
      <c r="AR1524" t="s">
        <v>15417</v>
      </c>
      <c r="AS1524" t="s">
        <v>15417</v>
      </c>
      <c r="AU1524" t="s">
        <v>396</v>
      </c>
      <c r="AV1524">
        <v>2017</v>
      </c>
      <c r="AW1524" t="str">
        <f>"31-2N-28-0235-0005-0000 "</f>
        <v xml:space="preserve">31-2N-28-0235-0005-0000 </v>
      </c>
      <c r="AX1524">
        <v>95260</v>
      </c>
      <c r="AZ1524" t="s">
        <v>15401</v>
      </c>
      <c r="BA1524" t="s">
        <v>641</v>
      </c>
      <c r="BD1524" t="s">
        <v>11749</v>
      </c>
      <c r="BE1524" t="s">
        <v>393</v>
      </c>
      <c r="BF1524">
        <v>32034</v>
      </c>
      <c r="BG1524" t="s">
        <v>15418</v>
      </c>
      <c r="BH1524" t="s">
        <v>11751</v>
      </c>
      <c r="BI1524">
        <v>-81.536191470698199</v>
      </c>
      <c r="BJ1524">
        <v>30.573946544497701</v>
      </c>
      <c r="BK1524" t="s">
        <v>15419</v>
      </c>
      <c r="BM1524" t="s">
        <v>15418</v>
      </c>
      <c r="BN1524" t="s">
        <v>3983</v>
      </c>
      <c r="BO1524">
        <v>32034</v>
      </c>
      <c r="BP1524" t="s">
        <v>416</v>
      </c>
      <c r="BQ1524">
        <v>200</v>
      </c>
      <c r="BR1524" t="s">
        <v>405</v>
      </c>
      <c r="BS1524">
        <v>1006</v>
      </c>
      <c r="BT1524" t="s">
        <v>406</v>
      </c>
      <c r="BW1524">
        <v>87120</v>
      </c>
      <c r="BX1524" t="s">
        <v>407</v>
      </c>
      <c r="BZ1524">
        <v>4</v>
      </c>
      <c r="CA1524">
        <v>1999</v>
      </c>
      <c r="CC1524">
        <v>1</v>
      </c>
      <c r="CD1524">
        <v>2017</v>
      </c>
      <c r="CG1524">
        <v>90645</v>
      </c>
      <c r="CH1524">
        <v>2017</v>
      </c>
      <c r="CI1524">
        <v>50000</v>
      </c>
      <c r="CJ1524">
        <v>55419</v>
      </c>
      <c r="CK1524">
        <v>105419</v>
      </c>
      <c r="CL1524">
        <v>2017</v>
      </c>
      <c r="CM1524">
        <v>780.27</v>
      </c>
      <c r="CN1524" s="1">
        <v>40694</v>
      </c>
      <c r="CO1524">
        <v>109000</v>
      </c>
      <c r="CV1524">
        <v>0</v>
      </c>
      <c r="CZ1524" s="1">
        <v>40694</v>
      </c>
      <c r="DA1524">
        <v>0</v>
      </c>
      <c r="DD1524" t="s">
        <v>11749</v>
      </c>
      <c r="DF1524">
        <v>5</v>
      </c>
      <c r="DG1524">
        <v>31</v>
      </c>
      <c r="DL1524">
        <v>50303</v>
      </c>
      <c r="DM1524" t="s">
        <v>15386</v>
      </c>
      <c r="DO1524" t="s">
        <v>15420</v>
      </c>
      <c r="DP1524">
        <v>0</v>
      </c>
      <c r="DQ1524">
        <v>0</v>
      </c>
      <c r="DR1524" t="s">
        <v>411</v>
      </c>
      <c r="EP1524" t="s">
        <v>421</v>
      </c>
      <c r="EQ1524" t="s">
        <v>422</v>
      </c>
      <c r="ER1524">
        <v>2</v>
      </c>
      <c r="ES1524">
        <v>3</v>
      </c>
      <c r="ET1524">
        <v>1391.6</v>
      </c>
      <c r="EU1524">
        <v>82.08</v>
      </c>
      <c r="EV1524">
        <v>1473.68</v>
      </c>
      <c r="EW1524" s="2">
        <v>43222</v>
      </c>
      <c r="EX1524" s="1">
        <v>41787</v>
      </c>
      <c r="EY1524">
        <v>2013</v>
      </c>
      <c r="EZ1524">
        <v>695.8</v>
      </c>
      <c r="FA1524" t="s">
        <v>15421</v>
      </c>
      <c r="FB1524">
        <v>0.25</v>
      </c>
      <c r="FC1524" t="s">
        <v>424</v>
      </c>
      <c r="FD1524" t="s">
        <v>454</v>
      </c>
      <c r="FF1524">
        <v>48</v>
      </c>
      <c r="FG1524">
        <v>2407503</v>
      </c>
      <c r="FH1524" t="s">
        <v>461</v>
      </c>
      <c r="FJ1524" s="1">
        <v>41787</v>
      </c>
      <c r="FK1524">
        <v>2013</v>
      </c>
      <c r="FL1524">
        <v>695.8</v>
      </c>
      <c r="FM1524" t="s">
        <v>15421</v>
      </c>
      <c r="FN1524">
        <v>0.25</v>
      </c>
      <c r="FO1524" t="s">
        <v>424</v>
      </c>
      <c r="FP1524" t="s">
        <v>454</v>
      </c>
      <c r="FR1524">
        <v>48</v>
      </c>
      <c r="FS1524">
        <v>7336670</v>
      </c>
      <c r="FT1524" t="s">
        <v>2102</v>
      </c>
      <c r="FV1524" s="1">
        <v>41423</v>
      </c>
      <c r="FW1524">
        <v>2012</v>
      </c>
      <c r="FX1524">
        <v>760.32</v>
      </c>
      <c r="FY1524" t="s">
        <v>15422</v>
      </c>
      <c r="FZ1524">
        <v>2.75</v>
      </c>
      <c r="GA1524" t="s">
        <v>424</v>
      </c>
      <c r="GB1524" t="s">
        <v>425</v>
      </c>
      <c r="GC1524" s="1">
        <v>42065</v>
      </c>
      <c r="GD1524">
        <v>22</v>
      </c>
      <c r="GE1524">
        <v>15399</v>
      </c>
      <c r="GF1524" t="s">
        <v>485</v>
      </c>
      <c r="GH1524" s="1">
        <v>41052</v>
      </c>
      <c r="GI1524">
        <v>2011</v>
      </c>
      <c r="GJ1524">
        <v>1299.79</v>
      </c>
      <c r="GK1524" t="s">
        <v>15423</v>
      </c>
      <c r="GL1524">
        <v>5.75</v>
      </c>
      <c r="GM1524" t="s">
        <v>424</v>
      </c>
      <c r="GN1524" t="s">
        <v>425</v>
      </c>
      <c r="GO1524" s="1">
        <v>41701</v>
      </c>
      <c r="GP1524">
        <v>22</v>
      </c>
      <c r="GQ1524">
        <v>1625515</v>
      </c>
      <c r="GR1524" t="s">
        <v>487</v>
      </c>
      <c r="GT1524" s="1">
        <v>41052</v>
      </c>
      <c r="GU1524">
        <v>2011</v>
      </c>
      <c r="GV1524">
        <v>1299.79</v>
      </c>
      <c r="GW1524" t="s">
        <v>15423</v>
      </c>
      <c r="GX1524">
        <v>5.75</v>
      </c>
      <c r="GY1524" t="s">
        <v>424</v>
      </c>
      <c r="GZ1524" t="s">
        <v>425</v>
      </c>
      <c r="HB1524">
        <v>22</v>
      </c>
      <c r="HC1524">
        <v>10579</v>
      </c>
      <c r="HD1524" t="s">
        <v>488</v>
      </c>
    </row>
    <row r="1525" spans="1:284" x14ac:dyDescent="0.25">
      <c r="A1525">
        <v>16486532</v>
      </c>
      <c r="B1525">
        <v>1524</v>
      </c>
      <c r="C1525" t="s">
        <v>393</v>
      </c>
      <c r="D1525" t="s">
        <v>394</v>
      </c>
      <c r="F1525" t="str">
        <f>"31-2N-28-0235-0012-0000"</f>
        <v>31-2N-28-0235-0012-0000</v>
      </c>
      <c r="H1525" t="str">
        <f>"SANDERS LUANN L"</f>
        <v>SANDERS LUANN L</v>
      </c>
      <c r="I1525" t="str">
        <f>"95466 BARBARAS PL"</f>
        <v>95466 BARBARAS PL</v>
      </c>
      <c r="J1525" t="str">
        <f>"FERNANDINA BEACH FL 32034"</f>
        <v>FERNANDINA BEACH FL 32034</v>
      </c>
      <c r="K1525" t="str">
        <f>"95466 BARBARAS PL"</f>
        <v>95466 BARBARAS PL</v>
      </c>
      <c r="L1525" t="str">
        <f t="shared" si="538"/>
        <v>FERNANDINA BEACH FL 32034</v>
      </c>
      <c r="M1525" t="str">
        <f>"LOT 12 IN OR 1365/999 R673080 &amp; R673081 CEDAR RIDGE 1 PB 6/95"</f>
        <v>LOT 12 IN OR 1365/999 R673080 &amp; R673081 CEDAR RIDGE 1 PB 6/95</v>
      </c>
      <c r="N1525" t="str">
        <f>""</f>
        <v/>
      </c>
      <c r="O1525" t="str">
        <f>"39791"</f>
        <v>39791</v>
      </c>
      <c r="P1525" t="str">
        <f t="shared" si="514"/>
        <v>2017</v>
      </c>
      <c r="Q1525" t="str">
        <f>""</f>
        <v/>
      </c>
      <c r="R1525" t="str">
        <f>"N"</f>
        <v>N</v>
      </c>
      <c r="S1525" t="str">
        <f>"1.00"</f>
        <v>1.00</v>
      </c>
      <c r="T1525" t="str">
        <f>"1025.41"</f>
        <v>1025.41</v>
      </c>
      <c r="U1525" t="str">
        <f>"62681.00"</f>
        <v>62681.00</v>
      </c>
      <c r="V1525" t="str">
        <f>"62681.00"</f>
        <v>62681.00</v>
      </c>
      <c r="W1525" t="str">
        <f t="shared" si="515"/>
        <v>2017</v>
      </c>
      <c r="X1525" t="str">
        <f>"20.60"</f>
        <v>20.60</v>
      </c>
      <c r="Y1525" t="str">
        <f>"1088.17"</f>
        <v>1088.17</v>
      </c>
      <c r="Z1525" t="str">
        <f>""</f>
        <v/>
      </c>
      <c r="AA1525" t="str">
        <f>"74274.00"</f>
        <v>74274.00</v>
      </c>
      <c r="AB1525" t="str">
        <f t="shared" si="535"/>
        <v>Residential</v>
      </c>
      <c r="AC1525" t="str">
        <f t="shared" si="523"/>
        <v>0</v>
      </c>
      <c r="AD1525" t="str">
        <f t="shared" si="539"/>
        <v>4</v>
      </c>
      <c r="AE1525" t="str">
        <f t="shared" si="540"/>
        <v>WOOD (INCLUDE STEEL STUDS)</v>
      </c>
      <c r="AF1525" t="str">
        <f t="shared" si="541"/>
        <v>002</v>
      </c>
      <c r="AG1525" t="str">
        <f t="shared" si="537"/>
        <v>FL</v>
      </c>
      <c r="AH1525" t="str">
        <f>"43560.00"</f>
        <v>43560.00</v>
      </c>
      <c r="AI1525" t="str">
        <f>"25000.00"</f>
        <v>25000.00</v>
      </c>
      <c r="AJ1525" t="str">
        <f>"C55-000-587-6462-2"</f>
        <v>C55-000-587-6462-2</v>
      </c>
      <c r="AK1525" t="str">
        <f>"27871"</f>
        <v>27871</v>
      </c>
      <c r="AL1525">
        <v>6</v>
      </c>
      <c r="AM1525">
        <v>1744</v>
      </c>
      <c r="AN1525">
        <v>1140.98</v>
      </c>
      <c r="AQ1525" t="s">
        <v>15424</v>
      </c>
      <c r="AR1525" t="s">
        <v>15424</v>
      </c>
      <c r="AS1525" t="s">
        <v>15424</v>
      </c>
      <c r="AU1525" t="s">
        <v>396</v>
      </c>
      <c r="AV1525">
        <v>2017</v>
      </c>
      <c r="AW1525" t="str">
        <f>"31-2N-28-0235-0012-0000 "</f>
        <v xml:space="preserve">31-2N-28-0235-0012-0000 </v>
      </c>
      <c r="AX1525">
        <v>95466</v>
      </c>
      <c r="AZ1525" t="s">
        <v>15401</v>
      </c>
      <c r="BA1525" t="s">
        <v>641</v>
      </c>
      <c r="BD1525" t="s">
        <v>11749</v>
      </c>
      <c r="BE1525" t="s">
        <v>393</v>
      </c>
      <c r="BF1525">
        <v>32034</v>
      </c>
      <c r="BG1525" t="s">
        <v>15425</v>
      </c>
      <c r="BH1525" t="s">
        <v>11751</v>
      </c>
      <c r="BI1525">
        <v>-81.536727361410101</v>
      </c>
      <c r="BJ1525">
        <v>30.576829242753199</v>
      </c>
      <c r="BK1525" t="s">
        <v>15426</v>
      </c>
      <c r="BM1525" t="s">
        <v>15425</v>
      </c>
      <c r="BN1525" t="s">
        <v>3983</v>
      </c>
      <c r="BO1525">
        <v>32034</v>
      </c>
      <c r="BP1525" t="s">
        <v>416</v>
      </c>
      <c r="BQ1525">
        <v>200</v>
      </c>
      <c r="BR1525" t="s">
        <v>405</v>
      </c>
      <c r="BS1525">
        <v>1006</v>
      </c>
      <c r="BT1525" t="s">
        <v>406</v>
      </c>
      <c r="BW1525">
        <v>43560</v>
      </c>
      <c r="BX1525" t="s">
        <v>407</v>
      </c>
      <c r="BZ1525">
        <v>4</v>
      </c>
      <c r="CA1525">
        <v>1998</v>
      </c>
      <c r="CB1525">
        <v>1</v>
      </c>
      <c r="CC1525">
        <v>1</v>
      </c>
      <c r="CD1525">
        <v>2017</v>
      </c>
      <c r="CE1525">
        <v>25000</v>
      </c>
      <c r="CF1525">
        <v>49274</v>
      </c>
      <c r="CG1525">
        <v>74274</v>
      </c>
      <c r="CH1525">
        <v>2017</v>
      </c>
      <c r="CI1525">
        <v>25000</v>
      </c>
      <c r="CJ1525">
        <v>49274</v>
      </c>
      <c r="CK1525">
        <v>74274</v>
      </c>
      <c r="CL1525">
        <v>2017</v>
      </c>
      <c r="CM1525">
        <v>1025.4100000000001</v>
      </c>
      <c r="CN1525" s="1">
        <v>38663</v>
      </c>
      <c r="CZ1525" s="1">
        <v>38663</v>
      </c>
      <c r="DD1525" t="s">
        <v>11749</v>
      </c>
      <c r="DF1525">
        <v>12</v>
      </c>
      <c r="DG1525">
        <v>31</v>
      </c>
      <c r="DL1525">
        <v>50303</v>
      </c>
      <c r="DM1525" t="s">
        <v>15386</v>
      </c>
      <c r="DO1525" t="s">
        <v>15427</v>
      </c>
      <c r="DP1525">
        <v>0</v>
      </c>
      <c r="DQ1525">
        <v>0</v>
      </c>
      <c r="DR1525" t="s">
        <v>411</v>
      </c>
      <c r="DS1525" t="b">
        <v>1</v>
      </c>
      <c r="DT1525" t="s">
        <v>470</v>
      </c>
      <c r="DU1525" t="s">
        <v>471</v>
      </c>
      <c r="DV1525" t="s">
        <v>472</v>
      </c>
      <c r="DX1525">
        <v>-9999</v>
      </c>
      <c r="DZ1525" t="s">
        <v>447</v>
      </c>
      <c r="EA1525" t="s">
        <v>448</v>
      </c>
      <c r="EB1525" t="s">
        <v>742</v>
      </c>
      <c r="EC1525">
        <v>20101217</v>
      </c>
      <c r="ED1525" t="s">
        <v>474</v>
      </c>
      <c r="EF1525">
        <v>2421.5</v>
      </c>
      <c r="EG1525">
        <v>2036.7</v>
      </c>
      <c r="EI1525">
        <v>20160407</v>
      </c>
      <c r="EJ1525">
        <v>0</v>
      </c>
      <c r="EK1525">
        <v>0</v>
      </c>
      <c r="EP1525" t="s">
        <v>421</v>
      </c>
      <c r="EQ1525" t="s">
        <v>452</v>
      </c>
      <c r="ER1525">
        <v>0</v>
      </c>
      <c r="ES1525">
        <v>7</v>
      </c>
      <c r="ET1525">
        <v>0</v>
      </c>
      <c r="EU1525">
        <v>0</v>
      </c>
      <c r="EV1525">
        <v>0</v>
      </c>
      <c r="EW1525" s="2">
        <v>43222</v>
      </c>
      <c r="EX1525" s="1">
        <v>42515</v>
      </c>
      <c r="EY1525">
        <v>2015</v>
      </c>
      <c r="EZ1525">
        <v>1070.5</v>
      </c>
      <c r="FA1525" t="s">
        <v>15428</v>
      </c>
      <c r="FB1525">
        <v>4.75</v>
      </c>
      <c r="FC1525" t="s">
        <v>424</v>
      </c>
      <c r="FD1525" t="s">
        <v>425</v>
      </c>
      <c r="FE1525" s="1">
        <v>42852</v>
      </c>
      <c r="FF1525">
        <v>11</v>
      </c>
      <c r="FG1525">
        <v>2035919</v>
      </c>
      <c r="FH1525" t="s">
        <v>507</v>
      </c>
      <c r="FI1525" t="s">
        <v>458</v>
      </c>
      <c r="FJ1525" s="1">
        <v>42151</v>
      </c>
      <c r="FK1525">
        <v>2014</v>
      </c>
      <c r="FL1525">
        <v>1099.1099999999999</v>
      </c>
      <c r="FM1525" t="s">
        <v>15429</v>
      </c>
      <c r="FN1525">
        <v>4.75</v>
      </c>
      <c r="FO1525" t="s">
        <v>424</v>
      </c>
      <c r="FP1525" t="s">
        <v>425</v>
      </c>
      <c r="FR1525">
        <v>22</v>
      </c>
      <c r="FS1525">
        <v>4975593</v>
      </c>
      <c r="FT1525" t="s">
        <v>505</v>
      </c>
      <c r="FU1525" t="s">
        <v>458</v>
      </c>
      <c r="FV1525" s="1">
        <v>41787</v>
      </c>
      <c r="FW1525">
        <v>2013</v>
      </c>
      <c r="FX1525">
        <v>1140.01</v>
      </c>
      <c r="FY1525" t="s">
        <v>15430</v>
      </c>
      <c r="FZ1525">
        <v>0.25</v>
      </c>
      <c r="GA1525" t="s">
        <v>424</v>
      </c>
      <c r="GB1525" t="s">
        <v>425</v>
      </c>
      <c r="GC1525" s="1">
        <v>42578</v>
      </c>
      <c r="GD1525">
        <v>26</v>
      </c>
      <c r="GE1525">
        <v>10125</v>
      </c>
      <c r="GF1525" t="s">
        <v>440</v>
      </c>
      <c r="GH1525" s="1">
        <v>41423</v>
      </c>
      <c r="GI1525">
        <v>2012</v>
      </c>
      <c r="GJ1525">
        <v>1178.28</v>
      </c>
      <c r="GK1525" t="s">
        <v>15431</v>
      </c>
      <c r="GL1525">
        <v>0.25</v>
      </c>
      <c r="GM1525" t="s">
        <v>424</v>
      </c>
      <c r="GN1525" t="s">
        <v>425</v>
      </c>
      <c r="GO1525" s="1">
        <v>42138</v>
      </c>
      <c r="GP1525">
        <v>24</v>
      </c>
      <c r="GQ1525">
        <v>606981</v>
      </c>
      <c r="GR1525" t="s">
        <v>792</v>
      </c>
      <c r="GT1525" s="1">
        <v>41052</v>
      </c>
      <c r="GU1525">
        <v>2011</v>
      </c>
      <c r="GV1525">
        <v>601.6</v>
      </c>
      <c r="GW1525" t="s">
        <v>15432</v>
      </c>
      <c r="GX1525">
        <v>6</v>
      </c>
      <c r="GY1525" t="s">
        <v>424</v>
      </c>
      <c r="GZ1525" t="s">
        <v>425</v>
      </c>
      <c r="HA1525" s="1">
        <v>42138</v>
      </c>
      <c r="HB1525">
        <v>36</v>
      </c>
      <c r="HC1525">
        <v>375</v>
      </c>
      <c r="HD1525" t="s">
        <v>776</v>
      </c>
      <c r="HF1525" s="1">
        <v>41052</v>
      </c>
      <c r="HG1525">
        <v>2011</v>
      </c>
      <c r="HH1525">
        <v>601.6</v>
      </c>
      <c r="HI1525" t="s">
        <v>15432</v>
      </c>
      <c r="HJ1525">
        <v>6</v>
      </c>
      <c r="HK1525" t="s">
        <v>424</v>
      </c>
      <c r="HL1525" t="s">
        <v>425</v>
      </c>
      <c r="HN1525">
        <v>22</v>
      </c>
      <c r="HO1525">
        <v>105</v>
      </c>
      <c r="HP1525" t="s">
        <v>946</v>
      </c>
      <c r="HR1525" s="1">
        <v>40688</v>
      </c>
      <c r="HS1525">
        <v>2010</v>
      </c>
      <c r="HT1525">
        <v>671.7</v>
      </c>
      <c r="HU1525" t="s">
        <v>15433</v>
      </c>
      <c r="HV1525">
        <v>6</v>
      </c>
      <c r="HW1525" t="s">
        <v>424</v>
      </c>
      <c r="HX1525" t="s">
        <v>425</v>
      </c>
      <c r="HY1525" s="1">
        <v>41382</v>
      </c>
      <c r="HZ1525">
        <v>23</v>
      </c>
      <c r="IA1525">
        <v>105</v>
      </c>
      <c r="IB1525" t="s">
        <v>946</v>
      </c>
    </row>
    <row r="1526" spans="1:284" x14ac:dyDescent="0.25">
      <c r="A1526">
        <v>16486533</v>
      </c>
      <c r="B1526">
        <v>1525</v>
      </c>
      <c r="C1526" t="s">
        <v>393</v>
      </c>
      <c r="D1526" t="s">
        <v>394</v>
      </c>
      <c r="F1526" t="str">
        <f>"31-2N-28-1400-0007-0010"</f>
        <v>31-2N-28-1400-0007-0010</v>
      </c>
      <c r="H1526" t="str">
        <f>"WEAVER RICHARD D &amp; AMANDA"</f>
        <v>WEAVER RICHARD D &amp; AMANDA</v>
      </c>
      <c r="I1526" t="str">
        <f>"811 GA HWY 247 SOUTH"</f>
        <v>811 GA HWY 247 SOUTH</v>
      </c>
      <c r="J1526" t="str">
        <f>"KATHLEEN GA 31047"</f>
        <v>KATHLEEN GA 31047</v>
      </c>
      <c r="K1526" t="str">
        <f>"95272 KAREN WALK"</f>
        <v>95272 KAREN WALK</v>
      </c>
      <c r="L1526" t="str">
        <f t="shared" si="538"/>
        <v>FERNANDINA BEACH FL 32034</v>
      </c>
      <c r="M1526" t="str">
        <f>"W290.37 OF LOT 7 (S-1 &amp; S-2) IN OR 1485/1057 1985 CHAL DW/MH MOBLEY HEIGHTS NORTH PB 5/146"</f>
        <v>W290.37 OF LOT 7 (S-1 &amp; S-2) IN OR 1485/1057 1985 CHAL DW/MH MOBLEY HEIGHTS NORTH PB 5/146</v>
      </c>
      <c r="N1526" t="str">
        <f>""</f>
        <v/>
      </c>
      <c r="O1526" t="str">
        <f>"39818"</f>
        <v>39818</v>
      </c>
      <c r="P1526" t="str">
        <f t="shared" si="514"/>
        <v>2017</v>
      </c>
      <c r="Q1526" t="str">
        <f>""</f>
        <v/>
      </c>
      <c r="R1526" t="str">
        <f>"N"</f>
        <v>N</v>
      </c>
      <c r="S1526" t="str">
        <f>"1.00"</f>
        <v>1.00</v>
      </c>
      <c r="T1526" t="str">
        <f>"596.94"</f>
        <v>596.94</v>
      </c>
      <c r="U1526" t="str">
        <f>"39411.00"</f>
        <v>39411.00</v>
      </c>
      <c r="V1526" t="str">
        <f>"39411.00"</f>
        <v>39411.00</v>
      </c>
      <c r="W1526" t="str">
        <f t="shared" si="515"/>
        <v>2017</v>
      </c>
      <c r="X1526" t="str">
        <f>"2.33"</f>
        <v>2.33</v>
      </c>
      <c r="Y1526" t="str">
        <f>"646.85"</f>
        <v>646.85</v>
      </c>
      <c r="Z1526" t="str">
        <f>""</f>
        <v/>
      </c>
      <c r="AA1526" t="str">
        <f>"39458.00"</f>
        <v>39458.00</v>
      </c>
      <c r="AB1526" t="str">
        <f t="shared" si="535"/>
        <v>Residential</v>
      </c>
      <c r="AC1526" t="str">
        <f t="shared" si="523"/>
        <v>0</v>
      </c>
      <c r="AD1526" t="str">
        <f t="shared" si="539"/>
        <v>4</v>
      </c>
      <c r="AE1526" t="str">
        <f t="shared" si="540"/>
        <v>WOOD (INCLUDE STEEL STUDS)</v>
      </c>
      <c r="AF1526" t="str">
        <f t="shared" si="541"/>
        <v>002</v>
      </c>
      <c r="AG1526" t="str">
        <f>"GA"</f>
        <v>GA</v>
      </c>
      <c r="AH1526" t="str">
        <f>"43560.00"</f>
        <v>43560.00</v>
      </c>
      <c r="AI1526" t="str">
        <f>"25000.00"</f>
        <v>25000.00</v>
      </c>
      <c r="AJ1526" t="str">
        <f>"C55-000-587-6483-8"</f>
        <v>C55-000-587-6483-8</v>
      </c>
      <c r="AK1526" t="str">
        <f>"27897"</f>
        <v>27897</v>
      </c>
      <c r="AL1526">
        <v>6</v>
      </c>
      <c r="AM1526">
        <v>1745</v>
      </c>
      <c r="AN1526">
        <v>677.59</v>
      </c>
      <c r="AQ1526" t="s">
        <v>15434</v>
      </c>
      <c r="AR1526" t="s">
        <v>15434</v>
      </c>
      <c r="AS1526" t="s">
        <v>15434</v>
      </c>
      <c r="AU1526" t="s">
        <v>396</v>
      </c>
      <c r="AV1526">
        <v>2017</v>
      </c>
      <c r="AW1526" t="str">
        <f>"31-2N-28-1400-0007-0010 "</f>
        <v xml:space="preserve">31-2N-28-1400-0007-0010 </v>
      </c>
      <c r="AX1526">
        <v>95272</v>
      </c>
      <c r="AZ1526" t="s">
        <v>15394</v>
      </c>
      <c r="BD1526" t="s">
        <v>11749</v>
      </c>
      <c r="BE1526" t="s">
        <v>393</v>
      </c>
      <c r="BF1526">
        <v>32034</v>
      </c>
      <c r="BG1526" t="s">
        <v>15435</v>
      </c>
      <c r="BH1526" t="s">
        <v>11751</v>
      </c>
      <c r="BI1526">
        <v>-81.5396106979818</v>
      </c>
      <c r="BJ1526">
        <v>30.574874093327502</v>
      </c>
      <c r="BK1526" t="s">
        <v>15436</v>
      </c>
      <c r="BL1526" t="s">
        <v>15437</v>
      </c>
      <c r="BM1526" t="s">
        <v>15438</v>
      </c>
      <c r="BN1526" t="s">
        <v>15439</v>
      </c>
      <c r="BO1526">
        <v>31047</v>
      </c>
      <c r="BP1526" t="s">
        <v>404</v>
      </c>
      <c r="BQ1526">
        <v>200</v>
      </c>
      <c r="BR1526" t="s">
        <v>405</v>
      </c>
      <c r="BS1526">
        <v>1006</v>
      </c>
      <c r="BT1526" t="s">
        <v>406</v>
      </c>
      <c r="BW1526">
        <v>43560</v>
      </c>
      <c r="BX1526" t="s">
        <v>407</v>
      </c>
      <c r="BY1526" t="s">
        <v>408</v>
      </c>
      <c r="BZ1526">
        <v>4</v>
      </c>
      <c r="CA1526">
        <v>1985</v>
      </c>
      <c r="CB1526">
        <v>1</v>
      </c>
      <c r="CC1526">
        <v>1</v>
      </c>
      <c r="CD1526">
        <v>2017</v>
      </c>
      <c r="CE1526">
        <v>25000</v>
      </c>
      <c r="CF1526">
        <v>14458</v>
      </c>
      <c r="CG1526">
        <v>39458</v>
      </c>
      <c r="CH1526">
        <v>2017</v>
      </c>
      <c r="CI1526">
        <v>25000</v>
      </c>
      <c r="CJ1526">
        <v>14458</v>
      </c>
      <c r="CK1526">
        <v>39458</v>
      </c>
      <c r="CL1526">
        <v>2017</v>
      </c>
      <c r="CM1526">
        <v>596.94000000000005</v>
      </c>
      <c r="CN1526" s="1">
        <v>39119</v>
      </c>
      <c r="CO1526">
        <v>65000</v>
      </c>
      <c r="CV1526">
        <v>60000</v>
      </c>
      <c r="CX1526" t="s">
        <v>5513</v>
      </c>
      <c r="CZ1526" s="1">
        <v>39119</v>
      </c>
      <c r="DA1526">
        <v>0</v>
      </c>
      <c r="DD1526" t="s">
        <v>11749</v>
      </c>
      <c r="DF1526">
        <v>7</v>
      </c>
      <c r="DG1526">
        <v>31</v>
      </c>
      <c r="DL1526">
        <v>50303</v>
      </c>
      <c r="DM1526" t="s">
        <v>15386</v>
      </c>
      <c r="DO1526" t="s">
        <v>15440</v>
      </c>
      <c r="DP1526">
        <v>0</v>
      </c>
      <c r="DQ1526">
        <v>0</v>
      </c>
      <c r="DR1526" t="s">
        <v>411</v>
      </c>
      <c r="EP1526" t="s">
        <v>421</v>
      </c>
      <c r="EQ1526" t="s">
        <v>422</v>
      </c>
      <c r="ER1526">
        <v>0</v>
      </c>
      <c r="ES1526">
        <v>1</v>
      </c>
      <c r="ET1526">
        <v>0</v>
      </c>
      <c r="EU1526">
        <v>0</v>
      </c>
      <c r="EV1526">
        <v>0</v>
      </c>
      <c r="EW1526" s="2">
        <v>43222</v>
      </c>
      <c r="EX1526" s="1">
        <v>41423</v>
      </c>
      <c r="EY1526">
        <v>2012</v>
      </c>
      <c r="EZ1526">
        <v>274.29000000000002</v>
      </c>
      <c r="FA1526" t="s">
        <v>15441</v>
      </c>
      <c r="FB1526">
        <v>3.75</v>
      </c>
      <c r="FC1526" t="s">
        <v>424</v>
      </c>
      <c r="FD1526" t="s">
        <v>425</v>
      </c>
      <c r="FE1526" s="1">
        <v>41467</v>
      </c>
      <c r="FF1526">
        <v>2</v>
      </c>
      <c r="FG1526">
        <v>15399</v>
      </c>
      <c r="FH1526" t="s">
        <v>485</v>
      </c>
    </row>
    <row r="1527" spans="1:284" x14ac:dyDescent="0.25">
      <c r="A1527">
        <v>16486534</v>
      </c>
      <c r="B1527">
        <v>1526</v>
      </c>
      <c r="C1527" t="s">
        <v>393</v>
      </c>
      <c r="D1527" t="s">
        <v>394</v>
      </c>
      <c r="F1527" t="str">
        <f>"31-2N-28-1600-0003-0000"</f>
        <v>31-2N-28-1600-0003-0000</v>
      </c>
      <c r="H1527" t="str">
        <f>"ROLSTON KRISTIN P &amp; HILL TAWANNA MARIE (JT/RS)"</f>
        <v>ROLSTON KRISTIN P &amp; HILL TAWANNA MARIE (JT/RS)</v>
      </c>
      <c r="I1527" t="str">
        <f>"95587 LEO DRIVE"</f>
        <v>95587 LEO DRIVE</v>
      </c>
      <c r="J1527" t="str">
        <f>"FERNANDINA BEACH FL 32034"</f>
        <v>FERNANDINA BEACH FL 32034</v>
      </c>
      <c r="K1527" t="str">
        <f>"95587 LEO DR"</f>
        <v>95587 LEO DR</v>
      </c>
      <c r="L1527" t="str">
        <f t="shared" si="538"/>
        <v>FERNANDINA BEACH FL 32034</v>
      </c>
      <c r="M1527" t="str">
        <f>"LOT 3 IN OR 1081/567 OAK HILL EST 1 PB 5/90 &amp; 91"</f>
        <v>LOT 3 IN OR 1081/567 OAK HILL EST 1 PB 5/90 &amp; 91</v>
      </c>
      <c r="N1527" t="str">
        <f>""</f>
        <v/>
      </c>
      <c r="O1527" t="str">
        <f>"39823"</f>
        <v>39823</v>
      </c>
      <c r="P1527" t="str">
        <f t="shared" si="514"/>
        <v>2017</v>
      </c>
      <c r="Q1527" t="str">
        <f>""</f>
        <v/>
      </c>
      <c r="R1527" t="str">
        <f>"N"</f>
        <v>N</v>
      </c>
      <c r="S1527" t="str">
        <f>"1.62"</f>
        <v>1.62</v>
      </c>
      <c r="T1527" t="str">
        <f>"685.15"</f>
        <v>685.15</v>
      </c>
      <c r="U1527" t="str">
        <f>"43140.00"</f>
        <v>43140.00</v>
      </c>
      <c r="V1527" t="str">
        <f>"43140.00"</f>
        <v>43140.00</v>
      </c>
      <c r="W1527" t="str">
        <f t="shared" si="515"/>
        <v>2017</v>
      </c>
      <c r="X1527" t="str">
        <f>"17.00"</f>
        <v>17.00</v>
      </c>
      <c r="Y1527" t="str">
        <f>"737.70"</f>
        <v>737.70</v>
      </c>
      <c r="Z1527" t="str">
        <f>""</f>
        <v/>
      </c>
      <c r="AA1527" t="str">
        <f>"48000.00"</f>
        <v>48000.00</v>
      </c>
      <c r="AB1527" t="str">
        <f t="shared" si="535"/>
        <v>Residential</v>
      </c>
      <c r="AC1527" t="str">
        <f t="shared" si="523"/>
        <v>0</v>
      </c>
      <c r="AD1527" t="str">
        <f>""</f>
        <v/>
      </c>
      <c r="AE1527" t="str">
        <f>""</f>
        <v/>
      </c>
      <c r="AF1527" t="str">
        <f>"000"</f>
        <v>000</v>
      </c>
      <c r="AG1527" t="str">
        <f t="shared" ref="AG1527:AG1539" si="542">"FL"</f>
        <v>FL</v>
      </c>
      <c r="AH1527" t="str">
        <f>"70567.00"</f>
        <v>70567.00</v>
      </c>
      <c r="AI1527" t="str">
        <f>"40500.00"</f>
        <v>40500.00</v>
      </c>
      <c r="AJ1527" t="str">
        <f>"C55-000-587-6486-1"</f>
        <v>C55-000-587-6486-1</v>
      </c>
      <c r="AK1527" t="str">
        <f>"27900"</f>
        <v>27900</v>
      </c>
      <c r="AL1527">
        <v>6</v>
      </c>
      <c r="AM1527">
        <v>1748</v>
      </c>
      <c r="AN1527">
        <v>772.99</v>
      </c>
      <c r="AQ1527" t="s">
        <v>15442</v>
      </c>
      <c r="AR1527" t="s">
        <v>15442</v>
      </c>
      <c r="AS1527" t="s">
        <v>15442</v>
      </c>
      <c r="AU1527" t="s">
        <v>396</v>
      </c>
      <c r="AV1527">
        <v>2017</v>
      </c>
      <c r="AW1527" t="str">
        <f>"31-2N-28-1600-0003-0000 "</f>
        <v xml:space="preserve">31-2N-28-1600-0003-0000 </v>
      </c>
      <c r="AX1527">
        <v>95587</v>
      </c>
      <c r="AZ1527" t="s">
        <v>15443</v>
      </c>
      <c r="BA1527" t="s">
        <v>669</v>
      </c>
      <c r="BD1527" t="s">
        <v>11749</v>
      </c>
      <c r="BE1527" t="s">
        <v>393</v>
      </c>
      <c r="BF1527">
        <v>32034</v>
      </c>
      <c r="BG1527" t="s">
        <v>15444</v>
      </c>
      <c r="BH1527" t="s">
        <v>11751</v>
      </c>
      <c r="BI1527">
        <v>-81.529931225285694</v>
      </c>
      <c r="BJ1527">
        <v>30.579015703465299</v>
      </c>
      <c r="BK1527" t="s">
        <v>15445</v>
      </c>
      <c r="BM1527" t="s">
        <v>15446</v>
      </c>
      <c r="BN1527" t="s">
        <v>3983</v>
      </c>
      <c r="BO1527">
        <v>32034</v>
      </c>
      <c r="BP1527" t="s">
        <v>404</v>
      </c>
      <c r="BQ1527">
        <v>1</v>
      </c>
      <c r="BR1527" t="s">
        <v>491</v>
      </c>
      <c r="BS1527">
        <v>8001</v>
      </c>
      <c r="BT1527" t="s">
        <v>492</v>
      </c>
      <c r="BW1527">
        <v>70567</v>
      </c>
      <c r="BX1527" t="s">
        <v>407</v>
      </c>
      <c r="BY1527" t="s">
        <v>408</v>
      </c>
      <c r="CB1527">
        <v>1</v>
      </c>
      <c r="CD1527">
        <v>2017</v>
      </c>
      <c r="CE1527">
        <v>40500</v>
      </c>
      <c r="CF1527">
        <v>7500</v>
      </c>
      <c r="CG1527">
        <v>48000</v>
      </c>
      <c r="CH1527">
        <v>2017</v>
      </c>
      <c r="CI1527">
        <v>40500</v>
      </c>
      <c r="CJ1527">
        <v>7500</v>
      </c>
      <c r="CK1527">
        <v>48000</v>
      </c>
      <c r="CL1527">
        <v>2017</v>
      </c>
      <c r="CM1527">
        <v>685.15</v>
      </c>
      <c r="CN1527" s="1">
        <v>37517</v>
      </c>
      <c r="CO1527">
        <v>12500</v>
      </c>
      <c r="CZ1527" s="1">
        <v>37517</v>
      </c>
      <c r="DD1527" t="s">
        <v>11749</v>
      </c>
      <c r="DF1527">
        <v>3</v>
      </c>
      <c r="DG1527">
        <v>31</v>
      </c>
      <c r="DJ1527" t="s">
        <v>15447</v>
      </c>
      <c r="DL1527">
        <v>50303</v>
      </c>
      <c r="DM1527" t="s">
        <v>15386</v>
      </c>
      <c r="DO1527" t="s">
        <v>15448</v>
      </c>
      <c r="DP1527">
        <v>0</v>
      </c>
      <c r="DQ1527">
        <v>0</v>
      </c>
      <c r="DR1527" t="s">
        <v>411</v>
      </c>
      <c r="DS1527" t="b">
        <v>1</v>
      </c>
      <c r="DT1527" t="s">
        <v>470</v>
      </c>
      <c r="DU1527" t="s">
        <v>471</v>
      </c>
      <c r="DV1527" t="s">
        <v>472</v>
      </c>
      <c r="DX1527">
        <v>-9999</v>
      </c>
      <c r="DZ1527" t="s">
        <v>447</v>
      </c>
      <c r="EA1527" t="s">
        <v>448</v>
      </c>
      <c r="EB1527" t="s">
        <v>742</v>
      </c>
      <c r="EC1527">
        <v>20101217</v>
      </c>
      <c r="ED1527" t="s">
        <v>474</v>
      </c>
      <c r="EF1527">
        <v>1908.5</v>
      </c>
      <c r="EG1527">
        <v>1414.3</v>
      </c>
      <c r="EI1527">
        <v>20160407</v>
      </c>
      <c r="EJ1527">
        <v>0</v>
      </c>
      <c r="EK1527">
        <v>0</v>
      </c>
      <c r="EP1527" t="s">
        <v>421</v>
      </c>
      <c r="EQ1527" t="s">
        <v>422</v>
      </c>
      <c r="ER1527">
        <v>4</v>
      </c>
      <c r="ES1527">
        <v>3</v>
      </c>
      <c r="ET1527">
        <v>4858.76</v>
      </c>
      <c r="EU1527">
        <v>267.94</v>
      </c>
      <c r="EV1527">
        <v>5126.7</v>
      </c>
      <c r="EW1527" s="2">
        <v>43222</v>
      </c>
      <c r="EX1527" s="1">
        <v>42879</v>
      </c>
      <c r="EY1527">
        <v>2016</v>
      </c>
      <c r="EZ1527">
        <v>1172.43</v>
      </c>
      <c r="FA1527" t="s">
        <v>15449</v>
      </c>
      <c r="FB1527">
        <v>0.25</v>
      </c>
      <c r="FC1527" t="s">
        <v>424</v>
      </c>
      <c r="FD1527" t="s">
        <v>454</v>
      </c>
      <c r="FF1527">
        <v>12</v>
      </c>
      <c r="FG1527">
        <v>2851116</v>
      </c>
      <c r="FH1527" t="s">
        <v>480</v>
      </c>
      <c r="FJ1527" s="1">
        <v>42879</v>
      </c>
      <c r="FK1527">
        <v>2016</v>
      </c>
      <c r="FL1527">
        <v>1172.43</v>
      </c>
      <c r="FM1527" t="s">
        <v>15449</v>
      </c>
      <c r="FN1527">
        <v>0.25</v>
      </c>
      <c r="FO1527" t="s">
        <v>424</v>
      </c>
      <c r="FP1527" t="s">
        <v>454</v>
      </c>
      <c r="FR1527">
        <v>12</v>
      </c>
      <c r="FS1527">
        <v>5354717</v>
      </c>
      <c r="FT1527" t="s">
        <v>15450</v>
      </c>
      <c r="FV1527" s="1">
        <v>42515</v>
      </c>
      <c r="FW1527">
        <v>2015</v>
      </c>
      <c r="FX1527">
        <v>1256.95</v>
      </c>
      <c r="FY1527" t="s">
        <v>15451</v>
      </c>
      <c r="FZ1527">
        <v>0.25</v>
      </c>
      <c r="GA1527" t="s">
        <v>424</v>
      </c>
      <c r="GB1527" t="s">
        <v>454</v>
      </c>
      <c r="GD1527">
        <v>24</v>
      </c>
      <c r="GE1527">
        <v>2851116</v>
      </c>
      <c r="GF1527" t="s">
        <v>480</v>
      </c>
      <c r="GH1527" s="1">
        <v>42515</v>
      </c>
      <c r="GI1527">
        <v>2015</v>
      </c>
      <c r="GJ1527">
        <v>1256.95</v>
      </c>
      <c r="GK1527" t="s">
        <v>15451</v>
      </c>
      <c r="GL1527">
        <v>0.25</v>
      </c>
      <c r="GM1527" t="s">
        <v>424</v>
      </c>
      <c r="GN1527" t="s">
        <v>454</v>
      </c>
      <c r="GP1527">
        <v>24</v>
      </c>
      <c r="GQ1527">
        <v>4861955</v>
      </c>
      <c r="GR1527" t="s">
        <v>15452</v>
      </c>
      <c r="GT1527" s="1">
        <v>41787</v>
      </c>
      <c r="GU1527">
        <v>2013</v>
      </c>
      <c r="GV1527">
        <v>651.11</v>
      </c>
      <c r="GW1527" t="s">
        <v>15453</v>
      </c>
      <c r="GX1527">
        <v>0.25</v>
      </c>
      <c r="GY1527" t="s">
        <v>424</v>
      </c>
      <c r="GZ1527" t="s">
        <v>425</v>
      </c>
      <c r="HA1527" s="1">
        <v>41988</v>
      </c>
      <c r="HB1527">
        <v>7</v>
      </c>
      <c r="HC1527">
        <v>2407503</v>
      </c>
      <c r="HD1527" t="s">
        <v>461</v>
      </c>
      <c r="HF1527" s="1">
        <v>41052</v>
      </c>
      <c r="HG1527">
        <v>2011</v>
      </c>
      <c r="HH1527">
        <v>877.42</v>
      </c>
      <c r="HI1527" t="s">
        <v>15454</v>
      </c>
      <c r="HJ1527">
        <v>6</v>
      </c>
      <c r="HK1527" t="s">
        <v>424</v>
      </c>
      <c r="HL1527" t="s">
        <v>425</v>
      </c>
      <c r="HM1527" s="1">
        <v>41558</v>
      </c>
      <c r="HN1527">
        <v>17</v>
      </c>
      <c r="HO1527">
        <v>62</v>
      </c>
      <c r="HP1527" t="s">
        <v>463</v>
      </c>
      <c r="HR1527" s="1">
        <v>40688</v>
      </c>
      <c r="HS1527">
        <v>2010</v>
      </c>
      <c r="HT1527">
        <v>1043.32</v>
      </c>
      <c r="HU1527" t="s">
        <v>15455</v>
      </c>
      <c r="HV1527">
        <v>6</v>
      </c>
      <c r="HW1527" t="s">
        <v>424</v>
      </c>
      <c r="HX1527" t="s">
        <v>425</v>
      </c>
      <c r="HY1527" s="1">
        <v>41558</v>
      </c>
      <c r="HZ1527">
        <v>29</v>
      </c>
      <c r="IA1527">
        <v>105</v>
      </c>
      <c r="IB1527" t="s">
        <v>946</v>
      </c>
    </row>
    <row r="1528" spans="1:284" x14ac:dyDescent="0.25">
      <c r="A1528">
        <v>16486535</v>
      </c>
      <c r="B1528">
        <v>1527</v>
      </c>
      <c r="C1528" t="s">
        <v>393</v>
      </c>
      <c r="D1528" t="s">
        <v>394</v>
      </c>
      <c r="F1528" t="str">
        <f>"31-2N-28-1600-0015-0000"</f>
        <v>31-2N-28-1600-0015-0000</v>
      </c>
      <c r="H1528" t="str">
        <f>"HALL JESSIE LEE &amp; BRENDA S"</f>
        <v>HALL JESSIE LEE &amp; BRENDA S</v>
      </c>
      <c r="I1528" t="str">
        <f>"95304 LEO DR"</f>
        <v>95304 LEO DR</v>
      </c>
      <c r="J1528" t="str">
        <f>"FERNANDINA BEACH FL 32034"</f>
        <v>FERNANDINA BEACH FL 32034</v>
      </c>
      <c r="K1528" t="str">
        <f>"95304 LEO DR"</f>
        <v>95304 LEO DR</v>
      </c>
      <c r="L1528" t="str">
        <f t="shared" si="538"/>
        <v>FERNANDINA BEACH FL 32034</v>
      </c>
      <c r="M1528" t="str">
        <f>"LOT 15 IN OR 689 PG 529 R787515 R787516 &amp; R787517 OAK HILL EST 1 PB 5/90 &amp; 91"</f>
        <v>LOT 15 IN OR 689 PG 529 R787515 R787516 &amp; R787517 OAK HILL EST 1 PB 5/90 &amp; 91</v>
      </c>
      <c r="N1528" t="str">
        <f>""</f>
        <v/>
      </c>
      <c r="O1528" t="str">
        <f>"39837"</f>
        <v>39837</v>
      </c>
      <c r="P1528" t="str">
        <f t="shared" si="514"/>
        <v>2017</v>
      </c>
      <c r="Q1528" t="str">
        <f>""</f>
        <v/>
      </c>
      <c r="R1528" t="str">
        <f>"Y"</f>
        <v>Y</v>
      </c>
      <c r="S1528" t="str">
        <f>"1.02"</f>
        <v>1.02</v>
      </c>
      <c r="T1528" t="str">
        <f>"530.81"</f>
        <v>530.81</v>
      </c>
      <c r="U1528" t="str">
        <f>"73088.00"</f>
        <v>73088.00</v>
      </c>
      <c r="V1528" t="str">
        <f>"73088.00"</f>
        <v>73088.00</v>
      </c>
      <c r="W1528" t="str">
        <f t="shared" si="515"/>
        <v>2017</v>
      </c>
      <c r="X1528" t="str">
        <f>""</f>
        <v/>
      </c>
      <c r="Y1528" t="str">
        <f>"578.73"</f>
        <v>578.73</v>
      </c>
      <c r="Z1528" t="str">
        <f>"25000.00"</f>
        <v>25000.00</v>
      </c>
      <c r="AA1528" t="str">
        <f>"48088.00"</f>
        <v>48088.00</v>
      </c>
      <c r="AB1528" t="str">
        <f t="shared" si="535"/>
        <v>Residential</v>
      </c>
      <c r="AC1528" t="str">
        <f t="shared" si="523"/>
        <v>0</v>
      </c>
      <c r="AD1528" t="str">
        <f t="shared" ref="AD1528:AD1533" si="543">"4"</f>
        <v>4</v>
      </c>
      <c r="AE1528" t="str">
        <f t="shared" ref="AE1528:AE1533" si="544">"WOOD (INCLUDE STEEL STUDS)"</f>
        <v>WOOD (INCLUDE STEEL STUDS)</v>
      </c>
      <c r="AF1528" t="str">
        <f>"002"</f>
        <v>002</v>
      </c>
      <c r="AG1528" t="str">
        <f t="shared" si="542"/>
        <v>FL</v>
      </c>
      <c r="AH1528" t="str">
        <f>"44431.00"</f>
        <v>44431.00</v>
      </c>
      <c r="AI1528" t="str">
        <f>"25500.00"</f>
        <v>25500.00</v>
      </c>
      <c r="AJ1528" t="str">
        <f>"C55-000-587-6499-4"</f>
        <v>C55-000-587-6499-4</v>
      </c>
      <c r="AK1528" t="str">
        <f>"27913"</f>
        <v>27913</v>
      </c>
      <c r="AL1528">
        <v>6</v>
      </c>
      <c r="AM1528">
        <v>1749</v>
      </c>
      <c r="AN1528">
        <v>606.07000000000005</v>
      </c>
      <c r="AQ1528" t="s">
        <v>15456</v>
      </c>
      <c r="AR1528" t="s">
        <v>15456</v>
      </c>
      <c r="AS1528" t="s">
        <v>15456</v>
      </c>
      <c r="AU1528" t="s">
        <v>396</v>
      </c>
      <c r="AV1528">
        <v>2017</v>
      </c>
      <c r="AW1528" t="str">
        <f>"31-2N-28-1600-0015-0000 "</f>
        <v xml:space="preserve">31-2N-28-1600-0015-0000 </v>
      </c>
      <c r="AX1528">
        <v>95304</v>
      </c>
      <c r="AZ1528" t="s">
        <v>15443</v>
      </c>
      <c r="BA1528" t="s">
        <v>669</v>
      </c>
      <c r="BD1528" t="s">
        <v>11749</v>
      </c>
      <c r="BE1528" t="s">
        <v>393</v>
      </c>
      <c r="BF1528">
        <v>32034</v>
      </c>
      <c r="BG1528" t="s">
        <v>15457</v>
      </c>
      <c r="BH1528" t="s">
        <v>11751</v>
      </c>
      <c r="BI1528">
        <v>-81.534972895520099</v>
      </c>
      <c r="BJ1528">
        <v>30.578399804318501</v>
      </c>
      <c r="BK1528" t="s">
        <v>15458</v>
      </c>
      <c r="BL1528" t="s">
        <v>15459</v>
      </c>
      <c r="BM1528" t="s">
        <v>15457</v>
      </c>
      <c r="BN1528" t="s">
        <v>3983</v>
      </c>
      <c r="BO1528">
        <v>32034</v>
      </c>
      <c r="BP1528" t="s">
        <v>416</v>
      </c>
      <c r="BQ1528">
        <v>200</v>
      </c>
      <c r="BR1528" t="s">
        <v>405</v>
      </c>
      <c r="BS1528">
        <v>1006</v>
      </c>
      <c r="BT1528" t="s">
        <v>406</v>
      </c>
      <c r="BW1528">
        <v>44431</v>
      </c>
      <c r="BX1528" t="s">
        <v>407</v>
      </c>
      <c r="BY1528" t="s">
        <v>408</v>
      </c>
      <c r="BZ1528">
        <v>4</v>
      </c>
      <c r="CA1528">
        <v>1998</v>
      </c>
      <c r="CB1528">
        <v>1</v>
      </c>
      <c r="CC1528">
        <v>1</v>
      </c>
      <c r="CD1528">
        <v>2017</v>
      </c>
      <c r="CG1528">
        <v>73088</v>
      </c>
      <c r="CH1528">
        <v>2017</v>
      </c>
      <c r="CI1528">
        <v>25500</v>
      </c>
      <c r="CJ1528">
        <v>69204</v>
      </c>
      <c r="CK1528">
        <v>94704</v>
      </c>
      <c r="CL1528">
        <v>2017</v>
      </c>
      <c r="CM1528">
        <v>530.80999999999995</v>
      </c>
      <c r="CN1528" s="1">
        <v>34241</v>
      </c>
      <c r="CZ1528" s="1">
        <v>34241</v>
      </c>
      <c r="DD1528" t="s">
        <v>11749</v>
      </c>
      <c r="DF1528">
        <v>15</v>
      </c>
      <c r="DG1528">
        <v>31</v>
      </c>
      <c r="DL1528">
        <v>50303</v>
      </c>
      <c r="DM1528" t="s">
        <v>15386</v>
      </c>
      <c r="DO1528" t="s">
        <v>15460</v>
      </c>
      <c r="DP1528">
        <v>0</v>
      </c>
      <c r="DQ1528">
        <v>0</v>
      </c>
      <c r="DR1528" t="s">
        <v>411</v>
      </c>
      <c r="EP1528" t="s">
        <v>6</v>
      </c>
      <c r="EQ1528" t="s">
        <v>422</v>
      </c>
      <c r="ER1528">
        <v>1</v>
      </c>
      <c r="ES1528">
        <v>0</v>
      </c>
      <c r="ET1528">
        <v>166.9</v>
      </c>
      <c r="EU1528">
        <v>36.29</v>
      </c>
      <c r="EV1528">
        <v>203.19</v>
      </c>
      <c r="EW1528" s="2">
        <v>43222</v>
      </c>
      <c r="EX1528" s="1">
        <v>42879</v>
      </c>
      <c r="EY1528">
        <v>2016</v>
      </c>
      <c r="EZ1528">
        <v>166.9</v>
      </c>
      <c r="FA1528" t="s">
        <v>15461</v>
      </c>
      <c r="FB1528">
        <v>18</v>
      </c>
      <c r="FC1528" t="s">
        <v>603</v>
      </c>
      <c r="FD1528" t="s">
        <v>454</v>
      </c>
      <c r="FF1528">
        <v>12</v>
      </c>
      <c r="FG1528">
        <v>9999999</v>
      </c>
      <c r="FH1528" t="s">
        <v>604</v>
      </c>
    </row>
    <row r="1529" spans="1:284" x14ac:dyDescent="0.25">
      <c r="A1529">
        <v>16486536</v>
      </c>
      <c r="B1529">
        <v>1528</v>
      </c>
      <c r="C1529" t="s">
        <v>393</v>
      </c>
      <c r="D1529" t="s">
        <v>394</v>
      </c>
      <c r="F1529" t="str">
        <f>"31-2N-28-1600-0020-0000"</f>
        <v>31-2N-28-1600-0020-0000</v>
      </c>
      <c r="H1529" t="str">
        <f>"MAXELL DANNY L"</f>
        <v>MAXELL DANNY L</v>
      </c>
      <c r="I1529" t="str">
        <f>"95055 JUSTIN CT"</f>
        <v>95055 JUSTIN CT</v>
      </c>
      <c r="J1529" t="str">
        <f>"FERNANDINA BEACH FL 32034"</f>
        <v>FERNANDINA BEACH FL 32034</v>
      </c>
      <c r="K1529" t="str">
        <f>"95160 LEO DR"</f>
        <v>95160 LEO DR</v>
      </c>
      <c r="L1529" t="str">
        <f t="shared" si="538"/>
        <v>FERNANDINA BEACH FL 32034</v>
      </c>
      <c r="M1529" t="str">
        <f>"LOT 20 IN OR 935/1078 OAK HILL EST 1 PB 5/90 &amp; 91"</f>
        <v>LOT 20 IN OR 935/1078 OAK HILL EST 1 PB 5/90 &amp; 91</v>
      </c>
      <c r="N1529" t="str">
        <f>""</f>
        <v/>
      </c>
      <c r="O1529" t="str">
        <f>"39842"</f>
        <v>39842</v>
      </c>
      <c r="P1529" t="str">
        <f t="shared" si="514"/>
        <v>2017</v>
      </c>
      <c r="Q1529" t="str">
        <f>""</f>
        <v/>
      </c>
      <c r="R1529" t="str">
        <f>"N"</f>
        <v>N</v>
      </c>
      <c r="S1529" t="str">
        <f>"1.02"</f>
        <v>1.02</v>
      </c>
      <c r="T1529" t="str">
        <f>"447.63"</f>
        <v>447.63</v>
      </c>
      <c r="U1529" t="str">
        <f>"27933.00"</f>
        <v>27933.00</v>
      </c>
      <c r="V1529" t="str">
        <f>"27933.00"</f>
        <v>27933.00</v>
      </c>
      <c r="W1529" t="str">
        <f t="shared" si="515"/>
        <v>2017</v>
      </c>
      <c r="X1529" t="str">
        <f>"6.00"</f>
        <v>6.00</v>
      </c>
      <c r="Y1529" t="str">
        <f>"493.06"</f>
        <v>493.06</v>
      </c>
      <c r="Z1529" t="str">
        <f>""</f>
        <v/>
      </c>
      <c r="AA1529" t="str">
        <f>"31684.00"</f>
        <v>31684.00</v>
      </c>
      <c r="AB1529" t="str">
        <f t="shared" si="535"/>
        <v>Residential</v>
      </c>
      <c r="AC1529" t="str">
        <f t="shared" si="523"/>
        <v>0</v>
      </c>
      <c r="AD1529" t="str">
        <f t="shared" si="543"/>
        <v>4</v>
      </c>
      <c r="AE1529" t="str">
        <f t="shared" si="544"/>
        <v>WOOD (INCLUDE STEEL STUDS)</v>
      </c>
      <c r="AF1529" t="str">
        <f>"002"</f>
        <v>002</v>
      </c>
      <c r="AG1529" t="str">
        <f t="shared" si="542"/>
        <v>FL</v>
      </c>
      <c r="AH1529" t="str">
        <f>"44431.00"</f>
        <v>44431.00</v>
      </c>
      <c r="AI1529" t="str">
        <f>"25500.00"</f>
        <v>25500.00</v>
      </c>
      <c r="AJ1529" t="str">
        <f>"C55-000-587-6504-1"</f>
        <v>C55-000-587-6504-1</v>
      </c>
      <c r="AK1529" t="str">
        <f>"27918"</f>
        <v>27918</v>
      </c>
      <c r="AL1529">
        <v>6</v>
      </c>
      <c r="AM1529">
        <v>1750</v>
      </c>
      <c r="AN1529">
        <v>516.11</v>
      </c>
      <c r="AQ1529" t="s">
        <v>15462</v>
      </c>
      <c r="AR1529" t="s">
        <v>15462</v>
      </c>
      <c r="AS1529" t="s">
        <v>15462</v>
      </c>
      <c r="AU1529" t="s">
        <v>396</v>
      </c>
      <c r="AV1529">
        <v>2017</v>
      </c>
      <c r="AW1529" t="str">
        <f>"31-2N-28-1600-0020-0000 "</f>
        <v xml:space="preserve">31-2N-28-1600-0020-0000 </v>
      </c>
      <c r="AX1529">
        <v>95160</v>
      </c>
      <c r="AZ1529" t="s">
        <v>15443</v>
      </c>
      <c r="BA1529" t="s">
        <v>669</v>
      </c>
      <c r="BD1529" t="s">
        <v>11749</v>
      </c>
      <c r="BE1529" t="s">
        <v>393</v>
      </c>
      <c r="BF1529">
        <v>32034</v>
      </c>
      <c r="BG1529" t="s">
        <v>15463</v>
      </c>
      <c r="BH1529" t="s">
        <v>11751</v>
      </c>
      <c r="BI1529">
        <v>-81.537401578082395</v>
      </c>
      <c r="BJ1529">
        <v>30.578377996848101</v>
      </c>
      <c r="BK1529" t="s">
        <v>15464</v>
      </c>
      <c r="BM1529" t="s">
        <v>15465</v>
      </c>
      <c r="BN1529" t="s">
        <v>3983</v>
      </c>
      <c r="BO1529">
        <v>32034</v>
      </c>
      <c r="BP1529" t="s">
        <v>404</v>
      </c>
      <c r="BQ1529">
        <v>200</v>
      </c>
      <c r="BR1529" t="s">
        <v>405</v>
      </c>
      <c r="BS1529">
        <v>1006</v>
      </c>
      <c r="BT1529" t="s">
        <v>406</v>
      </c>
      <c r="BW1529">
        <v>44431</v>
      </c>
      <c r="BX1529" t="s">
        <v>407</v>
      </c>
      <c r="BY1529" t="s">
        <v>408</v>
      </c>
      <c r="BZ1529">
        <v>4</v>
      </c>
      <c r="CA1529">
        <v>1994</v>
      </c>
      <c r="CB1529">
        <v>1</v>
      </c>
      <c r="CC1529">
        <v>1</v>
      </c>
      <c r="CD1529">
        <v>2017</v>
      </c>
      <c r="CE1529">
        <v>25500</v>
      </c>
      <c r="CF1529">
        <v>6184</v>
      </c>
      <c r="CG1529">
        <v>31684</v>
      </c>
      <c r="CH1529">
        <v>2017</v>
      </c>
      <c r="CI1529">
        <v>25500</v>
      </c>
      <c r="CJ1529">
        <v>6184</v>
      </c>
      <c r="CK1529">
        <v>31684</v>
      </c>
      <c r="CL1529">
        <v>2017</v>
      </c>
      <c r="CM1529">
        <v>447.63</v>
      </c>
      <c r="CN1529" s="1">
        <v>36684</v>
      </c>
      <c r="CZ1529" s="1">
        <v>36684</v>
      </c>
      <c r="DD1529" t="s">
        <v>11749</v>
      </c>
      <c r="DF1529">
        <v>20</v>
      </c>
      <c r="DG1529">
        <v>31</v>
      </c>
      <c r="DJ1529" t="s">
        <v>15447</v>
      </c>
      <c r="DL1529">
        <v>50303</v>
      </c>
      <c r="DM1529" t="s">
        <v>15386</v>
      </c>
      <c r="DO1529" t="s">
        <v>15466</v>
      </c>
      <c r="DP1529">
        <v>0</v>
      </c>
      <c r="DQ1529">
        <v>0</v>
      </c>
      <c r="DR1529" t="s">
        <v>411</v>
      </c>
      <c r="EP1529" t="s">
        <v>421</v>
      </c>
      <c r="EQ1529" t="s">
        <v>422</v>
      </c>
      <c r="ER1529">
        <v>0</v>
      </c>
      <c r="ES1529">
        <v>1</v>
      </c>
      <c r="ET1529">
        <v>0</v>
      </c>
      <c r="EU1529">
        <v>0</v>
      </c>
      <c r="EV1529">
        <v>0</v>
      </c>
      <c r="EW1529" s="2">
        <v>43222</v>
      </c>
      <c r="EX1529" s="1">
        <v>40688</v>
      </c>
      <c r="EY1529">
        <v>2010</v>
      </c>
      <c r="EZ1529">
        <v>660.72</v>
      </c>
      <c r="FA1529" t="s">
        <v>15467</v>
      </c>
      <c r="FB1529">
        <v>6</v>
      </c>
      <c r="FC1529" t="s">
        <v>424</v>
      </c>
      <c r="FD1529" t="s">
        <v>425</v>
      </c>
      <c r="FE1529" s="1">
        <v>41019</v>
      </c>
      <c r="FF1529">
        <v>11</v>
      </c>
      <c r="FG1529">
        <v>375</v>
      </c>
      <c r="FH1529" t="s">
        <v>776</v>
      </c>
    </row>
    <row r="1530" spans="1:284" x14ac:dyDescent="0.25">
      <c r="A1530">
        <v>16486537</v>
      </c>
      <c r="B1530">
        <v>1529</v>
      </c>
      <c r="C1530" t="s">
        <v>393</v>
      </c>
      <c r="D1530" t="s">
        <v>394</v>
      </c>
      <c r="F1530" t="str">
        <f>"31-2N-28-1601-0031-0000"</f>
        <v>31-2N-28-1601-0031-0000</v>
      </c>
      <c r="H1530" t="str">
        <f>"JENKINS DEAH LYNN"</f>
        <v>JENKINS DEAH LYNN</v>
      </c>
      <c r="I1530" t="str">
        <f>"P O BOX 15774"</f>
        <v>P O BOX 15774</v>
      </c>
      <c r="J1530" t="str">
        <f>"FERNANDINA BEACH FL 32035"</f>
        <v>FERNANDINA BEACH FL 32035</v>
      </c>
      <c r="K1530" t="str">
        <f>"95118 LOUISE CT"</f>
        <v>95118 LOUISE CT</v>
      </c>
      <c r="L1530" t="str">
        <f t="shared" si="538"/>
        <v>FERNANDINA BEACH FL 32034</v>
      </c>
      <c r="M1530" t="str">
        <f>"LOT 31 R408011 &amp; R408012 IN OR 1864/153 OAK HILL ESTATES 2 PB 5/134"</f>
        <v>LOT 31 R408011 &amp; R408012 IN OR 1864/153 OAK HILL ESTATES 2 PB 5/134</v>
      </c>
      <c r="N1530" t="str">
        <f>""</f>
        <v/>
      </c>
      <c r="O1530" t="str">
        <f>"39902"</f>
        <v>39902</v>
      </c>
      <c r="P1530" t="str">
        <f t="shared" si="514"/>
        <v>2017</v>
      </c>
      <c r="Q1530" t="str">
        <f>""</f>
        <v/>
      </c>
      <c r="R1530" t="str">
        <f>"N"</f>
        <v>N</v>
      </c>
      <c r="S1530" t="str">
        <f>"1.01"</f>
        <v>1.01</v>
      </c>
      <c r="T1530" t="str">
        <f>"484.55"</f>
        <v>484.55</v>
      </c>
      <c r="U1530" t="str">
        <f>"27011.00"</f>
        <v>27011.00</v>
      </c>
      <c r="V1530" t="str">
        <f>"27011.00"</f>
        <v>27011.00</v>
      </c>
      <c r="W1530" t="str">
        <f t="shared" si="515"/>
        <v>2017</v>
      </c>
      <c r="X1530" t="str">
        <f>"25.09"</f>
        <v>25.09</v>
      </c>
      <c r="Y1530" t="str">
        <f>"531.09"</f>
        <v>531.09</v>
      </c>
      <c r="Z1530" t="str">
        <f>""</f>
        <v/>
      </c>
      <c r="AA1530" t="str">
        <f>"38475.00"</f>
        <v>38475.00</v>
      </c>
      <c r="AB1530" t="str">
        <f t="shared" si="535"/>
        <v>Residential</v>
      </c>
      <c r="AC1530" t="str">
        <f t="shared" si="523"/>
        <v>0</v>
      </c>
      <c r="AD1530" t="str">
        <f t="shared" si="543"/>
        <v>4</v>
      </c>
      <c r="AE1530" t="str">
        <f t="shared" si="544"/>
        <v>WOOD (INCLUDE STEEL STUDS)</v>
      </c>
      <c r="AF1530" t="str">
        <f>"002"</f>
        <v>002</v>
      </c>
      <c r="AG1530" t="str">
        <f t="shared" si="542"/>
        <v>FL</v>
      </c>
      <c r="AH1530" t="str">
        <f>"43995.00"</f>
        <v>43995.00</v>
      </c>
      <c r="AI1530" t="str">
        <f>"25250.00"</f>
        <v>25250.00</v>
      </c>
      <c r="AJ1530" t="str">
        <f>"C55-000-587-6563-7"</f>
        <v>C55-000-587-6563-7</v>
      </c>
      <c r="AK1530" t="str">
        <f>"27977"</f>
        <v>27977</v>
      </c>
      <c r="AL1530">
        <v>6</v>
      </c>
      <c r="AM1530">
        <v>1754</v>
      </c>
      <c r="AN1530">
        <v>556.04</v>
      </c>
      <c r="AQ1530" t="s">
        <v>15468</v>
      </c>
      <c r="AR1530" t="s">
        <v>15468</v>
      </c>
      <c r="AS1530" t="s">
        <v>15468</v>
      </c>
      <c r="AU1530" t="s">
        <v>396</v>
      </c>
      <c r="AV1530">
        <v>2017</v>
      </c>
      <c r="AW1530" t="str">
        <f>"31-2N-28-1601-0031-0000 "</f>
        <v xml:space="preserve">31-2N-28-1601-0031-0000 </v>
      </c>
      <c r="AX1530">
        <v>95118</v>
      </c>
      <c r="AZ1530" t="s">
        <v>15469</v>
      </c>
      <c r="BA1530" t="s">
        <v>3181</v>
      </c>
      <c r="BD1530" t="s">
        <v>11749</v>
      </c>
      <c r="BE1530" t="s">
        <v>393</v>
      </c>
      <c r="BF1530">
        <v>32034</v>
      </c>
      <c r="BG1530" t="s">
        <v>15470</v>
      </c>
      <c r="BH1530" t="s">
        <v>11751</v>
      </c>
      <c r="BI1530">
        <v>-81.537965148613694</v>
      </c>
      <c r="BJ1530">
        <v>30.581866244012101</v>
      </c>
      <c r="BK1530" t="s">
        <v>15471</v>
      </c>
      <c r="BM1530" t="s">
        <v>15472</v>
      </c>
      <c r="BN1530" t="s">
        <v>3983</v>
      </c>
      <c r="BO1530">
        <v>32035</v>
      </c>
      <c r="BP1530" t="s">
        <v>404</v>
      </c>
      <c r="BQ1530">
        <v>200</v>
      </c>
      <c r="BR1530" t="s">
        <v>405</v>
      </c>
      <c r="BS1530">
        <v>1006</v>
      </c>
      <c r="BT1530" t="s">
        <v>406</v>
      </c>
      <c r="BW1530">
        <v>43995</v>
      </c>
      <c r="BX1530" t="s">
        <v>407</v>
      </c>
      <c r="BY1530" t="s">
        <v>408</v>
      </c>
      <c r="BZ1530">
        <v>4</v>
      </c>
      <c r="CA1530">
        <v>1985</v>
      </c>
      <c r="CB1530">
        <v>1</v>
      </c>
      <c r="CC1530">
        <v>1</v>
      </c>
      <c r="CD1530">
        <v>2017</v>
      </c>
      <c r="CE1530">
        <v>25250</v>
      </c>
      <c r="CF1530">
        <v>13225</v>
      </c>
      <c r="CG1530">
        <v>38475</v>
      </c>
      <c r="CH1530">
        <v>2017</v>
      </c>
      <c r="CI1530">
        <v>25250</v>
      </c>
      <c r="CJ1530">
        <v>13225</v>
      </c>
      <c r="CK1530">
        <v>38475</v>
      </c>
      <c r="CL1530">
        <v>2017</v>
      </c>
      <c r="CM1530">
        <v>484.55</v>
      </c>
      <c r="CN1530" s="1">
        <v>41429</v>
      </c>
      <c r="CZ1530" s="1">
        <v>41429</v>
      </c>
      <c r="DD1530" t="s">
        <v>11749</v>
      </c>
      <c r="DF1530">
        <v>31</v>
      </c>
      <c r="DG1530">
        <v>31</v>
      </c>
      <c r="DJ1530" t="s">
        <v>15473</v>
      </c>
      <c r="DL1530">
        <v>50303</v>
      </c>
      <c r="DM1530" t="s">
        <v>15386</v>
      </c>
      <c r="DO1530" t="s">
        <v>15474</v>
      </c>
      <c r="DP1530">
        <v>0</v>
      </c>
      <c r="DQ1530">
        <v>0</v>
      </c>
      <c r="DR1530" t="s">
        <v>411</v>
      </c>
      <c r="DS1530" t="b">
        <v>1</v>
      </c>
      <c r="DT1530" t="s">
        <v>470</v>
      </c>
      <c r="DU1530" t="s">
        <v>471</v>
      </c>
      <c r="DV1530" t="s">
        <v>472</v>
      </c>
      <c r="DX1530">
        <v>-9999</v>
      </c>
      <c r="DZ1530" t="s">
        <v>447</v>
      </c>
      <c r="EA1530" t="s">
        <v>448</v>
      </c>
      <c r="EB1530" t="s">
        <v>742</v>
      </c>
      <c r="EC1530">
        <v>20101217</v>
      </c>
      <c r="ED1530" t="s">
        <v>474</v>
      </c>
      <c r="EF1530">
        <v>2911.3</v>
      </c>
      <c r="EG1530">
        <v>1743.2</v>
      </c>
      <c r="EI1530">
        <v>20160407</v>
      </c>
      <c r="EJ1530">
        <v>0</v>
      </c>
      <c r="EK1530">
        <v>0</v>
      </c>
      <c r="EP1530" t="s">
        <v>595</v>
      </c>
      <c r="EQ1530" t="s">
        <v>422</v>
      </c>
      <c r="ER1530">
        <v>1</v>
      </c>
      <c r="ES1530">
        <v>8</v>
      </c>
      <c r="ET1530">
        <v>434.65</v>
      </c>
      <c r="EU1530">
        <v>27.98</v>
      </c>
      <c r="EV1530">
        <v>462.63</v>
      </c>
      <c r="EW1530" s="2">
        <v>43222</v>
      </c>
      <c r="EX1530" s="1">
        <v>42879</v>
      </c>
      <c r="EY1530">
        <v>2016</v>
      </c>
      <c r="EZ1530">
        <v>434.65</v>
      </c>
      <c r="FA1530" t="s">
        <v>15475</v>
      </c>
      <c r="FB1530">
        <v>0.25</v>
      </c>
      <c r="FC1530" t="s">
        <v>424</v>
      </c>
      <c r="FD1530" t="s">
        <v>454</v>
      </c>
      <c r="FF1530">
        <v>12</v>
      </c>
      <c r="FG1530">
        <v>305</v>
      </c>
      <c r="FH1530" t="s">
        <v>1078</v>
      </c>
      <c r="FJ1530" s="1">
        <v>42515</v>
      </c>
      <c r="FK1530">
        <v>2015</v>
      </c>
      <c r="FL1530">
        <v>439.55</v>
      </c>
      <c r="FM1530" t="s">
        <v>15476</v>
      </c>
      <c r="FN1530">
        <v>15</v>
      </c>
      <c r="FO1530" t="s">
        <v>424</v>
      </c>
      <c r="FP1530" t="s">
        <v>425</v>
      </c>
      <c r="FQ1530" s="1">
        <v>43168</v>
      </c>
      <c r="FR1530">
        <v>22</v>
      </c>
      <c r="FS1530">
        <v>10125</v>
      </c>
      <c r="FT1530" t="s">
        <v>440</v>
      </c>
      <c r="FV1530" s="1">
        <v>42151</v>
      </c>
      <c r="FW1530">
        <v>2014</v>
      </c>
      <c r="FX1530">
        <v>151.74</v>
      </c>
      <c r="FY1530" t="s">
        <v>15477</v>
      </c>
      <c r="FZ1530">
        <v>18</v>
      </c>
      <c r="GA1530" t="s">
        <v>603</v>
      </c>
      <c r="GB1530" t="s">
        <v>425</v>
      </c>
      <c r="GD1530">
        <v>22</v>
      </c>
      <c r="GE1530">
        <v>9999999</v>
      </c>
      <c r="GF1530" t="s">
        <v>604</v>
      </c>
      <c r="GH1530" s="1">
        <v>42151</v>
      </c>
      <c r="GI1530">
        <v>2014</v>
      </c>
      <c r="GJ1530">
        <v>178.47</v>
      </c>
      <c r="GK1530" t="s">
        <v>15477</v>
      </c>
      <c r="GL1530">
        <v>18</v>
      </c>
      <c r="GM1530" t="s">
        <v>424</v>
      </c>
      <c r="GN1530" t="s">
        <v>425</v>
      </c>
      <c r="GO1530" s="1">
        <v>42815</v>
      </c>
      <c r="GP1530">
        <v>22</v>
      </c>
      <c r="GQ1530">
        <v>2101381</v>
      </c>
      <c r="GR1530" t="s">
        <v>605</v>
      </c>
      <c r="GT1530" s="1">
        <v>41787</v>
      </c>
      <c r="GU1530">
        <v>2013</v>
      </c>
      <c r="GV1530">
        <v>145.29</v>
      </c>
      <c r="GW1530" t="s">
        <v>15478</v>
      </c>
      <c r="GX1530">
        <v>18</v>
      </c>
      <c r="GY1530" t="s">
        <v>603</v>
      </c>
      <c r="GZ1530" t="s">
        <v>425</v>
      </c>
      <c r="HA1530" s="1">
        <v>42426</v>
      </c>
      <c r="HB1530">
        <v>21</v>
      </c>
      <c r="HC1530">
        <v>9999999</v>
      </c>
      <c r="HD1530" t="s">
        <v>604</v>
      </c>
      <c r="HF1530" s="1">
        <v>41423</v>
      </c>
      <c r="HG1530">
        <v>2012</v>
      </c>
      <c r="HH1530">
        <v>147.34</v>
      </c>
      <c r="HI1530" t="s">
        <v>15479</v>
      </c>
      <c r="HJ1530">
        <v>18</v>
      </c>
      <c r="HK1530" t="s">
        <v>603</v>
      </c>
      <c r="HL1530" t="s">
        <v>425</v>
      </c>
      <c r="HM1530" s="1">
        <v>42326</v>
      </c>
      <c r="HN1530">
        <v>30</v>
      </c>
      <c r="HO1530">
        <v>9999999</v>
      </c>
      <c r="HP1530" t="s">
        <v>604</v>
      </c>
      <c r="HR1530" s="1">
        <v>41052</v>
      </c>
      <c r="HS1530">
        <v>2011</v>
      </c>
      <c r="HT1530">
        <v>156.16</v>
      </c>
      <c r="HU1530" t="s">
        <v>15480</v>
      </c>
      <c r="HV1530">
        <v>18</v>
      </c>
      <c r="HW1530" t="s">
        <v>603</v>
      </c>
      <c r="HX1530" t="s">
        <v>425</v>
      </c>
      <c r="HY1530" s="1">
        <v>41661</v>
      </c>
      <c r="HZ1530">
        <v>20</v>
      </c>
      <c r="IA1530">
        <v>9999999</v>
      </c>
      <c r="IB1530" t="s">
        <v>604</v>
      </c>
      <c r="ID1530" s="1">
        <v>40688</v>
      </c>
      <c r="IE1530">
        <v>2010</v>
      </c>
      <c r="IF1530">
        <v>173.55</v>
      </c>
      <c r="IG1530" t="s">
        <v>15481</v>
      </c>
      <c r="IH1530">
        <v>6</v>
      </c>
      <c r="II1530" t="s">
        <v>424</v>
      </c>
      <c r="IJ1530" t="s">
        <v>425</v>
      </c>
      <c r="IK1530" s="1">
        <v>41661</v>
      </c>
      <c r="IL1530">
        <v>32</v>
      </c>
      <c r="IM1530">
        <v>375</v>
      </c>
      <c r="IN1530" t="s">
        <v>776</v>
      </c>
      <c r="IP1530" s="1">
        <v>40688</v>
      </c>
      <c r="IQ1530">
        <v>2010</v>
      </c>
      <c r="IR1530">
        <v>173.55</v>
      </c>
      <c r="IS1530" t="s">
        <v>15481</v>
      </c>
      <c r="IT1530">
        <v>6</v>
      </c>
      <c r="IU1530" t="s">
        <v>424</v>
      </c>
      <c r="IV1530" t="s">
        <v>425</v>
      </c>
      <c r="IX1530">
        <v>22</v>
      </c>
      <c r="IY1530">
        <v>105</v>
      </c>
      <c r="IZ1530" t="s">
        <v>946</v>
      </c>
    </row>
    <row r="1531" spans="1:284" x14ac:dyDescent="0.25">
      <c r="A1531">
        <v>16486538</v>
      </c>
      <c r="B1531">
        <v>1530</v>
      </c>
      <c r="C1531" t="s">
        <v>393</v>
      </c>
      <c r="D1531" t="s">
        <v>394</v>
      </c>
      <c r="F1531" t="str">
        <f>"31-2N-28-1875-0001-0060"</f>
        <v>31-2N-28-1875-0001-0060</v>
      </c>
      <c r="H1531" t="str">
        <f>"OAKES MICHAEL A &amp; BARBARA J"</f>
        <v>OAKES MICHAEL A &amp; BARBARA J</v>
      </c>
      <c r="I1531" t="str">
        <f>"95135 WILDWOOD CIRCLE"</f>
        <v>95135 WILDWOOD CIRCLE</v>
      </c>
      <c r="J1531" t="str">
        <f t="shared" ref="J1531:J1538" si="545">"FERNANDINA BEACH FL 32034"</f>
        <v>FERNANDINA BEACH FL 32034</v>
      </c>
      <c r="K1531" t="str">
        <f>"95135 WILDWOOD CIR"</f>
        <v>95135 WILDWOOD CIR</v>
      </c>
      <c r="L1531" t="str">
        <f t="shared" si="538"/>
        <v>FERNANDINA BEACH FL 32034</v>
      </c>
      <c r="M1531" t="str">
        <f>"BLOCK 1 LOT 6 IN OR 904/43 ROSEWOOD MEADOWS 1 PB 5/314"</f>
        <v>BLOCK 1 LOT 6 IN OR 904/43 ROSEWOOD MEADOWS 1 PB 5/314</v>
      </c>
      <c r="N1531" t="str">
        <f>""</f>
        <v/>
      </c>
      <c r="O1531" t="str">
        <f>"39941"</f>
        <v>39941</v>
      </c>
      <c r="P1531" t="str">
        <f t="shared" si="514"/>
        <v>2017</v>
      </c>
      <c r="Q1531" t="str">
        <f>""</f>
        <v/>
      </c>
      <c r="R1531" t="str">
        <f>"Y"</f>
        <v>Y</v>
      </c>
      <c r="S1531" t="str">
        <f>""</f>
        <v/>
      </c>
      <c r="T1531" t="str">
        <f>"1009.21"</f>
        <v>1009.21</v>
      </c>
      <c r="U1531" t="str">
        <f>"105768.00"</f>
        <v>105768.00</v>
      </c>
      <c r="V1531" t="str">
        <f>"105768.00"</f>
        <v>105768.00</v>
      </c>
      <c r="W1531" t="str">
        <f t="shared" si="515"/>
        <v>2017</v>
      </c>
      <c r="X1531" t="str">
        <f>"21.90"</f>
        <v>21.90</v>
      </c>
      <c r="Y1531" t="str">
        <f>"1071.49"</f>
        <v>1071.49</v>
      </c>
      <c r="Z1531" t="str">
        <f>"25000.00"</f>
        <v>25000.00</v>
      </c>
      <c r="AA1531" t="str">
        <f>"80768.00"</f>
        <v>80768.00</v>
      </c>
      <c r="AB1531" t="str">
        <f t="shared" si="535"/>
        <v>Residential</v>
      </c>
      <c r="AC1531" t="str">
        <f t="shared" si="523"/>
        <v>0</v>
      </c>
      <c r="AD1531" t="str">
        <f t="shared" si="543"/>
        <v>4</v>
      </c>
      <c r="AE1531" t="str">
        <f t="shared" si="544"/>
        <v>WOOD (INCLUDE STEEL STUDS)</v>
      </c>
      <c r="AF1531" t="str">
        <f>"001"</f>
        <v>001</v>
      </c>
      <c r="AG1531" t="str">
        <f t="shared" si="542"/>
        <v>FL</v>
      </c>
      <c r="AH1531" t="str">
        <f t="shared" ref="AH1531:AH1536" si="546">"-"</f>
        <v>-</v>
      </c>
      <c r="AI1531" t="str">
        <f t="shared" ref="AI1531:AI1536" si="547">"25000.00"</f>
        <v>25000.00</v>
      </c>
      <c r="AJ1531" t="str">
        <f>"C55-000-587-6601-5"</f>
        <v>C55-000-587-6601-5</v>
      </c>
      <c r="AK1531" t="str">
        <f>"28016"</f>
        <v>28016</v>
      </c>
      <c r="AL1531">
        <v>6</v>
      </c>
      <c r="AM1531">
        <v>1756</v>
      </c>
      <c r="AN1531">
        <v>1123.46</v>
      </c>
      <c r="AQ1531" t="s">
        <v>15482</v>
      </c>
      <c r="AR1531" t="s">
        <v>15482</v>
      </c>
      <c r="AS1531" t="s">
        <v>15482</v>
      </c>
      <c r="AU1531" t="s">
        <v>396</v>
      </c>
      <c r="AV1531">
        <v>2017</v>
      </c>
      <c r="AW1531" t="str">
        <f>"31-2N-28-1875-0001-0060 "</f>
        <v xml:space="preserve">31-2N-28-1875-0001-0060 </v>
      </c>
      <c r="AX1531">
        <v>95135</v>
      </c>
      <c r="AZ1531" t="s">
        <v>15483</v>
      </c>
      <c r="BA1531" t="s">
        <v>1799</v>
      </c>
      <c r="BD1531" t="s">
        <v>11749</v>
      </c>
      <c r="BE1531" t="s">
        <v>393</v>
      </c>
      <c r="BF1531">
        <v>32034</v>
      </c>
      <c r="BG1531" t="s">
        <v>15484</v>
      </c>
      <c r="BH1531" t="s">
        <v>11751</v>
      </c>
      <c r="BI1531">
        <v>-81.533261974231706</v>
      </c>
      <c r="BJ1531">
        <v>30.579963126996301</v>
      </c>
      <c r="BK1531" t="s">
        <v>15485</v>
      </c>
      <c r="BL1531" t="s">
        <v>15486</v>
      </c>
      <c r="BM1531" t="s">
        <v>15484</v>
      </c>
      <c r="BN1531" t="s">
        <v>3983</v>
      </c>
      <c r="BO1531">
        <v>32034</v>
      </c>
      <c r="BP1531" t="s">
        <v>416</v>
      </c>
      <c r="BQ1531">
        <v>100</v>
      </c>
      <c r="BR1531" t="s">
        <v>514</v>
      </c>
      <c r="BS1531">
        <v>1001</v>
      </c>
      <c r="BT1531" t="s">
        <v>515</v>
      </c>
      <c r="BW1531">
        <v>22126</v>
      </c>
      <c r="BX1531" t="s">
        <v>407</v>
      </c>
      <c r="BY1531" t="s">
        <v>2729</v>
      </c>
      <c r="BZ1531">
        <v>4</v>
      </c>
      <c r="CA1531">
        <v>1999</v>
      </c>
      <c r="CB1531">
        <v>1</v>
      </c>
      <c r="CC1531">
        <v>1</v>
      </c>
      <c r="CD1531">
        <v>2017</v>
      </c>
      <c r="CG1531">
        <v>105768</v>
      </c>
      <c r="CH1531">
        <v>2017</v>
      </c>
      <c r="CI1531">
        <v>25000</v>
      </c>
      <c r="CJ1531">
        <v>93790</v>
      </c>
      <c r="CK1531">
        <v>118790</v>
      </c>
      <c r="CL1531">
        <v>2017</v>
      </c>
      <c r="CM1531">
        <v>1009.21</v>
      </c>
      <c r="CN1531" s="1">
        <v>36451</v>
      </c>
      <c r="CO1531">
        <v>114400</v>
      </c>
      <c r="CZ1531" s="1">
        <v>36451</v>
      </c>
      <c r="DD1531" t="s">
        <v>11749</v>
      </c>
      <c r="DF1531">
        <v>6</v>
      </c>
      <c r="DG1531">
        <v>31</v>
      </c>
      <c r="DJ1531" t="s">
        <v>15487</v>
      </c>
      <c r="DL1531">
        <v>50303</v>
      </c>
      <c r="DM1531" t="s">
        <v>15386</v>
      </c>
      <c r="DO1531" t="s">
        <v>15488</v>
      </c>
      <c r="DP1531">
        <v>0</v>
      </c>
      <c r="DQ1531">
        <v>0</v>
      </c>
      <c r="DR1531" t="s">
        <v>411</v>
      </c>
      <c r="DS1531" t="b">
        <v>1</v>
      </c>
      <c r="DT1531" t="s">
        <v>470</v>
      </c>
      <c r="DU1531" t="s">
        <v>471</v>
      </c>
      <c r="DV1531" t="s">
        <v>472</v>
      </c>
      <c r="DX1531">
        <v>-9999</v>
      </c>
      <c r="DZ1531" t="s">
        <v>447</v>
      </c>
      <c r="EA1531" t="s">
        <v>448</v>
      </c>
      <c r="EB1531" t="s">
        <v>742</v>
      </c>
      <c r="EC1531">
        <v>20101217</v>
      </c>
      <c r="ED1531" t="s">
        <v>474</v>
      </c>
      <c r="EF1531">
        <v>2967.5</v>
      </c>
      <c r="EG1531">
        <v>2511.6999999999998</v>
      </c>
      <c r="EI1531">
        <v>20160407</v>
      </c>
      <c r="EJ1531">
        <v>0</v>
      </c>
      <c r="EK1531">
        <v>0</v>
      </c>
      <c r="EP1531" t="s">
        <v>421</v>
      </c>
      <c r="EQ1531" t="s">
        <v>422</v>
      </c>
      <c r="ER1531">
        <v>2</v>
      </c>
      <c r="ES1531">
        <v>9</v>
      </c>
      <c r="ET1531">
        <v>2200.9</v>
      </c>
      <c r="EU1531">
        <v>122.54</v>
      </c>
      <c r="EV1531">
        <v>2323.44</v>
      </c>
      <c r="EW1531" s="2">
        <v>43222</v>
      </c>
      <c r="EX1531" s="1">
        <v>42879</v>
      </c>
      <c r="EY1531">
        <v>2016</v>
      </c>
      <c r="EZ1531">
        <v>1100.45</v>
      </c>
      <c r="FA1531" t="s">
        <v>15489</v>
      </c>
      <c r="FB1531">
        <v>0.25</v>
      </c>
      <c r="FC1531" t="s">
        <v>424</v>
      </c>
      <c r="FD1531" t="s">
        <v>454</v>
      </c>
      <c r="FF1531">
        <v>12</v>
      </c>
      <c r="FG1531">
        <v>2851116</v>
      </c>
      <c r="FH1531" t="s">
        <v>480</v>
      </c>
      <c r="FJ1531" s="1">
        <v>42879</v>
      </c>
      <c r="FK1531">
        <v>2016</v>
      </c>
      <c r="FL1531">
        <v>1100.45</v>
      </c>
      <c r="FM1531" t="s">
        <v>15489</v>
      </c>
      <c r="FN1531">
        <v>0.25</v>
      </c>
      <c r="FO1531" t="s">
        <v>424</v>
      </c>
      <c r="FP1531" t="s">
        <v>454</v>
      </c>
      <c r="FR1531">
        <v>12</v>
      </c>
      <c r="FS1531">
        <v>5273290</v>
      </c>
      <c r="FT1531" t="s">
        <v>15490</v>
      </c>
      <c r="FV1531" s="1">
        <v>42515</v>
      </c>
      <c r="FW1531">
        <v>2015</v>
      </c>
      <c r="FX1531">
        <v>1114.51</v>
      </c>
      <c r="FY1531" t="s">
        <v>15491</v>
      </c>
      <c r="FZ1531">
        <v>0.25</v>
      </c>
      <c r="GA1531" t="s">
        <v>424</v>
      </c>
      <c r="GB1531" t="s">
        <v>425</v>
      </c>
      <c r="GC1531" s="1">
        <v>43173</v>
      </c>
      <c r="GD1531">
        <v>22</v>
      </c>
      <c r="GE1531">
        <v>2851116</v>
      </c>
      <c r="GF1531" t="s">
        <v>480</v>
      </c>
      <c r="GH1531" s="1">
        <v>42515</v>
      </c>
      <c r="GI1531">
        <v>2015</v>
      </c>
      <c r="GJ1531">
        <v>1114.51</v>
      </c>
      <c r="GK1531" t="s">
        <v>15491</v>
      </c>
      <c r="GL1531">
        <v>0.25</v>
      </c>
      <c r="GM1531" t="s">
        <v>424</v>
      </c>
      <c r="GN1531" t="s">
        <v>425</v>
      </c>
      <c r="GP1531">
        <v>22</v>
      </c>
      <c r="GQ1531">
        <v>5352138</v>
      </c>
      <c r="GR1531" t="s">
        <v>15492</v>
      </c>
      <c r="GT1531" s="1">
        <v>42151</v>
      </c>
      <c r="GU1531">
        <v>2014</v>
      </c>
      <c r="GV1531">
        <v>1106.82</v>
      </c>
      <c r="GW1531" t="s">
        <v>15493</v>
      </c>
      <c r="GX1531">
        <v>0.25</v>
      </c>
      <c r="GY1531" t="s">
        <v>424</v>
      </c>
      <c r="GZ1531" t="s">
        <v>425</v>
      </c>
      <c r="HA1531" s="1">
        <v>42807</v>
      </c>
      <c r="HB1531">
        <v>22</v>
      </c>
      <c r="HC1531">
        <v>4975594</v>
      </c>
      <c r="HD1531" t="s">
        <v>457</v>
      </c>
      <c r="HF1531" s="1">
        <v>42151</v>
      </c>
      <c r="HG1531">
        <v>2014</v>
      </c>
      <c r="HH1531">
        <v>1106.82</v>
      </c>
      <c r="HI1531" t="s">
        <v>15493</v>
      </c>
      <c r="HJ1531">
        <v>0.25</v>
      </c>
      <c r="HK1531" t="s">
        <v>424</v>
      </c>
      <c r="HL1531" t="s">
        <v>425</v>
      </c>
      <c r="HN1531">
        <v>22</v>
      </c>
      <c r="HO1531">
        <v>6244569</v>
      </c>
      <c r="HP1531" t="s">
        <v>15494</v>
      </c>
      <c r="HR1531" s="1">
        <v>41787</v>
      </c>
      <c r="HS1531">
        <v>2013</v>
      </c>
      <c r="HT1531">
        <v>1038.73</v>
      </c>
      <c r="HU1531" t="s">
        <v>15495</v>
      </c>
      <c r="HV1531">
        <v>0.25</v>
      </c>
      <c r="HW1531" t="s">
        <v>424</v>
      </c>
      <c r="HX1531" t="s">
        <v>425</v>
      </c>
      <c r="HY1531" s="1">
        <v>42447</v>
      </c>
      <c r="HZ1531">
        <v>22</v>
      </c>
      <c r="IA1531">
        <v>2675455</v>
      </c>
      <c r="IB1531" t="s">
        <v>1981</v>
      </c>
      <c r="ID1531" s="1">
        <v>41423</v>
      </c>
      <c r="IE1531">
        <v>2012</v>
      </c>
      <c r="IF1531">
        <v>1062.56</v>
      </c>
      <c r="IG1531" t="s">
        <v>15496</v>
      </c>
      <c r="IH1531">
        <v>0.25</v>
      </c>
      <c r="II1531" t="s">
        <v>424</v>
      </c>
      <c r="IJ1531" t="s">
        <v>425</v>
      </c>
      <c r="IK1531" s="1">
        <v>42076</v>
      </c>
      <c r="IL1531">
        <v>22</v>
      </c>
      <c r="IM1531">
        <v>15398</v>
      </c>
      <c r="IN1531" t="s">
        <v>1180</v>
      </c>
      <c r="IP1531" s="1">
        <v>41052</v>
      </c>
      <c r="IQ1531">
        <v>2011</v>
      </c>
      <c r="IR1531">
        <v>1157.3499999999999</v>
      </c>
      <c r="IS1531" t="s">
        <v>15497</v>
      </c>
      <c r="IT1531">
        <v>0.25</v>
      </c>
      <c r="IU1531" t="s">
        <v>424</v>
      </c>
      <c r="IV1531" t="s">
        <v>425</v>
      </c>
      <c r="IW1531" s="1">
        <v>41710</v>
      </c>
      <c r="IX1531">
        <v>22</v>
      </c>
      <c r="IY1531">
        <v>13104</v>
      </c>
      <c r="IZ1531" t="s">
        <v>888</v>
      </c>
      <c r="JB1531" s="1">
        <v>41052</v>
      </c>
      <c r="JC1531">
        <v>2011</v>
      </c>
      <c r="JD1531">
        <v>1157.3499999999999</v>
      </c>
      <c r="JE1531" t="s">
        <v>15497</v>
      </c>
      <c r="JF1531">
        <v>0.25</v>
      </c>
      <c r="JG1531" t="s">
        <v>424</v>
      </c>
      <c r="JH1531" t="s">
        <v>425</v>
      </c>
      <c r="JJ1531">
        <v>22</v>
      </c>
      <c r="JK1531">
        <v>13727</v>
      </c>
      <c r="JL1531" t="s">
        <v>1840</v>
      </c>
      <c r="JN1531" s="1">
        <v>40688</v>
      </c>
      <c r="JO1531">
        <v>2010</v>
      </c>
      <c r="JP1531">
        <v>1219.73</v>
      </c>
      <c r="JQ1531" t="s">
        <v>15498</v>
      </c>
      <c r="JR1531">
        <v>3.75</v>
      </c>
      <c r="JS1531" t="s">
        <v>424</v>
      </c>
      <c r="JT1531" t="s">
        <v>425</v>
      </c>
      <c r="JU1531" s="1">
        <v>41347</v>
      </c>
      <c r="JV1531">
        <v>22</v>
      </c>
      <c r="JW1531">
        <v>11141</v>
      </c>
      <c r="JX1531" t="s">
        <v>1723</v>
      </c>
    </row>
    <row r="1532" spans="1:284" x14ac:dyDescent="0.25">
      <c r="A1532">
        <v>16486539</v>
      </c>
      <c r="B1532">
        <v>1531</v>
      </c>
      <c r="C1532" t="s">
        <v>393</v>
      </c>
      <c r="D1532" t="s">
        <v>394</v>
      </c>
      <c r="F1532" t="str">
        <f>"31-2N-28-1875-0004-0010"</f>
        <v>31-2N-28-1875-0004-0010</v>
      </c>
      <c r="H1532" t="str">
        <f>"EVANS WILLIAM P JR &amp; JENNIFER"</f>
        <v>EVANS WILLIAM P JR &amp; JENNIFER</v>
      </c>
      <c r="I1532" t="str">
        <f>"95025 GREENBERRY RD"</f>
        <v>95025 GREENBERRY RD</v>
      </c>
      <c r="J1532" t="str">
        <f t="shared" si="545"/>
        <v>FERNANDINA BEACH FL 32034</v>
      </c>
      <c r="K1532" t="str">
        <f>"95025 GREENBERRY RD"</f>
        <v>95025 GREENBERRY RD</v>
      </c>
      <c r="L1532" t="str">
        <f t="shared" si="538"/>
        <v>FERNANDINA BEACH FL 32034</v>
      </c>
      <c r="M1532" t="str">
        <f>"BLOCK 4 LOT 1 IN OR 1825/977 ROSEWOOD MEADOWS 1 PB 5/314"</f>
        <v>BLOCK 4 LOT 1 IN OR 1825/977 ROSEWOOD MEADOWS 1 PB 5/314</v>
      </c>
      <c r="N1532" t="str">
        <f>""</f>
        <v/>
      </c>
      <c r="O1532" t="str">
        <f>"39953"</f>
        <v>39953</v>
      </c>
      <c r="P1532" t="str">
        <f t="shared" si="514"/>
        <v>2017</v>
      </c>
      <c r="Q1532" t="str">
        <f>""</f>
        <v/>
      </c>
      <c r="R1532" t="str">
        <f>"Y"</f>
        <v>Y</v>
      </c>
      <c r="S1532" t="str">
        <f>""</f>
        <v/>
      </c>
      <c r="T1532" t="str">
        <f>"1063.68"</f>
        <v>1063.68</v>
      </c>
      <c r="U1532" t="str">
        <f>"109366.00"</f>
        <v>109366.00</v>
      </c>
      <c r="V1532" t="str">
        <f>"109366.00"</f>
        <v>109366.00</v>
      </c>
      <c r="W1532" t="str">
        <f t="shared" si="515"/>
        <v>2017</v>
      </c>
      <c r="X1532" t="str">
        <f>"16.67"</f>
        <v>16.67</v>
      </c>
      <c r="Y1532" t="str">
        <f>"1127.59"</f>
        <v>1127.59</v>
      </c>
      <c r="Z1532" t="str">
        <f>"25000.00"</f>
        <v>25000.00</v>
      </c>
      <c r="AA1532" t="str">
        <f>"84366.00"</f>
        <v>84366.00</v>
      </c>
      <c r="AB1532" t="str">
        <f t="shared" si="535"/>
        <v>Residential</v>
      </c>
      <c r="AC1532" t="str">
        <f t="shared" si="523"/>
        <v>0</v>
      </c>
      <c r="AD1532" t="str">
        <f t="shared" si="543"/>
        <v>4</v>
      </c>
      <c r="AE1532" t="str">
        <f t="shared" si="544"/>
        <v>WOOD (INCLUDE STEEL STUDS)</v>
      </c>
      <c r="AF1532" t="str">
        <f>"001"</f>
        <v>001</v>
      </c>
      <c r="AG1532" t="str">
        <f t="shared" si="542"/>
        <v>FL</v>
      </c>
      <c r="AH1532" t="str">
        <f t="shared" si="546"/>
        <v>-</v>
      </c>
      <c r="AI1532" t="str">
        <f t="shared" si="547"/>
        <v>25000.00</v>
      </c>
      <c r="AJ1532" t="str">
        <f>"C55-000-587-6613-0"</f>
        <v>C55-000-587-6613-0</v>
      </c>
      <c r="AK1532" t="str">
        <f>"28028"</f>
        <v>28028</v>
      </c>
      <c r="AL1532">
        <v>6</v>
      </c>
      <c r="AM1532">
        <v>1757</v>
      </c>
      <c r="AN1532">
        <v>1182.3699999999999</v>
      </c>
      <c r="AQ1532" t="s">
        <v>15499</v>
      </c>
      <c r="AR1532" t="s">
        <v>15499</v>
      </c>
      <c r="AS1532" t="s">
        <v>15499</v>
      </c>
      <c r="AU1532" t="s">
        <v>396</v>
      </c>
      <c r="AV1532">
        <v>2017</v>
      </c>
      <c r="AW1532" t="str">
        <f>"31-2N-28-1875-0004-0010 "</f>
        <v xml:space="preserve">31-2N-28-1875-0004-0010 </v>
      </c>
      <c r="AX1532">
        <v>95025</v>
      </c>
      <c r="AZ1532" t="s">
        <v>15500</v>
      </c>
      <c r="BA1532" t="s">
        <v>496</v>
      </c>
      <c r="BD1532" t="s">
        <v>11749</v>
      </c>
      <c r="BE1532" t="s">
        <v>393</v>
      </c>
      <c r="BF1532">
        <v>32034</v>
      </c>
      <c r="BG1532" t="s">
        <v>15501</v>
      </c>
      <c r="BH1532" t="s">
        <v>11751</v>
      </c>
      <c r="BI1532">
        <v>-81.534065265002596</v>
      </c>
      <c r="BJ1532">
        <v>30.581827095463598</v>
      </c>
      <c r="BK1532" t="s">
        <v>15502</v>
      </c>
      <c r="BL1532" t="s">
        <v>15503</v>
      </c>
      <c r="BM1532" t="s">
        <v>15501</v>
      </c>
      <c r="BN1532" t="s">
        <v>3983</v>
      </c>
      <c r="BO1532">
        <v>32034</v>
      </c>
      <c r="BP1532" t="s">
        <v>416</v>
      </c>
      <c r="BQ1532">
        <v>100</v>
      </c>
      <c r="BR1532" t="s">
        <v>514</v>
      </c>
      <c r="BS1532">
        <v>1001</v>
      </c>
      <c r="BT1532" t="s">
        <v>515</v>
      </c>
      <c r="BW1532">
        <v>23224</v>
      </c>
      <c r="BX1532" t="s">
        <v>407</v>
      </c>
      <c r="BY1532" t="s">
        <v>2729</v>
      </c>
      <c r="BZ1532">
        <v>4</v>
      </c>
      <c r="CA1532">
        <v>1992</v>
      </c>
      <c r="CB1532">
        <v>1</v>
      </c>
      <c r="CC1532">
        <v>1</v>
      </c>
      <c r="CD1532">
        <v>2017</v>
      </c>
      <c r="CG1532">
        <v>109366</v>
      </c>
      <c r="CH1532">
        <v>2017</v>
      </c>
      <c r="CI1532">
        <v>25000</v>
      </c>
      <c r="CJ1532">
        <v>94846</v>
      </c>
      <c r="CK1532">
        <v>119846</v>
      </c>
      <c r="CL1532">
        <v>2017</v>
      </c>
      <c r="CM1532">
        <v>1063.68</v>
      </c>
      <c r="CN1532" s="1">
        <v>41232</v>
      </c>
      <c r="CO1532">
        <v>95000</v>
      </c>
      <c r="CV1532">
        <v>0</v>
      </c>
      <c r="CZ1532" s="1">
        <v>41232</v>
      </c>
      <c r="DA1532">
        <v>0</v>
      </c>
      <c r="DD1532" t="s">
        <v>11749</v>
      </c>
      <c r="DF1532">
        <v>1</v>
      </c>
      <c r="DG1532">
        <v>31</v>
      </c>
      <c r="DJ1532" t="s">
        <v>15504</v>
      </c>
      <c r="DL1532">
        <v>50303</v>
      </c>
      <c r="DM1532" t="s">
        <v>15386</v>
      </c>
      <c r="DO1532" t="s">
        <v>15505</v>
      </c>
      <c r="DP1532">
        <v>0</v>
      </c>
      <c r="DQ1532">
        <v>0</v>
      </c>
      <c r="DR1532" t="s">
        <v>411</v>
      </c>
      <c r="DS1532" t="b">
        <v>1</v>
      </c>
      <c r="DT1532" t="s">
        <v>470</v>
      </c>
      <c r="DU1532" t="s">
        <v>471</v>
      </c>
      <c r="DV1532" t="s">
        <v>472</v>
      </c>
      <c r="DX1532">
        <v>-9999</v>
      </c>
      <c r="DZ1532" t="s">
        <v>447</v>
      </c>
      <c r="EA1532" t="s">
        <v>448</v>
      </c>
      <c r="EB1532" t="s">
        <v>742</v>
      </c>
      <c r="EC1532">
        <v>20101217</v>
      </c>
      <c r="ED1532" t="s">
        <v>474</v>
      </c>
      <c r="EF1532">
        <v>3563.3</v>
      </c>
      <c r="EG1532">
        <v>2898.9</v>
      </c>
      <c r="EI1532">
        <v>20160407</v>
      </c>
      <c r="EJ1532">
        <v>0</v>
      </c>
      <c r="EK1532">
        <v>0</v>
      </c>
      <c r="EP1532" t="s">
        <v>421</v>
      </c>
      <c r="EQ1532" t="s">
        <v>422</v>
      </c>
      <c r="ER1532">
        <v>2</v>
      </c>
      <c r="ES1532">
        <v>5</v>
      </c>
      <c r="ET1532">
        <v>2317.92</v>
      </c>
      <c r="EU1532">
        <v>128.4</v>
      </c>
      <c r="EV1532">
        <v>2446.3200000000002</v>
      </c>
      <c r="EW1532" s="2">
        <v>43222</v>
      </c>
      <c r="EX1532" s="1">
        <v>42879</v>
      </c>
      <c r="EY1532">
        <v>2016</v>
      </c>
      <c r="EZ1532">
        <v>1158.96</v>
      </c>
      <c r="FA1532" t="s">
        <v>15506</v>
      </c>
      <c r="FB1532">
        <v>0.25</v>
      </c>
      <c r="FC1532" t="s">
        <v>424</v>
      </c>
      <c r="FD1532" t="s">
        <v>454</v>
      </c>
      <c r="FF1532">
        <v>12</v>
      </c>
      <c r="FG1532">
        <v>11289</v>
      </c>
      <c r="FH1532" t="s">
        <v>787</v>
      </c>
      <c r="FJ1532" s="1">
        <v>42879</v>
      </c>
      <c r="FK1532">
        <v>2016</v>
      </c>
      <c r="FL1532">
        <v>1158.96</v>
      </c>
      <c r="FM1532" t="s">
        <v>15506</v>
      </c>
      <c r="FN1532">
        <v>0.25</v>
      </c>
      <c r="FO1532" t="s">
        <v>424</v>
      </c>
      <c r="FP1532" t="s">
        <v>454</v>
      </c>
      <c r="FR1532">
        <v>12</v>
      </c>
      <c r="FS1532">
        <v>7265391</v>
      </c>
      <c r="FT1532" t="s">
        <v>15507</v>
      </c>
      <c r="FV1532" s="1">
        <v>42515</v>
      </c>
      <c r="FW1532">
        <v>2015</v>
      </c>
      <c r="FX1532">
        <v>1174.02</v>
      </c>
      <c r="FY1532" t="s">
        <v>15508</v>
      </c>
      <c r="FZ1532">
        <v>0.25</v>
      </c>
      <c r="GA1532" t="s">
        <v>424</v>
      </c>
      <c r="GB1532" t="s">
        <v>425</v>
      </c>
      <c r="GC1532" s="1">
        <v>43151</v>
      </c>
      <c r="GD1532">
        <v>21</v>
      </c>
      <c r="GE1532">
        <v>7336671</v>
      </c>
      <c r="GF1532" t="s">
        <v>437</v>
      </c>
      <c r="GH1532" s="1">
        <v>42515</v>
      </c>
      <c r="GI1532">
        <v>2015</v>
      </c>
      <c r="GJ1532">
        <v>1174.02</v>
      </c>
      <c r="GK1532" t="s">
        <v>15508</v>
      </c>
      <c r="GL1532">
        <v>0.25</v>
      </c>
      <c r="GM1532" t="s">
        <v>424</v>
      </c>
      <c r="GN1532" t="s">
        <v>425</v>
      </c>
      <c r="GP1532">
        <v>22</v>
      </c>
      <c r="GQ1532">
        <v>7005902</v>
      </c>
      <c r="GR1532" t="s">
        <v>15509</v>
      </c>
      <c r="GT1532" s="1">
        <v>42151</v>
      </c>
      <c r="GU1532">
        <v>2014</v>
      </c>
      <c r="GV1532">
        <v>1166.1500000000001</v>
      </c>
      <c r="GW1532" t="s">
        <v>15510</v>
      </c>
      <c r="GX1532">
        <v>0.25</v>
      </c>
      <c r="GY1532" t="s">
        <v>424</v>
      </c>
      <c r="GZ1532" t="s">
        <v>425</v>
      </c>
      <c r="HA1532" s="1">
        <v>42790</v>
      </c>
      <c r="HB1532">
        <v>21</v>
      </c>
      <c r="HC1532">
        <v>4975594</v>
      </c>
      <c r="HD1532" t="s">
        <v>457</v>
      </c>
      <c r="HF1532" s="1">
        <v>42151</v>
      </c>
      <c r="HG1532">
        <v>2014</v>
      </c>
      <c r="HH1532">
        <v>1166.1500000000001</v>
      </c>
      <c r="HI1532" t="s">
        <v>15510</v>
      </c>
      <c r="HJ1532">
        <v>0.25</v>
      </c>
      <c r="HK1532" t="s">
        <v>424</v>
      </c>
      <c r="HL1532" t="s">
        <v>425</v>
      </c>
      <c r="HN1532">
        <v>22</v>
      </c>
      <c r="HO1532">
        <v>6552623</v>
      </c>
      <c r="HP1532" t="s">
        <v>15511</v>
      </c>
      <c r="HR1532" s="1">
        <v>41787</v>
      </c>
      <c r="HS1532">
        <v>2013</v>
      </c>
      <c r="HT1532">
        <v>1094.02</v>
      </c>
      <c r="HU1532" t="s">
        <v>15512</v>
      </c>
      <c r="HV1532">
        <v>0.25</v>
      </c>
      <c r="HW1532" t="s">
        <v>424</v>
      </c>
      <c r="HX1532" t="s">
        <v>425</v>
      </c>
      <c r="HY1532" s="1">
        <v>42030</v>
      </c>
      <c r="HZ1532">
        <v>8</v>
      </c>
      <c r="IA1532">
        <v>15259</v>
      </c>
      <c r="IB1532" t="s">
        <v>891</v>
      </c>
    </row>
    <row r="1533" spans="1:284" x14ac:dyDescent="0.25">
      <c r="A1533">
        <v>16486540</v>
      </c>
      <c r="B1533">
        <v>1532</v>
      </c>
      <c r="C1533" t="s">
        <v>393</v>
      </c>
      <c r="D1533" t="s">
        <v>394</v>
      </c>
      <c r="F1533" t="str">
        <f>"31-2N-28-4955-0001-0020"</f>
        <v>31-2N-28-4955-0001-0020</v>
      </c>
      <c r="H1533" t="str">
        <f>"KNOX MATTHEW"</f>
        <v>KNOX MATTHEW</v>
      </c>
      <c r="I1533" t="str">
        <f>"95066 JUSTIN COURT"</f>
        <v>95066 JUSTIN COURT</v>
      </c>
      <c r="J1533" t="str">
        <f t="shared" si="545"/>
        <v>FERNANDINA BEACH FL 32034</v>
      </c>
      <c r="K1533" t="str">
        <f>"95066 JUSTIN CT"</f>
        <v>95066 JUSTIN CT</v>
      </c>
      <c r="L1533" t="str">
        <f t="shared" si="538"/>
        <v>FERNANDINA BEACH FL 32034</v>
      </c>
      <c r="M1533" t="str">
        <f>"BLOCK 1 LOT 2 IN OR 1585/243 1977 SATI DW/MH WILLOW BRANCH ACRES PB 4/58"</f>
        <v>BLOCK 1 LOT 2 IN OR 1585/243 1977 SATI DW/MH WILLOW BRANCH ACRES PB 4/58</v>
      </c>
      <c r="N1533" t="str">
        <f>""</f>
        <v/>
      </c>
      <c r="O1533" t="str">
        <f>"39982"</f>
        <v>39982</v>
      </c>
      <c r="P1533" t="str">
        <f t="shared" si="514"/>
        <v>2017</v>
      </c>
      <c r="Q1533" t="str">
        <f>""</f>
        <v/>
      </c>
      <c r="R1533" t="str">
        <f>"Y"</f>
        <v>Y</v>
      </c>
      <c r="S1533" t="str">
        <f>""</f>
        <v/>
      </c>
      <c r="T1533" t="str">
        <f>"209.09"</f>
        <v>209.09</v>
      </c>
      <c r="U1533" t="str">
        <f>"38811.00"</f>
        <v>38811.00</v>
      </c>
      <c r="V1533" t="str">
        <f>"38811.00"</f>
        <v>38811.00</v>
      </c>
      <c r="W1533" t="str">
        <f t="shared" si="515"/>
        <v>2017</v>
      </c>
      <c r="X1533" t="str">
        <f>"9.20"</f>
        <v>9.20</v>
      </c>
      <c r="Y1533" t="str">
        <f>"247.36"</f>
        <v>247.36</v>
      </c>
      <c r="Z1533" t="str">
        <f>"25000.00"</f>
        <v>25000.00</v>
      </c>
      <c r="AA1533" t="str">
        <f>"13811.00"</f>
        <v>13811.00</v>
      </c>
      <c r="AB1533" t="str">
        <f t="shared" si="535"/>
        <v>Residential</v>
      </c>
      <c r="AC1533" t="str">
        <f t="shared" si="523"/>
        <v>0</v>
      </c>
      <c r="AD1533" t="str">
        <f t="shared" si="543"/>
        <v>4</v>
      </c>
      <c r="AE1533" t="str">
        <f t="shared" si="544"/>
        <v>WOOD (INCLUDE STEEL STUDS)</v>
      </c>
      <c r="AF1533" t="str">
        <f>"002"</f>
        <v>002</v>
      </c>
      <c r="AG1533" t="str">
        <f t="shared" si="542"/>
        <v>FL</v>
      </c>
      <c r="AH1533" t="str">
        <f t="shared" si="546"/>
        <v>-</v>
      </c>
      <c r="AI1533" t="str">
        <f t="shared" si="547"/>
        <v>25000.00</v>
      </c>
      <c r="AJ1533" t="str">
        <f>"C55-000-587-6615-5"</f>
        <v>C55-000-587-6615-5</v>
      </c>
      <c r="AK1533" t="str">
        <f>"28053"</f>
        <v>28053</v>
      </c>
      <c r="AL1533">
        <v>6</v>
      </c>
      <c r="AM1533">
        <v>1758</v>
      </c>
      <c r="AN1533">
        <v>258.13</v>
      </c>
      <c r="AQ1533" t="s">
        <v>15513</v>
      </c>
      <c r="AR1533" t="s">
        <v>15513</v>
      </c>
      <c r="AS1533" t="s">
        <v>15513</v>
      </c>
      <c r="AU1533" t="s">
        <v>396</v>
      </c>
      <c r="AV1533">
        <v>2017</v>
      </c>
      <c r="AW1533" t="str">
        <f>"31-2N-28-4955-0001-0020 "</f>
        <v xml:space="preserve">31-2N-28-4955-0001-0020 </v>
      </c>
      <c r="AX1533">
        <v>95066</v>
      </c>
      <c r="AZ1533" t="s">
        <v>15514</v>
      </c>
      <c r="BA1533" t="s">
        <v>3181</v>
      </c>
      <c r="BD1533" t="s">
        <v>11749</v>
      </c>
      <c r="BE1533" t="s">
        <v>393</v>
      </c>
      <c r="BF1533">
        <v>32034</v>
      </c>
      <c r="BG1533" t="s">
        <v>15515</v>
      </c>
      <c r="BH1533" t="s">
        <v>11751</v>
      </c>
      <c r="BI1533">
        <v>-81.528945811430305</v>
      </c>
      <c r="BJ1533">
        <v>30.581116214696799</v>
      </c>
      <c r="BK1533" t="s">
        <v>15516</v>
      </c>
      <c r="BM1533" t="s">
        <v>15515</v>
      </c>
      <c r="BN1533" t="s">
        <v>3983</v>
      </c>
      <c r="BO1533">
        <v>32034</v>
      </c>
      <c r="BP1533" t="s">
        <v>416</v>
      </c>
      <c r="BQ1533">
        <v>200</v>
      </c>
      <c r="BR1533" t="s">
        <v>405</v>
      </c>
      <c r="BS1533">
        <v>1006</v>
      </c>
      <c r="BT1533" t="s">
        <v>406</v>
      </c>
      <c r="BW1533">
        <v>42619</v>
      </c>
      <c r="BX1533" t="s">
        <v>407</v>
      </c>
      <c r="BY1533" t="s">
        <v>408</v>
      </c>
      <c r="BZ1533">
        <v>4</v>
      </c>
      <c r="CA1533">
        <v>1977</v>
      </c>
      <c r="CB1533">
        <v>1</v>
      </c>
      <c r="CC1533">
        <v>1</v>
      </c>
      <c r="CD1533">
        <v>2017</v>
      </c>
      <c r="CG1533">
        <v>38811</v>
      </c>
      <c r="CH1533">
        <v>2017</v>
      </c>
      <c r="CI1533">
        <v>25000</v>
      </c>
      <c r="CJ1533">
        <v>20459</v>
      </c>
      <c r="CK1533">
        <v>45459</v>
      </c>
      <c r="CL1533">
        <v>2017</v>
      </c>
      <c r="CM1533">
        <v>209.09</v>
      </c>
      <c r="CN1533" s="1">
        <v>39707</v>
      </c>
      <c r="CV1533">
        <v>65000</v>
      </c>
      <c r="CX1533" t="s">
        <v>707</v>
      </c>
      <c r="CZ1533" s="1">
        <v>39707</v>
      </c>
      <c r="DA1533">
        <v>0</v>
      </c>
      <c r="DD1533" t="s">
        <v>11749</v>
      </c>
      <c r="DF1533">
        <v>2</v>
      </c>
      <c r="DG1533">
        <v>31</v>
      </c>
      <c r="DL1533">
        <v>50303</v>
      </c>
      <c r="DM1533" t="s">
        <v>15386</v>
      </c>
      <c r="DO1533" t="s">
        <v>15517</v>
      </c>
      <c r="DP1533">
        <v>0</v>
      </c>
      <c r="DQ1533">
        <v>0</v>
      </c>
      <c r="DR1533" t="s">
        <v>411</v>
      </c>
      <c r="EP1533" t="s">
        <v>595</v>
      </c>
      <c r="EQ1533" t="s">
        <v>422</v>
      </c>
      <c r="ER1533">
        <v>0</v>
      </c>
      <c r="ES1533">
        <v>6</v>
      </c>
      <c r="ET1533">
        <v>0</v>
      </c>
      <c r="EU1533">
        <v>0</v>
      </c>
      <c r="EV1533">
        <v>0</v>
      </c>
      <c r="EW1533" s="2">
        <v>43222</v>
      </c>
      <c r="EX1533" s="1">
        <v>42879</v>
      </c>
      <c r="EY1533">
        <v>2016</v>
      </c>
      <c r="EZ1533">
        <v>243.04</v>
      </c>
      <c r="FA1533" t="s">
        <v>15518</v>
      </c>
      <c r="FB1533">
        <v>18</v>
      </c>
      <c r="FC1533" t="s">
        <v>603</v>
      </c>
      <c r="FD1533" t="s">
        <v>425</v>
      </c>
      <c r="FE1533" s="1">
        <v>42893</v>
      </c>
      <c r="FF1533">
        <v>1</v>
      </c>
      <c r="FG1533">
        <v>9999999</v>
      </c>
      <c r="FH1533" t="s">
        <v>604</v>
      </c>
      <c r="FJ1533" s="1">
        <v>42515</v>
      </c>
      <c r="FK1533">
        <v>2015</v>
      </c>
      <c r="FL1533">
        <v>238.78</v>
      </c>
      <c r="FM1533" t="s">
        <v>15519</v>
      </c>
      <c r="FN1533">
        <v>18</v>
      </c>
      <c r="FO1533" t="s">
        <v>603</v>
      </c>
      <c r="FP1533" t="s">
        <v>425</v>
      </c>
      <c r="FR1533">
        <v>22</v>
      </c>
      <c r="FS1533">
        <v>9999999</v>
      </c>
      <c r="FT1533" t="s">
        <v>604</v>
      </c>
      <c r="FV1533" s="1">
        <v>42515</v>
      </c>
      <c r="FW1533">
        <v>2015</v>
      </c>
      <c r="FX1533">
        <v>248.61</v>
      </c>
      <c r="FY1533" t="s">
        <v>15519</v>
      </c>
      <c r="FZ1533">
        <v>18</v>
      </c>
      <c r="GA1533" t="s">
        <v>424</v>
      </c>
      <c r="GB1533" t="s">
        <v>425</v>
      </c>
      <c r="GC1533" s="1">
        <v>42881</v>
      </c>
      <c r="GD1533">
        <v>12</v>
      </c>
      <c r="GE1533">
        <v>7336144</v>
      </c>
      <c r="GF1533" t="s">
        <v>5329</v>
      </c>
      <c r="GH1533" s="1">
        <v>41787</v>
      </c>
      <c r="GI1533">
        <v>2013</v>
      </c>
      <c r="GJ1533">
        <v>381.66</v>
      </c>
      <c r="GK1533" t="s">
        <v>15520</v>
      </c>
      <c r="GL1533">
        <v>0.25</v>
      </c>
      <c r="GM1533" t="s">
        <v>424</v>
      </c>
      <c r="GN1533" t="s">
        <v>425</v>
      </c>
      <c r="GO1533" s="1">
        <v>41954</v>
      </c>
      <c r="GP1533">
        <v>6</v>
      </c>
      <c r="GQ1533">
        <v>305</v>
      </c>
      <c r="GR1533" t="s">
        <v>1078</v>
      </c>
      <c r="GT1533" s="1">
        <v>41423</v>
      </c>
      <c r="GU1533">
        <v>2012</v>
      </c>
      <c r="GV1533">
        <v>400.86</v>
      </c>
      <c r="GW1533" t="s">
        <v>15521</v>
      </c>
      <c r="GX1533">
        <v>2.75</v>
      </c>
      <c r="GY1533" t="s">
        <v>424</v>
      </c>
      <c r="GZ1533" t="s">
        <v>425</v>
      </c>
      <c r="HA1533" s="1">
        <v>41954</v>
      </c>
      <c r="HB1533">
        <v>18</v>
      </c>
      <c r="HC1533">
        <v>15399</v>
      </c>
      <c r="HD1533" t="s">
        <v>485</v>
      </c>
      <c r="HF1533" s="1">
        <v>40688</v>
      </c>
      <c r="HG1533">
        <v>2010</v>
      </c>
      <c r="HH1533">
        <v>543.99</v>
      </c>
      <c r="HI1533" t="s">
        <v>15522</v>
      </c>
      <c r="HJ1533">
        <v>6</v>
      </c>
      <c r="HK1533" t="s">
        <v>424</v>
      </c>
      <c r="HL1533" t="s">
        <v>425</v>
      </c>
      <c r="HM1533" s="1">
        <v>40960</v>
      </c>
      <c r="HN1533">
        <v>9</v>
      </c>
      <c r="HO1533">
        <v>105</v>
      </c>
      <c r="HP1533" t="s">
        <v>946</v>
      </c>
    </row>
    <row r="1534" spans="1:284" x14ac:dyDescent="0.25">
      <c r="A1534">
        <v>16486541</v>
      </c>
      <c r="B1534">
        <v>1533</v>
      </c>
      <c r="C1534" t="s">
        <v>393</v>
      </c>
      <c r="D1534" t="s">
        <v>394</v>
      </c>
      <c r="F1534" t="str">
        <f>"31-2N-28-4955-0001-0090"</f>
        <v>31-2N-28-4955-0001-0090</v>
      </c>
      <c r="H1534" t="str">
        <f>"MAXWELL DANNY L &amp; ELIZABETH"</f>
        <v>MAXWELL DANNY L &amp; ELIZABETH</v>
      </c>
      <c r="I1534" t="str">
        <f>"95055 JUSTIN CT"</f>
        <v>95055 JUSTIN CT</v>
      </c>
      <c r="J1534" t="str">
        <f t="shared" si="545"/>
        <v>FERNANDINA BEACH FL 32034</v>
      </c>
      <c r="K1534" t="str">
        <f>"JUSTIN CT"</f>
        <v>JUSTIN CT</v>
      </c>
      <c r="L1534" t="str">
        <f t="shared" si="538"/>
        <v>FERNANDINA BEACH FL 32034</v>
      </c>
      <c r="M1534" t="str">
        <f>"BLOCK 1 LOT 9 R621465 &amp; R621466 IN OR 998/1289 WILLOW BRANCH ACRES PB 4/58"</f>
        <v>BLOCK 1 LOT 9 R621465 &amp; R621466 IN OR 998/1289 WILLOW BRANCH ACRES PB 4/58</v>
      </c>
      <c r="N1534" t="str">
        <f>""</f>
        <v/>
      </c>
      <c r="O1534" t="str">
        <f>"39989"</f>
        <v>39989</v>
      </c>
      <c r="P1534" t="str">
        <f t="shared" si="514"/>
        <v>2017</v>
      </c>
      <c r="Q1534" t="str">
        <f>""</f>
        <v/>
      </c>
      <c r="R1534" t="str">
        <f>"N"</f>
        <v>N</v>
      </c>
      <c r="S1534" t="str">
        <f>""</f>
        <v/>
      </c>
      <c r="T1534" t="str">
        <f>"560.85"</f>
        <v>560.85</v>
      </c>
      <c r="U1534" t="str">
        <f>"35411.00"</f>
        <v>35411.00</v>
      </c>
      <c r="V1534" t="str">
        <f>"35411.00"</f>
        <v>35411.00</v>
      </c>
      <c r="W1534" t="str">
        <f t="shared" si="515"/>
        <v>2017</v>
      </c>
      <c r="X1534" t="str">
        <f>"4.00"</f>
        <v>4.00</v>
      </c>
      <c r="Y1534" t="str">
        <f>"609.68"</f>
        <v>609.68</v>
      </c>
      <c r="Z1534" t="str">
        <f>""</f>
        <v/>
      </c>
      <c r="AA1534" t="str">
        <f>"39165.00"</f>
        <v>39165.00</v>
      </c>
      <c r="AB1534" t="str">
        <f t="shared" si="535"/>
        <v>Residential</v>
      </c>
      <c r="AC1534" t="str">
        <f t="shared" si="523"/>
        <v>0</v>
      </c>
      <c r="AD1534" t="str">
        <f>""</f>
        <v/>
      </c>
      <c r="AE1534" t="str">
        <f>""</f>
        <v/>
      </c>
      <c r="AF1534" t="str">
        <f>"000"</f>
        <v>000</v>
      </c>
      <c r="AG1534" t="str">
        <f t="shared" si="542"/>
        <v>FL</v>
      </c>
      <c r="AH1534" t="str">
        <f t="shared" si="546"/>
        <v>-</v>
      </c>
      <c r="AI1534" t="str">
        <f t="shared" si="547"/>
        <v>25000.00</v>
      </c>
      <c r="AJ1534" t="str">
        <f>"C55-000-587-6622-1"</f>
        <v>C55-000-587-6622-1</v>
      </c>
      <c r="AK1534" t="str">
        <f>"28060"</f>
        <v>28060</v>
      </c>
      <c r="AL1534">
        <v>6</v>
      </c>
      <c r="AM1534">
        <v>1759</v>
      </c>
      <c r="AN1534">
        <v>638.55999999999995</v>
      </c>
      <c r="AQ1534" t="s">
        <v>15523</v>
      </c>
      <c r="AR1534" t="s">
        <v>15523</v>
      </c>
      <c r="AS1534" t="s">
        <v>15523</v>
      </c>
      <c r="AU1534" t="s">
        <v>396</v>
      </c>
      <c r="AV1534">
        <v>2017</v>
      </c>
      <c r="AW1534" t="str">
        <f>"31-2N-28-4955-0001-0090 "</f>
        <v xml:space="preserve">31-2N-28-4955-0001-0090 </v>
      </c>
      <c r="AZ1534" t="s">
        <v>15514</v>
      </c>
      <c r="BA1534" t="s">
        <v>3181</v>
      </c>
      <c r="BD1534" t="s">
        <v>11749</v>
      </c>
      <c r="BE1534" t="s">
        <v>393</v>
      </c>
      <c r="BF1534">
        <v>32034</v>
      </c>
      <c r="BG1534" t="s">
        <v>15524</v>
      </c>
      <c r="BH1534" t="s">
        <v>11751</v>
      </c>
      <c r="BI1534">
        <v>-81.529912961630203</v>
      </c>
      <c r="BJ1534">
        <v>30.581556199024899</v>
      </c>
      <c r="BK1534" t="s">
        <v>15525</v>
      </c>
      <c r="BL1534" t="s">
        <v>15526</v>
      </c>
      <c r="BM1534" t="s">
        <v>15465</v>
      </c>
      <c r="BN1534" t="s">
        <v>3983</v>
      </c>
      <c r="BO1534">
        <v>32034</v>
      </c>
      <c r="BP1534" t="s">
        <v>416</v>
      </c>
      <c r="BQ1534">
        <v>1</v>
      </c>
      <c r="BR1534" t="s">
        <v>491</v>
      </c>
      <c r="BS1534">
        <v>8001</v>
      </c>
      <c r="BT1534" t="s">
        <v>492</v>
      </c>
      <c r="BW1534">
        <v>46568</v>
      </c>
      <c r="BX1534" t="s">
        <v>407</v>
      </c>
      <c r="BY1534" t="s">
        <v>408</v>
      </c>
      <c r="CD1534">
        <v>2017</v>
      </c>
      <c r="CE1534">
        <v>25000</v>
      </c>
      <c r="CF1534">
        <v>14165</v>
      </c>
      <c r="CG1534">
        <v>39165</v>
      </c>
      <c r="CH1534">
        <v>2017</v>
      </c>
      <c r="CI1534">
        <v>25000</v>
      </c>
      <c r="CJ1534">
        <v>14165</v>
      </c>
      <c r="CK1534">
        <v>39165</v>
      </c>
      <c r="CL1534">
        <v>2017</v>
      </c>
      <c r="CM1534">
        <v>560.85</v>
      </c>
      <c r="CN1534" s="1">
        <v>37091</v>
      </c>
      <c r="CO1534">
        <v>36500</v>
      </c>
      <c r="CV1534">
        <v>31500</v>
      </c>
      <c r="CX1534" t="s">
        <v>707</v>
      </c>
      <c r="CZ1534" s="1">
        <v>37091</v>
      </c>
      <c r="DA1534">
        <v>0</v>
      </c>
      <c r="DD1534" t="s">
        <v>11749</v>
      </c>
      <c r="DF1534">
        <v>9</v>
      </c>
      <c r="DG1534">
        <v>31</v>
      </c>
      <c r="DL1534">
        <v>50303</v>
      </c>
      <c r="DM1534" t="s">
        <v>15386</v>
      </c>
      <c r="DO1534" t="s">
        <v>15527</v>
      </c>
      <c r="DP1534">
        <v>0</v>
      </c>
      <c r="DQ1534">
        <v>0</v>
      </c>
      <c r="DR1534" t="s">
        <v>411</v>
      </c>
      <c r="EP1534" t="s">
        <v>421</v>
      </c>
      <c r="EQ1534" t="s">
        <v>422</v>
      </c>
      <c r="ER1534">
        <v>0</v>
      </c>
      <c r="ES1534">
        <v>1</v>
      </c>
      <c r="ET1534">
        <v>0</v>
      </c>
      <c r="EU1534">
        <v>0</v>
      </c>
      <c r="EV1534">
        <v>0</v>
      </c>
      <c r="EW1534" s="2">
        <v>43222</v>
      </c>
      <c r="EX1534" s="1">
        <v>40688</v>
      </c>
      <c r="EY1534">
        <v>2010</v>
      </c>
      <c r="EZ1534">
        <v>746.88</v>
      </c>
      <c r="FA1534" t="s">
        <v>15528</v>
      </c>
      <c r="FB1534">
        <v>6</v>
      </c>
      <c r="FC1534" t="s">
        <v>424</v>
      </c>
      <c r="FD1534" t="s">
        <v>425</v>
      </c>
      <c r="FE1534" s="1">
        <v>40806</v>
      </c>
      <c r="FF1534">
        <v>4</v>
      </c>
      <c r="FG1534">
        <v>105</v>
      </c>
      <c r="FH1534" t="s">
        <v>946</v>
      </c>
    </row>
    <row r="1535" spans="1:284" x14ac:dyDescent="0.25">
      <c r="A1535">
        <v>16486542</v>
      </c>
      <c r="B1535">
        <v>1534</v>
      </c>
      <c r="C1535" t="s">
        <v>393</v>
      </c>
      <c r="D1535" t="s">
        <v>394</v>
      </c>
      <c r="F1535" t="str">
        <f>"31-2N-28-4955-0003-0060"</f>
        <v>31-2N-28-4955-0003-0060</v>
      </c>
      <c r="H1535" t="str">
        <f>"HOETZLEIN SUSAN C &amp; WELSH BARBARA &amp; LINDA S CUDA &amp; PALMER WILLIAM SCOTT"</f>
        <v>HOETZLEIN SUSAN C &amp; WELSH BARBARA &amp; LINDA S CUDA &amp; PALMER WILLIAM SCOTT</v>
      </c>
      <c r="I1535" t="str">
        <f>""</f>
        <v/>
      </c>
      <c r="J1535" t="str">
        <f t="shared" si="545"/>
        <v>FERNANDINA BEACH FL 32034</v>
      </c>
      <c r="K1535" t="str">
        <f>"95320 PLUM LOOP"</f>
        <v>95320 PLUM LOOP</v>
      </c>
      <c r="L1535" t="str">
        <f t="shared" si="538"/>
        <v>FERNANDINA BEACH FL 32034</v>
      </c>
      <c r="M1535" t="str">
        <f>"BLOCK 3 LOT 6 IN OR 1211/196 R673911 &amp; R673912 WILLOW BRANCH ACRES PB 4/58"</f>
        <v>BLOCK 3 LOT 6 IN OR 1211/196 R673911 &amp; R673912 WILLOW BRANCH ACRES PB 4/58</v>
      </c>
      <c r="N1535" t="str">
        <f>""</f>
        <v/>
      </c>
      <c r="O1535" t="str">
        <f>"40014"</f>
        <v>40014</v>
      </c>
      <c r="P1535" t="str">
        <f t="shared" si="514"/>
        <v>2017</v>
      </c>
      <c r="Q1535" t="str">
        <f>""</f>
        <v/>
      </c>
      <c r="R1535" t="str">
        <f>"N"</f>
        <v>N</v>
      </c>
      <c r="S1535" t="str">
        <f>""</f>
        <v/>
      </c>
      <c r="T1535" t="str">
        <f>"579.21"</f>
        <v>579.21</v>
      </c>
      <c r="U1535" t="str">
        <f>"35002.00"</f>
        <v>35002.00</v>
      </c>
      <c r="V1535" t="str">
        <f>"35002.00"</f>
        <v>35002.00</v>
      </c>
      <c r="W1535" t="str">
        <f t="shared" si="515"/>
        <v>2017</v>
      </c>
      <c r="X1535" t="str">
        <f>"35.38"</f>
        <v>35.38</v>
      </c>
      <c r="Y1535" t="str">
        <f>"628.59"</f>
        <v>628.59</v>
      </c>
      <c r="Z1535" t="str">
        <f>""</f>
        <v/>
      </c>
      <c r="AA1535" t="str">
        <f>"42479.00"</f>
        <v>42479.00</v>
      </c>
      <c r="AB1535" t="str">
        <f t="shared" si="535"/>
        <v>Residential</v>
      </c>
      <c r="AC1535" t="str">
        <f t="shared" si="523"/>
        <v>0</v>
      </c>
      <c r="AD1535" t="str">
        <f>"4"</f>
        <v>4</v>
      </c>
      <c r="AE1535" t="str">
        <f>"WOOD (INCLUDE STEEL STUDS)"</f>
        <v>WOOD (INCLUDE STEEL STUDS)</v>
      </c>
      <c r="AF1535" t="str">
        <f>"002"</f>
        <v>002</v>
      </c>
      <c r="AG1535" t="str">
        <f t="shared" si="542"/>
        <v>FL</v>
      </c>
      <c r="AH1535" t="str">
        <f t="shared" si="546"/>
        <v>-</v>
      </c>
      <c r="AI1535" t="str">
        <f t="shared" si="547"/>
        <v>25000.00</v>
      </c>
      <c r="AJ1535" t="str">
        <f>"C55-000-587-6647-8"</f>
        <v>C55-000-587-6647-8</v>
      </c>
      <c r="AK1535" t="str">
        <f>"28085"</f>
        <v>28085</v>
      </c>
      <c r="AL1535">
        <v>6</v>
      </c>
      <c r="AM1535">
        <v>1760</v>
      </c>
      <c r="AN1535">
        <v>658.42</v>
      </c>
      <c r="AQ1535" t="s">
        <v>15529</v>
      </c>
      <c r="AR1535" t="s">
        <v>15529</v>
      </c>
      <c r="AS1535" t="s">
        <v>15529</v>
      </c>
      <c r="AU1535" t="s">
        <v>396</v>
      </c>
      <c r="AV1535">
        <v>2017</v>
      </c>
      <c r="AW1535" t="str">
        <f>"31-2N-28-4955-0003-0060 "</f>
        <v xml:space="preserve">31-2N-28-4955-0003-0060 </v>
      </c>
      <c r="AX1535">
        <v>95320</v>
      </c>
      <c r="AZ1535" t="s">
        <v>15530</v>
      </c>
      <c r="BA1535" t="s">
        <v>14948</v>
      </c>
      <c r="BD1535" t="s">
        <v>11749</v>
      </c>
      <c r="BE1535" t="s">
        <v>393</v>
      </c>
      <c r="BF1535">
        <v>32034</v>
      </c>
      <c r="BG1535" t="s">
        <v>15531</v>
      </c>
      <c r="BH1535" t="s">
        <v>11751</v>
      </c>
      <c r="BI1535">
        <v>-81.530234438402601</v>
      </c>
      <c r="BJ1535">
        <v>30.5846611125206</v>
      </c>
      <c r="BK1535" t="s">
        <v>15532</v>
      </c>
      <c r="BL1535" t="s">
        <v>15533</v>
      </c>
      <c r="BM1535" t="s">
        <v>15534</v>
      </c>
      <c r="BN1535" t="s">
        <v>3983</v>
      </c>
      <c r="BO1535">
        <v>32034</v>
      </c>
      <c r="BP1535" t="s">
        <v>404</v>
      </c>
      <c r="BQ1535">
        <v>200</v>
      </c>
      <c r="BR1535" t="s">
        <v>405</v>
      </c>
      <c r="BS1535">
        <v>1006</v>
      </c>
      <c r="BT1535" t="s">
        <v>406</v>
      </c>
      <c r="BW1535">
        <v>48728</v>
      </c>
      <c r="BX1535" t="s">
        <v>407</v>
      </c>
      <c r="BY1535" t="s">
        <v>408</v>
      </c>
      <c r="BZ1535">
        <v>4</v>
      </c>
      <c r="CA1535">
        <v>1987</v>
      </c>
      <c r="CB1535">
        <v>1</v>
      </c>
      <c r="CC1535">
        <v>1</v>
      </c>
      <c r="CD1535">
        <v>2017</v>
      </c>
      <c r="CE1535">
        <v>25000</v>
      </c>
      <c r="CF1535">
        <v>17479</v>
      </c>
      <c r="CG1535">
        <v>42479</v>
      </c>
      <c r="CH1535">
        <v>2017</v>
      </c>
      <c r="CI1535">
        <v>25000</v>
      </c>
      <c r="CJ1535">
        <v>17479</v>
      </c>
      <c r="CK1535">
        <v>42479</v>
      </c>
      <c r="CL1535">
        <v>2017</v>
      </c>
      <c r="CM1535">
        <v>579.21</v>
      </c>
      <c r="CN1535" s="1">
        <v>38044</v>
      </c>
      <c r="CZ1535" s="1">
        <v>38044</v>
      </c>
      <c r="DD1535" t="s">
        <v>11749</v>
      </c>
      <c r="DF1535">
        <v>6</v>
      </c>
      <c r="DG1535">
        <v>31</v>
      </c>
      <c r="DL1535">
        <v>50303</v>
      </c>
      <c r="DM1535" t="s">
        <v>15386</v>
      </c>
      <c r="DO1535" t="s">
        <v>15535</v>
      </c>
      <c r="DP1535">
        <v>0</v>
      </c>
      <c r="DQ1535">
        <v>0</v>
      </c>
      <c r="DR1535" t="s">
        <v>411</v>
      </c>
      <c r="DS1535" t="b">
        <v>1</v>
      </c>
      <c r="DT1535" t="s">
        <v>470</v>
      </c>
      <c r="DU1535" t="s">
        <v>471</v>
      </c>
      <c r="DV1535" t="s">
        <v>472</v>
      </c>
      <c r="DX1535">
        <v>-9999</v>
      </c>
      <c r="DZ1535" t="s">
        <v>447</v>
      </c>
      <c r="EA1535" t="s">
        <v>448</v>
      </c>
      <c r="EB1535" t="s">
        <v>742</v>
      </c>
      <c r="EC1535">
        <v>20101217</v>
      </c>
      <c r="ED1535" t="s">
        <v>474</v>
      </c>
      <c r="EF1535">
        <v>3608.1</v>
      </c>
      <c r="EG1535">
        <v>2994.8</v>
      </c>
      <c r="EI1535">
        <v>20160407</v>
      </c>
      <c r="EJ1535">
        <v>0</v>
      </c>
      <c r="EK1535">
        <v>0</v>
      </c>
      <c r="EP1535" t="s">
        <v>421</v>
      </c>
      <c r="EQ1535" t="s">
        <v>422</v>
      </c>
      <c r="ER1535">
        <v>0</v>
      </c>
      <c r="ES1535">
        <v>10</v>
      </c>
      <c r="ET1535">
        <v>0</v>
      </c>
      <c r="EU1535">
        <v>0</v>
      </c>
      <c r="EV1535">
        <v>0</v>
      </c>
      <c r="EW1535" s="2">
        <v>43222</v>
      </c>
      <c r="EX1535" s="1">
        <v>42879</v>
      </c>
      <c r="EY1535">
        <v>2016</v>
      </c>
      <c r="EZ1535">
        <v>555.28</v>
      </c>
      <c r="FA1535" t="s">
        <v>15536</v>
      </c>
      <c r="FB1535">
        <v>0.25</v>
      </c>
      <c r="FC1535" t="s">
        <v>424</v>
      </c>
      <c r="FD1535" t="s">
        <v>425</v>
      </c>
      <c r="FE1535" s="1">
        <v>43164</v>
      </c>
      <c r="FF1535">
        <v>10</v>
      </c>
      <c r="FG1535">
        <v>2851116</v>
      </c>
      <c r="FH1535" t="s">
        <v>480</v>
      </c>
      <c r="FJ1535" s="1">
        <v>42879</v>
      </c>
      <c r="FK1535">
        <v>2016</v>
      </c>
      <c r="FL1535">
        <v>555.28</v>
      </c>
      <c r="FM1535" t="s">
        <v>15536</v>
      </c>
      <c r="FN1535">
        <v>0.25</v>
      </c>
      <c r="FO1535" t="s">
        <v>424</v>
      </c>
      <c r="FP1535" t="s">
        <v>425</v>
      </c>
      <c r="FR1535">
        <v>22</v>
      </c>
      <c r="FS1535">
        <v>5407636</v>
      </c>
      <c r="FT1535" t="s">
        <v>15537</v>
      </c>
      <c r="FV1535" s="1">
        <v>42515</v>
      </c>
      <c r="FW1535">
        <v>2015</v>
      </c>
      <c r="FX1535">
        <v>699.57</v>
      </c>
      <c r="FY1535" t="s">
        <v>15538</v>
      </c>
      <c r="FZ1535">
        <v>0.25</v>
      </c>
      <c r="GA1535" t="s">
        <v>424</v>
      </c>
      <c r="GB1535" t="s">
        <v>425</v>
      </c>
      <c r="GC1535" s="1">
        <v>43164</v>
      </c>
      <c r="GD1535">
        <v>22</v>
      </c>
      <c r="GE1535">
        <v>2851116</v>
      </c>
      <c r="GF1535" t="s">
        <v>480</v>
      </c>
      <c r="GH1535" s="1">
        <v>42515</v>
      </c>
      <c r="GI1535">
        <v>2015</v>
      </c>
      <c r="GJ1535">
        <v>699.57</v>
      </c>
      <c r="GK1535" t="s">
        <v>15538</v>
      </c>
      <c r="GL1535">
        <v>0.25</v>
      </c>
      <c r="GM1535" t="s">
        <v>424</v>
      </c>
      <c r="GN1535" t="s">
        <v>425</v>
      </c>
      <c r="GP1535">
        <v>22</v>
      </c>
      <c r="GQ1535">
        <v>5497354</v>
      </c>
      <c r="GR1535" t="s">
        <v>15539</v>
      </c>
      <c r="GT1535" s="1">
        <v>42151</v>
      </c>
      <c r="GU1535">
        <v>2014</v>
      </c>
      <c r="GV1535">
        <v>610.79</v>
      </c>
      <c r="GW1535" t="s">
        <v>15540</v>
      </c>
      <c r="GX1535">
        <v>0.25</v>
      </c>
      <c r="GY1535" t="s">
        <v>424</v>
      </c>
      <c r="GZ1535" t="s">
        <v>425</v>
      </c>
      <c r="HA1535" s="1">
        <v>42856</v>
      </c>
      <c r="HB1535">
        <v>24</v>
      </c>
      <c r="HC1535">
        <v>2851116</v>
      </c>
      <c r="HD1535" t="s">
        <v>480</v>
      </c>
      <c r="HF1535" s="1">
        <v>42151</v>
      </c>
      <c r="HG1535">
        <v>2014</v>
      </c>
      <c r="HH1535">
        <v>610.79</v>
      </c>
      <c r="HI1535" t="s">
        <v>15540</v>
      </c>
      <c r="HJ1535">
        <v>0.25</v>
      </c>
      <c r="HK1535" t="s">
        <v>424</v>
      </c>
      <c r="HL1535" t="s">
        <v>425</v>
      </c>
      <c r="HN1535">
        <v>22</v>
      </c>
      <c r="HO1535">
        <v>5377647</v>
      </c>
      <c r="HP1535" t="s">
        <v>15541</v>
      </c>
      <c r="HR1535" s="1">
        <v>41787</v>
      </c>
      <c r="HS1535">
        <v>2013</v>
      </c>
      <c r="HT1535">
        <v>719.08</v>
      </c>
      <c r="HU1535" t="s">
        <v>15542</v>
      </c>
      <c r="HV1535">
        <v>0.25</v>
      </c>
      <c r="HW1535" t="s">
        <v>424</v>
      </c>
      <c r="HX1535" t="s">
        <v>425</v>
      </c>
      <c r="HY1535" s="1">
        <v>42460</v>
      </c>
      <c r="HZ1535">
        <v>22</v>
      </c>
      <c r="IA1535">
        <v>2407503</v>
      </c>
      <c r="IB1535" t="s">
        <v>461</v>
      </c>
      <c r="ID1535" s="1">
        <v>41423</v>
      </c>
      <c r="IE1535">
        <v>2012</v>
      </c>
      <c r="IF1535">
        <v>734.59</v>
      </c>
      <c r="IG1535" t="s">
        <v>15543</v>
      </c>
      <c r="IH1535">
        <v>0.25</v>
      </c>
      <c r="II1535" t="s">
        <v>424</v>
      </c>
      <c r="IJ1535" t="s">
        <v>425</v>
      </c>
      <c r="IK1535" s="1">
        <v>42047</v>
      </c>
      <c r="IL1535">
        <v>21</v>
      </c>
      <c r="IM1535">
        <v>15399</v>
      </c>
      <c r="IN1535" t="s">
        <v>485</v>
      </c>
      <c r="IP1535" s="1">
        <v>41052</v>
      </c>
      <c r="IQ1535">
        <v>2011</v>
      </c>
      <c r="IR1535">
        <v>1026</v>
      </c>
      <c r="IS1535" t="s">
        <v>15544</v>
      </c>
      <c r="IT1535">
        <v>5.25</v>
      </c>
      <c r="IU1535" t="s">
        <v>424</v>
      </c>
      <c r="IV1535" t="s">
        <v>425</v>
      </c>
      <c r="IW1535" s="1">
        <v>41691</v>
      </c>
      <c r="IX1535">
        <v>21</v>
      </c>
      <c r="IY1535">
        <v>10125</v>
      </c>
      <c r="IZ1535" t="s">
        <v>440</v>
      </c>
      <c r="JB1535" s="1">
        <v>40688</v>
      </c>
      <c r="JC1535">
        <v>2010</v>
      </c>
      <c r="JD1535">
        <v>1231.08</v>
      </c>
      <c r="JE1535" t="s">
        <v>15545</v>
      </c>
      <c r="JF1535">
        <v>6</v>
      </c>
      <c r="JG1535" t="s">
        <v>424</v>
      </c>
      <c r="JH1535" t="s">
        <v>425</v>
      </c>
      <c r="JI1535" s="1">
        <v>41324</v>
      </c>
      <c r="JJ1535">
        <v>21</v>
      </c>
      <c r="JK1535">
        <v>105</v>
      </c>
      <c r="JL1535" t="s">
        <v>946</v>
      </c>
    </row>
    <row r="1536" spans="1:284" x14ac:dyDescent="0.25">
      <c r="A1536">
        <v>16486543</v>
      </c>
      <c r="B1536">
        <v>1535</v>
      </c>
      <c r="C1536" t="s">
        <v>393</v>
      </c>
      <c r="D1536" t="s">
        <v>394</v>
      </c>
      <c r="F1536" t="str">
        <f>"31-2N-28-4955-0003-0080"</f>
        <v>31-2N-28-4955-0003-0080</v>
      </c>
      <c r="H1536" t="str">
        <f>"JOHNSON MATTHEW BRANDON"</f>
        <v>JOHNSON MATTHEW BRANDON</v>
      </c>
      <c r="I1536" t="str">
        <f>"95398 PLUM LOOP"</f>
        <v>95398 PLUM LOOP</v>
      </c>
      <c r="J1536" t="str">
        <f t="shared" si="545"/>
        <v>FERNANDINA BEACH FL 32034</v>
      </c>
      <c r="K1536" t="str">
        <f>"95398 PLUM LOOP"</f>
        <v>95398 PLUM LOOP</v>
      </c>
      <c r="L1536" t="str">
        <f t="shared" si="538"/>
        <v>FERNANDINA BEACH FL 32034</v>
      </c>
      <c r="M1536" t="str">
        <f>"BLOCK 3 LOT 8 IN OR 1966/1875 R236053 &amp; R236052 WILLOW BRANCH ACRES PB 4/58"</f>
        <v>BLOCK 3 LOT 8 IN OR 1966/1875 R236053 &amp; R236052 WILLOW BRANCH ACRES PB 4/58</v>
      </c>
      <c r="N1536" t="str">
        <f>""</f>
        <v/>
      </c>
      <c r="O1536" t="str">
        <f>"40016"</f>
        <v>40016</v>
      </c>
      <c r="P1536" t="str">
        <f t="shared" si="514"/>
        <v>2017</v>
      </c>
      <c r="Q1536" t="str">
        <f>""</f>
        <v/>
      </c>
      <c r="R1536" t="str">
        <f>"Y"</f>
        <v>Y</v>
      </c>
      <c r="S1536" t="str">
        <f>""</f>
        <v/>
      </c>
      <c r="T1536" t="str">
        <f>"339.17"</f>
        <v>339.17</v>
      </c>
      <c r="U1536" t="str">
        <f>"47404.00"</f>
        <v>47404.00</v>
      </c>
      <c r="V1536" t="str">
        <f>"47404.00"</f>
        <v>47404.00</v>
      </c>
      <c r="W1536" t="str">
        <f t="shared" si="515"/>
        <v>2017</v>
      </c>
      <c r="X1536" t="str">
        <f>"11.00"</f>
        <v>11.00</v>
      </c>
      <c r="Y1536" t="str">
        <f>"381.35"</f>
        <v>381.35</v>
      </c>
      <c r="Z1536" t="str">
        <f>"25000.00"</f>
        <v>25000.00</v>
      </c>
      <c r="AA1536" t="str">
        <f>"22404.00"</f>
        <v>22404.00</v>
      </c>
      <c r="AB1536" t="str">
        <f t="shared" si="535"/>
        <v>Residential</v>
      </c>
      <c r="AC1536" t="str">
        <f t="shared" si="523"/>
        <v>0</v>
      </c>
      <c r="AD1536" t="str">
        <f>"4"</f>
        <v>4</v>
      </c>
      <c r="AE1536" t="str">
        <f>"WOOD (INCLUDE STEEL STUDS)"</f>
        <v>WOOD (INCLUDE STEEL STUDS)</v>
      </c>
      <c r="AF1536" t="str">
        <f>"002"</f>
        <v>002</v>
      </c>
      <c r="AG1536" t="str">
        <f t="shared" si="542"/>
        <v>FL</v>
      </c>
      <c r="AH1536" t="str">
        <f t="shared" si="546"/>
        <v>-</v>
      </c>
      <c r="AI1536" t="str">
        <f t="shared" si="547"/>
        <v>25000.00</v>
      </c>
      <c r="AJ1536" t="str">
        <f>"C55-000-587-6649-4"</f>
        <v>C55-000-587-6649-4</v>
      </c>
      <c r="AK1536" t="str">
        <f>"28087"</f>
        <v>28087</v>
      </c>
      <c r="AL1536">
        <v>6</v>
      </c>
      <c r="AM1536">
        <v>1761</v>
      </c>
      <c r="AN1536">
        <v>398.82</v>
      </c>
      <c r="AQ1536" t="s">
        <v>15546</v>
      </c>
      <c r="AR1536" t="s">
        <v>15546</v>
      </c>
      <c r="AS1536" t="s">
        <v>15546</v>
      </c>
      <c r="AU1536" t="s">
        <v>396</v>
      </c>
      <c r="AV1536">
        <v>2017</v>
      </c>
      <c r="AW1536" t="str">
        <f>"31-2N-28-4955-0003-0080 "</f>
        <v xml:space="preserve">31-2N-28-4955-0003-0080 </v>
      </c>
      <c r="AX1536">
        <v>95398</v>
      </c>
      <c r="AZ1536" t="s">
        <v>15530</v>
      </c>
      <c r="BA1536" t="s">
        <v>14948</v>
      </c>
      <c r="BD1536" t="s">
        <v>11749</v>
      </c>
      <c r="BE1536" t="s">
        <v>393</v>
      </c>
      <c r="BF1536">
        <v>32034</v>
      </c>
      <c r="BG1536" t="s">
        <v>15547</v>
      </c>
      <c r="BH1536" t="s">
        <v>11751</v>
      </c>
      <c r="BI1536">
        <v>-81.530101293454706</v>
      </c>
      <c r="BJ1536">
        <v>30.5838526116436</v>
      </c>
      <c r="BK1536" t="s">
        <v>15548</v>
      </c>
      <c r="BM1536" t="s">
        <v>15547</v>
      </c>
      <c r="BN1536" t="s">
        <v>3983</v>
      </c>
      <c r="BO1536">
        <v>32034</v>
      </c>
      <c r="BP1536" t="s">
        <v>416</v>
      </c>
      <c r="BQ1536">
        <v>200</v>
      </c>
      <c r="BR1536" t="s">
        <v>405</v>
      </c>
      <c r="BS1536">
        <v>1006</v>
      </c>
      <c r="BT1536" t="s">
        <v>406</v>
      </c>
      <c r="BW1536">
        <v>50394</v>
      </c>
      <c r="BX1536" t="s">
        <v>407</v>
      </c>
      <c r="BY1536" t="s">
        <v>408</v>
      </c>
      <c r="BZ1536">
        <v>4</v>
      </c>
      <c r="CA1536">
        <v>1984</v>
      </c>
      <c r="CB1536">
        <v>1</v>
      </c>
      <c r="CC1536">
        <v>1</v>
      </c>
      <c r="CD1536">
        <v>2017</v>
      </c>
      <c r="CG1536">
        <v>47404</v>
      </c>
      <c r="CH1536">
        <v>2017</v>
      </c>
      <c r="CI1536">
        <v>25000</v>
      </c>
      <c r="CJ1536">
        <v>26260</v>
      </c>
      <c r="CK1536">
        <v>51260</v>
      </c>
      <c r="CL1536">
        <v>2017</v>
      </c>
      <c r="CM1536">
        <v>339.17</v>
      </c>
      <c r="CN1536" s="1">
        <v>42073</v>
      </c>
      <c r="CO1536">
        <v>55500</v>
      </c>
      <c r="CV1536">
        <v>53113</v>
      </c>
      <c r="CX1536" t="s">
        <v>675</v>
      </c>
      <c r="CZ1536" s="1">
        <v>42073</v>
      </c>
      <c r="DA1536">
        <v>0</v>
      </c>
      <c r="DD1536" t="s">
        <v>11749</v>
      </c>
      <c r="DF1536">
        <v>8</v>
      </c>
      <c r="DG1536">
        <v>31</v>
      </c>
      <c r="DL1536">
        <v>50303</v>
      </c>
      <c r="DM1536" t="s">
        <v>15386</v>
      </c>
      <c r="DO1536" t="s">
        <v>15549</v>
      </c>
      <c r="DP1536">
        <v>0</v>
      </c>
      <c r="DQ1536">
        <v>0</v>
      </c>
      <c r="DR1536" t="s">
        <v>411</v>
      </c>
      <c r="DS1536" t="b">
        <v>1</v>
      </c>
      <c r="DT1536" t="s">
        <v>470</v>
      </c>
      <c r="DU1536" t="s">
        <v>471</v>
      </c>
      <c r="DV1536" t="s">
        <v>472</v>
      </c>
      <c r="DX1536">
        <v>-9999</v>
      </c>
      <c r="DZ1536" t="s">
        <v>447</v>
      </c>
      <c r="EA1536" t="s">
        <v>448</v>
      </c>
      <c r="EB1536" t="s">
        <v>742</v>
      </c>
      <c r="EC1536">
        <v>20101217</v>
      </c>
      <c r="ED1536" t="s">
        <v>474</v>
      </c>
      <c r="EF1536">
        <v>3326</v>
      </c>
      <c r="EG1536">
        <v>2715.7</v>
      </c>
      <c r="EH1536" t="s">
        <v>451</v>
      </c>
      <c r="EI1536">
        <v>20140731</v>
      </c>
      <c r="EJ1536">
        <v>0</v>
      </c>
      <c r="EK1536">
        <v>0</v>
      </c>
      <c r="EP1536" t="s">
        <v>421</v>
      </c>
      <c r="EQ1536" t="s">
        <v>422</v>
      </c>
      <c r="ER1536">
        <v>0</v>
      </c>
      <c r="ES1536">
        <v>2</v>
      </c>
      <c r="ET1536">
        <v>0</v>
      </c>
      <c r="EU1536">
        <v>0</v>
      </c>
      <c r="EV1536">
        <v>0</v>
      </c>
      <c r="EW1536" s="2">
        <v>43222</v>
      </c>
      <c r="EX1536" s="1">
        <v>42151</v>
      </c>
      <c r="EY1536">
        <v>2014</v>
      </c>
      <c r="EZ1536">
        <v>634.84</v>
      </c>
      <c r="FA1536" t="s">
        <v>15550</v>
      </c>
      <c r="FB1536">
        <v>0.25</v>
      </c>
      <c r="FC1536" t="s">
        <v>424</v>
      </c>
      <c r="FD1536" t="s">
        <v>425</v>
      </c>
      <c r="FE1536" s="1">
        <v>42485</v>
      </c>
      <c r="FF1536">
        <v>11</v>
      </c>
      <c r="FG1536">
        <v>2851116</v>
      </c>
      <c r="FH1536" t="s">
        <v>480</v>
      </c>
      <c r="FJ1536" s="1">
        <v>42151</v>
      </c>
      <c r="FK1536">
        <v>2014</v>
      </c>
      <c r="FL1536">
        <v>634.84</v>
      </c>
      <c r="FM1536" t="s">
        <v>15550</v>
      </c>
      <c r="FN1536">
        <v>0.25</v>
      </c>
      <c r="FO1536" t="s">
        <v>424</v>
      </c>
      <c r="FP1536" t="s">
        <v>425</v>
      </c>
      <c r="FR1536">
        <v>22</v>
      </c>
      <c r="FS1536">
        <v>5384055</v>
      </c>
      <c r="FT1536" t="s">
        <v>15551</v>
      </c>
    </row>
    <row r="1537" spans="1:308" x14ac:dyDescent="0.25">
      <c r="A1537">
        <v>16486544</v>
      </c>
      <c r="B1537">
        <v>1536</v>
      </c>
      <c r="C1537" t="s">
        <v>393</v>
      </c>
      <c r="D1537" t="s">
        <v>394</v>
      </c>
      <c r="F1537" t="str">
        <f>"32-2N-28-0000-0009-0000"</f>
        <v>32-2N-28-0000-0009-0000</v>
      </c>
      <c r="H1537" t="str">
        <f>"BOATRIGHT CYNTHIA K &amp; JOHNNY P"</f>
        <v>BOATRIGHT CYNTHIA K &amp; JOHNNY P</v>
      </c>
      <c r="I1537" t="str">
        <f>"95083 BLUE LANE"</f>
        <v>95083 BLUE LANE</v>
      </c>
      <c r="J1537" t="str">
        <f t="shared" si="545"/>
        <v>FERNANDINA BEACH FL 32034</v>
      </c>
      <c r="K1537" t="str">
        <f>"95083 BLUE LN"</f>
        <v>95083 BLUE LN</v>
      </c>
      <c r="L1537" t="str">
        <f t="shared" si="538"/>
        <v>FERNANDINA BEACH FL 32034</v>
      </c>
      <c r="M1537" t="str">
        <f>"PT S1/2 OF NE1/4 OF SE1/4 OF NW1/4 IN OR 833/72 R673380 &amp; R673381"</f>
        <v>PT S1/2 OF NE1/4 OF SE1/4 OF NW1/4 IN OR 833/72 R673380 &amp; R673381</v>
      </c>
      <c r="N1537" t="str">
        <f>""</f>
        <v/>
      </c>
      <c r="O1537" t="str">
        <f>"40397"</f>
        <v>40397</v>
      </c>
      <c r="P1537" t="str">
        <f t="shared" si="514"/>
        <v>2017</v>
      </c>
      <c r="Q1537" t="str">
        <f>""</f>
        <v/>
      </c>
      <c r="R1537" t="str">
        <f>"Y"</f>
        <v>Y</v>
      </c>
      <c r="S1537" t="str">
        <f>"1.34"</f>
        <v>1.34</v>
      </c>
      <c r="T1537" t="str">
        <f>"473.19"</f>
        <v>473.19</v>
      </c>
      <c r="U1537" t="str">
        <f>"64355.00"</f>
        <v>64355.00</v>
      </c>
      <c r="V1537" t="str">
        <f>"64355.00"</f>
        <v>64355.00</v>
      </c>
      <c r="W1537" t="str">
        <f t="shared" si="515"/>
        <v>2017</v>
      </c>
      <c r="X1537" t="str">
        <f>"34.77"</f>
        <v>34.77</v>
      </c>
      <c r="Y1537" t="str">
        <f>"519.39"</f>
        <v>519.39</v>
      </c>
      <c r="Z1537" t="str">
        <f>"25000.00"</f>
        <v>25000.00</v>
      </c>
      <c r="AA1537" t="str">
        <f>"39355.00"</f>
        <v>39355.00</v>
      </c>
      <c r="AB1537" t="str">
        <f t="shared" si="535"/>
        <v>Residential</v>
      </c>
      <c r="AC1537" t="str">
        <f t="shared" si="523"/>
        <v>0</v>
      </c>
      <c r="AD1537" t="str">
        <f>"4"</f>
        <v>4</v>
      </c>
      <c r="AE1537" t="str">
        <f>"WOOD (INCLUDE STEEL STUDS)"</f>
        <v>WOOD (INCLUDE STEEL STUDS)</v>
      </c>
      <c r="AF1537" t="str">
        <f>"002"</f>
        <v>002</v>
      </c>
      <c r="AG1537" t="str">
        <f t="shared" si="542"/>
        <v>FL</v>
      </c>
      <c r="AH1537" t="str">
        <f>"58370.00"</f>
        <v>58370.00</v>
      </c>
      <c r="AI1537" t="str">
        <f>"33500.00"</f>
        <v>33500.00</v>
      </c>
      <c r="AJ1537" t="str">
        <f>"C55-000-587-6896-1"</f>
        <v>C55-000-587-6896-1</v>
      </c>
      <c r="AK1537" t="str">
        <f>"28125"</f>
        <v>28125</v>
      </c>
      <c r="AL1537">
        <v>6</v>
      </c>
      <c r="AM1537">
        <v>1763</v>
      </c>
      <c r="AN1537">
        <v>543.76</v>
      </c>
      <c r="AQ1537" t="s">
        <v>15552</v>
      </c>
      <c r="AR1537" t="s">
        <v>15552</v>
      </c>
      <c r="AS1537" t="s">
        <v>15552</v>
      </c>
      <c r="AU1537" t="s">
        <v>396</v>
      </c>
      <c r="AV1537">
        <v>2017</v>
      </c>
      <c r="AW1537" t="str">
        <f>"32-2N-28-0000-0009-0000 "</f>
        <v xml:space="preserve">32-2N-28-0000-0009-0000 </v>
      </c>
      <c r="AX1537">
        <v>95083</v>
      </c>
      <c r="AZ1537" t="s">
        <v>15553</v>
      </c>
      <c r="BA1537" t="s">
        <v>653</v>
      </c>
      <c r="BD1537" t="s">
        <v>11749</v>
      </c>
      <c r="BE1537" t="s">
        <v>393</v>
      </c>
      <c r="BF1537">
        <v>32034</v>
      </c>
      <c r="BG1537" t="s">
        <v>15554</v>
      </c>
      <c r="BH1537" t="s">
        <v>11751</v>
      </c>
      <c r="BI1537">
        <v>-81.520593141130604</v>
      </c>
      <c r="BJ1537">
        <v>30.5842016615129</v>
      </c>
      <c r="BK1537" t="s">
        <v>15555</v>
      </c>
      <c r="BL1537" t="s">
        <v>15556</v>
      </c>
      <c r="BM1537" t="s">
        <v>15554</v>
      </c>
      <c r="BN1537" t="s">
        <v>3983</v>
      </c>
      <c r="BO1537">
        <v>32034</v>
      </c>
      <c r="BP1537" t="s">
        <v>416</v>
      </c>
      <c r="BQ1537">
        <v>200</v>
      </c>
      <c r="BR1537" t="s">
        <v>405</v>
      </c>
      <c r="BS1537">
        <v>1006</v>
      </c>
      <c r="BT1537" t="s">
        <v>406</v>
      </c>
      <c r="BW1537">
        <v>58370</v>
      </c>
      <c r="BX1537" t="s">
        <v>407</v>
      </c>
      <c r="BY1537" t="s">
        <v>408</v>
      </c>
      <c r="BZ1537">
        <v>4</v>
      </c>
      <c r="CA1537">
        <v>1998</v>
      </c>
      <c r="CB1537">
        <v>1</v>
      </c>
      <c r="CC1537">
        <v>1</v>
      </c>
      <c r="CD1537">
        <v>2017</v>
      </c>
      <c r="CG1537">
        <v>64355</v>
      </c>
      <c r="CH1537">
        <v>2017</v>
      </c>
      <c r="CI1537">
        <v>33500</v>
      </c>
      <c r="CJ1537">
        <v>44203</v>
      </c>
      <c r="CK1537">
        <v>77703</v>
      </c>
      <c r="CL1537">
        <v>2017</v>
      </c>
      <c r="CM1537">
        <v>473.19</v>
      </c>
      <c r="CN1537" s="1">
        <v>35922</v>
      </c>
      <c r="CZ1537" s="1">
        <v>35922</v>
      </c>
      <c r="DD1537" t="s">
        <v>11749</v>
      </c>
      <c r="DG1537">
        <v>32</v>
      </c>
      <c r="DL1537">
        <v>50303</v>
      </c>
      <c r="DM1537" t="s">
        <v>15557</v>
      </c>
      <c r="DO1537" t="s">
        <v>15558</v>
      </c>
      <c r="DP1537">
        <v>0</v>
      </c>
      <c r="DQ1537">
        <v>0</v>
      </c>
      <c r="DR1537" t="s">
        <v>411</v>
      </c>
      <c r="DS1537" t="b">
        <v>1</v>
      </c>
      <c r="DT1537" t="s">
        <v>470</v>
      </c>
      <c r="DU1537" t="s">
        <v>471</v>
      </c>
      <c r="DV1537" t="s">
        <v>472</v>
      </c>
      <c r="DX1537">
        <v>-9999</v>
      </c>
      <c r="DZ1537" t="s">
        <v>447</v>
      </c>
      <c r="EA1537" t="s">
        <v>448</v>
      </c>
      <c r="EB1537" t="s">
        <v>742</v>
      </c>
      <c r="EC1537">
        <v>20101217</v>
      </c>
      <c r="ED1537" t="s">
        <v>474</v>
      </c>
      <c r="EF1537">
        <v>650.4</v>
      </c>
      <c r="EG1537">
        <v>357.5</v>
      </c>
      <c r="EI1537">
        <v>20160407</v>
      </c>
      <c r="EJ1537">
        <v>0</v>
      </c>
      <c r="EK1537">
        <v>0</v>
      </c>
      <c r="EP1537" t="s">
        <v>421</v>
      </c>
      <c r="EQ1537" t="s">
        <v>452</v>
      </c>
      <c r="ER1537">
        <v>0</v>
      </c>
      <c r="ES1537">
        <v>7</v>
      </c>
      <c r="ET1537">
        <v>0</v>
      </c>
      <c r="EU1537">
        <v>0</v>
      </c>
      <c r="EV1537">
        <v>0</v>
      </c>
      <c r="EW1537" s="2">
        <v>43222</v>
      </c>
      <c r="EX1537" s="1">
        <v>42515</v>
      </c>
      <c r="EY1537">
        <v>2015</v>
      </c>
      <c r="EZ1537">
        <v>544.55999999999995</v>
      </c>
      <c r="FA1537" t="s">
        <v>15559</v>
      </c>
      <c r="FB1537">
        <v>14.75</v>
      </c>
      <c r="FC1537" t="s">
        <v>424</v>
      </c>
      <c r="FD1537" t="s">
        <v>425</v>
      </c>
      <c r="FE1537" s="1">
        <v>42777</v>
      </c>
      <c r="FF1537">
        <v>9</v>
      </c>
      <c r="FG1537">
        <v>10125</v>
      </c>
      <c r="FH1537" t="s">
        <v>440</v>
      </c>
      <c r="FI1537" t="s">
        <v>458</v>
      </c>
      <c r="FJ1537" s="1">
        <v>42151</v>
      </c>
      <c r="FK1537">
        <v>2014</v>
      </c>
      <c r="FL1537">
        <v>596.91999999999996</v>
      </c>
      <c r="FM1537" t="s">
        <v>15560</v>
      </c>
      <c r="FN1537">
        <v>18</v>
      </c>
      <c r="FO1537" t="s">
        <v>424</v>
      </c>
      <c r="FP1537" t="s">
        <v>425</v>
      </c>
      <c r="FQ1537" s="1">
        <v>42777</v>
      </c>
      <c r="FR1537">
        <v>21</v>
      </c>
      <c r="FS1537">
        <v>10125</v>
      </c>
      <c r="FT1537" t="s">
        <v>440</v>
      </c>
      <c r="FU1537" t="s">
        <v>458</v>
      </c>
      <c r="FV1537" s="1">
        <v>41787</v>
      </c>
      <c r="FW1537">
        <v>2013</v>
      </c>
      <c r="FX1537">
        <v>610.85</v>
      </c>
      <c r="FY1537" t="s">
        <v>15561</v>
      </c>
      <c r="FZ1537">
        <v>0.25</v>
      </c>
      <c r="GA1537" t="s">
        <v>424</v>
      </c>
      <c r="GB1537" t="s">
        <v>425</v>
      </c>
      <c r="GC1537" s="1">
        <v>42777</v>
      </c>
      <c r="GD1537">
        <v>33</v>
      </c>
      <c r="GE1537">
        <v>305</v>
      </c>
      <c r="GF1537" t="s">
        <v>1078</v>
      </c>
      <c r="GG1537" t="s">
        <v>458</v>
      </c>
      <c r="GH1537" s="1">
        <v>41423</v>
      </c>
      <c r="GI1537">
        <v>2012</v>
      </c>
      <c r="GJ1537">
        <v>631.9</v>
      </c>
      <c r="GK1537" t="s">
        <v>15562</v>
      </c>
      <c r="GL1537">
        <v>3.5</v>
      </c>
      <c r="GM1537" t="s">
        <v>424</v>
      </c>
      <c r="GN1537" t="s">
        <v>425</v>
      </c>
      <c r="GO1537" s="1">
        <v>42240</v>
      </c>
      <c r="GP1537">
        <v>27</v>
      </c>
      <c r="GQ1537">
        <v>10125</v>
      </c>
      <c r="GR1537" t="s">
        <v>440</v>
      </c>
      <c r="GT1537" s="1">
        <v>41052</v>
      </c>
      <c r="GU1537">
        <v>2011</v>
      </c>
      <c r="GV1537">
        <v>724.9</v>
      </c>
      <c r="GW1537" t="s">
        <v>15563</v>
      </c>
      <c r="GX1537">
        <v>6</v>
      </c>
      <c r="GY1537" t="s">
        <v>424</v>
      </c>
      <c r="GZ1537" t="s">
        <v>425</v>
      </c>
      <c r="HA1537" s="1">
        <v>41698</v>
      </c>
      <c r="HB1537">
        <v>21</v>
      </c>
      <c r="HC1537">
        <v>105</v>
      </c>
      <c r="HD1537" t="s">
        <v>946</v>
      </c>
      <c r="HF1537" s="1">
        <v>40688</v>
      </c>
      <c r="HG1537">
        <v>2010</v>
      </c>
      <c r="HH1537">
        <v>734.73</v>
      </c>
      <c r="HI1537" t="s">
        <v>15564</v>
      </c>
      <c r="HJ1537">
        <v>6</v>
      </c>
      <c r="HK1537" t="s">
        <v>424</v>
      </c>
      <c r="HL1537" t="s">
        <v>425</v>
      </c>
      <c r="HM1537" s="1">
        <v>42777</v>
      </c>
      <c r="HN1537">
        <v>69</v>
      </c>
      <c r="HO1537">
        <v>375</v>
      </c>
      <c r="HP1537" t="s">
        <v>776</v>
      </c>
      <c r="HQ1537" t="s">
        <v>458</v>
      </c>
      <c r="HR1537" s="1">
        <v>40688</v>
      </c>
      <c r="HS1537">
        <v>2010</v>
      </c>
      <c r="HT1537">
        <v>734.73</v>
      </c>
      <c r="HU1537" t="s">
        <v>15564</v>
      </c>
      <c r="HV1537">
        <v>6</v>
      </c>
      <c r="HW1537" t="s">
        <v>424</v>
      </c>
      <c r="HX1537" t="s">
        <v>425</v>
      </c>
      <c r="HZ1537">
        <v>22</v>
      </c>
      <c r="IA1537">
        <v>105</v>
      </c>
      <c r="IB1537" t="s">
        <v>946</v>
      </c>
      <c r="IC1537" t="s">
        <v>458</v>
      </c>
    </row>
    <row r="1538" spans="1:308" x14ac:dyDescent="0.25">
      <c r="A1538">
        <v>16486545</v>
      </c>
      <c r="B1538">
        <v>1537</v>
      </c>
      <c r="C1538" t="s">
        <v>393</v>
      </c>
      <c r="D1538" t="s">
        <v>394</v>
      </c>
      <c r="F1538" t="str">
        <f>"32-2N-28-0000-0012-0100"</f>
        <v>32-2N-28-0000-0012-0100</v>
      </c>
      <c r="H1538" t="str">
        <f>"DELILLE DERRICK ANDREW"</f>
        <v>DELILLE DERRICK ANDREW</v>
      </c>
      <c r="I1538" t="str">
        <f>"95054 ORIOLE STREET"</f>
        <v>95054 ORIOLE STREET</v>
      </c>
      <c r="J1538" t="str">
        <f t="shared" si="545"/>
        <v>FERNANDINA BEACH FL 32034</v>
      </c>
      <c r="K1538" t="str">
        <f>"95054 ORIOLE ST"</f>
        <v>95054 ORIOLE ST</v>
      </c>
      <c r="L1538" t="str">
        <f t="shared" si="538"/>
        <v>FERNANDINA BEACH FL 32034</v>
      </c>
      <c r="M1538" t="str">
        <f>"IN OR 942 PG 1962 12-10 &amp; 12-2 1985 SCOT DW"</f>
        <v>IN OR 942 PG 1962 12-10 &amp; 12-2 1985 SCOT DW</v>
      </c>
      <c r="N1538" t="str">
        <f>""</f>
        <v/>
      </c>
      <c r="O1538" t="str">
        <f>"40410"</f>
        <v>40410</v>
      </c>
      <c r="P1538" t="str">
        <f t="shared" ref="P1538:P1601" si="548">"2017"</f>
        <v>2017</v>
      </c>
      <c r="Q1538" t="str">
        <f>""</f>
        <v/>
      </c>
      <c r="R1538" t="str">
        <f>"Y"</f>
        <v>Y</v>
      </c>
      <c r="S1538" t="str">
        <f>"1.47"</f>
        <v>1.47</v>
      </c>
      <c r="T1538" t="str">
        <f>"356.29"</f>
        <v>356.29</v>
      </c>
      <c r="U1538" t="str">
        <f>"48535.00"</f>
        <v>48535.00</v>
      </c>
      <c r="V1538" t="str">
        <f>"48535.00"</f>
        <v>48535.00</v>
      </c>
      <c r="W1538" t="str">
        <f t="shared" ref="W1538:W1601" si="549">"2017"</f>
        <v>2017</v>
      </c>
      <c r="X1538" t="str">
        <f>"27.10"</f>
        <v>27.10</v>
      </c>
      <c r="Y1538" t="str">
        <f>"398.98"</f>
        <v>398.98</v>
      </c>
      <c r="Z1538" t="str">
        <f>"25000.00"</f>
        <v>25000.00</v>
      </c>
      <c r="AA1538" t="str">
        <f>"23535.00"</f>
        <v>23535.00</v>
      </c>
      <c r="AB1538" t="str">
        <f t="shared" si="535"/>
        <v>Residential</v>
      </c>
      <c r="AC1538" t="str">
        <f t="shared" si="523"/>
        <v>0</v>
      </c>
      <c r="AD1538" t="str">
        <f>"4"</f>
        <v>4</v>
      </c>
      <c r="AE1538" t="str">
        <f>"WOOD (INCLUDE STEEL STUDS)"</f>
        <v>WOOD (INCLUDE STEEL STUDS)</v>
      </c>
      <c r="AF1538" t="str">
        <f>"002"</f>
        <v>002</v>
      </c>
      <c r="AG1538" t="str">
        <f t="shared" si="542"/>
        <v>FL</v>
      </c>
      <c r="AH1538" t="str">
        <f>"64033.00"</f>
        <v>64033.00</v>
      </c>
      <c r="AI1538" t="str">
        <f>"36750.00"</f>
        <v>36750.00</v>
      </c>
      <c r="AJ1538" t="str">
        <f>"C55-000-587-6909-2"</f>
        <v>C55-000-587-6909-2</v>
      </c>
      <c r="AK1538" t="str">
        <f>"28137"</f>
        <v>28137</v>
      </c>
      <c r="AL1538">
        <v>6</v>
      </c>
      <c r="AM1538">
        <v>1764</v>
      </c>
      <c r="AN1538">
        <v>417.33</v>
      </c>
      <c r="AQ1538" t="s">
        <v>15565</v>
      </c>
      <c r="AR1538" t="s">
        <v>15565</v>
      </c>
      <c r="AS1538" t="s">
        <v>15565</v>
      </c>
      <c r="AU1538" t="s">
        <v>396</v>
      </c>
      <c r="AV1538">
        <v>2017</v>
      </c>
      <c r="AW1538" t="str">
        <f>"32-2N-28-0000-0012-0100 "</f>
        <v xml:space="preserve">32-2N-28-0000-0012-0100 </v>
      </c>
      <c r="AX1538">
        <v>95054</v>
      </c>
      <c r="AZ1538" t="s">
        <v>15566</v>
      </c>
      <c r="BA1538" t="s">
        <v>1942</v>
      </c>
      <c r="BD1538" t="s">
        <v>11749</v>
      </c>
      <c r="BE1538" t="s">
        <v>393</v>
      </c>
      <c r="BF1538">
        <v>32034</v>
      </c>
      <c r="BG1538" t="s">
        <v>15567</v>
      </c>
      <c r="BH1538" t="s">
        <v>11751</v>
      </c>
      <c r="BI1538">
        <v>-81.520481680345199</v>
      </c>
      <c r="BJ1538">
        <v>30.582799883896801</v>
      </c>
      <c r="BK1538" t="s">
        <v>15568</v>
      </c>
      <c r="BM1538" t="s">
        <v>15567</v>
      </c>
      <c r="BN1538" t="s">
        <v>3983</v>
      </c>
      <c r="BO1538">
        <v>32034</v>
      </c>
      <c r="BP1538" t="s">
        <v>416</v>
      </c>
      <c r="BQ1538">
        <v>200</v>
      </c>
      <c r="BR1538" t="s">
        <v>405</v>
      </c>
      <c r="BS1538">
        <v>1006</v>
      </c>
      <c r="BT1538" t="s">
        <v>406</v>
      </c>
      <c r="BW1538">
        <v>64033</v>
      </c>
      <c r="BX1538" t="s">
        <v>407</v>
      </c>
      <c r="BY1538" t="s">
        <v>408</v>
      </c>
      <c r="BZ1538">
        <v>4</v>
      </c>
      <c r="CA1538">
        <v>1985</v>
      </c>
      <c r="CB1538">
        <v>1</v>
      </c>
      <c r="CC1538">
        <v>1</v>
      </c>
      <c r="CD1538">
        <v>2017</v>
      </c>
      <c r="CG1538">
        <v>48535</v>
      </c>
      <c r="CH1538">
        <v>2017</v>
      </c>
      <c r="CI1538">
        <v>36750</v>
      </c>
      <c r="CJ1538">
        <v>14787</v>
      </c>
      <c r="CK1538">
        <v>51537</v>
      </c>
      <c r="CL1538">
        <v>2017</v>
      </c>
      <c r="CM1538">
        <v>356.29</v>
      </c>
      <c r="CN1538" s="1">
        <v>36739</v>
      </c>
      <c r="CO1538">
        <v>37500</v>
      </c>
      <c r="CV1538">
        <v>37500</v>
      </c>
      <c r="CZ1538" s="1">
        <v>36739</v>
      </c>
      <c r="DA1538">
        <v>0</v>
      </c>
      <c r="DD1538" t="s">
        <v>11749</v>
      </c>
      <c r="DG1538">
        <v>32</v>
      </c>
      <c r="DL1538">
        <v>50303</v>
      </c>
      <c r="DM1538" t="s">
        <v>15557</v>
      </c>
      <c r="DO1538" t="s">
        <v>15569</v>
      </c>
      <c r="DP1538">
        <v>0</v>
      </c>
      <c r="DQ1538">
        <v>0</v>
      </c>
      <c r="DR1538" t="s">
        <v>411</v>
      </c>
      <c r="DS1538" t="b">
        <v>1</v>
      </c>
      <c r="DT1538" t="s">
        <v>470</v>
      </c>
      <c r="DU1538" t="s">
        <v>471</v>
      </c>
      <c r="DV1538" t="s">
        <v>472</v>
      </c>
      <c r="DX1538">
        <v>-9999</v>
      </c>
      <c r="DZ1538" t="s">
        <v>447</v>
      </c>
      <c r="EA1538" t="s">
        <v>448</v>
      </c>
      <c r="EB1538" t="s">
        <v>742</v>
      </c>
      <c r="EC1538">
        <v>20101217</v>
      </c>
      <c r="ED1538" t="s">
        <v>474</v>
      </c>
      <c r="EF1538">
        <v>681</v>
      </c>
      <c r="EG1538">
        <v>318.8</v>
      </c>
      <c r="EI1538">
        <v>20160407</v>
      </c>
      <c r="EJ1538">
        <v>0</v>
      </c>
      <c r="EK1538">
        <v>0</v>
      </c>
      <c r="EP1538" t="s">
        <v>421</v>
      </c>
      <c r="EQ1538" t="s">
        <v>452</v>
      </c>
      <c r="ER1538">
        <v>2</v>
      </c>
      <c r="ES1538">
        <v>11</v>
      </c>
      <c r="ET1538">
        <v>800.2</v>
      </c>
      <c r="EU1538">
        <v>52.51</v>
      </c>
      <c r="EV1538">
        <v>852.71</v>
      </c>
      <c r="EW1538" s="2">
        <v>43222</v>
      </c>
      <c r="EX1538" s="1">
        <v>42879</v>
      </c>
      <c r="EY1538">
        <v>2016</v>
      </c>
      <c r="EZ1538">
        <v>400.1</v>
      </c>
      <c r="FA1538" t="s">
        <v>15570</v>
      </c>
      <c r="FB1538">
        <v>0.25</v>
      </c>
      <c r="FC1538" t="s">
        <v>424</v>
      </c>
      <c r="FD1538" t="s">
        <v>454</v>
      </c>
      <c r="FF1538">
        <v>12</v>
      </c>
      <c r="FG1538">
        <v>2851116</v>
      </c>
      <c r="FH1538" t="s">
        <v>480</v>
      </c>
      <c r="FJ1538" s="1">
        <v>42879</v>
      </c>
      <c r="FK1538">
        <v>2016</v>
      </c>
      <c r="FL1538">
        <v>400.1</v>
      </c>
      <c r="FM1538" t="s">
        <v>15570</v>
      </c>
      <c r="FN1538">
        <v>0.25</v>
      </c>
      <c r="FO1538" t="s">
        <v>424</v>
      </c>
      <c r="FP1538" t="s">
        <v>454</v>
      </c>
      <c r="FR1538">
        <v>12</v>
      </c>
      <c r="FS1538">
        <v>5754084</v>
      </c>
      <c r="FT1538" t="s">
        <v>15571</v>
      </c>
      <c r="FV1538" s="1">
        <v>42515</v>
      </c>
      <c r="FW1538">
        <v>2015</v>
      </c>
      <c r="FX1538">
        <v>404.23</v>
      </c>
      <c r="FY1538" t="s">
        <v>15572</v>
      </c>
      <c r="FZ1538">
        <v>4.75</v>
      </c>
      <c r="GA1538" t="s">
        <v>424</v>
      </c>
      <c r="GB1538" t="s">
        <v>425</v>
      </c>
      <c r="GC1538" s="1">
        <v>42640</v>
      </c>
      <c r="GD1538">
        <v>4</v>
      </c>
      <c r="GE1538">
        <v>2035919</v>
      </c>
      <c r="GF1538" t="s">
        <v>507</v>
      </c>
      <c r="GG1538" t="s">
        <v>458</v>
      </c>
      <c r="GH1538" s="1">
        <v>42151</v>
      </c>
      <c r="GI1538">
        <v>2014</v>
      </c>
      <c r="GJ1538">
        <v>415.06</v>
      </c>
      <c r="GK1538" t="s">
        <v>15573</v>
      </c>
      <c r="GL1538">
        <v>2.5</v>
      </c>
      <c r="GM1538" t="s">
        <v>424</v>
      </c>
      <c r="GN1538" t="s">
        <v>425</v>
      </c>
      <c r="GP1538">
        <v>22</v>
      </c>
      <c r="GQ1538">
        <v>15399</v>
      </c>
      <c r="GR1538" t="s">
        <v>485</v>
      </c>
      <c r="GS1538" t="s">
        <v>458</v>
      </c>
      <c r="GT1538" s="1">
        <v>42151</v>
      </c>
      <c r="GU1538">
        <v>2014</v>
      </c>
      <c r="GV1538">
        <v>415.06</v>
      </c>
      <c r="GW1538" t="s">
        <v>15573</v>
      </c>
      <c r="GX1538">
        <v>2.5</v>
      </c>
      <c r="GY1538" t="s">
        <v>424</v>
      </c>
      <c r="GZ1538" t="s">
        <v>425</v>
      </c>
      <c r="HB1538">
        <v>22</v>
      </c>
      <c r="HC1538">
        <v>7045023</v>
      </c>
      <c r="HD1538" t="s">
        <v>821</v>
      </c>
      <c r="HE1538" t="s">
        <v>458</v>
      </c>
      <c r="HF1538" s="1">
        <v>42151</v>
      </c>
      <c r="HG1538">
        <v>2014</v>
      </c>
      <c r="HH1538">
        <v>415.06</v>
      </c>
      <c r="HI1538" t="s">
        <v>15573</v>
      </c>
      <c r="HJ1538">
        <v>2.5</v>
      </c>
      <c r="HK1538" t="s">
        <v>424</v>
      </c>
      <c r="HL1538" t="s">
        <v>425</v>
      </c>
      <c r="HN1538">
        <v>22</v>
      </c>
      <c r="HO1538">
        <v>7336692</v>
      </c>
      <c r="HP1538" t="s">
        <v>822</v>
      </c>
      <c r="HQ1538" t="s">
        <v>458</v>
      </c>
      <c r="HR1538" s="1">
        <v>42151</v>
      </c>
      <c r="HS1538">
        <v>2014</v>
      </c>
      <c r="HT1538">
        <v>415.06</v>
      </c>
      <c r="HU1538" t="s">
        <v>15573</v>
      </c>
      <c r="HV1538">
        <v>2.5</v>
      </c>
      <c r="HW1538" t="s">
        <v>424</v>
      </c>
      <c r="HX1538" t="s">
        <v>425</v>
      </c>
      <c r="HZ1538">
        <v>22</v>
      </c>
      <c r="IA1538">
        <v>7336698</v>
      </c>
      <c r="IB1538" t="s">
        <v>823</v>
      </c>
      <c r="IC1538" t="s">
        <v>458</v>
      </c>
      <c r="ID1538" s="1">
        <v>41787</v>
      </c>
      <c r="IE1538">
        <v>2013</v>
      </c>
      <c r="IF1538">
        <v>481.1</v>
      </c>
      <c r="IG1538" t="s">
        <v>15574</v>
      </c>
      <c r="IH1538">
        <v>0.25</v>
      </c>
      <c r="II1538" t="s">
        <v>424</v>
      </c>
      <c r="IJ1538" t="s">
        <v>425</v>
      </c>
      <c r="IL1538">
        <v>22</v>
      </c>
      <c r="IM1538">
        <v>15399</v>
      </c>
      <c r="IN1538" t="s">
        <v>485</v>
      </c>
      <c r="IO1538" t="s">
        <v>458</v>
      </c>
      <c r="IP1538" s="1">
        <v>41787</v>
      </c>
      <c r="IQ1538">
        <v>2013</v>
      </c>
      <c r="IR1538">
        <v>481.1</v>
      </c>
      <c r="IS1538" t="s">
        <v>15574</v>
      </c>
      <c r="IT1538">
        <v>0.25</v>
      </c>
      <c r="IU1538" t="s">
        <v>424</v>
      </c>
      <c r="IV1538" t="s">
        <v>425</v>
      </c>
      <c r="IX1538">
        <v>22</v>
      </c>
      <c r="IY1538">
        <v>7336692</v>
      </c>
      <c r="IZ1538" t="s">
        <v>822</v>
      </c>
      <c r="JA1538" t="s">
        <v>458</v>
      </c>
      <c r="JB1538" s="1">
        <v>41787</v>
      </c>
      <c r="JC1538">
        <v>2013</v>
      </c>
      <c r="JD1538">
        <v>481.1</v>
      </c>
      <c r="JE1538" t="s">
        <v>15574</v>
      </c>
      <c r="JF1538">
        <v>0.25</v>
      </c>
      <c r="JG1538" t="s">
        <v>424</v>
      </c>
      <c r="JH1538" t="s">
        <v>425</v>
      </c>
      <c r="JJ1538">
        <v>22</v>
      </c>
      <c r="JK1538">
        <v>7336698</v>
      </c>
      <c r="JL1538" t="s">
        <v>823</v>
      </c>
      <c r="JM1538" t="s">
        <v>458</v>
      </c>
      <c r="JN1538" s="1">
        <v>41423</v>
      </c>
      <c r="JO1538">
        <v>2012</v>
      </c>
      <c r="JP1538">
        <v>493.33</v>
      </c>
      <c r="JQ1538" t="s">
        <v>15575</v>
      </c>
      <c r="JR1538">
        <v>2.75</v>
      </c>
      <c r="JS1538" t="s">
        <v>424</v>
      </c>
      <c r="JT1538" t="s">
        <v>425</v>
      </c>
      <c r="JV1538">
        <v>22</v>
      </c>
      <c r="JW1538">
        <v>15399</v>
      </c>
      <c r="JX1538" t="s">
        <v>485</v>
      </c>
      <c r="JZ1538" s="1">
        <v>41423</v>
      </c>
      <c r="KA1538">
        <v>2012</v>
      </c>
      <c r="KB1538">
        <v>493.33</v>
      </c>
      <c r="KC1538" t="s">
        <v>15575</v>
      </c>
      <c r="KD1538">
        <v>2.75</v>
      </c>
      <c r="KE1538" t="s">
        <v>424</v>
      </c>
      <c r="KF1538" t="s">
        <v>425</v>
      </c>
      <c r="KG1538" s="1">
        <v>42473</v>
      </c>
      <c r="KH1538">
        <v>35</v>
      </c>
      <c r="KI1538">
        <v>13027</v>
      </c>
      <c r="KJ1538" t="s">
        <v>826</v>
      </c>
      <c r="KL1538" s="1">
        <v>41052</v>
      </c>
      <c r="KM1538">
        <v>2011</v>
      </c>
      <c r="KN1538">
        <v>564.07000000000005</v>
      </c>
      <c r="KO1538" t="s">
        <v>15576</v>
      </c>
      <c r="KP1538">
        <v>6</v>
      </c>
      <c r="KQ1538" t="s">
        <v>424</v>
      </c>
      <c r="KR1538" t="s">
        <v>425</v>
      </c>
      <c r="KS1538" s="1">
        <v>41677</v>
      </c>
      <c r="KT1538">
        <v>21</v>
      </c>
      <c r="KU1538">
        <v>375</v>
      </c>
      <c r="KV1538" t="s">
        <v>776</v>
      </c>
    </row>
    <row r="1539" spans="1:308" x14ac:dyDescent="0.25">
      <c r="A1539">
        <v>16486546</v>
      </c>
      <c r="B1539">
        <v>1538</v>
      </c>
      <c r="C1539" t="s">
        <v>393</v>
      </c>
      <c r="D1539" t="s">
        <v>394</v>
      </c>
      <c r="F1539" t="str">
        <f>"32-2N-28-0000-0015-0000"</f>
        <v>32-2N-28-0000-0015-0000</v>
      </c>
      <c r="H1539" t="str">
        <f>"BRIGHT LIGHT SOCIETY C/O ROBERT E BLUE SR"</f>
        <v>BRIGHT LIGHT SOCIETY C/O ROBERT E BLUE SR</v>
      </c>
      <c r="I1539" t="str">
        <f>"PO BOX 371"</f>
        <v>PO BOX 371</v>
      </c>
      <c r="J1539" t="str">
        <f>"FERNANDINA BEACH FL 32035"</f>
        <v>FERNANDINA BEACH FL 32035</v>
      </c>
      <c r="K1539" t="str">
        <f>"HENDRICKS RD"</f>
        <v>HENDRICKS RD</v>
      </c>
      <c r="L1539" t="str">
        <f t="shared" si="538"/>
        <v>FERNANDINA BEACH FL 32034</v>
      </c>
      <c r="M1539" t="str">
        <f>"PT GOVT LOT 3 OF SEC 32-2N-28E IN DBK 36-197"</f>
        <v>PT GOVT LOT 3 OF SEC 32-2N-28E IN DBK 36-197</v>
      </c>
      <c r="N1539" t="str">
        <f>""</f>
        <v/>
      </c>
      <c r="O1539" t="str">
        <f>"40419"</f>
        <v>40419</v>
      </c>
      <c r="P1539" t="str">
        <f t="shared" si="548"/>
        <v>2017</v>
      </c>
      <c r="Q1539" t="str">
        <f>""</f>
        <v/>
      </c>
      <c r="R1539" t="str">
        <f>"N"</f>
        <v>N</v>
      </c>
      <c r="S1539" t="str">
        <f>""</f>
        <v/>
      </c>
      <c r="T1539" t="str">
        <f>"272.53"</f>
        <v>272.53</v>
      </c>
      <c r="U1539" t="str">
        <f>"17424.00"</f>
        <v>17424.00</v>
      </c>
      <c r="V1539" t="str">
        <f>"17424.00"</f>
        <v>17424.00</v>
      </c>
      <c r="W1539" t="str">
        <f t="shared" si="549"/>
        <v>2017</v>
      </c>
      <c r="X1539" t="str">
        <f>""</f>
        <v/>
      </c>
      <c r="Y1539" t="str">
        <f>"312.71"</f>
        <v>312.71</v>
      </c>
      <c r="Z1539" t="str">
        <f>""</f>
        <v/>
      </c>
      <c r="AA1539" t="str">
        <f>"18750.00"</f>
        <v>18750.00</v>
      </c>
      <c r="AB1539" t="str">
        <f>"Institutional"</f>
        <v>Institutional</v>
      </c>
      <c r="AC1539" t="str">
        <f t="shared" si="523"/>
        <v>0</v>
      </c>
      <c r="AD1539" t="str">
        <f>""</f>
        <v/>
      </c>
      <c r="AE1539" t="str">
        <f>""</f>
        <v/>
      </c>
      <c r="AF1539" t="str">
        <f>"070"</f>
        <v>070</v>
      </c>
      <c r="AG1539" t="str">
        <f t="shared" si="542"/>
        <v>FL</v>
      </c>
      <c r="AH1539" t="str">
        <f>"21904.00"</f>
        <v>21904.00</v>
      </c>
      <c r="AI1539" t="str">
        <f>"18750.00"</f>
        <v>18750.00</v>
      </c>
      <c r="AJ1539" t="str">
        <f>"C55-000-587-6918-3"</f>
        <v>C55-000-587-6918-3</v>
      </c>
      <c r="AK1539" t="str">
        <f>"28146"</f>
        <v>28146</v>
      </c>
      <c r="AL1539">
        <v>6</v>
      </c>
      <c r="AM1539">
        <v>1765</v>
      </c>
      <c r="AN1539">
        <v>326.75</v>
      </c>
      <c r="AQ1539" t="s">
        <v>15577</v>
      </c>
      <c r="AR1539" t="s">
        <v>15577</v>
      </c>
      <c r="AS1539" t="s">
        <v>15577</v>
      </c>
      <c r="AU1539" t="s">
        <v>396</v>
      </c>
      <c r="AV1539">
        <v>2017</v>
      </c>
      <c r="AW1539" t="str">
        <f>"32-2N-28-0000-0015-0000 "</f>
        <v xml:space="preserve">32-2N-28-0000-0015-0000 </v>
      </c>
      <c r="AZ1539" t="s">
        <v>15578</v>
      </c>
      <c r="BA1539" t="s">
        <v>496</v>
      </c>
      <c r="BD1539" t="s">
        <v>11749</v>
      </c>
      <c r="BE1539" t="s">
        <v>393</v>
      </c>
      <c r="BF1539">
        <v>32034</v>
      </c>
      <c r="BG1539" t="s">
        <v>15579</v>
      </c>
      <c r="BH1539" t="s">
        <v>11751</v>
      </c>
      <c r="BI1539">
        <v>-81.5240789561675</v>
      </c>
      <c r="BJ1539">
        <v>30.581699629888899</v>
      </c>
      <c r="BK1539" t="s">
        <v>15580</v>
      </c>
      <c r="BM1539" t="s">
        <v>15581</v>
      </c>
      <c r="BN1539" t="s">
        <v>3983</v>
      </c>
      <c r="BO1539">
        <v>32035</v>
      </c>
      <c r="BP1539" t="s">
        <v>404</v>
      </c>
      <c r="BQ1539">
        <v>7000</v>
      </c>
      <c r="BR1539" t="s">
        <v>15582</v>
      </c>
      <c r="BS1539">
        <v>8005</v>
      </c>
      <c r="BT1539" t="s">
        <v>15583</v>
      </c>
      <c r="BW1539">
        <v>23871</v>
      </c>
      <c r="BX1539" t="s">
        <v>407</v>
      </c>
      <c r="BY1539" t="s">
        <v>408</v>
      </c>
      <c r="CD1539">
        <v>2017</v>
      </c>
      <c r="CE1539">
        <v>18750</v>
      </c>
      <c r="CG1539">
        <v>18750</v>
      </c>
      <c r="CH1539">
        <v>2017</v>
      </c>
      <c r="CI1539">
        <v>18750</v>
      </c>
      <c r="CK1539">
        <v>18750</v>
      </c>
      <c r="CL1539">
        <v>2017</v>
      </c>
      <c r="CM1539">
        <v>272.52999999999997</v>
      </c>
      <c r="CN1539" s="1">
        <v>6942</v>
      </c>
      <c r="CZ1539" s="1">
        <v>6942</v>
      </c>
      <c r="DD1539" t="s">
        <v>11749</v>
      </c>
      <c r="DG1539">
        <v>32</v>
      </c>
      <c r="DM1539" t="s">
        <v>15557</v>
      </c>
      <c r="DO1539" t="s">
        <v>15584</v>
      </c>
      <c r="DP1539">
        <v>0</v>
      </c>
      <c r="DQ1539">
        <v>0</v>
      </c>
      <c r="DR1539" t="s">
        <v>411</v>
      </c>
      <c r="DS1539" t="b">
        <v>1</v>
      </c>
      <c r="DT1539" t="s">
        <v>470</v>
      </c>
      <c r="DU1539" t="s">
        <v>471</v>
      </c>
      <c r="DV1539" t="s">
        <v>472</v>
      </c>
      <c r="DX1539">
        <v>-9999</v>
      </c>
      <c r="DZ1539" t="s">
        <v>447</v>
      </c>
      <c r="EA1539" t="s">
        <v>448</v>
      </c>
      <c r="EB1539" t="s">
        <v>742</v>
      </c>
      <c r="EC1539">
        <v>20101217</v>
      </c>
      <c r="ED1539" t="s">
        <v>474</v>
      </c>
      <c r="EF1539">
        <v>1824.9</v>
      </c>
      <c r="EG1539">
        <v>1489.4</v>
      </c>
      <c r="EI1539">
        <v>20160407</v>
      </c>
      <c r="EJ1539">
        <v>0</v>
      </c>
      <c r="EK1539">
        <v>0</v>
      </c>
      <c r="EP1539" t="s">
        <v>421</v>
      </c>
      <c r="EQ1539" t="s">
        <v>422</v>
      </c>
      <c r="ER1539">
        <v>1</v>
      </c>
      <c r="ES1539">
        <v>0</v>
      </c>
      <c r="ET1539">
        <v>311.36</v>
      </c>
      <c r="EU1539">
        <v>21.82</v>
      </c>
      <c r="EV1539">
        <v>333.18</v>
      </c>
      <c r="EW1539" s="2">
        <v>43222</v>
      </c>
      <c r="EX1539" s="1">
        <v>42879</v>
      </c>
      <c r="EY1539">
        <v>2016</v>
      </c>
      <c r="EZ1539">
        <v>311.36</v>
      </c>
      <c r="FA1539" t="s">
        <v>15585</v>
      </c>
      <c r="FB1539">
        <v>0.25</v>
      </c>
      <c r="FC1539" t="s">
        <v>424</v>
      </c>
      <c r="FD1539" t="s">
        <v>454</v>
      </c>
      <c r="FF1539">
        <v>12</v>
      </c>
      <c r="FG1539">
        <v>62</v>
      </c>
      <c r="FH1539" t="s">
        <v>463</v>
      </c>
    </row>
    <row r="1540" spans="1:308" x14ac:dyDescent="0.25">
      <c r="A1540">
        <v>16486547</v>
      </c>
      <c r="B1540">
        <v>1539</v>
      </c>
      <c r="C1540" t="s">
        <v>393</v>
      </c>
      <c r="D1540" t="s">
        <v>394</v>
      </c>
      <c r="F1540" t="str">
        <f>"32-2N-28-0000-0025-0080"</f>
        <v>32-2N-28-0000-0025-0080</v>
      </c>
      <c r="H1540" t="str">
        <f>"BLUE JAMES C JR"</f>
        <v>BLUE JAMES C JR</v>
      </c>
      <c r="I1540" t="str">
        <f>"PO BOX 4661"</f>
        <v>PO BOX 4661</v>
      </c>
      <c r="J1540" t="str">
        <f>"ATLANTA GA 30301"</f>
        <v>ATLANTA GA 30301</v>
      </c>
      <c r="K1540" t="str">
        <f>"HENDRICKS RD"</f>
        <v>HENDRICKS RD</v>
      </c>
      <c r="L1540" t="str">
        <f t="shared" si="538"/>
        <v>FERNANDINA BEACH FL 32034</v>
      </c>
      <c r="M1540" t="str">
        <f>"PT NW1/4 OF SW1/4 OF SEC 32-2N-28E IN OR 1423/1484"</f>
        <v>PT NW1/4 OF SW1/4 OF SEC 32-2N-28E IN OR 1423/1484</v>
      </c>
      <c r="N1540" t="str">
        <f>""</f>
        <v/>
      </c>
      <c r="O1540" t="str">
        <f>"40448"</f>
        <v>40448</v>
      </c>
      <c r="P1540" t="str">
        <f t="shared" si="548"/>
        <v>2017</v>
      </c>
      <c r="Q1540" t="str">
        <f>""</f>
        <v/>
      </c>
      <c r="R1540" t="str">
        <f>"N"</f>
        <v>N</v>
      </c>
      <c r="S1540" t="str">
        <f>"2.00"</f>
        <v>2.00</v>
      </c>
      <c r="T1540" t="str">
        <f>"705.70"</f>
        <v>705.70</v>
      </c>
      <c r="U1540" t="str">
        <f>"44000.00"</f>
        <v>44000.00</v>
      </c>
      <c r="V1540" t="str">
        <f>"44000.00"</f>
        <v>44000.00</v>
      </c>
      <c r="W1540" t="str">
        <f t="shared" si="549"/>
        <v>2017</v>
      </c>
      <c r="X1540" t="str">
        <f>""</f>
        <v/>
      </c>
      <c r="Y1540" t="str">
        <f>"758.87"</f>
        <v>758.87</v>
      </c>
      <c r="Z1540" t="str">
        <f>""</f>
        <v/>
      </c>
      <c r="AA1540" t="str">
        <f>"50000.00"</f>
        <v>50000.00</v>
      </c>
      <c r="AB1540" t="str">
        <f t="shared" ref="AB1540:AB1571" si="550">"Residential"</f>
        <v>Residential</v>
      </c>
      <c r="AC1540" t="str">
        <f t="shared" si="523"/>
        <v>0</v>
      </c>
      <c r="AD1540" t="str">
        <f>""</f>
        <v/>
      </c>
      <c r="AE1540" t="str">
        <f>""</f>
        <v/>
      </c>
      <c r="AF1540" t="str">
        <f>"000"</f>
        <v>000</v>
      </c>
      <c r="AG1540" t="str">
        <f>"GA"</f>
        <v>GA</v>
      </c>
      <c r="AH1540" t="str">
        <f>"87120.00"</f>
        <v>87120.00</v>
      </c>
      <c r="AI1540" t="str">
        <f>"50000.00"</f>
        <v>50000.00</v>
      </c>
      <c r="AJ1540" t="str">
        <f>"C55-000-988-2259-6"</f>
        <v>C55-000-988-2259-6</v>
      </c>
      <c r="AK1540" t="str">
        <f>"28173"</f>
        <v>28173</v>
      </c>
      <c r="AL1540">
        <v>6</v>
      </c>
      <c r="AM1540">
        <v>1767</v>
      </c>
      <c r="AN1540">
        <v>795.21</v>
      </c>
      <c r="AQ1540" t="s">
        <v>15586</v>
      </c>
      <c r="AR1540" t="s">
        <v>15586</v>
      </c>
      <c r="AS1540" t="s">
        <v>15586</v>
      </c>
      <c r="AU1540" t="s">
        <v>396</v>
      </c>
      <c r="AV1540">
        <v>2017</v>
      </c>
      <c r="AW1540" t="str">
        <f>"32-2N-28-0000-0025-0080 "</f>
        <v xml:space="preserve">32-2N-28-0000-0025-0080 </v>
      </c>
      <c r="AZ1540" t="s">
        <v>15578</v>
      </c>
      <c r="BA1540" t="s">
        <v>496</v>
      </c>
      <c r="BD1540" t="s">
        <v>11749</v>
      </c>
      <c r="BE1540" t="s">
        <v>393</v>
      </c>
      <c r="BF1540">
        <v>32034</v>
      </c>
      <c r="BG1540" t="s">
        <v>15579</v>
      </c>
      <c r="BH1540" t="s">
        <v>11751</v>
      </c>
      <c r="BI1540">
        <v>-81.524570414555797</v>
      </c>
      <c r="BJ1540">
        <v>30.581093761080499</v>
      </c>
      <c r="BK1540" t="s">
        <v>15587</v>
      </c>
      <c r="BM1540" t="s">
        <v>15588</v>
      </c>
      <c r="BN1540" t="s">
        <v>15589</v>
      </c>
      <c r="BO1540">
        <v>30302</v>
      </c>
      <c r="BP1540" t="s">
        <v>404</v>
      </c>
      <c r="BQ1540">
        <v>0</v>
      </c>
      <c r="BR1540" t="s">
        <v>491</v>
      </c>
      <c r="BS1540">
        <v>8001</v>
      </c>
      <c r="BT1540" t="s">
        <v>492</v>
      </c>
      <c r="BW1540">
        <v>87120</v>
      </c>
      <c r="BX1540" t="s">
        <v>407</v>
      </c>
      <c r="BY1540" t="s">
        <v>408</v>
      </c>
      <c r="CD1540">
        <v>2017</v>
      </c>
      <c r="CE1540">
        <v>50000</v>
      </c>
      <c r="CG1540">
        <v>50000</v>
      </c>
      <c r="CH1540">
        <v>2017</v>
      </c>
      <c r="CI1540">
        <v>50000</v>
      </c>
      <c r="CK1540">
        <v>50000</v>
      </c>
      <c r="CL1540">
        <v>2017</v>
      </c>
      <c r="CM1540">
        <v>705.7</v>
      </c>
      <c r="CN1540" s="1">
        <v>38895</v>
      </c>
      <c r="CZ1540" s="1">
        <v>38895</v>
      </c>
      <c r="DD1540" t="s">
        <v>11749</v>
      </c>
      <c r="DG1540">
        <v>32</v>
      </c>
      <c r="DL1540">
        <v>50303</v>
      </c>
      <c r="DM1540" t="s">
        <v>15557</v>
      </c>
      <c r="DO1540" t="s">
        <v>15590</v>
      </c>
      <c r="DP1540">
        <v>0</v>
      </c>
      <c r="DQ1540">
        <v>0</v>
      </c>
      <c r="DR1540" t="s">
        <v>411</v>
      </c>
      <c r="DS1540" t="b">
        <v>1</v>
      </c>
      <c r="DT1540" t="s">
        <v>470</v>
      </c>
      <c r="DU1540" t="s">
        <v>471</v>
      </c>
      <c r="DV1540" t="s">
        <v>472</v>
      </c>
      <c r="DX1540">
        <v>-9999</v>
      </c>
      <c r="DZ1540" t="s">
        <v>447</v>
      </c>
      <c r="EA1540" t="s">
        <v>448</v>
      </c>
      <c r="EB1540" t="s">
        <v>742</v>
      </c>
      <c r="EC1540">
        <v>20101217</v>
      </c>
      <c r="ED1540" t="s">
        <v>474</v>
      </c>
      <c r="EF1540">
        <v>1921.9</v>
      </c>
      <c r="EG1540">
        <v>1380.7</v>
      </c>
      <c r="EI1540">
        <v>20160407</v>
      </c>
      <c r="EJ1540">
        <v>0</v>
      </c>
      <c r="EK1540">
        <v>1</v>
      </c>
    </row>
    <row r="1541" spans="1:308" x14ac:dyDescent="0.25">
      <c r="A1541">
        <v>16486548</v>
      </c>
      <c r="B1541">
        <v>1540</v>
      </c>
      <c r="C1541" t="s">
        <v>393</v>
      </c>
      <c r="D1541" t="s">
        <v>394</v>
      </c>
      <c r="F1541" t="str">
        <f>"32-2N-28-0000-0026-0020"</f>
        <v>32-2N-28-0000-0026-0020</v>
      </c>
      <c r="H1541" t="str">
        <f>"BLUE JAMES C JR &amp; BLUE ROBERT E SR &amp; BENJAMIN J &amp; CORA STEVENSON &amp; LYNDON BLUE"</f>
        <v>BLUE JAMES C JR &amp; BLUE ROBERT E SR &amp; BENJAMIN J &amp; CORA STEVENSON &amp; LYNDON BLUE</v>
      </c>
      <c r="I1541" t="str">
        <f>""</f>
        <v/>
      </c>
      <c r="J1541" t="str">
        <f>"ATLANTA GA 30302"</f>
        <v>ATLANTA GA 30302</v>
      </c>
      <c r="K1541" t="str">
        <f>"HENDRICKS RD"</f>
        <v>HENDRICKS RD</v>
      </c>
      <c r="L1541" t="str">
        <f t="shared" si="538"/>
        <v>FERNANDINA BEACH FL 32034</v>
      </c>
      <c r="M1541" t="str">
        <f>"PT GOVT LOT 5 OF SEC 32-2N-28E IN OR 1613/914"</f>
        <v>PT GOVT LOT 5 OF SEC 32-2N-28E IN OR 1613/914</v>
      </c>
      <c r="N1541" t="str">
        <f>""</f>
        <v/>
      </c>
      <c r="O1541" t="str">
        <f>"40452"</f>
        <v>40452</v>
      </c>
      <c r="P1541" t="str">
        <f t="shared" si="548"/>
        <v>2017</v>
      </c>
      <c r="Q1541" t="str">
        <f>""</f>
        <v/>
      </c>
      <c r="R1541" t="str">
        <f>"N"</f>
        <v>N</v>
      </c>
      <c r="S1541" t="str">
        <f>"9.17"</f>
        <v>9.17</v>
      </c>
      <c r="T1541" t="str">
        <f>"2103.15"</f>
        <v>2103.15</v>
      </c>
      <c r="U1541" t="str">
        <f>"131131.00"</f>
        <v>131131.00</v>
      </c>
      <c r="V1541" t="str">
        <f>"131131.00"</f>
        <v>131131.00</v>
      </c>
      <c r="W1541" t="str">
        <f t="shared" si="549"/>
        <v>2017</v>
      </c>
      <c r="X1541" t="str">
        <f>""</f>
        <v/>
      </c>
      <c r="Y1541" t="str">
        <f>"2198.24"</f>
        <v>2198.24</v>
      </c>
      <c r="Z1541" t="str">
        <f>""</f>
        <v/>
      </c>
      <c r="AA1541" t="str">
        <f>"149012.00"</f>
        <v>149012.00</v>
      </c>
      <c r="AB1541" t="str">
        <f t="shared" si="550"/>
        <v>Residential</v>
      </c>
      <c r="AC1541" t="str">
        <f t="shared" si="523"/>
        <v>0</v>
      </c>
      <c r="AD1541" t="str">
        <f>""</f>
        <v/>
      </c>
      <c r="AE1541" t="str">
        <f>""</f>
        <v/>
      </c>
      <c r="AF1541" t="str">
        <f>"000"</f>
        <v>000</v>
      </c>
      <c r="AG1541" t="str">
        <f>"GA"</f>
        <v>GA</v>
      </c>
      <c r="AH1541" t="str">
        <f>"399445.00"</f>
        <v>399445.00</v>
      </c>
      <c r="AI1541" t="str">
        <f>"149012.00"</f>
        <v>149012.00</v>
      </c>
      <c r="AJ1541" t="str">
        <f>"C55-001-002-4881-4"</f>
        <v>C55-001-002-4881-4</v>
      </c>
      <c r="AK1541" t="str">
        <f>"28177"</f>
        <v>28177</v>
      </c>
      <c r="AL1541">
        <v>6</v>
      </c>
      <c r="AM1541">
        <v>1768</v>
      </c>
      <c r="AN1541">
        <v>2306.5500000000002</v>
      </c>
      <c r="AQ1541" t="s">
        <v>15591</v>
      </c>
      <c r="AR1541" t="s">
        <v>15591</v>
      </c>
      <c r="AS1541" t="s">
        <v>15591</v>
      </c>
      <c r="AU1541" t="s">
        <v>396</v>
      </c>
      <c r="AV1541">
        <v>2017</v>
      </c>
      <c r="AW1541" t="str">
        <f>"32-2N-28-0000-0026-0020 "</f>
        <v xml:space="preserve">32-2N-28-0000-0026-0020 </v>
      </c>
      <c r="AZ1541" t="s">
        <v>15578</v>
      </c>
      <c r="BA1541" t="s">
        <v>496</v>
      </c>
      <c r="BD1541" t="s">
        <v>11749</v>
      </c>
      <c r="BE1541" t="s">
        <v>393</v>
      </c>
      <c r="BF1541">
        <v>32034</v>
      </c>
      <c r="BG1541" t="s">
        <v>15579</v>
      </c>
      <c r="BH1541" t="s">
        <v>11751</v>
      </c>
      <c r="BI1541">
        <v>-81.5264185684252</v>
      </c>
      <c r="BJ1541">
        <v>30.5778281492471</v>
      </c>
      <c r="BK1541" t="s">
        <v>15592</v>
      </c>
      <c r="BM1541" t="s">
        <v>15588</v>
      </c>
      <c r="BN1541" t="s">
        <v>15589</v>
      </c>
      <c r="BO1541">
        <v>30302</v>
      </c>
      <c r="BP1541" t="s">
        <v>404</v>
      </c>
      <c r="BQ1541">
        <v>0</v>
      </c>
      <c r="BR1541" t="s">
        <v>491</v>
      </c>
      <c r="BS1541">
        <v>8001</v>
      </c>
      <c r="BT1541" t="s">
        <v>492</v>
      </c>
      <c r="BW1541">
        <v>399445</v>
      </c>
      <c r="BX1541" t="s">
        <v>407</v>
      </c>
      <c r="BY1541" t="s">
        <v>408</v>
      </c>
      <c r="CD1541">
        <v>2017</v>
      </c>
      <c r="CE1541">
        <v>149012</v>
      </c>
      <c r="CG1541">
        <v>149012</v>
      </c>
      <c r="CH1541">
        <v>2017</v>
      </c>
      <c r="CI1541">
        <v>149012</v>
      </c>
      <c r="CK1541">
        <v>149012</v>
      </c>
      <c r="CL1541">
        <v>2017</v>
      </c>
      <c r="CM1541">
        <v>2103.15</v>
      </c>
      <c r="CN1541" s="1">
        <v>39617</v>
      </c>
      <c r="CZ1541" s="1">
        <v>39617</v>
      </c>
      <c r="DD1541" t="s">
        <v>11749</v>
      </c>
      <c r="DG1541">
        <v>32</v>
      </c>
      <c r="DL1541">
        <v>50303</v>
      </c>
      <c r="DM1541" t="s">
        <v>15557</v>
      </c>
      <c r="DO1541" t="s">
        <v>15593</v>
      </c>
      <c r="DP1541">
        <v>0</v>
      </c>
      <c r="DQ1541">
        <v>0</v>
      </c>
      <c r="DR1541" t="s">
        <v>411</v>
      </c>
      <c r="DS1541" t="b">
        <v>1</v>
      </c>
      <c r="DT1541" t="s">
        <v>470</v>
      </c>
      <c r="DU1541" t="s">
        <v>471</v>
      </c>
      <c r="DV1541" t="s">
        <v>472</v>
      </c>
      <c r="DX1541">
        <v>-9999</v>
      </c>
      <c r="DZ1541" t="s">
        <v>447</v>
      </c>
      <c r="EA1541" t="s">
        <v>448</v>
      </c>
      <c r="EB1541" t="s">
        <v>742</v>
      </c>
      <c r="EC1541">
        <v>20101217</v>
      </c>
      <c r="ED1541" t="s">
        <v>474</v>
      </c>
      <c r="EF1541">
        <v>848.2</v>
      </c>
      <c r="EG1541">
        <v>251.8</v>
      </c>
      <c r="EI1541">
        <v>20160407</v>
      </c>
      <c r="EJ1541">
        <v>0</v>
      </c>
      <c r="EK1541">
        <v>0</v>
      </c>
    </row>
    <row r="1542" spans="1:308" x14ac:dyDescent="0.25">
      <c r="A1542">
        <v>16486549</v>
      </c>
      <c r="B1542">
        <v>1541</v>
      </c>
      <c r="C1542" t="s">
        <v>393</v>
      </c>
      <c r="D1542" t="s">
        <v>394</v>
      </c>
      <c r="F1542" t="str">
        <f>"32-2N-28-005A-0023-0000"</f>
        <v>32-2N-28-005A-0023-0000</v>
      </c>
      <c r="H1542" t="str">
        <f>"STEWART KYLE W &amp; ARLETTA D"</f>
        <v>STEWART KYLE W &amp; ARLETTA D</v>
      </c>
      <c r="I1542" t="str">
        <f>"86350 MEADOWWOOD DR"</f>
        <v>86350 MEADOWWOOD DR</v>
      </c>
      <c r="J1542" t="str">
        <f>"YULEE FL 32097"</f>
        <v>YULEE FL 32097</v>
      </c>
      <c r="K1542" t="str">
        <f>"95124 BROOKHILL PL"</f>
        <v>95124 BROOKHILL PL</v>
      </c>
      <c r="L1542" t="str">
        <f t="shared" si="538"/>
        <v>FERNANDINA BEACH FL 32034</v>
      </c>
      <c r="M1542" t="str">
        <f>"LOT 23 IN OR 1894/1721 AMELIA BAY ESTATES PB 7/4 ESMT PT OR 1397/1057"</f>
        <v>LOT 23 IN OR 1894/1721 AMELIA BAY ESTATES PB 7/4 ESMT PT OR 1397/1057</v>
      </c>
      <c r="N1542" t="str">
        <f>""</f>
        <v/>
      </c>
      <c r="O1542" t="str">
        <f>"40485"</f>
        <v>40485</v>
      </c>
      <c r="P1542" t="str">
        <f t="shared" si="548"/>
        <v>2017</v>
      </c>
      <c r="Q1542" t="str">
        <f>""</f>
        <v/>
      </c>
      <c r="R1542" t="str">
        <f>"N"</f>
        <v>N</v>
      </c>
      <c r="S1542" t="str">
        <f>""</f>
        <v/>
      </c>
      <c r="T1542" t="str">
        <f>"302.48"</f>
        <v>302.48</v>
      </c>
      <c r="U1542" t="str">
        <f>"19965.00"</f>
        <v>19965.00</v>
      </c>
      <c r="V1542" t="str">
        <f>"19965.00"</f>
        <v>19965.00</v>
      </c>
      <c r="W1542" t="str">
        <f t="shared" si="549"/>
        <v>2017</v>
      </c>
      <c r="X1542" t="str">
        <f>""</f>
        <v/>
      </c>
      <c r="Y1542" t="str">
        <f>"343.55"</f>
        <v>343.55</v>
      </c>
      <c r="Z1542" t="str">
        <f>""</f>
        <v/>
      </c>
      <c r="AA1542" t="str">
        <f>"20000.00"</f>
        <v>20000.00</v>
      </c>
      <c r="AB1542" t="str">
        <f t="shared" si="550"/>
        <v>Residential</v>
      </c>
      <c r="AC1542" t="str">
        <f t="shared" si="523"/>
        <v>0</v>
      </c>
      <c r="AD1542" t="str">
        <f>""</f>
        <v/>
      </c>
      <c r="AE1542" t="str">
        <f>""</f>
        <v/>
      </c>
      <c r="AF1542" t="str">
        <f>"000"</f>
        <v>000</v>
      </c>
      <c r="AG1542" t="str">
        <f t="shared" ref="AG1542:AG1572" si="551">"FL"</f>
        <v>FL</v>
      </c>
      <c r="AH1542" t="str">
        <f t="shared" ref="AH1542:AH1548" si="552">"-"</f>
        <v>-</v>
      </c>
      <c r="AI1542" t="str">
        <f>"20000.00"</f>
        <v>20000.00</v>
      </c>
      <c r="AJ1542" t="str">
        <f>"C55-000-589-0986-2"</f>
        <v>C55-000-589-0986-2</v>
      </c>
      <c r="AK1542" t="str">
        <f>"28210"</f>
        <v>28210</v>
      </c>
      <c r="AL1542">
        <v>6</v>
      </c>
      <c r="AM1542">
        <v>1769</v>
      </c>
      <c r="AN1542">
        <v>359.13</v>
      </c>
      <c r="AQ1542" t="s">
        <v>15594</v>
      </c>
      <c r="AR1542" t="s">
        <v>15594</v>
      </c>
      <c r="AS1542" t="s">
        <v>15594</v>
      </c>
      <c r="AU1542" t="s">
        <v>396</v>
      </c>
      <c r="AV1542">
        <v>2017</v>
      </c>
      <c r="AW1542" t="str">
        <f>"32-2N-28-005A-0023-0000 "</f>
        <v xml:space="preserve">32-2N-28-005A-0023-0000 </v>
      </c>
      <c r="AX1542">
        <v>95124</v>
      </c>
      <c r="AZ1542" t="s">
        <v>15595</v>
      </c>
      <c r="BA1542" t="s">
        <v>641</v>
      </c>
      <c r="BD1542" t="s">
        <v>11749</v>
      </c>
      <c r="BE1542" t="s">
        <v>393</v>
      </c>
      <c r="BF1542">
        <v>32034</v>
      </c>
      <c r="BG1542" t="s">
        <v>15596</v>
      </c>
      <c r="BH1542" t="s">
        <v>11751</v>
      </c>
      <c r="BI1542">
        <v>-81.515123305811699</v>
      </c>
      <c r="BJ1542">
        <v>30.587456023766698</v>
      </c>
      <c r="BK1542" t="s">
        <v>15597</v>
      </c>
      <c r="BL1542" t="s">
        <v>15598</v>
      </c>
      <c r="BM1542" t="s">
        <v>15599</v>
      </c>
      <c r="BN1542" t="s">
        <v>1778</v>
      </c>
      <c r="BO1542">
        <v>32097</v>
      </c>
      <c r="BP1542" t="s">
        <v>404</v>
      </c>
      <c r="BQ1542">
        <v>0</v>
      </c>
      <c r="BR1542" t="s">
        <v>491</v>
      </c>
      <c r="BS1542">
        <v>8001</v>
      </c>
      <c r="BT1542" t="s">
        <v>492</v>
      </c>
      <c r="BW1542">
        <v>58029</v>
      </c>
      <c r="BX1542" t="s">
        <v>407</v>
      </c>
      <c r="CD1542">
        <v>2017</v>
      </c>
      <c r="CE1542">
        <v>20000</v>
      </c>
      <c r="CG1542">
        <v>20000</v>
      </c>
      <c r="CH1542">
        <v>2017</v>
      </c>
      <c r="CI1542">
        <v>20000</v>
      </c>
      <c r="CK1542">
        <v>20000</v>
      </c>
      <c r="CL1542">
        <v>2017</v>
      </c>
      <c r="CM1542">
        <v>302.48</v>
      </c>
      <c r="CN1542" s="1">
        <v>41631</v>
      </c>
      <c r="CO1542">
        <v>12000</v>
      </c>
      <c r="CV1542">
        <v>0</v>
      </c>
      <c r="CZ1542" s="1">
        <v>41631</v>
      </c>
      <c r="DA1542">
        <v>0</v>
      </c>
      <c r="DD1542" t="s">
        <v>11749</v>
      </c>
      <c r="DF1542">
        <v>23</v>
      </c>
      <c r="DG1542">
        <v>32</v>
      </c>
      <c r="DJ1542" t="s">
        <v>15600</v>
      </c>
      <c r="DL1542">
        <v>50303</v>
      </c>
      <c r="DM1542" t="s">
        <v>15557</v>
      </c>
      <c r="DO1542" t="s">
        <v>15601</v>
      </c>
      <c r="DP1542">
        <v>0</v>
      </c>
      <c r="DQ1542">
        <v>0</v>
      </c>
      <c r="DR1542" t="s">
        <v>411</v>
      </c>
      <c r="EP1542" t="s">
        <v>421</v>
      </c>
      <c r="EQ1542" t="s">
        <v>422</v>
      </c>
      <c r="ER1542">
        <v>1</v>
      </c>
      <c r="ES1542">
        <v>0</v>
      </c>
      <c r="ET1542">
        <v>341.93</v>
      </c>
      <c r="EU1542">
        <v>23.35</v>
      </c>
      <c r="EV1542">
        <v>365.28</v>
      </c>
      <c r="EW1542" s="2">
        <v>43222</v>
      </c>
      <c r="EX1542" s="1">
        <v>42879</v>
      </c>
      <c r="EY1542">
        <v>2016</v>
      </c>
      <c r="EZ1542">
        <v>341.93</v>
      </c>
      <c r="FA1542" t="s">
        <v>15602</v>
      </c>
      <c r="FB1542">
        <v>0.25</v>
      </c>
      <c r="FC1542" t="s">
        <v>424</v>
      </c>
      <c r="FD1542" t="s">
        <v>454</v>
      </c>
      <c r="FF1542">
        <v>12</v>
      </c>
      <c r="FG1542">
        <v>62</v>
      </c>
      <c r="FH1542" t="s">
        <v>463</v>
      </c>
    </row>
    <row r="1543" spans="1:308" x14ac:dyDescent="0.25">
      <c r="A1543">
        <v>16486550</v>
      </c>
      <c r="B1543">
        <v>1542</v>
      </c>
      <c r="C1543" t="s">
        <v>393</v>
      </c>
      <c r="D1543" t="s">
        <v>394</v>
      </c>
      <c r="F1543" t="str">
        <f>"32-2N-28-005A-0031-0000"</f>
        <v>32-2N-28-005A-0031-0000</v>
      </c>
      <c r="H1543" t="str">
        <f>"HOLLAND MICHAEL &amp; DEBBIE HOLLAND"</f>
        <v>HOLLAND MICHAEL &amp; DEBBIE HOLLAND</v>
      </c>
      <c r="I1543" t="str">
        <f>"96191 RIDGEWOOD CIR"</f>
        <v>96191 RIDGEWOOD CIR</v>
      </c>
      <c r="J1543" t="str">
        <f t="shared" ref="J1543:J1560" si="553">"FERNANDINA BEACH FL 32034"</f>
        <v>FERNANDINA BEACH FL 32034</v>
      </c>
      <c r="K1543" t="str">
        <f>"95276 AMBERWOOD LN"</f>
        <v>95276 AMBERWOOD LN</v>
      </c>
      <c r="L1543" t="str">
        <f t="shared" si="538"/>
        <v>FERNANDINA BEACH FL 32034</v>
      </c>
      <c r="M1543" t="str">
        <f>"LOT 31 IN OR 2103/531 AMELIA BAY ESTATES PB 7/4 ESMT PT OR 1397/1057"</f>
        <v>LOT 31 IN OR 2103/531 AMELIA BAY ESTATES PB 7/4 ESMT PT OR 1397/1057</v>
      </c>
      <c r="N1543" t="str">
        <f>""</f>
        <v/>
      </c>
      <c r="O1543" t="str">
        <f>"40493"</f>
        <v>40493</v>
      </c>
      <c r="P1543" t="str">
        <f t="shared" si="548"/>
        <v>2017</v>
      </c>
      <c r="Q1543" t="str">
        <f>""</f>
        <v/>
      </c>
      <c r="R1543" t="str">
        <f>"N"</f>
        <v>N</v>
      </c>
      <c r="S1543" t="str">
        <f>""</f>
        <v/>
      </c>
      <c r="T1543" t="str">
        <f>"681.25"</f>
        <v>681.25</v>
      </c>
      <c r="U1543" t="str">
        <f>"45000.00"</f>
        <v>45000.00</v>
      </c>
      <c r="V1543" t="str">
        <f>"45000.00"</f>
        <v>45000.00</v>
      </c>
      <c r="W1543" t="str">
        <f t="shared" si="549"/>
        <v>2017</v>
      </c>
      <c r="X1543" t="str">
        <f>"13.50"</f>
        <v>13.50</v>
      </c>
      <c r="Y1543" t="str">
        <f>"733.69"</f>
        <v>733.69</v>
      </c>
      <c r="Z1543" t="str">
        <f>""</f>
        <v/>
      </c>
      <c r="AA1543" t="str">
        <f>"45000.00"</f>
        <v>45000.00</v>
      </c>
      <c r="AB1543" t="str">
        <f t="shared" si="550"/>
        <v>Residential</v>
      </c>
      <c r="AC1543" t="str">
        <f t="shared" si="523"/>
        <v>0</v>
      </c>
      <c r="AD1543" t="str">
        <f>""</f>
        <v/>
      </c>
      <c r="AE1543" t="str">
        <f>""</f>
        <v/>
      </c>
      <c r="AF1543" t="str">
        <f>"000"</f>
        <v>000</v>
      </c>
      <c r="AG1543" t="str">
        <f t="shared" si="551"/>
        <v>FL</v>
      </c>
      <c r="AH1543" t="str">
        <f t="shared" si="552"/>
        <v>-</v>
      </c>
      <c r="AI1543" t="str">
        <f>"45000.00"</f>
        <v>45000.00</v>
      </c>
      <c r="AJ1543" t="str">
        <f>"C55-000-589-0994-6"</f>
        <v>C55-000-589-0994-6</v>
      </c>
      <c r="AK1543" t="str">
        <f>"28218"</f>
        <v>28218</v>
      </c>
      <c r="AL1543">
        <v>6</v>
      </c>
      <c r="AM1543">
        <v>1770</v>
      </c>
      <c r="AN1543">
        <v>768.77</v>
      </c>
      <c r="AQ1543" t="s">
        <v>15603</v>
      </c>
      <c r="AR1543" t="s">
        <v>15603</v>
      </c>
      <c r="AS1543" t="s">
        <v>15603</v>
      </c>
      <c r="AU1543" t="s">
        <v>396</v>
      </c>
      <c r="AV1543">
        <v>2017</v>
      </c>
      <c r="AW1543" t="str">
        <f>"32-2N-28-005A-0031-0000 "</f>
        <v xml:space="preserve">32-2N-28-005A-0031-0000 </v>
      </c>
      <c r="AX1543">
        <v>95276</v>
      </c>
      <c r="AZ1543" t="s">
        <v>15604</v>
      </c>
      <c r="BA1543" t="s">
        <v>653</v>
      </c>
      <c r="BD1543" t="s">
        <v>11749</v>
      </c>
      <c r="BE1543" t="s">
        <v>393</v>
      </c>
      <c r="BF1543">
        <v>32034</v>
      </c>
      <c r="BG1543" t="s">
        <v>15605</v>
      </c>
      <c r="BH1543" t="s">
        <v>11751</v>
      </c>
      <c r="BI1543">
        <v>-81.513118241411703</v>
      </c>
      <c r="BJ1543">
        <v>30.5854753434736</v>
      </c>
      <c r="BK1543" t="s">
        <v>15606</v>
      </c>
      <c r="BL1543" t="s">
        <v>12971</v>
      </c>
      <c r="BM1543" t="s">
        <v>15607</v>
      </c>
      <c r="BN1543" t="s">
        <v>3983</v>
      </c>
      <c r="BO1543">
        <v>32034</v>
      </c>
      <c r="BP1543" t="s">
        <v>404</v>
      </c>
      <c r="BQ1543">
        <v>0</v>
      </c>
      <c r="BR1543" t="s">
        <v>491</v>
      </c>
      <c r="BS1543">
        <v>8001</v>
      </c>
      <c r="BT1543" t="s">
        <v>492</v>
      </c>
      <c r="BW1543">
        <v>43938</v>
      </c>
      <c r="BX1543" t="s">
        <v>407</v>
      </c>
      <c r="CD1543">
        <v>2017</v>
      </c>
      <c r="CE1543">
        <v>45000</v>
      </c>
      <c r="CG1543">
        <v>45000</v>
      </c>
      <c r="CH1543">
        <v>2017</v>
      </c>
      <c r="CI1543">
        <v>45000</v>
      </c>
      <c r="CK1543">
        <v>45000</v>
      </c>
      <c r="CL1543">
        <v>2017</v>
      </c>
      <c r="CM1543">
        <v>681.25</v>
      </c>
      <c r="CN1543" s="1">
        <v>42790</v>
      </c>
      <c r="CO1543">
        <v>80000</v>
      </c>
      <c r="CV1543">
        <v>60000</v>
      </c>
      <c r="CX1543" t="s">
        <v>707</v>
      </c>
      <c r="CZ1543" s="1">
        <v>42790</v>
      </c>
      <c r="DA1543">
        <v>0</v>
      </c>
      <c r="DD1543" t="s">
        <v>11749</v>
      </c>
      <c r="DF1543">
        <v>31</v>
      </c>
      <c r="DG1543">
        <v>32</v>
      </c>
      <c r="DJ1543" t="s">
        <v>15600</v>
      </c>
      <c r="DL1543">
        <v>50303</v>
      </c>
      <c r="DM1543" t="s">
        <v>15557</v>
      </c>
      <c r="DO1543" t="s">
        <v>15608</v>
      </c>
      <c r="DP1543">
        <v>0</v>
      </c>
      <c r="DQ1543">
        <v>0</v>
      </c>
      <c r="DR1543" t="s">
        <v>411</v>
      </c>
      <c r="DS1543" t="b">
        <v>1</v>
      </c>
      <c r="DT1543" t="s">
        <v>470</v>
      </c>
      <c r="DU1543" t="s">
        <v>10249</v>
      </c>
      <c r="DV1543" t="s">
        <v>472</v>
      </c>
      <c r="DX1543">
        <v>-9999</v>
      </c>
      <c r="DZ1543" t="s">
        <v>447</v>
      </c>
      <c r="EA1543" t="s">
        <v>448</v>
      </c>
      <c r="EB1543" t="s">
        <v>15609</v>
      </c>
      <c r="EC1543">
        <v>20101217</v>
      </c>
      <c r="ED1543" t="s">
        <v>10251</v>
      </c>
      <c r="EE1543">
        <v>5</v>
      </c>
      <c r="EF1543">
        <v>1.1000000000000001</v>
      </c>
      <c r="EG1543">
        <v>0</v>
      </c>
      <c r="EH1543" t="s">
        <v>451</v>
      </c>
      <c r="EI1543">
        <v>20140731</v>
      </c>
      <c r="EJ1543">
        <v>0</v>
      </c>
      <c r="EK1543">
        <v>1</v>
      </c>
      <c r="EP1543" t="s">
        <v>421</v>
      </c>
      <c r="EQ1543" t="s">
        <v>422</v>
      </c>
      <c r="ER1543">
        <v>0</v>
      </c>
      <c r="ES1543">
        <v>7</v>
      </c>
      <c r="ET1543">
        <v>0</v>
      </c>
      <c r="EU1543">
        <v>0</v>
      </c>
      <c r="EV1543">
        <v>0</v>
      </c>
      <c r="EW1543" s="2">
        <v>43222</v>
      </c>
      <c r="EX1543" s="1">
        <v>42151</v>
      </c>
      <c r="EY1543">
        <v>2014</v>
      </c>
      <c r="EZ1543">
        <v>278.38</v>
      </c>
      <c r="FA1543" t="s">
        <v>15610</v>
      </c>
      <c r="FB1543">
        <v>0.25</v>
      </c>
      <c r="FC1543" t="s">
        <v>424</v>
      </c>
      <c r="FD1543" t="s">
        <v>425</v>
      </c>
      <c r="FE1543" s="1">
        <v>42207</v>
      </c>
      <c r="FF1543">
        <v>2</v>
      </c>
      <c r="FG1543">
        <v>4975594</v>
      </c>
      <c r="FH1543" t="s">
        <v>457</v>
      </c>
      <c r="FJ1543" s="1">
        <v>42151</v>
      </c>
      <c r="FK1543">
        <v>2014</v>
      </c>
      <c r="FL1543">
        <v>278.38</v>
      </c>
      <c r="FM1543" t="s">
        <v>15610</v>
      </c>
      <c r="FN1543">
        <v>0.25</v>
      </c>
      <c r="FO1543" t="s">
        <v>424</v>
      </c>
      <c r="FP1543" t="s">
        <v>425</v>
      </c>
      <c r="FR1543">
        <v>22</v>
      </c>
      <c r="FS1543">
        <v>6459129</v>
      </c>
      <c r="FT1543" t="s">
        <v>15611</v>
      </c>
      <c r="FV1543" s="1">
        <v>41787</v>
      </c>
      <c r="FW1543">
        <v>2013</v>
      </c>
      <c r="FX1543">
        <v>264.67</v>
      </c>
      <c r="FY1543" t="s">
        <v>15612</v>
      </c>
      <c r="FZ1543">
        <v>0.25</v>
      </c>
      <c r="GA1543" t="s">
        <v>424</v>
      </c>
      <c r="GB1543" t="s">
        <v>425</v>
      </c>
      <c r="GC1543" s="1">
        <v>42207</v>
      </c>
      <c r="GD1543">
        <v>14</v>
      </c>
      <c r="GE1543">
        <v>10125</v>
      </c>
      <c r="GF1543" t="s">
        <v>440</v>
      </c>
      <c r="GH1543" s="1">
        <v>41423</v>
      </c>
      <c r="GI1543">
        <v>2012</v>
      </c>
      <c r="GJ1543">
        <v>513.39</v>
      </c>
      <c r="GK1543" t="s">
        <v>15613</v>
      </c>
      <c r="GL1543">
        <v>2.75</v>
      </c>
      <c r="GM1543" t="s">
        <v>424</v>
      </c>
      <c r="GN1543" t="s">
        <v>425</v>
      </c>
      <c r="GO1543" s="1">
        <v>41990</v>
      </c>
      <c r="GP1543">
        <v>19</v>
      </c>
      <c r="GQ1543">
        <v>1625515</v>
      </c>
      <c r="GR1543" t="s">
        <v>487</v>
      </c>
      <c r="GT1543" s="1">
        <v>41052</v>
      </c>
      <c r="GU1543">
        <v>2011</v>
      </c>
      <c r="GV1543">
        <v>1430.64</v>
      </c>
      <c r="GW1543" t="s">
        <v>15614</v>
      </c>
      <c r="GX1543">
        <v>6.75</v>
      </c>
      <c r="GY1543" t="s">
        <v>424</v>
      </c>
      <c r="GZ1543" t="s">
        <v>425</v>
      </c>
      <c r="HA1543" s="1">
        <v>41711</v>
      </c>
      <c r="HB1543">
        <v>22</v>
      </c>
      <c r="HC1543">
        <v>1625515</v>
      </c>
      <c r="HD1543" t="s">
        <v>487</v>
      </c>
      <c r="HF1543" s="1">
        <v>41052</v>
      </c>
      <c r="HG1543">
        <v>2011</v>
      </c>
      <c r="HH1543">
        <v>1430.64</v>
      </c>
      <c r="HI1543" t="s">
        <v>15614</v>
      </c>
      <c r="HJ1543">
        <v>6.75</v>
      </c>
      <c r="HK1543" t="s">
        <v>424</v>
      </c>
      <c r="HL1543" t="s">
        <v>425</v>
      </c>
      <c r="HN1543">
        <v>22</v>
      </c>
      <c r="HO1543">
        <v>10579</v>
      </c>
      <c r="HP1543" t="s">
        <v>488</v>
      </c>
      <c r="HR1543" s="1">
        <v>40688</v>
      </c>
      <c r="HS1543">
        <v>2010</v>
      </c>
      <c r="HT1543">
        <v>2107.71</v>
      </c>
      <c r="HU1543" t="s">
        <v>15615</v>
      </c>
      <c r="HV1543">
        <v>6</v>
      </c>
      <c r="HW1543" t="s">
        <v>424</v>
      </c>
      <c r="HX1543" t="s">
        <v>425</v>
      </c>
      <c r="HY1543" s="1">
        <v>41330</v>
      </c>
      <c r="HZ1543">
        <v>21</v>
      </c>
      <c r="IA1543">
        <v>105</v>
      </c>
      <c r="IB1543" t="s">
        <v>946</v>
      </c>
    </row>
    <row r="1544" spans="1:308" x14ac:dyDescent="0.25">
      <c r="A1544">
        <v>16486551</v>
      </c>
      <c r="B1544">
        <v>1543</v>
      </c>
      <c r="C1544" t="s">
        <v>393</v>
      </c>
      <c r="D1544" t="s">
        <v>394</v>
      </c>
      <c r="F1544" t="str">
        <f>"32-2N-28-0150-0001-0050"</f>
        <v>32-2N-28-0150-0001-0050</v>
      </c>
      <c r="H1544" t="str">
        <f>"LANDRUM CARL J"</f>
        <v>LANDRUM CARL J</v>
      </c>
      <c r="I1544" t="str">
        <f>"95129 BIG OAK AVE"</f>
        <v>95129 BIG OAK AVE</v>
      </c>
      <c r="J1544" t="str">
        <f t="shared" si="553"/>
        <v>FERNANDINA BEACH FL 32034</v>
      </c>
      <c r="K1544" t="str">
        <f>"95129 BIG OAK AVE"</f>
        <v>95129 BIG OAK AVE</v>
      </c>
      <c r="L1544" t="str">
        <f t="shared" si="538"/>
        <v>FERNANDINA BEACH FL 32034</v>
      </c>
      <c r="M1544" t="str">
        <f>"BLOCK 1 LOT 5 IN OR 782/201 R673708 &amp; R673709 BIG OAK PB 5/357"</f>
        <v>BLOCK 1 LOT 5 IN OR 782/201 R673708 &amp; R673709 BIG OAK PB 5/357</v>
      </c>
      <c r="N1544" t="str">
        <f>""</f>
        <v/>
      </c>
      <c r="O1544" t="str">
        <f>"40509"</f>
        <v>40509</v>
      </c>
      <c r="P1544" t="str">
        <f t="shared" si="548"/>
        <v>2017</v>
      </c>
      <c r="Q1544" t="str">
        <f>""</f>
        <v/>
      </c>
      <c r="R1544" t="str">
        <f>"Y"</f>
        <v>Y</v>
      </c>
      <c r="S1544" t="str">
        <f>""</f>
        <v/>
      </c>
      <c r="T1544" t="str">
        <f>"438.90"</f>
        <v>438.90</v>
      </c>
      <c r="U1544" t="str">
        <f>"58985.00"</f>
        <v>58985.00</v>
      </c>
      <c r="V1544" t="str">
        <f>"58985.00"</f>
        <v>58985.00</v>
      </c>
      <c r="W1544" t="str">
        <f t="shared" si="549"/>
        <v>2017</v>
      </c>
      <c r="X1544" t="str">
        <f>"7.63"</f>
        <v>7.63</v>
      </c>
      <c r="Y1544" t="str">
        <f>"484.07"</f>
        <v>484.07</v>
      </c>
      <c r="Z1544" t="str">
        <f>"25000.00"</f>
        <v>25000.00</v>
      </c>
      <c r="AA1544" t="str">
        <f>"33985.00"</f>
        <v>33985.00</v>
      </c>
      <c r="AB1544" t="str">
        <f t="shared" si="550"/>
        <v>Residential</v>
      </c>
      <c r="AC1544" t="str">
        <f t="shared" si="523"/>
        <v>0</v>
      </c>
      <c r="AD1544" t="str">
        <f>"4"</f>
        <v>4</v>
      </c>
      <c r="AE1544" t="str">
        <f>"WOOD (INCLUDE STEEL STUDS)"</f>
        <v>WOOD (INCLUDE STEEL STUDS)</v>
      </c>
      <c r="AF1544" t="str">
        <f>"002"</f>
        <v>002</v>
      </c>
      <c r="AG1544" t="str">
        <f t="shared" si="551"/>
        <v>FL</v>
      </c>
      <c r="AH1544" t="str">
        <f t="shared" si="552"/>
        <v>-</v>
      </c>
      <c r="AI1544" t="str">
        <f>"25000.00"</f>
        <v>25000.00</v>
      </c>
      <c r="AJ1544" t="str">
        <f>"C55-000-587-6956-3"</f>
        <v>C55-000-587-6956-3</v>
      </c>
      <c r="AK1544" t="str">
        <f>"28232"</f>
        <v>28232</v>
      </c>
      <c r="AL1544">
        <v>6</v>
      </c>
      <c r="AM1544">
        <v>1771</v>
      </c>
      <c r="AN1544">
        <v>506.67</v>
      </c>
      <c r="AQ1544" t="s">
        <v>15616</v>
      </c>
      <c r="AR1544" t="s">
        <v>15616</v>
      </c>
      <c r="AS1544" t="s">
        <v>15616</v>
      </c>
      <c r="AU1544" t="s">
        <v>396</v>
      </c>
      <c r="AV1544">
        <v>2017</v>
      </c>
      <c r="AW1544" t="str">
        <f>"32-2N-28-0150-0001-0050 "</f>
        <v xml:space="preserve">32-2N-28-0150-0001-0050 </v>
      </c>
      <c r="AX1544">
        <v>95129</v>
      </c>
      <c r="AZ1544" t="s">
        <v>15617</v>
      </c>
      <c r="BA1544" t="s">
        <v>1112</v>
      </c>
      <c r="BD1544" t="s">
        <v>11749</v>
      </c>
      <c r="BE1544" t="s">
        <v>393</v>
      </c>
      <c r="BF1544">
        <v>32034</v>
      </c>
      <c r="BG1544" t="s">
        <v>15618</v>
      </c>
      <c r="BH1544" t="s">
        <v>11751</v>
      </c>
      <c r="BI1544">
        <v>-81.521010212556007</v>
      </c>
      <c r="BJ1544">
        <v>30.5778665167425</v>
      </c>
      <c r="BK1544" t="s">
        <v>15619</v>
      </c>
      <c r="BM1544" t="s">
        <v>15618</v>
      </c>
      <c r="BN1544" t="s">
        <v>3983</v>
      </c>
      <c r="BO1544">
        <v>32034</v>
      </c>
      <c r="BP1544" t="s">
        <v>416</v>
      </c>
      <c r="BQ1544">
        <v>200</v>
      </c>
      <c r="BR1544" t="s">
        <v>405</v>
      </c>
      <c r="BS1544">
        <v>1006</v>
      </c>
      <c r="BT1544" t="s">
        <v>406</v>
      </c>
      <c r="BW1544">
        <v>42616</v>
      </c>
      <c r="BX1544" t="s">
        <v>407</v>
      </c>
      <c r="BY1544" t="s">
        <v>408</v>
      </c>
      <c r="BZ1544">
        <v>4</v>
      </c>
      <c r="CA1544">
        <v>1997</v>
      </c>
      <c r="CB1544">
        <v>1</v>
      </c>
      <c r="CC1544">
        <v>1</v>
      </c>
      <c r="CD1544">
        <v>2017</v>
      </c>
      <c r="CG1544">
        <v>58985</v>
      </c>
      <c r="CH1544">
        <v>2017</v>
      </c>
      <c r="CI1544">
        <v>25000</v>
      </c>
      <c r="CJ1544">
        <v>53660</v>
      </c>
      <c r="CK1544">
        <v>78660</v>
      </c>
      <c r="CL1544">
        <v>2017</v>
      </c>
      <c r="CM1544">
        <v>438.9</v>
      </c>
      <c r="CN1544" s="1">
        <v>35444</v>
      </c>
      <c r="CO1544">
        <v>16500</v>
      </c>
      <c r="CZ1544" s="1">
        <v>35444</v>
      </c>
      <c r="DD1544" t="s">
        <v>11749</v>
      </c>
      <c r="DF1544">
        <v>5</v>
      </c>
      <c r="DG1544">
        <v>32</v>
      </c>
      <c r="DL1544">
        <v>50303</v>
      </c>
      <c r="DM1544" t="s">
        <v>15557</v>
      </c>
      <c r="DO1544" t="s">
        <v>15620</v>
      </c>
      <c r="DP1544">
        <v>0</v>
      </c>
      <c r="DQ1544">
        <v>0</v>
      </c>
      <c r="DR1544" t="s">
        <v>411</v>
      </c>
      <c r="DS1544" t="b">
        <v>1</v>
      </c>
      <c r="DT1544" t="s">
        <v>470</v>
      </c>
      <c r="DU1544" t="s">
        <v>471</v>
      </c>
      <c r="DV1544" t="s">
        <v>472</v>
      </c>
      <c r="DX1544">
        <v>-9999</v>
      </c>
      <c r="DZ1544" t="s">
        <v>447</v>
      </c>
      <c r="EA1544" t="s">
        <v>448</v>
      </c>
      <c r="EB1544" t="s">
        <v>742</v>
      </c>
      <c r="EC1544">
        <v>20101217</v>
      </c>
      <c r="ED1544" t="s">
        <v>474</v>
      </c>
      <c r="EF1544">
        <v>1426.6</v>
      </c>
      <c r="EG1544">
        <v>1215.7</v>
      </c>
      <c r="EI1544">
        <v>20160407</v>
      </c>
      <c r="EJ1544">
        <v>0</v>
      </c>
      <c r="EK1544">
        <v>0</v>
      </c>
      <c r="EP1544" t="s">
        <v>421</v>
      </c>
      <c r="EQ1544" t="s">
        <v>422</v>
      </c>
      <c r="ER1544">
        <v>0</v>
      </c>
      <c r="ES1544">
        <v>7</v>
      </c>
      <c r="ET1544">
        <v>0</v>
      </c>
      <c r="EU1544">
        <v>0</v>
      </c>
      <c r="EV1544">
        <v>0</v>
      </c>
      <c r="EW1544" s="2">
        <v>43222</v>
      </c>
      <c r="EX1544" s="1">
        <v>42879</v>
      </c>
      <c r="EY1544">
        <v>2016</v>
      </c>
      <c r="EZ1544">
        <v>499.22</v>
      </c>
      <c r="FA1544" t="s">
        <v>15621</v>
      </c>
      <c r="FB1544">
        <v>0.25</v>
      </c>
      <c r="FC1544" t="s">
        <v>424</v>
      </c>
      <c r="FD1544" t="s">
        <v>425</v>
      </c>
      <c r="FE1544" s="1">
        <v>43021</v>
      </c>
      <c r="FF1544">
        <v>5</v>
      </c>
      <c r="FG1544">
        <v>2851116</v>
      </c>
      <c r="FH1544" t="s">
        <v>480</v>
      </c>
      <c r="FJ1544" s="1">
        <v>42879</v>
      </c>
      <c r="FK1544">
        <v>2016</v>
      </c>
      <c r="FL1544">
        <v>499.22</v>
      </c>
      <c r="FM1544" t="s">
        <v>15621</v>
      </c>
      <c r="FN1544">
        <v>0.25</v>
      </c>
      <c r="FO1544" t="s">
        <v>424</v>
      </c>
      <c r="FP1544" t="s">
        <v>425</v>
      </c>
      <c r="FR1544">
        <v>22</v>
      </c>
      <c r="FS1544">
        <v>5698729</v>
      </c>
      <c r="FT1544" t="s">
        <v>15622</v>
      </c>
      <c r="FV1544" s="1">
        <v>42515</v>
      </c>
      <c r="FW1544">
        <v>2015</v>
      </c>
      <c r="FX1544">
        <v>518.51</v>
      </c>
      <c r="FY1544" t="s">
        <v>15623</v>
      </c>
      <c r="FZ1544">
        <v>0.25</v>
      </c>
      <c r="GA1544" t="s">
        <v>424</v>
      </c>
      <c r="GB1544" t="s">
        <v>425</v>
      </c>
      <c r="GC1544" s="1">
        <v>42824</v>
      </c>
      <c r="GD1544">
        <v>10</v>
      </c>
      <c r="GE1544">
        <v>7045074</v>
      </c>
      <c r="GF1544" t="s">
        <v>580</v>
      </c>
      <c r="GH1544" s="1">
        <v>42515</v>
      </c>
      <c r="GI1544">
        <v>2015</v>
      </c>
      <c r="GJ1544">
        <v>518.51</v>
      </c>
      <c r="GK1544" t="s">
        <v>15623</v>
      </c>
      <c r="GL1544">
        <v>0.25</v>
      </c>
      <c r="GM1544" t="s">
        <v>424</v>
      </c>
      <c r="GN1544" t="s">
        <v>425</v>
      </c>
      <c r="GP1544">
        <v>22</v>
      </c>
      <c r="GQ1544">
        <v>6469372</v>
      </c>
      <c r="GR1544" t="s">
        <v>15624</v>
      </c>
      <c r="GT1544" s="1">
        <v>42151</v>
      </c>
      <c r="GU1544">
        <v>2014</v>
      </c>
      <c r="GV1544">
        <v>517.62</v>
      </c>
      <c r="GW1544" t="s">
        <v>15625</v>
      </c>
      <c r="GX1544">
        <v>0.25</v>
      </c>
      <c r="GY1544" t="s">
        <v>424</v>
      </c>
      <c r="GZ1544" t="s">
        <v>425</v>
      </c>
      <c r="HA1544" s="1">
        <v>42166</v>
      </c>
      <c r="HB1544">
        <v>1</v>
      </c>
      <c r="HC1544">
        <v>2101382</v>
      </c>
      <c r="HD1544" t="s">
        <v>993</v>
      </c>
      <c r="HF1544" s="1">
        <v>42151</v>
      </c>
      <c r="HG1544">
        <v>2014</v>
      </c>
      <c r="HH1544">
        <v>517.62</v>
      </c>
      <c r="HI1544" t="s">
        <v>15625</v>
      </c>
      <c r="HJ1544">
        <v>0.25</v>
      </c>
      <c r="HK1544" t="s">
        <v>424</v>
      </c>
      <c r="HL1544" t="s">
        <v>425</v>
      </c>
      <c r="HN1544">
        <v>22</v>
      </c>
      <c r="HO1544">
        <v>5635193</v>
      </c>
      <c r="HP1544" t="s">
        <v>15626</v>
      </c>
      <c r="HR1544" s="1">
        <v>41787</v>
      </c>
      <c r="HS1544">
        <v>2013</v>
      </c>
      <c r="HT1544">
        <v>565.9</v>
      </c>
      <c r="HU1544" t="s">
        <v>15627</v>
      </c>
      <c r="HV1544">
        <v>0.25</v>
      </c>
      <c r="HW1544" t="s">
        <v>424</v>
      </c>
      <c r="HX1544" t="s">
        <v>425</v>
      </c>
      <c r="HY1544" s="1">
        <v>41822</v>
      </c>
      <c r="HZ1544">
        <v>2</v>
      </c>
      <c r="IA1544">
        <v>2407503</v>
      </c>
      <c r="IB1544" t="s">
        <v>461</v>
      </c>
    </row>
    <row r="1545" spans="1:308" x14ac:dyDescent="0.25">
      <c r="A1545">
        <v>16486552</v>
      </c>
      <c r="B1545">
        <v>1544</v>
      </c>
      <c r="C1545" t="s">
        <v>393</v>
      </c>
      <c r="D1545" t="s">
        <v>394</v>
      </c>
      <c r="F1545" t="str">
        <f>"32-2N-28-0150-0001-0060"</f>
        <v>32-2N-28-0150-0001-0060</v>
      </c>
      <c r="H1545" t="str">
        <f>"LANDRUM ANNIE C"</f>
        <v>LANDRUM ANNIE C</v>
      </c>
      <c r="I1545" t="str">
        <f>"95129 BIG OAK AVE"</f>
        <v>95129 BIG OAK AVE</v>
      </c>
      <c r="J1545" t="str">
        <f t="shared" si="553"/>
        <v>FERNANDINA BEACH FL 32034</v>
      </c>
      <c r="K1545" t="str">
        <f>"BIG OAK AV"</f>
        <v>BIG OAK AV</v>
      </c>
      <c r="L1545" t="str">
        <f t="shared" si="538"/>
        <v>FERNANDINA BEACH FL 32034</v>
      </c>
      <c r="M1545" t="str">
        <f>"BLOCK 1 LOT 6 IN OR 879/1910 BIG OAK PB 5/357"</f>
        <v>BLOCK 1 LOT 6 IN OR 879/1910 BIG OAK PB 5/357</v>
      </c>
      <c r="N1545" t="str">
        <f>""</f>
        <v/>
      </c>
      <c r="O1545" t="str">
        <f>"40510"</f>
        <v>40510</v>
      </c>
      <c r="P1545" t="str">
        <f t="shared" si="548"/>
        <v>2017</v>
      </c>
      <c r="Q1545" t="str">
        <f>""</f>
        <v/>
      </c>
      <c r="R1545" t="str">
        <f>"N"</f>
        <v>N</v>
      </c>
      <c r="S1545" t="str">
        <f>""</f>
        <v/>
      </c>
      <c r="T1545" t="str">
        <f>"352.84"</f>
        <v>352.84</v>
      </c>
      <c r="U1545" t="str">
        <f>"22000.00"</f>
        <v>22000.00</v>
      </c>
      <c r="V1545" t="str">
        <f>"22000.00"</f>
        <v>22000.00</v>
      </c>
      <c r="W1545" t="str">
        <f t="shared" si="549"/>
        <v>2017</v>
      </c>
      <c r="X1545" t="str">
        <f>"7.17"</f>
        <v>7.17</v>
      </c>
      <c r="Y1545" t="str">
        <f>"395.43"</f>
        <v>395.43</v>
      </c>
      <c r="Z1545" t="str">
        <f>""</f>
        <v/>
      </c>
      <c r="AA1545" t="str">
        <f>"25000.00"</f>
        <v>25000.00</v>
      </c>
      <c r="AB1545" t="str">
        <f t="shared" si="550"/>
        <v>Residential</v>
      </c>
      <c r="AC1545" t="str">
        <f t="shared" si="523"/>
        <v>0</v>
      </c>
      <c r="AD1545" t="str">
        <f>""</f>
        <v/>
      </c>
      <c r="AE1545" t="str">
        <f>""</f>
        <v/>
      </c>
      <c r="AF1545" t="str">
        <f>"000"</f>
        <v>000</v>
      </c>
      <c r="AG1545" t="str">
        <f t="shared" si="551"/>
        <v>FL</v>
      </c>
      <c r="AH1545" t="str">
        <f t="shared" si="552"/>
        <v>-</v>
      </c>
      <c r="AI1545" t="str">
        <f>"25000.00"</f>
        <v>25000.00</v>
      </c>
      <c r="AJ1545" t="str">
        <f>"C55-000-587-6957-1"</f>
        <v>C55-000-587-6957-1</v>
      </c>
      <c r="AK1545" t="str">
        <f>"28233"</f>
        <v>28233</v>
      </c>
      <c r="AL1545">
        <v>6</v>
      </c>
      <c r="AM1545">
        <v>1772</v>
      </c>
      <c r="AN1545">
        <v>413.6</v>
      </c>
      <c r="AQ1545" t="s">
        <v>15628</v>
      </c>
      <c r="AR1545" t="s">
        <v>15628</v>
      </c>
      <c r="AS1545" t="s">
        <v>15628</v>
      </c>
      <c r="AU1545" t="s">
        <v>396</v>
      </c>
      <c r="AV1545">
        <v>2017</v>
      </c>
      <c r="AW1545" t="str">
        <f>"32-2N-28-0150-0001-0060 "</f>
        <v xml:space="preserve">32-2N-28-0150-0001-0060 </v>
      </c>
      <c r="AZ1545" t="s">
        <v>15617</v>
      </c>
      <c r="BA1545" t="s">
        <v>1122</v>
      </c>
      <c r="BD1545" t="s">
        <v>11749</v>
      </c>
      <c r="BE1545" t="s">
        <v>393</v>
      </c>
      <c r="BF1545">
        <v>32034</v>
      </c>
      <c r="BG1545" t="s">
        <v>15629</v>
      </c>
      <c r="BH1545" t="s">
        <v>11751</v>
      </c>
      <c r="BI1545">
        <v>-81.521471610279207</v>
      </c>
      <c r="BJ1545">
        <v>30.577863323564301</v>
      </c>
      <c r="BK1545" t="s">
        <v>15630</v>
      </c>
      <c r="BM1545" t="s">
        <v>15618</v>
      </c>
      <c r="BN1545" t="s">
        <v>3983</v>
      </c>
      <c r="BO1545">
        <v>32034</v>
      </c>
      <c r="BP1545" t="s">
        <v>404</v>
      </c>
      <c r="BQ1545">
        <v>0</v>
      </c>
      <c r="BR1545" t="s">
        <v>491</v>
      </c>
      <c r="BS1545">
        <v>8001</v>
      </c>
      <c r="BT1545" t="s">
        <v>492</v>
      </c>
      <c r="BW1545">
        <v>42762</v>
      </c>
      <c r="BX1545" t="s">
        <v>407</v>
      </c>
      <c r="BY1545" t="s">
        <v>408</v>
      </c>
      <c r="CD1545">
        <v>2017</v>
      </c>
      <c r="CE1545">
        <v>25000</v>
      </c>
      <c r="CG1545">
        <v>25000</v>
      </c>
      <c r="CH1545">
        <v>2017</v>
      </c>
      <c r="CI1545">
        <v>25000</v>
      </c>
      <c r="CK1545">
        <v>25000</v>
      </c>
      <c r="CL1545">
        <v>2017</v>
      </c>
      <c r="CM1545">
        <v>352.84</v>
      </c>
      <c r="CN1545" s="1">
        <v>36272</v>
      </c>
      <c r="CO1545">
        <v>18900</v>
      </c>
      <c r="CZ1545" s="1">
        <v>36272</v>
      </c>
      <c r="DD1545" t="s">
        <v>11749</v>
      </c>
      <c r="DF1545">
        <v>6</v>
      </c>
      <c r="DG1545">
        <v>32</v>
      </c>
      <c r="DJ1545" t="s">
        <v>15617</v>
      </c>
      <c r="DL1545">
        <v>50303</v>
      </c>
      <c r="DM1545" t="s">
        <v>15557</v>
      </c>
      <c r="DO1545" t="s">
        <v>15631</v>
      </c>
      <c r="DP1545">
        <v>0</v>
      </c>
      <c r="DQ1545">
        <v>0</v>
      </c>
      <c r="DR1545" t="s">
        <v>411</v>
      </c>
      <c r="DS1545" t="b">
        <v>1</v>
      </c>
      <c r="DT1545" t="s">
        <v>470</v>
      </c>
      <c r="DU1545" t="s">
        <v>471</v>
      </c>
      <c r="DV1545" t="s">
        <v>472</v>
      </c>
      <c r="DX1545">
        <v>-9999</v>
      </c>
      <c r="DZ1545" t="s">
        <v>447</v>
      </c>
      <c r="EA1545" t="s">
        <v>448</v>
      </c>
      <c r="EB1545" t="s">
        <v>742</v>
      </c>
      <c r="EC1545">
        <v>20101217</v>
      </c>
      <c r="ED1545" t="s">
        <v>474</v>
      </c>
      <c r="EF1545">
        <v>1310.7</v>
      </c>
      <c r="EG1545">
        <v>1163.5</v>
      </c>
      <c r="EI1545">
        <v>20160407</v>
      </c>
      <c r="EJ1545">
        <v>0</v>
      </c>
      <c r="EK1545">
        <v>0</v>
      </c>
      <c r="EP1545" t="s">
        <v>421</v>
      </c>
      <c r="EQ1545" t="s">
        <v>422</v>
      </c>
      <c r="ER1545">
        <v>0</v>
      </c>
      <c r="ES1545">
        <v>5</v>
      </c>
      <c r="ET1545">
        <v>0</v>
      </c>
      <c r="EU1545">
        <v>0</v>
      </c>
      <c r="EV1545">
        <v>0</v>
      </c>
      <c r="EW1545" s="2">
        <v>43222</v>
      </c>
      <c r="EX1545" s="1">
        <v>42515</v>
      </c>
      <c r="EY1545">
        <v>2015</v>
      </c>
      <c r="EZ1545">
        <v>362.11</v>
      </c>
      <c r="FA1545" t="s">
        <v>15632</v>
      </c>
      <c r="FB1545">
        <v>0.25</v>
      </c>
      <c r="FC1545" t="s">
        <v>424</v>
      </c>
      <c r="FD1545" t="s">
        <v>425</v>
      </c>
      <c r="FE1545" s="1">
        <v>42824</v>
      </c>
      <c r="FF1545">
        <v>10</v>
      </c>
      <c r="FG1545">
        <v>7336671</v>
      </c>
      <c r="FH1545" t="s">
        <v>437</v>
      </c>
      <c r="FJ1545" s="1">
        <v>42515</v>
      </c>
      <c r="FK1545">
        <v>2015</v>
      </c>
      <c r="FL1545">
        <v>362.11</v>
      </c>
      <c r="FM1545" t="s">
        <v>15632</v>
      </c>
      <c r="FN1545">
        <v>0.25</v>
      </c>
      <c r="FO1545" t="s">
        <v>424</v>
      </c>
      <c r="FP1545" t="s">
        <v>425</v>
      </c>
      <c r="FR1545">
        <v>22</v>
      </c>
      <c r="FS1545">
        <v>6925135</v>
      </c>
      <c r="FT1545" t="s">
        <v>15633</v>
      </c>
      <c r="FV1545" s="1">
        <v>42151</v>
      </c>
      <c r="FW1545">
        <v>2014</v>
      </c>
      <c r="FX1545">
        <v>363.83</v>
      </c>
      <c r="FY1545" t="s">
        <v>15634</v>
      </c>
      <c r="FZ1545">
        <v>0.25</v>
      </c>
      <c r="GA1545" t="s">
        <v>424</v>
      </c>
      <c r="GB1545" t="s">
        <v>425</v>
      </c>
      <c r="GC1545" s="1">
        <v>42166</v>
      </c>
      <c r="GD1545">
        <v>1</v>
      </c>
      <c r="GE1545">
        <v>13026</v>
      </c>
      <c r="GF1545" t="s">
        <v>2129</v>
      </c>
      <c r="GH1545" s="1">
        <v>42151</v>
      </c>
      <c r="GI1545">
        <v>2014</v>
      </c>
      <c r="GJ1545">
        <v>363.83</v>
      </c>
      <c r="GK1545" t="s">
        <v>15634</v>
      </c>
      <c r="GL1545">
        <v>0.25</v>
      </c>
      <c r="GM1545" t="s">
        <v>424</v>
      </c>
      <c r="GN1545" t="s">
        <v>425</v>
      </c>
      <c r="GP1545">
        <v>22</v>
      </c>
      <c r="GQ1545">
        <v>4699259</v>
      </c>
      <c r="GR1545" t="s">
        <v>15635</v>
      </c>
      <c r="GT1545" s="1">
        <v>41787</v>
      </c>
      <c r="GU1545">
        <v>2013</v>
      </c>
      <c r="GV1545">
        <v>345.56</v>
      </c>
      <c r="GW1545" t="s">
        <v>15636</v>
      </c>
      <c r="GX1545">
        <v>0.25</v>
      </c>
      <c r="GY1545" t="s">
        <v>424</v>
      </c>
      <c r="GZ1545" t="s">
        <v>425</v>
      </c>
      <c r="HA1545" s="1">
        <v>41822</v>
      </c>
      <c r="HB1545">
        <v>2</v>
      </c>
      <c r="HC1545">
        <v>13139</v>
      </c>
      <c r="HD1545" t="s">
        <v>955</v>
      </c>
    </row>
    <row r="1546" spans="1:308" x14ac:dyDescent="0.25">
      <c r="A1546">
        <v>16486553</v>
      </c>
      <c r="B1546">
        <v>1545</v>
      </c>
      <c r="C1546" t="s">
        <v>393</v>
      </c>
      <c r="D1546" t="s">
        <v>394</v>
      </c>
      <c r="F1546" t="str">
        <f>"32-2N-28-0150-0001-0150"</f>
        <v>32-2N-28-0150-0001-0150</v>
      </c>
      <c r="H1546" t="str">
        <f>"BEDELL HARRIET RUSHAWN"</f>
        <v>BEDELL HARRIET RUSHAWN</v>
      </c>
      <c r="I1546" t="str">
        <f>"95003 PETUNIA COURT"</f>
        <v>95003 PETUNIA COURT</v>
      </c>
      <c r="J1546" t="str">
        <f t="shared" si="553"/>
        <v>FERNANDINA BEACH FL 32034</v>
      </c>
      <c r="K1546" t="str">
        <f>"95027 PETUNIA CT"</f>
        <v>95027 PETUNIA CT</v>
      </c>
      <c r="L1546" t="str">
        <f t="shared" si="538"/>
        <v>FERNANDINA BEACH FL 32034</v>
      </c>
      <c r="M1546" t="str">
        <f>"BLOCK 1 LOT 15 R583983 OR 1549/1876 CASE 07-DR-1177 BIG OAK PB 5/357"</f>
        <v>BLOCK 1 LOT 15 R583983 OR 1549/1876 CASE 07-DR-1177 BIG OAK PB 5/357</v>
      </c>
      <c r="N1546" t="str">
        <f>""</f>
        <v/>
      </c>
      <c r="O1546" t="str">
        <f>"40519"</f>
        <v>40519</v>
      </c>
      <c r="P1546" t="str">
        <f t="shared" si="548"/>
        <v>2017</v>
      </c>
      <c r="Q1546" t="str">
        <f>""</f>
        <v/>
      </c>
      <c r="R1546" t="str">
        <f>"N"</f>
        <v>N</v>
      </c>
      <c r="S1546" t="str">
        <f>""</f>
        <v/>
      </c>
      <c r="T1546" t="str">
        <f>"481.78"</f>
        <v>481.78</v>
      </c>
      <c r="U1546" t="str">
        <f>"30298.00"</f>
        <v>30298.00</v>
      </c>
      <c r="V1546" t="str">
        <f>"30298.00"</f>
        <v>30298.00</v>
      </c>
      <c r="W1546" t="str">
        <f t="shared" si="549"/>
        <v>2017</v>
      </c>
      <c r="X1546" t="str">
        <f>"13.71"</f>
        <v>13.71</v>
      </c>
      <c r="Y1546" t="str">
        <f>"528.23"</f>
        <v>528.23</v>
      </c>
      <c r="Z1546" t="str">
        <f>""</f>
        <v/>
      </c>
      <c r="AA1546" t="str">
        <f>"33801.00"</f>
        <v>33801.00</v>
      </c>
      <c r="AB1546" t="str">
        <f t="shared" si="550"/>
        <v>Residential</v>
      </c>
      <c r="AC1546" t="str">
        <f t="shared" si="523"/>
        <v>0</v>
      </c>
      <c r="AD1546" t="str">
        <f>"4"</f>
        <v>4</v>
      </c>
      <c r="AE1546" t="str">
        <f>"WOOD (INCLUDE STEEL STUDS)"</f>
        <v>WOOD (INCLUDE STEEL STUDS)</v>
      </c>
      <c r="AF1546" t="str">
        <f>"002"</f>
        <v>002</v>
      </c>
      <c r="AG1546" t="str">
        <f t="shared" si="551"/>
        <v>FL</v>
      </c>
      <c r="AH1546" t="str">
        <f t="shared" si="552"/>
        <v>-</v>
      </c>
      <c r="AI1546" t="str">
        <f>"25000.00"</f>
        <v>25000.00</v>
      </c>
      <c r="AJ1546" t="str">
        <f>"C55-000-587-6966-2"</f>
        <v>C55-000-587-6966-2</v>
      </c>
      <c r="AK1546" t="str">
        <f>"28242"</f>
        <v>28242</v>
      </c>
      <c r="AL1546">
        <v>6</v>
      </c>
      <c r="AM1546">
        <v>1773</v>
      </c>
      <c r="AN1546">
        <v>553.04</v>
      </c>
      <c r="AQ1546" t="s">
        <v>15637</v>
      </c>
      <c r="AR1546" t="s">
        <v>15637</v>
      </c>
      <c r="AS1546" t="s">
        <v>15637</v>
      </c>
      <c r="AU1546" t="s">
        <v>396</v>
      </c>
      <c r="AV1546">
        <v>2017</v>
      </c>
      <c r="AW1546" t="str">
        <f>"32-2N-28-0150-0001-0150 "</f>
        <v xml:space="preserve">32-2N-28-0150-0001-0150 </v>
      </c>
      <c r="AX1546">
        <v>95027</v>
      </c>
      <c r="AZ1546" t="s">
        <v>15638</v>
      </c>
      <c r="BA1546" t="s">
        <v>3181</v>
      </c>
      <c r="BD1546" t="s">
        <v>11749</v>
      </c>
      <c r="BE1546" t="s">
        <v>393</v>
      </c>
      <c r="BF1546">
        <v>32034</v>
      </c>
      <c r="BG1546" t="s">
        <v>15639</v>
      </c>
      <c r="BH1546" t="s">
        <v>11751</v>
      </c>
      <c r="BI1546">
        <v>-81.523815289688002</v>
      </c>
      <c r="BJ1546">
        <v>30.5753585628179</v>
      </c>
      <c r="BK1546" t="s">
        <v>15640</v>
      </c>
      <c r="BM1546" t="s">
        <v>15641</v>
      </c>
      <c r="BN1546" t="s">
        <v>3983</v>
      </c>
      <c r="BO1546">
        <v>32034</v>
      </c>
      <c r="BP1546" t="s">
        <v>404</v>
      </c>
      <c r="BQ1546">
        <v>200</v>
      </c>
      <c r="BR1546" t="s">
        <v>405</v>
      </c>
      <c r="BS1546">
        <v>1006</v>
      </c>
      <c r="BT1546" t="s">
        <v>406</v>
      </c>
      <c r="BW1546">
        <v>44684</v>
      </c>
      <c r="BX1546" t="s">
        <v>407</v>
      </c>
      <c r="BY1546" t="s">
        <v>408</v>
      </c>
      <c r="BZ1546">
        <v>4</v>
      </c>
      <c r="CA1546">
        <v>1987</v>
      </c>
      <c r="CB1546">
        <v>1</v>
      </c>
      <c r="CC1546">
        <v>1</v>
      </c>
      <c r="CD1546">
        <v>2017</v>
      </c>
      <c r="CE1546">
        <v>25000</v>
      </c>
      <c r="CF1546">
        <v>8801</v>
      </c>
      <c r="CG1546">
        <v>33801</v>
      </c>
      <c r="CH1546">
        <v>2017</v>
      </c>
      <c r="CI1546">
        <v>25000</v>
      </c>
      <c r="CJ1546">
        <v>8801</v>
      </c>
      <c r="CK1546">
        <v>33801</v>
      </c>
      <c r="CL1546">
        <v>2017</v>
      </c>
      <c r="CM1546">
        <v>481.78</v>
      </c>
      <c r="CN1546" s="1">
        <v>34729</v>
      </c>
      <c r="CO1546">
        <v>15900</v>
      </c>
      <c r="CZ1546" s="1">
        <v>34729</v>
      </c>
      <c r="DD1546" t="s">
        <v>11749</v>
      </c>
      <c r="DG1546">
        <v>32</v>
      </c>
      <c r="DJ1546" t="s">
        <v>15617</v>
      </c>
      <c r="DL1546">
        <v>50303</v>
      </c>
      <c r="DM1546" t="s">
        <v>15557</v>
      </c>
      <c r="DO1546" t="s">
        <v>15642</v>
      </c>
      <c r="DP1546">
        <v>0</v>
      </c>
      <c r="DQ1546">
        <v>0</v>
      </c>
      <c r="DR1546" t="s">
        <v>411</v>
      </c>
      <c r="DS1546" t="b">
        <v>1</v>
      </c>
      <c r="DT1546" t="s">
        <v>470</v>
      </c>
      <c r="DU1546" t="s">
        <v>471</v>
      </c>
      <c r="DV1546" t="s">
        <v>472</v>
      </c>
      <c r="DX1546">
        <v>-9999</v>
      </c>
      <c r="DZ1546" t="s">
        <v>447</v>
      </c>
      <c r="EA1546" t="s">
        <v>448</v>
      </c>
      <c r="EB1546" t="s">
        <v>742</v>
      </c>
      <c r="EC1546">
        <v>20101217</v>
      </c>
      <c r="ED1546" t="s">
        <v>474</v>
      </c>
      <c r="EF1546">
        <v>267</v>
      </c>
      <c r="EG1546">
        <v>128.19999999999999</v>
      </c>
      <c r="EI1546">
        <v>20160407</v>
      </c>
      <c r="EJ1546">
        <v>0</v>
      </c>
      <c r="EK1546">
        <v>0</v>
      </c>
      <c r="EP1546" t="s">
        <v>421</v>
      </c>
      <c r="EQ1546" t="s">
        <v>422</v>
      </c>
      <c r="ER1546">
        <v>1</v>
      </c>
      <c r="ES1546">
        <v>5</v>
      </c>
      <c r="ET1546">
        <v>487.47</v>
      </c>
      <c r="EU1546">
        <v>30.62</v>
      </c>
      <c r="EV1546">
        <v>518.09</v>
      </c>
      <c r="EW1546" s="2">
        <v>43222</v>
      </c>
      <c r="EX1546" s="1">
        <v>42879</v>
      </c>
      <c r="EY1546">
        <v>2016</v>
      </c>
      <c r="EZ1546">
        <v>487.47</v>
      </c>
      <c r="FA1546" t="s">
        <v>15643</v>
      </c>
      <c r="FB1546">
        <v>0.25</v>
      </c>
      <c r="FC1546" t="s">
        <v>424</v>
      </c>
      <c r="FD1546" t="s">
        <v>454</v>
      </c>
      <c r="FF1546">
        <v>12</v>
      </c>
      <c r="FG1546">
        <v>305</v>
      </c>
      <c r="FH1546" t="s">
        <v>1078</v>
      </c>
      <c r="FJ1546" s="1">
        <v>42515</v>
      </c>
      <c r="FK1546">
        <v>2015</v>
      </c>
      <c r="FL1546">
        <v>538.35</v>
      </c>
      <c r="FM1546" t="s">
        <v>15644</v>
      </c>
      <c r="FN1546">
        <v>15</v>
      </c>
      <c r="FO1546" t="s">
        <v>424</v>
      </c>
      <c r="FP1546" t="s">
        <v>425</v>
      </c>
      <c r="FQ1546" s="1">
        <v>43207</v>
      </c>
      <c r="FR1546">
        <v>23</v>
      </c>
      <c r="FS1546">
        <v>10628</v>
      </c>
      <c r="FT1546" t="s">
        <v>943</v>
      </c>
      <c r="FV1546" s="1">
        <v>42151</v>
      </c>
      <c r="FW1546">
        <v>2014</v>
      </c>
      <c r="FX1546">
        <v>482.23</v>
      </c>
      <c r="FY1546" t="s">
        <v>15645</v>
      </c>
      <c r="FZ1546">
        <v>4.75</v>
      </c>
      <c r="GA1546" t="s">
        <v>424</v>
      </c>
      <c r="GB1546" t="s">
        <v>425</v>
      </c>
      <c r="GC1546" s="1">
        <v>42788</v>
      </c>
      <c r="GD1546">
        <v>21</v>
      </c>
      <c r="GE1546">
        <v>4975593</v>
      </c>
      <c r="GF1546" t="s">
        <v>505</v>
      </c>
      <c r="GH1546" s="1">
        <v>41787</v>
      </c>
      <c r="GI1546">
        <v>2013</v>
      </c>
      <c r="GJ1546">
        <v>562.95000000000005</v>
      </c>
      <c r="GK1546" t="s">
        <v>15646</v>
      </c>
      <c r="GL1546">
        <v>0.25</v>
      </c>
      <c r="GM1546" t="s">
        <v>424</v>
      </c>
      <c r="GN1546" t="s">
        <v>425</v>
      </c>
      <c r="GO1546" s="1">
        <v>42429</v>
      </c>
      <c r="GP1546">
        <v>21</v>
      </c>
      <c r="GQ1546">
        <v>13026</v>
      </c>
      <c r="GR1546" t="s">
        <v>2129</v>
      </c>
      <c r="GT1546" s="1">
        <v>41052</v>
      </c>
      <c r="GU1546">
        <v>2011</v>
      </c>
      <c r="GV1546">
        <v>770.56</v>
      </c>
      <c r="GW1546" t="s">
        <v>15647</v>
      </c>
      <c r="GX1546">
        <v>5.75</v>
      </c>
      <c r="GY1546" t="s">
        <v>424</v>
      </c>
      <c r="GZ1546" t="s">
        <v>425</v>
      </c>
      <c r="HA1546" s="1">
        <v>41341</v>
      </c>
      <c r="HB1546">
        <v>10</v>
      </c>
      <c r="HC1546">
        <v>10579</v>
      </c>
      <c r="HD1546" t="s">
        <v>488</v>
      </c>
      <c r="HF1546" s="1">
        <v>40688</v>
      </c>
      <c r="HG1546">
        <v>2010</v>
      </c>
      <c r="HH1546">
        <v>740.85</v>
      </c>
      <c r="HI1546" t="s">
        <v>15648</v>
      </c>
      <c r="HJ1546">
        <v>6</v>
      </c>
      <c r="HK1546" t="s">
        <v>424</v>
      </c>
      <c r="HL1546" t="s">
        <v>425</v>
      </c>
      <c r="HM1546" s="1">
        <v>40812</v>
      </c>
      <c r="HN1546">
        <v>4</v>
      </c>
      <c r="HO1546">
        <v>375</v>
      </c>
      <c r="HP1546" t="s">
        <v>776</v>
      </c>
    </row>
    <row r="1547" spans="1:308" x14ac:dyDescent="0.25">
      <c r="A1547">
        <v>16486554</v>
      </c>
      <c r="B1547">
        <v>1546</v>
      </c>
      <c r="C1547" t="s">
        <v>393</v>
      </c>
      <c r="D1547" t="s">
        <v>394</v>
      </c>
      <c r="F1547" t="str">
        <f>"32-2N-28-0150-0001-0160"</f>
        <v>32-2N-28-0150-0001-0160</v>
      </c>
      <c r="H1547" t="str">
        <f>"BEDELL HARRIET RUSHAWN"</f>
        <v>BEDELL HARRIET RUSHAWN</v>
      </c>
      <c r="I1547" t="str">
        <f>"95003 PETUNIA CT"</f>
        <v>95003 PETUNIA CT</v>
      </c>
      <c r="J1547" t="str">
        <f t="shared" si="553"/>
        <v>FERNANDINA BEACH FL 32034</v>
      </c>
      <c r="K1547" t="str">
        <f>"95003 PETUNIA CT"</f>
        <v>95003 PETUNIA CT</v>
      </c>
      <c r="L1547" t="str">
        <f t="shared" si="538"/>
        <v>FERNANDINA BEACH FL 32034</v>
      </c>
      <c r="M1547" t="str">
        <f>"BLOCK 1 LOT 16 OR 679/1440 &amp; CASE 07-DR 1177 R673461 &amp; R673462 BIG OAK PB 5/357"</f>
        <v>BLOCK 1 LOT 16 OR 679/1440 &amp; CASE 07-DR 1177 R673461 &amp; R673462 BIG OAK PB 5/357</v>
      </c>
      <c r="N1547" t="str">
        <f>""</f>
        <v/>
      </c>
      <c r="O1547" t="str">
        <f>"40520"</f>
        <v>40520</v>
      </c>
      <c r="P1547" t="str">
        <f t="shared" si="548"/>
        <v>2017</v>
      </c>
      <c r="Q1547" t="str">
        <f>""</f>
        <v/>
      </c>
      <c r="R1547" t="str">
        <f>"N"</f>
        <v>N</v>
      </c>
      <c r="S1547" t="str">
        <f>""</f>
        <v/>
      </c>
      <c r="T1547" t="str">
        <f>"1020.23"</f>
        <v>1020.23</v>
      </c>
      <c r="U1547" t="str">
        <f>"58554.00"</f>
        <v>58554.00</v>
      </c>
      <c r="V1547" t="str">
        <f>"58554.00"</f>
        <v>58554.00</v>
      </c>
      <c r="W1547" t="str">
        <f t="shared" si="549"/>
        <v>2017</v>
      </c>
      <c r="X1547" t="str">
        <f>"10.44"</f>
        <v>10.44</v>
      </c>
      <c r="Y1547" t="str">
        <f>"1082.84"</f>
        <v>1082.84</v>
      </c>
      <c r="Z1547" t="str">
        <f>""</f>
        <v/>
      </c>
      <c r="AA1547" t="str">
        <f>"78833.00"</f>
        <v>78833.00</v>
      </c>
      <c r="AB1547" t="str">
        <f t="shared" si="550"/>
        <v>Residential</v>
      </c>
      <c r="AC1547" t="str">
        <f t="shared" si="523"/>
        <v>0</v>
      </c>
      <c r="AD1547" t="str">
        <f>"4"</f>
        <v>4</v>
      </c>
      <c r="AE1547" t="str">
        <f>"WOOD (INCLUDE STEEL STUDS)"</f>
        <v>WOOD (INCLUDE STEEL STUDS)</v>
      </c>
      <c r="AF1547" t="str">
        <f>"002"</f>
        <v>002</v>
      </c>
      <c r="AG1547" t="str">
        <f t="shared" si="551"/>
        <v>FL</v>
      </c>
      <c r="AH1547" t="str">
        <f t="shared" si="552"/>
        <v>-</v>
      </c>
      <c r="AI1547" t="str">
        <f>"25000.00"</f>
        <v>25000.00</v>
      </c>
      <c r="AJ1547" t="str">
        <f>"C55-000-587-6967-0"</f>
        <v>C55-000-587-6967-0</v>
      </c>
      <c r="AK1547" t="str">
        <f>"28243"</f>
        <v>28243</v>
      </c>
      <c r="AL1547">
        <v>6</v>
      </c>
      <c r="AM1547">
        <v>1774</v>
      </c>
      <c r="AN1547">
        <v>1135.3800000000001</v>
      </c>
      <c r="AQ1547" t="s">
        <v>15649</v>
      </c>
      <c r="AR1547" t="s">
        <v>15649</v>
      </c>
      <c r="AS1547" t="s">
        <v>15649</v>
      </c>
      <c r="AU1547" t="s">
        <v>396</v>
      </c>
      <c r="AV1547">
        <v>2017</v>
      </c>
      <c r="AW1547" t="str">
        <f>"32-2N-28-0150-0001-0160 "</f>
        <v xml:space="preserve">32-2N-28-0150-0001-0160 </v>
      </c>
      <c r="AX1547">
        <v>95003</v>
      </c>
      <c r="AZ1547" t="s">
        <v>15638</v>
      </c>
      <c r="BA1547" t="s">
        <v>3181</v>
      </c>
      <c r="BD1547" t="s">
        <v>11749</v>
      </c>
      <c r="BE1547" t="s">
        <v>393</v>
      </c>
      <c r="BF1547">
        <v>32034</v>
      </c>
      <c r="BG1547" t="s">
        <v>15641</v>
      </c>
      <c r="BH1547" t="s">
        <v>11751</v>
      </c>
      <c r="BI1547">
        <v>-81.523862498746198</v>
      </c>
      <c r="BJ1547">
        <v>30.574910076761199</v>
      </c>
      <c r="BK1547" t="s">
        <v>15640</v>
      </c>
      <c r="BM1547" t="s">
        <v>15641</v>
      </c>
      <c r="BN1547" t="s">
        <v>3983</v>
      </c>
      <c r="BO1547">
        <v>32034</v>
      </c>
      <c r="BP1547" t="s">
        <v>416</v>
      </c>
      <c r="BQ1547">
        <v>200</v>
      </c>
      <c r="BR1547" t="s">
        <v>405</v>
      </c>
      <c r="BS1547">
        <v>1006</v>
      </c>
      <c r="BT1547" t="s">
        <v>406</v>
      </c>
      <c r="BW1547">
        <v>44187</v>
      </c>
      <c r="BX1547" t="s">
        <v>407</v>
      </c>
      <c r="BY1547" t="s">
        <v>408</v>
      </c>
      <c r="BZ1547">
        <v>4</v>
      </c>
      <c r="CA1547">
        <v>1996</v>
      </c>
      <c r="CB1547">
        <v>1</v>
      </c>
      <c r="CC1547">
        <v>1</v>
      </c>
      <c r="CD1547">
        <v>2017</v>
      </c>
      <c r="CE1547">
        <v>25000</v>
      </c>
      <c r="CF1547">
        <v>53833</v>
      </c>
      <c r="CG1547">
        <v>78833</v>
      </c>
      <c r="CH1547">
        <v>2017</v>
      </c>
      <c r="CI1547">
        <v>25000</v>
      </c>
      <c r="CJ1547">
        <v>53833</v>
      </c>
      <c r="CK1547">
        <v>78833</v>
      </c>
      <c r="CL1547">
        <v>2017</v>
      </c>
      <c r="CM1547">
        <v>1020.23</v>
      </c>
      <c r="CN1547" s="1">
        <v>34086</v>
      </c>
      <c r="CO1547">
        <v>15900</v>
      </c>
      <c r="CZ1547" s="1">
        <v>34086</v>
      </c>
      <c r="DD1547" t="s">
        <v>11749</v>
      </c>
      <c r="DF1547">
        <v>16</v>
      </c>
      <c r="DG1547">
        <v>32</v>
      </c>
      <c r="DL1547">
        <v>50303</v>
      </c>
      <c r="DM1547" t="s">
        <v>15557</v>
      </c>
      <c r="DO1547" t="s">
        <v>15650</v>
      </c>
      <c r="DP1547">
        <v>0</v>
      </c>
      <c r="DQ1547">
        <v>0</v>
      </c>
      <c r="DR1547" t="s">
        <v>411</v>
      </c>
      <c r="DS1547" t="b">
        <v>1</v>
      </c>
      <c r="DT1547" t="s">
        <v>470</v>
      </c>
      <c r="DU1547" t="s">
        <v>471</v>
      </c>
      <c r="DV1547" t="s">
        <v>472</v>
      </c>
      <c r="DX1547">
        <v>-9999</v>
      </c>
      <c r="DZ1547" t="s">
        <v>447</v>
      </c>
      <c r="EA1547" t="s">
        <v>448</v>
      </c>
      <c r="EB1547" t="s">
        <v>742</v>
      </c>
      <c r="EC1547">
        <v>20101217</v>
      </c>
      <c r="ED1547" t="s">
        <v>474</v>
      </c>
      <c r="EF1547">
        <v>220.2</v>
      </c>
      <c r="EG1547">
        <v>168.8</v>
      </c>
      <c r="EI1547">
        <v>20160407</v>
      </c>
      <c r="EJ1547">
        <v>0</v>
      </c>
      <c r="EK1547">
        <v>0</v>
      </c>
      <c r="EP1547" t="s">
        <v>421</v>
      </c>
      <c r="EQ1547" t="s">
        <v>422</v>
      </c>
      <c r="ER1547">
        <v>0</v>
      </c>
      <c r="ES1547">
        <v>10</v>
      </c>
      <c r="ET1547">
        <v>0</v>
      </c>
      <c r="EU1547">
        <v>0</v>
      </c>
      <c r="EV1547">
        <v>0</v>
      </c>
      <c r="EW1547" s="2">
        <v>43222</v>
      </c>
      <c r="EX1547" s="1">
        <v>42879</v>
      </c>
      <c r="EY1547">
        <v>2016</v>
      </c>
      <c r="EZ1547">
        <v>934.96</v>
      </c>
      <c r="FA1547" t="s">
        <v>15651</v>
      </c>
      <c r="FB1547">
        <v>0.25</v>
      </c>
      <c r="FC1547" t="s">
        <v>424</v>
      </c>
      <c r="FD1547" t="s">
        <v>425</v>
      </c>
      <c r="FE1547" s="1">
        <v>43207</v>
      </c>
      <c r="FF1547">
        <v>11</v>
      </c>
      <c r="FG1547">
        <v>7336671</v>
      </c>
      <c r="FH1547" t="s">
        <v>437</v>
      </c>
      <c r="FJ1547" s="1">
        <v>42879</v>
      </c>
      <c r="FK1547">
        <v>2016</v>
      </c>
      <c r="FL1547">
        <v>934.96</v>
      </c>
      <c r="FM1547" t="s">
        <v>15651</v>
      </c>
      <c r="FN1547">
        <v>0.25</v>
      </c>
      <c r="FO1547" t="s">
        <v>424</v>
      </c>
      <c r="FP1547" t="s">
        <v>425</v>
      </c>
      <c r="FR1547">
        <v>22</v>
      </c>
      <c r="FS1547">
        <v>6894660</v>
      </c>
      <c r="FT1547" t="s">
        <v>15652</v>
      </c>
      <c r="FV1547" s="1">
        <v>42515</v>
      </c>
      <c r="FW1547">
        <v>2015</v>
      </c>
      <c r="FX1547">
        <v>1016.32</v>
      </c>
      <c r="FY1547" t="s">
        <v>15653</v>
      </c>
      <c r="FZ1547">
        <v>0.25</v>
      </c>
      <c r="GA1547" t="s">
        <v>424</v>
      </c>
      <c r="GB1547" t="s">
        <v>425</v>
      </c>
      <c r="GC1547" s="1">
        <v>42830</v>
      </c>
      <c r="GD1547">
        <v>11</v>
      </c>
      <c r="GE1547">
        <v>11289</v>
      </c>
      <c r="GF1547" t="s">
        <v>787</v>
      </c>
      <c r="GH1547" s="1">
        <v>42515</v>
      </c>
      <c r="GI1547">
        <v>2015</v>
      </c>
      <c r="GJ1547">
        <v>1016.32</v>
      </c>
      <c r="GK1547" t="s">
        <v>15653</v>
      </c>
      <c r="GL1547">
        <v>0.25</v>
      </c>
      <c r="GM1547" t="s">
        <v>424</v>
      </c>
      <c r="GN1547" t="s">
        <v>425</v>
      </c>
      <c r="GP1547">
        <v>22</v>
      </c>
      <c r="GQ1547">
        <v>5161640</v>
      </c>
      <c r="GR1547" t="s">
        <v>15654</v>
      </c>
      <c r="GT1547" s="1">
        <v>42151</v>
      </c>
      <c r="GU1547">
        <v>2014</v>
      </c>
      <c r="GV1547">
        <v>495.36</v>
      </c>
      <c r="GW1547" t="s">
        <v>15655</v>
      </c>
      <c r="GX1547">
        <v>0.25</v>
      </c>
      <c r="GY1547" t="s">
        <v>424</v>
      </c>
      <c r="GZ1547" t="s">
        <v>425</v>
      </c>
      <c r="HA1547" s="1">
        <v>42425</v>
      </c>
      <c r="HB1547">
        <v>9</v>
      </c>
      <c r="HC1547">
        <v>2101382</v>
      </c>
      <c r="HD1547" t="s">
        <v>993</v>
      </c>
      <c r="HF1547" s="1">
        <v>42151</v>
      </c>
      <c r="HG1547">
        <v>2014</v>
      </c>
      <c r="HH1547">
        <v>495.36</v>
      </c>
      <c r="HI1547" t="s">
        <v>15655</v>
      </c>
      <c r="HJ1547">
        <v>0.25</v>
      </c>
      <c r="HK1547" t="s">
        <v>424</v>
      </c>
      <c r="HL1547" t="s">
        <v>425</v>
      </c>
      <c r="HN1547">
        <v>22</v>
      </c>
      <c r="HO1547">
        <v>5621575</v>
      </c>
      <c r="HP1547" t="s">
        <v>15656</v>
      </c>
      <c r="HR1547" s="1">
        <v>41787</v>
      </c>
      <c r="HS1547">
        <v>2013</v>
      </c>
      <c r="HT1547">
        <v>544.38</v>
      </c>
      <c r="HU1547" t="s">
        <v>15657</v>
      </c>
      <c r="HV1547">
        <v>0.25</v>
      </c>
      <c r="HW1547" t="s">
        <v>424</v>
      </c>
      <c r="HX1547" t="s">
        <v>425</v>
      </c>
      <c r="HY1547" s="1">
        <v>42065</v>
      </c>
      <c r="HZ1547">
        <v>10</v>
      </c>
      <c r="IA1547">
        <v>2407503</v>
      </c>
      <c r="IB1547" t="s">
        <v>461</v>
      </c>
      <c r="ID1547" s="1">
        <v>41423</v>
      </c>
      <c r="IE1547">
        <v>2012</v>
      </c>
      <c r="IF1547">
        <v>576.9</v>
      </c>
      <c r="IG1547" t="s">
        <v>15658</v>
      </c>
      <c r="IH1547">
        <v>2.75</v>
      </c>
      <c r="II1547" t="s">
        <v>424</v>
      </c>
      <c r="IJ1547" t="s">
        <v>425</v>
      </c>
      <c r="IK1547" s="1">
        <v>41806</v>
      </c>
      <c r="IL1547">
        <v>13</v>
      </c>
      <c r="IM1547">
        <v>15399</v>
      </c>
      <c r="IN1547" t="s">
        <v>485</v>
      </c>
      <c r="IP1547" s="1">
        <v>41052</v>
      </c>
      <c r="IQ1547">
        <v>2011</v>
      </c>
      <c r="IR1547">
        <v>651.99</v>
      </c>
      <c r="IS1547" t="s">
        <v>15659</v>
      </c>
      <c r="IT1547">
        <v>5.75</v>
      </c>
      <c r="IU1547" t="s">
        <v>424</v>
      </c>
      <c r="IV1547" t="s">
        <v>425</v>
      </c>
      <c r="IW1547" s="1">
        <v>41341</v>
      </c>
      <c r="IX1547">
        <v>10</v>
      </c>
      <c r="IY1547">
        <v>12407</v>
      </c>
      <c r="IZ1547" t="s">
        <v>838</v>
      </c>
      <c r="JB1547" s="1">
        <v>40688</v>
      </c>
      <c r="JC1547">
        <v>2010</v>
      </c>
      <c r="JD1547">
        <v>638.79999999999995</v>
      </c>
      <c r="JE1547" t="s">
        <v>15660</v>
      </c>
      <c r="JF1547">
        <v>6</v>
      </c>
      <c r="JG1547" t="s">
        <v>424</v>
      </c>
      <c r="JH1547" t="s">
        <v>425</v>
      </c>
      <c r="JI1547" s="1">
        <v>40812</v>
      </c>
      <c r="JJ1547">
        <v>4</v>
      </c>
      <c r="JK1547">
        <v>105</v>
      </c>
      <c r="JL1547" t="s">
        <v>946</v>
      </c>
    </row>
    <row r="1548" spans="1:308" x14ac:dyDescent="0.25">
      <c r="A1548">
        <v>16486555</v>
      </c>
      <c r="B1548">
        <v>1547</v>
      </c>
      <c r="C1548" t="s">
        <v>393</v>
      </c>
      <c r="D1548" t="s">
        <v>394</v>
      </c>
      <c r="F1548" t="str">
        <f>"32-2N-28-0150-0002-0030"</f>
        <v>32-2N-28-0150-0002-0030</v>
      </c>
      <c r="H1548" t="str">
        <f>"KRUPAR MICHAEL A JR &amp; KATRINA"</f>
        <v>KRUPAR MICHAEL A JR &amp; KATRINA</v>
      </c>
      <c r="I1548" t="str">
        <f>"95184 BIG OAK AVE"</f>
        <v>95184 BIG OAK AVE</v>
      </c>
      <c r="J1548" t="str">
        <f t="shared" si="553"/>
        <v>FERNANDINA BEACH FL 32034</v>
      </c>
      <c r="K1548" t="str">
        <f>"95184 BIG OAK AVE"</f>
        <v>95184 BIG OAK AVE</v>
      </c>
      <c r="L1548" t="str">
        <f t="shared" ref="L1548:L1579" si="554">"FERNANDINA BEACH FL 32034"</f>
        <v>FERNANDINA BEACH FL 32034</v>
      </c>
      <c r="M1548" t="str">
        <f>"BLOCK 2 LOT 3 IN OR 709 PG 453 R672473 &amp; R672474 BIG OAK PB 5/357"</f>
        <v>BLOCK 2 LOT 3 IN OR 709 PG 453 R672473 &amp; R672474 BIG OAK PB 5/357</v>
      </c>
      <c r="N1548" t="str">
        <f>""</f>
        <v/>
      </c>
      <c r="O1548" t="str">
        <f>"40531"</f>
        <v>40531</v>
      </c>
      <c r="P1548" t="str">
        <f t="shared" si="548"/>
        <v>2017</v>
      </c>
      <c r="Q1548" t="str">
        <f>""</f>
        <v/>
      </c>
      <c r="R1548" t="str">
        <f>"Y"</f>
        <v>Y</v>
      </c>
      <c r="S1548" t="str">
        <f>""</f>
        <v/>
      </c>
      <c r="T1548" t="str">
        <f>"506.39"</f>
        <v>506.39</v>
      </c>
      <c r="U1548" t="str">
        <f>"69386.00"</f>
        <v>69386.00</v>
      </c>
      <c r="V1548" t="str">
        <f>"69386.00"</f>
        <v>69386.00</v>
      </c>
      <c r="W1548" t="str">
        <f t="shared" si="549"/>
        <v>2017</v>
      </c>
      <c r="X1548" t="str">
        <f>"16.14"</f>
        <v>16.14</v>
      </c>
      <c r="Y1548" t="str">
        <f>"553.58"</f>
        <v>553.58</v>
      </c>
      <c r="Z1548" t="str">
        <f>"25000.00"</f>
        <v>25000.00</v>
      </c>
      <c r="AA1548" t="str">
        <f>"44386.00"</f>
        <v>44386.00</v>
      </c>
      <c r="AB1548" t="str">
        <f t="shared" si="550"/>
        <v>Residential</v>
      </c>
      <c r="AC1548" t="str">
        <f t="shared" si="523"/>
        <v>0</v>
      </c>
      <c r="AD1548" t="str">
        <f>"4"</f>
        <v>4</v>
      </c>
      <c r="AE1548" t="str">
        <f>"WOOD (INCLUDE STEEL STUDS)"</f>
        <v>WOOD (INCLUDE STEEL STUDS)</v>
      </c>
      <c r="AF1548" t="str">
        <f>"002"</f>
        <v>002</v>
      </c>
      <c r="AG1548" t="str">
        <f t="shared" si="551"/>
        <v>FL</v>
      </c>
      <c r="AH1548" t="str">
        <f t="shared" si="552"/>
        <v>-</v>
      </c>
      <c r="AI1548" t="str">
        <f>"25000.00"</f>
        <v>25000.00</v>
      </c>
      <c r="AJ1548" t="str">
        <f>"C55-000-587-6980-3"</f>
        <v>C55-000-587-6980-3</v>
      </c>
      <c r="AK1548" t="str">
        <f>"28254"</f>
        <v>28254</v>
      </c>
      <c r="AL1548">
        <v>6</v>
      </c>
      <c r="AM1548">
        <v>1775</v>
      </c>
      <c r="AN1548">
        <v>579.66</v>
      </c>
      <c r="AQ1548" t="s">
        <v>15661</v>
      </c>
      <c r="AR1548" t="s">
        <v>15661</v>
      </c>
      <c r="AS1548" t="s">
        <v>15661</v>
      </c>
      <c r="AU1548" t="s">
        <v>396</v>
      </c>
      <c r="AV1548">
        <v>2017</v>
      </c>
      <c r="AW1548" t="str">
        <f>"32-2N-28-0150-0002-0030 "</f>
        <v xml:space="preserve">32-2N-28-0150-0002-0030 </v>
      </c>
      <c r="AX1548">
        <v>95184</v>
      </c>
      <c r="AZ1548" t="s">
        <v>15617</v>
      </c>
      <c r="BA1548" t="s">
        <v>1112</v>
      </c>
      <c r="BD1548" t="s">
        <v>11749</v>
      </c>
      <c r="BE1548" t="s">
        <v>393</v>
      </c>
      <c r="BF1548">
        <v>32034</v>
      </c>
      <c r="BG1548" t="s">
        <v>15662</v>
      </c>
      <c r="BH1548" t="s">
        <v>11751</v>
      </c>
      <c r="BI1548">
        <v>-81.520140662062204</v>
      </c>
      <c r="BJ1548">
        <v>30.576831571304499</v>
      </c>
      <c r="BK1548" t="s">
        <v>15663</v>
      </c>
      <c r="BL1548" t="s">
        <v>15664</v>
      </c>
      <c r="BM1548" t="s">
        <v>15662</v>
      </c>
      <c r="BN1548" t="s">
        <v>3983</v>
      </c>
      <c r="BO1548">
        <v>32034</v>
      </c>
      <c r="BP1548" t="s">
        <v>416</v>
      </c>
      <c r="BQ1548">
        <v>200</v>
      </c>
      <c r="BR1548" t="s">
        <v>405</v>
      </c>
      <c r="BS1548">
        <v>1006</v>
      </c>
      <c r="BT1548" t="s">
        <v>406</v>
      </c>
      <c r="BW1548">
        <v>44595</v>
      </c>
      <c r="BX1548" t="s">
        <v>407</v>
      </c>
      <c r="BY1548" t="s">
        <v>408</v>
      </c>
      <c r="BZ1548">
        <v>4</v>
      </c>
      <c r="CA1548">
        <v>1997</v>
      </c>
      <c r="CB1548">
        <v>1</v>
      </c>
      <c r="CC1548">
        <v>1</v>
      </c>
      <c r="CD1548">
        <v>2017</v>
      </c>
      <c r="CG1548">
        <v>69386</v>
      </c>
      <c r="CH1548">
        <v>2017</v>
      </c>
      <c r="CI1548">
        <v>25000</v>
      </c>
      <c r="CJ1548">
        <v>65122</v>
      </c>
      <c r="CK1548">
        <v>90122</v>
      </c>
      <c r="CL1548">
        <v>2017</v>
      </c>
      <c r="CM1548">
        <v>506.39</v>
      </c>
      <c r="CN1548" s="1">
        <v>34530</v>
      </c>
      <c r="CO1548">
        <v>16500</v>
      </c>
      <c r="CZ1548" s="1">
        <v>34530</v>
      </c>
      <c r="DD1548" t="s">
        <v>11749</v>
      </c>
      <c r="DF1548">
        <v>3</v>
      </c>
      <c r="DG1548">
        <v>32</v>
      </c>
      <c r="DL1548">
        <v>50303</v>
      </c>
      <c r="DM1548" t="s">
        <v>15557</v>
      </c>
      <c r="DO1548" t="s">
        <v>15665</v>
      </c>
      <c r="DP1548">
        <v>0</v>
      </c>
      <c r="DQ1548">
        <v>5</v>
      </c>
      <c r="DR1548" t="s">
        <v>1479</v>
      </c>
      <c r="DS1548" t="b">
        <v>1</v>
      </c>
      <c r="DT1548" t="s">
        <v>470</v>
      </c>
      <c r="DU1548" t="s">
        <v>471</v>
      </c>
      <c r="DV1548" t="s">
        <v>472</v>
      </c>
      <c r="DX1548">
        <v>-9999</v>
      </c>
      <c r="DZ1548" t="s">
        <v>447</v>
      </c>
      <c r="EA1548" t="s">
        <v>448</v>
      </c>
      <c r="EB1548" t="s">
        <v>742</v>
      </c>
      <c r="EC1548">
        <v>20101217</v>
      </c>
      <c r="ED1548" t="s">
        <v>474</v>
      </c>
      <c r="EF1548">
        <v>1496.2</v>
      </c>
      <c r="EG1548">
        <v>1202.7</v>
      </c>
      <c r="EI1548">
        <v>20160407</v>
      </c>
      <c r="EJ1548">
        <v>0</v>
      </c>
      <c r="EK1548">
        <v>0</v>
      </c>
      <c r="EP1548" t="s">
        <v>421</v>
      </c>
      <c r="EQ1548" t="s">
        <v>422</v>
      </c>
      <c r="ER1548">
        <v>0</v>
      </c>
      <c r="ES1548">
        <v>7</v>
      </c>
      <c r="ET1548">
        <v>0</v>
      </c>
      <c r="EU1548">
        <v>0</v>
      </c>
      <c r="EV1548">
        <v>0</v>
      </c>
      <c r="EW1548" s="2">
        <v>43222</v>
      </c>
      <c r="EX1548" s="1">
        <v>42515</v>
      </c>
      <c r="EY1548">
        <v>2015</v>
      </c>
      <c r="EZ1548">
        <v>599.05999999999995</v>
      </c>
      <c r="FA1548" t="s">
        <v>15666</v>
      </c>
      <c r="FB1548">
        <v>0.25</v>
      </c>
      <c r="FC1548" t="s">
        <v>424</v>
      </c>
      <c r="FD1548" t="s">
        <v>425</v>
      </c>
      <c r="FE1548" s="1">
        <v>42818</v>
      </c>
      <c r="FF1548">
        <v>10</v>
      </c>
      <c r="FG1548">
        <v>2851116</v>
      </c>
      <c r="FH1548" t="s">
        <v>480</v>
      </c>
      <c r="FJ1548" s="1">
        <v>42515</v>
      </c>
      <c r="FK1548">
        <v>2015</v>
      </c>
      <c r="FL1548">
        <v>599.05999999999995</v>
      </c>
      <c r="FM1548" t="s">
        <v>15666</v>
      </c>
      <c r="FN1548">
        <v>0.25</v>
      </c>
      <c r="FO1548" t="s">
        <v>424</v>
      </c>
      <c r="FP1548" t="s">
        <v>425</v>
      </c>
      <c r="FR1548">
        <v>22</v>
      </c>
      <c r="FS1548">
        <v>5481258</v>
      </c>
      <c r="FT1548" t="s">
        <v>15667</v>
      </c>
      <c r="FV1548" s="1">
        <v>41787</v>
      </c>
      <c r="FW1548">
        <v>2013</v>
      </c>
      <c r="FX1548">
        <v>698.02</v>
      </c>
      <c r="FY1548" t="s">
        <v>15668</v>
      </c>
      <c r="FZ1548">
        <v>0.25</v>
      </c>
      <c r="GA1548" t="s">
        <v>424</v>
      </c>
      <c r="GB1548" t="s">
        <v>425</v>
      </c>
      <c r="GD1548">
        <v>22</v>
      </c>
      <c r="GE1548">
        <v>11289</v>
      </c>
      <c r="GF1548" t="s">
        <v>787</v>
      </c>
      <c r="GH1548" s="1">
        <v>41787</v>
      </c>
      <c r="GI1548">
        <v>2013</v>
      </c>
      <c r="GJ1548">
        <v>698.02</v>
      </c>
      <c r="GK1548" t="s">
        <v>15668</v>
      </c>
      <c r="GL1548">
        <v>0.25</v>
      </c>
      <c r="GM1548" t="s">
        <v>424</v>
      </c>
      <c r="GN1548" t="s">
        <v>425</v>
      </c>
      <c r="GO1548" s="1">
        <v>41955</v>
      </c>
      <c r="GP1548">
        <v>6</v>
      </c>
      <c r="GQ1548">
        <v>4844954</v>
      </c>
      <c r="GR1548" t="s">
        <v>1719</v>
      </c>
      <c r="GT1548" s="1">
        <v>41423</v>
      </c>
      <c r="GU1548">
        <v>2012</v>
      </c>
      <c r="GV1548">
        <v>738.8</v>
      </c>
      <c r="GW1548" t="s">
        <v>15669</v>
      </c>
      <c r="GX1548">
        <v>2.75</v>
      </c>
      <c r="GY1548" t="s">
        <v>424</v>
      </c>
      <c r="GZ1548" t="s">
        <v>425</v>
      </c>
      <c r="HA1548" s="1">
        <v>41955</v>
      </c>
      <c r="HB1548">
        <v>18</v>
      </c>
      <c r="HC1548">
        <v>15399</v>
      </c>
      <c r="HD1548" t="s">
        <v>485</v>
      </c>
      <c r="HF1548" s="1">
        <v>41052</v>
      </c>
      <c r="HG1548">
        <v>2011</v>
      </c>
      <c r="HH1548">
        <v>865.42</v>
      </c>
      <c r="HI1548" t="s">
        <v>15670</v>
      </c>
      <c r="HJ1548">
        <v>6</v>
      </c>
      <c r="HK1548" t="s">
        <v>424</v>
      </c>
      <c r="HL1548" t="s">
        <v>425</v>
      </c>
      <c r="HM1548" s="1">
        <v>41955</v>
      </c>
      <c r="HN1548">
        <v>30</v>
      </c>
      <c r="HO1548">
        <v>375</v>
      </c>
      <c r="HP1548" t="s">
        <v>776</v>
      </c>
      <c r="HR1548" s="1">
        <v>40688</v>
      </c>
      <c r="HS1548">
        <v>2010</v>
      </c>
      <c r="HT1548">
        <v>847.68</v>
      </c>
      <c r="HU1548" t="s">
        <v>15671</v>
      </c>
      <c r="HV1548">
        <v>6</v>
      </c>
      <c r="HW1548" t="s">
        <v>424</v>
      </c>
      <c r="HX1548" t="s">
        <v>425</v>
      </c>
      <c r="HY1548" s="1">
        <v>41257</v>
      </c>
      <c r="HZ1548">
        <v>19</v>
      </c>
      <c r="IA1548">
        <v>105</v>
      </c>
      <c r="IB1548" t="s">
        <v>946</v>
      </c>
    </row>
    <row r="1549" spans="1:308" x14ac:dyDescent="0.25">
      <c r="A1549">
        <v>16486556</v>
      </c>
      <c r="B1549">
        <v>1548</v>
      </c>
      <c r="C1549" t="s">
        <v>393</v>
      </c>
      <c r="D1549" t="s">
        <v>394</v>
      </c>
      <c r="F1549" t="str">
        <f>"34-2N-28-0000-0001-0070"</f>
        <v>34-2N-28-0000-0001-0070</v>
      </c>
      <c r="H1549" t="str">
        <f>"SMITH ERNEST L L/E SMITH VERNITHA G (JT/RS)(S&amp;M)"</f>
        <v>SMITH ERNEST L L/E SMITH VERNITHA G (JT/RS)(S&amp;M)</v>
      </c>
      <c r="I1549" t="str">
        <f>"95024 DENISE STREET"</f>
        <v>95024 DENISE STREET</v>
      </c>
      <c r="J1549" t="str">
        <f t="shared" si="553"/>
        <v>FERNANDINA BEACH FL 32034</v>
      </c>
      <c r="K1549" t="str">
        <f>"95024 DENISE ST"</f>
        <v>95024 DENISE ST</v>
      </c>
      <c r="L1549" t="str">
        <f t="shared" si="554"/>
        <v>FERNANDINA BEACH FL 32034</v>
      </c>
      <c r="M1549" t="str">
        <f>"PT SAMUEL HARRISON GRANT SEC 44-2N-28E IN OR 1548/1483"</f>
        <v>PT SAMUEL HARRISON GRANT SEC 44-2N-28E IN OR 1548/1483</v>
      </c>
      <c r="N1549" t="str">
        <f>""</f>
        <v/>
      </c>
      <c r="O1549" t="str">
        <f>"41383"</f>
        <v>41383</v>
      </c>
      <c r="P1549" t="str">
        <f t="shared" si="548"/>
        <v>2017</v>
      </c>
      <c r="Q1549" t="str">
        <f>""</f>
        <v/>
      </c>
      <c r="R1549" t="str">
        <f>"N"</f>
        <v>N</v>
      </c>
      <c r="S1549" t="str">
        <f>""</f>
        <v/>
      </c>
      <c r="T1549" t="str">
        <f>"614.35"</f>
        <v>614.35</v>
      </c>
      <c r="U1549" t="str">
        <f>"38326.00"</f>
        <v>38326.00</v>
      </c>
      <c r="V1549" t="str">
        <f>"38326.00"</f>
        <v>38326.00</v>
      </c>
      <c r="W1549" t="str">
        <f t="shared" si="549"/>
        <v>2017</v>
      </c>
      <c r="X1549" t="str">
        <f>"14.86"</f>
        <v>14.86</v>
      </c>
      <c r="Y1549" t="str">
        <f>"664.78"</f>
        <v>664.78</v>
      </c>
      <c r="Z1549" t="str">
        <f>""</f>
        <v/>
      </c>
      <c r="AA1549" t="str">
        <f>"43499.00"</f>
        <v>43499.00</v>
      </c>
      <c r="AB1549" t="str">
        <f t="shared" si="550"/>
        <v>Residential</v>
      </c>
      <c r="AC1549" t="str">
        <f t="shared" si="523"/>
        <v>0</v>
      </c>
      <c r="AD1549" t="str">
        <f>""</f>
        <v/>
      </c>
      <c r="AE1549" t="str">
        <f>""</f>
        <v/>
      </c>
      <c r="AF1549" t="str">
        <f>"000"</f>
        <v>000</v>
      </c>
      <c r="AG1549" t="str">
        <f t="shared" si="551"/>
        <v>FL</v>
      </c>
      <c r="AH1549" t="str">
        <f>"47700.00"</f>
        <v>47700.00</v>
      </c>
      <c r="AI1549" t="str">
        <f>"31250.00"</f>
        <v>31250.00</v>
      </c>
      <c r="AJ1549" t="str">
        <f>"C55-000-587-7576-8"</f>
        <v>C55-000-587-7576-8</v>
      </c>
      <c r="AK1549" t="str">
        <f>"28335"</f>
        <v>28335</v>
      </c>
      <c r="AL1549">
        <v>6</v>
      </c>
      <c r="AM1549">
        <v>1776</v>
      </c>
      <c r="AN1549">
        <v>696.42</v>
      </c>
      <c r="AQ1549" t="s">
        <v>15672</v>
      </c>
      <c r="AR1549" t="s">
        <v>15672</v>
      </c>
      <c r="AS1549" t="s">
        <v>15672</v>
      </c>
      <c r="AU1549" t="s">
        <v>396</v>
      </c>
      <c r="AV1549">
        <v>2017</v>
      </c>
      <c r="AW1549" t="str">
        <f>"34-2N-28-0000-0001-0070 "</f>
        <v xml:space="preserve">34-2N-28-0000-0001-0070 </v>
      </c>
      <c r="AX1549">
        <v>95024</v>
      </c>
      <c r="AZ1549" t="s">
        <v>15673</v>
      </c>
      <c r="BA1549" t="s">
        <v>1942</v>
      </c>
      <c r="BD1549" t="s">
        <v>11749</v>
      </c>
      <c r="BE1549" t="s">
        <v>393</v>
      </c>
      <c r="BF1549">
        <v>32034</v>
      </c>
      <c r="BG1549" t="s">
        <v>15674</v>
      </c>
      <c r="BH1549" t="s">
        <v>11751</v>
      </c>
      <c r="BI1549">
        <v>-81.5177160082863</v>
      </c>
      <c r="BJ1549">
        <v>30.571207512767501</v>
      </c>
      <c r="BK1549" t="s">
        <v>15675</v>
      </c>
      <c r="BL1549" t="s">
        <v>15676</v>
      </c>
      <c r="BM1549" t="s">
        <v>15674</v>
      </c>
      <c r="BN1549" t="s">
        <v>3983</v>
      </c>
      <c r="BO1549">
        <v>32034</v>
      </c>
      <c r="BP1549" t="s">
        <v>404</v>
      </c>
      <c r="BQ1549">
        <v>1</v>
      </c>
      <c r="BR1549" t="s">
        <v>491</v>
      </c>
      <c r="BS1549">
        <v>8001</v>
      </c>
      <c r="BT1549" t="s">
        <v>492</v>
      </c>
      <c r="BU1549">
        <v>1500</v>
      </c>
      <c r="BV1549">
        <v>0</v>
      </c>
      <c r="BW1549">
        <v>47842</v>
      </c>
      <c r="BX1549" t="s">
        <v>407</v>
      </c>
      <c r="BY1549" t="s">
        <v>2729</v>
      </c>
      <c r="CD1549">
        <v>2017</v>
      </c>
      <c r="CE1549">
        <v>31250</v>
      </c>
      <c r="CF1549">
        <v>12249</v>
      </c>
      <c r="CG1549">
        <v>43499</v>
      </c>
      <c r="CH1549">
        <v>2017</v>
      </c>
      <c r="CI1549">
        <v>31250</v>
      </c>
      <c r="CJ1549">
        <v>12249</v>
      </c>
      <c r="CK1549">
        <v>43499</v>
      </c>
      <c r="CL1549">
        <v>2017</v>
      </c>
      <c r="CM1549">
        <v>614.35</v>
      </c>
      <c r="CN1549" s="1">
        <v>39477</v>
      </c>
      <c r="CZ1549" s="1">
        <v>39477</v>
      </c>
      <c r="DD1549" t="s">
        <v>11749</v>
      </c>
      <c r="DG1549">
        <v>34</v>
      </c>
      <c r="DL1549">
        <v>50303</v>
      </c>
      <c r="DM1549" t="s">
        <v>15677</v>
      </c>
      <c r="DO1549" t="s">
        <v>15678</v>
      </c>
      <c r="DP1549">
        <v>0</v>
      </c>
      <c r="DQ1549">
        <v>0</v>
      </c>
      <c r="DR1549" t="s">
        <v>411</v>
      </c>
      <c r="DS1549" t="b">
        <v>1</v>
      </c>
      <c r="DT1549" t="s">
        <v>470</v>
      </c>
      <c r="DU1549" t="s">
        <v>471</v>
      </c>
      <c r="DV1549" t="s">
        <v>472</v>
      </c>
      <c r="DX1549">
        <v>-9999</v>
      </c>
      <c r="DZ1549" t="s">
        <v>447</v>
      </c>
      <c r="EA1549" t="s">
        <v>448</v>
      </c>
      <c r="EB1549" t="s">
        <v>742</v>
      </c>
      <c r="EC1549">
        <v>20101217</v>
      </c>
      <c r="ED1549" t="s">
        <v>474</v>
      </c>
      <c r="EF1549">
        <v>941.9</v>
      </c>
      <c r="EG1549">
        <v>661.4</v>
      </c>
      <c r="EI1549">
        <v>20160407</v>
      </c>
      <c r="EJ1549">
        <v>0</v>
      </c>
      <c r="EK1549">
        <v>0</v>
      </c>
      <c r="EP1549" t="s">
        <v>421</v>
      </c>
      <c r="EQ1549" t="s">
        <v>422</v>
      </c>
      <c r="ER1549">
        <v>1</v>
      </c>
      <c r="ES1549">
        <v>4</v>
      </c>
      <c r="ET1549">
        <v>605.46</v>
      </c>
      <c r="EU1549">
        <v>36.520000000000003</v>
      </c>
      <c r="EV1549">
        <v>641.98</v>
      </c>
      <c r="EW1549" s="2">
        <v>43222</v>
      </c>
      <c r="EX1549" s="1">
        <v>42879</v>
      </c>
      <c r="EY1549">
        <v>2016</v>
      </c>
      <c r="EZ1549">
        <v>605.46</v>
      </c>
      <c r="FA1549" t="s">
        <v>15679</v>
      </c>
      <c r="FB1549">
        <v>0.25</v>
      </c>
      <c r="FC1549" t="s">
        <v>424</v>
      </c>
      <c r="FD1549" t="s">
        <v>454</v>
      </c>
      <c r="FF1549">
        <v>12</v>
      </c>
      <c r="FG1549">
        <v>62</v>
      </c>
      <c r="FH1549" t="s">
        <v>463</v>
      </c>
      <c r="FJ1549" s="1">
        <v>42515</v>
      </c>
      <c r="FK1549">
        <v>2015</v>
      </c>
      <c r="FL1549">
        <v>704.28</v>
      </c>
      <c r="FM1549" t="s">
        <v>15680</v>
      </c>
      <c r="FN1549">
        <v>14.75</v>
      </c>
      <c r="FO1549" t="s">
        <v>424</v>
      </c>
      <c r="FP1549" t="s">
        <v>425</v>
      </c>
      <c r="FQ1549" s="1">
        <v>43188</v>
      </c>
      <c r="FR1549">
        <v>22</v>
      </c>
      <c r="FS1549">
        <v>2035919</v>
      </c>
      <c r="FT1549" t="s">
        <v>507</v>
      </c>
      <c r="FV1549" s="1">
        <v>42151</v>
      </c>
      <c r="FW1549">
        <v>2014</v>
      </c>
      <c r="FX1549">
        <v>709.67</v>
      </c>
      <c r="FY1549" t="s">
        <v>15681</v>
      </c>
      <c r="FZ1549">
        <v>0.25</v>
      </c>
      <c r="GA1549" t="s">
        <v>424</v>
      </c>
      <c r="GB1549" t="s">
        <v>425</v>
      </c>
      <c r="GC1549" s="1">
        <v>42527</v>
      </c>
      <c r="GD1549">
        <v>13</v>
      </c>
      <c r="GE1549">
        <v>2101382</v>
      </c>
      <c r="GF1549" t="s">
        <v>993</v>
      </c>
      <c r="GH1549" s="1">
        <v>42151</v>
      </c>
      <c r="GI1549">
        <v>2014</v>
      </c>
      <c r="GJ1549">
        <v>709.67</v>
      </c>
      <c r="GK1549" t="s">
        <v>15681</v>
      </c>
      <c r="GL1549">
        <v>0.25</v>
      </c>
      <c r="GM1549" t="s">
        <v>424</v>
      </c>
      <c r="GN1549" t="s">
        <v>425</v>
      </c>
      <c r="GP1549">
        <v>22</v>
      </c>
      <c r="GQ1549">
        <v>5550114</v>
      </c>
      <c r="GR1549" t="s">
        <v>15682</v>
      </c>
      <c r="GT1549" s="1">
        <v>41787</v>
      </c>
      <c r="GU1549">
        <v>2013</v>
      </c>
      <c r="GV1549">
        <v>343.28</v>
      </c>
      <c r="GW1549" t="s">
        <v>15683</v>
      </c>
      <c r="GX1549">
        <v>0.25</v>
      </c>
      <c r="GY1549" t="s">
        <v>424</v>
      </c>
      <c r="GZ1549" t="s">
        <v>425</v>
      </c>
      <c r="HA1549" s="1">
        <v>42069</v>
      </c>
      <c r="HB1549">
        <v>10</v>
      </c>
      <c r="HC1549">
        <v>10125</v>
      </c>
      <c r="HD1549" t="s">
        <v>440</v>
      </c>
    </row>
    <row r="1550" spans="1:308" x14ac:dyDescent="0.25">
      <c r="A1550">
        <v>16486557</v>
      </c>
      <c r="B1550">
        <v>1549</v>
      </c>
      <c r="C1550" t="s">
        <v>393</v>
      </c>
      <c r="D1550" t="s">
        <v>394</v>
      </c>
      <c r="F1550" t="str">
        <f>"34-2N-28-0000-0007-0030"</f>
        <v>34-2N-28-0000-0007-0030</v>
      </c>
      <c r="H1550" t="str">
        <f>"WILDER JOHN A &amp; PEGGY A"</f>
        <v>WILDER JOHN A &amp; PEGGY A</v>
      </c>
      <c r="I1550" t="str">
        <f>"95177 WILDER BLVD"</f>
        <v>95177 WILDER BLVD</v>
      </c>
      <c r="J1550" t="str">
        <f t="shared" si="553"/>
        <v>FERNANDINA BEACH FL 32034</v>
      </c>
      <c r="K1550" t="str">
        <f>"95177 WILDER BLVD"</f>
        <v>95177 WILDER BLVD</v>
      </c>
      <c r="L1550" t="str">
        <f t="shared" si="554"/>
        <v>FERNANDINA BEACH FL 32034</v>
      </c>
      <c r="M1550" t="str">
        <f>"PT GOVT LOT 2 OF SEC 34-2N-28E IN OR 588/933"</f>
        <v>PT GOVT LOT 2 OF SEC 34-2N-28E IN OR 588/933</v>
      </c>
      <c r="N1550" t="str">
        <f>""</f>
        <v/>
      </c>
      <c r="O1550" t="str">
        <f>"41397"</f>
        <v>41397</v>
      </c>
      <c r="P1550" t="str">
        <f t="shared" si="548"/>
        <v>2017</v>
      </c>
      <c r="Q1550" t="str">
        <f>""</f>
        <v/>
      </c>
      <c r="R1550" t="str">
        <f>"Y"</f>
        <v>Y</v>
      </c>
      <c r="S1550" t="str">
        <f>"1.00"</f>
        <v>1.00</v>
      </c>
      <c r="T1550" t="str">
        <f>"813.75"</f>
        <v>813.75</v>
      </c>
      <c r="U1550" t="str">
        <f>"92857.00"</f>
        <v>92857.00</v>
      </c>
      <c r="V1550" t="str">
        <f>"92857.00"</f>
        <v>92857.00</v>
      </c>
      <c r="W1550" t="str">
        <f t="shared" si="549"/>
        <v>2017</v>
      </c>
      <c r="X1550" t="str">
        <f>"11.33"</f>
        <v>11.33</v>
      </c>
      <c r="Y1550" t="str">
        <f>"870.16"</f>
        <v>870.16</v>
      </c>
      <c r="Z1550" t="str">
        <f>"25000.00"</f>
        <v>25000.00</v>
      </c>
      <c r="AA1550" t="str">
        <f>"67857.00"</f>
        <v>67857.00</v>
      </c>
      <c r="AB1550" t="str">
        <f t="shared" si="550"/>
        <v>Residential</v>
      </c>
      <c r="AC1550" t="str">
        <f t="shared" si="523"/>
        <v>0</v>
      </c>
      <c r="AD1550" t="str">
        <f>"4"</f>
        <v>4</v>
      </c>
      <c r="AE1550" t="str">
        <f>"WOOD (INCLUDE STEEL STUDS)"</f>
        <v>WOOD (INCLUDE STEEL STUDS)</v>
      </c>
      <c r="AF1550" t="str">
        <f>"001"</f>
        <v>001</v>
      </c>
      <c r="AG1550" t="str">
        <f t="shared" si="551"/>
        <v>FL</v>
      </c>
      <c r="AH1550" t="str">
        <f>"43560.00"</f>
        <v>43560.00</v>
      </c>
      <c r="AI1550" t="str">
        <f>"25000.00"</f>
        <v>25000.00</v>
      </c>
      <c r="AJ1550" t="str">
        <f>"C55-000-587-7589-1"</f>
        <v>C55-000-587-7589-1</v>
      </c>
      <c r="AK1550" t="str">
        <f>"28345"</f>
        <v>28345</v>
      </c>
      <c r="AL1550">
        <v>6</v>
      </c>
      <c r="AM1550">
        <v>1778</v>
      </c>
      <c r="AN1550">
        <v>912.07</v>
      </c>
      <c r="AQ1550" t="s">
        <v>15684</v>
      </c>
      <c r="AR1550" t="s">
        <v>15684</v>
      </c>
      <c r="AS1550" t="s">
        <v>15684</v>
      </c>
      <c r="AU1550" t="s">
        <v>396</v>
      </c>
      <c r="AV1550">
        <v>2017</v>
      </c>
      <c r="AW1550" t="str">
        <f>"34-2N-28-0000-0007-0030 "</f>
        <v xml:space="preserve">34-2N-28-0000-0007-0030 </v>
      </c>
      <c r="AX1550">
        <v>95177</v>
      </c>
      <c r="AZ1550" t="s">
        <v>15685</v>
      </c>
      <c r="BA1550" t="s">
        <v>6622</v>
      </c>
      <c r="BD1550" t="s">
        <v>11749</v>
      </c>
      <c r="BE1550" t="s">
        <v>393</v>
      </c>
      <c r="BF1550">
        <v>32034</v>
      </c>
      <c r="BG1550" t="s">
        <v>15686</v>
      </c>
      <c r="BH1550" t="s">
        <v>11751</v>
      </c>
      <c r="BI1550">
        <v>-81.521115555697406</v>
      </c>
      <c r="BJ1550">
        <v>30.569135191489998</v>
      </c>
      <c r="BK1550" t="s">
        <v>15687</v>
      </c>
      <c r="BL1550" t="s">
        <v>15688</v>
      </c>
      <c r="BM1550" t="s">
        <v>15686</v>
      </c>
      <c r="BN1550" t="s">
        <v>3983</v>
      </c>
      <c r="BO1550">
        <v>32034</v>
      </c>
      <c r="BP1550" t="s">
        <v>416</v>
      </c>
      <c r="BQ1550">
        <v>100</v>
      </c>
      <c r="BR1550" t="s">
        <v>514</v>
      </c>
      <c r="BS1550">
        <v>1001</v>
      </c>
      <c r="BT1550" t="s">
        <v>515</v>
      </c>
      <c r="BW1550">
        <v>43560</v>
      </c>
      <c r="BX1550" t="s">
        <v>407</v>
      </c>
      <c r="BY1550" t="s">
        <v>2729</v>
      </c>
      <c r="BZ1550">
        <v>4</v>
      </c>
      <c r="CA1550">
        <v>1960</v>
      </c>
      <c r="CB1550">
        <v>1</v>
      </c>
      <c r="CC1550">
        <v>2</v>
      </c>
      <c r="CD1550">
        <v>2017</v>
      </c>
      <c r="CG1550">
        <v>92857</v>
      </c>
      <c r="CH1550">
        <v>2017</v>
      </c>
      <c r="CI1550">
        <v>25000</v>
      </c>
      <c r="CJ1550">
        <v>98355</v>
      </c>
      <c r="CK1550">
        <v>123355</v>
      </c>
      <c r="CL1550">
        <v>2017</v>
      </c>
      <c r="CM1550">
        <v>813.75</v>
      </c>
      <c r="CN1550" s="1">
        <v>32896</v>
      </c>
      <c r="CZ1550" s="1">
        <v>32896</v>
      </c>
      <c r="DD1550" t="s">
        <v>11749</v>
      </c>
      <c r="DG1550">
        <v>34</v>
      </c>
      <c r="DL1550">
        <v>50303</v>
      </c>
      <c r="DM1550" t="s">
        <v>15689</v>
      </c>
      <c r="DO1550" t="s">
        <v>15690</v>
      </c>
      <c r="DP1550">
        <v>0</v>
      </c>
      <c r="DQ1550">
        <v>0</v>
      </c>
      <c r="DR1550" t="s">
        <v>411</v>
      </c>
      <c r="DS1550" t="b">
        <v>1</v>
      </c>
      <c r="DT1550" t="s">
        <v>470</v>
      </c>
      <c r="DU1550" t="s">
        <v>10249</v>
      </c>
      <c r="DV1550" t="s">
        <v>472</v>
      </c>
      <c r="DX1550">
        <v>-9999</v>
      </c>
      <c r="DZ1550" t="s">
        <v>447</v>
      </c>
      <c r="EA1550" t="s">
        <v>448</v>
      </c>
      <c r="EB1550" t="s">
        <v>15691</v>
      </c>
      <c r="EC1550">
        <v>20101217</v>
      </c>
      <c r="ED1550" t="s">
        <v>10251</v>
      </c>
      <c r="EE1550">
        <v>5</v>
      </c>
      <c r="EF1550">
        <v>113.1</v>
      </c>
      <c r="EG1550">
        <v>0</v>
      </c>
      <c r="EI1550">
        <v>20160407</v>
      </c>
      <c r="EJ1550">
        <v>0</v>
      </c>
      <c r="EK1550">
        <v>0</v>
      </c>
      <c r="EP1550" t="s">
        <v>421</v>
      </c>
      <c r="EQ1550" t="s">
        <v>422</v>
      </c>
      <c r="ER1550">
        <v>2</v>
      </c>
      <c r="ES1550">
        <v>7</v>
      </c>
      <c r="ET1550">
        <v>1795.16</v>
      </c>
      <c r="EU1550">
        <v>102.26</v>
      </c>
      <c r="EV1550">
        <v>1897.42</v>
      </c>
      <c r="EW1550" s="2">
        <v>43222</v>
      </c>
      <c r="EX1550" s="1">
        <v>42879</v>
      </c>
      <c r="EY1550">
        <v>2016</v>
      </c>
      <c r="EZ1550">
        <v>897.58</v>
      </c>
      <c r="FA1550" t="s">
        <v>15692</v>
      </c>
      <c r="FB1550">
        <v>0.25</v>
      </c>
      <c r="FC1550" t="s">
        <v>424</v>
      </c>
      <c r="FD1550" t="s">
        <v>454</v>
      </c>
      <c r="FF1550">
        <v>12</v>
      </c>
      <c r="FG1550">
        <v>7336671</v>
      </c>
      <c r="FH1550" t="s">
        <v>437</v>
      </c>
      <c r="FJ1550" s="1">
        <v>42879</v>
      </c>
      <c r="FK1550">
        <v>2016</v>
      </c>
      <c r="FL1550">
        <v>897.58</v>
      </c>
      <c r="FM1550" t="s">
        <v>15692</v>
      </c>
      <c r="FN1550">
        <v>0.25</v>
      </c>
      <c r="FO1550" t="s">
        <v>424</v>
      </c>
      <c r="FP1550" t="s">
        <v>454</v>
      </c>
      <c r="FR1550">
        <v>12</v>
      </c>
      <c r="FS1550">
        <v>6724616</v>
      </c>
      <c r="FT1550" t="s">
        <v>15693</v>
      </c>
      <c r="FV1550" s="1">
        <v>42515</v>
      </c>
      <c r="FW1550">
        <v>2015</v>
      </c>
      <c r="FX1550">
        <v>914.96</v>
      </c>
      <c r="FY1550" t="s">
        <v>15694</v>
      </c>
      <c r="FZ1550">
        <v>0.25</v>
      </c>
      <c r="GA1550" t="s">
        <v>424</v>
      </c>
      <c r="GB1550" t="s">
        <v>425</v>
      </c>
      <c r="GC1550" s="1">
        <v>42822</v>
      </c>
      <c r="GD1550">
        <v>10</v>
      </c>
      <c r="GE1550">
        <v>7045074</v>
      </c>
      <c r="GF1550" t="s">
        <v>580</v>
      </c>
      <c r="GH1550" s="1">
        <v>42515</v>
      </c>
      <c r="GI1550">
        <v>2015</v>
      </c>
      <c r="GJ1550">
        <v>914.96</v>
      </c>
      <c r="GK1550" t="s">
        <v>15694</v>
      </c>
      <c r="GL1550">
        <v>0.25</v>
      </c>
      <c r="GM1550" t="s">
        <v>424</v>
      </c>
      <c r="GN1550" t="s">
        <v>425</v>
      </c>
      <c r="GP1550">
        <v>22</v>
      </c>
      <c r="GQ1550">
        <v>6435646</v>
      </c>
      <c r="GR1550" t="s">
        <v>15695</v>
      </c>
      <c r="GT1550" s="1">
        <v>42151</v>
      </c>
      <c r="GU1550">
        <v>2014</v>
      </c>
      <c r="GV1550">
        <v>885.21</v>
      </c>
      <c r="GW1550" t="s">
        <v>15696</v>
      </c>
      <c r="GX1550">
        <v>0.25</v>
      </c>
      <c r="GY1550" t="s">
        <v>424</v>
      </c>
      <c r="GZ1550" t="s">
        <v>425</v>
      </c>
      <c r="HA1550" s="1">
        <v>42774</v>
      </c>
      <c r="HB1550">
        <v>21</v>
      </c>
      <c r="HC1550">
        <v>4975594</v>
      </c>
      <c r="HD1550" t="s">
        <v>457</v>
      </c>
      <c r="HF1550" s="1">
        <v>42151</v>
      </c>
      <c r="HG1550">
        <v>2014</v>
      </c>
      <c r="HH1550">
        <v>885.21</v>
      </c>
      <c r="HI1550" t="s">
        <v>15696</v>
      </c>
      <c r="HJ1550">
        <v>0.25</v>
      </c>
      <c r="HK1550" t="s">
        <v>424</v>
      </c>
      <c r="HL1550" t="s">
        <v>425</v>
      </c>
      <c r="HN1550">
        <v>22</v>
      </c>
      <c r="HO1550">
        <v>6417501</v>
      </c>
      <c r="HP1550" t="s">
        <v>15697</v>
      </c>
      <c r="HR1550" s="1">
        <v>41787</v>
      </c>
      <c r="HS1550">
        <v>2013</v>
      </c>
      <c r="HT1550">
        <v>868.18</v>
      </c>
      <c r="HU1550" t="s">
        <v>15698</v>
      </c>
      <c r="HV1550">
        <v>0.25</v>
      </c>
      <c r="HW1550" t="s">
        <v>424</v>
      </c>
      <c r="HX1550" t="s">
        <v>425</v>
      </c>
      <c r="HY1550" s="1">
        <v>42186</v>
      </c>
      <c r="HZ1550">
        <v>14</v>
      </c>
      <c r="IA1550">
        <v>15259</v>
      </c>
      <c r="IB1550" t="s">
        <v>891</v>
      </c>
      <c r="ID1550" s="1">
        <v>41423</v>
      </c>
      <c r="IE1550">
        <v>2012</v>
      </c>
      <c r="IF1550">
        <v>873.8</v>
      </c>
      <c r="IG1550" t="s">
        <v>15699</v>
      </c>
      <c r="IH1550">
        <v>0.25</v>
      </c>
      <c r="II1550" t="s">
        <v>424</v>
      </c>
      <c r="IJ1550" t="s">
        <v>425</v>
      </c>
      <c r="IK1550" s="1">
        <v>41654</v>
      </c>
      <c r="IL1550">
        <v>8</v>
      </c>
      <c r="IM1550">
        <v>15970</v>
      </c>
      <c r="IN1550" t="s">
        <v>1435</v>
      </c>
      <c r="IP1550" s="1">
        <v>40688</v>
      </c>
      <c r="IQ1550">
        <v>2010</v>
      </c>
      <c r="IR1550">
        <v>877.16</v>
      </c>
      <c r="IS1550" t="s">
        <v>15700</v>
      </c>
      <c r="IT1550">
        <v>0.25</v>
      </c>
      <c r="IU1550" t="s">
        <v>424</v>
      </c>
      <c r="IV1550" t="s">
        <v>425</v>
      </c>
      <c r="IW1550" s="1">
        <v>41039</v>
      </c>
      <c r="IX1550">
        <v>12</v>
      </c>
      <c r="IY1550">
        <v>11177</v>
      </c>
      <c r="IZ1550" t="s">
        <v>650</v>
      </c>
    </row>
    <row r="1551" spans="1:308" x14ac:dyDescent="0.25">
      <c r="A1551">
        <v>16486558</v>
      </c>
      <c r="B1551">
        <v>1550</v>
      </c>
      <c r="C1551" t="s">
        <v>393</v>
      </c>
      <c r="D1551" t="s">
        <v>394</v>
      </c>
      <c r="F1551" t="str">
        <f>"34-2N-28-0000-0009-0000"</f>
        <v>34-2N-28-0000-0009-0000</v>
      </c>
      <c r="H1551" t="str">
        <f>"BARBER JESSICA &amp; BARBER ERICA &amp; BARBER ELI"</f>
        <v>BARBER JESSICA &amp; BARBER ERICA &amp; BARBER ELI</v>
      </c>
      <c r="I1551" t="str">
        <f>""</f>
        <v/>
      </c>
      <c r="J1551" t="str">
        <f t="shared" si="553"/>
        <v>FERNANDINA BEACH FL 32034</v>
      </c>
      <c r="K1551" t="str">
        <f>"941046 OLD NASSAUVILLE RD"</f>
        <v>941046 OLD NASSAUVILLE RD</v>
      </c>
      <c r="L1551" t="str">
        <f t="shared" si="554"/>
        <v>FERNANDINA BEACH FL 32034</v>
      </c>
      <c r="M1551" t="str">
        <f>"PT GOVT LOTS 1 &amp; 2 OF SEC 34-2N-28E IN OR 1871/1886"</f>
        <v>PT GOVT LOTS 1 &amp; 2 OF SEC 34-2N-28E IN OR 1871/1886</v>
      </c>
      <c r="N1551" t="str">
        <f>""</f>
        <v/>
      </c>
      <c r="O1551" t="str">
        <f>"41399"</f>
        <v>41399</v>
      </c>
      <c r="P1551" t="str">
        <f t="shared" si="548"/>
        <v>2017</v>
      </c>
      <c r="Q1551" t="str">
        <f>""</f>
        <v/>
      </c>
      <c r="R1551" t="str">
        <f t="shared" ref="R1551:R1556" si="555">"N"</f>
        <v>N</v>
      </c>
      <c r="S1551" t="str">
        <f>"3.99"</f>
        <v>3.99</v>
      </c>
      <c r="T1551" t="str">
        <f>"1312.46"</f>
        <v>1312.46</v>
      </c>
      <c r="U1551" t="str">
        <f>"76610.00"</f>
        <v>76610.00</v>
      </c>
      <c r="V1551" t="str">
        <f>"76610.00"</f>
        <v>76610.00</v>
      </c>
      <c r="W1551" t="str">
        <f t="shared" si="549"/>
        <v>2017</v>
      </c>
      <c r="X1551" t="str">
        <f>"12.25"</f>
        <v>12.25</v>
      </c>
      <c r="Y1551" t="str">
        <f>"1383.83"</f>
        <v>1383.83</v>
      </c>
      <c r="Z1551" t="str">
        <f>""</f>
        <v/>
      </c>
      <c r="AA1551" t="str">
        <f>"99750.00"</f>
        <v>99750.00</v>
      </c>
      <c r="AB1551" t="str">
        <f t="shared" si="550"/>
        <v>Residential</v>
      </c>
      <c r="AC1551" t="str">
        <f t="shared" si="523"/>
        <v>0</v>
      </c>
      <c r="AD1551" t="str">
        <f>""</f>
        <v/>
      </c>
      <c r="AE1551" t="str">
        <f>""</f>
        <v/>
      </c>
      <c r="AF1551" t="str">
        <f>"000"</f>
        <v>000</v>
      </c>
      <c r="AG1551" t="str">
        <f t="shared" si="551"/>
        <v>FL</v>
      </c>
      <c r="AH1551" t="str">
        <f>"173804.00"</f>
        <v>173804.00</v>
      </c>
      <c r="AI1551" t="str">
        <f>"99750.00"</f>
        <v>99750.00</v>
      </c>
      <c r="AJ1551" t="str">
        <f>"C55-000-587-7590-9"</f>
        <v>C55-000-587-7590-9</v>
      </c>
      <c r="AK1551" t="str">
        <f>"28347"</f>
        <v>28347</v>
      </c>
      <c r="AL1551">
        <v>6</v>
      </c>
      <c r="AM1551">
        <v>1779</v>
      </c>
      <c r="AN1551">
        <v>1451.42</v>
      </c>
      <c r="AQ1551" t="s">
        <v>15701</v>
      </c>
      <c r="AR1551" t="s">
        <v>15701</v>
      </c>
      <c r="AS1551" t="s">
        <v>15701</v>
      </c>
      <c r="AU1551" t="s">
        <v>396</v>
      </c>
      <c r="AV1551">
        <v>2017</v>
      </c>
      <c r="AW1551" t="str">
        <f>"34-2N-28-0000-0009-0000 "</f>
        <v xml:space="preserve">34-2N-28-0000-0009-0000 </v>
      </c>
      <c r="AX1551">
        <v>941046</v>
      </c>
      <c r="AZ1551" t="s">
        <v>15258</v>
      </c>
      <c r="BA1551" t="s">
        <v>496</v>
      </c>
      <c r="BD1551" t="s">
        <v>11749</v>
      </c>
      <c r="BE1551" t="s">
        <v>393</v>
      </c>
      <c r="BF1551">
        <v>32034</v>
      </c>
      <c r="BG1551" t="s">
        <v>15702</v>
      </c>
      <c r="BH1551" t="s">
        <v>11751</v>
      </c>
      <c r="BI1551">
        <v>-81.519897538018796</v>
      </c>
      <c r="BJ1551">
        <v>30.570988644480298</v>
      </c>
      <c r="BK1551" t="s">
        <v>15703</v>
      </c>
      <c r="BL1551" t="s">
        <v>15704</v>
      </c>
      <c r="BM1551" t="s">
        <v>15705</v>
      </c>
      <c r="BN1551" t="s">
        <v>3983</v>
      </c>
      <c r="BO1551">
        <v>32034</v>
      </c>
      <c r="BP1551" t="s">
        <v>404</v>
      </c>
      <c r="BQ1551">
        <v>0</v>
      </c>
      <c r="BR1551" t="s">
        <v>491</v>
      </c>
      <c r="BS1551">
        <v>8001</v>
      </c>
      <c r="BT1551" t="s">
        <v>492</v>
      </c>
      <c r="BW1551">
        <v>173804</v>
      </c>
      <c r="BX1551" t="s">
        <v>407</v>
      </c>
      <c r="BY1551" t="s">
        <v>2729</v>
      </c>
      <c r="CD1551">
        <v>2017</v>
      </c>
      <c r="CE1551">
        <v>99750</v>
      </c>
      <c r="CG1551">
        <v>99750</v>
      </c>
      <c r="CH1551">
        <v>2017</v>
      </c>
      <c r="CI1551">
        <v>99750</v>
      </c>
      <c r="CK1551">
        <v>99750</v>
      </c>
      <c r="CL1551">
        <v>2017</v>
      </c>
      <c r="CM1551">
        <v>1312.46</v>
      </c>
      <c r="CN1551" s="1">
        <v>37851</v>
      </c>
      <c r="CO1551">
        <v>60800</v>
      </c>
      <c r="CV1551">
        <v>0</v>
      </c>
      <c r="CZ1551" s="1">
        <v>37851</v>
      </c>
      <c r="DA1551">
        <v>0</v>
      </c>
      <c r="DD1551" t="s">
        <v>11749</v>
      </c>
      <c r="DF1551">
        <v>2</v>
      </c>
      <c r="DG1551">
        <v>34</v>
      </c>
      <c r="DL1551">
        <v>50303</v>
      </c>
      <c r="DM1551" t="s">
        <v>15689</v>
      </c>
      <c r="DO1551" t="s">
        <v>15706</v>
      </c>
      <c r="DP1551">
        <v>0</v>
      </c>
      <c r="DQ1551">
        <v>0</v>
      </c>
      <c r="DR1551" t="s">
        <v>411</v>
      </c>
      <c r="DS1551" t="b">
        <v>1</v>
      </c>
      <c r="DT1551" t="s">
        <v>470</v>
      </c>
      <c r="DU1551" t="s">
        <v>471</v>
      </c>
      <c r="DV1551" t="s">
        <v>472</v>
      </c>
      <c r="DX1551">
        <v>-9999</v>
      </c>
      <c r="DZ1551" t="s">
        <v>447</v>
      </c>
      <c r="EA1551" t="s">
        <v>448</v>
      </c>
      <c r="EB1551" t="s">
        <v>742</v>
      </c>
      <c r="EC1551">
        <v>20101217</v>
      </c>
      <c r="ED1551" t="s">
        <v>474</v>
      </c>
      <c r="EF1551">
        <v>493.4</v>
      </c>
      <c r="EG1551">
        <v>182.1</v>
      </c>
      <c r="EI1551">
        <v>20160407</v>
      </c>
      <c r="EJ1551">
        <v>0</v>
      </c>
      <c r="EK1551">
        <v>0</v>
      </c>
      <c r="EP1551" t="s">
        <v>421</v>
      </c>
      <c r="EQ1551" t="s">
        <v>422</v>
      </c>
      <c r="ER1551">
        <v>0</v>
      </c>
      <c r="ES1551">
        <v>4</v>
      </c>
      <c r="ET1551">
        <v>0</v>
      </c>
      <c r="EU1551">
        <v>0</v>
      </c>
      <c r="EV1551">
        <v>0</v>
      </c>
      <c r="EW1551" s="2">
        <v>43222</v>
      </c>
      <c r="EX1551" s="1">
        <v>42515</v>
      </c>
      <c r="EY1551">
        <v>2015</v>
      </c>
      <c r="EZ1551">
        <v>1226.2</v>
      </c>
      <c r="FA1551" t="s">
        <v>15707</v>
      </c>
      <c r="FB1551">
        <v>0.25</v>
      </c>
      <c r="FC1551" t="s">
        <v>424</v>
      </c>
      <c r="FD1551" t="s">
        <v>425</v>
      </c>
      <c r="FE1551" s="1">
        <v>42538</v>
      </c>
      <c r="FF1551">
        <v>1</v>
      </c>
      <c r="FG1551">
        <v>7336671</v>
      </c>
      <c r="FH1551" t="s">
        <v>437</v>
      </c>
      <c r="FJ1551" s="1">
        <v>42515</v>
      </c>
      <c r="FK1551">
        <v>2015</v>
      </c>
      <c r="FL1551">
        <v>1226.2</v>
      </c>
      <c r="FM1551" t="s">
        <v>15707</v>
      </c>
      <c r="FN1551">
        <v>0.25</v>
      </c>
      <c r="FO1551" t="s">
        <v>424</v>
      </c>
      <c r="FP1551" t="s">
        <v>425</v>
      </c>
      <c r="FR1551">
        <v>22</v>
      </c>
      <c r="FS1551">
        <v>6939420</v>
      </c>
      <c r="FT1551" t="s">
        <v>15708</v>
      </c>
      <c r="FV1551" s="1">
        <v>41052</v>
      </c>
      <c r="FW1551">
        <v>2011</v>
      </c>
      <c r="FX1551">
        <v>1060.46</v>
      </c>
      <c r="FY1551" t="s">
        <v>15709</v>
      </c>
      <c r="FZ1551">
        <v>5.75</v>
      </c>
      <c r="GA1551" t="s">
        <v>424</v>
      </c>
      <c r="GB1551" t="s">
        <v>425</v>
      </c>
      <c r="GC1551" s="1">
        <v>41310</v>
      </c>
      <c r="GD1551">
        <v>9</v>
      </c>
      <c r="GE1551">
        <v>10579</v>
      </c>
      <c r="GF1551" t="s">
        <v>488</v>
      </c>
      <c r="GH1551" s="1">
        <v>40688</v>
      </c>
      <c r="GI1551">
        <v>2010</v>
      </c>
      <c r="GJ1551">
        <v>1363.33</v>
      </c>
      <c r="GK1551" t="s">
        <v>15710</v>
      </c>
      <c r="GL1551">
        <v>6</v>
      </c>
      <c r="GM1551" t="s">
        <v>424</v>
      </c>
      <c r="GN1551" t="s">
        <v>425</v>
      </c>
      <c r="GO1551" s="1">
        <v>41310</v>
      </c>
      <c r="GP1551">
        <v>21</v>
      </c>
      <c r="GQ1551">
        <v>105</v>
      </c>
      <c r="GR1551" t="s">
        <v>946</v>
      </c>
    </row>
    <row r="1552" spans="1:308" x14ac:dyDescent="0.25">
      <c r="A1552">
        <v>16486559</v>
      </c>
      <c r="B1552">
        <v>1551</v>
      </c>
      <c r="C1552" t="s">
        <v>393</v>
      </c>
      <c r="D1552" t="s">
        <v>394</v>
      </c>
      <c r="F1552" t="str">
        <f>"34-2N-28-0000-0010-0000"</f>
        <v>34-2N-28-0000-0010-0000</v>
      </c>
      <c r="H1552" t="str">
        <f>"WARD BRUCE &amp; JETTA K"</f>
        <v>WARD BRUCE &amp; JETTA K</v>
      </c>
      <c r="I1552" t="str">
        <f>"95395 WILDER BLVD"</f>
        <v>95395 WILDER BLVD</v>
      </c>
      <c r="J1552" t="str">
        <f t="shared" si="553"/>
        <v>FERNANDINA BEACH FL 32034</v>
      </c>
      <c r="K1552" t="str">
        <f>"WILDER RD"</f>
        <v>WILDER RD</v>
      </c>
      <c r="L1552" t="str">
        <f t="shared" si="554"/>
        <v>FERNANDINA BEACH FL 32034</v>
      </c>
      <c r="M1552" t="str">
        <f>"IN OR 744/1943 (EX 10-1 10-2 &amp; 10-3)"</f>
        <v>IN OR 744/1943 (EX 10-1 10-2 &amp; 10-3)</v>
      </c>
      <c r="N1552" t="str">
        <f>""</f>
        <v/>
      </c>
      <c r="O1552" t="str">
        <f>"41401"</f>
        <v>41401</v>
      </c>
      <c r="P1552" t="str">
        <f t="shared" si="548"/>
        <v>2017</v>
      </c>
      <c r="Q1552" t="str">
        <f>""</f>
        <v/>
      </c>
      <c r="R1552" t="str">
        <f t="shared" si="555"/>
        <v>N</v>
      </c>
      <c r="S1552" t="str">
        <f>"1.00"</f>
        <v>1.00</v>
      </c>
      <c r="T1552" t="str">
        <f>"551.47"</f>
        <v>551.47</v>
      </c>
      <c r="U1552" t="str">
        <f>"36428.00"</f>
        <v>36428.00</v>
      </c>
      <c r="V1552" t="str">
        <f>"36428.00"</f>
        <v>36428.00</v>
      </c>
      <c r="W1552" t="str">
        <f t="shared" si="549"/>
        <v>2017</v>
      </c>
      <c r="X1552" t="str">
        <f>"17.75"</f>
        <v>17.75</v>
      </c>
      <c r="Y1552" t="str">
        <f>"600.01"</f>
        <v>600.01</v>
      </c>
      <c r="Z1552" t="str">
        <f>""</f>
        <v/>
      </c>
      <c r="AA1552" t="str">
        <f>"36428.00"</f>
        <v>36428.00</v>
      </c>
      <c r="AB1552" t="str">
        <f t="shared" si="550"/>
        <v>Residential</v>
      </c>
      <c r="AC1552" t="str">
        <f t="shared" si="523"/>
        <v>0</v>
      </c>
      <c r="AD1552" t="str">
        <f>""</f>
        <v/>
      </c>
      <c r="AE1552" t="str">
        <f>""</f>
        <v/>
      </c>
      <c r="AF1552" t="str">
        <f>"000"</f>
        <v>000</v>
      </c>
      <c r="AG1552" t="str">
        <f t="shared" si="551"/>
        <v>FL</v>
      </c>
      <c r="AH1552" t="str">
        <f>"43560.00"</f>
        <v>43560.00</v>
      </c>
      <c r="AI1552" t="str">
        <f>"25000.00"</f>
        <v>25000.00</v>
      </c>
      <c r="AJ1552" t="str">
        <f>"C55-000-587-7592-5"</f>
        <v>C55-000-587-7592-5</v>
      </c>
      <c r="AK1552" t="str">
        <f>"28349"</f>
        <v>28349</v>
      </c>
      <c r="AL1552">
        <v>6</v>
      </c>
      <c r="AM1552">
        <v>1780</v>
      </c>
      <c r="AN1552">
        <v>628.41</v>
      </c>
      <c r="AQ1552" t="s">
        <v>15711</v>
      </c>
      <c r="AR1552" t="s">
        <v>15711</v>
      </c>
      <c r="AS1552" t="s">
        <v>15711</v>
      </c>
      <c r="AU1552" t="s">
        <v>396</v>
      </c>
      <c r="AV1552">
        <v>2017</v>
      </c>
      <c r="AW1552" t="str">
        <f>"34-2N-28-0000-0010-0000 "</f>
        <v xml:space="preserve">34-2N-28-0000-0010-0000 </v>
      </c>
      <c r="AZ1552" t="s">
        <v>15685</v>
      </c>
      <c r="BA1552" t="s">
        <v>496</v>
      </c>
      <c r="BD1552" t="s">
        <v>11749</v>
      </c>
      <c r="BE1552" t="s">
        <v>393</v>
      </c>
      <c r="BF1552">
        <v>32034</v>
      </c>
      <c r="BG1552" t="s">
        <v>15712</v>
      </c>
      <c r="BH1552" t="s">
        <v>11751</v>
      </c>
      <c r="BI1552">
        <v>-81.518034534593795</v>
      </c>
      <c r="BJ1552">
        <v>30.570670442839798</v>
      </c>
      <c r="BK1552" t="s">
        <v>15713</v>
      </c>
      <c r="BL1552" t="s">
        <v>15714</v>
      </c>
      <c r="BM1552" t="s">
        <v>15715</v>
      </c>
      <c r="BN1552" t="s">
        <v>3983</v>
      </c>
      <c r="BO1552">
        <v>32034</v>
      </c>
      <c r="BP1552" t="s">
        <v>404</v>
      </c>
      <c r="BQ1552">
        <v>1</v>
      </c>
      <c r="BR1552" t="s">
        <v>491</v>
      </c>
      <c r="BS1552">
        <v>8001</v>
      </c>
      <c r="BT1552" t="s">
        <v>492</v>
      </c>
      <c r="BW1552">
        <v>43560</v>
      </c>
      <c r="BX1552" t="s">
        <v>407</v>
      </c>
      <c r="BY1552" t="s">
        <v>2729</v>
      </c>
      <c r="CD1552">
        <v>2017</v>
      </c>
      <c r="CE1552">
        <v>25000</v>
      </c>
      <c r="CF1552">
        <v>11428</v>
      </c>
      <c r="CG1552">
        <v>36428</v>
      </c>
      <c r="CH1552">
        <v>2017</v>
      </c>
      <c r="CI1552">
        <v>25000</v>
      </c>
      <c r="CJ1552">
        <v>11428</v>
      </c>
      <c r="CK1552">
        <v>36428</v>
      </c>
      <c r="CL1552">
        <v>2017</v>
      </c>
      <c r="CM1552">
        <v>551.47</v>
      </c>
      <c r="CN1552" s="1">
        <v>39344</v>
      </c>
      <c r="CO1552">
        <v>2500</v>
      </c>
      <c r="CV1552">
        <v>0</v>
      </c>
      <c r="CZ1552" s="1">
        <v>39344</v>
      </c>
      <c r="DA1552">
        <v>0</v>
      </c>
      <c r="DD1552" t="s">
        <v>11749</v>
      </c>
      <c r="DG1552">
        <v>34</v>
      </c>
      <c r="DL1552">
        <v>50303</v>
      </c>
      <c r="DM1552" t="s">
        <v>15689</v>
      </c>
      <c r="DO1552" t="s">
        <v>15716</v>
      </c>
      <c r="DP1552">
        <v>0</v>
      </c>
      <c r="DQ1552">
        <v>0</v>
      </c>
      <c r="DR1552" t="s">
        <v>411</v>
      </c>
    </row>
    <row r="1553" spans="1:260" x14ac:dyDescent="0.25">
      <c r="A1553">
        <v>16486560</v>
      </c>
      <c r="B1553">
        <v>1552</v>
      </c>
      <c r="C1553" t="s">
        <v>393</v>
      </c>
      <c r="D1553" t="s">
        <v>394</v>
      </c>
      <c r="F1553" t="str">
        <f>"34-2N-28-4980-0041-0000"</f>
        <v>34-2N-28-4980-0041-0000</v>
      </c>
      <c r="H1553" t="str">
        <f>"BURNSED GARY CLAYTON &amp; APRIL L"</f>
        <v>BURNSED GARY CLAYTON &amp; APRIL L</v>
      </c>
      <c r="I1553" t="str">
        <f>"95085 WILDER BV"</f>
        <v>95085 WILDER BV</v>
      </c>
      <c r="J1553" t="str">
        <f t="shared" si="553"/>
        <v>FERNANDINA BEACH FL 32034</v>
      </c>
      <c r="K1553" t="str">
        <f>"95085 WILDER BV"</f>
        <v>95085 WILDER BV</v>
      </c>
      <c r="L1553" t="str">
        <f t="shared" si="554"/>
        <v>FERNANDINA BEACH FL 32034</v>
      </c>
      <c r="M1553" t="str">
        <f>"LOT 41 &amp; PT LOT 42 IN OR 2066/1905 (EX SOVEREIGN SUBMERGED LANDS LYING OUTSIDE OF DREDGED CANAL) DUROC FARMS S/D OR 21/524"</f>
        <v>LOT 41 &amp; PT LOT 42 IN OR 2066/1905 (EX SOVEREIGN SUBMERGED LANDS LYING OUTSIDE OF DREDGED CANAL) DUROC FARMS S/D OR 21/524</v>
      </c>
      <c r="N1553" t="str">
        <f>""</f>
        <v/>
      </c>
      <c r="O1553" t="str">
        <f>"41439"</f>
        <v>41439</v>
      </c>
      <c r="P1553" t="str">
        <f t="shared" si="548"/>
        <v>2017</v>
      </c>
      <c r="Q1553" t="str">
        <f>""</f>
        <v/>
      </c>
      <c r="R1553" t="str">
        <f t="shared" si="555"/>
        <v>N</v>
      </c>
      <c r="S1553" t="str">
        <f>""</f>
        <v/>
      </c>
      <c r="T1553" t="str">
        <f>"2352.12"</f>
        <v>2352.12</v>
      </c>
      <c r="U1553" t="str">
        <f>"155371.00"</f>
        <v>155371.00</v>
      </c>
      <c r="V1553" t="str">
        <f>"155371.00"</f>
        <v>155371.00</v>
      </c>
      <c r="W1553" t="str">
        <f t="shared" si="549"/>
        <v>2017</v>
      </c>
      <c r="X1553" t="str">
        <f>""</f>
        <v/>
      </c>
      <c r="Y1553" t="str">
        <f>"2454.68"</f>
        <v>2454.68</v>
      </c>
      <c r="Z1553" t="str">
        <f>""</f>
        <v/>
      </c>
      <c r="AA1553" t="str">
        <f>"155371.00"</f>
        <v>155371.00</v>
      </c>
      <c r="AB1553" t="str">
        <f t="shared" si="550"/>
        <v>Residential</v>
      </c>
      <c r="AC1553" t="str">
        <f t="shared" si="523"/>
        <v>0</v>
      </c>
      <c r="AD1553" t="str">
        <f>"4"</f>
        <v>4</v>
      </c>
      <c r="AE1553" t="str">
        <f>"WOOD (INCLUDE STEEL STUDS)"</f>
        <v>WOOD (INCLUDE STEEL STUDS)</v>
      </c>
      <c r="AF1553" t="str">
        <f>"001"</f>
        <v>001</v>
      </c>
      <c r="AG1553" t="str">
        <f t="shared" si="551"/>
        <v>FL</v>
      </c>
      <c r="AH1553" t="str">
        <f>"21780.00"</f>
        <v>21780.00</v>
      </c>
      <c r="AI1553" t="str">
        <f>"45000.00"</f>
        <v>45000.00</v>
      </c>
      <c r="AJ1553" t="str">
        <f>"C55-000-587-7621-2"</f>
        <v>C55-000-587-7621-2</v>
      </c>
      <c r="AK1553" t="str">
        <f>"28375"</f>
        <v>28375</v>
      </c>
      <c r="AL1553">
        <v>6</v>
      </c>
      <c r="AM1553">
        <v>1781</v>
      </c>
      <c r="AN1553">
        <v>2575.81</v>
      </c>
      <c r="AQ1553" t="s">
        <v>15717</v>
      </c>
      <c r="AR1553" t="s">
        <v>15717</v>
      </c>
      <c r="AS1553" t="s">
        <v>15717</v>
      </c>
      <c r="AU1553" t="s">
        <v>396</v>
      </c>
      <c r="AV1553">
        <v>2017</v>
      </c>
      <c r="AW1553" t="str">
        <f>"34-2N-28-4980-0041-0000 "</f>
        <v xml:space="preserve">34-2N-28-4980-0041-0000 </v>
      </c>
      <c r="AX1553">
        <v>95085</v>
      </c>
      <c r="AZ1553" t="s">
        <v>15718</v>
      </c>
      <c r="BD1553" t="s">
        <v>11749</v>
      </c>
      <c r="BE1553" t="s">
        <v>393</v>
      </c>
      <c r="BF1553">
        <v>32034</v>
      </c>
      <c r="BG1553" t="s">
        <v>15719</v>
      </c>
      <c r="BH1553" t="s">
        <v>11751</v>
      </c>
      <c r="BI1553">
        <v>-81.521478732844201</v>
      </c>
      <c r="BJ1553">
        <v>30.567802390077599</v>
      </c>
      <c r="BK1553" t="s">
        <v>15720</v>
      </c>
      <c r="BL1553" t="s">
        <v>15721</v>
      </c>
      <c r="BM1553" t="s">
        <v>15722</v>
      </c>
      <c r="BN1553" t="s">
        <v>3983</v>
      </c>
      <c r="BO1553">
        <v>32034</v>
      </c>
      <c r="BP1553" t="s">
        <v>416</v>
      </c>
      <c r="BQ1553">
        <v>100</v>
      </c>
      <c r="BR1553" t="s">
        <v>514</v>
      </c>
      <c r="BS1553">
        <v>1001</v>
      </c>
      <c r="BT1553" t="s">
        <v>515</v>
      </c>
      <c r="BW1553">
        <v>21780</v>
      </c>
      <c r="BX1553" t="s">
        <v>407</v>
      </c>
      <c r="BY1553" t="s">
        <v>2729</v>
      </c>
      <c r="BZ1553">
        <v>4</v>
      </c>
      <c r="CA1553">
        <v>1961</v>
      </c>
      <c r="CB1553">
        <v>2</v>
      </c>
      <c r="CC1553">
        <v>1</v>
      </c>
      <c r="CD1553">
        <v>2017</v>
      </c>
      <c r="CE1553">
        <v>45000</v>
      </c>
      <c r="CF1553">
        <v>110371</v>
      </c>
      <c r="CG1553">
        <v>155371</v>
      </c>
      <c r="CH1553">
        <v>2017</v>
      </c>
      <c r="CI1553">
        <v>45000</v>
      </c>
      <c r="CJ1553">
        <v>110371</v>
      </c>
      <c r="CK1553">
        <v>155371</v>
      </c>
      <c r="CL1553">
        <v>2017</v>
      </c>
      <c r="CM1553">
        <v>2352.12</v>
      </c>
      <c r="CN1553" s="1">
        <v>42605</v>
      </c>
      <c r="CO1553">
        <v>185000</v>
      </c>
      <c r="CV1553">
        <v>186115</v>
      </c>
      <c r="CX1553" t="s">
        <v>2042</v>
      </c>
      <c r="CZ1553" s="1">
        <v>42605</v>
      </c>
      <c r="DA1553">
        <v>0</v>
      </c>
      <c r="DD1553" t="s">
        <v>11749</v>
      </c>
      <c r="DF1553">
        <v>41</v>
      </c>
      <c r="DG1553">
        <v>34</v>
      </c>
      <c r="DL1553">
        <v>50303</v>
      </c>
      <c r="DM1553" t="s">
        <v>15689</v>
      </c>
      <c r="DO1553" t="s">
        <v>15723</v>
      </c>
      <c r="DP1553">
        <v>0</v>
      </c>
      <c r="DQ1553">
        <v>0</v>
      </c>
      <c r="DR1553" t="s">
        <v>411</v>
      </c>
    </row>
    <row r="1554" spans="1:260" x14ac:dyDescent="0.25">
      <c r="A1554">
        <v>16486561</v>
      </c>
      <c r="B1554">
        <v>1553</v>
      </c>
      <c r="C1554" t="s">
        <v>393</v>
      </c>
      <c r="D1554" t="s">
        <v>394</v>
      </c>
      <c r="F1554" t="str">
        <f>"34-2N-28-5132-0011-0000"</f>
        <v>34-2N-28-5132-0011-0000</v>
      </c>
      <c r="H1554" t="str">
        <f>"GIBSON JUDY C &amp; CLARK FRITZ H (JT/RS)"</f>
        <v>GIBSON JUDY C &amp; CLARK FRITZ H (JT/RS)</v>
      </c>
      <c r="I1554" t="str">
        <f>"95133 WILDER BLVD"</f>
        <v>95133 WILDER BLVD</v>
      </c>
      <c r="J1554" t="str">
        <f t="shared" si="553"/>
        <v>FERNANDINA BEACH FL 32034</v>
      </c>
      <c r="K1554" t="str">
        <f>"95133 WILDER BLVD"</f>
        <v>95133 WILDER BLVD</v>
      </c>
      <c r="L1554" t="str">
        <f t="shared" si="554"/>
        <v>FERNANDINA BEACH FL 32034</v>
      </c>
      <c r="M1554" t="str">
        <f>"LOT 11 IN OR 1340/1676 ELLIS LANDING SEC 2 UNR"</f>
        <v>LOT 11 IN OR 1340/1676 ELLIS LANDING SEC 2 UNR</v>
      </c>
      <c r="N1554" t="str">
        <f>""</f>
        <v/>
      </c>
      <c r="O1554" t="str">
        <f>"41447"</f>
        <v>41447</v>
      </c>
      <c r="P1554" t="str">
        <f t="shared" si="548"/>
        <v>2017</v>
      </c>
      <c r="Q1554" t="str">
        <f>""</f>
        <v/>
      </c>
      <c r="R1554" t="str">
        <f t="shared" si="555"/>
        <v>N</v>
      </c>
      <c r="S1554" t="str">
        <f>""</f>
        <v/>
      </c>
      <c r="T1554" t="str">
        <f>"1786.10"</f>
        <v>1786.10</v>
      </c>
      <c r="U1554" t="str">
        <f>"117981.00"</f>
        <v>117981.00</v>
      </c>
      <c r="V1554" t="str">
        <f>"117981.00"</f>
        <v>117981.00</v>
      </c>
      <c r="W1554" t="str">
        <f t="shared" si="549"/>
        <v>2017</v>
      </c>
      <c r="X1554" t="str">
        <f>""</f>
        <v/>
      </c>
      <c r="Y1554" t="str">
        <f>"1871.68"</f>
        <v>1871.68</v>
      </c>
      <c r="Z1554" t="str">
        <f>""</f>
        <v/>
      </c>
      <c r="AA1554" t="str">
        <f>"117981.00"</f>
        <v>117981.00</v>
      </c>
      <c r="AB1554" t="str">
        <f t="shared" si="550"/>
        <v>Residential</v>
      </c>
      <c r="AC1554" t="str">
        <f t="shared" si="523"/>
        <v>0</v>
      </c>
      <c r="AD1554" t="str">
        <f>"4"</f>
        <v>4</v>
      </c>
      <c r="AE1554" t="str">
        <f>"WOOD (INCLUDE STEEL STUDS)"</f>
        <v>WOOD (INCLUDE STEEL STUDS)</v>
      </c>
      <c r="AF1554" t="str">
        <f>"001"</f>
        <v>001</v>
      </c>
      <c r="AG1554" t="str">
        <f t="shared" si="551"/>
        <v>FL</v>
      </c>
      <c r="AH1554" t="str">
        <f>"-"</f>
        <v>-</v>
      </c>
      <c r="AI1554" t="str">
        <f>"33000.00"</f>
        <v>33000.00</v>
      </c>
      <c r="AJ1554" t="str">
        <f>"C55-000-587-7628-7"</f>
        <v>C55-000-587-7628-7</v>
      </c>
      <c r="AK1554" t="str">
        <f>"28383"</f>
        <v>28383</v>
      </c>
      <c r="AL1554">
        <v>6</v>
      </c>
      <c r="AM1554">
        <v>1783</v>
      </c>
      <c r="AN1554">
        <v>1963.66</v>
      </c>
      <c r="AQ1554" t="s">
        <v>15724</v>
      </c>
      <c r="AR1554" t="s">
        <v>15724</v>
      </c>
      <c r="AS1554" t="s">
        <v>15724</v>
      </c>
      <c r="AU1554" t="s">
        <v>396</v>
      </c>
      <c r="AV1554">
        <v>2017</v>
      </c>
      <c r="AW1554" t="str">
        <f>"34-2N-28-5132-0011-0000 "</f>
        <v xml:space="preserve">34-2N-28-5132-0011-0000 </v>
      </c>
      <c r="AX1554">
        <v>95133</v>
      </c>
      <c r="AZ1554" t="s">
        <v>15685</v>
      </c>
      <c r="BA1554" t="s">
        <v>6622</v>
      </c>
      <c r="BD1554" t="s">
        <v>11749</v>
      </c>
      <c r="BE1554" t="s">
        <v>393</v>
      </c>
      <c r="BF1554">
        <v>32034</v>
      </c>
      <c r="BG1554" t="s">
        <v>15725</v>
      </c>
      <c r="BH1554" t="s">
        <v>11751</v>
      </c>
      <c r="BI1554">
        <v>-81.521790904666204</v>
      </c>
      <c r="BJ1554">
        <v>30.568411381620798</v>
      </c>
      <c r="BK1554" t="s">
        <v>15726</v>
      </c>
      <c r="BM1554" t="s">
        <v>15725</v>
      </c>
      <c r="BN1554" t="s">
        <v>3983</v>
      </c>
      <c r="BO1554">
        <v>32034</v>
      </c>
      <c r="BP1554" t="s">
        <v>416</v>
      </c>
      <c r="BQ1554">
        <v>100</v>
      </c>
      <c r="BR1554" t="s">
        <v>514</v>
      </c>
      <c r="BS1554">
        <v>1001</v>
      </c>
      <c r="BT1554" t="s">
        <v>515</v>
      </c>
      <c r="BW1554">
        <v>37442</v>
      </c>
      <c r="BX1554" t="s">
        <v>407</v>
      </c>
      <c r="BY1554" t="s">
        <v>2729</v>
      </c>
      <c r="BZ1554">
        <v>4</v>
      </c>
      <c r="CA1554">
        <v>1978</v>
      </c>
      <c r="CB1554">
        <v>2</v>
      </c>
      <c r="CC1554">
        <v>1</v>
      </c>
      <c r="CD1554">
        <v>2017</v>
      </c>
      <c r="CE1554">
        <v>33000</v>
      </c>
      <c r="CF1554">
        <v>84981</v>
      </c>
      <c r="CG1554">
        <v>117981</v>
      </c>
      <c r="CH1554">
        <v>2017</v>
      </c>
      <c r="CI1554">
        <v>33000</v>
      </c>
      <c r="CJ1554">
        <v>84981</v>
      </c>
      <c r="CK1554">
        <v>117981</v>
      </c>
      <c r="CL1554">
        <v>2017</v>
      </c>
      <c r="CM1554">
        <v>1786.1</v>
      </c>
      <c r="CN1554" s="1">
        <v>43075</v>
      </c>
      <c r="CO1554">
        <v>135000</v>
      </c>
      <c r="CV1554">
        <v>0</v>
      </c>
      <c r="CZ1554" s="1">
        <v>43075</v>
      </c>
      <c r="DA1554">
        <v>0</v>
      </c>
      <c r="DD1554" t="s">
        <v>11749</v>
      </c>
      <c r="DF1554">
        <v>11</v>
      </c>
      <c r="DG1554">
        <v>34</v>
      </c>
      <c r="DJ1554" t="s">
        <v>15727</v>
      </c>
      <c r="DL1554">
        <v>50303</v>
      </c>
      <c r="DM1554" t="s">
        <v>15689</v>
      </c>
      <c r="DO1554" t="s">
        <v>15728</v>
      </c>
      <c r="DP1554">
        <v>0</v>
      </c>
      <c r="DQ1554">
        <v>0</v>
      </c>
      <c r="DR1554" t="s">
        <v>411</v>
      </c>
    </row>
    <row r="1555" spans="1:260" x14ac:dyDescent="0.25">
      <c r="A1555">
        <v>16486562</v>
      </c>
      <c r="B1555">
        <v>1554</v>
      </c>
      <c r="C1555" t="s">
        <v>393</v>
      </c>
      <c r="D1555" t="s">
        <v>394</v>
      </c>
      <c r="F1555" t="str">
        <f>"34-2N-28-5132-0012-0000"</f>
        <v>34-2N-28-5132-0012-0000</v>
      </c>
      <c r="H1555" t="str">
        <f>"GIBSON JUDY L"</f>
        <v>GIBSON JUDY L</v>
      </c>
      <c r="I1555" t="str">
        <f>"95133 WILDER BLVD"</f>
        <v>95133 WILDER BLVD</v>
      </c>
      <c r="J1555" t="str">
        <f t="shared" si="553"/>
        <v>FERNANDINA BEACH FL 32034</v>
      </c>
      <c r="K1555" t="str">
        <f>"WILDER PL"</f>
        <v>WILDER PL</v>
      </c>
      <c r="L1555" t="str">
        <f t="shared" si="554"/>
        <v>FERNANDINA BEACH FL 32034</v>
      </c>
      <c r="M1555" t="str">
        <f>"LOT 12 IN OR 1801/93 ELLIS LANDING SEC 2 UNR"</f>
        <v>LOT 12 IN OR 1801/93 ELLIS LANDING SEC 2 UNR</v>
      </c>
      <c r="N1555" t="str">
        <f>""</f>
        <v/>
      </c>
      <c r="O1555" t="str">
        <f>"41448"</f>
        <v>41448</v>
      </c>
      <c r="P1555" t="str">
        <f t="shared" si="548"/>
        <v>2017</v>
      </c>
      <c r="Q1555" t="str">
        <f>""</f>
        <v/>
      </c>
      <c r="R1555" t="str">
        <f t="shared" si="555"/>
        <v>N</v>
      </c>
      <c r="S1555" t="str">
        <f>""</f>
        <v/>
      </c>
      <c r="T1555" t="str">
        <f>"541.30"</f>
        <v>541.30</v>
      </c>
      <c r="U1555" t="str">
        <f>"33250.00"</f>
        <v>33250.00</v>
      </c>
      <c r="V1555" t="str">
        <f>"33250.00"</f>
        <v>33250.00</v>
      </c>
      <c r="W1555" t="str">
        <f t="shared" si="549"/>
        <v>2017</v>
      </c>
      <c r="X1555" t="str">
        <f>"20.29"</f>
        <v>20.29</v>
      </c>
      <c r="Y1555" t="str">
        <f>"589.54"</f>
        <v>589.54</v>
      </c>
      <c r="Z1555" t="str">
        <f>""</f>
        <v/>
      </c>
      <c r="AA1555" t="str">
        <f>"39000.00"</f>
        <v>39000.00</v>
      </c>
      <c r="AB1555" t="str">
        <f t="shared" si="550"/>
        <v>Residential</v>
      </c>
      <c r="AC1555" t="str">
        <f t="shared" si="523"/>
        <v>0</v>
      </c>
      <c r="AD1555" t="str">
        <f>""</f>
        <v/>
      </c>
      <c r="AE1555" t="str">
        <f>""</f>
        <v/>
      </c>
      <c r="AF1555" t="str">
        <f>"000"</f>
        <v>000</v>
      </c>
      <c r="AG1555" t="str">
        <f t="shared" si="551"/>
        <v>FL</v>
      </c>
      <c r="AH1555" t="str">
        <f>"-"</f>
        <v>-</v>
      </c>
      <c r="AI1555" t="str">
        <f>"36000.00"</f>
        <v>36000.00</v>
      </c>
      <c r="AJ1555" t="str">
        <f>"C55-000-587-7629-5"</f>
        <v>C55-000-587-7629-5</v>
      </c>
      <c r="AK1555" t="str">
        <f>"28384"</f>
        <v>28384</v>
      </c>
      <c r="AL1555">
        <v>6</v>
      </c>
      <c r="AM1555">
        <v>1784</v>
      </c>
      <c r="AN1555">
        <v>617.41999999999996</v>
      </c>
      <c r="AQ1555" t="s">
        <v>15729</v>
      </c>
      <c r="AR1555" t="s">
        <v>15729</v>
      </c>
      <c r="AS1555" t="s">
        <v>15729</v>
      </c>
      <c r="AU1555" t="s">
        <v>396</v>
      </c>
      <c r="AV1555">
        <v>2017</v>
      </c>
      <c r="AW1555" t="str">
        <f>"34-2N-28-5132-0012-0000 "</f>
        <v xml:space="preserve">34-2N-28-5132-0012-0000 </v>
      </c>
      <c r="AZ1555" t="s">
        <v>15685</v>
      </c>
      <c r="BA1555" t="s">
        <v>641</v>
      </c>
      <c r="BD1555" t="s">
        <v>11749</v>
      </c>
      <c r="BE1555" t="s">
        <v>393</v>
      </c>
      <c r="BF1555">
        <v>32034</v>
      </c>
      <c r="BG1555" t="s">
        <v>15730</v>
      </c>
      <c r="BH1555" t="s">
        <v>11751</v>
      </c>
      <c r="BI1555">
        <v>-81.521672839248794</v>
      </c>
      <c r="BJ1555">
        <v>30.5681253897788</v>
      </c>
      <c r="BK1555" t="s">
        <v>15731</v>
      </c>
      <c r="BM1555" t="s">
        <v>15725</v>
      </c>
      <c r="BN1555" t="s">
        <v>3983</v>
      </c>
      <c r="BO1555">
        <v>32034</v>
      </c>
      <c r="BP1555" t="s">
        <v>404</v>
      </c>
      <c r="BQ1555">
        <v>1</v>
      </c>
      <c r="BR1555" t="s">
        <v>491</v>
      </c>
      <c r="BS1555">
        <v>8001</v>
      </c>
      <c r="BT1555" t="s">
        <v>492</v>
      </c>
      <c r="BW1555">
        <v>32602</v>
      </c>
      <c r="BX1555" t="s">
        <v>407</v>
      </c>
      <c r="BY1555" t="s">
        <v>2729</v>
      </c>
      <c r="CD1555">
        <v>2017</v>
      </c>
      <c r="CE1555">
        <v>36000</v>
      </c>
      <c r="CF1555">
        <v>3000</v>
      </c>
      <c r="CG1555">
        <v>39000</v>
      </c>
      <c r="CH1555">
        <v>2017</v>
      </c>
      <c r="CI1555">
        <v>36000</v>
      </c>
      <c r="CJ1555">
        <v>3000</v>
      </c>
      <c r="CK1555">
        <v>39000</v>
      </c>
      <c r="CL1555">
        <v>2017</v>
      </c>
      <c r="CM1555">
        <v>541.29999999999995</v>
      </c>
      <c r="CN1555" s="1">
        <v>41054</v>
      </c>
      <c r="CZ1555" s="1">
        <v>41054</v>
      </c>
      <c r="DD1555" t="s">
        <v>11749</v>
      </c>
      <c r="DF1555">
        <v>12</v>
      </c>
      <c r="DG1555">
        <v>34</v>
      </c>
      <c r="DJ1555" t="s">
        <v>15727</v>
      </c>
      <c r="DL1555">
        <v>50303</v>
      </c>
      <c r="DM1555" t="s">
        <v>15689</v>
      </c>
      <c r="DO1555" t="s">
        <v>15732</v>
      </c>
      <c r="DP1555">
        <v>0</v>
      </c>
      <c r="DQ1555">
        <v>0</v>
      </c>
      <c r="DR1555" t="s">
        <v>411</v>
      </c>
      <c r="DS1555" t="b">
        <v>1</v>
      </c>
      <c r="DT1555" t="s">
        <v>8902</v>
      </c>
      <c r="DV1555" t="s">
        <v>446</v>
      </c>
      <c r="DX1555">
        <v>9</v>
      </c>
      <c r="DY1555" t="s">
        <v>11438</v>
      </c>
      <c r="DZ1555" t="s">
        <v>447</v>
      </c>
      <c r="EA1555" t="s">
        <v>448</v>
      </c>
      <c r="EB1555" t="s">
        <v>15733</v>
      </c>
      <c r="EC1555">
        <v>20101217</v>
      </c>
      <c r="ED1555" t="s">
        <v>450</v>
      </c>
      <c r="EE1555">
        <v>5</v>
      </c>
      <c r="EF1555">
        <v>0</v>
      </c>
      <c r="EG1555">
        <v>0</v>
      </c>
      <c r="EI1555">
        <v>20160407</v>
      </c>
      <c r="EJ1555">
        <v>0</v>
      </c>
      <c r="EK1555">
        <v>0</v>
      </c>
      <c r="EP1555" t="s">
        <v>421</v>
      </c>
      <c r="EQ1555" t="s">
        <v>422</v>
      </c>
      <c r="ER1555">
        <v>0</v>
      </c>
      <c r="ES1555">
        <v>3</v>
      </c>
      <c r="ET1555">
        <v>0</v>
      </c>
      <c r="EU1555">
        <v>0</v>
      </c>
      <c r="EV1555">
        <v>0</v>
      </c>
      <c r="EW1555" s="2">
        <v>43222</v>
      </c>
      <c r="EX1555" s="1">
        <v>42879</v>
      </c>
      <c r="EY1555">
        <v>2016</v>
      </c>
      <c r="EZ1555">
        <v>546.02</v>
      </c>
      <c r="FA1555" t="s">
        <v>15734</v>
      </c>
      <c r="FB1555">
        <v>0.25</v>
      </c>
      <c r="FC1555" t="s">
        <v>424</v>
      </c>
      <c r="FD1555" t="s">
        <v>425</v>
      </c>
      <c r="FE1555" s="1">
        <v>43026</v>
      </c>
      <c r="FF1555">
        <v>5</v>
      </c>
      <c r="FG1555">
        <v>305</v>
      </c>
      <c r="FH1555" t="s">
        <v>1078</v>
      </c>
      <c r="FJ1555" s="1">
        <v>42515</v>
      </c>
      <c r="FK1555">
        <v>2015</v>
      </c>
      <c r="FL1555">
        <v>447.15</v>
      </c>
      <c r="FM1555" t="s">
        <v>15735</v>
      </c>
      <c r="FN1555">
        <v>14.75</v>
      </c>
      <c r="FO1555" t="s">
        <v>424</v>
      </c>
      <c r="FP1555" t="s">
        <v>425</v>
      </c>
      <c r="FQ1555" s="1">
        <v>43026</v>
      </c>
      <c r="FR1555">
        <v>17</v>
      </c>
      <c r="FS1555">
        <v>7336143</v>
      </c>
      <c r="FT1555" t="s">
        <v>539</v>
      </c>
      <c r="FV1555" s="1">
        <v>42151</v>
      </c>
      <c r="FW1555">
        <v>2014</v>
      </c>
      <c r="FX1555">
        <v>449.29</v>
      </c>
      <c r="FY1555" t="s">
        <v>15736</v>
      </c>
      <c r="FZ1555">
        <v>5.5</v>
      </c>
      <c r="GA1555" t="s">
        <v>424</v>
      </c>
      <c r="GB1555" t="s">
        <v>425</v>
      </c>
      <c r="GC1555" s="1">
        <v>43026</v>
      </c>
      <c r="GD1555">
        <v>29</v>
      </c>
      <c r="GE1555">
        <v>10125</v>
      </c>
      <c r="GF1555" t="s">
        <v>440</v>
      </c>
    </row>
    <row r="1556" spans="1:260" x14ac:dyDescent="0.25">
      <c r="A1556">
        <v>16486563</v>
      </c>
      <c r="B1556">
        <v>1555</v>
      </c>
      <c r="C1556" t="s">
        <v>393</v>
      </c>
      <c r="D1556" t="s">
        <v>394</v>
      </c>
      <c r="F1556" t="str">
        <f>"35-2N-28-0000-0001-0020"</f>
        <v>35-2N-28-0000-0001-0020</v>
      </c>
      <c r="H1556" t="str">
        <f>"JUSTICE JENNIFER"</f>
        <v>JUSTICE JENNIFER</v>
      </c>
      <c r="I1556" t="str">
        <f>"85581 LONNIE CREWS ROAD"</f>
        <v>85581 LONNIE CREWS ROAD</v>
      </c>
      <c r="J1556" t="str">
        <f t="shared" si="553"/>
        <v>FERNANDINA BEACH FL 32034</v>
      </c>
      <c r="K1556" t="str">
        <f>"85581 LONNIE CREWS RD"</f>
        <v>85581 LONNIE CREWS RD</v>
      </c>
      <c r="L1556" t="str">
        <f t="shared" si="554"/>
        <v>FERNANDINA BEACH FL 32034</v>
      </c>
      <c r="M1556" t="str">
        <f>"PT FRAC SEC 35-2N-28E PAR 1-20 IN OR 1471/1801 (EX R/W OR 154/123)"</f>
        <v>PT FRAC SEC 35-2N-28E PAR 1-20 IN OR 1471/1801 (EX R/W OR 154/123)</v>
      </c>
      <c r="N1556" t="str">
        <f>""</f>
        <v/>
      </c>
      <c r="O1556" t="str">
        <f>"41636"</f>
        <v>41636</v>
      </c>
      <c r="P1556" t="str">
        <f t="shared" si="548"/>
        <v>2017</v>
      </c>
      <c r="Q1556" t="str">
        <f>""</f>
        <v/>
      </c>
      <c r="R1556" t="str">
        <f t="shared" si="555"/>
        <v>N</v>
      </c>
      <c r="S1556" t="str">
        <f>"2.71"</f>
        <v>2.71</v>
      </c>
      <c r="T1556" t="str">
        <f>"1227.75"</f>
        <v>1227.75</v>
      </c>
      <c r="U1556" t="str">
        <f>"81099.00"</f>
        <v>81099.00</v>
      </c>
      <c r="V1556" t="str">
        <f>"81099.00"</f>
        <v>81099.00</v>
      </c>
      <c r="W1556" t="str">
        <f t="shared" si="549"/>
        <v>2017</v>
      </c>
      <c r="X1556" t="str">
        <f>""</f>
        <v/>
      </c>
      <c r="Y1556" t="str">
        <f>"1296.58"</f>
        <v>1296.58</v>
      </c>
      <c r="Z1556" t="str">
        <f>""</f>
        <v/>
      </c>
      <c r="AA1556" t="str">
        <f>"81099.00"</f>
        <v>81099.00</v>
      </c>
      <c r="AB1556" t="str">
        <f t="shared" si="550"/>
        <v>Residential</v>
      </c>
      <c r="AC1556" t="str">
        <f t="shared" si="523"/>
        <v>0</v>
      </c>
      <c r="AD1556" t="str">
        <f t="shared" ref="AD1556:AD1561" si="556">"4"</f>
        <v>4</v>
      </c>
      <c r="AE1556" t="str">
        <f t="shared" ref="AE1556:AE1561" si="557">"WOOD (INCLUDE STEEL STUDS)"</f>
        <v>WOOD (INCLUDE STEEL STUDS)</v>
      </c>
      <c r="AF1556" t="str">
        <f>"002"</f>
        <v>002</v>
      </c>
      <c r="AG1556" t="str">
        <f t="shared" si="551"/>
        <v>FL</v>
      </c>
      <c r="AH1556" t="str">
        <f>"118047.00"</f>
        <v>118047.00</v>
      </c>
      <c r="AI1556" t="str">
        <f>"67750.00"</f>
        <v>67750.00</v>
      </c>
      <c r="AJ1556" t="str">
        <f>"C55-000-587-7788-9"</f>
        <v>C55-000-587-7788-9</v>
      </c>
      <c r="AK1556" t="str">
        <f>"28386"</f>
        <v>28386</v>
      </c>
      <c r="AL1556">
        <v>6</v>
      </c>
      <c r="AM1556">
        <v>1785</v>
      </c>
      <c r="AN1556">
        <v>1359.81</v>
      </c>
      <c r="AQ1556" t="s">
        <v>15737</v>
      </c>
      <c r="AR1556" t="s">
        <v>15737</v>
      </c>
      <c r="AS1556" t="s">
        <v>15737</v>
      </c>
      <c r="AU1556" t="s">
        <v>396</v>
      </c>
      <c r="AV1556">
        <v>2017</v>
      </c>
      <c r="AW1556" t="str">
        <f>"35-2N-28-0000-0001-0020 "</f>
        <v xml:space="preserve">35-2N-28-0000-0001-0020 </v>
      </c>
      <c r="AX1556">
        <v>85581</v>
      </c>
      <c r="AZ1556" t="s">
        <v>12270</v>
      </c>
      <c r="BA1556" t="s">
        <v>496</v>
      </c>
      <c r="BD1556" t="s">
        <v>11749</v>
      </c>
      <c r="BE1556" t="s">
        <v>393</v>
      </c>
      <c r="BF1556">
        <v>32034</v>
      </c>
      <c r="BG1556" t="s">
        <v>15738</v>
      </c>
      <c r="BH1556" t="s">
        <v>11751</v>
      </c>
      <c r="BI1556">
        <v>-81.542604566939801</v>
      </c>
      <c r="BJ1556">
        <v>30.5671819553354</v>
      </c>
      <c r="BK1556" t="s">
        <v>15739</v>
      </c>
      <c r="BM1556" t="s">
        <v>15738</v>
      </c>
      <c r="BN1556" t="s">
        <v>3983</v>
      </c>
      <c r="BO1556">
        <v>32034</v>
      </c>
      <c r="BP1556" t="s">
        <v>416</v>
      </c>
      <c r="BQ1556">
        <v>200</v>
      </c>
      <c r="BR1556" t="s">
        <v>405</v>
      </c>
      <c r="BS1556">
        <v>1006</v>
      </c>
      <c r="BT1556" t="s">
        <v>406</v>
      </c>
      <c r="BW1556">
        <v>118047</v>
      </c>
      <c r="BX1556" t="s">
        <v>407</v>
      </c>
      <c r="BY1556" t="s">
        <v>408</v>
      </c>
      <c r="BZ1556">
        <v>4</v>
      </c>
      <c r="CA1556">
        <v>1974</v>
      </c>
      <c r="CB1556">
        <v>1</v>
      </c>
      <c r="CC1556">
        <v>1</v>
      </c>
      <c r="CD1556">
        <v>2017</v>
      </c>
      <c r="CE1556">
        <v>67750</v>
      </c>
      <c r="CF1556">
        <v>13349</v>
      </c>
      <c r="CG1556">
        <v>81099</v>
      </c>
      <c r="CH1556">
        <v>2017</v>
      </c>
      <c r="CI1556">
        <v>67750</v>
      </c>
      <c r="CJ1556">
        <v>13349</v>
      </c>
      <c r="CK1556">
        <v>81099</v>
      </c>
      <c r="CL1556">
        <v>2017</v>
      </c>
      <c r="CM1556">
        <v>1227.75</v>
      </c>
      <c r="CN1556" s="1">
        <v>36879</v>
      </c>
      <c r="CO1556">
        <v>86100</v>
      </c>
      <c r="CV1556">
        <v>0</v>
      </c>
      <c r="CZ1556" s="1">
        <v>36879</v>
      </c>
      <c r="DA1556">
        <v>0</v>
      </c>
      <c r="DD1556" t="s">
        <v>11749</v>
      </c>
      <c r="DG1556">
        <v>35</v>
      </c>
      <c r="DL1556">
        <v>50303</v>
      </c>
      <c r="DM1556" t="s">
        <v>15740</v>
      </c>
      <c r="DO1556" t="s">
        <v>15741</v>
      </c>
      <c r="DP1556">
        <v>0</v>
      </c>
      <c r="DQ1556">
        <v>0</v>
      </c>
      <c r="DR1556" t="s">
        <v>411</v>
      </c>
      <c r="DS1556" t="b">
        <v>1</v>
      </c>
      <c r="DT1556" t="s">
        <v>470</v>
      </c>
      <c r="DU1556" t="s">
        <v>471</v>
      </c>
      <c r="DV1556" t="s">
        <v>472</v>
      </c>
      <c r="DX1556">
        <v>-9999</v>
      </c>
      <c r="DZ1556" t="s">
        <v>447</v>
      </c>
      <c r="EA1556" t="s">
        <v>448</v>
      </c>
      <c r="EB1556" t="s">
        <v>742</v>
      </c>
      <c r="EC1556">
        <v>20101217</v>
      </c>
      <c r="ED1556" t="s">
        <v>474</v>
      </c>
      <c r="EF1556">
        <v>1471.1</v>
      </c>
      <c r="EG1556">
        <v>306.39999999999998</v>
      </c>
      <c r="EI1556">
        <v>20160407</v>
      </c>
      <c r="EJ1556">
        <v>0</v>
      </c>
      <c r="EK1556">
        <v>0</v>
      </c>
      <c r="EP1556" t="s">
        <v>421</v>
      </c>
      <c r="EQ1556" t="s">
        <v>422</v>
      </c>
      <c r="ER1556">
        <v>4</v>
      </c>
      <c r="ES1556">
        <v>0</v>
      </c>
      <c r="ET1556">
        <v>2296.94</v>
      </c>
      <c r="EU1556">
        <v>139.85</v>
      </c>
      <c r="EV1556">
        <v>2436.79</v>
      </c>
      <c r="EW1556" s="2">
        <v>43222</v>
      </c>
      <c r="EX1556" s="1">
        <v>42879</v>
      </c>
      <c r="EY1556">
        <v>2016</v>
      </c>
      <c r="EZ1556">
        <v>570.13</v>
      </c>
      <c r="FA1556" t="s">
        <v>15742</v>
      </c>
      <c r="FB1556">
        <v>0.25</v>
      </c>
      <c r="FC1556" t="s">
        <v>424</v>
      </c>
      <c r="FD1556" t="s">
        <v>454</v>
      </c>
      <c r="FF1556">
        <v>12</v>
      </c>
      <c r="FG1556">
        <v>7400234</v>
      </c>
      <c r="FH1556" t="s">
        <v>426</v>
      </c>
      <c r="FJ1556" s="1">
        <v>42879</v>
      </c>
      <c r="FK1556">
        <v>2016</v>
      </c>
      <c r="FL1556">
        <v>570.13</v>
      </c>
      <c r="FM1556" t="s">
        <v>15742</v>
      </c>
      <c r="FN1556">
        <v>0.25</v>
      </c>
      <c r="FO1556" t="s">
        <v>424</v>
      </c>
      <c r="FP1556" t="s">
        <v>454</v>
      </c>
      <c r="FR1556">
        <v>12</v>
      </c>
      <c r="FS1556">
        <v>7510299</v>
      </c>
      <c r="FT1556" t="s">
        <v>15743</v>
      </c>
      <c r="FV1556" s="1">
        <v>42515</v>
      </c>
      <c r="FW1556">
        <v>2015</v>
      </c>
      <c r="FX1556">
        <v>578.34</v>
      </c>
      <c r="FY1556" t="s">
        <v>15744</v>
      </c>
      <c r="FZ1556">
        <v>0.25</v>
      </c>
      <c r="GA1556" t="s">
        <v>424</v>
      </c>
      <c r="GB1556" t="s">
        <v>454</v>
      </c>
      <c r="GD1556">
        <v>24</v>
      </c>
      <c r="GE1556">
        <v>2851116</v>
      </c>
      <c r="GF1556" t="s">
        <v>480</v>
      </c>
      <c r="GH1556" s="1">
        <v>42515</v>
      </c>
      <c r="GI1556">
        <v>2015</v>
      </c>
      <c r="GJ1556">
        <v>578.34</v>
      </c>
      <c r="GK1556" t="s">
        <v>15744</v>
      </c>
      <c r="GL1556">
        <v>0.25</v>
      </c>
      <c r="GM1556" t="s">
        <v>424</v>
      </c>
      <c r="GN1556" t="s">
        <v>454</v>
      </c>
      <c r="GP1556">
        <v>24</v>
      </c>
      <c r="GQ1556">
        <v>5240178</v>
      </c>
      <c r="GR1556" t="s">
        <v>15745</v>
      </c>
    </row>
    <row r="1557" spans="1:260" x14ac:dyDescent="0.25">
      <c r="A1557">
        <v>16486564</v>
      </c>
      <c r="B1557">
        <v>1556</v>
      </c>
      <c r="C1557" t="s">
        <v>393</v>
      </c>
      <c r="D1557" t="s">
        <v>394</v>
      </c>
      <c r="F1557" t="str">
        <f>"35-2N-28-0000-0001-0100"</f>
        <v>35-2N-28-0000-0001-0100</v>
      </c>
      <c r="H1557" t="str">
        <f>"SPAULDING TERRY G &amp; PATTY"</f>
        <v>SPAULDING TERRY G &amp; PATTY</v>
      </c>
      <c r="I1557" t="str">
        <f>"95379 DOUGLAS RD"</f>
        <v>95379 DOUGLAS RD</v>
      </c>
      <c r="J1557" t="str">
        <f t="shared" si="553"/>
        <v>FERNANDINA BEACH FL 32034</v>
      </c>
      <c r="K1557" t="str">
        <f>"95379 DOUGLAS RD"</f>
        <v>95379 DOUGLAS RD</v>
      </c>
      <c r="L1557" t="str">
        <f t="shared" si="554"/>
        <v>FERNANDINA BEACH FL 32034</v>
      </c>
      <c r="M1557" t="str">
        <f>"IN OR 835 PG 1492 AKA LOT 22 MOBLEY HEIGHTS UNR"</f>
        <v>IN OR 835 PG 1492 AKA LOT 22 MOBLEY HEIGHTS UNR</v>
      </c>
      <c r="N1557" t="str">
        <f>""</f>
        <v/>
      </c>
      <c r="O1557" t="str">
        <f>"41643"</f>
        <v>41643</v>
      </c>
      <c r="P1557" t="str">
        <f t="shared" si="548"/>
        <v>2017</v>
      </c>
      <c r="Q1557" t="str">
        <f>""</f>
        <v/>
      </c>
      <c r="R1557" t="str">
        <f>"Y"</f>
        <v>Y</v>
      </c>
      <c r="S1557" t="str">
        <f>"2.00"</f>
        <v>2.00</v>
      </c>
      <c r="T1557" t="str">
        <f>"1527.78"</f>
        <v>1527.78</v>
      </c>
      <c r="U1557" t="str">
        <f>"140023.00"</f>
        <v>140023.00</v>
      </c>
      <c r="V1557" t="str">
        <f>"140023.00"</f>
        <v>140023.00</v>
      </c>
      <c r="W1557" t="str">
        <f t="shared" si="549"/>
        <v>2017</v>
      </c>
      <c r="X1557" t="str">
        <f>"1.50"</f>
        <v>1.50</v>
      </c>
      <c r="Y1557" t="str">
        <f>"1605.61"</f>
        <v>1605.61</v>
      </c>
      <c r="Z1557" t="str">
        <f>"25000.00"</f>
        <v>25000.00</v>
      </c>
      <c r="AA1557" t="str">
        <f>"115023.00"</f>
        <v>115023.00</v>
      </c>
      <c r="AB1557" t="str">
        <f t="shared" si="550"/>
        <v>Residential</v>
      </c>
      <c r="AC1557" t="str">
        <f t="shared" si="523"/>
        <v>0</v>
      </c>
      <c r="AD1557" t="str">
        <f t="shared" si="556"/>
        <v>4</v>
      </c>
      <c r="AE1557" t="str">
        <f t="shared" si="557"/>
        <v>WOOD (INCLUDE STEEL STUDS)</v>
      </c>
      <c r="AF1557" t="str">
        <f>"001"</f>
        <v>001</v>
      </c>
      <c r="AG1557" t="str">
        <f t="shared" si="551"/>
        <v>FL</v>
      </c>
      <c r="AH1557" t="str">
        <f>"87120.00"</f>
        <v>87120.00</v>
      </c>
      <c r="AI1557" t="str">
        <f>"50000.00"</f>
        <v>50000.00</v>
      </c>
      <c r="AJ1557" t="str">
        <f>"C55-000-587-7795-4"</f>
        <v>C55-000-587-7795-4</v>
      </c>
      <c r="AK1557" t="str">
        <f>"28393"</f>
        <v>28393</v>
      </c>
      <c r="AL1557">
        <v>6</v>
      </c>
      <c r="AM1557">
        <v>1786</v>
      </c>
      <c r="AN1557">
        <v>1684.29</v>
      </c>
      <c r="AQ1557" t="s">
        <v>15746</v>
      </c>
      <c r="AR1557" t="s">
        <v>15746</v>
      </c>
      <c r="AS1557" t="s">
        <v>15746</v>
      </c>
      <c r="AU1557" t="s">
        <v>396</v>
      </c>
      <c r="AV1557">
        <v>2017</v>
      </c>
      <c r="AW1557" t="str">
        <f>"35-2N-28-0000-0001-0100 "</f>
        <v xml:space="preserve">35-2N-28-0000-0001-0100 </v>
      </c>
      <c r="AX1557">
        <v>95379</v>
      </c>
      <c r="AZ1557" t="s">
        <v>15747</v>
      </c>
      <c r="BA1557" t="s">
        <v>496</v>
      </c>
      <c r="BD1557" t="s">
        <v>11749</v>
      </c>
      <c r="BE1557" t="s">
        <v>393</v>
      </c>
      <c r="BF1557">
        <v>32034</v>
      </c>
      <c r="BG1557" t="s">
        <v>15748</v>
      </c>
      <c r="BH1557" t="s">
        <v>11751</v>
      </c>
      <c r="BI1557">
        <v>-81.531186023950795</v>
      </c>
      <c r="BJ1557">
        <v>30.572270126728</v>
      </c>
      <c r="BK1557" t="s">
        <v>15749</v>
      </c>
      <c r="BL1557" t="s">
        <v>15750</v>
      </c>
      <c r="BM1557" t="s">
        <v>15748</v>
      </c>
      <c r="BN1557" t="s">
        <v>3983</v>
      </c>
      <c r="BO1557">
        <v>32034</v>
      </c>
      <c r="BP1557" t="s">
        <v>416</v>
      </c>
      <c r="BQ1557">
        <v>100</v>
      </c>
      <c r="BR1557" t="s">
        <v>514</v>
      </c>
      <c r="BS1557">
        <v>1001</v>
      </c>
      <c r="BT1557" t="s">
        <v>515</v>
      </c>
      <c r="BW1557">
        <v>87120</v>
      </c>
      <c r="BX1557" t="s">
        <v>407</v>
      </c>
      <c r="BY1557" t="s">
        <v>408</v>
      </c>
      <c r="BZ1557">
        <v>4</v>
      </c>
      <c r="CA1557">
        <v>1978</v>
      </c>
      <c r="CB1557">
        <v>1</v>
      </c>
      <c r="CC1557">
        <v>2</v>
      </c>
      <c r="CD1557">
        <v>2017</v>
      </c>
      <c r="CG1557">
        <v>140023</v>
      </c>
      <c r="CH1557">
        <v>2017</v>
      </c>
      <c r="CI1557">
        <v>50000</v>
      </c>
      <c r="CJ1557">
        <v>106210</v>
      </c>
      <c r="CK1557">
        <v>156210</v>
      </c>
      <c r="CL1557">
        <v>2017</v>
      </c>
      <c r="CM1557">
        <v>1527.78</v>
      </c>
      <c r="CN1557" s="1">
        <v>36595</v>
      </c>
      <c r="CO1557">
        <v>91900</v>
      </c>
      <c r="CV1557">
        <v>101600</v>
      </c>
      <c r="CZ1557" s="1">
        <v>36595</v>
      </c>
      <c r="DA1557">
        <v>0</v>
      </c>
      <c r="DD1557" t="s">
        <v>11749</v>
      </c>
      <c r="DF1557">
        <v>22</v>
      </c>
      <c r="DG1557">
        <v>35</v>
      </c>
      <c r="DL1557">
        <v>50303</v>
      </c>
      <c r="DM1557" t="s">
        <v>15740</v>
      </c>
      <c r="DO1557" t="s">
        <v>15751</v>
      </c>
      <c r="DP1557">
        <v>0</v>
      </c>
      <c r="DQ1557">
        <v>0</v>
      </c>
      <c r="DR1557" t="s">
        <v>411</v>
      </c>
      <c r="EP1557" t="s">
        <v>421</v>
      </c>
      <c r="EQ1557" t="s">
        <v>422</v>
      </c>
      <c r="ER1557">
        <v>0</v>
      </c>
      <c r="ES1557">
        <v>2</v>
      </c>
      <c r="ET1557">
        <v>0</v>
      </c>
      <c r="EU1557">
        <v>0</v>
      </c>
      <c r="EV1557">
        <v>0</v>
      </c>
      <c r="EW1557" s="2">
        <v>43222</v>
      </c>
      <c r="EX1557" s="1">
        <v>42879</v>
      </c>
      <c r="EY1557">
        <v>2016</v>
      </c>
      <c r="EZ1557">
        <v>1669.13</v>
      </c>
      <c r="FA1557" t="s">
        <v>15752</v>
      </c>
      <c r="FB1557">
        <v>0.25</v>
      </c>
      <c r="FC1557" t="s">
        <v>424</v>
      </c>
      <c r="FD1557" t="s">
        <v>425</v>
      </c>
      <c r="FE1557" s="1">
        <v>42898</v>
      </c>
      <c r="FF1557">
        <v>1</v>
      </c>
      <c r="FG1557">
        <v>2851116</v>
      </c>
      <c r="FH1557" t="s">
        <v>480</v>
      </c>
      <c r="FJ1557" s="1">
        <v>42879</v>
      </c>
      <c r="FK1557">
        <v>2016</v>
      </c>
      <c r="FL1557">
        <v>1669.13</v>
      </c>
      <c r="FM1557" t="s">
        <v>15752</v>
      </c>
      <c r="FN1557">
        <v>0.25</v>
      </c>
      <c r="FO1557" t="s">
        <v>424</v>
      </c>
      <c r="FP1557" t="s">
        <v>425</v>
      </c>
      <c r="FR1557">
        <v>22</v>
      </c>
      <c r="FS1557">
        <v>5080251</v>
      </c>
      <c r="FT1557" t="s">
        <v>15753</v>
      </c>
    </row>
    <row r="1558" spans="1:260" x14ac:dyDescent="0.25">
      <c r="A1558">
        <v>16486565</v>
      </c>
      <c r="B1558">
        <v>1557</v>
      </c>
      <c r="C1558" t="s">
        <v>393</v>
      </c>
      <c r="D1558" t="s">
        <v>394</v>
      </c>
      <c r="F1558" t="str">
        <f>"35-2N-28-0000-0001-0220"</f>
        <v>35-2N-28-0000-0001-0220</v>
      </c>
      <c r="H1558" t="str">
        <f>"PICKETT MATT S &amp; MYRA JANE"</f>
        <v>PICKETT MATT S &amp; MYRA JANE</v>
      </c>
      <c r="I1558" t="str">
        <f>"85044 CREWS ROAD"</f>
        <v>85044 CREWS ROAD</v>
      </c>
      <c r="J1558" t="str">
        <f t="shared" si="553"/>
        <v>FERNANDINA BEACH FL 32034</v>
      </c>
      <c r="K1558" t="str">
        <f>"85044 CREWS RD"</f>
        <v>85044 CREWS RD</v>
      </c>
      <c r="L1558" t="str">
        <f t="shared" si="554"/>
        <v>FERNANDINA BEACH FL 32034</v>
      </c>
      <c r="M1558" t="str">
        <f>"IN OR 1597/877 EX R/W OR 619/1263 EX 1-112"</f>
        <v>IN OR 1597/877 EX R/W OR 619/1263 EX 1-112</v>
      </c>
      <c r="N1558" t="str">
        <f>""</f>
        <v/>
      </c>
      <c r="O1558" t="str">
        <f>"41654"</f>
        <v>41654</v>
      </c>
      <c r="P1558" t="str">
        <f t="shared" si="548"/>
        <v>2017</v>
      </c>
      <c r="Q1558" t="str">
        <f>""</f>
        <v/>
      </c>
      <c r="R1558" t="str">
        <f>"Y"</f>
        <v>Y</v>
      </c>
      <c r="S1558" t="str">
        <f>"2.75"</f>
        <v>2.75</v>
      </c>
      <c r="T1558" t="str">
        <f>"1205.12"</f>
        <v>1205.12</v>
      </c>
      <c r="U1558" t="str">
        <f>"118709.00"</f>
        <v>118709.00</v>
      </c>
      <c r="V1558" t="str">
        <f>"118709.00"</f>
        <v>118709.00</v>
      </c>
      <c r="W1558" t="str">
        <f t="shared" si="549"/>
        <v>2017</v>
      </c>
      <c r="X1558" t="str">
        <f>"7.33"</f>
        <v>7.33</v>
      </c>
      <c r="Y1558" t="str">
        <f>"1273.27"</f>
        <v>1273.27</v>
      </c>
      <c r="Z1558" t="str">
        <f>"25000.00"</f>
        <v>25000.00</v>
      </c>
      <c r="AA1558" t="str">
        <f>"93709.00"</f>
        <v>93709.00</v>
      </c>
      <c r="AB1558" t="str">
        <f t="shared" si="550"/>
        <v>Residential</v>
      </c>
      <c r="AC1558" t="str">
        <f t="shared" si="523"/>
        <v>0</v>
      </c>
      <c r="AD1558" t="str">
        <f t="shared" si="556"/>
        <v>4</v>
      </c>
      <c r="AE1558" t="str">
        <f t="shared" si="557"/>
        <v>WOOD (INCLUDE STEEL STUDS)</v>
      </c>
      <c r="AF1558" t="str">
        <f>"001"</f>
        <v>001</v>
      </c>
      <c r="AG1558" t="str">
        <f t="shared" si="551"/>
        <v>FL</v>
      </c>
      <c r="AH1558" t="str">
        <f>"119790.00"</f>
        <v>119790.00</v>
      </c>
      <c r="AI1558" t="str">
        <f>"68750.00"</f>
        <v>68750.00</v>
      </c>
      <c r="AJ1558" t="str">
        <f>"C55-000-587-7805-1"</f>
        <v>C55-000-587-7805-1</v>
      </c>
      <c r="AK1558" t="str">
        <f>"28404"</f>
        <v>28404</v>
      </c>
      <c r="AL1558">
        <v>6</v>
      </c>
      <c r="AM1558">
        <v>1787</v>
      </c>
      <c r="AN1558">
        <v>1335.33</v>
      </c>
      <c r="AQ1558" t="s">
        <v>15754</v>
      </c>
      <c r="AR1558" t="s">
        <v>15754</v>
      </c>
      <c r="AS1558" t="s">
        <v>15754</v>
      </c>
      <c r="AU1558" t="s">
        <v>396</v>
      </c>
      <c r="AV1558">
        <v>2017</v>
      </c>
      <c r="AW1558" t="str">
        <f>"35-2N-28-0000-0001-0220 "</f>
        <v xml:space="preserve">35-2N-28-0000-0001-0220 </v>
      </c>
      <c r="AX1558">
        <v>85044</v>
      </c>
      <c r="AZ1558" t="s">
        <v>1393</v>
      </c>
      <c r="BA1558" t="s">
        <v>496</v>
      </c>
      <c r="BD1558" t="s">
        <v>11749</v>
      </c>
      <c r="BE1558" t="s">
        <v>393</v>
      </c>
      <c r="BF1558">
        <v>32034</v>
      </c>
      <c r="BG1558" t="s">
        <v>15755</v>
      </c>
      <c r="BH1558" t="s">
        <v>11751</v>
      </c>
      <c r="BI1558">
        <v>-81.542990081187497</v>
      </c>
      <c r="BJ1558">
        <v>30.569146640259401</v>
      </c>
      <c r="BK1558" t="s">
        <v>15756</v>
      </c>
      <c r="BM1558" t="s">
        <v>15755</v>
      </c>
      <c r="BN1558" t="s">
        <v>3983</v>
      </c>
      <c r="BO1558">
        <v>32034</v>
      </c>
      <c r="BP1558" t="s">
        <v>416</v>
      </c>
      <c r="BQ1558">
        <v>100</v>
      </c>
      <c r="BR1558" t="s">
        <v>514</v>
      </c>
      <c r="BS1558">
        <v>1001</v>
      </c>
      <c r="BT1558" t="s">
        <v>515</v>
      </c>
      <c r="BW1558">
        <v>119790</v>
      </c>
      <c r="BX1558" t="s">
        <v>407</v>
      </c>
      <c r="BY1558" t="s">
        <v>408</v>
      </c>
      <c r="BZ1558">
        <v>4</v>
      </c>
      <c r="CA1558">
        <v>1981</v>
      </c>
      <c r="CB1558">
        <v>1</v>
      </c>
      <c r="CC1558">
        <v>1</v>
      </c>
      <c r="CD1558">
        <v>2017</v>
      </c>
      <c r="CG1558">
        <v>118709</v>
      </c>
      <c r="CH1558">
        <v>2017</v>
      </c>
      <c r="CI1558">
        <v>68750</v>
      </c>
      <c r="CJ1558">
        <v>79439</v>
      </c>
      <c r="CK1558">
        <v>148189</v>
      </c>
      <c r="CL1558">
        <v>2017</v>
      </c>
      <c r="CM1558">
        <v>1205.1199999999999</v>
      </c>
      <c r="CN1558" s="1">
        <v>39797</v>
      </c>
      <c r="CZ1558" s="1">
        <v>39797</v>
      </c>
      <c r="DD1558" t="s">
        <v>11749</v>
      </c>
      <c r="DG1558">
        <v>35</v>
      </c>
      <c r="DL1558">
        <v>50303</v>
      </c>
      <c r="DM1558" t="s">
        <v>15740</v>
      </c>
      <c r="DO1558" t="s">
        <v>15757</v>
      </c>
      <c r="DP1558">
        <v>0</v>
      </c>
      <c r="DQ1558">
        <v>0</v>
      </c>
      <c r="DR1558" t="s">
        <v>411</v>
      </c>
      <c r="DS1558" t="b">
        <v>1</v>
      </c>
      <c r="DT1558" t="s">
        <v>470</v>
      </c>
      <c r="DU1558" t="s">
        <v>471</v>
      </c>
      <c r="DV1558" t="s">
        <v>472</v>
      </c>
      <c r="DX1558">
        <v>-9999</v>
      </c>
      <c r="DZ1558" t="s">
        <v>447</v>
      </c>
      <c r="EA1558" t="s">
        <v>448</v>
      </c>
      <c r="EB1558" t="s">
        <v>742</v>
      </c>
      <c r="EC1558">
        <v>20101217</v>
      </c>
      <c r="ED1558" t="s">
        <v>474</v>
      </c>
      <c r="EF1558">
        <v>1635.9</v>
      </c>
      <c r="EG1558">
        <v>804.9</v>
      </c>
      <c r="EH1558" t="s">
        <v>451</v>
      </c>
      <c r="EI1558">
        <v>20140731</v>
      </c>
      <c r="EJ1558">
        <v>0</v>
      </c>
      <c r="EK1558">
        <v>0</v>
      </c>
      <c r="EP1558" t="s">
        <v>421</v>
      </c>
      <c r="EQ1558" t="s">
        <v>422</v>
      </c>
      <c r="ER1558">
        <v>0</v>
      </c>
      <c r="ES1558">
        <v>4</v>
      </c>
      <c r="ET1558">
        <v>0</v>
      </c>
      <c r="EU1558">
        <v>0</v>
      </c>
      <c r="EV1558">
        <v>0</v>
      </c>
      <c r="EW1558" s="2">
        <v>43222</v>
      </c>
      <c r="EX1558" s="1">
        <v>42151</v>
      </c>
      <c r="EY1558">
        <v>2014</v>
      </c>
      <c r="EZ1558">
        <v>1225.0999999999999</v>
      </c>
      <c r="FA1558" t="s">
        <v>15758</v>
      </c>
      <c r="FB1558">
        <v>0.25</v>
      </c>
      <c r="FC1558" t="s">
        <v>424</v>
      </c>
      <c r="FD1558" t="s">
        <v>425</v>
      </c>
      <c r="FE1558" s="1">
        <v>42369</v>
      </c>
      <c r="FF1558">
        <v>7</v>
      </c>
      <c r="FG1558">
        <v>4844982</v>
      </c>
      <c r="FH1558" t="s">
        <v>5287</v>
      </c>
      <c r="FJ1558" s="1">
        <v>42151</v>
      </c>
      <c r="FK1558">
        <v>2014</v>
      </c>
      <c r="FL1558">
        <v>1225.0999999999999</v>
      </c>
      <c r="FM1558" t="s">
        <v>15758</v>
      </c>
      <c r="FN1558">
        <v>0.25</v>
      </c>
      <c r="FO1558" t="s">
        <v>424</v>
      </c>
      <c r="FP1558" t="s">
        <v>425</v>
      </c>
      <c r="FR1558">
        <v>22</v>
      </c>
      <c r="FS1558">
        <v>5734874</v>
      </c>
      <c r="FT1558" t="s">
        <v>15759</v>
      </c>
      <c r="FV1558" s="1">
        <v>41423</v>
      </c>
      <c r="FW1558">
        <v>2012</v>
      </c>
      <c r="FX1558">
        <v>1177.08</v>
      </c>
      <c r="FY1558" t="s">
        <v>15760</v>
      </c>
      <c r="FZ1558">
        <v>0.25</v>
      </c>
      <c r="GA1558" t="s">
        <v>424</v>
      </c>
      <c r="GB1558" t="s">
        <v>425</v>
      </c>
      <c r="GC1558" s="1">
        <v>41725</v>
      </c>
      <c r="GD1558">
        <v>10</v>
      </c>
      <c r="GE1558">
        <v>11303</v>
      </c>
      <c r="GF1558" t="s">
        <v>918</v>
      </c>
      <c r="GH1558" s="1">
        <v>41052</v>
      </c>
      <c r="GI1558">
        <v>2011</v>
      </c>
      <c r="GJ1558">
        <v>1181.3699999999999</v>
      </c>
      <c r="GK1558" t="s">
        <v>15761</v>
      </c>
      <c r="GL1558">
        <v>0.25</v>
      </c>
      <c r="GM1558" t="s">
        <v>424</v>
      </c>
      <c r="GN1558" t="s">
        <v>425</v>
      </c>
      <c r="GO1558" s="1">
        <v>41305</v>
      </c>
      <c r="GP1558">
        <v>8</v>
      </c>
      <c r="GQ1558">
        <v>14243</v>
      </c>
      <c r="GR1558" t="s">
        <v>15762</v>
      </c>
    </row>
    <row r="1559" spans="1:260" x14ac:dyDescent="0.25">
      <c r="A1559">
        <v>16486566</v>
      </c>
      <c r="B1559">
        <v>1558</v>
      </c>
      <c r="C1559" t="s">
        <v>393</v>
      </c>
      <c r="D1559" t="s">
        <v>394</v>
      </c>
      <c r="F1559" t="str">
        <f>"35-2N-28-0000-0001-0250"</f>
        <v>35-2N-28-0000-0001-0250</v>
      </c>
      <c r="H1559" t="str">
        <f>"THOMAS BRENDA Z"</f>
        <v>THOMAS BRENDA Z</v>
      </c>
      <c r="I1559" t="str">
        <f>"95525 DOUGLAS ROAD"</f>
        <v>95525 DOUGLAS ROAD</v>
      </c>
      <c r="J1559" t="str">
        <f t="shared" si="553"/>
        <v>FERNANDINA BEACH FL 32034</v>
      </c>
      <c r="K1559" t="str">
        <f>"95525 DOUGLAS RD"</f>
        <v>95525 DOUGLAS RD</v>
      </c>
      <c r="L1559" t="str">
        <f t="shared" si="554"/>
        <v>FERNANDINA BEACH FL 32034</v>
      </c>
      <c r="M1559" t="str">
        <f>"PT GOVT LOT 1 OF SEC 35-2N-28E IN OR 1973/1866 MOBLEY HEIGHTS UNR {A/K/A PT OF LOT 26}"</f>
        <v>PT GOVT LOT 1 OF SEC 35-2N-28E IN OR 1973/1866 MOBLEY HEIGHTS UNR {A/K/A PT OF LOT 26}</v>
      </c>
      <c r="N1559" t="str">
        <f>""</f>
        <v/>
      </c>
      <c r="O1559" t="str">
        <f>"41657"</f>
        <v>41657</v>
      </c>
      <c r="P1559" t="str">
        <f t="shared" si="548"/>
        <v>2017</v>
      </c>
      <c r="Q1559" t="str">
        <f>""</f>
        <v/>
      </c>
      <c r="R1559" t="str">
        <f>"Y"</f>
        <v>Y</v>
      </c>
      <c r="S1559" t="str">
        <f>"1.50"</f>
        <v>1.50</v>
      </c>
      <c r="T1559" t="str">
        <f>"1346.11"</f>
        <v>1346.11</v>
      </c>
      <c r="U1559" t="str">
        <f>"128522.00"</f>
        <v>128522.00</v>
      </c>
      <c r="V1559" t="str">
        <f>"128522.00"</f>
        <v>128522.00</v>
      </c>
      <c r="W1559" t="str">
        <f t="shared" si="549"/>
        <v>2017</v>
      </c>
      <c r="X1559" t="str">
        <f>""</f>
        <v/>
      </c>
      <c r="Y1559" t="str">
        <f>"1418.49"</f>
        <v>1418.49</v>
      </c>
      <c r="Z1559" t="str">
        <f>"25500.00"</f>
        <v>25500.00</v>
      </c>
      <c r="AA1559" t="str">
        <f>"103022.00"</f>
        <v>103022.00</v>
      </c>
      <c r="AB1559" t="str">
        <f t="shared" si="550"/>
        <v>Residential</v>
      </c>
      <c r="AC1559" t="str">
        <f t="shared" si="523"/>
        <v>0</v>
      </c>
      <c r="AD1559" t="str">
        <f t="shared" si="556"/>
        <v>4</v>
      </c>
      <c r="AE1559" t="str">
        <f t="shared" si="557"/>
        <v>WOOD (INCLUDE STEEL STUDS)</v>
      </c>
      <c r="AF1559" t="str">
        <f>"001"</f>
        <v>001</v>
      </c>
      <c r="AG1559" t="str">
        <f t="shared" si="551"/>
        <v>FL</v>
      </c>
      <c r="AH1559" t="str">
        <f>"65340.00"</f>
        <v>65340.00</v>
      </c>
      <c r="AI1559" t="str">
        <f>"37500.00"</f>
        <v>37500.00</v>
      </c>
      <c r="AJ1559" t="str">
        <f>"C55-000-587-7808-5"</f>
        <v>C55-000-587-7808-5</v>
      </c>
      <c r="AK1559" t="str">
        <f>"28407"</f>
        <v>28407</v>
      </c>
      <c r="AL1559">
        <v>6</v>
      </c>
      <c r="AM1559">
        <v>1788</v>
      </c>
      <c r="AN1559">
        <v>1487.81</v>
      </c>
      <c r="AQ1559" t="s">
        <v>15763</v>
      </c>
      <c r="AR1559" t="s">
        <v>15763</v>
      </c>
      <c r="AS1559" t="s">
        <v>15763</v>
      </c>
      <c r="AU1559" t="s">
        <v>396</v>
      </c>
      <c r="AV1559">
        <v>2017</v>
      </c>
      <c r="AW1559" t="str">
        <f>"35-2N-28-0000-0001-0250 "</f>
        <v xml:space="preserve">35-2N-28-0000-0001-0250 </v>
      </c>
      <c r="AX1559">
        <v>95525</v>
      </c>
      <c r="AZ1559" t="s">
        <v>15747</v>
      </c>
      <c r="BA1559" t="s">
        <v>496</v>
      </c>
      <c r="BD1559" t="s">
        <v>11749</v>
      </c>
      <c r="BE1559" t="s">
        <v>393</v>
      </c>
      <c r="BF1559">
        <v>32034</v>
      </c>
      <c r="BG1559" t="s">
        <v>15764</v>
      </c>
      <c r="BH1559" t="s">
        <v>11751</v>
      </c>
      <c r="BI1559">
        <v>-81.529247077990306</v>
      </c>
      <c r="BJ1559">
        <v>30.573686019737</v>
      </c>
      <c r="BK1559" t="s">
        <v>15765</v>
      </c>
      <c r="BL1559" t="s">
        <v>15766</v>
      </c>
      <c r="BM1559" t="s">
        <v>15764</v>
      </c>
      <c r="BN1559" t="s">
        <v>3983</v>
      </c>
      <c r="BO1559">
        <v>32034</v>
      </c>
      <c r="BP1559" t="s">
        <v>416</v>
      </c>
      <c r="BQ1559">
        <v>100</v>
      </c>
      <c r="BR1559" t="s">
        <v>514</v>
      </c>
      <c r="BS1559">
        <v>1001</v>
      </c>
      <c r="BT1559" t="s">
        <v>515</v>
      </c>
      <c r="BW1559">
        <v>65340</v>
      </c>
      <c r="BX1559" t="s">
        <v>407</v>
      </c>
      <c r="BY1559" t="s">
        <v>408</v>
      </c>
      <c r="BZ1559">
        <v>4</v>
      </c>
      <c r="CA1559">
        <v>1986</v>
      </c>
      <c r="CB1559">
        <v>1</v>
      </c>
      <c r="CC1559">
        <v>1</v>
      </c>
      <c r="CD1559">
        <v>2017</v>
      </c>
      <c r="CG1559">
        <v>128522</v>
      </c>
      <c r="CH1559">
        <v>2017</v>
      </c>
      <c r="CI1559">
        <v>37500</v>
      </c>
      <c r="CJ1559">
        <v>94953</v>
      </c>
      <c r="CK1559">
        <v>132453</v>
      </c>
      <c r="CL1559">
        <v>2017</v>
      </c>
      <c r="CM1559">
        <v>1346.11</v>
      </c>
      <c r="CN1559" s="1">
        <v>42109</v>
      </c>
      <c r="CV1559">
        <v>0</v>
      </c>
      <c r="CZ1559" s="1">
        <v>42109</v>
      </c>
      <c r="DA1559">
        <v>0</v>
      </c>
      <c r="DD1559" t="s">
        <v>11749</v>
      </c>
      <c r="DF1559">
        <v>26</v>
      </c>
      <c r="DG1559">
        <v>35</v>
      </c>
      <c r="DL1559">
        <v>50303</v>
      </c>
      <c r="DM1559" t="s">
        <v>15740</v>
      </c>
      <c r="DO1559" t="s">
        <v>15767</v>
      </c>
      <c r="DP1559">
        <v>0</v>
      </c>
      <c r="DQ1559">
        <v>0</v>
      </c>
      <c r="DR1559" t="s">
        <v>411</v>
      </c>
    </row>
    <row r="1560" spans="1:260" x14ac:dyDescent="0.25">
      <c r="A1560">
        <v>16486567</v>
      </c>
      <c r="B1560">
        <v>1559</v>
      </c>
      <c r="C1560" t="s">
        <v>393</v>
      </c>
      <c r="D1560" t="s">
        <v>394</v>
      </c>
      <c r="F1560" t="str">
        <f>"35-2N-28-0000-0001-0270"</f>
        <v>35-2N-28-0000-0001-0270</v>
      </c>
      <c r="H1560" t="str">
        <f>"HESTER JODI L &amp; TIPPETTE DAVID GLEN (JTROS)"</f>
        <v>HESTER JODI L &amp; TIPPETTE DAVID GLEN (JTROS)</v>
      </c>
      <c r="I1560" t="str">
        <f>"95003 ACORN LANE"</f>
        <v>95003 ACORN LANE</v>
      </c>
      <c r="J1560" t="str">
        <f t="shared" si="553"/>
        <v>FERNANDINA BEACH FL 32034</v>
      </c>
      <c r="K1560" t="str">
        <f>"95003 ACORN LN"</f>
        <v>95003 ACORN LN</v>
      </c>
      <c r="L1560" t="str">
        <f t="shared" si="554"/>
        <v>FERNANDINA BEACH FL 32034</v>
      </c>
      <c r="M1560" t="str">
        <f>"IN OR 1642/1271 R433580 &amp; R433581"</f>
        <v>IN OR 1642/1271 R433580 &amp; R433581</v>
      </c>
      <c r="N1560" t="str">
        <f>""</f>
        <v/>
      </c>
      <c r="O1560" t="str">
        <f>"41659"</f>
        <v>41659</v>
      </c>
      <c r="P1560" t="str">
        <f t="shared" si="548"/>
        <v>2017</v>
      </c>
      <c r="Q1560" t="str">
        <f>""</f>
        <v/>
      </c>
      <c r="R1560" t="str">
        <f>"Y"</f>
        <v>Y</v>
      </c>
      <c r="S1560" t="str">
        <f>"3.00"</f>
        <v>3.00</v>
      </c>
      <c r="T1560" t="str">
        <f>"489.67"</f>
        <v>489.67</v>
      </c>
      <c r="U1560" t="str">
        <f>"65826.00"</f>
        <v>65826.00</v>
      </c>
      <c r="V1560" t="str">
        <f>"65826.00"</f>
        <v>65826.00</v>
      </c>
      <c r="W1560" t="str">
        <f t="shared" si="549"/>
        <v>2017</v>
      </c>
      <c r="X1560" t="str">
        <f>"7.83"</f>
        <v>7.83</v>
      </c>
      <c r="Y1560" t="str">
        <f>"536.36"</f>
        <v>536.36</v>
      </c>
      <c r="Z1560" t="str">
        <f>"25000.00"</f>
        <v>25000.00</v>
      </c>
      <c r="AA1560" t="str">
        <f>"40826.00"</f>
        <v>40826.00</v>
      </c>
      <c r="AB1560" t="str">
        <f t="shared" si="550"/>
        <v>Residential</v>
      </c>
      <c r="AC1560" t="str">
        <f t="shared" ref="AC1560:AC1623" si="558">"0"</f>
        <v>0</v>
      </c>
      <c r="AD1560" t="str">
        <f t="shared" si="556"/>
        <v>4</v>
      </c>
      <c r="AE1560" t="str">
        <f t="shared" si="557"/>
        <v>WOOD (INCLUDE STEEL STUDS)</v>
      </c>
      <c r="AF1560" t="str">
        <f>"002"</f>
        <v>002</v>
      </c>
      <c r="AG1560" t="str">
        <f t="shared" si="551"/>
        <v>FL</v>
      </c>
      <c r="AH1560" t="str">
        <f>"130680.00"</f>
        <v>130680.00</v>
      </c>
      <c r="AI1560" t="str">
        <f>"75000.00"</f>
        <v>75000.00</v>
      </c>
      <c r="AJ1560" t="str">
        <f>"C55-000-587-7810-1"</f>
        <v>C55-000-587-7810-1</v>
      </c>
      <c r="AK1560" t="str">
        <f>"28409"</f>
        <v>28409</v>
      </c>
      <c r="AL1560">
        <v>6</v>
      </c>
      <c r="AM1560">
        <v>1789</v>
      </c>
      <c r="AN1560">
        <v>561.58000000000004</v>
      </c>
      <c r="AQ1560" t="s">
        <v>15768</v>
      </c>
      <c r="AR1560" t="s">
        <v>15768</v>
      </c>
      <c r="AS1560" t="s">
        <v>15768</v>
      </c>
      <c r="AU1560" t="s">
        <v>396</v>
      </c>
      <c r="AV1560">
        <v>2017</v>
      </c>
      <c r="AW1560" t="str">
        <f>"35-2N-28-0000-0001-0270 "</f>
        <v xml:space="preserve">35-2N-28-0000-0001-0270 </v>
      </c>
      <c r="AX1560">
        <v>95003</v>
      </c>
      <c r="AZ1560" t="s">
        <v>15769</v>
      </c>
      <c r="BA1560" t="s">
        <v>653</v>
      </c>
      <c r="BD1560" t="s">
        <v>11749</v>
      </c>
      <c r="BE1560" t="s">
        <v>393</v>
      </c>
      <c r="BF1560">
        <v>32034</v>
      </c>
      <c r="BG1560" t="s">
        <v>15770</v>
      </c>
      <c r="BH1560" t="s">
        <v>11751</v>
      </c>
      <c r="BI1560">
        <v>-81.542998601708007</v>
      </c>
      <c r="BJ1560">
        <v>30.568117757860701</v>
      </c>
      <c r="BK1560" t="s">
        <v>15771</v>
      </c>
      <c r="BL1560" t="s">
        <v>15772</v>
      </c>
      <c r="BM1560" t="s">
        <v>15770</v>
      </c>
      <c r="BN1560" t="s">
        <v>3983</v>
      </c>
      <c r="BO1560">
        <v>32034</v>
      </c>
      <c r="BP1560" t="s">
        <v>416</v>
      </c>
      <c r="BQ1560">
        <v>200</v>
      </c>
      <c r="BR1560" t="s">
        <v>405</v>
      </c>
      <c r="BS1560">
        <v>1006</v>
      </c>
      <c r="BT1560" t="s">
        <v>406</v>
      </c>
      <c r="BW1560">
        <v>130680</v>
      </c>
      <c r="BX1560" t="s">
        <v>407</v>
      </c>
      <c r="BY1560" t="s">
        <v>408</v>
      </c>
      <c r="BZ1560">
        <v>4</v>
      </c>
      <c r="CA1560">
        <v>1981</v>
      </c>
      <c r="CB1560">
        <v>1</v>
      </c>
      <c r="CC1560">
        <v>1</v>
      </c>
      <c r="CD1560">
        <v>2017</v>
      </c>
      <c r="CG1560">
        <v>65826</v>
      </c>
      <c r="CH1560">
        <v>2017</v>
      </c>
      <c r="CI1560">
        <v>75000</v>
      </c>
      <c r="CJ1560">
        <v>15938</v>
      </c>
      <c r="CK1560">
        <v>90938</v>
      </c>
      <c r="CL1560">
        <v>2017</v>
      </c>
      <c r="CM1560">
        <v>489.67</v>
      </c>
      <c r="CN1560" s="1">
        <v>40092</v>
      </c>
      <c r="CO1560">
        <v>90000</v>
      </c>
      <c r="CV1560">
        <v>90000</v>
      </c>
      <c r="CX1560" t="s">
        <v>707</v>
      </c>
      <c r="CZ1560" s="1">
        <v>40092</v>
      </c>
      <c r="DA1560">
        <v>0</v>
      </c>
      <c r="DD1560" t="s">
        <v>11749</v>
      </c>
      <c r="DG1560">
        <v>35</v>
      </c>
      <c r="DL1560">
        <v>50303</v>
      </c>
      <c r="DM1560" t="s">
        <v>15740</v>
      </c>
      <c r="DO1560" t="s">
        <v>15773</v>
      </c>
      <c r="DP1560">
        <v>0</v>
      </c>
      <c r="DQ1560">
        <v>0</v>
      </c>
      <c r="DR1560" t="s">
        <v>411</v>
      </c>
      <c r="DS1560" t="b">
        <v>1</v>
      </c>
      <c r="DT1560" t="s">
        <v>470</v>
      </c>
      <c r="DU1560" t="s">
        <v>471</v>
      </c>
      <c r="DV1560" t="s">
        <v>472</v>
      </c>
      <c r="DX1560">
        <v>-9999</v>
      </c>
      <c r="DZ1560" t="s">
        <v>447</v>
      </c>
      <c r="EA1560" t="s">
        <v>448</v>
      </c>
      <c r="EB1560" t="s">
        <v>742</v>
      </c>
      <c r="EC1560">
        <v>20101217</v>
      </c>
      <c r="ED1560" t="s">
        <v>474</v>
      </c>
      <c r="EF1560">
        <v>1450.6</v>
      </c>
      <c r="EG1560">
        <v>465.4</v>
      </c>
      <c r="EI1560">
        <v>20160407</v>
      </c>
      <c r="EJ1560">
        <v>0</v>
      </c>
      <c r="EK1560">
        <v>0</v>
      </c>
      <c r="EP1560" t="s">
        <v>421</v>
      </c>
      <c r="EQ1560" t="s">
        <v>422</v>
      </c>
      <c r="ER1560">
        <v>0</v>
      </c>
      <c r="ES1560">
        <v>9</v>
      </c>
      <c r="ET1560">
        <v>0</v>
      </c>
      <c r="EU1560">
        <v>0</v>
      </c>
      <c r="EV1560">
        <v>0</v>
      </c>
      <c r="EW1560" s="2">
        <v>43222</v>
      </c>
      <c r="EX1560" s="1">
        <v>42879</v>
      </c>
      <c r="EY1560">
        <v>2016</v>
      </c>
      <c r="EZ1560">
        <v>556.55999999999995</v>
      </c>
      <c r="FA1560" t="s">
        <v>15774</v>
      </c>
      <c r="FB1560">
        <v>0.25</v>
      </c>
      <c r="FC1560" t="s">
        <v>424</v>
      </c>
      <c r="FD1560" t="s">
        <v>425</v>
      </c>
      <c r="FE1560" s="1">
        <v>43209</v>
      </c>
      <c r="FF1560">
        <v>11</v>
      </c>
      <c r="FG1560">
        <v>7400234</v>
      </c>
      <c r="FH1560" t="s">
        <v>426</v>
      </c>
      <c r="FJ1560" s="1">
        <v>42879</v>
      </c>
      <c r="FK1560">
        <v>2016</v>
      </c>
      <c r="FL1560">
        <v>556.55999999999995</v>
      </c>
      <c r="FM1560" t="s">
        <v>15774</v>
      </c>
      <c r="FN1560">
        <v>0.25</v>
      </c>
      <c r="FO1560" t="s">
        <v>424</v>
      </c>
      <c r="FP1560" t="s">
        <v>425</v>
      </c>
      <c r="FR1560">
        <v>22</v>
      </c>
      <c r="FS1560">
        <v>7530404</v>
      </c>
      <c r="FT1560" t="s">
        <v>15775</v>
      </c>
      <c r="FV1560" s="1">
        <v>42515</v>
      </c>
      <c r="FW1560">
        <v>2015</v>
      </c>
      <c r="FX1560">
        <v>565.35</v>
      </c>
      <c r="FY1560" t="s">
        <v>15776</v>
      </c>
      <c r="FZ1560">
        <v>0.25</v>
      </c>
      <c r="GA1560" t="s">
        <v>424</v>
      </c>
      <c r="GB1560" t="s">
        <v>425</v>
      </c>
      <c r="GC1560" s="1">
        <v>42573</v>
      </c>
      <c r="GD1560">
        <v>2</v>
      </c>
      <c r="GE1560">
        <v>2851116</v>
      </c>
      <c r="GF1560" t="s">
        <v>480</v>
      </c>
      <c r="GH1560" s="1">
        <v>42515</v>
      </c>
      <c r="GI1560">
        <v>2015</v>
      </c>
      <c r="GJ1560">
        <v>565.35</v>
      </c>
      <c r="GK1560" t="s">
        <v>15776</v>
      </c>
      <c r="GL1560">
        <v>0.25</v>
      </c>
      <c r="GM1560" t="s">
        <v>424</v>
      </c>
      <c r="GN1560" t="s">
        <v>425</v>
      </c>
      <c r="GP1560">
        <v>22</v>
      </c>
      <c r="GQ1560">
        <v>5303871</v>
      </c>
      <c r="GR1560" t="s">
        <v>15777</v>
      </c>
      <c r="GT1560" s="1">
        <v>42151</v>
      </c>
      <c r="GU1560">
        <v>2014</v>
      </c>
      <c r="GV1560">
        <v>567.91</v>
      </c>
      <c r="GW1560" t="s">
        <v>15778</v>
      </c>
      <c r="GX1560">
        <v>0.25</v>
      </c>
      <c r="GY1560" t="s">
        <v>424</v>
      </c>
      <c r="GZ1560" t="s">
        <v>425</v>
      </c>
      <c r="HA1560" s="1">
        <v>42573</v>
      </c>
      <c r="HB1560">
        <v>14</v>
      </c>
      <c r="HC1560">
        <v>2851116</v>
      </c>
      <c r="HD1560" t="s">
        <v>480</v>
      </c>
      <c r="HF1560" s="1">
        <v>42151</v>
      </c>
      <c r="HG1560">
        <v>2014</v>
      </c>
      <c r="HH1560">
        <v>567.91</v>
      </c>
      <c r="HI1560" t="s">
        <v>15778</v>
      </c>
      <c r="HJ1560">
        <v>0.25</v>
      </c>
      <c r="HK1560" t="s">
        <v>424</v>
      </c>
      <c r="HL1560" t="s">
        <v>425</v>
      </c>
      <c r="HN1560">
        <v>22</v>
      </c>
      <c r="HO1560">
        <v>4886866</v>
      </c>
      <c r="HP1560" t="s">
        <v>15779</v>
      </c>
      <c r="HR1560" s="1">
        <v>41787</v>
      </c>
      <c r="HS1560">
        <v>2013</v>
      </c>
      <c r="HT1560">
        <v>586.05999999999995</v>
      </c>
      <c r="HU1560" t="s">
        <v>15780</v>
      </c>
      <c r="HV1560">
        <v>0.25</v>
      </c>
      <c r="HW1560" t="s">
        <v>424</v>
      </c>
      <c r="HX1560" t="s">
        <v>425</v>
      </c>
      <c r="HY1560" s="1">
        <v>42042</v>
      </c>
      <c r="HZ1560">
        <v>9</v>
      </c>
      <c r="IA1560">
        <v>2101382</v>
      </c>
      <c r="IB1560" t="s">
        <v>993</v>
      </c>
      <c r="ID1560" s="1">
        <v>41423</v>
      </c>
      <c r="IE1560">
        <v>2012</v>
      </c>
      <c r="IF1560">
        <v>615.21</v>
      </c>
      <c r="IG1560" t="s">
        <v>15781</v>
      </c>
      <c r="IH1560">
        <v>2.75</v>
      </c>
      <c r="II1560" t="s">
        <v>424</v>
      </c>
      <c r="IJ1560" t="s">
        <v>425</v>
      </c>
      <c r="IK1560" s="1">
        <v>41465</v>
      </c>
      <c r="IL1560">
        <v>2</v>
      </c>
      <c r="IM1560">
        <v>15399</v>
      </c>
      <c r="IN1560" t="s">
        <v>485</v>
      </c>
      <c r="IP1560" s="1">
        <v>40688</v>
      </c>
      <c r="IQ1560">
        <v>2010</v>
      </c>
      <c r="IR1560">
        <v>1126.1099999999999</v>
      </c>
      <c r="IS1560" t="s">
        <v>15782</v>
      </c>
      <c r="IT1560">
        <v>6</v>
      </c>
      <c r="IU1560" t="s">
        <v>424</v>
      </c>
      <c r="IV1560" t="s">
        <v>425</v>
      </c>
      <c r="IW1560" s="1">
        <v>40956</v>
      </c>
      <c r="IX1560">
        <v>9</v>
      </c>
      <c r="IY1560">
        <v>105</v>
      </c>
      <c r="IZ1560" t="s">
        <v>946</v>
      </c>
    </row>
    <row r="1561" spans="1:260" x14ac:dyDescent="0.25">
      <c r="A1561">
        <v>16486568</v>
      </c>
      <c r="B1561">
        <v>1560</v>
      </c>
      <c r="C1561" t="s">
        <v>393</v>
      </c>
      <c r="D1561" t="s">
        <v>394</v>
      </c>
      <c r="F1561" t="str">
        <f>"35-2N-28-0000-0001-0300"</f>
        <v>35-2N-28-0000-0001-0300</v>
      </c>
      <c r="H1561" t="str">
        <f>"JACKSON JEFFREY B"</f>
        <v>JACKSON JEFFREY B</v>
      </c>
      <c r="I1561" t="str">
        <f>"6818 S COURT DR"</f>
        <v>6818 S COURT DR</v>
      </c>
      <c r="J1561" t="str">
        <f>"TAMPA FL 33611"</f>
        <v>TAMPA FL 33611</v>
      </c>
      <c r="K1561" t="str">
        <f>"85072 PATRICIA CT"</f>
        <v>85072 PATRICIA CT</v>
      </c>
      <c r="L1561" t="str">
        <f t="shared" si="554"/>
        <v>FERNANDINA BEACH FL 32034</v>
      </c>
      <c r="M1561" t="str">
        <f>"PT GOVT LOT 3 OF SEC 35-2N-28E IN OR 1633/883 BEING PARCEL B &amp; ESMTS IN OR 951/708 &amp; OR 1017/738 {1994 DEST DWMH}"</f>
        <v>PT GOVT LOT 3 OF SEC 35-2N-28E IN OR 1633/883 BEING PARCEL B &amp; ESMTS IN OR 951/708 &amp; OR 1017/738 {1994 DEST DWMH}</v>
      </c>
      <c r="N1561" t="str">
        <f>""</f>
        <v/>
      </c>
      <c r="O1561" t="str">
        <f>"41661"</f>
        <v>41661</v>
      </c>
      <c r="P1561" t="str">
        <f t="shared" si="548"/>
        <v>2017</v>
      </c>
      <c r="Q1561" t="str">
        <f>""</f>
        <v/>
      </c>
      <c r="R1561" t="str">
        <f>"N"</f>
        <v>N</v>
      </c>
      <c r="S1561" t="str">
        <f>"1.00"</f>
        <v>1.00</v>
      </c>
      <c r="T1561" t="str">
        <f>"788.20"</f>
        <v>788.20</v>
      </c>
      <c r="U1561" t="str">
        <f>"50150.00"</f>
        <v>50150.00</v>
      </c>
      <c r="V1561" t="str">
        <f>"50150.00"</f>
        <v>50150.00</v>
      </c>
      <c r="W1561" t="str">
        <f t="shared" si="549"/>
        <v>2017</v>
      </c>
      <c r="X1561" t="str">
        <f>"1.00"</f>
        <v>1.00</v>
      </c>
      <c r="Y1561" t="str">
        <f>"843.85"</f>
        <v>843.85</v>
      </c>
      <c r="Z1561" t="str">
        <f>""</f>
        <v/>
      </c>
      <c r="AA1561" t="str">
        <f>"54544.00"</f>
        <v>54544.00</v>
      </c>
      <c r="AB1561" t="str">
        <f t="shared" si="550"/>
        <v>Residential</v>
      </c>
      <c r="AC1561" t="str">
        <f t="shared" si="558"/>
        <v>0</v>
      </c>
      <c r="AD1561" t="str">
        <f t="shared" si="556"/>
        <v>4</v>
      </c>
      <c r="AE1561" t="str">
        <f t="shared" si="557"/>
        <v>WOOD (INCLUDE STEEL STUDS)</v>
      </c>
      <c r="AF1561" t="str">
        <f>"002"</f>
        <v>002</v>
      </c>
      <c r="AG1561" t="str">
        <f t="shared" si="551"/>
        <v>FL</v>
      </c>
      <c r="AH1561" t="str">
        <f>"43560.00"</f>
        <v>43560.00</v>
      </c>
      <c r="AI1561" t="str">
        <f>"25000.00"</f>
        <v>25000.00</v>
      </c>
      <c r="AJ1561" t="str">
        <f>"C55-000-587-7812-7"</f>
        <v>C55-000-587-7812-7</v>
      </c>
      <c r="AK1561" t="str">
        <f>"28411"</f>
        <v>28411</v>
      </c>
      <c r="AL1561">
        <v>6</v>
      </c>
      <c r="AM1561">
        <v>1790</v>
      </c>
      <c r="AN1561">
        <v>884.44</v>
      </c>
      <c r="AQ1561" t="s">
        <v>15783</v>
      </c>
      <c r="AR1561" t="s">
        <v>15783</v>
      </c>
      <c r="AS1561" t="s">
        <v>15783</v>
      </c>
      <c r="AU1561" t="s">
        <v>396</v>
      </c>
      <c r="AV1561">
        <v>2017</v>
      </c>
      <c r="AW1561" t="str">
        <f>"35-2N-28-0000-0001-0300 "</f>
        <v xml:space="preserve">35-2N-28-0000-0001-0300 </v>
      </c>
      <c r="AX1561">
        <v>85072</v>
      </c>
      <c r="AZ1561" t="s">
        <v>15784</v>
      </c>
      <c r="BA1561" t="s">
        <v>3181</v>
      </c>
      <c r="BD1561" t="s">
        <v>11749</v>
      </c>
      <c r="BE1561" t="s">
        <v>393</v>
      </c>
      <c r="BF1561">
        <v>32034</v>
      </c>
      <c r="BG1561" t="s">
        <v>15785</v>
      </c>
      <c r="BH1561" t="s">
        <v>11751</v>
      </c>
      <c r="BI1561">
        <v>-81.542178639263696</v>
      </c>
      <c r="BJ1561">
        <v>30.564281982792799</v>
      </c>
      <c r="BK1561" t="s">
        <v>15786</v>
      </c>
      <c r="BM1561" t="s">
        <v>15787</v>
      </c>
      <c r="BN1561" t="s">
        <v>1971</v>
      </c>
      <c r="BO1561">
        <v>33611</v>
      </c>
      <c r="BP1561" t="s">
        <v>404</v>
      </c>
      <c r="BQ1561">
        <v>200</v>
      </c>
      <c r="BR1561" t="s">
        <v>405</v>
      </c>
      <c r="BS1561">
        <v>1006</v>
      </c>
      <c r="BT1561" t="s">
        <v>406</v>
      </c>
      <c r="BW1561">
        <v>43560</v>
      </c>
      <c r="BX1561" t="s">
        <v>407</v>
      </c>
      <c r="BY1561" t="s">
        <v>408</v>
      </c>
      <c r="BZ1561">
        <v>4</v>
      </c>
      <c r="CA1561">
        <v>1994</v>
      </c>
      <c r="CC1561">
        <v>1</v>
      </c>
      <c r="CD1561">
        <v>2017</v>
      </c>
      <c r="CE1561">
        <v>25000</v>
      </c>
      <c r="CF1561">
        <v>29544</v>
      </c>
      <c r="CG1561">
        <v>54544</v>
      </c>
      <c r="CH1561">
        <v>2017</v>
      </c>
      <c r="CI1561">
        <v>25000</v>
      </c>
      <c r="CJ1561">
        <v>29544</v>
      </c>
      <c r="CK1561">
        <v>54544</v>
      </c>
      <c r="CL1561">
        <v>2017</v>
      </c>
      <c r="CM1561">
        <v>788.2</v>
      </c>
      <c r="CN1561" s="1">
        <v>38558</v>
      </c>
      <c r="CO1561">
        <v>42400</v>
      </c>
      <c r="CV1561">
        <v>0</v>
      </c>
      <c r="CZ1561" s="1">
        <v>38558</v>
      </c>
      <c r="DA1561">
        <v>0</v>
      </c>
      <c r="DD1561" t="s">
        <v>11749</v>
      </c>
      <c r="DG1561">
        <v>35</v>
      </c>
      <c r="DL1561">
        <v>50303</v>
      </c>
      <c r="DM1561" t="s">
        <v>15740</v>
      </c>
      <c r="DO1561" t="s">
        <v>15788</v>
      </c>
      <c r="DP1561">
        <v>0</v>
      </c>
      <c r="DQ1561">
        <v>0</v>
      </c>
      <c r="DR1561" t="s">
        <v>411</v>
      </c>
    </row>
    <row r="1562" spans="1:260" x14ac:dyDescent="0.25">
      <c r="A1562">
        <v>16486569</v>
      </c>
      <c r="B1562">
        <v>1561</v>
      </c>
      <c r="C1562" t="s">
        <v>393</v>
      </c>
      <c r="D1562" t="s">
        <v>394</v>
      </c>
      <c r="F1562" t="str">
        <f>"35-2N-28-0000-0001-0320"</f>
        <v>35-2N-28-0000-0001-0320</v>
      </c>
      <c r="H1562" t="str">
        <f>"PICKETT JOHN T SR L/E MATT S JR &amp; ANGELA L PICKETT"</f>
        <v>PICKETT JOHN T SR L/E MATT S JR &amp; ANGELA L PICKETT</v>
      </c>
      <c r="I1562" t="str">
        <f>"85142 CREWS ROAD NORTH"</f>
        <v>85142 CREWS ROAD NORTH</v>
      </c>
      <c r="J1562" t="str">
        <f>"FERNANDINA BEACH FL 32034"</f>
        <v>FERNANDINA BEACH FL 32034</v>
      </c>
      <c r="K1562" t="str">
        <f>"CREWS RD"</f>
        <v>CREWS RD</v>
      </c>
      <c r="L1562" t="str">
        <f t="shared" si="554"/>
        <v>FERNANDINA BEACH FL 32034</v>
      </c>
      <c r="M1562" t="str">
        <f>"PT GOVT LOT 3 &amp; PT NW1/4 OF SEC 35-2N-28E IN OR 1597/879 BEING PARCELS 2 &amp; 3 (EX PARCEL 1 OF OR 1597/879 &amp; EX R/W IN OR 611/1184 &amp; OR 611/1186 &amp; EX ESMT IN OR 292/379)"</f>
        <v>PT GOVT LOT 3 &amp; PT NW1/4 OF SEC 35-2N-28E IN OR 1597/879 BEING PARCELS 2 &amp; 3 (EX PARCEL 1 OF OR 1597/879 &amp; EX R/W IN OR 611/1184 &amp; OR 611/1186 &amp; EX ESMT IN OR 292/379)</v>
      </c>
      <c r="N1562" t="str">
        <f>""</f>
        <v/>
      </c>
      <c r="O1562" t="str">
        <f>"41663"</f>
        <v>41663</v>
      </c>
      <c r="P1562" t="str">
        <f t="shared" si="548"/>
        <v>2017</v>
      </c>
      <c r="Q1562" t="str">
        <f>""</f>
        <v/>
      </c>
      <c r="R1562" t="str">
        <f>"N"</f>
        <v>N</v>
      </c>
      <c r="S1562" t="str">
        <f>"3.55"</f>
        <v>3.55</v>
      </c>
      <c r="T1562" t="str">
        <f>"1336.00"</f>
        <v>1336.00</v>
      </c>
      <c r="U1562" t="str">
        <f>"83382.00"</f>
        <v>83382.00</v>
      </c>
      <c r="V1562" t="str">
        <f>"83382.00"</f>
        <v>83382.00</v>
      </c>
      <c r="W1562" t="str">
        <f t="shared" si="549"/>
        <v>2017</v>
      </c>
      <c r="X1562" t="str">
        <f>"8.40"</f>
        <v>8.40</v>
      </c>
      <c r="Y1562" t="str">
        <f>"1408.08"</f>
        <v>1408.08</v>
      </c>
      <c r="Z1562" t="str">
        <f>""</f>
        <v/>
      </c>
      <c r="AA1562" t="str">
        <f>"94552.00"</f>
        <v>94552.00</v>
      </c>
      <c r="AB1562" t="str">
        <f t="shared" si="550"/>
        <v>Residential</v>
      </c>
      <c r="AC1562" t="str">
        <f t="shared" si="558"/>
        <v>0</v>
      </c>
      <c r="AD1562" t="str">
        <f>""</f>
        <v/>
      </c>
      <c r="AE1562" t="str">
        <f>""</f>
        <v/>
      </c>
      <c r="AF1562" t="str">
        <f>"000"</f>
        <v>000</v>
      </c>
      <c r="AG1562" t="str">
        <f t="shared" si="551"/>
        <v>FL</v>
      </c>
      <c r="AH1562" t="str">
        <f>"154638.00"</f>
        <v>154638.00</v>
      </c>
      <c r="AI1562" t="str">
        <f>"88750.00"</f>
        <v>88750.00</v>
      </c>
      <c r="AJ1562" t="str">
        <f>"C55-000-587-7814-3"</f>
        <v>C55-000-587-7814-3</v>
      </c>
      <c r="AK1562" t="str">
        <f>"28413"</f>
        <v>28413</v>
      </c>
      <c r="AL1562">
        <v>6</v>
      </c>
      <c r="AM1562">
        <v>1791</v>
      </c>
      <c r="AN1562">
        <v>1476.88</v>
      </c>
      <c r="AQ1562" t="s">
        <v>15789</v>
      </c>
      <c r="AR1562" t="s">
        <v>15789</v>
      </c>
      <c r="AS1562" t="s">
        <v>15789</v>
      </c>
      <c r="AU1562" t="s">
        <v>396</v>
      </c>
      <c r="AV1562">
        <v>2017</v>
      </c>
      <c r="AW1562" t="str">
        <f>"35-2N-28-0000-0001-0320 "</f>
        <v xml:space="preserve">35-2N-28-0000-0001-0320 </v>
      </c>
      <c r="AZ1562" t="s">
        <v>1393</v>
      </c>
      <c r="BA1562" t="s">
        <v>496</v>
      </c>
      <c r="BD1562" t="s">
        <v>11749</v>
      </c>
      <c r="BE1562" t="s">
        <v>393</v>
      </c>
      <c r="BF1562">
        <v>32034</v>
      </c>
      <c r="BG1562" t="s">
        <v>15790</v>
      </c>
      <c r="BH1562" t="s">
        <v>11751</v>
      </c>
      <c r="BI1562">
        <v>-81.541441972364794</v>
      </c>
      <c r="BJ1562">
        <v>30.568468295803701</v>
      </c>
      <c r="BK1562" t="s">
        <v>15791</v>
      </c>
      <c r="BM1562" t="s">
        <v>15792</v>
      </c>
      <c r="BN1562" t="s">
        <v>3983</v>
      </c>
      <c r="BO1562">
        <v>32034</v>
      </c>
      <c r="BP1562" t="s">
        <v>404</v>
      </c>
      <c r="BQ1562">
        <v>1</v>
      </c>
      <c r="BR1562" t="s">
        <v>491</v>
      </c>
      <c r="BS1562">
        <v>8001</v>
      </c>
      <c r="BT1562" t="s">
        <v>492</v>
      </c>
      <c r="BW1562">
        <v>154638</v>
      </c>
      <c r="BX1562" t="s">
        <v>407</v>
      </c>
      <c r="BY1562" t="s">
        <v>408</v>
      </c>
      <c r="CD1562">
        <v>2017</v>
      </c>
      <c r="CE1562">
        <v>88750</v>
      </c>
      <c r="CF1562">
        <v>5802</v>
      </c>
      <c r="CG1562">
        <v>94552</v>
      </c>
      <c r="CH1562">
        <v>2017</v>
      </c>
      <c r="CI1562">
        <v>88750</v>
      </c>
      <c r="CJ1562">
        <v>5802</v>
      </c>
      <c r="CK1562">
        <v>94552</v>
      </c>
      <c r="CL1562">
        <v>2017</v>
      </c>
      <c r="CM1562">
        <v>1336</v>
      </c>
      <c r="CN1562" s="1">
        <v>39797</v>
      </c>
      <c r="CO1562">
        <v>50000</v>
      </c>
      <c r="CZ1562" s="1">
        <v>39797</v>
      </c>
      <c r="DD1562" t="s">
        <v>11749</v>
      </c>
      <c r="DG1562">
        <v>35</v>
      </c>
      <c r="DL1562">
        <v>50303</v>
      </c>
      <c r="DM1562" t="s">
        <v>15740</v>
      </c>
      <c r="DO1562" t="s">
        <v>15793</v>
      </c>
      <c r="DP1562">
        <v>0</v>
      </c>
      <c r="DQ1562">
        <v>0</v>
      </c>
      <c r="DR1562" t="s">
        <v>411</v>
      </c>
      <c r="DS1562" t="b">
        <v>1</v>
      </c>
      <c r="DT1562" t="s">
        <v>470</v>
      </c>
      <c r="DU1562" t="s">
        <v>10249</v>
      </c>
      <c r="DV1562" t="s">
        <v>472</v>
      </c>
      <c r="DX1562">
        <v>-9999</v>
      </c>
      <c r="DZ1562" t="s">
        <v>447</v>
      </c>
      <c r="EA1562" t="s">
        <v>448</v>
      </c>
      <c r="EB1562" t="s">
        <v>15609</v>
      </c>
      <c r="EC1562">
        <v>20101217</v>
      </c>
      <c r="ED1562" t="s">
        <v>10251</v>
      </c>
      <c r="EE1562">
        <v>5</v>
      </c>
      <c r="EF1562">
        <v>1.1000000000000001</v>
      </c>
      <c r="EG1562">
        <v>0</v>
      </c>
      <c r="EH1562" t="s">
        <v>451</v>
      </c>
      <c r="EI1562">
        <v>20140731</v>
      </c>
      <c r="EJ1562">
        <v>0</v>
      </c>
      <c r="EK1562">
        <v>0</v>
      </c>
      <c r="EP1562" t="s">
        <v>421</v>
      </c>
      <c r="EQ1562" t="s">
        <v>422</v>
      </c>
      <c r="ER1562">
        <v>0</v>
      </c>
      <c r="ES1562">
        <v>3</v>
      </c>
      <c r="ET1562">
        <v>0</v>
      </c>
      <c r="EU1562">
        <v>0</v>
      </c>
      <c r="EV1562">
        <v>0</v>
      </c>
      <c r="EW1562" s="2">
        <v>43222</v>
      </c>
      <c r="EX1562" s="1">
        <v>42151</v>
      </c>
      <c r="EY1562">
        <v>2014</v>
      </c>
      <c r="EZ1562">
        <v>1165.8800000000001</v>
      </c>
      <c r="FA1562" t="s">
        <v>15794</v>
      </c>
      <c r="FB1562">
        <v>4.75</v>
      </c>
      <c r="FC1562" t="s">
        <v>424</v>
      </c>
      <c r="FD1562" t="s">
        <v>425</v>
      </c>
      <c r="FE1562" s="1">
        <v>42369</v>
      </c>
      <c r="FF1562">
        <v>7</v>
      </c>
      <c r="FG1562">
        <v>4975593</v>
      </c>
      <c r="FH1562" t="s">
        <v>505</v>
      </c>
      <c r="FJ1562" s="1">
        <v>41787</v>
      </c>
      <c r="FK1562">
        <v>2013</v>
      </c>
      <c r="FL1562">
        <v>1104.7</v>
      </c>
      <c r="FM1562" t="s">
        <v>15795</v>
      </c>
      <c r="FN1562">
        <v>0.25</v>
      </c>
      <c r="FO1562" t="s">
        <v>424</v>
      </c>
      <c r="FP1562" t="s">
        <v>425</v>
      </c>
      <c r="FQ1562" s="1">
        <v>42369</v>
      </c>
      <c r="FR1562">
        <v>19</v>
      </c>
      <c r="FS1562">
        <v>2851116</v>
      </c>
      <c r="FT1562" t="s">
        <v>480</v>
      </c>
      <c r="FV1562" s="1">
        <v>41052</v>
      </c>
      <c r="FW1562">
        <v>2011</v>
      </c>
      <c r="FX1562">
        <v>1129.4000000000001</v>
      </c>
      <c r="FY1562" t="s">
        <v>15796</v>
      </c>
      <c r="FZ1562">
        <v>6</v>
      </c>
      <c r="GA1562" t="s">
        <v>424</v>
      </c>
      <c r="GB1562" t="s">
        <v>425</v>
      </c>
      <c r="GC1562" s="1">
        <v>41311</v>
      </c>
      <c r="GD1562">
        <v>9</v>
      </c>
      <c r="GE1562">
        <v>1109</v>
      </c>
      <c r="GF1562" t="s">
        <v>852</v>
      </c>
    </row>
    <row r="1563" spans="1:260" x14ac:dyDescent="0.25">
      <c r="A1563">
        <v>16486570</v>
      </c>
      <c r="B1563">
        <v>1562</v>
      </c>
      <c r="C1563" t="s">
        <v>393</v>
      </c>
      <c r="D1563" t="s">
        <v>394</v>
      </c>
      <c r="F1563" t="str">
        <f>"35-2N-28-0000-0001-0690"</f>
        <v>35-2N-28-0000-0001-0690</v>
      </c>
      <c r="H1563" t="str">
        <f>"PICKETT JOHN T SR L/E MATT S &amp; ANGELA L PICKETT"</f>
        <v>PICKETT JOHN T SR L/E MATT S &amp; ANGELA L PICKETT</v>
      </c>
      <c r="I1563" t="str">
        <f>"85142 CREWS ROAD NORTH"</f>
        <v>85142 CREWS ROAD NORTH</v>
      </c>
      <c r="J1563" t="str">
        <f>"FERNANDINA BEACH FL 32034"</f>
        <v>FERNANDINA BEACH FL 32034</v>
      </c>
      <c r="K1563" t="str">
        <f>"85142 CREWS RD"</f>
        <v>85142 CREWS RD</v>
      </c>
      <c r="L1563" t="str">
        <f t="shared" si="554"/>
        <v>FERNANDINA BEACH FL 32034</v>
      </c>
      <c r="M1563" t="str">
        <f>"PT OF NW1/4 OF SEC 35-2N-28E IN OR 1597/879 BEING PARCEL 1 (EX R/W OR 611/1186)"</f>
        <v>PT OF NW1/4 OF SEC 35-2N-28E IN OR 1597/879 BEING PARCEL 1 (EX R/W OR 611/1186)</v>
      </c>
      <c r="N1563" t="str">
        <f>""</f>
        <v/>
      </c>
      <c r="O1563" t="str">
        <f>"41699"</f>
        <v>41699</v>
      </c>
      <c r="P1563" t="str">
        <f t="shared" si="548"/>
        <v>2017</v>
      </c>
      <c r="Q1563" t="str">
        <f>""</f>
        <v/>
      </c>
      <c r="R1563" t="str">
        <f>"Y"</f>
        <v>Y</v>
      </c>
      <c r="S1563" t="str">
        <f>"0.95"</f>
        <v>0.95</v>
      </c>
      <c r="T1563" t="str">
        <f>"754.69"</f>
        <v>754.69</v>
      </c>
      <c r="U1563" t="str">
        <f>"88956.00"</f>
        <v>88956.00</v>
      </c>
      <c r="V1563" t="str">
        <f>"88956.00"</f>
        <v>88956.00</v>
      </c>
      <c r="W1563" t="str">
        <f t="shared" si="549"/>
        <v>2017</v>
      </c>
      <c r="X1563" t="str">
        <f>"8.40"</f>
        <v>8.40</v>
      </c>
      <c r="Y1563" t="str">
        <f>"809.33"</f>
        <v>809.33</v>
      </c>
      <c r="Z1563" t="str">
        <f>"25000.00"</f>
        <v>25000.00</v>
      </c>
      <c r="AA1563" t="str">
        <f>"63956.00"</f>
        <v>63956.00</v>
      </c>
      <c r="AB1563" t="str">
        <f t="shared" si="550"/>
        <v>Residential</v>
      </c>
      <c r="AC1563" t="str">
        <f t="shared" si="558"/>
        <v>0</v>
      </c>
      <c r="AD1563" t="str">
        <f>"4"</f>
        <v>4</v>
      </c>
      <c r="AE1563" t="str">
        <f>"WOOD (INCLUDE STEEL STUDS)"</f>
        <v>WOOD (INCLUDE STEEL STUDS)</v>
      </c>
      <c r="AF1563" t="str">
        <f>"001"</f>
        <v>001</v>
      </c>
      <c r="AG1563" t="str">
        <f t="shared" si="551"/>
        <v>FL</v>
      </c>
      <c r="AH1563" t="str">
        <f>"41382.00"</f>
        <v>41382.00</v>
      </c>
      <c r="AI1563" t="str">
        <f>"21375.00"</f>
        <v>21375.00</v>
      </c>
      <c r="AJ1563" t="str">
        <f>"C55-000-587-7850-7"</f>
        <v>C55-000-587-7850-7</v>
      </c>
      <c r="AK1563" t="str">
        <f>"28449"</f>
        <v>28449</v>
      </c>
      <c r="AL1563">
        <v>6</v>
      </c>
      <c r="AM1563">
        <v>1793</v>
      </c>
      <c r="AN1563">
        <v>848.2</v>
      </c>
      <c r="AQ1563" t="s">
        <v>15797</v>
      </c>
      <c r="AR1563" t="s">
        <v>15797</v>
      </c>
      <c r="AS1563" t="s">
        <v>15797</v>
      </c>
      <c r="AU1563" t="s">
        <v>396</v>
      </c>
      <c r="AV1563">
        <v>2017</v>
      </c>
      <c r="AW1563" t="str">
        <f>"35-2N-28-0000-0001-0690 "</f>
        <v xml:space="preserve">35-2N-28-0000-0001-0690 </v>
      </c>
      <c r="AX1563">
        <v>85142</v>
      </c>
      <c r="AZ1563" t="s">
        <v>1393</v>
      </c>
      <c r="BA1563" t="s">
        <v>496</v>
      </c>
      <c r="BD1563" t="s">
        <v>11749</v>
      </c>
      <c r="BE1563" t="s">
        <v>393</v>
      </c>
      <c r="BF1563">
        <v>32034</v>
      </c>
      <c r="BG1563" t="s">
        <v>15792</v>
      </c>
      <c r="BH1563" t="s">
        <v>11751</v>
      </c>
      <c r="BI1563">
        <v>-81.541530816963203</v>
      </c>
      <c r="BJ1563">
        <v>30.568784789013499</v>
      </c>
      <c r="BK1563" t="s">
        <v>15791</v>
      </c>
      <c r="BM1563" t="s">
        <v>15792</v>
      </c>
      <c r="BN1563" t="s">
        <v>3983</v>
      </c>
      <c r="BO1563">
        <v>32034</v>
      </c>
      <c r="BP1563" t="s">
        <v>416</v>
      </c>
      <c r="BQ1563">
        <v>100</v>
      </c>
      <c r="BR1563" t="s">
        <v>514</v>
      </c>
      <c r="BS1563">
        <v>1001</v>
      </c>
      <c r="BT1563" t="s">
        <v>515</v>
      </c>
      <c r="BW1563">
        <v>41382</v>
      </c>
      <c r="BX1563" t="s">
        <v>407</v>
      </c>
      <c r="BY1563" t="s">
        <v>408</v>
      </c>
      <c r="BZ1563">
        <v>4</v>
      </c>
      <c r="CA1563">
        <v>1981</v>
      </c>
      <c r="CB1563">
        <v>1</v>
      </c>
      <c r="CC1563">
        <v>1</v>
      </c>
      <c r="CD1563">
        <v>2017</v>
      </c>
      <c r="CG1563">
        <v>88956</v>
      </c>
      <c r="CH1563">
        <v>2017</v>
      </c>
      <c r="CI1563">
        <v>21375</v>
      </c>
      <c r="CJ1563">
        <v>82966</v>
      </c>
      <c r="CK1563">
        <v>104341</v>
      </c>
      <c r="CL1563">
        <v>2017</v>
      </c>
      <c r="CM1563">
        <v>754.69</v>
      </c>
      <c r="CN1563" s="1">
        <v>39797</v>
      </c>
      <c r="CO1563">
        <v>50000</v>
      </c>
      <c r="CZ1563" s="1">
        <v>39797</v>
      </c>
      <c r="DD1563" t="s">
        <v>11749</v>
      </c>
      <c r="DG1563">
        <v>35</v>
      </c>
      <c r="DL1563">
        <v>50303</v>
      </c>
      <c r="DM1563" t="s">
        <v>15740</v>
      </c>
      <c r="DO1563" t="s">
        <v>15798</v>
      </c>
      <c r="DP1563">
        <v>0</v>
      </c>
      <c r="DQ1563">
        <v>0</v>
      </c>
      <c r="DR1563" t="s">
        <v>411</v>
      </c>
      <c r="DS1563" t="b">
        <v>1</v>
      </c>
      <c r="DT1563" t="s">
        <v>470</v>
      </c>
      <c r="DU1563" t="s">
        <v>471</v>
      </c>
      <c r="DV1563" t="s">
        <v>472</v>
      </c>
      <c r="DX1563">
        <v>-9999</v>
      </c>
      <c r="DZ1563" t="s">
        <v>447</v>
      </c>
      <c r="EA1563" t="s">
        <v>448</v>
      </c>
      <c r="EB1563" t="s">
        <v>742</v>
      </c>
      <c r="EC1563">
        <v>20101217</v>
      </c>
      <c r="ED1563" t="s">
        <v>474</v>
      </c>
      <c r="EF1563">
        <v>1971</v>
      </c>
      <c r="EG1563">
        <v>945.8</v>
      </c>
      <c r="EH1563" t="s">
        <v>451</v>
      </c>
      <c r="EI1563">
        <v>20140731</v>
      </c>
      <c r="EJ1563">
        <v>0</v>
      </c>
      <c r="EK1563">
        <v>0</v>
      </c>
      <c r="EP1563" t="s">
        <v>421</v>
      </c>
      <c r="EQ1563" t="s">
        <v>422</v>
      </c>
      <c r="ER1563">
        <v>0</v>
      </c>
      <c r="ES1563">
        <v>5</v>
      </c>
      <c r="ET1563">
        <v>0</v>
      </c>
      <c r="EU1563">
        <v>0</v>
      </c>
      <c r="EV1563">
        <v>0</v>
      </c>
      <c r="EW1563" s="2">
        <v>43222</v>
      </c>
      <c r="EX1563" s="1">
        <v>42151</v>
      </c>
      <c r="EY1563">
        <v>2014</v>
      </c>
      <c r="EZ1563">
        <v>829.54</v>
      </c>
      <c r="FA1563" t="s">
        <v>15799</v>
      </c>
      <c r="FB1563">
        <v>0.25</v>
      </c>
      <c r="FC1563" t="s">
        <v>424</v>
      </c>
      <c r="FD1563" t="s">
        <v>425</v>
      </c>
      <c r="FF1563">
        <v>22</v>
      </c>
      <c r="FG1563">
        <v>15259</v>
      </c>
      <c r="FH1563" t="s">
        <v>891</v>
      </c>
      <c r="FJ1563" s="1">
        <v>42151</v>
      </c>
      <c r="FK1563">
        <v>2014</v>
      </c>
      <c r="FL1563">
        <v>829.54</v>
      </c>
      <c r="FM1563" t="s">
        <v>15799</v>
      </c>
      <c r="FN1563">
        <v>0.25</v>
      </c>
      <c r="FO1563" t="s">
        <v>424</v>
      </c>
      <c r="FP1563" t="s">
        <v>425</v>
      </c>
      <c r="FR1563">
        <v>22</v>
      </c>
      <c r="FS1563">
        <v>6751884</v>
      </c>
      <c r="FT1563" t="s">
        <v>15800</v>
      </c>
      <c r="FV1563" s="1">
        <v>42151</v>
      </c>
      <c r="FW1563">
        <v>2014</v>
      </c>
      <c r="FX1563">
        <v>829.54</v>
      </c>
      <c r="FY1563" t="s">
        <v>15799</v>
      </c>
      <c r="FZ1563">
        <v>0.25</v>
      </c>
      <c r="GA1563" t="s">
        <v>424</v>
      </c>
      <c r="GB1563" t="s">
        <v>425</v>
      </c>
      <c r="GC1563" s="1">
        <v>42369</v>
      </c>
      <c r="GD1563">
        <v>7</v>
      </c>
      <c r="GE1563">
        <v>7045049</v>
      </c>
      <c r="GF1563" t="s">
        <v>1335</v>
      </c>
      <c r="GH1563" s="1">
        <v>41787</v>
      </c>
      <c r="GI1563">
        <v>2013</v>
      </c>
      <c r="GJ1563">
        <v>780.13</v>
      </c>
      <c r="GK1563" t="s">
        <v>15801</v>
      </c>
      <c r="GL1563">
        <v>0.25</v>
      </c>
      <c r="GM1563" t="s">
        <v>424</v>
      </c>
      <c r="GN1563" t="s">
        <v>425</v>
      </c>
      <c r="GO1563" s="1">
        <v>42369</v>
      </c>
      <c r="GP1563">
        <v>19</v>
      </c>
      <c r="GQ1563">
        <v>2662137</v>
      </c>
      <c r="GR1563" t="s">
        <v>916</v>
      </c>
      <c r="GT1563" s="1">
        <v>41052</v>
      </c>
      <c r="GU1563">
        <v>2011</v>
      </c>
      <c r="GV1563">
        <v>737.25</v>
      </c>
      <c r="GW1563" t="s">
        <v>15802</v>
      </c>
      <c r="GX1563">
        <v>0.25</v>
      </c>
      <c r="GY1563" t="s">
        <v>424</v>
      </c>
      <c r="GZ1563" t="s">
        <v>425</v>
      </c>
      <c r="HA1563" s="1">
        <v>41311</v>
      </c>
      <c r="HB1563">
        <v>9</v>
      </c>
      <c r="HC1563">
        <v>14232</v>
      </c>
      <c r="HD1563" t="s">
        <v>15803</v>
      </c>
    </row>
    <row r="1564" spans="1:260" x14ac:dyDescent="0.25">
      <c r="A1564">
        <v>16486571</v>
      </c>
      <c r="B1564">
        <v>1563</v>
      </c>
      <c r="C1564" t="s">
        <v>393</v>
      </c>
      <c r="D1564" t="s">
        <v>394</v>
      </c>
      <c r="F1564" t="str">
        <f>"35-2N-28-0000-0001-0860"</f>
        <v>35-2N-28-0000-0001-0860</v>
      </c>
      <c r="H1564" t="str">
        <f>"MILLS JAMES E"</f>
        <v>MILLS JAMES E</v>
      </c>
      <c r="I1564" t="str">
        <f>"85127 PATRICIA CT"</f>
        <v>85127 PATRICIA CT</v>
      </c>
      <c r="J1564" t="str">
        <f>"FERNANDINA BEACH FL 32034"</f>
        <v>FERNANDINA BEACH FL 32034</v>
      </c>
      <c r="K1564" t="str">
        <f>"CREWS RD"</f>
        <v>CREWS RD</v>
      </c>
      <c r="L1564" t="str">
        <f t="shared" si="554"/>
        <v>FERNANDINA BEACH FL 32034</v>
      </c>
      <c r="M1564" t="str">
        <f>"PT GOVT LOT 3 OF SEC 35-2N-28E IN OR 2027/944 BEING PARCEL A (EX ESMTS IN OR 920/362 OR 951/708 OR 951/808 &amp; OR 955/1156)"</f>
        <v>PT GOVT LOT 3 OF SEC 35-2N-28E IN OR 2027/944 BEING PARCEL A (EX ESMTS IN OR 920/362 OR 951/708 OR 951/808 &amp; OR 955/1156)</v>
      </c>
      <c r="N1564" t="str">
        <f>""</f>
        <v/>
      </c>
      <c r="O1564" t="str">
        <f>"41715"</f>
        <v>41715</v>
      </c>
      <c r="P1564" t="str">
        <f t="shared" si="548"/>
        <v>2017</v>
      </c>
      <c r="Q1564" t="str">
        <f>""</f>
        <v/>
      </c>
      <c r="R1564" t="str">
        <f t="shared" ref="R1564:R1569" si="559">"N"</f>
        <v>N</v>
      </c>
      <c r="S1564" t="str">
        <f>"1.00"</f>
        <v>1.00</v>
      </c>
      <c r="T1564" t="str">
        <f>"151.38"</f>
        <v>151.38</v>
      </c>
      <c r="U1564" t="str">
        <f>"10000.00"</f>
        <v>10000.00</v>
      </c>
      <c r="V1564" t="str">
        <f>"10000.00"</f>
        <v>10000.00</v>
      </c>
      <c r="W1564" t="str">
        <f t="shared" si="549"/>
        <v>2017</v>
      </c>
      <c r="X1564" t="str">
        <f>"10.33"</f>
        <v>10.33</v>
      </c>
      <c r="Y1564" t="str">
        <f>"187.92"</f>
        <v>187.92</v>
      </c>
      <c r="Z1564" t="str">
        <f>""</f>
        <v/>
      </c>
      <c r="AA1564" t="str">
        <f>"10000.00"</f>
        <v>10000.00</v>
      </c>
      <c r="AB1564" t="str">
        <f t="shared" si="550"/>
        <v>Residential</v>
      </c>
      <c r="AC1564" t="str">
        <f t="shared" si="558"/>
        <v>0</v>
      </c>
      <c r="AD1564" t="str">
        <f>""</f>
        <v/>
      </c>
      <c r="AE1564" t="str">
        <f>""</f>
        <v/>
      </c>
      <c r="AF1564" t="str">
        <f>"000"</f>
        <v>000</v>
      </c>
      <c r="AG1564" t="str">
        <f t="shared" si="551"/>
        <v>FL</v>
      </c>
      <c r="AH1564" t="str">
        <f>"43560.00"</f>
        <v>43560.00</v>
      </c>
      <c r="AI1564" t="str">
        <f>"10000.00"</f>
        <v>10000.00</v>
      </c>
      <c r="AJ1564" t="str">
        <f>"C55-000-587-7866-3"</f>
        <v>C55-000-587-7866-3</v>
      </c>
      <c r="AK1564" t="str">
        <f>"28465"</f>
        <v>28465</v>
      </c>
      <c r="AL1564">
        <v>6</v>
      </c>
      <c r="AM1564">
        <v>1795</v>
      </c>
      <c r="AN1564">
        <v>195.72</v>
      </c>
      <c r="AQ1564" t="s">
        <v>15804</v>
      </c>
      <c r="AR1564" t="s">
        <v>15804</v>
      </c>
      <c r="AS1564" t="s">
        <v>15804</v>
      </c>
      <c r="AU1564" t="s">
        <v>396</v>
      </c>
      <c r="AV1564">
        <v>2017</v>
      </c>
      <c r="AW1564" t="str">
        <f>"35-2N-28-0000-0001-0860 "</f>
        <v xml:space="preserve">35-2N-28-0000-0001-0860 </v>
      </c>
      <c r="AZ1564" t="s">
        <v>1393</v>
      </c>
      <c r="BA1564" t="s">
        <v>496</v>
      </c>
      <c r="BD1564" t="s">
        <v>11749</v>
      </c>
      <c r="BE1564" t="s">
        <v>393</v>
      </c>
      <c r="BF1564">
        <v>32034</v>
      </c>
      <c r="BG1564" t="s">
        <v>15790</v>
      </c>
      <c r="BH1564" t="s">
        <v>11751</v>
      </c>
      <c r="BI1564">
        <v>-81.542712167918296</v>
      </c>
      <c r="BJ1564">
        <v>30.564907315785501</v>
      </c>
      <c r="BK1564" t="s">
        <v>15805</v>
      </c>
      <c r="BM1564" t="s">
        <v>15806</v>
      </c>
      <c r="BN1564" t="s">
        <v>3983</v>
      </c>
      <c r="BO1564">
        <v>32034</v>
      </c>
      <c r="BP1564" t="s">
        <v>404</v>
      </c>
      <c r="BQ1564">
        <v>0</v>
      </c>
      <c r="BR1564" t="s">
        <v>491</v>
      </c>
      <c r="BS1564">
        <v>8001</v>
      </c>
      <c r="BT1564" t="s">
        <v>492</v>
      </c>
      <c r="BW1564">
        <v>43560</v>
      </c>
      <c r="BX1564" t="s">
        <v>407</v>
      </c>
      <c r="BY1564" t="s">
        <v>408</v>
      </c>
      <c r="CD1564">
        <v>2017</v>
      </c>
      <c r="CE1564">
        <v>10000</v>
      </c>
      <c r="CG1564">
        <v>10000</v>
      </c>
      <c r="CH1564">
        <v>2017</v>
      </c>
      <c r="CI1564">
        <v>10000</v>
      </c>
      <c r="CK1564">
        <v>10000</v>
      </c>
      <c r="CL1564">
        <v>2017</v>
      </c>
      <c r="CM1564">
        <v>151.38</v>
      </c>
      <c r="CN1564" s="1">
        <v>40494</v>
      </c>
      <c r="CO1564">
        <v>35000</v>
      </c>
      <c r="CZ1564" s="1">
        <v>40494</v>
      </c>
      <c r="DD1564" t="s">
        <v>11749</v>
      </c>
      <c r="DG1564">
        <v>35</v>
      </c>
      <c r="DL1564">
        <v>50303</v>
      </c>
      <c r="DM1564" t="s">
        <v>15740</v>
      </c>
      <c r="DO1564" t="s">
        <v>15807</v>
      </c>
      <c r="DP1564">
        <v>0</v>
      </c>
      <c r="DQ1564">
        <v>0</v>
      </c>
      <c r="DR1564" t="s">
        <v>411</v>
      </c>
      <c r="DS1564" t="b">
        <v>1</v>
      </c>
      <c r="DT1564" t="s">
        <v>470</v>
      </c>
      <c r="DU1564" t="s">
        <v>471</v>
      </c>
      <c r="DV1564" t="s">
        <v>472</v>
      </c>
      <c r="DX1564">
        <v>-9999</v>
      </c>
      <c r="DZ1564" t="s">
        <v>447</v>
      </c>
      <c r="EA1564" t="s">
        <v>448</v>
      </c>
      <c r="EB1564" t="s">
        <v>742</v>
      </c>
      <c r="EC1564">
        <v>20101217</v>
      </c>
      <c r="ED1564" t="s">
        <v>474</v>
      </c>
      <c r="EF1564">
        <v>1558.7</v>
      </c>
      <c r="EG1564">
        <v>381.3</v>
      </c>
      <c r="EI1564">
        <v>20160407</v>
      </c>
      <c r="EJ1564">
        <v>0</v>
      </c>
      <c r="EK1564">
        <v>0</v>
      </c>
      <c r="EP1564" t="s">
        <v>421</v>
      </c>
      <c r="EQ1564" t="s">
        <v>422</v>
      </c>
      <c r="ER1564">
        <v>3</v>
      </c>
      <c r="ES1564">
        <v>4</v>
      </c>
      <c r="ET1564">
        <v>577.13</v>
      </c>
      <c r="EU1564">
        <v>47.61</v>
      </c>
      <c r="EV1564">
        <v>624.74</v>
      </c>
      <c r="EW1564" s="2">
        <v>43222</v>
      </c>
      <c r="EX1564" s="1">
        <v>42879</v>
      </c>
      <c r="EY1564">
        <v>2016</v>
      </c>
      <c r="EZ1564">
        <v>193.03</v>
      </c>
      <c r="FA1564" t="s">
        <v>15808</v>
      </c>
      <c r="FB1564">
        <v>0.25</v>
      </c>
      <c r="FC1564" t="s">
        <v>424</v>
      </c>
      <c r="FD1564" t="s">
        <v>454</v>
      </c>
      <c r="FF1564">
        <v>12</v>
      </c>
      <c r="FG1564">
        <v>62</v>
      </c>
      <c r="FH1564" t="s">
        <v>463</v>
      </c>
      <c r="FJ1564" s="1">
        <v>42515</v>
      </c>
      <c r="FK1564">
        <v>2015</v>
      </c>
      <c r="FL1564">
        <v>192.05</v>
      </c>
      <c r="FM1564" t="s">
        <v>15809</v>
      </c>
      <c r="FN1564">
        <v>0.25</v>
      </c>
      <c r="FO1564" t="s">
        <v>424</v>
      </c>
      <c r="FP1564" t="s">
        <v>454</v>
      </c>
      <c r="FR1564">
        <v>24</v>
      </c>
      <c r="FS1564">
        <v>7336671</v>
      </c>
      <c r="FT1564" t="s">
        <v>437</v>
      </c>
      <c r="FV1564" s="1">
        <v>42515</v>
      </c>
      <c r="FW1564">
        <v>2015</v>
      </c>
      <c r="FX1564">
        <v>192.05</v>
      </c>
      <c r="FY1564" t="s">
        <v>15809</v>
      </c>
      <c r="FZ1564">
        <v>0.25</v>
      </c>
      <c r="GA1564" t="s">
        <v>424</v>
      </c>
      <c r="GB1564" t="s">
        <v>454</v>
      </c>
      <c r="GD1564">
        <v>24</v>
      </c>
      <c r="GE1564">
        <v>6998790</v>
      </c>
      <c r="GF1564" t="s">
        <v>15810</v>
      </c>
      <c r="GH1564" s="1">
        <v>41423</v>
      </c>
      <c r="GI1564">
        <v>2012</v>
      </c>
      <c r="GJ1564">
        <v>185.79</v>
      </c>
      <c r="GK1564" t="s">
        <v>15811</v>
      </c>
      <c r="GL1564">
        <v>7.5</v>
      </c>
      <c r="GM1564" t="s">
        <v>424</v>
      </c>
      <c r="GN1564" t="s">
        <v>425</v>
      </c>
      <c r="GO1564" s="1">
        <v>41680</v>
      </c>
      <c r="GP1564">
        <v>9</v>
      </c>
      <c r="GQ1564">
        <v>1127</v>
      </c>
      <c r="GR1564" t="s">
        <v>1379</v>
      </c>
      <c r="GT1564" s="1">
        <v>41423</v>
      </c>
      <c r="GU1564">
        <v>2012</v>
      </c>
      <c r="GV1564">
        <v>185.79</v>
      </c>
      <c r="GW1564" t="s">
        <v>15811</v>
      </c>
      <c r="GX1564">
        <v>7.5</v>
      </c>
      <c r="GY1564" t="s">
        <v>424</v>
      </c>
      <c r="GZ1564" t="s">
        <v>425</v>
      </c>
      <c r="HB1564">
        <v>22</v>
      </c>
      <c r="HC1564">
        <v>2035919</v>
      </c>
      <c r="HD1564" t="s">
        <v>507</v>
      </c>
      <c r="HF1564" s="1">
        <v>41052</v>
      </c>
      <c r="HG1564">
        <v>2011</v>
      </c>
      <c r="HH1564">
        <v>180.66</v>
      </c>
      <c r="HI1564" t="s">
        <v>15812</v>
      </c>
      <c r="HJ1564">
        <v>14.75</v>
      </c>
      <c r="HK1564" t="s">
        <v>424</v>
      </c>
      <c r="HL1564" t="s">
        <v>425</v>
      </c>
      <c r="HM1564" s="1">
        <v>41680</v>
      </c>
      <c r="HN1564">
        <v>21</v>
      </c>
      <c r="HO1564">
        <v>13644</v>
      </c>
      <c r="HP1564" t="s">
        <v>15813</v>
      </c>
      <c r="HR1564" s="1">
        <v>40688</v>
      </c>
      <c r="HS1564">
        <v>2010</v>
      </c>
      <c r="HT1564">
        <v>271.06</v>
      </c>
      <c r="HU1564" t="s">
        <v>15814</v>
      </c>
      <c r="HV1564">
        <v>6</v>
      </c>
      <c r="HW1564" t="s">
        <v>424</v>
      </c>
      <c r="HX1564" t="s">
        <v>425</v>
      </c>
      <c r="HY1564" s="1">
        <v>40724</v>
      </c>
      <c r="HZ1564">
        <v>1</v>
      </c>
      <c r="IA1564">
        <v>105</v>
      </c>
      <c r="IB1564" t="s">
        <v>946</v>
      </c>
    </row>
    <row r="1565" spans="1:260" x14ac:dyDescent="0.25">
      <c r="A1565">
        <v>16486572</v>
      </c>
      <c r="B1565">
        <v>1564</v>
      </c>
      <c r="C1565" t="s">
        <v>393</v>
      </c>
      <c r="D1565" t="s">
        <v>394</v>
      </c>
      <c r="F1565" t="str">
        <f>"35-2N-28-0000-0001-0920"</f>
        <v>35-2N-28-0000-0001-0920</v>
      </c>
      <c r="H1565" t="str">
        <f>"HOERLE-DAVIS LOVE"</f>
        <v>HOERLE-DAVIS LOVE</v>
      </c>
      <c r="I1565" t="str">
        <f>"85551 LONNIE CREWS RD"</f>
        <v>85551 LONNIE CREWS RD</v>
      </c>
      <c r="J1565" t="str">
        <f>"FERNANDINA BEACH FL 32034"</f>
        <v>FERNANDINA BEACH FL 32034</v>
      </c>
      <c r="K1565" t="str">
        <f>"85551 LONNIE CREWS RD"</f>
        <v>85551 LONNIE CREWS RD</v>
      </c>
      <c r="L1565" t="str">
        <f t="shared" si="554"/>
        <v>FERNANDINA BEACH FL 32034</v>
      </c>
      <c r="M1565" t="str">
        <f>"IN OR 1307/877 1974 SHER SW/MH"</f>
        <v>IN OR 1307/877 1974 SHER SW/MH</v>
      </c>
      <c r="N1565" t="str">
        <f>""</f>
        <v/>
      </c>
      <c r="O1565" t="str">
        <f>"41720"</f>
        <v>41720</v>
      </c>
      <c r="P1565" t="str">
        <f t="shared" si="548"/>
        <v>2017</v>
      </c>
      <c r="Q1565" t="str">
        <f>""</f>
        <v/>
      </c>
      <c r="R1565" t="str">
        <f t="shared" si="559"/>
        <v>N</v>
      </c>
      <c r="S1565" t="str">
        <f>"1.32"</f>
        <v>1.32</v>
      </c>
      <c r="T1565" t="str">
        <f>"763.27"</f>
        <v>763.27</v>
      </c>
      <c r="U1565" t="str">
        <f>"50418.00"</f>
        <v>50418.00</v>
      </c>
      <c r="V1565" t="str">
        <f>"50418.00"</f>
        <v>50418.00</v>
      </c>
      <c r="W1565" t="str">
        <f t="shared" si="549"/>
        <v>2017</v>
      </c>
      <c r="X1565" t="str">
        <f>"1.33"</f>
        <v>1.33</v>
      </c>
      <c r="Y1565" t="str">
        <f>"818.17"</f>
        <v>818.17</v>
      </c>
      <c r="Z1565" t="str">
        <f>""</f>
        <v/>
      </c>
      <c r="AA1565" t="str">
        <f>"50418.00"</f>
        <v>50418.00</v>
      </c>
      <c r="AB1565" t="str">
        <f t="shared" si="550"/>
        <v>Residential</v>
      </c>
      <c r="AC1565" t="str">
        <f t="shared" si="558"/>
        <v>0</v>
      </c>
      <c r="AD1565" t="str">
        <f t="shared" ref="AD1565:AD1571" si="560">"4"</f>
        <v>4</v>
      </c>
      <c r="AE1565" t="str">
        <f t="shared" ref="AE1565:AE1571" si="561">"WOOD (INCLUDE STEEL STUDS)"</f>
        <v>WOOD (INCLUDE STEEL STUDS)</v>
      </c>
      <c r="AF1565" t="str">
        <f>"002"</f>
        <v>002</v>
      </c>
      <c r="AG1565" t="str">
        <f t="shared" si="551"/>
        <v>FL</v>
      </c>
      <c r="AH1565" t="str">
        <f>"57499.00"</f>
        <v>57499.00</v>
      </c>
      <c r="AI1565" t="str">
        <f>"33000.00"</f>
        <v>33000.00</v>
      </c>
      <c r="AJ1565" t="str">
        <f>"C55-000-587-7871-3"</f>
        <v>C55-000-587-7871-3</v>
      </c>
      <c r="AK1565" t="str">
        <f>"28469"</f>
        <v>28469</v>
      </c>
      <c r="AL1565">
        <v>6</v>
      </c>
      <c r="AM1565">
        <v>1796</v>
      </c>
      <c r="AN1565">
        <v>857.48</v>
      </c>
      <c r="AQ1565" t="s">
        <v>15815</v>
      </c>
      <c r="AR1565" t="s">
        <v>15815</v>
      </c>
      <c r="AS1565" t="s">
        <v>15815</v>
      </c>
      <c r="AU1565" t="s">
        <v>396</v>
      </c>
      <c r="AV1565">
        <v>2017</v>
      </c>
      <c r="AW1565" t="str">
        <f>"35-2N-28-0000-0001-0920 "</f>
        <v xml:space="preserve">35-2N-28-0000-0001-0920 </v>
      </c>
      <c r="AX1565">
        <v>85551</v>
      </c>
      <c r="AZ1565" t="s">
        <v>12270</v>
      </c>
      <c r="BA1565" t="s">
        <v>496</v>
      </c>
      <c r="BD1565" t="s">
        <v>11749</v>
      </c>
      <c r="BE1565" t="s">
        <v>393</v>
      </c>
      <c r="BF1565">
        <v>32034</v>
      </c>
      <c r="BG1565" t="s">
        <v>15816</v>
      </c>
      <c r="BH1565" t="s">
        <v>11751</v>
      </c>
      <c r="BI1565">
        <v>-81.543579434877799</v>
      </c>
      <c r="BJ1565">
        <v>30.5674141393343</v>
      </c>
      <c r="BK1565" t="s">
        <v>15817</v>
      </c>
      <c r="BM1565" t="s">
        <v>15816</v>
      </c>
      <c r="BN1565" t="s">
        <v>3983</v>
      </c>
      <c r="BO1565">
        <v>32034</v>
      </c>
      <c r="BP1565" t="s">
        <v>416</v>
      </c>
      <c r="BQ1565">
        <v>200</v>
      </c>
      <c r="BR1565" t="s">
        <v>405</v>
      </c>
      <c r="BS1565">
        <v>1006</v>
      </c>
      <c r="BT1565" t="s">
        <v>406</v>
      </c>
      <c r="BW1565">
        <v>57499</v>
      </c>
      <c r="BX1565" t="s">
        <v>407</v>
      </c>
      <c r="BY1565" t="s">
        <v>408</v>
      </c>
      <c r="BZ1565">
        <v>4</v>
      </c>
      <c r="CA1565">
        <v>1974</v>
      </c>
      <c r="CC1565">
        <v>1</v>
      </c>
      <c r="CD1565">
        <v>2017</v>
      </c>
      <c r="CE1565">
        <v>33000</v>
      </c>
      <c r="CF1565">
        <v>17418</v>
      </c>
      <c r="CG1565">
        <v>50418</v>
      </c>
      <c r="CH1565">
        <v>2017</v>
      </c>
      <c r="CI1565">
        <v>33000</v>
      </c>
      <c r="CJ1565">
        <v>17418</v>
      </c>
      <c r="CK1565">
        <v>50418</v>
      </c>
      <c r="CL1565">
        <v>2017</v>
      </c>
      <c r="CM1565">
        <v>763.27</v>
      </c>
      <c r="CN1565" s="1">
        <v>38448</v>
      </c>
      <c r="CO1565">
        <v>19000</v>
      </c>
      <c r="CZ1565" s="1">
        <v>38448</v>
      </c>
      <c r="DD1565" t="s">
        <v>11749</v>
      </c>
      <c r="DG1565">
        <v>35</v>
      </c>
      <c r="DL1565">
        <v>50303</v>
      </c>
      <c r="DM1565" t="s">
        <v>15740</v>
      </c>
      <c r="DO1565" t="s">
        <v>15818</v>
      </c>
      <c r="DP1565">
        <v>0</v>
      </c>
      <c r="DQ1565">
        <v>0</v>
      </c>
      <c r="DR1565" t="s">
        <v>411</v>
      </c>
      <c r="DS1565" t="b">
        <v>1</v>
      </c>
      <c r="DT1565" t="s">
        <v>470</v>
      </c>
      <c r="DU1565" t="s">
        <v>471</v>
      </c>
      <c r="DV1565" t="s">
        <v>472</v>
      </c>
      <c r="DX1565">
        <v>-9999</v>
      </c>
      <c r="DZ1565" t="s">
        <v>447</v>
      </c>
      <c r="EA1565" t="s">
        <v>448</v>
      </c>
      <c r="EB1565" t="s">
        <v>742</v>
      </c>
      <c r="EC1565">
        <v>20101217</v>
      </c>
      <c r="ED1565" t="s">
        <v>474</v>
      </c>
      <c r="EF1565">
        <v>1193.4000000000001</v>
      </c>
      <c r="EG1565">
        <v>154</v>
      </c>
      <c r="EH1565" t="s">
        <v>451</v>
      </c>
      <c r="EI1565">
        <v>20140731</v>
      </c>
      <c r="EJ1565">
        <v>0</v>
      </c>
      <c r="EK1565">
        <v>0</v>
      </c>
      <c r="EP1565" t="s">
        <v>421</v>
      </c>
      <c r="EQ1565" t="s">
        <v>422</v>
      </c>
      <c r="ER1565">
        <v>2</v>
      </c>
      <c r="ES1565">
        <v>1</v>
      </c>
      <c r="ET1565">
        <v>1661.04</v>
      </c>
      <c r="EU1565">
        <v>95.55</v>
      </c>
      <c r="EV1565">
        <v>1756.59</v>
      </c>
      <c r="EW1565" s="2">
        <v>43222</v>
      </c>
      <c r="EX1565" s="1">
        <v>42879</v>
      </c>
      <c r="EY1565">
        <v>2016</v>
      </c>
      <c r="EZ1565">
        <v>830.52</v>
      </c>
      <c r="FA1565" t="s">
        <v>15819</v>
      </c>
      <c r="FB1565">
        <v>0.25</v>
      </c>
      <c r="FC1565" t="s">
        <v>424</v>
      </c>
      <c r="FD1565" t="s">
        <v>454</v>
      </c>
      <c r="FF1565">
        <v>12</v>
      </c>
      <c r="FG1565">
        <v>2851116</v>
      </c>
      <c r="FH1565" t="s">
        <v>480</v>
      </c>
      <c r="FJ1565" s="1">
        <v>42879</v>
      </c>
      <c r="FK1565">
        <v>2016</v>
      </c>
      <c r="FL1565">
        <v>830.52</v>
      </c>
      <c r="FM1565" t="s">
        <v>15819</v>
      </c>
      <c r="FN1565">
        <v>0.25</v>
      </c>
      <c r="FO1565" t="s">
        <v>424</v>
      </c>
      <c r="FP1565" t="s">
        <v>454</v>
      </c>
      <c r="FR1565">
        <v>12</v>
      </c>
      <c r="FS1565">
        <v>5043681</v>
      </c>
      <c r="FT1565" t="s">
        <v>15820</v>
      </c>
      <c r="FV1565" s="1">
        <v>41787</v>
      </c>
      <c r="FW1565">
        <v>2013</v>
      </c>
      <c r="FX1565">
        <v>934.66</v>
      </c>
      <c r="FY1565" t="s">
        <v>15821</v>
      </c>
      <c r="FZ1565">
        <v>0.25</v>
      </c>
      <c r="GA1565" t="s">
        <v>424</v>
      </c>
      <c r="GB1565" t="s">
        <v>425</v>
      </c>
      <c r="GC1565" s="1">
        <v>41842</v>
      </c>
      <c r="GD1565">
        <v>2</v>
      </c>
      <c r="GE1565">
        <v>2407503</v>
      </c>
      <c r="GF1565" t="s">
        <v>461</v>
      </c>
    </row>
    <row r="1566" spans="1:260" x14ac:dyDescent="0.25">
      <c r="A1566">
        <v>16486573</v>
      </c>
      <c r="B1566">
        <v>1565</v>
      </c>
      <c r="C1566" t="s">
        <v>393</v>
      </c>
      <c r="D1566" t="s">
        <v>394</v>
      </c>
      <c r="F1566" t="str">
        <f>"35-2N-28-0000-0001-1020"</f>
        <v>35-2N-28-0000-0001-1020</v>
      </c>
      <c r="H1566" t="str">
        <f>"JACKSON JEFFREY B"</f>
        <v>JACKSON JEFFREY B</v>
      </c>
      <c r="I1566" t="str">
        <f>"6818 S COURT DR"</f>
        <v>6818 S COURT DR</v>
      </c>
      <c r="J1566" t="str">
        <f>"TAMPA FL 33611"</f>
        <v>TAMPA FL 33611</v>
      </c>
      <c r="K1566" t="str">
        <f>"85042 PATRICIA CT"</f>
        <v>85042 PATRICIA CT</v>
      </c>
      <c r="L1566" t="str">
        <f t="shared" si="554"/>
        <v>FERNANDINA BEACH FL 32034</v>
      </c>
      <c r="M1566" t="str">
        <f>"PT GOVT LOT 3 OF SEC 35-2N-28E IN OR 1633/883 BEING PARCEL A &amp; ESMT IN OR 951/708"</f>
        <v>PT GOVT LOT 3 OF SEC 35-2N-28E IN OR 1633/883 BEING PARCEL A &amp; ESMT IN OR 951/708</v>
      </c>
      <c r="N1566" t="str">
        <f>""</f>
        <v/>
      </c>
      <c r="O1566" t="str">
        <f>"41730"</f>
        <v>41730</v>
      </c>
      <c r="P1566" t="str">
        <f t="shared" si="548"/>
        <v>2017</v>
      </c>
      <c r="Q1566" t="str">
        <f>""</f>
        <v/>
      </c>
      <c r="R1566" t="str">
        <f t="shared" si="559"/>
        <v>N</v>
      </c>
      <c r="S1566" t="str">
        <f>"2.22"</f>
        <v>2.22</v>
      </c>
      <c r="T1566" t="str">
        <f>"1220.09"</f>
        <v>1220.09</v>
      </c>
      <c r="U1566" t="str">
        <f>"80594.00"</f>
        <v>80594.00</v>
      </c>
      <c r="V1566" t="str">
        <f>"80594.00"</f>
        <v>80594.00</v>
      </c>
      <c r="W1566" t="str">
        <f t="shared" si="549"/>
        <v>2017</v>
      </c>
      <c r="X1566" t="str">
        <f>"1.00"</f>
        <v>1.00</v>
      </c>
      <c r="Y1566" t="str">
        <f>"1288.69"</f>
        <v>1288.69</v>
      </c>
      <c r="Z1566" t="str">
        <f>""</f>
        <v/>
      </c>
      <c r="AA1566" t="str">
        <f>"80594.00"</f>
        <v>80594.00</v>
      </c>
      <c r="AB1566" t="str">
        <f t="shared" si="550"/>
        <v>Residential</v>
      </c>
      <c r="AC1566" t="str">
        <f t="shared" si="558"/>
        <v>0</v>
      </c>
      <c r="AD1566" t="str">
        <f t="shared" si="560"/>
        <v>4</v>
      </c>
      <c r="AE1566" t="str">
        <f t="shared" si="561"/>
        <v>WOOD (INCLUDE STEEL STUDS)</v>
      </c>
      <c r="AF1566" t="str">
        <f>"002"</f>
        <v>002</v>
      </c>
      <c r="AG1566" t="str">
        <f t="shared" si="551"/>
        <v>FL</v>
      </c>
      <c r="AH1566" t="str">
        <f>"96703.00"</f>
        <v>96703.00</v>
      </c>
      <c r="AI1566" t="str">
        <f>"55500.00"</f>
        <v>55500.00</v>
      </c>
      <c r="AJ1566" t="str">
        <f>"C55-000-587-7879-6"</f>
        <v>C55-000-587-7879-6</v>
      </c>
      <c r="AK1566" t="str">
        <f>"28476"</f>
        <v>28476</v>
      </c>
      <c r="AL1566">
        <v>6</v>
      </c>
      <c r="AM1566">
        <v>1797</v>
      </c>
      <c r="AN1566">
        <v>1351.52</v>
      </c>
      <c r="AQ1566" t="s">
        <v>15822</v>
      </c>
      <c r="AR1566" t="s">
        <v>15822</v>
      </c>
      <c r="AS1566" t="s">
        <v>15822</v>
      </c>
      <c r="AU1566" t="s">
        <v>396</v>
      </c>
      <c r="AV1566">
        <v>2017</v>
      </c>
      <c r="AW1566" t="str">
        <f>"35-2N-28-0000-0001-1020 "</f>
        <v xml:space="preserve">35-2N-28-0000-0001-1020 </v>
      </c>
      <c r="AX1566">
        <v>85042</v>
      </c>
      <c r="AZ1566" t="s">
        <v>15784</v>
      </c>
      <c r="BA1566" t="s">
        <v>3181</v>
      </c>
      <c r="BD1566" t="s">
        <v>11749</v>
      </c>
      <c r="BE1566" t="s">
        <v>393</v>
      </c>
      <c r="BF1566">
        <v>32034</v>
      </c>
      <c r="BG1566" t="s">
        <v>15823</v>
      </c>
      <c r="BH1566" t="s">
        <v>11751</v>
      </c>
      <c r="BI1566">
        <v>-81.542373549147101</v>
      </c>
      <c r="BJ1566">
        <v>30.5639180748143</v>
      </c>
      <c r="BK1566" t="s">
        <v>15786</v>
      </c>
      <c r="BM1566" t="s">
        <v>15787</v>
      </c>
      <c r="BN1566" t="s">
        <v>1971</v>
      </c>
      <c r="BO1566">
        <v>33611</v>
      </c>
      <c r="BP1566" t="s">
        <v>404</v>
      </c>
      <c r="BQ1566">
        <v>200</v>
      </c>
      <c r="BR1566" t="s">
        <v>405</v>
      </c>
      <c r="BS1566">
        <v>1006</v>
      </c>
      <c r="BT1566" t="s">
        <v>406</v>
      </c>
      <c r="BW1566">
        <v>96703</v>
      </c>
      <c r="BX1566" t="s">
        <v>407</v>
      </c>
      <c r="BZ1566">
        <v>4</v>
      </c>
      <c r="CA1566">
        <v>1980</v>
      </c>
      <c r="CC1566">
        <v>2</v>
      </c>
      <c r="CD1566">
        <v>2017</v>
      </c>
      <c r="CE1566">
        <v>55500</v>
      </c>
      <c r="CF1566">
        <v>25094</v>
      </c>
      <c r="CG1566">
        <v>80594</v>
      </c>
      <c r="CH1566">
        <v>2017</v>
      </c>
      <c r="CI1566">
        <v>55500</v>
      </c>
      <c r="CJ1566">
        <v>25094</v>
      </c>
      <c r="CK1566">
        <v>80594</v>
      </c>
      <c r="CL1566">
        <v>2017</v>
      </c>
      <c r="CM1566">
        <v>1220.0899999999999</v>
      </c>
      <c r="CN1566" s="1">
        <v>40030</v>
      </c>
      <c r="CO1566">
        <v>180000</v>
      </c>
      <c r="CV1566">
        <v>0</v>
      </c>
      <c r="CZ1566" s="1">
        <v>40030</v>
      </c>
      <c r="DA1566">
        <v>0</v>
      </c>
      <c r="DD1566" t="s">
        <v>11749</v>
      </c>
      <c r="DG1566">
        <v>35</v>
      </c>
      <c r="DL1566">
        <v>50303</v>
      </c>
      <c r="DM1566" t="s">
        <v>15740</v>
      </c>
      <c r="DO1566" t="s">
        <v>15824</v>
      </c>
      <c r="DP1566">
        <v>0</v>
      </c>
      <c r="DQ1566">
        <v>0</v>
      </c>
      <c r="DR1566" t="s">
        <v>411</v>
      </c>
    </row>
    <row r="1567" spans="1:260" x14ac:dyDescent="0.25">
      <c r="A1567">
        <v>16486574</v>
      </c>
      <c r="B1567">
        <v>1566</v>
      </c>
      <c r="C1567" t="s">
        <v>393</v>
      </c>
      <c r="D1567" t="s">
        <v>394</v>
      </c>
      <c r="F1567" t="str">
        <f>"35-2N-28-0000-0001-1030"</f>
        <v>35-2N-28-0000-0001-1030</v>
      </c>
      <c r="H1567" t="str">
        <f>"JACKSON JEFFREY B"</f>
        <v>JACKSON JEFFREY B</v>
      </c>
      <c r="I1567" t="str">
        <f>"6818 S COURT DR"</f>
        <v>6818 S COURT DR</v>
      </c>
      <c r="J1567" t="str">
        <f>"TAMPA FL 33611"</f>
        <v>TAMPA FL 33611</v>
      </c>
      <c r="K1567" t="str">
        <f>"85086 PATRICIA CT"</f>
        <v>85086 PATRICIA CT</v>
      </c>
      <c r="L1567" t="str">
        <f t="shared" si="554"/>
        <v>FERNANDINA BEACH FL 32034</v>
      </c>
      <c r="M1567" t="str">
        <f>"PT GOVT LOT 3 OF SEC 35-2N-28E IN OR 1633/883 BEING PARCEL C {1984 TOWN SW}"</f>
        <v>PT GOVT LOT 3 OF SEC 35-2N-28E IN OR 1633/883 BEING PARCEL C {1984 TOWN SW}</v>
      </c>
      <c r="N1567" t="str">
        <f>""</f>
        <v/>
      </c>
      <c r="O1567" t="str">
        <f>"41731"</f>
        <v>41731</v>
      </c>
      <c r="P1567" t="str">
        <f t="shared" si="548"/>
        <v>2017</v>
      </c>
      <c r="Q1567" t="str">
        <f>""</f>
        <v/>
      </c>
      <c r="R1567" t="str">
        <f t="shared" si="559"/>
        <v>N</v>
      </c>
      <c r="S1567" t="str">
        <f>"1.20"</f>
        <v>1.20</v>
      </c>
      <c r="T1567" t="str">
        <f>"571.19"</f>
        <v>571.19</v>
      </c>
      <c r="U1567" t="str">
        <f>"36579.00"</f>
        <v>36579.00</v>
      </c>
      <c r="V1567" t="str">
        <f>"36579.00"</f>
        <v>36579.00</v>
      </c>
      <c r="W1567" t="str">
        <f t="shared" si="549"/>
        <v>2017</v>
      </c>
      <c r="X1567" t="str">
        <f>"1.00"</f>
        <v>1.00</v>
      </c>
      <c r="Y1567" t="str">
        <f>"620.33"</f>
        <v>620.33</v>
      </c>
      <c r="Z1567" t="str">
        <f>""</f>
        <v/>
      </c>
      <c r="AA1567" t="str">
        <f>"39222.00"</f>
        <v>39222.00</v>
      </c>
      <c r="AB1567" t="str">
        <f t="shared" si="550"/>
        <v>Residential</v>
      </c>
      <c r="AC1567" t="str">
        <f t="shared" si="558"/>
        <v>0</v>
      </c>
      <c r="AD1567" t="str">
        <f t="shared" si="560"/>
        <v>4</v>
      </c>
      <c r="AE1567" t="str">
        <f t="shared" si="561"/>
        <v>WOOD (INCLUDE STEEL STUDS)</v>
      </c>
      <c r="AF1567" t="str">
        <f>"002"</f>
        <v>002</v>
      </c>
      <c r="AG1567" t="str">
        <f t="shared" si="551"/>
        <v>FL</v>
      </c>
      <c r="AH1567" t="str">
        <f>"52272.00"</f>
        <v>52272.00</v>
      </c>
      <c r="AI1567" t="str">
        <f>"30000.00"</f>
        <v>30000.00</v>
      </c>
      <c r="AJ1567" t="str">
        <f>"C55-000-587-7880-4"</f>
        <v>C55-000-587-7880-4</v>
      </c>
      <c r="AK1567" t="str">
        <f>"28477"</f>
        <v>28477</v>
      </c>
      <c r="AL1567">
        <v>6</v>
      </c>
      <c r="AM1567">
        <v>1798</v>
      </c>
      <c r="AN1567">
        <v>649.75</v>
      </c>
      <c r="AQ1567" t="s">
        <v>15825</v>
      </c>
      <c r="AR1567" t="s">
        <v>15825</v>
      </c>
      <c r="AS1567" t="s">
        <v>15825</v>
      </c>
      <c r="AU1567" t="s">
        <v>396</v>
      </c>
      <c r="AV1567">
        <v>2017</v>
      </c>
      <c r="AW1567" t="str">
        <f>"35-2N-28-0000-0001-1030 "</f>
        <v xml:space="preserve">35-2N-28-0000-0001-1030 </v>
      </c>
      <c r="AX1567">
        <v>85086</v>
      </c>
      <c r="AZ1567" t="s">
        <v>15784</v>
      </c>
      <c r="BA1567" t="s">
        <v>3181</v>
      </c>
      <c r="BD1567" t="s">
        <v>11749</v>
      </c>
      <c r="BE1567" t="s">
        <v>393</v>
      </c>
      <c r="BF1567">
        <v>32034</v>
      </c>
      <c r="BG1567" t="s">
        <v>15826</v>
      </c>
      <c r="BH1567" t="s">
        <v>11751</v>
      </c>
      <c r="BI1567">
        <v>-81.542030267781897</v>
      </c>
      <c r="BJ1567">
        <v>30.564712140900099</v>
      </c>
      <c r="BK1567" t="s">
        <v>15786</v>
      </c>
      <c r="BM1567" t="s">
        <v>15787</v>
      </c>
      <c r="BN1567" t="s">
        <v>1971</v>
      </c>
      <c r="BO1567">
        <v>33611</v>
      </c>
      <c r="BP1567" t="s">
        <v>404</v>
      </c>
      <c r="BQ1567">
        <v>200</v>
      </c>
      <c r="BR1567" t="s">
        <v>405</v>
      </c>
      <c r="BS1567">
        <v>1006</v>
      </c>
      <c r="BT1567" t="s">
        <v>406</v>
      </c>
      <c r="BW1567">
        <v>52272</v>
      </c>
      <c r="BX1567" t="s">
        <v>407</v>
      </c>
      <c r="BZ1567">
        <v>4</v>
      </c>
      <c r="CA1567">
        <v>1984</v>
      </c>
      <c r="CC1567">
        <v>1</v>
      </c>
      <c r="CD1567">
        <v>2017</v>
      </c>
      <c r="CE1567">
        <v>30000</v>
      </c>
      <c r="CF1567">
        <v>9222</v>
      </c>
      <c r="CG1567">
        <v>39222</v>
      </c>
      <c r="CH1567">
        <v>2017</v>
      </c>
      <c r="CI1567">
        <v>30000</v>
      </c>
      <c r="CJ1567">
        <v>9222</v>
      </c>
      <c r="CK1567">
        <v>39222</v>
      </c>
      <c r="CL1567">
        <v>2017</v>
      </c>
      <c r="CM1567">
        <v>571.19000000000005</v>
      </c>
      <c r="CN1567" s="1">
        <v>40025</v>
      </c>
      <c r="CO1567">
        <v>180000</v>
      </c>
      <c r="CZ1567" s="1">
        <v>40025</v>
      </c>
      <c r="DD1567" t="s">
        <v>11749</v>
      </c>
      <c r="DG1567">
        <v>35</v>
      </c>
      <c r="DL1567">
        <v>50303</v>
      </c>
      <c r="DM1567" t="s">
        <v>15740</v>
      </c>
      <c r="DO1567" t="s">
        <v>15827</v>
      </c>
      <c r="DP1567">
        <v>0</v>
      </c>
      <c r="DQ1567">
        <v>0</v>
      </c>
      <c r="DR1567" t="s">
        <v>411</v>
      </c>
    </row>
    <row r="1568" spans="1:260" x14ac:dyDescent="0.25">
      <c r="A1568">
        <v>16486575</v>
      </c>
      <c r="B1568">
        <v>1567</v>
      </c>
      <c r="C1568" t="s">
        <v>393</v>
      </c>
      <c r="D1568" t="s">
        <v>394</v>
      </c>
      <c r="F1568" t="str">
        <f>"35-2N-28-0000-0001-1120"</f>
        <v>35-2N-28-0000-0001-1120</v>
      </c>
      <c r="H1568" t="str">
        <f>"PICKETT MATT STEVEN &amp; MYRA J"</f>
        <v>PICKETT MATT STEVEN &amp; MYRA J</v>
      </c>
      <c r="I1568" t="str">
        <f>"85072 CREWS RD"</f>
        <v>85072 CREWS RD</v>
      </c>
      <c r="J1568" t="str">
        <f>"FERNANDINA BEACH FL 32034"</f>
        <v>FERNANDINA BEACH FL 32034</v>
      </c>
      <c r="K1568" t="str">
        <f>"85072 CREWS RD"</f>
        <v>85072 CREWS RD</v>
      </c>
      <c r="L1568" t="str">
        <f t="shared" si="554"/>
        <v>FERNANDINA BEACH FL 32034</v>
      </c>
      <c r="M1568" t="str">
        <f>"IN OR 1782/1398"</f>
        <v>IN OR 1782/1398</v>
      </c>
      <c r="N1568" t="str">
        <f>""</f>
        <v/>
      </c>
      <c r="O1568" t="str">
        <f>"41740"</f>
        <v>41740</v>
      </c>
      <c r="P1568" t="str">
        <f t="shared" si="548"/>
        <v>2017</v>
      </c>
      <c r="Q1568" t="str">
        <f>""</f>
        <v/>
      </c>
      <c r="R1568" t="str">
        <f t="shared" si="559"/>
        <v>N</v>
      </c>
      <c r="S1568" t="str">
        <f>"1.02"</f>
        <v>1.02</v>
      </c>
      <c r="T1568" t="str">
        <f>"3067.26"</f>
        <v>3067.26</v>
      </c>
      <c r="U1568" t="str">
        <f>"202609.00"</f>
        <v>202609.00</v>
      </c>
      <c r="V1568" t="str">
        <f>"202609.00"</f>
        <v>202609.00</v>
      </c>
      <c r="W1568" t="str">
        <f t="shared" si="549"/>
        <v>2017</v>
      </c>
      <c r="X1568" t="str">
        <f>"9.25"</f>
        <v>9.25</v>
      </c>
      <c r="Y1568" t="str">
        <f>"3191.28"</f>
        <v>3191.28</v>
      </c>
      <c r="Z1568" t="str">
        <f>""</f>
        <v/>
      </c>
      <c r="AA1568" t="str">
        <f>"202609.00"</f>
        <v>202609.00</v>
      </c>
      <c r="AB1568" t="str">
        <f t="shared" si="550"/>
        <v>Residential</v>
      </c>
      <c r="AC1568" t="str">
        <f t="shared" si="558"/>
        <v>0</v>
      </c>
      <c r="AD1568" t="str">
        <f t="shared" si="560"/>
        <v>4</v>
      </c>
      <c r="AE1568" t="str">
        <f t="shared" si="561"/>
        <v>WOOD (INCLUDE STEEL STUDS)</v>
      </c>
      <c r="AF1568" t="str">
        <f>"001"</f>
        <v>001</v>
      </c>
      <c r="AG1568" t="str">
        <f t="shared" si="551"/>
        <v>FL</v>
      </c>
      <c r="AH1568" t="str">
        <f>"44431.00"</f>
        <v>44431.00</v>
      </c>
      <c r="AI1568" t="str">
        <f>"25500.00"</f>
        <v>25500.00</v>
      </c>
      <c r="AJ1568" t="str">
        <f>"C55-001-033-5974-1"</f>
        <v>C55-001-033-5974-1</v>
      </c>
      <c r="AK1568" t="str">
        <f>"28485"</f>
        <v>28485</v>
      </c>
      <c r="AL1568">
        <v>6</v>
      </c>
      <c r="AM1568">
        <v>1799</v>
      </c>
      <c r="AN1568">
        <v>3349.24</v>
      </c>
      <c r="AQ1568" t="s">
        <v>15828</v>
      </c>
      <c r="AR1568" t="s">
        <v>15828</v>
      </c>
      <c r="AS1568" t="s">
        <v>15828</v>
      </c>
      <c r="AU1568" t="s">
        <v>396</v>
      </c>
      <c r="AV1568">
        <v>2017</v>
      </c>
      <c r="AW1568" t="str">
        <f>"35-2N-28-0000-0001-1120 "</f>
        <v xml:space="preserve">35-2N-28-0000-0001-1120 </v>
      </c>
      <c r="AX1568">
        <v>85072</v>
      </c>
      <c r="AZ1568" t="s">
        <v>1393</v>
      </c>
      <c r="BA1568" t="s">
        <v>496</v>
      </c>
      <c r="BD1568" t="s">
        <v>11749</v>
      </c>
      <c r="BE1568" t="s">
        <v>393</v>
      </c>
      <c r="BF1568">
        <v>32034</v>
      </c>
      <c r="BG1568" t="s">
        <v>15829</v>
      </c>
      <c r="BH1568" t="s">
        <v>11751</v>
      </c>
      <c r="BI1568">
        <v>-81.542533192909005</v>
      </c>
      <c r="BJ1568">
        <v>30.5693838862897</v>
      </c>
      <c r="BK1568" t="s">
        <v>15830</v>
      </c>
      <c r="BL1568" t="s">
        <v>15831</v>
      </c>
      <c r="BM1568" t="s">
        <v>15829</v>
      </c>
      <c r="BN1568" t="s">
        <v>3983</v>
      </c>
      <c r="BO1568">
        <v>32034</v>
      </c>
      <c r="BP1568" t="s">
        <v>416</v>
      </c>
      <c r="BQ1568">
        <v>100</v>
      </c>
      <c r="BR1568" t="s">
        <v>514</v>
      </c>
      <c r="BS1568">
        <v>1001</v>
      </c>
      <c r="BT1568" t="s">
        <v>515</v>
      </c>
      <c r="BW1568">
        <v>44431</v>
      </c>
      <c r="BX1568" t="s">
        <v>407</v>
      </c>
      <c r="BY1568" t="s">
        <v>408</v>
      </c>
      <c r="BZ1568">
        <v>4</v>
      </c>
      <c r="CA1568">
        <v>2010</v>
      </c>
      <c r="CB1568">
        <v>2</v>
      </c>
      <c r="CC1568">
        <v>1</v>
      </c>
      <c r="CD1568">
        <v>2017</v>
      </c>
      <c r="CE1568">
        <v>25500</v>
      </c>
      <c r="CF1568">
        <v>177109</v>
      </c>
      <c r="CG1568">
        <v>202609</v>
      </c>
      <c r="CH1568">
        <v>2017</v>
      </c>
      <c r="CI1568">
        <v>25500</v>
      </c>
      <c r="CJ1568">
        <v>177109</v>
      </c>
      <c r="CK1568">
        <v>202609</v>
      </c>
      <c r="CL1568">
        <v>2017</v>
      </c>
      <c r="CM1568">
        <v>3067.26</v>
      </c>
      <c r="CN1568" s="1">
        <v>40969</v>
      </c>
      <c r="CZ1568" s="1">
        <v>40969</v>
      </c>
      <c r="DD1568" t="s">
        <v>11749</v>
      </c>
      <c r="DG1568">
        <v>35</v>
      </c>
      <c r="DL1568">
        <v>50303</v>
      </c>
      <c r="DM1568" t="s">
        <v>15740</v>
      </c>
      <c r="DO1568" t="s">
        <v>15832</v>
      </c>
      <c r="DP1568">
        <v>0</v>
      </c>
      <c r="DQ1568">
        <v>0</v>
      </c>
      <c r="DR1568" t="s">
        <v>411</v>
      </c>
      <c r="DS1568" t="b">
        <v>1</v>
      </c>
      <c r="DT1568" t="s">
        <v>470</v>
      </c>
      <c r="DU1568" t="s">
        <v>471</v>
      </c>
      <c r="DV1568" t="s">
        <v>472</v>
      </c>
      <c r="DX1568">
        <v>-9999</v>
      </c>
      <c r="DZ1568" t="s">
        <v>447</v>
      </c>
      <c r="EA1568" t="s">
        <v>448</v>
      </c>
      <c r="EB1568" t="s">
        <v>742</v>
      </c>
      <c r="EC1568">
        <v>20101217</v>
      </c>
      <c r="ED1568" t="s">
        <v>474</v>
      </c>
      <c r="EF1568">
        <v>1804.6</v>
      </c>
      <c r="EG1568">
        <v>941.7</v>
      </c>
      <c r="EH1568" t="s">
        <v>451</v>
      </c>
      <c r="EI1568">
        <v>20140731</v>
      </c>
      <c r="EJ1568">
        <v>0</v>
      </c>
      <c r="EK1568">
        <v>0</v>
      </c>
      <c r="EP1568" t="s">
        <v>421</v>
      </c>
      <c r="EQ1568" t="s">
        <v>422</v>
      </c>
      <c r="ER1568">
        <v>0</v>
      </c>
      <c r="ES1568">
        <v>4</v>
      </c>
      <c r="ET1568">
        <v>0</v>
      </c>
      <c r="EU1568">
        <v>0</v>
      </c>
      <c r="EV1568">
        <v>0</v>
      </c>
      <c r="EW1568" s="2">
        <v>43222</v>
      </c>
      <c r="EX1568" s="1">
        <v>42151</v>
      </c>
      <c r="EY1568">
        <v>2014</v>
      </c>
      <c r="EZ1568">
        <v>3209.58</v>
      </c>
      <c r="FA1568" t="s">
        <v>15833</v>
      </c>
      <c r="FB1568">
        <v>0.25</v>
      </c>
      <c r="FC1568" t="s">
        <v>424</v>
      </c>
      <c r="FD1568" t="s">
        <v>425</v>
      </c>
      <c r="FE1568" s="1">
        <v>42369</v>
      </c>
      <c r="FF1568">
        <v>7</v>
      </c>
      <c r="FG1568">
        <v>4975594</v>
      </c>
      <c r="FH1568" t="s">
        <v>457</v>
      </c>
      <c r="FJ1568" s="1">
        <v>42151</v>
      </c>
      <c r="FK1568">
        <v>2014</v>
      </c>
      <c r="FL1568">
        <v>3209.58</v>
      </c>
      <c r="FM1568" t="s">
        <v>15833</v>
      </c>
      <c r="FN1568">
        <v>0.25</v>
      </c>
      <c r="FO1568" t="s">
        <v>424</v>
      </c>
      <c r="FP1568" t="s">
        <v>425</v>
      </c>
      <c r="FR1568">
        <v>22</v>
      </c>
      <c r="FS1568">
        <v>6252444</v>
      </c>
      <c r="FT1568" t="s">
        <v>15834</v>
      </c>
      <c r="FV1568" s="1">
        <v>41423</v>
      </c>
      <c r="FW1568">
        <v>2012</v>
      </c>
      <c r="FX1568">
        <v>2514.71</v>
      </c>
      <c r="FY1568" t="s">
        <v>15835</v>
      </c>
      <c r="FZ1568">
        <v>0.25</v>
      </c>
      <c r="GA1568" t="s">
        <v>424</v>
      </c>
      <c r="GB1568" t="s">
        <v>425</v>
      </c>
      <c r="GC1568" s="1">
        <v>41725</v>
      </c>
      <c r="GD1568">
        <v>10</v>
      </c>
      <c r="GE1568">
        <v>15259</v>
      </c>
      <c r="GF1568" t="s">
        <v>891</v>
      </c>
      <c r="GH1568" s="1">
        <v>41052</v>
      </c>
      <c r="GI1568">
        <v>2011</v>
      </c>
      <c r="GJ1568">
        <v>2670.84</v>
      </c>
      <c r="GK1568" t="s">
        <v>15836</v>
      </c>
      <c r="GL1568">
        <v>0.25</v>
      </c>
      <c r="GM1568" t="s">
        <v>424</v>
      </c>
      <c r="GN1568" t="s">
        <v>425</v>
      </c>
      <c r="GO1568" s="1">
        <v>41305</v>
      </c>
      <c r="GP1568">
        <v>8</v>
      </c>
      <c r="GQ1568">
        <v>13684</v>
      </c>
      <c r="GR1568" t="s">
        <v>15837</v>
      </c>
    </row>
    <row r="1569" spans="1:261" x14ac:dyDescent="0.25">
      <c r="A1569">
        <v>16486576</v>
      </c>
      <c r="B1569">
        <v>1568</v>
      </c>
      <c r="C1569" t="s">
        <v>393</v>
      </c>
      <c r="D1569" t="s">
        <v>394</v>
      </c>
      <c r="F1569" t="str">
        <f>"35-2N-28-1401-0002-0000"</f>
        <v>35-2N-28-1401-0002-0000</v>
      </c>
      <c r="H1569" t="str">
        <f>"DOUGLAS A B &amp; BARBARA M"</f>
        <v>DOUGLAS A B &amp; BARBARA M</v>
      </c>
      <c r="I1569" t="str">
        <f>"940538 OLD NASSAUVILLE RD"</f>
        <v>940538 OLD NASSAUVILLE RD</v>
      </c>
      <c r="J1569" t="str">
        <f>"FERNANDINA BEACH FL 32034"</f>
        <v>FERNANDINA BEACH FL 32034</v>
      </c>
      <c r="K1569" t="str">
        <f>"95206 KAREN WALK"</f>
        <v>95206 KAREN WALK</v>
      </c>
      <c r="L1569" t="str">
        <f t="shared" si="554"/>
        <v>FERNANDINA BEACH FL 32034</v>
      </c>
      <c r="M1569" t="str">
        <f>"LOT 2 IN OR 1831/1636 MH/ID GMHGA208914468 MOBLEY HEIGHTS NORTH 3 PB 6/39"</f>
        <v>LOT 2 IN OR 1831/1636 MH/ID GMHGA208914468 MOBLEY HEIGHTS NORTH 3 PB 6/39</v>
      </c>
      <c r="N1569" t="str">
        <f>""</f>
        <v/>
      </c>
      <c r="O1569" t="str">
        <f>"41757"</f>
        <v>41757</v>
      </c>
      <c r="P1569" t="str">
        <f t="shared" si="548"/>
        <v>2017</v>
      </c>
      <c r="Q1569" t="str">
        <f>""</f>
        <v/>
      </c>
      <c r="R1569" t="str">
        <f t="shared" si="559"/>
        <v>N</v>
      </c>
      <c r="S1569" t="str">
        <f>"2.00"</f>
        <v>2.00</v>
      </c>
      <c r="T1569" t="str">
        <f>"916.22"</f>
        <v>916.22</v>
      </c>
      <c r="U1569" t="str">
        <f>"54945.00"</f>
        <v>54945.00</v>
      </c>
      <c r="V1569" t="str">
        <f>"54945.00"</f>
        <v>54945.00</v>
      </c>
      <c r="W1569" t="str">
        <f t="shared" si="549"/>
        <v>2017</v>
      </c>
      <c r="X1569" t="str">
        <f>"13.33"</f>
        <v>13.33</v>
      </c>
      <c r="Y1569" t="str">
        <f>"975.71"</f>
        <v>975.71</v>
      </c>
      <c r="Z1569" t="str">
        <f>""</f>
        <v/>
      </c>
      <c r="AA1569" t="str">
        <f>"67739.00"</f>
        <v>67739.00</v>
      </c>
      <c r="AB1569" t="str">
        <f t="shared" si="550"/>
        <v>Residential</v>
      </c>
      <c r="AC1569" t="str">
        <f t="shared" si="558"/>
        <v>0</v>
      </c>
      <c r="AD1569" t="str">
        <f t="shared" si="560"/>
        <v>4</v>
      </c>
      <c r="AE1569" t="str">
        <f t="shared" si="561"/>
        <v>WOOD (INCLUDE STEEL STUDS)</v>
      </c>
      <c r="AF1569" t="str">
        <f>"002"</f>
        <v>002</v>
      </c>
      <c r="AG1569" t="str">
        <f t="shared" si="551"/>
        <v>FL</v>
      </c>
      <c r="AH1569" t="str">
        <f>"87120.00"</f>
        <v>87120.00</v>
      </c>
      <c r="AI1569" t="str">
        <f>"50000.00"</f>
        <v>50000.00</v>
      </c>
      <c r="AJ1569" t="str">
        <f>"C55-000-587-7894-5"</f>
        <v>C55-000-587-7894-5</v>
      </c>
      <c r="AK1569" t="str">
        <f>"28499"</f>
        <v>28499</v>
      </c>
      <c r="AL1569">
        <v>6</v>
      </c>
      <c r="AM1569">
        <v>1801</v>
      </c>
      <c r="AN1569">
        <v>1022.9</v>
      </c>
      <c r="AQ1569" t="s">
        <v>15838</v>
      </c>
      <c r="AR1569" t="s">
        <v>15838</v>
      </c>
      <c r="AS1569" t="s">
        <v>15838</v>
      </c>
      <c r="AU1569" t="s">
        <v>396</v>
      </c>
      <c r="AV1569">
        <v>2017</v>
      </c>
      <c r="AW1569" t="str">
        <f>"35-2N-28-1401-0002-0000 "</f>
        <v xml:space="preserve">35-2N-28-1401-0002-0000 </v>
      </c>
      <c r="AX1569">
        <v>95206</v>
      </c>
      <c r="AZ1569" t="s">
        <v>15394</v>
      </c>
      <c r="BD1569" t="s">
        <v>11749</v>
      </c>
      <c r="BE1569" t="s">
        <v>393</v>
      </c>
      <c r="BF1569">
        <v>32034</v>
      </c>
      <c r="BG1569" t="s">
        <v>15839</v>
      </c>
      <c r="BH1569" t="s">
        <v>11751</v>
      </c>
      <c r="BI1569">
        <v>-81.539135583427594</v>
      </c>
      <c r="BJ1569">
        <v>30.573894790267001</v>
      </c>
      <c r="BK1569" t="s">
        <v>15840</v>
      </c>
      <c r="BL1569" t="s">
        <v>15841</v>
      </c>
      <c r="BM1569" t="s">
        <v>15842</v>
      </c>
      <c r="BN1569" t="s">
        <v>3983</v>
      </c>
      <c r="BO1569">
        <v>32034</v>
      </c>
      <c r="BP1569" t="s">
        <v>404</v>
      </c>
      <c r="BQ1569">
        <v>200</v>
      </c>
      <c r="BR1569" t="s">
        <v>405</v>
      </c>
      <c r="BS1569">
        <v>1006</v>
      </c>
      <c r="BT1569" t="s">
        <v>406</v>
      </c>
      <c r="BW1569">
        <v>87120</v>
      </c>
      <c r="BX1569" t="s">
        <v>407</v>
      </c>
      <c r="BZ1569">
        <v>4</v>
      </c>
      <c r="CA1569">
        <v>1991</v>
      </c>
      <c r="CB1569">
        <v>1</v>
      </c>
      <c r="CC1569">
        <v>1</v>
      </c>
      <c r="CD1569">
        <v>2017</v>
      </c>
      <c r="CE1569">
        <v>50000</v>
      </c>
      <c r="CF1569">
        <v>17739</v>
      </c>
      <c r="CG1569">
        <v>67739</v>
      </c>
      <c r="CH1569">
        <v>2017</v>
      </c>
      <c r="CI1569">
        <v>50000</v>
      </c>
      <c r="CJ1569">
        <v>17739</v>
      </c>
      <c r="CK1569">
        <v>67739</v>
      </c>
      <c r="CL1569">
        <v>2017</v>
      </c>
      <c r="CM1569">
        <v>916.22</v>
      </c>
      <c r="CN1569" s="1">
        <v>41270</v>
      </c>
      <c r="CV1569">
        <v>0</v>
      </c>
      <c r="CZ1569" s="1">
        <v>41270</v>
      </c>
      <c r="DA1569">
        <v>0</v>
      </c>
      <c r="DD1569" t="s">
        <v>11749</v>
      </c>
      <c r="DF1569">
        <v>2</v>
      </c>
      <c r="DG1569">
        <v>35</v>
      </c>
      <c r="DL1569">
        <v>50303</v>
      </c>
      <c r="DM1569" t="s">
        <v>15740</v>
      </c>
      <c r="DO1569" t="s">
        <v>15843</v>
      </c>
      <c r="DP1569">
        <v>0</v>
      </c>
      <c r="DQ1569">
        <v>0</v>
      </c>
      <c r="DR1569" t="s">
        <v>411</v>
      </c>
      <c r="EP1569" t="s">
        <v>421</v>
      </c>
      <c r="EQ1569" t="s">
        <v>422</v>
      </c>
      <c r="ER1569">
        <v>0</v>
      </c>
      <c r="ES1569">
        <v>2</v>
      </c>
      <c r="ET1569">
        <v>0</v>
      </c>
      <c r="EU1569">
        <v>0</v>
      </c>
      <c r="EV1569">
        <v>0</v>
      </c>
      <c r="EW1569" s="2">
        <v>43222</v>
      </c>
      <c r="EX1569" s="1">
        <v>41423</v>
      </c>
      <c r="EY1569">
        <v>2012</v>
      </c>
      <c r="EZ1569">
        <v>497.91</v>
      </c>
      <c r="FA1569" t="s">
        <v>15844</v>
      </c>
      <c r="FB1569">
        <v>2.75</v>
      </c>
      <c r="FC1569" t="s">
        <v>424</v>
      </c>
      <c r="FD1569" t="s">
        <v>425</v>
      </c>
      <c r="FE1569" s="1">
        <v>41729</v>
      </c>
      <c r="FF1569">
        <v>10</v>
      </c>
      <c r="FG1569">
        <v>15399</v>
      </c>
      <c r="FH1569" t="s">
        <v>485</v>
      </c>
      <c r="FJ1569" s="1">
        <v>41052</v>
      </c>
      <c r="FK1569">
        <v>2011</v>
      </c>
      <c r="FL1569">
        <v>518.03</v>
      </c>
      <c r="FM1569" t="s">
        <v>15845</v>
      </c>
      <c r="FN1569">
        <v>6</v>
      </c>
      <c r="FO1569" t="s">
        <v>424</v>
      </c>
      <c r="FP1569" t="s">
        <v>425</v>
      </c>
      <c r="FQ1569" s="1">
        <v>41683</v>
      </c>
      <c r="FR1569">
        <v>21</v>
      </c>
      <c r="FS1569">
        <v>375</v>
      </c>
      <c r="FT1569" t="s">
        <v>776</v>
      </c>
    </row>
    <row r="1570" spans="1:261" x14ac:dyDescent="0.25">
      <c r="A1570">
        <v>16486577</v>
      </c>
      <c r="B1570">
        <v>1569</v>
      </c>
      <c r="C1570" t="s">
        <v>393</v>
      </c>
      <c r="D1570" t="s">
        <v>394</v>
      </c>
      <c r="F1570" t="str">
        <f>"35-2N-28-1401-0003-0000"</f>
        <v>35-2N-28-1401-0003-0000</v>
      </c>
      <c r="H1570" t="str">
        <f>"FRITTS ANTHONY CHRISTOPHER &amp; ZIMMERMAN JILL ELIZABETH"</f>
        <v>FRITTS ANTHONY CHRISTOPHER &amp; ZIMMERMAN JILL ELIZABETH</v>
      </c>
      <c r="I1570" t="str">
        <f>"95180 KAREN WALK"</f>
        <v>95180 KAREN WALK</v>
      </c>
      <c r="J1570" t="str">
        <f>"FERNANDINA BEACH FL 32034"</f>
        <v>FERNANDINA BEACH FL 32034</v>
      </c>
      <c r="K1570" t="str">
        <f>"95180 KAREN WALK"</f>
        <v>95180 KAREN WALK</v>
      </c>
      <c r="L1570" t="str">
        <f t="shared" si="554"/>
        <v>FERNANDINA BEACH FL 32034</v>
      </c>
      <c r="M1570" t="str">
        <f>"LOT 3 MH/ID GBHMM52642 IN OR 853/1771 MOBLEY HEIGHTS NORTH 3 PB 6/39"</f>
        <v>LOT 3 MH/ID GBHMM52642 IN OR 853/1771 MOBLEY HEIGHTS NORTH 3 PB 6/39</v>
      </c>
      <c r="N1570" t="str">
        <f>""</f>
        <v/>
      </c>
      <c r="O1570" t="str">
        <f>"41758"</f>
        <v>41758</v>
      </c>
      <c r="P1570" t="str">
        <f t="shared" si="548"/>
        <v>2017</v>
      </c>
      <c r="Q1570" t="str">
        <f>""</f>
        <v/>
      </c>
      <c r="R1570" t="str">
        <f>"Y"</f>
        <v>Y</v>
      </c>
      <c r="S1570" t="str">
        <f>"2.00"</f>
        <v>2.00</v>
      </c>
      <c r="T1570" t="str">
        <f>"508.92"</f>
        <v>508.92</v>
      </c>
      <c r="U1570" t="str">
        <f>"67890.00"</f>
        <v>67890.00</v>
      </c>
      <c r="V1570" t="str">
        <f>"67890.00"</f>
        <v>67890.00</v>
      </c>
      <c r="W1570" t="str">
        <f t="shared" si="549"/>
        <v>2017</v>
      </c>
      <c r="X1570" t="str">
        <f>"10.00"</f>
        <v>10.00</v>
      </c>
      <c r="Y1570" t="str">
        <f>"556.19"</f>
        <v>556.19</v>
      </c>
      <c r="Z1570" t="str">
        <f>"25000.00"</f>
        <v>25000.00</v>
      </c>
      <c r="AA1570" t="str">
        <f>"42890.00"</f>
        <v>42890.00</v>
      </c>
      <c r="AB1570" t="str">
        <f t="shared" si="550"/>
        <v>Residential</v>
      </c>
      <c r="AC1570" t="str">
        <f t="shared" si="558"/>
        <v>0</v>
      </c>
      <c r="AD1570" t="str">
        <f t="shared" si="560"/>
        <v>4</v>
      </c>
      <c r="AE1570" t="str">
        <f t="shared" si="561"/>
        <v>WOOD (INCLUDE STEEL STUDS)</v>
      </c>
      <c r="AF1570" t="str">
        <f>"002"</f>
        <v>002</v>
      </c>
      <c r="AG1570" t="str">
        <f t="shared" si="551"/>
        <v>FL</v>
      </c>
      <c r="AH1570" t="str">
        <f>"87120.00"</f>
        <v>87120.00</v>
      </c>
      <c r="AI1570" t="str">
        <f>"50000.00"</f>
        <v>50000.00</v>
      </c>
      <c r="AJ1570" t="str">
        <f>"C55-000-587-7895-2"</f>
        <v>C55-000-587-7895-2</v>
      </c>
      <c r="AK1570" t="str">
        <f>"28500"</f>
        <v>28500</v>
      </c>
      <c r="AL1570">
        <v>6</v>
      </c>
      <c r="AM1570">
        <v>1802</v>
      </c>
      <c r="AN1570">
        <v>582.4</v>
      </c>
      <c r="AQ1570" t="s">
        <v>15846</v>
      </c>
      <c r="AR1570" t="s">
        <v>15846</v>
      </c>
      <c r="AS1570" t="s">
        <v>15846</v>
      </c>
      <c r="AU1570" t="s">
        <v>396</v>
      </c>
      <c r="AV1570">
        <v>2017</v>
      </c>
      <c r="AW1570" t="str">
        <f>"35-2N-28-1401-0003-0000 "</f>
        <v xml:space="preserve">35-2N-28-1401-0003-0000 </v>
      </c>
      <c r="AX1570">
        <v>95180</v>
      </c>
      <c r="AZ1570" t="s">
        <v>15394</v>
      </c>
      <c r="BD1570" t="s">
        <v>11749</v>
      </c>
      <c r="BE1570" t="s">
        <v>393</v>
      </c>
      <c r="BF1570">
        <v>32034</v>
      </c>
      <c r="BG1570" t="s">
        <v>15847</v>
      </c>
      <c r="BH1570" t="s">
        <v>11751</v>
      </c>
      <c r="BI1570">
        <v>-81.53912427905</v>
      </c>
      <c r="BJ1570">
        <v>30.573482493661398</v>
      </c>
      <c r="BK1570" t="s">
        <v>15848</v>
      </c>
      <c r="BL1570" t="s">
        <v>15849</v>
      </c>
      <c r="BM1570" t="s">
        <v>15847</v>
      </c>
      <c r="BN1570" t="s">
        <v>3983</v>
      </c>
      <c r="BO1570">
        <v>32034</v>
      </c>
      <c r="BP1570" t="s">
        <v>416</v>
      </c>
      <c r="BQ1570">
        <v>200</v>
      </c>
      <c r="BR1570" t="s">
        <v>405</v>
      </c>
      <c r="BS1570">
        <v>1006</v>
      </c>
      <c r="BT1570" t="s">
        <v>406</v>
      </c>
      <c r="BW1570">
        <v>87120</v>
      </c>
      <c r="BX1570" t="s">
        <v>407</v>
      </c>
      <c r="BZ1570">
        <v>4</v>
      </c>
      <c r="CA1570">
        <v>1999</v>
      </c>
      <c r="CB1570">
        <v>1</v>
      </c>
      <c r="CC1570">
        <v>1</v>
      </c>
      <c r="CD1570">
        <v>2017</v>
      </c>
      <c r="CG1570">
        <v>67890</v>
      </c>
      <c r="CH1570">
        <v>2017</v>
      </c>
      <c r="CI1570">
        <v>50000</v>
      </c>
      <c r="CJ1570">
        <v>30742</v>
      </c>
      <c r="CK1570">
        <v>80742</v>
      </c>
      <c r="CL1570">
        <v>2017</v>
      </c>
      <c r="CM1570">
        <v>508.92</v>
      </c>
      <c r="CN1570" s="1">
        <v>41690</v>
      </c>
      <c r="CO1570">
        <v>24000</v>
      </c>
      <c r="CV1570">
        <v>23937</v>
      </c>
      <c r="CX1570" t="s">
        <v>675</v>
      </c>
      <c r="CZ1570" s="1">
        <v>41690</v>
      </c>
      <c r="DA1570">
        <v>0</v>
      </c>
      <c r="DD1570" t="s">
        <v>11749</v>
      </c>
      <c r="DF1570">
        <v>3</v>
      </c>
      <c r="DG1570">
        <v>35</v>
      </c>
      <c r="DJ1570" t="s">
        <v>15850</v>
      </c>
      <c r="DL1570">
        <v>50303</v>
      </c>
      <c r="DM1570" t="s">
        <v>15740</v>
      </c>
      <c r="DO1570" t="s">
        <v>15851</v>
      </c>
      <c r="DP1570">
        <v>0</v>
      </c>
      <c r="DQ1570">
        <v>0</v>
      </c>
      <c r="DR1570" t="s">
        <v>411</v>
      </c>
      <c r="DS1570" t="b">
        <v>1</v>
      </c>
      <c r="DT1570" t="s">
        <v>470</v>
      </c>
      <c r="DU1570" t="s">
        <v>471</v>
      </c>
      <c r="DV1570" t="s">
        <v>472</v>
      </c>
      <c r="DX1570">
        <v>-9999</v>
      </c>
      <c r="DZ1570" t="s">
        <v>447</v>
      </c>
      <c r="EA1570" t="s">
        <v>448</v>
      </c>
      <c r="EB1570" t="s">
        <v>742</v>
      </c>
      <c r="EC1570">
        <v>20101217</v>
      </c>
      <c r="ED1570" t="s">
        <v>474</v>
      </c>
      <c r="EF1570">
        <v>1633.7</v>
      </c>
      <c r="EG1570">
        <v>1221</v>
      </c>
      <c r="EI1570">
        <v>20160407</v>
      </c>
      <c r="EJ1570">
        <v>0</v>
      </c>
      <c r="EK1570">
        <v>0</v>
      </c>
      <c r="EP1570" t="s">
        <v>421</v>
      </c>
      <c r="EQ1570" t="s">
        <v>422</v>
      </c>
      <c r="ER1570">
        <v>0</v>
      </c>
      <c r="ES1570">
        <v>2</v>
      </c>
      <c r="ET1570">
        <v>0</v>
      </c>
      <c r="EU1570">
        <v>0</v>
      </c>
      <c r="EV1570">
        <v>0</v>
      </c>
      <c r="EW1570" s="2">
        <v>43222</v>
      </c>
      <c r="EX1570" s="1">
        <v>42515</v>
      </c>
      <c r="EY1570">
        <v>2015</v>
      </c>
      <c r="EZ1570">
        <v>533.32000000000005</v>
      </c>
      <c r="FA1570" t="s">
        <v>15852</v>
      </c>
      <c r="FB1570">
        <v>0.25</v>
      </c>
      <c r="FC1570" t="s">
        <v>424</v>
      </c>
      <c r="FD1570" t="s">
        <v>425</v>
      </c>
      <c r="FE1570" s="1">
        <v>42824</v>
      </c>
      <c r="FF1570">
        <v>10</v>
      </c>
      <c r="FG1570">
        <v>2851116</v>
      </c>
      <c r="FH1570" t="s">
        <v>480</v>
      </c>
      <c r="FJ1570" s="1">
        <v>42515</v>
      </c>
      <c r="FK1570">
        <v>2015</v>
      </c>
      <c r="FL1570">
        <v>533.32000000000005</v>
      </c>
      <c r="FM1570" t="s">
        <v>15852</v>
      </c>
      <c r="FN1570">
        <v>0.25</v>
      </c>
      <c r="FO1570" t="s">
        <v>424</v>
      </c>
      <c r="FP1570" t="s">
        <v>425</v>
      </c>
      <c r="FR1570">
        <v>22</v>
      </c>
      <c r="FS1570">
        <v>5026818</v>
      </c>
      <c r="FT1570" t="s">
        <v>15853</v>
      </c>
    </row>
    <row r="1571" spans="1:261" x14ac:dyDescent="0.25">
      <c r="A1571">
        <v>16486578</v>
      </c>
      <c r="B1571">
        <v>1570</v>
      </c>
      <c r="C1571" t="s">
        <v>393</v>
      </c>
      <c r="D1571" t="s">
        <v>394</v>
      </c>
      <c r="F1571" t="str">
        <f>"35-2N-28-1401-0004-0010"</f>
        <v>35-2N-28-1401-0004-0010</v>
      </c>
      <c r="H1571" t="str">
        <f>"WEBB MATTHEW"</f>
        <v>WEBB MATTHEW</v>
      </c>
      <c r="I1571" t="str">
        <f>"95154 KAREN WALK"</f>
        <v>95154 KAREN WALK</v>
      </c>
      <c r="J1571" t="str">
        <f>"FERNANDINA BEACH FL 32034"</f>
        <v>FERNANDINA BEACH FL 32034</v>
      </c>
      <c r="K1571" t="str">
        <f>"95154 KAREN WALK"</f>
        <v>95154 KAREN WALK</v>
      </c>
      <c r="L1571" t="str">
        <f t="shared" si="554"/>
        <v>FERNANDINA BEACH FL 32034</v>
      </c>
      <c r="M1571" t="str">
        <f>"E217.75 FT OF LOT 4 &amp; N30 FT OF W363 FT OF LOT 4 1997 CHAD DW/MH IN OR 2017/168 MOBLEY HEIGHTS NORTH 3 PB 6/39"</f>
        <v>E217.75 FT OF LOT 4 &amp; N30 FT OF W363 FT OF LOT 4 1997 CHAD DW/MH IN OR 2017/168 MOBLEY HEIGHTS NORTH 3 PB 6/39</v>
      </c>
      <c r="N1571" t="str">
        <f>""</f>
        <v/>
      </c>
      <c r="O1571" t="str">
        <f>"41760"</f>
        <v>41760</v>
      </c>
      <c r="P1571" t="str">
        <f t="shared" si="548"/>
        <v>2017</v>
      </c>
      <c r="Q1571" t="str">
        <f>""</f>
        <v/>
      </c>
      <c r="R1571" t="str">
        <f>"Y"</f>
        <v>Y</v>
      </c>
      <c r="S1571" t="str">
        <f>"1.00"</f>
        <v>1.00</v>
      </c>
      <c r="T1571" t="str">
        <f>"459.05"</f>
        <v>459.05</v>
      </c>
      <c r="U1571" t="str">
        <f>"62212.00"</f>
        <v>62212.00</v>
      </c>
      <c r="V1571" t="str">
        <f>"62212.00"</f>
        <v>62212.00</v>
      </c>
      <c r="W1571" t="str">
        <f t="shared" si="549"/>
        <v>2017</v>
      </c>
      <c r="X1571" t="str">
        <f>"12.25"</f>
        <v>12.25</v>
      </c>
      <c r="Y1571" t="str">
        <f>"504.82"</f>
        <v>504.82</v>
      </c>
      <c r="Z1571" t="str">
        <f>"25000.00"</f>
        <v>25000.00</v>
      </c>
      <c r="AA1571" t="str">
        <f>"37212.00"</f>
        <v>37212.00</v>
      </c>
      <c r="AB1571" t="str">
        <f t="shared" si="550"/>
        <v>Residential</v>
      </c>
      <c r="AC1571" t="str">
        <f t="shared" si="558"/>
        <v>0</v>
      </c>
      <c r="AD1571" t="str">
        <f t="shared" si="560"/>
        <v>4</v>
      </c>
      <c r="AE1571" t="str">
        <f t="shared" si="561"/>
        <v>WOOD (INCLUDE STEEL STUDS)</v>
      </c>
      <c r="AF1571" t="str">
        <f>"002"</f>
        <v>002</v>
      </c>
      <c r="AG1571" t="str">
        <f t="shared" si="551"/>
        <v>FL</v>
      </c>
      <c r="AH1571" t="str">
        <f>"43560.00"</f>
        <v>43560.00</v>
      </c>
      <c r="AI1571" t="str">
        <f>"23750.00"</f>
        <v>23750.00</v>
      </c>
      <c r="AJ1571" t="str">
        <f>"C55-000-589-2885-4"</f>
        <v>C55-000-589-2885-4</v>
      </c>
      <c r="AK1571" t="str">
        <f>"28502"</f>
        <v>28502</v>
      </c>
      <c r="AL1571">
        <v>6</v>
      </c>
      <c r="AM1571">
        <v>1803</v>
      </c>
      <c r="AN1571">
        <v>528.46</v>
      </c>
      <c r="AQ1571" t="s">
        <v>15854</v>
      </c>
      <c r="AR1571" t="s">
        <v>15854</v>
      </c>
      <c r="AS1571" t="s">
        <v>15854</v>
      </c>
      <c r="AU1571" t="s">
        <v>396</v>
      </c>
      <c r="AV1571">
        <v>2017</v>
      </c>
      <c r="AW1571" t="str">
        <f>"35-2N-28-1401-0004-0010 "</f>
        <v xml:space="preserve">35-2N-28-1401-0004-0010 </v>
      </c>
      <c r="AX1571">
        <v>95154</v>
      </c>
      <c r="AZ1571" t="s">
        <v>15394</v>
      </c>
      <c r="BD1571" t="s">
        <v>11749</v>
      </c>
      <c r="BE1571" t="s">
        <v>393</v>
      </c>
      <c r="BF1571">
        <v>32034</v>
      </c>
      <c r="BG1571" t="s">
        <v>15855</v>
      </c>
      <c r="BH1571" t="s">
        <v>11751</v>
      </c>
      <c r="BI1571">
        <v>-81.538775284337902</v>
      </c>
      <c r="BJ1571">
        <v>30.573117819053699</v>
      </c>
      <c r="BK1571" t="s">
        <v>15856</v>
      </c>
      <c r="BM1571" t="s">
        <v>15855</v>
      </c>
      <c r="BN1571" t="s">
        <v>3983</v>
      </c>
      <c r="BO1571">
        <v>32034</v>
      </c>
      <c r="BP1571" t="s">
        <v>416</v>
      </c>
      <c r="BQ1571">
        <v>200</v>
      </c>
      <c r="BR1571" t="s">
        <v>405</v>
      </c>
      <c r="BS1571">
        <v>1006</v>
      </c>
      <c r="BT1571" t="s">
        <v>406</v>
      </c>
      <c r="BW1571">
        <v>43560</v>
      </c>
      <c r="BX1571" t="s">
        <v>407</v>
      </c>
      <c r="BZ1571">
        <v>4</v>
      </c>
      <c r="CA1571">
        <v>1997</v>
      </c>
      <c r="CB1571">
        <v>1</v>
      </c>
      <c r="CC1571">
        <v>1</v>
      </c>
      <c r="CD1571">
        <v>2017</v>
      </c>
      <c r="CE1571">
        <v>23750</v>
      </c>
      <c r="CF1571">
        <v>38462</v>
      </c>
      <c r="CG1571">
        <v>62212</v>
      </c>
      <c r="CH1571">
        <v>2017</v>
      </c>
      <c r="CI1571">
        <v>23750</v>
      </c>
      <c r="CJ1571">
        <v>38462</v>
      </c>
      <c r="CK1571">
        <v>62212</v>
      </c>
      <c r="CL1571">
        <v>2017</v>
      </c>
      <c r="CM1571">
        <v>459.05</v>
      </c>
      <c r="CN1571" s="1">
        <v>42342</v>
      </c>
      <c r="CO1571">
        <v>67000</v>
      </c>
      <c r="CV1571">
        <v>66500</v>
      </c>
      <c r="CX1571" t="s">
        <v>707</v>
      </c>
      <c r="CZ1571" s="1">
        <v>42342</v>
      </c>
      <c r="DA1571">
        <v>0</v>
      </c>
      <c r="DD1571" t="s">
        <v>11749</v>
      </c>
      <c r="DF1571">
        <v>4</v>
      </c>
      <c r="DG1571">
        <v>35</v>
      </c>
      <c r="DL1571">
        <v>50303</v>
      </c>
      <c r="DM1571" t="s">
        <v>15740</v>
      </c>
      <c r="DO1571" t="s">
        <v>15857</v>
      </c>
      <c r="DP1571">
        <v>0</v>
      </c>
      <c r="DQ1571">
        <v>0</v>
      </c>
      <c r="DR1571" t="s">
        <v>411</v>
      </c>
      <c r="EP1571" t="s">
        <v>421</v>
      </c>
      <c r="EQ1571" t="s">
        <v>422</v>
      </c>
      <c r="ER1571">
        <v>0</v>
      </c>
      <c r="ES1571">
        <v>2</v>
      </c>
      <c r="ET1571">
        <v>0</v>
      </c>
      <c r="EU1571">
        <v>0</v>
      </c>
      <c r="EV1571">
        <v>0</v>
      </c>
      <c r="EW1571" s="2">
        <v>43222</v>
      </c>
      <c r="EX1571" s="1">
        <v>41787</v>
      </c>
      <c r="EY1571">
        <v>2013</v>
      </c>
      <c r="EZ1571">
        <v>574.08000000000004</v>
      </c>
      <c r="FA1571" t="s">
        <v>15858</v>
      </c>
      <c r="FB1571">
        <v>0.25</v>
      </c>
      <c r="FC1571" t="s">
        <v>424</v>
      </c>
      <c r="FD1571" t="s">
        <v>425</v>
      </c>
      <c r="FE1571" s="1">
        <v>42033</v>
      </c>
      <c r="FF1571">
        <v>8</v>
      </c>
      <c r="FG1571">
        <v>2407503</v>
      </c>
      <c r="FH1571" t="s">
        <v>461</v>
      </c>
      <c r="FJ1571" s="1">
        <v>41052</v>
      </c>
      <c r="FK1571">
        <v>2011</v>
      </c>
      <c r="FL1571">
        <v>561.04999999999995</v>
      </c>
      <c r="FM1571" t="s">
        <v>15859</v>
      </c>
      <c r="FN1571">
        <v>6</v>
      </c>
      <c r="FO1571" t="s">
        <v>424</v>
      </c>
      <c r="FP1571" t="s">
        <v>425</v>
      </c>
      <c r="FQ1571" s="1">
        <v>41312</v>
      </c>
      <c r="FR1571">
        <v>9</v>
      </c>
      <c r="FS1571">
        <v>375</v>
      </c>
      <c r="FT1571" t="s">
        <v>776</v>
      </c>
    </row>
    <row r="1572" spans="1:261" x14ac:dyDescent="0.25">
      <c r="A1572">
        <v>16486579</v>
      </c>
      <c r="B1572">
        <v>1571</v>
      </c>
      <c r="C1572" t="s">
        <v>393</v>
      </c>
      <c r="D1572" t="s">
        <v>394</v>
      </c>
      <c r="F1572" t="str">
        <f>"37-2N-28-0000-0001-0000"</f>
        <v>37-2N-28-0000-0001-0000</v>
      </c>
      <c r="H1572" t="str">
        <f>"PINEY ISLAND PARTNERSHIP"</f>
        <v>PINEY ISLAND PARTNERSHIP</v>
      </c>
      <c r="I1572" t="str">
        <f>"437 E MONROE ST SUITE 100"</f>
        <v>437 E MONROE ST SUITE 100</v>
      </c>
      <c r="J1572" t="str">
        <f>"JACKSONVILLE FL 32202"</f>
        <v>JACKSONVILLE FL 32202</v>
      </c>
      <c r="K1572" t="str">
        <f>"474639 SR 200"</f>
        <v>474639 SR 200</v>
      </c>
      <c r="L1572" t="str">
        <f t="shared" si="554"/>
        <v>FERNANDINA BEACH FL 32034</v>
      </c>
      <c r="M1572" t="str">
        <f>"ALL S OF SAL R/W PT OR 236/535 &amp; OR 921/542 &amp; PT OR 921/542 &amp; OR 1429/1157 EX 1-1 &amp; 1-2"</f>
        <v>ALL S OF SAL R/W PT OR 236/535 &amp; OR 921/542 &amp; PT OR 921/542 &amp; OR 1429/1157 EX 1-1 &amp; 1-2</v>
      </c>
      <c r="N1572" t="str">
        <f>""</f>
        <v/>
      </c>
      <c r="O1572" t="str">
        <f>"43475"</f>
        <v>43475</v>
      </c>
      <c r="P1572" t="str">
        <f t="shared" si="548"/>
        <v>2017</v>
      </c>
      <c r="Q1572" t="str">
        <f>""</f>
        <v/>
      </c>
      <c r="R1572" t="str">
        <f t="shared" ref="R1572:R1614" si="562">"N"</f>
        <v>N</v>
      </c>
      <c r="S1572" t="str">
        <f>""</f>
        <v/>
      </c>
      <c r="T1572" t="str">
        <f>"1128.80"</f>
        <v>1128.80</v>
      </c>
      <c r="U1572" t="str">
        <f>"73834.00"</f>
        <v>73834.00</v>
      </c>
      <c r="V1572" t="str">
        <f>"73834.00"</f>
        <v>73834.00</v>
      </c>
      <c r="W1572" t="str">
        <f t="shared" si="549"/>
        <v>2017</v>
      </c>
      <c r="X1572" t="str">
        <f>"22.20"</f>
        <v>22.20</v>
      </c>
      <c r="Y1572" t="str">
        <f>"1194.66"</f>
        <v>1194.66</v>
      </c>
      <c r="Z1572" t="str">
        <f>""</f>
        <v/>
      </c>
      <c r="AA1572" t="str">
        <f>"73834.00"</f>
        <v>73834.00</v>
      </c>
      <c r="AB1572" t="str">
        <f>"Commercial"</f>
        <v>Commercial</v>
      </c>
      <c r="AC1572" t="str">
        <f t="shared" si="558"/>
        <v>0</v>
      </c>
      <c r="AD1572" t="str">
        <f>""</f>
        <v/>
      </c>
      <c r="AE1572" t="str">
        <f>""</f>
        <v/>
      </c>
      <c r="AF1572" t="str">
        <f>"010"</f>
        <v>010</v>
      </c>
      <c r="AG1572" t="str">
        <f t="shared" si="551"/>
        <v>FL</v>
      </c>
      <c r="AH1572" t="str">
        <f>"246114.00"</f>
        <v>246114.00</v>
      </c>
      <c r="AI1572" t="str">
        <f>"73834.00"</f>
        <v>73834.00</v>
      </c>
      <c r="AJ1572" t="str">
        <f>"C55-000-587-9332-4"</f>
        <v>C55-000-587-9332-4</v>
      </c>
      <c r="AK1572" t="str">
        <f>"28510"</f>
        <v>28510</v>
      </c>
      <c r="AL1572">
        <v>6</v>
      </c>
      <c r="AM1572">
        <v>1804</v>
      </c>
      <c r="AN1572">
        <v>1252.79</v>
      </c>
      <c r="AQ1572" t="s">
        <v>15860</v>
      </c>
      <c r="AR1572" t="s">
        <v>15860</v>
      </c>
      <c r="AS1572" t="s">
        <v>15860</v>
      </c>
      <c r="AU1572" t="s">
        <v>396</v>
      </c>
      <c r="AV1572">
        <v>2017</v>
      </c>
      <c r="AW1572" t="str">
        <f>"37-2N-28-0000-0001-0000 "</f>
        <v xml:space="preserve">37-2N-28-0000-0001-0000 </v>
      </c>
      <c r="AX1572">
        <v>474639</v>
      </c>
      <c r="AZ1572" t="s">
        <v>8071</v>
      </c>
      <c r="BD1572" t="s">
        <v>11749</v>
      </c>
      <c r="BE1572" t="s">
        <v>393</v>
      </c>
      <c r="BF1572">
        <v>32034</v>
      </c>
      <c r="BG1572" t="s">
        <v>15861</v>
      </c>
      <c r="BH1572" t="s">
        <v>11751</v>
      </c>
      <c r="BI1572">
        <v>-81.495814687947899</v>
      </c>
      <c r="BJ1572">
        <v>30.622586867117899</v>
      </c>
      <c r="BK1572" t="s">
        <v>15862</v>
      </c>
      <c r="BM1572" t="s">
        <v>15863</v>
      </c>
      <c r="BN1572" t="s">
        <v>548</v>
      </c>
      <c r="BO1572">
        <v>32202</v>
      </c>
      <c r="BP1572" t="s">
        <v>404</v>
      </c>
      <c r="BQ1572">
        <v>1000</v>
      </c>
      <c r="BR1572" t="s">
        <v>2391</v>
      </c>
      <c r="BS1572">
        <v>8002</v>
      </c>
      <c r="BT1572" t="s">
        <v>2392</v>
      </c>
      <c r="BW1572">
        <v>246114</v>
      </c>
      <c r="BX1572" t="s">
        <v>407</v>
      </c>
      <c r="BY1572" t="s">
        <v>5128</v>
      </c>
      <c r="CD1572">
        <v>2017</v>
      </c>
      <c r="CE1572">
        <v>73834</v>
      </c>
      <c r="CG1572">
        <v>73834</v>
      </c>
      <c r="CH1572">
        <v>2017</v>
      </c>
      <c r="CI1572">
        <v>73834</v>
      </c>
      <c r="CK1572">
        <v>73834</v>
      </c>
      <c r="CL1572">
        <v>2017</v>
      </c>
      <c r="CM1572">
        <v>1128.8</v>
      </c>
      <c r="CN1572" s="1">
        <v>38918</v>
      </c>
      <c r="CO1572">
        <v>20800</v>
      </c>
      <c r="CV1572">
        <v>0</v>
      </c>
      <c r="CZ1572" s="1">
        <v>38918</v>
      </c>
      <c r="DA1572">
        <v>0</v>
      </c>
      <c r="DD1572" t="s">
        <v>11749</v>
      </c>
      <c r="DG1572">
        <v>37</v>
      </c>
      <c r="DL1572">
        <v>50303</v>
      </c>
      <c r="DM1572" t="s">
        <v>15864</v>
      </c>
      <c r="DO1572" t="s">
        <v>15865</v>
      </c>
      <c r="DP1572">
        <v>0</v>
      </c>
      <c r="DQ1572">
        <v>0</v>
      </c>
      <c r="DR1572" t="s">
        <v>411</v>
      </c>
      <c r="DS1572" t="b">
        <v>1</v>
      </c>
      <c r="DT1572" t="s">
        <v>8902</v>
      </c>
      <c r="DV1572" t="s">
        <v>446</v>
      </c>
      <c r="DX1572">
        <v>10</v>
      </c>
      <c r="DY1572" t="s">
        <v>11438</v>
      </c>
      <c r="DZ1572" t="s">
        <v>447</v>
      </c>
      <c r="EA1572" t="s">
        <v>448</v>
      </c>
      <c r="EB1572" t="s">
        <v>14882</v>
      </c>
      <c r="EC1572">
        <v>20101217</v>
      </c>
      <c r="ED1572" t="s">
        <v>450</v>
      </c>
      <c r="EE1572">
        <v>5</v>
      </c>
      <c r="EF1572">
        <v>0</v>
      </c>
      <c r="EG1572">
        <v>0</v>
      </c>
      <c r="EH1572" t="s">
        <v>14883</v>
      </c>
      <c r="EI1572">
        <v>20160407</v>
      </c>
      <c r="EJ1572">
        <v>0</v>
      </c>
      <c r="EK1572">
        <v>0</v>
      </c>
      <c r="EP1572" t="s">
        <v>421</v>
      </c>
      <c r="EQ1572" t="s">
        <v>422</v>
      </c>
      <c r="ER1572">
        <v>2</v>
      </c>
      <c r="ES1572">
        <v>6</v>
      </c>
      <c r="ET1572">
        <v>2530.92</v>
      </c>
      <c r="EU1572">
        <v>139.05000000000001</v>
      </c>
      <c r="EV1572">
        <v>2669.97</v>
      </c>
      <c r="EW1572" s="2">
        <v>43222</v>
      </c>
      <c r="EX1572" s="1">
        <v>42879</v>
      </c>
      <c r="EY1572">
        <v>2016</v>
      </c>
      <c r="EZ1572">
        <v>1265.46</v>
      </c>
      <c r="FA1572" t="s">
        <v>15866</v>
      </c>
      <c r="FB1572">
        <v>0.25</v>
      </c>
      <c r="FC1572" t="s">
        <v>424</v>
      </c>
      <c r="FD1572" t="s">
        <v>454</v>
      </c>
      <c r="FF1572">
        <v>12</v>
      </c>
      <c r="FG1572">
        <v>7336671</v>
      </c>
      <c r="FH1572" t="s">
        <v>437</v>
      </c>
      <c r="FJ1572" s="1">
        <v>42879</v>
      </c>
      <c r="FK1572">
        <v>2016</v>
      </c>
      <c r="FL1572">
        <v>1265.46</v>
      </c>
      <c r="FM1572" t="s">
        <v>15866</v>
      </c>
      <c r="FN1572">
        <v>0.25</v>
      </c>
      <c r="FO1572" t="s">
        <v>424</v>
      </c>
      <c r="FP1572" t="s">
        <v>454</v>
      </c>
      <c r="FR1572">
        <v>12</v>
      </c>
      <c r="FS1572">
        <v>5124109</v>
      </c>
      <c r="FT1572" t="s">
        <v>15867</v>
      </c>
      <c r="FV1572" s="1">
        <v>42515</v>
      </c>
      <c r="FW1572">
        <v>2015</v>
      </c>
      <c r="FX1572">
        <v>1289.32</v>
      </c>
      <c r="FY1572" t="s">
        <v>15868</v>
      </c>
      <c r="FZ1572">
        <v>0.25</v>
      </c>
      <c r="GA1572" t="s">
        <v>424</v>
      </c>
      <c r="GB1572" t="s">
        <v>425</v>
      </c>
      <c r="GC1572" s="1">
        <v>42562</v>
      </c>
      <c r="GD1572">
        <v>2</v>
      </c>
      <c r="GE1572">
        <v>13139</v>
      </c>
      <c r="GF1572" t="s">
        <v>955</v>
      </c>
      <c r="GH1572" s="1">
        <v>42151</v>
      </c>
      <c r="GI1572">
        <v>2014</v>
      </c>
      <c r="GJ1572">
        <v>1296.08</v>
      </c>
      <c r="GK1572" t="s">
        <v>15869</v>
      </c>
      <c r="GL1572">
        <v>4.75</v>
      </c>
      <c r="GM1572" t="s">
        <v>424</v>
      </c>
      <c r="GN1572" t="s">
        <v>425</v>
      </c>
      <c r="GO1572" s="1">
        <v>42562</v>
      </c>
      <c r="GP1572">
        <v>14</v>
      </c>
      <c r="GQ1572">
        <v>4975593</v>
      </c>
      <c r="GR1572" t="s">
        <v>505</v>
      </c>
      <c r="GT1572" s="1">
        <v>42151</v>
      </c>
      <c r="GU1572">
        <v>2013</v>
      </c>
      <c r="GV1572">
        <v>1439.01</v>
      </c>
      <c r="GW1572" t="s">
        <v>15870</v>
      </c>
      <c r="GX1572">
        <v>15.5</v>
      </c>
      <c r="GY1572" t="s">
        <v>424</v>
      </c>
      <c r="GZ1572" t="s">
        <v>425</v>
      </c>
      <c r="HA1572" s="1">
        <v>42562</v>
      </c>
      <c r="HB1572">
        <v>14</v>
      </c>
      <c r="HC1572">
        <v>4695392</v>
      </c>
      <c r="HD1572" t="s">
        <v>958</v>
      </c>
      <c r="HF1572" s="1">
        <v>41423</v>
      </c>
      <c r="HG1572">
        <v>2012</v>
      </c>
      <c r="HH1572">
        <v>1242.97</v>
      </c>
      <c r="HI1572" t="s">
        <v>15871</v>
      </c>
      <c r="HJ1572">
        <v>3.5</v>
      </c>
      <c r="HK1572" t="s">
        <v>424</v>
      </c>
      <c r="HL1572" t="s">
        <v>425</v>
      </c>
      <c r="HM1572" s="1">
        <v>42226</v>
      </c>
      <c r="HN1572">
        <v>27</v>
      </c>
      <c r="HO1572">
        <v>10125</v>
      </c>
      <c r="HP1572" t="s">
        <v>440</v>
      </c>
      <c r="HR1572" s="1">
        <v>41052</v>
      </c>
      <c r="HS1572">
        <v>2011</v>
      </c>
      <c r="HT1572">
        <v>3434.09</v>
      </c>
      <c r="HU1572" t="s">
        <v>15872</v>
      </c>
      <c r="HV1572">
        <v>6</v>
      </c>
      <c r="HW1572" t="s">
        <v>424</v>
      </c>
      <c r="HX1572" t="s">
        <v>425</v>
      </c>
      <c r="HY1572" s="1">
        <v>41759</v>
      </c>
      <c r="HZ1572">
        <v>23</v>
      </c>
      <c r="IA1572">
        <v>1109</v>
      </c>
      <c r="IB1572" t="s">
        <v>852</v>
      </c>
      <c r="ID1572" s="1">
        <v>41052</v>
      </c>
      <c r="IE1572">
        <v>2010</v>
      </c>
      <c r="IF1572">
        <v>4050.58</v>
      </c>
      <c r="IG1572" t="s">
        <v>15873</v>
      </c>
      <c r="IH1572">
        <v>6</v>
      </c>
      <c r="II1572" t="s">
        <v>424</v>
      </c>
      <c r="IJ1572" t="s">
        <v>425</v>
      </c>
      <c r="IK1572" s="1">
        <v>41759</v>
      </c>
      <c r="IL1572">
        <v>23</v>
      </c>
      <c r="IM1572">
        <v>1109</v>
      </c>
      <c r="IN1572" t="s">
        <v>852</v>
      </c>
    </row>
    <row r="1573" spans="1:261" x14ac:dyDescent="0.25">
      <c r="A1573">
        <v>16486580</v>
      </c>
      <c r="B1573">
        <v>1572</v>
      </c>
      <c r="C1573" t="s">
        <v>393</v>
      </c>
      <c r="D1573" t="s">
        <v>394</v>
      </c>
      <c r="F1573" t="str">
        <f>"37-2N-28-1320-0031-0000"</f>
        <v>37-2N-28-1320-0031-0000</v>
      </c>
      <c r="H1573" t="str">
        <f>"MATTHEWS BRIAN &amp; JENNIFER"</f>
        <v>MATTHEWS BRIAN &amp; JENNIFER</v>
      </c>
      <c r="I1573" t="str">
        <f>"2997 GREEN OAKS CIRCLE"</f>
        <v>2997 GREEN OAKS CIRCLE</v>
      </c>
      <c r="J1573" t="str">
        <f>"ATLANTA GA 30345"</f>
        <v>ATLANTA GA 30345</v>
      </c>
      <c r="K1573" t="str">
        <f>"96144 MARSH LAKES DR"</f>
        <v>96144 MARSH LAKES DR</v>
      </c>
      <c r="L1573" t="str">
        <f t="shared" si="554"/>
        <v>FERNANDINA BEACH FL 32034</v>
      </c>
      <c r="M1573" t="str">
        <f>"LOT 31 IN OR 968/31 MARSH LAKES PB 5/159-167"</f>
        <v>LOT 31 IN OR 968/31 MARSH LAKES PB 5/159-167</v>
      </c>
      <c r="N1573" t="str">
        <f>""</f>
        <v/>
      </c>
      <c r="O1573" t="str">
        <f>"43515"</f>
        <v>43515</v>
      </c>
      <c r="P1573" t="str">
        <f t="shared" si="548"/>
        <v>2017</v>
      </c>
      <c r="Q1573" t="str">
        <f>""</f>
        <v/>
      </c>
      <c r="R1573" t="str">
        <f t="shared" si="562"/>
        <v>N</v>
      </c>
      <c r="S1573" t="str">
        <f>""</f>
        <v/>
      </c>
      <c r="T1573" t="str">
        <f>"6790.94"</f>
        <v>6790.94</v>
      </c>
      <c r="U1573" t="str">
        <f>"444192.00"</f>
        <v>444192.00</v>
      </c>
      <c r="V1573" t="str">
        <f>"444192.00"</f>
        <v>444192.00</v>
      </c>
      <c r="W1573" t="str">
        <f t="shared" si="549"/>
        <v>2017</v>
      </c>
      <c r="X1573" t="str">
        <f>"16.71"</f>
        <v>16.71</v>
      </c>
      <c r="Y1573" t="str">
        <f>"7026.67"</f>
        <v>7026.67</v>
      </c>
      <c r="Z1573" t="str">
        <f>""</f>
        <v/>
      </c>
      <c r="AA1573" t="str">
        <f>"444192.00"</f>
        <v>444192.00</v>
      </c>
      <c r="AB1573" t="str">
        <f t="shared" ref="AB1573:AB1604" si="563">"Residential"</f>
        <v>Residential</v>
      </c>
      <c r="AC1573" t="str">
        <f t="shared" si="558"/>
        <v>0</v>
      </c>
      <c r="AD1573" t="str">
        <f>"4"</f>
        <v>4</v>
      </c>
      <c r="AE1573" t="str">
        <f>"WOOD (INCLUDE STEEL STUDS)"</f>
        <v>WOOD (INCLUDE STEEL STUDS)</v>
      </c>
      <c r="AF1573" t="str">
        <f>"001"</f>
        <v>001</v>
      </c>
      <c r="AG1573" t="str">
        <f>"GA"</f>
        <v>GA</v>
      </c>
      <c r="AH1573" t="str">
        <f t="shared" ref="AH1573:AH1611" si="564">"-"</f>
        <v>-</v>
      </c>
      <c r="AI1573" t="str">
        <f>"240000.00"</f>
        <v>240000.00</v>
      </c>
      <c r="AJ1573" t="str">
        <f>"C55-000-587-9368-8"</f>
        <v>C55-000-587-9368-8</v>
      </c>
      <c r="AK1573" t="str">
        <f>"28546"</f>
        <v>28546</v>
      </c>
      <c r="AL1573">
        <v>6</v>
      </c>
      <c r="AM1573">
        <v>1805</v>
      </c>
      <c r="AN1573">
        <v>7376.4</v>
      </c>
      <c r="AQ1573" t="s">
        <v>15874</v>
      </c>
      <c r="AR1573" t="s">
        <v>15874</v>
      </c>
      <c r="AS1573" t="s">
        <v>15874</v>
      </c>
      <c r="AU1573" t="s">
        <v>396</v>
      </c>
      <c r="AV1573">
        <v>2017</v>
      </c>
      <c r="AW1573" t="str">
        <f>"37-2N-28-1320-0031-0000 "</f>
        <v xml:space="preserve">37-2N-28-1320-0031-0000 </v>
      </c>
      <c r="AX1573">
        <v>96144</v>
      </c>
      <c r="AZ1573" t="s">
        <v>15875</v>
      </c>
      <c r="BA1573" t="s">
        <v>669</v>
      </c>
      <c r="BD1573" t="s">
        <v>11749</v>
      </c>
      <c r="BE1573" t="s">
        <v>393</v>
      </c>
      <c r="BF1573">
        <v>32034</v>
      </c>
      <c r="BG1573" t="s">
        <v>15876</v>
      </c>
      <c r="BH1573" t="s">
        <v>11751</v>
      </c>
      <c r="BI1573">
        <v>-81.495709189501198</v>
      </c>
      <c r="BJ1573">
        <v>30.613693886252701</v>
      </c>
      <c r="BK1573" t="s">
        <v>15877</v>
      </c>
      <c r="BL1573" t="s">
        <v>15878</v>
      </c>
      <c r="BM1573" t="s">
        <v>15879</v>
      </c>
      <c r="BN1573" t="s">
        <v>15589</v>
      </c>
      <c r="BO1573">
        <v>30345</v>
      </c>
      <c r="BP1573" t="s">
        <v>404</v>
      </c>
      <c r="BQ1573">
        <v>100</v>
      </c>
      <c r="BR1573" t="s">
        <v>514</v>
      </c>
      <c r="BS1573">
        <v>1001</v>
      </c>
      <c r="BT1573" t="s">
        <v>515</v>
      </c>
      <c r="BW1573">
        <v>20978</v>
      </c>
      <c r="BX1573" t="s">
        <v>407</v>
      </c>
      <c r="BY1573" t="s">
        <v>2729</v>
      </c>
      <c r="BZ1573">
        <v>4</v>
      </c>
      <c r="CA1573">
        <v>1997</v>
      </c>
      <c r="CB1573">
        <v>1</v>
      </c>
      <c r="CC1573">
        <v>1</v>
      </c>
      <c r="CD1573">
        <v>2017</v>
      </c>
      <c r="CE1573">
        <v>240000</v>
      </c>
      <c r="CF1573">
        <v>204192</v>
      </c>
      <c r="CG1573">
        <v>444192</v>
      </c>
      <c r="CH1573">
        <v>2017</v>
      </c>
      <c r="CI1573">
        <v>240000</v>
      </c>
      <c r="CJ1573">
        <v>204192</v>
      </c>
      <c r="CK1573">
        <v>444192</v>
      </c>
      <c r="CL1573">
        <v>2017</v>
      </c>
      <c r="CM1573">
        <v>6790.94</v>
      </c>
      <c r="CN1573" s="1">
        <v>36915</v>
      </c>
      <c r="CO1573">
        <v>405000</v>
      </c>
      <c r="CV1573">
        <v>324000</v>
      </c>
      <c r="CZ1573" s="1">
        <v>36915</v>
      </c>
      <c r="DA1573">
        <v>36400</v>
      </c>
      <c r="DD1573" t="s">
        <v>11749</v>
      </c>
      <c r="DF1573">
        <v>31</v>
      </c>
      <c r="DG1573">
        <v>37</v>
      </c>
      <c r="DJ1573" t="s">
        <v>15875</v>
      </c>
      <c r="DL1573">
        <v>50303</v>
      </c>
      <c r="DM1573" t="s">
        <v>15864</v>
      </c>
      <c r="DO1573" t="s">
        <v>15880</v>
      </c>
      <c r="DP1573">
        <v>0</v>
      </c>
      <c r="DQ1573">
        <v>0</v>
      </c>
      <c r="DR1573" t="s">
        <v>411</v>
      </c>
      <c r="DS1573" t="b">
        <v>1</v>
      </c>
      <c r="DT1573" t="s">
        <v>15881</v>
      </c>
      <c r="DV1573" t="s">
        <v>446</v>
      </c>
      <c r="DX1573">
        <v>11</v>
      </c>
      <c r="DY1573" t="s">
        <v>11438</v>
      </c>
      <c r="DZ1573" t="s">
        <v>447</v>
      </c>
      <c r="EA1573" t="s">
        <v>448</v>
      </c>
      <c r="EB1573" t="s">
        <v>15882</v>
      </c>
      <c r="EC1573">
        <v>20101217</v>
      </c>
      <c r="ED1573" t="s">
        <v>450</v>
      </c>
      <c r="EE1573">
        <v>5</v>
      </c>
      <c r="EF1573">
        <v>0</v>
      </c>
      <c r="EG1573">
        <v>0</v>
      </c>
      <c r="EI1573">
        <v>20160407</v>
      </c>
      <c r="EJ1573">
        <v>0</v>
      </c>
      <c r="EK1573">
        <v>0</v>
      </c>
      <c r="EP1573" t="s">
        <v>421</v>
      </c>
      <c r="EQ1573" t="s">
        <v>452</v>
      </c>
      <c r="ER1573">
        <v>2</v>
      </c>
      <c r="ES1573">
        <v>7</v>
      </c>
      <c r="ET1573">
        <v>14997.52</v>
      </c>
      <c r="EU1573">
        <v>762.38</v>
      </c>
      <c r="EV1573">
        <v>15759.9</v>
      </c>
      <c r="EW1573" s="2">
        <v>43222</v>
      </c>
      <c r="EX1573" s="1">
        <v>42879</v>
      </c>
      <c r="EY1573">
        <v>2016</v>
      </c>
      <c r="EZ1573">
        <v>7498.76</v>
      </c>
      <c r="FA1573" t="s">
        <v>15883</v>
      </c>
      <c r="FB1573">
        <v>0.25</v>
      </c>
      <c r="FC1573" t="s">
        <v>424</v>
      </c>
      <c r="FD1573" t="s">
        <v>454</v>
      </c>
      <c r="FF1573">
        <v>12</v>
      </c>
      <c r="FG1573">
        <v>7400234</v>
      </c>
      <c r="FH1573" t="s">
        <v>426</v>
      </c>
      <c r="FJ1573" s="1">
        <v>42879</v>
      </c>
      <c r="FK1573">
        <v>2016</v>
      </c>
      <c r="FL1573">
        <v>7498.76</v>
      </c>
      <c r="FM1573" t="s">
        <v>15883</v>
      </c>
      <c r="FN1573">
        <v>0.25</v>
      </c>
      <c r="FO1573" t="s">
        <v>424</v>
      </c>
      <c r="FP1573" t="s">
        <v>454</v>
      </c>
      <c r="FR1573">
        <v>12</v>
      </c>
      <c r="FS1573">
        <v>7530291</v>
      </c>
      <c r="FT1573" t="s">
        <v>15884</v>
      </c>
      <c r="FV1573" s="1">
        <v>42515</v>
      </c>
      <c r="FW1573">
        <v>2015</v>
      </c>
      <c r="FX1573">
        <v>7688.19</v>
      </c>
      <c r="FY1573" t="s">
        <v>15885</v>
      </c>
      <c r="FZ1573">
        <v>0.25</v>
      </c>
      <c r="GA1573" t="s">
        <v>424</v>
      </c>
      <c r="GB1573" t="s">
        <v>425</v>
      </c>
      <c r="GC1573" s="1">
        <v>43159</v>
      </c>
      <c r="GD1573">
        <v>21</v>
      </c>
      <c r="GE1573">
        <v>11289</v>
      </c>
      <c r="GF1573" t="s">
        <v>787</v>
      </c>
      <c r="GH1573" s="1">
        <v>42515</v>
      </c>
      <c r="GI1573">
        <v>2015</v>
      </c>
      <c r="GJ1573">
        <v>7688.19</v>
      </c>
      <c r="GK1573" t="s">
        <v>15885</v>
      </c>
      <c r="GL1573">
        <v>0.25</v>
      </c>
      <c r="GM1573" t="s">
        <v>424</v>
      </c>
      <c r="GN1573" t="s">
        <v>425</v>
      </c>
      <c r="GP1573">
        <v>22</v>
      </c>
      <c r="GQ1573">
        <v>7100801</v>
      </c>
      <c r="GR1573" t="s">
        <v>15886</v>
      </c>
      <c r="GT1573" s="1">
        <v>41787</v>
      </c>
      <c r="GU1573">
        <v>2013</v>
      </c>
      <c r="GV1573">
        <v>6721.47</v>
      </c>
      <c r="GW1573" t="s">
        <v>15887</v>
      </c>
      <c r="GX1573">
        <v>0.25</v>
      </c>
      <c r="GY1573" t="s">
        <v>424</v>
      </c>
      <c r="GZ1573" t="s">
        <v>425</v>
      </c>
      <c r="HA1573" s="1">
        <v>42150</v>
      </c>
      <c r="HB1573">
        <v>12</v>
      </c>
      <c r="HC1573">
        <v>2101382</v>
      </c>
      <c r="HD1573" t="s">
        <v>993</v>
      </c>
      <c r="HF1573" s="1">
        <v>41423</v>
      </c>
      <c r="HG1573">
        <v>2012</v>
      </c>
      <c r="HH1573">
        <v>6252.45</v>
      </c>
      <c r="HI1573" t="s">
        <v>15888</v>
      </c>
      <c r="HJ1573">
        <v>0.25</v>
      </c>
      <c r="HK1573" t="s">
        <v>424</v>
      </c>
      <c r="HL1573" t="s">
        <v>425</v>
      </c>
      <c r="HM1573" s="1">
        <v>42062</v>
      </c>
      <c r="HN1573">
        <v>21</v>
      </c>
      <c r="HO1573">
        <v>606981</v>
      </c>
      <c r="HP1573" t="s">
        <v>792</v>
      </c>
      <c r="HR1573" s="1">
        <v>41052</v>
      </c>
      <c r="HS1573">
        <v>2011</v>
      </c>
      <c r="HT1573">
        <v>7349.26</v>
      </c>
      <c r="HU1573" t="s">
        <v>15889</v>
      </c>
      <c r="HV1573">
        <v>0.25</v>
      </c>
      <c r="HW1573" t="s">
        <v>424</v>
      </c>
      <c r="HX1573" t="s">
        <v>425</v>
      </c>
      <c r="HY1573" s="1">
        <v>41730</v>
      </c>
      <c r="HZ1573">
        <v>23</v>
      </c>
      <c r="IA1573">
        <v>13261</v>
      </c>
      <c r="IB1573" t="s">
        <v>7678</v>
      </c>
      <c r="ID1573" s="1">
        <v>41052</v>
      </c>
      <c r="IE1573">
        <v>2011</v>
      </c>
      <c r="IF1573">
        <v>7349.26</v>
      </c>
      <c r="IG1573" t="s">
        <v>15889</v>
      </c>
      <c r="IH1573">
        <v>0.25</v>
      </c>
      <c r="II1573" t="s">
        <v>424</v>
      </c>
      <c r="IJ1573" t="s">
        <v>425</v>
      </c>
      <c r="IL1573">
        <v>22</v>
      </c>
      <c r="IM1573">
        <v>13271</v>
      </c>
      <c r="IN1573" t="s">
        <v>15890</v>
      </c>
      <c r="IP1573" s="1">
        <v>40688</v>
      </c>
      <c r="IQ1573">
        <v>2010</v>
      </c>
      <c r="IR1573">
        <v>8364.91</v>
      </c>
      <c r="IS1573" t="s">
        <v>15891</v>
      </c>
      <c r="IT1573">
        <v>0.25</v>
      </c>
      <c r="IU1573" t="s">
        <v>424</v>
      </c>
      <c r="IV1573" t="s">
        <v>425</v>
      </c>
      <c r="IW1573" s="1">
        <v>40765</v>
      </c>
      <c r="IX1573">
        <v>3</v>
      </c>
      <c r="IY1573">
        <v>11302</v>
      </c>
      <c r="IZ1573" t="s">
        <v>3940</v>
      </c>
      <c r="JA1573" t="s">
        <v>458</v>
      </c>
    </row>
    <row r="1574" spans="1:261" x14ac:dyDescent="0.25">
      <c r="A1574">
        <v>16486581</v>
      </c>
      <c r="B1574">
        <v>1573</v>
      </c>
      <c r="C1574" t="s">
        <v>393</v>
      </c>
      <c r="D1574" t="s">
        <v>394</v>
      </c>
      <c r="F1574" t="str">
        <f>"37-2N-28-209T-0121-0000"</f>
        <v>37-2N-28-209T-0121-0000</v>
      </c>
      <c r="H1574" t="str">
        <f t="shared" ref="H1574:H1609" si="565">"TUSCANY PRESERVE LLC"</f>
        <v>TUSCANY PRESERVE LLC</v>
      </c>
      <c r="I1574" t="str">
        <f t="shared" ref="I1574:I1609" si="566">"665 SIMONDS RD"</f>
        <v>665 SIMONDS RD</v>
      </c>
      <c r="J1574" t="str">
        <f t="shared" ref="J1574:J1609" si="567">"WILLIAMSTOWN MA 01267"</f>
        <v>WILLIAMSTOWN MA 01267</v>
      </c>
      <c r="K1574" t="str">
        <f>"96121 TUSCANY WAY"</f>
        <v>96121 TUSCANY WAY</v>
      </c>
      <c r="L1574" t="str">
        <f t="shared" si="554"/>
        <v>FERNANDINA BEACH FL 32034</v>
      </c>
      <c r="M1574" t="str">
        <f>"UNIT 121 PT OR 1881/181 NOT DEVELOPED/VACANT THE TUSCANY CONDO OR 1398/1500"</f>
        <v>UNIT 121 PT OR 1881/181 NOT DEVELOPED/VACANT THE TUSCANY CONDO OR 1398/1500</v>
      </c>
      <c r="N1574" t="str">
        <f>""</f>
        <v/>
      </c>
      <c r="O1574" t="str">
        <f>"43603"</f>
        <v>43603</v>
      </c>
      <c r="P1574" t="str">
        <f t="shared" si="548"/>
        <v>2017</v>
      </c>
      <c r="Q1574" t="str">
        <f>""</f>
        <v/>
      </c>
      <c r="R1574" t="str">
        <f t="shared" si="562"/>
        <v>N</v>
      </c>
      <c r="S1574" t="str">
        <f>""</f>
        <v/>
      </c>
      <c r="T1574" t="str">
        <f t="shared" ref="T1574:T1609" si="568">"257.56"</f>
        <v>257.56</v>
      </c>
      <c r="U1574" t="str">
        <f t="shared" ref="U1574:V1593" si="569">"15972.00"</f>
        <v>15972.00</v>
      </c>
      <c r="V1574" t="str">
        <f t="shared" si="569"/>
        <v>15972.00</v>
      </c>
      <c r="W1574" t="str">
        <f t="shared" si="549"/>
        <v>2017</v>
      </c>
      <c r="X1574" t="str">
        <f>""</f>
        <v/>
      </c>
      <c r="Y1574" t="str">
        <f t="shared" ref="Y1574:Y1609" si="570">"297.29"</f>
        <v>297.29</v>
      </c>
      <c r="Z1574" t="str">
        <f>""</f>
        <v/>
      </c>
      <c r="AA1574" t="str">
        <f t="shared" ref="AA1574:AA1609" si="571">"18000.00"</f>
        <v>18000.00</v>
      </c>
      <c r="AB1574" t="str">
        <f t="shared" si="563"/>
        <v>Residential</v>
      </c>
      <c r="AC1574" t="str">
        <f t="shared" si="558"/>
        <v>0</v>
      </c>
      <c r="AD1574" t="str">
        <f>""</f>
        <v/>
      </c>
      <c r="AE1574" t="str">
        <f>""</f>
        <v/>
      </c>
      <c r="AF1574" t="str">
        <f t="shared" ref="AF1574:AF1609" si="572">"004"</f>
        <v>004</v>
      </c>
      <c r="AG1574" t="str">
        <f t="shared" ref="AG1574:AG1609" si="573">"MA"</f>
        <v>MA</v>
      </c>
      <c r="AH1574" t="str">
        <f t="shared" si="564"/>
        <v>-</v>
      </c>
      <c r="AI1574" t="str">
        <f t="shared" ref="AI1574:AI1609" si="574">"18000.00"</f>
        <v>18000.00</v>
      </c>
      <c r="AJ1574" t="str">
        <f>"C55-001-011-3491-4"</f>
        <v>C55-001-011-3491-4</v>
      </c>
      <c r="AK1574" t="str">
        <f>"28630"</f>
        <v>28630</v>
      </c>
      <c r="AL1574">
        <v>6</v>
      </c>
      <c r="AM1574">
        <v>1806</v>
      </c>
      <c r="AN1574">
        <v>310.55</v>
      </c>
      <c r="AQ1574" t="s">
        <v>15892</v>
      </c>
      <c r="AR1574" t="s">
        <v>15892</v>
      </c>
      <c r="AS1574" t="s">
        <v>15892</v>
      </c>
      <c r="AU1574" t="s">
        <v>396</v>
      </c>
      <c r="AV1574">
        <v>2017</v>
      </c>
      <c r="AW1574" t="str">
        <f>"37-2N-28-209T-0121-0000 "</f>
        <v xml:space="preserve">37-2N-28-209T-0121-0000 </v>
      </c>
      <c r="AX1574">
        <v>96121</v>
      </c>
      <c r="AZ1574" t="s">
        <v>15893</v>
      </c>
      <c r="BA1574" t="s">
        <v>866</v>
      </c>
      <c r="BD1574" t="s">
        <v>11749</v>
      </c>
      <c r="BE1574" t="s">
        <v>393</v>
      </c>
      <c r="BF1574">
        <v>32034</v>
      </c>
      <c r="BG1574" t="s">
        <v>15894</v>
      </c>
      <c r="BH1574" t="s">
        <v>11751</v>
      </c>
      <c r="BI1574">
        <v>-81.494230192484494</v>
      </c>
      <c r="BJ1574">
        <v>30.621382183420899</v>
      </c>
      <c r="BK1574" t="s">
        <v>15895</v>
      </c>
      <c r="BM1574" t="s">
        <v>15896</v>
      </c>
      <c r="BN1574" t="s">
        <v>15897</v>
      </c>
      <c r="BO1574">
        <v>1267</v>
      </c>
      <c r="BP1574" t="s">
        <v>404</v>
      </c>
      <c r="BQ1574">
        <v>499</v>
      </c>
      <c r="BR1574" t="s">
        <v>15097</v>
      </c>
      <c r="BS1574">
        <v>1004</v>
      </c>
      <c r="BT1574" t="s">
        <v>15098</v>
      </c>
      <c r="BW1574">
        <v>662635</v>
      </c>
      <c r="BX1574" t="s">
        <v>407</v>
      </c>
      <c r="CD1574">
        <v>2017</v>
      </c>
      <c r="CE1574">
        <v>18000</v>
      </c>
      <c r="CG1574">
        <v>18000</v>
      </c>
      <c r="CH1574">
        <v>2017</v>
      </c>
      <c r="CI1574">
        <v>18000</v>
      </c>
      <c r="CK1574">
        <v>18000</v>
      </c>
      <c r="CL1574">
        <v>2017</v>
      </c>
      <c r="CM1574">
        <v>257.56</v>
      </c>
      <c r="CN1574" s="1">
        <v>41541</v>
      </c>
      <c r="CO1574">
        <v>463500</v>
      </c>
      <c r="CZ1574" s="1">
        <v>41541</v>
      </c>
      <c r="DD1574" t="s">
        <v>11749</v>
      </c>
      <c r="DG1574">
        <v>37</v>
      </c>
      <c r="DL1574">
        <v>50303</v>
      </c>
      <c r="DM1574" t="s">
        <v>15864</v>
      </c>
      <c r="DO1574" t="s">
        <v>15898</v>
      </c>
      <c r="DP1574">
        <v>0</v>
      </c>
      <c r="DQ1574">
        <v>0</v>
      </c>
      <c r="DR1574" t="s">
        <v>411</v>
      </c>
    </row>
    <row r="1575" spans="1:261" x14ac:dyDescent="0.25">
      <c r="A1575">
        <v>16486582</v>
      </c>
      <c r="B1575">
        <v>1574</v>
      </c>
      <c r="C1575" t="s">
        <v>393</v>
      </c>
      <c r="D1575" t="s">
        <v>394</v>
      </c>
      <c r="F1575" t="str">
        <f>"37-2N-28-209T-0122-0000"</f>
        <v>37-2N-28-209T-0122-0000</v>
      </c>
      <c r="H1575" t="str">
        <f t="shared" si="565"/>
        <v>TUSCANY PRESERVE LLC</v>
      </c>
      <c r="I1575" t="str">
        <f t="shared" si="566"/>
        <v>665 SIMONDS RD</v>
      </c>
      <c r="J1575" t="str">
        <f t="shared" si="567"/>
        <v>WILLIAMSTOWN MA 01267</v>
      </c>
      <c r="K1575" t="str">
        <f>"96122 TUSCANY WAY"</f>
        <v>96122 TUSCANY WAY</v>
      </c>
      <c r="L1575" t="str">
        <f t="shared" si="554"/>
        <v>FERNANDINA BEACH FL 32034</v>
      </c>
      <c r="M1575" t="str">
        <f>"UNIT 122 PT OR 1881/181 NOT DEVELOPED/VACANT THE TUSCANY CONDO OR 1398/1500"</f>
        <v>UNIT 122 PT OR 1881/181 NOT DEVELOPED/VACANT THE TUSCANY CONDO OR 1398/1500</v>
      </c>
      <c r="N1575" t="str">
        <f>""</f>
        <v/>
      </c>
      <c r="O1575" t="str">
        <f>"43604"</f>
        <v>43604</v>
      </c>
      <c r="P1575" t="str">
        <f t="shared" si="548"/>
        <v>2017</v>
      </c>
      <c r="Q1575" t="str">
        <f>""</f>
        <v/>
      </c>
      <c r="R1575" t="str">
        <f t="shared" si="562"/>
        <v>N</v>
      </c>
      <c r="S1575" t="str">
        <f>""</f>
        <v/>
      </c>
      <c r="T1575" t="str">
        <f t="shared" si="568"/>
        <v>257.56</v>
      </c>
      <c r="U1575" t="str">
        <f t="shared" si="569"/>
        <v>15972.00</v>
      </c>
      <c r="V1575" t="str">
        <f t="shared" si="569"/>
        <v>15972.00</v>
      </c>
      <c r="W1575" t="str">
        <f t="shared" si="549"/>
        <v>2017</v>
      </c>
      <c r="X1575" t="str">
        <f>""</f>
        <v/>
      </c>
      <c r="Y1575" t="str">
        <f t="shared" si="570"/>
        <v>297.29</v>
      </c>
      <c r="Z1575" t="str">
        <f>""</f>
        <v/>
      </c>
      <c r="AA1575" t="str">
        <f t="shared" si="571"/>
        <v>18000.00</v>
      </c>
      <c r="AB1575" t="str">
        <f t="shared" si="563"/>
        <v>Residential</v>
      </c>
      <c r="AC1575" t="str">
        <f t="shared" si="558"/>
        <v>0</v>
      </c>
      <c r="AD1575" t="str">
        <f>""</f>
        <v/>
      </c>
      <c r="AE1575" t="str">
        <f>""</f>
        <v/>
      </c>
      <c r="AF1575" t="str">
        <f t="shared" si="572"/>
        <v>004</v>
      </c>
      <c r="AG1575" t="str">
        <f t="shared" si="573"/>
        <v>MA</v>
      </c>
      <c r="AH1575" t="str">
        <f t="shared" si="564"/>
        <v>-</v>
      </c>
      <c r="AI1575" t="str">
        <f t="shared" si="574"/>
        <v>18000.00</v>
      </c>
      <c r="AJ1575" t="str">
        <f>"C55-001-011-3492-2"</f>
        <v>C55-001-011-3492-2</v>
      </c>
      <c r="AK1575" t="str">
        <f>"28631"</f>
        <v>28631</v>
      </c>
      <c r="AL1575">
        <v>6</v>
      </c>
      <c r="AM1575">
        <v>1807</v>
      </c>
      <c r="AN1575">
        <v>310.55</v>
      </c>
      <c r="AQ1575" t="s">
        <v>15899</v>
      </c>
      <c r="AR1575" t="s">
        <v>15899</v>
      </c>
      <c r="AS1575" t="s">
        <v>15899</v>
      </c>
      <c r="AU1575" t="s">
        <v>396</v>
      </c>
      <c r="AV1575">
        <v>2017</v>
      </c>
      <c r="AW1575" t="str">
        <f>"37-2N-28-209T-0122-0000 "</f>
        <v xml:space="preserve">37-2N-28-209T-0122-0000 </v>
      </c>
      <c r="AX1575">
        <v>96122</v>
      </c>
      <c r="AZ1575" t="s">
        <v>15893</v>
      </c>
      <c r="BA1575" t="s">
        <v>866</v>
      </c>
      <c r="BD1575" t="s">
        <v>11749</v>
      </c>
      <c r="BE1575" t="s">
        <v>393</v>
      </c>
      <c r="BF1575">
        <v>32034</v>
      </c>
      <c r="BG1575" t="s">
        <v>15900</v>
      </c>
      <c r="BH1575" t="s">
        <v>11751</v>
      </c>
      <c r="BI1575">
        <v>-81.494230192484494</v>
      </c>
      <c r="BJ1575">
        <v>30.621382183420899</v>
      </c>
      <c r="BK1575" t="s">
        <v>15895</v>
      </c>
      <c r="BM1575" t="s">
        <v>15896</v>
      </c>
      <c r="BN1575" t="s">
        <v>15897</v>
      </c>
      <c r="BO1575">
        <v>1267</v>
      </c>
      <c r="BP1575" t="s">
        <v>404</v>
      </c>
      <c r="BQ1575">
        <v>499</v>
      </c>
      <c r="BR1575" t="s">
        <v>15097</v>
      </c>
      <c r="BS1575">
        <v>1004</v>
      </c>
      <c r="BT1575" t="s">
        <v>15098</v>
      </c>
      <c r="BW1575">
        <v>662635</v>
      </c>
      <c r="BX1575" t="s">
        <v>407</v>
      </c>
      <c r="CD1575">
        <v>2017</v>
      </c>
      <c r="CE1575">
        <v>18000</v>
      </c>
      <c r="CG1575">
        <v>18000</v>
      </c>
      <c r="CH1575">
        <v>2017</v>
      </c>
      <c r="CI1575">
        <v>18000</v>
      </c>
      <c r="CK1575">
        <v>18000</v>
      </c>
      <c r="CL1575">
        <v>2017</v>
      </c>
      <c r="CM1575">
        <v>257.56</v>
      </c>
      <c r="CN1575" s="1">
        <v>41541</v>
      </c>
      <c r="CO1575">
        <v>463500</v>
      </c>
      <c r="CZ1575" s="1">
        <v>41541</v>
      </c>
      <c r="DD1575" t="s">
        <v>11749</v>
      </c>
      <c r="DG1575">
        <v>37</v>
      </c>
      <c r="DL1575">
        <v>50303</v>
      </c>
      <c r="DM1575" t="s">
        <v>15864</v>
      </c>
      <c r="DO1575" t="s">
        <v>15901</v>
      </c>
      <c r="DP1575">
        <v>0</v>
      </c>
      <c r="DQ1575">
        <v>0</v>
      </c>
      <c r="DR1575" t="s">
        <v>411</v>
      </c>
    </row>
    <row r="1576" spans="1:261" x14ac:dyDescent="0.25">
      <c r="A1576">
        <v>16486583</v>
      </c>
      <c r="B1576">
        <v>1575</v>
      </c>
      <c r="C1576" t="s">
        <v>393</v>
      </c>
      <c r="D1576" t="s">
        <v>394</v>
      </c>
      <c r="F1576" t="str">
        <f>"37-2N-28-209T-0123-0000"</f>
        <v>37-2N-28-209T-0123-0000</v>
      </c>
      <c r="H1576" t="str">
        <f t="shared" si="565"/>
        <v>TUSCANY PRESERVE LLC</v>
      </c>
      <c r="I1576" t="str">
        <f t="shared" si="566"/>
        <v>665 SIMONDS RD</v>
      </c>
      <c r="J1576" t="str">
        <f t="shared" si="567"/>
        <v>WILLIAMSTOWN MA 01267</v>
      </c>
      <c r="K1576" t="str">
        <f>"96123 TUSCANY WAY"</f>
        <v>96123 TUSCANY WAY</v>
      </c>
      <c r="L1576" t="str">
        <f t="shared" si="554"/>
        <v>FERNANDINA BEACH FL 32034</v>
      </c>
      <c r="M1576" t="str">
        <f>"UNIT 123 PT OR 1881/181 NOT DEVELOPED/VACANT THE TUSCANY CONDO OR 1398/1500"</f>
        <v>UNIT 123 PT OR 1881/181 NOT DEVELOPED/VACANT THE TUSCANY CONDO OR 1398/1500</v>
      </c>
      <c r="N1576" t="str">
        <f>""</f>
        <v/>
      </c>
      <c r="O1576" t="str">
        <f>"43605"</f>
        <v>43605</v>
      </c>
      <c r="P1576" t="str">
        <f t="shared" si="548"/>
        <v>2017</v>
      </c>
      <c r="Q1576" t="str">
        <f>""</f>
        <v/>
      </c>
      <c r="R1576" t="str">
        <f t="shared" si="562"/>
        <v>N</v>
      </c>
      <c r="S1576" t="str">
        <f>""</f>
        <v/>
      </c>
      <c r="T1576" t="str">
        <f t="shared" si="568"/>
        <v>257.56</v>
      </c>
      <c r="U1576" t="str">
        <f t="shared" si="569"/>
        <v>15972.00</v>
      </c>
      <c r="V1576" t="str">
        <f t="shared" si="569"/>
        <v>15972.00</v>
      </c>
      <c r="W1576" t="str">
        <f t="shared" si="549"/>
        <v>2017</v>
      </c>
      <c r="X1576" t="str">
        <f>""</f>
        <v/>
      </c>
      <c r="Y1576" t="str">
        <f t="shared" si="570"/>
        <v>297.29</v>
      </c>
      <c r="Z1576" t="str">
        <f>""</f>
        <v/>
      </c>
      <c r="AA1576" t="str">
        <f t="shared" si="571"/>
        <v>18000.00</v>
      </c>
      <c r="AB1576" t="str">
        <f t="shared" si="563"/>
        <v>Residential</v>
      </c>
      <c r="AC1576" t="str">
        <f t="shared" si="558"/>
        <v>0</v>
      </c>
      <c r="AD1576" t="str">
        <f>""</f>
        <v/>
      </c>
      <c r="AE1576" t="str">
        <f>""</f>
        <v/>
      </c>
      <c r="AF1576" t="str">
        <f t="shared" si="572"/>
        <v>004</v>
      </c>
      <c r="AG1576" t="str">
        <f t="shared" si="573"/>
        <v>MA</v>
      </c>
      <c r="AH1576" t="str">
        <f t="shared" si="564"/>
        <v>-</v>
      </c>
      <c r="AI1576" t="str">
        <f t="shared" si="574"/>
        <v>18000.00</v>
      </c>
      <c r="AJ1576" t="str">
        <f>"C55-001-011-3493-0"</f>
        <v>C55-001-011-3493-0</v>
      </c>
      <c r="AK1576" t="str">
        <f>"28632"</f>
        <v>28632</v>
      </c>
      <c r="AL1576">
        <v>6</v>
      </c>
      <c r="AM1576">
        <v>1808</v>
      </c>
      <c r="AN1576">
        <v>310.55</v>
      </c>
      <c r="AQ1576" t="s">
        <v>15902</v>
      </c>
      <c r="AR1576" t="s">
        <v>15902</v>
      </c>
      <c r="AS1576" t="s">
        <v>15902</v>
      </c>
      <c r="AU1576" t="s">
        <v>396</v>
      </c>
      <c r="AV1576">
        <v>2017</v>
      </c>
      <c r="AW1576" t="str">
        <f>"37-2N-28-209T-0123-0000 "</f>
        <v xml:space="preserve">37-2N-28-209T-0123-0000 </v>
      </c>
      <c r="AX1576">
        <v>96123</v>
      </c>
      <c r="AZ1576" t="s">
        <v>15893</v>
      </c>
      <c r="BA1576" t="s">
        <v>866</v>
      </c>
      <c r="BD1576" t="s">
        <v>11749</v>
      </c>
      <c r="BE1576" t="s">
        <v>393</v>
      </c>
      <c r="BF1576">
        <v>32034</v>
      </c>
      <c r="BG1576" t="s">
        <v>15903</v>
      </c>
      <c r="BH1576" t="s">
        <v>11751</v>
      </c>
      <c r="BI1576">
        <v>-81.494230192484494</v>
      </c>
      <c r="BJ1576">
        <v>30.621382183420899</v>
      </c>
      <c r="BK1576" t="s">
        <v>15895</v>
      </c>
      <c r="BM1576" t="s">
        <v>15896</v>
      </c>
      <c r="BN1576" t="s">
        <v>15897</v>
      </c>
      <c r="BO1576">
        <v>1267</v>
      </c>
      <c r="BP1576" t="s">
        <v>404</v>
      </c>
      <c r="BQ1576">
        <v>499</v>
      </c>
      <c r="BR1576" t="s">
        <v>15097</v>
      </c>
      <c r="BS1576">
        <v>1004</v>
      </c>
      <c r="BT1576" t="s">
        <v>15098</v>
      </c>
      <c r="BW1576">
        <v>662635</v>
      </c>
      <c r="BX1576" t="s">
        <v>407</v>
      </c>
      <c r="CD1576">
        <v>2017</v>
      </c>
      <c r="CE1576">
        <v>18000</v>
      </c>
      <c r="CG1576">
        <v>18000</v>
      </c>
      <c r="CH1576">
        <v>2017</v>
      </c>
      <c r="CI1576">
        <v>18000</v>
      </c>
      <c r="CK1576">
        <v>18000</v>
      </c>
      <c r="CL1576">
        <v>2017</v>
      </c>
      <c r="CM1576">
        <v>257.56</v>
      </c>
      <c r="CN1576" s="1">
        <v>41541</v>
      </c>
      <c r="CO1576">
        <v>463500</v>
      </c>
      <c r="CZ1576" s="1">
        <v>41541</v>
      </c>
      <c r="DD1576" t="s">
        <v>11749</v>
      </c>
      <c r="DG1576">
        <v>37</v>
      </c>
      <c r="DL1576">
        <v>50303</v>
      </c>
      <c r="DM1576" t="s">
        <v>15864</v>
      </c>
      <c r="DO1576" t="s">
        <v>15904</v>
      </c>
      <c r="DP1576">
        <v>0</v>
      </c>
      <c r="DQ1576">
        <v>0</v>
      </c>
      <c r="DR1576" t="s">
        <v>411</v>
      </c>
    </row>
    <row r="1577" spans="1:261" x14ac:dyDescent="0.25">
      <c r="A1577">
        <v>16486584</v>
      </c>
      <c r="B1577">
        <v>1576</v>
      </c>
      <c r="C1577" t="s">
        <v>393</v>
      </c>
      <c r="D1577" t="s">
        <v>394</v>
      </c>
      <c r="F1577" t="str">
        <f>"37-2N-28-209T-0124-0000"</f>
        <v>37-2N-28-209T-0124-0000</v>
      </c>
      <c r="H1577" t="str">
        <f t="shared" si="565"/>
        <v>TUSCANY PRESERVE LLC</v>
      </c>
      <c r="I1577" t="str">
        <f t="shared" si="566"/>
        <v>665 SIMONDS RD</v>
      </c>
      <c r="J1577" t="str">
        <f t="shared" si="567"/>
        <v>WILLIAMSTOWN MA 01267</v>
      </c>
      <c r="K1577" t="str">
        <f>"96124 TUSCANY WAY"</f>
        <v>96124 TUSCANY WAY</v>
      </c>
      <c r="L1577" t="str">
        <f t="shared" si="554"/>
        <v>FERNANDINA BEACH FL 32034</v>
      </c>
      <c r="M1577" t="str">
        <f>"UNIT 124 PT OR 1881/181 NOT DEVELOPED/VACANT THE TUSCANY CONDO OR 1398/1500"</f>
        <v>UNIT 124 PT OR 1881/181 NOT DEVELOPED/VACANT THE TUSCANY CONDO OR 1398/1500</v>
      </c>
      <c r="N1577" t="str">
        <f>""</f>
        <v/>
      </c>
      <c r="O1577" t="str">
        <f>"43606"</f>
        <v>43606</v>
      </c>
      <c r="P1577" t="str">
        <f t="shared" si="548"/>
        <v>2017</v>
      </c>
      <c r="Q1577" t="str">
        <f>""</f>
        <v/>
      </c>
      <c r="R1577" t="str">
        <f t="shared" si="562"/>
        <v>N</v>
      </c>
      <c r="S1577" t="str">
        <f>""</f>
        <v/>
      </c>
      <c r="T1577" t="str">
        <f t="shared" si="568"/>
        <v>257.56</v>
      </c>
      <c r="U1577" t="str">
        <f t="shared" si="569"/>
        <v>15972.00</v>
      </c>
      <c r="V1577" t="str">
        <f t="shared" si="569"/>
        <v>15972.00</v>
      </c>
      <c r="W1577" t="str">
        <f t="shared" si="549"/>
        <v>2017</v>
      </c>
      <c r="X1577" t="str">
        <f>""</f>
        <v/>
      </c>
      <c r="Y1577" t="str">
        <f t="shared" si="570"/>
        <v>297.29</v>
      </c>
      <c r="Z1577" t="str">
        <f>""</f>
        <v/>
      </c>
      <c r="AA1577" t="str">
        <f t="shared" si="571"/>
        <v>18000.00</v>
      </c>
      <c r="AB1577" t="str">
        <f t="shared" si="563"/>
        <v>Residential</v>
      </c>
      <c r="AC1577" t="str">
        <f t="shared" si="558"/>
        <v>0</v>
      </c>
      <c r="AD1577" t="str">
        <f>""</f>
        <v/>
      </c>
      <c r="AE1577" t="str">
        <f>""</f>
        <v/>
      </c>
      <c r="AF1577" t="str">
        <f t="shared" si="572"/>
        <v>004</v>
      </c>
      <c r="AG1577" t="str">
        <f t="shared" si="573"/>
        <v>MA</v>
      </c>
      <c r="AH1577" t="str">
        <f t="shared" si="564"/>
        <v>-</v>
      </c>
      <c r="AI1577" t="str">
        <f t="shared" si="574"/>
        <v>18000.00</v>
      </c>
      <c r="AJ1577" t="str">
        <f>"C55-001-011-3494-8"</f>
        <v>C55-001-011-3494-8</v>
      </c>
      <c r="AK1577" t="str">
        <f>"28633"</f>
        <v>28633</v>
      </c>
      <c r="AL1577">
        <v>6</v>
      </c>
      <c r="AM1577">
        <v>1809</v>
      </c>
      <c r="AN1577">
        <v>310.55</v>
      </c>
      <c r="AQ1577" t="s">
        <v>15905</v>
      </c>
      <c r="AR1577" t="s">
        <v>15905</v>
      </c>
      <c r="AS1577" t="s">
        <v>15905</v>
      </c>
      <c r="AU1577" t="s">
        <v>396</v>
      </c>
      <c r="AV1577">
        <v>2017</v>
      </c>
      <c r="AW1577" t="str">
        <f>"37-2N-28-209T-0124-0000 "</f>
        <v xml:space="preserve">37-2N-28-209T-0124-0000 </v>
      </c>
      <c r="AX1577">
        <v>96124</v>
      </c>
      <c r="AZ1577" t="s">
        <v>15893</v>
      </c>
      <c r="BA1577" t="s">
        <v>866</v>
      </c>
      <c r="BD1577" t="s">
        <v>11749</v>
      </c>
      <c r="BE1577" t="s">
        <v>393</v>
      </c>
      <c r="BF1577">
        <v>32034</v>
      </c>
      <c r="BG1577" t="s">
        <v>15906</v>
      </c>
      <c r="BH1577" t="s">
        <v>11751</v>
      </c>
      <c r="BI1577">
        <v>-81.494230192484494</v>
      </c>
      <c r="BJ1577">
        <v>30.621382183420899</v>
      </c>
      <c r="BK1577" t="s">
        <v>15895</v>
      </c>
      <c r="BM1577" t="s">
        <v>15896</v>
      </c>
      <c r="BN1577" t="s">
        <v>15897</v>
      </c>
      <c r="BO1577">
        <v>1267</v>
      </c>
      <c r="BP1577" t="s">
        <v>404</v>
      </c>
      <c r="BQ1577">
        <v>499</v>
      </c>
      <c r="BR1577" t="s">
        <v>15097</v>
      </c>
      <c r="BS1577">
        <v>1004</v>
      </c>
      <c r="BT1577" t="s">
        <v>15098</v>
      </c>
      <c r="BW1577">
        <v>662635</v>
      </c>
      <c r="BX1577" t="s">
        <v>407</v>
      </c>
      <c r="CD1577">
        <v>2017</v>
      </c>
      <c r="CE1577">
        <v>18000</v>
      </c>
      <c r="CG1577">
        <v>18000</v>
      </c>
      <c r="CH1577">
        <v>2017</v>
      </c>
      <c r="CI1577">
        <v>18000</v>
      </c>
      <c r="CK1577">
        <v>18000</v>
      </c>
      <c r="CL1577">
        <v>2017</v>
      </c>
      <c r="CM1577">
        <v>257.56</v>
      </c>
      <c r="CN1577" s="1">
        <v>41541</v>
      </c>
      <c r="CO1577">
        <v>463500</v>
      </c>
      <c r="CZ1577" s="1">
        <v>41541</v>
      </c>
      <c r="DD1577" t="s">
        <v>11749</v>
      </c>
      <c r="DG1577">
        <v>37</v>
      </c>
      <c r="DL1577">
        <v>50303</v>
      </c>
      <c r="DM1577" t="s">
        <v>15864</v>
      </c>
      <c r="DO1577" t="s">
        <v>15907</v>
      </c>
      <c r="DP1577">
        <v>0</v>
      </c>
      <c r="DQ1577">
        <v>0</v>
      </c>
      <c r="DR1577" t="s">
        <v>411</v>
      </c>
    </row>
    <row r="1578" spans="1:261" x14ac:dyDescent="0.25">
      <c r="A1578">
        <v>16486585</v>
      </c>
      <c r="B1578">
        <v>1577</v>
      </c>
      <c r="C1578" t="s">
        <v>393</v>
      </c>
      <c r="D1578" t="s">
        <v>394</v>
      </c>
      <c r="F1578" t="str">
        <f>"37-2N-28-209T-0131-0000"</f>
        <v>37-2N-28-209T-0131-0000</v>
      </c>
      <c r="H1578" t="str">
        <f t="shared" si="565"/>
        <v>TUSCANY PRESERVE LLC</v>
      </c>
      <c r="I1578" t="str">
        <f t="shared" si="566"/>
        <v>665 SIMONDS RD</v>
      </c>
      <c r="J1578" t="str">
        <f t="shared" si="567"/>
        <v>WILLIAMSTOWN MA 01267</v>
      </c>
      <c r="K1578" t="str">
        <f>"96131 TUSCANY WAY"</f>
        <v>96131 TUSCANY WAY</v>
      </c>
      <c r="L1578" t="str">
        <f t="shared" si="554"/>
        <v>FERNANDINA BEACH FL 32034</v>
      </c>
      <c r="M1578" t="str">
        <f>"UNIT 131 PT OR 1881/181 NOT DEVELOPED/VACANT THE TUSCANY CONDO OR 1398/1500"</f>
        <v>UNIT 131 PT OR 1881/181 NOT DEVELOPED/VACANT THE TUSCANY CONDO OR 1398/1500</v>
      </c>
      <c r="N1578" t="str">
        <f>""</f>
        <v/>
      </c>
      <c r="O1578" t="str">
        <f>"43607"</f>
        <v>43607</v>
      </c>
      <c r="P1578" t="str">
        <f t="shared" si="548"/>
        <v>2017</v>
      </c>
      <c r="Q1578" t="str">
        <f>""</f>
        <v/>
      </c>
      <c r="R1578" t="str">
        <f t="shared" si="562"/>
        <v>N</v>
      </c>
      <c r="S1578" t="str">
        <f>""</f>
        <v/>
      </c>
      <c r="T1578" t="str">
        <f t="shared" si="568"/>
        <v>257.56</v>
      </c>
      <c r="U1578" t="str">
        <f t="shared" si="569"/>
        <v>15972.00</v>
      </c>
      <c r="V1578" t="str">
        <f t="shared" si="569"/>
        <v>15972.00</v>
      </c>
      <c r="W1578" t="str">
        <f t="shared" si="549"/>
        <v>2017</v>
      </c>
      <c r="X1578" t="str">
        <f>""</f>
        <v/>
      </c>
      <c r="Y1578" t="str">
        <f t="shared" si="570"/>
        <v>297.29</v>
      </c>
      <c r="Z1578" t="str">
        <f>""</f>
        <v/>
      </c>
      <c r="AA1578" t="str">
        <f t="shared" si="571"/>
        <v>18000.00</v>
      </c>
      <c r="AB1578" t="str">
        <f t="shared" si="563"/>
        <v>Residential</v>
      </c>
      <c r="AC1578" t="str">
        <f t="shared" si="558"/>
        <v>0</v>
      </c>
      <c r="AD1578" t="str">
        <f>""</f>
        <v/>
      </c>
      <c r="AE1578" t="str">
        <f>""</f>
        <v/>
      </c>
      <c r="AF1578" t="str">
        <f t="shared" si="572"/>
        <v>004</v>
      </c>
      <c r="AG1578" t="str">
        <f t="shared" si="573"/>
        <v>MA</v>
      </c>
      <c r="AH1578" t="str">
        <f t="shared" si="564"/>
        <v>-</v>
      </c>
      <c r="AI1578" t="str">
        <f t="shared" si="574"/>
        <v>18000.00</v>
      </c>
      <c r="AJ1578" t="str">
        <f>"C55-001-011-3495-5"</f>
        <v>C55-001-011-3495-5</v>
      </c>
      <c r="AK1578" t="str">
        <f>"28634"</f>
        <v>28634</v>
      </c>
      <c r="AL1578">
        <v>6</v>
      </c>
      <c r="AM1578">
        <v>1810</v>
      </c>
      <c r="AN1578">
        <v>310.55</v>
      </c>
      <c r="AQ1578" t="s">
        <v>15908</v>
      </c>
      <c r="AR1578" t="s">
        <v>15908</v>
      </c>
      <c r="AS1578" t="s">
        <v>15908</v>
      </c>
      <c r="AU1578" t="s">
        <v>396</v>
      </c>
      <c r="AV1578">
        <v>2017</v>
      </c>
      <c r="AW1578" t="str">
        <f>"37-2N-28-209T-0131-0000 "</f>
        <v xml:space="preserve">37-2N-28-209T-0131-0000 </v>
      </c>
      <c r="AX1578">
        <v>96131</v>
      </c>
      <c r="AZ1578" t="s">
        <v>15893</v>
      </c>
      <c r="BA1578" t="s">
        <v>866</v>
      </c>
      <c r="BD1578" t="s">
        <v>11749</v>
      </c>
      <c r="BE1578" t="s">
        <v>393</v>
      </c>
      <c r="BF1578">
        <v>32034</v>
      </c>
      <c r="BG1578" t="s">
        <v>15909</v>
      </c>
      <c r="BH1578" t="s">
        <v>11751</v>
      </c>
      <c r="BI1578">
        <v>-81.494230192484494</v>
      </c>
      <c r="BJ1578">
        <v>30.621382183420899</v>
      </c>
      <c r="BK1578" t="s">
        <v>15895</v>
      </c>
      <c r="BM1578" t="s">
        <v>15896</v>
      </c>
      <c r="BN1578" t="s">
        <v>15897</v>
      </c>
      <c r="BO1578">
        <v>1267</v>
      </c>
      <c r="BP1578" t="s">
        <v>404</v>
      </c>
      <c r="BQ1578">
        <v>499</v>
      </c>
      <c r="BR1578" t="s">
        <v>15097</v>
      </c>
      <c r="BS1578">
        <v>1004</v>
      </c>
      <c r="BT1578" t="s">
        <v>15098</v>
      </c>
      <c r="BW1578">
        <v>662635</v>
      </c>
      <c r="BX1578" t="s">
        <v>407</v>
      </c>
      <c r="CD1578">
        <v>2017</v>
      </c>
      <c r="CE1578">
        <v>18000</v>
      </c>
      <c r="CG1578">
        <v>18000</v>
      </c>
      <c r="CH1578">
        <v>2017</v>
      </c>
      <c r="CI1578">
        <v>18000</v>
      </c>
      <c r="CK1578">
        <v>18000</v>
      </c>
      <c r="CL1578">
        <v>2017</v>
      </c>
      <c r="CM1578">
        <v>257.56</v>
      </c>
      <c r="CN1578" s="1">
        <v>41541</v>
      </c>
      <c r="CO1578">
        <v>463500</v>
      </c>
      <c r="CZ1578" s="1">
        <v>41541</v>
      </c>
      <c r="DD1578" t="s">
        <v>11749</v>
      </c>
      <c r="DG1578">
        <v>37</v>
      </c>
      <c r="DL1578">
        <v>50303</v>
      </c>
      <c r="DM1578" t="s">
        <v>15864</v>
      </c>
      <c r="DO1578" t="s">
        <v>15910</v>
      </c>
      <c r="DP1578">
        <v>0</v>
      </c>
      <c r="DQ1578">
        <v>0</v>
      </c>
      <c r="DR1578" t="s">
        <v>411</v>
      </c>
    </row>
    <row r="1579" spans="1:261" x14ac:dyDescent="0.25">
      <c r="A1579">
        <v>16486586</v>
      </c>
      <c r="B1579">
        <v>1578</v>
      </c>
      <c r="C1579" t="s">
        <v>393</v>
      </c>
      <c r="D1579" t="s">
        <v>394</v>
      </c>
      <c r="F1579" t="str">
        <f>"37-2N-28-209T-0132-0000"</f>
        <v>37-2N-28-209T-0132-0000</v>
      </c>
      <c r="H1579" t="str">
        <f t="shared" si="565"/>
        <v>TUSCANY PRESERVE LLC</v>
      </c>
      <c r="I1579" t="str">
        <f t="shared" si="566"/>
        <v>665 SIMONDS RD</v>
      </c>
      <c r="J1579" t="str">
        <f t="shared" si="567"/>
        <v>WILLIAMSTOWN MA 01267</v>
      </c>
      <c r="K1579" t="str">
        <f>"96132 TUSCANY WAY"</f>
        <v>96132 TUSCANY WAY</v>
      </c>
      <c r="L1579" t="str">
        <f t="shared" si="554"/>
        <v>FERNANDINA BEACH FL 32034</v>
      </c>
      <c r="M1579" t="str">
        <f>"UNIT 132 PT OR 1881/181 NOT DEVELOPED/VACANT THE TUSCANY CONDO OR 1398/1500"</f>
        <v>UNIT 132 PT OR 1881/181 NOT DEVELOPED/VACANT THE TUSCANY CONDO OR 1398/1500</v>
      </c>
      <c r="N1579" t="str">
        <f>""</f>
        <v/>
      </c>
      <c r="O1579" t="str">
        <f>"43608"</f>
        <v>43608</v>
      </c>
      <c r="P1579" t="str">
        <f t="shared" si="548"/>
        <v>2017</v>
      </c>
      <c r="Q1579" t="str">
        <f>""</f>
        <v/>
      </c>
      <c r="R1579" t="str">
        <f t="shared" si="562"/>
        <v>N</v>
      </c>
      <c r="S1579" t="str">
        <f>""</f>
        <v/>
      </c>
      <c r="T1579" t="str">
        <f t="shared" si="568"/>
        <v>257.56</v>
      </c>
      <c r="U1579" t="str">
        <f t="shared" si="569"/>
        <v>15972.00</v>
      </c>
      <c r="V1579" t="str">
        <f t="shared" si="569"/>
        <v>15972.00</v>
      </c>
      <c r="W1579" t="str">
        <f t="shared" si="549"/>
        <v>2017</v>
      </c>
      <c r="X1579" t="str">
        <f>""</f>
        <v/>
      </c>
      <c r="Y1579" t="str">
        <f t="shared" si="570"/>
        <v>297.29</v>
      </c>
      <c r="Z1579" t="str">
        <f>""</f>
        <v/>
      </c>
      <c r="AA1579" t="str">
        <f t="shared" si="571"/>
        <v>18000.00</v>
      </c>
      <c r="AB1579" t="str">
        <f t="shared" si="563"/>
        <v>Residential</v>
      </c>
      <c r="AC1579" t="str">
        <f t="shared" si="558"/>
        <v>0</v>
      </c>
      <c r="AD1579" t="str">
        <f>""</f>
        <v/>
      </c>
      <c r="AE1579" t="str">
        <f>""</f>
        <v/>
      </c>
      <c r="AF1579" t="str">
        <f t="shared" si="572"/>
        <v>004</v>
      </c>
      <c r="AG1579" t="str">
        <f t="shared" si="573"/>
        <v>MA</v>
      </c>
      <c r="AH1579" t="str">
        <f t="shared" si="564"/>
        <v>-</v>
      </c>
      <c r="AI1579" t="str">
        <f t="shared" si="574"/>
        <v>18000.00</v>
      </c>
      <c r="AJ1579" t="str">
        <f>"C55-001-011-3496-3"</f>
        <v>C55-001-011-3496-3</v>
      </c>
      <c r="AK1579" t="str">
        <f>"28635"</f>
        <v>28635</v>
      </c>
      <c r="AL1579">
        <v>6</v>
      </c>
      <c r="AM1579">
        <v>1811</v>
      </c>
      <c r="AN1579">
        <v>310.55</v>
      </c>
      <c r="AQ1579" t="s">
        <v>15911</v>
      </c>
      <c r="AR1579" t="s">
        <v>15911</v>
      </c>
      <c r="AS1579" t="s">
        <v>15911</v>
      </c>
      <c r="AU1579" t="s">
        <v>396</v>
      </c>
      <c r="AV1579">
        <v>2017</v>
      </c>
      <c r="AW1579" t="str">
        <f>"37-2N-28-209T-0132-0000 "</f>
        <v xml:space="preserve">37-2N-28-209T-0132-0000 </v>
      </c>
      <c r="AX1579">
        <v>96132</v>
      </c>
      <c r="AZ1579" t="s">
        <v>15893</v>
      </c>
      <c r="BA1579" t="s">
        <v>866</v>
      </c>
      <c r="BD1579" t="s">
        <v>11749</v>
      </c>
      <c r="BE1579" t="s">
        <v>393</v>
      </c>
      <c r="BF1579">
        <v>32034</v>
      </c>
      <c r="BG1579" t="s">
        <v>15912</v>
      </c>
      <c r="BH1579" t="s">
        <v>11751</v>
      </c>
      <c r="BI1579">
        <v>-81.494230192484494</v>
      </c>
      <c r="BJ1579">
        <v>30.621382183420899</v>
      </c>
      <c r="BK1579" t="s">
        <v>15895</v>
      </c>
      <c r="BM1579" t="s">
        <v>15896</v>
      </c>
      <c r="BN1579" t="s">
        <v>15897</v>
      </c>
      <c r="BO1579">
        <v>1267</v>
      </c>
      <c r="BP1579" t="s">
        <v>404</v>
      </c>
      <c r="BQ1579">
        <v>499</v>
      </c>
      <c r="BR1579" t="s">
        <v>15097</v>
      </c>
      <c r="BS1579">
        <v>1004</v>
      </c>
      <c r="BT1579" t="s">
        <v>15098</v>
      </c>
      <c r="BW1579">
        <v>662635</v>
      </c>
      <c r="BX1579" t="s">
        <v>407</v>
      </c>
      <c r="CD1579">
        <v>2017</v>
      </c>
      <c r="CE1579">
        <v>18000</v>
      </c>
      <c r="CG1579">
        <v>18000</v>
      </c>
      <c r="CH1579">
        <v>2017</v>
      </c>
      <c r="CI1579">
        <v>18000</v>
      </c>
      <c r="CK1579">
        <v>18000</v>
      </c>
      <c r="CL1579">
        <v>2017</v>
      </c>
      <c r="CM1579">
        <v>257.56</v>
      </c>
      <c r="CN1579" s="1">
        <v>41541</v>
      </c>
      <c r="CO1579">
        <v>463500</v>
      </c>
      <c r="CZ1579" s="1">
        <v>41541</v>
      </c>
      <c r="DD1579" t="s">
        <v>11749</v>
      </c>
      <c r="DG1579">
        <v>37</v>
      </c>
      <c r="DL1579">
        <v>50303</v>
      </c>
      <c r="DM1579" t="s">
        <v>15864</v>
      </c>
      <c r="DO1579" t="s">
        <v>15913</v>
      </c>
      <c r="DP1579">
        <v>0</v>
      </c>
      <c r="DQ1579">
        <v>0</v>
      </c>
      <c r="DR1579" t="s">
        <v>411</v>
      </c>
    </row>
    <row r="1580" spans="1:261" x14ac:dyDescent="0.25">
      <c r="A1580">
        <v>16486587</v>
      </c>
      <c r="B1580">
        <v>1579</v>
      </c>
      <c r="C1580" t="s">
        <v>393</v>
      </c>
      <c r="D1580" t="s">
        <v>394</v>
      </c>
      <c r="F1580" t="str">
        <f>"37-2N-28-209T-0133-0000"</f>
        <v>37-2N-28-209T-0133-0000</v>
      </c>
      <c r="H1580" t="str">
        <f t="shared" si="565"/>
        <v>TUSCANY PRESERVE LLC</v>
      </c>
      <c r="I1580" t="str">
        <f t="shared" si="566"/>
        <v>665 SIMONDS RD</v>
      </c>
      <c r="J1580" t="str">
        <f t="shared" si="567"/>
        <v>WILLIAMSTOWN MA 01267</v>
      </c>
      <c r="K1580" t="str">
        <f>"96133 TUSCANY WAY"</f>
        <v>96133 TUSCANY WAY</v>
      </c>
      <c r="L1580" t="str">
        <f t="shared" ref="L1580:L1611" si="575">"FERNANDINA BEACH FL 32034"</f>
        <v>FERNANDINA BEACH FL 32034</v>
      </c>
      <c r="M1580" t="str">
        <f>"UNIT 133 PT OR 1881/181 NOT DEVELOPED/VACANT THE TUSCANY CONDO OR 1398/1500"</f>
        <v>UNIT 133 PT OR 1881/181 NOT DEVELOPED/VACANT THE TUSCANY CONDO OR 1398/1500</v>
      </c>
      <c r="N1580" t="str">
        <f>""</f>
        <v/>
      </c>
      <c r="O1580" t="str">
        <f>"43609"</f>
        <v>43609</v>
      </c>
      <c r="P1580" t="str">
        <f t="shared" si="548"/>
        <v>2017</v>
      </c>
      <c r="Q1580" t="str">
        <f>""</f>
        <v/>
      </c>
      <c r="R1580" t="str">
        <f t="shared" si="562"/>
        <v>N</v>
      </c>
      <c r="S1580" t="str">
        <f>""</f>
        <v/>
      </c>
      <c r="T1580" t="str">
        <f t="shared" si="568"/>
        <v>257.56</v>
      </c>
      <c r="U1580" t="str">
        <f t="shared" si="569"/>
        <v>15972.00</v>
      </c>
      <c r="V1580" t="str">
        <f t="shared" si="569"/>
        <v>15972.00</v>
      </c>
      <c r="W1580" t="str">
        <f t="shared" si="549"/>
        <v>2017</v>
      </c>
      <c r="X1580" t="str">
        <f>""</f>
        <v/>
      </c>
      <c r="Y1580" t="str">
        <f t="shared" si="570"/>
        <v>297.29</v>
      </c>
      <c r="Z1580" t="str">
        <f>""</f>
        <v/>
      </c>
      <c r="AA1580" t="str">
        <f t="shared" si="571"/>
        <v>18000.00</v>
      </c>
      <c r="AB1580" t="str">
        <f t="shared" si="563"/>
        <v>Residential</v>
      </c>
      <c r="AC1580" t="str">
        <f t="shared" si="558"/>
        <v>0</v>
      </c>
      <c r="AD1580" t="str">
        <f>""</f>
        <v/>
      </c>
      <c r="AE1580" t="str">
        <f>""</f>
        <v/>
      </c>
      <c r="AF1580" t="str">
        <f t="shared" si="572"/>
        <v>004</v>
      </c>
      <c r="AG1580" t="str">
        <f t="shared" si="573"/>
        <v>MA</v>
      </c>
      <c r="AH1580" t="str">
        <f t="shared" si="564"/>
        <v>-</v>
      </c>
      <c r="AI1580" t="str">
        <f t="shared" si="574"/>
        <v>18000.00</v>
      </c>
      <c r="AJ1580" t="str">
        <f>"C55-001-011-3497-1"</f>
        <v>C55-001-011-3497-1</v>
      </c>
      <c r="AK1580" t="str">
        <f>"28636"</f>
        <v>28636</v>
      </c>
      <c r="AL1580">
        <v>6</v>
      </c>
      <c r="AM1580">
        <v>1812</v>
      </c>
      <c r="AN1580">
        <v>310.55</v>
      </c>
      <c r="AQ1580" t="s">
        <v>15914</v>
      </c>
      <c r="AR1580" t="s">
        <v>15914</v>
      </c>
      <c r="AS1580" t="s">
        <v>15914</v>
      </c>
      <c r="AU1580" t="s">
        <v>396</v>
      </c>
      <c r="AV1580">
        <v>2017</v>
      </c>
      <c r="AW1580" t="str">
        <f>"37-2N-28-209T-0133-0000 "</f>
        <v xml:space="preserve">37-2N-28-209T-0133-0000 </v>
      </c>
      <c r="AX1580">
        <v>96133</v>
      </c>
      <c r="AZ1580" t="s">
        <v>15893</v>
      </c>
      <c r="BA1580" t="s">
        <v>866</v>
      </c>
      <c r="BD1580" t="s">
        <v>11749</v>
      </c>
      <c r="BE1580" t="s">
        <v>393</v>
      </c>
      <c r="BF1580">
        <v>32034</v>
      </c>
      <c r="BG1580" t="s">
        <v>15915</v>
      </c>
      <c r="BH1580" t="s">
        <v>11751</v>
      </c>
      <c r="BI1580">
        <v>-81.494230192484494</v>
      </c>
      <c r="BJ1580">
        <v>30.621382183420899</v>
      </c>
      <c r="BK1580" t="s">
        <v>15895</v>
      </c>
      <c r="BM1580" t="s">
        <v>15896</v>
      </c>
      <c r="BN1580" t="s">
        <v>15897</v>
      </c>
      <c r="BO1580">
        <v>1267</v>
      </c>
      <c r="BP1580" t="s">
        <v>404</v>
      </c>
      <c r="BQ1580">
        <v>499</v>
      </c>
      <c r="BR1580" t="s">
        <v>15097</v>
      </c>
      <c r="BS1580">
        <v>1004</v>
      </c>
      <c r="BT1580" t="s">
        <v>15098</v>
      </c>
      <c r="BW1580">
        <v>662635</v>
      </c>
      <c r="BX1580" t="s">
        <v>407</v>
      </c>
      <c r="CD1580">
        <v>2017</v>
      </c>
      <c r="CE1580">
        <v>18000</v>
      </c>
      <c r="CG1580">
        <v>18000</v>
      </c>
      <c r="CH1580">
        <v>2017</v>
      </c>
      <c r="CI1580">
        <v>18000</v>
      </c>
      <c r="CK1580">
        <v>18000</v>
      </c>
      <c r="CL1580">
        <v>2017</v>
      </c>
      <c r="CM1580">
        <v>257.56</v>
      </c>
      <c r="CN1580" s="1">
        <v>41541</v>
      </c>
      <c r="CO1580">
        <v>463500</v>
      </c>
      <c r="CZ1580" s="1">
        <v>41541</v>
      </c>
      <c r="DD1580" t="s">
        <v>11749</v>
      </c>
      <c r="DG1580">
        <v>37</v>
      </c>
      <c r="DL1580">
        <v>50303</v>
      </c>
      <c r="DM1580" t="s">
        <v>15864</v>
      </c>
      <c r="DO1580" t="s">
        <v>15916</v>
      </c>
      <c r="DP1580">
        <v>0</v>
      </c>
      <c r="DQ1580">
        <v>0</v>
      </c>
      <c r="DR1580" t="s">
        <v>411</v>
      </c>
    </row>
    <row r="1581" spans="1:261" x14ac:dyDescent="0.25">
      <c r="A1581">
        <v>16486588</v>
      </c>
      <c r="B1581">
        <v>1580</v>
      </c>
      <c r="C1581" t="s">
        <v>393</v>
      </c>
      <c r="D1581" t="s">
        <v>394</v>
      </c>
      <c r="F1581" t="str">
        <f>"37-2N-28-209T-0134-0000"</f>
        <v>37-2N-28-209T-0134-0000</v>
      </c>
      <c r="H1581" t="str">
        <f t="shared" si="565"/>
        <v>TUSCANY PRESERVE LLC</v>
      </c>
      <c r="I1581" t="str">
        <f t="shared" si="566"/>
        <v>665 SIMONDS RD</v>
      </c>
      <c r="J1581" t="str">
        <f t="shared" si="567"/>
        <v>WILLIAMSTOWN MA 01267</v>
      </c>
      <c r="K1581" t="str">
        <f>"96134 TUSCANY WAY"</f>
        <v>96134 TUSCANY WAY</v>
      </c>
      <c r="L1581" t="str">
        <f t="shared" si="575"/>
        <v>FERNANDINA BEACH FL 32034</v>
      </c>
      <c r="M1581" t="str">
        <f>"UNIT 134 PT OR 1881/181 NOT DEVELOPED/VACANT THE TUSCANY CONDO OR 1398/1500"</f>
        <v>UNIT 134 PT OR 1881/181 NOT DEVELOPED/VACANT THE TUSCANY CONDO OR 1398/1500</v>
      </c>
      <c r="N1581" t="str">
        <f>""</f>
        <v/>
      </c>
      <c r="O1581" t="str">
        <f>"43610"</f>
        <v>43610</v>
      </c>
      <c r="P1581" t="str">
        <f t="shared" si="548"/>
        <v>2017</v>
      </c>
      <c r="Q1581" t="str">
        <f>""</f>
        <v/>
      </c>
      <c r="R1581" t="str">
        <f t="shared" si="562"/>
        <v>N</v>
      </c>
      <c r="S1581" t="str">
        <f>""</f>
        <v/>
      </c>
      <c r="T1581" t="str">
        <f t="shared" si="568"/>
        <v>257.56</v>
      </c>
      <c r="U1581" t="str">
        <f t="shared" si="569"/>
        <v>15972.00</v>
      </c>
      <c r="V1581" t="str">
        <f t="shared" si="569"/>
        <v>15972.00</v>
      </c>
      <c r="W1581" t="str">
        <f t="shared" si="549"/>
        <v>2017</v>
      </c>
      <c r="X1581" t="str">
        <f>""</f>
        <v/>
      </c>
      <c r="Y1581" t="str">
        <f t="shared" si="570"/>
        <v>297.29</v>
      </c>
      <c r="Z1581" t="str">
        <f>""</f>
        <v/>
      </c>
      <c r="AA1581" t="str">
        <f t="shared" si="571"/>
        <v>18000.00</v>
      </c>
      <c r="AB1581" t="str">
        <f t="shared" si="563"/>
        <v>Residential</v>
      </c>
      <c r="AC1581" t="str">
        <f t="shared" si="558"/>
        <v>0</v>
      </c>
      <c r="AD1581" t="str">
        <f>""</f>
        <v/>
      </c>
      <c r="AE1581" t="str">
        <f>""</f>
        <v/>
      </c>
      <c r="AF1581" t="str">
        <f t="shared" si="572"/>
        <v>004</v>
      </c>
      <c r="AG1581" t="str">
        <f t="shared" si="573"/>
        <v>MA</v>
      </c>
      <c r="AH1581" t="str">
        <f t="shared" si="564"/>
        <v>-</v>
      </c>
      <c r="AI1581" t="str">
        <f t="shared" si="574"/>
        <v>18000.00</v>
      </c>
      <c r="AJ1581" t="str">
        <f>"C55-001-011-3498-9"</f>
        <v>C55-001-011-3498-9</v>
      </c>
      <c r="AK1581" t="str">
        <f>"28637"</f>
        <v>28637</v>
      </c>
      <c r="AL1581">
        <v>6</v>
      </c>
      <c r="AM1581">
        <v>1813</v>
      </c>
      <c r="AN1581">
        <v>310.55</v>
      </c>
      <c r="AQ1581" t="s">
        <v>15917</v>
      </c>
      <c r="AR1581" t="s">
        <v>15917</v>
      </c>
      <c r="AS1581" t="s">
        <v>15917</v>
      </c>
      <c r="AU1581" t="s">
        <v>396</v>
      </c>
      <c r="AV1581">
        <v>2017</v>
      </c>
      <c r="AW1581" t="str">
        <f>"37-2N-28-209T-0134-0000 "</f>
        <v xml:space="preserve">37-2N-28-209T-0134-0000 </v>
      </c>
      <c r="AX1581">
        <v>96134</v>
      </c>
      <c r="AZ1581" t="s">
        <v>15893</v>
      </c>
      <c r="BA1581" t="s">
        <v>866</v>
      </c>
      <c r="BD1581" t="s">
        <v>11749</v>
      </c>
      <c r="BE1581" t="s">
        <v>393</v>
      </c>
      <c r="BF1581">
        <v>32034</v>
      </c>
      <c r="BG1581" t="s">
        <v>15918</v>
      </c>
      <c r="BH1581" t="s">
        <v>11751</v>
      </c>
      <c r="BI1581">
        <v>-81.494230192484494</v>
      </c>
      <c r="BJ1581">
        <v>30.621382183420899</v>
      </c>
      <c r="BK1581" t="s">
        <v>15895</v>
      </c>
      <c r="BM1581" t="s">
        <v>15896</v>
      </c>
      <c r="BN1581" t="s">
        <v>15897</v>
      </c>
      <c r="BO1581">
        <v>1267</v>
      </c>
      <c r="BP1581" t="s">
        <v>404</v>
      </c>
      <c r="BQ1581">
        <v>499</v>
      </c>
      <c r="BR1581" t="s">
        <v>15097</v>
      </c>
      <c r="BS1581">
        <v>1004</v>
      </c>
      <c r="BT1581" t="s">
        <v>15098</v>
      </c>
      <c r="BW1581">
        <v>662635</v>
      </c>
      <c r="BX1581" t="s">
        <v>407</v>
      </c>
      <c r="CD1581">
        <v>2017</v>
      </c>
      <c r="CE1581">
        <v>18000</v>
      </c>
      <c r="CG1581">
        <v>18000</v>
      </c>
      <c r="CH1581">
        <v>2017</v>
      </c>
      <c r="CI1581">
        <v>18000</v>
      </c>
      <c r="CK1581">
        <v>18000</v>
      </c>
      <c r="CL1581">
        <v>2017</v>
      </c>
      <c r="CM1581">
        <v>257.56</v>
      </c>
      <c r="CN1581" s="1">
        <v>41541</v>
      </c>
      <c r="CO1581">
        <v>463500</v>
      </c>
      <c r="CZ1581" s="1">
        <v>41541</v>
      </c>
      <c r="DD1581" t="s">
        <v>11749</v>
      </c>
      <c r="DG1581">
        <v>37</v>
      </c>
      <c r="DL1581">
        <v>50303</v>
      </c>
      <c r="DM1581" t="s">
        <v>15864</v>
      </c>
      <c r="DO1581" t="s">
        <v>15919</v>
      </c>
      <c r="DP1581">
        <v>0</v>
      </c>
      <c r="DQ1581">
        <v>0</v>
      </c>
      <c r="DR1581" t="s">
        <v>411</v>
      </c>
    </row>
    <row r="1582" spans="1:261" x14ac:dyDescent="0.25">
      <c r="A1582">
        <v>16486589</v>
      </c>
      <c r="B1582">
        <v>1581</v>
      </c>
      <c r="C1582" t="s">
        <v>393</v>
      </c>
      <c r="D1582" t="s">
        <v>394</v>
      </c>
      <c r="F1582" t="str">
        <f>"37-2N-28-209T-0141-0000"</f>
        <v>37-2N-28-209T-0141-0000</v>
      </c>
      <c r="H1582" t="str">
        <f t="shared" si="565"/>
        <v>TUSCANY PRESERVE LLC</v>
      </c>
      <c r="I1582" t="str">
        <f t="shared" si="566"/>
        <v>665 SIMONDS RD</v>
      </c>
      <c r="J1582" t="str">
        <f t="shared" si="567"/>
        <v>WILLIAMSTOWN MA 01267</v>
      </c>
      <c r="K1582" t="str">
        <f>"96141 TUSCANY WAY"</f>
        <v>96141 TUSCANY WAY</v>
      </c>
      <c r="L1582" t="str">
        <f t="shared" si="575"/>
        <v>FERNANDINA BEACH FL 32034</v>
      </c>
      <c r="M1582" t="str">
        <f>"UNIT 141 PT OR 1881/181 NOT DEVELOPED/VACANT THE TUSCANY CONDO OR 1398/1500"</f>
        <v>UNIT 141 PT OR 1881/181 NOT DEVELOPED/VACANT THE TUSCANY CONDO OR 1398/1500</v>
      </c>
      <c r="N1582" t="str">
        <f>""</f>
        <v/>
      </c>
      <c r="O1582" t="str">
        <f>"43611"</f>
        <v>43611</v>
      </c>
      <c r="P1582" t="str">
        <f t="shared" si="548"/>
        <v>2017</v>
      </c>
      <c r="Q1582" t="str">
        <f>""</f>
        <v/>
      </c>
      <c r="R1582" t="str">
        <f t="shared" si="562"/>
        <v>N</v>
      </c>
      <c r="S1582" t="str">
        <f>""</f>
        <v/>
      </c>
      <c r="T1582" t="str">
        <f t="shared" si="568"/>
        <v>257.56</v>
      </c>
      <c r="U1582" t="str">
        <f t="shared" si="569"/>
        <v>15972.00</v>
      </c>
      <c r="V1582" t="str">
        <f t="shared" si="569"/>
        <v>15972.00</v>
      </c>
      <c r="W1582" t="str">
        <f t="shared" si="549"/>
        <v>2017</v>
      </c>
      <c r="X1582" t="str">
        <f>""</f>
        <v/>
      </c>
      <c r="Y1582" t="str">
        <f t="shared" si="570"/>
        <v>297.29</v>
      </c>
      <c r="Z1582" t="str">
        <f>""</f>
        <v/>
      </c>
      <c r="AA1582" t="str">
        <f t="shared" si="571"/>
        <v>18000.00</v>
      </c>
      <c r="AB1582" t="str">
        <f t="shared" si="563"/>
        <v>Residential</v>
      </c>
      <c r="AC1582" t="str">
        <f t="shared" si="558"/>
        <v>0</v>
      </c>
      <c r="AD1582" t="str">
        <f>""</f>
        <v/>
      </c>
      <c r="AE1582" t="str">
        <f>""</f>
        <v/>
      </c>
      <c r="AF1582" t="str">
        <f t="shared" si="572"/>
        <v>004</v>
      </c>
      <c r="AG1582" t="str">
        <f t="shared" si="573"/>
        <v>MA</v>
      </c>
      <c r="AH1582" t="str">
        <f t="shared" si="564"/>
        <v>-</v>
      </c>
      <c r="AI1582" t="str">
        <f t="shared" si="574"/>
        <v>18000.00</v>
      </c>
      <c r="AJ1582" t="str">
        <f>"C55-001-011-3499-7"</f>
        <v>C55-001-011-3499-7</v>
      </c>
      <c r="AK1582" t="str">
        <f>"28638"</f>
        <v>28638</v>
      </c>
      <c r="AL1582">
        <v>6</v>
      </c>
      <c r="AM1582">
        <v>1814</v>
      </c>
      <c r="AN1582">
        <v>310.55</v>
      </c>
      <c r="AQ1582" t="s">
        <v>15920</v>
      </c>
      <c r="AR1582" t="s">
        <v>15920</v>
      </c>
      <c r="AS1582" t="s">
        <v>15920</v>
      </c>
      <c r="AU1582" t="s">
        <v>396</v>
      </c>
      <c r="AV1582">
        <v>2017</v>
      </c>
      <c r="AW1582" t="str">
        <f>"37-2N-28-209T-0141-0000 "</f>
        <v xml:space="preserve">37-2N-28-209T-0141-0000 </v>
      </c>
      <c r="AX1582">
        <v>96141</v>
      </c>
      <c r="AZ1582" t="s">
        <v>15893</v>
      </c>
      <c r="BA1582" t="s">
        <v>866</v>
      </c>
      <c r="BD1582" t="s">
        <v>11749</v>
      </c>
      <c r="BE1582" t="s">
        <v>393</v>
      </c>
      <c r="BF1582">
        <v>32034</v>
      </c>
      <c r="BG1582" t="s">
        <v>15921</v>
      </c>
      <c r="BH1582" t="s">
        <v>11751</v>
      </c>
      <c r="BI1582">
        <v>-81.494230192484494</v>
      </c>
      <c r="BJ1582">
        <v>30.621382183420899</v>
      </c>
      <c r="BK1582" t="s">
        <v>15895</v>
      </c>
      <c r="BM1582" t="s">
        <v>15896</v>
      </c>
      <c r="BN1582" t="s">
        <v>15897</v>
      </c>
      <c r="BO1582">
        <v>1267</v>
      </c>
      <c r="BP1582" t="s">
        <v>404</v>
      </c>
      <c r="BQ1582">
        <v>499</v>
      </c>
      <c r="BR1582" t="s">
        <v>15097</v>
      </c>
      <c r="BS1582">
        <v>1004</v>
      </c>
      <c r="BT1582" t="s">
        <v>15098</v>
      </c>
      <c r="BW1582">
        <v>662635</v>
      </c>
      <c r="BX1582" t="s">
        <v>407</v>
      </c>
      <c r="CD1582">
        <v>2017</v>
      </c>
      <c r="CE1582">
        <v>18000</v>
      </c>
      <c r="CG1582">
        <v>18000</v>
      </c>
      <c r="CH1582">
        <v>2017</v>
      </c>
      <c r="CI1582">
        <v>18000</v>
      </c>
      <c r="CK1582">
        <v>18000</v>
      </c>
      <c r="CL1582">
        <v>2017</v>
      </c>
      <c r="CM1582">
        <v>257.56</v>
      </c>
      <c r="CN1582" s="1">
        <v>41541</v>
      </c>
      <c r="CO1582">
        <v>463500</v>
      </c>
      <c r="CZ1582" s="1">
        <v>41541</v>
      </c>
      <c r="DD1582" t="s">
        <v>11749</v>
      </c>
      <c r="DG1582">
        <v>37</v>
      </c>
      <c r="DL1582">
        <v>50303</v>
      </c>
      <c r="DM1582" t="s">
        <v>15864</v>
      </c>
      <c r="DO1582" t="s">
        <v>15922</v>
      </c>
      <c r="DP1582">
        <v>0</v>
      </c>
      <c r="DQ1582">
        <v>0</v>
      </c>
      <c r="DR1582" t="s">
        <v>411</v>
      </c>
    </row>
    <row r="1583" spans="1:261" x14ac:dyDescent="0.25">
      <c r="A1583">
        <v>16486590</v>
      </c>
      <c r="B1583">
        <v>1582</v>
      </c>
      <c r="C1583" t="s">
        <v>393</v>
      </c>
      <c r="D1583" t="s">
        <v>394</v>
      </c>
      <c r="F1583" t="str">
        <f>"37-2N-28-209T-0142-0000"</f>
        <v>37-2N-28-209T-0142-0000</v>
      </c>
      <c r="H1583" t="str">
        <f t="shared" si="565"/>
        <v>TUSCANY PRESERVE LLC</v>
      </c>
      <c r="I1583" t="str">
        <f t="shared" si="566"/>
        <v>665 SIMONDS RD</v>
      </c>
      <c r="J1583" t="str">
        <f t="shared" si="567"/>
        <v>WILLIAMSTOWN MA 01267</v>
      </c>
      <c r="K1583" t="str">
        <f>"96142 TUSCANY WAY"</f>
        <v>96142 TUSCANY WAY</v>
      </c>
      <c r="L1583" t="str">
        <f t="shared" si="575"/>
        <v>FERNANDINA BEACH FL 32034</v>
      </c>
      <c r="M1583" t="str">
        <f>"UNIT 142 PT OR 1881/181 NOT DEVELOPED/VACANT THE TUSCANY CONDO OR 1398/1500"</f>
        <v>UNIT 142 PT OR 1881/181 NOT DEVELOPED/VACANT THE TUSCANY CONDO OR 1398/1500</v>
      </c>
      <c r="N1583" t="str">
        <f>""</f>
        <v/>
      </c>
      <c r="O1583" t="str">
        <f>"43612"</f>
        <v>43612</v>
      </c>
      <c r="P1583" t="str">
        <f t="shared" si="548"/>
        <v>2017</v>
      </c>
      <c r="Q1583" t="str">
        <f>""</f>
        <v/>
      </c>
      <c r="R1583" t="str">
        <f t="shared" si="562"/>
        <v>N</v>
      </c>
      <c r="S1583" t="str">
        <f>""</f>
        <v/>
      </c>
      <c r="T1583" t="str">
        <f t="shared" si="568"/>
        <v>257.56</v>
      </c>
      <c r="U1583" t="str">
        <f t="shared" si="569"/>
        <v>15972.00</v>
      </c>
      <c r="V1583" t="str">
        <f t="shared" si="569"/>
        <v>15972.00</v>
      </c>
      <c r="W1583" t="str">
        <f t="shared" si="549"/>
        <v>2017</v>
      </c>
      <c r="X1583" t="str">
        <f>""</f>
        <v/>
      </c>
      <c r="Y1583" t="str">
        <f t="shared" si="570"/>
        <v>297.29</v>
      </c>
      <c r="Z1583" t="str">
        <f>""</f>
        <v/>
      </c>
      <c r="AA1583" t="str">
        <f t="shared" si="571"/>
        <v>18000.00</v>
      </c>
      <c r="AB1583" t="str">
        <f t="shared" si="563"/>
        <v>Residential</v>
      </c>
      <c r="AC1583" t="str">
        <f t="shared" si="558"/>
        <v>0</v>
      </c>
      <c r="AD1583" t="str">
        <f>""</f>
        <v/>
      </c>
      <c r="AE1583" t="str">
        <f>""</f>
        <v/>
      </c>
      <c r="AF1583" t="str">
        <f t="shared" si="572"/>
        <v>004</v>
      </c>
      <c r="AG1583" t="str">
        <f t="shared" si="573"/>
        <v>MA</v>
      </c>
      <c r="AH1583" t="str">
        <f t="shared" si="564"/>
        <v>-</v>
      </c>
      <c r="AI1583" t="str">
        <f t="shared" si="574"/>
        <v>18000.00</v>
      </c>
      <c r="AJ1583" t="str">
        <f>"C55-001-011-3500-2"</f>
        <v>C55-001-011-3500-2</v>
      </c>
      <c r="AK1583" t="str">
        <f>"28639"</f>
        <v>28639</v>
      </c>
      <c r="AL1583">
        <v>6</v>
      </c>
      <c r="AM1583">
        <v>1815</v>
      </c>
      <c r="AN1583">
        <v>310.55</v>
      </c>
      <c r="AQ1583" t="s">
        <v>15923</v>
      </c>
      <c r="AR1583" t="s">
        <v>15923</v>
      </c>
      <c r="AS1583" t="s">
        <v>15923</v>
      </c>
      <c r="AU1583" t="s">
        <v>396</v>
      </c>
      <c r="AV1583">
        <v>2017</v>
      </c>
      <c r="AW1583" t="str">
        <f>"37-2N-28-209T-0142-0000 "</f>
        <v xml:space="preserve">37-2N-28-209T-0142-0000 </v>
      </c>
      <c r="AX1583">
        <v>96142</v>
      </c>
      <c r="AZ1583" t="s">
        <v>15893</v>
      </c>
      <c r="BA1583" t="s">
        <v>866</v>
      </c>
      <c r="BD1583" t="s">
        <v>11749</v>
      </c>
      <c r="BE1583" t="s">
        <v>393</v>
      </c>
      <c r="BF1583">
        <v>32034</v>
      </c>
      <c r="BG1583" t="s">
        <v>15924</v>
      </c>
      <c r="BH1583" t="s">
        <v>11751</v>
      </c>
      <c r="BI1583">
        <v>-81.494230192484494</v>
      </c>
      <c r="BJ1583">
        <v>30.621382183420899</v>
      </c>
      <c r="BK1583" t="s">
        <v>15895</v>
      </c>
      <c r="BM1583" t="s">
        <v>15896</v>
      </c>
      <c r="BN1583" t="s">
        <v>15897</v>
      </c>
      <c r="BO1583">
        <v>1267</v>
      </c>
      <c r="BP1583" t="s">
        <v>404</v>
      </c>
      <c r="BQ1583">
        <v>499</v>
      </c>
      <c r="BR1583" t="s">
        <v>15097</v>
      </c>
      <c r="BS1583">
        <v>1004</v>
      </c>
      <c r="BT1583" t="s">
        <v>15098</v>
      </c>
      <c r="BW1583">
        <v>662635</v>
      </c>
      <c r="BX1583" t="s">
        <v>407</v>
      </c>
      <c r="CD1583">
        <v>2017</v>
      </c>
      <c r="CE1583">
        <v>18000</v>
      </c>
      <c r="CG1583">
        <v>18000</v>
      </c>
      <c r="CH1583">
        <v>2017</v>
      </c>
      <c r="CI1583">
        <v>18000</v>
      </c>
      <c r="CK1583">
        <v>18000</v>
      </c>
      <c r="CL1583">
        <v>2017</v>
      </c>
      <c r="CM1583">
        <v>257.56</v>
      </c>
      <c r="CN1583" s="1">
        <v>41541</v>
      </c>
      <c r="CO1583">
        <v>463500</v>
      </c>
      <c r="CZ1583" s="1">
        <v>41541</v>
      </c>
      <c r="DD1583" t="s">
        <v>11749</v>
      </c>
      <c r="DG1583">
        <v>37</v>
      </c>
      <c r="DL1583">
        <v>50303</v>
      </c>
      <c r="DM1583" t="s">
        <v>15864</v>
      </c>
      <c r="DO1583" t="s">
        <v>15925</v>
      </c>
      <c r="DP1583">
        <v>0</v>
      </c>
      <c r="DQ1583">
        <v>0</v>
      </c>
      <c r="DR1583" t="s">
        <v>411</v>
      </c>
    </row>
    <row r="1584" spans="1:261" x14ac:dyDescent="0.25">
      <c r="A1584">
        <v>16486591</v>
      </c>
      <c r="B1584">
        <v>1583</v>
      </c>
      <c r="C1584" t="s">
        <v>393</v>
      </c>
      <c r="D1584" t="s">
        <v>394</v>
      </c>
      <c r="F1584" t="str">
        <f>"37-2N-28-209T-0143-0000"</f>
        <v>37-2N-28-209T-0143-0000</v>
      </c>
      <c r="H1584" t="str">
        <f t="shared" si="565"/>
        <v>TUSCANY PRESERVE LLC</v>
      </c>
      <c r="I1584" t="str">
        <f t="shared" si="566"/>
        <v>665 SIMONDS RD</v>
      </c>
      <c r="J1584" t="str">
        <f t="shared" si="567"/>
        <v>WILLIAMSTOWN MA 01267</v>
      </c>
      <c r="K1584" t="str">
        <f>"96143 TUSCANY WAY"</f>
        <v>96143 TUSCANY WAY</v>
      </c>
      <c r="L1584" t="str">
        <f t="shared" si="575"/>
        <v>FERNANDINA BEACH FL 32034</v>
      </c>
      <c r="M1584" t="str">
        <f>"UNIT 143 PT OR 1881/181 NOT DEVELOPED/VACANT THE TUSCANY CONDO OR 1398/1500"</f>
        <v>UNIT 143 PT OR 1881/181 NOT DEVELOPED/VACANT THE TUSCANY CONDO OR 1398/1500</v>
      </c>
      <c r="N1584" t="str">
        <f>""</f>
        <v/>
      </c>
      <c r="O1584" t="str">
        <f>"43613"</f>
        <v>43613</v>
      </c>
      <c r="P1584" t="str">
        <f t="shared" si="548"/>
        <v>2017</v>
      </c>
      <c r="Q1584" t="str">
        <f>""</f>
        <v/>
      </c>
      <c r="R1584" t="str">
        <f t="shared" si="562"/>
        <v>N</v>
      </c>
      <c r="S1584" t="str">
        <f>""</f>
        <v/>
      </c>
      <c r="T1584" t="str">
        <f t="shared" si="568"/>
        <v>257.56</v>
      </c>
      <c r="U1584" t="str">
        <f t="shared" si="569"/>
        <v>15972.00</v>
      </c>
      <c r="V1584" t="str">
        <f t="shared" si="569"/>
        <v>15972.00</v>
      </c>
      <c r="W1584" t="str">
        <f t="shared" si="549"/>
        <v>2017</v>
      </c>
      <c r="X1584" t="str">
        <f>""</f>
        <v/>
      </c>
      <c r="Y1584" t="str">
        <f t="shared" si="570"/>
        <v>297.29</v>
      </c>
      <c r="Z1584" t="str">
        <f>""</f>
        <v/>
      </c>
      <c r="AA1584" t="str">
        <f t="shared" si="571"/>
        <v>18000.00</v>
      </c>
      <c r="AB1584" t="str">
        <f t="shared" si="563"/>
        <v>Residential</v>
      </c>
      <c r="AC1584" t="str">
        <f t="shared" si="558"/>
        <v>0</v>
      </c>
      <c r="AD1584" t="str">
        <f>""</f>
        <v/>
      </c>
      <c r="AE1584" t="str">
        <f>""</f>
        <v/>
      </c>
      <c r="AF1584" t="str">
        <f t="shared" si="572"/>
        <v>004</v>
      </c>
      <c r="AG1584" t="str">
        <f t="shared" si="573"/>
        <v>MA</v>
      </c>
      <c r="AH1584" t="str">
        <f t="shared" si="564"/>
        <v>-</v>
      </c>
      <c r="AI1584" t="str">
        <f t="shared" si="574"/>
        <v>18000.00</v>
      </c>
      <c r="AJ1584" t="str">
        <f>"C55-001-011-3501-0"</f>
        <v>C55-001-011-3501-0</v>
      </c>
      <c r="AK1584" t="str">
        <f>"28640"</f>
        <v>28640</v>
      </c>
      <c r="AL1584">
        <v>6</v>
      </c>
      <c r="AM1584">
        <v>1816</v>
      </c>
      <c r="AN1584">
        <v>310.55</v>
      </c>
      <c r="AQ1584" t="s">
        <v>15926</v>
      </c>
      <c r="AR1584" t="s">
        <v>15926</v>
      </c>
      <c r="AS1584" t="s">
        <v>15926</v>
      </c>
      <c r="AU1584" t="s">
        <v>396</v>
      </c>
      <c r="AV1584">
        <v>2017</v>
      </c>
      <c r="AW1584" t="str">
        <f>"37-2N-28-209T-0143-0000 "</f>
        <v xml:space="preserve">37-2N-28-209T-0143-0000 </v>
      </c>
      <c r="AX1584">
        <v>96143</v>
      </c>
      <c r="AZ1584" t="s">
        <v>15893</v>
      </c>
      <c r="BA1584" t="s">
        <v>866</v>
      </c>
      <c r="BD1584" t="s">
        <v>11749</v>
      </c>
      <c r="BE1584" t="s">
        <v>393</v>
      </c>
      <c r="BF1584">
        <v>32034</v>
      </c>
      <c r="BG1584" t="s">
        <v>15927</v>
      </c>
      <c r="BH1584" t="s">
        <v>11751</v>
      </c>
      <c r="BI1584">
        <v>-81.494230192484494</v>
      </c>
      <c r="BJ1584">
        <v>30.621382183420899</v>
      </c>
      <c r="BK1584" t="s">
        <v>15895</v>
      </c>
      <c r="BM1584" t="s">
        <v>15896</v>
      </c>
      <c r="BN1584" t="s">
        <v>15897</v>
      </c>
      <c r="BO1584">
        <v>1267</v>
      </c>
      <c r="BP1584" t="s">
        <v>404</v>
      </c>
      <c r="BQ1584">
        <v>499</v>
      </c>
      <c r="BR1584" t="s">
        <v>15097</v>
      </c>
      <c r="BS1584">
        <v>1004</v>
      </c>
      <c r="BT1584" t="s">
        <v>15098</v>
      </c>
      <c r="BW1584">
        <v>662635</v>
      </c>
      <c r="BX1584" t="s">
        <v>407</v>
      </c>
      <c r="CD1584">
        <v>2017</v>
      </c>
      <c r="CE1584">
        <v>18000</v>
      </c>
      <c r="CG1584">
        <v>18000</v>
      </c>
      <c r="CH1584">
        <v>2017</v>
      </c>
      <c r="CI1584">
        <v>18000</v>
      </c>
      <c r="CK1584">
        <v>18000</v>
      </c>
      <c r="CL1584">
        <v>2017</v>
      </c>
      <c r="CM1584">
        <v>257.56</v>
      </c>
      <c r="CN1584" s="1">
        <v>41541</v>
      </c>
      <c r="CO1584">
        <v>463500</v>
      </c>
      <c r="CZ1584" s="1">
        <v>41541</v>
      </c>
      <c r="DD1584" t="s">
        <v>11749</v>
      </c>
      <c r="DG1584">
        <v>37</v>
      </c>
      <c r="DL1584">
        <v>50303</v>
      </c>
      <c r="DM1584" t="s">
        <v>15864</v>
      </c>
      <c r="DO1584" t="s">
        <v>15928</v>
      </c>
      <c r="DP1584">
        <v>0</v>
      </c>
      <c r="DQ1584">
        <v>0</v>
      </c>
      <c r="DR1584" t="s">
        <v>411</v>
      </c>
    </row>
    <row r="1585" spans="1:122" x14ac:dyDescent="0.25">
      <c r="A1585">
        <v>16486592</v>
      </c>
      <c r="B1585">
        <v>1584</v>
      </c>
      <c r="C1585" t="s">
        <v>393</v>
      </c>
      <c r="D1585" t="s">
        <v>394</v>
      </c>
      <c r="F1585" t="str">
        <f>"37-2N-28-209T-0144-0000"</f>
        <v>37-2N-28-209T-0144-0000</v>
      </c>
      <c r="H1585" t="str">
        <f t="shared" si="565"/>
        <v>TUSCANY PRESERVE LLC</v>
      </c>
      <c r="I1585" t="str">
        <f t="shared" si="566"/>
        <v>665 SIMONDS RD</v>
      </c>
      <c r="J1585" t="str">
        <f t="shared" si="567"/>
        <v>WILLIAMSTOWN MA 01267</v>
      </c>
      <c r="K1585" t="str">
        <f>"96144 TUSCANY WAY"</f>
        <v>96144 TUSCANY WAY</v>
      </c>
      <c r="L1585" t="str">
        <f t="shared" si="575"/>
        <v>FERNANDINA BEACH FL 32034</v>
      </c>
      <c r="M1585" t="str">
        <f>"UNIT 144 PT OR 1881/181 NOT DEVELOPED/VACANT THE TUSCANY CONDO OR 1398/1500"</f>
        <v>UNIT 144 PT OR 1881/181 NOT DEVELOPED/VACANT THE TUSCANY CONDO OR 1398/1500</v>
      </c>
      <c r="N1585" t="str">
        <f>""</f>
        <v/>
      </c>
      <c r="O1585" t="str">
        <f>"43614"</f>
        <v>43614</v>
      </c>
      <c r="P1585" t="str">
        <f t="shared" si="548"/>
        <v>2017</v>
      </c>
      <c r="Q1585" t="str">
        <f>""</f>
        <v/>
      </c>
      <c r="R1585" t="str">
        <f t="shared" si="562"/>
        <v>N</v>
      </c>
      <c r="S1585" t="str">
        <f>""</f>
        <v/>
      </c>
      <c r="T1585" t="str">
        <f t="shared" si="568"/>
        <v>257.56</v>
      </c>
      <c r="U1585" t="str">
        <f t="shared" si="569"/>
        <v>15972.00</v>
      </c>
      <c r="V1585" t="str">
        <f t="shared" si="569"/>
        <v>15972.00</v>
      </c>
      <c r="W1585" t="str">
        <f t="shared" si="549"/>
        <v>2017</v>
      </c>
      <c r="X1585" t="str">
        <f>""</f>
        <v/>
      </c>
      <c r="Y1585" t="str">
        <f t="shared" si="570"/>
        <v>297.29</v>
      </c>
      <c r="Z1585" t="str">
        <f>""</f>
        <v/>
      </c>
      <c r="AA1585" t="str">
        <f t="shared" si="571"/>
        <v>18000.00</v>
      </c>
      <c r="AB1585" t="str">
        <f t="shared" si="563"/>
        <v>Residential</v>
      </c>
      <c r="AC1585" t="str">
        <f t="shared" si="558"/>
        <v>0</v>
      </c>
      <c r="AD1585" t="str">
        <f>""</f>
        <v/>
      </c>
      <c r="AE1585" t="str">
        <f>""</f>
        <v/>
      </c>
      <c r="AF1585" t="str">
        <f t="shared" si="572"/>
        <v>004</v>
      </c>
      <c r="AG1585" t="str">
        <f t="shared" si="573"/>
        <v>MA</v>
      </c>
      <c r="AH1585" t="str">
        <f t="shared" si="564"/>
        <v>-</v>
      </c>
      <c r="AI1585" t="str">
        <f t="shared" si="574"/>
        <v>18000.00</v>
      </c>
      <c r="AJ1585" t="str">
        <f>"C55-001-011-3502-8"</f>
        <v>C55-001-011-3502-8</v>
      </c>
      <c r="AK1585" t="str">
        <f>"28641"</f>
        <v>28641</v>
      </c>
      <c r="AL1585">
        <v>6</v>
      </c>
      <c r="AM1585">
        <v>1817</v>
      </c>
      <c r="AN1585">
        <v>310.55</v>
      </c>
      <c r="AQ1585" t="s">
        <v>15929</v>
      </c>
      <c r="AR1585" t="s">
        <v>15929</v>
      </c>
      <c r="AS1585" t="s">
        <v>15929</v>
      </c>
      <c r="AU1585" t="s">
        <v>396</v>
      </c>
      <c r="AV1585">
        <v>2017</v>
      </c>
      <c r="AW1585" t="str">
        <f>"37-2N-28-209T-0144-0000 "</f>
        <v xml:space="preserve">37-2N-28-209T-0144-0000 </v>
      </c>
      <c r="AX1585">
        <v>96144</v>
      </c>
      <c r="AZ1585" t="s">
        <v>15893</v>
      </c>
      <c r="BA1585" t="s">
        <v>866</v>
      </c>
      <c r="BD1585" t="s">
        <v>11749</v>
      </c>
      <c r="BE1585" t="s">
        <v>393</v>
      </c>
      <c r="BF1585">
        <v>32034</v>
      </c>
      <c r="BG1585" t="s">
        <v>15930</v>
      </c>
      <c r="BH1585" t="s">
        <v>11751</v>
      </c>
      <c r="BI1585">
        <v>-81.494230192484494</v>
      </c>
      <c r="BJ1585">
        <v>30.621382183420899</v>
      </c>
      <c r="BK1585" t="s">
        <v>15895</v>
      </c>
      <c r="BM1585" t="s">
        <v>15896</v>
      </c>
      <c r="BN1585" t="s">
        <v>15897</v>
      </c>
      <c r="BO1585">
        <v>1267</v>
      </c>
      <c r="BP1585" t="s">
        <v>404</v>
      </c>
      <c r="BQ1585">
        <v>499</v>
      </c>
      <c r="BR1585" t="s">
        <v>15097</v>
      </c>
      <c r="BS1585">
        <v>1004</v>
      </c>
      <c r="BT1585" t="s">
        <v>15098</v>
      </c>
      <c r="BW1585">
        <v>662635</v>
      </c>
      <c r="BX1585" t="s">
        <v>407</v>
      </c>
      <c r="CD1585">
        <v>2017</v>
      </c>
      <c r="CE1585">
        <v>18000</v>
      </c>
      <c r="CG1585">
        <v>18000</v>
      </c>
      <c r="CH1585">
        <v>2017</v>
      </c>
      <c r="CI1585">
        <v>18000</v>
      </c>
      <c r="CK1585">
        <v>18000</v>
      </c>
      <c r="CL1585">
        <v>2017</v>
      </c>
      <c r="CM1585">
        <v>257.56</v>
      </c>
      <c r="CN1585" s="1">
        <v>41541</v>
      </c>
      <c r="CO1585">
        <v>463500</v>
      </c>
      <c r="CZ1585" s="1">
        <v>41541</v>
      </c>
      <c r="DD1585" t="s">
        <v>11749</v>
      </c>
      <c r="DG1585">
        <v>37</v>
      </c>
      <c r="DL1585">
        <v>50303</v>
      </c>
      <c r="DM1585" t="s">
        <v>15864</v>
      </c>
      <c r="DO1585" t="s">
        <v>15931</v>
      </c>
      <c r="DP1585">
        <v>0</v>
      </c>
      <c r="DQ1585">
        <v>0</v>
      </c>
      <c r="DR1585" t="s">
        <v>411</v>
      </c>
    </row>
    <row r="1586" spans="1:122" x14ac:dyDescent="0.25">
      <c r="A1586">
        <v>16486593</v>
      </c>
      <c r="B1586">
        <v>1585</v>
      </c>
      <c r="C1586" t="s">
        <v>393</v>
      </c>
      <c r="D1586" t="s">
        <v>394</v>
      </c>
      <c r="F1586" t="str">
        <f>"37-2N-28-209T-0221-0000"</f>
        <v>37-2N-28-209T-0221-0000</v>
      </c>
      <c r="H1586" t="str">
        <f t="shared" si="565"/>
        <v>TUSCANY PRESERVE LLC</v>
      </c>
      <c r="I1586" t="str">
        <f t="shared" si="566"/>
        <v>665 SIMONDS RD</v>
      </c>
      <c r="J1586" t="str">
        <f t="shared" si="567"/>
        <v>WILLIAMSTOWN MA 01267</v>
      </c>
      <c r="K1586" t="str">
        <f>"96221 TUSCANY WAY"</f>
        <v>96221 TUSCANY WAY</v>
      </c>
      <c r="L1586" t="str">
        <f t="shared" si="575"/>
        <v>FERNANDINA BEACH FL 32034</v>
      </c>
      <c r="M1586" t="str">
        <f>"UNIT 221 PT OR 1881/181 NOT DEVELOPED/VACANT THE TUSCANY CONDO OR 1398/1500"</f>
        <v>UNIT 221 PT OR 1881/181 NOT DEVELOPED/VACANT THE TUSCANY CONDO OR 1398/1500</v>
      </c>
      <c r="N1586" t="str">
        <f>""</f>
        <v/>
      </c>
      <c r="O1586" t="str">
        <f>"43615"</f>
        <v>43615</v>
      </c>
      <c r="P1586" t="str">
        <f t="shared" si="548"/>
        <v>2017</v>
      </c>
      <c r="Q1586" t="str">
        <f>""</f>
        <v/>
      </c>
      <c r="R1586" t="str">
        <f t="shared" si="562"/>
        <v>N</v>
      </c>
      <c r="S1586" t="str">
        <f>""</f>
        <v/>
      </c>
      <c r="T1586" t="str">
        <f t="shared" si="568"/>
        <v>257.56</v>
      </c>
      <c r="U1586" t="str">
        <f t="shared" si="569"/>
        <v>15972.00</v>
      </c>
      <c r="V1586" t="str">
        <f t="shared" si="569"/>
        <v>15972.00</v>
      </c>
      <c r="W1586" t="str">
        <f t="shared" si="549"/>
        <v>2017</v>
      </c>
      <c r="X1586" t="str">
        <f>""</f>
        <v/>
      </c>
      <c r="Y1586" t="str">
        <f t="shared" si="570"/>
        <v>297.29</v>
      </c>
      <c r="Z1586" t="str">
        <f>""</f>
        <v/>
      </c>
      <c r="AA1586" t="str">
        <f t="shared" si="571"/>
        <v>18000.00</v>
      </c>
      <c r="AB1586" t="str">
        <f t="shared" si="563"/>
        <v>Residential</v>
      </c>
      <c r="AC1586" t="str">
        <f t="shared" si="558"/>
        <v>0</v>
      </c>
      <c r="AD1586" t="str">
        <f>""</f>
        <v/>
      </c>
      <c r="AE1586" t="str">
        <f>""</f>
        <v/>
      </c>
      <c r="AF1586" t="str">
        <f t="shared" si="572"/>
        <v>004</v>
      </c>
      <c r="AG1586" t="str">
        <f t="shared" si="573"/>
        <v>MA</v>
      </c>
      <c r="AH1586" t="str">
        <f t="shared" si="564"/>
        <v>-</v>
      </c>
      <c r="AI1586" t="str">
        <f t="shared" si="574"/>
        <v>18000.00</v>
      </c>
      <c r="AJ1586" t="str">
        <f>"C55-001-011-3503-6"</f>
        <v>C55-001-011-3503-6</v>
      </c>
      <c r="AK1586" t="str">
        <f>"28642"</f>
        <v>28642</v>
      </c>
      <c r="AL1586">
        <v>6</v>
      </c>
      <c r="AM1586">
        <v>1818</v>
      </c>
      <c r="AN1586">
        <v>310.55</v>
      </c>
      <c r="AQ1586" t="s">
        <v>15932</v>
      </c>
      <c r="AR1586" t="s">
        <v>15932</v>
      </c>
      <c r="AS1586" t="s">
        <v>15932</v>
      </c>
      <c r="AU1586" t="s">
        <v>396</v>
      </c>
      <c r="AV1586">
        <v>2017</v>
      </c>
      <c r="AW1586" t="str">
        <f>"37-2N-28-209T-0221-0000 "</f>
        <v xml:space="preserve">37-2N-28-209T-0221-0000 </v>
      </c>
      <c r="AX1586">
        <v>96221</v>
      </c>
      <c r="AZ1586" t="s">
        <v>15893</v>
      </c>
      <c r="BA1586" t="s">
        <v>866</v>
      </c>
      <c r="BD1586" t="s">
        <v>11749</v>
      </c>
      <c r="BE1586" t="s">
        <v>393</v>
      </c>
      <c r="BF1586">
        <v>32034</v>
      </c>
      <c r="BG1586" t="s">
        <v>15933</v>
      </c>
      <c r="BH1586" t="s">
        <v>11751</v>
      </c>
      <c r="BI1586">
        <v>-81.494230192484494</v>
      </c>
      <c r="BJ1586">
        <v>30.621382183420899</v>
      </c>
      <c r="BK1586" t="s">
        <v>15895</v>
      </c>
      <c r="BM1586" t="s">
        <v>15896</v>
      </c>
      <c r="BN1586" t="s">
        <v>15897</v>
      </c>
      <c r="BO1586">
        <v>1267</v>
      </c>
      <c r="BP1586" t="s">
        <v>404</v>
      </c>
      <c r="BQ1586">
        <v>499</v>
      </c>
      <c r="BR1586" t="s">
        <v>15097</v>
      </c>
      <c r="BS1586">
        <v>1004</v>
      </c>
      <c r="BT1586" t="s">
        <v>15098</v>
      </c>
      <c r="BW1586">
        <v>662635</v>
      </c>
      <c r="BX1586" t="s">
        <v>407</v>
      </c>
      <c r="CD1586">
        <v>2017</v>
      </c>
      <c r="CE1586">
        <v>18000</v>
      </c>
      <c r="CG1586">
        <v>18000</v>
      </c>
      <c r="CH1586">
        <v>2017</v>
      </c>
      <c r="CI1586">
        <v>18000</v>
      </c>
      <c r="CK1586">
        <v>18000</v>
      </c>
      <c r="CL1586">
        <v>2017</v>
      </c>
      <c r="CM1586">
        <v>257.56</v>
      </c>
      <c r="CN1586" s="1">
        <v>41541</v>
      </c>
      <c r="CO1586">
        <v>463500</v>
      </c>
      <c r="CZ1586" s="1">
        <v>41541</v>
      </c>
      <c r="DD1586" t="s">
        <v>11749</v>
      </c>
      <c r="DG1586">
        <v>37</v>
      </c>
      <c r="DL1586">
        <v>50303</v>
      </c>
      <c r="DM1586" t="s">
        <v>15864</v>
      </c>
      <c r="DO1586" t="s">
        <v>15934</v>
      </c>
      <c r="DP1586">
        <v>0</v>
      </c>
      <c r="DQ1586">
        <v>0</v>
      </c>
      <c r="DR1586" t="s">
        <v>411</v>
      </c>
    </row>
    <row r="1587" spans="1:122" x14ac:dyDescent="0.25">
      <c r="A1587">
        <v>16486594</v>
      </c>
      <c r="B1587">
        <v>1586</v>
      </c>
      <c r="C1587" t="s">
        <v>393</v>
      </c>
      <c r="D1587" t="s">
        <v>394</v>
      </c>
      <c r="F1587" t="str">
        <f>"37-2N-28-209T-0222-0000"</f>
        <v>37-2N-28-209T-0222-0000</v>
      </c>
      <c r="H1587" t="str">
        <f t="shared" si="565"/>
        <v>TUSCANY PRESERVE LLC</v>
      </c>
      <c r="I1587" t="str">
        <f t="shared" si="566"/>
        <v>665 SIMONDS RD</v>
      </c>
      <c r="J1587" t="str">
        <f t="shared" si="567"/>
        <v>WILLIAMSTOWN MA 01267</v>
      </c>
      <c r="K1587" t="str">
        <f>"96222 TUSCANY WAY"</f>
        <v>96222 TUSCANY WAY</v>
      </c>
      <c r="L1587" t="str">
        <f t="shared" si="575"/>
        <v>FERNANDINA BEACH FL 32034</v>
      </c>
      <c r="M1587" t="str">
        <f>"UNIT 222 PT OR 1881/181 NOT DEVELOPED/VACANT THE TUSCANY CONDO OR 1398/1500"</f>
        <v>UNIT 222 PT OR 1881/181 NOT DEVELOPED/VACANT THE TUSCANY CONDO OR 1398/1500</v>
      </c>
      <c r="N1587" t="str">
        <f>""</f>
        <v/>
      </c>
      <c r="O1587" t="str">
        <f>"43616"</f>
        <v>43616</v>
      </c>
      <c r="P1587" t="str">
        <f t="shared" si="548"/>
        <v>2017</v>
      </c>
      <c r="Q1587" t="str">
        <f>""</f>
        <v/>
      </c>
      <c r="R1587" t="str">
        <f t="shared" si="562"/>
        <v>N</v>
      </c>
      <c r="S1587" t="str">
        <f>""</f>
        <v/>
      </c>
      <c r="T1587" t="str">
        <f t="shared" si="568"/>
        <v>257.56</v>
      </c>
      <c r="U1587" t="str">
        <f t="shared" si="569"/>
        <v>15972.00</v>
      </c>
      <c r="V1587" t="str">
        <f t="shared" si="569"/>
        <v>15972.00</v>
      </c>
      <c r="W1587" t="str">
        <f t="shared" si="549"/>
        <v>2017</v>
      </c>
      <c r="X1587" t="str">
        <f>""</f>
        <v/>
      </c>
      <c r="Y1587" t="str">
        <f t="shared" si="570"/>
        <v>297.29</v>
      </c>
      <c r="Z1587" t="str">
        <f>""</f>
        <v/>
      </c>
      <c r="AA1587" t="str">
        <f t="shared" si="571"/>
        <v>18000.00</v>
      </c>
      <c r="AB1587" t="str">
        <f t="shared" si="563"/>
        <v>Residential</v>
      </c>
      <c r="AC1587" t="str">
        <f t="shared" si="558"/>
        <v>0</v>
      </c>
      <c r="AD1587" t="str">
        <f>""</f>
        <v/>
      </c>
      <c r="AE1587" t="str">
        <f>""</f>
        <v/>
      </c>
      <c r="AF1587" t="str">
        <f t="shared" si="572"/>
        <v>004</v>
      </c>
      <c r="AG1587" t="str">
        <f t="shared" si="573"/>
        <v>MA</v>
      </c>
      <c r="AH1587" t="str">
        <f t="shared" si="564"/>
        <v>-</v>
      </c>
      <c r="AI1587" t="str">
        <f t="shared" si="574"/>
        <v>18000.00</v>
      </c>
      <c r="AJ1587" t="str">
        <f>"C55-001-011-3504-4"</f>
        <v>C55-001-011-3504-4</v>
      </c>
      <c r="AK1587" t="str">
        <f>"28643"</f>
        <v>28643</v>
      </c>
      <c r="AL1587">
        <v>6</v>
      </c>
      <c r="AM1587">
        <v>1819</v>
      </c>
      <c r="AN1587">
        <v>310.55</v>
      </c>
      <c r="AQ1587" t="s">
        <v>15935</v>
      </c>
      <c r="AR1587" t="s">
        <v>15935</v>
      </c>
      <c r="AS1587" t="s">
        <v>15935</v>
      </c>
      <c r="AU1587" t="s">
        <v>396</v>
      </c>
      <c r="AV1587">
        <v>2017</v>
      </c>
      <c r="AW1587" t="str">
        <f>"37-2N-28-209T-0222-0000 "</f>
        <v xml:space="preserve">37-2N-28-209T-0222-0000 </v>
      </c>
      <c r="AX1587">
        <v>96222</v>
      </c>
      <c r="AZ1587" t="s">
        <v>15893</v>
      </c>
      <c r="BA1587" t="s">
        <v>866</v>
      </c>
      <c r="BD1587" t="s">
        <v>11749</v>
      </c>
      <c r="BE1587" t="s">
        <v>393</v>
      </c>
      <c r="BF1587">
        <v>32034</v>
      </c>
      <c r="BG1587" t="s">
        <v>15936</v>
      </c>
      <c r="BH1587" t="s">
        <v>11751</v>
      </c>
      <c r="BI1587">
        <v>-81.494230192484494</v>
      </c>
      <c r="BJ1587">
        <v>30.621382183420899</v>
      </c>
      <c r="BK1587" t="s">
        <v>15895</v>
      </c>
      <c r="BM1587" t="s">
        <v>15896</v>
      </c>
      <c r="BN1587" t="s">
        <v>15897</v>
      </c>
      <c r="BO1587">
        <v>1267</v>
      </c>
      <c r="BP1587" t="s">
        <v>404</v>
      </c>
      <c r="BQ1587">
        <v>499</v>
      </c>
      <c r="BR1587" t="s">
        <v>15097</v>
      </c>
      <c r="BS1587">
        <v>1004</v>
      </c>
      <c r="BT1587" t="s">
        <v>15098</v>
      </c>
      <c r="BW1587">
        <v>662635</v>
      </c>
      <c r="BX1587" t="s">
        <v>407</v>
      </c>
      <c r="CD1587">
        <v>2017</v>
      </c>
      <c r="CE1587">
        <v>18000</v>
      </c>
      <c r="CG1587">
        <v>18000</v>
      </c>
      <c r="CH1587">
        <v>2017</v>
      </c>
      <c r="CI1587">
        <v>18000</v>
      </c>
      <c r="CK1587">
        <v>18000</v>
      </c>
      <c r="CL1587">
        <v>2017</v>
      </c>
      <c r="CM1587">
        <v>257.56</v>
      </c>
      <c r="CN1587" s="1">
        <v>41541</v>
      </c>
      <c r="CO1587">
        <v>463500</v>
      </c>
      <c r="CZ1587" s="1">
        <v>41541</v>
      </c>
      <c r="DD1587" t="s">
        <v>11749</v>
      </c>
      <c r="DG1587">
        <v>37</v>
      </c>
      <c r="DL1587">
        <v>50303</v>
      </c>
      <c r="DM1587" t="s">
        <v>15864</v>
      </c>
      <c r="DO1587" t="s">
        <v>15937</v>
      </c>
      <c r="DP1587">
        <v>0</v>
      </c>
      <c r="DQ1587">
        <v>0</v>
      </c>
      <c r="DR1587" t="s">
        <v>411</v>
      </c>
    </row>
    <row r="1588" spans="1:122" x14ac:dyDescent="0.25">
      <c r="A1588">
        <v>16486595</v>
      </c>
      <c r="B1588">
        <v>1587</v>
      </c>
      <c r="C1588" t="s">
        <v>393</v>
      </c>
      <c r="D1588" t="s">
        <v>394</v>
      </c>
      <c r="F1588" t="str">
        <f>"37-2N-28-209T-0223-0000"</f>
        <v>37-2N-28-209T-0223-0000</v>
      </c>
      <c r="H1588" t="str">
        <f t="shared" si="565"/>
        <v>TUSCANY PRESERVE LLC</v>
      </c>
      <c r="I1588" t="str">
        <f t="shared" si="566"/>
        <v>665 SIMONDS RD</v>
      </c>
      <c r="J1588" t="str">
        <f t="shared" si="567"/>
        <v>WILLIAMSTOWN MA 01267</v>
      </c>
      <c r="K1588" t="str">
        <f>"96223 TUSCANY WAY"</f>
        <v>96223 TUSCANY WAY</v>
      </c>
      <c r="L1588" t="str">
        <f t="shared" si="575"/>
        <v>FERNANDINA BEACH FL 32034</v>
      </c>
      <c r="M1588" t="str">
        <f>"UNIT 223 PT OR 1881/181 NOT DEVELOPED/VACANT THE TUSCANY CONDO OR 1398/1500"</f>
        <v>UNIT 223 PT OR 1881/181 NOT DEVELOPED/VACANT THE TUSCANY CONDO OR 1398/1500</v>
      </c>
      <c r="N1588" t="str">
        <f>""</f>
        <v/>
      </c>
      <c r="O1588" t="str">
        <f>"43617"</f>
        <v>43617</v>
      </c>
      <c r="P1588" t="str">
        <f t="shared" si="548"/>
        <v>2017</v>
      </c>
      <c r="Q1588" t="str">
        <f>""</f>
        <v/>
      </c>
      <c r="R1588" t="str">
        <f t="shared" si="562"/>
        <v>N</v>
      </c>
      <c r="S1588" t="str">
        <f>""</f>
        <v/>
      </c>
      <c r="T1588" t="str">
        <f t="shared" si="568"/>
        <v>257.56</v>
      </c>
      <c r="U1588" t="str">
        <f t="shared" si="569"/>
        <v>15972.00</v>
      </c>
      <c r="V1588" t="str">
        <f t="shared" si="569"/>
        <v>15972.00</v>
      </c>
      <c r="W1588" t="str">
        <f t="shared" si="549"/>
        <v>2017</v>
      </c>
      <c r="X1588" t="str">
        <f>""</f>
        <v/>
      </c>
      <c r="Y1588" t="str">
        <f t="shared" si="570"/>
        <v>297.29</v>
      </c>
      <c r="Z1588" t="str">
        <f>""</f>
        <v/>
      </c>
      <c r="AA1588" t="str">
        <f t="shared" si="571"/>
        <v>18000.00</v>
      </c>
      <c r="AB1588" t="str">
        <f t="shared" si="563"/>
        <v>Residential</v>
      </c>
      <c r="AC1588" t="str">
        <f t="shared" si="558"/>
        <v>0</v>
      </c>
      <c r="AD1588" t="str">
        <f>""</f>
        <v/>
      </c>
      <c r="AE1588" t="str">
        <f>""</f>
        <v/>
      </c>
      <c r="AF1588" t="str">
        <f t="shared" si="572"/>
        <v>004</v>
      </c>
      <c r="AG1588" t="str">
        <f t="shared" si="573"/>
        <v>MA</v>
      </c>
      <c r="AH1588" t="str">
        <f t="shared" si="564"/>
        <v>-</v>
      </c>
      <c r="AI1588" t="str">
        <f t="shared" si="574"/>
        <v>18000.00</v>
      </c>
      <c r="AJ1588" t="str">
        <f>"C55-001-011-3505-1"</f>
        <v>C55-001-011-3505-1</v>
      </c>
      <c r="AK1588" t="str">
        <f>"28644"</f>
        <v>28644</v>
      </c>
      <c r="AL1588">
        <v>6</v>
      </c>
      <c r="AM1588">
        <v>1820</v>
      </c>
      <c r="AN1588">
        <v>310.55</v>
      </c>
      <c r="AQ1588" t="s">
        <v>15938</v>
      </c>
      <c r="AR1588" t="s">
        <v>15938</v>
      </c>
      <c r="AS1588" t="s">
        <v>15938</v>
      </c>
      <c r="AU1588" t="s">
        <v>396</v>
      </c>
      <c r="AV1588">
        <v>2017</v>
      </c>
      <c r="AW1588" t="str">
        <f>"37-2N-28-209T-0223-0000 "</f>
        <v xml:space="preserve">37-2N-28-209T-0223-0000 </v>
      </c>
      <c r="AX1588">
        <v>96223</v>
      </c>
      <c r="AZ1588" t="s">
        <v>15893</v>
      </c>
      <c r="BA1588" t="s">
        <v>866</v>
      </c>
      <c r="BD1588" t="s">
        <v>11749</v>
      </c>
      <c r="BE1588" t="s">
        <v>393</v>
      </c>
      <c r="BF1588">
        <v>32034</v>
      </c>
      <c r="BG1588" t="s">
        <v>15939</v>
      </c>
      <c r="BH1588" t="s">
        <v>11751</v>
      </c>
      <c r="BI1588">
        <v>-81.494230192484494</v>
      </c>
      <c r="BJ1588">
        <v>30.621382183420899</v>
      </c>
      <c r="BK1588" t="s">
        <v>15895</v>
      </c>
      <c r="BM1588" t="s">
        <v>15896</v>
      </c>
      <c r="BN1588" t="s">
        <v>15897</v>
      </c>
      <c r="BO1588">
        <v>1267</v>
      </c>
      <c r="BP1588" t="s">
        <v>404</v>
      </c>
      <c r="BQ1588">
        <v>499</v>
      </c>
      <c r="BR1588" t="s">
        <v>15097</v>
      </c>
      <c r="BS1588">
        <v>1004</v>
      </c>
      <c r="BT1588" t="s">
        <v>15098</v>
      </c>
      <c r="BW1588">
        <v>662635</v>
      </c>
      <c r="BX1588" t="s">
        <v>407</v>
      </c>
      <c r="CD1588">
        <v>2017</v>
      </c>
      <c r="CE1588">
        <v>18000</v>
      </c>
      <c r="CG1588">
        <v>18000</v>
      </c>
      <c r="CH1588">
        <v>2017</v>
      </c>
      <c r="CI1588">
        <v>18000</v>
      </c>
      <c r="CK1588">
        <v>18000</v>
      </c>
      <c r="CL1588">
        <v>2017</v>
      </c>
      <c r="CM1588">
        <v>257.56</v>
      </c>
      <c r="CN1588" s="1">
        <v>41541</v>
      </c>
      <c r="CO1588">
        <v>463500</v>
      </c>
      <c r="CZ1588" s="1">
        <v>41541</v>
      </c>
      <c r="DD1588" t="s">
        <v>11749</v>
      </c>
      <c r="DG1588">
        <v>37</v>
      </c>
      <c r="DL1588">
        <v>50303</v>
      </c>
      <c r="DM1588" t="s">
        <v>15864</v>
      </c>
      <c r="DO1588" t="s">
        <v>15940</v>
      </c>
      <c r="DP1588">
        <v>0</v>
      </c>
      <c r="DQ1588">
        <v>0</v>
      </c>
      <c r="DR1588" t="s">
        <v>411</v>
      </c>
    </row>
    <row r="1589" spans="1:122" x14ac:dyDescent="0.25">
      <c r="A1589">
        <v>16486596</v>
      </c>
      <c r="B1589">
        <v>1588</v>
      </c>
      <c r="C1589" t="s">
        <v>393</v>
      </c>
      <c r="D1589" t="s">
        <v>394</v>
      </c>
      <c r="F1589" t="str">
        <f>"37-2N-28-209T-0224-0000"</f>
        <v>37-2N-28-209T-0224-0000</v>
      </c>
      <c r="H1589" t="str">
        <f t="shared" si="565"/>
        <v>TUSCANY PRESERVE LLC</v>
      </c>
      <c r="I1589" t="str">
        <f t="shared" si="566"/>
        <v>665 SIMONDS RD</v>
      </c>
      <c r="J1589" t="str">
        <f t="shared" si="567"/>
        <v>WILLIAMSTOWN MA 01267</v>
      </c>
      <c r="K1589" t="str">
        <f>"96224 TUSCANY WAY"</f>
        <v>96224 TUSCANY WAY</v>
      </c>
      <c r="L1589" t="str">
        <f t="shared" si="575"/>
        <v>FERNANDINA BEACH FL 32034</v>
      </c>
      <c r="M1589" t="str">
        <f>"UNIT 224 PT OR 1881/181 NOT DEVELOPED/VACANT THE TUSCANY CONDO OR 1398/1500"</f>
        <v>UNIT 224 PT OR 1881/181 NOT DEVELOPED/VACANT THE TUSCANY CONDO OR 1398/1500</v>
      </c>
      <c r="N1589" t="str">
        <f>""</f>
        <v/>
      </c>
      <c r="O1589" t="str">
        <f>"43618"</f>
        <v>43618</v>
      </c>
      <c r="P1589" t="str">
        <f t="shared" si="548"/>
        <v>2017</v>
      </c>
      <c r="Q1589" t="str">
        <f>""</f>
        <v/>
      </c>
      <c r="R1589" t="str">
        <f t="shared" si="562"/>
        <v>N</v>
      </c>
      <c r="S1589" t="str">
        <f>""</f>
        <v/>
      </c>
      <c r="T1589" t="str">
        <f t="shared" si="568"/>
        <v>257.56</v>
      </c>
      <c r="U1589" t="str">
        <f t="shared" si="569"/>
        <v>15972.00</v>
      </c>
      <c r="V1589" t="str">
        <f t="shared" si="569"/>
        <v>15972.00</v>
      </c>
      <c r="W1589" t="str">
        <f t="shared" si="549"/>
        <v>2017</v>
      </c>
      <c r="X1589" t="str">
        <f>""</f>
        <v/>
      </c>
      <c r="Y1589" t="str">
        <f t="shared" si="570"/>
        <v>297.29</v>
      </c>
      <c r="Z1589" t="str">
        <f>""</f>
        <v/>
      </c>
      <c r="AA1589" t="str">
        <f t="shared" si="571"/>
        <v>18000.00</v>
      </c>
      <c r="AB1589" t="str">
        <f t="shared" si="563"/>
        <v>Residential</v>
      </c>
      <c r="AC1589" t="str">
        <f t="shared" si="558"/>
        <v>0</v>
      </c>
      <c r="AD1589" t="str">
        <f>""</f>
        <v/>
      </c>
      <c r="AE1589" t="str">
        <f>""</f>
        <v/>
      </c>
      <c r="AF1589" t="str">
        <f t="shared" si="572"/>
        <v>004</v>
      </c>
      <c r="AG1589" t="str">
        <f t="shared" si="573"/>
        <v>MA</v>
      </c>
      <c r="AH1589" t="str">
        <f t="shared" si="564"/>
        <v>-</v>
      </c>
      <c r="AI1589" t="str">
        <f t="shared" si="574"/>
        <v>18000.00</v>
      </c>
      <c r="AJ1589" t="str">
        <f>"C55-001-011-3506-9"</f>
        <v>C55-001-011-3506-9</v>
      </c>
      <c r="AK1589" t="str">
        <f>"28645"</f>
        <v>28645</v>
      </c>
      <c r="AL1589">
        <v>6</v>
      </c>
      <c r="AM1589">
        <v>1821</v>
      </c>
      <c r="AN1589">
        <v>310.55</v>
      </c>
      <c r="AQ1589" t="s">
        <v>15941</v>
      </c>
      <c r="AR1589" t="s">
        <v>15941</v>
      </c>
      <c r="AS1589" t="s">
        <v>15941</v>
      </c>
      <c r="AU1589" t="s">
        <v>396</v>
      </c>
      <c r="AV1589">
        <v>2017</v>
      </c>
      <c r="AW1589" t="str">
        <f>"37-2N-28-209T-0224-0000 "</f>
        <v xml:space="preserve">37-2N-28-209T-0224-0000 </v>
      </c>
      <c r="AX1589">
        <v>96224</v>
      </c>
      <c r="AZ1589" t="s">
        <v>15893</v>
      </c>
      <c r="BA1589" t="s">
        <v>866</v>
      </c>
      <c r="BD1589" t="s">
        <v>11749</v>
      </c>
      <c r="BE1589" t="s">
        <v>393</v>
      </c>
      <c r="BF1589">
        <v>32034</v>
      </c>
      <c r="BG1589" t="s">
        <v>15942</v>
      </c>
      <c r="BH1589" t="s">
        <v>11751</v>
      </c>
      <c r="BI1589">
        <v>-81.494230192484494</v>
      </c>
      <c r="BJ1589">
        <v>30.621382183420899</v>
      </c>
      <c r="BK1589" t="s">
        <v>15895</v>
      </c>
      <c r="BM1589" t="s">
        <v>15896</v>
      </c>
      <c r="BN1589" t="s">
        <v>15897</v>
      </c>
      <c r="BO1589">
        <v>1267</v>
      </c>
      <c r="BP1589" t="s">
        <v>404</v>
      </c>
      <c r="BQ1589">
        <v>499</v>
      </c>
      <c r="BR1589" t="s">
        <v>15097</v>
      </c>
      <c r="BS1589">
        <v>1004</v>
      </c>
      <c r="BT1589" t="s">
        <v>15098</v>
      </c>
      <c r="BW1589">
        <v>662635</v>
      </c>
      <c r="BX1589" t="s">
        <v>407</v>
      </c>
      <c r="CD1589">
        <v>2017</v>
      </c>
      <c r="CE1589">
        <v>18000</v>
      </c>
      <c r="CG1589">
        <v>18000</v>
      </c>
      <c r="CH1589">
        <v>2017</v>
      </c>
      <c r="CI1589">
        <v>18000</v>
      </c>
      <c r="CK1589">
        <v>18000</v>
      </c>
      <c r="CL1589">
        <v>2017</v>
      </c>
      <c r="CM1589">
        <v>257.56</v>
      </c>
      <c r="CN1589" s="1">
        <v>41541</v>
      </c>
      <c r="CO1589">
        <v>463500</v>
      </c>
      <c r="CZ1589" s="1">
        <v>41541</v>
      </c>
      <c r="DD1589" t="s">
        <v>11749</v>
      </c>
      <c r="DG1589">
        <v>37</v>
      </c>
      <c r="DL1589">
        <v>50303</v>
      </c>
      <c r="DM1589" t="s">
        <v>15864</v>
      </c>
      <c r="DO1589" t="s">
        <v>15943</v>
      </c>
      <c r="DP1589">
        <v>0</v>
      </c>
      <c r="DQ1589">
        <v>0</v>
      </c>
      <c r="DR1589" t="s">
        <v>411</v>
      </c>
    </row>
    <row r="1590" spans="1:122" x14ac:dyDescent="0.25">
      <c r="A1590">
        <v>16486597</v>
      </c>
      <c r="B1590">
        <v>1589</v>
      </c>
      <c r="C1590" t="s">
        <v>393</v>
      </c>
      <c r="D1590" t="s">
        <v>394</v>
      </c>
      <c r="F1590" t="str">
        <f>"37-2N-28-209T-0231-0000"</f>
        <v>37-2N-28-209T-0231-0000</v>
      </c>
      <c r="H1590" t="str">
        <f t="shared" si="565"/>
        <v>TUSCANY PRESERVE LLC</v>
      </c>
      <c r="I1590" t="str">
        <f t="shared" si="566"/>
        <v>665 SIMONDS RD</v>
      </c>
      <c r="J1590" t="str">
        <f t="shared" si="567"/>
        <v>WILLIAMSTOWN MA 01267</v>
      </c>
      <c r="K1590" t="str">
        <f>"96231 TUSCANY WAY"</f>
        <v>96231 TUSCANY WAY</v>
      </c>
      <c r="L1590" t="str">
        <f t="shared" si="575"/>
        <v>FERNANDINA BEACH FL 32034</v>
      </c>
      <c r="M1590" t="str">
        <f>"UNIT 231 PT OR 1881/181 NOT DEVELOPED/VACANT THE TUSCANY CONDO OR 1398/1500"</f>
        <v>UNIT 231 PT OR 1881/181 NOT DEVELOPED/VACANT THE TUSCANY CONDO OR 1398/1500</v>
      </c>
      <c r="N1590" t="str">
        <f>""</f>
        <v/>
      </c>
      <c r="O1590" t="str">
        <f>"43619"</f>
        <v>43619</v>
      </c>
      <c r="P1590" t="str">
        <f t="shared" si="548"/>
        <v>2017</v>
      </c>
      <c r="Q1590" t="str">
        <f>""</f>
        <v/>
      </c>
      <c r="R1590" t="str">
        <f t="shared" si="562"/>
        <v>N</v>
      </c>
      <c r="S1590" t="str">
        <f>""</f>
        <v/>
      </c>
      <c r="T1590" t="str">
        <f t="shared" si="568"/>
        <v>257.56</v>
      </c>
      <c r="U1590" t="str">
        <f t="shared" si="569"/>
        <v>15972.00</v>
      </c>
      <c r="V1590" t="str">
        <f t="shared" si="569"/>
        <v>15972.00</v>
      </c>
      <c r="W1590" t="str">
        <f t="shared" si="549"/>
        <v>2017</v>
      </c>
      <c r="X1590" t="str">
        <f>""</f>
        <v/>
      </c>
      <c r="Y1590" t="str">
        <f t="shared" si="570"/>
        <v>297.29</v>
      </c>
      <c r="Z1590" t="str">
        <f>""</f>
        <v/>
      </c>
      <c r="AA1590" t="str">
        <f t="shared" si="571"/>
        <v>18000.00</v>
      </c>
      <c r="AB1590" t="str">
        <f t="shared" si="563"/>
        <v>Residential</v>
      </c>
      <c r="AC1590" t="str">
        <f t="shared" si="558"/>
        <v>0</v>
      </c>
      <c r="AD1590" t="str">
        <f>""</f>
        <v/>
      </c>
      <c r="AE1590" t="str">
        <f>""</f>
        <v/>
      </c>
      <c r="AF1590" t="str">
        <f t="shared" si="572"/>
        <v>004</v>
      </c>
      <c r="AG1590" t="str">
        <f t="shared" si="573"/>
        <v>MA</v>
      </c>
      <c r="AH1590" t="str">
        <f t="shared" si="564"/>
        <v>-</v>
      </c>
      <c r="AI1590" t="str">
        <f t="shared" si="574"/>
        <v>18000.00</v>
      </c>
      <c r="AJ1590" t="str">
        <f>"C55-001-011-3507-7"</f>
        <v>C55-001-011-3507-7</v>
      </c>
      <c r="AK1590" t="str">
        <f>"28646"</f>
        <v>28646</v>
      </c>
      <c r="AL1590">
        <v>6</v>
      </c>
      <c r="AM1590">
        <v>1822</v>
      </c>
      <c r="AN1590">
        <v>310.55</v>
      </c>
      <c r="AQ1590" t="s">
        <v>15944</v>
      </c>
      <c r="AR1590" t="s">
        <v>15944</v>
      </c>
      <c r="AS1590" t="s">
        <v>15944</v>
      </c>
      <c r="AU1590" t="s">
        <v>396</v>
      </c>
      <c r="AV1590">
        <v>2017</v>
      </c>
      <c r="AW1590" t="str">
        <f>"37-2N-28-209T-0231-0000 "</f>
        <v xml:space="preserve">37-2N-28-209T-0231-0000 </v>
      </c>
      <c r="AX1590">
        <v>96231</v>
      </c>
      <c r="AZ1590" t="s">
        <v>15893</v>
      </c>
      <c r="BA1590" t="s">
        <v>866</v>
      </c>
      <c r="BD1590" t="s">
        <v>11749</v>
      </c>
      <c r="BE1590" t="s">
        <v>393</v>
      </c>
      <c r="BF1590">
        <v>32034</v>
      </c>
      <c r="BG1590" t="s">
        <v>15945</v>
      </c>
      <c r="BH1590" t="s">
        <v>11751</v>
      </c>
      <c r="BI1590">
        <v>-81.494230192484494</v>
      </c>
      <c r="BJ1590">
        <v>30.621382183420899</v>
      </c>
      <c r="BK1590" t="s">
        <v>15895</v>
      </c>
      <c r="BM1590" t="s">
        <v>15896</v>
      </c>
      <c r="BN1590" t="s">
        <v>15897</v>
      </c>
      <c r="BO1590">
        <v>1267</v>
      </c>
      <c r="BP1590" t="s">
        <v>404</v>
      </c>
      <c r="BQ1590">
        <v>499</v>
      </c>
      <c r="BR1590" t="s">
        <v>15097</v>
      </c>
      <c r="BS1590">
        <v>1004</v>
      </c>
      <c r="BT1590" t="s">
        <v>15098</v>
      </c>
      <c r="BW1590">
        <v>662635</v>
      </c>
      <c r="BX1590" t="s">
        <v>407</v>
      </c>
      <c r="CD1590">
        <v>2017</v>
      </c>
      <c r="CE1590">
        <v>18000</v>
      </c>
      <c r="CG1590">
        <v>18000</v>
      </c>
      <c r="CH1590">
        <v>2017</v>
      </c>
      <c r="CI1590">
        <v>18000</v>
      </c>
      <c r="CK1590">
        <v>18000</v>
      </c>
      <c r="CL1590">
        <v>2017</v>
      </c>
      <c r="CM1590">
        <v>257.56</v>
      </c>
      <c r="CN1590" s="1">
        <v>41541</v>
      </c>
      <c r="CO1590">
        <v>463500</v>
      </c>
      <c r="CZ1590" s="1">
        <v>41541</v>
      </c>
      <c r="DD1590" t="s">
        <v>11749</v>
      </c>
      <c r="DG1590">
        <v>37</v>
      </c>
      <c r="DL1590">
        <v>50303</v>
      </c>
      <c r="DM1590" t="s">
        <v>15864</v>
      </c>
      <c r="DO1590" t="s">
        <v>15946</v>
      </c>
      <c r="DP1590">
        <v>0</v>
      </c>
      <c r="DQ1590">
        <v>0</v>
      </c>
      <c r="DR1590" t="s">
        <v>411</v>
      </c>
    </row>
    <row r="1591" spans="1:122" x14ac:dyDescent="0.25">
      <c r="A1591">
        <v>16486598</v>
      </c>
      <c r="B1591">
        <v>1590</v>
      </c>
      <c r="C1591" t="s">
        <v>393</v>
      </c>
      <c r="D1591" t="s">
        <v>394</v>
      </c>
      <c r="F1591" t="str">
        <f>"37-2N-28-209T-0232-0000"</f>
        <v>37-2N-28-209T-0232-0000</v>
      </c>
      <c r="H1591" t="str">
        <f t="shared" si="565"/>
        <v>TUSCANY PRESERVE LLC</v>
      </c>
      <c r="I1591" t="str">
        <f t="shared" si="566"/>
        <v>665 SIMONDS RD</v>
      </c>
      <c r="J1591" t="str">
        <f t="shared" si="567"/>
        <v>WILLIAMSTOWN MA 01267</v>
      </c>
      <c r="K1591" t="str">
        <f>"96232 TUSCANY WAY"</f>
        <v>96232 TUSCANY WAY</v>
      </c>
      <c r="L1591" t="str">
        <f t="shared" si="575"/>
        <v>FERNANDINA BEACH FL 32034</v>
      </c>
      <c r="M1591" t="str">
        <f>"UNIT 232 PT OR 1881/181 NOT DEVELOPED/VACANT THE TUSCANY CONDO OR 1398/1500"</f>
        <v>UNIT 232 PT OR 1881/181 NOT DEVELOPED/VACANT THE TUSCANY CONDO OR 1398/1500</v>
      </c>
      <c r="N1591" t="str">
        <f>""</f>
        <v/>
      </c>
      <c r="O1591" t="str">
        <f>"43620"</f>
        <v>43620</v>
      </c>
      <c r="P1591" t="str">
        <f t="shared" si="548"/>
        <v>2017</v>
      </c>
      <c r="Q1591" t="str">
        <f>""</f>
        <v/>
      </c>
      <c r="R1591" t="str">
        <f t="shared" si="562"/>
        <v>N</v>
      </c>
      <c r="S1591" t="str">
        <f>""</f>
        <v/>
      </c>
      <c r="T1591" t="str">
        <f t="shared" si="568"/>
        <v>257.56</v>
      </c>
      <c r="U1591" t="str">
        <f t="shared" si="569"/>
        <v>15972.00</v>
      </c>
      <c r="V1591" t="str">
        <f t="shared" si="569"/>
        <v>15972.00</v>
      </c>
      <c r="W1591" t="str">
        <f t="shared" si="549"/>
        <v>2017</v>
      </c>
      <c r="X1591" t="str">
        <f>""</f>
        <v/>
      </c>
      <c r="Y1591" t="str">
        <f t="shared" si="570"/>
        <v>297.29</v>
      </c>
      <c r="Z1591" t="str">
        <f>""</f>
        <v/>
      </c>
      <c r="AA1591" t="str">
        <f t="shared" si="571"/>
        <v>18000.00</v>
      </c>
      <c r="AB1591" t="str">
        <f t="shared" si="563"/>
        <v>Residential</v>
      </c>
      <c r="AC1591" t="str">
        <f t="shared" si="558"/>
        <v>0</v>
      </c>
      <c r="AD1591" t="str">
        <f>""</f>
        <v/>
      </c>
      <c r="AE1591" t="str">
        <f>""</f>
        <v/>
      </c>
      <c r="AF1591" t="str">
        <f t="shared" si="572"/>
        <v>004</v>
      </c>
      <c r="AG1591" t="str">
        <f t="shared" si="573"/>
        <v>MA</v>
      </c>
      <c r="AH1591" t="str">
        <f t="shared" si="564"/>
        <v>-</v>
      </c>
      <c r="AI1591" t="str">
        <f t="shared" si="574"/>
        <v>18000.00</v>
      </c>
      <c r="AJ1591" t="str">
        <f>"C55-001-011-3508-5"</f>
        <v>C55-001-011-3508-5</v>
      </c>
      <c r="AK1591" t="str">
        <f>"28647"</f>
        <v>28647</v>
      </c>
      <c r="AL1591">
        <v>6</v>
      </c>
      <c r="AM1591">
        <v>1823</v>
      </c>
      <c r="AN1591">
        <v>310.55</v>
      </c>
      <c r="AQ1591" t="s">
        <v>15947</v>
      </c>
      <c r="AR1591" t="s">
        <v>15947</v>
      </c>
      <c r="AS1591" t="s">
        <v>15947</v>
      </c>
      <c r="AU1591" t="s">
        <v>396</v>
      </c>
      <c r="AV1591">
        <v>2017</v>
      </c>
      <c r="AW1591" t="str">
        <f>"37-2N-28-209T-0232-0000 "</f>
        <v xml:space="preserve">37-2N-28-209T-0232-0000 </v>
      </c>
      <c r="AX1591">
        <v>96232</v>
      </c>
      <c r="AZ1591" t="s">
        <v>15893</v>
      </c>
      <c r="BA1591" t="s">
        <v>866</v>
      </c>
      <c r="BD1591" t="s">
        <v>11749</v>
      </c>
      <c r="BE1591" t="s">
        <v>393</v>
      </c>
      <c r="BF1591">
        <v>32034</v>
      </c>
      <c r="BG1591" t="s">
        <v>15948</v>
      </c>
      <c r="BH1591" t="s">
        <v>11751</v>
      </c>
      <c r="BI1591">
        <v>-81.494230192484494</v>
      </c>
      <c r="BJ1591">
        <v>30.621382183420899</v>
      </c>
      <c r="BK1591" t="s">
        <v>15895</v>
      </c>
      <c r="BM1591" t="s">
        <v>15896</v>
      </c>
      <c r="BN1591" t="s">
        <v>15897</v>
      </c>
      <c r="BO1591">
        <v>1267</v>
      </c>
      <c r="BP1591" t="s">
        <v>404</v>
      </c>
      <c r="BQ1591">
        <v>499</v>
      </c>
      <c r="BR1591" t="s">
        <v>15097</v>
      </c>
      <c r="BS1591">
        <v>1004</v>
      </c>
      <c r="BT1591" t="s">
        <v>15098</v>
      </c>
      <c r="BW1591">
        <v>662635</v>
      </c>
      <c r="BX1591" t="s">
        <v>407</v>
      </c>
      <c r="CD1591">
        <v>2017</v>
      </c>
      <c r="CE1591">
        <v>18000</v>
      </c>
      <c r="CG1591">
        <v>18000</v>
      </c>
      <c r="CH1591">
        <v>2017</v>
      </c>
      <c r="CI1591">
        <v>18000</v>
      </c>
      <c r="CK1591">
        <v>18000</v>
      </c>
      <c r="CL1591">
        <v>2017</v>
      </c>
      <c r="CM1591">
        <v>257.56</v>
      </c>
      <c r="CN1591" s="1">
        <v>41541</v>
      </c>
      <c r="CO1591">
        <v>463500</v>
      </c>
      <c r="CZ1591" s="1">
        <v>41541</v>
      </c>
      <c r="DD1591" t="s">
        <v>11749</v>
      </c>
      <c r="DG1591">
        <v>37</v>
      </c>
      <c r="DL1591">
        <v>50303</v>
      </c>
      <c r="DM1591" t="s">
        <v>15864</v>
      </c>
      <c r="DO1591" t="s">
        <v>15949</v>
      </c>
      <c r="DP1591">
        <v>0</v>
      </c>
      <c r="DQ1591">
        <v>0</v>
      </c>
      <c r="DR1591" t="s">
        <v>411</v>
      </c>
    </row>
    <row r="1592" spans="1:122" x14ac:dyDescent="0.25">
      <c r="A1592">
        <v>16486599</v>
      </c>
      <c r="B1592">
        <v>1591</v>
      </c>
      <c r="C1592" t="s">
        <v>393</v>
      </c>
      <c r="D1592" t="s">
        <v>394</v>
      </c>
      <c r="F1592" t="str">
        <f>"37-2N-28-209T-0233-0000"</f>
        <v>37-2N-28-209T-0233-0000</v>
      </c>
      <c r="H1592" t="str">
        <f t="shared" si="565"/>
        <v>TUSCANY PRESERVE LLC</v>
      </c>
      <c r="I1592" t="str">
        <f t="shared" si="566"/>
        <v>665 SIMONDS RD</v>
      </c>
      <c r="J1592" t="str">
        <f t="shared" si="567"/>
        <v>WILLIAMSTOWN MA 01267</v>
      </c>
      <c r="K1592" t="str">
        <f>"96233 TUSCANY WAY"</f>
        <v>96233 TUSCANY WAY</v>
      </c>
      <c r="L1592" t="str">
        <f t="shared" si="575"/>
        <v>FERNANDINA BEACH FL 32034</v>
      </c>
      <c r="M1592" t="str">
        <f>"UNIT 233 PT OR 1881/181 NOT DEVELOPED/VACANT THE TUSCANY CONDO OR 1398/1500"</f>
        <v>UNIT 233 PT OR 1881/181 NOT DEVELOPED/VACANT THE TUSCANY CONDO OR 1398/1500</v>
      </c>
      <c r="N1592" t="str">
        <f>""</f>
        <v/>
      </c>
      <c r="O1592" t="str">
        <f>"43621"</f>
        <v>43621</v>
      </c>
      <c r="P1592" t="str">
        <f t="shared" si="548"/>
        <v>2017</v>
      </c>
      <c r="Q1592" t="str">
        <f>""</f>
        <v/>
      </c>
      <c r="R1592" t="str">
        <f t="shared" si="562"/>
        <v>N</v>
      </c>
      <c r="S1592" t="str">
        <f>""</f>
        <v/>
      </c>
      <c r="T1592" t="str">
        <f t="shared" si="568"/>
        <v>257.56</v>
      </c>
      <c r="U1592" t="str">
        <f t="shared" si="569"/>
        <v>15972.00</v>
      </c>
      <c r="V1592" t="str">
        <f t="shared" si="569"/>
        <v>15972.00</v>
      </c>
      <c r="W1592" t="str">
        <f t="shared" si="549"/>
        <v>2017</v>
      </c>
      <c r="X1592" t="str">
        <f>""</f>
        <v/>
      </c>
      <c r="Y1592" t="str">
        <f t="shared" si="570"/>
        <v>297.29</v>
      </c>
      <c r="Z1592" t="str">
        <f>""</f>
        <v/>
      </c>
      <c r="AA1592" t="str">
        <f t="shared" si="571"/>
        <v>18000.00</v>
      </c>
      <c r="AB1592" t="str">
        <f t="shared" si="563"/>
        <v>Residential</v>
      </c>
      <c r="AC1592" t="str">
        <f t="shared" si="558"/>
        <v>0</v>
      </c>
      <c r="AD1592" t="str">
        <f>""</f>
        <v/>
      </c>
      <c r="AE1592" t="str">
        <f>""</f>
        <v/>
      </c>
      <c r="AF1592" t="str">
        <f t="shared" si="572"/>
        <v>004</v>
      </c>
      <c r="AG1592" t="str">
        <f t="shared" si="573"/>
        <v>MA</v>
      </c>
      <c r="AH1592" t="str">
        <f t="shared" si="564"/>
        <v>-</v>
      </c>
      <c r="AI1592" t="str">
        <f t="shared" si="574"/>
        <v>18000.00</v>
      </c>
      <c r="AJ1592" t="str">
        <f>"C55-001-011-3509-3"</f>
        <v>C55-001-011-3509-3</v>
      </c>
      <c r="AK1592" t="str">
        <f>"28648"</f>
        <v>28648</v>
      </c>
      <c r="AL1592">
        <v>6</v>
      </c>
      <c r="AM1592">
        <v>1824</v>
      </c>
      <c r="AN1592">
        <v>310.55</v>
      </c>
      <c r="AQ1592" t="s">
        <v>15950</v>
      </c>
      <c r="AR1592" t="s">
        <v>15950</v>
      </c>
      <c r="AS1592" t="s">
        <v>15950</v>
      </c>
      <c r="AU1592" t="s">
        <v>396</v>
      </c>
      <c r="AV1592">
        <v>2017</v>
      </c>
      <c r="AW1592" t="str">
        <f>"37-2N-28-209T-0233-0000 "</f>
        <v xml:space="preserve">37-2N-28-209T-0233-0000 </v>
      </c>
      <c r="AX1592">
        <v>96233</v>
      </c>
      <c r="AZ1592" t="s">
        <v>15893</v>
      </c>
      <c r="BA1592" t="s">
        <v>866</v>
      </c>
      <c r="BD1592" t="s">
        <v>11749</v>
      </c>
      <c r="BE1592" t="s">
        <v>393</v>
      </c>
      <c r="BF1592">
        <v>32034</v>
      </c>
      <c r="BG1592" t="s">
        <v>15951</v>
      </c>
      <c r="BH1592" t="s">
        <v>11751</v>
      </c>
      <c r="BI1592">
        <v>-81.494230192484494</v>
      </c>
      <c r="BJ1592">
        <v>30.621382183420899</v>
      </c>
      <c r="BK1592" t="s">
        <v>15895</v>
      </c>
      <c r="BM1592" t="s">
        <v>15896</v>
      </c>
      <c r="BN1592" t="s">
        <v>15897</v>
      </c>
      <c r="BO1592">
        <v>1267</v>
      </c>
      <c r="BP1592" t="s">
        <v>404</v>
      </c>
      <c r="BQ1592">
        <v>499</v>
      </c>
      <c r="BR1592" t="s">
        <v>15097</v>
      </c>
      <c r="BS1592">
        <v>1004</v>
      </c>
      <c r="BT1592" t="s">
        <v>15098</v>
      </c>
      <c r="BW1592">
        <v>662635</v>
      </c>
      <c r="BX1592" t="s">
        <v>407</v>
      </c>
      <c r="CD1592">
        <v>2017</v>
      </c>
      <c r="CE1592">
        <v>18000</v>
      </c>
      <c r="CG1592">
        <v>18000</v>
      </c>
      <c r="CH1592">
        <v>2017</v>
      </c>
      <c r="CI1592">
        <v>18000</v>
      </c>
      <c r="CK1592">
        <v>18000</v>
      </c>
      <c r="CL1592">
        <v>2017</v>
      </c>
      <c r="CM1592">
        <v>257.56</v>
      </c>
      <c r="CN1592" s="1">
        <v>41541</v>
      </c>
      <c r="CO1592">
        <v>463500</v>
      </c>
      <c r="CZ1592" s="1">
        <v>41541</v>
      </c>
      <c r="DD1592" t="s">
        <v>11749</v>
      </c>
      <c r="DG1592">
        <v>37</v>
      </c>
      <c r="DL1592">
        <v>50303</v>
      </c>
      <c r="DM1592" t="s">
        <v>15864</v>
      </c>
      <c r="DO1592" t="s">
        <v>15952</v>
      </c>
      <c r="DP1592">
        <v>0</v>
      </c>
      <c r="DQ1592">
        <v>0</v>
      </c>
      <c r="DR1592" t="s">
        <v>411</v>
      </c>
    </row>
    <row r="1593" spans="1:122" x14ac:dyDescent="0.25">
      <c r="A1593">
        <v>16486600</v>
      </c>
      <c r="B1593">
        <v>1592</v>
      </c>
      <c r="C1593" t="s">
        <v>393</v>
      </c>
      <c r="D1593" t="s">
        <v>394</v>
      </c>
      <c r="F1593" t="str">
        <f>"37-2N-28-209T-0234-0000"</f>
        <v>37-2N-28-209T-0234-0000</v>
      </c>
      <c r="H1593" t="str">
        <f t="shared" si="565"/>
        <v>TUSCANY PRESERVE LLC</v>
      </c>
      <c r="I1593" t="str">
        <f t="shared" si="566"/>
        <v>665 SIMONDS RD</v>
      </c>
      <c r="J1593" t="str">
        <f t="shared" si="567"/>
        <v>WILLIAMSTOWN MA 01267</v>
      </c>
      <c r="K1593" t="str">
        <f>"96234 TUSCANY WAY"</f>
        <v>96234 TUSCANY WAY</v>
      </c>
      <c r="L1593" t="str">
        <f t="shared" si="575"/>
        <v>FERNANDINA BEACH FL 32034</v>
      </c>
      <c r="M1593" t="str">
        <f>"UNIT 234 PT OR 1881/181 NOT DEVELOPED/VACANT THE TUSCANY CONDO OR 1398/1500"</f>
        <v>UNIT 234 PT OR 1881/181 NOT DEVELOPED/VACANT THE TUSCANY CONDO OR 1398/1500</v>
      </c>
      <c r="N1593" t="str">
        <f>""</f>
        <v/>
      </c>
      <c r="O1593" t="str">
        <f>"43622"</f>
        <v>43622</v>
      </c>
      <c r="P1593" t="str">
        <f t="shared" si="548"/>
        <v>2017</v>
      </c>
      <c r="Q1593" t="str">
        <f>""</f>
        <v/>
      </c>
      <c r="R1593" t="str">
        <f t="shared" si="562"/>
        <v>N</v>
      </c>
      <c r="S1593" t="str">
        <f>""</f>
        <v/>
      </c>
      <c r="T1593" t="str">
        <f t="shared" si="568"/>
        <v>257.56</v>
      </c>
      <c r="U1593" t="str">
        <f t="shared" si="569"/>
        <v>15972.00</v>
      </c>
      <c r="V1593" t="str">
        <f t="shared" si="569"/>
        <v>15972.00</v>
      </c>
      <c r="W1593" t="str">
        <f t="shared" si="549"/>
        <v>2017</v>
      </c>
      <c r="X1593" t="str">
        <f>""</f>
        <v/>
      </c>
      <c r="Y1593" t="str">
        <f t="shared" si="570"/>
        <v>297.29</v>
      </c>
      <c r="Z1593" t="str">
        <f>""</f>
        <v/>
      </c>
      <c r="AA1593" t="str">
        <f t="shared" si="571"/>
        <v>18000.00</v>
      </c>
      <c r="AB1593" t="str">
        <f t="shared" si="563"/>
        <v>Residential</v>
      </c>
      <c r="AC1593" t="str">
        <f t="shared" si="558"/>
        <v>0</v>
      </c>
      <c r="AD1593" t="str">
        <f>""</f>
        <v/>
      </c>
      <c r="AE1593" t="str">
        <f>""</f>
        <v/>
      </c>
      <c r="AF1593" t="str">
        <f t="shared" si="572"/>
        <v>004</v>
      </c>
      <c r="AG1593" t="str">
        <f t="shared" si="573"/>
        <v>MA</v>
      </c>
      <c r="AH1593" t="str">
        <f t="shared" si="564"/>
        <v>-</v>
      </c>
      <c r="AI1593" t="str">
        <f t="shared" si="574"/>
        <v>18000.00</v>
      </c>
      <c r="AJ1593" t="str">
        <f>"C55-001-011-3510-1"</f>
        <v>C55-001-011-3510-1</v>
      </c>
      <c r="AK1593" t="str">
        <f>"28649"</f>
        <v>28649</v>
      </c>
      <c r="AL1593">
        <v>6</v>
      </c>
      <c r="AM1593">
        <v>1825</v>
      </c>
      <c r="AN1593">
        <v>310.55</v>
      </c>
      <c r="AQ1593" t="s">
        <v>15953</v>
      </c>
      <c r="AR1593" t="s">
        <v>15953</v>
      </c>
      <c r="AS1593" t="s">
        <v>15953</v>
      </c>
      <c r="AU1593" t="s">
        <v>396</v>
      </c>
      <c r="AV1593">
        <v>2017</v>
      </c>
      <c r="AW1593" t="str">
        <f>"37-2N-28-209T-0234-0000 "</f>
        <v xml:space="preserve">37-2N-28-209T-0234-0000 </v>
      </c>
      <c r="AX1593">
        <v>96234</v>
      </c>
      <c r="AZ1593" t="s">
        <v>15893</v>
      </c>
      <c r="BA1593" t="s">
        <v>866</v>
      </c>
      <c r="BD1593" t="s">
        <v>11749</v>
      </c>
      <c r="BE1593" t="s">
        <v>393</v>
      </c>
      <c r="BF1593">
        <v>32034</v>
      </c>
      <c r="BG1593" t="s">
        <v>15954</v>
      </c>
      <c r="BH1593" t="s">
        <v>11751</v>
      </c>
      <c r="BI1593">
        <v>-81.494230192484494</v>
      </c>
      <c r="BJ1593">
        <v>30.621382183420899</v>
      </c>
      <c r="BK1593" t="s">
        <v>15895</v>
      </c>
      <c r="BM1593" t="s">
        <v>15896</v>
      </c>
      <c r="BN1593" t="s">
        <v>15897</v>
      </c>
      <c r="BO1593">
        <v>1267</v>
      </c>
      <c r="BP1593" t="s">
        <v>404</v>
      </c>
      <c r="BQ1593">
        <v>499</v>
      </c>
      <c r="BR1593" t="s">
        <v>15097</v>
      </c>
      <c r="BS1593">
        <v>1004</v>
      </c>
      <c r="BT1593" t="s">
        <v>15098</v>
      </c>
      <c r="BW1593">
        <v>662635</v>
      </c>
      <c r="BX1593" t="s">
        <v>407</v>
      </c>
      <c r="CD1593">
        <v>2017</v>
      </c>
      <c r="CE1593">
        <v>18000</v>
      </c>
      <c r="CG1593">
        <v>18000</v>
      </c>
      <c r="CH1593">
        <v>2017</v>
      </c>
      <c r="CI1593">
        <v>18000</v>
      </c>
      <c r="CK1593">
        <v>18000</v>
      </c>
      <c r="CL1593">
        <v>2017</v>
      </c>
      <c r="CM1593">
        <v>257.56</v>
      </c>
      <c r="CN1593" s="1">
        <v>41541</v>
      </c>
      <c r="CO1593">
        <v>463500</v>
      </c>
      <c r="CZ1593" s="1">
        <v>41541</v>
      </c>
      <c r="DD1593" t="s">
        <v>11749</v>
      </c>
      <c r="DG1593">
        <v>37</v>
      </c>
      <c r="DL1593">
        <v>50303</v>
      </c>
      <c r="DM1593" t="s">
        <v>15864</v>
      </c>
      <c r="DO1593" t="s">
        <v>15955</v>
      </c>
      <c r="DP1593">
        <v>0</v>
      </c>
      <c r="DQ1593">
        <v>0</v>
      </c>
      <c r="DR1593" t="s">
        <v>411</v>
      </c>
    </row>
    <row r="1594" spans="1:122" x14ac:dyDescent="0.25">
      <c r="A1594">
        <v>16486601</v>
      </c>
      <c r="B1594">
        <v>1593</v>
      </c>
      <c r="C1594" t="s">
        <v>393</v>
      </c>
      <c r="D1594" t="s">
        <v>394</v>
      </c>
      <c r="F1594" t="str">
        <f>"37-2N-28-209T-0241-0000"</f>
        <v>37-2N-28-209T-0241-0000</v>
      </c>
      <c r="H1594" t="str">
        <f t="shared" si="565"/>
        <v>TUSCANY PRESERVE LLC</v>
      </c>
      <c r="I1594" t="str">
        <f t="shared" si="566"/>
        <v>665 SIMONDS RD</v>
      </c>
      <c r="J1594" t="str">
        <f t="shared" si="567"/>
        <v>WILLIAMSTOWN MA 01267</v>
      </c>
      <c r="K1594" t="str">
        <f>"96241 TUSCANY WAY"</f>
        <v>96241 TUSCANY WAY</v>
      </c>
      <c r="L1594" t="str">
        <f t="shared" si="575"/>
        <v>FERNANDINA BEACH FL 32034</v>
      </c>
      <c r="M1594" t="str">
        <f>"UNIT 241 PT OR 1881/181 NOT DEVELOPED/VACANT THE TUSCANY CONDO OR 1398/1500"</f>
        <v>UNIT 241 PT OR 1881/181 NOT DEVELOPED/VACANT THE TUSCANY CONDO OR 1398/1500</v>
      </c>
      <c r="N1594" t="str">
        <f>""</f>
        <v/>
      </c>
      <c r="O1594" t="str">
        <f>"43623"</f>
        <v>43623</v>
      </c>
      <c r="P1594" t="str">
        <f t="shared" si="548"/>
        <v>2017</v>
      </c>
      <c r="Q1594" t="str">
        <f>""</f>
        <v/>
      </c>
      <c r="R1594" t="str">
        <f t="shared" si="562"/>
        <v>N</v>
      </c>
      <c r="S1594" t="str">
        <f>""</f>
        <v/>
      </c>
      <c r="T1594" t="str">
        <f t="shared" si="568"/>
        <v>257.56</v>
      </c>
      <c r="U1594" t="str">
        <f t="shared" ref="U1594:V1609" si="576">"15972.00"</f>
        <v>15972.00</v>
      </c>
      <c r="V1594" t="str">
        <f t="shared" si="576"/>
        <v>15972.00</v>
      </c>
      <c r="W1594" t="str">
        <f t="shared" si="549"/>
        <v>2017</v>
      </c>
      <c r="X1594" t="str">
        <f>""</f>
        <v/>
      </c>
      <c r="Y1594" t="str">
        <f t="shared" si="570"/>
        <v>297.29</v>
      </c>
      <c r="Z1594" t="str">
        <f>""</f>
        <v/>
      </c>
      <c r="AA1594" t="str">
        <f t="shared" si="571"/>
        <v>18000.00</v>
      </c>
      <c r="AB1594" t="str">
        <f t="shared" si="563"/>
        <v>Residential</v>
      </c>
      <c r="AC1594" t="str">
        <f t="shared" si="558"/>
        <v>0</v>
      </c>
      <c r="AD1594" t="str">
        <f>""</f>
        <v/>
      </c>
      <c r="AE1594" t="str">
        <f>""</f>
        <v/>
      </c>
      <c r="AF1594" t="str">
        <f t="shared" si="572"/>
        <v>004</v>
      </c>
      <c r="AG1594" t="str">
        <f t="shared" si="573"/>
        <v>MA</v>
      </c>
      <c r="AH1594" t="str">
        <f t="shared" si="564"/>
        <v>-</v>
      </c>
      <c r="AI1594" t="str">
        <f t="shared" si="574"/>
        <v>18000.00</v>
      </c>
      <c r="AJ1594" t="str">
        <f>"C55-001-011-3511-9"</f>
        <v>C55-001-011-3511-9</v>
      </c>
      <c r="AK1594" t="str">
        <f>"28650"</f>
        <v>28650</v>
      </c>
      <c r="AL1594">
        <v>6</v>
      </c>
      <c r="AM1594">
        <v>1826</v>
      </c>
      <c r="AN1594">
        <v>310.55</v>
      </c>
      <c r="AQ1594" t="s">
        <v>15956</v>
      </c>
      <c r="AR1594" t="s">
        <v>15956</v>
      </c>
      <c r="AS1594" t="s">
        <v>15956</v>
      </c>
      <c r="AU1594" t="s">
        <v>396</v>
      </c>
      <c r="AV1594">
        <v>2017</v>
      </c>
      <c r="AW1594" t="str">
        <f>"37-2N-28-209T-0241-0000 "</f>
        <v xml:space="preserve">37-2N-28-209T-0241-0000 </v>
      </c>
      <c r="AX1594">
        <v>96241</v>
      </c>
      <c r="AZ1594" t="s">
        <v>15893</v>
      </c>
      <c r="BA1594" t="s">
        <v>866</v>
      </c>
      <c r="BD1594" t="s">
        <v>11749</v>
      </c>
      <c r="BE1594" t="s">
        <v>393</v>
      </c>
      <c r="BF1594">
        <v>32034</v>
      </c>
      <c r="BG1594" t="s">
        <v>15957</v>
      </c>
      <c r="BH1594" t="s">
        <v>11751</v>
      </c>
      <c r="BI1594">
        <v>-81.494230192484494</v>
      </c>
      <c r="BJ1594">
        <v>30.621382183420899</v>
      </c>
      <c r="BK1594" t="s">
        <v>15895</v>
      </c>
      <c r="BM1594" t="s">
        <v>15896</v>
      </c>
      <c r="BN1594" t="s">
        <v>15897</v>
      </c>
      <c r="BO1594">
        <v>1267</v>
      </c>
      <c r="BP1594" t="s">
        <v>404</v>
      </c>
      <c r="BQ1594">
        <v>499</v>
      </c>
      <c r="BR1594" t="s">
        <v>15097</v>
      </c>
      <c r="BS1594">
        <v>1004</v>
      </c>
      <c r="BT1594" t="s">
        <v>15098</v>
      </c>
      <c r="BW1594">
        <v>662635</v>
      </c>
      <c r="BX1594" t="s">
        <v>407</v>
      </c>
      <c r="CD1594">
        <v>2017</v>
      </c>
      <c r="CE1594">
        <v>18000</v>
      </c>
      <c r="CG1594">
        <v>18000</v>
      </c>
      <c r="CH1594">
        <v>2017</v>
      </c>
      <c r="CI1594">
        <v>18000</v>
      </c>
      <c r="CK1594">
        <v>18000</v>
      </c>
      <c r="CL1594">
        <v>2017</v>
      </c>
      <c r="CM1594">
        <v>257.56</v>
      </c>
      <c r="CN1594" s="1">
        <v>41541</v>
      </c>
      <c r="CO1594">
        <v>463500</v>
      </c>
      <c r="CZ1594" s="1">
        <v>41541</v>
      </c>
      <c r="DD1594" t="s">
        <v>11749</v>
      </c>
      <c r="DG1594">
        <v>37</v>
      </c>
      <c r="DL1594">
        <v>50303</v>
      </c>
      <c r="DM1594" t="s">
        <v>15864</v>
      </c>
      <c r="DO1594" t="s">
        <v>15958</v>
      </c>
      <c r="DP1594">
        <v>0</v>
      </c>
      <c r="DQ1594">
        <v>0</v>
      </c>
      <c r="DR1594" t="s">
        <v>411</v>
      </c>
    </row>
    <row r="1595" spans="1:122" x14ac:dyDescent="0.25">
      <c r="A1595">
        <v>16486602</v>
      </c>
      <c r="B1595">
        <v>1594</v>
      </c>
      <c r="C1595" t="s">
        <v>393</v>
      </c>
      <c r="D1595" t="s">
        <v>394</v>
      </c>
      <c r="F1595" t="str">
        <f>"37-2N-28-209T-0242-0000"</f>
        <v>37-2N-28-209T-0242-0000</v>
      </c>
      <c r="H1595" t="str">
        <f t="shared" si="565"/>
        <v>TUSCANY PRESERVE LLC</v>
      </c>
      <c r="I1595" t="str">
        <f t="shared" si="566"/>
        <v>665 SIMONDS RD</v>
      </c>
      <c r="J1595" t="str">
        <f t="shared" si="567"/>
        <v>WILLIAMSTOWN MA 01267</v>
      </c>
      <c r="K1595" t="str">
        <f>"96242 TUSCANY WAY"</f>
        <v>96242 TUSCANY WAY</v>
      </c>
      <c r="L1595" t="str">
        <f t="shared" si="575"/>
        <v>FERNANDINA BEACH FL 32034</v>
      </c>
      <c r="M1595" t="str">
        <f>"UNIT 242 PT OR 1881/181 NOT DEVELOPED/VACANT THE TUSCANY CONDO OR 1398/1500"</f>
        <v>UNIT 242 PT OR 1881/181 NOT DEVELOPED/VACANT THE TUSCANY CONDO OR 1398/1500</v>
      </c>
      <c r="N1595" t="str">
        <f>""</f>
        <v/>
      </c>
      <c r="O1595" t="str">
        <f>"43624"</f>
        <v>43624</v>
      </c>
      <c r="P1595" t="str">
        <f t="shared" si="548"/>
        <v>2017</v>
      </c>
      <c r="Q1595" t="str">
        <f>""</f>
        <v/>
      </c>
      <c r="R1595" t="str">
        <f t="shared" si="562"/>
        <v>N</v>
      </c>
      <c r="S1595" t="str">
        <f>""</f>
        <v/>
      </c>
      <c r="T1595" t="str">
        <f t="shared" si="568"/>
        <v>257.56</v>
      </c>
      <c r="U1595" t="str">
        <f t="shared" si="576"/>
        <v>15972.00</v>
      </c>
      <c r="V1595" t="str">
        <f t="shared" si="576"/>
        <v>15972.00</v>
      </c>
      <c r="W1595" t="str">
        <f t="shared" si="549"/>
        <v>2017</v>
      </c>
      <c r="X1595" t="str">
        <f>""</f>
        <v/>
      </c>
      <c r="Y1595" t="str">
        <f t="shared" si="570"/>
        <v>297.29</v>
      </c>
      <c r="Z1595" t="str">
        <f>""</f>
        <v/>
      </c>
      <c r="AA1595" t="str">
        <f t="shared" si="571"/>
        <v>18000.00</v>
      </c>
      <c r="AB1595" t="str">
        <f t="shared" si="563"/>
        <v>Residential</v>
      </c>
      <c r="AC1595" t="str">
        <f t="shared" si="558"/>
        <v>0</v>
      </c>
      <c r="AD1595" t="str">
        <f>""</f>
        <v/>
      </c>
      <c r="AE1595" t="str">
        <f>""</f>
        <v/>
      </c>
      <c r="AF1595" t="str">
        <f t="shared" si="572"/>
        <v>004</v>
      </c>
      <c r="AG1595" t="str">
        <f t="shared" si="573"/>
        <v>MA</v>
      </c>
      <c r="AH1595" t="str">
        <f t="shared" si="564"/>
        <v>-</v>
      </c>
      <c r="AI1595" t="str">
        <f t="shared" si="574"/>
        <v>18000.00</v>
      </c>
      <c r="AJ1595" t="str">
        <f>"C55-001-011-3512-7"</f>
        <v>C55-001-011-3512-7</v>
      </c>
      <c r="AK1595" t="str">
        <f>"28651"</f>
        <v>28651</v>
      </c>
      <c r="AL1595">
        <v>6</v>
      </c>
      <c r="AM1595">
        <v>1827</v>
      </c>
      <c r="AN1595">
        <v>310.55</v>
      </c>
      <c r="AQ1595" t="s">
        <v>15959</v>
      </c>
      <c r="AR1595" t="s">
        <v>15959</v>
      </c>
      <c r="AS1595" t="s">
        <v>15959</v>
      </c>
      <c r="AU1595" t="s">
        <v>396</v>
      </c>
      <c r="AV1595">
        <v>2017</v>
      </c>
      <c r="AW1595" t="str">
        <f>"37-2N-28-209T-0242-0000 "</f>
        <v xml:space="preserve">37-2N-28-209T-0242-0000 </v>
      </c>
      <c r="AX1595">
        <v>96242</v>
      </c>
      <c r="AZ1595" t="s">
        <v>15893</v>
      </c>
      <c r="BA1595" t="s">
        <v>866</v>
      </c>
      <c r="BD1595" t="s">
        <v>11749</v>
      </c>
      <c r="BE1595" t="s">
        <v>393</v>
      </c>
      <c r="BF1595">
        <v>32034</v>
      </c>
      <c r="BG1595" t="s">
        <v>15960</v>
      </c>
      <c r="BH1595" t="s">
        <v>11751</v>
      </c>
      <c r="BI1595">
        <v>-81.494230192484494</v>
      </c>
      <c r="BJ1595">
        <v>30.621382183420899</v>
      </c>
      <c r="BK1595" t="s">
        <v>15895</v>
      </c>
      <c r="BM1595" t="s">
        <v>15896</v>
      </c>
      <c r="BN1595" t="s">
        <v>15897</v>
      </c>
      <c r="BO1595">
        <v>1267</v>
      </c>
      <c r="BP1595" t="s">
        <v>404</v>
      </c>
      <c r="BQ1595">
        <v>499</v>
      </c>
      <c r="BR1595" t="s">
        <v>15097</v>
      </c>
      <c r="BS1595">
        <v>1004</v>
      </c>
      <c r="BT1595" t="s">
        <v>15098</v>
      </c>
      <c r="BW1595">
        <v>662635</v>
      </c>
      <c r="BX1595" t="s">
        <v>407</v>
      </c>
      <c r="CD1595">
        <v>2017</v>
      </c>
      <c r="CE1595">
        <v>18000</v>
      </c>
      <c r="CG1595">
        <v>18000</v>
      </c>
      <c r="CH1595">
        <v>2017</v>
      </c>
      <c r="CI1595">
        <v>18000</v>
      </c>
      <c r="CK1595">
        <v>18000</v>
      </c>
      <c r="CL1595">
        <v>2017</v>
      </c>
      <c r="CM1595">
        <v>257.56</v>
      </c>
      <c r="CN1595" s="1">
        <v>41541</v>
      </c>
      <c r="CO1595">
        <v>463500</v>
      </c>
      <c r="CZ1595" s="1">
        <v>41541</v>
      </c>
      <c r="DD1595" t="s">
        <v>11749</v>
      </c>
      <c r="DG1595">
        <v>37</v>
      </c>
      <c r="DL1595">
        <v>50303</v>
      </c>
      <c r="DM1595" t="s">
        <v>15864</v>
      </c>
      <c r="DO1595" t="s">
        <v>15961</v>
      </c>
      <c r="DP1595">
        <v>0</v>
      </c>
      <c r="DQ1595">
        <v>0</v>
      </c>
      <c r="DR1595" t="s">
        <v>411</v>
      </c>
    </row>
    <row r="1596" spans="1:122" x14ac:dyDescent="0.25">
      <c r="A1596">
        <v>16486603</v>
      </c>
      <c r="B1596">
        <v>1595</v>
      </c>
      <c r="C1596" t="s">
        <v>393</v>
      </c>
      <c r="D1596" t="s">
        <v>394</v>
      </c>
      <c r="F1596" t="str">
        <f>"37-2N-28-209T-0243-0000"</f>
        <v>37-2N-28-209T-0243-0000</v>
      </c>
      <c r="H1596" t="str">
        <f t="shared" si="565"/>
        <v>TUSCANY PRESERVE LLC</v>
      </c>
      <c r="I1596" t="str">
        <f t="shared" si="566"/>
        <v>665 SIMONDS RD</v>
      </c>
      <c r="J1596" t="str">
        <f t="shared" si="567"/>
        <v>WILLIAMSTOWN MA 01267</v>
      </c>
      <c r="K1596" t="str">
        <f>"96243 TUSCANY WAY"</f>
        <v>96243 TUSCANY WAY</v>
      </c>
      <c r="L1596" t="str">
        <f t="shared" si="575"/>
        <v>FERNANDINA BEACH FL 32034</v>
      </c>
      <c r="M1596" t="str">
        <f>"UNIT 243 PT OR 1881/181 NOT DEVELOPED/VACANT THE TUSCANY CONDO OR 1398/1500"</f>
        <v>UNIT 243 PT OR 1881/181 NOT DEVELOPED/VACANT THE TUSCANY CONDO OR 1398/1500</v>
      </c>
      <c r="N1596" t="str">
        <f>""</f>
        <v/>
      </c>
      <c r="O1596" t="str">
        <f>"43625"</f>
        <v>43625</v>
      </c>
      <c r="P1596" t="str">
        <f t="shared" si="548"/>
        <v>2017</v>
      </c>
      <c r="Q1596" t="str">
        <f>""</f>
        <v/>
      </c>
      <c r="R1596" t="str">
        <f t="shared" si="562"/>
        <v>N</v>
      </c>
      <c r="S1596" t="str">
        <f>""</f>
        <v/>
      </c>
      <c r="T1596" t="str">
        <f t="shared" si="568"/>
        <v>257.56</v>
      </c>
      <c r="U1596" t="str">
        <f t="shared" si="576"/>
        <v>15972.00</v>
      </c>
      <c r="V1596" t="str">
        <f t="shared" si="576"/>
        <v>15972.00</v>
      </c>
      <c r="W1596" t="str">
        <f t="shared" si="549"/>
        <v>2017</v>
      </c>
      <c r="X1596" t="str">
        <f>""</f>
        <v/>
      </c>
      <c r="Y1596" t="str">
        <f t="shared" si="570"/>
        <v>297.29</v>
      </c>
      <c r="Z1596" t="str">
        <f>""</f>
        <v/>
      </c>
      <c r="AA1596" t="str">
        <f t="shared" si="571"/>
        <v>18000.00</v>
      </c>
      <c r="AB1596" t="str">
        <f t="shared" si="563"/>
        <v>Residential</v>
      </c>
      <c r="AC1596" t="str">
        <f t="shared" si="558"/>
        <v>0</v>
      </c>
      <c r="AD1596" t="str">
        <f>""</f>
        <v/>
      </c>
      <c r="AE1596" t="str">
        <f>""</f>
        <v/>
      </c>
      <c r="AF1596" t="str">
        <f t="shared" si="572"/>
        <v>004</v>
      </c>
      <c r="AG1596" t="str">
        <f t="shared" si="573"/>
        <v>MA</v>
      </c>
      <c r="AH1596" t="str">
        <f t="shared" si="564"/>
        <v>-</v>
      </c>
      <c r="AI1596" t="str">
        <f t="shared" si="574"/>
        <v>18000.00</v>
      </c>
      <c r="AJ1596" t="str">
        <f>"C55-001-011-3513-5"</f>
        <v>C55-001-011-3513-5</v>
      </c>
      <c r="AK1596" t="str">
        <f>"28652"</f>
        <v>28652</v>
      </c>
      <c r="AL1596">
        <v>6</v>
      </c>
      <c r="AM1596">
        <v>1828</v>
      </c>
      <c r="AN1596">
        <v>310.55</v>
      </c>
      <c r="AQ1596" t="s">
        <v>15962</v>
      </c>
      <c r="AR1596" t="s">
        <v>15962</v>
      </c>
      <c r="AS1596" t="s">
        <v>15962</v>
      </c>
      <c r="AU1596" t="s">
        <v>396</v>
      </c>
      <c r="AV1596">
        <v>2017</v>
      </c>
      <c r="AW1596" t="str">
        <f>"37-2N-28-209T-0243-0000 "</f>
        <v xml:space="preserve">37-2N-28-209T-0243-0000 </v>
      </c>
      <c r="AX1596">
        <v>96243</v>
      </c>
      <c r="AZ1596" t="s">
        <v>15893</v>
      </c>
      <c r="BA1596" t="s">
        <v>866</v>
      </c>
      <c r="BD1596" t="s">
        <v>11749</v>
      </c>
      <c r="BE1596" t="s">
        <v>393</v>
      </c>
      <c r="BF1596">
        <v>32034</v>
      </c>
      <c r="BG1596" t="s">
        <v>15963</v>
      </c>
      <c r="BH1596" t="s">
        <v>11751</v>
      </c>
      <c r="BI1596">
        <v>-81.494230192484494</v>
      </c>
      <c r="BJ1596">
        <v>30.621382183420899</v>
      </c>
      <c r="BK1596" t="s">
        <v>15895</v>
      </c>
      <c r="BM1596" t="s">
        <v>15896</v>
      </c>
      <c r="BN1596" t="s">
        <v>15897</v>
      </c>
      <c r="BO1596">
        <v>1267</v>
      </c>
      <c r="BP1596" t="s">
        <v>404</v>
      </c>
      <c r="BQ1596">
        <v>499</v>
      </c>
      <c r="BR1596" t="s">
        <v>15097</v>
      </c>
      <c r="BS1596">
        <v>1004</v>
      </c>
      <c r="BT1596" t="s">
        <v>15098</v>
      </c>
      <c r="BW1596">
        <v>662635</v>
      </c>
      <c r="BX1596" t="s">
        <v>407</v>
      </c>
      <c r="CD1596">
        <v>2017</v>
      </c>
      <c r="CE1596">
        <v>18000</v>
      </c>
      <c r="CG1596">
        <v>18000</v>
      </c>
      <c r="CH1596">
        <v>2017</v>
      </c>
      <c r="CI1596">
        <v>18000</v>
      </c>
      <c r="CK1596">
        <v>18000</v>
      </c>
      <c r="CL1596">
        <v>2017</v>
      </c>
      <c r="CM1596">
        <v>257.56</v>
      </c>
      <c r="CN1596" s="1">
        <v>41541</v>
      </c>
      <c r="CO1596">
        <v>463500</v>
      </c>
      <c r="CZ1596" s="1">
        <v>41541</v>
      </c>
      <c r="DD1596" t="s">
        <v>11749</v>
      </c>
      <c r="DG1596">
        <v>37</v>
      </c>
      <c r="DL1596">
        <v>50303</v>
      </c>
      <c r="DM1596" t="s">
        <v>15864</v>
      </c>
      <c r="DO1596" t="s">
        <v>15964</v>
      </c>
      <c r="DP1596">
        <v>0</v>
      </c>
      <c r="DQ1596">
        <v>0</v>
      </c>
      <c r="DR1596" t="s">
        <v>411</v>
      </c>
    </row>
    <row r="1597" spans="1:122" x14ac:dyDescent="0.25">
      <c r="A1597">
        <v>16486604</v>
      </c>
      <c r="B1597">
        <v>1596</v>
      </c>
      <c r="C1597" t="s">
        <v>393</v>
      </c>
      <c r="D1597" t="s">
        <v>394</v>
      </c>
      <c r="F1597" t="str">
        <f>"37-2N-28-209T-0244-0000"</f>
        <v>37-2N-28-209T-0244-0000</v>
      </c>
      <c r="H1597" t="str">
        <f t="shared" si="565"/>
        <v>TUSCANY PRESERVE LLC</v>
      </c>
      <c r="I1597" t="str">
        <f t="shared" si="566"/>
        <v>665 SIMONDS RD</v>
      </c>
      <c r="J1597" t="str">
        <f t="shared" si="567"/>
        <v>WILLIAMSTOWN MA 01267</v>
      </c>
      <c r="K1597" t="str">
        <f>"96244 TUSCANY WAY"</f>
        <v>96244 TUSCANY WAY</v>
      </c>
      <c r="L1597" t="str">
        <f t="shared" si="575"/>
        <v>FERNANDINA BEACH FL 32034</v>
      </c>
      <c r="M1597" t="str">
        <f>"UNIT 244 PT OR 1881/181 NOT DEVELOPED/VACANT THE TUSCANY CONDO OR 1398/1500"</f>
        <v>UNIT 244 PT OR 1881/181 NOT DEVELOPED/VACANT THE TUSCANY CONDO OR 1398/1500</v>
      </c>
      <c r="N1597" t="str">
        <f>""</f>
        <v/>
      </c>
      <c r="O1597" t="str">
        <f>"43626"</f>
        <v>43626</v>
      </c>
      <c r="P1597" t="str">
        <f t="shared" si="548"/>
        <v>2017</v>
      </c>
      <c r="Q1597" t="str">
        <f>""</f>
        <v/>
      </c>
      <c r="R1597" t="str">
        <f t="shared" si="562"/>
        <v>N</v>
      </c>
      <c r="S1597" t="str">
        <f>""</f>
        <v/>
      </c>
      <c r="T1597" t="str">
        <f t="shared" si="568"/>
        <v>257.56</v>
      </c>
      <c r="U1597" t="str">
        <f t="shared" si="576"/>
        <v>15972.00</v>
      </c>
      <c r="V1597" t="str">
        <f t="shared" si="576"/>
        <v>15972.00</v>
      </c>
      <c r="W1597" t="str">
        <f t="shared" si="549"/>
        <v>2017</v>
      </c>
      <c r="X1597" t="str">
        <f>""</f>
        <v/>
      </c>
      <c r="Y1597" t="str">
        <f t="shared" si="570"/>
        <v>297.29</v>
      </c>
      <c r="Z1597" t="str">
        <f>""</f>
        <v/>
      </c>
      <c r="AA1597" t="str">
        <f t="shared" si="571"/>
        <v>18000.00</v>
      </c>
      <c r="AB1597" t="str">
        <f t="shared" si="563"/>
        <v>Residential</v>
      </c>
      <c r="AC1597" t="str">
        <f t="shared" si="558"/>
        <v>0</v>
      </c>
      <c r="AD1597" t="str">
        <f>""</f>
        <v/>
      </c>
      <c r="AE1597" t="str">
        <f>""</f>
        <v/>
      </c>
      <c r="AF1597" t="str">
        <f t="shared" si="572"/>
        <v>004</v>
      </c>
      <c r="AG1597" t="str">
        <f t="shared" si="573"/>
        <v>MA</v>
      </c>
      <c r="AH1597" t="str">
        <f t="shared" si="564"/>
        <v>-</v>
      </c>
      <c r="AI1597" t="str">
        <f t="shared" si="574"/>
        <v>18000.00</v>
      </c>
      <c r="AJ1597" t="str">
        <f>"C55-001-011-3514-3"</f>
        <v>C55-001-011-3514-3</v>
      </c>
      <c r="AK1597" t="str">
        <f>"28653"</f>
        <v>28653</v>
      </c>
      <c r="AL1597">
        <v>6</v>
      </c>
      <c r="AM1597">
        <v>1829</v>
      </c>
      <c r="AN1597">
        <v>310.55</v>
      </c>
      <c r="AQ1597" t="s">
        <v>15965</v>
      </c>
      <c r="AR1597" t="s">
        <v>15965</v>
      </c>
      <c r="AS1597" t="s">
        <v>15965</v>
      </c>
      <c r="AU1597" t="s">
        <v>396</v>
      </c>
      <c r="AV1597">
        <v>2017</v>
      </c>
      <c r="AW1597" t="str">
        <f>"37-2N-28-209T-0244-0000 "</f>
        <v xml:space="preserve">37-2N-28-209T-0244-0000 </v>
      </c>
      <c r="AX1597">
        <v>96244</v>
      </c>
      <c r="AZ1597" t="s">
        <v>15893</v>
      </c>
      <c r="BA1597" t="s">
        <v>866</v>
      </c>
      <c r="BD1597" t="s">
        <v>11749</v>
      </c>
      <c r="BE1597" t="s">
        <v>393</v>
      </c>
      <c r="BF1597">
        <v>32034</v>
      </c>
      <c r="BG1597" t="s">
        <v>15966</v>
      </c>
      <c r="BH1597" t="s">
        <v>11751</v>
      </c>
      <c r="BI1597">
        <v>-81.494230192484494</v>
      </c>
      <c r="BJ1597">
        <v>30.621382183420899</v>
      </c>
      <c r="BK1597" t="s">
        <v>15895</v>
      </c>
      <c r="BM1597" t="s">
        <v>15896</v>
      </c>
      <c r="BN1597" t="s">
        <v>15897</v>
      </c>
      <c r="BO1597">
        <v>1267</v>
      </c>
      <c r="BP1597" t="s">
        <v>404</v>
      </c>
      <c r="BQ1597">
        <v>499</v>
      </c>
      <c r="BR1597" t="s">
        <v>15097</v>
      </c>
      <c r="BS1597">
        <v>1004</v>
      </c>
      <c r="BT1597" t="s">
        <v>15098</v>
      </c>
      <c r="BW1597">
        <v>662635</v>
      </c>
      <c r="BX1597" t="s">
        <v>407</v>
      </c>
      <c r="CD1597">
        <v>2017</v>
      </c>
      <c r="CE1597">
        <v>18000</v>
      </c>
      <c r="CG1597">
        <v>18000</v>
      </c>
      <c r="CH1597">
        <v>2017</v>
      </c>
      <c r="CI1597">
        <v>18000</v>
      </c>
      <c r="CK1597">
        <v>18000</v>
      </c>
      <c r="CL1597">
        <v>2017</v>
      </c>
      <c r="CM1597">
        <v>257.56</v>
      </c>
      <c r="CN1597" s="1">
        <v>41541</v>
      </c>
      <c r="CO1597">
        <v>463500</v>
      </c>
      <c r="CZ1597" s="1">
        <v>41541</v>
      </c>
      <c r="DD1597" t="s">
        <v>11749</v>
      </c>
      <c r="DG1597">
        <v>37</v>
      </c>
      <c r="DL1597">
        <v>50303</v>
      </c>
      <c r="DM1597" t="s">
        <v>15864</v>
      </c>
      <c r="DO1597" t="s">
        <v>15967</v>
      </c>
      <c r="DP1597">
        <v>0</v>
      </c>
      <c r="DQ1597">
        <v>0</v>
      </c>
      <c r="DR1597" t="s">
        <v>411</v>
      </c>
    </row>
    <row r="1598" spans="1:122" x14ac:dyDescent="0.25">
      <c r="A1598">
        <v>16486605</v>
      </c>
      <c r="B1598">
        <v>1597</v>
      </c>
      <c r="C1598" t="s">
        <v>393</v>
      </c>
      <c r="D1598" t="s">
        <v>394</v>
      </c>
      <c r="F1598" t="str">
        <f>"37-2N-28-209T-0321-0000"</f>
        <v>37-2N-28-209T-0321-0000</v>
      </c>
      <c r="H1598" t="str">
        <f t="shared" si="565"/>
        <v>TUSCANY PRESERVE LLC</v>
      </c>
      <c r="I1598" t="str">
        <f t="shared" si="566"/>
        <v>665 SIMONDS RD</v>
      </c>
      <c r="J1598" t="str">
        <f t="shared" si="567"/>
        <v>WILLIAMSTOWN MA 01267</v>
      </c>
      <c r="K1598" t="str">
        <f>"96321 TUSCANY WAY"</f>
        <v>96321 TUSCANY WAY</v>
      </c>
      <c r="L1598" t="str">
        <f t="shared" si="575"/>
        <v>FERNANDINA BEACH FL 32034</v>
      </c>
      <c r="M1598" t="str">
        <f>"UNIT 321 PT OR 1881/181 NOT DEVELOPED/VACANT THE TUSCANY CONDO OR 1398/1500"</f>
        <v>UNIT 321 PT OR 1881/181 NOT DEVELOPED/VACANT THE TUSCANY CONDO OR 1398/1500</v>
      </c>
      <c r="N1598" t="str">
        <f>""</f>
        <v/>
      </c>
      <c r="O1598" t="str">
        <f>"43627"</f>
        <v>43627</v>
      </c>
      <c r="P1598" t="str">
        <f t="shared" si="548"/>
        <v>2017</v>
      </c>
      <c r="Q1598" t="str">
        <f>""</f>
        <v/>
      </c>
      <c r="R1598" t="str">
        <f t="shared" si="562"/>
        <v>N</v>
      </c>
      <c r="S1598" t="str">
        <f>""</f>
        <v/>
      </c>
      <c r="T1598" t="str">
        <f t="shared" si="568"/>
        <v>257.56</v>
      </c>
      <c r="U1598" t="str">
        <f t="shared" si="576"/>
        <v>15972.00</v>
      </c>
      <c r="V1598" t="str">
        <f t="shared" si="576"/>
        <v>15972.00</v>
      </c>
      <c r="W1598" t="str">
        <f t="shared" si="549"/>
        <v>2017</v>
      </c>
      <c r="X1598" t="str">
        <f>""</f>
        <v/>
      </c>
      <c r="Y1598" t="str">
        <f t="shared" si="570"/>
        <v>297.29</v>
      </c>
      <c r="Z1598" t="str">
        <f>""</f>
        <v/>
      </c>
      <c r="AA1598" t="str">
        <f t="shared" si="571"/>
        <v>18000.00</v>
      </c>
      <c r="AB1598" t="str">
        <f t="shared" si="563"/>
        <v>Residential</v>
      </c>
      <c r="AC1598" t="str">
        <f t="shared" si="558"/>
        <v>0</v>
      </c>
      <c r="AD1598" t="str">
        <f>""</f>
        <v/>
      </c>
      <c r="AE1598" t="str">
        <f>""</f>
        <v/>
      </c>
      <c r="AF1598" t="str">
        <f t="shared" si="572"/>
        <v>004</v>
      </c>
      <c r="AG1598" t="str">
        <f t="shared" si="573"/>
        <v>MA</v>
      </c>
      <c r="AH1598" t="str">
        <f t="shared" si="564"/>
        <v>-</v>
      </c>
      <c r="AI1598" t="str">
        <f t="shared" si="574"/>
        <v>18000.00</v>
      </c>
      <c r="AJ1598" t="str">
        <f>"C55-001-011-3515-0"</f>
        <v>C55-001-011-3515-0</v>
      </c>
      <c r="AK1598" t="str">
        <f>"28654"</f>
        <v>28654</v>
      </c>
      <c r="AL1598">
        <v>6</v>
      </c>
      <c r="AM1598">
        <v>1830</v>
      </c>
      <c r="AN1598">
        <v>310.55</v>
      </c>
      <c r="AQ1598" t="s">
        <v>15968</v>
      </c>
      <c r="AR1598" t="s">
        <v>15968</v>
      </c>
      <c r="AS1598" t="s">
        <v>15968</v>
      </c>
      <c r="AU1598" t="s">
        <v>396</v>
      </c>
      <c r="AV1598">
        <v>2017</v>
      </c>
      <c r="AW1598" t="str">
        <f>"37-2N-28-209T-0321-0000 "</f>
        <v xml:space="preserve">37-2N-28-209T-0321-0000 </v>
      </c>
      <c r="AX1598">
        <v>96321</v>
      </c>
      <c r="AZ1598" t="s">
        <v>15893</v>
      </c>
      <c r="BA1598" t="s">
        <v>866</v>
      </c>
      <c r="BD1598" t="s">
        <v>11749</v>
      </c>
      <c r="BE1598" t="s">
        <v>393</v>
      </c>
      <c r="BF1598">
        <v>32034</v>
      </c>
      <c r="BG1598" t="s">
        <v>15969</v>
      </c>
      <c r="BH1598" t="s">
        <v>11751</v>
      </c>
      <c r="BI1598">
        <v>-81.494230192484494</v>
      </c>
      <c r="BJ1598">
        <v>30.621382183420899</v>
      </c>
      <c r="BK1598" t="s">
        <v>15895</v>
      </c>
      <c r="BM1598" t="s">
        <v>15896</v>
      </c>
      <c r="BN1598" t="s">
        <v>15897</v>
      </c>
      <c r="BO1598">
        <v>1267</v>
      </c>
      <c r="BP1598" t="s">
        <v>404</v>
      </c>
      <c r="BQ1598">
        <v>499</v>
      </c>
      <c r="BR1598" t="s">
        <v>15097</v>
      </c>
      <c r="BS1598">
        <v>1004</v>
      </c>
      <c r="BT1598" t="s">
        <v>15098</v>
      </c>
      <c r="BW1598">
        <v>662635</v>
      </c>
      <c r="BX1598" t="s">
        <v>407</v>
      </c>
      <c r="CD1598">
        <v>2017</v>
      </c>
      <c r="CE1598">
        <v>18000</v>
      </c>
      <c r="CG1598">
        <v>18000</v>
      </c>
      <c r="CH1598">
        <v>2017</v>
      </c>
      <c r="CI1598">
        <v>18000</v>
      </c>
      <c r="CK1598">
        <v>18000</v>
      </c>
      <c r="CL1598">
        <v>2017</v>
      </c>
      <c r="CM1598">
        <v>257.56</v>
      </c>
      <c r="CN1598" s="1">
        <v>41541</v>
      </c>
      <c r="CO1598">
        <v>463500</v>
      </c>
      <c r="CZ1598" s="1">
        <v>41541</v>
      </c>
      <c r="DD1598" t="s">
        <v>11749</v>
      </c>
      <c r="DG1598">
        <v>37</v>
      </c>
      <c r="DL1598">
        <v>50303</v>
      </c>
      <c r="DM1598" t="s">
        <v>15864</v>
      </c>
      <c r="DO1598" t="s">
        <v>15970</v>
      </c>
      <c r="DP1598">
        <v>0</v>
      </c>
      <c r="DQ1598">
        <v>0</v>
      </c>
      <c r="DR1598" t="s">
        <v>411</v>
      </c>
    </row>
    <row r="1599" spans="1:122" x14ac:dyDescent="0.25">
      <c r="A1599">
        <v>16486606</v>
      </c>
      <c r="B1599">
        <v>1598</v>
      </c>
      <c r="C1599" t="s">
        <v>393</v>
      </c>
      <c r="D1599" t="s">
        <v>394</v>
      </c>
      <c r="F1599" t="str">
        <f>"37-2N-28-209T-0322-0000"</f>
        <v>37-2N-28-209T-0322-0000</v>
      </c>
      <c r="H1599" t="str">
        <f t="shared" si="565"/>
        <v>TUSCANY PRESERVE LLC</v>
      </c>
      <c r="I1599" t="str">
        <f t="shared" si="566"/>
        <v>665 SIMONDS RD</v>
      </c>
      <c r="J1599" t="str">
        <f t="shared" si="567"/>
        <v>WILLIAMSTOWN MA 01267</v>
      </c>
      <c r="K1599" t="str">
        <f>"96322 TUSCANY WAY"</f>
        <v>96322 TUSCANY WAY</v>
      </c>
      <c r="L1599" t="str">
        <f t="shared" si="575"/>
        <v>FERNANDINA BEACH FL 32034</v>
      </c>
      <c r="M1599" t="str">
        <f>"UNIT 322 PT OR 1881/181 NOT DEVELOPED/VACANT THE TUSCANY CONDO OR 1398/1500"</f>
        <v>UNIT 322 PT OR 1881/181 NOT DEVELOPED/VACANT THE TUSCANY CONDO OR 1398/1500</v>
      </c>
      <c r="N1599" t="str">
        <f>""</f>
        <v/>
      </c>
      <c r="O1599" t="str">
        <f>"43628"</f>
        <v>43628</v>
      </c>
      <c r="P1599" t="str">
        <f t="shared" si="548"/>
        <v>2017</v>
      </c>
      <c r="Q1599" t="str">
        <f>""</f>
        <v/>
      </c>
      <c r="R1599" t="str">
        <f t="shared" si="562"/>
        <v>N</v>
      </c>
      <c r="S1599" t="str">
        <f>""</f>
        <v/>
      </c>
      <c r="T1599" t="str">
        <f t="shared" si="568"/>
        <v>257.56</v>
      </c>
      <c r="U1599" t="str">
        <f t="shared" si="576"/>
        <v>15972.00</v>
      </c>
      <c r="V1599" t="str">
        <f t="shared" si="576"/>
        <v>15972.00</v>
      </c>
      <c r="W1599" t="str">
        <f t="shared" si="549"/>
        <v>2017</v>
      </c>
      <c r="X1599" t="str">
        <f>""</f>
        <v/>
      </c>
      <c r="Y1599" t="str">
        <f t="shared" si="570"/>
        <v>297.29</v>
      </c>
      <c r="Z1599" t="str">
        <f>""</f>
        <v/>
      </c>
      <c r="AA1599" t="str">
        <f t="shared" si="571"/>
        <v>18000.00</v>
      </c>
      <c r="AB1599" t="str">
        <f t="shared" si="563"/>
        <v>Residential</v>
      </c>
      <c r="AC1599" t="str">
        <f t="shared" si="558"/>
        <v>0</v>
      </c>
      <c r="AD1599" t="str">
        <f>""</f>
        <v/>
      </c>
      <c r="AE1599" t="str">
        <f>""</f>
        <v/>
      </c>
      <c r="AF1599" t="str">
        <f t="shared" si="572"/>
        <v>004</v>
      </c>
      <c r="AG1599" t="str">
        <f t="shared" si="573"/>
        <v>MA</v>
      </c>
      <c r="AH1599" t="str">
        <f t="shared" si="564"/>
        <v>-</v>
      </c>
      <c r="AI1599" t="str">
        <f t="shared" si="574"/>
        <v>18000.00</v>
      </c>
      <c r="AJ1599" t="str">
        <f>"C55-001-011-3516-8"</f>
        <v>C55-001-011-3516-8</v>
      </c>
      <c r="AK1599" t="str">
        <f>"28655"</f>
        <v>28655</v>
      </c>
      <c r="AL1599">
        <v>6</v>
      </c>
      <c r="AM1599">
        <v>1831</v>
      </c>
      <c r="AN1599">
        <v>310.55</v>
      </c>
      <c r="AQ1599" t="s">
        <v>15971</v>
      </c>
      <c r="AR1599" t="s">
        <v>15971</v>
      </c>
      <c r="AS1599" t="s">
        <v>15971</v>
      </c>
      <c r="AU1599" t="s">
        <v>396</v>
      </c>
      <c r="AV1599">
        <v>2017</v>
      </c>
      <c r="AW1599" t="str">
        <f>"37-2N-28-209T-0322-0000 "</f>
        <v xml:space="preserve">37-2N-28-209T-0322-0000 </v>
      </c>
      <c r="AX1599">
        <v>96322</v>
      </c>
      <c r="AZ1599" t="s">
        <v>15893</v>
      </c>
      <c r="BA1599" t="s">
        <v>866</v>
      </c>
      <c r="BD1599" t="s">
        <v>11749</v>
      </c>
      <c r="BE1599" t="s">
        <v>393</v>
      </c>
      <c r="BF1599">
        <v>32034</v>
      </c>
      <c r="BG1599" t="s">
        <v>15972</v>
      </c>
      <c r="BH1599" t="s">
        <v>11751</v>
      </c>
      <c r="BI1599">
        <v>-81.494230192484494</v>
      </c>
      <c r="BJ1599">
        <v>30.621382183420899</v>
      </c>
      <c r="BK1599" t="s">
        <v>15895</v>
      </c>
      <c r="BM1599" t="s">
        <v>15896</v>
      </c>
      <c r="BN1599" t="s">
        <v>15897</v>
      </c>
      <c r="BO1599">
        <v>1267</v>
      </c>
      <c r="BP1599" t="s">
        <v>404</v>
      </c>
      <c r="BQ1599">
        <v>499</v>
      </c>
      <c r="BR1599" t="s">
        <v>15097</v>
      </c>
      <c r="BS1599">
        <v>1004</v>
      </c>
      <c r="BT1599" t="s">
        <v>15098</v>
      </c>
      <c r="BW1599">
        <v>662635</v>
      </c>
      <c r="BX1599" t="s">
        <v>407</v>
      </c>
      <c r="CD1599">
        <v>2017</v>
      </c>
      <c r="CE1599">
        <v>18000</v>
      </c>
      <c r="CG1599">
        <v>18000</v>
      </c>
      <c r="CH1599">
        <v>2017</v>
      </c>
      <c r="CI1599">
        <v>18000</v>
      </c>
      <c r="CK1599">
        <v>18000</v>
      </c>
      <c r="CL1599">
        <v>2017</v>
      </c>
      <c r="CM1599">
        <v>257.56</v>
      </c>
      <c r="CN1599" s="1">
        <v>41541</v>
      </c>
      <c r="CO1599">
        <v>463500</v>
      </c>
      <c r="CZ1599" s="1">
        <v>41541</v>
      </c>
      <c r="DD1599" t="s">
        <v>11749</v>
      </c>
      <c r="DG1599">
        <v>37</v>
      </c>
      <c r="DL1599">
        <v>50303</v>
      </c>
      <c r="DM1599" t="s">
        <v>15864</v>
      </c>
      <c r="DO1599" t="s">
        <v>15973</v>
      </c>
      <c r="DP1599">
        <v>0</v>
      </c>
      <c r="DQ1599">
        <v>0</v>
      </c>
      <c r="DR1599" t="s">
        <v>411</v>
      </c>
    </row>
    <row r="1600" spans="1:122" x14ac:dyDescent="0.25">
      <c r="A1600">
        <v>16486607</v>
      </c>
      <c r="B1600">
        <v>1599</v>
      </c>
      <c r="C1600" t="s">
        <v>393</v>
      </c>
      <c r="D1600" t="s">
        <v>394</v>
      </c>
      <c r="F1600" t="str">
        <f>"37-2N-28-209T-0323-0000"</f>
        <v>37-2N-28-209T-0323-0000</v>
      </c>
      <c r="H1600" t="str">
        <f t="shared" si="565"/>
        <v>TUSCANY PRESERVE LLC</v>
      </c>
      <c r="I1600" t="str">
        <f t="shared" si="566"/>
        <v>665 SIMONDS RD</v>
      </c>
      <c r="J1600" t="str">
        <f t="shared" si="567"/>
        <v>WILLIAMSTOWN MA 01267</v>
      </c>
      <c r="K1600" t="str">
        <f>"96323 TUSCANY WAY"</f>
        <v>96323 TUSCANY WAY</v>
      </c>
      <c r="L1600" t="str">
        <f t="shared" si="575"/>
        <v>FERNANDINA BEACH FL 32034</v>
      </c>
      <c r="M1600" t="str">
        <f>"UNIT 323 PT OR 1881/181 NOT DEVELOPED/VACANT THE TUSCANY CONDO OR 1398/1500"</f>
        <v>UNIT 323 PT OR 1881/181 NOT DEVELOPED/VACANT THE TUSCANY CONDO OR 1398/1500</v>
      </c>
      <c r="N1600" t="str">
        <f>""</f>
        <v/>
      </c>
      <c r="O1600" t="str">
        <f>"43629"</f>
        <v>43629</v>
      </c>
      <c r="P1600" t="str">
        <f t="shared" si="548"/>
        <v>2017</v>
      </c>
      <c r="Q1600" t="str">
        <f>""</f>
        <v/>
      </c>
      <c r="R1600" t="str">
        <f t="shared" si="562"/>
        <v>N</v>
      </c>
      <c r="S1600" t="str">
        <f>""</f>
        <v/>
      </c>
      <c r="T1600" t="str">
        <f t="shared" si="568"/>
        <v>257.56</v>
      </c>
      <c r="U1600" t="str">
        <f t="shared" si="576"/>
        <v>15972.00</v>
      </c>
      <c r="V1600" t="str">
        <f t="shared" si="576"/>
        <v>15972.00</v>
      </c>
      <c r="W1600" t="str">
        <f t="shared" si="549"/>
        <v>2017</v>
      </c>
      <c r="X1600" t="str">
        <f>""</f>
        <v/>
      </c>
      <c r="Y1600" t="str">
        <f t="shared" si="570"/>
        <v>297.29</v>
      </c>
      <c r="Z1600" t="str">
        <f>""</f>
        <v/>
      </c>
      <c r="AA1600" t="str">
        <f t="shared" si="571"/>
        <v>18000.00</v>
      </c>
      <c r="AB1600" t="str">
        <f t="shared" si="563"/>
        <v>Residential</v>
      </c>
      <c r="AC1600" t="str">
        <f t="shared" si="558"/>
        <v>0</v>
      </c>
      <c r="AD1600" t="str">
        <f>""</f>
        <v/>
      </c>
      <c r="AE1600" t="str">
        <f>""</f>
        <v/>
      </c>
      <c r="AF1600" t="str">
        <f t="shared" si="572"/>
        <v>004</v>
      </c>
      <c r="AG1600" t="str">
        <f t="shared" si="573"/>
        <v>MA</v>
      </c>
      <c r="AH1600" t="str">
        <f t="shared" si="564"/>
        <v>-</v>
      </c>
      <c r="AI1600" t="str">
        <f t="shared" si="574"/>
        <v>18000.00</v>
      </c>
      <c r="AJ1600" t="str">
        <f>"C55-001-011-3517-6"</f>
        <v>C55-001-011-3517-6</v>
      </c>
      <c r="AK1600" t="str">
        <f>"28656"</f>
        <v>28656</v>
      </c>
      <c r="AL1600">
        <v>6</v>
      </c>
      <c r="AM1600">
        <v>1832</v>
      </c>
      <c r="AN1600">
        <v>310.55</v>
      </c>
      <c r="AQ1600" t="s">
        <v>15974</v>
      </c>
      <c r="AR1600" t="s">
        <v>15974</v>
      </c>
      <c r="AS1600" t="s">
        <v>15974</v>
      </c>
      <c r="AU1600" t="s">
        <v>396</v>
      </c>
      <c r="AV1600">
        <v>2017</v>
      </c>
      <c r="AW1600" t="str">
        <f>"37-2N-28-209T-0323-0000 "</f>
        <v xml:space="preserve">37-2N-28-209T-0323-0000 </v>
      </c>
      <c r="AX1600">
        <v>96323</v>
      </c>
      <c r="AZ1600" t="s">
        <v>15893</v>
      </c>
      <c r="BA1600" t="s">
        <v>866</v>
      </c>
      <c r="BD1600" t="s">
        <v>11749</v>
      </c>
      <c r="BE1600" t="s">
        <v>393</v>
      </c>
      <c r="BF1600">
        <v>32034</v>
      </c>
      <c r="BG1600" t="s">
        <v>15975</v>
      </c>
      <c r="BH1600" t="s">
        <v>11751</v>
      </c>
      <c r="BI1600">
        <v>-81.494230192484494</v>
      </c>
      <c r="BJ1600">
        <v>30.621382183420899</v>
      </c>
      <c r="BK1600" t="s">
        <v>15895</v>
      </c>
      <c r="BM1600" t="s">
        <v>15896</v>
      </c>
      <c r="BN1600" t="s">
        <v>15897</v>
      </c>
      <c r="BO1600">
        <v>1267</v>
      </c>
      <c r="BP1600" t="s">
        <v>404</v>
      </c>
      <c r="BQ1600">
        <v>499</v>
      </c>
      <c r="BR1600" t="s">
        <v>15097</v>
      </c>
      <c r="BS1600">
        <v>1004</v>
      </c>
      <c r="BT1600" t="s">
        <v>15098</v>
      </c>
      <c r="BW1600">
        <v>662635</v>
      </c>
      <c r="BX1600" t="s">
        <v>407</v>
      </c>
      <c r="CD1600">
        <v>2017</v>
      </c>
      <c r="CE1600">
        <v>18000</v>
      </c>
      <c r="CG1600">
        <v>18000</v>
      </c>
      <c r="CH1600">
        <v>2017</v>
      </c>
      <c r="CI1600">
        <v>18000</v>
      </c>
      <c r="CK1600">
        <v>18000</v>
      </c>
      <c r="CL1600">
        <v>2017</v>
      </c>
      <c r="CM1600">
        <v>257.56</v>
      </c>
      <c r="CN1600" s="1">
        <v>41541</v>
      </c>
      <c r="CO1600">
        <v>463500</v>
      </c>
      <c r="CZ1600" s="1">
        <v>41541</v>
      </c>
      <c r="DD1600" t="s">
        <v>11749</v>
      </c>
      <c r="DG1600">
        <v>37</v>
      </c>
      <c r="DL1600">
        <v>50303</v>
      </c>
      <c r="DM1600" t="s">
        <v>15864</v>
      </c>
      <c r="DO1600" t="s">
        <v>15976</v>
      </c>
      <c r="DP1600">
        <v>0</v>
      </c>
      <c r="DQ1600">
        <v>0</v>
      </c>
      <c r="DR1600" t="s">
        <v>411</v>
      </c>
    </row>
    <row r="1601" spans="1:296" x14ac:dyDescent="0.25">
      <c r="A1601">
        <v>16486608</v>
      </c>
      <c r="B1601">
        <v>1600</v>
      </c>
      <c r="C1601" t="s">
        <v>393</v>
      </c>
      <c r="D1601" t="s">
        <v>394</v>
      </c>
      <c r="F1601" t="str">
        <f>"37-2N-28-209T-0324-0000"</f>
        <v>37-2N-28-209T-0324-0000</v>
      </c>
      <c r="H1601" t="str">
        <f t="shared" si="565"/>
        <v>TUSCANY PRESERVE LLC</v>
      </c>
      <c r="I1601" t="str">
        <f t="shared" si="566"/>
        <v>665 SIMONDS RD</v>
      </c>
      <c r="J1601" t="str">
        <f t="shared" si="567"/>
        <v>WILLIAMSTOWN MA 01267</v>
      </c>
      <c r="K1601" t="str">
        <f>"96324 TUSCANY WAY"</f>
        <v>96324 TUSCANY WAY</v>
      </c>
      <c r="L1601" t="str">
        <f t="shared" si="575"/>
        <v>FERNANDINA BEACH FL 32034</v>
      </c>
      <c r="M1601" t="str">
        <f>"UNIT 324 PT OR 1881/181 NOT DEVELOPED/VACANT THE TUSCANY CONDO OR 1398/1500"</f>
        <v>UNIT 324 PT OR 1881/181 NOT DEVELOPED/VACANT THE TUSCANY CONDO OR 1398/1500</v>
      </c>
      <c r="N1601" t="str">
        <f>""</f>
        <v/>
      </c>
      <c r="O1601" t="str">
        <f>"43630"</f>
        <v>43630</v>
      </c>
      <c r="P1601" t="str">
        <f t="shared" si="548"/>
        <v>2017</v>
      </c>
      <c r="Q1601" t="str">
        <f>""</f>
        <v/>
      </c>
      <c r="R1601" t="str">
        <f t="shared" si="562"/>
        <v>N</v>
      </c>
      <c r="S1601" t="str">
        <f>""</f>
        <v/>
      </c>
      <c r="T1601" t="str">
        <f t="shared" si="568"/>
        <v>257.56</v>
      </c>
      <c r="U1601" t="str">
        <f t="shared" si="576"/>
        <v>15972.00</v>
      </c>
      <c r="V1601" t="str">
        <f t="shared" si="576"/>
        <v>15972.00</v>
      </c>
      <c r="W1601" t="str">
        <f t="shared" si="549"/>
        <v>2017</v>
      </c>
      <c r="X1601" t="str">
        <f>""</f>
        <v/>
      </c>
      <c r="Y1601" t="str">
        <f t="shared" si="570"/>
        <v>297.29</v>
      </c>
      <c r="Z1601" t="str">
        <f>""</f>
        <v/>
      </c>
      <c r="AA1601" t="str">
        <f t="shared" si="571"/>
        <v>18000.00</v>
      </c>
      <c r="AB1601" t="str">
        <f t="shared" si="563"/>
        <v>Residential</v>
      </c>
      <c r="AC1601" t="str">
        <f t="shared" si="558"/>
        <v>0</v>
      </c>
      <c r="AD1601" t="str">
        <f>""</f>
        <v/>
      </c>
      <c r="AE1601" t="str">
        <f>""</f>
        <v/>
      </c>
      <c r="AF1601" t="str">
        <f t="shared" si="572"/>
        <v>004</v>
      </c>
      <c r="AG1601" t="str">
        <f t="shared" si="573"/>
        <v>MA</v>
      </c>
      <c r="AH1601" t="str">
        <f t="shared" si="564"/>
        <v>-</v>
      </c>
      <c r="AI1601" t="str">
        <f t="shared" si="574"/>
        <v>18000.00</v>
      </c>
      <c r="AJ1601" t="str">
        <f>"C55-001-011-3518-4"</f>
        <v>C55-001-011-3518-4</v>
      </c>
      <c r="AK1601" t="str">
        <f>"28657"</f>
        <v>28657</v>
      </c>
      <c r="AL1601">
        <v>6</v>
      </c>
      <c r="AM1601">
        <v>1833</v>
      </c>
      <c r="AN1601">
        <v>310.55</v>
      </c>
      <c r="AQ1601" t="s">
        <v>15977</v>
      </c>
      <c r="AR1601" t="s">
        <v>15977</v>
      </c>
      <c r="AS1601" t="s">
        <v>15977</v>
      </c>
      <c r="AU1601" t="s">
        <v>396</v>
      </c>
      <c r="AV1601">
        <v>2017</v>
      </c>
      <c r="AW1601" t="str">
        <f>"37-2N-28-209T-0324-0000 "</f>
        <v xml:space="preserve">37-2N-28-209T-0324-0000 </v>
      </c>
      <c r="AX1601">
        <v>96324</v>
      </c>
      <c r="AZ1601" t="s">
        <v>15893</v>
      </c>
      <c r="BA1601" t="s">
        <v>866</v>
      </c>
      <c r="BD1601" t="s">
        <v>11749</v>
      </c>
      <c r="BE1601" t="s">
        <v>393</v>
      </c>
      <c r="BF1601">
        <v>32034</v>
      </c>
      <c r="BG1601" t="s">
        <v>15978</v>
      </c>
      <c r="BH1601" t="s">
        <v>11751</v>
      </c>
      <c r="BI1601">
        <v>-81.494230192484494</v>
      </c>
      <c r="BJ1601">
        <v>30.621382183420899</v>
      </c>
      <c r="BK1601" t="s">
        <v>15895</v>
      </c>
      <c r="BM1601" t="s">
        <v>15896</v>
      </c>
      <c r="BN1601" t="s">
        <v>15897</v>
      </c>
      <c r="BO1601">
        <v>1267</v>
      </c>
      <c r="BP1601" t="s">
        <v>404</v>
      </c>
      <c r="BQ1601">
        <v>499</v>
      </c>
      <c r="BR1601" t="s">
        <v>15097</v>
      </c>
      <c r="BS1601">
        <v>1004</v>
      </c>
      <c r="BT1601" t="s">
        <v>15098</v>
      </c>
      <c r="BW1601">
        <v>662635</v>
      </c>
      <c r="BX1601" t="s">
        <v>407</v>
      </c>
      <c r="CD1601">
        <v>2017</v>
      </c>
      <c r="CE1601">
        <v>18000</v>
      </c>
      <c r="CG1601">
        <v>18000</v>
      </c>
      <c r="CH1601">
        <v>2017</v>
      </c>
      <c r="CI1601">
        <v>18000</v>
      </c>
      <c r="CK1601">
        <v>18000</v>
      </c>
      <c r="CL1601">
        <v>2017</v>
      </c>
      <c r="CM1601">
        <v>257.56</v>
      </c>
      <c r="CN1601" s="1">
        <v>41541</v>
      </c>
      <c r="CO1601">
        <v>463500</v>
      </c>
      <c r="CZ1601" s="1">
        <v>41541</v>
      </c>
      <c r="DD1601" t="s">
        <v>11749</v>
      </c>
      <c r="DG1601">
        <v>37</v>
      </c>
      <c r="DL1601">
        <v>50303</v>
      </c>
      <c r="DM1601" t="s">
        <v>15864</v>
      </c>
      <c r="DO1601" t="s">
        <v>15979</v>
      </c>
      <c r="DP1601">
        <v>0</v>
      </c>
      <c r="DQ1601">
        <v>0</v>
      </c>
      <c r="DR1601" t="s">
        <v>411</v>
      </c>
    </row>
    <row r="1602" spans="1:296" x14ac:dyDescent="0.25">
      <c r="A1602">
        <v>16486609</v>
      </c>
      <c r="B1602">
        <v>1601</v>
      </c>
      <c r="C1602" t="s">
        <v>393</v>
      </c>
      <c r="D1602" t="s">
        <v>394</v>
      </c>
      <c r="F1602" t="str">
        <f>"37-2N-28-209T-0331-0000"</f>
        <v>37-2N-28-209T-0331-0000</v>
      </c>
      <c r="H1602" t="str">
        <f t="shared" si="565"/>
        <v>TUSCANY PRESERVE LLC</v>
      </c>
      <c r="I1602" t="str">
        <f t="shared" si="566"/>
        <v>665 SIMONDS RD</v>
      </c>
      <c r="J1602" t="str">
        <f t="shared" si="567"/>
        <v>WILLIAMSTOWN MA 01267</v>
      </c>
      <c r="K1602" t="str">
        <f>"96331 TUSCANY WAY"</f>
        <v>96331 TUSCANY WAY</v>
      </c>
      <c r="L1602" t="str">
        <f t="shared" si="575"/>
        <v>FERNANDINA BEACH FL 32034</v>
      </c>
      <c r="M1602" t="str">
        <f>"UNIT 331 PT OR 1881/181 NOT DEVELOPED/VACANT THE TUSCANY CONDO OR 1398/1500"</f>
        <v>UNIT 331 PT OR 1881/181 NOT DEVELOPED/VACANT THE TUSCANY CONDO OR 1398/1500</v>
      </c>
      <c r="N1602" t="str">
        <f>""</f>
        <v/>
      </c>
      <c r="O1602" t="str">
        <f>"43631"</f>
        <v>43631</v>
      </c>
      <c r="P1602" t="str">
        <f t="shared" ref="P1602:P1665" si="577">"2017"</f>
        <v>2017</v>
      </c>
      <c r="Q1602" t="str">
        <f>""</f>
        <v/>
      </c>
      <c r="R1602" t="str">
        <f t="shared" si="562"/>
        <v>N</v>
      </c>
      <c r="S1602" t="str">
        <f>""</f>
        <v/>
      </c>
      <c r="T1602" t="str">
        <f t="shared" si="568"/>
        <v>257.56</v>
      </c>
      <c r="U1602" t="str">
        <f t="shared" si="576"/>
        <v>15972.00</v>
      </c>
      <c r="V1602" t="str">
        <f t="shared" si="576"/>
        <v>15972.00</v>
      </c>
      <c r="W1602" t="str">
        <f t="shared" ref="W1602:W1665" si="578">"2017"</f>
        <v>2017</v>
      </c>
      <c r="X1602" t="str">
        <f>""</f>
        <v/>
      </c>
      <c r="Y1602" t="str">
        <f t="shared" si="570"/>
        <v>297.29</v>
      </c>
      <c r="Z1602" t="str">
        <f>""</f>
        <v/>
      </c>
      <c r="AA1602" t="str">
        <f t="shared" si="571"/>
        <v>18000.00</v>
      </c>
      <c r="AB1602" t="str">
        <f t="shared" si="563"/>
        <v>Residential</v>
      </c>
      <c r="AC1602" t="str">
        <f t="shared" si="558"/>
        <v>0</v>
      </c>
      <c r="AD1602" t="str">
        <f>""</f>
        <v/>
      </c>
      <c r="AE1602" t="str">
        <f>""</f>
        <v/>
      </c>
      <c r="AF1602" t="str">
        <f t="shared" si="572"/>
        <v>004</v>
      </c>
      <c r="AG1602" t="str">
        <f t="shared" si="573"/>
        <v>MA</v>
      </c>
      <c r="AH1602" t="str">
        <f t="shared" si="564"/>
        <v>-</v>
      </c>
      <c r="AI1602" t="str">
        <f t="shared" si="574"/>
        <v>18000.00</v>
      </c>
      <c r="AJ1602" t="str">
        <f>"C55-001-011-3519-2"</f>
        <v>C55-001-011-3519-2</v>
      </c>
      <c r="AK1602" t="str">
        <f>"28658"</f>
        <v>28658</v>
      </c>
      <c r="AL1602">
        <v>6</v>
      </c>
      <c r="AM1602">
        <v>1834</v>
      </c>
      <c r="AN1602">
        <v>310.55</v>
      </c>
      <c r="AQ1602" t="s">
        <v>15980</v>
      </c>
      <c r="AR1602" t="s">
        <v>15980</v>
      </c>
      <c r="AS1602" t="s">
        <v>15980</v>
      </c>
      <c r="AU1602" t="s">
        <v>396</v>
      </c>
      <c r="AV1602">
        <v>2017</v>
      </c>
      <c r="AW1602" t="str">
        <f>"37-2N-28-209T-0331-0000 "</f>
        <v xml:space="preserve">37-2N-28-209T-0331-0000 </v>
      </c>
      <c r="AX1602">
        <v>96331</v>
      </c>
      <c r="AZ1602" t="s">
        <v>15893</v>
      </c>
      <c r="BA1602" t="s">
        <v>866</v>
      </c>
      <c r="BD1602" t="s">
        <v>11749</v>
      </c>
      <c r="BE1602" t="s">
        <v>393</v>
      </c>
      <c r="BF1602">
        <v>32034</v>
      </c>
      <c r="BG1602" t="s">
        <v>15981</v>
      </c>
      <c r="BH1602" t="s">
        <v>11751</v>
      </c>
      <c r="BI1602">
        <v>-81.494230192484494</v>
      </c>
      <c r="BJ1602">
        <v>30.621382183420899</v>
      </c>
      <c r="BK1602" t="s">
        <v>15895</v>
      </c>
      <c r="BM1602" t="s">
        <v>15896</v>
      </c>
      <c r="BN1602" t="s">
        <v>15897</v>
      </c>
      <c r="BO1602">
        <v>1267</v>
      </c>
      <c r="BP1602" t="s">
        <v>404</v>
      </c>
      <c r="BQ1602">
        <v>499</v>
      </c>
      <c r="BR1602" t="s">
        <v>15097</v>
      </c>
      <c r="BS1602">
        <v>1004</v>
      </c>
      <c r="BT1602" t="s">
        <v>15098</v>
      </c>
      <c r="BW1602">
        <v>662635</v>
      </c>
      <c r="BX1602" t="s">
        <v>407</v>
      </c>
      <c r="CD1602">
        <v>2017</v>
      </c>
      <c r="CE1602">
        <v>18000</v>
      </c>
      <c r="CG1602">
        <v>18000</v>
      </c>
      <c r="CH1602">
        <v>2017</v>
      </c>
      <c r="CI1602">
        <v>18000</v>
      </c>
      <c r="CK1602">
        <v>18000</v>
      </c>
      <c r="CL1602">
        <v>2017</v>
      </c>
      <c r="CM1602">
        <v>257.56</v>
      </c>
      <c r="CN1602" s="1">
        <v>41541</v>
      </c>
      <c r="CO1602">
        <v>463500</v>
      </c>
      <c r="CZ1602" s="1">
        <v>41541</v>
      </c>
      <c r="DD1602" t="s">
        <v>11749</v>
      </c>
      <c r="DG1602">
        <v>37</v>
      </c>
      <c r="DL1602">
        <v>50303</v>
      </c>
      <c r="DM1602" t="s">
        <v>15864</v>
      </c>
      <c r="DO1602" t="s">
        <v>15982</v>
      </c>
      <c r="DP1602">
        <v>0</v>
      </c>
      <c r="DQ1602">
        <v>0</v>
      </c>
      <c r="DR1602" t="s">
        <v>411</v>
      </c>
    </row>
    <row r="1603" spans="1:296" x14ac:dyDescent="0.25">
      <c r="A1603">
        <v>16486610</v>
      </c>
      <c r="B1603">
        <v>1602</v>
      </c>
      <c r="C1603" t="s">
        <v>393</v>
      </c>
      <c r="D1603" t="s">
        <v>394</v>
      </c>
      <c r="F1603" t="str">
        <f>"37-2N-28-209T-0332-0000"</f>
        <v>37-2N-28-209T-0332-0000</v>
      </c>
      <c r="H1603" t="str">
        <f t="shared" si="565"/>
        <v>TUSCANY PRESERVE LLC</v>
      </c>
      <c r="I1603" t="str">
        <f t="shared" si="566"/>
        <v>665 SIMONDS RD</v>
      </c>
      <c r="J1603" t="str">
        <f t="shared" si="567"/>
        <v>WILLIAMSTOWN MA 01267</v>
      </c>
      <c r="K1603" t="str">
        <f>"96332 TUSCANY WAY"</f>
        <v>96332 TUSCANY WAY</v>
      </c>
      <c r="L1603" t="str">
        <f t="shared" si="575"/>
        <v>FERNANDINA BEACH FL 32034</v>
      </c>
      <c r="M1603" t="str">
        <f>"UNIT 332 PT OR 1881/181 NOT DEVELOPED/VACANT THE TUSCANY CONDO OR 1398/1500"</f>
        <v>UNIT 332 PT OR 1881/181 NOT DEVELOPED/VACANT THE TUSCANY CONDO OR 1398/1500</v>
      </c>
      <c r="N1603" t="str">
        <f>""</f>
        <v/>
      </c>
      <c r="O1603" t="str">
        <f>"43632"</f>
        <v>43632</v>
      </c>
      <c r="P1603" t="str">
        <f t="shared" si="577"/>
        <v>2017</v>
      </c>
      <c r="Q1603" t="str">
        <f>""</f>
        <v/>
      </c>
      <c r="R1603" t="str">
        <f t="shared" si="562"/>
        <v>N</v>
      </c>
      <c r="S1603" t="str">
        <f>""</f>
        <v/>
      </c>
      <c r="T1603" t="str">
        <f t="shared" si="568"/>
        <v>257.56</v>
      </c>
      <c r="U1603" t="str">
        <f t="shared" si="576"/>
        <v>15972.00</v>
      </c>
      <c r="V1603" t="str">
        <f t="shared" si="576"/>
        <v>15972.00</v>
      </c>
      <c r="W1603" t="str">
        <f t="shared" si="578"/>
        <v>2017</v>
      </c>
      <c r="X1603" t="str">
        <f>""</f>
        <v/>
      </c>
      <c r="Y1603" t="str">
        <f t="shared" si="570"/>
        <v>297.29</v>
      </c>
      <c r="Z1603" t="str">
        <f>""</f>
        <v/>
      </c>
      <c r="AA1603" t="str">
        <f t="shared" si="571"/>
        <v>18000.00</v>
      </c>
      <c r="AB1603" t="str">
        <f t="shared" si="563"/>
        <v>Residential</v>
      </c>
      <c r="AC1603" t="str">
        <f t="shared" si="558"/>
        <v>0</v>
      </c>
      <c r="AD1603" t="str">
        <f>""</f>
        <v/>
      </c>
      <c r="AE1603" t="str">
        <f>""</f>
        <v/>
      </c>
      <c r="AF1603" t="str">
        <f t="shared" si="572"/>
        <v>004</v>
      </c>
      <c r="AG1603" t="str">
        <f t="shared" si="573"/>
        <v>MA</v>
      </c>
      <c r="AH1603" t="str">
        <f t="shared" si="564"/>
        <v>-</v>
      </c>
      <c r="AI1603" t="str">
        <f t="shared" si="574"/>
        <v>18000.00</v>
      </c>
      <c r="AJ1603" t="str">
        <f>"C55-001-011-3520-0"</f>
        <v>C55-001-011-3520-0</v>
      </c>
      <c r="AK1603" t="str">
        <f>"28659"</f>
        <v>28659</v>
      </c>
      <c r="AL1603">
        <v>6</v>
      </c>
      <c r="AM1603">
        <v>1835</v>
      </c>
      <c r="AN1603">
        <v>310.55</v>
      </c>
      <c r="AQ1603" t="s">
        <v>15983</v>
      </c>
      <c r="AR1603" t="s">
        <v>15983</v>
      </c>
      <c r="AS1603" t="s">
        <v>15983</v>
      </c>
      <c r="AU1603" t="s">
        <v>396</v>
      </c>
      <c r="AV1603">
        <v>2017</v>
      </c>
      <c r="AW1603" t="str">
        <f>"37-2N-28-209T-0332-0000 "</f>
        <v xml:space="preserve">37-2N-28-209T-0332-0000 </v>
      </c>
      <c r="AX1603">
        <v>96332</v>
      </c>
      <c r="AZ1603" t="s">
        <v>15893</v>
      </c>
      <c r="BA1603" t="s">
        <v>866</v>
      </c>
      <c r="BD1603" t="s">
        <v>11749</v>
      </c>
      <c r="BE1603" t="s">
        <v>393</v>
      </c>
      <c r="BF1603">
        <v>32034</v>
      </c>
      <c r="BG1603" t="s">
        <v>15984</v>
      </c>
      <c r="BH1603" t="s">
        <v>11751</v>
      </c>
      <c r="BI1603">
        <v>-81.494230192484494</v>
      </c>
      <c r="BJ1603">
        <v>30.621382183420899</v>
      </c>
      <c r="BK1603" t="s">
        <v>15895</v>
      </c>
      <c r="BM1603" t="s">
        <v>15896</v>
      </c>
      <c r="BN1603" t="s">
        <v>15897</v>
      </c>
      <c r="BO1603">
        <v>1267</v>
      </c>
      <c r="BP1603" t="s">
        <v>404</v>
      </c>
      <c r="BQ1603">
        <v>499</v>
      </c>
      <c r="BR1603" t="s">
        <v>15097</v>
      </c>
      <c r="BS1603">
        <v>1004</v>
      </c>
      <c r="BT1603" t="s">
        <v>15098</v>
      </c>
      <c r="BW1603">
        <v>662635</v>
      </c>
      <c r="BX1603" t="s">
        <v>407</v>
      </c>
      <c r="CD1603">
        <v>2017</v>
      </c>
      <c r="CE1603">
        <v>18000</v>
      </c>
      <c r="CG1603">
        <v>18000</v>
      </c>
      <c r="CH1603">
        <v>2017</v>
      </c>
      <c r="CI1603">
        <v>18000</v>
      </c>
      <c r="CK1603">
        <v>18000</v>
      </c>
      <c r="CL1603">
        <v>2017</v>
      </c>
      <c r="CM1603">
        <v>257.56</v>
      </c>
      <c r="CN1603" s="1">
        <v>41541</v>
      </c>
      <c r="CO1603">
        <v>463500</v>
      </c>
      <c r="CZ1603" s="1">
        <v>41541</v>
      </c>
      <c r="DD1603" t="s">
        <v>11749</v>
      </c>
      <c r="DG1603">
        <v>37</v>
      </c>
      <c r="DL1603">
        <v>50303</v>
      </c>
      <c r="DM1603" t="s">
        <v>15864</v>
      </c>
      <c r="DO1603" t="s">
        <v>15985</v>
      </c>
      <c r="DP1603">
        <v>0</v>
      </c>
      <c r="DQ1603">
        <v>0</v>
      </c>
      <c r="DR1603" t="s">
        <v>411</v>
      </c>
    </row>
    <row r="1604" spans="1:296" x14ac:dyDescent="0.25">
      <c r="A1604">
        <v>16486611</v>
      </c>
      <c r="B1604">
        <v>1603</v>
      </c>
      <c r="C1604" t="s">
        <v>393</v>
      </c>
      <c r="D1604" t="s">
        <v>394</v>
      </c>
      <c r="F1604" t="str">
        <f>"37-2N-28-209T-0333-0000"</f>
        <v>37-2N-28-209T-0333-0000</v>
      </c>
      <c r="H1604" t="str">
        <f t="shared" si="565"/>
        <v>TUSCANY PRESERVE LLC</v>
      </c>
      <c r="I1604" t="str">
        <f t="shared" si="566"/>
        <v>665 SIMONDS RD</v>
      </c>
      <c r="J1604" t="str">
        <f t="shared" si="567"/>
        <v>WILLIAMSTOWN MA 01267</v>
      </c>
      <c r="K1604" t="str">
        <f>"96333 TUSCANY WAY"</f>
        <v>96333 TUSCANY WAY</v>
      </c>
      <c r="L1604" t="str">
        <f t="shared" si="575"/>
        <v>FERNANDINA BEACH FL 32034</v>
      </c>
      <c r="M1604" t="str">
        <f>"UNIT 333 PT OR 1881/181 NOT DEVELOPED/VACANT THE TUSCANY CONDO OR 1398/1500"</f>
        <v>UNIT 333 PT OR 1881/181 NOT DEVELOPED/VACANT THE TUSCANY CONDO OR 1398/1500</v>
      </c>
      <c r="N1604" t="str">
        <f>""</f>
        <v/>
      </c>
      <c r="O1604" t="str">
        <f>"43633"</f>
        <v>43633</v>
      </c>
      <c r="P1604" t="str">
        <f t="shared" si="577"/>
        <v>2017</v>
      </c>
      <c r="Q1604" t="str">
        <f>""</f>
        <v/>
      </c>
      <c r="R1604" t="str">
        <f t="shared" si="562"/>
        <v>N</v>
      </c>
      <c r="S1604" t="str">
        <f>""</f>
        <v/>
      </c>
      <c r="T1604" t="str">
        <f t="shared" si="568"/>
        <v>257.56</v>
      </c>
      <c r="U1604" t="str">
        <f t="shared" si="576"/>
        <v>15972.00</v>
      </c>
      <c r="V1604" t="str">
        <f t="shared" si="576"/>
        <v>15972.00</v>
      </c>
      <c r="W1604" t="str">
        <f t="shared" si="578"/>
        <v>2017</v>
      </c>
      <c r="X1604" t="str">
        <f>""</f>
        <v/>
      </c>
      <c r="Y1604" t="str">
        <f t="shared" si="570"/>
        <v>297.29</v>
      </c>
      <c r="Z1604" t="str">
        <f>""</f>
        <v/>
      </c>
      <c r="AA1604" t="str">
        <f t="shared" si="571"/>
        <v>18000.00</v>
      </c>
      <c r="AB1604" t="str">
        <f t="shared" si="563"/>
        <v>Residential</v>
      </c>
      <c r="AC1604" t="str">
        <f t="shared" si="558"/>
        <v>0</v>
      </c>
      <c r="AD1604" t="str">
        <f>""</f>
        <v/>
      </c>
      <c r="AE1604" t="str">
        <f>""</f>
        <v/>
      </c>
      <c r="AF1604" t="str">
        <f t="shared" si="572"/>
        <v>004</v>
      </c>
      <c r="AG1604" t="str">
        <f t="shared" si="573"/>
        <v>MA</v>
      </c>
      <c r="AH1604" t="str">
        <f t="shared" si="564"/>
        <v>-</v>
      </c>
      <c r="AI1604" t="str">
        <f t="shared" si="574"/>
        <v>18000.00</v>
      </c>
      <c r="AJ1604" t="str">
        <f>"C55-001-011-3521-8"</f>
        <v>C55-001-011-3521-8</v>
      </c>
      <c r="AK1604" t="str">
        <f>"28660"</f>
        <v>28660</v>
      </c>
      <c r="AL1604">
        <v>6</v>
      </c>
      <c r="AM1604">
        <v>1836</v>
      </c>
      <c r="AN1604">
        <v>310.55</v>
      </c>
      <c r="AQ1604" t="s">
        <v>15986</v>
      </c>
      <c r="AR1604" t="s">
        <v>15986</v>
      </c>
      <c r="AS1604" t="s">
        <v>15986</v>
      </c>
      <c r="AU1604" t="s">
        <v>396</v>
      </c>
      <c r="AV1604">
        <v>2017</v>
      </c>
      <c r="AW1604" t="str">
        <f>"37-2N-28-209T-0333-0000 "</f>
        <v xml:space="preserve">37-2N-28-209T-0333-0000 </v>
      </c>
      <c r="AX1604">
        <v>96333</v>
      </c>
      <c r="AZ1604" t="s">
        <v>15893</v>
      </c>
      <c r="BA1604" t="s">
        <v>866</v>
      </c>
      <c r="BD1604" t="s">
        <v>11749</v>
      </c>
      <c r="BE1604" t="s">
        <v>393</v>
      </c>
      <c r="BF1604">
        <v>32034</v>
      </c>
      <c r="BG1604" t="s">
        <v>15987</v>
      </c>
      <c r="BH1604" t="s">
        <v>11751</v>
      </c>
      <c r="BI1604">
        <v>-81.494230192484494</v>
      </c>
      <c r="BJ1604">
        <v>30.621382183420899</v>
      </c>
      <c r="BK1604" t="s">
        <v>15895</v>
      </c>
      <c r="BM1604" t="s">
        <v>15896</v>
      </c>
      <c r="BN1604" t="s">
        <v>15897</v>
      </c>
      <c r="BO1604">
        <v>1267</v>
      </c>
      <c r="BP1604" t="s">
        <v>404</v>
      </c>
      <c r="BQ1604">
        <v>499</v>
      </c>
      <c r="BR1604" t="s">
        <v>15097</v>
      </c>
      <c r="BS1604">
        <v>1004</v>
      </c>
      <c r="BT1604" t="s">
        <v>15098</v>
      </c>
      <c r="BW1604">
        <v>662635</v>
      </c>
      <c r="BX1604" t="s">
        <v>407</v>
      </c>
      <c r="CD1604">
        <v>2017</v>
      </c>
      <c r="CE1604">
        <v>18000</v>
      </c>
      <c r="CG1604">
        <v>18000</v>
      </c>
      <c r="CH1604">
        <v>2017</v>
      </c>
      <c r="CI1604">
        <v>18000</v>
      </c>
      <c r="CK1604">
        <v>18000</v>
      </c>
      <c r="CL1604">
        <v>2017</v>
      </c>
      <c r="CM1604">
        <v>257.56</v>
      </c>
      <c r="CN1604" s="1">
        <v>41541</v>
      </c>
      <c r="CO1604">
        <v>463500</v>
      </c>
      <c r="CZ1604" s="1">
        <v>41541</v>
      </c>
      <c r="DD1604" t="s">
        <v>11749</v>
      </c>
      <c r="DG1604">
        <v>37</v>
      </c>
      <c r="DL1604">
        <v>50303</v>
      </c>
      <c r="DM1604" t="s">
        <v>15864</v>
      </c>
      <c r="DO1604" t="s">
        <v>15988</v>
      </c>
      <c r="DP1604">
        <v>0</v>
      </c>
      <c r="DQ1604">
        <v>0</v>
      </c>
      <c r="DR1604" t="s">
        <v>411</v>
      </c>
    </row>
    <row r="1605" spans="1:296" x14ac:dyDescent="0.25">
      <c r="A1605">
        <v>16486612</v>
      </c>
      <c r="B1605">
        <v>1604</v>
      </c>
      <c r="C1605" t="s">
        <v>393</v>
      </c>
      <c r="D1605" t="s">
        <v>394</v>
      </c>
      <c r="F1605" t="str">
        <f>"37-2N-28-209T-0334-0000"</f>
        <v>37-2N-28-209T-0334-0000</v>
      </c>
      <c r="H1605" t="str">
        <f t="shared" si="565"/>
        <v>TUSCANY PRESERVE LLC</v>
      </c>
      <c r="I1605" t="str">
        <f t="shared" si="566"/>
        <v>665 SIMONDS RD</v>
      </c>
      <c r="J1605" t="str">
        <f t="shared" si="567"/>
        <v>WILLIAMSTOWN MA 01267</v>
      </c>
      <c r="K1605" t="str">
        <f>"96334 TUSCANY WAY"</f>
        <v>96334 TUSCANY WAY</v>
      </c>
      <c r="L1605" t="str">
        <f t="shared" si="575"/>
        <v>FERNANDINA BEACH FL 32034</v>
      </c>
      <c r="M1605" t="str">
        <f>"UNIT 334 PT OR 1881/181 NOT DEVELOPED/VACANT THE TUSCANY CONDO OR 1398/1500"</f>
        <v>UNIT 334 PT OR 1881/181 NOT DEVELOPED/VACANT THE TUSCANY CONDO OR 1398/1500</v>
      </c>
      <c r="N1605" t="str">
        <f>""</f>
        <v/>
      </c>
      <c r="O1605" t="str">
        <f>"43634"</f>
        <v>43634</v>
      </c>
      <c r="P1605" t="str">
        <f t="shared" si="577"/>
        <v>2017</v>
      </c>
      <c r="Q1605" t="str">
        <f>""</f>
        <v/>
      </c>
      <c r="R1605" t="str">
        <f t="shared" si="562"/>
        <v>N</v>
      </c>
      <c r="S1605" t="str">
        <f>""</f>
        <v/>
      </c>
      <c r="T1605" t="str">
        <f t="shared" si="568"/>
        <v>257.56</v>
      </c>
      <c r="U1605" t="str">
        <f t="shared" si="576"/>
        <v>15972.00</v>
      </c>
      <c r="V1605" t="str">
        <f t="shared" si="576"/>
        <v>15972.00</v>
      </c>
      <c r="W1605" t="str">
        <f t="shared" si="578"/>
        <v>2017</v>
      </c>
      <c r="X1605" t="str">
        <f>""</f>
        <v/>
      </c>
      <c r="Y1605" t="str">
        <f t="shared" si="570"/>
        <v>297.29</v>
      </c>
      <c r="Z1605" t="str">
        <f>""</f>
        <v/>
      </c>
      <c r="AA1605" t="str">
        <f t="shared" si="571"/>
        <v>18000.00</v>
      </c>
      <c r="AB1605" t="str">
        <f t="shared" ref="AB1605:AB1634" si="579">"Residential"</f>
        <v>Residential</v>
      </c>
      <c r="AC1605" t="str">
        <f t="shared" si="558"/>
        <v>0</v>
      </c>
      <c r="AD1605" t="str">
        <f>""</f>
        <v/>
      </c>
      <c r="AE1605" t="str">
        <f>""</f>
        <v/>
      </c>
      <c r="AF1605" t="str">
        <f t="shared" si="572"/>
        <v>004</v>
      </c>
      <c r="AG1605" t="str">
        <f t="shared" si="573"/>
        <v>MA</v>
      </c>
      <c r="AH1605" t="str">
        <f t="shared" si="564"/>
        <v>-</v>
      </c>
      <c r="AI1605" t="str">
        <f t="shared" si="574"/>
        <v>18000.00</v>
      </c>
      <c r="AJ1605" t="str">
        <f>"C55-001-011-3522-6"</f>
        <v>C55-001-011-3522-6</v>
      </c>
      <c r="AK1605" t="str">
        <f>"28661"</f>
        <v>28661</v>
      </c>
      <c r="AL1605">
        <v>6</v>
      </c>
      <c r="AM1605">
        <v>1837</v>
      </c>
      <c r="AN1605">
        <v>310.55</v>
      </c>
      <c r="AQ1605" t="s">
        <v>15989</v>
      </c>
      <c r="AR1605" t="s">
        <v>15989</v>
      </c>
      <c r="AS1605" t="s">
        <v>15989</v>
      </c>
      <c r="AU1605" t="s">
        <v>396</v>
      </c>
      <c r="AV1605">
        <v>2017</v>
      </c>
      <c r="AW1605" t="str">
        <f>"37-2N-28-209T-0334-0000 "</f>
        <v xml:space="preserve">37-2N-28-209T-0334-0000 </v>
      </c>
      <c r="AX1605">
        <v>96334</v>
      </c>
      <c r="AZ1605" t="s">
        <v>15893</v>
      </c>
      <c r="BA1605" t="s">
        <v>866</v>
      </c>
      <c r="BD1605" t="s">
        <v>11749</v>
      </c>
      <c r="BE1605" t="s">
        <v>393</v>
      </c>
      <c r="BF1605">
        <v>32034</v>
      </c>
      <c r="BG1605" t="s">
        <v>15990</v>
      </c>
      <c r="BH1605" t="s">
        <v>11751</v>
      </c>
      <c r="BI1605">
        <v>-81.494230192484494</v>
      </c>
      <c r="BJ1605">
        <v>30.621382183420899</v>
      </c>
      <c r="BK1605" t="s">
        <v>15895</v>
      </c>
      <c r="BM1605" t="s">
        <v>15896</v>
      </c>
      <c r="BN1605" t="s">
        <v>15897</v>
      </c>
      <c r="BO1605">
        <v>1267</v>
      </c>
      <c r="BP1605" t="s">
        <v>404</v>
      </c>
      <c r="BQ1605">
        <v>499</v>
      </c>
      <c r="BR1605" t="s">
        <v>15097</v>
      </c>
      <c r="BS1605">
        <v>1004</v>
      </c>
      <c r="BT1605" t="s">
        <v>15098</v>
      </c>
      <c r="BW1605">
        <v>662635</v>
      </c>
      <c r="BX1605" t="s">
        <v>407</v>
      </c>
      <c r="CD1605">
        <v>2017</v>
      </c>
      <c r="CE1605">
        <v>18000</v>
      </c>
      <c r="CG1605">
        <v>18000</v>
      </c>
      <c r="CH1605">
        <v>2017</v>
      </c>
      <c r="CI1605">
        <v>18000</v>
      </c>
      <c r="CK1605">
        <v>18000</v>
      </c>
      <c r="CL1605">
        <v>2017</v>
      </c>
      <c r="CM1605">
        <v>257.56</v>
      </c>
      <c r="CN1605" s="1">
        <v>41541</v>
      </c>
      <c r="CO1605">
        <v>463500</v>
      </c>
      <c r="CZ1605" s="1">
        <v>41541</v>
      </c>
      <c r="DD1605" t="s">
        <v>11749</v>
      </c>
      <c r="DG1605">
        <v>37</v>
      </c>
      <c r="DL1605">
        <v>50303</v>
      </c>
      <c r="DM1605" t="s">
        <v>15864</v>
      </c>
      <c r="DO1605" t="s">
        <v>15991</v>
      </c>
      <c r="DP1605">
        <v>0</v>
      </c>
      <c r="DQ1605">
        <v>0</v>
      </c>
      <c r="DR1605" t="s">
        <v>411</v>
      </c>
    </row>
    <row r="1606" spans="1:296" x14ac:dyDescent="0.25">
      <c r="A1606">
        <v>16486613</v>
      </c>
      <c r="B1606">
        <v>1605</v>
      </c>
      <c r="C1606" t="s">
        <v>393</v>
      </c>
      <c r="D1606" t="s">
        <v>394</v>
      </c>
      <c r="F1606" t="str">
        <f>"37-2N-28-209T-0341-0000"</f>
        <v>37-2N-28-209T-0341-0000</v>
      </c>
      <c r="H1606" t="str">
        <f t="shared" si="565"/>
        <v>TUSCANY PRESERVE LLC</v>
      </c>
      <c r="I1606" t="str">
        <f t="shared" si="566"/>
        <v>665 SIMONDS RD</v>
      </c>
      <c r="J1606" t="str">
        <f t="shared" si="567"/>
        <v>WILLIAMSTOWN MA 01267</v>
      </c>
      <c r="K1606" t="str">
        <f>"96341 TUSCANY WAY"</f>
        <v>96341 TUSCANY WAY</v>
      </c>
      <c r="L1606" t="str">
        <f t="shared" si="575"/>
        <v>FERNANDINA BEACH FL 32034</v>
      </c>
      <c r="M1606" t="str">
        <f>"UNIT 341 PT OR 1881/181 NOT DEVELOPED/VACANT THE TUSCANY CONDO OR 1398/1500"</f>
        <v>UNIT 341 PT OR 1881/181 NOT DEVELOPED/VACANT THE TUSCANY CONDO OR 1398/1500</v>
      </c>
      <c r="N1606" t="str">
        <f>""</f>
        <v/>
      </c>
      <c r="O1606" t="str">
        <f>"43635"</f>
        <v>43635</v>
      </c>
      <c r="P1606" t="str">
        <f t="shared" si="577"/>
        <v>2017</v>
      </c>
      <c r="Q1606" t="str">
        <f>""</f>
        <v/>
      </c>
      <c r="R1606" t="str">
        <f t="shared" si="562"/>
        <v>N</v>
      </c>
      <c r="S1606" t="str">
        <f>""</f>
        <v/>
      </c>
      <c r="T1606" t="str">
        <f t="shared" si="568"/>
        <v>257.56</v>
      </c>
      <c r="U1606" t="str">
        <f t="shared" si="576"/>
        <v>15972.00</v>
      </c>
      <c r="V1606" t="str">
        <f t="shared" si="576"/>
        <v>15972.00</v>
      </c>
      <c r="W1606" t="str">
        <f t="shared" si="578"/>
        <v>2017</v>
      </c>
      <c r="X1606" t="str">
        <f>""</f>
        <v/>
      </c>
      <c r="Y1606" t="str">
        <f t="shared" si="570"/>
        <v>297.29</v>
      </c>
      <c r="Z1606" t="str">
        <f>""</f>
        <v/>
      </c>
      <c r="AA1606" t="str">
        <f t="shared" si="571"/>
        <v>18000.00</v>
      </c>
      <c r="AB1606" t="str">
        <f t="shared" si="579"/>
        <v>Residential</v>
      </c>
      <c r="AC1606" t="str">
        <f t="shared" si="558"/>
        <v>0</v>
      </c>
      <c r="AD1606" t="str">
        <f>""</f>
        <v/>
      </c>
      <c r="AE1606" t="str">
        <f>""</f>
        <v/>
      </c>
      <c r="AF1606" t="str">
        <f t="shared" si="572"/>
        <v>004</v>
      </c>
      <c r="AG1606" t="str">
        <f t="shared" si="573"/>
        <v>MA</v>
      </c>
      <c r="AH1606" t="str">
        <f t="shared" si="564"/>
        <v>-</v>
      </c>
      <c r="AI1606" t="str">
        <f t="shared" si="574"/>
        <v>18000.00</v>
      </c>
      <c r="AJ1606" t="str">
        <f>"C55-001-011-3523-4"</f>
        <v>C55-001-011-3523-4</v>
      </c>
      <c r="AK1606" t="str">
        <f>"28662"</f>
        <v>28662</v>
      </c>
      <c r="AL1606">
        <v>6</v>
      </c>
      <c r="AM1606">
        <v>1838</v>
      </c>
      <c r="AN1606">
        <v>310.55</v>
      </c>
      <c r="AQ1606" t="s">
        <v>15992</v>
      </c>
      <c r="AR1606" t="s">
        <v>15992</v>
      </c>
      <c r="AS1606" t="s">
        <v>15992</v>
      </c>
      <c r="AU1606" t="s">
        <v>396</v>
      </c>
      <c r="AV1606">
        <v>2017</v>
      </c>
      <c r="AW1606" t="str">
        <f>"37-2N-28-209T-0341-0000 "</f>
        <v xml:space="preserve">37-2N-28-209T-0341-0000 </v>
      </c>
      <c r="AX1606">
        <v>96341</v>
      </c>
      <c r="AZ1606" t="s">
        <v>15893</v>
      </c>
      <c r="BA1606" t="s">
        <v>866</v>
      </c>
      <c r="BD1606" t="s">
        <v>11749</v>
      </c>
      <c r="BE1606" t="s">
        <v>393</v>
      </c>
      <c r="BF1606">
        <v>32034</v>
      </c>
      <c r="BG1606" t="s">
        <v>15993</v>
      </c>
      <c r="BH1606" t="s">
        <v>11751</v>
      </c>
      <c r="BI1606">
        <v>-81.494230192484494</v>
      </c>
      <c r="BJ1606">
        <v>30.621382183420899</v>
      </c>
      <c r="BK1606" t="s">
        <v>15895</v>
      </c>
      <c r="BM1606" t="s">
        <v>15896</v>
      </c>
      <c r="BN1606" t="s">
        <v>15897</v>
      </c>
      <c r="BO1606">
        <v>1267</v>
      </c>
      <c r="BP1606" t="s">
        <v>404</v>
      </c>
      <c r="BQ1606">
        <v>499</v>
      </c>
      <c r="BR1606" t="s">
        <v>15097</v>
      </c>
      <c r="BS1606">
        <v>1004</v>
      </c>
      <c r="BT1606" t="s">
        <v>15098</v>
      </c>
      <c r="BW1606">
        <v>662635</v>
      </c>
      <c r="BX1606" t="s">
        <v>407</v>
      </c>
      <c r="CD1606">
        <v>2017</v>
      </c>
      <c r="CE1606">
        <v>18000</v>
      </c>
      <c r="CG1606">
        <v>18000</v>
      </c>
      <c r="CH1606">
        <v>2017</v>
      </c>
      <c r="CI1606">
        <v>18000</v>
      </c>
      <c r="CK1606">
        <v>18000</v>
      </c>
      <c r="CL1606">
        <v>2017</v>
      </c>
      <c r="CM1606">
        <v>257.56</v>
      </c>
      <c r="CN1606" s="1">
        <v>41541</v>
      </c>
      <c r="CO1606">
        <v>463500</v>
      </c>
      <c r="CZ1606" s="1">
        <v>41541</v>
      </c>
      <c r="DD1606" t="s">
        <v>11749</v>
      </c>
      <c r="DG1606">
        <v>37</v>
      </c>
      <c r="DL1606">
        <v>50303</v>
      </c>
      <c r="DM1606" t="s">
        <v>15864</v>
      </c>
      <c r="DO1606" t="s">
        <v>15994</v>
      </c>
      <c r="DP1606">
        <v>0</v>
      </c>
      <c r="DQ1606">
        <v>0</v>
      </c>
      <c r="DR1606" t="s">
        <v>411</v>
      </c>
    </row>
    <row r="1607" spans="1:296" x14ac:dyDescent="0.25">
      <c r="A1607">
        <v>16486614</v>
      </c>
      <c r="B1607">
        <v>1606</v>
      </c>
      <c r="C1607" t="s">
        <v>393</v>
      </c>
      <c r="D1607" t="s">
        <v>394</v>
      </c>
      <c r="F1607" t="str">
        <f>"37-2N-28-209T-0342-0000"</f>
        <v>37-2N-28-209T-0342-0000</v>
      </c>
      <c r="H1607" t="str">
        <f t="shared" si="565"/>
        <v>TUSCANY PRESERVE LLC</v>
      </c>
      <c r="I1607" t="str">
        <f t="shared" si="566"/>
        <v>665 SIMONDS RD</v>
      </c>
      <c r="J1607" t="str">
        <f t="shared" si="567"/>
        <v>WILLIAMSTOWN MA 01267</v>
      </c>
      <c r="K1607" t="str">
        <f>"96342 TUSCANY WAY"</f>
        <v>96342 TUSCANY WAY</v>
      </c>
      <c r="L1607" t="str">
        <f t="shared" si="575"/>
        <v>FERNANDINA BEACH FL 32034</v>
      </c>
      <c r="M1607" t="str">
        <f>"UNIT 342 PT OR 1881/181 NOT DEVELOPED/VACANT THE TUSCANY CONDO OR 1398/1500"</f>
        <v>UNIT 342 PT OR 1881/181 NOT DEVELOPED/VACANT THE TUSCANY CONDO OR 1398/1500</v>
      </c>
      <c r="N1607" t="str">
        <f>""</f>
        <v/>
      </c>
      <c r="O1607" t="str">
        <f>"43636"</f>
        <v>43636</v>
      </c>
      <c r="P1607" t="str">
        <f t="shared" si="577"/>
        <v>2017</v>
      </c>
      <c r="Q1607" t="str">
        <f>""</f>
        <v/>
      </c>
      <c r="R1607" t="str">
        <f t="shared" si="562"/>
        <v>N</v>
      </c>
      <c r="S1607" t="str">
        <f>""</f>
        <v/>
      </c>
      <c r="T1607" t="str">
        <f t="shared" si="568"/>
        <v>257.56</v>
      </c>
      <c r="U1607" t="str">
        <f t="shared" si="576"/>
        <v>15972.00</v>
      </c>
      <c r="V1607" t="str">
        <f t="shared" si="576"/>
        <v>15972.00</v>
      </c>
      <c r="W1607" t="str">
        <f t="shared" si="578"/>
        <v>2017</v>
      </c>
      <c r="X1607" t="str">
        <f>""</f>
        <v/>
      </c>
      <c r="Y1607" t="str">
        <f t="shared" si="570"/>
        <v>297.29</v>
      </c>
      <c r="Z1607" t="str">
        <f>""</f>
        <v/>
      </c>
      <c r="AA1607" t="str">
        <f t="shared" si="571"/>
        <v>18000.00</v>
      </c>
      <c r="AB1607" t="str">
        <f t="shared" si="579"/>
        <v>Residential</v>
      </c>
      <c r="AC1607" t="str">
        <f t="shared" si="558"/>
        <v>0</v>
      </c>
      <c r="AD1607" t="str">
        <f>""</f>
        <v/>
      </c>
      <c r="AE1607" t="str">
        <f>""</f>
        <v/>
      </c>
      <c r="AF1607" t="str">
        <f t="shared" si="572"/>
        <v>004</v>
      </c>
      <c r="AG1607" t="str">
        <f t="shared" si="573"/>
        <v>MA</v>
      </c>
      <c r="AH1607" t="str">
        <f t="shared" si="564"/>
        <v>-</v>
      </c>
      <c r="AI1607" t="str">
        <f t="shared" si="574"/>
        <v>18000.00</v>
      </c>
      <c r="AJ1607" t="str">
        <f>"C55-001-011-3524-2"</f>
        <v>C55-001-011-3524-2</v>
      </c>
      <c r="AK1607" t="str">
        <f>"28663"</f>
        <v>28663</v>
      </c>
      <c r="AL1607">
        <v>6</v>
      </c>
      <c r="AM1607">
        <v>1839</v>
      </c>
      <c r="AN1607">
        <v>310.55</v>
      </c>
      <c r="AQ1607" t="s">
        <v>15995</v>
      </c>
      <c r="AR1607" t="s">
        <v>15995</v>
      </c>
      <c r="AS1607" t="s">
        <v>15995</v>
      </c>
      <c r="AU1607" t="s">
        <v>396</v>
      </c>
      <c r="AV1607">
        <v>2017</v>
      </c>
      <c r="AW1607" t="str">
        <f>"37-2N-28-209T-0342-0000 "</f>
        <v xml:space="preserve">37-2N-28-209T-0342-0000 </v>
      </c>
      <c r="AX1607">
        <v>96342</v>
      </c>
      <c r="AZ1607" t="s">
        <v>15893</v>
      </c>
      <c r="BA1607" t="s">
        <v>866</v>
      </c>
      <c r="BD1607" t="s">
        <v>11749</v>
      </c>
      <c r="BE1607" t="s">
        <v>393</v>
      </c>
      <c r="BF1607">
        <v>32034</v>
      </c>
      <c r="BG1607" t="s">
        <v>15996</v>
      </c>
      <c r="BH1607" t="s">
        <v>11751</v>
      </c>
      <c r="BI1607">
        <v>-81.494230192484494</v>
      </c>
      <c r="BJ1607">
        <v>30.621382183420899</v>
      </c>
      <c r="BK1607" t="s">
        <v>15895</v>
      </c>
      <c r="BM1607" t="s">
        <v>15896</v>
      </c>
      <c r="BN1607" t="s">
        <v>15897</v>
      </c>
      <c r="BO1607">
        <v>1267</v>
      </c>
      <c r="BP1607" t="s">
        <v>404</v>
      </c>
      <c r="BQ1607">
        <v>499</v>
      </c>
      <c r="BR1607" t="s">
        <v>15097</v>
      </c>
      <c r="BS1607">
        <v>1004</v>
      </c>
      <c r="BT1607" t="s">
        <v>15098</v>
      </c>
      <c r="BW1607">
        <v>662635</v>
      </c>
      <c r="BX1607" t="s">
        <v>407</v>
      </c>
      <c r="CD1607">
        <v>2017</v>
      </c>
      <c r="CE1607">
        <v>18000</v>
      </c>
      <c r="CG1607">
        <v>18000</v>
      </c>
      <c r="CH1607">
        <v>2017</v>
      </c>
      <c r="CI1607">
        <v>18000</v>
      </c>
      <c r="CK1607">
        <v>18000</v>
      </c>
      <c r="CL1607">
        <v>2017</v>
      </c>
      <c r="CM1607">
        <v>257.56</v>
      </c>
      <c r="CN1607" s="1">
        <v>41541</v>
      </c>
      <c r="CO1607">
        <v>463500</v>
      </c>
      <c r="CZ1607" s="1">
        <v>41541</v>
      </c>
      <c r="DD1607" t="s">
        <v>11749</v>
      </c>
      <c r="DG1607">
        <v>37</v>
      </c>
      <c r="DL1607">
        <v>50303</v>
      </c>
      <c r="DM1607" t="s">
        <v>15864</v>
      </c>
      <c r="DO1607" t="s">
        <v>15997</v>
      </c>
      <c r="DP1607">
        <v>0</v>
      </c>
      <c r="DQ1607">
        <v>0</v>
      </c>
      <c r="DR1607" t="s">
        <v>411</v>
      </c>
    </row>
    <row r="1608" spans="1:296" x14ac:dyDescent="0.25">
      <c r="A1608">
        <v>16486615</v>
      </c>
      <c r="B1608">
        <v>1607</v>
      </c>
      <c r="C1608" t="s">
        <v>393</v>
      </c>
      <c r="D1608" t="s">
        <v>394</v>
      </c>
      <c r="F1608" t="str">
        <f>"37-2N-28-209T-0343-0000"</f>
        <v>37-2N-28-209T-0343-0000</v>
      </c>
      <c r="H1608" t="str">
        <f t="shared" si="565"/>
        <v>TUSCANY PRESERVE LLC</v>
      </c>
      <c r="I1608" t="str">
        <f t="shared" si="566"/>
        <v>665 SIMONDS RD</v>
      </c>
      <c r="J1608" t="str">
        <f t="shared" si="567"/>
        <v>WILLIAMSTOWN MA 01267</v>
      </c>
      <c r="K1608" t="str">
        <f>"96343 TUSCANY WAY"</f>
        <v>96343 TUSCANY WAY</v>
      </c>
      <c r="L1608" t="str">
        <f t="shared" si="575"/>
        <v>FERNANDINA BEACH FL 32034</v>
      </c>
      <c r="M1608" t="str">
        <f>"UNIT 343 PT OR 1881/181 NOT DEVELOPED/VACANT THE TUSCANY CONDO OR 1398/1500"</f>
        <v>UNIT 343 PT OR 1881/181 NOT DEVELOPED/VACANT THE TUSCANY CONDO OR 1398/1500</v>
      </c>
      <c r="N1608" t="str">
        <f>""</f>
        <v/>
      </c>
      <c r="O1608" t="str">
        <f>"43637"</f>
        <v>43637</v>
      </c>
      <c r="P1608" t="str">
        <f t="shared" si="577"/>
        <v>2017</v>
      </c>
      <c r="Q1608" t="str">
        <f>""</f>
        <v/>
      </c>
      <c r="R1608" t="str">
        <f t="shared" si="562"/>
        <v>N</v>
      </c>
      <c r="S1608" t="str">
        <f>""</f>
        <v/>
      </c>
      <c r="T1608" t="str">
        <f t="shared" si="568"/>
        <v>257.56</v>
      </c>
      <c r="U1608" t="str">
        <f t="shared" si="576"/>
        <v>15972.00</v>
      </c>
      <c r="V1608" t="str">
        <f t="shared" si="576"/>
        <v>15972.00</v>
      </c>
      <c r="W1608" t="str">
        <f t="shared" si="578"/>
        <v>2017</v>
      </c>
      <c r="X1608" t="str">
        <f>""</f>
        <v/>
      </c>
      <c r="Y1608" t="str">
        <f t="shared" si="570"/>
        <v>297.29</v>
      </c>
      <c r="Z1608" t="str">
        <f>""</f>
        <v/>
      </c>
      <c r="AA1608" t="str">
        <f t="shared" si="571"/>
        <v>18000.00</v>
      </c>
      <c r="AB1608" t="str">
        <f t="shared" si="579"/>
        <v>Residential</v>
      </c>
      <c r="AC1608" t="str">
        <f t="shared" si="558"/>
        <v>0</v>
      </c>
      <c r="AD1608" t="str">
        <f>""</f>
        <v/>
      </c>
      <c r="AE1608" t="str">
        <f>""</f>
        <v/>
      </c>
      <c r="AF1608" t="str">
        <f t="shared" si="572"/>
        <v>004</v>
      </c>
      <c r="AG1608" t="str">
        <f t="shared" si="573"/>
        <v>MA</v>
      </c>
      <c r="AH1608" t="str">
        <f t="shared" si="564"/>
        <v>-</v>
      </c>
      <c r="AI1608" t="str">
        <f t="shared" si="574"/>
        <v>18000.00</v>
      </c>
      <c r="AJ1608" t="str">
        <f>"C55-001-011-3525-9"</f>
        <v>C55-001-011-3525-9</v>
      </c>
      <c r="AK1608" t="str">
        <f>"28664"</f>
        <v>28664</v>
      </c>
      <c r="AL1608">
        <v>6</v>
      </c>
      <c r="AM1608">
        <v>1840</v>
      </c>
      <c r="AN1608">
        <v>310.55</v>
      </c>
      <c r="AQ1608" t="s">
        <v>15998</v>
      </c>
      <c r="AR1608" t="s">
        <v>15998</v>
      </c>
      <c r="AS1608" t="s">
        <v>15998</v>
      </c>
      <c r="AU1608" t="s">
        <v>396</v>
      </c>
      <c r="AV1608">
        <v>2017</v>
      </c>
      <c r="AW1608" t="str">
        <f>"37-2N-28-209T-0343-0000 "</f>
        <v xml:space="preserve">37-2N-28-209T-0343-0000 </v>
      </c>
      <c r="AX1608">
        <v>96343</v>
      </c>
      <c r="AZ1608" t="s">
        <v>15893</v>
      </c>
      <c r="BA1608" t="s">
        <v>866</v>
      </c>
      <c r="BD1608" t="s">
        <v>11749</v>
      </c>
      <c r="BE1608" t="s">
        <v>393</v>
      </c>
      <c r="BF1608">
        <v>32034</v>
      </c>
      <c r="BG1608" t="s">
        <v>15999</v>
      </c>
      <c r="BH1608" t="s">
        <v>11751</v>
      </c>
      <c r="BI1608">
        <v>-81.494230192484494</v>
      </c>
      <c r="BJ1608">
        <v>30.621382183420899</v>
      </c>
      <c r="BK1608" t="s">
        <v>15895</v>
      </c>
      <c r="BM1608" t="s">
        <v>15896</v>
      </c>
      <c r="BN1608" t="s">
        <v>15897</v>
      </c>
      <c r="BO1608">
        <v>1267</v>
      </c>
      <c r="BP1608" t="s">
        <v>404</v>
      </c>
      <c r="BQ1608">
        <v>499</v>
      </c>
      <c r="BR1608" t="s">
        <v>15097</v>
      </c>
      <c r="BS1608">
        <v>1004</v>
      </c>
      <c r="BT1608" t="s">
        <v>15098</v>
      </c>
      <c r="BW1608">
        <v>662635</v>
      </c>
      <c r="BX1608" t="s">
        <v>407</v>
      </c>
      <c r="CD1608">
        <v>2017</v>
      </c>
      <c r="CE1608">
        <v>18000</v>
      </c>
      <c r="CG1608">
        <v>18000</v>
      </c>
      <c r="CH1608">
        <v>2017</v>
      </c>
      <c r="CI1608">
        <v>18000</v>
      </c>
      <c r="CK1608">
        <v>18000</v>
      </c>
      <c r="CL1608">
        <v>2017</v>
      </c>
      <c r="CM1608">
        <v>257.56</v>
      </c>
      <c r="CN1608" s="1">
        <v>41541</v>
      </c>
      <c r="CO1608">
        <v>463500</v>
      </c>
      <c r="CZ1608" s="1">
        <v>41541</v>
      </c>
      <c r="DD1608" t="s">
        <v>11749</v>
      </c>
      <c r="DG1608">
        <v>37</v>
      </c>
      <c r="DL1608">
        <v>50303</v>
      </c>
      <c r="DM1608" t="s">
        <v>15864</v>
      </c>
      <c r="DO1608" t="s">
        <v>16000</v>
      </c>
      <c r="DP1608">
        <v>0</v>
      </c>
      <c r="DQ1608">
        <v>0</v>
      </c>
      <c r="DR1608" t="s">
        <v>411</v>
      </c>
    </row>
    <row r="1609" spans="1:296" x14ac:dyDescent="0.25">
      <c r="A1609">
        <v>16486616</v>
      </c>
      <c r="B1609">
        <v>1608</v>
      </c>
      <c r="C1609" t="s">
        <v>393</v>
      </c>
      <c r="D1609" t="s">
        <v>394</v>
      </c>
      <c r="F1609" t="str">
        <f>"37-2N-28-209T-0344-0000"</f>
        <v>37-2N-28-209T-0344-0000</v>
      </c>
      <c r="H1609" t="str">
        <f t="shared" si="565"/>
        <v>TUSCANY PRESERVE LLC</v>
      </c>
      <c r="I1609" t="str">
        <f t="shared" si="566"/>
        <v>665 SIMONDS RD</v>
      </c>
      <c r="J1609" t="str">
        <f t="shared" si="567"/>
        <v>WILLIAMSTOWN MA 01267</v>
      </c>
      <c r="K1609" t="str">
        <f>"96344 TUSCANY WAY"</f>
        <v>96344 TUSCANY WAY</v>
      </c>
      <c r="L1609" t="str">
        <f t="shared" si="575"/>
        <v>FERNANDINA BEACH FL 32034</v>
      </c>
      <c r="M1609" t="str">
        <f>"UNIT 344 PT OR 1881/181 NOT DEVELOPED/VACANT THE TUSCANY CONDO OR 1398/1500"</f>
        <v>UNIT 344 PT OR 1881/181 NOT DEVELOPED/VACANT THE TUSCANY CONDO OR 1398/1500</v>
      </c>
      <c r="N1609" t="str">
        <f>""</f>
        <v/>
      </c>
      <c r="O1609" t="str">
        <f>"43638"</f>
        <v>43638</v>
      </c>
      <c r="P1609" t="str">
        <f t="shared" si="577"/>
        <v>2017</v>
      </c>
      <c r="Q1609" t="str">
        <f>""</f>
        <v/>
      </c>
      <c r="R1609" t="str">
        <f t="shared" si="562"/>
        <v>N</v>
      </c>
      <c r="S1609" t="str">
        <f>""</f>
        <v/>
      </c>
      <c r="T1609" t="str">
        <f t="shared" si="568"/>
        <v>257.56</v>
      </c>
      <c r="U1609" t="str">
        <f t="shared" si="576"/>
        <v>15972.00</v>
      </c>
      <c r="V1609" t="str">
        <f t="shared" si="576"/>
        <v>15972.00</v>
      </c>
      <c r="W1609" t="str">
        <f t="shared" si="578"/>
        <v>2017</v>
      </c>
      <c r="X1609" t="str">
        <f>""</f>
        <v/>
      </c>
      <c r="Y1609" t="str">
        <f t="shared" si="570"/>
        <v>297.29</v>
      </c>
      <c r="Z1609" t="str">
        <f>""</f>
        <v/>
      </c>
      <c r="AA1609" t="str">
        <f t="shared" si="571"/>
        <v>18000.00</v>
      </c>
      <c r="AB1609" t="str">
        <f t="shared" si="579"/>
        <v>Residential</v>
      </c>
      <c r="AC1609" t="str">
        <f t="shared" si="558"/>
        <v>0</v>
      </c>
      <c r="AD1609" t="str">
        <f>""</f>
        <v/>
      </c>
      <c r="AE1609" t="str">
        <f>""</f>
        <v/>
      </c>
      <c r="AF1609" t="str">
        <f t="shared" si="572"/>
        <v>004</v>
      </c>
      <c r="AG1609" t="str">
        <f t="shared" si="573"/>
        <v>MA</v>
      </c>
      <c r="AH1609" t="str">
        <f t="shared" si="564"/>
        <v>-</v>
      </c>
      <c r="AI1609" t="str">
        <f t="shared" si="574"/>
        <v>18000.00</v>
      </c>
      <c r="AJ1609" t="str">
        <f>"C55-001-011-3526-7"</f>
        <v>C55-001-011-3526-7</v>
      </c>
      <c r="AK1609" t="str">
        <f>"28665"</f>
        <v>28665</v>
      </c>
      <c r="AL1609">
        <v>6</v>
      </c>
      <c r="AM1609">
        <v>1841</v>
      </c>
      <c r="AN1609">
        <v>310.55</v>
      </c>
      <c r="AQ1609" t="s">
        <v>16001</v>
      </c>
      <c r="AR1609" t="s">
        <v>16001</v>
      </c>
      <c r="AS1609" t="s">
        <v>16001</v>
      </c>
      <c r="AU1609" t="s">
        <v>396</v>
      </c>
      <c r="AV1609">
        <v>2017</v>
      </c>
      <c r="AW1609" t="str">
        <f>"37-2N-28-209T-0344-0000 "</f>
        <v xml:space="preserve">37-2N-28-209T-0344-0000 </v>
      </c>
      <c r="AX1609">
        <v>96344</v>
      </c>
      <c r="AZ1609" t="s">
        <v>15893</v>
      </c>
      <c r="BA1609" t="s">
        <v>866</v>
      </c>
      <c r="BD1609" t="s">
        <v>11749</v>
      </c>
      <c r="BE1609" t="s">
        <v>393</v>
      </c>
      <c r="BF1609">
        <v>32034</v>
      </c>
      <c r="BG1609" t="s">
        <v>16002</v>
      </c>
      <c r="BH1609" t="s">
        <v>11751</v>
      </c>
      <c r="BI1609">
        <v>-81.494230192484494</v>
      </c>
      <c r="BJ1609">
        <v>30.621382183420899</v>
      </c>
      <c r="BK1609" t="s">
        <v>15895</v>
      </c>
      <c r="BM1609" t="s">
        <v>15896</v>
      </c>
      <c r="BN1609" t="s">
        <v>15897</v>
      </c>
      <c r="BO1609">
        <v>1267</v>
      </c>
      <c r="BP1609" t="s">
        <v>404</v>
      </c>
      <c r="BQ1609">
        <v>499</v>
      </c>
      <c r="BR1609" t="s">
        <v>15097</v>
      </c>
      <c r="BS1609">
        <v>1004</v>
      </c>
      <c r="BT1609" t="s">
        <v>15098</v>
      </c>
      <c r="BW1609">
        <v>662635</v>
      </c>
      <c r="BX1609" t="s">
        <v>407</v>
      </c>
      <c r="CD1609">
        <v>2017</v>
      </c>
      <c r="CE1609">
        <v>18000</v>
      </c>
      <c r="CG1609">
        <v>18000</v>
      </c>
      <c r="CH1609">
        <v>2017</v>
      </c>
      <c r="CI1609">
        <v>18000</v>
      </c>
      <c r="CK1609">
        <v>18000</v>
      </c>
      <c r="CL1609">
        <v>2017</v>
      </c>
      <c r="CM1609">
        <v>257.56</v>
      </c>
      <c r="CN1609" s="1">
        <v>41541</v>
      </c>
      <c r="CO1609">
        <v>463500</v>
      </c>
      <c r="CZ1609" s="1">
        <v>41541</v>
      </c>
      <c r="DD1609" t="s">
        <v>11749</v>
      </c>
      <c r="DG1609">
        <v>37</v>
      </c>
      <c r="DL1609">
        <v>50303</v>
      </c>
      <c r="DM1609" t="s">
        <v>15864</v>
      </c>
      <c r="DO1609" t="s">
        <v>16003</v>
      </c>
      <c r="DP1609">
        <v>0</v>
      </c>
      <c r="DQ1609">
        <v>0</v>
      </c>
      <c r="DR1609" t="s">
        <v>411</v>
      </c>
    </row>
    <row r="1610" spans="1:296" x14ac:dyDescent="0.25">
      <c r="A1610">
        <v>16486617</v>
      </c>
      <c r="B1610">
        <v>1609</v>
      </c>
      <c r="C1610" t="s">
        <v>393</v>
      </c>
      <c r="D1610" t="s">
        <v>394</v>
      </c>
      <c r="F1610" t="str">
        <f>"37-2N-28-227V-005A-0000"</f>
        <v>37-2N-28-227V-005A-0000</v>
      </c>
      <c r="H1610" t="str">
        <f>"ROWE CAROLYN G"</f>
        <v>ROWE CAROLYN G</v>
      </c>
      <c r="I1610" t="str">
        <f>"85272 AMARYLLIS CT"</f>
        <v>85272 AMARYLLIS CT</v>
      </c>
      <c r="J1610" t="str">
        <f>"FERNANDINA BEACH FL 32034"</f>
        <v>FERNANDINA BEACH FL 32034</v>
      </c>
      <c r="K1610" t="str">
        <f>"95158 VILLAGE DR"</f>
        <v>95158 VILLAGE DR</v>
      </c>
      <c r="L1610" t="str">
        <f t="shared" si="575"/>
        <v>FERNANDINA BEACH FL 32034</v>
      </c>
      <c r="M1610" t="str">
        <f>"LOT 5A IN OR 1983/820 THE VILLAGE at MARSH LAKES PB 5/355"</f>
        <v>LOT 5A IN OR 1983/820 THE VILLAGE at MARSH LAKES PB 5/355</v>
      </c>
      <c r="N1610" t="str">
        <f>""</f>
        <v/>
      </c>
      <c r="O1610" t="str">
        <f>"43649"</f>
        <v>43649</v>
      </c>
      <c r="P1610" t="str">
        <f t="shared" si="577"/>
        <v>2017</v>
      </c>
      <c r="Q1610" t="str">
        <f>""</f>
        <v/>
      </c>
      <c r="R1610" t="str">
        <f t="shared" si="562"/>
        <v>N</v>
      </c>
      <c r="S1610" t="str">
        <f>""</f>
        <v/>
      </c>
      <c r="T1610" t="str">
        <f>"2445.74"</f>
        <v>2445.74</v>
      </c>
      <c r="U1610" t="str">
        <f>"159974.00"</f>
        <v>159974.00</v>
      </c>
      <c r="V1610" t="str">
        <f>"159974.00"</f>
        <v>159974.00</v>
      </c>
      <c r="W1610" t="str">
        <f t="shared" si="578"/>
        <v>2017</v>
      </c>
      <c r="X1610" t="str">
        <f>"2.00"</f>
        <v>2.00</v>
      </c>
      <c r="Y1610" t="str">
        <f>"2551.11"</f>
        <v>2551.11</v>
      </c>
      <c r="Z1610" t="str">
        <f>""</f>
        <v/>
      </c>
      <c r="AA1610" t="str">
        <f>"159974.00"</f>
        <v>159974.00</v>
      </c>
      <c r="AB1610" t="str">
        <f t="shared" si="579"/>
        <v>Residential</v>
      </c>
      <c r="AC1610" t="str">
        <f t="shared" si="558"/>
        <v>0</v>
      </c>
      <c r="AD1610" t="str">
        <f>"4"</f>
        <v>4</v>
      </c>
      <c r="AE1610" t="str">
        <f>"WOOD (INCLUDE STEEL STUDS)"</f>
        <v>WOOD (INCLUDE STEEL STUDS)</v>
      </c>
      <c r="AF1610" t="str">
        <f>"001"</f>
        <v>001</v>
      </c>
      <c r="AG1610" t="str">
        <f>"FL"</f>
        <v>FL</v>
      </c>
      <c r="AH1610" t="str">
        <f t="shared" si="564"/>
        <v>-</v>
      </c>
      <c r="AI1610" t="str">
        <f>"31500.00"</f>
        <v>31500.00</v>
      </c>
      <c r="AJ1610" t="str">
        <f>"C55-000-587-9463-7"</f>
        <v>C55-000-587-9463-7</v>
      </c>
      <c r="AK1610" t="str">
        <f>"28674"</f>
        <v>28674</v>
      </c>
      <c r="AL1610">
        <v>6</v>
      </c>
      <c r="AM1610">
        <v>1842</v>
      </c>
      <c r="AN1610">
        <v>2677.07</v>
      </c>
      <c r="AQ1610" t="s">
        <v>16004</v>
      </c>
      <c r="AR1610" t="s">
        <v>16004</v>
      </c>
      <c r="AS1610" t="s">
        <v>16004</v>
      </c>
      <c r="AU1610" t="s">
        <v>396</v>
      </c>
      <c r="AV1610">
        <v>2017</v>
      </c>
      <c r="AW1610" t="str">
        <f>"37-2N-28-227V-005A-0000 "</f>
        <v xml:space="preserve">37-2N-28-227V-005A-0000 </v>
      </c>
      <c r="AX1610">
        <v>95158</v>
      </c>
      <c r="AZ1610" t="s">
        <v>16005</v>
      </c>
      <c r="BA1610" t="s">
        <v>669</v>
      </c>
      <c r="BD1610" t="s">
        <v>11749</v>
      </c>
      <c r="BE1610" t="s">
        <v>393</v>
      </c>
      <c r="BF1610">
        <v>32034</v>
      </c>
      <c r="BG1610" t="s">
        <v>16006</v>
      </c>
      <c r="BH1610" t="s">
        <v>11751</v>
      </c>
      <c r="BI1610">
        <v>-81.4982983235587</v>
      </c>
      <c r="BJ1610">
        <v>30.618650879079102</v>
      </c>
      <c r="BK1610" t="s">
        <v>16007</v>
      </c>
      <c r="BM1610" t="s">
        <v>16008</v>
      </c>
      <c r="BN1610" t="s">
        <v>3983</v>
      </c>
      <c r="BO1610">
        <v>32034</v>
      </c>
      <c r="BP1610" t="s">
        <v>404</v>
      </c>
      <c r="BQ1610">
        <v>100</v>
      </c>
      <c r="BR1610" t="s">
        <v>514</v>
      </c>
      <c r="BS1610">
        <v>1001</v>
      </c>
      <c r="BT1610" t="s">
        <v>515</v>
      </c>
      <c r="BW1610">
        <v>5286</v>
      </c>
      <c r="BX1610" t="s">
        <v>407</v>
      </c>
      <c r="BY1610" t="s">
        <v>2729</v>
      </c>
      <c r="BZ1610">
        <v>4</v>
      </c>
      <c r="CA1610">
        <v>1996</v>
      </c>
      <c r="CB1610">
        <v>2</v>
      </c>
      <c r="CC1610">
        <v>1</v>
      </c>
      <c r="CD1610">
        <v>2017</v>
      </c>
      <c r="CE1610">
        <v>31500</v>
      </c>
      <c r="CF1610">
        <v>128474</v>
      </c>
      <c r="CG1610">
        <v>159974</v>
      </c>
      <c r="CH1610">
        <v>2017</v>
      </c>
      <c r="CI1610">
        <v>31500</v>
      </c>
      <c r="CJ1610">
        <v>128474</v>
      </c>
      <c r="CK1610">
        <v>159974</v>
      </c>
      <c r="CL1610">
        <v>2017</v>
      </c>
      <c r="CM1610">
        <v>2445.7399999999998</v>
      </c>
      <c r="CN1610" s="1">
        <v>42158</v>
      </c>
      <c r="CO1610">
        <v>180000</v>
      </c>
      <c r="CV1610">
        <v>0</v>
      </c>
      <c r="CZ1610" s="1">
        <v>42158</v>
      </c>
      <c r="DA1610">
        <v>0</v>
      </c>
      <c r="DD1610" t="s">
        <v>11749</v>
      </c>
      <c r="DF1610" t="s">
        <v>16009</v>
      </c>
      <c r="DG1610">
        <v>37</v>
      </c>
      <c r="DJ1610" t="s">
        <v>15875</v>
      </c>
      <c r="DL1610">
        <v>50303</v>
      </c>
      <c r="DM1610" t="s">
        <v>15864</v>
      </c>
      <c r="DO1610" t="s">
        <v>16010</v>
      </c>
      <c r="DP1610">
        <v>0</v>
      </c>
      <c r="DQ1610">
        <v>0</v>
      </c>
      <c r="DR1610" t="s">
        <v>411</v>
      </c>
      <c r="DS1610" t="b">
        <v>1</v>
      </c>
      <c r="DT1610" t="s">
        <v>470</v>
      </c>
      <c r="DU1610" t="s">
        <v>10249</v>
      </c>
      <c r="DV1610" t="s">
        <v>472</v>
      </c>
      <c r="DX1610">
        <v>-9999</v>
      </c>
      <c r="DZ1610" t="s">
        <v>447</v>
      </c>
      <c r="EA1610" t="s">
        <v>448</v>
      </c>
      <c r="EB1610" t="s">
        <v>16011</v>
      </c>
      <c r="EC1610">
        <v>20101217</v>
      </c>
      <c r="ED1610" t="s">
        <v>10251</v>
      </c>
      <c r="EE1610">
        <v>5</v>
      </c>
      <c r="EF1610">
        <v>25.2</v>
      </c>
      <c r="EG1610">
        <v>0</v>
      </c>
      <c r="EH1610" t="s">
        <v>451</v>
      </c>
      <c r="EI1610">
        <v>20140731</v>
      </c>
      <c r="EJ1610">
        <v>0</v>
      </c>
      <c r="EK1610">
        <v>0</v>
      </c>
      <c r="EP1610" t="s">
        <v>421</v>
      </c>
      <c r="EQ1610" t="s">
        <v>422</v>
      </c>
      <c r="ER1610">
        <v>2</v>
      </c>
      <c r="ES1610">
        <v>2</v>
      </c>
      <c r="ET1610">
        <v>5055.34</v>
      </c>
      <c r="EU1610">
        <v>265.27</v>
      </c>
      <c r="EV1610">
        <v>5320.61</v>
      </c>
      <c r="EW1610" s="2">
        <v>43222</v>
      </c>
      <c r="EX1610" s="1">
        <v>42879</v>
      </c>
      <c r="EY1610">
        <v>2016</v>
      </c>
      <c r="EZ1610">
        <v>2527.67</v>
      </c>
      <c r="FA1610" t="s">
        <v>16012</v>
      </c>
      <c r="FB1610">
        <v>0.25</v>
      </c>
      <c r="FC1610" t="s">
        <v>424</v>
      </c>
      <c r="FD1610" t="s">
        <v>454</v>
      </c>
      <c r="FF1610">
        <v>12</v>
      </c>
      <c r="FG1610">
        <v>5857474</v>
      </c>
      <c r="FH1610" t="s">
        <v>900</v>
      </c>
      <c r="FJ1610" s="1">
        <v>42879</v>
      </c>
      <c r="FK1610">
        <v>2016</v>
      </c>
      <c r="FL1610">
        <v>2527.67</v>
      </c>
      <c r="FM1610" t="s">
        <v>16012</v>
      </c>
      <c r="FN1610">
        <v>0.25</v>
      </c>
      <c r="FO1610" t="s">
        <v>424</v>
      </c>
      <c r="FP1610" t="s">
        <v>454</v>
      </c>
      <c r="FR1610">
        <v>12</v>
      </c>
      <c r="FS1610">
        <v>6490598</v>
      </c>
      <c r="FT1610" t="s">
        <v>16013</v>
      </c>
      <c r="FV1610" s="1">
        <v>42151</v>
      </c>
      <c r="FW1610">
        <v>2014</v>
      </c>
      <c r="FX1610">
        <v>1374.67</v>
      </c>
      <c r="FY1610" t="s">
        <v>16014</v>
      </c>
      <c r="FZ1610">
        <v>0.25</v>
      </c>
      <c r="GA1610" t="s">
        <v>424</v>
      </c>
      <c r="GB1610" t="s">
        <v>425</v>
      </c>
      <c r="GC1610" s="1">
        <v>42199</v>
      </c>
      <c r="GD1610">
        <v>2</v>
      </c>
      <c r="GE1610">
        <v>4844983</v>
      </c>
      <c r="GF1610" t="s">
        <v>3901</v>
      </c>
      <c r="GH1610" s="1">
        <v>42151</v>
      </c>
      <c r="GI1610">
        <v>2014</v>
      </c>
      <c r="GJ1610">
        <v>1374.67</v>
      </c>
      <c r="GK1610" t="s">
        <v>16014</v>
      </c>
      <c r="GL1610">
        <v>0.25</v>
      </c>
      <c r="GM1610" t="s">
        <v>424</v>
      </c>
      <c r="GN1610" t="s">
        <v>425</v>
      </c>
      <c r="GP1610">
        <v>22</v>
      </c>
      <c r="GQ1610">
        <v>6169469</v>
      </c>
      <c r="GR1610" t="s">
        <v>16015</v>
      </c>
    </row>
    <row r="1611" spans="1:296" x14ac:dyDescent="0.25">
      <c r="A1611">
        <v>16486618</v>
      </c>
      <c r="B1611">
        <v>1610</v>
      </c>
      <c r="C1611" t="s">
        <v>393</v>
      </c>
      <c r="D1611" t="s">
        <v>394</v>
      </c>
      <c r="F1611" t="str">
        <f>"37-2N-28-227W-0016-0000"</f>
        <v>37-2N-28-227W-0016-0000</v>
      </c>
      <c r="H1611" t="str">
        <f>"TRAVER STEVEN &amp; TRAVER MICHAEL D (50%)"</f>
        <v>TRAVER STEVEN &amp; TRAVER MICHAEL D (50%)</v>
      </c>
      <c r="I1611" t="str">
        <f>"95332 VILLAGE DRIVE"</f>
        <v>95332 VILLAGE DRIVE</v>
      </c>
      <c r="J1611" t="str">
        <f>"FERNANDINA BEACH FL 32034"</f>
        <v>FERNANDINA BEACH FL 32034</v>
      </c>
      <c r="K1611" t="str">
        <f>"95287 VILLAGE DR"</f>
        <v>95287 VILLAGE DR</v>
      </c>
      <c r="L1611" t="str">
        <f t="shared" si="575"/>
        <v>FERNANDINA BEACH FL 32034</v>
      </c>
      <c r="M1611" t="str">
        <f>"LOT 16 IN OR 1610/94 THE VILLAGES OF MARSH LAKES 2 PB 6/97-98"</f>
        <v>LOT 16 IN OR 1610/94 THE VILLAGES OF MARSH LAKES 2 PB 6/97-98</v>
      </c>
      <c r="N1611" t="str">
        <f>""</f>
        <v/>
      </c>
      <c r="O1611" t="str">
        <f>"43700"</f>
        <v>43700</v>
      </c>
      <c r="P1611" t="str">
        <f t="shared" si="577"/>
        <v>2017</v>
      </c>
      <c r="Q1611" t="str">
        <f>""</f>
        <v/>
      </c>
      <c r="R1611" t="str">
        <f t="shared" si="562"/>
        <v>N</v>
      </c>
      <c r="S1611" t="str">
        <f>""</f>
        <v/>
      </c>
      <c r="T1611" t="str">
        <f>"3197.76"</f>
        <v>3197.76</v>
      </c>
      <c r="U1611" t="str">
        <f>"204031.00"</f>
        <v>204031.00</v>
      </c>
      <c r="V1611" t="str">
        <f>"204031.00"</f>
        <v>204031.00</v>
      </c>
      <c r="W1611" t="str">
        <f t="shared" si="578"/>
        <v>2017</v>
      </c>
      <c r="X1611" t="str">
        <f>""</f>
        <v/>
      </c>
      <c r="Y1611" t="str">
        <f>"3325.69"</f>
        <v>3325.69</v>
      </c>
      <c r="Z1611" t="str">
        <f>""</f>
        <v/>
      </c>
      <c r="AA1611" t="str">
        <f>"215924.00"</f>
        <v>215924.00</v>
      </c>
      <c r="AB1611" t="str">
        <f t="shared" si="579"/>
        <v>Residential</v>
      </c>
      <c r="AC1611" t="str">
        <f t="shared" si="558"/>
        <v>0</v>
      </c>
      <c r="AD1611" t="str">
        <f>"4"</f>
        <v>4</v>
      </c>
      <c r="AE1611" t="str">
        <f>"WOOD (INCLUDE STEEL STUDS)"</f>
        <v>WOOD (INCLUDE STEEL STUDS)</v>
      </c>
      <c r="AF1611" t="str">
        <f>"001"</f>
        <v>001</v>
      </c>
      <c r="AG1611" t="str">
        <f>"FL"</f>
        <v>FL</v>
      </c>
      <c r="AH1611" t="str">
        <f t="shared" si="564"/>
        <v>-</v>
      </c>
      <c r="AI1611" t="str">
        <f>"30000.00"</f>
        <v>30000.00</v>
      </c>
      <c r="AJ1611" t="str">
        <f>"C55-000-587-9513-9"</f>
        <v>C55-000-587-9513-9</v>
      </c>
      <c r="AK1611" t="str">
        <f>"28724"</f>
        <v>28724</v>
      </c>
      <c r="AL1611">
        <v>6</v>
      </c>
      <c r="AM1611">
        <v>1843</v>
      </c>
      <c r="AN1611">
        <v>3490.37</v>
      </c>
      <c r="AQ1611" t="s">
        <v>16016</v>
      </c>
      <c r="AR1611" t="s">
        <v>16016</v>
      </c>
      <c r="AS1611" t="s">
        <v>16016</v>
      </c>
      <c r="AU1611" t="s">
        <v>396</v>
      </c>
      <c r="AV1611">
        <v>2017</v>
      </c>
      <c r="AW1611" t="str">
        <f>"37-2N-28-227W-0016-0000 "</f>
        <v xml:space="preserve">37-2N-28-227W-0016-0000 </v>
      </c>
      <c r="AX1611">
        <v>95287</v>
      </c>
      <c r="AZ1611" t="s">
        <v>16005</v>
      </c>
      <c r="BA1611" t="s">
        <v>669</v>
      </c>
      <c r="BD1611" t="s">
        <v>11749</v>
      </c>
      <c r="BE1611" t="s">
        <v>393</v>
      </c>
      <c r="BF1611">
        <v>32034</v>
      </c>
      <c r="BG1611" t="s">
        <v>16017</v>
      </c>
      <c r="BH1611" t="s">
        <v>11751</v>
      </c>
      <c r="BI1611">
        <v>-81.496566827190506</v>
      </c>
      <c r="BJ1611">
        <v>30.619906052317301</v>
      </c>
      <c r="BK1611" t="s">
        <v>16018</v>
      </c>
      <c r="BL1611" t="s">
        <v>16019</v>
      </c>
      <c r="BM1611" t="s">
        <v>16020</v>
      </c>
      <c r="BN1611" t="s">
        <v>3983</v>
      </c>
      <c r="BO1611">
        <v>32034</v>
      </c>
      <c r="BP1611" t="s">
        <v>404</v>
      </c>
      <c r="BQ1611">
        <v>100</v>
      </c>
      <c r="BR1611" t="s">
        <v>514</v>
      </c>
      <c r="BS1611">
        <v>1001</v>
      </c>
      <c r="BT1611" t="s">
        <v>515</v>
      </c>
      <c r="BW1611">
        <v>6400</v>
      </c>
      <c r="BX1611" t="s">
        <v>407</v>
      </c>
      <c r="BZ1611">
        <v>4</v>
      </c>
      <c r="CA1611">
        <v>2003</v>
      </c>
      <c r="CB1611">
        <v>1</v>
      </c>
      <c r="CC1611">
        <v>1</v>
      </c>
      <c r="CD1611">
        <v>2017</v>
      </c>
      <c r="CE1611">
        <v>30000</v>
      </c>
      <c r="CF1611">
        <v>185924</v>
      </c>
      <c r="CG1611">
        <v>215924</v>
      </c>
      <c r="CH1611">
        <v>2017</v>
      </c>
      <c r="CI1611">
        <v>30000</v>
      </c>
      <c r="CJ1611">
        <v>185924</v>
      </c>
      <c r="CK1611">
        <v>215924</v>
      </c>
      <c r="CL1611">
        <v>2017</v>
      </c>
      <c r="CM1611">
        <v>3197.76</v>
      </c>
      <c r="CN1611" s="1">
        <v>38226</v>
      </c>
      <c r="CO1611">
        <v>232000</v>
      </c>
      <c r="CV1611">
        <v>185600</v>
      </c>
      <c r="CX1611" t="s">
        <v>675</v>
      </c>
      <c r="CZ1611" s="1">
        <v>38226</v>
      </c>
      <c r="DA1611">
        <v>0</v>
      </c>
      <c r="DD1611" t="s">
        <v>11749</v>
      </c>
      <c r="DF1611">
        <v>16</v>
      </c>
      <c r="DG1611">
        <v>37</v>
      </c>
      <c r="DJ1611" t="s">
        <v>16021</v>
      </c>
      <c r="DL1611">
        <v>50303</v>
      </c>
      <c r="DM1611" t="s">
        <v>15864</v>
      </c>
      <c r="DO1611" t="s">
        <v>16022</v>
      </c>
      <c r="DP1611">
        <v>0</v>
      </c>
      <c r="DQ1611">
        <v>0</v>
      </c>
      <c r="DR1611" t="s">
        <v>411</v>
      </c>
    </row>
    <row r="1612" spans="1:296" x14ac:dyDescent="0.25">
      <c r="A1612">
        <v>16486619</v>
      </c>
      <c r="B1612">
        <v>1611</v>
      </c>
      <c r="C1612" t="s">
        <v>393</v>
      </c>
      <c r="D1612" t="s">
        <v>394</v>
      </c>
      <c r="F1612" t="str">
        <f>"37-2N-28-5000-000A-0000"</f>
        <v>37-2N-28-5000-000A-0000</v>
      </c>
      <c r="H1612" t="str">
        <f>"MAIN LINE TIMBER LLC"</f>
        <v>MAIN LINE TIMBER LLC</v>
      </c>
      <c r="I1612" t="str">
        <f>"PO BOX 1694"</f>
        <v>PO BOX 1694</v>
      </c>
      <c r="J1612" t="str">
        <f>"JACKSONVILLE FL 32202"</f>
        <v>JACKSONVILLE FL 32202</v>
      </c>
      <c r="K1612" t="str">
        <f>"SR 200"</f>
        <v>SR 200</v>
      </c>
      <c r="L1612" t="str">
        <f t="shared" ref="L1612:L1643" si="580">"FERNANDINA BEACH FL 32034"</f>
        <v>FERNANDINA BEACH FL 32034</v>
      </c>
      <c r="M1612" t="str">
        <f>"PT OF TRACT B PT OR 236/535 &amp; OR 1253/1846 &amp; PT OR 1201/1678 &amp; OR 1429/1157 PINEY ISLAND PB 4/63 &amp; 64"</f>
        <v>PT OF TRACT B PT OR 236/535 &amp; OR 1253/1846 &amp; PT OR 1201/1678 &amp; OR 1429/1157 PINEY ISLAND PB 4/63 &amp; 64</v>
      </c>
      <c r="N1612" t="str">
        <f>""</f>
        <v/>
      </c>
      <c r="O1612" t="str">
        <f>"43731"</f>
        <v>43731</v>
      </c>
      <c r="P1612" t="str">
        <f t="shared" si="577"/>
        <v>2017</v>
      </c>
      <c r="Q1612" t="str">
        <f>""</f>
        <v/>
      </c>
      <c r="R1612" t="str">
        <f t="shared" si="562"/>
        <v>N</v>
      </c>
      <c r="S1612" t="str">
        <f>"42.78"</f>
        <v>42.78</v>
      </c>
      <c r="T1612" t="str">
        <f>"15696.81"</f>
        <v>15696.81</v>
      </c>
      <c r="U1612" t="str">
        <f>"1026720.00"</f>
        <v>1026720.00</v>
      </c>
      <c r="V1612" t="str">
        <f>"1026720.00"</f>
        <v>1026720.00</v>
      </c>
      <c r="W1612" t="str">
        <f t="shared" si="578"/>
        <v>2017</v>
      </c>
      <c r="X1612" t="str">
        <f>"17.88"</f>
        <v>17.88</v>
      </c>
      <c r="Y1612" t="str">
        <f>"16199.71"</f>
        <v>16199.71</v>
      </c>
      <c r="Z1612" t="str">
        <f>""</f>
        <v/>
      </c>
      <c r="AA1612" t="str">
        <f>"1026720.00"</f>
        <v>1026720.00</v>
      </c>
      <c r="AB1612" t="str">
        <f t="shared" si="579"/>
        <v>Residential</v>
      </c>
      <c r="AC1612" t="str">
        <f t="shared" si="558"/>
        <v>0</v>
      </c>
      <c r="AD1612" t="str">
        <f>""</f>
        <v/>
      </c>
      <c r="AE1612" t="str">
        <f>""</f>
        <v/>
      </c>
      <c r="AF1612" t="str">
        <f>"000"</f>
        <v>000</v>
      </c>
      <c r="AG1612" t="str">
        <f>"FL"</f>
        <v>FL</v>
      </c>
      <c r="AH1612" t="str">
        <f>"1863496.00"</f>
        <v>1863496.00</v>
      </c>
      <c r="AI1612" t="str">
        <f>"1026720.00"</f>
        <v>1026720.00</v>
      </c>
      <c r="AJ1612" t="str">
        <f>"C55-000-587-9544-4"</f>
        <v>C55-000-587-9544-4</v>
      </c>
      <c r="AK1612" t="str">
        <f>"28755"</f>
        <v>28755</v>
      </c>
      <c r="AL1612">
        <v>6</v>
      </c>
      <c r="AM1612">
        <v>1844</v>
      </c>
      <c r="AN1612">
        <v>17008.099999999999</v>
      </c>
      <c r="AQ1612" t="s">
        <v>16023</v>
      </c>
      <c r="AR1612" t="s">
        <v>16023</v>
      </c>
      <c r="AS1612" t="s">
        <v>16023</v>
      </c>
      <c r="AU1612" t="s">
        <v>396</v>
      </c>
      <c r="AV1612">
        <v>2017</v>
      </c>
      <c r="AW1612" t="str">
        <f>"37-2N-28-5000-000A-0000 "</f>
        <v xml:space="preserve">37-2N-28-5000-000A-0000 </v>
      </c>
      <c r="AZ1612" t="s">
        <v>8071</v>
      </c>
      <c r="BD1612" t="s">
        <v>11749</v>
      </c>
      <c r="BE1612" t="s">
        <v>393</v>
      </c>
      <c r="BF1612">
        <v>32034</v>
      </c>
      <c r="BG1612" t="s">
        <v>8071</v>
      </c>
      <c r="BH1612" t="s">
        <v>11751</v>
      </c>
      <c r="BI1612">
        <v>-81.495488567710396</v>
      </c>
      <c r="BJ1612">
        <v>30.625230311779401</v>
      </c>
      <c r="BK1612" t="s">
        <v>15862</v>
      </c>
      <c r="BM1612" t="s">
        <v>15863</v>
      </c>
      <c r="BN1612" t="s">
        <v>548</v>
      </c>
      <c r="BO1612">
        <v>32202</v>
      </c>
      <c r="BP1612" t="s">
        <v>404</v>
      </c>
      <c r="BQ1612">
        <v>0</v>
      </c>
      <c r="BR1612" t="s">
        <v>491</v>
      </c>
      <c r="BS1612">
        <v>8001</v>
      </c>
      <c r="BT1612" t="s">
        <v>492</v>
      </c>
      <c r="BW1612">
        <v>1863496</v>
      </c>
      <c r="BX1612" t="s">
        <v>407</v>
      </c>
      <c r="BY1612" t="s">
        <v>2729</v>
      </c>
      <c r="CD1612">
        <v>2017</v>
      </c>
      <c r="CE1612">
        <v>1026720</v>
      </c>
      <c r="CG1612">
        <v>1026720</v>
      </c>
      <c r="CH1612">
        <v>2017</v>
      </c>
      <c r="CI1612">
        <v>1026720</v>
      </c>
      <c r="CK1612">
        <v>1026720</v>
      </c>
      <c r="CL1612">
        <v>2017</v>
      </c>
      <c r="CM1612">
        <v>15696.81</v>
      </c>
      <c r="CN1612" s="1">
        <v>38918</v>
      </c>
      <c r="CO1612">
        <v>20800</v>
      </c>
      <c r="CV1612">
        <v>0</v>
      </c>
      <c r="CZ1612" s="1">
        <v>38918</v>
      </c>
      <c r="DA1612">
        <v>0</v>
      </c>
      <c r="DD1612" t="s">
        <v>11749</v>
      </c>
      <c r="DG1612">
        <v>37</v>
      </c>
      <c r="DM1612" t="s">
        <v>15864</v>
      </c>
      <c r="DO1612" t="s">
        <v>16024</v>
      </c>
      <c r="DP1612">
        <v>0</v>
      </c>
      <c r="DQ1612">
        <v>0</v>
      </c>
      <c r="DR1612" t="s">
        <v>411</v>
      </c>
      <c r="DS1612" t="b">
        <v>1</v>
      </c>
      <c r="DT1612" t="s">
        <v>8902</v>
      </c>
      <c r="DV1612" t="s">
        <v>446</v>
      </c>
      <c r="DX1612">
        <v>10</v>
      </c>
      <c r="DY1612" t="s">
        <v>11438</v>
      </c>
      <c r="DZ1612" t="s">
        <v>447</v>
      </c>
      <c r="EA1612" t="s">
        <v>448</v>
      </c>
      <c r="EB1612" t="s">
        <v>14882</v>
      </c>
      <c r="EC1612">
        <v>20101217</v>
      </c>
      <c r="ED1612" t="s">
        <v>450</v>
      </c>
      <c r="EE1612">
        <v>5</v>
      </c>
      <c r="EF1612">
        <v>0</v>
      </c>
      <c r="EG1612">
        <v>0</v>
      </c>
      <c r="EH1612" t="s">
        <v>14883</v>
      </c>
      <c r="EI1612">
        <v>20160407</v>
      </c>
      <c r="EJ1612">
        <v>0</v>
      </c>
      <c r="EK1612">
        <v>0</v>
      </c>
      <c r="EP1612" t="s">
        <v>421</v>
      </c>
      <c r="EQ1612" t="s">
        <v>452</v>
      </c>
      <c r="ER1612">
        <v>2</v>
      </c>
      <c r="ES1612">
        <v>6</v>
      </c>
      <c r="ET1612">
        <v>34497.660000000003</v>
      </c>
      <c r="EU1612">
        <v>1737.38</v>
      </c>
      <c r="EV1612">
        <v>36235.040000000001</v>
      </c>
      <c r="EW1612" s="2">
        <v>43222</v>
      </c>
      <c r="EX1612" s="1">
        <v>42879</v>
      </c>
      <c r="EY1612">
        <v>2016</v>
      </c>
      <c r="EZ1612">
        <v>17248.830000000002</v>
      </c>
      <c r="FA1612" t="s">
        <v>16025</v>
      </c>
      <c r="FB1612">
        <v>0.25</v>
      </c>
      <c r="FC1612" t="s">
        <v>424</v>
      </c>
      <c r="FD1612" t="s">
        <v>454</v>
      </c>
      <c r="FF1612">
        <v>12</v>
      </c>
      <c r="FG1612">
        <v>7336671</v>
      </c>
      <c r="FH1612" t="s">
        <v>437</v>
      </c>
      <c r="FJ1612" s="1">
        <v>42879</v>
      </c>
      <c r="FK1612">
        <v>2016</v>
      </c>
      <c r="FL1612">
        <v>17248.830000000002</v>
      </c>
      <c r="FM1612" t="s">
        <v>16025</v>
      </c>
      <c r="FN1612">
        <v>0.25</v>
      </c>
      <c r="FO1612" t="s">
        <v>424</v>
      </c>
      <c r="FP1612" t="s">
        <v>454</v>
      </c>
      <c r="FR1612">
        <v>12</v>
      </c>
      <c r="FS1612">
        <v>6777548</v>
      </c>
      <c r="FT1612" t="s">
        <v>16026</v>
      </c>
      <c r="FV1612" s="1">
        <v>42515</v>
      </c>
      <c r="FW1612">
        <v>2015</v>
      </c>
      <c r="FX1612">
        <v>17645.009999999998</v>
      </c>
      <c r="FY1612" t="s">
        <v>16027</v>
      </c>
      <c r="FZ1612">
        <v>0.25</v>
      </c>
      <c r="GA1612" t="s">
        <v>424</v>
      </c>
      <c r="GB1612" t="s">
        <v>425</v>
      </c>
      <c r="GC1612" s="1">
        <v>42549</v>
      </c>
      <c r="GD1612">
        <v>1</v>
      </c>
      <c r="GE1612">
        <v>13139</v>
      </c>
      <c r="GF1612" t="s">
        <v>955</v>
      </c>
      <c r="GG1612" t="s">
        <v>458</v>
      </c>
      <c r="GH1612" s="1">
        <v>42151</v>
      </c>
      <c r="GI1612">
        <v>2014</v>
      </c>
      <c r="GJ1612">
        <v>17738.939999999999</v>
      </c>
      <c r="GK1612" t="s">
        <v>16028</v>
      </c>
      <c r="GL1612">
        <v>4.75</v>
      </c>
      <c r="GM1612" t="s">
        <v>424</v>
      </c>
      <c r="GN1612" t="s">
        <v>425</v>
      </c>
      <c r="GO1612" s="1">
        <v>42549</v>
      </c>
      <c r="GP1612">
        <v>13</v>
      </c>
      <c r="GQ1612">
        <v>1155951</v>
      </c>
      <c r="GR1612" t="s">
        <v>1451</v>
      </c>
      <c r="GS1612" t="s">
        <v>458</v>
      </c>
      <c r="GT1612" s="1">
        <v>41787</v>
      </c>
      <c r="GU1612">
        <v>2013</v>
      </c>
      <c r="GV1612">
        <v>16795.23</v>
      </c>
      <c r="GW1612" t="s">
        <v>16029</v>
      </c>
      <c r="GX1612">
        <v>0.25</v>
      </c>
      <c r="GY1612" t="s">
        <v>424</v>
      </c>
      <c r="GZ1612" t="s">
        <v>425</v>
      </c>
      <c r="HB1612">
        <v>22</v>
      </c>
      <c r="HC1612">
        <v>2407503</v>
      </c>
      <c r="HD1612" t="s">
        <v>461</v>
      </c>
      <c r="HE1612" t="s">
        <v>458</v>
      </c>
      <c r="HF1612" s="1">
        <v>41423</v>
      </c>
      <c r="HG1612">
        <v>2012</v>
      </c>
      <c r="HH1612">
        <v>17000.53</v>
      </c>
      <c r="HI1612" t="s">
        <v>16030</v>
      </c>
      <c r="HJ1612">
        <v>0.25</v>
      </c>
      <c r="HK1612" t="s">
        <v>424</v>
      </c>
      <c r="HL1612" t="s">
        <v>425</v>
      </c>
      <c r="HM1612" s="1">
        <v>42549</v>
      </c>
      <c r="HN1612">
        <v>37</v>
      </c>
      <c r="HO1612">
        <v>13528</v>
      </c>
      <c r="HP1612" t="s">
        <v>1101</v>
      </c>
      <c r="HQ1612" t="s">
        <v>458</v>
      </c>
      <c r="HR1612" s="1">
        <v>41052</v>
      </c>
      <c r="HS1612">
        <v>2011</v>
      </c>
      <c r="HT1612">
        <v>30225.65</v>
      </c>
      <c r="HU1612" t="s">
        <v>16031</v>
      </c>
      <c r="HV1612">
        <v>11.75</v>
      </c>
      <c r="HW1612" t="s">
        <v>424</v>
      </c>
      <c r="HX1612" t="s">
        <v>425</v>
      </c>
      <c r="HY1612" s="1">
        <v>41093</v>
      </c>
      <c r="HZ1612">
        <v>2</v>
      </c>
      <c r="IA1612">
        <v>13112</v>
      </c>
      <c r="IB1612" t="s">
        <v>16032</v>
      </c>
      <c r="IC1612" t="s">
        <v>458</v>
      </c>
      <c r="ID1612" s="1">
        <v>40688</v>
      </c>
      <c r="IE1612">
        <v>2010</v>
      </c>
      <c r="IF1612">
        <v>35144.65</v>
      </c>
      <c r="IG1612" t="s">
        <v>16033</v>
      </c>
      <c r="IH1612">
        <v>6</v>
      </c>
      <c r="II1612" t="s">
        <v>424</v>
      </c>
      <c r="IJ1612" t="s">
        <v>425</v>
      </c>
      <c r="IK1612" s="1">
        <v>41093</v>
      </c>
      <c r="IL1612">
        <v>14</v>
      </c>
      <c r="IM1612">
        <v>105</v>
      </c>
      <c r="IN1612" t="s">
        <v>946</v>
      </c>
      <c r="IO1612" t="s">
        <v>458</v>
      </c>
    </row>
    <row r="1613" spans="1:296" x14ac:dyDescent="0.25">
      <c r="A1613">
        <v>16486620</v>
      </c>
      <c r="B1613">
        <v>1612</v>
      </c>
      <c r="C1613" t="s">
        <v>393</v>
      </c>
      <c r="D1613" t="s">
        <v>394</v>
      </c>
      <c r="F1613" t="str">
        <f>"37-2N-28-5000-0022-0000"</f>
        <v>37-2N-28-5000-0022-0000</v>
      </c>
      <c r="H1613" t="str">
        <f>"HILL MAHLON HUBERT SR TRUSTEE OF MAHLONO HUBERT HILL SR REVOCABLE TRUST"</f>
        <v>HILL MAHLON HUBERT SR TRUSTEE OF MAHLONO HUBERT HILL SR REVOCABLE TRUST</v>
      </c>
      <c r="I1613" t="str">
        <f>""</f>
        <v/>
      </c>
      <c r="J1613" t="str">
        <f>"LAWRENCEVILLE GA 30045"</f>
        <v>LAWRENCEVILLE GA 30045</v>
      </c>
      <c r="K1613" t="str">
        <f>"LIMPKIN LN"</f>
        <v>LIMPKIN LN</v>
      </c>
      <c r="L1613" t="str">
        <f t="shared" si="580"/>
        <v>FERNANDINA BEACH FL 32034</v>
      </c>
      <c r="M1613" t="str">
        <f>"LOT 22 IN OR 1752/687 PINEY ISLAND II PB 4/97"</f>
        <v>LOT 22 IN OR 1752/687 PINEY ISLAND II PB 4/97</v>
      </c>
      <c r="N1613" t="str">
        <f>""</f>
        <v/>
      </c>
      <c r="O1613" t="str">
        <f>"43742"</f>
        <v>43742</v>
      </c>
      <c r="P1613" t="str">
        <f t="shared" si="577"/>
        <v>2017</v>
      </c>
      <c r="Q1613" t="str">
        <f>""</f>
        <v/>
      </c>
      <c r="R1613" t="str">
        <f t="shared" si="562"/>
        <v>N</v>
      </c>
      <c r="S1613" t="str">
        <f>""</f>
        <v/>
      </c>
      <c r="T1613" t="str">
        <f>"955.53"</f>
        <v>955.53</v>
      </c>
      <c r="U1613" t="str">
        <f>"62500.00"</f>
        <v>62500.00</v>
      </c>
      <c r="V1613" t="str">
        <f>"62500.00"</f>
        <v>62500.00</v>
      </c>
      <c r="W1613" t="str">
        <f t="shared" si="578"/>
        <v>2017</v>
      </c>
      <c r="X1613" t="str">
        <f>""</f>
        <v/>
      </c>
      <c r="Y1613" t="str">
        <f>"1016.20"</f>
        <v>1016.20</v>
      </c>
      <c r="Z1613" t="str">
        <f>""</f>
        <v/>
      </c>
      <c r="AA1613" t="str">
        <f>"62500.00"</f>
        <v>62500.00</v>
      </c>
      <c r="AB1613" t="str">
        <f t="shared" si="579"/>
        <v>Residential</v>
      </c>
      <c r="AC1613" t="str">
        <f t="shared" si="558"/>
        <v>0</v>
      </c>
      <c r="AD1613" t="str">
        <f>""</f>
        <v/>
      </c>
      <c r="AE1613" t="str">
        <f>""</f>
        <v/>
      </c>
      <c r="AF1613" t="str">
        <f>"000"</f>
        <v>000</v>
      </c>
      <c r="AG1613" t="str">
        <f>"GA"</f>
        <v>GA</v>
      </c>
      <c r="AH1613" t="str">
        <f t="shared" ref="AH1613:AH1622" si="581">"-"</f>
        <v>-</v>
      </c>
      <c r="AI1613" t="str">
        <f>"62500.00"</f>
        <v>62500.00</v>
      </c>
      <c r="AJ1613" t="str">
        <f>"C55-000-587-9555-0"</f>
        <v>C55-000-587-9555-0</v>
      </c>
      <c r="AK1613" t="str">
        <f>"28766"</f>
        <v>28766</v>
      </c>
      <c r="AL1613">
        <v>6</v>
      </c>
      <c r="AM1613">
        <v>1845</v>
      </c>
      <c r="AN1613">
        <v>1065.4100000000001</v>
      </c>
      <c r="AQ1613" t="s">
        <v>16034</v>
      </c>
      <c r="AR1613" t="s">
        <v>16034</v>
      </c>
      <c r="AS1613" t="s">
        <v>16034</v>
      </c>
      <c r="AU1613" t="s">
        <v>396</v>
      </c>
      <c r="AV1613">
        <v>2017</v>
      </c>
      <c r="AW1613" t="str">
        <f>"37-2N-28-5000-0022-0000 "</f>
        <v xml:space="preserve">37-2N-28-5000-0022-0000 </v>
      </c>
      <c r="AZ1613" t="s">
        <v>16035</v>
      </c>
      <c r="BA1613" t="s">
        <v>653</v>
      </c>
      <c r="BD1613" t="s">
        <v>11749</v>
      </c>
      <c r="BE1613" t="s">
        <v>393</v>
      </c>
      <c r="BF1613">
        <v>32034</v>
      </c>
      <c r="BG1613" t="s">
        <v>16036</v>
      </c>
      <c r="BH1613" t="s">
        <v>11751</v>
      </c>
      <c r="BI1613">
        <v>-81.501266380699604</v>
      </c>
      <c r="BJ1613">
        <v>30.628090616196001</v>
      </c>
      <c r="BK1613" t="s">
        <v>16037</v>
      </c>
      <c r="BL1613" t="s">
        <v>16038</v>
      </c>
      <c r="BM1613" t="s">
        <v>16039</v>
      </c>
      <c r="BN1613" t="s">
        <v>16040</v>
      </c>
      <c r="BO1613">
        <v>30045</v>
      </c>
      <c r="BP1613" t="s">
        <v>404</v>
      </c>
      <c r="BQ1613">
        <v>0</v>
      </c>
      <c r="BR1613" t="s">
        <v>491</v>
      </c>
      <c r="BS1613">
        <v>8001</v>
      </c>
      <c r="BT1613" t="s">
        <v>492</v>
      </c>
      <c r="BW1613">
        <v>64093</v>
      </c>
      <c r="BX1613" t="s">
        <v>407</v>
      </c>
      <c r="BY1613" t="s">
        <v>2729</v>
      </c>
      <c r="CD1613">
        <v>2017</v>
      </c>
      <c r="CE1613">
        <v>62500</v>
      </c>
      <c r="CG1613">
        <v>62500</v>
      </c>
      <c r="CH1613">
        <v>2017</v>
      </c>
      <c r="CI1613">
        <v>62500</v>
      </c>
      <c r="CK1613">
        <v>62500</v>
      </c>
      <c r="CL1613">
        <v>2017</v>
      </c>
      <c r="CM1613">
        <v>955.53</v>
      </c>
      <c r="CN1613" s="1">
        <v>39265</v>
      </c>
      <c r="CO1613">
        <v>240000</v>
      </c>
      <c r="CV1613">
        <v>0</v>
      </c>
      <c r="CZ1613" s="1">
        <v>39265</v>
      </c>
      <c r="DA1613">
        <v>0</v>
      </c>
      <c r="DD1613" t="s">
        <v>11749</v>
      </c>
      <c r="DF1613">
        <v>22</v>
      </c>
      <c r="DG1613">
        <v>37</v>
      </c>
      <c r="DJ1613" t="s">
        <v>16041</v>
      </c>
      <c r="DL1613">
        <v>50303</v>
      </c>
      <c r="DM1613" t="s">
        <v>15864</v>
      </c>
      <c r="DO1613" t="s">
        <v>16042</v>
      </c>
      <c r="DP1613">
        <v>0</v>
      </c>
      <c r="DQ1613">
        <v>0</v>
      </c>
      <c r="DR1613" t="s">
        <v>411</v>
      </c>
      <c r="DS1613" t="b">
        <v>1</v>
      </c>
      <c r="DT1613" t="s">
        <v>8902</v>
      </c>
      <c r="DV1613" t="s">
        <v>446</v>
      </c>
      <c r="DX1613">
        <v>10</v>
      </c>
      <c r="DY1613" t="s">
        <v>11438</v>
      </c>
      <c r="DZ1613" t="s">
        <v>447</v>
      </c>
      <c r="EA1613" t="s">
        <v>448</v>
      </c>
      <c r="EB1613" t="s">
        <v>14882</v>
      </c>
      <c r="EC1613">
        <v>20101217</v>
      </c>
      <c r="ED1613" t="s">
        <v>450</v>
      </c>
      <c r="EE1613">
        <v>5</v>
      </c>
      <c r="EF1613">
        <v>0</v>
      </c>
      <c r="EG1613">
        <v>0</v>
      </c>
      <c r="EH1613" t="s">
        <v>14883</v>
      </c>
      <c r="EI1613">
        <v>20160407</v>
      </c>
      <c r="EJ1613">
        <v>0</v>
      </c>
      <c r="EK1613">
        <v>0</v>
      </c>
    </row>
    <row r="1614" spans="1:296" x14ac:dyDescent="0.25">
      <c r="A1614">
        <v>16486621</v>
      </c>
      <c r="B1614">
        <v>1613</v>
      </c>
      <c r="C1614" t="s">
        <v>393</v>
      </c>
      <c r="D1614" t="s">
        <v>394</v>
      </c>
      <c r="F1614" t="str">
        <f>"37-2N-28-5000-0046-0000"</f>
        <v>37-2N-28-5000-0046-0000</v>
      </c>
      <c r="H1614" t="str">
        <f>"BEAN WARREN C"</f>
        <v>BEAN WARREN C</v>
      </c>
      <c r="I1614" t="str">
        <f>"96295 PINEY ISLAND DRIVE"</f>
        <v>96295 PINEY ISLAND DRIVE</v>
      </c>
      <c r="J1614" t="str">
        <f t="shared" ref="J1614:J1619" si="582">"FERNANDINA BEACH FL 32034"</f>
        <v>FERNANDINA BEACH FL 32034</v>
      </c>
      <c r="K1614" t="str">
        <f>"PINEY ISLAND DR"</f>
        <v>PINEY ISLAND DR</v>
      </c>
      <c r="L1614" t="str">
        <f t="shared" si="580"/>
        <v>FERNANDINA BEACH FL 32034</v>
      </c>
      <c r="M1614" t="str">
        <f>"LOT 46 PT OF OR 492/1076 PINEY ISLAND II PB 4/97"</f>
        <v>LOT 46 PT OF OR 492/1076 PINEY ISLAND II PB 4/97</v>
      </c>
      <c r="N1614" t="str">
        <f>""</f>
        <v/>
      </c>
      <c r="O1614" t="str">
        <f>"43769"</f>
        <v>43769</v>
      </c>
      <c r="P1614" t="str">
        <f t="shared" si="577"/>
        <v>2017</v>
      </c>
      <c r="Q1614" t="str">
        <f>""</f>
        <v/>
      </c>
      <c r="R1614" t="str">
        <f t="shared" si="562"/>
        <v>N</v>
      </c>
      <c r="S1614" t="str">
        <f>""</f>
        <v/>
      </c>
      <c r="T1614" t="str">
        <f>"1528.83"</f>
        <v>1528.83</v>
      </c>
      <c r="U1614" t="str">
        <f>"100000.00"</f>
        <v>100000.00</v>
      </c>
      <c r="V1614" t="str">
        <f>"100000.00"</f>
        <v>100000.00</v>
      </c>
      <c r="W1614" t="str">
        <f t="shared" si="578"/>
        <v>2017</v>
      </c>
      <c r="X1614" t="str">
        <f>"7.33"</f>
        <v>7.33</v>
      </c>
      <c r="Y1614" t="str">
        <f>"1207.32"</f>
        <v>1207.32</v>
      </c>
      <c r="Z1614" t="str">
        <f>""</f>
        <v/>
      </c>
      <c r="AA1614" t="str">
        <f>"100000.00"</f>
        <v>100000.00</v>
      </c>
      <c r="AB1614" t="str">
        <f t="shared" si="579"/>
        <v>Residential</v>
      </c>
      <c r="AC1614" t="str">
        <f t="shared" si="558"/>
        <v>0</v>
      </c>
      <c r="AD1614" t="str">
        <f>""</f>
        <v/>
      </c>
      <c r="AE1614" t="str">
        <f>""</f>
        <v/>
      </c>
      <c r="AF1614" t="str">
        <f>"000"</f>
        <v>000</v>
      </c>
      <c r="AG1614" t="str">
        <f t="shared" ref="AG1614:AG1619" si="583">"FL"</f>
        <v>FL</v>
      </c>
      <c r="AH1614" t="str">
        <f t="shared" si="581"/>
        <v>-</v>
      </c>
      <c r="AI1614" t="str">
        <f>"100000.00"</f>
        <v>100000.00</v>
      </c>
      <c r="AJ1614" t="str">
        <f>"C55-000-587-9580-8"</f>
        <v>C55-000-587-9580-8</v>
      </c>
      <c r="AK1614" t="str">
        <f>"28789"</f>
        <v>28789</v>
      </c>
      <c r="AL1614">
        <v>6</v>
      </c>
      <c r="AM1614">
        <v>1846</v>
      </c>
      <c r="AN1614">
        <v>1266.0899999999999</v>
      </c>
      <c r="AQ1614" t="s">
        <v>16043</v>
      </c>
      <c r="AR1614" t="s">
        <v>16043</v>
      </c>
      <c r="AS1614" t="s">
        <v>16043</v>
      </c>
      <c r="AU1614" t="s">
        <v>396</v>
      </c>
      <c r="AV1614">
        <v>2017</v>
      </c>
      <c r="AW1614" t="str">
        <f>"37-2N-28-5000-0046-0000 "</f>
        <v xml:space="preserve">37-2N-28-5000-0046-0000 </v>
      </c>
      <c r="AZ1614" t="s">
        <v>16041</v>
      </c>
      <c r="BA1614" t="s">
        <v>669</v>
      </c>
      <c r="BD1614" t="s">
        <v>11749</v>
      </c>
      <c r="BE1614" t="s">
        <v>393</v>
      </c>
      <c r="BF1614">
        <v>32034</v>
      </c>
      <c r="BG1614" t="s">
        <v>16044</v>
      </c>
      <c r="BH1614" t="s">
        <v>11751</v>
      </c>
      <c r="BI1614">
        <v>-81.498330804905095</v>
      </c>
      <c r="BJ1614">
        <v>30.631249652634601</v>
      </c>
      <c r="BK1614" t="s">
        <v>16045</v>
      </c>
      <c r="BM1614" t="s">
        <v>16046</v>
      </c>
      <c r="BN1614" t="s">
        <v>3983</v>
      </c>
      <c r="BO1614">
        <v>32034</v>
      </c>
      <c r="BP1614" t="s">
        <v>404</v>
      </c>
      <c r="BQ1614">
        <v>0</v>
      </c>
      <c r="BR1614" t="s">
        <v>491</v>
      </c>
      <c r="BS1614">
        <v>8001</v>
      </c>
      <c r="BT1614" t="s">
        <v>492</v>
      </c>
      <c r="BW1614">
        <v>47383</v>
      </c>
      <c r="BX1614" t="s">
        <v>407</v>
      </c>
      <c r="BY1614" t="s">
        <v>2729</v>
      </c>
      <c r="CD1614">
        <v>2017</v>
      </c>
      <c r="CE1614">
        <v>100000</v>
      </c>
      <c r="CG1614">
        <v>100000</v>
      </c>
      <c r="CH1614">
        <v>2017</v>
      </c>
      <c r="CI1614">
        <v>100000</v>
      </c>
      <c r="CK1614">
        <v>100000</v>
      </c>
      <c r="CL1614">
        <v>2017</v>
      </c>
      <c r="CM1614">
        <v>1528.83</v>
      </c>
      <c r="CN1614" s="1">
        <v>31594</v>
      </c>
      <c r="CO1614">
        <v>20000</v>
      </c>
      <c r="CZ1614" s="1">
        <v>31594</v>
      </c>
      <c r="DD1614" t="s">
        <v>11749</v>
      </c>
      <c r="DF1614">
        <v>46</v>
      </c>
      <c r="DG1614">
        <v>37</v>
      </c>
      <c r="DJ1614" t="s">
        <v>16041</v>
      </c>
      <c r="DL1614">
        <v>50303</v>
      </c>
      <c r="DM1614" t="s">
        <v>15864</v>
      </c>
      <c r="DO1614" t="s">
        <v>16047</v>
      </c>
      <c r="DP1614">
        <v>0</v>
      </c>
      <c r="DQ1614">
        <v>0</v>
      </c>
      <c r="DR1614" t="s">
        <v>411</v>
      </c>
      <c r="DS1614" t="b">
        <v>1</v>
      </c>
      <c r="DT1614" t="s">
        <v>8902</v>
      </c>
      <c r="DV1614" t="s">
        <v>446</v>
      </c>
      <c r="DX1614">
        <v>10</v>
      </c>
      <c r="DY1614" t="s">
        <v>11438</v>
      </c>
      <c r="DZ1614" t="s">
        <v>447</v>
      </c>
      <c r="EA1614" t="s">
        <v>448</v>
      </c>
      <c r="EB1614" t="s">
        <v>14882</v>
      </c>
      <c r="EC1614">
        <v>20101217</v>
      </c>
      <c r="ED1614" t="s">
        <v>450</v>
      </c>
      <c r="EE1614">
        <v>5</v>
      </c>
      <c r="EF1614">
        <v>0</v>
      </c>
      <c r="EG1614">
        <v>0</v>
      </c>
      <c r="EH1614" t="s">
        <v>14883</v>
      </c>
      <c r="EI1614">
        <v>20160407</v>
      </c>
      <c r="EJ1614">
        <v>0</v>
      </c>
      <c r="EK1614">
        <v>0</v>
      </c>
      <c r="EP1614" t="s">
        <v>421</v>
      </c>
      <c r="EQ1614" t="s">
        <v>422</v>
      </c>
      <c r="ER1614">
        <v>0</v>
      </c>
      <c r="ES1614">
        <v>3</v>
      </c>
      <c r="ET1614">
        <v>0</v>
      </c>
      <c r="EU1614">
        <v>0</v>
      </c>
      <c r="EV1614">
        <v>0</v>
      </c>
      <c r="EW1614" s="2">
        <v>43222</v>
      </c>
      <c r="EX1614" s="1">
        <v>41423</v>
      </c>
      <c r="EY1614">
        <v>2012</v>
      </c>
      <c r="EZ1614">
        <v>1675.67</v>
      </c>
      <c r="FA1614" t="s">
        <v>16048</v>
      </c>
      <c r="FB1614">
        <v>0.25</v>
      </c>
      <c r="FC1614" t="s">
        <v>424</v>
      </c>
      <c r="FD1614" t="s">
        <v>425</v>
      </c>
      <c r="FE1614" s="1">
        <v>41631</v>
      </c>
      <c r="FF1614">
        <v>7</v>
      </c>
      <c r="FG1614">
        <v>2101385</v>
      </c>
      <c r="FH1614" t="s">
        <v>810</v>
      </c>
      <c r="FJ1614" s="1">
        <v>41052</v>
      </c>
      <c r="FK1614">
        <v>2011</v>
      </c>
      <c r="FL1614">
        <v>2536.1799999999998</v>
      </c>
      <c r="FM1614" t="s">
        <v>16049</v>
      </c>
      <c r="FN1614">
        <v>5</v>
      </c>
      <c r="FO1614" t="s">
        <v>424</v>
      </c>
      <c r="FP1614" t="s">
        <v>425</v>
      </c>
      <c r="FQ1614" s="1">
        <v>41304</v>
      </c>
      <c r="FR1614">
        <v>8</v>
      </c>
      <c r="FS1614">
        <v>10579</v>
      </c>
      <c r="FT1614" t="s">
        <v>488</v>
      </c>
      <c r="FV1614" s="1">
        <v>40688</v>
      </c>
      <c r="FW1614">
        <v>2010</v>
      </c>
      <c r="FX1614">
        <v>2674.35</v>
      </c>
      <c r="FY1614" t="s">
        <v>16050</v>
      </c>
      <c r="FZ1614">
        <v>5.75</v>
      </c>
      <c r="GA1614" t="s">
        <v>424</v>
      </c>
      <c r="GB1614" t="s">
        <v>425</v>
      </c>
      <c r="GC1614" s="1">
        <v>40883</v>
      </c>
      <c r="GD1614">
        <v>7</v>
      </c>
      <c r="GE1614">
        <v>11287</v>
      </c>
      <c r="GF1614" t="s">
        <v>511</v>
      </c>
    </row>
    <row r="1615" spans="1:296" x14ac:dyDescent="0.25">
      <c r="A1615">
        <v>16486622</v>
      </c>
      <c r="B1615">
        <v>1614</v>
      </c>
      <c r="C1615" t="s">
        <v>393</v>
      </c>
      <c r="D1615" t="s">
        <v>394</v>
      </c>
      <c r="F1615" t="str">
        <f>"37-2N-28-5000-0074-0000"</f>
        <v>37-2N-28-5000-0074-0000</v>
      </c>
      <c r="H1615" t="str">
        <f>"DYE AMY L"</f>
        <v>DYE AMY L</v>
      </c>
      <c r="I1615" t="str">
        <f>"96044 PINEY ISLAND DR"</f>
        <v>96044 PINEY ISLAND DR</v>
      </c>
      <c r="J1615" t="str">
        <f t="shared" si="582"/>
        <v>FERNANDINA BEACH FL 32034</v>
      </c>
      <c r="K1615" t="str">
        <f>"96044 PINEY ISLAND DR"</f>
        <v>96044 PINEY ISLAND DR</v>
      </c>
      <c r="L1615" t="str">
        <f t="shared" si="580"/>
        <v>FERNANDINA BEACH FL 32034</v>
      </c>
      <c r="M1615" t="str">
        <f>"LOT 74 PT OF TRACT B IN OR 1710/901 PINEY ISLAND PB 4/63 &amp; 64"</f>
        <v>LOT 74 PT OF TRACT B IN OR 1710/901 PINEY ISLAND PB 4/63 &amp; 64</v>
      </c>
      <c r="N1615" t="str">
        <f>""</f>
        <v/>
      </c>
      <c r="O1615" t="str">
        <f>"43797"</f>
        <v>43797</v>
      </c>
      <c r="P1615" t="str">
        <f t="shared" si="577"/>
        <v>2017</v>
      </c>
      <c r="Q1615" t="str">
        <f>""</f>
        <v/>
      </c>
      <c r="R1615" t="str">
        <f>"Y"</f>
        <v>Y</v>
      </c>
      <c r="S1615" t="str">
        <f>""</f>
        <v/>
      </c>
      <c r="T1615" t="str">
        <f>"2040.50"</f>
        <v>2040.50</v>
      </c>
      <c r="U1615" t="str">
        <f>"172678.00"</f>
        <v>172678.00</v>
      </c>
      <c r="V1615" t="str">
        <f>"172678.00"</f>
        <v>172678.00</v>
      </c>
      <c r="W1615" t="str">
        <f t="shared" si="578"/>
        <v>2017</v>
      </c>
      <c r="X1615" t="str">
        <f>""</f>
        <v/>
      </c>
      <c r="Y1615" t="str">
        <f>"2133.72"</f>
        <v>2133.72</v>
      </c>
      <c r="Z1615" t="str">
        <f>"25000.00"</f>
        <v>25000.00</v>
      </c>
      <c r="AA1615" t="str">
        <f>"147678.00"</f>
        <v>147678.00</v>
      </c>
      <c r="AB1615" t="str">
        <f t="shared" si="579"/>
        <v>Residential</v>
      </c>
      <c r="AC1615" t="str">
        <f t="shared" si="558"/>
        <v>0</v>
      </c>
      <c r="AD1615" t="str">
        <f>"4"</f>
        <v>4</v>
      </c>
      <c r="AE1615" t="str">
        <f>"WOOD (INCLUDE STEEL STUDS)"</f>
        <v>WOOD (INCLUDE STEEL STUDS)</v>
      </c>
      <c r="AF1615" t="str">
        <f>"001"</f>
        <v>001</v>
      </c>
      <c r="AG1615" t="str">
        <f t="shared" si="583"/>
        <v>FL</v>
      </c>
      <c r="AH1615" t="str">
        <f t="shared" si="581"/>
        <v>-</v>
      </c>
      <c r="AI1615" t="str">
        <f>"52500.00"</f>
        <v>52500.00</v>
      </c>
      <c r="AJ1615" t="str">
        <f>"C55-000-587-9608-7"</f>
        <v>C55-000-587-9608-7</v>
      </c>
      <c r="AK1615" t="str">
        <f>"28817"</f>
        <v>28817</v>
      </c>
      <c r="AL1615">
        <v>6</v>
      </c>
      <c r="AM1615">
        <v>1847</v>
      </c>
      <c r="AN1615">
        <v>2238.81</v>
      </c>
      <c r="AQ1615" t="s">
        <v>16051</v>
      </c>
      <c r="AR1615" t="s">
        <v>16051</v>
      </c>
      <c r="AS1615" t="s">
        <v>16051</v>
      </c>
      <c r="AU1615" t="s">
        <v>396</v>
      </c>
      <c r="AV1615">
        <v>2017</v>
      </c>
      <c r="AW1615" t="str">
        <f>"37-2N-28-5000-0074-0000 "</f>
        <v xml:space="preserve">37-2N-28-5000-0074-0000 </v>
      </c>
      <c r="AX1615">
        <v>96044</v>
      </c>
      <c r="AZ1615" t="s">
        <v>16041</v>
      </c>
      <c r="BA1615" t="s">
        <v>669</v>
      </c>
      <c r="BD1615" t="s">
        <v>11749</v>
      </c>
      <c r="BE1615" t="s">
        <v>393</v>
      </c>
      <c r="BF1615">
        <v>32034</v>
      </c>
      <c r="BG1615" t="s">
        <v>16052</v>
      </c>
      <c r="BH1615" t="s">
        <v>11751</v>
      </c>
      <c r="BI1615">
        <v>-81.498679126170799</v>
      </c>
      <c r="BJ1615">
        <v>30.623899038516299</v>
      </c>
      <c r="BK1615" t="s">
        <v>16053</v>
      </c>
      <c r="BM1615" t="s">
        <v>16052</v>
      </c>
      <c r="BN1615" t="s">
        <v>3983</v>
      </c>
      <c r="BO1615">
        <v>32034</v>
      </c>
      <c r="BP1615" t="s">
        <v>416</v>
      </c>
      <c r="BQ1615">
        <v>100</v>
      </c>
      <c r="BR1615" t="s">
        <v>514</v>
      </c>
      <c r="BS1615">
        <v>1001</v>
      </c>
      <c r="BT1615" t="s">
        <v>515</v>
      </c>
      <c r="BW1615">
        <v>42113</v>
      </c>
      <c r="BX1615" t="s">
        <v>407</v>
      </c>
      <c r="BY1615" t="s">
        <v>2729</v>
      </c>
      <c r="BZ1615">
        <v>4</v>
      </c>
      <c r="CA1615">
        <v>1989</v>
      </c>
      <c r="CB1615">
        <v>1</v>
      </c>
      <c r="CC1615">
        <v>1</v>
      </c>
      <c r="CD1615">
        <v>2017</v>
      </c>
      <c r="CG1615">
        <v>172678</v>
      </c>
      <c r="CH1615">
        <v>2017</v>
      </c>
      <c r="CI1615">
        <v>52500</v>
      </c>
      <c r="CJ1615">
        <v>164667</v>
      </c>
      <c r="CK1615">
        <v>217167</v>
      </c>
      <c r="CL1615">
        <v>2017</v>
      </c>
      <c r="CM1615">
        <v>2040.5</v>
      </c>
      <c r="CN1615" s="1">
        <v>40497</v>
      </c>
      <c r="CZ1615" s="1">
        <v>40497</v>
      </c>
      <c r="DD1615" t="s">
        <v>11749</v>
      </c>
      <c r="DF1615">
        <v>74</v>
      </c>
      <c r="DG1615">
        <v>37</v>
      </c>
      <c r="DJ1615" t="s">
        <v>16041</v>
      </c>
      <c r="DL1615">
        <v>50303</v>
      </c>
      <c r="DM1615" t="s">
        <v>15864</v>
      </c>
      <c r="DO1615" t="s">
        <v>16054</v>
      </c>
      <c r="DP1615">
        <v>0</v>
      </c>
      <c r="DQ1615">
        <v>0</v>
      </c>
      <c r="DR1615" t="s">
        <v>411</v>
      </c>
    </row>
    <row r="1616" spans="1:296" x14ac:dyDescent="0.25">
      <c r="A1616">
        <v>16486623</v>
      </c>
      <c r="B1616">
        <v>1615</v>
      </c>
      <c r="C1616" t="s">
        <v>393</v>
      </c>
      <c r="D1616" t="s">
        <v>394</v>
      </c>
      <c r="F1616" t="str">
        <f>"37-2N-28-5000-0076-0000"</f>
        <v>37-2N-28-5000-0076-0000</v>
      </c>
      <c r="H1616" t="str">
        <f>"HERNANDEZ TAMARA A V WATKIVS"</f>
        <v>HERNANDEZ TAMARA A V WATKIVS</v>
      </c>
      <c r="I1616" t="str">
        <f>"96034 PINEY ISLAND DR"</f>
        <v>96034 PINEY ISLAND DR</v>
      </c>
      <c r="J1616" t="str">
        <f t="shared" si="582"/>
        <v>FERNANDINA BEACH FL 32034</v>
      </c>
      <c r="K1616" t="str">
        <f>"96034 PINEY ISLAND DR"</f>
        <v>96034 PINEY ISLAND DR</v>
      </c>
      <c r="L1616" t="str">
        <f t="shared" si="580"/>
        <v>FERNANDINA BEACH FL 32034</v>
      </c>
      <c r="M1616" t="str">
        <f>"LOT 76 PT OF TRACT B IN OR 863/1496 &amp; OR 1705/930 PINEY ISLAND PB 4/63 &amp; 64"</f>
        <v>LOT 76 PT OF TRACT B IN OR 863/1496 &amp; OR 1705/930 PINEY ISLAND PB 4/63 &amp; 64</v>
      </c>
      <c r="N1616" t="str">
        <f>""</f>
        <v/>
      </c>
      <c r="O1616" t="str">
        <f>"43799"</f>
        <v>43799</v>
      </c>
      <c r="P1616" t="str">
        <f t="shared" si="577"/>
        <v>2017</v>
      </c>
      <c r="Q1616" t="str">
        <f>""</f>
        <v/>
      </c>
      <c r="R1616" t="str">
        <f>"Y"</f>
        <v>Y</v>
      </c>
      <c r="S1616" t="str">
        <f>""</f>
        <v/>
      </c>
      <c r="T1616" t="str">
        <f>"2385.26"</f>
        <v>2385.26</v>
      </c>
      <c r="U1616" t="str">
        <f>"195229.00"</f>
        <v>195229.00</v>
      </c>
      <c r="V1616" t="str">
        <f>"195229.00"</f>
        <v>195229.00</v>
      </c>
      <c r="W1616" t="str">
        <f t="shared" si="578"/>
        <v>2017</v>
      </c>
      <c r="X1616" t="str">
        <f>"21.50"</f>
        <v>21.50</v>
      </c>
      <c r="Y1616" t="str">
        <f>"2488.82"</f>
        <v>2488.82</v>
      </c>
      <c r="Z1616" t="str">
        <f>"25000.00"</f>
        <v>25000.00</v>
      </c>
      <c r="AA1616" t="str">
        <f>"170229.00"</f>
        <v>170229.00</v>
      </c>
      <c r="AB1616" t="str">
        <f t="shared" si="579"/>
        <v>Residential</v>
      </c>
      <c r="AC1616" t="str">
        <f t="shared" si="558"/>
        <v>0</v>
      </c>
      <c r="AD1616" t="str">
        <f>"4"</f>
        <v>4</v>
      </c>
      <c r="AE1616" t="str">
        <f>"WOOD (INCLUDE STEEL STUDS)"</f>
        <v>WOOD (INCLUDE STEEL STUDS)</v>
      </c>
      <c r="AF1616" t="str">
        <f>"001"</f>
        <v>001</v>
      </c>
      <c r="AG1616" t="str">
        <f t="shared" si="583"/>
        <v>FL</v>
      </c>
      <c r="AH1616" t="str">
        <f t="shared" si="581"/>
        <v>-</v>
      </c>
      <c r="AI1616" t="str">
        <f>"50000.00"</f>
        <v>50000.00</v>
      </c>
      <c r="AJ1616" t="str">
        <f>"C55-000-587-9610-3"</f>
        <v>C55-000-587-9610-3</v>
      </c>
      <c r="AK1616" t="str">
        <f>"28819"</f>
        <v>28819</v>
      </c>
      <c r="AL1616">
        <v>6</v>
      </c>
      <c r="AM1616">
        <v>1848</v>
      </c>
      <c r="AN1616">
        <v>2611.66</v>
      </c>
      <c r="AQ1616" t="s">
        <v>16055</v>
      </c>
      <c r="AR1616" t="s">
        <v>16055</v>
      </c>
      <c r="AS1616" t="s">
        <v>16055</v>
      </c>
      <c r="AU1616" t="s">
        <v>396</v>
      </c>
      <c r="AV1616">
        <v>2017</v>
      </c>
      <c r="AW1616" t="str">
        <f>"37-2N-28-5000-0076-0000 "</f>
        <v xml:space="preserve">37-2N-28-5000-0076-0000 </v>
      </c>
      <c r="AX1616">
        <v>96034</v>
      </c>
      <c r="AZ1616" t="s">
        <v>16041</v>
      </c>
      <c r="BA1616" t="s">
        <v>669</v>
      </c>
      <c r="BD1616" t="s">
        <v>11749</v>
      </c>
      <c r="BE1616" t="s">
        <v>393</v>
      </c>
      <c r="BF1616">
        <v>32034</v>
      </c>
      <c r="BG1616" t="s">
        <v>16056</v>
      </c>
      <c r="BH1616" t="s">
        <v>11751</v>
      </c>
      <c r="BI1616">
        <v>-81.498559504525801</v>
      </c>
      <c r="BJ1616">
        <v>30.6232497983383</v>
      </c>
      <c r="BK1616" t="s">
        <v>16057</v>
      </c>
      <c r="BM1616" t="s">
        <v>16056</v>
      </c>
      <c r="BN1616" t="s">
        <v>3983</v>
      </c>
      <c r="BO1616">
        <v>32034</v>
      </c>
      <c r="BP1616" t="s">
        <v>416</v>
      </c>
      <c r="BQ1616">
        <v>100</v>
      </c>
      <c r="BR1616" t="s">
        <v>514</v>
      </c>
      <c r="BS1616">
        <v>1001</v>
      </c>
      <c r="BT1616" t="s">
        <v>515</v>
      </c>
      <c r="BW1616">
        <v>38716</v>
      </c>
      <c r="BX1616" t="s">
        <v>407</v>
      </c>
      <c r="BY1616" t="s">
        <v>2729</v>
      </c>
      <c r="BZ1616">
        <v>4</v>
      </c>
      <c r="CA1616">
        <v>1989</v>
      </c>
      <c r="CB1616">
        <v>2</v>
      </c>
      <c r="CC1616">
        <v>1</v>
      </c>
      <c r="CD1616">
        <v>2017</v>
      </c>
      <c r="CG1616">
        <v>195229</v>
      </c>
      <c r="CH1616">
        <v>2017</v>
      </c>
      <c r="CI1616">
        <v>50000</v>
      </c>
      <c r="CJ1616">
        <v>195508</v>
      </c>
      <c r="CK1616">
        <v>245508</v>
      </c>
      <c r="CL1616">
        <v>2017</v>
      </c>
      <c r="CM1616">
        <v>2385.2600000000002</v>
      </c>
      <c r="CN1616" s="1">
        <v>40471</v>
      </c>
      <c r="CZ1616" s="1">
        <v>40471</v>
      </c>
      <c r="DD1616" t="s">
        <v>11749</v>
      </c>
      <c r="DF1616">
        <v>76</v>
      </c>
      <c r="DG1616">
        <v>37</v>
      </c>
      <c r="DJ1616" t="s">
        <v>16041</v>
      </c>
      <c r="DL1616">
        <v>50303</v>
      </c>
      <c r="DM1616" t="s">
        <v>15864</v>
      </c>
      <c r="DO1616" t="s">
        <v>16058</v>
      </c>
      <c r="DP1616">
        <v>0</v>
      </c>
      <c r="DQ1616">
        <v>0</v>
      </c>
      <c r="DR1616" t="s">
        <v>411</v>
      </c>
      <c r="DS1616" t="b">
        <v>1</v>
      </c>
      <c r="DT1616" t="s">
        <v>8902</v>
      </c>
      <c r="DV1616" t="s">
        <v>446</v>
      </c>
      <c r="DX1616">
        <v>10</v>
      </c>
      <c r="DY1616" t="s">
        <v>11438</v>
      </c>
      <c r="DZ1616" t="s">
        <v>447</v>
      </c>
      <c r="EA1616" t="s">
        <v>448</v>
      </c>
      <c r="EB1616" t="s">
        <v>14882</v>
      </c>
      <c r="EC1616">
        <v>20101217</v>
      </c>
      <c r="ED1616" t="s">
        <v>450</v>
      </c>
      <c r="EE1616">
        <v>5</v>
      </c>
      <c r="EF1616">
        <v>0</v>
      </c>
      <c r="EG1616">
        <v>0</v>
      </c>
      <c r="EH1616" t="s">
        <v>14883</v>
      </c>
      <c r="EI1616">
        <v>20160407</v>
      </c>
      <c r="EJ1616">
        <v>0</v>
      </c>
      <c r="EK1616">
        <v>0</v>
      </c>
      <c r="EP1616" t="s">
        <v>421</v>
      </c>
      <c r="EQ1616" t="s">
        <v>422</v>
      </c>
      <c r="ER1616">
        <v>2</v>
      </c>
      <c r="ES1616">
        <v>10</v>
      </c>
      <c r="ET1616">
        <v>5158.72</v>
      </c>
      <c r="EU1616">
        <v>270.44</v>
      </c>
      <c r="EV1616">
        <v>5429.16</v>
      </c>
      <c r="EW1616" s="2">
        <v>43222</v>
      </c>
      <c r="EX1616" s="1">
        <v>42879</v>
      </c>
      <c r="EY1616">
        <v>2016</v>
      </c>
      <c r="EZ1616">
        <v>2579.36</v>
      </c>
      <c r="FA1616" t="s">
        <v>16059</v>
      </c>
      <c r="FB1616">
        <v>0.25</v>
      </c>
      <c r="FC1616" t="s">
        <v>424</v>
      </c>
      <c r="FD1616" t="s">
        <v>454</v>
      </c>
      <c r="FF1616">
        <v>12</v>
      </c>
      <c r="FG1616">
        <v>7336671</v>
      </c>
      <c r="FH1616" t="s">
        <v>437</v>
      </c>
      <c r="FJ1616" s="1">
        <v>42879</v>
      </c>
      <c r="FK1616">
        <v>2016</v>
      </c>
      <c r="FL1616">
        <v>2579.36</v>
      </c>
      <c r="FM1616" t="s">
        <v>16059</v>
      </c>
      <c r="FN1616">
        <v>0.25</v>
      </c>
      <c r="FO1616" t="s">
        <v>424</v>
      </c>
      <c r="FP1616" t="s">
        <v>454</v>
      </c>
      <c r="FR1616">
        <v>12</v>
      </c>
      <c r="FS1616">
        <v>5113724</v>
      </c>
      <c r="FT1616" t="s">
        <v>16060</v>
      </c>
      <c r="FV1616" s="1">
        <v>42515</v>
      </c>
      <c r="FW1616">
        <v>2015</v>
      </c>
      <c r="FX1616">
        <v>2616.4299999999998</v>
      </c>
      <c r="FY1616" t="s">
        <v>16061</v>
      </c>
      <c r="FZ1616">
        <v>0.25</v>
      </c>
      <c r="GA1616" t="s">
        <v>424</v>
      </c>
      <c r="GB1616" t="s">
        <v>425</v>
      </c>
      <c r="GC1616" s="1">
        <v>43111</v>
      </c>
      <c r="GD1616">
        <v>20</v>
      </c>
      <c r="GE1616">
        <v>5916895</v>
      </c>
      <c r="GF1616" t="s">
        <v>1390</v>
      </c>
      <c r="GH1616" s="1">
        <v>42515</v>
      </c>
      <c r="GI1616">
        <v>2015</v>
      </c>
      <c r="GJ1616">
        <v>2616.4299999999998</v>
      </c>
      <c r="GK1616" t="s">
        <v>16061</v>
      </c>
      <c r="GL1616">
        <v>0.25</v>
      </c>
      <c r="GM1616" t="s">
        <v>424</v>
      </c>
      <c r="GN1616" t="s">
        <v>425</v>
      </c>
      <c r="GP1616">
        <v>22</v>
      </c>
      <c r="GQ1616">
        <v>5959020</v>
      </c>
      <c r="GR1616" t="s">
        <v>16062</v>
      </c>
      <c r="GT1616" s="1">
        <v>42151</v>
      </c>
      <c r="GU1616">
        <v>2014</v>
      </c>
      <c r="GV1616">
        <v>2604.94</v>
      </c>
      <c r="GW1616" t="s">
        <v>16063</v>
      </c>
      <c r="GX1616">
        <v>0.25</v>
      </c>
      <c r="GY1616" t="s">
        <v>424</v>
      </c>
      <c r="GZ1616" t="s">
        <v>425</v>
      </c>
      <c r="HA1616" s="1">
        <v>42781</v>
      </c>
      <c r="HB1616">
        <v>21</v>
      </c>
      <c r="HC1616">
        <v>4975594</v>
      </c>
      <c r="HD1616" t="s">
        <v>457</v>
      </c>
      <c r="HF1616" s="1">
        <v>42151</v>
      </c>
      <c r="HG1616">
        <v>2014</v>
      </c>
      <c r="HH1616">
        <v>2604.94</v>
      </c>
      <c r="HI1616" t="s">
        <v>16063</v>
      </c>
      <c r="HJ1616">
        <v>0.25</v>
      </c>
      <c r="HK1616" t="s">
        <v>424</v>
      </c>
      <c r="HL1616" t="s">
        <v>425</v>
      </c>
      <c r="HN1616">
        <v>22</v>
      </c>
      <c r="HO1616">
        <v>6297084</v>
      </c>
      <c r="HP1616" t="s">
        <v>16064</v>
      </c>
      <c r="HR1616" s="1">
        <v>41787</v>
      </c>
      <c r="HS1616">
        <v>2013</v>
      </c>
      <c r="HT1616">
        <v>2497.4899999999998</v>
      </c>
      <c r="HU1616" t="s">
        <v>16065</v>
      </c>
      <c r="HV1616">
        <v>0.25</v>
      </c>
      <c r="HW1616" t="s">
        <v>424</v>
      </c>
      <c r="HX1616" t="s">
        <v>425</v>
      </c>
      <c r="HY1616" s="1">
        <v>42444</v>
      </c>
      <c r="HZ1616">
        <v>22</v>
      </c>
      <c r="IA1616">
        <v>2675455</v>
      </c>
      <c r="IB1616" t="s">
        <v>1981</v>
      </c>
      <c r="ID1616" s="1">
        <v>41423</v>
      </c>
      <c r="IE1616">
        <v>2012</v>
      </c>
      <c r="IF1616">
        <v>2477.9899999999998</v>
      </c>
      <c r="IG1616" t="s">
        <v>16066</v>
      </c>
      <c r="IH1616">
        <v>0.25</v>
      </c>
      <c r="II1616" t="s">
        <v>424</v>
      </c>
      <c r="IJ1616" t="s">
        <v>425</v>
      </c>
      <c r="IL1616">
        <v>22</v>
      </c>
      <c r="IM1616">
        <v>11303</v>
      </c>
      <c r="IN1616" t="s">
        <v>918</v>
      </c>
      <c r="IP1616" s="1">
        <v>41423</v>
      </c>
      <c r="IQ1616">
        <v>2012</v>
      </c>
      <c r="IR1616">
        <v>2477.9899999999998</v>
      </c>
      <c r="IS1616" t="s">
        <v>16066</v>
      </c>
      <c r="IT1616">
        <v>0.25</v>
      </c>
      <c r="IU1616" t="s">
        <v>424</v>
      </c>
      <c r="IV1616" t="s">
        <v>425</v>
      </c>
      <c r="IW1616" s="1">
        <v>42068</v>
      </c>
      <c r="IX1616">
        <v>22</v>
      </c>
      <c r="IY1616">
        <v>4844956</v>
      </c>
      <c r="IZ1616" t="s">
        <v>919</v>
      </c>
      <c r="JB1616" s="1">
        <v>41052</v>
      </c>
      <c r="JC1616">
        <v>2011</v>
      </c>
      <c r="JD1616">
        <v>3154.4</v>
      </c>
      <c r="JE1616" t="s">
        <v>16067</v>
      </c>
      <c r="JF1616">
        <v>0.25</v>
      </c>
      <c r="JG1616" t="s">
        <v>424</v>
      </c>
      <c r="JH1616" t="s">
        <v>425</v>
      </c>
      <c r="JI1616" s="1">
        <v>41724</v>
      </c>
      <c r="JJ1616">
        <v>22</v>
      </c>
      <c r="JK1616">
        <v>13104</v>
      </c>
      <c r="JL1616" t="s">
        <v>888</v>
      </c>
      <c r="JN1616" s="1">
        <v>41052</v>
      </c>
      <c r="JO1616">
        <v>2011</v>
      </c>
      <c r="JP1616">
        <v>3154.4</v>
      </c>
      <c r="JQ1616" t="s">
        <v>16067</v>
      </c>
      <c r="JR1616">
        <v>0.25</v>
      </c>
      <c r="JS1616" t="s">
        <v>424</v>
      </c>
      <c r="JT1616" t="s">
        <v>425</v>
      </c>
      <c r="JV1616">
        <v>22</v>
      </c>
      <c r="JW1616">
        <v>13704</v>
      </c>
      <c r="JX1616" t="s">
        <v>16068</v>
      </c>
      <c r="JZ1616" s="1">
        <v>40688</v>
      </c>
      <c r="KA1616">
        <v>2010</v>
      </c>
      <c r="KB1616">
        <v>3277.83</v>
      </c>
      <c r="KC1616" t="s">
        <v>16069</v>
      </c>
      <c r="KD1616">
        <v>0.25</v>
      </c>
      <c r="KE1616" t="s">
        <v>424</v>
      </c>
      <c r="KF1616" t="s">
        <v>425</v>
      </c>
      <c r="KG1616" s="1">
        <v>41358</v>
      </c>
      <c r="KH1616">
        <v>22</v>
      </c>
      <c r="KI1616">
        <v>11289</v>
      </c>
      <c r="KJ1616" t="s">
        <v>787</v>
      </c>
    </row>
    <row r="1617" spans="1:260" x14ac:dyDescent="0.25">
      <c r="A1617">
        <v>16486624</v>
      </c>
      <c r="B1617">
        <v>1616</v>
      </c>
      <c r="C1617" t="s">
        <v>393</v>
      </c>
      <c r="D1617" t="s">
        <v>394</v>
      </c>
      <c r="F1617" t="str">
        <f>"37-2N-28-5000-0203-0000"</f>
        <v>37-2N-28-5000-0203-0000</v>
      </c>
      <c r="H1617" t="str">
        <f>"TILLY VERDIE M"</f>
        <v>TILLY VERDIE M</v>
      </c>
      <c r="I1617" t="str">
        <f>"91006 FIDDLER DR"</f>
        <v>91006 FIDDLER DR</v>
      </c>
      <c r="J1617" t="str">
        <f t="shared" si="582"/>
        <v>FERNANDINA BEACH FL 32034</v>
      </c>
      <c r="K1617" t="str">
        <f>"91006 FIDDLER DR"</f>
        <v>91006 FIDDLER DR</v>
      </c>
      <c r="L1617" t="str">
        <f t="shared" si="580"/>
        <v>FERNANDINA BEACH FL 32034</v>
      </c>
      <c r="M1617" t="str">
        <f>"LOT 203 (EX S-1) IN OR 2139/384 PINEY ISLAND 1 PB 4/69"</f>
        <v>LOT 203 (EX S-1) IN OR 2139/384 PINEY ISLAND 1 PB 4/69</v>
      </c>
      <c r="N1617" t="str">
        <f>""</f>
        <v/>
      </c>
      <c r="O1617" t="str">
        <f>"43806"</f>
        <v>43806</v>
      </c>
      <c r="P1617" t="str">
        <f t="shared" si="577"/>
        <v>2017</v>
      </c>
      <c r="Q1617" t="str">
        <f>""</f>
        <v/>
      </c>
      <c r="R1617" t="str">
        <f t="shared" ref="R1617:R1625" si="584">"N"</f>
        <v>N</v>
      </c>
      <c r="S1617" t="str">
        <f>""</f>
        <v/>
      </c>
      <c r="T1617" t="str">
        <f>"2001.30"</f>
        <v>2001.30</v>
      </c>
      <c r="U1617" t="str">
        <f>"130904.00"</f>
        <v>130904.00</v>
      </c>
      <c r="V1617" t="str">
        <f>"130904.00"</f>
        <v>130904.00</v>
      </c>
      <c r="W1617" t="str">
        <f t="shared" si="578"/>
        <v>2017</v>
      </c>
      <c r="X1617" t="str">
        <f>"9.17"</f>
        <v>9.17</v>
      </c>
      <c r="Y1617" t="str">
        <f>"2093.34"</f>
        <v>2093.34</v>
      </c>
      <c r="Z1617" t="str">
        <f>""</f>
        <v/>
      </c>
      <c r="AA1617" t="str">
        <f>"130904.00"</f>
        <v>130904.00</v>
      </c>
      <c r="AB1617" t="str">
        <f t="shared" si="579"/>
        <v>Residential</v>
      </c>
      <c r="AC1617" t="str">
        <f t="shared" si="558"/>
        <v>0</v>
      </c>
      <c r="AD1617" t="str">
        <f>"4"</f>
        <v>4</v>
      </c>
      <c r="AE1617" t="str">
        <f>"WOOD (INCLUDE STEEL STUDS)"</f>
        <v>WOOD (INCLUDE STEEL STUDS)</v>
      </c>
      <c r="AF1617" t="str">
        <f>"001"</f>
        <v>001</v>
      </c>
      <c r="AG1617" t="str">
        <f t="shared" si="583"/>
        <v>FL</v>
      </c>
      <c r="AH1617" t="str">
        <f t="shared" si="581"/>
        <v>-</v>
      </c>
      <c r="AI1617" t="str">
        <f>"50000.00"</f>
        <v>50000.00</v>
      </c>
      <c r="AJ1617" t="str">
        <f>"C55-000-587-9616-0"</f>
        <v>C55-000-587-9616-0</v>
      </c>
      <c r="AK1617" t="str">
        <f>"28826"</f>
        <v>28826</v>
      </c>
      <c r="AL1617">
        <v>6</v>
      </c>
      <c r="AM1617">
        <v>1849</v>
      </c>
      <c r="AN1617">
        <v>2196.41</v>
      </c>
      <c r="AQ1617" t="s">
        <v>16070</v>
      </c>
      <c r="AR1617" t="s">
        <v>16070</v>
      </c>
      <c r="AS1617" t="s">
        <v>16070</v>
      </c>
      <c r="AU1617" t="s">
        <v>396</v>
      </c>
      <c r="AV1617">
        <v>2017</v>
      </c>
      <c r="AW1617" t="str">
        <f>"37-2N-28-5000-0203-0000 "</f>
        <v xml:space="preserve">37-2N-28-5000-0203-0000 </v>
      </c>
      <c r="AX1617">
        <v>91006</v>
      </c>
      <c r="AZ1617" t="s">
        <v>16071</v>
      </c>
      <c r="BA1617" t="s">
        <v>669</v>
      </c>
      <c r="BD1617" t="s">
        <v>11749</v>
      </c>
      <c r="BE1617" t="s">
        <v>393</v>
      </c>
      <c r="BF1617">
        <v>32034</v>
      </c>
      <c r="BG1617" t="s">
        <v>16072</v>
      </c>
      <c r="BH1617" t="s">
        <v>11751</v>
      </c>
      <c r="BI1617">
        <v>-81.500948367305398</v>
      </c>
      <c r="BJ1617">
        <v>30.620593435383501</v>
      </c>
      <c r="BK1617" t="s">
        <v>16073</v>
      </c>
      <c r="BM1617" t="s">
        <v>16072</v>
      </c>
      <c r="BN1617" t="s">
        <v>3983</v>
      </c>
      <c r="BO1617">
        <v>32034</v>
      </c>
      <c r="BP1617" t="s">
        <v>416</v>
      </c>
      <c r="BQ1617">
        <v>100</v>
      </c>
      <c r="BR1617" t="s">
        <v>514</v>
      </c>
      <c r="BS1617">
        <v>1001</v>
      </c>
      <c r="BT1617" t="s">
        <v>515</v>
      </c>
      <c r="BW1617">
        <v>24243</v>
      </c>
      <c r="BX1617" t="s">
        <v>407</v>
      </c>
      <c r="BY1617" t="s">
        <v>2729</v>
      </c>
      <c r="BZ1617">
        <v>4</v>
      </c>
      <c r="CA1617">
        <v>1998</v>
      </c>
      <c r="CB1617">
        <v>1</v>
      </c>
      <c r="CC1617">
        <v>1</v>
      </c>
      <c r="CD1617">
        <v>2017</v>
      </c>
      <c r="CE1617">
        <v>50000</v>
      </c>
      <c r="CF1617">
        <v>80904</v>
      </c>
      <c r="CG1617">
        <v>130904</v>
      </c>
      <c r="CH1617">
        <v>2017</v>
      </c>
      <c r="CI1617">
        <v>50000</v>
      </c>
      <c r="CJ1617">
        <v>80904</v>
      </c>
      <c r="CK1617">
        <v>130904</v>
      </c>
      <c r="CL1617">
        <v>2017</v>
      </c>
      <c r="CM1617">
        <v>2001.3</v>
      </c>
      <c r="CN1617" s="1">
        <v>37876</v>
      </c>
      <c r="CO1617">
        <v>241500</v>
      </c>
      <c r="CV1617">
        <v>241500</v>
      </c>
      <c r="CX1617" t="s">
        <v>675</v>
      </c>
      <c r="CZ1617" s="1">
        <v>37876</v>
      </c>
      <c r="DA1617">
        <v>0</v>
      </c>
      <c r="DD1617" t="s">
        <v>11749</v>
      </c>
      <c r="DF1617">
        <v>203</v>
      </c>
      <c r="DG1617">
        <v>37</v>
      </c>
      <c r="DJ1617" t="s">
        <v>16041</v>
      </c>
      <c r="DL1617">
        <v>50303</v>
      </c>
      <c r="DM1617" t="s">
        <v>15864</v>
      </c>
      <c r="DO1617" t="s">
        <v>16074</v>
      </c>
      <c r="DP1617">
        <v>0</v>
      </c>
      <c r="DQ1617">
        <v>0</v>
      </c>
      <c r="DR1617" t="s">
        <v>411</v>
      </c>
      <c r="DS1617" t="b">
        <v>1</v>
      </c>
      <c r="DT1617" t="s">
        <v>8902</v>
      </c>
      <c r="DV1617" t="s">
        <v>446</v>
      </c>
      <c r="DX1617">
        <v>10</v>
      </c>
      <c r="DY1617" t="s">
        <v>11438</v>
      </c>
      <c r="DZ1617" t="s">
        <v>447</v>
      </c>
      <c r="EA1617" t="s">
        <v>448</v>
      </c>
      <c r="EB1617" t="s">
        <v>14882</v>
      </c>
      <c r="EC1617">
        <v>20101217</v>
      </c>
      <c r="ED1617" t="s">
        <v>450</v>
      </c>
      <c r="EE1617">
        <v>5</v>
      </c>
      <c r="EF1617">
        <v>0</v>
      </c>
      <c r="EG1617">
        <v>0</v>
      </c>
      <c r="EH1617" t="s">
        <v>14883</v>
      </c>
      <c r="EI1617">
        <v>20160407</v>
      </c>
      <c r="EJ1617">
        <v>0</v>
      </c>
      <c r="EK1617">
        <v>0</v>
      </c>
      <c r="EP1617" t="s">
        <v>421</v>
      </c>
      <c r="EQ1617" t="s">
        <v>422</v>
      </c>
      <c r="ER1617">
        <v>0</v>
      </c>
      <c r="ES1617">
        <v>8</v>
      </c>
      <c r="ET1617">
        <v>0</v>
      </c>
      <c r="EU1617">
        <v>0</v>
      </c>
      <c r="EV1617">
        <v>0</v>
      </c>
      <c r="EW1617" s="2">
        <v>43222</v>
      </c>
      <c r="EX1617" s="1">
        <v>42879</v>
      </c>
      <c r="EY1617">
        <v>2016</v>
      </c>
      <c r="EZ1617">
        <v>2186.0700000000002</v>
      </c>
      <c r="FA1617" t="s">
        <v>16075</v>
      </c>
      <c r="FB1617">
        <v>0.25</v>
      </c>
      <c r="FC1617" t="s">
        <v>424</v>
      </c>
      <c r="FD1617" t="s">
        <v>425</v>
      </c>
      <c r="FE1617" s="1">
        <v>43045</v>
      </c>
      <c r="FF1617">
        <v>6</v>
      </c>
      <c r="FG1617">
        <v>2851116</v>
      </c>
      <c r="FH1617" t="s">
        <v>480</v>
      </c>
      <c r="FJ1617" s="1">
        <v>42879</v>
      </c>
      <c r="FK1617">
        <v>2016</v>
      </c>
      <c r="FL1617">
        <v>2186.0700000000002</v>
      </c>
      <c r="FM1617" t="s">
        <v>16075</v>
      </c>
      <c r="FN1617">
        <v>0.25</v>
      </c>
      <c r="FO1617" t="s">
        <v>424</v>
      </c>
      <c r="FP1617" t="s">
        <v>425</v>
      </c>
      <c r="FR1617">
        <v>22</v>
      </c>
      <c r="FS1617">
        <v>4942790</v>
      </c>
      <c r="FT1617" t="s">
        <v>16076</v>
      </c>
      <c r="FV1617" s="1">
        <v>42515</v>
      </c>
      <c r="FW1617">
        <v>2015</v>
      </c>
      <c r="FX1617">
        <v>2127.3000000000002</v>
      </c>
      <c r="FY1617" t="s">
        <v>16077</v>
      </c>
      <c r="FZ1617">
        <v>0.25</v>
      </c>
      <c r="GA1617" t="s">
        <v>424</v>
      </c>
      <c r="GB1617" t="s">
        <v>425</v>
      </c>
      <c r="GC1617" s="1">
        <v>42996</v>
      </c>
      <c r="GD1617">
        <v>16</v>
      </c>
      <c r="GE1617">
        <v>7336671</v>
      </c>
      <c r="GF1617" t="s">
        <v>437</v>
      </c>
      <c r="GH1617" s="1">
        <v>42515</v>
      </c>
      <c r="GI1617">
        <v>2015</v>
      </c>
      <c r="GJ1617">
        <v>2127.3000000000002</v>
      </c>
      <c r="GK1617" t="s">
        <v>16077</v>
      </c>
      <c r="GL1617">
        <v>0.25</v>
      </c>
      <c r="GM1617" t="s">
        <v>424</v>
      </c>
      <c r="GN1617" t="s">
        <v>425</v>
      </c>
      <c r="GP1617">
        <v>22</v>
      </c>
      <c r="GQ1617">
        <v>6811893</v>
      </c>
      <c r="GR1617" t="s">
        <v>16078</v>
      </c>
      <c r="GT1617" s="1">
        <v>42151</v>
      </c>
      <c r="GU1617">
        <v>2014</v>
      </c>
      <c r="GV1617">
        <v>1828.41</v>
      </c>
      <c r="GW1617" t="s">
        <v>16079</v>
      </c>
      <c r="GX1617">
        <v>0.25</v>
      </c>
      <c r="GY1617" t="s">
        <v>424</v>
      </c>
      <c r="GZ1617" t="s">
        <v>425</v>
      </c>
      <c r="HA1617" s="1">
        <v>42521</v>
      </c>
      <c r="HB1617">
        <v>12</v>
      </c>
      <c r="HC1617">
        <v>4975594</v>
      </c>
      <c r="HD1617" t="s">
        <v>457</v>
      </c>
      <c r="HF1617" s="1">
        <v>42151</v>
      </c>
      <c r="HG1617">
        <v>2014</v>
      </c>
      <c r="HH1617">
        <v>1828.41</v>
      </c>
      <c r="HI1617" t="s">
        <v>16079</v>
      </c>
      <c r="HJ1617">
        <v>0.25</v>
      </c>
      <c r="HK1617" t="s">
        <v>424</v>
      </c>
      <c r="HL1617" t="s">
        <v>425</v>
      </c>
      <c r="HN1617">
        <v>22</v>
      </c>
      <c r="HO1617">
        <v>6642925</v>
      </c>
      <c r="HP1617" t="s">
        <v>16080</v>
      </c>
      <c r="HR1617" s="1">
        <v>41423</v>
      </c>
      <c r="HS1617">
        <v>2012</v>
      </c>
      <c r="HT1617">
        <v>1720.55</v>
      </c>
      <c r="HU1617" t="s">
        <v>16081</v>
      </c>
      <c r="HV1617">
        <v>0.25</v>
      </c>
      <c r="HW1617" t="s">
        <v>424</v>
      </c>
      <c r="HX1617" t="s">
        <v>425</v>
      </c>
      <c r="HY1617" s="1">
        <v>41577</v>
      </c>
      <c r="HZ1617">
        <v>5</v>
      </c>
      <c r="IA1617">
        <v>606981</v>
      </c>
      <c r="IB1617" t="s">
        <v>792</v>
      </c>
      <c r="ID1617" s="1">
        <v>41052</v>
      </c>
      <c r="IE1617">
        <v>2011</v>
      </c>
      <c r="IF1617">
        <v>2372.6</v>
      </c>
      <c r="IG1617" t="s">
        <v>16082</v>
      </c>
      <c r="IH1617">
        <v>0.25</v>
      </c>
      <c r="II1617" t="s">
        <v>424</v>
      </c>
      <c r="IJ1617" t="s">
        <v>425</v>
      </c>
      <c r="IK1617" s="1">
        <v>41515</v>
      </c>
      <c r="IL1617">
        <v>15</v>
      </c>
      <c r="IM1617">
        <v>13860</v>
      </c>
      <c r="IN1617" t="s">
        <v>16083</v>
      </c>
    </row>
    <row r="1618" spans="1:260" x14ac:dyDescent="0.25">
      <c r="A1618">
        <v>16486625</v>
      </c>
      <c r="B1618">
        <v>1617</v>
      </c>
      <c r="C1618" t="s">
        <v>393</v>
      </c>
      <c r="D1618" t="s">
        <v>394</v>
      </c>
      <c r="F1618" t="str">
        <f>"37-2N-28-5000-0212-0000"</f>
        <v>37-2N-28-5000-0212-0000</v>
      </c>
      <c r="H1618" t="str">
        <f>"ROWE JONATHAN M &amp; SUSAN L"</f>
        <v>ROWE JONATHAN M &amp; SUSAN L</v>
      </c>
      <c r="I1618" t="str">
        <f>"3058 RIVERSIDE DRIVE"</f>
        <v>3058 RIVERSIDE DRIVE</v>
      </c>
      <c r="J1618" t="str">
        <f t="shared" si="582"/>
        <v>FERNANDINA BEACH FL 32034</v>
      </c>
      <c r="K1618" t="str">
        <f>"CRANE DR"</f>
        <v>CRANE DR</v>
      </c>
      <c r="L1618" t="str">
        <f t="shared" si="580"/>
        <v>FERNANDINA BEACH FL 32034</v>
      </c>
      <c r="M1618" t="str">
        <f>"PT OF LOT 212 IN OR 1371/544 PINEY ISLAND I PB 4/69"</f>
        <v>PT OF LOT 212 IN OR 1371/544 PINEY ISLAND I PB 4/69</v>
      </c>
      <c r="N1618" t="str">
        <f>""</f>
        <v/>
      </c>
      <c r="O1618" t="str">
        <f>"43816"</f>
        <v>43816</v>
      </c>
      <c r="P1618" t="str">
        <f t="shared" si="577"/>
        <v>2017</v>
      </c>
      <c r="Q1618" t="str">
        <f>""</f>
        <v/>
      </c>
      <c r="R1618" t="str">
        <f t="shared" si="584"/>
        <v>N</v>
      </c>
      <c r="S1618" t="str">
        <f>""</f>
        <v/>
      </c>
      <c r="T1618" t="str">
        <f>"1223.06"</f>
        <v>1223.06</v>
      </c>
      <c r="U1618" t="str">
        <f>"80000.00"</f>
        <v>80000.00</v>
      </c>
      <c r="V1618" t="str">
        <f>"80000.00"</f>
        <v>80000.00</v>
      </c>
      <c r="W1618" t="str">
        <f t="shared" si="578"/>
        <v>2017</v>
      </c>
      <c r="X1618" t="str">
        <f>"21.89"</f>
        <v>21.89</v>
      </c>
      <c r="Y1618" t="str">
        <f>"1291.75"</f>
        <v>1291.75</v>
      </c>
      <c r="Z1618" t="str">
        <f>""</f>
        <v/>
      </c>
      <c r="AA1618" t="str">
        <f>"80000.00"</f>
        <v>80000.00</v>
      </c>
      <c r="AB1618" t="str">
        <f t="shared" si="579"/>
        <v>Residential</v>
      </c>
      <c r="AC1618" t="str">
        <f t="shared" si="558"/>
        <v>0</v>
      </c>
      <c r="AD1618" t="str">
        <f>""</f>
        <v/>
      </c>
      <c r="AE1618" t="str">
        <f>""</f>
        <v/>
      </c>
      <c r="AF1618" t="str">
        <f t="shared" ref="AF1618:AF1625" si="585">"000"</f>
        <v>000</v>
      </c>
      <c r="AG1618" t="str">
        <f t="shared" si="583"/>
        <v>FL</v>
      </c>
      <c r="AH1618" t="str">
        <f t="shared" si="581"/>
        <v>-</v>
      </c>
      <c r="AI1618" t="str">
        <f>"80000.00"</f>
        <v>80000.00</v>
      </c>
      <c r="AJ1618" t="str">
        <f>"C55-000-587-9625-1"</f>
        <v>C55-000-587-9625-1</v>
      </c>
      <c r="AK1618" t="str">
        <f>"28836"</f>
        <v>28836</v>
      </c>
      <c r="AL1618">
        <v>6</v>
      </c>
      <c r="AM1618">
        <v>1850</v>
      </c>
      <c r="AN1618">
        <v>1354.74</v>
      </c>
      <c r="AQ1618" t="s">
        <v>16084</v>
      </c>
      <c r="AR1618" t="s">
        <v>16084</v>
      </c>
      <c r="AS1618" t="s">
        <v>16084</v>
      </c>
      <c r="AU1618" t="s">
        <v>396</v>
      </c>
      <c r="AV1618">
        <v>2017</v>
      </c>
      <c r="AW1618" t="str">
        <f>"37-2N-28-5000-0212-0000 "</f>
        <v xml:space="preserve">37-2N-28-5000-0212-0000 </v>
      </c>
      <c r="AZ1618" t="s">
        <v>16085</v>
      </c>
      <c r="BA1618" t="s">
        <v>669</v>
      </c>
      <c r="BD1618" t="s">
        <v>11749</v>
      </c>
      <c r="BE1618" t="s">
        <v>393</v>
      </c>
      <c r="BF1618">
        <v>32034</v>
      </c>
      <c r="BG1618" t="s">
        <v>16086</v>
      </c>
      <c r="BH1618" t="s">
        <v>11751</v>
      </c>
      <c r="BI1618">
        <v>-81.501003911480396</v>
      </c>
      <c r="BJ1618">
        <v>30.622990715264699</v>
      </c>
      <c r="BK1618" t="s">
        <v>16087</v>
      </c>
      <c r="BL1618" t="s">
        <v>16088</v>
      </c>
      <c r="BM1618" t="s">
        <v>16089</v>
      </c>
      <c r="BN1618" t="s">
        <v>3983</v>
      </c>
      <c r="BO1618">
        <v>32034</v>
      </c>
      <c r="BP1618" t="s">
        <v>404</v>
      </c>
      <c r="BQ1618">
        <v>0</v>
      </c>
      <c r="BR1618" t="s">
        <v>491</v>
      </c>
      <c r="BS1618">
        <v>8001</v>
      </c>
      <c r="BT1618" t="s">
        <v>492</v>
      </c>
      <c r="BW1618">
        <v>26676</v>
      </c>
      <c r="BX1618" t="s">
        <v>407</v>
      </c>
      <c r="BY1618" t="s">
        <v>2729</v>
      </c>
      <c r="CD1618">
        <v>2017</v>
      </c>
      <c r="CE1618">
        <v>80000</v>
      </c>
      <c r="CG1618">
        <v>80000</v>
      </c>
      <c r="CH1618">
        <v>2017</v>
      </c>
      <c r="CI1618">
        <v>80000</v>
      </c>
      <c r="CK1618">
        <v>80000</v>
      </c>
      <c r="CL1618">
        <v>2017</v>
      </c>
      <c r="CM1618">
        <v>1223.06</v>
      </c>
      <c r="CN1618" s="1">
        <v>38688</v>
      </c>
      <c r="CO1618">
        <v>149500</v>
      </c>
      <c r="CV1618">
        <v>0</v>
      </c>
      <c r="CZ1618" s="1">
        <v>38688</v>
      </c>
      <c r="DA1618">
        <v>0</v>
      </c>
      <c r="DD1618" t="s">
        <v>11749</v>
      </c>
      <c r="DF1618">
        <v>212</v>
      </c>
      <c r="DG1618">
        <v>37</v>
      </c>
      <c r="DJ1618" t="s">
        <v>16041</v>
      </c>
      <c r="DL1618">
        <v>50303</v>
      </c>
      <c r="DM1618" t="s">
        <v>15864</v>
      </c>
      <c r="DO1618" t="s">
        <v>16090</v>
      </c>
      <c r="DP1618">
        <v>0</v>
      </c>
      <c r="DQ1618">
        <v>0</v>
      </c>
      <c r="DR1618" t="s">
        <v>411</v>
      </c>
      <c r="DS1618" t="b">
        <v>1</v>
      </c>
      <c r="DT1618" t="s">
        <v>8902</v>
      </c>
      <c r="DV1618" t="s">
        <v>446</v>
      </c>
      <c r="DX1618">
        <v>10</v>
      </c>
      <c r="DY1618" t="s">
        <v>11438</v>
      </c>
      <c r="DZ1618" t="s">
        <v>447</v>
      </c>
      <c r="EA1618" t="s">
        <v>448</v>
      </c>
      <c r="EB1618" t="s">
        <v>14882</v>
      </c>
      <c r="EC1618">
        <v>20101217</v>
      </c>
      <c r="ED1618" t="s">
        <v>450</v>
      </c>
      <c r="EE1618">
        <v>5</v>
      </c>
      <c r="EF1618">
        <v>0</v>
      </c>
      <c r="EG1618">
        <v>0</v>
      </c>
      <c r="EH1618" t="s">
        <v>14883</v>
      </c>
      <c r="EI1618">
        <v>20160407</v>
      </c>
      <c r="EJ1618">
        <v>0</v>
      </c>
      <c r="EK1618">
        <v>0</v>
      </c>
      <c r="EP1618" t="s">
        <v>421</v>
      </c>
      <c r="EQ1618" t="s">
        <v>422</v>
      </c>
      <c r="ER1618">
        <v>2</v>
      </c>
      <c r="ES1618">
        <v>6</v>
      </c>
      <c r="ET1618">
        <v>2737.78</v>
      </c>
      <c r="EU1618">
        <v>149.38999999999999</v>
      </c>
      <c r="EV1618">
        <v>2887.17</v>
      </c>
      <c r="EW1618" s="2">
        <v>43222</v>
      </c>
      <c r="EX1618" s="1">
        <v>42879</v>
      </c>
      <c r="EY1618">
        <v>2016</v>
      </c>
      <c r="EZ1618">
        <v>1368.89</v>
      </c>
      <c r="FA1618" t="s">
        <v>16091</v>
      </c>
      <c r="FB1618">
        <v>0.25</v>
      </c>
      <c r="FC1618" t="s">
        <v>424</v>
      </c>
      <c r="FD1618" t="s">
        <v>454</v>
      </c>
      <c r="FF1618">
        <v>12</v>
      </c>
      <c r="FG1618">
        <v>7400234</v>
      </c>
      <c r="FH1618" t="s">
        <v>426</v>
      </c>
      <c r="FJ1618" s="1">
        <v>42879</v>
      </c>
      <c r="FK1618">
        <v>2016</v>
      </c>
      <c r="FL1618">
        <v>1368.89</v>
      </c>
      <c r="FM1618" t="s">
        <v>16091</v>
      </c>
      <c r="FN1618">
        <v>0.25</v>
      </c>
      <c r="FO1618" t="s">
        <v>424</v>
      </c>
      <c r="FP1618" t="s">
        <v>454</v>
      </c>
      <c r="FR1618">
        <v>12</v>
      </c>
      <c r="FS1618">
        <v>7557143</v>
      </c>
      <c r="FT1618" t="s">
        <v>16092</v>
      </c>
      <c r="FV1618" s="1">
        <v>42515</v>
      </c>
      <c r="FW1618">
        <v>2015</v>
      </c>
      <c r="FX1618">
        <v>1395.15</v>
      </c>
      <c r="FY1618" t="s">
        <v>16093</v>
      </c>
      <c r="FZ1618">
        <v>0.25</v>
      </c>
      <c r="GA1618" t="s">
        <v>424</v>
      </c>
      <c r="GB1618" t="s">
        <v>425</v>
      </c>
      <c r="GC1618" s="1">
        <v>43158</v>
      </c>
      <c r="GD1618">
        <v>21</v>
      </c>
      <c r="GE1618">
        <v>2035919</v>
      </c>
      <c r="GF1618" t="s">
        <v>507</v>
      </c>
      <c r="GH1618" s="1">
        <v>42151</v>
      </c>
      <c r="GI1618">
        <v>2014</v>
      </c>
      <c r="GJ1618">
        <v>1402.47</v>
      </c>
      <c r="GK1618" t="s">
        <v>16094</v>
      </c>
      <c r="GL1618">
        <v>4.75</v>
      </c>
      <c r="GM1618" t="s">
        <v>424</v>
      </c>
      <c r="GN1618" t="s">
        <v>425</v>
      </c>
      <c r="GO1618" s="1">
        <v>42786</v>
      </c>
      <c r="GP1618">
        <v>21</v>
      </c>
      <c r="GQ1618">
        <v>4975593</v>
      </c>
      <c r="GR1618" t="s">
        <v>505</v>
      </c>
      <c r="GT1618" s="1">
        <v>41787</v>
      </c>
      <c r="GU1618">
        <v>2013</v>
      </c>
      <c r="GV1618">
        <v>1328.92</v>
      </c>
      <c r="GW1618" t="s">
        <v>16095</v>
      </c>
      <c r="GX1618">
        <v>0.25</v>
      </c>
      <c r="GY1618" t="s">
        <v>424</v>
      </c>
      <c r="GZ1618" t="s">
        <v>425</v>
      </c>
      <c r="HA1618" s="1">
        <v>42405</v>
      </c>
      <c r="HB1618">
        <v>21</v>
      </c>
      <c r="HC1618">
        <v>10125</v>
      </c>
      <c r="HD1618" t="s">
        <v>440</v>
      </c>
      <c r="HF1618" s="1">
        <v>41423</v>
      </c>
      <c r="HG1618">
        <v>2012</v>
      </c>
      <c r="HH1618">
        <v>1344.93</v>
      </c>
      <c r="HI1618" t="s">
        <v>16096</v>
      </c>
      <c r="HJ1618">
        <v>0.75</v>
      </c>
      <c r="HK1618" t="s">
        <v>424</v>
      </c>
      <c r="HL1618" t="s">
        <v>425</v>
      </c>
      <c r="HM1618" s="1">
        <v>42062</v>
      </c>
      <c r="HN1618">
        <v>21</v>
      </c>
      <c r="HO1618">
        <v>13139</v>
      </c>
      <c r="HP1618" t="s">
        <v>955</v>
      </c>
      <c r="HR1618" s="1">
        <v>41052</v>
      </c>
      <c r="HS1618">
        <v>2011</v>
      </c>
      <c r="HT1618">
        <v>1905.64</v>
      </c>
      <c r="HU1618" t="s">
        <v>16097</v>
      </c>
      <c r="HV1618">
        <v>8.5</v>
      </c>
      <c r="HW1618" t="s">
        <v>424</v>
      </c>
      <c r="HX1618" t="s">
        <v>425</v>
      </c>
      <c r="HY1618" s="1">
        <v>41698</v>
      </c>
      <c r="HZ1618">
        <v>21</v>
      </c>
      <c r="IA1618">
        <v>318</v>
      </c>
      <c r="IB1618" t="s">
        <v>1083</v>
      </c>
      <c r="ID1618" s="1">
        <v>40688</v>
      </c>
      <c r="IE1618">
        <v>2010</v>
      </c>
      <c r="IF1618">
        <v>1913.98</v>
      </c>
      <c r="IG1618" t="s">
        <v>16098</v>
      </c>
      <c r="IH1618">
        <v>6</v>
      </c>
      <c r="II1618" t="s">
        <v>424</v>
      </c>
      <c r="IJ1618" t="s">
        <v>425</v>
      </c>
      <c r="IK1618" s="1">
        <v>41332</v>
      </c>
      <c r="IL1618">
        <v>21</v>
      </c>
      <c r="IM1618">
        <v>105</v>
      </c>
      <c r="IN1618" t="s">
        <v>946</v>
      </c>
    </row>
    <row r="1619" spans="1:260" x14ac:dyDescent="0.25">
      <c r="A1619">
        <v>16486626</v>
      </c>
      <c r="B1619">
        <v>1618</v>
      </c>
      <c r="C1619" t="s">
        <v>393</v>
      </c>
      <c r="D1619" t="s">
        <v>394</v>
      </c>
      <c r="F1619" t="str">
        <f>"37-2N-28-5000-0212-0010"</f>
        <v>37-2N-28-5000-0212-0010</v>
      </c>
      <c r="H1619" t="str">
        <f>"ROWE JONATHAN M &amp; SUSAN L"</f>
        <v>ROWE JONATHAN M &amp; SUSAN L</v>
      </c>
      <c r="I1619" t="str">
        <f>"3058 RIVERSIDE DRIVE"</f>
        <v>3058 RIVERSIDE DRIVE</v>
      </c>
      <c r="J1619" t="str">
        <f t="shared" si="582"/>
        <v>FERNANDINA BEACH FL 32034</v>
      </c>
      <c r="K1619" t="str">
        <f>"CRANE DR"</f>
        <v>CRANE DR</v>
      </c>
      <c r="L1619" t="str">
        <f t="shared" si="580"/>
        <v>FERNANDINA BEACH FL 32034</v>
      </c>
      <c r="M1619" t="str">
        <f>"PT OF LOT 212 (S-1) IN OR 1371/547 PINEY ISLAND I PB 4/69"</f>
        <v>PT OF LOT 212 (S-1) IN OR 1371/547 PINEY ISLAND I PB 4/69</v>
      </c>
      <c r="N1619" t="str">
        <f>""</f>
        <v/>
      </c>
      <c r="O1619" t="str">
        <f>"43817"</f>
        <v>43817</v>
      </c>
      <c r="P1619" t="str">
        <f t="shared" si="577"/>
        <v>2017</v>
      </c>
      <c r="Q1619" t="str">
        <f>""</f>
        <v/>
      </c>
      <c r="R1619" t="str">
        <f t="shared" si="584"/>
        <v>N</v>
      </c>
      <c r="S1619" t="str">
        <f>""</f>
        <v/>
      </c>
      <c r="T1619" t="str">
        <f>"1345.38"</f>
        <v>1345.38</v>
      </c>
      <c r="U1619" t="str">
        <f t="shared" ref="U1619:V1621" si="586">"88000.00"</f>
        <v>88000.00</v>
      </c>
      <c r="V1619" t="str">
        <f t="shared" si="586"/>
        <v>88000.00</v>
      </c>
      <c r="W1619" t="str">
        <f t="shared" si="578"/>
        <v>2017</v>
      </c>
      <c r="X1619" t="str">
        <f>"19.71"</f>
        <v>19.71</v>
      </c>
      <c r="Y1619" t="str">
        <f>"1417.74"</f>
        <v>1417.74</v>
      </c>
      <c r="Z1619" t="str">
        <f>""</f>
        <v/>
      </c>
      <c r="AA1619" t="str">
        <f>"88000.00"</f>
        <v>88000.00</v>
      </c>
      <c r="AB1619" t="str">
        <f t="shared" si="579"/>
        <v>Residential</v>
      </c>
      <c r="AC1619" t="str">
        <f t="shared" si="558"/>
        <v>0</v>
      </c>
      <c r="AD1619" t="str">
        <f>""</f>
        <v/>
      </c>
      <c r="AE1619" t="str">
        <f>""</f>
        <v/>
      </c>
      <c r="AF1619" t="str">
        <f t="shared" si="585"/>
        <v>000</v>
      </c>
      <c r="AG1619" t="str">
        <f t="shared" si="583"/>
        <v>FL</v>
      </c>
      <c r="AH1619" t="str">
        <f t="shared" si="581"/>
        <v>-</v>
      </c>
      <c r="AI1619" t="str">
        <f>"88000.00"</f>
        <v>88000.00</v>
      </c>
      <c r="AJ1619" t="str">
        <f>"C55-000-589-2894-6"</f>
        <v>C55-000-589-2894-6</v>
      </c>
      <c r="AK1619" t="str">
        <f>"28837"</f>
        <v>28837</v>
      </c>
      <c r="AL1619">
        <v>6</v>
      </c>
      <c r="AM1619">
        <v>1851</v>
      </c>
      <c r="AN1619">
        <v>1487.03</v>
      </c>
      <c r="AQ1619" t="s">
        <v>16099</v>
      </c>
      <c r="AR1619" t="s">
        <v>16099</v>
      </c>
      <c r="AS1619" t="s">
        <v>16099</v>
      </c>
      <c r="AU1619" t="s">
        <v>396</v>
      </c>
      <c r="AV1619">
        <v>2017</v>
      </c>
      <c r="AW1619" t="str">
        <f>"37-2N-28-5000-0212-0010 "</f>
        <v xml:space="preserve">37-2N-28-5000-0212-0010 </v>
      </c>
      <c r="AZ1619" t="s">
        <v>16085</v>
      </c>
      <c r="BA1619" t="s">
        <v>669</v>
      </c>
      <c r="BD1619" t="s">
        <v>11749</v>
      </c>
      <c r="BE1619" t="s">
        <v>393</v>
      </c>
      <c r="BF1619">
        <v>32034</v>
      </c>
      <c r="BG1619" t="s">
        <v>16086</v>
      </c>
      <c r="BH1619" t="s">
        <v>11751</v>
      </c>
      <c r="BI1619">
        <v>-81.500878040969795</v>
      </c>
      <c r="BJ1619">
        <v>30.6225706171032</v>
      </c>
      <c r="BK1619" t="s">
        <v>16087</v>
      </c>
      <c r="BL1619" t="s">
        <v>16088</v>
      </c>
      <c r="BM1619" t="s">
        <v>16089</v>
      </c>
      <c r="BN1619" t="s">
        <v>3983</v>
      </c>
      <c r="BO1619">
        <v>32034</v>
      </c>
      <c r="BP1619" t="s">
        <v>404</v>
      </c>
      <c r="BQ1619">
        <v>0</v>
      </c>
      <c r="BR1619" t="s">
        <v>491</v>
      </c>
      <c r="BS1619">
        <v>8001</v>
      </c>
      <c r="BT1619" t="s">
        <v>492</v>
      </c>
      <c r="BW1619">
        <v>42811</v>
      </c>
      <c r="BX1619" t="s">
        <v>407</v>
      </c>
      <c r="BY1619" t="s">
        <v>2729</v>
      </c>
      <c r="CD1619">
        <v>2017</v>
      </c>
      <c r="CE1619">
        <v>88000</v>
      </c>
      <c r="CG1619">
        <v>88000</v>
      </c>
      <c r="CH1619">
        <v>2017</v>
      </c>
      <c r="CI1619">
        <v>88000</v>
      </c>
      <c r="CK1619">
        <v>88000</v>
      </c>
      <c r="CL1619">
        <v>2017</v>
      </c>
      <c r="CM1619">
        <v>1345.38</v>
      </c>
      <c r="CN1619" s="1">
        <v>38688</v>
      </c>
      <c r="CO1619">
        <v>149500</v>
      </c>
      <c r="CZ1619" s="1">
        <v>38688</v>
      </c>
      <c r="DD1619" t="s">
        <v>11749</v>
      </c>
      <c r="DF1619">
        <v>212</v>
      </c>
      <c r="DG1619">
        <v>37</v>
      </c>
      <c r="DJ1619" t="s">
        <v>16041</v>
      </c>
      <c r="DL1619">
        <v>50303</v>
      </c>
      <c r="DM1619" t="s">
        <v>15864</v>
      </c>
      <c r="DO1619" t="s">
        <v>16100</v>
      </c>
      <c r="DP1619">
        <v>0</v>
      </c>
      <c r="DQ1619">
        <v>0</v>
      </c>
      <c r="DR1619" t="s">
        <v>411</v>
      </c>
      <c r="DS1619" t="b">
        <v>1</v>
      </c>
      <c r="DT1619" t="s">
        <v>8902</v>
      </c>
      <c r="DV1619" t="s">
        <v>446</v>
      </c>
      <c r="DX1619">
        <v>10</v>
      </c>
      <c r="DY1619" t="s">
        <v>11438</v>
      </c>
      <c r="DZ1619" t="s">
        <v>447</v>
      </c>
      <c r="EA1619" t="s">
        <v>448</v>
      </c>
      <c r="EB1619" t="s">
        <v>14882</v>
      </c>
      <c r="EC1619">
        <v>20101217</v>
      </c>
      <c r="ED1619" t="s">
        <v>450</v>
      </c>
      <c r="EE1619">
        <v>5</v>
      </c>
      <c r="EF1619">
        <v>0</v>
      </c>
      <c r="EG1619">
        <v>0</v>
      </c>
      <c r="EH1619" t="s">
        <v>14883</v>
      </c>
      <c r="EI1619">
        <v>20160407</v>
      </c>
      <c r="EJ1619">
        <v>0</v>
      </c>
      <c r="EK1619">
        <v>0</v>
      </c>
      <c r="EP1619" t="s">
        <v>421</v>
      </c>
      <c r="EQ1619" t="s">
        <v>452</v>
      </c>
      <c r="ER1619">
        <v>2</v>
      </c>
      <c r="ES1619">
        <v>5</v>
      </c>
      <c r="ET1619">
        <v>3006.2</v>
      </c>
      <c r="EU1619">
        <v>162.81</v>
      </c>
      <c r="EV1619">
        <v>3169.01</v>
      </c>
      <c r="EW1619" s="2">
        <v>43222</v>
      </c>
      <c r="EX1619" s="1">
        <v>42879</v>
      </c>
      <c r="EY1619">
        <v>2016</v>
      </c>
      <c r="EZ1619">
        <v>1503.1</v>
      </c>
      <c r="FA1619" t="s">
        <v>16101</v>
      </c>
      <c r="FB1619">
        <v>0.25</v>
      </c>
      <c r="FC1619" t="s">
        <v>424</v>
      </c>
      <c r="FD1619" t="s">
        <v>454</v>
      </c>
      <c r="FF1619">
        <v>12</v>
      </c>
      <c r="FG1619">
        <v>7400234</v>
      </c>
      <c r="FH1619" t="s">
        <v>426</v>
      </c>
      <c r="FJ1619" s="1">
        <v>42879</v>
      </c>
      <c r="FK1619">
        <v>2016</v>
      </c>
      <c r="FL1619">
        <v>1503.1</v>
      </c>
      <c r="FM1619" t="s">
        <v>16101</v>
      </c>
      <c r="FN1619">
        <v>0.25</v>
      </c>
      <c r="FO1619" t="s">
        <v>424</v>
      </c>
      <c r="FP1619" t="s">
        <v>454</v>
      </c>
      <c r="FR1619">
        <v>12</v>
      </c>
      <c r="FS1619">
        <v>7491163</v>
      </c>
      <c r="FT1619" t="s">
        <v>16102</v>
      </c>
      <c r="FV1619" s="1">
        <v>42515</v>
      </c>
      <c r="FW1619">
        <v>2015</v>
      </c>
      <c r="FX1619">
        <v>1532.47</v>
      </c>
      <c r="FY1619" t="s">
        <v>16103</v>
      </c>
      <c r="FZ1619">
        <v>0.25</v>
      </c>
      <c r="GA1619" t="s">
        <v>424</v>
      </c>
      <c r="GB1619" t="s">
        <v>425</v>
      </c>
      <c r="GC1619" s="1">
        <v>43158</v>
      </c>
      <c r="GD1619">
        <v>21</v>
      </c>
      <c r="GE1619">
        <v>2035919</v>
      </c>
      <c r="GF1619" t="s">
        <v>507</v>
      </c>
      <c r="GH1619" s="1">
        <v>42151</v>
      </c>
      <c r="GI1619">
        <v>2014</v>
      </c>
      <c r="GJ1619">
        <v>1540.51</v>
      </c>
      <c r="GK1619" t="s">
        <v>16104</v>
      </c>
      <c r="GL1619">
        <v>4.75</v>
      </c>
      <c r="GM1619" t="s">
        <v>424</v>
      </c>
      <c r="GN1619" t="s">
        <v>425</v>
      </c>
      <c r="GO1619" s="1">
        <v>42793</v>
      </c>
      <c r="GP1619">
        <v>21</v>
      </c>
      <c r="GQ1619">
        <v>4975593</v>
      </c>
      <c r="GR1619" t="s">
        <v>505</v>
      </c>
      <c r="GT1619" s="1">
        <v>41787</v>
      </c>
      <c r="GU1619">
        <v>2013</v>
      </c>
      <c r="GV1619">
        <v>1459.64</v>
      </c>
      <c r="GW1619" t="s">
        <v>16105</v>
      </c>
      <c r="GX1619">
        <v>0.25</v>
      </c>
      <c r="GY1619" t="s">
        <v>424</v>
      </c>
      <c r="GZ1619" t="s">
        <v>425</v>
      </c>
      <c r="HA1619" s="1">
        <v>42429</v>
      </c>
      <c r="HB1619">
        <v>21</v>
      </c>
      <c r="HC1619">
        <v>305</v>
      </c>
      <c r="HD1619" t="s">
        <v>1078</v>
      </c>
      <c r="HF1619" s="1">
        <v>41423</v>
      </c>
      <c r="HG1619">
        <v>2012</v>
      </c>
      <c r="HH1619">
        <v>1477.25</v>
      </c>
      <c r="HI1619" t="s">
        <v>16106</v>
      </c>
      <c r="HJ1619">
        <v>0.75</v>
      </c>
      <c r="HK1619" t="s">
        <v>424</v>
      </c>
      <c r="HL1619" t="s">
        <v>425</v>
      </c>
      <c r="HM1619" s="1">
        <v>42062</v>
      </c>
      <c r="HN1619">
        <v>21</v>
      </c>
      <c r="HO1619">
        <v>13139</v>
      </c>
      <c r="HP1619" t="s">
        <v>955</v>
      </c>
      <c r="HR1619" s="1">
        <v>40688</v>
      </c>
      <c r="HS1619">
        <v>2010</v>
      </c>
      <c r="HT1619">
        <v>1913.98</v>
      </c>
      <c r="HU1619" t="s">
        <v>16107</v>
      </c>
      <c r="HV1619">
        <v>6</v>
      </c>
      <c r="HW1619" t="s">
        <v>424</v>
      </c>
      <c r="HX1619" t="s">
        <v>425</v>
      </c>
      <c r="HY1619" s="1">
        <v>41050</v>
      </c>
      <c r="HZ1619">
        <v>12</v>
      </c>
      <c r="IA1619">
        <v>105</v>
      </c>
      <c r="IB1619" t="s">
        <v>946</v>
      </c>
      <c r="IC1619" t="s">
        <v>458</v>
      </c>
    </row>
    <row r="1620" spans="1:260" x14ac:dyDescent="0.25">
      <c r="A1620">
        <v>16486627</v>
      </c>
      <c r="B1620">
        <v>1619</v>
      </c>
      <c r="C1620" t="s">
        <v>393</v>
      </c>
      <c r="D1620" t="s">
        <v>394</v>
      </c>
      <c r="F1620" t="str">
        <f>"38-2N-28-0180-0044-0000"</f>
        <v>38-2N-28-0180-0044-0000</v>
      </c>
      <c r="H1620" t="str">
        <f>"SALCICCIOLI JOHN &amp; JANET E"</f>
        <v>SALCICCIOLI JOHN &amp; JANET E</v>
      </c>
      <c r="I1620" t="str">
        <f>"42 TWIN RIDGE RD"</f>
        <v>42 TWIN RIDGE RD</v>
      </c>
      <c r="J1620" t="str">
        <f>"RIDGEFIELD CT 06877"</f>
        <v>RIDGEFIELD CT 06877</v>
      </c>
      <c r="K1620" t="str">
        <f>"96067 BRADY POINT RD"</f>
        <v>96067 BRADY POINT RD</v>
      </c>
      <c r="L1620" t="str">
        <f t="shared" si="580"/>
        <v>FERNANDINA BEACH FL 32034</v>
      </c>
      <c r="M1620" t="str">
        <f>"LOT 44 IN OR 2100/366 BRADY POINT PRESERVE PB 7/76"</f>
        <v>LOT 44 IN OR 2100/366 BRADY POINT PRESERVE PB 7/76</v>
      </c>
      <c r="N1620" t="str">
        <f>""</f>
        <v/>
      </c>
      <c r="O1620" t="str">
        <f>"45638"</f>
        <v>45638</v>
      </c>
      <c r="P1620" t="str">
        <f t="shared" si="577"/>
        <v>2017</v>
      </c>
      <c r="Q1620" t="str">
        <f>""</f>
        <v/>
      </c>
      <c r="R1620" t="str">
        <f t="shared" si="584"/>
        <v>N</v>
      </c>
      <c r="S1620" t="str">
        <f>""</f>
        <v/>
      </c>
      <c r="T1620" t="str">
        <f>"1444.39"</f>
        <v>1444.39</v>
      </c>
      <c r="U1620" t="str">
        <f t="shared" si="586"/>
        <v>88000.00</v>
      </c>
      <c r="V1620" t="str">
        <f t="shared" si="586"/>
        <v>88000.00</v>
      </c>
      <c r="W1620" t="str">
        <f t="shared" si="578"/>
        <v>2017</v>
      </c>
      <c r="X1620" t="str">
        <f>""</f>
        <v/>
      </c>
      <c r="Y1620" t="str">
        <f>"1519.72"</f>
        <v>1519.72</v>
      </c>
      <c r="Z1620" t="str">
        <f>""</f>
        <v/>
      </c>
      <c r="AA1620" t="str">
        <f>"105000.00"</f>
        <v>105000.00</v>
      </c>
      <c r="AB1620" t="str">
        <f t="shared" si="579"/>
        <v>Residential</v>
      </c>
      <c r="AC1620" t="str">
        <f t="shared" si="558"/>
        <v>0</v>
      </c>
      <c r="AD1620" t="str">
        <f>""</f>
        <v/>
      </c>
      <c r="AE1620" t="str">
        <f>""</f>
        <v/>
      </c>
      <c r="AF1620" t="str">
        <f t="shared" si="585"/>
        <v>000</v>
      </c>
      <c r="AG1620" t="str">
        <f>"CT"</f>
        <v>CT</v>
      </c>
      <c r="AH1620" t="str">
        <f t="shared" si="581"/>
        <v>-</v>
      </c>
      <c r="AI1620" t="str">
        <f>"105000.00"</f>
        <v>105000.00</v>
      </c>
      <c r="AJ1620" t="str">
        <f>"C55-000-589-2152-9"</f>
        <v>C55-000-589-2152-9</v>
      </c>
      <c r="AK1620" t="str">
        <f>"28909"</f>
        <v>28909</v>
      </c>
      <c r="AL1620">
        <v>6</v>
      </c>
      <c r="AM1620">
        <v>1852</v>
      </c>
      <c r="AN1620">
        <v>1594.11</v>
      </c>
      <c r="AQ1620" t="s">
        <v>16108</v>
      </c>
      <c r="AR1620" t="s">
        <v>16108</v>
      </c>
      <c r="AS1620" t="s">
        <v>16108</v>
      </c>
      <c r="AU1620" t="s">
        <v>396</v>
      </c>
      <c r="AV1620">
        <v>2017</v>
      </c>
      <c r="AW1620" t="str">
        <f>"38-2N-28-0180-0044-0000 "</f>
        <v xml:space="preserve">38-2N-28-0180-0044-0000 </v>
      </c>
      <c r="AX1620">
        <v>96067</v>
      </c>
      <c r="AZ1620" t="s">
        <v>16109</v>
      </c>
      <c r="BA1620" t="s">
        <v>496</v>
      </c>
      <c r="BD1620" t="s">
        <v>11749</v>
      </c>
      <c r="BE1620" t="s">
        <v>393</v>
      </c>
      <c r="BF1620">
        <v>32034</v>
      </c>
      <c r="BG1620" t="s">
        <v>16110</v>
      </c>
      <c r="BH1620" t="s">
        <v>11751</v>
      </c>
      <c r="BI1620">
        <v>-81.496202283263997</v>
      </c>
      <c r="BJ1620">
        <v>30.606989886635699</v>
      </c>
      <c r="BK1620" t="s">
        <v>16111</v>
      </c>
      <c r="BL1620" t="s">
        <v>16112</v>
      </c>
      <c r="BM1620" t="s">
        <v>16113</v>
      </c>
      <c r="BN1620" t="s">
        <v>684</v>
      </c>
      <c r="BO1620">
        <v>6877</v>
      </c>
      <c r="BP1620" t="s">
        <v>404</v>
      </c>
      <c r="BQ1620">
        <v>0</v>
      </c>
      <c r="BR1620" t="s">
        <v>491</v>
      </c>
      <c r="BS1620">
        <v>8001</v>
      </c>
      <c r="BT1620" t="s">
        <v>492</v>
      </c>
      <c r="BW1620">
        <v>43591</v>
      </c>
      <c r="BX1620" t="s">
        <v>407</v>
      </c>
      <c r="CD1620">
        <v>2017</v>
      </c>
      <c r="CE1620">
        <v>105000</v>
      </c>
      <c r="CG1620">
        <v>105000</v>
      </c>
      <c r="CH1620">
        <v>2017</v>
      </c>
      <c r="CI1620">
        <v>105000</v>
      </c>
      <c r="CK1620">
        <v>105000</v>
      </c>
      <c r="CL1620">
        <v>2017</v>
      </c>
      <c r="CM1620">
        <v>1444.39</v>
      </c>
      <c r="CN1620" s="1">
        <v>42775</v>
      </c>
      <c r="CO1620">
        <v>135000</v>
      </c>
      <c r="CV1620">
        <v>0</v>
      </c>
      <c r="CZ1620" s="1">
        <v>42775</v>
      </c>
      <c r="DA1620">
        <v>0</v>
      </c>
      <c r="DD1620" t="s">
        <v>11749</v>
      </c>
      <c r="DF1620">
        <v>44</v>
      </c>
      <c r="DG1620">
        <v>38</v>
      </c>
      <c r="DJ1620" t="s">
        <v>16114</v>
      </c>
      <c r="DL1620">
        <v>50303</v>
      </c>
      <c r="DM1620" t="s">
        <v>16115</v>
      </c>
      <c r="DO1620" t="s">
        <v>16116</v>
      </c>
      <c r="DP1620">
        <v>0</v>
      </c>
      <c r="DQ1620">
        <v>0</v>
      </c>
      <c r="DR1620" t="s">
        <v>411</v>
      </c>
    </row>
    <row r="1621" spans="1:260" x14ac:dyDescent="0.25">
      <c r="A1621">
        <v>16486628</v>
      </c>
      <c r="B1621">
        <v>1620</v>
      </c>
      <c r="C1621" t="s">
        <v>393</v>
      </c>
      <c r="D1621" t="s">
        <v>394</v>
      </c>
      <c r="F1621" t="str">
        <f>"38-2N-28-0180-0045-0000"</f>
        <v>38-2N-28-0180-0045-0000</v>
      </c>
      <c r="H1621" t="str">
        <f>"KRYSIAK ALICE (30.96%) &amp; SIEGEL RUTH L TRUSTEE (46.92)&amp; EQUITY TRT CO CUSTODIAN(23.12)"</f>
        <v>KRYSIAK ALICE (30.96%) &amp; SIEGEL RUTH L TRUSTEE (46.92)&amp; EQUITY TRT CO CUSTODIAN(23.12)</v>
      </c>
      <c r="I1621" t="str">
        <f>""</f>
        <v/>
      </c>
      <c r="J1621" t="str">
        <f>"FERNANDINA BEACH FL 32034"</f>
        <v>FERNANDINA BEACH FL 32034</v>
      </c>
      <c r="K1621" t="str">
        <f>"96073 BRADY POINT RD"</f>
        <v>96073 BRADY POINT RD</v>
      </c>
      <c r="L1621" t="str">
        <f t="shared" si="580"/>
        <v>FERNANDINA BEACH FL 32034</v>
      </c>
      <c r="M1621" t="str">
        <f>"LOT 45 IN OR 1329/812 &amp; OR 1502/1112 BRADY POINT PRESERVE PB 7/76"</f>
        <v>LOT 45 IN OR 1329/812 &amp; OR 1502/1112 BRADY POINT PRESERVE PB 7/76</v>
      </c>
      <c r="N1621" t="str">
        <f>""</f>
        <v/>
      </c>
      <c r="O1621" t="str">
        <f>"45639"</f>
        <v>45639</v>
      </c>
      <c r="P1621" t="str">
        <f t="shared" si="577"/>
        <v>2017</v>
      </c>
      <c r="Q1621" t="str">
        <f>""</f>
        <v/>
      </c>
      <c r="R1621" t="str">
        <f t="shared" si="584"/>
        <v>N</v>
      </c>
      <c r="S1621" t="str">
        <f>""</f>
        <v/>
      </c>
      <c r="T1621" t="str">
        <f>"1444.39"</f>
        <v>1444.39</v>
      </c>
      <c r="U1621" t="str">
        <f t="shared" si="586"/>
        <v>88000.00</v>
      </c>
      <c r="V1621" t="str">
        <f t="shared" si="586"/>
        <v>88000.00</v>
      </c>
      <c r="W1621" t="str">
        <f t="shared" si="578"/>
        <v>2017</v>
      </c>
      <c r="X1621" t="str">
        <f>""</f>
        <v/>
      </c>
      <c r="Y1621" t="str">
        <f>"1519.72"</f>
        <v>1519.72</v>
      </c>
      <c r="Z1621" t="str">
        <f>""</f>
        <v/>
      </c>
      <c r="AA1621" t="str">
        <f>"105000.00"</f>
        <v>105000.00</v>
      </c>
      <c r="AB1621" t="str">
        <f t="shared" si="579"/>
        <v>Residential</v>
      </c>
      <c r="AC1621" t="str">
        <f t="shared" si="558"/>
        <v>0</v>
      </c>
      <c r="AD1621" t="str">
        <f>""</f>
        <v/>
      </c>
      <c r="AE1621" t="str">
        <f>""</f>
        <v/>
      </c>
      <c r="AF1621" t="str">
        <f t="shared" si="585"/>
        <v>000</v>
      </c>
      <c r="AG1621" t="str">
        <f t="shared" ref="AG1621:AG1635" si="587">"FL"</f>
        <v>FL</v>
      </c>
      <c r="AH1621" t="str">
        <f t="shared" si="581"/>
        <v>-</v>
      </c>
      <c r="AI1621" t="str">
        <f>"105000.00"</f>
        <v>105000.00</v>
      </c>
      <c r="AJ1621" t="str">
        <f>"C55-000-589-2153-7"</f>
        <v>C55-000-589-2153-7</v>
      </c>
      <c r="AK1621" t="str">
        <f>"28910"</f>
        <v>28910</v>
      </c>
      <c r="AL1621">
        <v>6</v>
      </c>
      <c r="AM1621">
        <v>1853</v>
      </c>
      <c r="AN1621">
        <v>1594.11</v>
      </c>
      <c r="AQ1621" t="s">
        <v>16117</v>
      </c>
      <c r="AR1621" t="s">
        <v>16117</v>
      </c>
      <c r="AS1621" t="s">
        <v>16117</v>
      </c>
      <c r="AU1621" t="s">
        <v>396</v>
      </c>
      <c r="AV1621">
        <v>2017</v>
      </c>
      <c r="AW1621" t="str">
        <f>"38-2N-28-0180-0045-0000 "</f>
        <v xml:space="preserve">38-2N-28-0180-0045-0000 </v>
      </c>
      <c r="AX1621">
        <v>96073</v>
      </c>
      <c r="AZ1621" t="s">
        <v>16109</v>
      </c>
      <c r="BA1621" t="s">
        <v>496</v>
      </c>
      <c r="BD1621" t="s">
        <v>11749</v>
      </c>
      <c r="BE1621" t="s">
        <v>393</v>
      </c>
      <c r="BF1621">
        <v>32034</v>
      </c>
      <c r="BG1621" t="s">
        <v>16118</v>
      </c>
      <c r="BH1621" t="s">
        <v>11751</v>
      </c>
      <c r="BI1621">
        <v>-81.496585366193699</v>
      </c>
      <c r="BJ1621">
        <v>30.607304617641699</v>
      </c>
      <c r="BK1621" t="s">
        <v>16119</v>
      </c>
      <c r="BL1621" t="s">
        <v>16120</v>
      </c>
      <c r="BM1621" t="s">
        <v>16121</v>
      </c>
      <c r="BN1621" t="s">
        <v>3983</v>
      </c>
      <c r="BO1621">
        <v>32034</v>
      </c>
      <c r="BP1621" t="s">
        <v>404</v>
      </c>
      <c r="BQ1621">
        <v>0</v>
      </c>
      <c r="BR1621" t="s">
        <v>491</v>
      </c>
      <c r="BS1621">
        <v>8001</v>
      </c>
      <c r="BT1621" t="s">
        <v>492</v>
      </c>
      <c r="BW1621">
        <v>43587</v>
      </c>
      <c r="BX1621" t="s">
        <v>407</v>
      </c>
      <c r="CD1621">
        <v>2017</v>
      </c>
      <c r="CE1621">
        <v>105000</v>
      </c>
      <c r="CG1621">
        <v>105000</v>
      </c>
      <c r="CH1621">
        <v>2017</v>
      </c>
      <c r="CI1621">
        <v>105000</v>
      </c>
      <c r="CK1621">
        <v>105000</v>
      </c>
      <c r="CL1621">
        <v>2017</v>
      </c>
      <c r="CM1621">
        <v>1444.39</v>
      </c>
      <c r="CN1621" s="1">
        <v>38518</v>
      </c>
      <c r="CO1621">
        <v>242300</v>
      </c>
      <c r="CV1621">
        <v>0</v>
      </c>
      <c r="CZ1621" s="1">
        <v>38518</v>
      </c>
      <c r="DA1621">
        <v>0</v>
      </c>
      <c r="DD1621" t="s">
        <v>11749</v>
      </c>
      <c r="DF1621">
        <v>45</v>
      </c>
      <c r="DG1621">
        <v>38</v>
      </c>
      <c r="DJ1621" t="s">
        <v>16114</v>
      </c>
      <c r="DL1621">
        <v>50303</v>
      </c>
      <c r="DM1621" t="s">
        <v>16115</v>
      </c>
      <c r="DO1621" t="s">
        <v>16122</v>
      </c>
      <c r="DP1621">
        <v>0</v>
      </c>
      <c r="DQ1621">
        <v>0</v>
      </c>
      <c r="DR1621" t="s">
        <v>411</v>
      </c>
    </row>
    <row r="1622" spans="1:260" x14ac:dyDescent="0.25">
      <c r="A1622">
        <v>16486629</v>
      </c>
      <c r="B1622">
        <v>1621</v>
      </c>
      <c r="C1622" t="s">
        <v>393</v>
      </c>
      <c r="D1622" t="s">
        <v>394</v>
      </c>
      <c r="F1622" t="str">
        <f>"38-2N-28-0180-0050-0000"</f>
        <v>38-2N-28-0180-0050-0000</v>
      </c>
      <c r="H1622" t="str">
        <f>"ESB INVESTMENTS LLC"</f>
        <v>ESB INVESTMENTS LLC</v>
      </c>
      <c r="I1622" t="str">
        <f>"95540 CLEMENTS RD"</f>
        <v>95540 CLEMENTS RD</v>
      </c>
      <c r="J1622" t="str">
        <f>"FERNANDINA BEACH FL 32034"</f>
        <v>FERNANDINA BEACH FL 32034</v>
      </c>
      <c r="K1622" t="str">
        <f>"96187 BRADY POINT RD"</f>
        <v>96187 BRADY POINT RD</v>
      </c>
      <c r="L1622" t="str">
        <f t="shared" si="580"/>
        <v>FERNANDINA BEACH FL 32034</v>
      </c>
      <c r="M1622" t="str">
        <f>"LOT 50 IN OR 1989/1211 BRADY POINT PRESERVE PB 7/76"</f>
        <v>LOT 50 IN OR 1989/1211 BRADY POINT PRESERVE PB 7/76</v>
      </c>
      <c r="N1622" t="str">
        <f>""</f>
        <v/>
      </c>
      <c r="O1622" t="str">
        <f>"45644"</f>
        <v>45644</v>
      </c>
      <c r="P1622" t="str">
        <f t="shared" si="577"/>
        <v>2017</v>
      </c>
      <c r="Q1622" t="str">
        <f>""</f>
        <v/>
      </c>
      <c r="R1622" t="str">
        <f t="shared" si="584"/>
        <v>N</v>
      </c>
      <c r="S1622" t="str">
        <f>""</f>
        <v/>
      </c>
      <c r="T1622" t="str">
        <f>"1331.43"</f>
        <v>1331.43</v>
      </c>
      <c r="U1622" t="str">
        <f>"82500.00"</f>
        <v>82500.00</v>
      </c>
      <c r="V1622" t="str">
        <f>"82500.00"</f>
        <v>82500.00</v>
      </c>
      <c r="W1622" t="str">
        <f t="shared" si="578"/>
        <v>2017</v>
      </c>
      <c r="X1622" t="str">
        <f>"22.00"</f>
        <v>22.00</v>
      </c>
      <c r="Y1622" t="str">
        <f>"1403.37"</f>
        <v>1403.37</v>
      </c>
      <c r="Z1622" t="str">
        <f>""</f>
        <v/>
      </c>
      <c r="AA1622" t="str">
        <f>"95000.00"</f>
        <v>95000.00</v>
      </c>
      <c r="AB1622" t="str">
        <f t="shared" si="579"/>
        <v>Residential</v>
      </c>
      <c r="AC1622" t="str">
        <f t="shared" si="558"/>
        <v>0</v>
      </c>
      <c r="AD1622" t="str">
        <f>""</f>
        <v/>
      </c>
      <c r="AE1622" t="str">
        <f>""</f>
        <v/>
      </c>
      <c r="AF1622" t="str">
        <f t="shared" si="585"/>
        <v>000</v>
      </c>
      <c r="AG1622" t="str">
        <f t="shared" si="587"/>
        <v>FL</v>
      </c>
      <c r="AH1622" t="str">
        <f t="shared" si="581"/>
        <v>-</v>
      </c>
      <c r="AI1622" t="str">
        <f>"95000.00"</f>
        <v>95000.00</v>
      </c>
      <c r="AJ1622" t="str">
        <f>"C55-000-589-2158-6"</f>
        <v>C55-000-589-2158-6</v>
      </c>
      <c r="AK1622" t="str">
        <f>"28915"</f>
        <v>28915</v>
      </c>
      <c r="AL1622">
        <v>6</v>
      </c>
      <c r="AM1622">
        <v>1854</v>
      </c>
      <c r="AN1622">
        <v>1471.99</v>
      </c>
      <c r="AQ1622" t="s">
        <v>16123</v>
      </c>
      <c r="AR1622" t="s">
        <v>16123</v>
      </c>
      <c r="AS1622" t="s">
        <v>16123</v>
      </c>
      <c r="AU1622" t="s">
        <v>396</v>
      </c>
      <c r="AV1622">
        <v>2017</v>
      </c>
      <c r="AW1622" t="str">
        <f>"38-2N-28-0180-0050-0000 "</f>
        <v xml:space="preserve">38-2N-28-0180-0050-0000 </v>
      </c>
      <c r="AX1622">
        <v>96187</v>
      </c>
      <c r="AZ1622" t="s">
        <v>16109</v>
      </c>
      <c r="BA1622" t="s">
        <v>496</v>
      </c>
      <c r="BD1622" t="s">
        <v>11749</v>
      </c>
      <c r="BE1622" t="s">
        <v>393</v>
      </c>
      <c r="BF1622">
        <v>32034</v>
      </c>
      <c r="BG1622" t="s">
        <v>16124</v>
      </c>
      <c r="BH1622" t="s">
        <v>11751</v>
      </c>
      <c r="BI1622">
        <v>-81.503771849423799</v>
      </c>
      <c r="BJ1622">
        <v>30.610789948749499</v>
      </c>
      <c r="BK1622" t="s">
        <v>16125</v>
      </c>
      <c r="BM1622" t="s">
        <v>16126</v>
      </c>
      <c r="BN1622" t="s">
        <v>3983</v>
      </c>
      <c r="BO1622">
        <v>32034</v>
      </c>
      <c r="BP1622" t="s">
        <v>404</v>
      </c>
      <c r="BQ1622">
        <v>0</v>
      </c>
      <c r="BR1622" t="s">
        <v>491</v>
      </c>
      <c r="BS1622">
        <v>8001</v>
      </c>
      <c r="BT1622" t="s">
        <v>492</v>
      </c>
      <c r="BW1622">
        <v>45871</v>
      </c>
      <c r="BX1622" t="s">
        <v>407</v>
      </c>
      <c r="CD1622">
        <v>2017</v>
      </c>
      <c r="CE1622">
        <v>95000</v>
      </c>
      <c r="CG1622">
        <v>95000</v>
      </c>
      <c r="CH1622">
        <v>2017</v>
      </c>
      <c r="CI1622">
        <v>95000</v>
      </c>
      <c r="CK1622">
        <v>95000</v>
      </c>
      <c r="CL1622">
        <v>2017</v>
      </c>
      <c r="CM1622">
        <v>1331.43</v>
      </c>
      <c r="CN1622" s="1">
        <v>42157</v>
      </c>
      <c r="CO1622">
        <v>80000</v>
      </c>
      <c r="CV1622">
        <v>0</v>
      </c>
      <c r="CZ1622" s="1">
        <v>42157</v>
      </c>
      <c r="DA1622">
        <v>0</v>
      </c>
      <c r="DD1622" t="s">
        <v>11749</v>
      </c>
      <c r="DF1622">
        <v>50</v>
      </c>
      <c r="DG1622">
        <v>38</v>
      </c>
      <c r="DJ1622" t="s">
        <v>16114</v>
      </c>
      <c r="DL1622">
        <v>50303</v>
      </c>
      <c r="DM1622" t="s">
        <v>16115</v>
      </c>
      <c r="DO1622" t="s">
        <v>16127</v>
      </c>
      <c r="DP1622">
        <v>0</v>
      </c>
      <c r="DQ1622">
        <v>0</v>
      </c>
      <c r="DR1622" t="s">
        <v>411</v>
      </c>
      <c r="EP1622" t="s">
        <v>421</v>
      </c>
      <c r="EQ1622" t="s">
        <v>452</v>
      </c>
      <c r="ER1622">
        <v>0</v>
      </c>
      <c r="ES1622">
        <v>3</v>
      </c>
      <c r="ET1622">
        <v>0</v>
      </c>
      <c r="EU1622">
        <v>0</v>
      </c>
      <c r="EV1622">
        <v>0</v>
      </c>
      <c r="EW1622" s="2">
        <v>43222</v>
      </c>
      <c r="EX1622" s="1">
        <v>41787</v>
      </c>
      <c r="EY1622">
        <v>2013</v>
      </c>
      <c r="EZ1622">
        <v>749.98</v>
      </c>
      <c r="FA1622" t="s">
        <v>16128</v>
      </c>
      <c r="FB1622">
        <v>0.25</v>
      </c>
      <c r="FC1622" t="s">
        <v>424</v>
      </c>
      <c r="FD1622" t="s">
        <v>425</v>
      </c>
      <c r="FE1622" s="1">
        <v>41943</v>
      </c>
      <c r="FF1622">
        <v>5</v>
      </c>
      <c r="FG1622">
        <v>305</v>
      </c>
      <c r="FH1622" t="s">
        <v>1078</v>
      </c>
      <c r="FI1622" t="s">
        <v>458</v>
      </c>
      <c r="FJ1622" s="1">
        <v>41052</v>
      </c>
      <c r="FK1622">
        <v>2011</v>
      </c>
      <c r="FL1622">
        <v>847.32</v>
      </c>
      <c r="FM1622" t="s">
        <v>16129</v>
      </c>
      <c r="FN1622">
        <v>15.5</v>
      </c>
      <c r="FO1622" t="s">
        <v>424</v>
      </c>
      <c r="FP1622" t="s">
        <v>425</v>
      </c>
      <c r="FR1622">
        <v>22</v>
      </c>
      <c r="FS1622">
        <v>13042</v>
      </c>
      <c r="FT1622" t="s">
        <v>5881</v>
      </c>
      <c r="FU1622" t="s">
        <v>458</v>
      </c>
      <c r="FV1622" s="1">
        <v>40688</v>
      </c>
      <c r="FW1622">
        <v>2010</v>
      </c>
      <c r="FX1622">
        <v>1688.75</v>
      </c>
      <c r="FY1622" t="s">
        <v>16130</v>
      </c>
      <c r="FZ1622">
        <v>6</v>
      </c>
      <c r="GA1622" t="s">
        <v>424</v>
      </c>
      <c r="GB1622" t="s">
        <v>425</v>
      </c>
      <c r="GC1622" s="1">
        <v>41331</v>
      </c>
      <c r="GD1622">
        <v>21</v>
      </c>
      <c r="GE1622">
        <v>105</v>
      </c>
      <c r="GF1622" t="s">
        <v>946</v>
      </c>
    </row>
    <row r="1623" spans="1:260" x14ac:dyDescent="0.25">
      <c r="A1623">
        <v>16486630</v>
      </c>
      <c r="B1623">
        <v>1622</v>
      </c>
      <c r="C1623" t="s">
        <v>393</v>
      </c>
      <c r="D1623" t="s">
        <v>394</v>
      </c>
      <c r="F1623" t="str">
        <f>"39-2N-28-0000-0002-0030"</f>
        <v>39-2N-28-0000-0002-0030</v>
      </c>
      <c r="H1623" t="str">
        <f>"JONES CHARLIE C"</f>
        <v>JONES CHARLIE C</v>
      </c>
      <c r="I1623" t="str">
        <f>"31 ONEAL-SCOTT RD"</f>
        <v>31 ONEAL-SCOTT RD</v>
      </c>
      <c r="J1623" t="str">
        <f>"FERNANDINA BEACH FL 32034"</f>
        <v>FERNANDINA BEACH FL 32034</v>
      </c>
      <c r="K1623" t="str">
        <f>"ONEIL SCOTT RD"</f>
        <v>ONEIL SCOTT RD</v>
      </c>
      <c r="L1623" t="str">
        <f t="shared" si="580"/>
        <v>FERNANDINA BEACH FL 32034</v>
      </c>
      <c r="M1623" t="str">
        <f>"IN OR 788/1299 EX R/W OR 302/35"</f>
        <v>IN OR 788/1299 EX R/W OR 302/35</v>
      </c>
      <c r="N1623" t="str">
        <f>""</f>
        <v/>
      </c>
      <c r="O1623" t="str">
        <f>"45921"</f>
        <v>45921</v>
      </c>
      <c r="P1623" t="str">
        <f t="shared" si="577"/>
        <v>2017</v>
      </c>
      <c r="Q1623" t="str">
        <f>""</f>
        <v/>
      </c>
      <c r="R1623" t="str">
        <f t="shared" si="584"/>
        <v>N</v>
      </c>
      <c r="S1623" t="str">
        <f>""</f>
        <v/>
      </c>
      <c r="T1623" t="str">
        <f>"166.90"</f>
        <v>166.90</v>
      </c>
      <c r="U1623" t="str">
        <f>"11025.00"</f>
        <v>11025.00</v>
      </c>
      <c r="V1623" t="str">
        <f>"11025.00"</f>
        <v>11025.00</v>
      </c>
      <c r="W1623" t="str">
        <f t="shared" si="578"/>
        <v>2017</v>
      </c>
      <c r="X1623" t="str">
        <f>"16.86"</f>
        <v>16.86</v>
      </c>
      <c r="Y1623" t="str">
        <f>"203.91"</f>
        <v>203.91</v>
      </c>
      <c r="Z1623" t="str">
        <f>""</f>
        <v/>
      </c>
      <c r="AA1623" t="str">
        <f>"11025.00"</f>
        <v>11025.00</v>
      </c>
      <c r="AB1623" t="str">
        <f t="shared" si="579"/>
        <v>Residential</v>
      </c>
      <c r="AC1623" t="str">
        <f t="shared" si="558"/>
        <v>0</v>
      </c>
      <c r="AD1623" t="str">
        <f>""</f>
        <v/>
      </c>
      <c r="AE1623" t="str">
        <f>""</f>
        <v/>
      </c>
      <c r="AF1623" t="str">
        <f t="shared" si="585"/>
        <v>000</v>
      </c>
      <c r="AG1623" t="str">
        <f t="shared" si="587"/>
        <v>FL</v>
      </c>
      <c r="AH1623" t="str">
        <f>"9000.00"</f>
        <v>9000.00</v>
      </c>
      <c r="AI1623" t="str">
        <f>"11025.00"</f>
        <v>11025.00</v>
      </c>
      <c r="AJ1623" t="str">
        <f>"C55-000-588-0645-6"</f>
        <v>C55-000-588-0645-6</v>
      </c>
      <c r="AK1623" t="str">
        <f>"28950"</f>
        <v>28950</v>
      </c>
      <c r="AL1623">
        <v>6</v>
      </c>
      <c r="AM1623">
        <v>1855</v>
      </c>
      <c r="AN1623">
        <v>212.51</v>
      </c>
      <c r="AQ1623" t="s">
        <v>16131</v>
      </c>
      <c r="AR1623" t="s">
        <v>16131</v>
      </c>
      <c r="AS1623" t="s">
        <v>16131</v>
      </c>
      <c r="AU1623" t="s">
        <v>396</v>
      </c>
      <c r="AV1623">
        <v>2017</v>
      </c>
      <c r="AW1623" t="str">
        <f>"39-2N-28-0000-0002-0030 "</f>
        <v xml:space="preserve">39-2N-28-0000-0002-0030 </v>
      </c>
      <c r="AZ1623" t="s">
        <v>16132</v>
      </c>
      <c r="BA1623" t="s">
        <v>496</v>
      </c>
      <c r="BD1623" t="s">
        <v>11749</v>
      </c>
      <c r="BE1623" t="s">
        <v>393</v>
      </c>
      <c r="BF1623">
        <v>32034</v>
      </c>
      <c r="BG1623" t="s">
        <v>16133</v>
      </c>
      <c r="BH1623" t="s">
        <v>11751</v>
      </c>
      <c r="BI1623">
        <v>-81.512632031104005</v>
      </c>
      <c r="BJ1623">
        <v>30.619817618704001</v>
      </c>
      <c r="BK1623" t="s">
        <v>16134</v>
      </c>
      <c r="BM1623" t="s">
        <v>16135</v>
      </c>
      <c r="BN1623" t="s">
        <v>3983</v>
      </c>
      <c r="BO1623">
        <v>32034</v>
      </c>
      <c r="BP1623" t="s">
        <v>404</v>
      </c>
      <c r="BQ1623">
        <v>0</v>
      </c>
      <c r="BR1623" t="s">
        <v>491</v>
      </c>
      <c r="BS1623">
        <v>8001</v>
      </c>
      <c r="BT1623" t="s">
        <v>492</v>
      </c>
      <c r="BU1623">
        <v>600</v>
      </c>
      <c r="BV1623">
        <v>1500</v>
      </c>
      <c r="BW1623">
        <v>8986</v>
      </c>
      <c r="BX1623" t="s">
        <v>407</v>
      </c>
      <c r="BY1623" t="s">
        <v>2729</v>
      </c>
      <c r="CD1623">
        <v>2017</v>
      </c>
      <c r="CE1623">
        <v>11025</v>
      </c>
      <c r="CG1623">
        <v>11025</v>
      </c>
      <c r="CH1623">
        <v>2017</v>
      </c>
      <c r="CI1623">
        <v>11025</v>
      </c>
      <c r="CK1623">
        <v>11025</v>
      </c>
      <c r="CL1623">
        <v>2017</v>
      </c>
      <c r="CM1623">
        <v>166.9</v>
      </c>
      <c r="CN1623" s="1">
        <v>35516</v>
      </c>
      <c r="CZ1623" s="1">
        <v>35516</v>
      </c>
      <c r="DD1623" t="s">
        <v>11749</v>
      </c>
      <c r="DG1623">
        <v>39</v>
      </c>
      <c r="DL1623">
        <v>50303</v>
      </c>
      <c r="DM1623" t="s">
        <v>16136</v>
      </c>
      <c r="DO1623" t="s">
        <v>16137</v>
      </c>
      <c r="DP1623">
        <v>0</v>
      </c>
      <c r="DQ1623">
        <v>0</v>
      </c>
      <c r="DR1623" t="s">
        <v>411</v>
      </c>
      <c r="DS1623" t="s">
        <v>695</v>
      </c>
      <c r="EJ1623">
        <v>0</v>
      </c>
      <c r="EK1623">
        <v>0</v>
      </c>
      <c r="EP1623" t="s">
        <v>421</v>
      </c>
      <c r="EQ1623" t="s">
        <v>452</v>
      </c>
      <c r="ER1623">
        <v>1</v>
      </c>
      <c r="ES1623">
        <v>5</v>
      </c>
      <c r="ET1623">
        <v>205.17</v>
      </c>
      <c r="EU1623">
        <v>16.510000000000002</v>
      </c>
      <c r="EV1623">
        <v>221.68</v>
      </c>
      <c r="EW1623" s="2">
        <v>43222</v>
      </c>
      <c r="EX1623" s="1">
        <v>42879</v>
      </c>
      <c r="EY1623">
        <v>2016</v>
      </c>
      <c r="EZ1623">
        <v>205.17</v>
      </c>
      <c r="FA1623" t="s">
        <v>16138</v>
      </c>
      <c r="FB1623">
        <v>0.25</v>
      </c>
      <c r="FC1623" t="s">
        <v>424</v>
      </c>
      <c r="FD1623" t="s">
        <v>454</v>
      </c>
      <c r="FF1623">
        <v>12</v>
      </c>
      <c r="FG1623">
        <v>62</v>
      </c>
      <c r="FH1623" t="s">
        <v>463</v>
      </c>
      <c r="FJ1623" s="1">
        <v>42151</v>
      </c>
      <c r="FK1623">
        <v>2014</v>
      </c>
      <c r="FL1623">
        <v>188.62</v>
      </c>
      <c r="FM1623" t="s">
        <v>16139</v>
      </c>
      <c r="FN1623">
        <v>4.75</v>
      </c>
      <c r="FO1623" t="s">
        <v>424</v>
      </c>
      <c r="FP1623" t="s">
        <v>425</v>
      </c>
      <c r="FQ1623" s="1">
        <v>42375</v>
      </c>
      <c r="FR1623">
        <v>8</v>
      </c>
      <c r="FS1623">
        <v>4975593</v>
      </c>
      <c r="FT1623" t="s">
        <v>505</v>
      </c>
      <c r="FU1623" t="s">
        <v>458</v>
      </c>
      <c r="FV1623" s="1">
        <v>42151</v>
      </c>
      <c r="FW1623">
        <v>2013</v>
      </c>
      <c r="FX1623">
        <v>201.22</v>
      </c>
      <c r="FY1623" t="s">
        <v>16140</v>
      </c>
      <c r="FZ1623">
        <v>18</v>
      </c>
      <c r="GA1623" t="s">
        <v>424</v>
      </c>
      <c r="GB1623" t="s">
        <v>425</v>
      </c>
      <c r="GC1623" s="1">
        <v>42375</v>
      </c>
      <c r="GD1623">
        <v>8</v>
      </c>
      <c r="GE1623">
        <v>7045027</v>
      </c>
      <c r="GF1623" t="s">
        <v>16141</v>
      </c>
      <c r="GG1623" t="s">
        <v>458</v>
      </c>
      <c r="GH1623" s="1">
        <v>41423</v>
      </c>
      <c r="GI1623">
        <v>2012</v>
      </c>
      <c r="GJ1623">
        <v>139.46</v>
      </c>
      <c r="GK1623" t="s">
        <v>16142</v>
      </c>
      <c r="GL1623">
        <v>7.5</v>
      </c>
      <c r="GM1623" t="s">
        <v>424</v>
      </c>
      <c r="GN1623" t="s">
        <v>425</v>
      </c>
      <c r="GP1623">
        <v>22</v>
      </c>
      <c r="GQ1623">
        <v>2101381</v>
      </c>
      <c r="GR1623" t="s">
        <v>605</v>
      </c>
      <c r="GS1623" t="s">
        <v>458</v>
      </c>
      <c r="GT1623" s="1">
        <v>41052</v>
      </c>
      <c r="GU1623">
        <v>2011</v>
      </c>
      <c r="GV1623">
        <v>150.61000000000001</v>
      </c>
      <c r="GW1623" t="s">
        <v>16143</v>
      </c>
      <c r="GX1623">
        <v>18</v>
      </c>
      <c r="GY1623" t="s">
        <v>424</v>
      </c>
      <c r="GZ1623" t="s">
        <v>425</v>
      </c>
      <c r="HA1623" s="1">
        <v>41730</v>
      </c>
      <c r="HB1623">
        <v>23</v>
      </c>
      <c r="HC1623">
        <v>619</v>
      </c>
      <c r="HD1623" t="s">
        <v>2768</v>
      </c>
      <c r="HF1623" s="1">
        <v>40688</v>
      </c>
      <c r="HG1623">
        <v>2010</v>
      </c>
      <c r="HH1623">
        <v>149.66999999999999</v>
      </c>
      <c r="HI1623" t="s">
        <v>16144</v>
      </c>
      <c r="HJ1623">
        <v>5.75</v>
      </c>
      <c r="HK1623" t="s">
        <v>424</v>
      </c>
      <c r="HL1623" t="s">
        <v>425</v>
      </c>
      <c r="HM1623" s="1">
        <v>41365</v>
      </c>
      <c r="HN1623">
        <v>23</v>
      </c>
      <c r="HO1623">
        <v>10003</v>
      </c>
      <c r="HP1623" t="s">
        <v>4341</v>
      </c>
    </row>
    <row r="1624" spans="1:260" x14ac:dyDescent="0.25">
      <c r="A1624">
        <v>16486631</v>
      </c>
      <c r="B1624">
        <v>1623</v>
      </c>
      <c r="C1624" t="s">
        <v>393</v>
      </c>
      <c r="D1624" t="s">
        <v>394</v>
      </c>
      <c r="F1624" t="str">
        <f>"39-2N-28-0000-0002-0080"</f>
        <v>39-2N-28-0000-0002-0080</v>
      </c>
      <c r="H1624" t="str">
        <f>"BROWN JESSE V JR &amp; CHARENE S"</f>
        <v>BROWN JESSE V JR &amp; CHARENE S</v>
      </c>
      <c r="I1624" t="str">
        <f>"87362 HAVEN RD"</f>
        <v>87362 HAVEN RD</v>
      </c>
      <c r="J1624" t="str">
        <f>"YULEE FL 32097"</f>
        <v>YULEE FL 32097</v>
      </c>
      <c r="K1624" t="str">
        <f>"BARNWELL RD"</f>
        <v>BARNWELL RD</v>
      </c>
      <c r="L1624" t="str">
        <f t="shared" si="580"/>
        <v>FERNANDINA BEACH FL 32034</v>
      </c>
      <c r="M1624" t="str">
        <f>"IN OR 499 PG 1411 EX OR 375 PG 735"</f>
        <v>IN OR 499 PG 1411 EX OR 375 PG 735</v>
      </c>
      <c r="N1624" t="str">
        <f>""</f>
        <v/>
      </c>
      <c r="O1624" t="str">
        <f>"45926"</f>
        <v>45926</v>
      </c>
      <c r="P1624" t="str">
        <f t="shared" si="577"/>
        <v>2017</v>
      </c>
      <c r="Q1624" t="str">
        <f>""</f>
        <v/>
      </c>
      <c r="R1624" t="str">
        <f t="shared" si="584"/>
        <v>N</v>
      </c>
      <c r="S1624" t="str">
        <f>"3.00"</f>
        <v>3.00</v>
      </c>
      <c r="T1624" t="str">
        <f>"1635.00"</f>
        <v>1635.00</v>
      </c>
      <c r="U1624" t="str">
        <f>"108000.00"</f>
        <v>108000.00</v>
      </c>
      <c r="V1624" t="str">
        <f>"108000.00"</f>
        <v>108000.00</v>
      </c>
      <c r="W1624" t="str">
        <f t="shared" si="578"/>
        <v>2017</v>
      </c>
      <c r="X1624" t="str">
        <f>"20.90"</f>
        <v>20.90</v>
      </c>
      <c r="Y1624" t="str">
        <f>"1716.05"</f>
        <v>1716.05</v>
      </c>
      <c r="Z1624" t="str">
        <f>""</f>
        <v/>
      </c>
      <c r="AA1624" t="str">
        <f>"108000.00"</f>
        <v>108000.00</v>
      </c>
      <c r="AB1624" t="str">
        <f t="shared" si="579"/>
        <v>Residential</v>
      </c>
      <c r="AC1624" t="str">
        <f t="shared" ref="AC1624:AC1687" si="588">"0"</f>
        <v>0</v>
      </c>
      <c r="AD1624" t="str">
        <f>""</f>
        <v/>
      </c>
      <c r="AE1624" t="str">
        <f>""</f>
        <v/>
      </c>
      <c r="AF1624" t="str">
        <f t="shared" si="585"/>
        <v>000</v>
      </c>
      <c r="AG1624" t="str">
        <f t="shared" si="587"/>
        <v>FL</v>
      </c>
      <c r="AH1624" t="str">
        <f>"130680.00"</f>
        <v>130680.00</v>
      </c>
      <c r="AI1624" t="str">
        <f>"108000.00"</f>
        <v>108000.00</v>
      </c>
      <c r="AJ1624" t="str">
        <f>"C55-000-588-0649-8"</f>
        <v>C55-000-588-0649-8</v>
      </c>
      <c r="AK1624" t="str">
        <f>"28954"</f>
        <v>28954</v>
      </c>
      <c r="AL1624">
        <v>6</v>
      </c>
      <c r="AM1624">
        <v>1856</v>
      </c>
      <c r="AN1624">
        <v>1800.25</v>
      </c>
      <c r="AQ1624" t="s">
        <v>16145</v>
      </c>
      <c r="AR1624" t="s">
        <v>16145</v>
      </c>
      <c r="AS1624" t="s">
        <v>16145</v>
      </c>
      <c r="AU1624" t="s">
        <v>396</v>
      </c>
      <c r="AV1624">
        <v>2017</v>
      </c>
      <c r="AW1624" t="str">
        <f>"39-2N-28-0000-0002-0080 "</f>
        <v xml:space="preserve">39-2N-28-0000-0002-0080 </v>
      </c>
      <c r="AZ1624" t="s">
        <v>16146</v>
      </c>
      <c r="BA1624" t="s">
        <v>496</v>
      </c>
      <c r="BD1624" t="s">
        <v>11749</v>
      </c>
      <c r="BE1624" t="s">
        <v>393</v>
      </c>
      <c r="BF1624">
        <v>32034</v>
      </c>
      <c r="BG1624" t="s">
        <v>16147</v>
      </c>
      <c r="BH1624" t="s">
        <v>11751</v>
      </c>
      <c r="BI1624">
        <v>-81.519312745086296</v>
      </c>
      <c r="BJ1624">
        <v>30.625236757323801</v>
      </c>
      <c r="BK1624" t="s">
        <v>16148</v>
      </c>
      <c r="BL1624" t="s">
        <v>16149</v>
      </c>
      <c r="BM1624" t="s">
        <v>16150</v>
      </c>
      <c r="BN1624" t="s">
        <v>1778</v>
      </c>
      <c r="BO1624">
        <v>32097</v>
      </c>
      <c r="BP1624" t="s">
        <v>404</v>
      </c>
      <c r="BQ1624">
        <v>0</v>
      </c>
      <c r="BR1624" t="s">
        <v>491</v>
      </c>
      <c r="BS1624">
        <v>8001</v>
      </c>
      <c r="BT1624" t="s">
        <v>492</v>
      </c>
      <c r="BW1624">
        <v>130680</v>
      </c>
      <c r="BX1624" t="s">
        <v>407</v>
      </c>
      <c r="BY1624" t="s">
        <v>2729</v>
      </c>
      <c r="CD1624">
        <v>2017</v>
      </c>
      <c r="CE1624">
        <v>108000</v>
      </c>
      <c r="CG1624">
        <v>108000</v>
      </c>
      <c r="CH1624">
        <v>2017</v>
      </c>
      <c r="CI1624">
        <v>108000</v>
      </c>
      <c r="CK1624">
        <v>108000</v>
      </c>
      <c r="CL1624">
        <v>2017</v>
      </c>
      <c r="CM1624">
        <v>1635</v>
      </c>
      <c r="CN1624" s="1">
        <v>31686</v>
      </c>
      <c r="CO1624">
        <v>20000</v>
      </c>
      <c r="CZ1624" s="1">
        <v>31686</v>
      </c>
      <c r="DD1624" t="s">
        <v>11749</v>
      </c>
      <c r="DG1624">
        <v>39</v>
      </c>
      <c r="DL1624">
        <v>50303</v>
      </c>
      <c r="DM1624" t="s">
        <v>16136</v>
      </c>
      <c r="DO1624" t="s">
        <v>16151</v>
      </c>
      <c r="DP1624">
        <v>0</v>
      </c>
      <c r="DQ1624">
        <v>0</v>
      </c>
      <c r="DR1624" t="s">
        <v>411</v>
      </c>
      <c r="DS1624" t="b">
        <v>1</v>
      </c>
      <c r="DT1624" t="s">
        <v>470</v>
      </c>
      <c r="DU1624" t="s">
        <v>10249</v>
      </c>
      <c r="DV1624" t="s">
        <v>472</v>
      </c>
      <c r="DX1624">
        <v>-9999</v>
      </c>
      <c r="DZ1624" t="s">
        <v>447</v>
      </c>
      <c r="EA1624" t="s">
        <v>448</v>
      </c>
      <c r="EB1624" t="s">
        <v>14895</v>
      </c>
      <c r="EC1624">
        <v>20101217</v>
      </c>
      <c r="ED1624" t="s">
        <v>10251</v>
      </c>
      <c r="EE1624">
        <v>5</v>
      </c>
      <c r="EF1624">
        <v>446.8</v>
      </c>
      <c r="EG1624">
        <v>0</v>
      </c>
      <c r="EI1624">
        <v>20160407</v>
      </c>
      <c r="EJ1624">
        <v>0</v>
      </c>
      <c r="EK1624">
        <v>0</v>
      </c>
      <c r="EP1624" t="s">
        <v>421</v>
      </c>
      <c r="EQ1624" t="s">
        <v>422</v>
      </c>
      <c r="ER1624">
        <v>2</v>
      </c>
      <c r="ES1624">
        <v>7</v>
      </c>
      <c r="ET1624">
        <v>3415.94</v>
      </c>
      <c r="EU1624">
        <v>183.3</v>
      </c>
      <c r="EV1624">
        <v>3599.24</v>
      </c>
      <c r="EW1624" s="2">
        <v>43222</v>
      </c>
      <c r="EX1624" s="1">
        <v>42879</v>
      </c>
      <c r="EY1624">
        <v>2016</v>
      </c>
      <c r="EZ1624">
        <v>1707.97</v>
      </c>
      <c r="FA1624" t="s">
        <v>16152</v>
      </c>
      <c r="FB1624">
        <v>0.25</v>
      </c>
      <c r="FC1624" t="s">
        <v>424</v>
      </c>
      <c r="FD1624" t="s">
        <v>454</v>
      </c>
      <c r="FF1624">
        <v>12</v>
      </c>
      <c r="FG1624">
        <v>7400234</v>
      </c>
      <c r="FH1624" t="s">
        <v>426</v>
      </c>
      <c r="FJ1624" s="1">
        <v>42879</v>
      </c>
      <c r="FK1624">
        <v>2016</v>
      </c>
      <c r="FL1624">
        <v>1707.97</v>
      </c>
      <c r="FM1624" t="s">
        <v>16152</v>
      </c>
      <c r="FN1624">
        <v>0.25</v>
      </c>
      <c r="FO1624" t="s">
        <v>424</v>
      </c>
      <c r="FP1624" t="s">
        <v>454</v>
      </c>
      <c r="FR1624">
        <v>12</v>
      </c>
      <c r="FS1624">
        <v>7459345</v>
      </c>
      <c r="FT1624" t="s">
        <v>16153</v>
      </c>
      <c r="FV1624" s="1">
        <v>42515</v>
      </c>
      <c r="FW1624">
        <v>2015</v>
      </c>
      <c r="FX1624">
        <v>1743.79</v>
      </c>
      <c r="FY1624" t="s">
        <v>16154</v>
      </c>
      <c r="FZ1624">
        <v>0.25</v>
      </c>
      <c r="GA1624" t="s">
        <v>424</v>
      </c>
      <c r="GB1624" t="s">
        <v>425</v>
      </c>
      <c r="GC1624" s="1">
        <v>43130</v>
      </c>
      <c r="GD1624">
        <v>20</v>
      </c>
      <c r="GE1624">
        <v>13139</v>
      </c>
      <c r="GF1624" t="s">
        <v>955</v>
      </c>
      <c r="GH1624" s="1">
        <v>42151</v>
      </c>
      <c r="GI1624">
        <v>2014</v>
      </c>
      <c r="GJ1624">
        <v>1752.51</v>
      </c>
      <c r="GK1624" t="s">
        <v>16155</v>
      </c>
      <c r="GL1624">
        <v>3.75</v>
      </c>
      <c r="GM1624" t="s">
        <v>424</v>
      </c>
      <c r="GN1624" t="s">
        <v>425</v>
      </c>
      <c r="GO1624" s="1">
        <v>42783</v>
      </c>
      <c r="GP1624">
        <v>21</v>
      </c>
      <c r="GQ1624">
        <v>4975593</v>
      </c>
      <c r="GR1624" t="s">
        <v>505</v>
      </c>
      <c r="GT1624" s="1">
        <v>41787</v>
      </c>
      <c r="GU1624">
        <v>2013</v>
      </c>
      <c r="GV1624">
        <v>1659.96</v>
      </c>
      <c r="GW1624" t="s">
        <v>16156</v>
      </c>
      <c r="GX1624">
        <v>0.25</v>
      </c>
      <c r="GY1624" t="s">
        <v>424</v>
      </c>
      <c r="GZ1624" t="s">
        <v>425</v>
      </c>
      <c r="HA1624" s="1">
        <v>42417</v>
      </c>
      <c r="HB1624">
        <v>21</v>
      </c>
      <c r="HC1624">
        <v>2903114</v>
      </c>
      <c r="HD1624" t="s">
        <v>1923</v>
      </c>
      <c r="HF1624" s="1">
        <v>41423</v>
      </c>
      <c r="HG1624">
        <v>2012</v>
      </c>
      <c r="HH1624">
        <v>1680.42</v>
      </c>
      <c r="HI1624" t="s">
        <v>16157</v>
      </c>
      <c r="HJ1624">
        <v>2.75</v>
      </c>
      <c r="HK1624" t="s">
        <v>424</v>
      </c>
      <c r="HL1624" t="s">
        <v>425</v>
      </c>
      <c r="HM1624" s="1">
        <v>42047</v>
      </c>
      <c r="HN1624">
        <v>21</v>
      </c>
      <c r="HO1624">
        <v>1625515</v>
      </c>
      <c r="HP1624" t="s">
        <v>487</v>
      </c>
      <c r="HR1624" s="1">
        <v>41052</v>
      </c>
      <c r="HS1624">
        <v>2011</v>
      </c>
      <c r="HT1624">
        <v>2076.44</v>
      </c>
      <c r="HU1624" t="s">
        <v>16158</v>
      </c>
      <c r="HV1624">
        <v>5.75</v>
      </c>
      <c r="HW1624" t="s">
        <v>424</v>
      </c>
      <c r="HX1624" t="s">
        <v>425</v>
      </c>
      <c r="HY1624" s="1">
        <v>41697</v>
      </c>
      <c r="HZ1624">
        <v>21</v>
      </c>
      <c r="IA1624">
        <v>1625515</v>
      </c>
      <c r="IB1624" t="s">
        <v>487</v>
      </c>
      <c r="ID1624" s="1">
        <v>41052</v>
      </c>
      <c r="IE1624">
        <v>2011</v>
      </c>
      <c r="IF1624">
        <v>2076.44</v>
      </c>
      <c r="IG1624" t="s">
        <v>16158</v>
      </c>
      <c r="IH1624">
        <v>5.75</v>
      </c>
      <c r="II1624" t="s">
        <v>424</v>
      </c>
      <c r="IJ1624" t="s">
        <v>425</v>
      </c>
      <c r="IL1624">
        <v>22</v>
      </c>
      <c r="IM1624">
        <v>10579</v>
      </c>
      <c r="IN1624" t="s">
        <v>488</v>
      </c>
      <c r="IP1624" s="1">
        <v>40688</v>
      </c>
      <c r="IQ1624">
        <v>2010</v>
      </c>
      <c r="IR1624">
        <v>2463.7800000000002</v>
      </c>
      <c r="IS1624" t="s">
        <v>16159</v>
      </c>
      <c r="IT1624">
        <v>6</v>
      </c>
      <c r="IU1624" t="s">
        <v>424</v>
      </c>
      <c r="IV1624" t="s">
        <v>425</v>
      </c>
      <c r="IW1624" s="1">
        <v>41332</v>
      </c>
      <c r="IX1624">
        <v>21</v>
      </c>
      <c r="IY1624">
        <v>105</v>
      </c>
      <c r="IZ1624" t="s">
        <v>946</v>
      </c>
    </row>
    <row r="1625" spans="1:260" x14ac:dyDescent="0.25">
      <c r="A1625">
        <v>16486632</v>
      </c>
      <c r="B1625">
        <v>1624</v>
      </c>
      <c r="C1625" t="s">
        <v>393</v>
      </c>
      <c r="D1625" t="s">
        <v>394</v>
      </c>
      <c r="F1625" t="str">
        <f>"39-2N-28-0000-0002-0110"</f>
        <v>39-2N-28-0000-0002-0110</v>
      </c>
      <c r="H1625" t="str">
        <f>"BROWN JESSE V &amp; CHARENE S"</f>
        <v>BROWN JESSE V &amp; CHARENE S</v>
      </c>
      <c r="I1625" t="str">
        <f>"87362 HAVEN RD"</f>
        <v>87362 HAVEN RD</v>
      </c>
      <c r="J1625" t="str">
        <f>"YULEE FL 32097"</f>
        <v>YULEE FL 32097</v>
      </c>
      <c r="K1625" t="str">
        <f>"95102 BARNWELL RD"</f>
        <v>95102 BARNWELL RD</v>
      </c>
      <c r="L1625" t="str">
        <f t="shared" si="580"/>
        <v>FERNANDINA BEACH FL 32034</v>
      </c>
      <c r="M1625" t="str">
        <f>"IN OR 321/26"</f>
        <v>IN OR 321/26</v>
      </c>
      <c r="N1625" t="str">
        <f>""</f>
        <v/>
      </c>
      <c r="O1625" t="str">
        <f>"45928"</f>
        <v>45928</v>
      </c>
      <c r="P1625" t="str">
        <f t="shared" si="577"/>
        <v>2017</v>
      </c>
      <c r="Q1625" t="str">
        <f>""</f>
        <v/>
      </c>
      <c r="R1625" t="str">
        <f t="shared" si="584"/>
        <v>N</v>
      </c>
      <c r="S1625" t="str">
        <f>"2.75"</f>
        <v>2.75</v>
      </c>
      <c r="T1625" t="str">
        <f>"1498.74"</f>
        <v>1498.74</v>
      </c>
      <c r="U1625" t="str">
        <f>"99000.00"</f>
        <v>99000.00</v>
      </c>
      <c r="V1625" t="str">
        <f>"99000.00"</f>
        <v>99000.00</v>
      </c>
      <c r="W1625" t="str">
        <f t="shared" si="578"/>
        <v>2017</v>
      </c>
      <c r="X1625" t="str">
        <f>"16.62"</f>
        <v>16.62</v>
      </c>
      <c r="Y1625" t="str">
        <f>"1575.70"</f>
        <v>1575.70</v>
      </c>
      <c r="Z1625" t="str">
        <f>""</f>
        <v/>
      </c>
      <c r="AA1625" t="str">
        <f>"99000.00"</f>
        <v>99000.00</v>
      </c>
      <c r="AB1625" t="str">
        <f t="shared" si="579"/>
        <v>Residential</v>
      </c>
      <c r="AC1625" t="str">
        <f t="shared" si="588"/>
        <v>0</v>
      </c>
      <c r="AD1625" t="str">
        <f>""</f>
        <v/>
      </c>
      <c r="AE1625" t="str">
        <f>""</f>
        <v/>
      </c>
      <c r="AF1625" t="str">
        <f t="shared" si="585"/>
        <v>000</v>
      </c>
      <c r="AG1625" t="str">
        <f t="shared" si="587"/>
        <v>FL</v>
      </c>
      <c r="AH1625" t="str">
        <f>"119790.00"</f>
        <v>119790.00</v>
      </c>
      <c r="AI1625" t="str">
        <f>"99000.00"</f>
        <v>99000.00</v>
      </c>
      <c r="AJ1625" t="str">
        <f>"C55-000-588-0652-2"</f>
        <v>C55-000-588-0652-2</v>
      </c>
      <c r="AK1625" t="str">
        <f>"28956"</f>
        <v>28956</v>
      </c>
      <c r="AL1625">
        <v>6</v>
      </c>
      <c r="AM1625">
        <v>1857</v>
      </c>
      <c r="AN1625">
        <v>1652.89</v>
      </c>
      <c r="AQ1625" t="s">
        <v>16160</v>
      </c>
      <c r="AR1625" t="s">
        <v>16160</v>
      </c>
      <c r="AS1625" t="s">
        <v>16160</v>
      </c>
      <c r="AU1625" t="s">
        <v>396</v>
      </c>
      <c r="AV1625">
        <v>2017</v>
      </c>
      <c r="AW1625" t="str">
        <f>"39-2N-28-0000-0002-0110 "</f>
        <v xml:space="preserve">39-2N-28-0000-0002-0110 </v>
      </c>
      <c r="AX1625">
        <v>95102</v>
      </c>
      <c r="AZ1625" t="s">
        <v>16146</v>
      </c>
      <c r="BA1625" t="s">
        <v>496</v>
      </c>
      <c r="BD1625" t="s">
        <v>11749</v>
      </c>
      <c r="BE1625" t="s">
        <v>393</v>
      </c>
      <c r="BF1625">
        <v>32034</v>
      </c>
      <c r="BG1625" t="s">
        <v>16161</v>
      </c>
      <c r="BH1625" t="s">
        <v>11751</v>
      </c>
      <c r="BI1625">
        <v>-81.519183161476604</v>
      </c>
      <c r="BJ1625">
        <v>30.626040262861999</v>
      </c>
      <c r="BK1625" t="s">
        <v>16148</v>
      </c>
      <c r="BL1625" t="s">
        <v>16149</v>
      </c>
      <c r="BM1625" t="s">
        <v>16150</v>
      </c>
      <c r="BN1625" t="s">
        <v>1778</v>
      </c>
      <c r="BO1625">
        <v>32097</v>
      </c>
      <c r="BP1625" t="s">
        <v>404</v>
      </c>
      <c r="BQ1625">
        <v>0</v>
      </c>
      <c r="BR1625" t="s">
        <v>491</v>
      </c>
      <c r="BS1625">
        <v>8001</v>
      </c>
      <c r="BT1625" t="s">
        <v>492</v>
      </c>
      <c r="BW1625">
        <v>119790</v>
      </c>
      <c r="BX1625" t="s">
        <v>407</v>
      </c>
      <c r="BY1625" t="s">
        <v>408</v>
      </c>
      <c r="CD1625">
        <v>2017</v>
      </c>
      <c r="CE1625">
        <v>99000</v>
      </c>
      <c r="CG1625">
        <v>99000</v>
      </c>
      <c r="CH1625">
        <v>2017</v>
      </c>
      <c r="CI1625">
        <v>99000</v>
      </c>
      <c r="CK1625">
        <v>99000</v>
      </c>
      <c r="CL1625">
        <v>2017</v>
      </c>
      <c r="CM1625">
        <v>1498.74</v>
      </c>
      <c r="CN1625" s="1">
        <v>29465</v>
      </c>
      <c r="CO1625">
        <v>1200</v>
      </c>
      <c r="CZ1625" s="1">
        <v>29465</v>
      </c>
      <c r="DD1625" t="s">
        <v>11749</v>
      </c>
      <c r="DG1625">
        <v>39</v>
      </c>
      <c r="DL1625">
        <v>50303</v>
      </c>
      <c r="DM1625" t="s">
        <v>16136</v>
      </c>
      <c r="DO1625" t="s">
        <v>16162</v>
      </c>
      <c r="DP1625">
        <v>0</v>
      </c>
      <c r="DQ1625">
        <v>0</v>
      </c>
      <c r="DR1625" t="s">
        <v>411</v>
      </c>
      <c r="DS1625" t="b">
        <v>1</v>
      </c>
      <c r="DT1625" t="s">
        <v>470</v>
      </c>
      <c r="DU1625" t="s">
        <v>10249</v>
      </c>
      <c r="DV1625" t="s">
        <v>472</v>
      </c>
      <c r="DX1625">
        <v>-9999</v>
      </c>
      <c r="DZ1625" t="s">
        <v>447</v>
      </c>
      <c r="EA1625" t="s">
        <v>448</v>
      </c>
      <c r="EB1625" t="s">
        <v>14895</v>
      </c>
      <c r="EC1625">
        <v>20101217</v>
      </c>
      <c r="ED1625" t="s">
        <v>10251</v>
      </c>
      <c r="EE1625">
        <v>5</v>
      </c>
      <c r="EF1625">
        <v>716</v>
      </c>
      <c r="EG1625">
        <v>0</v>
      </c>
      <c r="EI1625">
        <v>20160407</v>
      </c>
      <c r="EJ1625">
        <v>0</v>
      </c>
      <c r="EK1625">
        <v>0</v>
      </c>
      <c r="EP1625" t="s">
        <v>421</v>
      </c>
      <c r="EQ1625" t="s">
        <v>422</v>
      </c>
      <c r="ER1625">
        <v>2</v>
      </c>
      <c r="ES1625">
        <v>7</v>
      </c>
      <c r="ET1625">
        <v>3135.72</v>
      </c>
      <c r="EU1625">
        <v>169.29</v>
      </c>
      <c r="EV1625">
        <v>3305.01</v>
      </c>
      <c r="EW1625" s="2">
        <v>43222</v>
      </c>
      <c r="EX1625" s="1">
        <v>42879</v>
      </c>
      <c r="EY1625">
        <v>2016</v>
      </c>
      <c r="EZ1625">
        <v>1567.86</v>
      </c>
      <c r="FA1625" t="s">
        <v>16163</v>
      </c>
      <c r="FB1625">
        <v>0.25</v>
      </c>
      <c r="FC1625" t="s">
        <v>424</v>
      </c>
      <c r="FD1625" t="s">
        <v>454</v>
      </c>
      <c r="FF1625">
        <v>12</v>
      </c>
      <c r="FG1625">
        <v>7400234</v>
      </c>
      <c r="FH1625" t="s">
        <v>426</v>
      </c>
      <c r="FJ1625" s="1">
        <v>42879</v>
      </c>
      <c r="FK1625">
        <v>2016</v>
      </c>
      <c r="FL1625">
        <v>1567.86</v>
      </c>
      <c r="FM1625" t="s">
        <v>16163</v>
      </c>
      <c r="FN1625">
        <v>0.25</v>
      </c>
      <c r="FO1625" t="s">
        <v>424</v>
      </c>
      <c r="FP1625" t="s">
        <v>454</v>
      </c>
      <c r="FR1625">
        <v>12</v>
      </c>
      <c r="FS1625">
        <v>7458214</v>
      </c>
      <c r="FT1625" t="s">
        <v>16164</v>
      </c>
      <c r="FV1625" s="1">
        <v>42515</v>
      </c>
      <c r="FW1625">
        <v>2015</v>
      </c>
      <c r="FX1625">
        <v>1600.29</v>
      </c>
      <c r="FY1625" t="s">
        <v>16165</v>
      </c>
      <c r="FZ1625">
        <v>0.25</v>
      </c>
      <c r="GA1625" t="s">
        <v>424</v>
      </c>
      <c r="GB1625" t="s">
        <v>425</v>
      </c>
      <c r="GC1625" s="1">
        <v>43130</v>
      </c>
      <c r="GD1625">
        <v>20</v>
      </c>
      <c r="GE1625">
        <v>13139</v>
      </c>
      <c r="GF1625" t="s">
        <v>955</v>
      </c>
      <c r="GH1625" s="1">
        <v>42151</v>
      </c>
      <c r="GI1625">
        <v>2014</v>
      </c>
      <c r="GJ1625">
        <v>1608.28</v>
      </c>
      <c r="GK1625" t="s">
        <v>16166</v>
      </c>
      <c r="GL1625">
        <v>3.75</v>
      </c>
      <c r="GM1625" t="s">
        <v>424</v>
      </c>
      <c r="GN1625" t="s">
        <v>425</v>
      </c>
      <c r="GO1625" s="1">
        <v>42783</v>
      </c>
      <c r="GP1625">
        <v>21</v>
      </c>
      <c r="GQ1625">
        <v>4975593</v>
      </c>
      <c r="GR1625" t="s">
        <v>505</v>
      </c>
      <c r="GT1625" s="1">
        <v>41787</v>
      </c>
      <c r="GU1625">
        <v>2013</v>
      </c>
      <c r="GV1625">
        <v>1523.44</v>
      </c>
      <c r="GW1625" t="s">
        <v>16167</v>
      </c>
      <c r="GX1625">
        <v>0.25</v>
      </c>
      <c r="GY1625" t="s">
        <v>424</v>
      </c>
      <c r="GZ1625" t="s">
        <v>425</v>
      </c>
      <c r="HA1625" s="1">
        <v>42417</v>
      </c>
      <c r="HB1625">
        <v>21</v>
      </c>
      <c r="HC1625">
        <v>10125</v>
      </c>
      <c r="HD1625" t="s">
        <v>440</v>
      </c>
      <c r="HF1625" s="1">
        <v>41423</v>
      </c>
      <c r="HG1625">
        <v>2012</v>
      </c>
      <c r="HH1625">
        <v>1542.21</v>
      </c>
      <c r="HI1625" t="s">
        <v>16168</v>
      </c>
      <c r="HJ1625">
        <v>2.75</v>
      </c>
      <c r="HK1625" t="s">
        <v>424</v>
      </c>
      <c r="HL1625" t="s">
        <v>425</v>
      </c>
      <c r="HM1625" s="1">
        <v>42047</v>
      </c>
      <c r="HN1625">
        <v>21</v>
      </c>
      <c r="HO1625">
        <v>1625515</v>
      </c>
      <c r="HP1625" t="s">
        <v>487</v>
      </c>
      <c r="HR1625" s="1">
        <v>41052</v>
      </c>
      <c r="HS1625">
        <v>2011</v>
      </c>
      <c r="HT1625">
        <v>1904.54</v>
      </c>
      <c r="HU1625" t="s">
        <v>16169</v>
      </c>
      <c r="HV1625">
        <v>5.75</v>
      </c>
      <c r="HW1625" t="s">
        <v>424</v>
      </c>
      <c r="HX1625" t="s">
        <v>425</v>
      </c>
      <c r="HY1625" s="1">
        <v>41697</v>
      </c>
      <c r="HZ1625">
        <v>21</v>
      </c>
      <c r="IA1625">
        <v>1625515</v>
      </c>
      <c r="IB1625" t="s">
        <v>487</v>
      </c>
      <c r="ID1625" s="1">
        <v>41052</v>
      </c>
      <c r="IE1625">
        <v>2011</v>
      </c>
      <c r="IF1625">
        <v>1904.54</v>
      </c>
      <c r="IG1625" t="s">
        <v>16169</v>
      </c>
      <c r="IH1625">
        <v>5.75</v>
      </c>
      <c r="II1625" t="s">
        <v>424</v>
      </c>
      <c r="IJ1625" t="s">
        <v>425</v>
      </c>
      <c r="IL1625">
        <v>22</v>
      </c>
      <c r="IM1625">
        <v>10579</v>
      </c>
      <c r="IN1625" t="s">
        <v>488</v>
      </c>
      <c r="IP1625" s="1">
        <v>40688</v>
      </c>
      <c r="IQ1625">
        <v>2010</v>
      </c>
      <c r="IR1625">
        <v>2259.5500000000002</v>
      </c>
      <c r="IS1625" t="s">
        <v>16170</v>
      </c>
      <c r="IT1625">
        <v>6</v>
      </c>
      <c r="IU1625" t="s">
        <v>424</v>
      </c>
      <c r="IV1625" t="s">
        <v>425</v>
      </c>
      <c r="IW1625" s="1">
        <v>41332</v>
      </c>
      <c r="IX1625">
        <v>21</v>
      </c>
      <c r="IY1625">
        <v>105</v>
      </c>
      <c r="IZ1625" t="s">
        <v>946</v>
      </c>
    </row>
    <row r="1626" spans="1:260" x14ac:dyDescent="0.25">
      <c r="A1626">
        <v>16486633</v>
      </c>
      <c r="B1626">
        <v>1625</v>
      </c>
      <c r="C1626" t="s">
        <v>393</v>
      </c>
      <c r="D1626" t="s">
        <v>394</v>
      </c>
      <c r="F1626" t="str">
        <f>"39-2N-28-0000-0010-0000"</f>
        <v>39-2N-28-0000-0010-0000</v>
      </c>
      <c r="H1626" t="str">
        <f>"SCOTT LOIS B &amp; SCOTT ELBERT O JR (JT/RS)"</f>
        <v>SCOTT LOIS B &amp; SCOTT ELBERT O JR (JT/RS)</v>
      </c>
      <c r="I1626" t="str">
        <f>"96060 JASON WAY"</f>
        <v>96060 JASON WAY</v>
      </c>
      <c r="J1626" t="str">
        <f>"FERNANDINA BEACH FL 32034"</f>
        <v>FERNANDINA BEACH FL 32034</v>
      </c>
      <c r="K1626" t="str">
        <f>"96060 JASON WAY"</f>
        <v>96060 JASON WAY</v>
      </c>
      <c r="L1626" t="str">
        <f t="shared" si="580"/>
        <v>FERNANDINA BEACH FL 32034</v>
      </c>
      <c r="M1626" t="str">
        <f>"IN OR 1655/441 ESMT OR 1108/50"</f>
        <v>IN OR 1655/441 ESMT OR 1108/50</v>
      </c>
      <c r="N1626" t="str">
        <f>""</f>
        <v/>
      </c>
      <c r="O1626" t="str">
        <f>"45951"</f>
        <v>45951</v>
      </c>
      <c r="P1626" t="str">
        <f t="shared" si="577"/>
        <v>2017</v>
      </c>
      <c r="Q1626" t="str">
        <f>""</f>
        <v/>
      </c>
      <c r="R1626" t="str">
        <f>"Y"</f>
        <v>Y</v>
      </c>
      <c r="S1626" t="str">
        <f>"0.50"</f>
        <v>0.50</v>
      </c>
      <c r="T1626" t="str">
        <f>"434.45"</f>
        <v>434.45</v>
      </c>
      <c r="U1626" t="str">
        <f>"58483.00"</f>
        <v>58483.00</v>
      </c>
      <c r="V1626" t="str">
        <f>"58483.00"</f>
        <v>58483.00</v>
      </c>
      <c r="W1626" t="str">
        <f t="shared" si="578"/>
        <v>2017</v>
      </c>
      <c r="X1626" t="str">
        <f>"16.00"</f>
        <v>16.00</v>
      </c>
      <c r="Y1626" t="str">
        <f>"479.48"</f>
        <v>479.48</v>
      </c>
      <c r="Z1626" t="str">
        <f>"25000.00"</f>
        <v>25000.00</v>
      </c>
      <c r="AA1626" t="str">
        <f>"33483.00"</f>
        <v>33483.00</v>
      </c>
      <c r="AB1626" t="str">
        <f t="shared" si="579"/>
        <v>Residential</v>
      </c>
      <c r="AC1626" t="str">
        <f t="shared" si="588"/>
        <v>0</v>
      </c>
      <c r="AD1626" t="str">
        <f>"4"</f>
        <v>4</v>
      </c>
      <c r="AE1626" t="str">
        <f>"WOOD (INCLUDE STEEL STUDS)"</f>
        <v>WOOD (INCLUDE STEEL STUDS)</v>
      </c>
      <c r="AF1626" t="str">
        <f>"001"</f>
        <v>001</v>
      </c>
      <c r="AG1626" t="str">
        <f t="shared" si="587"/>
        <v>FL</v>
      </c>
      <c r="AH1626" t="str">
        <f>"21780.00"</f>
        <v>21780.00</v>
      </c>
      <c r="AI1626" t="str">
        <f>"22500.00"</f>
        <v>22500.00</v>
      </c>
      <c r="AJ1626" t="str">
        <f>"C55-000-588-0667-0"</f>
        <v>C55-000-588-0667-0</v>
      </c>
      <c r="AK1626" t="str">
        <f>"28980"</f>
        <v>28980</v>
      </c>
      <c r="AL1626">
        <v>6</v>
      </c>
      <c r="AM1626">
        <v>1858</v>
      </c>
      <c r="AN1626">
        <v>501.85</v>
      </c>
      <c r="AQ1626" t="s">
        <v>16171</v>
      </c>
      <c r="AR1626" t="s">
        <v>16171</v>
      </c>
      <c r="AS1626" t="s">
        <v>16171</v>
      </c>
      <c r="AU1626" t="s">
        <v>396</v>
      </c>
      <c r="AV1626">
        <v>2017</v>
      </c>
      <c r="AW1626" t="str">
        <f>"39-2N-28-0000-0010-0000 "</f>
        <v xml:space="preserve">39-2N-28-0000-0010-0000 </v>
      </c>
      <c r="AX1626">
        <v>96060</v>
      </c>
      <c r="AZ1626" t="s">
        <v>16172</v>
      </c>
      <c r="BA1626" t="s">
        <v>866</v>
      </c>
      <c r="BD1626" t="s">
        <v>11749</v>
      </c>
      <c r="BE1626" t="s">
        <v>393</v>
      </c>
      <c r="BF1626">
        <v>32034</v>
      </c>
      <c r="BG1626" t="s">
        <v>16173</v>
      </c>
      <c r="BH1626" t="s">
        <v>11751</v>
      </c>
      <c r="BI1626">
        <v>-81.510719099925893</v>
      </c>
      <c r="BJ1626">
        <v>30.6271881759723</v>
      </c>
      <c r="BK1626" t="s">
        <v>16174</v>
      </c>
      <c r="BL1626" t="s">
        <v>16175</v>
      </c>
      <c r="BM1626" t="s">
        <v>16173</v>
      </c>
      <c r="BN1626" t="s">
        <v>3983</v>
      </c>
      <c r="BO1626">
        <v>32034</v>
      </c>
      <c r="BP1626" t="s">
        <v>416</v>
      </c>
      <c r="BQ1626">
        <v>100</v>
      </c>
      <c r="BR1626" t="s">
        <v>514</v>
      </c>
      <c r="BS1626">
        <v>1001</v>
      </c>
      <c r="BT1626" t="s">
        <v>515</v>
      </c>
      <c r="BW1626">
        <v>21780</v>
      </c>
      <c r="BX1626" t="s">
        <v>407</v>
      </c>
      <c r="BY1626" t="s">
        <v>408</v>
      </c>
      <c r="BZ1626">
        <v>4</v>
      </c>
      <c r="CA1626">
        <v>1978</v>
      </c>
      <c r="CB1626">
        <v>1</v>
      </c>
      <c r="CC1626">
        <v>1</v>
      </c>
      <c r="CD1626">
        <v>2017</v>
      </c>
      <c r="CG1626">
        <v>58483</v>
      </c>
      <c r="CH1626">
        <v>2017</v>
      </c>
      <c r="CI1626">
        <v>22500</v>
      </c>
      <c r="CJ1626">
        <v>62866</v>
      </c>
      <c r="CK1626">
        <v>85366</v>
      </c>
      <c r="CL1626">
        <v>2017</v>
      </c>
      <c r="CM1626">
        <v>434.45</v>
      </c>
      <c r="CN1626" s="1">
        <v>40170</v>
      </c>
      <c r="CZ1626" s="1">
        <v>40170</v>
      </c>
      <c r="DD1626" t="s">
        <v>11749</v>
      </c>
      <c r="DG1626">
        <v>39</v>
      </c>
      <c r="DL1626">
        <v>50303</v>
      </c>
      <c r="DM1626" t="s">
        <v>16136</v>
      </c>
      <c r="DO1626" t="s">
        <v>16176</v>
      </c>
      <c r="DP1626">
        <v>0</v>
      </c>
      <c r="DQ1626">
        <v>0</v>
      </c>
      <c r="DR1626" t="s">
        <v>411</v>
      </c>
      <c r="DS1626" t="b">
        <v>1</v>
      </c>
      <c r="DT1626" t="s">
        <v>470</v>
      </c>
      <c r="DU1626" t="s">
        <v>10249</v>
      </c>
      <c r="DV1626" t="s">
        <v>472</v>
      </c>
      <c r="DX1626">
        <v>-9999</v>
      </c>
      <c r="DZ1626" t="s">
        <v>447</v>
      </c>
      <c r="EA1626" t="s">
        <v>448</v>
      </c>
      <c r="EB1626" t="s">
        <v>14895</v>
      </c>
      <c r="EC1626">
        <v>20101217</v>
      </c>
      <c r="ED1626" t="s">
        <v>10251</v>
      </c>
      <c r="EE1626">
        <v>5</v>
      </c>
      <c r="EF1626">
        <v>85.2</v>
      </c>
      <c r="EG1626">
        <v>0</v>
      </c>
      <c r="EI1626">
        <v>20160407</v>
      </c>
      <c r="EJ1626">
        <v>0</v>
      </c>
      <c r="EK1626">
        <v>0</v>
      </c>
      <c r="EP1626" t="s">
        <v>421</v>
      </c>
      <c r="EQ1626" t="s">
        <v>422</v>
      </c>
      <c r="ER1626">
        <v>0</v>
      </c>
      <c r="ES1626">
        <v>6</v>
      </c>
      <c r="ET1626">
        <v>0</v>
      </c>
      <c r="EU1626">
        <v>0</v>
      </c>
      <c r="EV1626">
        <v>0</v>
      </c>
      <c r="EW1626" s="2">
        <v>43222</v>
      </c>
      <c r="EX1626" s="1">
        <v>42879</v>
      </c>
      <c r="EY1626">
        <v>2016</v>
      </c>
      <c r="EZ1626">
        <v>491.17</v>
      </c>
      <c r="FA1626" t="s">
        <v>16177</v>
      </c>
      <c r="FB1626">
        <v>0.25</v>
      </c>
      <c r="FC1626" t="s">
        <v>424</v>
      </c>
      <c r="FD1626" t="s">
        <v>425</v>
      </c>
      <c r="FE1626" s="1">
        <v>43154</v>
      </c>
      <c r="FF1626">
        <v>9</v>
      </c>
      <c r="FG1626">
        <v>7336671</v>
      </c>
      <c r="FH1626" t="s">
        <v>437</v>
      </c>
      <c r="FJ1626" s="1">
        <v>42879</v>
      </c>
      <c r="FK1626">
        <v>2016</v>
      </c>
      <c r="FL1626">
        <v>491.17</v>
      </c>
      <c r="FM1626" t="s">
        <v>16177</v>
      </c>
      <c r="FN1626">
        <v>0.25</v>
      </c>
      <c r="FO1626" t="s">
        <v>424</v>
      </c>
      <c r="FP1626" t="s">
        <v>425</v>
      </c>
      <c r="FR1626">
        <v>22</v>
      </c>
      <c r="FS1626">
        <v>5101999</v>
      </c>
      <c r="FT1626" t="s">
        <v>16178</v>
      </c>
      <c r="FV1626" s="1">
        <v>42515</v>
      </c>
      <c r="FW1626">
        <v>2015</v>
      </c>
      <c r="FX1626">
        <v>495.79</v>
      </c>
      <c r="FY1626" t="s">
        <v>16179</v>
      </c>
      <c r="FZ1626">
        <v>0.25</v>
      </c>
      <c r="GA1626" t="s">
        <v>424</v>
      </c>
      <c r="GB1626" t="s">
        <v>425</v>
      </c>
      <c r="GC1626" s="1">
        <v>43014</v>
      </c>
      <c r="GD1626">
        <v>17</v>
      </c>
      <c r="GE1626">
        <v>11289</v>
      </c>
      <c r="GF1626" t="s">
        <v>787</v>
      </c>
      <c r="GH1626" s="1">
        <v>42515</v>
      </c>
      <c r="GI1626">
        <v>2015</v>
      </c>
      <c r="GJ1626">
        <v>495.79</v>
      </c>
      <c r="GK1626" t="s">
        <v>16179</v>
      </c>
      <c r="GL1626">
        <v>0.25</v>
      </c>
      <c r="GM1626" t="s">
        <v>424</v>
      </c>
      <c r="GN1626" t="s">
        <v>425</v>
      </c>
      <c r="GP1626">
        <v>22</v>
      </c>
      <c r="GQ1626">
        <v>5188956</v>
      </c>
      <c r="GR1626" t="s">
        <v>16180</v>
      </c>
      <c r="GT1626" s="1">
        <v>42151</v>
      </c>
      <c r="GU1626">
        <v>2014</v>
      </c>
      <c r="GV1626">
        <v>494.89</v>
      </c>
      <c r="GW1626" t="s">
        <v>16181</v>
      </c>
      <c r="GX1626">
        <v>0.25</v>
      </c>
      <c r="GY1626" t="s">
        <v>424</v>
      </c>
      <c r="GZ1626" t="s">
        <v>425</v>
      </c>
      <c r="HA1626" s="1">
        <v>42811</v>
      </c>
      <c r="HB1626">
        <v>22</v>
      </c>
      <c r="HC1626">
        <v>2851116</v>
      </c>
      <c r="HD1626" t="s">
        <v>480</v>
      </c>
      <c r="HF1626" s="1">
        <v>42151</v>
      </c>
      <c r="HG1626">
        <v>2014</v>
      </c>
      <c r="HH1626">
        <v>494.89</v>
      </c>
      <c r="HI1626" t="s">
        <v>16181</v>
      </c>
      <c r="HJ1626">
        <v>0.25</v>
      </c>
      <c r="HK1626" t="s">
        <v>424</v>
      </c>
      <c r="HL1626" t="s">
        <v>425</v>
      </c>
      <c r="HN1626">
        <v>22</v>
      </c>
      <c r="HO1626">
        <v>4928983</v>
      </c>
      <c r="HP1626" t="s">
        <v>16182</v>
      </c>
    </row>
    <row r="1627" spans="1:260" x14ac:dyDescent="0.25">
      <c r="A1627">
        <v>16486634</v>
      </c>
      <c r="B1627">
        <v>1626</v>
      </c>
      <c r="C1627" t="s">
        <v>393</v>
      </c>
      <c r="D1627" t="s">
        <v>394</v>
      </c>
      <c r="F1627" t="str">
        <f>"39-2N-28-0000-0012-0100"</f>
        <v>39-2N-28-0000-0012-0100</v>
      </c>
      <c r="H1627" t="str">
        <f>"SCOTT STANLEY V TRUSTEE OF GLADYS T SCOTT REV TRUST"</f>
        <v>SCOTT STANLEY V TRUSTEE OF GLADYS T SCOTT REV TRUST</v>
      </c>
      <c r="I1627" t="str">
        <f>"10624 NW HIGHWAY 225A"</f>
        <v>10624 NW HIGHWAY 225A</v>
      </c>
      <c r="J1627" t="str">
        <f>"OCALA FL 34482"</f>
        <v>OCALA FL 34482</v>
      </c>
      <c r="K1627" t="str">
        <f>"ONEIL-SCOTT RD"</f>
        <v>ONEIL-SCOTT RD</v>
      </c>
      <c r="L1627" t="str">
        <f t="shared" si="580"/>
        <v>FERNANDINA BEACH FL 32034</v>
      </c>
      <c r="M1627" t="str">
        <f>"PT OR 1718/1885"</f>
        <v>PT OR 1718/1885</v>
      </c>
      <c r="N1627" t="str">
        <f>""</f>
        <v/>
      </c>
      <c r="O1627" t="str">
        <f>"45963"</f>
        <v>45963</v>
      </c>
      <c r="P1627" t="str">
        <f t="shared" si="577"/>
        <v>2017</v>
      </c>
      <c r="Q1627" t="str">
        <f>""</f>
        <v/>
      </c>
      <c r="R1627" t="str">
        <f t="shared" ref="R1627:R1640" si="589">"N"</f>
        <v>N</v>
      </c>
      <c r="S1627" t="str">
        <f>"0.40"</f>
        <v>0.40</v>
      </c>
      <c r="T1627" t="str">
        <f>"60.56"</f>
        <v>60.56</v>
      </c>
      <c r="U1627" t="str">
        <f>"4000.00"</f>
        <v>4000.00</v>
      </c>
      <c r="V1627" t="str">
        <f>"4000.00"</f>
        <v>4000.00</v>
      </c>
      <c r="W1627" t="str">
        <f t="shared" si="578"/>
        <v>2017</v>
      </c>
      <c r="X1627" t="str">
        <f>""</f>
        <v/>
      </c>
      <c r="Y1627" t="str">
        <f>"94.38"</f>
        <v>94.38</v>
      </c>
      <c r="Z1627" t="str">
        <f>""</f>
        <v/>
      </c>
      <c r="AA1627" t="str">
        <f>"4000.00"</f>
        <v>4000.00</v>
      </c>
      <c r="AB1627" t="str">
        <f t="shared" si="579"/>
        <v>Residential</v>
      </c>
      <c r="AC1627" t="str">
        <f t="shared" si="588"/>
        <v>0</v>
      </c>
      <c r="AD1627" t="str">
        <f>""</f>
        <v/>
      </c>
      <c r="AE1627" t="str">
        <f>""</f>
        <v/>
      </c>
      <c r="AF1627" t="str">
        <f>"000"</f>
        <v>000</v>
      </c>
      <c r="AG1627" t="str">
        <f t="shared" si="587"/>
        <v>FL</v>
      </c>
      <c r="AH1627" t="str">
        <f>"17424.00"</f>
        <v>17424.00</v>
      </c>
      <c r="AI1627" t="str">
        <f>"4000.00"</f>
        <v>4000.00</v>
      </c>
      <c r="AJ1627" t="str">
        <f>"C55-000-976-8046-6"</f>
        <v>C55-000-976-8046-6</v>
      </c>
      <c r="AK1627" t="str">
        <f>"28989"</f>
        <v>28989</v>
      </c>
      <c r="AL1627">
        <v>6</v>
      </c>
      <c r="AM1627">
        <v>1859</v>
      </c>
      <c r="AN1627">
        <v>97.5</v>
      </c>
      <c r="AQ1627" t="s">
        <v>16183</v>
      </c>
      <c r="AR1627" t="s">
        <v>16183</v>
      </c>
      <c r="AS1627" t="s">
        <v>16183</v>
      </c>
      <c r="AU1627" t="s">
        <v>396</v>
      </c>
      <c r="AV1627">
        <v>2017</v>
      </c>
      <c r="AW1627" t="str">
        <f>"39-2N-28-0000-0012-0100 "</f>
        <v xml:space="preserve">39-2N-28-0000-0012-0100 </v>
      </c>
      <c r="AZ1627" t="s">
        <v>16184</v>
      </c>
      <c r="BA1627" t="s">
        <v>496</v>
      </c>
      <c r="BD1627" t="s">
        <v>11749</v>
      </c>
      <c r="BE1627" t="s">
        <v>393</v>
      </c>
      <c r="BF1627">
        <v>32034</v>
      </c>
      <c r="BG1627" t="s">
        <v>16185</v>
      </c>
      <c r="BH1627" t="s">
        <v>11751</v>
      </c>
      <c r="BI1627">
        <v>-81.510222061725599</v>
      </c>
      <c r="BJ1627">
        <v>30.625597350837001</v>
      </c>
      <c r="BK1627" t="s">
        <v>16186</v>
      </c>
      <c r="BL1627" t="s">
        <v>16187</v>
      </c>
      <c r="BM1627" t="s">
        <v>16188</v>
      </c>
      <c r="BN1627" t="s">
        <v>5452</v>
      </c>
      <c r="BO1627">
        <v>34482</v>
      </c>
      <c r="BP1627" t="s">
        <v>404</v>
      </c>
      <c r="BQ1627">
        <v>0</v>
      </c>
      <c r="BR1627" t="s">
        <v>491</v>
      </c>
      <c r="BS1627">
        <v>8001</v>
      </c>
      <c r="BT1627" t="s">
        <v>492</v>
      </c>
      <c r="BW1627">
        <v>17424</v>
      </c>
      <c r="BX1627" t="s">
        <v>407</v>
      </c>
      <c r="CD1627">
        <v>2017</v>
      </c>
      <c r="CE1627">
        <v>4000</v>
      </c>
      <c r="CG1627">
        <v>4000</v>
      </c>
      <c r="CH1627">
        <v>2017</v>
      </c>
      <c r="CI1627">
        <v>4000</v>
      </c>
      <c r="CK1627">
        <v>4000</v>
      </c>
      <c r="CL1627">
        <v>2017</v>
      </c>
      <c r="CM1627">
        <v>60.56</v>
      </c>
      <c r="CN1627" s="1">
        <v>40548</v>
      </c>
      <c r="CZ1627" s="1">
        <v>40548</v>
      </c>
      <c r="DD1627" t="s">
        <v>11749</v>
      </c>
      <c r="DG1627">
        <v>39</v>
      </c>
      <c r="DL1627">
        <v>50303</v>
      </c>
      <c r="DM1627" t="s">
        <v>16136</v>
      </c>
      <c r="DO1627" t="s">
        <v>16189</v>
      </c>
      <c r="DP1627">
        <v>0</v>
      </c>
      <c r="DQ1627">
        <v>0</v>
      </c>
      <c r="DR1627" t="s">
        <v>411</v>
      </c>
    </row>
    <row r="1628" spans="1:260" x14ac:dyDescent="0.25">
      <c r="A1628">
        <v>16486635</v>
      </c>
      <c r="B1628">
        <v>1627</v>
      </c>
      <c r="C1628" t="s">
        <v>393</v>
      </c>
      <c r="D1628" t="s">
        <v>394</v>
      </c>
      <c r="F1628" t="str">
        <f>"39-2N-28-0000-0013-0010"</f>
        <v>39-2N-28-0000-0013-0010</v>
      </c>
      <c r="H1628" t="str">
        <f>"CRIBB PATRICIA A &amp; WAY ELIPHUS J &amp; REGINALD &amp; WAY EVERETTE ETAL (JT/RS)"</f>
        <v>CRIBB PATRICIA A &amp; WAY ELIPHUS J &amp; REGINALD &amp; WAY EVERETTE ETAL (JT/RS)</v>
      </c>
      <c r="I1628" t="str">
        <f>""</f>
        <v/>
      </c>
      <c r="J1628" t="str">
        <f>"JACKSONVILLE FL 32211"</f>
        <v>JACKSONVILLE FL 32211</v>
      </c>
      <c r="K1628" t="str">
        <f>"96302 ONEIL-SCOTT RD"</f>
        <v>96302 ONEIL-SCOTT RD</v>
      </c>
      <c r="L1628" t="str">
        <f t="shared" si="580"/>
        <v>FERNANDINA BEACH FL 32034</v>
      </c>
      <c r="M1628" t="str">
        <f>"IN OR 1376/1897 EX R/W IN OR 229/419"</f>
        <v>IN OR 1376/1897 EX R/W IN OR 229/419</v>
      </c>
      <c r="N1628" t="str">
        <f>""</f>
        <v/>
      </c>
      <c r="O1628" t="str">
        <f>"45964"</f>
        <v>45964</v>
      </c>
      <c r="P1628" t="str">
        <f t="shared" si="577"/>
        <v>2017</v>
      </c>
      <c r="Q1628" t="str">
        <f>""</f>
        <v/>
      </c>
      <c r="R1628" t="str">
        <f t="shared" si="589"/>
        <v>N</v>
      </c>
      <c r="S1628" t="str">
        <f>""</f>
        <v/>
      </c>
      <c r="T1628" t="str">
        <f>"312.66"</f>
        <v>312.66</v>
      </c>
      <c r="U1628" t="str">
        <f>"20370.00"</f>
        <v>20370.00</v>
      </c>
      <c r="V1628" t="str">
        <f>"20370.00"</f>
        <v>20370.00</v>
      </c>
      <c r="W1628" t="str">
        <f t="shared" si="578"/>
        <v>2017</v>
      </c>
      <c r="X1628" t="str">
        <f>"18.90"</f>
        <v>18.90</v>
      </c>
      <c r="Y1628" t="str">
        <f>"354.04"</f>
        <v>354.04</v>
      </c>
      <c r="Z1628" t="str">
        <f>""</f>
        <v/>
      </c>
      <c r="AA1628" t="str">
        <f>"21018.00"</f>
        <v>21018.00</v>
      </c>
      <c r="AB1628" t="str">
        <f t="shared" si="579"/>
        <v>Residential</v>
      </c>
      <c r="AC1628" t="str">
        <f t="shared" si="588"/>
        <v>0</v>
      </c>
      <c r="AD1628" t="str">
        <f>""</f>
        <v/>
      </c>
      <c r="AE1628" t="str">
        <f>""</f>
        <v/>
      </c>
      <c r="AF1628" t="str">
        <f>"000"</f>
        <v>000</v>
      </c>
      <c r="AG1628" t="str">
        <f t="shared" si="587"/>
        <v>FL</v>
      </c>
      <c r="AH1628" t="str">
        <f>"15450.00"</f>
        <v>15450.00</v>
      </c>
      <c r="AI1628" t="str">
        <f>"13518.00"</f>
        <v>13518.00</v>
      </c>
      <c r="AJ1628" t="str">
        <f>"C55-000-588-0674-6"</f>
        <v>C55-000-588-0674-6</v>
      </c>
      <c r="AK1628" t="str">
        <f>"28990"</f>
        <v>28990</v>
      </c>
      <c r="AL1628">
        <v>6</v>
      </c>
      <c r="AM1628">
        <v>1860</v>
      </c>
      <c r="AN1628">
        <v>370.14</v>
      </c>
      <c r="AQ1628" t="s">
        <v>16190</v>
      </c>
      <c r="AR1628" t="s">
        <v>16190</v>
      </c>
      <c r="AS1628" t="s">
        <v>16190</v>
      </c>
      <c r="AU1628" t="s">
        <v>396</v>
      </c>
      <c r="AV1628">
        <v>2017</v>
      </c>
      <c r="AW1628" t="str">
        <f>"39-2N-28-0000-0013-0010 "</f>
        <v xml:space="preserve">39-2N-28-0000-0013-0010 </v>
      </c>
      <c r="AX1628">
        <v>96302</v>
      </c>
      <c r="AZ1628" t="s">
        <v>16184</v>
      </c>
      <c r="BA1628" t="s">
        <v>496</v>
      </c>
      <c r="BD1628" t="s">
        <v>11749</v>
      </c>
      <c r="BE1628" t="s">
        <v>393</v>
      </c>
      <c r="BF1628">
        <v>32034</v>
      </c>
      <c r="BG1628" t="s">
        <v>16191</v>
      </c>
      <c r="BH1628" t="s">
        <v>11751</v>
      </c>
      <c r="BI1628">
        <v>-81.5121286633632</v>
      </c>
      <c r="BJ1628">
        <v>30.6211355291031</v>
      </c>
      <c r="BK1628" t="s">
        <v>16192</v>
      </c>
      <c r="BL1628" t="s">
        <v>16193</v>
      </c>
      <c r="BM1628" t="s">
        <v>16194</v>
      </c>
      <c r="BN1628" t="s">
        <v>548</v>
      </c>
      <c r="BO1628">
        <v>32211</v>
      </c>
      <c r="BP1628" t="s">
        <v>404</v>
      </c>
      <c r="BQ1628">
        <v>1</v>
      </c>
      <c r="BR1628" t="s">
        <v>491</v>
      </c>
      <c r="BS1628">
        <v>8001</v>
      </c>
      <c r="BT1628" t="s">
        <v>492</v>
      </c>
      <c r="BU1628">
        <v>1030</v>
      </c>
      <c r="BV1628">
        <v>1500</v>
      </c>
      <c r="BW1628">
        <v>17360</v>
      </c>
      <c r="BX1628" t="s">
        <v>407</v>
      </c>
      <c r="BY1628" t="s">
        <v>408</v>
      </c>
      <c r="CD1628">
        <v>2017</v>
      </c>
      <c r="CE1628">
        <v>13518</v>
      </c>
      <c r="CF1628">
        <v>7500</v>
      </c>
      <c r="CG1628">
        <v>21018</v>
      </c>
      <c r="CH1628">
        <v>2017</v>
      </c>
      <c r="CI1628">
        <v>13518</v>
      </c>
      <c r="CJ1628">
        <v>7500</v>
      </c>
      <c r="CK1628">
        <v>21018</v>
      </c>
      <c r="CL1628">
        <v>2017</v>
      </c>
      <c r="CM1628">
        <v>312.66000000000003</v>
      </c>
      <c r="CN1628" s="1">
        <v>38714</v>
      </c>
      <c r="CZ1628" s="1">
        <v>38714</v>
      </c>
      <c r="DD1628" t="s">
        <v>11749</v>
      </c>
      <c r="DG1628">
        <v>39</v>
      </c>
      <c r="DL1628">
        <v>50303</v>
      </c>
      <c r="DM1628" t="s">
        <v>16136</v>
      </c>
      <c r="DO1628" t="s">
        <v>16195</v>
      </c>
      <c r="DP1628">
        <v>0</v>
      </c>
      <c r="DQ1628">
        <v>0</v>
      </c>
      <c r="DR1628" t="s">
        <v>411</v>
      </c>
      <c r="DS1628" t="b">
        <v>1</v>
      </c>
      <c r="DT1628" t="s">
        <v>470</v>
      </c>
      <c r="DU1628" t="s">
        <v>10249</v>
      </c>
      <c r="DV1628" t="s">
        <v>472</v>
      </c>
      <c r="DX1628">
        <v>-9999</v>
      </c>
      <c r="DZ1628" t="s">
        <v>447</v>
      </c>
      <c r="EA1628" t="s">
        <v>448</v>
      </c>
      <c r="EB1628" t="s">
        <v>14895</v>
      </c>
      <c r="EC1628">
        <v>20101217</v>
      </c>
      <c r="ED1628" t="s">
        <v>10251</v>
      </c>
      <c r="EE1628">
        <v>5</v>
      </c>
      <c r="EF1628">
        <v>220.5</v>
      </c>
      <c r="EG1628">
        <v>0</v>
      </c>
      <c r="EH1628" t="s">
        <v>451</v>
      </c>
      <c r="EI1628">
        <v>20140731</v>
      </c>
      <c r="EJ1628">
        <v>0</v>
      </c>
      <c r="EK1628">
        <v>0</v>
      </c>
      <c r="EP1628" t="s">
        <v>421</v>
      </c>
      <c r="EQ1628" t="s">
        <v>422</v>
      </c>
      <c r="ER1628">
        <v>0</v>
      </c>
      <c r="ES1628">
        <v>6</v>
      </c>
      <c r="ET1628">
        <v>0</v>
      </c>
      <c r="EU1628">
        <v>0</v>
      </c>
      <c r="EV1628">
        <v>0</v>
      </c>
      <c r="EW1628" s="2">
        <v>43222</v>
      </c>
      <c r="EX1628" s="1">
        <v>42879</v>
      </c>
      <c r="EY1628">
        <v>2016</v>
      </c>
      <c r="EZ1628">
        <v>334.43</v>
      </c>
      <c r="FA1628" t="s">
        <v>16196</v>
      </c>
      <c r="FB1628">
        <v>0.25</v>
      </c>
      <c r="FC1628" t="s">
        <v>424</v>
      </c>
      <c r="FD1628" t="s">
        <v>425</v>
      </c>
      <c r="FE1628" s="1">
        <v>42996</v>
      </c>
      <c r="FF1628">
        <v>4</v>
      </c>
      <c r="FG1628">
        <v>62</v>
      </c>
      <c r="FH1628" t="s">
        <v>463</v>
      </c>
      <c r="FJ1628" s="1">
        <v>42151</v>
      </c>
      <c r="FK1628">
        <v>2014</v>
      </c>
      <c r="FL1628">
        <v>338.5</v>
      </c>
      <c r="FM1628" t="s">
        <v>16197</v>
      </c>
      <c r="FN1628">
        <v>4.75</v>
      </c>
      <c r="FO1628" t="s">
        <v>424</v>
      </c>
      <c r="FP1628" t="s">
        <v>425</v>
      </c>
      <c r="FQ1628" s="1">
        <v>42356</v>
      </c>
      <c r="FR1628">
        <v>7</v>
      </c>
      <c r="FS1628">
        <v>4975593</v>
      </c>
      <c r="FT1628" t="s">
        <v>505</v>
      </c>
      <c r="FV1628" s="1">
        <v>41787</v>
      </c>
      <c r="FW1628">
        <v>2013</v>
      </c>
      <c r="FX1628">
        <v>321.58</v>
      </c>
      <c r="FY1628" t="s">
        <v>16198</v>
      </c>
      <c r="FZ1628">
        <v>0.25</v>
      </c>
      <c r="GA1628" t="s">
        <v>424</v>
      </c>
      <c r="GB1628" t="s">
        <v>425</v>
      </c>
      <c r="GC1628" s="1">
        <v>41982</v>
      </c>
      <c r="GD1628">
        <v>7</v>
      </c>
      <c r="GE1628">
        <v>305</v>
      </c>
      <c r="GF1628" t="s">
        <v>1078</v>
      </c>
      <c r="GH1628" s="1">
        <v>41423</v>
      </c>
      <c r="GI1628">
        <v>2012</v>
      </c>
      <c r="GJ1628">
        <v>305.56</v>
      </c>
      <c r="GK1628" t="s">
        <v>16199</v>
      </c>
      <c r="GL1628">
        <v>5.75</v>
      </c>
      <c r="GM1628" t="s">
        <v>424</v>
      </c>
      <c r="GN1628" t="s">
        <v>425</v>
      </c>
      <c r="GO1628" s="1">
        <v>41982</v>
      </c>
      <c r="GP1628">
        <v>19</v>
      </c>
      <c r="GQ1628">
        <v>10125</v>
      </c>
      <c r="GR1628" t="s">
        <v>440</v>
      </c>
      <c r="GT1628" s="1">
        <v>41052</v>
      </c>
      <c r="GU1628">
        <v>2011</v>
      </c>
      <c r="GV1628">
        <v>331.81</v>
      </c>
      <c r="GW1628" t="s">
        <v>16200</v>
      </c>
      <c r="GX1628">
        <v>6</v>
      </c>
      <c r="GY1628" t="s">
        <v>424</v>
      </c>
      <c r="GZ1628" t="s">
        <v>425</v>
      </c>
      <c r="HA1628" s="1">
        <v>41680</v>
      </c>
      <c r="HB1628">
        <v>21</v>
      </c>
      <c r="HC1628">
        <v>375</v>
      </c>
      <c r="HD1628" t="s">
        <v>776</v>
      </c>
      <c r="HF1628" s="1">
        <v>40688</v>
      </c>
      <c r="HG1628">
        <v>2010</v>
      </c>
      <c r="HH1628">
        <v>332.55</v>
      </c>
      <c r="HI1628" t="s">
        <v>16201</v>
      </c>
      <c r="HJ1628">
        <v>6</v>
      </c>
      <c r="HK1628" t="s">
        <v>424</v>
      </c>
      <c r="HL1628" t="s">
        <v>425</v>
      </c>
      <c r="HM1628" s="1">
        <v>40870</v>
      </c>
      <c r="HN1628">
        <v>6</v>
      </c>
      <c r="HO1628">
        <v>375</v>
      </c>
      <c r="HP1628" t="s">
        <v>776</v>
      </c>
    </row>
    <row r="1629" spans="1:260" x14ac:dyDescent="0.25">
      <c r="A1629">
        <v>16486636</v>
      </c>
      <c r="B1629">
        <v>1628</v>
      </c>
      <c r="C1629" t="s">
        <v>393</v>
      </c>
      <c r="D1629" t="s">
        <v>394</v>
      </c>
      <c r="F1629" t="str">
        <f>"39-2N-28-0000-0013-0030"</f>
        <v>39-2N-28-0000-0013-0030</v>
      </c>
      <c r="H1629" t="str">
        <f>"JONES JOSHUA A &amp; JONES OSCAR &amp; JONES CLARENCE ETAL (JT/RS)"</f>
        <v>JONES JOSHUA A &amp; JONES OSCAR &amp; JONES CLARENCE ETAL (JT/RS)</v>
      </c>
      <c r="I1629" t="str">
        <f>""</f>
        <v/>
      </c>
      <c r="J1629" t="str">
        <f>"FERNANDINA BEACH FL 32034"</f>
        <v>FERNANDINA BEACH FL 32034</v>
      </c>
      <c r="K1629" t="str">
        <f>"96101 LONNIES LN"</f>
        <v>96101 LONNIES LN</v>
      </c>
      <c r="L1629" t="str">
        <f t="shared" si="580"/>
        <v>FERNANDINA BEACH FL 32034</v>
      </c>
      <c r="M1629" t="str">
        <f>"IN OR 1376/1898"</f>
        <v>IN OR 1376/1898</v>
      </c>
      <c r="N1629" t="str">
        <f>""</f>
        <v/>
      </c>
      <c r="O1629" t="str">
        <f>"45966"</f>
        <v>45966</v>
      </c>
      <c r="P1629" t="str">
        <f t="shared" si="577"/>
        <v>2017</v>
      </c>
      <c r="Q1629" t="str">
        <f>""</f>
        <v/>
      </c>
      <c r="R1629" t="str">
        <f t="shared" si="589"/>
        <v>N</v>
      </c>
      <c r="S1629" t="str">
        <f>""</f>
        <v/>
      </c>
      <c r="T1629" t="str">
        <f>"430.35"</f>
        <v>430.35</v>
      </c>
      <c r="U1629" t="str">
        <f>"28427.00"</f>
        <v>28427.00</v>
      </c>
      <c r="V1629" t="str">
        <f>"28427.00"</f>
        <v>28427.00</v>
      </c>
      <c r="W1629" t="str">
        <f t="shared" si="578"/>
        <v>2017</v>
      </c>
      <c r="X1629" t="str">
        <f>"15.75"</f>
        <v>15.75</v>
      </c>
      <c r="Y1629" t="str">
        <f>"475.26"</f>
        <v>475.26</v>
      </c>
      <c r="Z1629" t="str">
        <f>""</f>
        <v/>
      </c>
      <c r="AA1629" t="str">
        <f>"28427.00"</f>
        <v>28427.00</v>
      </c>
      <c r="AB1629" t="str">
        <f t="shared" si="579"/>
        <v>Residential</v>
      </c>
      <c r="AC1629" t="str">
        <f t="shared" si="588"/>
        <v>0</v>
      </c>
      <c r="AD1629" t="str">
        <f>"4"</f>
        <v>4</v>
      </c>
      <c r="AE1629" t="str">
        <f>"WOOD (INCLUDE STEEL STUDS)"</f>
        <v>WOOD (INCLUDE STEEL STUDS)</v>
      </c>
      <c r="AF1629" t="str">
        <f>"001"</f>
        <v>001</v>
      </c>
      <c r="AG1629" t="str">
        <f t="shared" si="587"/>
        <v>FL</v>
      </c>
      <c r="AH1629" t="str">
        <f>"17304.00"</f>
        <v>17304.00</v>
      </c>
      <c r="AI1629" t="str">
        <f>"11716.00"</f>
        <v>11716.00</v>
      </c>
      <c r="AJ1629" t="str">
        <f>"C55-000-588-0676-1"</f>
        <v>C55-000-588-0676-1</v>
      </c>
      <c r="AK1629" t="str">
        <f>"28992"</f>
        <v>28992</v>
      </c>
      <c r="AL1629">
        <v>6</v>
      </c>
      <c r="AM1629">
        <v>1861</v>
      </c>
      <c r="AN1629">
        <v>497.42</v>
      </c>
      <c r="AQ1629" t="s">
        <v>16202</v>
      </c>
      <c r="AR1629" t="s">
        <v>16202</v>
      </c>
      <c r="AS1629" t="s">
        <v>16202</v>
      </c>
      <c r="AU1629" t="s">
        <v>396</v>
      </c>
      <c r="AV1629">
        <v>2017</v>
      </c>
      <c r="AW1629" t="str">
        <f>"39-2N-28-0000-0013-0030 "</f>
        <v xml:space="preserve">39-2N-28-0000-0013-0030 </v>
      </c>
      <c r="AX1629">
        <v>96101</v>
      </c>
      <c r="AZ1629" t="s">
        <v>16203</v>
      </c>
      <c r="BA1629" t="s">
        <v>653</v>
      </c>
      <c r="BD1629" t="s">
        <v>11749</v>
      </c>
      <c r="BE1629" t="s">
        <v>393</v>
      </c>
      <c r="BF1629">
        <v>32034</v>
      </c>
      <c r="BG1629" t="s">
        <v>16204</v>
      </c>
      <c r="BH1629" t="s">
        <v>11751</v>
      </c>
      <c r="BI1629">
        <v>-81.511438875534097</v>
      </c>
      <c r="BJ1629">
        <v>30.620939672433</v>
      </c>
      <c r="BK1629" t="s">
        <v>16205</v>
      </c>
      <c r="BL1629" t="s">
        <v>16206</v>
      </c>
      <c r="BM1629" t="s">
        <v>16207</v>
      </c>
      <c r="BN1629" t="s">
        <v>3983</v>
      </c>
      <c r="BO1629">
        <v>32034</v>
      </c>
      <c r="BP1629" t="s">
        <v>404</v>
      </c>
      <c r="BQ1629">
        <v>100</v>
      </c>
      <c r="BR1629" t="s">
        <v>514</v>
      </c>
      <c r="BS1629">
        <v>1001</v>
      </c>
      <c r="BT1629" t="s">
        <v>515</v>
      </c>
      <c r="BU1629">
        <v>1030</v>
      </c>
      <c r="BV1629">
        <v>1680</v>
      </c>
      <c r="BW1629">
        <v>18151</v>
      </c>
      <c r="BX1629" t="s">
        <v>407</v>
      </c>
      <c r="BY1629" t="s">
        <v>408</v>
      </c>
      <c r="BZ1629">
        <v>4</v>
      </c>
      <c r="CA1629">
        <v>1950</v>
      </c>
      <c r="CB1629">
        <v>1</v>
      </c>
      <c r="CC1629">
        <v>1</v>
      </c>
      <c r="CD1629">
        <v>2017</v>
      </c>
      <c r="CE1629">
        <v>11716</v>
      </c>
      <c r="CF1629">
        <v>16711</v>
      </c>
      <c r="CG1629">
        <v>28427</v>
      </c>
      <c r="CH1629">
        <v>2017</v>
      </c>
      <c r="CI1629">
        <v>11716</v>
      </c>
      <c r="CJ1629">
        <v>16711</v>
      </c>
      <c r="CK1629">
        <v>28427</v>
      </c>
      <c r="CL1629">
        <v>2017</v>
      </c>
      <c r="CM1629">
        <v>430.35</v>
      </c>
      <c r="CN1629" s="1">
        <v>38714</v>
      </c>
      <c r="CZ1629" s="1">
        <v>38714</v>
      </c>
      <c r="DD1629" t="s">
        <v>11749</v>
      </c>
      <c r="DG1629">
        <v>39</v>
      </c>
      <c r="DL1629">
        <v>50303</v>
      </c>
      <c r="DM1629" t="s">
        <v>16136</v>
      </c>
      <c r="DO1629" t="s">
        <v>16208</v>
      </c>
      <c r="DP1629">
        <v>0</v>
      </c>
      <c r="DQ1629">
        <v>0</v>
      </c>
      <c r="DR1629" t="s">
        <v>411</v>
      </c>
      <c r="EP1629" t="s">
        <v>595</v>
      </c>
      <c r="EQ1629" t="s">
        <v>422</v>
      </c>
      <c r="ER1629">
        <v>1</v>
      </c>
      <c r="ES1629">
        <v>1</v>
      </c>
      <c r="ET1629">
        <v>498.94</v>
      </c>
      <c r="EU1629">
        <v>31.2</v>
      </c>
      <c r="EV1629">
        <v>530.14</v>
      </c>
      <c r="EW1629" s="2">
        <v>43222</v>
      </c>
      <c r="EX1629" s="1">
        <v>42879</v>
      </c>
      <c r="EY1629">
        <v>2016</v>
      </c>
      <c r="EZ1629">
        <v>498.94</v>
      </c>
      <c r="FA1629" t="s">
        <v>16209</v>
      </c>
      <c r="FB1629">
        <v>0.25</v>
      </c>
      <c r="FC1629" t="s">
        <v>424</v>
      </c>
      <c r="FD1629" t="s">
        <v>454</v>
      </c>
      <c r="FF1629">
        <v>12</v>
      </c>
      <c r="FG1629">
        <v>62</v>
      </c>
      <c r="FH1629" t="s">
        <v>463</v>
      </c>
      <c r="FJ1629" s="1">
        <v>41052</v>
      </c>
      <c r="FK1629">
        <v>2011</v>
      </c>
      <c r="FL1629">
        <v>36.67</v>
      </c>
      <c r="FM1629" t="s">
        <v>16210</v>
      </c>
      <c r="FN1629">
        <v>18</v>
      </c>
      <c r="FO1629" t="s">
        <v>603</v>
      </c>
      <c r="FP1629" t="s">
        <v>425</v>
      </c>
      <c r="FQ1629" s="1">
        <v>41381</v>
      </c>
      <c r="FR1629">
        <v>11</v>
      </c>
      <c r="FS1629">
        <v>9999999</v>
      </c>
      <c r="FT1629" t="s">
        <v>604</v>
      </c>
    </row>
    <row r="1630" spans="1:260" x14ac:dyDescent="0.25">
      <c r="A1630">
        <v>16486637</v>
      </c>
      <c r="B1630">
        <v>1629</v>
      </c>
      <c r="C1630" t="s">
        <v>393</v>
      </c>
      <c r="D1630" t="s">
        <v>394</v>
      </c>
      <c r="F1630" t="str">
        <f>"39-2N-28-0000-0013-0040"</f>
        <v>39-2N-28-0000-0013-0040</v>
      </c>
      <c r="H1630" t="str">
        <f>"BENJAMIN MARY L EST C/O LILLIE MELTON"</f>
        <v>BENJAMIN MARY L EST C/O LILLIE MELTON</v>
      </c>
      <c r="I1630" t="str">
        <f>"96384 MT ZION LOOP"</f>
        <v>96384 MT ZION LOOP</v>
      </c>
      <c r="J1630" t="str">
        <f>"YULEE FL 32097"</f>
        <v>YULEE FL 32097</v>
      </c>
      <c r="K1630" t="str">
        <f>"96059 LONNIES LN"</f>
        <v>96059 LONNIES LN</v>
      </c>
      <c r="L1630" t="str">
        <f t="shared" si="580"/>
        <v>FERNANDINA BEACH FL 32034</v>
      </c>
      <c r="M1630" t="str">
        <f>"IN OR 354 PG 664 R622304 &amp; R622310 EX R/W OR 302/50"</f>
        <v>IN OR 354 PG 664 R622304 &amp; R622310 EX R/W OR 302/50</v>
      </c>
      <c r="N1630" t="str">
        <f>""</f>
        <v/>
      </c>
      <c r="O1630" t="str">
        <f>"45967"</f>
        <v>45967</v>
      </c>
      <c r="P1630" t="str">
        <f t="shared" si="577"/>
        <v>2017</v>
      </c>
      <c r="Q1630" t="str">
        <f>""</f>
        <v/>
      </c>
      <c r="R1630" t="str">
        <f t="shared" si="589"/>
        <v>N</v>
      </c>
      <c r="S1630" t="str">
        <f>""</f>
        <v/>
      </c>
      <c r="T1630" t="str">
        <f>"876.52"</f>
        <v>876.52</v>
      </c>
      <c r="U1630" t="str">
        <f>"54743.00"</f>
        <v>54743.00</v>
      </c>
      <c r="V1630" t="str">
        <f>"54743.00"</f>
        <v>54743.00</v>
      </c>
      <c r="W1630" t="str">
        <f t="shared" si="578"/>
        <v>2017</v>
      </c>
      <c r="X1630" t="str">
        <f>"21.00"</f>
        <v>21.00</v>
      </c>
      <c r="Y1630" t="str">
        <f>"934.82"</f>
        <v>934.82</v>
      </c>
      <c r="Z1630" t="str">
        <f>""</f>
        <v/>
      </c>
      <c r="AA1630" t="str">
        <f>"61984.00"</f>
        <v>61984.00</v>
      </c>
      <c r="AB1630" t="str">
        <f t="shared" si="579"/>
        <v>Residential</v>
      </c>
      <c r="AC1630" t="str">
        <f t="shared" si="588"/>
        <v>0</v>
      </c>
      <c r="AD1630" t="str">
        <f>"4"</f>
        <v>4</v>
      </c>
      <c r="AE1630" t="str">
        <f>"WOOD (INCLUDE STEEL STUDS)"</f>
        <v>WOOD (INCLUDE STEEL STUDS)</v>
      </c>
      <c r="AF1630" t="str">
        <f>"002"</f>
        <v>002</v>
      </c>
      <c r="AG1630" t="str">
        <f t="shared" si="587"/>
        <v>FL</v>
      </c>
      <c r="AH1630" t="str">
        <f>"42750.00"</f>
        <v>42750.00</v>
      </c>
      <c r="AI1630" t="str">
        <f>"21000.00"</f>
        <v>21000.00</v>
      </c>
      <c r="AJ1630" t="str">
        <f>"C55-000-588-0677-9"</f>
        <v>C55-000-588-0677-9</v>
      </c>
      <c r="AK1630" t="str">
        <f>"28993"</f>
        <v>28993</v>
      </c>
      <c r="AL1630">
        <v>6</v>
      </c>
      <c r="AM1630">
        <v>1862</v>
      </c>
      <c r="AN1630">
        <v>979.96</v>
      </c>
      <c r="AQ1630" t="s">
        <v>16211</v>
      </c>
      <c r="AR1630" t="s">
        <v>16211</v>
      </c>
      <c r="AS1630" t="s">
        <v>16211</v>
      </c>
      <c r="AU1630" t="s">
        <v>396</v>
      </c>
      <c r="AV1630">
        <v>2017</v>
      </c>
      <c r="AW1630" t="str">
        <f>"39-2N-28-0000-0013-0040 "</f>
        <v xml:space="preserve">39-2N-28-0000-0013-0040 </v>
      </c>
      <c r="AX1630">
        <v>96059</v>
      </c>
      <c r="AZ1630" t="s">
        <v>16203</v>
      </c>
      <c r="BA1630" t="s">
        <v>653</v>
      </c>
      <c r="BD1630" t="s">
        <v>11749</v>
      </c>
      <c r="BE1630" t="s">
        <v>393</v>
      </c>
      <c r="BF1630">
        <v>32034</v>
      </c>
      <c r="BG1630" t="s">
        <v>16212</v>
      </c>
      <c r="BH1630" t="s">
        <v>11751</v>
      </c>
      <c r="BI1630">
        <v>-81.512040902881594</v>
      </c>
      <c r="BJ1630">
        <v>30.6206670070945</v>
      </c>
      <c r="BK1630" t="s">
        <v>16213</v>
      </c>
      <c r="BM1630" t="s">
        <v>16214</v>
      </c>
      <c r="BN1630" t="s">
        <v>1778</v>
      </c>
      <c r="BO1630">
        <v>32097</v>
      </c>
      <c r="BP1630" t="s">
        <v>404</v>
      </c>
      <c r="BQ1630">
        <v>200</v>
      </c>
      <c r="BR1630" t="s">
        <v>405</v>
      </c>
      <c r="BS1630">
        <v>1006</v>
      </c>
      <c r="BT1630" t="s">
        <v>406</v>
      </c>
      <c r="BU1630">
        <v>1500</v>
      </c>
      <c r="BV1630">
        <v>0</v>
      </c>
      <c r="BW1630">
        <v>42651</v>
      </c>
      <c r="BX1630" t="s">
        <v>407</v>
      </c>
      <c r="BY1630" t="s">
        <v>408</v>
      </c>
      <c r="BZ1630">
        <v>4</v>
      </c>
      <c r="CA1630">
        <v>1994</v>
      </c>
      <c r="CB1630">
        <v>1</v>
      </c>
      <c r="CC1630">
        <v>2</v>
      </c>
      <c r="CD1630">
        <v>2017</v>
      </c>
      <c r="CE1630">
        <v>21000</v>
      </c>
      <c r="CF1630">
        <v>40984</v>
      </c>
      <c r="CG1630">
        <v>61984</v>
      </c>
      <c r="CH1630">
        <v>2017</v>
      </c>
      <c r="CI1630">
        <v>21000</v>
      </c>
      <c r="CJ1630">
        <v>40984</v>
      </c>
      <c r="CK1630">
        <v>61984</v>
      </c>
      <c r="CL1630">
        <v>2017</v>
      </c>
      <c r="CM1630">
        <v>876.52</v>
      </c>
      <c r="CN1630" s="1">
        <v>38420</v>
      </c>
      <c r="CO1630">
        <v>15000</v>
      </c>
      <c r="CZ1630" s="1">
        <v>38420</v>
      </c>
      <c r="DD1630" t="s">
        <v>11749</v>
      </c>
      <c r="DG1630">
        <v>39</v>
      </c>
      <c r="DL1630">
        <v>50303</v>
      </c>
      <c r="DM1630" t="s">
        <v>16136</v>
      </c>
      <c r="DO1630" t="s">
        <v>16215</v>
      </c>
      <c r="DP1630">
        <v>0</v>
      </c>
      <c r="DQ1630">
        <v>0</v>
      </c>
      <c r="DR1630" t="s">
        <v>411</v>
      </c>
      <c r="DS1630" t="b">
        <v>1</v>
      </c>
      <c r="DT1630" t="s">
        <v>470</v>
      </c>
      <c r="DU1630" t="s">
        <v>10249</v>
      </c>
      <c r="DV1630" t="s">
        <v>472</v>
      </c>
      <c r="DX1630">
        <v>-9999</v>
      </c>
      <c r="DZ1630" t="s">
        <v>447</v>
      </c>
      <c r="EA1630" t="s">
        <v>448</v>
      </c>
      <c r="EB1630" t="s">
        <v>14895</v>
      </c>
      <c r="EC1630">
        <v>20101217</v>
      </c>
      <c r="ED1630" t="s">
        <v>10251</v>
      </c>
      <c r="EE1630">
        <v>5</v>
      </c>
      <c r="EF1630">
        <v>193.4</v>
      </c>
      <c r="EG1630">
        <v>0</v>
      </c>
      <c r="EI1630">
        <v>20160407</v>
      </c>
      <c r="EJ1630">
        <v>0</v>
      </c>
      <c r="EK1630">
        <v>0</v>
      </c>
      <c r="EP1630" t="s">
        <v>421</v>
      </c>
      <c r="EQ1630" t="s">
        <v>422</v>
      </c>
      <c r="ER1630">
        <v>2</v>
      </c>
      <c r="ES1630">
        <v>3</v>
      </c>
      <c r="ET1630">
        <v>1962.42</v>
      </c>
      <c r="EU1630">
        <v>12.5</v>
      </c>
      <c r="EV1630">
        <v>1974.92</v>
      </c>
      <c r="EW1630" s="2">
        <v>43222</v>
      </c>
      <c r="EX1630" s="1">
        <v>42515</v>
      </c>
      <c r="EY1630">
        <v>2015</v>
      </c>
      <c r="EZ1630">
        <v>981.21</v>
      </c>
      <c r="FA1630" t="s">
        <v>16216</v>
      </c>
      <c r="FB1630">
        <v>0</v>
      </c>
      <c r="FC1630" t="s">
        <v>424</v>
      </c>
      <c r="FD1630" t="s">
        <v>454</v>
      </c>
      <c r="FF1630">
        <v>24</v>
      </c>
      <c r="FG1630">
        <v>62</v>
      </c>
      <c r="FH1630" t="s">
        <v>463</v>
      </c>
      <c r="FJ1630" s="1">
        <v>42515</v>
      </c>
      <c r="FK1630">
        <v>2015</v>
      </c>
      <c r="FL1630">
        <v>981.21</v>
      </c>
      <c r="FM1630" t="s">
        <v>16216</v>
      </c>
      <c r="FN1630">
        <v>0</v>
      </c>
      <c r="FO1630" t="s">
        <v>424</v>
      </c>
      <c r="FP1630" t="s">
        <v>454</v>
      </c>
      <c r="FR1630">
        <v>24</v>
      </c>
      <c r="FS1630">
        <v>7336687</v>
      </c>
      <c r="FT1630" t="s">
        <v>16217</v>
      </c>
      <c r="FV1630" s="1">
        <v>42151</v>
      </c>
      <c r="FW1630">
        <v>2014</v>
      </c>
      <c r="FX1630">
        <v>892.19</v>
      </c>
      <c r="FY1630" t="s">
        <v>16218</v>
      </c>
      <c r="FZ1630">
        <v>0.25</v>
      </c>
      <c r="GA1630" t="s">
        <v>424</v>
      </c>
      <c r="GB1630" t="s">
        <v>425</v>
      </c>
      <c r="GC1630" s="1">
        <v>42790</v>
      </c>
      <c r="GD1630">
        <v>21</v>
      </c>
      <c r="GE1630">
        <v>4975594</v>
      </c>
      <c r="GF1630" t="s">
        <v>457</v>
      </c>
      <c r="GH1630" s="1">
        <v>42151</v>
      </c>
      <c r="GI1630">
        <v>2014</v>
      </c>
      <c r="GJ1630">
        <v>892.19</v>
      </c>
      <c r="GK1630" t="s">
        <v>16218</v>
      </c>
      <c r="GL1630">
        <v>0.25</v>
      </c>
      <c r="GM1630" t="s">
        <v>424</v>
      </c>
      <c r="GN1630" t="s">
        <v>425</v>
      </c>
      <c r="GP1630">
        <v>22</v>
      </c>
      <c r="GQ1630">
        <v>6671297</v>
      </c>
      <c r="GR1630" t="s">
        <v>16219</v>
      </c>
      <c r="GT1630" s="1">
        <v>41787</v>
      </c>
      <c r="GU1630">
        <v>2013</v>
      </c>
      <c r="GV1630">
        <v>1028.53</v>
      </c>
      <c r="GW1630" t="s">
        <v>16220</v>
      </c>
      <c r="GX1630">
        <v>0.25</v>
      </c>
      <c r="GY1630" t="s">
        <v>424</v>
      </c>
      <c r="GZ1630" t="s">
        <v>425</v>
      </c>
      <c r="HA1630" s="1">
        <v>42423</v>
      </c>
      <c r="HB1630">
        <v>21</v>
      </c>
      <c r="HC1630">
        <v>2851116</v>
      </c>
      <c r="HD1630" t="s">
        <v>480</v>
      </c>
    </row>
    <row r="1631" spans="1:260" x14ac:dyDescent="0.25">
      <c r="A1631">
        <v>16486638</v>
      </c>
      <c r="B1631">
        <v>1630</v>
      </c>
      <c r="C1631" t="s">
        <v>393</v>
      </c>
      <c r="D1631" t="s">
        <v>394</v>
      </c>
      <c r="F1631" t="str">
        <f>"39-2N-28-0000-0014-0000"</f>
        <v>39-2N-28-0000-0014-0000</v>
      </c>
      <c r="H1631" t="str">
        <f>"GREEN SYLVIA &amp; FORD LILLY ET AL"</f>
        <v>GREEN SYLVIA &amp; FORD LILLY ET AL</v>
      </c>
      <c r="I1631" t="str">
        <f>"96020 LONNIES LN"</f>
        <v>96020 LONNIES LN</v>
      </c>
      <c r="J1631" t="str">
        <f>"FERNANDINA BEACH FL 32034"</f>
        <v>FERNANDINA BEACH FL 32034</v>
      </c>
      <c r="K1631" t="str">
        <f>"96216 ONEIL-SCOTT RD"</f>
        <v>96216 ONEIL-SCOTT RD</v>
      </c>
      <c r="L1631" t="str">
        <f t="shared" si="580"/>
        <v>FERNANDINA BEACH FL 32034</v>
      </c>
      <c r="M1631" t="str">
        <f>"IN OR 2087/1610 EX R/W OR 302 PG 32 R567690"</f>
        <v>IN OR 2087/1610 EX R/W OR 302 PG 32 R567690</v>
      </c>
      <c r="N1631" t="str">
        <f>""</f>
        <v/>
      </c>
      <c r="O1631" t="str">
        <f>"45968"</f>
        <v>45968</v>
      </c>
      <c r="P1631" t="str">
        <f t="shared" si="577"/>
        <v>2017</v>
      </c>
      <c r="Q1631" t="str">
        <f>""</f>
        <v/>
      </c>
      <c r="R1631" t="str">
        <f t="shared" si="589"/>
        <v>N</v>
      </c>
      <c r="S1631" t="str">
        <f>""</f>
        <v/>
      </c>
      <c r="T1631" t="str">
        <f>"452.36"</f>
        <v>452.36</v>
      </c>
      <c r="U1631" t="str">
        <f>"29881.00"</f>
        <v>29881.00</v>
      </c>
      <c r="V1631" t="str">
        <f>"29881.00"</f>
        <v>29881.00</v>
      </c>
      <c r="W1631" t="str">
        <f t="shared" si="578"/>
        <v>2017</v>
      </c>
      <c r="X1631" t="str">
        <f>"23.90"</f>
        <v>23.90</v>
      </c>
      <c r="Y1631" t="str">
        <f>"497.93"</f>
        <v>497.93</v>
      </c>
      <c r="Z1631" t="str">
        <f>""</f>
        <v/>
      </c>
      <c r="AA1631" t="str">
        <f>"29881.00"</f>
        <v>29881.00</v>
      </c>
      <c r="AB1631" t="str">
        <f t="shared" si="579"/>
        <v>Residential</v>
      </c>
      <c r="AC1631" t="str">
        <f t="shared" si="588"/>
        <v>0</v>
      </c>
      <c r="AD1631" t="str">
        <f>"4"</f>
        <v>4</v>
      </c>
      <c r="AE1631" t="str">
        <f>"WOOD (INCLUDE STEEL STUDS)"</f>
        <v>WOOD (INCLUDE STEEL STUDS)</v>
      </c>
      <c r="AF1631" t="str">
        <f>"001"</f>
        <v>001</v>
      </c>
      <c r="AG1631" t="str">
        <f t="shared" si="587"/>
        <v>FL</v>
      </c>
      <c r="AH1631" t="str">
        <f>"10200.00"</f>
        <v>10200.00</v>
      </c>
      <c r="AI1631" t="str">
        <f>"7875.00"</f>
        <v>7875.00</v>
      </c>
      <c r="AJ1631" t="str">
        <f>"C55-000-588-0678-7"</f>
        <v>C55-000-588-0678-7</v>
      </c>
      <c r="AK1631" t="str">
        <f>"28994"</f>
        <v>28994</v>
      </c>
      <c r="AL1631">
        <v>6</v>
      </c>
      <c r="AM1631">
        <v>1863</v>
      </c>
      <c r="AN1631">
        <v>521.23</v>
      </c>
      <c r="AQ1631" t="s">
        <v>16221</v>
      </c>
      <c r="AR1631" t="s">
        <v>16221</v>
      </c>
      <c r="AS1631" t="s">
        <v>16221</v>
      </c>
      <c r="AU1631" t="s">
        <v>396</v>
      </c>
      <c r="AV1631">
        <v>2017</v>
      </c>
      <c r="AW1631" t="str">
        <f>"39-2N-28-0000-0014-0000 "</f>
        <v xml:space="preserve">39-2N-28-0000-0014-0000 </v>
      </c>
      <c r="AX1631">
        <v>96216</v>
      </c>
      <c r="AZ1631" t="s">
        <v>16184</v>
      </c>
      <c r="BA1631" t="s">
        <v>496</v>
      </c>
      <c r="BD1631" t="s">
        <v>11749</v>
      </c>
      <c r="BE1631" t="s">
        <v>393</v>
      </c>
      <c r="BF1631">
        <v>32034</v>
      </c>
      <c r="BG1631" t="s">
        <v>16222</v>
      </c>
      <c r="BH1631" t="s">
        <v>11751</v>
      </c>
      <c r="BI1631">
        <v>-81.512504288363402</v>
      </c>
      <c r="BJ1631">
        <v>30.619999924024999</v>
      </c>
      <c r="BK1631" t="s">
        <v>16223</v>
      </c>
      <c r="BM1631" t="s">
        <v>16224</v>
      </c>
      <c r="BN1631" t="s">
        <v>3983</v>
      </c>
      <c r="BO1631">
        <v>32034</v>
      </c>
      <c r="BP1631" t="s">
        <v>416</v>
      </c>
      <c r="BQ1631">
        <v>100</v>
      </c>
      <c r="BR1631" t="s">
        <v>514</v>
      </c>
      <c r="BS1631">
        <v>1001</v>
      </c>
      <c r="BT1631" t="s">
        <v>515</v>
      </c>
      <c r="BU1631">
        <v>600</v>
      </c>
      <c r="BV1631">
        <v>1700</v>
      </c>
      <c r="BW1631">
        <v>10370</v>
      </c>
      <c r="BX1631" t="s">
        <v>407</v>
      </c>
      <c r="BY1631" t="s">
        <v>408</v>
      </c>
      <c r="BZ1631">
        <v>4</v>
      </c>
      <c r="CA1631">
        <v>1985</v>
      </c>
      <c r="CB1631">
        <v>1</v>
      </c>
      <c r="CC1631">
        <v>2</v>
      </c>
      <c r="CD1631">
        <v>2017</v>
      </c>
      <c r="CE1631">
        <v>7875</v>
      </c>
      <c r="CF1631">
        <v>22006</v>
      </c>
      <c r="CG1631">
        <v>29881</v>
      </c>
      <c r="CH1631">
        <v>2017</v>
      </c>
      <c r="CI1631">
        <v>7875</v>
      </c>
      <c r="CJ1631">
        <v>22006</v>
      </c>
      <c r="CK1631">
        <v>29881</v>
      </c>
      <c r="CL1631">
        <v>2017</v>
      </c>
      <c r="CM1631">
        <v>452.36</v>
      </c>
      <c r="CN1631" s="1">
        <v>25204</v>
      </c>
      <c r="CO1631">
        <v>3600</v>
      </c>
      <c r="CZ1631" s="1">
        <v>25204</v>
      </c>
      <c r="DD1631" t="s">
        <v>11749</v>
      </c>
      <c r="DG1631">
        <v>39</v>
      </c>
      <c r="DL1631">
        <v>50303</v>
      </c>
      <c r="DM1631" t="s">
        <v>16136</v>
      </c>
      <c r="DO1631" t="s">
        <v>16225</v>
      </c>
      <c r="DP1631">
        <v>0</v>
      </c>
      <c r="DQ1631">
        <v>0</v>
      </c>
      <c r="DR1631" t="s">
        <v>411</v>
      </c>
      <c r="DS1631" t="b">
        <v>1</v>
      </c>
      <c r="DT1631" t="s">
        <v>470</v>
      </c>
      <c r="DU1631" t="s">
        <v>10249</v>
      </c>
      <c r="DV1631" t="s">
        <v>472</v>
      </c>
      <c r="DX1631">
        <v>-9999</v>
      </c>
      <c r="DZ1631" t="s">
        <v>447</v>
      </c>
      <c r="EA1631" t="s">
        <v>448</v>
      </c>
      <c r="EB1631" t="s">
        <v>14895</v>
      </c>
      <c r="EC1631">
        <v>20101217</v>
      </c>
      <c r="ED1631" t="s">
        <v>10251</v>
      </c>
      <c r="EE1631">
        <v>5</v>
      </c>
      <c r="EF1631">
        <v>226</v>
      </c>
      <c r="EG1631">
        <v>0</v>
      </c>
      <c r="EI1631">
        <v>20160407</v>
      </c>
      <c r="EJ1631">
        <v>0</v>
      </c>
      <c r="EK1631">
        <v>0</v>
      </c>
      <c r="EP1631" t="s">
        <v>421</v>
      </c>
      <c r="EQ1631" t="s">
        <v>452</v>
      </c>
      <c r="ER1631">
        <v>0</v>
      </c>
      <c r="ES1631">
        <v>6</v>
      </c>
      <c r="ET1631">
        <v>0</v>
      </c>
      <c r="EU1631">
        <v>0</v>
      </c>
      <c r="EV1631">
        <v>0</v>
      </c>
      <c r="EW1631" s="2">
        <v>43222</v>
      </c>
      <c r="EX1631" s="1">
        <v>42515</v>
      </c>
      <c r="EY1631">
        <v>2015</v>
      </c>
      <c r="EZ1631">
        <v>478.1</v>
      </c>
      <c r="FA1631" t="s">
        <v>16226</v>
      </c>
      <c r="FB1631">
        <v>15.25</v>
      </c>
      <c r="FC1631" t="s">
        <v>424</v>
      </c>
      <c r="FD1631" t="s">
        <v>425</v>
      </c>
      <c r="FE1631" s="1">
        <v>42852</v>
      </c>
      <c r="FF1631">
        <v>11</v>
      </c>
      <c r="FG1631">
        <v>7045045</v>
      </c>
      <c r="FH1631" t="s">
        <v>2475</v>
      </c>
      <c r="FI1631" t="s">
        <v>458</v>
      </c>
      <c r="FJ1631" s="1">
        <v>42151</v>
      </c>
      <c r="FK1631">
        <v>2014</v>
      </c>
      <c r="FL1631">
        <v>396.21</v>
      </c>
      <c r="FM1631" t="s">
        <v>16227</v>
      </c>
      <c r="FN1631">
        <v>3.75</v>
      </c>
      <c r="FO1631" t="s">
        <v>424</v>
      </c>
      <c r="FP1631" t="s">
        <v>425</v>
      </c>
      <c r="FR1631">
        <v>22</v>
      </c>
      <c r="FS1631">
        <v>4975593</v>
      </c>
      <c r="FT1631" t="s">
        <v>505</v>
      </c>
      <c r="FU1631" t="s">
        <v>458</v>
      </c>
      <c r="FV1631" s="1">
        <v>41423</v>
      </c>
      <c r="FW1631">
        <v>2012</v>
      </c>
      <c r="FX1631">
        <v>626.98</v>
      </c>
      <c r="FY1631" t="s">
        <v>16228</v>
      </c>
      <c r="FZ1631">
        <v>0.25</v>
      </c>
      <c r="GA1631" t="s">
        <v>424</v>
      </c>
      <c r="GB1631" t="s">
        <v>425</v>
      </c>
      <c r="GC1631" s="1">
        <v>41738</v>
      </c>
      <c r="GD1631">
        <v>11</v>
      </c>
      <c r="GE1631">
        <v>15399</v>
      </c>
      <c r="GF1631" t="s">
        <v>485</v>
      </c>
      <c r="GH1631" s="1">
        <v>41052</v>
      </c>
      <c r="GI1631">
        <v>2011</v>
      </c>
      <c r="GJ1631">
        <v>715.21</v>
      </c>
      <c r="GK1631" t="s">
        <v>16229</v>
      </c>
      <c r="GL1631">
        <v>5.75</v>
      </c>
      <c r="GM1631" t="s">
        <v>424</v>
      </c>
      <c r="GN1631" t="s">
        <v>425</v>
      </c>
      <c r="GO1631" s="1">
        <v>41730</v>
      </c>
      <c r="GP1631">
        <v>23</v>
      </c>
      <c r="GQ1631">
        <v>1625515</v>
      </c>
      <c r="GR1631" t="s">
        <v>487</v>
      </c>
      <c r="GT1631" s="1">
        <v>41052</v>
      </c>
      <c r="GU1631">
        <v>2011</v>
      </c>
      <c r="GV1631">
        <v>715.21</v>
      </c>
      <c r="GW1631" t="s">
        <v>16229</v>
      </c>
      <c r="GX1631">
        <v>5.75</v>
      </c>
      <c r="GY1631" t="s">
        <v>424</v>
      </c>
      <c r="GZ1631" t="s">
        <v>425</v>
      </c>
      <c r="HB1631">
        <v>22</v>
      </c>
      <c r="HC1631">
        <v>10579</v>
      </c>
      <c r="HD1631" t="s">
        <v>488</v>
      </c>
      <c r="HF1631" s="1">
        <v>40688</v>
      </c>
      <c r="HG1631">
        <v>2010</v>
      </c>
      <c r="HH1631">
        <v>747.4</v>
      </c>
      <c r="HI1631" t="s">
        <v>16230</v>
      </c>
      <c r="HJ1631">
        <v>5.75</v>
      </c>
      <c r="HK1631" t="s">
        <v>424</v>
      </c>
      <c r="HL1631" t="s">
        <v>425</v>
      </c>
      <c r="HM1631" s="1">
        <v>41365</v>
      </c>
      <c r="HN1631">
        <v>23</v>
      </c>
      <c r="HO1631">
        <v>62</v>
      </c>
      <c r="HP1631" t="s">
        <v>463</v>
      </c>
    </row>
    <row r="1632" spans="1:260" x14ac:dyDescent="0.25">
      <c r="A1632">
        <v>16486639</v>
      </c>
      <c r="B1632">
        <v>1631</v>
      </c>
      <c r="C1632" t="s">
        <v>393</v>
      </c>
      <c r="D1632" t="s">
        <v>394</v>
      </c>
      <c r="F1632" t="str">
        <f>"39-2N-28-0000-0015-0000"</f>
        <v>39-2N-28-0000-0015-0000</v>
      </c>
      <c r="H1632" t="str">
        <f>"FRENCH MARGIE C"</f>
        <v>FRENCH MARGIE C</v>
      </c>
      <c r="I1632" t="str">
        <f>"4398 LORI LOOP ROAD"</f>
        <v>4398 LORI LOOP ROAD</v>
      </c>
      <c r="J1632" t="str">
        <f>"KEYSTONE HEIGHTS FL 32656"</f>
        <v>KEYSTONE HEIGHTS FL 32656</v>
      </c>
      <c r="K1632" t="str">
        <f>"96299 ONEIL-SCOTT RD"</f>
        <v>96299 ONEIL-SCOTT RD</v>
      </c>
      <c r="L1632" t="str">
        <f t="shared" si="580"/>
        <v>FERNANDINA BEACH FL 32034</v>
      </c>
      <c r="M1632" t="str">
        <f>"PT MARGARET ONEIL GRANT PAR 15 IN OR 1680/1174 (EX R/W OR 302/38)"</f>
        <v>PT MARGARET ONEIL GRANT PAR 15 IN OR 1680/1174 (EX R/W OR 302/38)</v>
      </c>
      <c r="N1632" t="str">
        <f>""</f>
        <v/>
      </c>
      <c r="O1632" t="str">
        <f>"45969"</f>
        <v>45969</v>
      </c>
      <c r="P1632" t="str">
        <f t="shared" si="577"/>
        <v>2017</v>
      </c>
      <c r="Q1632" t="str">
        <f>""</f>
        <v/>
      </c>
      <c r="R1632" t="str">
        <f t="shared" si="589"/>
        <v>N</v>
      </c>
      <c r="S1632" t="str">
        <f>""</f>
        <v/>
      </c>
      <c r="T1632" t="str">
        <f>"491.03"</f>
        <v>491.03</v>
      </c>
      <c r="U1632" t="str">
        <f>"32435.00"</f>
        <v>32435.00</v>
      </c>
      <c r="V1632" t="str">
        <f>"32435.00"</f>
        <v>32435.00</v>
      </c>
      <c r="W1632" t="str">
        <f t="shared" si="578"/>
        <v>2017</v>
      </c>
      <c r="X1632" t="str">
        <f>"10.25"</f>
        <v>10.25</v>
      </c>
      <c r="Y1632" t="str">
        <f>"537.76"</f>
        <v>537.76</v>
      </c>
      <c r="Z1632" t="str">
        <f>""</f>
        <v/>
      </c>
      <c r="AA1632" t="str">
        <f>"32435.00"</f>
        <v>32435.00</v>
      </c>
      <c r="AB1632" t="str">
        <f t="shared" si="579"/>
        <v>Residential</v>
      </c>
      <c r="AC1632" t="str">
        <f t="shared" si="588"/>
        <v>0</v>
      </c>
      <c r="AD1632" t="str">
        <f>"4"</f>
        <v>4</v>
      </c>
      <c r="AE1632" t="str">
        <f>"WOOD (INCLUDE STEEL STUDS)"</f>
        <v>WOOD (INCLUDE STEEL STUDS)</v>
      </c>
      <c r="AF1632" t="str">
        <f>"002"</f>
        <v>002</v>
      </c>
      <c r="AG1632" t="str">
        <f t="shared" si="587"/>
        <v>FL</v>
      </c>
      <c r="AH1632" t="str">
        <f>"46200.00"</f>
        <v>46200.00</v>
      </c>
      <c r="AI1632" t="str">
        <f>"15765.00"</f>
        <v>15765.00</v>
      </c>
      <c r="AJ1632" t="str">
        <f>"C55-000-588-0679-5"</f>
        <v>C55-000-588-0679-5</v>
      </c>
      <c r="AK1632" t="str">
        <f>"28995"</f>
        <v>28995</v>
      </c>
      <c r="AL1632">
        <v>6</v>
      </c>
      <c r="AM1632">
        <v>1864</v>
      </c>
      <c r="AN1632">
        <v>563.04999999999995</v>
      </c>
      <c r="AQ1632" t="s">
        <v>16231</v>
      </c>
      <c r="AR1632" t="s">
        <v>16231</v>
      </c>
      <c r="AS1632" t="s">
        <v>16231</v>
      </c>
      <c r="AU1632" t="s">
        <v>396</v>
      </c>
      <c r="AV1632">
        <v>2017</v>
      </c>
      <c r="AW1632" t="str">
        <f>"39-2N-28-0000-0015-0000 "</f>
        <v xml:space="preserve">39-2N-28-0000-0015-0000 </v>
      </c>
      <c r="AX1632">
        <v>96299</v>
      </c>
      <c r="AZ1632" t="s">
        <v>16184</v>
      </c>
      <c r="BA1632" t="s">
        <v>496</v>
      </c>
      <c r="BD1632" t="s">
        <v>11749</v>
      </c>
      <c r="BE1632" t="s">
        <v>393</v>
      </c>
      <c r="BF1632">
        <v>32034</v>
      </c>
      <c r="BG1632" t="s">
        <v>16232</v>
      </c>
      <c r="BH1632" t="s">
        <v>11751</v>
      </c>
      <c r="BI1632">
        <v>-81.5131120751673</v>
      </c>
      <c r="BJ1632">
        <v>30.621505741906201</v>
      </c>
      <c r="BK1632" t="s">
        <v>16233</v>
      </c>
      <c r="BM1632" t="s">
        <v>16234</v>
      </c>
      <c r="BN1632" t="s">
        <v>7410</v>
      </c>
      <c r="BO1632">
        <v>32656</v>
      </c>
      <c r="BP1632" t="s">
        <v>404</v>
      </c>
      <c r="BQ1632">
        <v>200</v>
      </c>
      <c r="BR1632" t="s">
        <v>405</v>
      </c>
      <c r="BS1632">
        <v>1006</v>
      </c>
      <c r="BT1632" t="s">
        <v>406</v>
      </c>
      <c r="BU1632">
        <v>1050</v>
      </c>
      <c r="BV1632">
        <v>0</v>
      </c>
      <c r="BW1632">
        <v>46238</v>
      </c>
      <c r="BX1632" t="s">
        <v>407</v>
      </c>
      <c r="BY1632" t="s">
        <v>408</v>
      </c>
      <c r="BZ1632">
        <v>4</v>
      </c>
      <c r="CA1632">
        <v>1982</v>
      </c>
      <c r="CB1632">
        <v>1</v>
      </c>
      <c r="CC1632">
        <v>1</v>
      </c>
      <c r="CD1632">
        <v>2017</v>
      </c>
      <c r="CE1632">
        <v>15765</v>
      </c>
      <c r="CF1632">
        <v>16670</v>
      </c>
      <c r="CG1632">
        <v>32435</v>
      </c>
      <c r="CH1632">
        <v>2017</v>
      </c>
      <c r="CI1632">
        <v>15765</v>
      </c>
      <c r="CJ1632">
        <v>16670</v>
      </c>
      <c r="CK1632">
        <v>32435</v>
      </c>
      <c r="CL1632">
        <v>2017</v>
      </c>
      <c r="CM1632">
        <v>491.03</v>
      </c>
      <c r="CN1632" s="1">
        <v>40308</v>
      </c>
      <c r="CZ1632" s="1">
        <v>40308</v>
      </c>
      <c r="DD1632" t="s">
        <v>11749</v>
      </c>
      <c r="DG1632">
        <v>39</v>
      </c>
      <c r="DL1632">
        <v>50303</v>
      </c>
      <c r="DM1632" t="s">
        <v>16136</v>
      </c>
      <c r="DO1632" t="s">
        <v>16235</v>
      </c>
      <c r="DP1632">
        <v>0</v>
      </c>
      <c r="DQ1632">
        <v>0</v>
      </c>
      <c r="DR1632" t="s">
        <v>411</v>
      </c>
      <c r="DS1632" t="b">
        <v>1</v>
      </c>
      <c r="DT1632" t="s">
        <v>470</v>
      </c>
      <c r="DU1632" t="s">
        <v>10249</v>
      </c>
      <c r="DV1632" t="s">
        <v>472</v>
      </c>
      <c r="DX1632">
        <v>-9999</v>
      </c>
      <c r="DZ1632" t="s">
        <v>447</v>
      </c>
      <c r="EA1632" t="s">
        <v>448</v>
      </c>
      <c r="EB1632" t="s">
        <v>14895</v>
      </c>
      <c r="EC1632">
        <v>20101217</v>
      </c>
      <c r="ED1632" t="s">
        <v>10251</v>
      </c>
      <c r="EE1632">
        <v>5</v>
      </c>
      <c r="EF1632">
        <v>607.70000000000005</v>
      </c>
      <c r="EG1632">
        <v>0</v>
      </c>
      <c r="EI1632">
        <v>20160407</v>
      </c>
      <c r="EJ1632">
        <v>0</v>
      </c>
      <c r="EK1632">
        <v>0</v>
      </c>
      <c r="EP1632" t="s">
        <v>421</v>
      </c>
      <c r="EQ1632" t="s">
        <v>452</v>
      </c>
      <c r="ER1632">
        <v>1</v>
      </c>
      <c r="ES1632">
        <v>3</v>
      </c>
      <c r="ET1632">
        <v>565.49</v>
      </c>
      <c r="EU1632">
        <v>6.25</v>
      </c>
      <c r="EV1632">
        <v>571.74</v>
      </c>
      <c r="EW1632" s="2">
        <v>43222</v>
      </c>
      <c r="EX1632" s="1">
        <v>42879</v>
      </c>
      <c r="EY1632">
        <v>2016</v>
      </c>
      <c r="EZ1632">
        <v>565.49</v>
      </c>
      <c r="FA1632" t="s">
        <v>16236</v>
      </c>
      <c r="FB1632">
        <v>0</v>
      </c>
      <c r="FC1632" t="s">
        <v>424</v>
      </c>
      <c r="FD1632" t="s">
        <v>454</v>
      </c>
      <c r="FF1632">
        <v>12</v>
      </c>
      <c r="FG1632">
        <v>7400228</v>
      </c>
      <c r="FH1632" t="s">
        <v>16237</v>
      </c>
      <c r="FJ1632" s="1">
        <v>42515</v>
      </c>
      <c r="FK1632">
        <v>2015</v>
      </c>
      <c r="FL1632">
        <v>547.48</v>
      </c>
      <c r="FM1632" t="s">
        <v>16238</v>
      </c>
      <c r="FN1632">
        <v>14.75</v>
      </c>
      <c r="FO1632" t="s">
        <v>424</v>
      </c>
      <c r="FP1632" t="s">
        <v>425</v>
      </c>
      <c r="FQ1632" s="1">
        <v>42814</v>
      </c>
      <c r="FR1632">
        <v>10</v>
      </c>
      <c r="FS1632">
        <v>2035919</v>
      </c>
      <c r="FT1632" t="s">
        <v>507</v>
      </c>
      <c r="FV1632" s="1">
        <v>42151</v>
      </c>
      <c r="FW1632">
        <v>2014</v>
      </c>
      <c r="FX1632">
        <v>482.24</v>
      </c>
      <c r="FY1632" t="s">
        <v>16239</v>
      </c>
      <c r="FZ1632">
        <v>3.75</v>
      </c>
      <c r="GA1632" t="s">
        <v>424</v>
      </c>
      <c r="GB1632" t="s">
        <v>425</v>
      </c>
      <c r="GC1632" s="1">
        <v>42181</v>
      </c>
      <c r="GD1632">
        <v>1</v>
      </c>
      <c r="GE1632">
        <v>4975593</v>
      </c>
      <c r="GF1632" t="s">
        <v>505</v>
      </c>
      <c r="GH1632" s="1">
        <v>40688</v>
      </c>
      <c r="GI1632">
        <v>2010</v>
      </c>
      <c r="GJ1632">
        <v>719.82</v>
      </c>
      <c r="GK1632" t="s">
        <v>16240</v>
      </c>
      <c r="GL1632">
        <v>5.75</v>
      </c>
      <c r="GM1632" t="s">
        <v>424</v>
      </c>
      <c r="GN1632" t="s">
        <v>425</v>
      </c>
      <c r="GO1632" s="1">
        <v>40968</v>
      </c>
      <c r="GP1632">
        <v>9</v>
      </c>
      <c r="GQ1632">
        <v>287</v>
      </c>
      <c r="GR1632" t="s">
        <v>572</v>
      </c>
      <c r="GS1632" t="s">
        <v>458</v>
      </c>
    </row>
    <row r="1633" spans="1:284" x14ac:dyDescent="0.25">
      <c r="A1633">
        <v>16486640</v>
      </c>
      <c r="B1633">
        <v>1632</v>
      </c>
      <c r="C1633" t="s">
        <v>393</v>
      </c>
      <c r="D1633" t="s">
        <v>394</v>
      </c>
      <c r="F1633" t="str">
        <f>"39-2N-28-0000-0016-0000"</f>
        <v>39-2N-28-0000-0016-0000</v>
      </c>
      <c r="H1633" t="str">
        <f>"FRENCH MARGIE C"</f>
        <v>FRENCH MARGIE C</v>
      </c>
      <c r="I1633" t="str">
        <f>"4398 LORI LOOP ROAD"</f>
        <v>4398 LORI LOOP ROAD</v>
      </c>
      <c r="J1633" t="str">
        <f>"KEYSTONE HEIGHTS FL 32656"</f>
        <v>KEYSTONE HEIGHTS FL 32656</v>
      </c>
      <c r="K1633" t="str">
        <f>"96275 ONEIL-SCOTT RD"</f>
        <v>96275 ONEIL-SCOTT RD</v>
      </c>
      <c r="L1633" t="str">
        <f t="shared" si="580"/>
        <v>FERNANDINA BEACH FL 32034</v>
      </c>
      <c r="M1633" t="str">
        <f>"PT MARGARET ONEIL GRANT PAR 16 PT OR 1648/1956"</f>
        <v>PT MARGARET ONEIL GRANT PAR 16 PT OR 1648/1956</v>
      </c>
      <c r="N1633" t="str">
        <f>""</f>
        <v/>
      </c>
      <c r="O1633" t="str">
        <f>"45970"</f>
        <v>45970</v>
      </c>
      <c r="P1633" t="str">
        <f t="shared" si="577"/>
        <v>2017</v>
      </c>
      <c r="Q1633" t="str">
        <f>""</f>
        <v/>
      </c>
      <c r="R1633" t="str">
        <f t="shared" si="589"/>
        <v>N</v>
      </c>
      <c r="S1633" t="str">
        <f>""</f>
        <v/>
      </c>
      <c r="T1633" t="str">
        <f>"448.89"</f>
        <v>448.89</v>
      </c>
      <c r="U1633" t="str">
        <f>"29651.00"</f>
        <v>29651.00</v>
      </c>
      <c r="V1633" t="str">
        <f>"29651.00"</f>
        <v>29651.00</v>
      </c>
      <c r="W1633" t="str">
        <f t="shared" si="578"/>
        <v>2017</v>
      </c>
      <c r="X1633" t="str">
        <f>"16.67"</f>
        <v>16.67</v>
      </c>
      <c r="Y1633" t="str">
        <f>"494.36"</f>
        <v>494.36</v>
      </c>
      <c r="Z1633" t="str">
        <f>""</f>
        <v/>
      </c>
      <c r="AA1633" t="str">
        <f>"29651.00"</f>
        <v>29651.00</v>
      </c>
      <c r="AB1633" t="str">
        <f t="shared" si="579"/>
        <v>Residential</v>
      </c>
      <c r="AC1633" t="str">
        <f t="shared" si="588"/>
        <v>0</v>
      </c>
      <c r="AD1633" t="str">
        <f>"4"</f>
        <v>4</v>
      </c>
      <c r="AE1633" t="str">
        <f>"WOOD (INCLUDE STEEL STUDS)"</f>
        <v>WOOD (INCLUDE STEEL STUDS)</v>
      </c>
      <c r="AF1633" t="str">
        <f>"001"</f>
        <v>001</v>
      </c>
      <c r="AG1633" t="str">
        <f t="shared" si="587"/>
        <v>FL</v>
      </c>
      <c r="AH1633" t="str">
        <f>"23100.00"</f>
        <v>23100.00</v>
      </c>
      <c r="AI1633" t="str">
        <f>"13983.00"</f>
        <v>13983.00</v>
      </c>
      <c r="AJ1633" t="str">
        <f>"C55-000-588-0680-3"</f>
        <v>C55-000-588-0680-3</v>
      </c>
      <c r="AK1633" t="str">
        <f>"28996"</f>
        <v>28996</v>
      </c>
      <c r="AL1633">
        <v>6</v>
      </c>
      <c r="AM1633">
        <v>1865</v>
      </c>
      <c r="AN1633">
        <v>517.48</v>
      </c>
      <c r="AQ1633" t="s">
        <v>16241</v>
      </c>
      <c r="AR1633" t="s">
        <v>16241</v>
      </c>
      <c r="AS1633" t="s">
        <v>16241</v>
      </c>
      <c r="AU1633" t="s">
        <v>396</v>
      </c>
      <c r="AV1633">
        <v>2017</v>
      </c>
      <c r="AW1633" t="str">
        <f>"39-2N-28-0000-0016-0000 "</f>
        <v xml:space="preserve">39-2N-28-0000-0016-0000 </v>
      </c>
      <c r="AX1633">
        <v>96275</v>
      </c>
      <c r="AZ1633" t="s">
        <v>16184</v>
      </c>
      <c r="BA1633" t="s">
        <v>496</v>
      </c>
      <c r="BD1633" t="s">
        <v>11749</v>
      </c>
      <c r="BE1633" t="s">
        <v>393</v>
      </c>
      <c r="BF1633">
        <v>32034</v>
      </c>
      <c r="BG1633" t="s">
        <v>16242</v>
      </c>
      <c r="BH1633" t="s">
        <v>11751</v>
      </c>
      <c r="BI1633">
        <v>-81.512907051139507</v>
      </c>
      <c r="BJ1633">
        <v>30.6210989671969</v>
      </c>
      <c r="BK1633" t="s">
        <v>16233</v>
      </c>
      <c r="BL1633" t="s">
        <v>16243</v>
      </c>
      <c r="BM1633" t="s">
        <v>16234</v>
      </c>
      <c r="BN1633" t="s">
        <v>7410</v>
      </c>
      <c r="BO1633">
        <v>32656</v>
      </c>
      <c r="BP1633" t="s">
        <v>404</v>
      </c>
      <c r="BQ1633">
        <v>100</v>
      </c>
      <c r="BR1633" t="s">
        <v>514</v>
      </c>
      <c r="BS1633">
        <v>1001</v>
      </c>
      <c r="BT1633" t="s">
        <v>515</v>
      </c>
      <c r="BU1633">
        <v>1050</v>
      </c>
      <c r="BV1633">
        <v>0</v>
      </c>
      <c r="BW1633">
        <v>22836</v>
      </c>
      <c r="BX1633" t="s">
        <v>407</v>
      </c>
      <c r="BY1633" t="s">
        <v>408</v>
      </c>
      <c r="BZ1633">
        <v>4</v>
      </c>
      <c r="CA1633">
        <v>1957</v>
      </c>
      <c r="CB1633">
        <v>1</v>
      </c>
      <c r="CC1633">
        <v>1</v>
      </c>
      <c r="CD1633">
        <v>2017</v>
      </c>
      <c r="CE1633">
        <v>13983</v>
      </c>
      <c r="CF1633">
        <v>15668</v>
      </c>
      <c r="CG1633">
        <v>29651</v>
      </c>
      <c r="CH1633">
        <v>2017</v>
      </c>
      <c r="CI1633">
        <v>13983</v>
      </c>
      <c r="CJ1633">
        <v>15668</v>
      </c>
      <c r="CK1633">
        <v>29651</v>
      </c>
      <c r="CL1633">
        <v>2017</v>
      </c>
      <c r="CM1633">
        <v>448.89</v>
      </c>
      <c r="CN1633" s="1">
        <v>40120</v>
      </c>
      <c r="CZ1633" s="1">
        <v>40120</v>
      </c>
      <c r="DD1633" t="s">
        <v>11749</v>
      </c>
      <c r="DG1633">
        <v>39</v>
      </c>
      <c r="DL1633">
        <v>50303</v>
      </c>
      <c r="DM1633" t="s">
        <v>16136</v>
      </c>
      <c r="DO1633" t="s">
        <v>16244</v>
      </c>
      <c r="DP1633">
        <v>0</v>
      </c>
      <c r="DQ1633">
        <v>0</v>
      </c>
      <c r="DR1633" t="s">
        <v>411</v>
      </c>
      <c r="DS1633" t="b">
        <v>1</v>
      </c>
      <c r="DT1633" t="s">
        <v>470</v>
      </c>
      <c r="DU1633" t="s">
        <v>10249</v>
      </c>
      <c r="DV1633" t="s">
        <v>472</v>
      </c>
      <c r="DX1633">
        <v>-9999</v>
      </c>
      <c r="DZ1633" t="s">
        <v>447</v>
      </c>
      <c r="EA1633" t="s">
        <v>448</v>
      </c>
      <c r="EB1633" t="s">
        <v>14895</v>
      </c>
      <c r="EC1633">
        <v>20101217</v>
      </c>
      <c r="ED1633" t="s">
        <v>10251</v>
      </c>
      <c r="EE1633">
        <v>5</v>
      </c>
      <c r="EF1633">
        <v>492</v>
      </c>
      <c r="EG1633">
        <v>0</v>
      </c>
      <c r="EI1633">
        <v>20160407</v>
      </c>
      <c r="EJ1633">
        <v>0</v>
      </c>
      <c r="EK1633">
        <v>0</v>
      </c>
      <c r="EP1633" t="s">
        <v>421</v>
      </c>
      <c r="EQ1633" t="s">
        <v>422</v>
      </c>
      <c r="ER1633">
        <v>1</v>
      </c>
      <c r="ES1633">
        <v>6</v>
      </c>
      <c r="ET1633">
        <v>1029.99</v>
      </c>
      <c r="EU1633">
        <v>6.25</v>
      </c>
      <c r="EV1633">
        <v>1036.24</v>
      </c>
      <c r="EW1633" s="2">
        <v>43222</v>
      </c>
      <c r="EX1633" s="1">
        <v>42879</v>
      </c>
      <c r="EY1633">
        <v>2016</v>
      </c>
      <c r="EZ1633">
        <v>1029.99</v>
      </c>
      <c r="FA1633" t="s">
        <v>16245</v>
      </c>
      <c r="FB1633">
        <v>0</v>
      </c>
      <c r="FC1633" t="s">
        <v>424</v>
      </c>
      <c r="FD1633" t="s">
        <v>454</v>
      </c>
      <c r="FF1633">
        <v>12</v>
      </c>
      <c r="FG1633">
        <v>7400228</v>
      </c>
      <c r="FH1633" t="s">
        <v>16237</v>
      </c>
      <c r="FJ1633" s="1">
        <v>42515</v>
      </c>
      <c r="FK1633">
        <v>2015</v>
      </c>
      <c r="FL1633">
        <v>1052.5999999999999</v>
      </c>
      <c r="FM1633" t="s">
        <v>16246</v>
      </c>
      <c r="FN1633">
        <v>0.25</v>
      </c>
      <c r="FO1633" t="s">
        <v>424</v>
      </c>
      <c r="FP1633" t="s">
        <v>425</v>
      </c>
      <c r="FQ1633" s="1">
        <v>42814</v>
      </c>
      <c r="FR1633">
        <v>10</v>
      </c>
      <c r="FS1633">
        <v>2851116</v>
      </c>
      <c r="FT1633" t="s">
        <v>480</v>
      </c>
      <c r="FV1633" s="1">
        <v>42515</v>
      </c>
      <c r="FW1633">
        <v>2015</v>
      </c>
      <c r="FX1633">
        <v>1052.5999999999999</v>
      </c>
      <c r="FY1633" t="s">
        <v>16246</v>
      </c>
      <c r="FZ1633">
        <v>0.25</v>
      </c>
      <c r="GA1633" t="s">
        <v>424</v>
      </c>
      <c r="GB1633" t="s">
        <v>425</v>
      </c>
      <c r="GD1633">
        <v>22</v>
      </c>
      <c r="GE1633">
        <v>5581423</v>
      </c>
      <c r="GF1633" t="s">
        <v>16247</v>
      </c>
      <c r="GH1633" s="1">
        <v>42151</v>
      </c>
      <c r="GI1633">
        <v>2014</v>
      </c>
      <c r="GJ1633">
        <v>984.02</v>
      </c>
      <c r="GK1633" t="s">
        <v>16248</v>
      </c>
      <c r="GL1633">
        <v>0.25</v>
      </c>
      <c r="GM1633" t="s">
        <v>424</v>
      </c>
      <c r="GN1633" t="s">
        <v>425</v>
      </c>
      <c r="GO1633" s="1">
        <v>42181</v>
      </c>
      <c r="GP1633">
        <v>1</v>
      </c>
      <c r="GQ1633">
        <v>4975594</v>
      </c>
      <c r="GR1633" t="s">
        <v>457</v>
      </c>
      <c r="GT1633" s="1">
        <v>42151</v>
      </c>
      <c r="GU1633">
        <v>2014</v>
      </c>
      <c r="GV1633">
        <v>984.02</v>
      </c>
      <c r="GW1633" t="s">
        <v>16248</v>
      </c>
      <c r="GX1633">
        <v>0.25</v>
      </c>
      <c r="GY1633" t="s">
        <v>424</v>
      </c>
      <c r="GZ1633" t="s">
        <v>425</v>
      </c>
      <c r="HB1633">
        <v>22</v>
      </c>
      <c r="HC1633">
        <v>6250727</v>
      </c>
      <c r="HD1633" t="s">
        <v>16249</v>
      </c>
      <c r="HF1633" s="1">
        <v>41052</v>
      </c>
      <c r="HG1633">
        <v>2011</v>
      </c>
      <c r="HH1633">
        <v>938.47</v>
      </c>
      <c r="HI1633" t="s">
        <v>16250</v>
      </c>
      <c r="HJ1633">
        <v>9</v>
      </c>
      <c r="HK1633" t="s">
        <v>424</v>
      </c>
      <c r="HL1633" t="s">
        <v>425</v>
      </c>
      <c r="HM1633" s="1">
        <v>41306</v>
      </c>
      <c r="HN1633">
        <v>9</v>
      </c>
      <c r="HO1633">
        <v>13042</v>
      </c>
      <c r="HP1633" t="s">
        <v>5881</v>
      </c>
      <c r="HR1633" s="1">
        <v>40688</v>
      </c>
      <c r="HS1633">
        <v>2010</v>
      </c>
      <c r="HT1633">
        <v>945.21</v>
      </c>
      <c r="HU1633" t="s">
        <v>16251</v>
      </c>
      <c r="HV1633">
        <v>5.75</v>
      </c>
      <c r="HW1633" t="s">
        <v>424</v>
      </c>
      <c r="HX1633" t="s">
        <v>425</v>
      </c>
      <c r="HY1633" s="1">
        <v>41306</v>
      </c>
      <c r="HZ1633">
        <v>21</v>
      </c>
      <c r="IA1633">
        <v>62</v>
      </c>
      <c r="IB1633" t="s">
        <v>463</v>
      </c>
    </row>
    <row r="1634" spans="1:284" x14ac:dyDescent="0.25">
      <c r="A1634">
        <v>16486641</v>
      </c>
      <c r="B1634">
        <v>1633</v>
      </c>
      <c r="C1634" t="s">
        <v>393</v>
      </c>
      <c r="D1634" t="s">
        <v>394</v>
      </c>
      <c r="F1634" t="str">
        <f>"39-2N-28-0000-0016-0010"</f>
        <v>39-2N-28-0000-0016-0010</v>
      </c>
      <c r="H1634" t="str">
        <f>"FRENCH MARGIE C"</f>
        <v>FRENCH MARGIE C</v>
      </c>
      <c r="I1634" t="str">
        <f>"4398 LORI LOOP ROAD"</f>
        <v>4398 LORI LOOP ROAD</v>
      </c>
      <c r="J1634" t="str">
        <f>"KEYSTONE HEIGHTS FL 32656"</f>
        <v>KEYSTONE HEIGHTS FL 32656</v>
      </c>
      <c r="K1634" t="str">
        <f>"ONEIL-SCOTT RD"</f>
        <v>ONEIL-SCOTT RD</v>
      </c>
      <c r="L1634" t="str">
        <f t="shared" si="580"/>
        <v>FERNANDINA BEACH FL 32034</v>
      </c>
      <c r="M1634" t="str">
        <f>"PT MARGARET ONEIL GRANT PAR 16-1 PT OR 1648/1956"</f>
        <v>PT MARGARET ONEIL GRANT PAR 16-1 PT OR 1648/1956</v>
      </c>
      <c r="N1634" t="str">
        <f>""</f>
        <v/>
      </c>
      <c r="O1634" t="str">
        <f>"45971"</f>
        <v>45971</v>
      </c>
      <c r="P1634" t="str">
        <f t="shared" si="577"/>
        <v>2017</v>
      </c>
      <c r="Q1634" t="str">
        <f>""</f>
        <v/>
      </c>
      <c r="R1634" t="str">
        <f t="shared" si="589"/>
        <v>N</v>
      </c>
      <c r="S1634" t="str">
        <f>""</f>
        <v/>
      </c>
      <c r="T1634" t="str">
        <f>"211.69"</f>
        <v>211.69</v>
      </c>
      <c r="U1634" t="str">
        <f>"13983.00"</f>
        <v>13983.00</v>
      </c>
      <c r="V1634" t="str">
        <f>"13983.00"</f>
        <v>13983.00</v>
      </c>
      <c r="W1634" t="str">
        <f t="shared" si="578"/>
        <v>2017</v>
      </c>
      <c r="X1634" t="str">
        <f>"16.67"</f>
        <v>16.67</v>
      </c>
      <c r="Y1634" t="str">
        <f>"250.04"</f>
        <v>250.04</v>
      </c>
      <c r="Z1634" t="str">
        <f>""</f>
        <v/>
      </c>
      <c r="AA1634" t="str">
        <f>"13983.00"</f>
        <v>13983.00</v>
      </c>
      <c r="AB1634" t="str">
        <f t="shared" si="579"/>
        <v>Residential</v>
      </c>
      <c r="AC1634" t="str">
        <f t="shared" si="588"/>
        <v>0</v>
      </c>
      <c r="AD1634" t="str">
        <f>""</f>
        <v/>
      </c>
      <c r="AE1634" t="str">
        <f>""</f>
        <v/>
      </c>
      <c r="AF1634" t="str">
        <f>"000"</f>
        <v>000</v>
      </c>
      <c r="AG1634" t="str">
        <f t="shared" si="587"/>
        <v>FL</v>
      </c>
      <c r="AH1634" t="str">
        <f>"23100.00"</f>
        <v>23100.00</v>
      </c>
      <c r="AI1634" t="str">
        <f>"13983.00"</f>
        <v>13983.00</v>
      </c>
      <c r="AJ1634" t="str">
        <f>"C55-000-588-0681-1"</f>
        <v>C55-000-588-0681-1</v>
      </c>
      <c r="AK1634" t="str">
        <f>"28997"</f>
        <v>28997</v>
      </c>
      <c r="AL1634">
        <v>6</v>
      </c>
      <c r="AM1634">
        <v>1866</v>
      </c>
      <c r="AN1634">
        <v>260.94</v>
      </c>
      <c r="AQ1634" t="s">
        <v>16252</v>
      </c>
      <c r="AR1634" t="s">
        <v>16252</v>
      </c>
      <c r="AS1634" t="s">
        <v>16252</v>
      </c>
      <c r="AU1634" t="s">
        <v>396</v>
      </c>
      <c r="AV1634">
        <v>2017</v>
      </c>
      <c r="AW1634" t="str">
        <f>"39-2N-28-0000-0016-0010 "</f>
        <v xml:space="preserve">39-2N-28-0000-0016-0010 </v>
      </c>
      <c r="AZ1634" t="s">
        <v>16184</v>
      </c>
      <c r="BA1634" t="s">
        <v>496</v>
      </c>
      <c r="BD1634" t="s">
        <v>11749</v>
      </c>
      <c r="BE1634" t="s">
        <v>393</v>
      </c>
      <c r="BF1634">
        <v>32034</v>
      </c>
      <c r="BG1634" t="s">
        <v>16185</v>
      </c>
      <c r="BH1634" t="s">
        <v>11751</v>
      </c>
      <c r="BI1634">
        <v>-81.513537131648704</v>
      </c>
      <c r="BJ1634">
        <v>30.621363228673001</v>
      </c>
      <c r="BK1634" t="s">
        <v>16233</v>
      </c>
      <c r="BL1634" t="s">
        <v>16243</v>
      </c>
      <c r="BM1634" t="s">
        <v>16234</v>
      </c>
      <c r="BN1634" t="s">
        <v>7410</v>
      </c>
      <c r="BO1634">
        <v>32656</v>
      </c>
      <c r="BP1634" t="s">
        <v>404</v>
      </c>
      <c r="BQ1634">
        <v>0</v>
      </c>
      <c r="BR1634" t="s">
        <v>491</v>
      </c>
      <c r="BS1634">
        <v>8001</v>
      </c>
      <c r="BT1634" t="s">
        <v>492</v>
      </c>
      <c r="BU1634">
        <v>1050</v>
      </c>
      <c r="BV1634">
        <v>0</v>
      </c>
      <c r="BW1634">
        <v>23414</v>
      </c>
      <c r="BX1634" t="s">
        <v>407</v>
      </c>
      <c r="BY1634" t="s">
        <v>408</v>
      </c>
      <c r="CD1634">
        <v>2017</v>
      </c>
      <c r="CE1634">
        <v>13983</v>
      </c>
      <c r="CG1634">
        <v>13983</v>
      </c>
      <c r="CH1634">
        <v>2017</v>
      </c>
      <c r="CI1634">
        <v>13983</v>
      </c>
      <c r="CK1634">
        <v>13983</v>
      </c>
      <c r="CL1634">
        <v>2017</v>
      </c>
      <c r="CM1634">
        <v>211.69</v>
      </c>
      <c r="CN1634" s="1">
        <v>40120</v>
      </c>
      <c r="CZ1634" s="1">
        <v>40120</v>
      </c>
      <c r="DD1634" t="s">
        <v>11749</v>
      </c>
      <c r="DG1634">
        <v>39</v>
      </c>
      <c r="DL1634">
        <v>50303</v>
      </c>
      <c r="DM1634" t="s">
        <v>16136</v>
      </c>
      <c r="DO1634" t="s">
        <v>16253</v>
      </c>
      <c r="DP1634">
        <v>0</v>
      </c>
      <c r="DQ1634">
        <v>0</v>
      </c>
      <c r="DR1634" t="s">
        <v>411</v>
      </c>
      <c r="DS1634" t="b">
        <v>1</v>
      </c>
      <c r="DT1634" t="s">
        <v>470</v>
      </c>
      <c r="DU1634" t="s">
        <v>10249</v>
      </c>
      <c r="DV1634" t="s">
        <v>472</v>
      </c>
      <c r="DX1634">
        <v>-9999</v>
      </c>
      <c r="DZ1634" t="s">
        <v>447</v>
      </c>
      <c r="EA1634" t="s">
        <v>448</v>
      </c>
      <c r="EB1634" t="s">
        <v>14895</v>
      </c>
      <c r="EC1634">
        <v>20101217</v>
      </c>
      <c r="ED1634" t="s">
        <v>10251</v>
      </c>
      <c r="EE1634">
        <v>5</v>
      </c>
      <c r="EF1634">
        <v>711.1</v>
      </c>
      <c r="EG1634">
        <v>0</v>
      </c>
      <c r="EI1634">
        <v>20160407</v>
      </c>
      <c r="EJ1634">
        <v>0</v>
      </c>
      <c r="EK1634">
        <v>0</v>
      </c>
      <c r="EP1634" t="s">
        <v>595</v>
      </c>
      <c r="EQ1634" t="s">
        <v>422</v>
      </c>
      <c r="ER1634">
        <v>1</v>
      </c>
      <c r="ES1634">
        <v>6</v>
      </c>
      <c r="ET1634">
        <v>259.16000000000003</v>
      </c>
      <c r="EU1634">
        <v>6.25</v>
      </c>
      <c r="EV1634">
        <v>265.41000000000003</v>
      </c>
      <c r="EW1634" s="2">
        <v>43222</v>
      </c>
      <c r="EX1634" s="1">
        <v>42879</v>
      </c>
      <c r="EY1634">
        <v>2016</v>
      </c>
      <c r="EZ1634">
        <v>259.16000000000003</v>
      </c>
      <c r="FA1634" t="s">
        <v>16254</v>
      </c>
      <c r="FB1634">
        <v>0</v>
      </c>
      <c r="FC1634" t="s">
        <v>424</v>
      </c>
      <c r="FD1634" t="s">
        <v>454</v>
      </c>
      <c r="FF1634">
        <v>12</v>
      </c>
      <c r="FG1634">
        <v>7400228</v>
      </c>
      <c r="FH1634" t="s">
        <v>16237</v>
      </c>
      <c r="FJ1634" s="1">
        <v>42515</v>
      </c>
      <c r="FK1634">
        <v>2015</v>
      </c>
      <c r="FL1634">
        <v>259.79000000000002</v>
      </c>
      <c r="FM1634" t="s">
        <v>16255</v>
      </c>
      <c r="FN1634">
        <v>0.25</v>
      </c>
      <c r="FO1634" t="s">
        <v>424</v>
      </c>
      <c r="FP1634" t="s">
        <v>425</v>
      </c>
      <c r="FQ1634" s="1">
        <v>42814</v>
      </c>
      <c r="FR1634">
        <v>10</v>
      </c>
      <c r="FS1634">
        <v>7336671</v>
      </c>
      <c r="FT1634" t="s">
        <v>437</v>
      </c>
      <c r="FV1634" s="1">
        <v>42515</v>
      </c>
      <c r="FW1634">
        <v>2015</v>
      </c>
      <c r="FX1634">
        <v>259.79000000000002</v>
      </c>
      <c r="FY1634" t="s">
        <v>16255</v>
      </c>
      <c r="FZ1634">
        <v>0.25</v>
      </c>
      <c r="GA1634" t="s">
        <v>424</v>
      </c>
      <c r="GB1634" t="s">
        <v>425</v>
      </c>
      <c r="GD1634">
        <v>22</v>
      </c>
      <c r="GE1634">
        <v>6926664</v>
      </c>
      <c r="GF1634" t="s">
        <v>16256</v>
      </c>
      <c r="GH1634" s="1">
        <v>42151</v>
      </c>
      <c r="GI1634">
        <v>2014</v>
      </c>
      <c r="GJ1634">
        <v>260.99</v>
      </c>
      <c r="GK1634" t="s">
        <v>16257</v>
      </c>
      <c r="GL1634">
        <v>8.75</v>
      </c>
      <c r="GM1634" t="s">
        <v>424</v>
      </c>
      <c r="GN1634" t="s">
        <v>425</v>
      </c>
      <c r="GO1634" s="1">
        <v>42181</v>
      </c>
      <c r="GP1634">
        <v>1</v>
      </c>
      <c r="GQ1634">
        <v>10125</v>
      </c>
      <c r="GR1634" t="s">
        <v>440</v>
      </c>
      <c r="GT1634" s="1">
        <v>41052</v>
      </c>
      <c r="GU1634">
        <v>2011</v>
      </c>
      <c r="GV1634">
        <v>280.33999999999997</v>
      </c>
      <c r="GW1634" t="s">
        <v>16258</v>
      </c>
      <c r="GX1634">
        <v>18</v>
      </c>
      <c r="GY1634" t="s">
        <v>424</v>
      </c>
      <c r="GZ1634" t="s">
        <v>425</v>
      </c>
      <c r="HA1634" s="1">
        <v>41306</v>
      </c>
      <c r="HB1634">
        <v>9</v>
      </c>
      <c r="HC1634">
        <v>13103</v>
      </c>
      <c r="HD1634" t="s">
        <v>2203</v>
      </c>
      <c r="HF1634" s="1">
        <v>40688</v>
      </c>
      <c r="HG1634">
        <v>2010</v>
      </c>
      <c r="HH1634">
        <v>289.91000000000003</v>
      </c>
      <c r="HI1634" t="s">
        <v>16259</v>
      </c>
      <c r="HJ1634">
        <v>18</v>
      </c>
      <c r="HK1634" t="s">
        <v>424</v>
      </c>
      <c r="HL1634" t="s">
        <v>425</v>
      </c>
      <c r="HM1634" s="1">
        <v>41306</v>
      </c>
      <c r="HN1634">
        <v>21</v>
      </c>
      <c r="HO1634">
        <v>555</v>
      </c>
      <c r="HP1634" t="s">
        <v>12546</v>
      </c>
      <c r="HR1634" s="1">
        <v>40688</v>
      </c>
      <c r="HS1634">
        <v>2010</v>
      </c>
      <c r="HT1634">
        <v>279.47000000000003</v>
      </c>
      <c r="HU1634" t="s">
        <v>16259</v>
      </c>
      <c r="HV1634">
        <v>18</v>
      </c>
      <c r="HW1634" t="s">
        <v>603</v>
      </c>
      <c r="HX1634" t="s">
        <v>425</v>
      </c>
      <c r="HZ1634">
        <v>22</v>
      </c>
      <c r="IA1634">
        <v>9999999</v>
      </c>
      <c r="IB1634" t="s">
        <v>604</v>
      </c>
    </row>
    <row r="1635" spans="1:284" x14ac:dyDescent="0.25">
      <c r="A1635">
        <v>16486642</v>
      </c>
      <c r="B1635">
        <v>1634</v>
      </c>
      <c r="C1635" t="s">
        <v>393</v>
      </c>
      <c r="D1635" t="s">
        <v>394</v>
      </c>
      <c r="F1635" t="str">
        <f>"39-2N-28-011B-0002-0000"</f>
        <v>39-2N-28-011B-0002-0000</v>
      </c>
      <c r="H1635" t="str">
        <f>"TOLLISON HUGH K SR EST &amp; H KENNETH JR &amp; LAWTON TOLLISON"</f>
        <v>TOLLISON HUGH K SR EST &amp; H KENNETH JR &amp; LAWTON TOLLISON</v>
      </c>
      <c r="I1635" t="str">
        <f>"PO BOX 937"</f>
        <v>PO BOX 937</v>
      </c>
      <c r="J1635" t="str">
        <f>"FERNANDINA BEACH FL 32035"</f>
        <v>FERNANDINA BEACH FL 32035</v>
      </c>
      <c r="K1635" t="str">
        <f>"BARNWELL CIR"</f>
        <v>BARNWELL CIR</v>
      </c>
      <c r="L1635" t="str">
        <f t="shared" si="580"/>
        <v>FERNANDINA BEACH FL 32034</v>
      </c>
      <c r="M1635" t="str">
        <f>"LOT 2 EX PT OR 745/1523 PT OR 740/357 BARNWELL ESTATES PB 5/226"</f>
        <v>LOT 2 EX PT OR 745/1523 PT OR 740/357 BARNWELL ESTATES PB 5/226</v>
      </c>
      <c r="N1635" t="str">
        <f>""</f>
        <v/>
      </c>
      <c r="O1635" t="str">
        <f>"45991"</f>
        <v>45991</v>
      </c>
      <c r="P1635" t="str">
        <f t="shared" si="577"/>
        <v>2017</v>
      </c>
      <c r="Q1635" t="str">
        <f>""</f>
        <v/>
      </c>
      <c r="R1635" t="str">
        <f t="shared" si="589"/>
        <v>N</v>
      </c>
      <c r="S1635" t="str">
        <f>""</f>
        <v/>
      </c>
      <c r="T1635" t="str">
        <f>"37.85"</f>
        <v>37.85</v>
      </c>
      <c r="U1635" t="str">
        <f>"2500.00"</f>
        <v>2500.00</v>
      </c>
      <c r="V1635" t="str">
        <f>"2500.00"</f>
        <v>2500.00</v>
      </c>
      <c r="W1635" t="str">
        <f t="shared" si="578"/>
        <v>2017</v>
      </c>
      <c r="X1635" t="str">
        <f>""</f>
        <v/>
      </c>
      <c r="Y1635" t="str">
        <f>"70.99"</f>
        <v>70.99</v>
      </c>
      <c r="Z1635" t="str">
        <f>""</f>
        <v/>
      </c>
      <c r="AA1635" t="str">
        <f>"2500.00"</f>
        <v>2500.00</v>
      </c>
      <c r="AB1635" t="str">
        <f>"Miscellaneous"</f>
        <v>Miscellaneous</v>
      </c>
      <c r="AC1635" t="str">
        <f t="shared" si="588"/>
        <v>0</v>
      </c>
      <c r="AD1635" t="str">
        <f>""</f>
        <v/>
      </c>
      <c r="AE1635" t="str">
        <f>""</f>
        <v/>
      </c>
      <c r="AF1635" t="str">
        <f>"096"</f>
        <v>096</v>
      </c>
      <c r="AG1635" t="str">
        <f t="shared" si="587"/>
        <v>FL</v>
      </c>
      <c r="AH1635" t="str">
        <f>"-"</f>
        <v>-</v>
      </c>
      <c r="AI1635" t="str">
        <f>"2500.00"</f>
        <v>2500.00</v>
      </c>
      <c r="AJ1635" t="str">
        <f>"C55-000-588-0698-5"</f>
        <v>C55-000-588-0698-5</v>
      </c>
      <c r="AK1635" t="str">
        <f>"29012"</f>
        <v>29012</v>
      </c>
      <c r="AL1635">
        <v>6</v>
      </c>
      <c r="AM1635">
        <v>1867</v>
      </c>
      <c r="AN1635">
        <v>72.94</v>
      </c>
      <c r="AQ1635" t="s">
        <v>16260</v>
      </c>
      <c r="AR1635" t="s">
        <v>16260</v>
      </c>
      <c r="AS1635" t="s">
        <v>16260</v>
      </c>
      <c r="AU1635" t="s">
        <v>396</v>
      </c>
      <c r="AV1635">
        <v>2017</v>
      </c>
      <c r="AW1635" t="str">
        <f>"39-2N-28-011B-0002-0000 "</f>
        <v xml:space="preserve">39-2N-28-011B-0002-0000 </v>
      </c>
      <c r="AZ1635" t="s">
        <v>16146</v>
      </c>
      <c r="BA1635" t="s">
        <v>1799</v>
      </c>
      <c r="BD1635" t="s">
        <v>11749</v>
      </c>
      <c r="BE1635" t="s">
        <v>393</v>
      </c>
      <c r="BF1635">
        <v>32034</v>
      </c>
      <c r="BG1635" t="s">
        <v>16261</v>
      </c>
      <c r="BH1635" t="s">
        <v>11751</v>
      </c>
      <c r="BI1635">
        <v>-81.520851349338699</v>
      </c>
      <c r="BJ1635">
        <v>30.623985079158</v>
      </c>
      <c r="BK1635" t="s">
        <v>16262</v>
      </c>
      <c r="BM1635" t="s">
        <v>16263</v>
      </c>
      <c r="BN1635" t="s">
        <v>3983</v>
      </c>
      <c r="BO1635">
        <v>32035</v>
      </c>
      <c r="BP1635" t="s">
        <v>404</v>
      </c>
      <c r="BQ1635">
        <v>9602</v>
      </c>
      <c r="BR1635" t="s">
        <v>12330</v>
      </c>
      <c r="BS1635">
        <v>6013</v>
      </c>
      <c r="BT1635" t="s">
        <v>12331</v>
      </c>
      <c r="BW1635">
        <v>9587</v>
      </c>
      <c r="BX1635" t="s">
        <v>407</v>
      </c>
      <c r="BY1635" t="s">
        <v>2729</v>
      </c>
      <c r="CD1635">
        <v>2017</v>
      </c>
      <c r="CE1635">
        <v>2500</v>
      </c>
      <c r="CG1635">
        <v>2500</v>
      </c>
      <c r="CH1635">
        <v>2017</v>
      </c>
      <c r="CI1635">
        <v>2500</v>
      </c>
      <c r="CK1635">
        <v>2500</v>
      </c>
      <c r="CL1635">
        <v>2017</v>
      </c>
      <c r="CM1635">
        <v>37.85</v>
      </c>
      <c r="CN1635" s="1">
        <v>34969</v>
      </c>
      <c r="CO1635">
        <v>12000</v>
      </c>
      <c r="CZ1635" s="1">
        <v>34969</v>
      </c>
      <c r="DD1635" t="s">
        <v>11749</v>
      </c>
      <c r="DF1635">
        <v>2</v>
      </c>
      <c r="DG1635">
        <v>39</v>
      </c>
      <c r="DJ1635" t="s">
        <v>16264</v>
      </c>
      <c r="DL1635">
        <v>50303</v>
      </c>
      <c r="DM1635" t="s">
        <v>16136</v>
      </c>
      <c r="DO1635" t="s">
        <v>16265</v>
      </c>
      <c r="DP1635">
        <v>0</v>
      </c>
      <c r="DQ1635">
        <v>0</v>
      </c>
      <c r="DR1635" t="s">
        <v>411</v>
      </c>
      <c r="DS1635" t="b">
        <v>1</v>
      </c>
      <c r="DT1635" t="s">
        <v>8902</v>
      </c>
      <c r="DV1635" t="s">
        <v>446</v>
      </c>
      <c r="DX1635">
        <v>10</v>
      </c>
      <c r="DY1635" t="s">
        <v>11438</v>
      </c>
      <c r="DZ1635" t="s">
        <v>447</v>
      </c>
      <c r="EA1635" t="s">
        <v>448</v>
      </c>
      <c r="EB1635" t="s">
        <v>14882</v>
      </c>
      <c r="EC1635">
        <v>20101217</v>
      </c>
      <c r="ED1635" t="s">
        <v>450</v>
      </c>
      <c r="EE1635">
        <v>5</v>
      </c>
      <c r="EF1635">
        <v>0</v>
      </c>
      <c r="EG1635">
        <v>0</v>
      </c>
      <c r="EH1635" t="s">
        <v>14883</v>
      </c>
      <c r="EI1635">
        <v>20160407</v>
      </c>
      <c r="EJ1635">
        <v>0</v>
      </c>
      <c r="EK1635">
        <v>0</v>
      </c>
      <c r="EP1635" t="s">
        <v>595</v>
      </c>
      <c r="EQ1635" t="s">
        <v>422</v>
      </c>
      <c r="ER1635">
        <v>10</v>
      </c>
      <c r="ES1635">
        <v>0</v>
      </c>
      <c r="ET1635">
        <v>654.42999999999995</v>
      </c>
      <c r="EU1635">
        <v>492.24</v>
      </c>
      <c r="EV1635">
        <v>1146.67</v>
      </c>
      <c r="EW1635" s="2">
        <v>43222</v>
      </c>
      <c r="EX1635" s="1">
        <v>42879</v>
      </c>
      <c r="EY1635">
        <v>2016</v>
      </c>
      <c r="EZ1635">
        <v>68.510000000000005</v>
      </c>
      <c r="FA1635" t="s">
        <v>16266</v>
      </c>
      <c r="FB1635">
        <v>0.25</v>
      </c>
      <c r="FC1635" t="s">
        <v>424</v>
      </c>
      <c r="FD1635" t="s">
        <v>454</v>
      </c>
      <c r="FF1635">
        <v>12</v>
      </c>
      <c r="FG1635">
        <v>305</v>
      </c>
      <c r="FH1635" t="s">
        <v>1078</v>
      </c>
      <c r="FJ1635" s="1">
        <v>42515</v>
      </c>
      <c r="FK1635">
        <v>2015</v>
      </c>
      <c r="FL1635">
        <v>64.510000000000005</v>
      </c>
      <c r="FM1635" t="s">
        <v>16267</v>
      </c>
      <c r="FN1635">
        <v>18</v>
      </c>
      <c r="FO1635" t="s">
        <v>603</v>
      </c>
      <c r="FP1635" t="s">
        <v>454</v>
      </c>
      <c r="FR1635">
        <v>24</v>
      </c>
      <c r="FS1635">
        <v>9999999</v>
      </c>
      <c r="FT1635" t="s">
        <v>604</v>
      </c>
      <c r="FV1635" s="1">
        <v>42515</v>
      </c>
      <c r="FW1635">
        <v>2015</v>
      </c>
      <c r="FX1635">
        <v>71.73</v>
      </c>
      <c r="FY1635" t="s">
        <v>16267</v>
      </c>
      <c r="FZ1635">
        <v>18</v>
      </c>
      <c r="GA1635" t="s">
        <v>424</v>
      </c>
      <c r="GB1635" t="s">
        <v>454</v>
      </c>
      <c r="GD1635">
        <v>24</v>
      </c>
      <c r="GE1635">
        <v>10647</v>
      </c>
      <c r="GF1635" t="s">
        <v>4602</v>
      </c>
      <c r="GH1635" s="1">
        <v>42151</v>
      </c>
      <c r="GI1635">
        <v>2014</v>
      </c>
      <c r="GJ1635">
        <v>64.739999999999995</v>
      </c>
      <c r="GK1635" t="s">
        <v>16268</v>
      </c>
      <c r="GL1635">
        <v>18</v>
      </c>
      <c r="GM1635" t="s">
        <v>424</v>
      </c>
      <c r="GN1635" t="s">
        <v>454</v>
      </c>
      <c r="GP1635">
        <v>36</v>
      </c>
      <c r="GQ1635">
        <v>10125</v>
      </c>
      <c r="GR1635" t="s">
        <v>440</v>
      </c>
      <c r="GT1635" s="1">
        <v>42151</v>
      </c>
      <c r="GU1635">
        <v>2013</v>
      </c>
      <c r="GV1635">
        <v>69.510000000000005</v>
      </c>
      <c r="GW1635" t="s">
        <v>16269</v>
      </c>
      <c r="GX1635">
        <v>18</v>
      </c>
      <c r="GY1635" t="s">
        <v>603</v>
      </c>
      <c r="GZ1635" t="s">
        <v>454</v>
      </c>
      <c r="HB1635">
        <v>36</v>
      </c>
      <c r="HC1635">
        <v>9999999</v>
      </c>
      <c r="HD1635" t="s">
        <v>604</v>
      </c>
      <c r="HF1635" s="1">
        <v>42151</v>
      </c>
      <c r="HG1635">
        <v>2013</v>
      </c>
      <c r="HH1635">
        <v>77.849999999999994</v>
      </c>
      <c r="HI1635" t="s">
        <v>16269</v>
      </c>
      <c r="HJ1635">
        <v>18</v>
      </c>
      <c r="HK1635" t="s">
        <v>424</v>
      </c>
      <c r="HL1635" t="s">
        <v>454</v>
      </c>
      <c r="HN1635">
        <v>36</v>
      </c>
      <c r="HO1635">
        <v>10647</v>
      </c>
      <c r="HP1635" t="s">
        <v>4602</v>
      </c>
      <c r="HR1635" s="1">
        <v>41423</v>
      </c>
      <c r="HS1635">
        <v>2012</v>
      </c>
      <c r="HT1635">
        <v>62.96</v>
      </c>
      <c r="HU1635" t="s">
        <v>16270</v>
      </c>
      <c r="HV1635">
        <v>16.75</v>
      </c>
      <c r="HW1635" t="s">
        <v>424</v>
      </c>
      <c r="HX1635" t="s">
        <v>454</v>
      </c>
      <c r="HZ1635">
        <v>60</v>
      </c>
      <c r="IA1635">
        <v>10125</v>
      </c>
      <c r="IB1635" t="s">
        <v>440</v>
      </c>
      <c r="ID1635" s="1">
        <v>41052</v>
      </c>
      <c r="IE1635">
        <v>2011</v>
      </c>
      <c r="IF1635">
        <v>55.67</v>
      </c>
      <c r="IG1635" t="s">
        <v>16271</v>
      </c>
      <c r="IH1635">
        <v>18</v>
      </c>
      <c r="II1635" t="s">
        <v>424</v>
      </c>
      <c r="IJ1635" t="s">
        <v>454</v>
      </c>
      <c r="IL1635">
        <v>72</v>
      </c>
      <c r="IM1635">
        <v>13103</v>
      </c>
      <c r="IN1635" t="s">
        <v>2203</v>
      </c>
      <c r="IP1635" s="1">
        <v>40688</v>
      </c>
      <c r="IQ1635">
        <v>2010</v>
      </c>
      <c r="IR1635">
        <v>64.239999999999995</v>
      </c>
      <c r="IS1635" t="s">
        <v>16272</v>
      </c>
      <c r="IT1635">
        <v>18</v>
      </c>
      <c r="IU1635" t="s">
        <v>424</v>
      </c>
      <c r="IV1635" t="s">
        <v>454</v>
      </c>
      <c r="IX1635">
        <v>84</v>
      </c>
      <c r="IY1635">
        <v>11801</v>
      </c>
      <c r="IZ1635" t="s">
        <v>2948</v>
      </c>
      <c r="JB1635" s="1">
        <v>40688</v>
      </c>
      <c r="JC1635">
        <v>2010</v>
      </c>
      <c r="JD1635">
        <v>54.71</v>
      </c>
      <c r="JE1635" t="s">
        <v>16272</v>
      </c>
      <c r="JF1635">
        <v>18</v>
      </c>
      <c r="JG1635" t="s">
        <v>603</v>
      </c>
      <c r="JH1635" t="s">
        <v>454</v>
      </c>
      <c r="JJ1635">
        <v>84</v>
      </c>
      <c r="JK1635">
        <v>9999999</v>
      </c>
      <c r="JL1635" t="s">
        <v>604</v>
      </c>
    </row>
    <row r="1636" spans="1:284" x14ac:dyDescent="0.25">
      <c r="A1636">
        <v>16486643</v>
      </c>
      <c r="B1636">
        <v>1635</v>
      </c>
      <c r="C1636" t="s">
        <v>393</v>
      </c>
      <c r="D1636" t="s">
        <v>394</v>
      </c>
      <c r="F1636" t="str">
        <f>"39-2N-28-5020-0007-0000"</f>
        <v>39-2N-28-5020-0007-0000</v>
      </c>
      <c r="H1636" t="str">
        <f>"WATKINS THOMAS &amp; GWENDOLYN P"</f>
        <v>WATKINS THOMAS &amp; GWENDOLYN P</v>
      </c>
      <c r="I1636" t="str">
        <f>"2224 S DUNSMUIR AVE"</f>
        <v>2224 S DUNSMUIR AVE</v>
      </c>
      <c r="J1636" t="str">
        <f>"LOS ANGELES CA 90016"</f>
        <v>LOS ANGELES CA 90016</v>
      </c>
      <c r="K1636" t="str">
        <f>"SR 200"</f>
        <v>SR 200</v>
      </c>
      <c r="L1636" t="str">
        <f t="shared" si="580"/>
        <v>FERNANDINA BEACH FL 32034</v>
      </c>
      <c r="M1636" t="str">
        <f>"LOT 7 OR 508/52 LENWORTH S MORRISON S/D DBK 258/27-51"</f>
        <v>LOT 7 OR 508/52 LENWORTH S MORRISON S/D DBK 258/27-51</v>
      </c>
      <c r="N1636" t="str">
        <f>""</f>
        <v/>
      </c>
      <c r="O1636" t="str">
        <f>"46102"</f>
        <v>46102</v>
      </c>
      <c r="P1636" t="str">
        <f t="shared" si="577"/>
        <v>2017</v>
      </c>
      <c r="Q1636" t="str">
        <f>""</f>
        <v/>
      </c>
      <c r="R1636" t="str">
        <f t="shared" si="589"/>
        <v>N</v>
      </c>
      <c r="S1636" t="str">
        <f>""</f>
        <v/>
      </c>
      <c r="T1636" t="str">
        <f>"643.41"</f>
        <v>643.41</v>
      </c>
      <c r="U1636" t="str">
        <f>"42500.00"</f>
        <v>42500.00</v>
      </c>
      <c r="V1636" t="str">
        <f>"42500.00"</f>
        <v>42500.00</v>
      </c>
      <c r="W1636" t="str">
        <f t="shared" si="578"/>
        <v>2017</v>
      </c>
      <c r="X1636" t="str">
        <f>"2.00"</f>
        <v>2.00</v>
      </c>
      <c r="Y1636" t="str">
        <f>"694.71"</f>
        <v>694.71</v>
      </c>
      <c r="Z1636" t="str">
        <f>""</f>
        <v/>
      </c>
      <c r="AA1636" t="str">
        <f>"42500.00"</f>
        <v>42500.00</v>
      </c>
      <c r="AB1636" t="str">
        <f>"Residential"</f>
        <v>Residential</v>
      </c>
      <c r="AC1636" t="str">
        <f t="shared" si="588"/>
        <v>0</v>
      </c>
      <c r="AD1636" t="str">
        <f>""</f>
        <v/>
      </c>
      <c r="AE1636" t="str">
        <f>""</f>
        <v/>
      </c>
      <c r="AF1636" t="str">
        <f>"000"</f>
        <v>000</v>
      </c>
      <c r="AG1636" t="str">
        <f>"CA"</f>
        <v>CA</v>
      </c>
      <c r="AH1636" t="str">
        <f>"9250.00"</f>
        <v>9250.00</v>
      </c>
      <c r="AI1636" t="str">
        <f>"42500.00"</f>
        <v>42500.00</v>
      </c>
      <c r="AJ1636" t="str">
        <f>"C55-000-588-0726-4"</f>
        <v>C55-000-588-0726-4</v>
      </c>
      <c r="AK1636" t="str">
        <f>"29127"</f>
        <v>29127</v>
      </c>
      <c r="AL1636">
        <v>6</v>
      </c>
      <c r="AM1636">
        <v>1868</v>
      </c>
      <c r="AN1636">
        <v>727.85</v>
      </c>
      <c r="AQ1636" t="s">
        <v>16273</v>
      </c>
      <c r="AR1636" t="s">
        <v>16273</v>
      </c>
      <c r="AS1636" t="s">
        <v>16273</v>
      </c>
      <c r="AU1636" t="s">
        <v>396</v>
      </c>
      <c r="AV1636">
        <v>2017</v>
      </c>
      <c r="AW1636" t="str">
        <f>"39-2N-28-5020-0007-0000 "</f>
        <v xml:space="preserve">39-2N-28-5020-0007-0000 </v>
      </c>
      <c r="AZ1636" t="s">
        <v>8071</v>
      </c>
      <c r="BD1636" t="s">
        <v>11749</v>
      </c>
      <c r="BE1636" t="s">
        <v>393</v>
      </c>
      <c r="BF1636">
        <v>32034</v>
      </c>
      <c r="BG1636" t="s">
        <v>8071</v>
      </c>
      <c r="BH1636" t="s">
        <v>11751</v>
      </c>
      <c r="BI1636">
        <v>-81.520950676200897</v>
      </c>
      <c r="BJ1636">
        <v>30.619619081029601</v>
      </c>
      <c r="BK1636" t="s">
        <v>16274</v>
      </c>
      <c r="BL1636" t="s">
        <v>16275</v>
      </c>
      <c r="BM1636" t="s">
        <v>16276</v>
      </c>
      <c r="BN1636" t="s">
        <v>16277</v>
      </c>
      <c r="BO1636">
        <v>90016</v>
      </c>
      <c r="BP1636" t="s">
        <v>404</v>
      </c>
      <c r="BQ1636">
        <v>0</v>
      </c>
      <c r="BR1636" t="s">
        <v>491</v>
      </c>
      <c r="BS1636">
        <v>8001</v>
      </c>
      <c r="BT1636" t="s">
        <v>492</v>
      </c>
      <c r="BU1636">
        <v>500</v>
      </c>
      <c r="BV1636">
        <v>1850</v>
      </c>
      <c r="BW1636">
        <v>8220</v>
      </c>
      <c r="BX1636" t="s">
        <v>407</v>
      </c>
      <c r="BY1636" t="s">
        <v>2729</v>
      </c>
      <c r="CD1636">
        <v>2017</v>
      </c>
      <c r="CE1636">
        <v>42500</v>
      </c>
      <c r="CG1636">
        <v>42500</v>
      </c>
      <c r="CH1636">
        <v>2017</v>
      </c>
      <c r="CI1636">
        <v>42500</v>
      </c>
      <c r="CK1636">
        <v>42500</v>
      </c>
      <c r="CL1636">
        <v>2017</v>
      </c>
      <c r="CM1636">
        <v>643.41</v>
      </c>
      <c r="CN1636" s="1">
        <v>31790</v>
      </c>
      <c r="CO1636">
        <v>5000</v>
      </c>
      <c r="CZ1636" s="1">
        <v>31790</v>
      </c>
      <c r="DD1636" t="s">
        <v>11749</v>
      </c>
      <c r="DF1636">
        <v>7</v>
      </c>
      <c r="DG1636">
        <v>39</v>
      </c>
      <c r="DL1636">
        <v>50303</v>
      </c>
      <c r="DM1636" t="s">
        <v>16136</v>
      </c>
      <c r="DO1636" t="s">
        <v>16278</v>
      </c>
      <c r="DP1636">
        <v>0</v>
      </c>
      <c r="DQ1636">
        <v>0</v>
      </c>
      <c r="DR1636" t="s">
        <v>411</v>
      </c>
      <c r="DS1636" t="b">
        <v>1</v>
      </c>
      <c r="DT1636" t="s">
        <v>470</v>
      </c>
      <c r="DU1636" t="s">
        <v>10249</v>
      </c>
      <c r="DV1636" t="s">
        <v>472</v>
      </c>
      <c r="DX1636">
        <v>-9999</v>
      </c>
      <c r="DZ1636" t="s">
        <v>447</v>
      </c>
      <c r="EA1636" t="s">
        <v>448</v>
      </c>
      <c r="EB1636" t="s">
        <v>14895</v>
      </c>
      <c r="EC1636">
        <v>20101217</v>
      </c>
      <c r="ED1636" t="s">
        <v>10251</v>
      </c>
      <c r="EE1636">
        <v>5</v>
      </c>
      <c r="EF1636">
        <v>67</v>
      </c>
      <c r="EG1636">
        <v>0</v>
      </c>
      <c r="EI1636">
        <v>20160407</v>
      </c>
      <c r="EJ1636">
        <v>0</v>
      </c>
      <c r="EK1636">
        <v>0</v>
      </c>
      <c r="EP1636" t="s">
        <v>421</v>
      </c>
      <c r="EQ1636" t="s">
        <v>422</v>
      </c>
      <c r="ER1636">
        <v>0</v>
      </c>
      <c r="ES1636">
        <v>2</v>
      </c>
      <c r="ET1636">
        <v>0</v>
      </c>
      <c r="EU1636">
        <v>0</v>
      </c>
      <c r="EV1636">
        <v>0</v>
      </c>
      <c r="EW1636" s="2">
        <v>43222</v>
      </c>
      <c r="EX1636" s="1">
        <v>42879</v>
      </c>
      <c r="EY1636">
        <v>2016</v>
      </c>
      <c r="EZ1636">
        <v>732.59</v>
      </c>
      <c r="FA1636" t="s">
        <v>16279</v>
      </c>
      <c r="FB1636">
        <v>0.25</v>
      </c>
      <c r="FC1636" t="s">
        <v>424</v>
      </c>
      <c r="FD1636" t="s">
        <v>425</v>
      </c>
      <c r="FE1636" s="1">
        <v>42947</v>
      </c>
      <c r="FF1636">
        <v>2</v>
      </c>
      <c r="FG1636">
        <v>11289</v>
      </c>
      <c r="FH1636" t="s">
        <v>787</v>
      </c>
      <c r="FJ1636" s="1">
        <v>42879</v>
      </c>
      <c r="FK1636">
        <v>2016</v>
      </c>
      <c r="FL1636">
        <v>732.59</v>
      </c>
      <c r="FM1636" t="s">
        <v>16279</v>
      </c>
      <c r="FN1636">
        <v>0.25</v>
      </c>
      <c r="FO1636" t="s">
        <v>424</v>
      </c>
      <c r="FP1636" t="s">
        <v>425</v>
      </c>
      <c r="FR1636">
        <v>22</v>
      </c>
      <c r="FS1636">
        <v>7085020</v>
      </c>
      <c r="FT1636" t="s">
        <v>16280</v>
      </c>
    </row>
    <row r="1637" spans="1:284" x14ac:dyDescent="0.25">
      <c r="A1637">
        <v>16486644</v>
      </c>
      <c r="B1637">
        <v>1636</v>
      </c>
      <c r="C1637" t="s">
        <v>393</v>
      </c>
      <c r="D1637" t="s">
        <v>394</v>
      </c>
      <c r="F1637" t="str">
        <f>"39-2N-28-5020-000C-0000"</f>
        <v>39-2N-28-5020-000C-0000</v>
      </c>
      <c r="H1637" t="str">
        <f>"L S &amp; ELIZABETH MORRISON MANAGEMENT SERVICES"</f>
        <v>L S &amp; ELIZABETH MORRISON MANAGEMENT SERVICES</v>
      </c>
      <c r="I1637" t="str">
        <f>"PO BOX 3298"</f>
        <v>PO BOX 3298</v>
      </c>
      <c r="J1637" t="str">
        <f>"TAMPA FL 33601"</f>
        <v>TAMPA FL 33601</v>
      </c>
      <c r="K1637" t="str">
        <f>"OFF BARNWELL RD"</f>
        <v>OFF BARNWELL RD</v>
      </c>
      <c r="L1637" t="str">
        <f t="shared" si="580"/>
        <v>FERNANDINA BEACH FL 32034</v>
      </c>
      <c r="M1637" t="str">
        <f>"LOT C IN OR 1641/858 LENWORTH S MORRISON S/D DBK 258/27-51"</f>
        <v>LOT C IN OR 1641/858 LENWORTH S MORRISON S/D DBK 258/27-51</v>
      </c>
      <c r="N1637" t="str">
        <f>""</f>
        <v/>
      </c>
      <c r="O1637" t="str">
        <f>"46107"</f>
        <v>46107</v>
      </c>
      <c r="P1637" t="str">
        <f t="shared" si="577"/>
        <v>2017</v>
      </c>
      <c r="Q1637" t="str">
        <f>""</f>
        <v/>
      </c>
      <c r="R1637" t="str">
        <f t="shared" si="589"/>
        <v>N</v>
      </c>
      <c r="S1637" t="str">
        <f>"3.46"</f>
        <v>3.46</v>
      </c>
      <c r="T1637" t="str">
        <f>"3142.81"</f>
        <v>3142.81</v>
      </c>
      <c r="U1637" t="str">
        <f>"207600.00"</f>
        <v>207600.00</v>
      </c>
      <c r="V1637" t="str">
        <f>"207600.00"</f>
        <v>207600.00</v>
      </c>
      <c r="W1637" t="str">
        <f t="shared" si="578"/>
        <v>2017</v>
      </c>
      <c r="X1637" t="str">
        <f>""</f>
        <v/>
      </c>
      <c r="Y1637" t="str">
        <f>"3269.09"</f>
        <v>3269.09</v>
      </c>
      <c r="Z1637" t="str">
        <f>""</f>
        <v/>
      </c>
      <c r="AA1637" t="str">
        <f>"207600.00"</f>
        <v>207600.00</v>
      </c>
      <c r="AB1637" t="str">
        <f>"Residential"</f>
        <v>Residential</v>
      </c>
      <c r="AC1637" t="str">
        <f t="shared" si="588"/>
        <v>0</v>
      </c>
      <c r="AD1637" t="str">
        <f>""</f>
        <v/>
      </c>
      <c r="AE1637" t="str">
        <f>""</f>
        <v/>
      </c>
      <c r="AF1637" t="str">
        <f>"000"</f>
        <v>000</v>
      </c>
      <c r="AG1637" t="str">
        <f>"FL"</f>
        <v>FL</v>
      </c>
      <c r="AH1637" t="str">
        <f>"150717.00"</f>
        <v>150717.00</v>
      </c>
      <c r="AI1637" t="str">
        <f>"207600.00"</f>
        <v>207600.00</v>
      </c>
      <c r="AJ1637" t="str">
        <f>"C55-000-588-0731-4"</f>
        <v>C55-000-588-0731-4</v>
      </c>
      <c r="AK1637" t="str">
        <f>"29119"</f>
        <v>29119</v>
      </c>
      <c r="AL1637">
        <v>6</v>
      </c>
      <c r="AM1637">
        <v>1869</v>
      </c>
      <c r="AN1637">
        <v>3430.94</v>
      </c>
      <c r="AQ1637" t="s">
        <v>16281</v>
      </c>
      <c r="AR1637" t="s">
        <v>16281</v>
      </c>
      <c r="AS1637" t="s">
        <v>16281</v>
      </c>
      <c r="AU1637" t="s">
        <v>396</v>
      </c>
      <c r="AV1637">
        <v>2017</v>
      </c>
      <c r="AW1637" t="str">
        <f>"39-2N-28-5020-000C-0000 "</f>
        <v xml:space="preserve">39-2N-28-5020-000C-0000 </v>
      </c>
      <c r="AZ1637" t="s">
        <v>16282</v>
      </c>
      <c r="BA1637" t="s">
        <v>496</v>
      </c>
      <c r="BD1637" t="s">
        <v>11749</v>
      </c>
      <c r="BE1637" t="s">
        <v>393</v>
      </c>
      <c r="BF1637">
        <v>32034</v>
      </c>
      <c r="BG1637" t="s">
        <v>16283</v>
      </c>
      <c r="BH1637" t="s">
        <v>11751</v>
      </c>
      <c r="BI1637">
        <v>-81.522214151419803</v>
      </c>
      <c r="BJ1637">
        <v>30.621215650623299</v>
      </c>
      <c r="BK1637" t="s">
        <v>16284</v>
      </c>
      <c r="BM1637" t="s">
        <v>16285</v>
      </c>
      <c r="BN1637" t="s">
        <v>1971</v>
      </c>
      <c r="BO1637">
        <v>33601</v>
      </c>
      <c r="BP1637" t="s">
        <v>404</v>
      </c>
      <c r="BQ1637">
        <v>0</v>
      </c>
      <c r="BR1637" t="s">
        <v>491</v>
      </c>
      <c r="BS1637">
        <v>8001</v>
      </c>
      <c r="BT1637" t="s">
        <v>492</v>
      </c>
      <c r="BW1637">
        <v>150717</v>
      </c>
      <c r="BX1637" t="s">
        <v>407</v>
      </c>
      <c r="BY1637" t="s">
        <v>2729</v>
      </c>
      <c r="CD1637">
        <v>2017</v>
      </c>
      <c r="CE1637">
        <v>207600</v>
      </c>
      <c r="CG1637">
        <v>207600</v>
      </c>
      <c r="CH1637">
        <v>2017</v>
      </c>
      <c r="CI1637">
        <v>207600</v>
      </c>
      <c r="CK1637">
        <v>207600</v>
      </c>
      <c r="CL1637">
        <v>2017</v>
      </c>
      <c r="CM1637">
        <v>3142.81</v>
      </c>
      <c r="CN1637" s="1">
        <v>40084</v>
      </c>
      <c r="CZ1637" s="1">
        <v>40084</v>
      </c>
      <c r="DD1637" t="s">
        <v>11749</v>
      </c>
      <c r="DF1637" t="s">
        <v>603</v>
      </c>
      <c r="DG1637">
        <v>39</v>
      </c>
      <c r="DM1637" t="s">
        <v>16136</v>
      </c>
      <c r="DO1637" t="s">
        <v>16286</v>
      </c>
      <c r="DP1637">
        <v>0</v>
      </c>
      <c r="DQ1637">
        <v>0</v>
      </c>
      <c r="DR1637" t="s">
        <v>411</v>
      </c>
    </row>
    <row r="1638" spans="1:284" x14ac:dyDescent="0.25">
      <c r="A1638">
        <v>16486645</v>
      </c>
      <c r="B1638">
        <v>1637</v>
      </c>
      <c r="C1638" t="s">
        <v>393</v>
      </c>
      <c r="D1638" t="s">
        <v>394</v>
      </c>
      <c r="F1638" t="str">
        <f>"39-2N-28-5020-0012-0000"</f>
        <v>39-2N-28-5020-0012-0000</v>
      </c>
      <c r="H1638" t="str">
        <f>"WATKINS THOMAS &amp; GWENDOLYN P"</f>
        <v>WATKINS THOMAS &amp; GWENDOLYN P</v>
      </c>
      <c r="I1638" t="str">
        <f>"2224 S DUNSMUIR AVE"</f>
        <v>2224 S DUNSMUIR AVE</v>
      </c>
      <c r="J1638" t="str">
        <f>"LOS ANGELES CA 90016"</f>
        <v>LOS ANGELES CA 90016</v>
      </c>
      <c r="K1638" t="str">
        <f>"L S MORRISON DR"</f>
        <v>L S MORRISON DR</v>
      </c>
      <c r="L1638" t="str">
        <f t="shared" si="580"/>
        <v>FERNANDINA BEACH FL 32034</v>
      </c>
      <c r="M1638" t="str">
        <f>"LOT 12 (EX R/W IN OR 384/81) LENWORTH S MORRISON S/D DBK 258/27-51"</f>
        <v>LOT 12 (EX R/W IN OR 384/81) LENWORTH S MORRISON S/D DBK 258/27-51</v>
      </c>
      <c r="N1638" t="str">
        <f>""</f>
        <v/>
      </c>
      <c r="O1638" t="str">
        <f>"46112"</f>
        <v>46112</v>
      </c>
      <c r="P1638" t="str">
        <f t="shared" si="577"/>
        <v>2017</v>
      </c>
      <c r="Q1638" t="str">
        <f>""</f>
        <v/>
      </c>
      <c r="R1638" t="str">
        <f t="shared" si="589"/>
        <v>N</v>
      </c>
      <c r="S1638" t="str">
        <f>""</f>
        <v/>
      </c>
      <c r="T1638" t="str">
        <f>"271.44"</f>
        <v>271.44</v>
      </c>
      <c r="U1638" t="str">
        <f>"17930.00"</f>
        <v>17930.00</v>
      </c>
      <c r="V1638" t="str">
        <f>"17930.00"</f>
        <v>17930.00</v>
      </c>
      <c r="W1638" t="str">
        <f t="shared" si="578"/>
        <v>2017</v>
      </c>
      <c r="X1638" t="str">
        <f>"2.00"</f>
        <v>2.00</v>
      </c>
      <c r="Y1638" t="str">
        <f>"311.58"</f>
        <v>311.58</v>
      </c>
      <c r="Z1638" t="str">
        <f>""</f>
        <v/>
      </c>
      <c r="AA1638" t="str">
        <f>"17930.00"</f>
        <v>17930.00</v>
      </c>
      <c r="AB1638" t="str">
        <f>"Residential"</f>
        <v>Residential</v>
      </c>
      <c r="AC1638" t="str">
        <f t="shared" si="588"/>
        <v>0</v>
      </c>
      <c r="AD1638" t="str">
        <f>""</f>
        <v/>
      </c>
      <c r="AE1638" t="str">
        <f>""</f>
        <v/>
      </c>
      <c r="AF1638" t="str">
        <f>"000"</f>
        <v>000</v>
      </c>
      <c r="AG1638" t="str">
        <f>"CA"</f>
        <v>CA</v>
      </c>
      <c r="AH1638" t="str">
        <f>"23370.00"</f>
        <v>23370.00</v>
      </c>
      <c r="AI1638" t="str">
        <f>"17930.00"</f>
        <v>17930.00</v>
      </c>
      <c r="AJ1638" t="str">
        <f>"C55-000-588-0736-3"</f>
        <v>C55-000-588-0736-3</v>
      </c>
      <c r="AK1638" t="str">
        <f>"29132"</f>
        <v>29132</v>
      </c>
      <c r="AL1638">
        <v>6</v>
      </c>
      <c r="AM1638">
        <v>1870</v>
      </c>
      <c r="AN1638">
        <v>325.56</v>
      </c>
      <c r="AQ1638" t="s">
        <v>16287</v>
      </c>
      <c r="AR1638" t="s">
        <v>16287</v>
      </c>
      <c r="AS1638" t="s">
        <v>16287</v>
      </c>
      <c r="AU1638" t="s">
        <v>396</v>
      </c>
      <c r="AV1638">
        <v>2017</v>
      </c>
      <c r="AW1638" t="str">
        <f>"39-2N-28-5020-0012-0000 "</f>
        <v xml:space="preserve">39-2N-28-5020-0012-0000 </v>
      </c>
      <c r="AZ1638" t="s">
        <v>16288</v>
      </c>
      <c r="BA1638" t="s">
        <v>669</v>
      </c>
      <c r="BD1638" t="s">
        <v>11749</v>
      </c>
      <c r="BE1638" t="s">
        <v>393</v>
      </c>
      <c r="BF1638">
        <v>32034</v>
      </c>
      <c r="BG1638" t="s">
        <v>16289</v>
      </c>
      <c r="BH1638" t="s">
        <v>11751</v>
      </c>
      <c r="BI1638">
        <v>-81.520681885456398</v>
      </c>
      <c r="BJ1638">
        <v>30.621135169815702</v>
      </c>
      <c r="BK1638" t="s">
        <v>16274</v>
      </c>
      <c r="BL1638" t="s">
        <v>16275</v>
      </c>
      <c r="BM1638" t="s">
        <v>16276</v>
      </c>
      <c r="BN1638" t="s">
        <v>16277</v>
      </c>
      <c r="BO1638">
        <v>90016</v>
      </c>
      <c r="BP1638" t="s">
        <v>404</v>
      </c>
      <c r="BQ1638">
        <v>0</v>
      </c>
      <c r="BR1638" t="s">
        <v>491</v>
      </c>
      <c r="BS1638">
        <v>8001</v>
      </c>
      <c r="BT1638" t="s">
        <v>492</v>
      </c>
      <c r="BU1638">
        <v>1230</v>
      </c>
      <c r="BV1638">
        <v>1900</v>
      </c>
      <c r="BW1638">
        <v>12783</v>
      </c>
      <c r="BX1638" t="s">
        <v>407</v>
      </c>
      <c r="BY1638" t="s">
        <v>2729</v>
      </c>
      <c r="CD1638">
        <v>2017</v>
      </c>
      <c r="CE1638">
        <v>17930</v>
      </c>
      <c r="CG1638">
        <v>17930</v>
      </c>
      <c r="CH1638">
        <v>2017</v>
      </c>
      <c r="CI1638">
        <v>17930</v>
      </c>
      <c r="CK1638">
        <v>17930</v>
      </c>
      <c r="CL1638">
        <v>2017</v>
      </c>
      <c r="CM1638">
        <v>271.44</v>
      </c>
      <c r="DD1638" t="s">
        <v>11749</v>
      </c>
      <c r="DF1638">
        <v>12</v>
      </c>
      <c r="DG1638">
        <v>39</v>
      </c>
      <c r="DL1638">
        <v>50303</v>
      </c>
      <c r="DM1638" t="s">
        <v>16136</v>
      </c>
      <c r="DO1638" t="s">
        <v>16290</v>
      </c>
      <c r="DP1638">
        <v>0</v>
      </c>
      <c r="DQ1638">
        <v>0</v>
      </c>
      <c r="DR1638" t="s">
        <v>411</v>
      </c>
      <c r="DS1638" t="b">
        <v>1</v>
      </c>
      <c r="DT1638" t="s">
        <v>470</v>
      </c>
      <c r="DU1638" t="s">
        <v>10249</v>
      </c>
      <c r="DV1638" t="s">
        <v>472</v>
      </c>
      <c r="DX1638">
        <v>-9999</v>
      </c>
      <c r="DZ1638" t="s">
        <v>447</v>
      </c>
      <c r="EA1638" t="s">
        <v>448</v>
      </c>
      <c r="EB1638" t="s">
        <v>14895</v>
      </c>
      <c r="EC1638">
        <v>20101217</v>
      </c>
      <c r="ED1638" t="s">
        <v>10251</v>
      </c>
      <c r="EE1638">
        <v>5</v>
      </c>
      <c r="EF1638">
        <v>150.9</v>
      </c>
      <c r="EG1638">
        <v>0</v>
      </c>
      <c r="EI1638">
        <v>20160407</v>
      </c>
      <c r="EJ1638">
        <v>0</v>
      </c>
      <c r="EK1638">
        <v>0</v>
      </c>
      <c r="EP1638" t="s">
        <v>421</v>
      </c>
      <c r="EQ1638" t="s">
        <v>422</v>
      </c>
      <c r="ER1638">
        <v>0</v>
      </c>
      <c r="ES1638">
        <v>1</v>
      </c>
      <c r="ET1638">
        <v>0</v>
      </c>
      <c r="EU1638">
        <v>0</v>
      </c>
      <c r="EV1638">
        <v>0</v>
      </c>
      <c r="EW1638" s="2">
        <v>43222</v>
      </c>
      <c r="EX1638" s="1">
        <v>42879</v>
      </c>
      <c r="EY1638">
        <v>2016</v>
      </c>
      <c r="EZ1638">
        <v>324.66000000000003</v>
      </c>
      <c r="FA1638" t="s">
        <v>16291</v>
      </c>
      <c r="FB1638">
        <v>0.25</v>
      </c>
      <c r="FC1638" t="s">
        <v>424</v>
      </c>
      <c r="FD1638" t="s">
        <v>425</v>
      </c>
      <c r="FE1638" s="1">
        <v>42947</v>
      </c>
      <c r="FF1638">
        <v>2</v>
      </c>
      <c r="FG1638">
        <v>62</v>
      </c>
      <c r="FH1638" t="s">
        <v>463</v>
      </c>
    </row>
    <row r="1639" spans="1:284" x14ac:dyDescent="0.25">
      <c r="A1639">
        <v>16486646</v>
      </c>
      <c r="B1639">
        <v>1638</v>
      </c>
      <c r="C1639" t="s">
        <v>393</v>
      </c>
      <c r="D1639" t="s">
        <v>394</v>
      </c>
      <c r="F1639" t="str">
        <f>"40-2N-28-0000-0020-0000"</f>
        <v>40-2N-28-0000-0020-0000</v>
      </c>
      <c r="H1639" t="str">
        <f>"BROWN JESSE V JR &amp; CHARENE S"</f>
        <v>BROWN JESSE V JR &amp; CHARENE S</v>
      </c>
      <c r="I1639" t="str">
        <f>"87362 HAVEN RD"</f>
        <v>87362 HAVEN RD</v>
      </c>
      <c r="J1639" t="str">
        <f>"YULEE FL 32097"</f>
        <v>YULEE FL 32097</v>
      </c>
      <c r="K1639" t="str">
        <f>"A1A"</f>
        <v>A1A</v>
      </c>
      <c r="L1639" t="str">
        <f t="shared" si="580"/>
        <v>FERNANDINA BEACH FL 32034</v>
      </c>
      <c r="M1639" t="str">
        <f>"IN OR 520 PG 1011"</f>
        <v>IN OR 520 PG 1011</v>
      </c>
      <c r="N1639" t="str">
        <f>""</f>
        <v/>
      </c>
      <c r="O1639" t="str">
        <f>"46275"</f>
        <v>46275</v>
      </c>
      <c r="P1639" t="str">
        <f t="shared" si="577"/>
        <v>2017</v>
      </c>
      <c r="Q1639" t="str">
        <f>""</f>
        <v/>
      </c>
      <c r="R1639" t="str">
        <f t="shared" si="589"/>
        <v>N</v>
      </c>
      <c r="S1639" t="str">
        <f>""</f>
        <v/>
      </c>
      <c r="T1639" t="str">
        <f>"2252.48"</f>
        <v>2252.48</v>
      </c>
      <c r="U1639" t="str">
        <f>"148788.00"</f>
        <v>148788.00</v>
      </c>
      <c r="V1639" t="str">
        <f>"148788.00"</f>
        <v>148788.00</v>
      </c>
      <c r="W1639" t="str">
        <f t="shared" si="578"/>
        <v>2017</v>
      </c>
      <c r="X1639" t="str">
        <f>"21.00"</f>
        <v>21.00</v>
      </c>
      <c r="Y1639" t="str">
        <f>"2352.05"</f>
        <v>2352.05</v>
      </c>
      <c r="Z1639" t="str">
        <f>""</f>
        <v/>
      </c>
      <c r="AA1639" t="str">
        <f>"148788.00"</f>
        <v>148788.00</v>
      </c>
      <c r="AB1639" t="str">
        <f>"Commercial"</f>
        <v>Commercial</v>
      </c>
      <c r="AC1639" t="str">
        <f t="shared" si="588"/>
        <v>0</v>
      </c>
      <c r="AD1639" t="str">
        <f>""</f>
        <v/>
      </c>
      <c r="AE1639" t="str">
        <f>""</f>
        <v/>
      </c>
      <c r="AF1639" t="str">
        <f>"010"</f>
        <v>010</v>
      </c>
      <c r="AG1639" t="str">
        <f t="shared" ref="AG1639:AG1661" si="590">"FL"</f>
        <v>FL</v>
      </c>
      <c r="AH1639" t="str">
        <f>"37122.00"</f>
        <v>37122.00</v>
      </c>
      <c r="AI1639" t="str">
        <f>"148488.00"</f>
        <v>148488.00</v>
      </c>
      <c r="AJ1639" t="str">
        <f>"C55-000-588-0876-7"</f>
        <v>C55-000-588-0876-7</v>
      </c>
      <c r="AK1639" t="str">
        <f>"29177"</f>
        <v>29177</v>
      </c>
      <c r="AL1639">
        <v>6</v>
      </c>
      <c r="AM1639">
        <v>1871</v>
      </c>
      <c r="AN1639">
        <v>2468.0500000000002</v>
      </c>
      <c r="AQ1639" t="s">
        <v>16292</v>
      </c>
      <c r="AR1639" t="s">
        <v>16292</v>
      </c>
      <c r="AS1639" t="s">
        <v>16292</v>
      </c>
      <c r="AU1639" t="s">
        <v>396</v>
      </c>
      <c r="AV1639">
        <v>2017</v>
      </c>
      <c r="AW1639" t="str">
        <f>"40-2N-28-0000-0020-0000 "</f>
        <v xml:space="preserve">40-2N-28-0000-0020-0000 </v>
      </c>
      <c r="AX1639" t="s">
        <v>14876</v>
      </c>
      <c r="BD1639" t="s">
        <v>11749</v>
      </c>
      <c r="BE1639" t="s">
        <v>393</v>
      </c>
      <c r="BF1639">
        <v>32034</v>
      </c>
      <c r="BG1639" t="s">
        <v>14876</v>
      </c>
      <c r="BH1639" t="s">
        <v>11751</v>
      </c>
      <c r="BI1639">
        <v>-81.512121119085194</v>
      </c>
      <c r="BJ1639">
        <v>30.617447491930399</v>
      </c>
      <c r="BK1639" t="s">
        <v>16148</v>
      </c>
      <c r="BL1639" t="s">
        <v>16149</v>
      </c>
      <c r="BM1639" t="s">
        <v>16150</v>
      </c>
      <c r="BN1639" t="s">
        <v>1778</v>
      </c>
      <c r="BO1639">
        <v>32097</v>
      </c>
      <c r="BP1639" t="s">
        <v>404</v>
      </c>
      <c r="BQ1639">
        <v>1001</v>
      </c>
      <c r="BR1639" t="s">
        <v>2391</v>
      </c>
      <c r="BS1639">
        <v>8002</v>
      </c>
      <c r="BT1639" t="s">
        <v>2392</v>
      </c>
      <c r="BW1639">
        <v>37122</v>
      </c>
      <c r="BX1639" t="s">
        <v>407</v>
      </c>
      <c r="BY1639" t="s">
        <v>2221</v>
      </c>
      <c r="CD1639">
        <v>2017</v>
      </c>
      <c r="CE1639">
        <v>148488</v>
      </c>
      <c r="CF1639">
        <v>300</v>
      </c>
      <c r="CG1639">
        <v>148788</v>
      </c>
      <c r="CH1639">
        <v>2017</v>
      </c>
      <c r="CI1639">
        <v>148488</v>
      </c>
      <c r="CJ1639">
        <v>300</v>
      </c>
      <c r="CK1639">
        <v>148788</v>
      </c>
      <c r="CL1639">
        <v>2017</v>
      </c>
      <c r="CM1639">
        <v>2252.48</v>
      </c>
      <c r="CN1639" s="1">
        <v>31951</v>
      </c>
      <c r="CO1639">
        <v>31500</v>
      </c>
      <c r="CZ1639" s="1">
        <v>31951</v>
      </c>
      <c r="DD1639" t="s">
        <v>11749</v>
      </c>
      <c r="DG1639">
        <v>40</v>
      </c>
      <c r="DL1639">
        <v>50303</v>
      </c>
      <c r="DM1639" t="s">
        <v>16293</v>
      </c>
      <c r="DO1639" t="s">
        <v>16294</v>
      </c>
      <c r="DP1639">
        <v>0</v>
      </c>
      <c r="DQ1639">
        <v>3</v>
      </c>
      <c r="DR1639" t="s">
        <v>411</v>
      </c>
      <c r="DS1639" t="b">
        <v>1</v>
      </c>
      <c r="DT1639" t="s">
        <v>470</v>
      </c>
      <c r="DU1639" t="s">
        <v>10249</v>
      </c>
      <c r="DV1639" t="s">
        <v>472</v>
      </c>
      <c r="DX1639">
        <v>-9999</v>
      </c>
      <c r="DZ1639" t="s">
        <v>447</v>
      </c>
      <c r="EA1639" t="s">
        <v>448</v>
      </c>
      <c r="EB1639" t="s">
        <v>14895</v>
      </c>
      <c r="EC1639">
        <v>20101217</v>
      </c>
      <c r="ED1639" t="s">
        <v>10251</v>
      </c>
      <c r="EE1639">
        <v>5</v>
      </c>
      <c r="EF1639">
        <v>227</v>
      </c>
      <c r="EG1639">
        <v>0</v>
      </c>
      <c r="EI1639">
        <v>20160407</v>
      </c>
      <c r="EJ1639">
        <v>0</v>
      </c>
      <c r="EK1639">
        <v>0</v>
      </c>
      <c r="EP1639" t="s">
        <v>421</v>
      </c>
      <c r="EQ1639" t="s">
        <v>422</v>
      </c>
      <c r="ER1639">
        <v>2</v>
      </c>
      <c r="ES1639">
        <v>7</v>
      </c>
      <c r="ET1639">
        <v>4994.8599999999997</v>
      </c>
      <c r="EU1639">
        <v>262.24</v>
      </c>
      <c r="EV1639">
        <v>5257.1</v>
      </c>
      <c r="EW1639" s="2">
        <v>43222</v>
      </c>
      <c r="EX1639" s="1">
        <v>42879</v>
      </c>
      <c r="EY1639">
        <v>2016</v>
      </c>
      <c r="EZ1639">
        <v>2497.4299999999998</v>
      </c>
      <c r="FA1639" t="s">
        <v>16295</v>
      </c>
      <c r="FB1639">
        <v>0.25</v>
      </c>
      <c r="FC1639" t="s">
        <v>424</v>
      </c>
      <c r="FD1639" t="s">
        <v>454</v>
      </c>
      <c r="FF1639">
        <v>12</v>
      </c>
      <c r="FG1639">
        <v>7336671</v>
      </c>
      <c r="FH1639" t="s">
        <v>437</v>
      </c>
      <c r="FJ1639" s="1">
        <v>42879</v>
      </c>
      <c r="FK1639">
        <v>2016</v>
      </c>
      <c r="FL1639">
        <v>2497.4299999999998</v>
      </c>
      <c r="FM1639" t="s">
        <v>16295</v>
      </c>
      <c r="FN1639">
        <v>0.25</v>
      </c>
      <c r="FO1639" t="s">
        <v>424</v>
      </c>
      <c r="FP1639" t="s">
        <v>454</v>
      </c>
      <c r="FR1639">
        <v>12</v>
      </c>
      <c r="FS1639">
        <v>6991465</v>
      </c>
      <c r="FT1639" t="s">
        <v>16296</v>
      </c>
      <c r="FV1639" s="1">
        <v>42515</v>
      </c>
      <c r="FW1639">
        <v>2015</v>
      </c>
      <c r="FX1639">
        <v>2552.6799999999998</v>
      </c>
      <c r="FY1639" t="s">
        <v>16297</v>
      </c>
      <c r="FZ1639">
        <v>0.25</v>
      </c>
      <c r="GA1639" t="s">
        <v>424</v>
      </c>
      <c r="GB1639" t="s">
        <v>425</v>
      </c>
      <c r="GC1639" s="1">
        <v>43130</v>
      </c>
      <c r="GD1639">
        <v>20</v>
      </c>
      <c r="GE1639">
        <v>7045074</v>
      </c>
      <c r="GF1639" t="s">
        <v>580</v>
      </c>
      <c r="GH1639" s="1">
        <v>42515</v>
      </c>
      <c r="GI1639">
        <v>2015</v>
      </c>
      <c r="GJ1639">
        <v>2552.6799999999998</v>
      </c>
      <c r="GK1639" t="s">
        <v>16297</v>
      </c>
      <c r="GL1639">
        <v>0.25</v>
      </c>
      <c r="GM1639" t="s">
        <v>424</v>
      </c>
      <c r="GN1639" t="s">
        <v>425</v>
      </c>
      <c r="GP1639">
        <v>22</v>
      </c>
      <c r="GQ1639">
        <v>6480981</v>
      </c>
      <c r="GR1639" t="s">
        <v>16298</v>
      </c>
      <c r="GT1639" s="1">
        <v>42151</v>
      </c>
      <c r="GU1639">
        <v>2014</v>
      </c>
      <c r="GV1639">
        <v>2566.54</v>
      </c>
      <c r="GW1639" t="s">
        <v>16299</v>
      </c>
      <c r="GX1639">
        <v>14</v>
      </c>
      <c r="GY1639" t="s">
        <v>424</v>
      </c>
      <c r="GZ1639" t="s">
        <v>425</v>
      </c>
      <c r="HA1639" s="1">
        <v>42783</v>
      </c>
      <c r="HB1639">
        <v>21</v>
      </c>
      <c r="HC1639">
        <v>10125</v>
      </c>
      <c r="HD1639" t="s">
        <v>440</v>
      </c>
      <c r="HF1639" s="1">
        <v>41787</v>
      </c>
      <c r="HG1639">
        <v>2013</v>
      </c>
      <c r="HH1639">
        <v>2393.34</v>
      </c>
      <c r="HI1639" t="s">
        <v>16300</v>
      </c>
      <c r="HJ1639">
        <v>0.25</v>
      </c>
      <c r="HK1639" t="s">
        <v>424</v>
      </c>
      <c r="HL1639" t="s">
        <v>425</v>
      </c>
      <c r="HM1639" s="1">
        <v>42417</v>
      </c>
      <c r="HN1639">
        <v>21</v>
      </c>
      <c r="HO1639">
        <v>2903114</v>
      </c>
      <c r="HP1639" t="s">
        <v>1923</v>
      </c>
      <c r="HR1639" s="1">
        <v>41423</v>
      </c>
      <c r="HS1639">
        <v>2012</v>
      </c>
      <c r="HT1639">
        <v>2384.92</v>
      </c>
      <c r="HU1639" t="s">
        <v>16301</v>
      </c>
      <c r="HV1639">
        <v>0.25</v>
      </c>
      <c r="HW1639" t="s">
        <v>424</v>
      </c>
      <c r="HX1639" t="s">
        <v>425</v>
      </c>
      <c r="HY1639" s="1">
        <v>42047</v>
      </c>
      <c r="HZ1639">
        <v>21</v>
      </c>
      <c r="IA1639">
        <v>1625515</v>
      </c>
      <c r="IB1639" t="s">
        <v>487</v>
      </c>
      <c r="ID1639" s="1">
        <v>41052</v>
      </c>
      <c r="IE1639">
        <v>2011</v>
      </c>
      <c r="IF1639">
        <v>2163.83</v>
      </c>
      <c r="IG1639" t="s">
        <v>16302</v>
      </c>
      <c r="IH1639">
        <v>6</v>
      </c>
      <c r="II1639" t="s">
        <v>424</v>
      </c>
      <c r="IJ1639" t="s">
        <v>425</v>
      </c>
      <c r="IK1639" s="1">
        <v>41697</v>
      </c>
      <c r="IL1639">
        <v>21</v>
      </c>
      <c r="IM1639">
        <v>105</v>
      </c>
      <c r="IN1639" t="s">
        <v>946</v>
      </c>
      <c r="IP1639" s="1">
        <v>40688</v>
      </c>
      <c r="IQ1639">
        <v>2010</v>
      </c>
      <c r="IR1639">
        <v>2173.41</v>
      </c>
      <c r="IS1639" t="s">
        <v>16303</v>
      </c>
      <c r="IT1639">
        <v>6</v>
      </c>
      <c r="IU1639" t="s">
        <v>424</v>
      </c>
      <c r="IV1639" t="s">
        <v>425</v>
      </c>
      <c r="IW1639" s="1">
        <v>41332</v>
      </c>
      <c r="IX1639">
        <v>21</v>
      </c>
      <c r="IY1639">
        <v>375</v>
      </c>
      <c r="IZ1639" t="s">
        <v>776</v>
      </c>
    </row>
    <row r="1640" spans="1:284" x14ac:dyDescent="0.25">
      <c r="A1640">
        <v>16486647</v>
      </c>
      <c r="B1640">
        <v>1639</v>
      </c>
      <c r="C1640" t="s">
        <v>393</v>
      </c>
      <c r="D1640" t="s">
        <v>394</v>
      </c>
      <c r="F1640" t="str">
        <f>"40-2N-28-0000-0049-0140"</f>
        <v>40-2N-28-0000-0049-0140</v>
      </c>
      <c r="H1640" t="str">
        <f>"MCCORMISK FRANCIS WAYNE"</f>
        <v>MCCORMISK FRANCIS WAYNE</v>
      </c>
      <c r="I1640" t="str">
        <f>"85017 WAYNES PLACE"</f>
        <v>85017 WAYNES PLACE</v>
      </c>
      <c r="J1640" t="str">
        <f>"YULEE FL 32097"</f>
        <v>YULEE FL 32097</v>
      </c>
      <c r="K1640" t="str">
        <f>"96179 HARDY ALLEN RD"</f>
        <v>96179 HARDY ALLEN RD</v>
      </c>
      <c r="L1640" t="str">
        <f t="shared" si="580"/>
        <v>FERNANDINA BEACH FL 32034</v>
      </c>
      <c r="M1640" t="str">
        <f>"IN OR 1318/628 R568060 &amp; R568061"</f>
        <v>IN OR 1318/628 R568060 &amp; R568061</v>
      </c>
      <c r="N1640" t="str">
        <f>""</f>
        <v/>
      </c>
      <c r="O1640" t="str">
        <f>"46325"</f>
        <v>46325</v>
      </c>
      <c r="P1640" t="str">
        <f t="shared" si="577"/>
        <v>2017</v>
      </c>
      <c r="Q1640" t="str">
        <f>""</f>
        <v/>
      </c>
      <c r="R1640" t="str">
        <f t="shared" si="589"/>
        <v>N</v>
      </c>
      <c r="S1640" t="str">
        <f>"1.00"</f>
        <v>1.00</v>
      </c>
      <c r="T1640" t="str">
        <f>"697.44"</f>
        <v>697.44</v>
      </c>
      <c r="U1640" t="str">
        <f>"44567.00"</f>
        <v>44567.00</v>
      </c>
      <c r="V1640" t="str">
        <f>"44567.00"</f>
        <v>44567.00</v>
      </c>
      <c r="W1640" t="str">
        <f t="shared" si="578"/>
        <v>2017</v>
      </c>
      <c r="X1640" t="str">
        <f>"20.11"</f>
        <v>20.11</v>
      </c>
      <c r="Y1640" t="str">
        <f>"750.36"</f>
        <v>750.36</v>
      </c>
      <c r="Z1640" t="str">
        <f>""</f>
        <v/>
      </c>
      <c r="AA1640" t="str">
        <f>"48014.00"</f>
        <v>48014.00</v>
      </c>
      <c r="AB1640" t="str">
        <f>"Residential"</f>
        <v>Residential</v>
      </c>
      <c r="AC1640" t="str">
        <f t="shared" si="588"/>
        <v>0</v>
      </c>
      <c r="AD1640" t="str">
        <f>"4"</f>
        <v>4</v>
      </c>
      <c r="AE1640" t="str">
        <f>"WOOD (INCLUDE STEEL STUDS)"</f>
        <v>WOOD (INCLUDE STEEL STUDS)</v>
      </c>
      <c r="AF1640" t="str">
        <f>"002"</f>
        <v>002</v>
      </c>
      <c r="AG1640" t="str">
        <f t="shared" si="590"/>
        <v>FL</v>
      </c>
      <c r="AH1640" t="str">
        <f>"43560.00"</f>
        <v>43560.00</v>
      </c>
      <c r="AI1640" t="str">
        <f>"25000.00"</f>
        <v>25000.00</v>
      </c>
      <c r="AJ1640" t="str">
        <f>"C55-000-589-2907-6"</f>
        <v>C55-000-589-2907-6</v>
      </c>
      <c r="AK1640" t="str">
        <f>"29222"</f>
        <v>29222</v>
      </c>
      <c r="AL1640">
        <v>6</v>
      </c>
      <c r="AM1640">
        <v>1873</v>
      </c>
      <c r="AN1640">
        <v>786.28</v>
      </c>
      <c r="AQ1640" t="s">
        <v>16304</v>
      </c>
      <c r="AR1640" t="s">
        <v>16304</v>
      </c>
      <c r="AS1640" t="s">
        <v>16304</v>
      </c>
      <c r="AU1640" t="s">
        <v>396</v>
      </c>
      <c r="AV1640">
        <v>2017</v>
      </c>
      <c r="AW1640" t="str">
        <f>"40-2N-28-0000-0049-0140 "</f>
        <v xml:space="preserve">40-2N-28-0000-0049-0140 </v>
      </c>
      <c r="AX1640">
        <v>96179</v>
      </c>
      <c r="AZ1640" t="s">
        <v>16305</v>
      </c>
      <c r="BA1640" t="s">
        <v>496</v>
      </c>
      <c r="BD1640" t="s">
        <v>11749</v>
      </c>
      <c r="BE1640" t="s">
        <v>393</v>
      </c>
      <c r="BF1640">
        <v>32034</v>
      </c>
      <c r="BG1640" t="s">
        <v>16306</v>
      </c>
      <c r="BH1640" t="s">
        <v>11751</v>
      </c>
      <c r="BI1640">
        <v>-81.514468884820502</v>
      </c>
      <c r="BJ1640">
        <v>30.6125772659151</v>
      </c>
      <c r="BK1640" t="s">
        <v>16307</v>
      </c>
      <c r="BM1640" t="s">
        <v>16308</v>
      </c>
      <c r="BN1640" t="s">
        <v>1778</v>
      </c>
      <c r="BO1640">
        <v>32097</v>
      </c>
      <c r="BP1640" t="s">
        <v>404</v>
      </c>
      <c r="BQ1640">
        <v>200</v>
      </c>
      <c r="BR1640" t="s">
        <v>405</v>
      </c>
      <c r="BS1640">
        <v>1006</v>
      </c>
      <c r="BT1640" t="s">
        <v>406</v>
      </c>
      <c r="BW1640">
        <v>43560</v>
      </c>
      <c r="BX1640" t="s">
        <v>407</v>
      </c>
      <c r="BY1640" t="s">
        <v>12744</v>
      </c>
      <c r="BZ1640">
        <v>4</v>
      </c>
      <c r="CA1640">
        <v>1986</v>
      </c>
      <c r="CB1640">
        <v>1</v>
      </c>
      <c r="CC1640">
        <v>1</v>
      </c>
      <c r="CD1640">
        <v>2017</v>
      </c>
      <c r="CE1640">
        <v>25000</v>
      </c>
      <c r="CF1640">
        <v>23014</v>
      </c>
      <c r="CG1640">
        <v>48014</v>
      </c>
      <c r="CH1640">
        <v>2017</v>
      </c>
      <c r="CI1640">
        <v>25000</v>
      </c>
      <c r="CJ1640">
        <v>23014</v>
      </c>
      <c r="CK1640">
        <v>48014</v>
      </c>
      <c r="CL1640">
        <v>2017</v>
      </c>
      <c r="CM1640">
        <v>697.44</v>
      </c>
      <c r="CN1640" s="1">
        <v>38491</v>
      </c>
      <c r="CO1640">
        <v>80000</v>
      </c>
      <c r="CZ1640" s="1">
        <v>38491</v>
      </c>
      <c r="DD1640" t="s">
        <v>11749</v>
      </c>
      <c r="DG1640">
        <v>40</v>
      </c>
      <c r="DL1640">
        <v>50303</v>
      </c>
      <c r="DM1640" t="s">
        <v>16293</v>
      </c>
      <c r="DO1640" t="s">
        <v>16309</v>
      </c>
      <c r="DP1640">
        <v>0</v>
      </c>
      <c r="DQ1640">
        <v>0</v>
      </c>
      <c r="DR1640" t="s">
        <v>411</v>
      </c>
      <c r="DS1640" t="b">
        <v>1</v>
      </c>
      <c r="DT1640" t="s">
        <v>470</v>
      </c>
      <c r="DU1640" t="s">
        <v>10249</v>
      </c>
      <c r="DV1640" t="s">
        <v>472</v>
      </c>
      <c r="DX1640">
        <v>-9999</v>
      </c>
      <c r="DZ1640" t="s">
        <v>447</v>
      </c>
      <c r="EA1640" t="s">
        <v>448</v>
      </c>
      <c r="EB1640" t="s">
        <v>14895</v>
      </c>
      <c r="EC1640">
        <v>20101217</v>
      </c>
      <c r="ED1640" t="s">
        <v>10251</v>
      </c>
      <c r="EE1640">
        <v>5</v>
      </c>
      <c r="EF1640">
        <v>1086.0999999999999</v>
      </c>
      <c r="EG1640">
        <v>0</v>
      </c>
      <c r="EI1640">
        <v>20160407</v>
      </c>
      <c r="EJ1640">
        <v>0</v>
      </c>
      <c r="EK1640">
        <v>0</v>
      </c>
      <c r="EP1640" t="s">
        <v>421</v>
      </c>
      <c r="EQ1640" t="s">
        <v>422</v>
      </c>
      <c r="ER1640">
        <v>2</v>
      </c>
      <c r="ES1640">
        <v>9</v>
      </c>
      <c r="ET1640">
        <v>1399.28</v>
      </c>
      <c r="EU1640">
        <v>82.46</v>
      </c>
      <c r="EV1640">
        <v>1481.74</v>
      </c>
      <c r="EW1640" s="2">
        <v>43222</v>
      </c>
      <c r="EX1640" s="1">
        <v>42879</v>
      </c>
      <c r="EY1640">
        <v>2016</v>
      </c>
      <c r="EZ1640">
        <v>699.64</v>
      </c>
      <c r="FA1640" t="s">
        <v>16310</v>
      </c>
      <c r="FB1640">
        <v>0.25</v>
      </c>
      <c r="FC1640" t="s">
        <v>424</v>
      </c>
      <c r="FD1640" t="s">
        <v>454</v>
      </c>
      <c r="FF1640">
        <v>12</v>
      </c>
      <c r="FG1640">
        <v>7400234</v>
      </c>
      <c r="FH1640" t="s">
        <v>426</v>
      </c>
      <c r="FJ1640" s="1">
        <v>42879</v>
      </c>
      <c r="FK1640">
        <v>2016</v>
      </c>
      <c r="FL1640">
        <v>699.64</v>
      </c>
      <c r="FM1640" t="s">
        <v>16310</v>
      </c>
      <c r="FN1640">
        <v>0.25</v>
      </c>
      <c r="FO1640" t="s">
        <v>424</v>
      </c>
      <c r="FP1640" t="s">
        <v>454</v>
      </c>
      <c r="FR1640">
        <v>12</v>
      </c>
      <c r="FS1640">
        <v>7453381</v>
      </c>
      <c r="FT1640" t="s">
        <v>16311</v>
      </c>
      <c r="FV1640" s="1">
        <v>42515</v>
      </c>
      <c r="FW1640">
        <v>2015</v>
      </c>
      <c r="FX1640">
        <v>787.98</v>
      </c>
      <c r="FY1640" t="s">
        <v>16312</v>
      </c>
      <c r="FZ1640">
        <v>0.25</v>
      </c>
      <c r="GA1640" t="s">
        <v>424</v>
      </c>
      <c r="GB1640" t="s">
        <v>425</v>
      </c>
      <c r="GC1640" s="1">
        <v>43158</v>
      </c>
      <c r="GD1640">
        <v>21</v>
      </c>
      <c r="GE1640">
        <v>2851116</v>
      </c>
      <c r="GF1640" t="s">
        <v>480</v>
      </c>
      <c r="GH1640" s="1">
        <v>42515</v>
      </c>
      <c r="GI1640">
        <v>2015</v>
      </c>
      <c r="GJ1640">
        <v>787.98</v>
      </c>
      <c r="GK1640" t="s">
        <v>16312</v>
      </c>
      <c r="GL1640">
        <v>0.25</v>
      </c>
      <c r="GM1640" t="s">
        <v>424</v>
      </c>
      <c r="GN1640" t="s">
        <v>425</v>
      </c>
      <c r="GP1640">
        <v>22</v>
      </c>
      <c r="GQ1640">
        <v>5047371</v>
      </c>
      <c r="GR1640" t="s">
        <v>16313</v>
      </c>
      <c r="GT1640" s="1">
        <v>42151</v>
      </c>
      <c r="GU1640">
        <v>2014</v>
      </c>
      <c r="GV1640">
        <v>688.69</v>
      </c>
      <c r="GW1640" t="s">
        <v>16314</v>
      </c>
      <c r="GX1640">
        <v>0.25</v>
      </c>
      <c r="GY1640" t="s">
        <v>424</v>
      </c>
      <c r="GZ1640" t="s">
        <v>425</v>
      </c>
      <c r="HA1640" s="1">
        <v>42871</v>
      </c>
      <c r="HB1640">
        <v>24</v>
      </c>
      <c r="HC1640">
        <v>2851116</v>
      </c>
      <c r="HD1640" t="s">
        <v>480</v>
      </c>
      <c r="HF1640" s="1">
        <v>42151</v>
      </c>
      <c r="HG1640">
        <v>2014</v>
      </c>
      <c r="HH1640">
        <v>688.69</v>
      </c>
      <c r="HI1640" t="s">
        <v>16314</v>
      </c>
      <c r="HJ1640">
        <v>0.25</v>
      </c>
      <c r="HK1640" t="s">
        <v>424</v>
      </c>
      <c r="HL1640" t="s">
        <v>425</v>
      </c>
      <c r="HN1640">
        <v>22</v>
      </c>
      <c r="HO1640">
        <v>4900085</v>
      </c>
      <c r="HP1640" t="s">
        <v>16315</v>
      </c>
      <c r="HR1640" s="1">
        <v>41787</v>
      </c>
      <c r="HS1640">
        <v>2013</v>
      </c>
      <c r="HT1640">
        <v>833.74</v>
      </c>
      <c r="HU1640" t="s">
        <v>16316</v>
      </c>
      <c r="HV1640">
        <v>0.25</v>
      </c>
      <c r="HW1640" t="s">
        <v>424</v>
      </c>
      <c r="HX1640" t="s">
        <v>425</v>
      </c>
      <c r="HY1640" s="1">
        <v>42426</v>
      </c>
      <c r="HZ1640">
        <v>21</v>
      </c>
      <c r="IA1640">
        <v>2407503</v>
      </c>
      <c r="IB1640" t="s">
        <v>461</v>
      </c>
      <c r="ID1640" s="1">
        <v>41423</v>
      </c>
      <c r="IE1640">
        <v>2012</v>
      </c>
      <c r="IF1640">
        <v>880.64</v>
      </c>
      <c r="IG1640" t="s">
        <v>16317</v>
      </c>
      <c r="IH1640">
        <v>0.25</v>
      </c>
      <c r="II1640" t="s">
        <v>424</v>
      </c>
      <c r="IJ1640" t="s">
        <v>425</v>
      </c>
      <c r="IK1640" s="1">
        <v>42062</v>
      </c>
      <c r="IL1640">
        <v>21</v>
      </c>
      <c r="IM1640">
        <v>1625515</v>
      </c>
      <c r="IN1640" t="s">
        <v>487</v>
      </c>
      <c r="IP1640" s="1">
        <v>41052</v>
      </c>
      <c r="IQ1640">
        <v>2011</v>
      </c>
      <c r="IR1640">
        <v>1017.78</v>
      </c>
      <c r="IS1640" t="s">
        <v>16318</v>
      </c>
      <c r="IT1640">
        <v>5.75</v>
      </c>
      <c r="IU1640" t="s">
        <v>424</v>
      </c>
      <c r="IV1640" t="s">
        <v>425</v>
      </c>
      <c r="IW1640" s="1">
        <v>41698</v>
      </c>
      <c r="IX1640">
        <v>21</v>
      </c>
      <c r="IY1640">
        <v>1625515</v>
      </c>
      <c r="IZ1640" t="s">
        <v>487</v>
      </c>
      <c r="JB1640" s="1">
        <v>41052</v>
      </c>
      <c r="JC1640">
        <v>2011</v>
      </c>
      <c r="JD1640">
        <v>1017.78</v>
      </c>
      <c r="JE1640" t="s">
        <v>16318</v>
      </c>
      <c r="JF1640">
        <v>5.75</v>
      </c>
      <c r="JG1640" t="s">
        <v>424</v>
      </c>
      <c r="JH1640" t="s">
        <v>425</v>
      </c>
      <c r="JJ1640">
        <v>22</v>
      </c>
      <c r="JK1640">
        <v>10579</v>
      </c>
      <c r="JL1640" t="s">
        <v>488</v>
      </c>
      <c r="JN1640" s="1">
        <v>40688</v>
      </c>
      <c r="JO1640">
        <v>2010</v>
      </c>
      <c r="JP1640">
        <v>1157.6600000000001</v>
      </c>
      <c r="JQ1640" t="s">
        <v>16319</v>
      </c>
      <c r="JR1640">
        <v>6</v>
      </c>
      <c r="JS1640" t="s">
        <v>424</v>
      </c>
      <c r="JT1640" t="s">
        <v>425</v>
      </c>
      <c r="JU1640" s="1">
        <v>41333</v>
      </c>
      <c r="JV1640">
        <v>21</v>
      </c>
      <c r="JW1640">
        <v>10579</v>
      </c>
      <c r="JX1640" t="s">
        <v>488</v>
      </c>
    </row>
    <row r="1641" spans="1:284" x14ac:dyDescent="0.25">
      <c r="A1641">
        <v>16486648</v>
      </c>
      <c r="B1641">
        <v>1640</v>
      </c>
      <c r="C1641" t="s">
        <v>393</v>
      </c>
      <c r="D1641" t="s">
        <v>394</v>
      </c>
      <c r="F1641" t="str">
        <f>"40-2N-28-1590-0102-0000"</f>
        <v>40-2N-28-1590-0102-0000</v>
      </c>
      <c r="H1641" t="str">
        <f>"NORMANDIN MELINDA K"</f>
        <v>NORMANDIN MELINDA K</v>
      </c>
      <c r="I1641" t="str">
        <f>"95096 PALMETTO TRL"</f>
        <v>95096 PALMETTO TRL</v>
      </c>
      <c r="J1641" t="str">
        <f t="shared" ref="J1641:J1661" si="591">"FERNANDINA BEACH FL 32034"</f>
        <v>FERNANDINA BEACH FL 32034</v>
      </c>
      <c r="K1641" t="str">
        <f>"95096 PALMETTO TRL"</f>
        <v>95096 PALMETTO TRL</v>
      </c>
      <c r="L1641" t="str">
        <f t="shared" si="580"/>
        <v>FERNANDINA BEACH FL 32034</v>
      </c>
      <c r="M1641" t="str">
        <f>"LOT 102 IN OR 1514/1308 OTTER RUN PB 5/156"</f>
        <v>LOT 102 IN OR 1514/1308 OTTER RUN PB 5/156</v>
      </c>
      <c r="N1641" t="str">
        <f>""</f>
        <v/>
      </c>
      <c r="O1641" t="str">
        <f>"46478"</f>
        <v>46478</v>
      </c>
      <c r="P1641" t="str">
        <f t="shared" si="577"/>
        <v>2017</v>
      </c>
      <c r="Q1641" t="str">
        <f>""</f>
        <v/>
      </c>
      <c r="R1641" t="str">
        <f>"Y"</f>
        <v>Y</v>
      </c>
      <c r="S1641" t="str">
        <f>""</f>
        <v/>
      </c>
      <c r="T1641" t="str">
        <f>"1505.81"</f>
        <v>1505.81</v>
      </c>
      <c r="U1641" t="str">
        <f>"138571.00"</f>
        <v>138571.00</v>
      </c>
      <c r="V1641" t="str">
        <f>"138571.00"</f>
        <v>138571.00</v>
      </c>
      <c r="W1641" t="str">
        <f t="shared" si="578"/>
        <v>2017</v>
      </c>
      <c r="X1641" t="str">
        <f>"14.83"</f>
        <v>14.83</v>
      </c>
      <c r="Y1641" t="str">
        <f>"1582.98"</f>
        <v>1582.98</v>
      </c>
      <c r="Z1641" t="str">
        <f>"25000.00"</f>
        <v>25000.00</v>
      </c>
      <c r="AA1641" t="str">
        <f>"113571.00"</f>
        <v>113571.00</v>
      </c>
      <c r="AB1641" t="str">
        <f>"Residential"</f>
        <v>Residential</v>
      </c>
      <c r="AC1641" t="str">
        <f t="shared" si="588"/>
        <v>0</v>
      </c>
      <c r="AD1641" t="str">
        <f>"4"</f>
        <v>4</v>
      </c>
      <c r="AE1641" t="str">
        <f>"WOOD (INCLUDE STEEL STUDS)"</f>
        <v>WOOD (INCLUDE STEEL STUDS)</v>
      </c>
      <c r="AF1641" t="str">
        <f>"001"</f>
        <v>001</v>
      </c>
      <c r="AG1641" t="str">
        <f t="shared" si="590"/>
        <v>FL</v>
      </c>
      <c r="AH1641" t="str">
        <f>"-"</f>
        <v>-</v>
      </c>
      <c r="AI1641" t="str">
        <f>"60000.00"</f>
        <v>60000.00</v>
      </c>
      <c r="AJ1641" t="str">
        <f>"C55-000-588-1057-3"</f>
        <v>C55-000-588-1057-3</v>
      </c>
      <c r="AK1641" t="str">
        <f>"29361"</f>
        <v>29361</v>
      </c>
      <c r="AL1641">
        <v>6</v>
      </c>
      <c r="AM1641">
        <v>1874</v>
      </c>
      <c r="AN1641">
        <v>1660.53</v>
      </c>
      <c r="AQ1641" t="s">
        <v>16320</v>
      </c>
      <c r="AR1641" t="s">
        <v>16320</v>
      </c>
      <c r="AS1641" t="s">
        <v>16320</v>
      </c>
      <c r="AU1641" t="s">
        <v>396</v>
      </c>
      <c r="AV1641">
        <v>2017</v>
      </c>
      <c r="AW1641" t="str">
        <f>"40-2N-28-1590-0102-0000 "</f>
        <v xml:space="preserve">40-2N-28-1590-0102-0000 </v>
      </c>
      <c r="AX1641">
        <v>95096</v>
      </c>
      <c r="AZ1641" t="s">
        <v>16321</v>
      </c>
      <c r="BA1641" t="s">
        <v>2497</v>
      </c>
      <c r="BD1641" t="s">
        <v>11749</v>
      </c>
      <c r="BE1641" t="s">
        <v>393</v>
      </c>
      <c r="BF1641">
        <v>32034</v>
      </c>
      <c r="BG1641" t="s">
        <v>16322</v>
      </c>
      <c r="BH1641" t="s">
        <v>11751</v>
      </c>
      <c r="BI1641">
        <v>-81.506585073899998</v>
      </c>
      <c r="BJ1641">
        <v>30.6137398728332</v>
      </c>
      <c r="BK1641" t="s">
        <v>16323</v>
      </c>
      <c r="BM1641" t="s">
        <v>16322</v>
      </c>
      <c r="BN1641" t="s">
        <v>3983</v>
      </c>
      <c r="BO1641">
        <v>32034</v>
      </c>
      <c r="BP1641" t="s">
        <v>416</v>
      </c>
      <c r="BQ1641">
        <v>100</v>
      </c>
      <c r="BR1641" t="s">
        <v>514</v>
      </c>
      <c r="BS1641">
        <v>1001</v>
      </c>
      <c r="BT1641" t="s">
        <v>515</v>
      </c>
      <c r="BW1641">
        <v>16160</v>
      </c>
      <c r="BX1641" t="s">
        <v>407</v>
      </c>
      <c r="BY1641" t="s">
        <v>2729</v>
      </c>
      <c r="BZ1641">
        <v>4</v>
      </c>
      <c r="CA1641">
        <v>2000</v>
      </c>
      <c r="CB1641">
        <v>1</v>
      </c>
      <c r="CC1641">
        <v>1</v>
      </c>
      <c r="CD1641">
        <v>2017</v>
      </c>
      <c r="CG1641">
        <v>138571</v>
      </c>
      <c r="CH1641">
        <v>2017</v>
      </c>
      <c r="CI1641">
        <v>60000</v>
      </c>
      <c r="CJ1641">
        <v>128549</v>
      </c>
      <c r="CK1641">
        <v>188549</v>
      </c>
      <c r="CL1641">
        <v>2017</v>
      </c>
      <c r="CM1641">
        <v>1505.81</v>
      </c>
      <c r="CN1641" s="1">
        <v>38512</v>
      </c>
      <c r="CO1641">
        <v>210000</v>
      </c>
      <c r="CV1641">
        <v>0</v>
      </c>
      <c r="CZ1641" s="1">
        <v>38512</v>
      </c>
      <c r="DA1641">
        <v>0</v>
      </c>
      <c r="DD1641" t="s">
        <v>11749</v>
      </c>
      <c r="DF1641">
        <v>102</v>
      </c>
      <c r="DG1641">
        <v>40</v>
      </c>
      <c r="DJ1641" t="s">
        <v>16324</v>
      </c>
      <c r="DL1641">
        <v>50303</v>
      </c>
      <c r="DM1641" t="s">
        <v>16293</v>
      </c>
      <c r="DO1641" t="s">
        <v>16325</v>
      </c>
      <c r="DP1641">
        <v>0</v>
      </c>
      <c r="DQ1641">
        <v>0</v>
      </c>
      <c r="DR1641" t="s">
        <v>411</v>
      </c>
      <c r="DS1641" t="b">
        <v>1</v>
      </c>
      <c r="DT1641" t="s">
        <v>470</v>
      </c>
      <c r="DU1641" t="s">
        <v>10249</v>
      </c>
      <c r="DV1641" t="s">
        <v>472</v>
      </c>
      <c r="DX1641">
        <v>-9999</v>
      </c>
      <c r="DZ1641" t="s">
        <v>447</v>
      </c>
      <c r="EA1641" t="s">
        <v>448</v>
      </c>
      <c r="EB1641" t="s">
        <v>14895</v>
      </c>
      <c r="EC1641">
        <v>20101217</v>
      </c>
      <c r="ED1641" t="s">
        <v>10251</v>
      </c>
      <c r="EE1641">
        <v>5</v>
      </c>
      <c r="EF1641">
        <v>85.3</v>
      </c>
      <c r="EG1641">
        <v>0</v>
      </c>
      <c r="EI1641">
        <v>20160407</v>
      </c>
      <c r="EJ1641">
        <v>0</v>
      </c>
      <c r="EK1641">
        <v>0</v>
      </c>
      <c r="EP1641" t="s">
        <v>421</v>
      </c>
      <c r="EQ1641" t="s">
        <v>422</v>
      </c>
      <c r="ER1641">
        <v>2</v>
      </c>
      <c r="ES1641">
        <v>7</v>
      </c>
      <c r="ET1641">
        <v>3267.66</v>
      </c>
      <c r="EU1641">
        <v>175.88</v>
      </c>
      <c r="EV1641">
        <v>3443.54</v>
      </c>
      <c r="EW1641" s="2">
        <v>43222</v>
      </c>
      <c r="EX1641" s="1">
        <v>42879</v>
      </c>
      <c r="EY1641">
        <v>2016</v>
      </c>
      <c r="EZ1641">
        <v>1633.83</v>
      </c>
      <c r="FA1641" t="s">
        <v>16326</v>
      </c>
      <c r="FB1641">
        <v>0.25</v>
      </c>
      <c r="FC1641" t="s">
        <v>424</v>
      </c>
      <c r="FD1641" t="s">
        <v>454</v>
      </c>
      <c r="FF1641">
        <v>12</v>
      </c>
      <c r="FG1641">
        <v>2851116</v>
      </c>
      <c r="FH1641" t="s">
        <v>480</v>
      </c>
      <c r="FJ1641" s="1">
        <v>42879</v>
      </c>
      <c r="FK1641">
        <v>2016</v>
      </c>
      <c r="FL1641">
        <v>1633.83</v>
      </c>
      <c r="FM1641" t="s">
        <v>16326</v>
      </c>
      <c r="FN1641">
        <v>0.25</v>
      </c>
      <c r="FO1641" t="s">
        <v>424</v>
      </c>
      <c r="FP1641" t="s">
        <v>454</v>
      </c>
      <c r="FR1641">
        <v>12</v>
      </c>
      <c r="FS1641">
        <v>4979385</v>
      </c>
      <c r="FT1641" t="s">
        <v>16327</v>
      </c>
      <c r="FV1641" s="1">
        <v>42515</v>
      </c>
      <c r="FW1641">
        <v>2015</v>
      </c>
      <c r="FX1641">
        <v>1657.07</v>
      </c>
      <c r="FY1641" t="s">
        <v>16328</v>
      </c>
      <c r="FZ1641">
        <v>0.25</v>
      </c>
      <c r="GA1641" t="s">
        <v>424</v>
      </c>
      <c r="GB1641" t="s">
        <v>425</v>
      </c>
      <c r="GC1641" s="1">
        <v>43189</v>
      </c>
      <c r="GD1641">
        <v>22</v>
      </c>
      <c r="GE1641">
        <v>7045074</v>
      </c>
      <c r="GF1641" t="s">
        <v>580</v>
      </c>
      <c r="GH1641" s="1">
        <v>42515</v>
      </c>
      <c r="GI1641">
        <v>2015</v>
      </c>
      <c r="GJ1641">
        <v>1657.07</v>
      </c>
      <c r="GK1641" t="s">
        <v>16328</v>
      </c>
      <c r="GL1641">
        <v>0.25</v>
      </c>
      <c r="GM1641" t="s">
        <v>424</v>
      </c>
      <c r="GN1641" t="s">
        <v>425</v>
      </c>
      <c r="GP1641">
        <v>22</v>
      </c>
      <c r="GQ1641">
        <v>6274579</v>
      </c>
      <c r="GR1641" t="s">
        <v>16329</v>
      </c>
      <c r="GT1641" s="1">
        <v>42151</v>
      </c>
      <c r="GU1641">
        <v>2014</v>
      </c>
      <c r="GV1641">
        <v>1647.78</v>
      </c>
      <c r="GW1641" t="s">
        <v>16330</v>
      </c>
      <c r="GX1641">
        <v>0.25</v>
      </c>
      <c r="GY1641" t="s">
        <v>424</v>
      </c>
      <c r="GZ1641" t="s">
        <v>425</v>
      </c>
      <c r="HA1641" s="1">
        <v>42795</v>
      </c>
      <c r="HB1641">
        <v>22</v>
      </c>
      <c r="HC1641">
        <v>2851116</v>
      </c>
      <c r="HD1641" t="s">
        <v>480</v>
      </c>
      <c r="HF1641" s="1">
        <v>42151</v>
      </c>
      <c r="HG1641">
        <v>2014</v>
      </c>
      <c r="HH1641">
        <v>1647.78</v>
      </c>
      <c r="HI1641" t="s">
        <v>16330</v>
      </c>
      <c r="HJ1641">
        <v>0.25</v>
      </c>
      <c r="HK1641" t="s">
        <v>424</v>
      </c>
      <c r="HL1641" t="s">
        <v>425</v>
      </c>
      <c r="HN1641">
        <v>22</v>
      </c>
      <c r="HO1641">
        <v>4954635</v>
      </c>
      <c r="HP1641" t="s">
        <v>16331</v>
      </c>
      <c r="HR1641" s="1">
        <v>41787</v>
      </c>
      <c r="HS1641">
        <v>2013</v>
      </c>
      <c r="HT1641">
        <v>1543.17</v>
      </c>
      <c r="HU1641" t="s">
        <v>16332</v>
      </c>
      <c r="HV1641">
        <v>0.25</v>
      </c>
      <c r="HW1641" t="s">
        <v>424</v>
      </c>
      <c r="HX1641" t="s">
        <v>425</v>
      </c>
      <c r="HY1641" s="1">
        <v>42405</v>
      </c>
      <c r="HZ1641">
        <v>21</v>
      </c>
      <c r="IA1641">
        <v>2662137</v>
      </c>
      <c r="IB1641" t="s">
        <v>916</v>
      </c>
      <c r="ID1641" s="1">
        <v>41052</v>
      </c>
      <c r="IE1641">
        <v>2011</v>
      </c>
      <c r="IF1641">
        <v>1814.11</v>
      </c>
      <c r="IG1641" t="s">
        <v>16333</v>
      </c>
      <c r="IH1641">
        <v>0.25</v>
      </c>
      <c r="II1641" t="s">
        <v>424</v>
      </c>
      <c r="IJ1641" t="s">
        <v>425</v>
      </c>
      <c r="IK1641" s="1">
        <v>41326</v>
      </c>
      <c r="IL1641">
        <v>9</v>
      </c>
      <c r="IM1641">
        <v>13779</v>
      </c>
      <c r="IN1641" t="s">
        <v>16334</v>
      </c>
      <c r="IP1641" s="1">
        <v>40688</v>
      </c>
      <c r="IQ1641">
        <v>2010</v>
      </c>
      <c r="IR1641">
        <v>1932.31</v>
      </c>
      <c r="IS1641" t="s">
        <v>16335</v>
      </c>
      <c r="IT1641">
        <v>0.25</v>
      </c>
      <c r="IU1641" t="s">
        <v>424</v>
      </c>
      <c r="IV1641" t="s">
        <v>425</v>
      </c>
      <c r="IW1641" s="1">
        <v>40969</v>
      </c>
      <c r="IX1641">
        <v>10</v>
      </c>
      <c r="IY1641">
        <v>11177</v>
      </c>
      <c r="IZ1641" t="s">
        <v>650</v>
      </c>
    </row>
    <row r="1642" spans="1:284" x14ac:dyDescent="0.25">
      <c r="A1642">
        <v>16486649</v>
      </c>
      <c r="B1642">
        <v>1641</v>
      </c>
      <c r="C1642" t="s">
        <v>393</v>
      </c>
      <c r="D1642" t="s">
        <v>394</v>
      </c>
      <c r="F1642" t="str">
        <f>"40-2N-28-159O-0001-0000"</f>
        <v>40-2N-28-159O-0001-0000</v>
      </c>
      <c r="H1642" t="str">
        <f>"THEOBALD THOMAS A &amp; REMONA R"</f>
        <v>THEOBALD THOMAS A &amp; REMONA R</v>
      </c>
      <c r="I1642" t="str">
        <f>"96568 CALHOUN ROAD"</f>
        <v>96568 CALHOUN ROAD</v>
      </c>
      <c r="J1642" t="str">
        <f t="shared" si="591"/>
        <v>FERNANDINA BEACH FL 32034</v>
      </c>
      <c r="K1642" t="str">
        <f>"96568 CALHOUN RD"</f>
        <v>96568 CALHOUN RD</v>
      </c>
      <c r="L1642" t="str">
        <f t="shared" si="580"/>
        <v>FERNANDINA BEACH FL 32034</v>
      </c>
      <c r="M1642" t="str">
        <f>"LOT 1 OR 676/1920 &amp; OR 700/332 OYSTERVILLE PB 5/358-359"</f>
        <v>LOT 1 OR 676/1920 &amp; OR 700/332 OYSTERVILLE PB 5/358-359</v>
      </c>
      <c r="N1642" t="str">
        <f>""</f>
        <v/>
      </c>
      <c r="O1642" t="str">
        <f>"46483"</f>
        <v>46483</v>
      </c>
      <c r="P1642" t="str">
        <f t="shared" si="577"/>
        <v>2017</v>
      </c>
      <c r="Q1642" t="str">
        <f>""</f>
        <v/>
      </c>
      <c r="R1642" t="str">
        <f>"Y"</f>
        <v>Y</v>
      </c>
      <c r="S1642" t="str">
        <f>"4.00"</f>
        <v>4.00</v>
      </c>
      <c r="T1642" t="str">
        <f>"4642.05"</f>
        <v>4642.05</v>
      </c>
      <c r="U1642" t="str">
        <f>"345737.00"</f>
        <v>345737.00</v>
      </c>
      <c r="V1642" t="str">
        <f>"345737.00"</f>
        <v>345737.00</v>
      </c>
      <c r="W1642" t="str">
        <f t="shared" si="578"/>
        <v>2017</v>
      </c>
      <c r="X1642" t="str">
        <f>""</f>
        <v/>
      </c>
      <c r="Y1642" t="str">
        <f>"4813.31"</f>
        <v>4813.31</v>
      </c>
      <c r="Z1642" t="str">
        <f>"25000.00"</f>
        <v>25000.00</v>
      </c>
      <c r="AA1642" t="str">
        <f>"320737.00"</f>
        <v>320737.00</v>
      </c>
      <c r="AB1642" t="str">
        <f>"Residential"</f>
        <v>Residential</v>
      </c>
      <c r="AC1642" t="str">
        <f t="shared" si="588"/>
        <v>0</v>
      </c>
      <c r="AD1642" t="str">
        <f>"4"</f>
        <v>4</v>
      </c>
      <c r="AE1642" t="str">
        <f>"WOOD (INCLUDE STEEL STUDS)"</f>
        <v>WOOD (INCLUDE STEEL STUDS)</v>
      </c>
      <c r="AF1642" t="str">
        <f>"001"</f>
        <v>001</v>
      </c>
      <c r="AG1642" t="str">
        <f t="shared" si="590"/>
        <v>FL</v>
      </c>
      <c r="AH1642" t="str">
        <f>"174240.00"</f>
        <v>174240.00</v>
      </c>
      <c r="AI1642" t="str">
        <f>"210000.00"</f>
        <v>210000.00</v>
      </c>
      <c r="AJ1642" t="str">
        <f>"C55-000-588-1061-5"</f>
        <v>C55-000-588-1061-5</v>
      </c>
      <c r="AK1642" t="str">
        <f>"29255"</f>
        <v>29255</v>
      </c>
      <c r="AL1642">
        <v>6</v>
      </c>
      <c r="AM1642">
        <v>1875</v>
      </c>
      <c r="AN1642">
        <v>5052.38</v>
      </c>
      <c r="AQ1642" t="s">
        <v>16336</v>
      </c>
      <c r="AR1642" t="s">
        <v>16336</v>
      </c>
      <c r="AS1642" t="s">
        <v>16336</v>
      </c>
      <c r="AU1642" t="s">
        <v>396</v>
      </c>
      <c r="AV1642">
        <v>2017</v>
      </c>
      <c r="AW1642" t="str">
        <f>"40-2N-28-159O-0001-0000 "</f>
        <v xml:space="preserve">40-2N-28-159O-0001-0000 </v>
      </c>
      <c r="AX1642">
        <v>96568</v>
      </c>
      <c r="AZ1642" t="s">
        <v>16337</v>
      </c>
      <c r="BA1642" t="s">
        <v>496</v>
      </c>
      <c r="BD1642" t="s">
        <v>11749</v>
      </c>
      <c r="BE1642" t="s">
        <v>393</v>
      </c>
      <c r="BF1642">
        <v>32034</v>
      </c>
      <c r="BG1642" t="s">
        <v>12187</v>
      </c>
      <c r="BH1642" t="s">
        <v>11751</v>
      </c>
      <c r="BI1642">
        <v>-81.507250948794507</v>
      </c>
      <c r="BJ1642">
        <v>30.622499551339502</v>
      </c>
      <c r="BK1642" t="s">
        <v>12193</v>
      </c>
      <c r="BL1642" t="s">
        <v>16338</v>
      </c>
      <c r="BM1642" t="s">
        <v>12187</v>
      </c>
      <c r="BN1642" t="s">
        <v>3983</v>
      </c>
      <c r="BO1642">
        <v>32034</v>
      </c>
      <c r="BP1642" t="s">
        <v>416</v>
      </c>
      <c r="BQ1642">
        <v>100</v>
      </c>
      <c r="BR1642" t="s">
        <v>514</v>
      </c>
      <c r="BS1642">
        <v>1001</v>
      </c>
      <c r="BT1642" t="s">
        <v>515</v>
      </c>
      <c r="BW1642">
        <v>174240</v>
      </c>
      <c r="BX1642" t="s">
        <v>407</v>
      </c>
      <c r="BY1642" t="s">
        <v>408</v>
      </c>
      <c r="BZ1642">
        <v>4</v>
      </c>
      <c r="CA1642">
        <v>1995</v>
      </c>
      <c r="CB1642">
        <v>2</v>
      </c>
      <c r="CC1642">
        <v>1</v>
      </c>
      <c r="CD1642">
        <v>2017</v>
      </c>
      <c r="CG1642">
        <v>345737</v>
      </c>
      <c r="CH1642">
        <v>2017</v>
      </c>
      <c r="CI1642">
        <v>210000</v>
      </c>
      <c r="CJ1642">
        <v>203709</v>
      </c>
      <c r="CK1642">
        <v>413709</v>
      </c>
      <c r="CL1642">
        <v>2017</v>
      </c>
      <c r="CM1642">
        <v>4642.05</v>
      </c>
      <c r="CN1642" s="1">
        <v>34404</v>
      </c>
      <c r="CZ1642" s="1">
        <v>34404</v>
      </c>
      <c r="DD1642" t="s">
        <v>11749</v>
      </c>
      <c r="DF1642">
        <v>1</v>
      </c>
      <c r="DG1642">
        <v>40</v>
      </c>
      <c r="DJ1642" t="s">
        <v>16339</v>
      </c>
      <c r="DL1642">
        <v>50303</v>
      </c>
      <c r="DM1642" t="s">
        <v>16293</v>
      </c>
      <c r="DO1642" t="s">
        <v>16340</v>
      </c>
      <c r="DP1642">
        <v>0</v>
      </c>
      <c r="DQ1642">
        <v>0</v>
      </c>
      <c r="DR1642" t="s">
        <v>411</v>
      </c>
    </row>
    <row r="1643" spans="1:284" x14ac:dyDescent="0.25">
      <c r="A1643">
        <v>16486650</v>
      </c>
      <c r="B1643">
        <v>1642</v>
      </c>
      <c r="C1643" t="s">
        <v>393</v>
      </c>
      <c r="D1643" t="s">
        <v>394</v>
      </c>
      <c r="F1643" t="str">
        <f>"41-2N-28-0000-0003-0080"</f>
        <v>41-2N-28-0000-0003-0080</v>
      </c>
      <c r="H1643" t="str">
        <f>"ESB INVESTMENTS LLC"</f>
        <v>ESB INVESTMENTS LLC</v>
      </c>
      <c r="I1643" t="str">
        <f>"95540 CLEMENTS RD"</f>
        <v>95540 CLEMENTS RD</v>
      </c>
      <c r="J1643" t="str">
        <f t="shared" si="591"/>
        <v>FERNANDINA BEACH FL 32034</v>
      </c>
      <c r="K1643" t="str">
        <f>"LITTLEBERRY LN"</f>
        <v>LITTLEBERRY LN</v>
      </c>
      <c r="L1643" t="str">
        <f t="shared" si="580"/>
        <v>FERNANDINA BEACH FL 32034</v>
      </c>
      <c r="M1643" t="str">
        <f>"PT SEC 41-2N-28E IN OR 1989/1212"</f>
        <v>PT SEC 41-2N-28E IN OR 1989/1212</v>
      </c>
      <c r="N1643" t="str">
        <f>""</f>
        <v/>
      </c>
      <c r="O1643" t="str">
        <f>"46738"</f>
        <v>46738</v>
      </c>
      <c r="P1643" t="str">
        <f t="shared" si="577"/>
        <v>2017</v>
      </c>
      <c r="Q1643" t="str">
        <f>""</f>
        <v/>
      </c>
      <c r="R1643" t="str">
        <f>"N"</f>
        <v>N</v>
      </c>
      <c r="S1643" t="str">
        <f>"19.65"</f>
        <v>19.65</v>
      </c>
      <c r="T1643" t="str">
        <f>"474.46"</f>
        <v>474.46</v>
      </c>
      <c r="U1643" t="str">
        <f>"31341.00"</f>
        <v>31341.00</v>
      </c>
      <c r="V1643" t="str">
        <f>"31341.00"</f>
        <v>31341.00</v>
      </c>
      <c r="W1643" t="str">
        <f t="shared" si="578"/>
        <v>2017</v>
      </c>
      <c r="X1643" t="str">
        <f>""</f>
        <v/>
      </c>
      <c r="Y1643" t="str">
        <f>"520.69"</f>
        <v>520.69</v>
      </c>
      <c r="Z1643" t="str">
        <f>""</f>
        <v/>
      </c>
      <c r="AA1643" t="str">
        <f>"31341.00"</f>
        <v>31341.00</v>
      </c>
      <c r="AB1643" t="str">
        <f>"Agricultural"</f>
        <v>Agricultural</v>
      </c>
      <c r="AC1643" t="str">
        <f t="shared" si="588"/>
        <v>0</v>
      </c>
      <c r="AD1643" t="str">
        <f>""</f>
        <v/>
      </c>
      <c r="AE1643" t="str">
        <f>""</f>
        <v/>
      </c>
      <c r="AF1643" t="str">
        <f>"056"</f>
        <v>056</v>
      </c>
      <c r="AG1643" t="str">
        <f t="shared" si="590"/>
        <v>FL</v>
      </c>
      <c r="AH1643" t="str">
        <f>"855954.00"</f>
        <v>855954.00</v>
      </c>
      <c r="AI1643" t="str">
        <f>"31341.00"</f>
        <v>31341.00</v>
      </c>
      <c r="AJ1643" t="str">
        <f>"C55-001-073-0061-8"</f>
        <v>C55-001-073-0061-8</v>
      </c>
      <c r="AK1643" t="str">
        <f>"29610"</f>
        <v>29610</v>
      </c>
      <c r="AL1643">
        <v>6</v>
      </c>
      <c r="AM1643">
        <v>1876</v>
      </c>
      <c r="AN1643">
        <v>545.12</v>
      </c>
      <c r="AQ1643" t="s">
        <v>16341</v>
      </c>
      <c r="AR1643" t="s">
        <v>16341</v>
      </c>
      <c r="AS1643" t="s">
        <v>16341</v>
      </c>
      <c r="AU1643" t="s">
        <v>396</v>
      </c>
      <c r="AV1643">
        <v>2017</v>
      </c>
      <c r="AW1643" t="str">
        <f>"41-2N-28-0000-0003-0080 "</f>
        <v xml:space="preserve">41-2N-28-0000-0003-0080 </v>
      </c>
      <c r="AZ1643" t="s">
        <v>16342</v>
      </c>
      <c r="BA1643" t="s">
        <v>653</v>
      </c>
      <c r="BD1643" t="s">
        <v>11749</v>
      </c>
      <c r="BE1643" t="s">
        <v>393</v>
      </c>
      <c r="BF1643">
        <v>32034</v>
      </c>
      <c r="BG1643" t="s">
        <v>16343</v>
      </c>
      <c r="BH1643" t="s">
        <v>11751</v>
      </c>
      <c r="BI1643">
        <v>-81.505941570561603</v>
      </c>
      <c r="BJ1643">
        <v>30.607080589143099</v>
      </c>
      <c r="BK1643" t="s">
        <v>16125</v>
      </c>
      <c r="BM1643" t="s">
        <v>16126</v>
      </c>
      <c r="BN1643" t="s">
        <v>3983</v>
      </c>
      <c r="BO1643">
        <v>32034</v>
      </c>
      <c r="BP1643" t="s">
        <v>404</v>
      </c>
      <c r="BQ1643">
        <v>5600</v>
      </c>
      <c r="BR1643" t="s">
        <v>417</v>
      </c>
      <c r="BS1643">
        <v>7009</v>
      </c>
      <c r="BT1643" t="s">
        <v>418</v>
      </c>
      <c r="BW1643">
        <v>855954</v>
      </c>
      <c r="BX1643" t="s">
        <v>407</v>
      </c>
      <c r="CD1643">
        <v>2017</v>
      </c>
      <c r="CG1643">
        <v>31341</v>
      </c>
      <c r="CH1643">
        <v>2017</v>
      </c>
      <c r="CI1643">
        <v>31341</v>
      </c>
      <c r="CJ1643">
        <v>329359</v>
      </c>
      <c r="CK1643">
        <v>360700</v>
      </c>
      <c r="CL1643">
        <v>2017</v>
      </c>
      <c r="CM1643">
        <v>474.46</v>
      </c>
      <c r="CN1643" s="1">
        <v>42154</v>
      </c>
      <c r="CZ1643" s="1">
        <v>42154</v>
      </c>
      <c r="DD1643" t="s">
        <v>11749</v>
      </c>
      <c r="DG1643">
        <v>41</v>
      </c>
      <c r="DL1643">
        <v>50303</v>
      </c>
      <c r="DM1643" t="s">
        <v>16344</v>
      </c>
      <c r="DO1643" t="s">
        <v>16345</v>
      </c>
      <c r="DP1643">
        <v>0</v>
      </c>
      <c r="DQ1643">
        <v>0</v>
      </c>
      <c r="DR1643" t="s">
        <v>411</v>
      </c>
    </row>
    <row r="1644" spans="1:284" x14ac:dyDescent="0.25">
      <c r="A1644">
        <v>16486651</v>
      </c>
      <c r="B1644">
        <v>1643</v>
      </c>
      <c r="C1644" t="s">
        <v>393</v>
      </c>
      <c r="D1644" t="s">
        <v>394</v>
      </c>
      <c r="F1644" t="str">
        <f>"41-2N-28-0000-0006-0000"</f>
        <v>41-2N-28-0000-0006-0000</v>
      </c>
      <c r="H1644" t="str">
        <f>"BATCHELOR JAMES E EST"</f>
        <v>BATCHELOR JAMES E EST</v>
      </c>
      <c r="I1644" t="str">
        <f>"2178 JEKYLL COURT"</f>
        <v>2178 JEKYLL COURT</v>
      </c>
      <c r="J1644" t="str">
        <f t="shared" si="591"/>
        <v>FERNANDINA BEACH FL 32034</v>
      </c>
      <c r="K1644" t="str">
        <f>"96044 LITTLEBERRY LN"</f>
        <v>96044 LITTLEBERRY LN</v>
      </c>
      <c r="L1644" t="str">
        <f t="shared" ref="L1644:L1665" si="592">"FERNANDINA BEACH FL 32034"</f>
        <v>FERNANDINA BEACH FL 32034</v>
      </c>
      <c r="M1644" t="str">
        <f>"PT D FERNANDEZ GRANTS SECS 38 &amp; 41-2N-28E IN OR 781/267 &amp; OR 1730/526 &amp; ESMT IN OR 267/167 {R621823}"</f>
        <v>PT D FERNANDEZ GRANTS SECS 38 &amp; 41-2N-28E IN OR 781/267 &amp; OR 1730/526 &amp; ESMT IN OR 267/167 {R621823}</v>
      </c>
      <c r="N1644" t="str">
        <f>""</f>
        <v/>
      </c>
      <c r="O1644" t="str">
        <f>"46743"</f>
        <v>46743</v>
      </c>
      <c r="P1644" t="str">
        <f t="shared" si="577"/>
        <v>2017</v>
      </c>
      <c r="Q1644" t="str">
        <f>""</f>
        <v/>
      </c>
      <c r="R1644" t="str">
        <f>"N"</f>
        <v>N</v>
      </c>
      <c r="S1644" t="str">
        <f>""</f>
        <v/>
      </c>
      <c r="T1644" t="str">
        <f>"493.51"</f>
        <v>493.51</v>
      </c>
      <c r="U1644" t="str">
        <f>"32599.00"</f>
        <v>32599.00</v>
      </c>
      <c r="V1644" t="str">
        <f>"32599.00"</f>
        <v>32599.00</v>
      </c>
      <c r="W1644" t="str">
        <f t="shared" si="578"/>
        <v>2017</v>
      </c>
      <c r="X1644" t="str">
        <f>"9.71"</f>
        <v>9.71</v>
      </c>
      <c r="Y1644" t="str">
        <f>"540.32"</f>
        <v>540.32</v>
      </c>
      <c r="Z1644" t="str">
        <f>""</f>
        <v/>
      </c>
      <c r="AA1644" t="str">
        <f>"32599.00"</f>
        <v>32599.00</v>
      </c>
      <c r="AB1644" t="str">
        <f>"Residential"</f>
        <v>Residential</v>
      </c>
      <c r="AC1644" t="str">
        <f t="shared" si="588"/>
        <v>0</v>
      </c>
      <c r="AD1644" t="str">
        <f>"4"</f>
        <v>4</v>
      </c>
      <c r="AE1644" t="str">
        <f>"WOOD (INCLUDE STEEL STUDS)"</f>
        <v>WOOD (INCLUDE STEEL STUDS)</v>
      </c>
      <c r="AF1644" t="str">
        <f>"002"</f>
        <v>002</v>
      </c>
      <c r="AG1644" t="str">
        <f t="shared" si="590"/>
        <v>FL</v>
      </c>
      <c r="AH1644" t="str">
        <f>"-"</f>
        <v>-</v>
      </c>
      <c r="AI1644" t="str">
        <f>"25000.00"</f>
        <v>25000.00</v>
      </c>
      <c r="AJ1644" t="str">
        <f>"C55-000-588-1174-6"</f>
        <v>C55-000-588-1174-6</v>
      </c>
      <c r="AK1644" t="str">
        <f>"29614"</f>
        <v>29614</v>
      </c>
      <c r="AL1644">
        <v>6</v>
      </c>
      <c r="AM1644">
        <v>1877</v>
      </c>
      <c r="AN1644">
        <v>565.74</v>
      </c>
      <c r="AQ1644" t="s">
        <v>16346</v>
      </c>
      <c r="AR1644" t="s">
        <v>16346</v>
      </c>
      <c r="AS1644" t="s">
        <v>16346</v>
      </c>
      <c r="AU1644" t="s">
        <v>396</v>
      </c>
      <c r="AV1644">
        <v>2017</v>
      </c>
      <c r="AW1644" t="str">
        <f>"41-2N-28-0000-0006-0000 "</f>
        <v xml:space="preserve">41-2N-28-0000-0006-0000 </v>
      </c>
      <c r="AX1644">
        <v>96044</v>
      </c>
      <c r="AZ1644" t="s">
        <v>16342</v>
      </c>
      <c r="BA1644" t="s">
        <v>653</v>
      </c>
      <c r="BD1644" t="s">
        <v>11749</v>
      </c>
      <c r="BE1644" t="s">
        <v>393</v>
      </c>
      <c r="BF1644">
        <v>32034</v>
      </c>
      <c r="BG1644" t="s">
        <v>16347</v>
      </c>
      <c r="BH1644" t="s">
        <v>11751</v>
      </c>
      <c r="BI1644">
        <v>-81.503550260924598</v>
      </c>
      <c r="BJ1644">
        <v>30.6070773962098</v>
      </c>
      <c r="BK1644" t="s">
        <v>16348</v>
      </c>
      <c r="BM1644" t="s">
        <v>16349</v>
      </c>
      <c r="BN1644" t="s">
        <v>548</v>
      </c>
      <c r="BO1644">
        <v>32210</v>
      </c>
      <c r="BP1644" t="s">
        <v>404</v>
      </c>
      <c r="BQ1644">
        <v>200</v>
      </c>
      <c r="BR1644" t="s">
        <v>405</v>
      </c>
      <c r="BS1644">
        <v>1006</v>
      </c>
      <c r="BT1644" t="s">
        <v>406</v>
      </c>
      <c r="BW1644">
        <v>20386</v>
      </c>
      <c r="BX1644" t="s">
        <v>407</v>
      </c>
      <c r="BY1644" t="s">
        <v>408</v>
      </c>
      <c r="BZ1644">
        <v>4</v>
      </c>
      <c r="CA1644">
        <v>1984</v>
      </c>
      <c r="CB1644">
        <v>1</v>
      </c>
      <c r="CC1644">
        <v>1</v>
      </c>
      <c r="CD1644">
        <v>2017</v>
      </c>
      <c r="CE1644">
        <v>25000</v>
      </c>
      <c r="CF1644">
        <v>7599</v>
      </c>
      <c r="CG1644">
        <v>32599</v>
      </c>
      <c r="CH1644">
        <v>2017</v>
      </c>
      <c r="CI1644">
        <v>25000</v>
      </c>
      <c r="CJ1644">
        <v>7599</v>
      </c>
      <c r="CK1644">
        <v>32599</v>
      </c>
      <c r="CL1644">
        <v>2017</v>
      </c>
      <c r="CM1644">
        <v>493.51</v>
      </c>
      <c r="CN1644" s="1">
        <v>42101</v>
      </c>
      <c r="CZ1644" s="1">
        <v>42101</v>
      </c>
      <c r="DD1644" t="s">
        <v>11749</v>
      </c>
      <c r="DG1644">
        <v>41</v>
      </c>
      <c r="DL1644">
        <v>50303</v>
      </c>
      <c r="DM1644" t="s">
        <v>16344</v>
      </c>
      <c r="DO1644" t="s">
        <v>16350</v>
      </c>
      <c r="DP1644">
        <v>0</v>
      </c>
      <c r="DQ1644">
        <v>0</v>
      </c>
      <c r="DR1644" t="s">
        <v>411</v>
      </c>
      <c r="DS1644" t="b">
        <v>1</v>
      </c>
      <c r="DT1644" t="s">
        <v>8902</v>
      </c>
      <c r="DV1644" t="s">
        <v>446</v>
      </c>
      <c r="DX1644">
        <v>9</v>
      </c>
      <c r="DY1644" t="s">
        <v>11438</v>
      </c>
      <c r="DZ1644" t="s">
        <v>447</v>
      </c>
      <c r="EA1644" t="s">
        <v>448</v>
      </c>
      <c r="EB1644" t="s">
        <v>16351</v>
      </c>
      <c r="EC1644">
        <v>20101217</v>
      </c>
      <c r="ED1644" t="s">
        <v>450</v>
      </c>
      <c r="EE1644">
        <v>5</v>
      </c>
      <c r="EF1644">
        <v>0</v>
      </c>
      <c r="EG1644">
        <v>0</v>
      </c>
      <c r="EI1644">
        <v>20160407</v>
      </c>
      <c r="EJ1644">
        <v>0</v>
      </c>
      <c r="EK1644">
        <v>0</v>
      </c>
      <c r="EP1644" t="s">
        <v>421</v>
      </c>
      <c r="EQ1644" t="s">
        <v>422</v>
      </c>
      <c r="ER1644">
        <v>2</v>
      </c>
      <c r="ES1644">
        <v>4</v>
      </c>
      <c r="ET1644">
        <v>1237.04</v>
      </c>
      <c r="EU1644">
        <v>74.349999999999994</v>
      </c>
      <c r="EV1644">
        <v>1311.39</v>
      </c>
      <c r="EW1644" s="2">
        <v>43222</v>
      </c>
      <c r="EX1644" s="1">
        <v>42879</v>
      </c>
      <c r="EY1644">
        <v>2016</v>
      </c>
      <c r="EZ1644">
        <v>618.52</v>
      </c>
      <c r="FA1644" t="s">
        <v>16352</v>
      </c>
      <c r="FB1644">
        <v>0.25</v>
      </c>
      <c r="FC1644" t="s">
        <v>424</v>
      </c>
      <c r="FD1644" t="s">
        <v>454</v>
      </c>
      <c r="FF1644">
        <v>12</v>
      </c>
      <c r="FG1644">
        <v>2851116</v>
      </c>
      <c r="FH1644" t="s">
        <v>480</v>
      </c>
      <c r="FJ1644" s="1">
        <v>42879</v>
      </c>
      <c r="FK1644">
        <v>2016</v>
      </c>
      <c r="FL1644">
        <v>618.52</v>
      </c>
      <c r="FM1644" t="s">
        <v>16352</v>
      </c>
      <c r="FN1644">
        <v>0.25</v>
      </c>
      <c r="FO1644" t="s">
        <v>424</v>
      </c>
      <c r="FP1644" t="s">
        <v>454</v>
      </c>
      <c r="FR1644">
        <v>12</v>
      </c>
      <c r="FS1644">
        <v>4986349</v>
      </c>
      <c r="FT1644" t="s">
        <v>16353</v>
      </c>
      <c r="FV1644" s="1">
        <v>42515</v>
      </c>
      <c r="FW1644">
        <v>2015</v>
      </c>
      <c r="FX1644">
        <v>634.71</v>
      </c>
      <c r="FY1644" t="s">
        <v>16354</v>
      </c>
      <c r="FZ1644">
        <v>0.25</v>
      </c>
      <c r="GA1644" t="s">
        <v>424</v>
      </c>
      <c r="GB1644" t="s">
        <v>425</v>
      </c>
      <c r="GC1644" s="1">
        <v>43108</v>
      </c>
      <c r="GD1644">
        <v>20</v>
      </c>
      <c r="GE1644">
        <v>2851116</v>
      </c>
      <c r="GF1644" t="s">
        <v>480</v>
      </c>
      <c r="GH1644" s="1">
        <v>42515</v>
      </c>
      <c r="GI1644">
        <v>2015</v>
      </c>
      <c r="GJ1644">
        <v>634.71</v>
      </c>
      <c r="GK1644" t="s">
        <v>16354</v>
      </c>
      <c r="GL1644">
        <v>0.25</v>
      </c>
      <c r="GM1644" t="s">
        <v>424</v>
      </c>
      <c r="GN1644" t="s">
        <v>425</v>
      </c>
      <c r="GP1644">
        <v>22</v>
      </c>
      <c r="GQ1644">
        <v>5305898</v>
      </c>
      <c r="GR1644" t="s">
        <v>16355</v>
      </c>
      <c r="GT1644" s="1">
        <v>41052</v>
      </c>
      <c r="GU1644">
        <v>2011</v>
      </c>
      <c r="GV1644">
        <v>659.9</v>
      </c>
      <c r="GW1644" t="s">
        <v>16356</v>
      </c>
      <c r="GX1644">
        <v>5.75</v>
      </c>
      <c r="GY1644" t="s">
        <v>424</v>
      </c>
      <c r="GZ1644" t="s">
        <v>425</v>
      </c>
      <c r="HA1644" s="1">
        <v>41367</v>
      </c>
      <c r="HB1644">
        <v>11</v>
      </c>
      <c r="HC1644">
        <v>10579</v>
      </c>
      <c r="HD1644" t="s">
        <v>488</v>
      </c>
      <c r="HF1644" s="1">
        <v>40688</v>
      </c>
      <c r="HG1644">
        <v>2010</v>
      </c>
      <c r="HH1644">
        <v>504.85</v>
      </c>
      <c r="HI1644" t="s">
        <v>16357</v>
      </c>
      <c r="HJ1644">
        <v>6</v>
      </c>
      <c r="HK1644" t="s">
        <v>424</v>
      </c>
      <c r="HL1644" t="s">
        <v>425</v>
      </c>
      <c r="HM1644" s="1">
        <v>40721</v>
      </c>
      <c r="HN1644">
        <v>1</v>
      </c>
      <c r="HO1644">
        <v>10579</v>
      </c>
      <c r="HP1644" t="s">
        <v>488</v>
      </c>
    </row>
    <row r="1645" spans="1:284" x14ac:dyDescent="0.25">
      <c r="A1645">
        <v>16486652</v>
      </c>
      <c r="B1645">
        <v>1644</v>
      </c>
      <c r="C1645" t="s">
        <v>393</v>
      </c>
      <c r="D1645" t="s">
        <v>394</v>
      </c>
      <c r="F1645" t="str">
        <f>"43-2N-28-0000-0001-0090"</f>
        <v>43-2N-28-0000-0001-0090</v>
      </c>
      <c r="H1645" t="str">
        <f>"JENKINS JOHN A JR"</f>
        <v>JENKINS JOHN A JR</v>
      </c>
      <c r="I1645" t="str">
        <f>"95098 FRANK WARD RD"</f>
        <v>95098 FRANK WARD RD</v>
      </c>
      <c r="J1645" t="str">
        <f t="shared" si="591"/>
        <v>FERNANDINA BEACH FL 32034</v>
      </c>
      <c r="K1645" t="str">
        <f>"FRANK WARD RD"</f>
        <v>FRANK WARD RD</v>
      </c>
      <c r="L1645" t="str">
        <f t="shared" si="592"/>
        <v>FERNANDINA BEACH FL 32034</v>
      </c>
      <c r="M1645" t="str">
        <f>"IN OR 324 PG 867 EX 1-12 &amp; EX R/W OR 978/303 L/E PT OR 815/494 PARCELS 1-9 &amp; 1-16"</f>
        <v>IN OR 324 PG 867 EX 1-12 &amp; EX R/W OR 978/303 L/E PT OR 815/494 PARCELS 1-9 &amp; 1-16</v>
      </c>
      <c r="N1645" t="str">
        <f>""</f>
        <v/>
      </c>
      <c r="O1645" t="str">
        <f>"50110"</f>
        <v>50110</v>
      </c>
      <c r="P1645" t="str">
        <f t="shared" si="577"/>
        <v>2017</v>
      </c>
      <c r="Q1645" t="str">
        <f>""</f>
        <v/>
      </c>
      <c r="R1645" t="str">
        <f>"N"</f>
        <v>N</v>
      </c>
      <c r="S1645" t="str">
        <f>"1.29"</f>
        <v>1.29</v>
      </c>
      <c r="T1645" t="str">
        <f>"488.23"</f>
        <v>488.23</v>
      </c>
      <c r="U1645" t="str">
        <f>"32250.00"</f>
        <v>32250.00</v>
      </c>
      <c r="V1645" t="str">
        <f>"32250.00"</f>
        <v>32250.00</v>
      </c>
      <c r="W1645" t="str">
        <f t="shared" si="578"/>
        <v>2017</v>
      </c>
      <c r="X1645" t="str">
        <f>"17.00"</f>
        <v>17.00</v>
      </c>
      <c r="Y1645" t="str">
        <f>"534.88"</f>
        <v>534.88</v>
      </c>
      <c r="Z1645" t="str">
        <f>""</f>
        <v/>
      </c>
      <c r="AA1645" t="str">
        <f>"32250.00"</f>
        <v>32250.00</v>
      </c>
      <c r="AB1645" t="str">
        <f>"Residential"</f>
        <v>Residential</v>
      </c>
      <c r="AC1645" t="str">
        <f t="shared" si="588"/>
        <v>0</v>
      </c>
      <c r="AD1645" t="str">
        <f>""</f>
        <v/>
      </c>
      <c r="AE1645" t="str">
        <f>""</f>
        <v/>
      </c>
      <c r="AF1645" t="str">
        <f>"000"</f>
        <v>000</v>
      </c>
      <c r="AG1645" t="str">
        <f t="shared" si="590"/>
        <v>FL</v>
      </c>
      <c r="AH1645" t="str">
        <f>"56192.00"</f>
        <v>56192.00</v>
      </c>
      <c r="AI1645" t="str">
        <f>"32250.00"</f>
        <v>32250.00</v>
      </c>
      <c r="AJ1645" t="str">
        <f>"C55-000-588-3514-1"</f>
        <v>C55-000-588-3514-1</v>
      </c>
      <c r="AK1645" t="str">
        <f>"29634"</f>
        <v>29634</v>
      </c>
      <c r="AL1645">
        <v>6</v>
      </c>
      <c r="AM1645">
        <v>1878</v>
      </c>
      <c r="AN1645">
        <v>560.02</v>
      </c>
      <c r="AQ1645" t="s">
        <v>16358</v>
      </c>
      <c r="AR1645" t="s">
        <v>16358</v>
      </c>
      <c r="AS1645" t="s">
        <v>16358</v>
      </c>
      <c r="AU1645" t="s">
        <v>396</v>
      </c>
      <c r="AV1645">
        <v>2017</v>
      </c>
      <c r="AW1645" t="str">
        <f>"43-2N-28-0000-0001-0090 "</f>
        <v xml:space="preserve">43-2N-28-0000-0001-0090 </v>
      </c>
      <c r="AZ1645" t="s">
        <v>16359</v>
      </c>
      <c r="BA1645" t="s">
        <v>496</v>
      </c>
      <c r="BD1645" t="s">
        <v>11749</v>
      </c>
      <c r="BE1645" t="s">
        <v>393</v>
      </c>
      <c r="BF1645">
        <v>32034</v>
      </c>
      <c r="BG1645" t="s">
        <v>16360</v>
      </c>
      <c r="BH1645" t="s">
        <v>11751</v>
      </c>
      <c r="BI1645">
        <v>-81.509099611107501</v>
      </c>
      <c r="BJ1645">
        <v>30.590348339502601</v>
      </c>
      <c r="BK1645" t="s">
        <v>16361</v>
      </c>
      <c r="BM1645" t="s">
        <v>16362</v>
      </c>
      <c r="BN1645" t="s">
        <v>3983</v>
      </c>
      <c r="BO1645">
        <v>32034</v>
      </c>
      <c r="BP1645" t="s">
        <v>404</v>
      </c>
      <c r="BQ1645">
        <v>0</v>
      </c>
      <c r="BR1645" t="s">
        <v>491</v>
      </c>
      <c r="BS1645">
        <v>8001</v>
      </c>
      <c r="BT1645" t="s">
        <v>492</v>
      </c>
      <c r="BW1645">
        <v>56192</v>
      </c>
      <c r="BX1645" t="s">
        <v>407</v>
      </c>
      <c r="BY1645" t="s">
        <v>408</v>
      </c>
      <c r="CD1645">
        <v>2017</v>
      </c>
      <c r="CE1645">
        <v>32250</v>
      </c>
      <c r="CG1645">
        <v>32250</v>
      </c>
      <c r="CH1645">
        <v>2017</v>
      </c>
      <c r="CI1645">
        <v>32250</v>
      </c>
      <c r="CK1645">
        <v>32250</v>
      </c>
      <c r="CL1645">
        <v>2017</v>
      </c>
      <c r="CM1645">
        <v>488.23</v>
      </c>
      <c r="CN1645" s="1">
        <v>35765</v>
      </c>
      <c r="CZ1645" s="1">
        <v>35765</v>
      </c>
      <c r="DD1645" t="s">
        <v>11749</v>
      </c>
      <c r="DG1645">
        <v>43</v>
      </c>
      <c r="DL1645">
        <v>50303</v>
      </c>
      <c r="DM1645" t="s">
        <v>16363</v>
      </c>
      <c r="DO1645" t="s">
        <v>16364</v>
      </c>
      <c r="DP1645">
        <v>0</v>
      </c>
      <c r="DQ1645">
        <v>0</v>
      </c>
      <c r="DR1645" t="s">
        <v>411</v>
      </c>
      <c r="DS1645" t="b">
        <v>1</v>
      </c>
      <c r="DT1645" t="s">
        <v>470</v>
      </c>
      <c r="DU1645" t="s">
        <v>10249</v>
      </c>
      <c r="DV1645" t="s">
        <v>472</v>
      </c>
      <c r="DX1645">
        <v>-9999</v>
      </c>
      <c r="DZ1645" t="s">
        <v>447</v>
      </c>
      <c r="EA1645" t="s">
        <v>448</v>
      </c>
      <c r="EB1645" t="s">
        <v>14895</v>
      </c>
      <c r="EC1645">
        <v>20101217</v>
      </c>
      <c r="ED1645" t="s">
        <v>10251</v>
      </c>
      <c r="EE1645">
        <v>5</v>
      </c>
      <c r="EF1645">
        <v>815.7</v>
      </c>
      <c r="EG1645">
        <v>0</v>
      </c>
      <c r="EI1645">
        <v>20160407</v>
      </c>
      <c r="EJ1645">
        <v>0</v>
      </c>
      <c r="EK1645">
        <v>0</v>
      </c>
      <c r="EP1645" t="s">
        <v>421</v>
      </c>
      <c r="EQ1645" t="s">
        <v>422</v>
      </c>
      <c r="ER1645">
        <v>0</v>
      </c>
      <c r="ES1645">
        <v>3</v>
      </c>
      <c r="ET1645">
        <v>0</v>
      </c>
      <c r="EU1645">
        <v>0</v>
      </c>
      <c r="EV1645">
        <v>0</v>
      </c>
      <c r="EW1645" s="2">
        <v>43222</v>
      </c>
      <c r="EX1645" s="1">
        <v>42515</v>
      </c>
      <c r="EY1645">
        <v>2015</v>
      </c>
      <c r="EZ1645">
        <v>29.67</v>
      </c>
      <c r="FA1645" t="s">
        <v>16365</v>
      </c>
      <c r="FB1645">
        <v>0.25</v>
      </c>
      <c r="FC1645" t="s">
        <v>424</v>
      </c>
      <c r="FD1645" t="s">
        <v>425</v>
      </c>
      <c r="FE1645" s="1">
        <v>42794</v>
      </c>
      <c r="FF1645">
        <v>9</v>
      </c>
      <c r="FG1645">
        <v>6516843</v>
      </c>
      <c r="FH1645" t="s">
        <v>601</v>
      </c>
      <c r="FJ1645" s="1">
        <v>42151</v>
      </c>
      <c r="FK1645">
        <v>2014</v>
      </c>
      <c r="FL1645">
        <v>29.71</v>
      </c>
      <c r="FM1645" t="s">
        <v>16366</v>
      </c>
      <c r="FN1645">
        <v>18</v>
      </c>
      <c r="FO1645" t="s">
        <v>424</v>
      </c>
      <c r="FP1645" t="s">
        <v>425</v>
      </c>
      <c r="FQ1645" s="1">
        <v>42794</v>
      </c>
      <c r="FR1645">
        <v>21</v>
      </c>
      <c r="FS1645">
        <v>6516843</v>
      </c>
      <c r="FT1645" t="s">
        <v>601</v>
      </c>
      <c r="FV1645" s="1">
        <v>42151</v>
      </c>
      <c r="FW1645">
        <v>2013</v>
      </c>
      <c r="FX1645">
        <v>30.06</v>
      </c>
      <c r="FY1645" t="s">
        <v>16367</v>
      </c>
      <c r="FZ1645">
        <v>6.75</v>
      </c>
      <c r="GA1645" t="s">
        <v>424</v>
      </c>
      <c r="GB1645" t="s">
        <v>425</v>
      </c>
      <c r="GC1645" s="1">
        <v>42794</v>
      </c>
      <c r="GD1645">
        <v>21</v>
      </c>
      <c r="GE1645">
        <v>6516843</v>
      </c>
      <c r="GF1645" t="s">
        <v>601</v>
      </c>
    </row>
    <row r="1646" spans="1:284" x14ac:dyDescent="0.25">
      <c r="A1646">
        <v>16486653</v>
      </c>
      <c r="B1646">
        <v>1645</v>
      </c>
      <c r="C1646" t="s">
        <v>393</v>
      </c>
      <c r="D1646" t="s">
        <v>394</v>
      </c>
      <c r="F1646" t="str">
        <f>"43-2N-28-0000-0001-0120"</f>
        <v>43-2N-28-0000-0001-0120</v>
      </c>
      <c r="H1646" t="str">
        <f>"JENKINS JOHN A JR"</f>
        <v>JENKINS JOHN A JR</v>
      </c>
      <c r="I1646" t="str">
        <f>"95098 FRANK WARD RD"</f>
        <v>95098 FRANK WARD RD</v>
      </c>
      <c r="J1646" t="str">
        <f t="shared" si="591"/>
        <v>FERNANDINA BEACH FL 32034</v>
      </c>
      <c r="K1646" t="str">
        <f>"95082 FRANK WARD RD"</f>
        <v>95082 FRANK WARD RD</v>
      </c>
      <c r="L1646" t="str">
        <f t="shared" si="592"/>
        <v>FERNANDINA BEACH FL 32034</v>
      </c>
      <c r="M1646" t="str">
        <f>"IN OR 764 PG 1455 L/E PT OR 815/494 EX R/W OR 978/303 PARCELS 1-12 &amp; 1-17"</f>
        <v>IN OR 764 PG 1455 L/E PT OR 815/494 EX R/W OR 978/303 PARCELS 1-12 &amp; 1-17</v>
      </c>
      <c r="N1646" t="str">
        <f>""</f>
        <v/>
      </c>
      <c r="O1646" t="str">
        <f>"50113"</f>
        <v>50113</v>
      </c>
      <c r="P1646" t="str">
        <f t="shared" si="577"/>
        <v>2017</v>
      </c>
      <c r="Q1646" t="str">
        <f>""</f>
        <v/>
      </c>
      <c r="R1646" t="str">
        <f>"N"</f>
        <v>N</v>
      </c>
      <c r="S1646" t="str">
        <f>"1.29"</f>
        <v>1.29</v>
      </c>
      <c r="T1646" t="str">
        <f>"547.33"</f>
        <v>547.33</v>
      </c>
      <c r="U1646" t="str">
        <f>"33229.00"</f>
        <v>33229.00</v>
      </c>
      <c r="V1646" t="str">
        <f>"33229.00"</f>
        <v>33229.00</v>
      </c>
      <c r="W1646" t="str">
        <f t="shared" si="578"/>
        <v>2017</v>
      </c>
      <c r="X1646" t="str">
        <f>"19.00"</f>
        <v>19.00</v>
      </c>
      <c r="Y1646" t="str">
        <f>"595.75"</f>
        <v>595.75</v>
      </c>
      <c r="Z1646" t="str">
        <f>""</f>
        <v/>
      </c>
      <c r="AA1646" t="str">
        <f>"39942.00"</f>
        <v>39942.00</v>
      </c>
      <c r="AB1646" t="str">
        <f>"Residential"</f>
        <v>Residential</v>
      </c>
      <c r="AC1646" t="str">
        <f t="shared" si="588"/>
        <v>0</v>
      </c>
      <c r="AD1646" t="str">
        <f>""</f>
        <v/>
      </c>
      <c r="AE1646" t="str">
        <f>""</f>
        <v/>
      </c>
      <c r="AF1646" t="str">
        <f>"000"</f>
        <v>000</v>
      </c>
      <c r="AG1646" t="str">
        <f t="shared" si="590"/>
        <v>FL</v>
      </c>
      <c r="AH1646" t="str">
        <f>"56192.00"</f>
        <v>56192.00</v>
      </c>
      <c r="AI1646" t="str">
        <f>"32250.00"</f>
        <v>32250.00</v>
      </c>
      <c r="AJ1646" t="str">
        <f>"C55-000-588-3517-4"</f>
        <v>C55-000-588-3517-4</v>
      </c>
      <c r="AK1646" t="str">
        <f>"29636"</f>
        <v>29636</v>
      </c>
      <c r="AL1646">
        <v>6</v>
      </c>
      <c r="AM1646">
        <v>1879</v>
      </c>
      <c r="AN1646">
        <v>623.94000000000005</v>
      </c>
      <c r="AQ1646" t="s">
        <v>16368</v>
      </c>
      <c r="AR1646" t="s">
        <v>16368</v>
      </c>
      <c r="AS1646" t="s">
        <v>16368</v>
      </c>
      <c r="AU1646" t="s">
        <v>396</v>
      </c>
      <c r="AV1646">
        <v>2017</v>
      </c>
      <c r="AW1646" t="str">
        <f>"43-2N-28-0000-0001-0120 "</f>
        <v xml:space="preserve">43-2N-28-0000-0001-0120 </v>
      </c>
      <c r="AX1646">
        <v>95082</v>
      </c>
      <c r="AZ1646" t="s">
        <v>16359</v>
      </c>
      <c r="BA1646" t="s">
        <v>496</v>
      </c>
      <c r="BD1646" t="s">
        <v>11749</v>
      </c>
      <c r="BE1646" t="s">
        <v>393</v>
      </c>
      <c r="BF1646">
        <v>32034</v>
      </c>
      <c r="BG1646" t="s">
        <v>16369</v>
      </c>
      <c r="BH1646" t="s">
        <v>11751</v>
      </c>
      <c r="BI1646">
        <v>-81.509403451028206</v>
      </c>
      <c r="BJ1646">
        <v>30.590627298271599</v>
      </c>
      <c r="BK1646" t="s">
        <v>16361</v>
      </c>
      <c r="BM1646" t="s">
        <v>16362</v>
      </c>
      <c r="BN1646" t="s">
        <v>3983</v>
      </c>
      <c r="BO1646">
        <v>32034</v>
      </c>
      <c r="BP1646" t="s">
        <v>404</v>
      </c>
      <c r="BQ1646">
        <v>1</v>
      </c>
      <c r="BR1646" t="s">
        <v>491</v>
      </c>
      <c r="BS1646">
        <v>8001</v>
      </c>
      <c r="BT1646" t="s">
        <v>492</v>
      </c>
      <c r="BW1646">
        <v>56192</v>
      </c>
      <c r="BX1646" t="s">
        <v>407</v>
      </c>
      <c r="BY1646" t="s">
        <v>408</v>
      </c>
      <c r="CD1646">
        <v>2017</v>
      </c>
      <c r="CE1646">
        <v>32250</v>
      </c>
      <c r="CF1646">
        <v>7692</v>
      </c>
      <c r="CG1646">
        <v>39942</v>
      </c>
      <c r="CH1646">
        <v>2017</v>
      </c>
      <c r="CI1646">
        <v>32250</v>
      </c>
      <c r="CJ1646">
        <v>7692</v>
      </c>
      <c r="CK1646">
        <v>39942</v>
      </c>
      <c r="CL1646">
        <v>2017</v>
      </c>
      <c r="CM1646">
        <v>547.33000000000004</v>
      </c>
      <c r="CN1646" s="1">
        <v>35765</v>
      </c>
      <c r="CZ1646" s="1">
        <v>35765</v>
      </c>
      <c r="DD1646" t="s">
        <v>11749</v>
      </c>
      <c r="DG1646">
        <v>43</v>
      </c>
      <c r="DL1646">
        <v>50303</v>
      </c>
      <c r="DM1646" t="s">
        <v>16363</v>
      </c>
      <c r="DO1646" t="s">
        <v>16370</v>
      </c>
      <c r="DP1646">
        <v>0</v>
      </c>
      <c r="DQ1646">
        <v>0</v>
      </c>
      <c r="DR1646" t="s">
        <v>411</v>
      </c>
      <c r="DS1646" t="b">
        <v>1</v>
      </c>
      <c r="DT1646" t="s">
        <v>470</v>
      </c>
      <c r="DU1646" t="s">
        <v>10249</v>
      </c>
      <c r="DV1646" t="s">
        <v>472</v>
      </c>
      <c r="DX1646">
        <v>-9999</v>
      </c>
      <c r="DZ1646" t="s">
        <v>447</v>
      </c>
      <c r="EA1646" t="s">
        <v>448</v>
      </c>
      <c r="EB1646" t="s">
        <v>14895</v>
      </c>
      <c r="EC1646">
        <v>20101217</v>
      </c>
      <c r="ED1646" t="s">
        <v>10251</v>
      </c>
      <c r="EE1646">
        <v>5</v>
      </c>
      <c r="EF1646">
        <v>857.7</v>
      </c>
      <c r="EG1646">
        <v>0</v>
      </c>
      <c r="EI1646">
        <v>20160407</v>
      </c>
      <c r="EJ1646">
        <v>0</v>
      </c>
      <c r="EK1646">
        <v>0</v>
      </c>
      <c r="EP1646" t="s">
        <v>421</v>
      </c>
      <c r="EQ1646" t="s">
        <v>422</v>
      </c>
      <c r="ER1646">
        <v>2</v>
      </c>
      <c r="ES1646">
        <v>6</v>
      </c>
      <c r="ET1646">
        <v>1060.26</v>
      </c>
      <c r="EU1646">
        <v>65.510000000000005</v>
      </c>
      <c r="EV1646">
        <v>1125.77</v>
      </c>
      <c r="EW1646" s="2">
        <v>43222</v>
      </c>
      <c r="EX1646" s="1">
        <v>42879</v>
      </c>
      <c r="EY1646">
        <v>2016</v>
      </c>
      <c r="EZ1646">
        <v>530.13</v>
      </c>
      <c r="FA1646" t="s">
        <v>16371</v>
      </c>
      <c r="FB1646">
        <v>0.25</v>
      </c>
      <c r="FC1646" t="s">
        <v>424</v>
      </c>
      <c r="FD1646" t="s">
        <v>454</v>
      </c>
      <c r="FF1646">
        <v>12</v>
      </c>
      <c r="FG1646">
        <v>7400234</v>
      </c>
      <c r="FH1646" t="s">
        <v>426</v>
      </c>
      <c r="FJ1646" s="1">
        <v>42879</v>
      </c>
      <c r="FK1646">
        <v>2016</v>
      </c>
      <c r="FL1646">
        <v>530.13</v>
      </c>
      <c r="FM1646" t="s">
        <v>16371</v>
      </c>
      <c r="FN1646">
        <v>0.25</v>
      </c>
      <c r="FO1646" t="s">
        <v>424</v>
      </c>
      <c r="FP1646" t="s">
        <v>454</v>
      </c>
      <c r="FR1646">
        <v>12</v>
      </c>
      <c r="FS1646">
        <v>7420919</v>
      </c>
      <c r="FT1646" t="s">
        <v>16372</v>
      </c>
      <c r="FV1646" s="1">
        <v>42515</v>
      </c>
      <c r="FW1646">
        <v>2015</v>
      </c>
      <c r="FX1646">
        <v>537.67999999999995</v>
      </c>
      <c r="FY1646" t="s">
        <v>16373</v>
      </c>
      <c r="FZ1646">
        <v>0.25</v>
      </c>
      <c r="GA1646" t="s">
        <v>424</v>
      </c>
      <c r="GB1646" t="s">
        <v>425</v>
      </c>
      <c r="GC1646" s="1">
        <v>43159</v>
      </c>
      <c r="GD1646">
        <v>21</v>
      </c>
      <c r="GE1646">
        <v>7045074</v>
      </c>
      <c r="GF1646" t="s">
        <v>580</v>
      </c>
      <c r="GH1646" s="1">
        <v>42515</v>
      </c>
      <c r="GI1646">
        <v>2015</v>
      </c>
      <c r="GJ1646">
        <v>537.67999999999995</v>
      </c>
      <c r="GK1646" t="s">
        <v>16373</v>
      </c>
      <c r="GL1646">
        <v>0.25</v>
      </c>
      <c r="GM1646" t="s">
        <v>424</v>
      </c>
      <c r="GN1646" t="s">
        <v>425</v>
      </c>
      <c r="GP1646">
        <v>22</v>
      </c>
      <c r="GQ1646">
        <v>6387188</v>
      </c>
      <c r="GR1646" t="s">
        <v>16374</v>
      </c>
      <c r="GT1646" s="1">
        <v>42151</v>
      </c>
      <c r="GU1646">
        <v>2014</v>
      </c>
      <c r="GV1646">
        <v>540.52</v>
      </c>
      <c r="GW1646" t="s">
        <v>16375</v>
      </c>
      <c r="GX1646">
        <v>4.75</v>
      </c>
      <c r="GY1646" t="s">
        <v>424</v>
      </c>
      <c r="GZ1646" t="s">
        <v>425</v>
      </c>
      <c r="HA1646" s="1">
        <v>42794</v>
      </c>
      <c r="HB1646">
        <v>21</v>
      </c>
      <c r="HC1646">
        <v>4975593</v>
      </c>
      <c r="HD1646" t="s">
        <v>505</v>
      </c>
      <c r="HF1646" s="1">
        <v>41787</v>
      </c>
      <c r="HG1646">
        <v>2013</v>
      </c>
      <c r="HH1646">
        <v>512.91</v>
      </c>
      <c r="HI1646" t="s">
        <v>16376</v>
      </c>
      <c r="HJ1646">
        <v>0.25</v>
      </c>
      <c r="HK1646" t="s">
        <v>424</v>
      </c>
      <c r="HL1646" t="s">
        <v>425</v>
      </c>
      <c r="HM1646" s="1">
        <v>42426</v>
      </c>
      <c r="HN1646">
        <v>21</v>
      </c>
      <c r="HO1646">
        <v>10125</v>
      </c>
      <c r="HP1646" t="s">
        <v>440</v>
      </c>
      <c r="HR1646" s="1">
        <v>41423</v>
      </c>
      <c r="HS1646">
        <v>2012</v>
      </c>
      <c r="HT1646">
        <v>518.64</v>
      </c>
      <c r="HU1646" t="s">
        <v>16377</v>
      </c>
      <c r="HV1646">
        <v>0.25</v>
      </c>
      <c r="HW1646" t="s">
        <v>424</v>
      </c>
      <c r="HX1646" t="s">
        <v>425</v>
      </c>
      <c r="HY1646" s="1">
        <v>42060</v>
      </c>
      <c r="HZ1646">
        <v>21</v>
      </c>
      <c r="IA1646">
        <v>2101385</v>
      </c>
      <c r="IB1646" t="s">
        <v>810</v>
      </c>
      <c r="ID1646" s="1">
        <v>41052</v>
      </c>
      <c r="IE1646">
        <v>2011</v>
      </c>
      <c r="IF1646">
        <v>603.08000000000004</v>
      </c>
      <c r="IG1646" t="s">
        <v>16378</v>
      </c>
      <c r="IH1646">
        <v>5.75</v>
      </c>
      <c r="II1646" t="s">
        <v>424</v>
      </c>
      <c r="IJ1646" t="s">
        <v>425</v>
      </c>
      <c r="IK1646" s="1">
        <v>41380</v>
      </c>
      <c r="IL1646">
        <v>11</v>
      </c>
      <c r="IM1646">
        <v>10579</v>
      </c>
      <c r="IN1646" t="s">
        <v>488</v>
      </c>
    </row>
    <row r="1647" spans="1:284" x14ac:dyDescent="0.25">
      <c r="A1647">
        <v>16486654</v>
      </c>
      <c r="B1647">
        <v>1646</v>
      </c>
      <c r="C1647" t="s">
        <v>393</v>
      </c>
      <c r="D1647" t="s">
        <v>394</v>
      </c>
      <c r="F1647" t="str">
        <f>"43-2N-28-0000-0001-0140"</f>
        <v>43-2N-28-0000-0001-0140</v>
      </c>
      <c r="H1647" t="str">
        <f>"THRIFT GEORGE H SR"</f>
        <v>THRIFT GEORGE H SR</v>
      </c>
      <c r="I1647" t="str">
        <f>"474379 E SR 200"</f>
        <v>474379 E SR 200</v>
      </c>
      <c r="J1647" t="str">
        <f t="shared" si="591"/>
        <v>FERNANDINA BEACH FL 32034</v>
      </c>
      <c r="K1647" t="str">
        <f>"TAMMY TL"</f>
        <v>TAMMY TL</v>
      </c>
      <c r="L1647" t="str">
        <f t="shared" si="592"/>
        <v>FERNANDINA BEACH FL 32034</v>
      </c>
      <c r="M1647" t="str">
        <f>"PT D FERNANDEZ GRANT SEC 43-2N-28E IN OR 879/580"</f>
        <v>PT D FERNANDEZ GRANT SEC 43-2N-28E IN OR 879/580</v>
      </c>
      <c r="N1647" t="str">
        <f>""</f>
        <v/>
      </c>
      <c r="O1647" t="str">
        <f>"50114"</f>
        <v>50114</v>
      </c>
      <c r="P1647" t="str">
        <f t="shared" si="577"/>
        <v>2017</v>
      </c>
      <c r="Q1647" t="str">
        <f>""</f>
        <v/>
      </c>
      <c r="R1647" t="str">
        <f>"N"</f>
        <v>N</v>
      </c>
      <c r="S1647" t="str">
        <f>"0.23"</f>
        <v>0.23</v>
      </c>
      <c r="T1647" t="str">
        <f>"43.52"</f>
        <v>43.52</v>
      </c>
      <c r="U1647" t="str">
        <f>"2875.00"</f>
        <v>2875.00</v>
      </c>
      <c r="V1647" t="str">
        <f>"2875.00"</f>
        <v>2875.00</v>
      </c>
      <c r="W1647" t="str">
        <f t="shared" si="578"/>
        <v>2017</v>
      </c>
      <c r="X1647" t="str">
        <f>""</f>
        <v/>
      </c>
      <c r="Y1647" t="str">
        <f>"76.83"</f>
        <v>76.83</v>
      </c>
      <c r="Z1647" t="str">
        <f>""</f>
        <v/>
      </c>
      <c r="AA1647" t="str">
        <f>"2875.00"</f>
        <v>2875.00</v>
      </c>
      <c r="AB1647" t="str">
        <f>"Residential"</f>
        <v>Residential</v>
      </c>
      <c r="AC1647" t="str">
        <f t="shared" si="588"/>
        <v>0</v>
      </c>
      <c r="AD1647" t="str">
        <f>""</f>
        <v/>
      </c>
      <c r="AE1647" t="str">
        <f>""</f>
        <v/>
      </c>
      <c r="AF1647" t="str">
        <f>"000"</f>
        <v>000</v>
      </c>
      <c r="AG1647" t="str">
        <f t="shared" si="590"/>
        <v>FL</v>
      </c>
      <c r="AH1647" t="str">
        <f>"10018.00"</f>
        <v>10018.00</v>
      </c>
      <c r="AI1647" t="str">
        <f>"2875.00"</f>
        <v>2875.00</v>
      </c>
      <c r="AJ1647" t="str">
        <f>"C55-000-588-3518-2"</f>
        <v>C55-000-588-3518-2</v>
      </c>
      <c r="AK1647" t="str">
        <f>"29637"</f>
        <v>29637</v>
      </c>
      <c r="AL1647">
        <v>6</v>
      </c>
      <c r="AM1647">
        <v>1880</v>
      </c>
      <c r="AN1647">
        <v>79.069999999999993</v>
      </c>
      <c r="AQ1647" t="s">
        <v>16379</v>
      </c>
      <c r="AR1647" t="s">
        <v>16379</v>
      </c>
      <c r="AS1647" t="s">
        <v>16379</v>
      </c>
      <c r="AU1647" t="s">
        <v>396</v>
      </c>
      <c r="AV1647">
        <v>2017</v>
      </c>
      <c r="AW1647" t="str">
        <f>"43-2N-28-0000-0001-0140 "</f>
        <v xml:space="preserve">43-2N-28-0000-0001-0140 </v>
      </c>
      <c r="AZ1647" t="s">
        <v>16380</v>
      </c>
      <c r="BD1647" t="s">
        <v>11749</v>
      </c>
      <c r="BE1647" t="s">
        <v>393</v>
      </c>
      <c r="BF1647">
        <v>32034</v>
      </c>
      <c r="BG1647" t="s">
        <v>16380</v>
      </c>
      <c r="BH1647" t="s">
        <v>11751</v>
      </c>
      <c r="BI1647">
        <v>-81.507599793061601</v>
      </c>
      <c r="BJ1647">
        <v>30.589609709996601</v>
      </c>
      <c r="BK1647" t="s">
        <v>16381</v>
      </c>
      <c r="BM1647" t="s">
        <v>16382</v>
      </c>
      <c r="BN1647" t="s">
        <v>3983</v>
      </c>
      <c r="BO1647">
        <v>32034</v>
      </c>
      <c r="BP1647" t="s">
        <v>404</v>
      </c>
      <c r="BQ1647">
        <v>0</v>
      </c>
      <c r="BR1647" t="s">
        <v>491</v>
      </c>
      <c r="BS1647">
        <v>8001</v>
      </c>
      <c r="BT1647" t="s">
        <v>492</v>
      </c>
      <c r="BW1647">
        <v>10018</v>
      </c>
      <c r="BX1647" t="s">
        <v>407</v>
      </c>
      <c r="BY1647" t="s">
        <v>408</v>
      </c>
      <c r="CD1647">
        <v>2017</v>
      </c>
      <c r="CE1647">
        <v>2875</v>
      </c>
      <c r="CG1647">
        <v>2875</v>
      </c>
      <c r="CH1647">
        <v>2017</v>
      </c>
      <c r="CI1647">
        <v>2875</v>
      </c>
      <c r="CK1647">
        <v>2875</v>
      </c>
      <c r="CL1647">
        <v>2017</v>
      </c>
      <c r="CM1647">
        <v>43.52</v>
      </c>
      <c r="CN1647" s="1">
        <v>36269</v>
      </c>
      <c r="CZ1647" s="1">
        <v>36269</v>
      </c>
      <c r="DD1647" t="s">
        <v>11749</v>
      </c>
      <c r="DG1647">
        <v>43</v>
      </c>
      <c r="DL1647">
        <v>50303</v>
      </c>
      <c r="DM1647" t="s">
        <v>16363</v>
      </c>
      <c r="DO1647" t="s">
        <v>16383</v>
      </c>
      <c r="DP1647">
        <v>0</v>
      </c>
      <c r="DQ1647">
        <v>0</v>
      </c>
      <c r="DR1647" t="s">
        <v>411</v>
      </c>
    </row>
    <row r="1648" spans="1:284" x14ac:dyDescent="0.25">
      <c r="A1648">
        <v>16486655</v>
      </c>
      <c r="B1648">
        <v>1647</v>
      </c>
      <c r="C1648" t="s">
        <v>393</v>
      </c>
      <c r="D1648" t="s">
        <v>394</v>
      </c>
      <c r="F1648" t="str">
        <f>"43-2N-28-0000-0003-0000"</f>
        <v>43-2N-28-0000-0003-0000</v>
      </c>
      <c r="H1648" t="str">
        <f>"JENKINS JOHN A JR"</f>
        <v>JENKINS JOHN A JR</v>
      </c>
      <c r="I1648" t="str">
        <f>"95098 FRANK WARD RD"</f>
        <v>95098 FRANK WARD RD</v>
      </c>
      <c r="J1648" t="str">
        <f t="shared" si="591"/>
        <v>FERNANDINA BEACH FL 32034</v>
      </c>
      <c r="K1648" t="str">
        <f>"95098 FRANK WARD RD"</f>
        <v>95098 FRANK WARD RD</v>
      </c>
      <c r="L1648" t="str">
        <f t="shared" si="592"/>
        <v>FERNANDINA BEACH FL 32034</v>
      </c>
      <c r="M1648" t="str">
        <f>"IN OR 1770/1907 EX R/W OR 978/297 &amp; EX R/W OR 1015/1600 EX 3-1 3-2 3-3 3-4 3-5 3-6 &amp; EX 3-7 ESMT OR 1149/749"</f>
        <v>IN OR 1770/1907 EX R/W OR 978/297 &amp; EX R/W OR 1015/1600 EX 3-1 3-2 3-3 3-4 3-5 3-6 &amp; EX 3-7 ESMT OR 1149/749</v>
      </c>
      <c r="N1648" t="str">
        <f>""</f>
        <v/>
      </c>
      <c r="O1648" t="str">
        <f>"50120"</f>
        <v>50120</v>
      </c>
      <c r="P1648" t="str">
        <f t="shared" si="577"/>
        <v>2017</v>
      </c>
      <c r="Q1648" t="str">
        <f>""</f>
        <v/>
      </c>
      <c r="R1648" t="str">
        <f>"Y"</f>
        <v>Y</v>
      </c>
      <c r="S1648" t="str">
        <f>"6.08"</f>
        <v>6.08</v>
      </c>
      <c r="T1648" t="str">
        <f>"2318.49"</f>
        <v>2318.49</v>
      </c>
      <c r="U1648" t="str">
        <f>"192253.00"</f>
        <v>192253.00</v>
      </c>
      <c r="V1648" t="str">
        <f>"192253.00"</f>
        <v>192253.00</v>
      </c>
      <c r="W1648" t="str">
        <f t="shared" si="578"/>
        <v>2017</v>
      </c>
      <c r="X1648" t="str">
        <f>"21.25"</f>
        <v>21.25</v>
      </c>
      <c r="Y1648" t="str">
        <f>"2420.04"</f>
        <v>2420.04</v>
      </c>
      <c r="Z1648" t="str">
        <f>"25000.00"</f>
        <v>25000.00</v>
      </c>
      <c r="AA1648" t="str">
        <f>"167253.00"</f>
        <v>167253.00</v>
      </c>
      <c r="AB1648" t="str">
        <f>"Residential"</f>
        <v>Residential</v>
      </c>
      <c r="AC1648" t="str">
        <f t="shared" si="588"/>
        <v>0</v>
      </c>
      <c r="AD1648" t="str">
        <f>"4"</f>
        <v>4</v>
      </c>
      <c r="AE1648" t="str">
        <f>"WOOD (INCLUDE STEEL STUDS)"</f>
        <v>WOOD (INCLUDE STEEL STUDS)</v>
      </c>
      <c r="AF1648" t="str">
        <f>"001"</f>
        <v>001</v>
      </c>
      <c r="AG1648" t="str">
        <f t="shared" si="590"/>
        <v>FL</v>
      </c>
      <c r="AH1648" t="str">
        <f>"264844.00"</f>
        <v>264844.00</v>
      </c>
      <c r="AI1648" t="str">
        <f>"106400.00"</f>
        <v>106400.00</v>
      </c>
      <c r="AJ1648" t="str">
        <f>"C55-000-588-3522-4"</f>
        <v>C55-000-588-3522-4</v>
      </c>
      <c r="AK1648" t="str">
        <f>"29641"</f>
        <v>29641</v>
      </c>
      <c r="AL1648">
        <v>6</v>
      </c>
      <c r="AM1648">
        <v>1881</v>
      </c>
      <c r="AN1648">
        <v>2539.44</v>
      </c>
      <c r="AQ1648" t="s">
        <v>16384</v>
      </c>
      <c r="AR1648" t="s">
        <v>16384</v>
      </c>
      <c r="AS1648" t="s">
        <v>16384</v>
      </c>
      <c r="AU1648" t="s">
        <v>396</v>
      </c>
      <c r="AV1648">
        <v>2017</v>
      </c>
      <c r="AW1648" t="str">
        <f>"43-2N-28-0000-0003-0000 "</f>
        <v xml:space="preserve">43-2N-28-0000-0003-0000 </v>
      </c>
      <c r="AX1648">
        <v>95098</v>
      </c>
      <c r="AZ1648" t="s">
        <v>16359</v>
      </c>
      <c r="BA1648" t="s">
        <v>496</v>
      </c>
      <c r="BD1648" t="s">
        <v>11749</v>
      </c>
      <c r="BE1648" t="s">
        <v>393</v>
      </c>
      <c r="BF1648">
        <v>32034</v>
      </c>
      <c r="BG1648" t="s">
        <v>16362</v>
      </c>
      <c r="BH1648" t="s">
        <v>11751</v>
      </c>
      <c r="BI1648">
        <v>-81.510463066738097</v>
      </c>
      <c r="BJ1648">
        <v>30.5914457304095</v>
      </c>
      <c r="BK1648" t="s">
        <v>16361</v>
      </c>
      <c r="BM1648" t="s">
        <v>16362</v>
      </c>
      <c r="BN1648" t="s">
        <v>3983</v>
      </c>
      <c r="BO1648">
        <v>32034</v>
      </c>
      <c r="BP1648" t="s">
        <v>416</v>
      </c>
      <c r="BQ1648">
        <v>100</v>
      </c>
      <c r="BR1648" t="s">
        <v>514</v>
      </c>
      <c r="BS1648">
        <v>1001</v>
      </c>
      <c r="BT1648" t="s">
        <v>515</v>
      </c>
      <c r="BW1648">
        <v>264844</v>
      </c>
      <c r="BX1648" t="s">
        <v>407</v>
      </c>
      <c r="BZ1648">
        <v>4</v>
      </c>
      <c r="CA1648">
        <v>1976</v>
      </c>
      <c r="CB1648">
        <v>1</v>
      </c>
      <c r="CC1648">
        <v>1</v>
      </c>
      <c r="CD1648">
        <v>2017</v>
      </c>
      <c r="CG1648">
        <v>192253</v>
      </c>
      <c r="CH1648">
        <v>2017</v>
      </c>
      <c r="CI1648">
        <v>106400</v>
      </c>
      <c r="CJ1648">
        <v>104159</v>
      </c>
      <c r="CK1648">
        <v>210559</v>
      </c>
      <c r="CL1648">
        <v>2017</v>
      </c>
      <c r="CM1648">
        <v>2318.4899999999998</v>
      </c>
      <c r="CN1648" s="1">
        <v>40906</v>
      </c>
      <c r="CO1648">
        <v>44318</v>
      </c>
      <c r="CV1648">
        <v>46553</v>
      </c>
      <c r="CX1648" t="s">
        <v>693</v>
      </c>
      <c r="CZ1648" s="1">
        <v>40906</v>
      </c>
      <c r="DA1648">
        <v>0</v>
      </c>
      <c r="DD1648" t="s">
        <v>11749</v>
      </c>
      <c r="DG1648">
        <v>43</v>
      </c>
      <c r="DL1648">
        <v>50303</v>
      </c>
      <c r="DM1648" t="s">
        <v>16363</v>
      </c>
      <c r="DO1648" t="s">
        <v>16385</v>
      </c>
      <c r="DP1648">
        <v>0</v>
      </c>
      <c r="DQ1648">
        <v>0</v>
      </c>
      <c r="DR1648" t="s">
        <v>411</v>
      </c>
      <c r="DS1648" t="b">
        <v>1</v>
      </c>
      <c r="DT1648" t="s">
        <v>470</v>
      </c>
      <c r="DU1648" t="s">
        <v>471</v>
      </c>
      <c r="DV1648" t="s">
        <v>472</v>
      </c>
      <c r="DX1648">
        <v>-9999</v>
      </c>
      <c r="DZ1648" t="s">
        <v>447</v>
      </c>
      <c r="EA1648" t="s">
        <v>448</v>
      </c>
      <c r="EB1648" t="s">
        <v>16386</v>
      </c>
      <c r="EC1648">
        <v>20101217</v>
      </c>
      <c r="ED1648" t="s">
        <v>474</v>
      </c>
      <c r="EF1648">
        <v>1032.3</v>
      </c>
      <c r="EG1648">
        <v>106.9</v>
      </c>
      <c r="EI1648">
        <v>20160407</v>
      </c>
      <c r="EJ1648">
        <v>0</v>
      </c>
      <c r="EK1648">
        <v>0</v>
      </c>
      <c r="EP1648" t="s">
        <v>421</v>
      </c>
      <c r="EQ1648" t="s">
        <v>422</v>
      </c>
      <c r="ER1648">
        <v>2</v>
      </c>
      <c r="ES1648">
        <v>6</v>
      </c>
      <c r="ET1648">
        <v>5010.3999999999996</v>
      </c>
      <c r="EU1648">
        <v>263.02</v>
      </c>
      <c r="EV1648">
        <v>5273.42</v>
      </c>
      <c r="EW1648" s="2">
        <v>43222</v>
      </c>
      <c r="EX1648" s="1">
        <v>42879</v>
      </c>
      <c r="EY1648">
        <v>2016</v>
      </c>
      <c r="EZ1648">
        <v>2505.1999999999998</v>
      </c>
      <c r="FA1648" t="s">
        <v>16387</v>
      </c>
      <c r="FB1648">
        <v>0.25</v>
      </c>
      <c r="FC1648" t="s">
        <v>424</v>
      </c>
      <c r="FD1648" t="s">
        <v>454</v>
      </c>
      <c r="FF1648">
        <v>12</v>
      </c>
      <c r="FG1648">
        <v>7400234</v>
      </c>
      <c r="FH1648" t="s">
        <v>426</v>
      </c>
      <c r="FJ1648" s="1">
        <v>42879</v>
      </c>
      <c r="FK1648">
        <v>2016</v>
      </c>
      <c r="FL1648">
        <v>2505.1999999999998</v>
      </c>
      <c r="FM1648" t="s">
        <v>16387</v>
      </c>
      <c r="FN1648">
        <v>0.25</v>
      </c>
      <c r="FO1648" t="s">
        <v>424</v>
      </c>
      <c r="FP1648" t="s">
        <v>454</v>
      </c>
      <c r="FR1648">
        <v>12</v>
      </c>
      <c r="FS1648">
        <v>7436987</v>
      </c>
      <c r="FT1648" t="s">
        <v>16388</v>
      </c>
      <c r="FV1648" s="1">
        <v>42515</v>
      </c>
      <c r="FW1648">
        <v>2015</v>
      </c>
      <c r="FX1648">
        <v>3234.61</v>
      </c>
      <c r="FY1648" t="s">
        <v>16389</v>
      </c>
      <c r="FZ1648">
        <v>0.25</v>
      </c>
      <c r="GA1648" t="s">
        <v>424</v>
      </c>
      <c r="GB1648" t="s">
        <v>425</v>
      </c>
      <c r="GC1648" s="1">
        <v>43189</v>
      </c>
      <c r="GD1648">
        <v>22</v>
      </c>
      <c r="GE1648">
        <v>2851116</v>
      </c>
      <c r="GF1648" t="s">
        <v>480</v>
      </c>
      <c r="GH1648" s="1">
        <v>42515</v>
      </c>
      <c r="GI1648">
        <v>2015</v>
      </c>
      <c r="GJ1648">
        <v>3234.61</v>
      </c>
      <c r="GK1648" t="s">
        <v>16389</v>
      </c>
      <c r="GL1648">
        <v>0.25</v>
      </c>
      <c r="GM1648" t="s">
        <v>424</v>
      </c>
      <c r="GN1648" t="s">
        <v>425</v>
      </c>
      <c r="GP1648">
        <v>22</v>
      </c>
      <c r="GQ1648">
        <v>5732433</v>
      </c>
      <c r="GR1648" t="s">
        <v>16390</v>
      </c>
      <c r="GT1648" s="1">
        <v>42151</v>
      </c>
      <c r="GU1648">
        <v>2014</v>
      </c>
      <c r="GV1648">
        <v>3198.7</v>
      </c>
      <c r="GW1648" t="s">
        <v>16391</v>
      </c>
      <c r="GX1648">
        <v>0.25</v>
      </c>
      <c r="GY1648" t="s">
        <v>424</v>
      </c>
      <c r="GZ1648" t="s">
        <v>425</v>
      </c>
      <c r="HA1648" s="1">
        <v>42794</v>
      </c>
      <c r="HB1648">
        <v>21</v>
      </c>
      <c r="HC1648">
        <v>4844983</v>
      </c>
      <c r="HD1648" t="s">
        <v>3901</v>
      </c>
      <c r="HF1648" s="1">
        <v>42151</v>
      </c>
      <c r="HG1648">
        <v>2014</v>
      </c>
      <c r="HH1648">
        <v>3198.7</v>
      </c>
      <c r="HI1648" t="s">
        <v>16391</v>
      </c>
      <c r="HJ1648">
        <v>0.25</v>
      </c>
      <c r="HK1648" t="s">
        <v>424</v>
      </c>
      <c r="HL1648" t="s">
        <v>425</v>
      </c>
      <c r="HN1648">
        <v>22</v>
      </c>
      <c r="HO1648">
        <v>6190355</v>
      </c>
      <c r="HP1648" t="s">
        <v>16392</v>
      </c>
      <c r="HR1648" s="1">
        <v>41787</v>
      </c>
      <c r="HS1648">
        <v>2013</v>
      </c>
      <c r="HT1648">
        <v>2927.15</v>
      </c>
      <c r="HU1648" t="s">
        <v>16393</v>
      </c>
      <c r="HV1648">
        <v>0.25</v>
      </c>
      <c r="HW1648" t="s">
        <v>424</v>
      </c>
      <c r="HX1648" t="s">
        <v>425</v>
      </c>
      <c r="HY1648" s="1">
        <v>42426</v>
      </c>
      <c r="HZ1648">
        <v>21</v>
      </c>
      <c r="IA1648">
        <v>2407503</v>
      </c>
      <c r="IB1648" t="s">
        <v>461</v>
      </c>
      <c r="ID1648" s="1">
        <v>41423</v>
      </c>
      <c r="IE1648">
        <v>2012</v>
      </c>
      <c r="IF1648">
        <v>2969.6</v>
      </c>
      <c r="IG1648" t="s">
        <v>16394</v>
      </c>
      <c r="IH1648">
        <v>0.25</v>
      </c>
      <c r="II1648" t="s">
        <v>424</v>
      </c>
      <c r="IJ1648" t="s">
        <v>425</v>
      </c>
      <c r="IK1648" s="1">
        <v>42060</v>
      </c>
      <c r="IL1648">
        <v>21</v>
      </c>
      <c r="IM1648">
        <v>15972</v>
      </c>
      <c r="IN1648" t="s">
        <v>2572</v>
      </c>
    </row>
    <row r="1649" spans="1:284" x14ac:dyDescent="0.25">
      <c r="A1649">
        <v>16486656</v>
      </c>
      <c r="B1649">
        <v>1648</v>
      </c>
      <c r="C1649" t="s">
        <v>393</v>
      </c>
      <c r="D1649" t="s">
        <v>394</v>
      </c>
      <c r="F1649" t="str">
        <f>"43-2N-28-0000-0003-0040"</f>
        <v>43-2N-28-0000-0003-0040</v>
      </c>
      <c r="H1649" t="str">
        <f>"MCCARROLL MICHAEL ORY &amp; ASHLEY"</f>
        <v>MCCARROLL MICHAEL ORY &amp; ASHLEY</v>
      </c>
      <c r="I1649" t="str">
        <f>"95184 FLATWOODS TRAIL"</f>
        <v>95184 FLATWOODS TRAIL</v>
      </c>
      <c r="J1649" t="str">
        <f t="shared" si="591"/>
        <v>FERNANDINA BEACH FL 32034</v>
      </c>
      <c r="K1649" t="str">
        <f>"95184 FLATWOODS TL"</f>
        <v>95184 FLATWOODS TL</v>
      </c>
      <c r="L1649" t="str">
        <f t="shared" si="592"/>
        <v>FERNANDINA BEACH FL 32034</v>
      </c>
      <c r="M1649" t="str">
        <f>"IN OR 1903/834"</f>
        <v>IN OR 1903/834</v>
      </c>
      <c r="N1649" t="str">
        <f>""</f>
        <v/>
      </c>
      <c r="O1649" t="str">
        <f>"50124"</f>
        <v>50124</v>
      </c>
      <c r="P1649" t="str">
        <f t="shared" si="577"/>
        <v>2017</v>
      </c>
      <c r="Q1649" t="str">
        <f>""</f>
        <v/>
      </c>
      <c r="R1649" t="str">
        <f>"N"</f>
        <v>N</v>
      </c>
      <c r="S1649" t="str">
        <f>"15.40"</f>
        <v>15.40</v>
      </c>
      <c r="T1649" t="str">
        <f>"309.18"</f>
        <v>309.18</v>
      </c>
      <c r="U1649" t="str">
        <f>"20424.00"</f>
        <v>20424.00</v>
      </c>
      <c r="V1649" t="str">
        <f>"20424.00"</f>
        <v>20424.00</v>
      </c>
      <c r="W1649" t="str">
        <f t="shared" si="578"/>
        <v>2017</v>
      </c>
      <c r="X1649" t="str">
        <f>"16.40"</f>
        <v>16.40</v>
      </c>
      <c r="Y1649" t="str">
        <f>"350.46"</f>
        <v>350.46</v>
      </c>
      <c r="Z1649" t="str">
        <f>""</f>
        <v/>
      </c>
      <c r="AA1649" t="str">
        <f>"20424.00"</f>
        <v>20424.00</v>
      </c>
      <c r="AB1649" t="str">
        <f>"Agricultural"</f>
        <v>Agricultural</v>
      </c>
      <c r="AC1649" t="str">
        <f t="shared" si="588"/>
        <v>0</v>
      </c>
      <c r="AD1649" t="str">
        <f>""</f>
        <v/>
      </c>
      <c r="AE1649" t="str">
        <f>""</f>
        <v/>
      </c>
      <c r="AF1649" t="str">
        <f>"056"</f>
        <v>056</v>
      </c>
      <c r="AG1649" t="str">
        <f t="shared" si="590"/>
        <v>FL</v>
      </c>
      <c r="AH1649" t="str">
        <f>"670824.00"</f>
        <v>670824.00</v>
      </c>
      <c r="AI1649" t="str">
        <f>"4394.00"</f>
        <v>4394.00</v>
      </c>
      <c r="AJ1649" t="str">
        <f>"C55-000-588-8962-7"</f>
        <v>C55-000-588-8962-7</v>
      </c>
      <c r="AK1649" t="str">
        <f>"29645"</f>
        <v>29645</v>
      </c>
      <c r="AL1649">
        <v>6</v>
      </c>
      <c r="AM1649">
        <v>1882</v>
      </c>
      <c r="AN1649">
        <v>366.38</v>
      </c>
      <c r="AQ1649" t="s">
        <v>16395</v>
      </c>
      <c r="AR1649" t="s">
        <v>16395</v>
      </c>
      <c r="AS1649" t="s">
        <v>16395</v>
      </c>
      <c r="AU1649" t="s">
        <v>396</v>
      </c>
      <c r="AV1649">
        <v>2017</v>
      </c>
      <c r="AW1649" t="str">
        <f>"43-2N-28-0000-0003-0040 "</f>
        <v xml:space="preserve">43-2N-28-0000-0003-0040 </v>
      </c>
      <c r="AX1649">
        <v>95184</v>
      </c>
      <c r="AZ1649" t="s">
        <v>16396</v>
      </c>
      <c r="BD1649" t="s">
        <v>11749</v>
      </c>
      <c r="BE1649" t="s">
        <v>393</v>
      </c>
      <c r="BF1649">
        <v>32034</v>
      </c>
      <c r="BG1649" t="s">
        <v>16397</v>
      </c>
      <c r="BH1649" t="s">
        <v>11751</v>
      </c>
      <c r="BI1649">
        <v>-81.508051851402996</v>
      </c>
      <c r="BJ1649">
        <v>30.594920579386599</v>
      </c>
      <c r="BK1649" t="s">
        <v>16398</v>
      </c>
      <c r="BL1649" t="s">
        <v>16399</v>
      </c>
      <c r="BM1649" t="s">
        <v>16400</v>
      </c>
      <c r="BN1649" t="s">
        <v>3983</v>
      </c>
      <c r="BO1649">
        <v>32034</v>
      </c>
      <c r="BP1649" t="s">
        <v>404</v>
      </c>
      <c r="BQ1649">
        <v>5600</v>
      </c>
      <c r="BR1649" t="s">
        <v>417</v>
      </c>
      <c r="BS1649">
        <v>7009</v>
      </c>
      <c r="BT1649" t="s">
        <v>418</v>
      </c>
      <c r="BW1649">
        <v>670824</v>
      </c>
      <c r="BX1649" t="s">
        <v>407</v>
      </c>
      <c r="CD1649">
        <v>2017</v>
      </c>
      <c r="CG1649">
        <v>20424</v>
      </c>
      <c r="CH1649">
        <v>2017</v>
      </c>
      <c r="CI1649">
        <v>4394</v>
      </c>
      <c r="CJ1649">
        <v>165636</v>
      </c>
      <c r="CK1649">
        <v>170030</v>
      </c>
      <c r="CL1649">
        <v>2017</v>
      </c>
      <c r="CM1649">
        <v>309.18</v>
      </c>
      <c r="CN1649" s="1">
        <v>41670</v>
      </c>
      <c r="CZ1649" s="1">
        <v>41670</v>
      </c>
      <c r="DD1649" t="s">
        <v>11749</v>
      </c>
      <c r="DG1649">
        <v>43</v>
      </c>
      <c r="DL1649">
        <v>50303</v>
      </c>
      <c r="DM1649" t="s">
        <v>16363</v>
      </c>
      <c r="DO1649" t="s">
        <v>16401</v>
      </c>
      <c r="DP1649">
        <v>0</v>
      </c>
      <c r="DQ1649">
        <v>0</v>
      </c>
      <c r="DR1649" t="s">
        <v>411</v>
      </c>
      <c r="DS1649" t="b">
        <v>1</v>
      </c>
      <c r="DT1649" t="s">
        <v>470</v>
      </c>
      <c r="DU1649" t="s">
        <v>10249</v>
      </c>
      <c r="DV1649" t="s">
        <v>472</v>
      </c>
      <c r="DX1649">
        <v>-9999</v>
      </c>
      <c r="DZ1649" t="s">
        <v>447</v>
      </c>
      <c r="EA1649" t="s">
        <v>448</v>
      </c>
      <c r="EB1649" t="s">
        <v>14895</v>
      </c>
      <c r="EC1649">
        <v>20101217</v>
      </c>
      <c r="ED1649" t="s">
        <v>10251</v>
      </c>
      <c r="EE1649">
        <v>5</v>
      </c>
      <c r="EF1649">
        <v>124.5</v>
      </c>
      <c r="EG1649">
        <v>0</v>
      </c>
      <c r="EI1649">
        <v>20160407</v>
      </c>
      <c r="EJ1649">
        <v>0</v>
      </c>
      <c r="EK1649">
        <v>0</v>
      </c>
      <c r="EP1649" t="s">
        <v>421</v>
      </c>
      <c r="EQ1649" t="s">
        <v>422</v>
      </c>
      <c r="ER1649">
        <v>2</v>
      </c>
      <c r="ES1649">
        <v>4</v>
      </c>
      <c r="ET1649">
        <v>693.84</v>
      </c>
      <c r="EU1649">
        <v>47.19</v>
      </c>
      <c r="EV1649">
        <v>741.03</v>
      </c>
      <c r="EW1649" s="2">
        <v>43222</v>
      </c>
      <c r="EX1649" s="1">
        <v>42879</v>
      </c>
      <c r="EY1649">
        <v>2016</v>
      </c>
      <c r="EZ1649">
        <v>346.92</v>
      </c>
      <c r="FA1649" t="s">
        <v>16402</v>
      </c>
      <c r="FB1649">
        <v>0.25</v>
      </c>
      <c r="FC1649" t="s">
        <v>424</v>
      </c>
      <c r="FD1649" t="s">
        <v>454</v>
      </c>
      <c r="FF1649">
        <v>12</v>
      </c>
      <c r="FG1649">
        <v>7400234</v>
      </c>
      <c r="FH1649" t="s">
        <v>426</v>
      </c>
      <c r="FJ1649" s="1">
        <v>42879</v>
      </c>
      <c r="FK1649">
        <v>2016</v>
      </c>
      <c r="FL1649">
        <v>346.92</v>
      </c>
      <c r="FM1649" t="s">
        <v>16402</v>
      </c>
      <c r="FN1649">
        <v>0.25</v>
      </c>
      <c r="FO1649" t="s">
        <v>424</v>
      </c>
      <c r="FP1649" t="s">
        <v>454</v>
      </c>
      <c r="FR1649">
        <v>12</v>
      </c>
      <c r="FS1649">
        <v>7555871</v>
      </c>
      <c r="FT1649" t="s">
        <v>16403</v>
      </c>
      <c r="FV1649" s="1">
        <v>42515</v>
      </c>
      <c r="FW1649">
        <v>2015</v>
      </c>
      <c r="FX1649">
        <v>359.8</v>
      </c>
      <c r="FY1649" t="s">
        <v>16404</v>
      </c>
      <c r="FZ1649">
        <v>0.25</v>
      </c>
      <c r="GA1649" t="s">
        <v>424</v>
      </c>
      <c r="GB1649" t="s">
        <v>425</v>
      </c>
      <c r="GC1649" s="1">
        <v>43158</v>
      </c>
      <c r="GD1649">
        <v>21</v>
      </c>
      <c r="GE1649">
        <v>13139</v>
      </c>
      <c r="GF1649" t="s">
        <v>955</v>
      </c>
      <c r="GH1649" s="1">
        <v>41423</v>
      </c>
      <c r="GI1649">
        <v>2012</v>
      </c>
      <c r="GJ1649">
        <v>351.41</v>
      </c>
      <c r="GK1649" t="s">
        <v>16405</v>
      </c>
      <c r="GL1649">
        <v>3.75</v>
      </c>
      <c r="GM1649" t="s">
        <v>424</v>
      </c>
      <c r="GN1649" t="s">
        <v>425</v>
      </c>
      <c r="GO1649" s="1">
        <v>41673</v>
      </c>
      <c r="GP1649">
        <v>9</v>
      </c>
      <c r="GQ1649">
        <v>15407</v>
      </c>
      <c r="GR1649" t="s">
        <v>1134</v>
      </c>
      <c r="GT1649" s="1">
        <v>41052</v>
      </c>
      <c r="GU1649">
        <v>2011</v>
      </c>
      <c r="GV1649">
        <v>359.1</v>
      </c>
      <c r="GW1649" t="s">
        <v>16406</v>
      </c>
      <c r="GX1649">
        <v>6</v>
      </c>
      <c r="GY1649" t="s">
        <v>424</v>
      </c>
      <c r="GZ1649" t="s">
        <v>425</v>
      </c>
      <c r="HA1649" s="1">
        <v>41610</v>
      </c>
      <c r="HB1649">
        <v>19</v>
      </c>
      <c r="HC1649">
        <v>375</v>
      </c>
      <c r="HD1649" t="s">
        <v>776</v>
      </c>
      <c r="HF1649" s="1">
        <v>40688</v>
      </c>
      <c r="HG1649">
        <v>2010</v>
      </c>
      <c r="HH1649">
        <v>364.32</v>
      </c>
      <c r="HI1649" t="s">
        <v>16407</v>
      </c>
      <c r="HJ1649">
        <v>6</v>
      </c>
      <c r="HK1649" t="s">
        <v>424</v>
      </c>
      <c r="HL1649" t="s">
        <v>425</v>
      </c>
      <c r="HM1649" s="1">
        <v>41332</v>
      </c>
      <c r="HN1649">
        <v>21</v>
      </c>
      <c r="HO1649">
        <v>105</v>
      </c>
      <c r="HP1649" t="s">
        <v>946</v>
      </c>
    </row>
    <row r="1650" spans="1:284" x14ac:dyDescent="0.25">
      <c r="A1650">
        <v>16486657</v>
      </c>
      <c r="B1650">
        <v>1649</v>
      </c>
      <c r="C1650" t="s">
        <v>393</v>
      </c>
      <c r="D1650" t="s">
        <v>394</v>
      </c>
      <c r="F1650" t="str">
        <f>"43-2N-28-0000-0003-0050"</f>
        <v>43-2N-28-0000-0003-0050</v>
      </c>
      <c r="H1650" t="str">
        <f>"MCCARROLL MICHAEL ORY &amp; ASHLEY"</f>
        <v>MCCARROLL MICHAEL ORY &amp; ASHLEY</v>
      </c>
      <c r="I1650" t="str">
        <f>"95184 FLATWOODS TRAIL"</f>
        <v>95184 FLATWOODS TRAIL</v>
      </c>
      <c r="J1650" t="str">
        <f t="shared" si="591"/>
        <v>FERNANDINA BEACH FL 32034</v>
      </c>
      <c r="K1650" t="str">
        <f>"95184 FLATWOODS TRL"</f>
        <v>95184 FLATWOODS TRL</v>
      </c>
      <c r="L1650" t="str">
        <f t="shared" si="592"/>
        <v>FERNANDINA BEACH FL 32034</v>
      </c>
      <c r="M1650" t="str">
        <f>"IN OR 1903/837"</f>
        <v>IN OR 1903/837</v>
      </c>
      <c r="N1650" t="str">
        <f>""</f>
        <v/>
      </c>
      <c r="O1650" t="str">
        <f>"50125"</f>
        <v>50125</v>
      </c>
      <c r="P1650" t="str">
        <f t="shared" si="577"/>
        <v>2017</v>
      </c>
      <c r="Q1650" t="str">
        <f>""</f>
        <v/>
      </c>
      <c r="R1650" t="str">
        <f>"Y"</f>
        <v>Y</v>
      </c>
      <c r="S1650" t="str">
        <f>"3.40"</f>
        <v>3.40</v>
      </c>
      <c r="T1650" t="str">
        <f>"542.58"</f>
        <v>542.58</v>
      </c>
      <c r="U1650" t="str">
        <f>"74872.00"</f>
        <v>74872.00</v>
      </c>
      <c r="V1650" t="str">
        <f>"74872.00"</f>
        <v>74872.00</v>
      </c>
      <c r="W1650" t="str">
        <f t="shared" si="578"/>
        <v>2017</v>
      </c>
      <c r="X1650" t="str">
        <f>"17.50"</f>
        <v>17.50</v>
      </c>
      <c r="Y1650" t="str">
        <f>"590.86"</f>
        <v>590.86</v>
      </c>
      <c r="Z1650" t="str">
        <f>"25000.00"</f>
        <v>25000.00</v>
      </c>
      <c r="AA1650" t="str">
        <f>"49872.00"</f>
        <v>49872.00</v>
      </c>
      <c r="AB1650" t="str">
        <f>"Agricultural"</f>
        <v>Agricultural</v>
      </c>
      <c r="AC1650" t="str">
        <f t="shared" si="588"/>
        <v>0</v>
      </c>
      <c r="AD1650" t="str">
        <f>"4"</f>
        <v>4</v>
      </c>
      <c r="AE1650" t="str">
        <f>"WOOD (INCLUDE STEEL STUDS)"</f>
        <v>WOOD (INCLUDE STEEL STUDS)</v>
      </c>
      <c r="AF1650" t="str">
        <f>"050"</f>
        <v>050</v>
      </c>
      <c r="AG1650" t="str">
        <f t="shared" si="590"/>
        <v>FL</v>
      </c>
      <c r="AH1650" t="str">
        <f>"148104.00"</f>
        <v>148104.00</v>
      </c>
      <c r="AI1650" t="str">
        <f>"25828.00"</f>
        <v>25828.00</v>
      </c>
      <c r="AJ1650" t="str">
        <f>"C55-000-588-8963-5"</f>
        <v>C55-000-588-8963-5</v>
      </c>
      <c r="AK1650" t="str">
        <f>"29646"</f>
        <v>29646</v>
      </c>
      <c r="AL1650">
        <v>6</v>
      </c>
      <c r="AM1650">
        <v>1883</v>
      </c>
      <c r="AN1650">
        <v>618.79999999999995</v>
      </c>
      <c r="AQ1650" t="s">
        <v>16408</v>
      </c>
      <c r="AR1650" t="s">
        <v>16408</v>
      </c>
      <c r="AS1650" t="s">
        <v>16408</v>
      </c>
      <c r="AU1650" t="s">
        <v>396</v>
      </c>
      <c r="AV1650">
        <v>2017</v>
      </c>
      <c r="AW1650" t="str">
        <f>"43-2N-28-0000-0003-0050 "</f>
        <v xml:space="preserve">43-2N-28-0000-0003-0050 </v>
      </c>
      <c r="AX1650">
        <v>95184</v>
      </c>
      <c r="AZ1650" t="s">
        <v>16409</v>
      </c>
      <c r="BA1650" t="s">
        <v>2497</v>
      </c>
      <c r="BD1650" t="s">
        <v>11749</v>
      </c>
      <c r="BE1650" t="s">
        <v>393</v>
      </c>
      <c r="BF1650">
        <v>32034</v>
      </c>
      <c r="BG1650" t="s">
        <v>16400</v>
      </c>
      <c r="BH1650" t="s">
        <v>11751</v>
      </c>
      <c r="BI1650">
        <v>-81.508156039257898</v>
      </c>
      <c r="BJ1650">
        <v>30.593582120960299</v>
      </c>
      <c r="BK1650" t="s">
        <v>16398</v>
      </c>
      <c r="BL1650" t="s">
        <v>16399</v>
      </c>
      <c r="BM1650" t="s">
        <v>16400</v>
      </c>
      <c r="BN1650" t="s">
        <v>3983</v>
      </c>
      <c r="BO1650">
        <v>32034</v>
      </c>
      <c r="BP1650" t="s">
        <v>416</v>
      </c>
      <c r="BQ1650">
        <v>5000</v>
      </c>
      <c r="BR1650" t="s">
        <v>664</v>
      </c>
      <c r="BS1650">
        <v>7000</v>
      </c>
      <c r="BT1650" t="s">
        <v>665</v>
      </c>
      <c r="BW1650">
        <v>148104</v>
      </c>
      <c r="BX1650" t="s">
        <v>407</v>
      </c>
      <c r="BZ1650">
        <v>4</v>
      </c>
      <c r="CA1650">
        <v>2004</v>
      </c>
      <c r="CB1650">
        <v>1</v>
      </c>
      <c r="CC1650">
        <v>1</v>
      </c>
      <c r="CD1650">
        <v>2017</v>
      </c>
      <c r="CG1650">
        <v>74872</v>
      </c>
      <c r="CH1650">
        <v>2017</v>
      </c>
      <c r="CI1650">
        <v>25828</v>
      </c>
      <c r="CJ1650">
        <v>82698</v>
      </c>
      <c r="CK1650">
        <v>108526</v>
      </c>
      <c r="CL1650">
        <v>2017</v>
      </c>
      <c r="CM1650">
        <v>542.58000000000004</v>
      </c>
      <c r="CN1650" s="1">
        <v>41670</v>
      </c>
      <c r="CZ1650" s="1">
        <v>41670</v>
      </c>
      <c r="DD1650" t="s">
        <v>11749</v>
      </c>
      <c r="DG1650">
        <v>43</v>
      </c>
      <c r="DL1650">
        <v>50303</v>
      </c>
      <c r="DM1650" t="s">
        <v>16363</v>
      </c>
      <c r="DO1650" t="s">
        <v>16410</v>
      </c>
      <c r="DP1650">
        <v>0</v>
      </c>
      <c r="DQ1650">
        <v>0</v>
      </c>
      <c r="DR1650" t="s">
        <v>411</v>
      </c>
      <c r="DS1650" t="b">
        <v>1</v>
      </c>
      <c r="DT1650" t="s">
        <v>470</v>
      </c>
      <c r="DU1650" t="s">
        <v>10249</v>
      </c>
      <c r="DV1650" t="s">
        <v>472</v>
      </c>
      <c r="DX1650">
        <v>-9999</v>
      </c>
      <c r="DZ1650" t="s">
        <v>447</v>
      </c>
      <c r="EA1650" t="s">
        <v>448</v>
      </c>
      <c r="EB1650" t="s">
        <v>14895</v>
      </c>
      <c r="EC1650">
        <v>20101217</v>
      </c>
      <c r="ED1650" t="s">
        <v>10251</v>
      </c>
      <c r="EE1650">
        <v>5</v>
      </c>
      <c r="EF1650">
        <v>188.5</v>
      </c>
      <c r="EG1650">
        <v>0</v>
      </c>
      <c r="EI1650">
        <v>20160407</v>
      </c>
      <c r="EJ1650">
        <v>0</v>
      </c>
      <c r="EK1650">
        <v>0</v>
      </c>
      <c r="EP1650" t="s">
        <v>421</v>
      </c>
      <c r="EQ1650" t="s">
        <v>422</v>
      </c>
      <c r="ER1650">
        <v>2</v>
      </c>
      <c r="ES1650">
        <v>5</v>
      </c>
      <c r="ET1650">
        <v>1226.9000000000001</v>
      </c>
      <c r="EU1650">
        <v>73.849999999999994</v>
      </c>
      <c r="EV1650">
        <v>1300.75</v>
      </c>
      <c r="EW1650" s="2">
        <v>43222</v>
      </c>
      <c r="EX1650" s="1">
        <v>42879</v>
      </c>
      <c r="EY1650">
        <v>2016</v>
      </c>
      <c r="EZ1650">
        <v>613.45000000000005</v>
      </c>
      <c r="FA1650" t="s">
        <v>16411</v>
      </c>
      <c r="FB1650">
        <v>0.25</v>
      </c>
      <c r="FC1650" t="s">
        <v>424</v>
      </c>
      <c r="FD1650" t="s">
        <v>454</v>
      </c>
      <c r="FF1650">
        <v>12</v>
      </c>
      <c r="FG1650">
        <v>11289</v>
      </c>
      <c r="FH1650" t="s">
        <v>787</v>
      </c>
      <c r="FJ1650" s="1">
        <v>42879</v>
      </c>
      <c r="FK1650">
        <v>2016</v>
      </c>
      <c r="FL1650">
        <v>613.45000000000005</v>
      </c>
      <c r="FM1650" t="s">
        <v>16411</v>
      </c>
      <c r="FN1650">
        <v>0.25</v>
      </c>
      <c r="FO1650" t="s">
        <v>424</v>
      </c>
      <c r="FP1650" t="s">
        <v>454</v>
      </c>
      <c r="FR1650">
        <v>12</v>
      </c>
      <c r="FS1650">
        <v>7286898</v>
      </c>
      <c r="FT1650" t="s">
        <v>16412</v>
      </c>
      <c r="FV1650" s="1">
        <v>42515</v>
      </c>
      <c r="FW1650">
        <v>2015</v>
      </c>
      <c r="FX1650">
        <v>623.97</v>
      </c>
      <c r="FY1650" t="s">
        <v>16413</v>
      </c>
      <c r="FZ1650">
        <v>0.25</v>
      </c>
      <c r="GA1650" t="s">
        <v>424</v>
      </c>
      <c r="GB1650" t="s">
        <v>425</v>
      </c>
      <c r="GC1650" s="1">
        <v>43158</v>
      </c>
      <c r="GD1650">
        <v>21</v>
      </c>
      <c r="GE1650">
        <v>5916895</v>
      </c>
      <c r="GF1650" t="s">
        <v>1390</v>
      </c>
      <c r="GH1650" s="1">
        <v>42515</v>
      </c>
      <c r="GI1650">
        <v>2015</v>
      </c>
      <c r="GJ1650">
        <v>623.97</v>
      </c>
      <c r="GK1650" t="s">
        <v>16413</v>
      </c>
      <c r="GL1650">
        <v>0.25</v>
      </c>
      <c r="GM1650" t="s">
        <v>424</v>
      </c>
      <c r="GN1650" t="s">
        <v>425</v>
      </c>
      <c r="GP1650">
        <v>22</v>
      </c>
      <c r="GQ1650">
        <v>5965478</v>
      </c>
      <c r="GR1650" t="s">
        <v>16414</v>
      </c>
      <c r="GT1650" s="1">
        <v>41423</v>
      </c>
      <c r="GU1650">
        <v>2012</v>
      </c>
      <c r="GV1650">
        <v>603.95000000000005</v>
      </c>
      <c r="GW1650" t="s">
        <v>16415</v>
      </c>
      <c r="GX1650">
        <v>2.75</v>
      </c>
      <c r="GY1650" t="s">
        <v>424</v>
      </c>
      <c r="GZ1650" t="s">
        <v>425</v>
      </c>
      <c r="HA1650" s="1">
        <v>41673</v>
      </c>
      <c r="HB1650">
        <v>9</v>
      </c>
      <c r="HC1650">
        <v>62</v>
      </c>
      <c r="HD1650" t="s">
        <v>463</v>
      </c>
      <c r="HF1650" s="1">
        <v>41052</v>
      </c>
      <c r="HG1650">
        <v>2011</v>
      </c>
      <c r="HH1650">
        <v>657.21</v>
      </c>
      <c r="HI1650" t="s">
        <v>16416</v>
      </c>
      <c r="HJ1650">
        <v>6</v>
      </c>
      <c r="HK1650" t="s">
        <v>424</v>
      </c>
      <c r="HL1650" t="s">
        <v>425</v>
      </c>
      <c r="HM1650" s="1">
        <v>41610</v>
      </c>
      <c r="HN1650">
        <v>19</v>
      </c>
      <c r="HO1650">
        <v>105</v>
      </c>
      <c r="HP1650" t="s">
        <v>946</v>
      </c>
      <c r="HR1650" s="1">
        <v>40688</v>
      </c>
      <c r="HS1650">
        <v>2010</v>
      </c>
      <c r="HT1650">
        <v>726.8</v>
      </c>
      <c r="HU1650" t="s">
        <v>16417</v>
      </c>
      <c r="HV1650">
        <v>0.25</v>
      </c>
      <c r="HW1650" t="s">
        <v>424</v>
      </c>
      <c r="HX1650" t="s">
        <v>425</v>
      </c>
      <c r="HY1650" s="1">
        <v>41332</v>
      </c>
      <c r="HZ1650">
        <v>21</v>
      </c>
      <c r="IA1650">
        <v>11177</v>
      </c>
      <c r="IB1650" t="s">
        <v>650</v>
      </c>
    </row>
    <row r="1651" spans="1:284" x14ac:dyDescent="0.25">
      <c r="A1651">
        <v>16486658</v>
      </c>
      <c r="B1651">
        <v>1650</v>
      </c>
      <c r="C1651" t="s">
        <v>393</v>
      </c>
      <c r="D1651" t="s">
        <v>394</v>
      </c>
      <c r="F1651" t="str">
        <f>"43-2N-28-0000-0003-0060"</f>
        <v>43-2N-28-0000-0003-0060</v>
      </c>
      <c r="H1651" t="str">
        <f>"MCCARROLL MICHAEL ORY &amp; ASHLEY"</f>
        <v>MCCARROLL MICHAEL ORY &amp; ASHLEY</v>
      </c>
      <c r="I1651" t="str">
        <f>"95184 FLATWOODS TRAIL"</f>
        <v>95184 FLATWOODS TRAIL</v>
      </c>
      <c r="J1651" t="str">
        <f t="shared" si="591"/>
        <v>FERNANDINA BEACH FL 32034</v>
      </c>
      <c r="K1651" t="str">
        <f>"OFF FRANK WARD RD"</f>
        <v>OFF FRANK WARD RD</v>
      </c>
      <c r="L1651" t="str">
        <f t="shared" si="592"/>
        <v>FERNANDINA BEACH FL 32034</v>
      </c>
      <c r="M1651" t="str">
        <f>"IN OR 1903/840"</f>
        <v>IN OR 1903/840</v>
      </c>
      <c r="N1651" t="str">
        <f>""</f>
        <v/>
      </c>
      <c r="O1651" t="str">
        <f>"50126"</f>
        <v>50126</v>
      </c>
      <c r="P1651" t="str">
        <f t="shared" si="577"/>
        <v>2017</v>
      </c>
      <c r="Q1651" t="str">
        <f>""</f>
        <v/>
      </c>
      <c r="R1651" t="str">
        <f>"N"</f>
        <v>N</v>
      </c>
      <c r="S1651" t="str">
        <f>"5.52"</f>
        <v>5.52</v>
      </c>
      <c r="T1651" t="str">
        <f>"27.99"</f>
        <v>27.99</v>
      </c>
      <c r="U1651" t="str">
        <f>"1849.00"</f>
        <v>1849.00</v>
      </c>
      <c r="V1651" t="str">
        <f>"1849.00"</f>
        <v>1849.00</v>
      </c>
      <c r="W1651" t="str">
        <f t="shared" si="578"/>
        <v>2017</v>
      </c>
      <c r="X1651" t="str">
        <f>"21.00"</f>
        <v>21.00</v>
      </c>
      <c r="Y1651" t="str">
        <f>"60.83"</f>
        <v>60.83</v>
      </c>
      <c r="Z1651" t="str">
        <f>""</f>
        <v/>
      </c>
      <c r="AA1651" t="str">
        <f>"1849.00"</f>
        <v>1849.00</v>
      </c>
      <c r="AB1651" t="str">
        <f>"Agricultural"</f>
        <v>Agricultural</v>
      </c>
      <c r="AC1651" t="str">
        <f t="shared" si="588"/>
        <v>0</v>
      </c>
      <c r="AD1651" t="str">
        <f>""</f>
        <v/>
      </c>
      <c r="AE1651" t="str">
        <f>""</f>
        <v/>
      </c>
      <c r="AF1651" t="str">
        <f>"060"</f>
        <v>060</v>
      </c>
      <c r="AG1651" t="str">
        <f t="shared" si="590"/>
        <v>FL</v>
      </c>
      <c r="AH1651" t="str">
        <f>"240451.00"</f>
        <v>240451.00</v>
      </c>
      <c r="AI1651" t="str">
        <f>"1849.00"</f>
        <v>1849.00</v>
      </c>
      <c r="AJ1651" t="str">
        <f>"C55-001-042-9494-7"</f>
        <v>C55-001-042-9494-7</v>
      </c>
      <c r="AK1651" t="str">
        <f>"29647"</f>
        <v>29647</v>
      </c>
      <c r="AL1651">
        <v>6</v>
      </c>
      <c r="AM1651">
        <v>1884</v>
      </c>
      <c r="AN1651">
        <v>62.27</v>
      </c>
      <c r="AQ1651" t="s">
        <v>16418</v>
      </c>
      <c r="AR1651" t="s">
        <v>16418</v>
      </c>
      <c r="AS1651" t="s">
        <v>16418</v>
      </c>
      <c r="AU1651" t="s">
        <v>396</v>
      </c>
      <c r="AV1651">
        <v>2017</v>
      </c>
      <c r="AW1651" t="str">
        <f>"43-2N-28-0000-0003-0060 "</f>
        <v xml:space="preserve">43-2N-28-0000-0003-0060 </v>
      </c>
      <c r="AZ1651" t="s">
        <v>16419</v>
      </c>
      <c r="BA1651" t="s">
        <v>496</v>
      </c>
      <c r="BD1651" t="s">
        <v>11749</v>
      </c>
      <c r="BE1651" t="s">
        <v>393</v>
      </c>
      <c r="BF1651">
        <v>32034</v>
      </c>
      <c r="BG1651" t="s">
        <v>16420</v>
      </c>
      <c r="BH1651" t="s">
        <v>11751</v>
      </c>
      <c r="BI1651">
        <v>-81.509029443752794</v>
      </c>
      <c r="BJ1651">
        <v>30.592430491605</v>
      </c>
      <c r="BK1651" t="s">
        <v>16398</v>
      </c>
      <c r="BL1651" t="s">
        <v>16399</v>
      </c>
      <c r="BM1651" t="s">
        <v>16400</v>
      </c>
      <c r="BN1651" t="s">
        <v>3983</v>
      </c>
      <c r="BO1651">
        <v>32034</v>
      </c>
      <c r="BP1651" t="s">
        <v>404</v>
      </c>
      <c r="BQ1651">
        <v>6000</v>
      </c>
      <c r="BR1651" t="s">
        <v>433</v>
      </c>
      <c r="BS1651">
        <v>7003</v>
      </c>
      <c r="BT1651" t="s">
        <v>434</v>
      </c>
      <c r="BW1651">
        <v>240451</v>
      </c>
      <c r="BX1651" t="s">
        <v>407</v>
      </c>
      <c r="BY1651" t="s">
        <v>408</v>
      </c>
      <c r="CD1651">
        <v>2017</v>
      </c>
      <c r="CG1651">
        <v>1849</v>
      </c>
      <c r="CH1651">
        <v>2017</v>
      </c>
      <c r="CI1651">
        <v>1849</v>
      </c>
      <c r="CJ1651">
        <v>108551</v>
      </c>
      <c r="CK1651">
        <v>110400</v>
      </c>
      <c r="CL1651">
        <v>2017</v>
      </c>
      <c r="CM1651">
        <v>27.99</v>
      </c>
      <c r="CN1651" s="1">
        <v>41670</v>
      </c>
      <c r="CZ1651" s="1">
        <v>41670</v>
      </c>
      <c r="DD1651" t="s">
        <v>11749</v>
      </c>
      <c r="DG1651">
        <v>43</v>
      </c>
      <c r="DI1651" t="s">
        <v>16421</v>
      </c>
      <c r="DL1651">
        <v>50303</v>
      </c>
      <c r="DM1651" t="s">
        <v>16363</v>
      </c>
      <c r="DO1651" t="s">
        <v>16422</v>
      </c>
      <c r="DP1651">
        <v>0</v>
      </c>
      <c r="DQ1651">
        <v>0</v>
      </c>
      <c r="DR1651" t="s">
        <v>411</v>
      </c>
      <c r="DS1651" t="b">
        <v>1</v>
      </c>
      <c r="DT1651" t="s">
        <v>470</v>
      </c>
      <c r="DU1651" t="s">
        <v>10249</v>
      </c>
      <c r="DV1651" t="s">
        <v>472</v>
      </c>
      <c r="DX1651">
        <v>-9999</v>
      </c>
      <c r="DZ1651" t="s">
        <v>447</v>
      </c>
      <c r="EA1651" t="s">
        <v>448</v>
      </c>
      <c r="EB1651" t="s">
        <v>14895</v>
      </c>
      <c r="EC1651">
        <v>20101217</v>
      </c>
      <c r="ED1651" t="s">
        <v>10251</v>
      </c>
      <c r="EE1651">
        <v>5</v>
      </c>
      <c r="EF1651">
        <v>529.6</v>
      </c>
      <c r="EG1651">
        <v>0</v>
      </c>
      <c r="EI1651">
        <v>20160407</v>
      </c>
      <c r="EJ1651">
        <v>0</v>
      </c>
      <c r="EK1651">
        <v>0</v>
      </c>
      <c r="EP1651" t="s">
        <v>421</v>
      </c>
      <c r="EQ1651" t="s">
        <v>422</v>
      </c>
      <c r="ER1651">
        <v>1</v>
      </c>
      <c r="ES1651">
        <v>1</v>
      </c>
      <c r="ET1651">
        <v>56.62</v>
      </c>
      <c r="EU1651">
        <v>9.08</v>
      </c>
      <c r="EV1651">
        <v>65.7</v>
      </c>
      <c r="EW1651" s="2">
        <v>43222</v>
      </c>
      <c r="EX1651" s="1">
        <v>42879</v>
      </c>
      <c r="EY1651">
        <v>2016</v>
      </c>
      <c r="EZ1651">
        <v>56.62</v>
      </c>
      <c r="FA1651" t="s">
        <v>16423</v>
      </c>
      <c r="FB1651">
        <v>0.25</v>
      </c>
      <c r="FC1651" t="s">
        <v>424</v>
      </c>
      <c r="FD1651" t="s">
        <v>454</v>
      </c>
      <c r="FF1651">
        <v>12</v>
      </c>
      <c r="FG1651">
        <v>305</v>
      </c>
      <c r="FH1651" t="s">
        <v>1078</v>
      </c>
      <c r="FJ1651" s="1">
        <v>42515</v>
      </c>
      <c r="FK1651">
        <v>2015</v>
      </c>
      <c r="FL1651">
        <v>53.34</v>
      </c>
      <c r="FM1651" t="s">
        <v>16424</v>
      </c>
      <c r="FN1651">
        <v>14.75</v>
      </c>
      <c r="FO1651" t="s">
        <v>424</v>
      </c>
      <c r="FP1651" t="s">
        <v>425</v>
      </c>
      <c r="FQ1651" s="1">
        <v>43158</v>
      </c>
      <c r="FR1651">
        <v>21</v>
      </c>
      <c r="FS1651">
        <v>13139</v>
      </c>
      <c r="FT1651" t="s">
        <v>955</v>
      </c>
    </row>
    <row r="1652" spans="1:284" x14ac:dyDescent="0.25">
      <c r="A1652">
        <v>16486659</v>
      </c>
      <c r="B1652">
        <v>1651</v>
      </c>
      <c r="C1652" t="s">
        <v>393</v>
      </c>
      <c r="D1652" t="s">
        <v>394</v>
      </c>
      <c r="F1652" t="str">
        <f>"44-2N-28-0000-0023-0010"</f>
        <v>44-2N-28-0000-0023-0010</v>
      </c>
      <c r="H1652" t="str">
        <f>"ANDREWS VIRGINIA J &amp; WALTER F"</f>
        <v>ANDREWS VIRGINIA J &amp; WALTER F</v>
      </c>
      <c r="I1652" t="str">
        <f>"95366 ARBOR LANE"</f>
        <v>95366 ARBOR LANE</v>
      </c>
      <c r="J1652" t="str">
        <f t="shared" si="591"/>
        <v>FERNANDINA BEACH FL 32034</v>
      </c>
      <c r="K1652" t="str">
        <f>"95366 ARBOR LN"</f>
        <v>95366 ARBOR LN</v>
      </c>
      <c r="L1652" t="str">
        <f t="shared" si="592"/>
        <v>FERNANDINA BEACH FL 32034</v>
      </c>
      <c r="M1652" t="str">
        <f>"PT SAMUEL HARRISON GRANT SEC 44-2N-28E IN OR 410/33 (EX PT IN OR 849/63 OR 1873/1193 &amp; EX WELL ESMT IN OR 1873/1188)"</f>
        <v>PT SAMUEL HARRISON GRANT SEC 44-2N-28E IN OR 410/33 (EX PT IN OR 849/63 OR 1873/1193 &amp; EX WELL ESMT IN OR 1873/1188)</v>
      </c>
      <c r="N1652" t="str">
        <f>""</f>
        <v/>
      </c>
      <c r="O1652" t="str">
        <f>"50958"</f>
        <v>50958</v>
      </c>
      <c r="P1652" t="str">
        <f t="shared" si="577"/>
        <v>2017</v>
      </c>
      <c r="Q1652" t="str">
        <f>""</f>
        <v/>
      </c>
      <c r="R1652" t="str">
        <f>"Y"</f>
        <v>Y</v>
      </c>
      <c r="S1652" t="str">
        <f>"1.00"</f>
        <v>1.00</v>
      </c>
      <c r="T1652" t="str">
        <f>"2570.18"</f>
        <v>2570.18</v>
      </c>
      <c r="U1652" t="str">
        <f>"208879.00"</f>
        <v>208879.00</v>
      </c>
      <c r="V1652" t="str">
        <f>"208879.00"</f>
        <v>208879.00</v>
      </c>
      <c r="W1652" t="str">
        <f t="shared" si="578"/>
        <v>2017</v>
      </c>
      <c r="X1652" t="str">
        <f>"2.00"</f>
        <v>2.00</v>
      </c>
      <c r="Y1652" t="str">
        <f>"2679.29"</f>
        <v>2679.29</v>
      </c>
      <c r="Z1652" t="str">
        <f>"25000.00"</f>
        <v>25000.00</v>
      </c>
      <c r="AA1652" t="str">
        <f>"183879.00"</f>
        <v>183879.00</v>
      </c>
      <c r="AB1652" t="str">
        <f t="shared" ref="AB1652:AB1666" si="593">"Residential"</f>
        <v>Residential</v>
      </c>
      <c r="AC1652" t="str">
        <f t="shared" si="588"/>
        <v>0</v>
      </c>
      <c r="AD1652" t="str">
        <f t="shared" ref="AD1652:AD1657" si="594">"4"</f>
        <v>4</v>
      </c>
      <c r="AE1652" t="str">
        <f t="shared" ref="AE1652:AE1657" si="595">"WOOD (INCLUDE STEEL STUDS)"</f>
        <v>WOOD (INCLUDE STEEL STUDS)</v>
      </c>
      <c r="AF1652" t="str">
        <f>"001"</f>
        <v>001</v>
      </c>
      <c r="AG1652" t="str">
        <f t="shared" si="590"/>
        <v>FL</v>
      </c>
      <c r="AH1652" t="str">
        <f>"43560.00"</f>
        <v>43560.00</v>
      </c>
      <c r="AI1652" t="str">
        <f>"25000.00"</f>
        <v>25000.00</v>
      </c>
      <c r="AJ1652" t="str">
        <f>"C55-000-588-4170-1"</f>
        <v>C55-000-588-4170-1</v>
      </c>
      <c r="AK1652" t="str">
        <f>"29692"</f>
        <v>29692</v>
      </c>
      <c r="AL1652">
        <v>6</v>
      </c>
      <c r="AM1652">
        <v>1885</v>
      </c>
      <c r="AN1652">
        <v>2811.65</v>
      </c>
      <c r="AQ1652" t="s">
        <v>16425</v>
      </c>
      <c r="AR1652" t="s">
        <v>16425</v>
      </c>
      <c r="AS1652" t="s">
        <v>16425</v>
      </c>
      <c r="AU1652" t="s">
        <v>396</v>
      </c>
      <c r="AV1652">
        <v>2017</v>
      </c>
      <c r="AW1652" t="str">
        <f>"44-2N-28-0000-0023-0010 "</f>
        <v xml:space="preserve">44-2N-28-0000-0023-0010 </v>
      </c>
      <c r="AX1652">
        <v>95366</v>
      </c>
      <c r="AZ1652" t="s">
        <v>16426</v>
      </c>
      <c r="BA1652" t="s">
        <v>653</v>
      </c>
      <c r="BD1652" t="s">
        <v>11749</v>
      </c>
      <c r="BE1652" t="s">
        <v>393</v>
      </c>
      <c r="BF1652">
        <v>32034</v>
      </c>
      <c r="BG1652" t="s">
        <v>15293</v>
      </c>
      <c r="BH1652" t="s">
        <v>11751</v>
      </c>
      <c r="BI1652">
        <v>-81.508052686259404</v>
      </c>
      <c r="BJ1652">
        <v>30.570365104458201</v>
      </c>
      <c r="BK1652" t="s">
        <v>15291</v>
      </c>
      <c r="BL1652" t="s">
        <v>15292</v>
      </c>
      <c r="BM1652" t="s">
        <v>15293</v>
      </c>
      <c r="BN1652" t="s">
        <v>3983</v>
      </c>
      <c r="BO1652">
        <v>32034</v>
      </c>
      <c r="BP1652" t="s">
        <v>416</v>
      </c>
      <c r="BQ1652">
        <v>100</v>
      </c>
      <c r="BR1652" t="s">
        <v>514</v>
      </c>
      <c r="BS1652">
        <v>1001</v>
      </c>
      <c r="BT1652" t="s">
        <v>515</v>
      </c>
      <c r="BW1652">
        <v>43560</v>
      </c>
      <c r="BX1652" t="s">
        <v>407</v>
      </c>
      <c r="BY1652" t="s">
        <v>408</v>
      </c>
      <c r="BZ1652">
        <v>4</v>
      </c>
      <c r="CA1652">
        <v>1992</v>
      </c>
      <c r="CB1652">
        <v>1</v>
      </c>
      <c r="CC1652">
        <v>1</v>
      </c>
      <c r="CD1652">
        <v>2017</v>
      </c>
      <c r="CG1652">
        <v>208879</v>
      </c>
      <c r="CH1652">
        <v>2017</v>
      </c>
      <c r="CI1652">
        <v>25000</v>
      </c>
      <c r="CJ1652">
        <v>199960</v>
      </c>
      <c r="CK1652">
        <v>224960</v>
      </c>
      <c r="CL1652">
        <v>2017</v>
      </c>
      <c r="CM1652">
        <v>2570.1799999999998</v>
      </c>
      <c r="CN1652" s="1">
        <v>30682</v>
      </c>
      <c r="CO1652">
        <v>2000</v>
      </c>
      <c r="CZ1652" s="1">
        <v>30682</v>
      </c>
      <c r="DD1652" t="s">
        <v>11749</v>
      </c>
      <c r="DG1652">
        <v>44</v>
      </c>
      <c r="DL1652">
        <v>50303</v>
      </c>
      <c r="DM1652" t="s">
        <v>15677</v>
      </c>
      <c r="DO1652" t="s">
        <v>16427</v>
      </c>
      <c r="DP1652">
        <v>0</v>
      </c>
      <c r="DQ1652">
        <v>0</v>
      </c>
      <c r="DR1652" t="s">
        <v>411</v>
      </c>
      <c r="EP1652" t="s">
        <v>421</v>
      </c>
      <c r="EQ1652" t="s">
        <v>422</v>
      </c>
      <c r="ER1652">
        <v>0</v>
      </c>
      <c r="ES1652">
        <v>3</v>
      </c>
      <c r="ET1652">
        <v>0</v>
      </c>
      <c r="EU1652">
        <v>0</v>
      </c>
      <c r="EV1652">
        <v>0</v>
      </c>
      <c r="EW1652" s="2">
        <v>43222</v>
      </c>
      <c r="EX1652" s="1">
        <v>41052</v>
      </c>
      <c r="EY1652">
        <v>2011</v>
      </c>
      <c r="EZ1652">
        <v>1615.7</v>
      </c>
      <c r="FA1652" t="s">
        <v>16428</v>
      </c>
      <c r="FB1652">
        <v>0.25</v>
      </c>
      <c r="FC1652" t="s">
        <v>424</v>
      </c>
      <c r="FD1652" t="s">
        <v>425</v>
      </c>
      <c r="FE1652" s="1">
        <v>41152</v>
      </c>
      <c r="FF1652">
        <v>3</v>
      </c>
      <c r="FG1652">
        <v>11289</v>
      </c>
      <c r="FH1652" t="s">
        <v>787</v>
      </c>
      <c r="FJ1652" s="1">
        <v>41052</v>
      </c>
      <c r="FK1652">
        <v>2011</v>
      </c>
      <c r="FL1652">
        <v>1615.7</v>
      </c>
      <c r="FM1652" t="s">
        <v>16428</v>
      </c>
      <c r="FN1652">
        <v>0.25</v>
      </c>
      <c r="FO1652" t="s">
        <v>424</v>
      </c>
      <c r="FP1652" t="s">
        <v>425</v>
      </c>
      <c r="FR1652">
        <v>22</v>
      </c>
      <c r="FS1652">
        <v>13174</v>
      </c>
      <c r="FT1652" t="s">
        <v>8778</v>
      </c>
      <c r="FV1652" s="1">
        <v>40688</v>
      </c>
      <c r="FW1652">
        <v>2010</v>
      </c>
      <c r="FX1652">
        <v>1589.3</v>
      </c>
      <c r="FY1652" t="s">
        <v>16429</v>
      </c>
      <c r="FZ1652">
        <v>0.25</v>
      </c>
      <c r="GA1652" t="s">
        <v>424</v>
      </c>
      <c r="GB1652" t="s">
        <v>425</v>
      </c>
      <c r="GC1652" s="1">
        <v>40714</v>
      </c>
      <c r="GD1652">
        <v>1</v>
      </c>
      <c r="GE1652">
        <v>11289</v>
      </c>
      <c r="GF1652" t="s">
        <v>787</v>
      </c>
    </row>
    <row r="1653" spans="1:284" x14ac:dyDescent="0.25">
      <c r="A1653">
        <v>16486660</v>
      </c>
      <c r="B1653">
        <v>1652</v>
      </c>
      <c r="C1653" t="s">
        <v>393</v>
      </c>
      <c r="D1653" t="s">
        <v>394</v>
      </c>
      <c r="F1653" t="str">
        <f>"44-2N-28-0000-0029-0030"</f>
        <v>44-2N-28-0000-0029-0030</v>
      </c>
      <c r="H1653" t="str">
        <f>"CUMMING WILLIE CARL"</f>
        <v>CUMMING WILLIE CARL</v>
      </c>
      <c r="I1653" t="str">
        <f>"941490 OLD NASSAUVILLE RD"</f>
        <v>941490 OLD NASSAUVILLE RD</v>
      </c>
      <c r="J1653" t="str">
        <f t="shared" si="591"/>
        <v>FERNANDINA BEACH FL 32034</v>
      </c>
      <c r="K1653" t="str">
        <f>"941490 OLD NASSAUVILLE RD"</f>
        <v>941490 OLD NASSAUVILLE RD</v>
      </c>
      <c r="L1653" t="str">
        <f t="shared" si="592"/>
        <v>FERNANDINA BEACH FL 32034</v>
      </c>
      <c r="M1653" t="str">
        <f>"PT SAMUEL HARRISON GRANT SEC 44-2N-28E IN OR 1745/179"</f>
        <v>PT SAMUEL HARRISON GRANT SEC 44-2N-28E IN OR 1745/179</v>
      </c>
      <c r="N1653" t="str">
        <f>""</f>
        <v/>
      </c>
      <c r="O1653" t="str">
        <f>"50981"</f>
        <v>50981</v>
      </c>
      <c r="P1653" t="str">
        <f t="shared" si="577"/>
        <v>2017</v>
      </c>
      <c r="Q1653" t="str">
        <f>""</f>
        <v/>
      </c>
      <c r="R1653" t="str">
        <f>"N"</f>
        <v>N</v>
      </c>
      <c r="S1653" t="str">
        <f>"1.98"</f>
        <v>1.98</v>
      </c>
      <c r="T1653" t="str">
        <f>"1111.15"</f>
        <v>1111.15</v>
      </c>
      <c r="U1653" t="str">
        <f>"72003.00"</f>
        <v>72003.00</v>
      </c>
      <c r="V1653" t="str">
        <f>"72003.00"</f>
        <v>72003.00</v>
      </c>
      <c r="W1653" t="str">
        <f t="shared" si="578"/>
        <v>2017</v>
      </c>
      <c r="X1653" t="str">
        <f>"13.20"</f>
        <v>13.20</v>
      </c>
      <c r="Y1653" t="str">
        <f>"1176.48"</f>
        <v>1176.48</v>
      </c>
      <c r="Z1653" t="str">
        <f>""</f>
        <v/>
      </c>
      <c r="AA1653" t="str">
        <f>"75204.00"</f>
        <v>75204.00</v>
      </c>
      <c r="AB1653" t="str">
        <f t="shared" si="593"/>
        <v>Residential</v>
      </c>
      <c r="AC1653" t="str">
        <f t="shared" si="588"/>
        <v>0</v>
      </c>
      <c r="AD1653" t="str">
        <f t="shared" si="594"/>
        <v>4</v>
      </c>
      <c r="AE1653" t="str">
        <f t="shared" si="595"/>
        <v>WOOD (INCLUDE STEEL STUDS)</v>
      </c>
      <c r="AF1653" t="str">
        <f>"001"</f>
        <v>001</v>
      </c>
      <c r="AG1653" t="str">
        <f t="shared" si="590"/>
        <v>FL</v>
      </c>
      <c r="AH1653" t="str">
        <f>"86248.00"</f>
        <v>86248.00</v>
      </c>
      <c r="AI1653" t="str">
        <f>"49500.00"</f>
        <v>49500.00</v>
      </c>
      <c r="AJ1653" t="str">
        <f>"C55-000-588-4187-5"</f>
        <v>C55-000-588-4187-5</v>
      </c>
      <c r="AK1653" t="str">
        <f>"29713"</f>
        <v>29713</v>
      </c>
      <c r="AL1653">
        <v>6</v>
      </c>
      <c r="AM1653">
        <v>1886</v>
      </c>
      <c r="AN1653">
        <v>1233.7</v>
      </c>
      <c r="AQ1653" t="s">
        <v>16430</v>
      </c>
      <c r="AR1653" t="s">
        <v>16430</v>
      </c>
      <c r="AS1653" t="s">
        <v>16430</v>
      </c>
      <c r="AU1653" t="s">
        <v>396</v>
      </c>
      <c r="AV1653">
        <v>2017</v>
      </c>
      <c r="AW1653" t="str">
        <f>"44-2N-28-0000-0029-0030 "</f>
        <v xml:space="preserve">44-2N-28-0000-0029-0030 </v>
      </c>
      <c r="AX1653">
        <v>941490</v>
      </c>
      <c r="AZ1653" t="s">
        <v>15258</v>
      </c>
      <c r="BA1653" t="s">
        <v>496</v>
      </c>
      <c r="BD1653" t="s">
        <v>11749</v>
      </c>
      <c r="BE1653" t="s">
        <v>393</v>
      </c>
      <c r="BF1653">
        <v>32034</v>
      </c>
      <c r="BG1653" t="s">
        <v>16431</v>
      </c>
      <c r="BH1653" t="s">
        <v>11751</v>
      </c>
      <c r="BI1653">
        <v>-81.518854599513901</v>
      </c>
      <c r="BJ1653">
        <v>30.583213917545098</v>
      </c>
      <c r="BK1653" t="s">
        <v>16432</v>
      </c>
      <c r="BM1653" t="s">
        <v>16431</v>
      </c>
      <c r="BN1653" t="s">
        <v>3983</v>
      </c>
      <c r="BO1653">
        <v>32034</v>
      </c>
      <c r="BP1653" t="s">
        <v>416</v>
      </c>
      <c r="BQ1653">
        <v>100</v>
      </c>
      <c r="BR1653" t="s">
        <v>514</v>
      </c>
      <c r="BS1653">
        <v>1001</v>
      </c>
      <c r="BT1653" t="s">
        <v>515</v>
      </c>
      <c r="BW1653">
        <v>86248</v>
      </c>
      <c r="BX1653" t="s">
        <v>407</v>
      </c>
      <c r="BY1653" t="s">
        <v>408</v>
      </c>
      <c r="BZ1653">
        <v>4</v>
      </c>
      <c r="CA1653">
        <v>1935</v>
      </c>
      <c r="CB1653">
        <v>1</v>
      </c>
      <c r="CC1653">
        <v>1</v>
      </c>
      <c r="CD1653">
        <v>2017</v>
      </c>
      <c r="CE1653">
        <v>49500</v>
      </c>
      <c r="CF1653">
        <v>25704</v>
      </c>
      <c r="CG1653">
        <v>75204</v>
      </c>
      <c r="CH1653">
        <v>2017</v>
      </c>
      <c r="CI1653">
        <v>49500</v>
      </c>
      <c r="CJ1653">
        <v>25704</v>
      </c>
      <c r="CK1653">
        <v>75204</v>
      </c>
      <c r="CL1653">
        <v>2017</v>
      </c>
      <c r="CM1653">
        <v>1111.1500000000001</v>
      </c>
      <c r="CN1653" s="1">
        <v>40723</v>
      </c>
      <c r="CO1653">
        <v>50000</v>
      </c>
      <c r="CV1653">
        <v>45069</v>
      </c>
      <c r="CX1653" t="s">
        <v>707</v>
      </c>
      <c r="CZ1653" s="1">
        <v>40723</v>
      </c>
      <c r="DA1653">
        <v>0</v>
      </c>
      <c r="DD1653" t="s">
        <v>11749</v>
      </c>
      <c r="DG1653">
        <v>44</v>
      </c>
      <c r="DL1653">
        <v>50303</v>
      </c>
      <c r="DM1653" t="s">
        <v>15677</v>
      </c>
      <c r="DO1653" t="s">
        <v>16433</v>
      </c>
      <c r="DP1653">
        <v>0</v>
      </c>
      <c r="DQ1653">
        <v>0</v>
      </c>
      <c r="DR1653" t="s">
        <v>411</v>
      </c>
      <c r="DS1653" t="b">
        <v>1</v>
      </c>
      <c r="DT1653" t="s">
        <v>470</v>
      </c>
      <c r="DU1653" t="s">
        <v>10249</v>
      </c>
      <c r="DV1653" t="s">
        <v>472</v>
      </c>
      <c r="DX1653">
        <v>-9999</v>
      </c>
      <c r="DZ1653" t="s">
        <v>447</v>
      </c>
      <c r="EA1653" t="s">
        <v>448</v>
      </c>
      <c r="EB1653" t="s">
        <v>14895</v>
      </c>
      <c r="EC1653">
        <v>20101217</v>
      </c>
      <c r="ED1653" t="s">
        <v>10251</v>
      </c>
      <c r="EE1653">
        <v>5</v>
      </c>
      <c r="EF1653">
        <v>165.8</v>
      </c>
      <c r="EG1653">
        <v>0</v>
      </c>
      <c r="EI1653">
        <v>20160407</v>
      </c>
      <c r="EJ1653">
        <v>0</v>
      </c>
      <c r="EK1653">
        <v>0</v>
      </c>
      <c r="EP1653" t="s">
        <v>421</v>
      </c>
      <c r="EQ1653" t="s">
        <v>422</v>
      </c>
      <c r="ER1653">
        <v>0</v>
      </c>
      <c r="ES1653">
        <v>4</v>
      </c>
      <c r="ET1653">
        <v>0</v>
      </c>
      <c r="EU1653">
        <v>0</v>
      </c>
      <c r="EV1653">
        <v>0</v>
      </c>
      <c r="EW1653" s="2">
        <v>43222</v>
      </c>
      <c r="EX1653" s="1">
        <v>41787</v>
      </c>
      <c r="EY1653">
        <v>2013</v>
      </c>
      <c r="EZ1653">
        <v>1233.06</v>
      </c>
      <c r="FA1653" t="s">
        <v>16434</v>
      </c>
      <c r="FB1653">
        <v>0.25</v>
      </c>
      <c r="FC1653" t="s">
        <v>424</v>
      </c>
      <c r="FD1653" t="s">
        <v>425</v>
      </c>
      <c r="FE1653" s="1">
        <v>41984</v>
      </c>
      <c r="FF1653">
        <v>7</v>
      </c>
      <c r="FG1653">
        <v>2851116</v>
      </c>
      <c r="FH1653" t="s">
        <v>480</v>
      </c>
      <c r="FJ1653" s="1">
        <v>41423</v>
      </c>
      <c r="FK1653">
        <v>2012</v>
      </c>
      <c r="FL1653">
        <v>1249.21</v>
      </c>
      <c r="FM1653" t="s">
        <v>16435</v>
      </c>
      <c r="FN1653">
        <v>0.25</v>
      </c>
      <c r="FO1653" t="s">
        <v>424</v>
      </c>
      <c r="FP1653" t="s">
        <v>425</v>
      </c>
      <c r="FQ1653" s="1">
        <v>41984</v>
      </c>
      <c r="FR1653">
        <v>19</v>
      </c>
      <c r="FS1653">
        <v>606981</v>
      </c>
      <c r="FT1653" t="s">
        <v>792</v>
      </c>
      <c r="FV1653" s="1">
        <v>41052</v>
      </c>
      <c r="FW1653">
        <v>2011</v>
      </c>
      <c r="FX1653">
        <v>1429.76</v>
      </c>
      <c r="FY1653" t="s">
        <v>16436</v>
      </c>
      <c r="FZ1653">
        <v>4.75</v>
      </c>
      <c r="GA1653" t="s">
        <v>424</v>
      </c>
      <c r="GB1653" t="s">
        <v>425</v>
      </c>
      <c r="GC1653" s="1">
        <v>41807</v>
      </c>
      <c r="GD1653">
        <v>25</v>
      </c>
      <c r="GE1653">
        <v>1625515</v>
      </c>
      <c r="GF1653" t="s">
        <v>487</v>
      </c>
      <c r="GH1653" s="1">
        <v>41052</v>
      </c>
      <c r="GI1653">
        <v>2011</v>
      </c>
      <c r="GJ1653">
        <v>1429.76</v>
      </c>
      <c r="GK1653" t="s">
        <v>16436</v>
      </c>
      <c r="GL1653">
        <v>4.75</v>
      </c>
      <c r="GM1653" t="s">
        <v>424</v>
      </c>
      <c r="GN1653" t="s">
        <v>425</v>
      </c>
      <c r="GP1653">
        <v>22</v>
      </c>
      <c r="GQ1653">
        <v>10579</v>
      </c>
      <c r="GR1653" t="s">
        <v>488</v>
      </c>
    </row>
    <row r="1654" spans="1:284" x14ac:dyDescent="0.25">
      <c r="A1654">
        <v>16486661</v>
      </c>
      <c r="B1654">
        <v>1653</v>
      </c>
      <c r="C1654" t="s">
        <v>393</v>
      </c>
      <c r="D1654" t="s">
        <v>394</v>
      </c>
      <c r="F1654" t="str">
        <f>"44-2N-28-5120-000A-0160"</f>
        <v>44-2N-28-5120-000A-0160</v>
      </c>
      <c r="H1654" t="str">
        <f>"MANCIL LARRY E &amp; JUDITH E"</f>
        <v>MANCIL LARRY E &amp; JUDITH E</v>
      </c>
      <c r="I1654" t="str">
        <f>"95083 STINGRAY LANE"</f>
        <v>95083 STINGRAY LANE</v>
      </c>
      <c r="J1654" t="str">
        <f t="shared" si="591"/>
        <v>FERNANDINA BEACH FL 32034</v>
      </c>
      <c r="K1654" t="str">
        <f>"95083 STINGRAY LN"</f>
        <v>95083 STINGRAY LN</v>
      </c>
      <c r="L1654" t="str">
        <f t="shared" si="592"/>
        <v>FERNANDINA BEACH FL 32034</v>
      </c>
      <c r="M1654" t="str">
        <f>"PT OF TRACT A IN OR 943/723 1993 JACO DW/MH ALLIGATOR CREEK ADDITION TO SEYMORE POINT PB 2/73"</f>
        <v>PT OF TRACT A IN OR 943/723 1993 JACO DW/MH ALLIGATOR CREEK ADDITION TO SEYMORE POINT PB 2/73</v>
      </c>
      <c r="N1654" t="str">
        <f>""</f>
        <v/>
      </c>
      <c r="O1654" t="str">
        <f>"51009"</f>
        <v>51009</v>
      </c>
      <c r="P1654" t="str">
        <f t="shared" si="577"/>
        <v>2017</v>
      </c>
      <c r="Q1654" t="str">
        <f>""</f>
        <v/>
      </c>
      <c r="R1654" t="str">
        <f>"N"</f>
        <v>N</v>
      </c>
      <c r="S1654" t="str">
        <f>""</f>
        <v/>
      </c>
      <c r="T1654" t="str">
        <f>"3268.06"</f>
        <v>3268.06</v>
      </c>
      <c r="U1654" t="str">
        <f>"215874.00"</f>
        <v>215874.00</v>
      </c>
      <c r="V1654" t="str">
        <f>"215874.00"</f>
        <v>215874.00</v>
      </c>
      <c r="W1654" t="str">
        <f t="shared" si="578"/>
        <v>2017</v>
      </c>
      <c r="X1654" t="str">
        <f>"1.00"</f>
        <v>1.00</v>
      </c>
      <c r="Y1654" t="str">
        <f>"3398.10"</f>
        <v>3398.10</v>
      </c>
      <c r="Z1654" t="str">
        <f>""</f>
        <v/>
      </c>
      <c r="AA1654" t="str">
        <f>"215874.00"</f>
        <v>215874.00</v>
      </c>
      <c r="AB1654" t="str">
        <f t="shared" si="593"/>
        <v>Residential</v>
      </c>
      <c r="AC1654" t="str">
        <f t="shared" si="588"/>
        <v>0</v>
      </c>
      <c r="AD1654" t="str">
        <f t="shared" si="594"/>
        <v>4</v>
      </c>
      <c r="AE1654" t="str">
        <f t="shared" si="595"/>
        <v>WOOD (INCLUDE STEEL STUDS)</v>
      </c>
      <c r="AF1654" t="str">
        <f>"002"</f>
        <v>002</v>
      </c>
      <c r="AG1654" t="str">
        <f t="shared" si="590"/>
        <v>FL</v>
      </c>
      <c r="AH1654" t="str">
        <f>"-"</f>
        <v>-</v>
      </c>
      <c r="AI1654" t="str">
        <f>"144000.00"</f>
        <v>144000.00</v>
      </c>
      <c r="AJ1654" t="str">
        <f>"C55-000-588-4214-7"</f>
        <v>C55-000-588-4214-7</v>
      </c>
      <c r="AK1654" t="str">
        <f>"29731"</f>
        <v>29731</v>
      </c>
      <c r="AL1654">
        <v>6</v>
      </c>
      <c r="AM1654">
        <v>1887</v>
      </c>
      <c r="AN1654">
        <v>3566.41</v>
      </c>
      <c r="AQ1654" t="s">
        <v>16437</v>
      </c>
      <c r="AR1654" t="s">
        <v>16437</v>
      </c>
      <c r="AS1654" t="s">
        <v>16437</v>
      </c>
      <c r="AU1654" t="s">
        <v>396</v>
      </c>
      <c r="AV1654">
        <v>2017</v>
      </c>
      <c r="AW1654" t="str">
        <f>"44-2N-28-5120-000A-0160 "</f>
        <v xml:space="preserve">44-2N-28-5120-000A-0160 </v>
      </c>
      <c r="AX1654">
        <v>95083</v>
      </c>
      <c r="AZ1654" t="s">
        <v>16438</v>
      </c>
      <c r="BA1654" t="s">
        <v>653</v>
      </c>
      <c r="BD1654" t="s">
        <v>11749</v>
      </c>
      <c r="BE1654" t="s">
        <v>393</v>
      </c>
      <c r="BF1654">
        <v>32034</v>
      </c>
      <c r="BG1654" t="s">
        <v>16439</v>
      </c>
      <c r="BH1654" t="s">
        <v>11751</v>
      </c>
      <c r="BI1654">
        <v>-81.505297654636394</v>
      </c>
      <c r="BJ1654">
        <v>30.577367214176999</v>
      </c>
      <c r="BK1654" t="s">
        <v>16440</v>
      </c>
      <c r="BL1654" t="s">
        <v>16441</v>
      </c>
      <c r="BM1654" t="s">
        <v>16439</v>
      </c>
      <c r="BN1654" t="s">
        <v>3983</v>
      </c>
      <c r="BO1654">
        <v>32034</v>
      </c>
      <c r="BP1654" t="s">
        <v>416</v>
      </c>
      <c r="BQ1654">
        <v>200</v>
      </c>
      <c r="BR1654" t="s">
        <v>405</v>
      </c>
      <c r="BS1654">
        <v>1006</v>
      </c>
      <c r="BT1654" t="s">
        <v>406</v>
      </c>
      <c r="BU1654">
        <v>1500</v>
      </c>
      <c r="BW1654">
        <v>68186</v>
      </c>
      <c r="BX1654" t="s">
        <v>407</v>
      </c>
      <c r="BY1654" t="s">
        <v>408</v>
      </c>
      <c r="BZ1654">
        <v>4</v>
      </c>
      <c r="CA1654">
        <v>1993</v>
      </c>
      <c r="CB1654">
        <v>1</v>
      </c>
      <c r="CC1654">
        <v>2</v>
      </c>
      <c r="CD1654">
        <v>2017</v>
      </c>
      <c r="CE1654">
        <v>144000</v>
      </c>
      <c r="CF1654">
        <v>71874</v>
      </c>
      <c r="CG1654">
        <v>215874</v>
      </c>
      <c r="CH1654">
        <v>2017</v>
      </c>
      <c r="CI1654">
        <v>144000</v>
      </c>
      <c r="CJ1654">
        <v>71874</v>
      </c>
      <c r="CK1654">
        <v>215874</v>
      </c>
      <c r="CL1654">
        <v>2017</v>
      </c>
      <c r="CM1654">
        <v>3268.06</v>
      </c>
      <c r="CN1654" s="1">
        <v>36532</v>
      </c>
      <c r="CO1654">
        <v>84900</v>
      </c>
      <c r="CV1654">
        <v>84602</v>
      </c>
      <c r="CX1654" t="s">
        <v>693</v>
      </c>
      <c r="CZ1654" s="1">
        <v>36532</v>
      </c>
      <c r="DA1654">
        <v>0</v>
      </c>
      <c r="DD1654" t="s">
        <v>11749</v>
      </c>
      <c r="DG1654">
        <v>44</v>
      </c>
      <c r="DL1654">
        <v>50303</v>
      </c>
      <c r="DM1654" t="s">
        <v>15677</v>
      </c>
      <c r="DO1654" t="s">
        <v>16442</v>
      </c>
      <c r="DP1654">
        <v>0</v>
      </c>
      <c r="DQ1654">
        <v>0</v>
      </c>
      <c r="DR1654" t="s">
        <v>411</v>
      </c>
      <c r="DS1654" t="b">
        <v>1</v>
      </c>
      <c r="DT1654" t="s">
        <v>15881</v>
      </c>
      <c r="DV1654" t="s">
        <v>446</v>
      </c>
      <c r="DX1654">
        <v>11</v>
      </c>
      <c r="DY1654" t="s">
        <v>11438</v>
      </c>
      <c r="DZ1654" t="s">
        <v>447</v>
      </c>
      <c r="EA1654" t="s">
        <v>448</v>
      </c>
      <c r="EB1654" t="s">
        <v>15882</v>
      </c>
      <c r="EC1654">
        <v>20101217</v>
      </c>
      <c r="ED1654" t="s">
        <v>450</v>
      </c>
      <c r="EE1654">
        <v>5</v>
      </c>
      <c r="EF1654">
        <v>0</v>
      </c>
      <c r="EG1654">
        <v>0</v>
      </c>
      <c r="EI1654">
        <v>20160407</v>
      </c>
      <c r="EJ1654">
        <v>0</v>
      </c>
      <c r="EK1654">
        <v>0</v>
      </c>
      <c r="EP1654" t="s">
        <v>421</v>
      </c>
      <c r="EQ1654" t="s">
        <v>422</v>
      </c>
      <c r="ER1654">
        <v>0</v>
      </c>
      <c r="ES1654">
        <v>2</v>
      </c>
      <c r="ET1654">
        <v>0</v>
      </c>
      <c r="EU1654">
        <v>0</v>
      </c>
      <c r="EV1654">
        <v>0</v>
      </c>
      <c r="EW1654" s="2">
        <v>43222</v>
      </c>
      <c r="EX1654" s="1">
        <v>42515</v>
      </c>
      <c r="EY1654">
        <v>2015</v>
      </c>
      <c r="EZ1654">
        <v>1133.93</v>
      </c>
      <c r="FA1654" t="s">
        <v>16443</v>
      </c>
      <c r="FB1654">
        <v>0.25</v>
      </c>
      <c r="FC1654" t="s">
        <v>424</v>
      </c>
      <c r="FD1654" t="s">
        <v>425</v>
      </c>
      <c r="FE1654" s="1">
        <v>42536</v>
      </c>
      <c r="FF1654">
        <v>1</v>
      </c>
      <c r="FG1654">
        <v>11289</v>
      </c>
      <c r="FH1654" t="s">
        <v>787</v>
      </c>
      <c r="FJ1654" s="1">
        <v>42515</v>
      </c>
      <c r="FK1654">
        <v>2015</v>
      </c>
      <c r="FL1654">
        <v>1133.93</v>
      </c>
      <c r="FM1654" t="s">
        <v>16443</v>
      </c>
      <c r="FN1654">
        <v>0.25</v>
      </c>
      <c r="FO1654" t="s">
        <v>424</v>
      </c>
      <c r="FP1654" t="s">
        <v>425</v>
      </c>
      <c r="FR1654">
        <v>22</v>
      </c>
      <c r="FS1654">
        <v>5144748</v>
      </c>
      <c r="FT1654" t="s">
        <v>16444</v>
      </c>
    </row>
    <row r="1655" spans="1:284" x14ac:dyDescent="0.25">
      <c r="A1655">
        <v>16486662</v>
      </c>
      <c r="B1655">
        <v>1654</v>
      </c>
      <c r="C1655" t="s">
        <v>393</v>
      </c>
      <c r="D1655" t="s">
        <v>394</v>
      </c>
      <c r="F1655" t="str">
        <f>"44-2N-28-5130-0013-0000"</f>
        <v>44-2N-28-5130-0013-0000</v>
      </c>
      <c r="H1655" t="str">
        <f>"LITTLE JOSEPH C &amp; L C"</f>
        <v>LITTLE JOSEPH C &amp; L C</v>
      </c>
      <c r="I1655" t="str">
        <f>"95143 ELLIS LANDING"</f>
        <v>95143 ELLIS LANDING</v>
      </c>
      <c r="J1655" t="str">
        <f t="shared" si="591"/>
        <v>FERNANDINA BEACH FL 32034</v>
      </c>
      <c r="K1655" t="str">
        <f>"95143 ELLIS LANDING RD"</f>
        <v>95143 ELLIS LANDING RD</v>
      </c>
      <c r="L1655" t="str">
        <f t="shared" si="592"/>
        <v>FERNANDINA BEACH FL 32034</v>
      </c>
      <c r="M1655" t="str">
        <f>"LOT 13 OR 155 PG 244 ELLIS LANDING UNR"</f>
        <v>LOT 13 OR 155 PG 244 ELLIS LANDING UNR</v>
      </c>
      <c r="N1655" t="str">
        <f>""</f>
        <v/>
      </c>
      <c r="O1655" t="str">
        <f>"51022"</f>
        <v>51022</v>
      </c>
      <c r="P1655" t="str">
        <f t="shared" si="577"/>
        <v>2017</v>
      </c>
      <c r="Q1655" t="str">
        <f>""</f>
        <v/>
      </c>
      <c r="R1655" t="str">
        <f>"Y"</f>
        <v>Y</v>
      </c>
      <c r="S1655" t="str">
        <f>""</f>
        <v/>
      </c>
      <c r="T1655" t="str">
        <f>"443.67"</f>
        <v>443.67</v>
      </c>
      <c r="U1655" t="str">
        <f>"59881.00"</f>
        <v>59881.00</v>
      </c>
      <c r="V1655" t="str">
        <f>"59881.00"</f>
        <v>59881.00</v>
      </c>
      <c r="W1655" t="str">
        <f t="shared" si="578"/>
        <v>2017</v>
      </c>
      <c r="X1655" t="str">
        <f>"5.13"</f>
        <v>5.13</v>
      </c>
      <c r="Y1655" t="str">
        <f>"488.98"</f>
        <v>488.98</v>
      </c>
      <c r="Z1655" t="str">
        <f>"25000.00"</f>
        <v>25000.00</v>
      </c>
      <c r="AA1655" t="str">
        <f>"34881.00"</f>
        <v>34881.00</v>
      </c>
      <c r="AB1655" t="str">
        <f t="shared" si="593"/>
        <v>Residential</v>
      </c>
      <c r="AC1655" t="str">
        <f t="shared" si="588"/>
        <v>0</v>
      </c>
      <c r="AD1655" t="str">
        <f t="shared" si="594"/>
        <v>4</v>
      </c>
      <c r="AE1655" t="str">
        <f t="shared" si="595"/>
        <v>WOOD (INCLUDE STEEL STUDS)</v>
      </c>
      <c r="AF1655" t="str">
        <f>"001"</f>
        <v>001</v>
      </c>
      <c r="AG1655" t="str">
        <f t="shared" si="590"/>
        <v>FL</v>
      </c>
      <c r="AH1655" t="str">
        <f>"21000.00"</f>
        <v>21000.00</v>
      </c>
      <c r="AI1655" t="str">
        <f>"25000.00"</f>
        <v>25000.00</v>
      </c>
      <c r="AJ1655" t="str">
        <f>"C55-000-588-4225-3"</f>
        <v>C55-000-588-4225-3</v>
      </c>
      <c r="AK1655" t="str">
        <f>"29750"</f>
        <v>29750</v>
      </c>
      <c r="AL1655">
        <v>6</v>
      </c>
      <c r="AM1655">
        <v>1888</v>
      </c>
      <c r="AN1655">
        <v>511.83</v>
      </c>
      <c r="AQ1655" t="s">
        <v>16445</v>
      </c>
      <c r="AR1655" t="s">
        <v>16445</v>
      </c>
      <c r="AS1655" t="s">
        <v>16445</v>
      </c>
      <c r="AU1655" t="s">
        <v>396</v>
      </c>
      <c r="AV1655">
        <v>2017</v>
      </c>
      <c r="AW1655" t="str">
        <f>"44-2N-28-5130-0013-0000 "</f>
        <v xml:space="preserve">44-2N-28-5130-0013-0000 </v>
      </c>
      <c r="AX1655">
        <v>95143</v>
      </c>
      <c r="AZ1655" t="s">
        <v>15727</v>
      </c>
      <c r="BA1655" t="s">
        <v>496</v>
      </c>
      <c r="BD1655" t="s">
        <v>11749</v>
      </c>
      <c r="BE1655" t="s">
        <v>393</v>
      </c>
      <c r="BF1655">
        <v>32034</v>
      </c>
      <c r="BG1655" t="s">
        <v>16446</v>
      </c>
      <c r="BH1655" t="s">
        <v>11751</v>
      </c>
      <c r="BI1655">
        <v>-81.516909243297306</v>
      </c>
      <c r="BJ1655">
        <v>30.5715741865925</v>
      </c>
      <c r="BK1655" t="s">
        <v>16447</v>
      </c>
      <c r="BM1655" t="s">
        <v>16446</v>
      </c>
      <c r="BN1655" t="s">
        <v>3983</v>
      </c>
      <c r="BO1655">
        <v>32034</v>
      </c>
      <c r="BP1655" t="s">
        <v>416</v>
      </c>
      <c r="BQ1655">
        <v>100</v>
      </c>
      <c r="BR1655" t="s">
        <v>514</v>
      </c>
      <c r="BS1655">
        <v>1001</v>
      </c>
      <c r="BT1655" t="s">
        <v>515</v>
      </c>
      <c r="BW1655">
        <v>20852</v>
      </c>
      <c r="BX1655" t="s">
        <v>407</v>
      </c>
      <c r="BY1655" t="s">
        <v>408</v>
      </c>
      <c r="BZ1655">
        <v>4</v>
      </c>
      <c r="CA1655">
        <v>1973</v>
      </c>
      <c r="CB1655">
        <v>1</v>
      </c>
      <c r="CC1655">
        <v>1</v>
      </c>
      <c r="CD1655">
        <v>2017</v>
      </c>
      <c r="CG1655">
        <v>59881</v>
      </c>
      <c r="CH1655">
        <v>2017</v>
      </c>
      <c r="CI1655">
        <v>25000</v>
      </c>
      <c r="CJ1655">
        <v>57205</v>
      </c>
      <c r="CK1655">
        <v>82205</v>
      </c>
      <c r="CL1655">
        <v>2017</v>
      </c>
      <c r="CM1655">
        <v>443.67</v>
      </c>
      <c r="CN1655" s="1">
        <v>26665</v>
      </c>
      <c r="CO1655">
        <v>19500</v>
      </c>
      <c r="CZ1655" s="1">
        <v>26665</v>
      </c>
      <c r="DD1655" t="s">
        <v>11749</v>
      </c>
      <c r="DF1655">
        <v>13</v>
      </c>
      <c r="DG1655">
        <v>44</v>
      </c>
      <c r="DJ1655" t="s">
        <v>15727</v>
      </c>
      <c r="DL1655">
        <v>50303</v>
      </c>
      <c r="DM1655" t="s">
        <v>15677</v>
      </c>
      <c r="DO1655" t="s">
        <v>16448</v>
      </c>
      <c r="DP1655">
        <v>0</v>
      </c>
      <c r="DQ1655">
        <v>0</v>
      </c>
      <c r="DR1655" t="s">
        <v>411</v>
      </c>
      <c r="DS1655" t="b">
        <v>1</v>
      </c>
      <c r="DT1655" t="s">
        <v>470</v>
      </c>
      <c r="DU1655" t="s">
        <v>471</v>
      </c>
      <c r="DV1655" t="s">
        <v>472</v>
      </c>
      <c r="DX1655">
        <v>-9999</v>
      </c>
      <c r="DZ1655" t="s">
        <v>447</v>
      </c>
      <c r="EA1655" t="s">
        <v>448</v>
      </c>
      <c r="EB1655" t="s">
        <v>742</v>
      </c>
      <c r="EC1655">
        <v>20101217</v>
      </c>
      <c r="ED1655" t="s">
        <v>474</v>
      </c>
      <c r="EF1655">
        <v>1025.2</v>
      </c>
      <c r="EG1655">
        <v>928.4</v>
      </c>
      <c r="EI1655">
        <v>20160407</v>
      </c>
      <c r="EJ1655">
        <v>0</v>
      </c>
      <c r="EK1655">
        <v>0</v>
      </c>
      <c r="EP1655" t="s">
        <v>421</v>
      </c>
      <c r="EQ1655" t="s">
        <v>422</v>
      </c>
      <c r="ER1655">
        <v>0</v>
      </c>
      <c r="ES1655">
        <v>11</v>
      </c>
      <c r="ET1655">
        <v>0</v>
      </c>
      <c r="EU1655">
        <v>0</v>
      </c>
      <c r="EV1655">
        <v>0</v>
      </c>
      <c r="EW1655" s="2">
        <v>43222</v>
      </c>
      <c r="EX1655" s="1">
        <v>42879</v>
      </c>
      <c r="EY1655">
        <v>2016</v>
      </c>
      <c r="EZ1655">
        <v>505.61</v>
      </c>
      <c r="FA1655" t="s">
        <v>16449</v>
      </c>
      <c r="FB1655">
        <v>0.25</v>
      </c>
      <c r="FC1655" t="s">
        <v>424</v>
      </c>
      <c r="FD1655" t="s">
        <v>425</v>
      </c>
      <c r="FE1655" s="1">
        <v>42912</v>
      </c>
      <c r="FF1655">
        <v>1</v>
      </c>
      <c r="FG1655">
        <v>2851116</v>
      </c>
      <c r="FH1655" t="s">
        <v>480</v>
      </c>
      <c r="FJ1655" s="1">
        <v>42879</v>
      </c>
      <c r="FK1655">
        <v>2016</v>
      </c>
      <c r="FL1655">
        <v>505.61</v>
      </c>
      <c r="FM1655" t="s">
        <v>16449</v>
      </c>
      <c r="FN1655">
        <v>0.25</v>
      </c>
      <c r="FO1655" t="s">
        <v>424</v>
      </c>
      <c r="FP1655" t="s">
        <v>425</v>
      </c>
      <c r="FR1655">
        <v>22</v>
      </c>
      <c r="FS1655">
        <v>5040626</v>
      </c>
      <c r="FT1655" t="s">
        <v>16450</v>
      </c>
      <c r="FV1655" s="1">
        <v>42515</v>
      </c>
      <c r="FW1655">
        <v>2015</v>
      </c>
      <c r="FX1655">
        <v>510.89</v>
      </c>
      <c r="FY1655" t="s">
        <v>16451</v>
      </c>
      <c r="FZ1655">
        <v>0.25</v>
      </c>
      <c r="GA1655" t="s">
        <v>424</v>
      </c>
      <c r="GB1655" t="s">
        <v>425</v>
      </c>
      <c r="GC1655" s="1">
        <v>42912</v>
      </c>
      <c r="GD1655">
        <v>13</v>
      </c>
      <c r="GE1655">
        <v>11289</v>
      </c>
      <c r="GF1655" t="s">
        <v>787</v>
      </c>
      <c r="GH1655" s="1">
        <v>42515</v>
      </c>
      <c r="GI1655">
        <v>2015</v>
      </c>
      <c r="GJ1655">
        <v>510.89</v>
      </c>
      <c r="GK1655" t="s">
        <v>16451</v>
      </c>
      <c r="GL1655">
        <v>0.25</v>
      </c>
      <c r="GM1655" t="s">
        <v>424</v>
      </c>
      <c r="GN1655" t="s">
        <v>425</v>
      </c>
      <c r="GP1655">
        <v>22</v>
      </c>
      <c r="GQ1655">
        <v>5202000</v>
      </c>
      <c r="GR1655" t="s">
        <v>16452</v>
      </c>
      <c r="GT1655" s="1">
        <v>42151</v>
      </c>
      <c r="GU1655">
        <v>2014</v>
      </c>
      <c r="GV1655">
        <v>510</v>
      </c>
      <c r="GW1655" t="s">
        <v>16453</v>
      </c>
      <c r="GX1655">
        <v>0.25</v>
      </c>
      <c r="GY1655" t="s">
        <v>424</v>
      </c>
      <c r="GZ1655" t="s">
        <v>425</v>
      </c>
      <c r="HA1655" s="1">
        <v>42164</v>
      </c>
      <c r="HB1655">
        <v>1</v>
      </c>
      <c r="HC1655">
        <v>4844983</v>
      </c>
      <c r="HD1655" t="s">
        <v>3901</v>
      </c>
      <c r="HF1655" s="1">
        <v>42151</v>
      </c>
      <c r="HG1655">
        <v>2014</v>
      </c>
      <c r="HH1655">
        <v>510</v>
      </c>
      <c r="HI1655" t="s">
        <v>16453</v>
      </c>
      <c r="HJ1655">
        <v>0.25</v>
      </c>
      <c r="HK1655" t="s">
        <v>424</v>
      </c>
      <c r="HL1655" t="s">
        <v>425</v>
      </c>
      <c r="HN1655">
        <v>22</v>
      </c>
      <c r="HO1655">
        <v>6075647</v>
      </c>
      <c r="HP1655" t="s">
        <v>16454</v>
      </c>
      <c r="HR1655" s="1">
        <v>41787</v>
      </c>
      <c r="HS1655">
        <v>2013</v>
      </c>
      <c r="HT1655">
        <v>481.55</v>
      </c>
      <c r="HU1655" t="s">
        <v>16455</v>
      </c>
      <c r="HV1655">
        <v>0.25</v>
      </c>
      <c r="HW1655" t="s">
        <v>424</v>
      </c>
      <c r="HX1655" t="s">
        <v>425</v>
      </c>
      <c r="HY1655" s="1">
        <v>41820</v>
      </c>
      <c r="HZ1655">
        <v>1</v>
      </c>
      <c r="IA1655">
        <v>2757457</v>
      </c>
      <c r="IB1655" t="s">
        <v>648</v>
      </c>
      <c r="ID1655" s="1">
        <v>41423</v>
      </c>
      <c r="IE1655">
        <v>2012</v>
      </c>
      <c r="IF1655">
        <v>480.22</v>
      </c>
      <c r="IG1655" t="s">
        <v>16456</v>
      </c>
      <c r="IH1655">
        <v>0.25</v>
      </c>
      <c r="II1655" t="s">
        <v>424</v>
      </c>
      <c r="IJ1655" t="s">
        <v>425</v>
      </c>
      <c r="IK1655" s="1">
        <v>41520</v>
      </c>
      <c r="IL1655">
        <v>4</v>
      </c>
      <c r="IM1655">
        <v>62</v>
      </c>
      <c r="IN1655" t="s">
        <v>463</v>
      </c>
      <c r="IP1655" s="1">
        <v>41052</v>
      </c>
      <c r="IQ1655">
        <v>2011</v>
      </c>
      <c r="IR1655">
        <v>467.34</v>
      </c>
      <c r="IS1655" t="s">
        <v>16457</v>
      </c>
      <c r="IT1655">
        <v>0.25</v>
      </c>
      <c r="IU1655" t="s">
        <v>424</v>
      </c>
      <c r="IV1655" t="s">
        <v>425</v>
      </c>
      <c r="IW1655" s="1">
        <v>41520</v>
      </c>
      <c r="IX1655">
        <v>16</v>
      </c>
      <c r="IY1655">
        <v>13368</v>
      </c>
      <c r="IZ1655" t="s">
        <v>1740</v>
      </c>
      <c r="JB1655" s="1">
        <v>41052</v>
      </c>
      <c r="JC1655">
        <v>2011</v>
      </c>
      <c r="JD1655">
        <v>467.34</v>
      </c>
      <c r="JE1655" t="s">
        <v>16457</v>
      </c>
      <c r="JF1655">
        <v>0.25</v>
      </c>
      <c r="JG1655" t="s">
        <v>424</v>
      </c>
      <c r="JH1655" t="s">
        <v>425</v>
      </c>
      <c r="JJ1655">
        <v>22</v>
      </c>
      <c r="JK1655">
        <v>14344</v>
      </c>
      <c r="JL1655" t="s">
        <v>6997</v>
      </c>
      <c r="JN1655" s="1">
        <v>40688</v>
      </c>
      <c r="JO1655">
        <v>2010</v>
      </c>
      <c r="JP1655">
        <v>461.84</v>
      </c>
      <c r="JQ1655" t="s">
        <v>16458</v>
      </c>
      <c r="JR1655">
        <v>0.25</v>
      </c>
      <c r="JS1655" t="s">
        <v>424</v>
      </c>
      <c r="JT1655" t="s">
        <v>425</v>
      </c>
      <c r="JU1655" s="1">
        <v>40714</v>
      </c>
      <c r="JV1655">
        <v>1</v>
      </c>
      <c r="JW1655">
        <v>11141</v>
      </c>
      <c r="JX1655" t="s">
        <v>1723</v>
      </c>
    </row>
    <row r="1656" spans="1:284" x14ac:dyDescent="0.25">
      <c r="A1656">
        <v>16486663</v>
      </c>
      <c r="B1656">
        <v>1655</v>
      </c>
      <c r="C1656" t="s">
        <v>393</v>
      </c>
      <c r="D1656" t="s">
        <v>394</v>
      </c>
      <c r="F1656" t="str">
        <f>"44-2N-28-5130-0032-0000"</f>
        <v>44-2N-28-5130-0032-0000</v>
      </c>
      <c r="H1656" t="str">
        <f>"MARSH DENNIS LEE"</f>
        <v>MARSH DENNIS LEE</v>
      </c>
      <c r="I1656" t="str">
        <f>"95084 GERALD CIR"</f>
        <v>95084 GERALD CIR</v>
      </c>
      <c r="J1656" t="str">
        <f t="shared" si="591"/>
        <v>FERNANDINA BEACH FL 32034</v>
      </c>
      <c r="K1656" t="str">
        <f>"95084 GERALD CIR"</f>
        <v>95084 GERALD CIR</v>
      </c>
      <c r="L1656" t="str">
        <f t="shared" si="592"/>
        <v>FERNANDINA BEACH FL 32034</v>
      </c>
      <c r="M1656" t="str">
        <f>"LOT 32 R787542 IN OR 1939/1916 ELLIS LANDING UNR"</f>
        <v>LOT 32 R787542 IN OR 1939/1916 ELLIS LANDING UNR</v>
      </c>
      <c r="N1656" t="str">
        <f>""</f>
        <v/>
      </c>
      <c r="O1656" t="str">
        <f>"51040"</f>
        <v>51040</v>
      </c>
      <c r="P1656" t="str">
        <f t="shared" si="577"/>
        <v>2017</v>
      </c>
      <c r="Q1656" t="str">
        <f>""</f>
        <v/>
      </c>
      <c r="R1656" t="str">
        <f>"N"</f>
        <v>N</v>
      </c>
      <c r="S1656" t="str">
        <f>""</f>
        <v/>
      </c>
      <c r="T1656" t="str">
        <f>"514.88"</f>
        <v>514.88</v>
      </c>
      <c r="U1656" t="str">
        <f>"31975.00"</f>
        <v>31975.00</v>
      </c>
      <c r="V1656" t="str">
        <f>"31975.00"</f>
        <v>31975.00</v>
      </c>
      <c r="W1656" t="str">
        <f t="shared" si="578"/>
        <v>2017</v>
      </c>
      <c r="X1656" t="str">
        <f>"4.75"</f>
        <v>4.75</v>
      </c>
      <c r="Y1656" t="str">
        <f>"562.33"</f>
        <v>562.33</v>
      </c>
      <c r="Z1656" t="str">
        <f>""</f>
        <v/>
      </c>
      <c r="AA1656" t="str">
        <f>"36647.00"</f>
        <v>36647.00</v>
      </c>
      <c r="AB1656" t="str">
        <f t="shared" si="593"/>
        <v>Residential</v>
      </c>
      <c r="AC1656" t="str">
        <f t="shared" si="588"/>
        <v>0</v>
      </c>
      <c r="AD1656" t="str">
        <f t="shared" si="594"/>
        <v>4</v>
      </c>
      <c r="AE1656" t="str">
        <f t="shared" si="595"/>
        <v>WOOD (INCLUDE STEEL STUDS)</v>
      </c>
      <c r="AF1656" t="str">
        <f>"002"</f>
        <v>002</v>
      </c>
      <c r="AG1656" t="str">
        <f t="shared" si="590"/>
        <v>FL</v>
      </c>
      <c r="AH1656" t="str">
        <f>"24250.00"</f>
        <v>24250.00</v>
      </c>
      <c r="AI1656" t="str">
        <f>"22500.00"</f>
        <v>22500.00</v>
      </c>
      <c r="AJ1656" t="str">
        <f>"C55-000-588-4243-6"</f>
        <v>C55-000-588-4243-6</v>
      </c>
      <c r="AK1656" t="str">
        <f>"29768"</f>
        <v>29768</v>
      </c>
      <c r="AL1656">
        <v>6</v>
      </c>
      <c r="AM1656">
        <v>1889</v>
      </c>
      <c r="AN1656">
        <v>588.85</v>
      </c>
      <c r="AQ1656" t="s">
        <v>16459</v>
      </c>
      <c r="AR1656" t="s">
        <v>16459</v>
      </c>
      <c r="AS1656" t="s">
        <v>16459</v>
      </c>
      <c r="AU1656" t="s">
        <v>396</v>
      </c>
      <c r="AV1656">
        <v>2017</v>
      </c>
      <c r="AW1656" t="str">
        <f>"44-2N-28-5130-0032-0000 "</f>
        <v xml:space="preserve">44-2N-28-5130-0032-0000 </v>
      </c>
      <c r="AX1656">
        <v>95084</v>
      </c>
      <c r="AZ1656" t="s">
        <v>16460</v>
      </c>
      <c r="BA1656" t="s">
        <v>1799</v>
      </c>
      <c r="BD1656" t="s">
        <v>11749</v>
      </c>
      <c r="BE1656" t="s">
        <v>393</v>
      </c>
      <c r="BF1656">
        <v>32034</v>
      </c>
      <c r="BG1656" t="s">
        <v>16461</v>
      </c>
      <c r="BH1656" t="s">
        <v>11751</v>
      </c>
      <c r="BI1656">
        <v>-81.514865775595496</v>
      </c>
      <c r="BJ1656">
        <v>30.570347360145199</v>
      </c>
      <c r="BK1656" t="s">
        <v>16462</v>
      </c>
      <c r="BM1656" t="s">
        <v>16461</v>
      </c>
      <c r="BN1656" t="s">
        <v>3983</v>
      </c>
      <c r="BO1656">
        <v>32034</v>
      </c>
      <c r="BP1656" t="s">
        <v>416</v>
      </c>
      <c r="BQ1656">
        <v>200</v>
      </c>
      <c r="BR1656" t="s">
        <v>405</v>
      </c>
      <c r="BS1656">
        <v>1006</v>
      </c>
      <c r="BT1656" t="s">
        <v>406</v>
      </c>
      <c r="BW1656">
        <v>20355</v>
      </c>
      <c r="BX1656" t="s">
        <v>407</v>
      </c>
      <c r="BY1656" t="s">
        <v>408</v>
      </c>
      <c r="BZ1656">
        <v>4</v>
      </c>
      <c r="CA1656">
        <v>1978</v>
      </c>
      <c r="CB1656">
        <v>1</v>
      </c>
      <c r="CC1656">
        <v>1</v>
      </c>
      <c r="CD1656">
        <v>2017</v>
      </c>
      <c r="CE1656">
        <v>22500</v>
      </c>
      <c r="CF1656">
        <v>14147</v>
      </c>
      <c r="CG1656">
        <v>36647</v>
      </c>
      <c r="CH1656">
        <v>2017</v>
      </c>
      <c r="CI1656">
        <v>22500</v>
      </c>
      <c r="CJ1656">
        <v>14147</v>
      </c>
      <c r="CK1656">
        <v>36647</v>
      </c>
      <c r="CL1656">
        <v>2017</v>
      </c>
      <c r="CM1656">
        <v>514.88</v>
      </c>
      <c r="CN1656" s="1">
        <v>41909</v>
      </c>
      <c r="CZ1656" s="1">
        <v>41909</v>
      </c>
      <c r="DD1656" t="s">
        <v>11749</v>
      </c>
      <c r="DF1656">
        <v>32</v>
      </c>
      <c r="DG1656">
        <v>44</v>
      </c>
      <c r="DJ1656" t="s">
        <v>15727</v>
      </c>
      <c r="DL1656">
        <v>50303</v>
      </c>
      <c r="DM1656" t="s">
        <v>15677</v>
      </c>
      <c r="DO1656" t="s">
        <v>16463</v>
      </c>
      <c r="DP1656">
        <v>0</v>
      </c>
      <c r="DQ1656">
        <v>0</v>
      </c>
      <c r="DR1656" t="s">
        <v>411</v>
      </c>
      <c r="DS1656" t="b">
        <v>1</v>
      </c>
      <c r="DT1656" t="s">
        <v>470</v>
      </c>
      <c r="DU1656" t="s">
        <v>471</v>
      </c>
      <c r="DV1656" t="s">
        <v>472</v>
      </c>
      <c r="DX1656">
        <v>-9999</v>
      </c>
      <c r="DZ1656" t="s">
        <v>447</v>
      </c>
      <c r="EA1656" t="s">
        <v>448</v>
      </c>
      <c r="EB1656" t="s">
        <v>742</v>
      </c>
      <c r="EC1656">
        <v>20101217</v>
      </c>
      <c r="ED1656" t="s">
        <v>474</v>
      </c>
      <c r="EF1656">
        <v>514.20000000000005</v>
      </c>
      <c r="EG1656">
        <v>514.20000000000005</v>
      </c>
      <c r="EH1656" t="s">
        <v>451</v>
      </c>
      <c r="EI1656">
        <v>20140731</v>
      </c>
      <c r="EJ1656">
        <v>0</v>
      </c>
      <c r="EK1656">
        <v>0</v>
      </c>
      <c r="EP1656" t="s">
        <v>421</v>
      </c>
      <c r="EQ1656" t="s">
        <v>422</v>
      </c>
      <c r="ER1656">
        <v>1</v>
      </c>
      <c r="ES1656">
        <v>3</v>
      </c>
      <c r="ET1656">
        <v>522.66</v>
      </c>
      <c r="EU1656">
        <v>32.380000000000003</v>
      </c>
      <c r="EV1656">
        <v>555.04</v>
      </c>
      <c r="EW1656" s="2">
        <v>43222</v>
      </c>
      <c r="EX1656" s="1">
        <v>42879</v>
      </c>
      <c r="EY1656">
        <v>2016</v>
      </c>
      <c r="EZ1656">
        <v>522.66</v>
      </c>
      <c r="FA1656" t="s">
        <v>16464</v>
      </c>
      <c r="FB1656">
        <v>0.25</v>
      </c>
      <c r="FC1656" t="s">
        <v>424</v>
      </c>
      <c r="FD1656" t="s">
        <v>454</v>
      </c>
      <c r="FF1656">
        <v>12</v>
      </c>
      <c r="FG1656">
        <v>7336143</v>
      </c>
      <c r="FH1656" t="s">
        <v>539</v>
      </c>
      <c r="FJ1656" s="1">
        <v>42151</v>
      </c>
      <c r="FK1656">
        <v>2014</v>
      </c>
      <c r="FL1656">
        <v>495.27</v>
      </c>
      <c r="FM1656" t="s">
        <v>16465</v>
      </c>
      <c r="FN1656">
        <v>0.25</v>
      </c>
      <c r="FO1656" t="s">
        <v>424</v>
      </c>
      <c r="FP1656" t="s">
        <v>425</v>
      </c>
      <c r="FQ1656" s="1">
        <v>42317</v>
      </c>
      <c r="FR1656">
        <v>6</v>
      </c>
      <c r="FS1656">
        <v>13026</v>
      </c>
      <c r="FT1656" t="s">
        <v>2129</v>
      </c>
      <c r="FV1656" s="1">
        <v>42151</v>
      </c>
      <c r="FW1656">
        <v>2014</v>
      </c>
      <c r="FX1656">
        <v>495.27</v>
      </c>
      <c r="FY1656" t="s">
        <v>16465</v>
      </c>
      <c r="FZ1656">
        <v>0.25</v>
      </c>
      <c r="GA1656" t="s">
        <v>424</v>
      </c>
      <c r="GB1656" t="s">
        <v>425</v>
      </c>
      <c r="GD1656">
        <v>22</v>
      </c>
      <c r="GE1656">
        <v>4699191</v>
      </c>
      <c r="GF1656" t="s">
        <v>14471</v>
      </c>
      <c r="GH1656" s="1">
        <v>40688</v>
      </c>
      <c r="GI1656">
        <v>2010</v>
      </c>
      <c r="GJ1656">
        <v>537.76</v>
      </c>
      <c r="GK1656" t="s">
        <v>16466</v>
      </c>
      <c r="GL1656">
        <v>5.75</v>
      </c>
      <c r="GM1656" t="s">
        <v>424</v>
      </c>
      <c r="GN1656" t="s">
        <v>425</v>
      </c>
      <c r="GO1656" s="1">
        <v>40704</v>
      </c>
      <c r="GP1656">
        <v>1</v>
      </c>
      <c r="GQ1656">
        <v>62</v>
      </c>
      <c r="GR1656" t="s">
        <v>463</v>
      </c>
    </row>
    <row r="1657" spans="1:284" x14ac:dyDescent="0.25">
      <c r="A1657">
        <v>16486664</v>
      </c>
      <c r="B1657">
        <v>1656</v>
      </c>
      <c r="C1657" t="s">
        <v>393</v>
      </c>
      <c r="D1657" t="s">
        <v>394</v>
      </c>
      <c r="F1657" t="str">
        <f>"44-2N-28-5130-0054-0000"</f>
        <v>44-2N-28-5130-0054-0000</v>
      </c>
      <c r="H1657" t="str">
        <f>"DUNCUM BRIAN E SR &amp; DUNCUM FELICIA W (JT/RS)"</f>
        <v>DUNCUM BRIAN E SR &amp; DUNCUM FELICIA W (JT/RS)</v>
      </c>
      <c r="I1657" t="str">
        <f>"95221 GERALD CIRCLE"</f>
        <v>95221 GERALD CIRCLE</v>
      </c>
      <c r="J1657" t="str">
        <f t="shared" si="591"/>
        <v>FERNANDINA BEACH FL 32034</v>
      </c>
      <c r="K1657" t="str">
        <f>"95221 GERALD CIR"</f>
        <v>95221 GERALD CIR</v>
      </c>
      <c r="L1657" t="str">
        <f t="shared" si="592"/>
        <v>FERNANDINA BEACH FL 32034</v>
      </c>
      <c r="M1657" t="str">
        <f>"LOTS 54 &amp; 55 IN OR 1977/545 ELLIS LANDING UNR"</f>
        <v>LOTS 54 &amp; 55 IN OR 1977/545 ELLIS LANDING UNR</v>
      </c>
      <c r="N1657" t="str">
        <f>""</f>
        <v/>
      </c>
      <c r="O1657" t="str">
        <f>"51059"</f>
        <v>51059</v>
      </c>
      <c r="P1657" t="str">
        <f t="shared" si="577"/>
        <v>2017</v>
      </c>
      <c r="Q1657" t="str">
        <f>""</f>
        <v/>
      </c>
      <c r="R1657" t="str">
        <f>"Y"</f>
        <v>Y</v>
      </c>
      <c r="S1657" t="str">
        <f>""</f>
        <v/>
      </c>
      <c r="T1657" t="str">
        <f>"983.79"</f>
        <v>983.79</v>
      </c>
      <c r="U1657" t="str">
        <f>"104089.00"</f>
        <v>104089.00</v>
      </c>
      <c r="V1657" t="str">
        <f>"104089.00"</f>
        <v>104089.00</v>
      </c>
      <c r="W1657" t="str">
        <f t="shared" si="578"/>
        <v>2017</v>
      </c>
      <c r="X1657" t="str">
        <f>""</f>
        <v/>
      </c>
      <c r="Y1657" t="str">
        <f>"1045.30"</f>
        <v>1045.30</v>
      </c>
      <c r="Z1657" t="str">
        <f>"25000.00"</f>
        <v>25000.00</v>
      </c>
      <c r="AA1657" t="str">
        <f>"79089.00"</f>
        <v>79089.00</v>
      </c>
      <c r="AB1657" t="str">
        <f t="shared" si="593"/>
        <v>Residential</v>
      </c>
      <c r="AC1657" t="str">
        <f t="shared" si="588"/>
        <v>0</v>
      </c>
      <c r="AD1657" t="str">
        <f t="shared" si="594"/>
        <v>4</v>
      </c>
      <c r="AE1657" t="str">
        <f t="shared" si="595"/>
        <v>WOOD (INCLUDE STEEL STUDS)</v>
      </c>
      <c r="AF1657" t="str">
        <f>"001"</f>
        <v>001</v>
      </c>
      <c r="AG1657" t="str">
        <f t="shared" si="590"/>
        <v>FL</v>
      </c>
      <c r="AH1657" t="str">
        <f>"40200.00"</f>
        <v>40200.00</v>
      </c>
      <c r="AI1657" t="str">
        <f>"50000.00"</f>
        <v>50000.00</v>
      </c>
      <c r="AJ1657" t="str">
        <f>"C55-000-588-4261-8"</f>
        <v>C55-000-588-4261-8</v>
      </c>
      <c r="AK1657" t="str">
        <f>"29786"</f>
        <v>29786</v>
      </c>
      <c r="AL1657">
        <v>6</v>
      </c>
      <c r="AM1657">
        <v>1890</v>
      </c>
      <c r="AN1657">
        <v>1095.97</v>
      </c>
      <c r="AQ1657" t="s">
        <v>16467</v>
      </c>
      <c r="AR1657" t="s">
        <v>16467</v>
      </c>
      <c r="AS1657" t="s">
        <v>16467</v>
      </c>
      <c r="AU1657" t="s">
        <v>396</v>
      </c>
      <c r="AV1657">
        <v>2017</v>
      </c>
      <c r="AW1657" t="str">
        <f>"44-2N-28-5130-0054-0000 "</f>
        <v xml:space="preserve">44-2N-28-5130-0054-0000 </v>
      </c>
      <c r="AX1657">
        <v>95221</v>
      </c>
      <c r="AZ1657" t="s">
        <v>16460</v>
      </c>
      <c r="BA1657" t="s">
        <v>1799</v>
      </c>
      <c r="BD1657" t="s">
        <v>11749</v>
      </c>
      <c r="BE1657" t="s">
        <v>393</v>
      </c>
      <c r="BF1657">
        <v>32034</v>
      </c>
      <c r="BG1657" t="s">
        <v>12201</v>
      </c>
      <c r="BH1657" t="s">
        <v>11751</v>
      </c>
      <c r="BI1657">
        <v>-81.516007786893795</v>
      </c>
      <c r="BJ1657">
        <v>30.572126920099301</v>
      </c>
      <c r="BK1657" t="s">
        <v>12199</v>
      </c>
      <c r="BL1657" t="s">
        <v>12200</v>
      </c>
      <c r="BM1657" t="s">
        <v>12201</v>
      </c>
      <c r="BN1657" t="s">
        <v>3983</v>
      </c>
      <c r="BO1657">
        <v>32034</v>
      </c>
      <c r="BP1657" t="s">
        <v>416</v>
      </c>
      <c r="BQ1657">
        <v>100</v>
      </c>
      <c r="BR1657" t="s">
        <v>514</v>
      </c>
      <c r="BS1657">
        <v>1001</v>
      </c>
      <c r="BT1657" t="s">
        <v>515</v>
      </c>
      <c r="BW1657">
        <v>40289</v>
      </c>
      <c r="BX1657" t="s">
        <v>407</v>
      </c>
      <c r="BY1657" t="s">
        <v>408</v>
      </c>
      <c r="BZ1657">
        <v>4</v>
      </c>
      <c r="CA1657">
        <v>1973</v>
      </c>
      <c r="CB1657">
        <v>1</v>
      </c>
      <c r="CC1657">
        <v>1</v>
      </c>
      <c r="CD1657">
        <v>2017</v>
      </c>
      <c r="CG1657">
        <v>104089</v>
      </c>
      <c r="CH1657">
        <v>2017</v>
      </c>
      <c r="CI1657">
        <v>50000</v>
      </c>
      <c r="CJ1657">
        <v>86394</v>
      </c>
      <c r="CK1657">
        <v>136394</v>
      </c>
      <c r="CL1657">
        <v>2017</v>
      </c>
      <c r="CM1657">
        <v>983.79</v>
      </c>
      <c r="CN1657" s="1">
        <v>42124</v>
      </c>
      <c r="CZ1657" s="1">
        <v>42124</v>
      </c>
      <c r="DD1657" t="s">
        <v>11749</v>
      </c>
      <c r="DG1657">
        <v>44</v>
      </c>
      <c r="DJ1657" t="s">
        <v>15727</v>
      </c>
      <c r="DL1657">
        <v>50303</v>
      </c>
      <c r="DM1657" t="s">
        <v>15677</v>
      </c>
      <c r="DO1657" t="s">
        <v>16468</v>
      </c>
      <c r="DP1657">
        <v>0</v>
      </c>
      <c r="DQ1657">
        <v>0</v>
      </c>
      <c r="DR1657" t="s">
        <v>411</v>
      </c>
    </row>
    <row r="1658" spans="1:284" x14ac:dyDescent="0.25">
      <c r="A1658">
        <v>16486665</v>
      </c>
      <c r="B1658">
        <v>1657</v>
      </c>
      <c r="C1658" t="s">
        <v>393</v>
      </c>
      <c r="D1658" t="s">
        <v>394</v>
      </c>
      <c r="F1658" t="str">
        <f>"44-2N-28-5130-0063-0000"</f>
        <v>44-2N-28-5130-0063-0000</v>
      </c>
      <c r="H1658" t="str">
        <f>"TAYLOR HOWARD L &amp; YOLANDA D"</f>
        <v>TAYLOR HOWARD L &amp; YOLANDA D</v>
      </c>
      <c r="I1658" t="str">
        <f>"95124 ELLIS LANDING ROAD"</f>
        <v>95124 ELLIS LANDING ROAD</v>
      </c>
      <c r="J1658" t="str">
        <f t="shared" si="591"/>
        <v>FERNANDINA BEACH FL 32034</v>
      </c>
      <c r="K1658" t="str">
        <f>"ELLIS LANDING RD"</f>
        <v>ELLIS LANDING RD</v>
      </c>
      <c r="L1658" t="str">
        <f t="shared" si="592"/>
        <v>FERNANDINA BEACH FL 32034</v>
      </c>
      <c r="M1658" t="str">
        <f>"LOT 63 IN OR 1010/395 ELLIS LANDING UNR"</f>
        <v>LOT 63 IN OR 1010/395 ELLIS LANDING UNR</v>
      </c>
      <c r="N1658" t="str">
        <f>""</f>
        <v/>
      </c>
      <c r="O1658" t="str">
        <f>"51066"</f>
        <v>51066</v>
      </c>
      <c r="P1658" t="str">
        <f t="shared" si="577"/>
        <v>2017</v>
      </c>
      <c r="Q1658" t="str">
        <f>""</f>
        <v/>
      </c>
      <c r="R1658" t="str">
        <f>"N"</f>
        <v>N</v>
      </c>
      <c r="S1658" t="str">
        <f>""</f>
        <v/>
      </c>
      <c r="T1658" t="str">
        <f>"236.45"</f>
        <v>236.45</v>
      </c>
      <c r="U1658" t="str">
        <f>"13200.00"</f>
        <v>13200.00</v>
      </c>
      <c r="V1658" t="str">
        <f>"13200.00"</f>
        <v>13200.00</v>
      </c>
      <c r="W1658" t="str">
        <f t="shared" si="578"/>
        <v>2017</v>
      </c>
      <c r="X1658" t="str">
        <f>"19.71"</f>
        <v>19.71</v>
      </c>
      <c r="Y1658" t="str">
        <f>"275.54"</f>
        <v>275.54</v>
      </c>
      <c r="Z1658" t="str">
        <f>""</f>
        <v/>
      </c>
      <c r="AA1658" t="str">
        <f>"18750.00"</f>
        <v>18750.00</v>
      </c>
      <c r="AB1658" t="str">
        <f t="shared" si="593"/>
        <v>Residential</v>
      </c>
      <c r="AC1658" t="str">
        <f t="shared" si="588"/>
        <v>0</v>
      </c>
      <c r="AD1658" t="str">
        <f>""</f>
        <v/>
      </c>
      <c r="AE1658" t="str">
        <f>""</f>
        <v/>
      </c>
      <c r="AF1658" t="str">
        <f>"000"</f>
        <v>000</v>
      </c>
      <c r="AG1658" t="str">
        <f t="shared" si="590"/>
        <v>FL</v>
      </c>
      <c r="AH1658" t="str">
        <f>"16375.00"</f>
        <v>16375.00</v>
      </c>
      <c r="AI1658" t="str">
        <f>"18750.00"</f>
        <v>18750.00</v>
      </c>
      <c r="AJ1658" t="str">
        <f>"C55-000-588-4268-3"</f>
        <v>C55-000-588-4268-3</v>
      </c>
      <c r="AK1658" t="str">
        <f>"29792"</f>
        <v>29792</v>
      </c>
      <c r="AL1658">
        <v>6</v>
      </c>
      <c r="AM1658">
        <v>1891</v>
      </c>
      <c r="AN1658">
        <v>287.72000000000003</v>
      </c>
      <c r="AQ1658" t="s">
        <v>16469</v>
      </c>
      <c r="AR1658" t="s">
        <v>16469</v>
      </c>
      <c r="AS1658" t="s">
        <v>16469</v>
      </c>
      <c r="AU1658" t="s">
        <v>396</v>
      </c>
      <c r="AV1658">
        <v>2017</v>
      </c>
      <c r="AW1658" t="str">
        <f>"44-2N-28-5130-0063-0000 "</f>
        <v xml:space="preserve">44-2N-28-5130-0063-0000 </v>
      </c>
      <c r="AZ1658" t="s">
        <v>15727</v>
      </c>
      <c r="BA1658" t="s">
        <v>496</v>
      </c>
      <c r="BD1658" t="s">
        <v>11749</v>
      </c>
      <c r="BE1658" t="s">
        <v>393</v>
      </c>
      <c r="BF1658">
        <v>32034</v>
      </c>
      <c r="BG1658" t="s">
        <v>16470</v>
      </c>
      <c r="BH1658" t="s">
        <v>11751</v>
      </c>
      <c r="BI1658">
        <v>-81.516184868477296</v>
      </c>
      <c r="BJ1658">
        <v>30.571691744172799</v>
      </c>
      <c r="BK1658" t="s">
        <v>16471</v>
      </c>
      <c r="BL1658" t="s">
        <v>16472</v>
      </c>
      <c r="BM1658" t="s">
        <v>16473</v>
      </c>
      <c r="BN1658" t="s">
        <v>3983</v>
      </c>
      <c r="BO1658">
        <v>32034</v>
      </c>
      <c r="BP1658" t="s">
        <v>404</v>
      </c>
      <c r="BQ1658">
        <v>0</v>
      </c>
      <c r="BR1658" t="s">
        <v>491</v>
      </c>
      <c r="BS1658">
        <v>8001</v>
      </c>
      <c r="BT1658" t="s">
        <v>492</v>
      </c>
      <c r="BW1658">
        <v>22146</v>
      </c>
      <c r="BX1658" t="s">
        <v>407</v>
      </c>
      <c r="BY1658" t="s">
        <v>408</v>
      </c>
      <c r="CD1658">
        <v>2017</v>
      </c>
      <c r="CE1658">
        <v>18750</v>
      </c>
      <c r="CG1658">
        <v>18750</v>
      </c>
      <c r="CH1658">
        <v>2017</v>
      </c>
      <c r="CI1658">
        <v>18750</v>
      </c>
      <c r="CK1658">
        <v>18750</v>
      </c>
      <c r="CL1658">
        <v>2017</v>
      </c>
      <c r="CM1658">
        <v>236.45</v>
      </c>
      <c r="CN1658" s="1">
        <v>37165</v>
      </c>
      <c r="CO1658">
        <v>10500</v>
      </c>
      <c r="CZ1658" s="1">
        <v>37165</v>
      </c>
      <c r="DD1658" t="s">
        <v>11749</v>
      </c>
      <c r="DF1658">
        <v>63</v>
      </c>
      <c r="DG1658">
        <v>44</v>
      </c>
      <c r="DJ1658" t="s">
        <v>15727</v>
      </c>
      <c r="DL1658">
        <v>50303</v>
      </c>
      <c r="DM1658" t="s">
        <v>15677</v>
      </c>
      <c r="DO1658" t="s">
        <v>16474</v>
      </c>
      <c r="DP1658">
        <v>0</v>
      </c>
      <c r="DQ1658">
        <v>0</v>
      </c>
      <c r="DR1658" t="s">
        <v>411</v>
      </c>
      <c r="DS1658" t="b">
        <v>1</v>
      </c>
      <c r="DT1658" t="s">
        <v>470</v>
      </c>
      <c r="DU1658" t="s">
        <v>471</v>
      </c>
      <c r="DV1658" t="s">
        <v>472</v>
      </c>
      <c r="DX1658">
        <v>-9999</v>
      </c>
      <c r="DZ1658" t="s">
        <v>447</v>
      </c>
      <c r="EA1658" t="s">
        <v>448</v>
      </c>
      <c r="EB1658" t="s">
        <v>742</v>
      </c>
      <c r="EC1658">
        <v>20101217</v>
      </c>
      <c r="ED1658" t="s">
        <v>474</v>
      </c>
      <c r="EF1658">
        <v>1014.9</v>
      </c>
      <c r="EG1658">
        <v>731.5</v>
      </c>
      <c r="EI1658">
        <v>20160407</v>
      </c>
      <c r="EJ1658">
        <v>0</v>
      </c>
      <c r="EK1658">
        <v>0</v>
      </c>
      <c r="EP1658" t="s">
        <v>421</v>
      </c>
      <c r="EQ1658" t="s">
        <v>422</v>
      </c>
      <c r="ER1658">
        <v>0</v>
      </c>
      <c r="ES1658">
        <v>6</v>
      </c>
      <c r="ET1658">
        <v>0</v>
      </c>
      <c r="EU1658">
        <v>0</v>
      </c>
      <c r="EV1658">
        <v>0</v>
      </c>
      <c r="EW1658" s="2">
        <v>43222</v>
      </c>
      <c r="EX1658" s="1">
        <v>42515</v>
      </c>
      <c r="EY1658">
        <v>2015</v>
      </c>
      <c r="EZ1658">
        <v>226.06</v>
      </c>
      <c r="FA1658" t="s">
        <v>16475</v>
      </c>
      <c r="FB1658">
        <v>15.75</v>
      </c>
      <c r="FC1658" t="s">
        <v>424</v>
      </c>
      <c r="FD1658" t="s">
        <v>425</v>
      </c>
      <c r="FE1658" s="1">
        <v>42793</v>
      </c>
      <c r="FF1658">
        <v>9</v>
      </c>
      <c r="FG1658">
        <v>7336677</v>
      </c>
      <c r="FH1658" t="s">
        <v>5826</v>
      </c>
      <c r="FJ1658" s="1">
        <v>42151</v>
      </c>
      <c r="FK1658">
        <v>2014</v>
      </c>
      <c r="FL1658">
        <v>227.1</v>
      </c>
      <c r="FM1658" t="s">
        <v>16476</v>
      </c>
      <c r="FN1658">
        <v>8.75</v>
      </c>
      <c r="FO1658" t="s">
        <v>424</v>
      </c>
      <c r="FP1658" t="s">
        <v>425</v>
      </c>
      <c r="FQ1658" s="1">
        <v>42793</v>
      </c>
      <c r="FR1658">
        <v>21</v>
      </c>
      <c r="FS1658">
        <v>10125</v>
      </c>
      <c r="FT1658" t="s">
        <v>440</v>
      </c>
      <c r="FV1658" s="1">
        <v>41787</v>
      </c>
      <c r="FW1658">
        <v>2013</v>
      </c>
      <c r="FX1658">
        <v>216.11</v>
      </c>
      <c r="FY1658" t="s">
        <v>16477</v>
      </c>
      <c r="FZ1658">
        <v>0.25</v>
      </c>
      <c r="GA1658" t="s">
        <v>424</v>
      </c>
      <c r="GB1658" t="s">
        <v>425</v>
      </c>
      <c r="GC1658" s="1">
        <v>42452</v>
      </c>
      <c r="GD1658">
        <v>22</v>
      </c>
      <c r="GE1658">
        <v>10125</v>
      </c>
      <c r="GF1658" t="s">
        <v>440</v>
      </c>
      <c r="GH1658" s="1">
        <v>41423</v>
      </c>
      <c r="GI1658">
        <v>2012</v>
      </c>
      <c r="GJ1658">
        <v>218.54</v>
      </c>
      <c r="GK1658" t="s">
        <v>16478</v>
      </c>
      <c r="GL1658">
        <v>5.75</v>
      </c>
      <c r="GM1658" t="s">
        <v>424</v>
      </c>
      <c r="GN1658" t="s">
        <v>425</v>
      </c>
      <c r="GO1658" s="1">
        <v>42060</v>
      </c>
      <c r="GP1658">
        <v>21</v>
      </c>
      <c r="GQ1658">
        <v>2101381</v>
      </c>
      <c r="GR1658" t="s">
        <v>605</v>
      </c>
      <c r="GT1658" s="1">
        <v>41052</v>
      </c>
      <c r="GU1658">
        <v>2011</v>
      </c>
      <c r="GV1658">
        <v>213.98</v>
      </c>
      <c r="GW1658" t="s">
        <v>16479</v>
      </c>
      <c r="GX1658">
        <v>15</v>
      </c>
      <c r="GY1658" t="s">
        <v>424</v>
      </c>
      <c r="GZ1658" t="s">
        <v>425</v>
      </c>
      <c r="HA1658" s="1">
        <v>41691</v>
      </c>
      <c r="HB1658">
        <v>21</v>
      </c>
      <c r="HC1658">
        <v>13027</v>
      </c>
      <c r="HD1658" t="s">
        <v>826</v>
      </c>
      <c r="HF1658" s="1">
        <v>40688</v>
      </c>
      <c r="HG1658">
        <v>2010</v>
      </c>
      <c r="HH1658">
        <v>213.09</v>
      </c>
      <c r="HI1658" t="s">
        <v>16480</v>
      </c>
      <c r="HJ1658">
        <v>6</v>
      </c>
      <c r="HK1658" t="s">
        <v>424</v>
      </c>
      <c r="HL1658" t="s">
        <v>425</v>
      </c>
      <c r="HM1658" s="1">
        <v>41361</v>
      </c>
      <c r="HN1658">
        <v>22</v>
      </c>
      <c r="HO1658">
        <v>105</v>
      </c>
      <c r="HP1658" t="s">
        <v>946</v>
      </c>
    </row>
    <row r="1659" spans="1:284" x14ac:dyDescent="0.25">
      <c r="A1659">
        <v>16486666</v>
      </c>
      <c r="B1659">
        <v>1658</v>
      </c>
      <c r="C1659" t="s">
        <v>393</v>
      </c>
      <c r="D1659" t="s">
        <v>394</v>
      </c>
      <c r="F1659" t="str">
        <f>"44-2N-28-5136-0003-0000"</f>
        <v>44-2N-28-5136-0003-0000</v>
      </c>
      <c r="H1659" t="str">
        <f>"BURNSED JODI P"</f>
        <v>BURNSED JODI P</v>
      </c>
      <c r="I1659" t="str">
        <f>"95490 ALLIGATOR CREEK RD"</f>
        <v>95490 ALLIGATOR CREEK RD</v>
      </c>
      <c r="J1659" t="str">
        <f t="shared" si="591"/>
        <v>FERNANDINA BEACH FL 32034</v>
      </c>
      <c r="K1659" t="str">
        <f>"95458 ALLIGATOR CREEK RD"</f>
        <v>95458 ALLIGATOR CREEK RD</v>
      </c>
      <c r="L1659" t="str">
        <f t="shared" si="592"/>
        <v>FERNANDINA BEACH FL 32034</v>
      </c>
      <c r="M1659" t="str">
        <f>"LOT 3 IN OR 2086/1331 HOLLY OAK SUB PB 5/309 2004 FTWD DW/MH"</f>
        <v>LOT 3 IN OR 2086/1331 HOLLY OAK SUB PB 5/309 2004 FTWD DW/MH</v>
      </c>
      <c r="N1659" t="str">
        <f>""</f>
        <v/>
      </c>
      <c r="O1659" t="str">
        <f>"51077"</f>
        <v>51077</v>
      </c>
      <c r="P1659" t="str">
        <f t="shared" si="577"/>
        <v>2017</v>
      </c>
      <c r="Q1659" t="str">
        <f>""</f>
        <v/>
      </c>
      <c r="R1659" t="str">
        <f>"N"</f>
        <v>N</v>
      </c>
      <c r="S1659" t="str">
        <f>"1.39"</f>
        <v>1.39</v>
      </c>
      <c r="T1659" t="str">
        <f>"1221.03"</f>
        <v>1221.03</v>
      </c>
      <c r="U1659" t="str">
        <f>"80656.00"</f>
        <v>80656.00</v>
      </c>
      <c r="V1659" t="str">
        <f>"80656.00"</f>
        <v>80656.00</v>
      </c>
      <c r="W1659" t="str">
        <f t="shared" si="578"/>
        <v>2017</v>
      </c>
      <c r="X1659" t="str">
        <f>"21.00"</f>
        <v>21.00</v>
      </c>
      <c r="Y1659" t="str">
        <f>"1289.66"</f>
        <v>1289.66</v>
      </c>
      <c r="Z1659" t="str">
        <f>""</f>
        <v/>
      </c>
      <c r="AA1659" t="str">
        <f>"80656.00"</f>
        <v>80656.00</v>
      </c>
      <c r="AB1659" t="str">
        <f t="shared" si="593"/>
        <v>Residential</v>
      </c>
      <c r="AC1659" t="str">
        <f t="shared" si="588"/>
        <v>0</v>
      </c>
      <c r="AD1659" t="str">
        <f>"4"</f>
        <v>4</v>
      </c>
      <c r="AE1659" t="str">
        <f>"WOOD (INCLUDE STEEL STUDS)"</f>
        <v>WOOD (INCLUDE STEEL STUDS)</v>
      </c>
      <c r="AF1659" t="str">
        <f>"002"</f>
        <v>002</v>
      </c>
      <c r="AG1659" t="str">
        <f t="shared" si="590"/>
        <v>FL</v>
      </c>
      <c r="AH1659" t="str">
        <f>"60548.00"</f>
        <v>60548.00</v>
      </c>
      <c r="AI1659" t="str">
        <f>"34750.00"</f>
        <v>34750.00</v>
      </c>
      <c r="AJ1659" t="str">
        <f>"C55-000-588-4278-2"</f>
        <v>C55-000-588-4278-2</v>
      </c>
      <c r="AK1659" t="str">
        <f>"29802"</f>
        <v>29802</v>
      </c>
      <c r="AL1659">
        <v>6</v>
      </c>
      <c r="AM1659">
        <v>1893</v>
      </c>
      <c r="AN1659">
        <v>1352.54</v>
      </c>
      <c r="AQ1659" t="s">
        <v>16481</v>
      </c>
      <c r="AR1659" t="s">
        <v>16481</v>
      </c>
      <c r="AS1659" t="s">
        <v>16481</v>
      </c>
      <c r="AU1659" t="s">
        <v>396</v>
      </c>
      <c r="AV1659">
        <v>2017</v>
      </c>
      <c r="AW1659" t="str">
        <f>"44-2N-28-5136-0003-0000 "</f>
        <v xml:space="preserve">44-2N-28-5136-0003-0000 </v>
      </c>
      <c r="AX1659">
        <v>95458</v>
      </c>
      <c r="AZ1659" t="s">
        <v>16482</v>
      </c>
      <c r="BA1659" t="s">
        <v>496</v>
      </c>
      <c r="BD1659" t="s">
        <v>11749</v>
      </c>
      <c r="BE1659" t="s">
        <v>393</v>
      </c>
      <c r="BF1659">
        <v>32034</v>
      </c>
      <c r="BG1659" t="s">
        <v>16483</v>
      </c>
      <c r="BH1659" t="s">
        <v>11751</v>
      </c>
      <c r="BI1659">
        <v>-81.505192718579707</v>
      </c>
      <c r="BJ1659">
        <v>30.575635105337199</v>
      </c>
      <c r="BK1659" t="s">
        <v>16484</v>
      </c>
      <c r="BM1659" t="s">
        <v>16485</v>
      </c>
      <c r="BN1659" t="s">
        <v>3983</v>
      </c>
      <c r="BO1659">
        <v>32034</v>
      </c>
      <c r="BP1659" t="s">
        <v>404</v>
      </c>
      <c r="BQ1659">
        <v>200</v>
      </c>
      <c r="BR1659" t="s">
        <v>405</v>
      </c>
      <c r="BS1659">
        <v>1006</v>
      </c>
      <c r="BT1659" t="s">
        <v>406</v>
      </c>
      <c r="BW1659">
        <v>60548</v>
      </c>
      <c r="BX1659" t="s">
        <v>407</v>
      </c>
      <c r="BY1659" t="s">
        <v>408</v>
      </c>
      <c r="BZ1659">
        <v>4</v>
      </c>
      <c r="CA1659">
        <v>2004</v>
      </c>
      <c r="CC1659">
        <v>1</v>
      </c>
      <c r="CD1659">
        <v>2017</v>
      </c>
      <c r="CE1659">
        <v>34750</v>
      </c>
      <c r="CF1659">
        <v>45906</v>
      </c>
      <c r="CG1659">
        <v>80656</v>
      </c>
      <c r="CH1659">
        <v>2017</v>
      </c>
      <c r="CI1659">
        <v>34750</v>
      </c>
      <c r="CJ1659">
        <v>45906</v>
      </c>
      <c r="CK1659">
        <v>80656</v>
      </c>
      <c r="CL1659">
        <v>2017</v>
      </c>
      <c r="CM1659">
        <v>1221.03</v>
      </c>
      <c r="CN1659" s="1">
        <v>38089</v>
      </c>
      <c r="CO1659">
        <v>75000</v>
      </c>
      <c r="CV1659">
        <v>0</v>
      </c>
      <c r="CZ1659" s="1">
        <v>38089</v>
      </c>
      <c r="DA1659">
        <v>0</v>
      </c>
      <c r="DD1659" t="s">
        <v>11749</v>
      </c>
      <c r="DF1659">
        <v>3</v>
      </c>
      <c r="DG1659">
        <v>44</v>
      </c>
      <c r="DJ1659" t="s">
        <v>16486</v>
      </c>
      <c r="DL1659">
        <v>50303</v>
      </c>
      <c r="DM1659" t="s">
        <v>15677</v>
      </c>
      <c r="DO1659" t="s">
        <v>16487</v>
      </c>
      <c r="DP1659">
        <v>0</v>
      </c>
      <c r="DQ1659">
        <v>0</v>
      </c>
      <c r="DR1659" t="s">
        <v>411</v>
      </c>
    </row>
    <row r="1660" spans="1:284" x14ac:dyDescent="0.25">
      <c r="A1660">
        <v>16486667</v>
      </c>
      <c r="B1660">
        <v>1659</v>
      </c>
      <c r="C1660" t="s">
        <v>393</v>
      </c>
      <c r="D1660" t="s">
        <v>394</v>
      </c>
      <c r="F1660" t="str">
        <f>"44-2N-28-5160-000A-0140"</f>
        <v>44-2N-28-5160-000A-0140</v>
      </c>
      <c r="H1660" t="str">
        <f>"THOMAS DAVID R JR &amp; KIMBERLY R"</f>
        <v>THOMAS DAVID R JR &amp; KIMBERLY R</v>
      </c>
      <c r="I1660" t="str">
        <f>"95145 ARBOR LANE"</f>
        <v>95145 ARBOR LANE</v>
      </c>
      <c r="J1660" t="str">
        <f t="shared" si="591"/>
        <v>FERNANDINA BEACH FL 32034</v>
      </c>
      <c r="K1660" t="str">
        <f>"95145 ARBOR LN"</f>
        <v>95145 ARBOR LN</v>
      </c>
      <c r="L1660" t="str">
        <f t="shared" si="592"/>
        <v>FERNANDINA BEACH FL 32034</v>
      </c>
      <c r="M1660" t="str">
        <f>"PT OF TRACT A IN OR 537/545 SEYMORE POINT ADDN 1 PBK 2/62"</f>
        <v>PT OF TRACT A IN OR 537/545 SEYMORE POINT ADDN 1 PBK 2/62</v>
      </c>
      <c r="N1660" t="str">
        <f>""</f>
        <v/>
      </c>
      <c r="O1660" t="str">
        <f>"51129"</f>
        <v>51129</v>
      </c>
      <c r="P1660" t="str">
        <f t="shared" si="577"/>
        <v>2017</v>
      </c>
      <c r="Q1660" t="str">
        <f>""</f>
        <v/>
      </c>
      <c r="R1660" t="str">
        <f>"Y"</f>
        <v>Y</v>
      </c>
      <c r="S1660" t="str">
        <f>""</f>
        <v/>
      </c>
      <c r="T1660" t="str">
        <f>"690.63"</f>
        <v>690.63</v>
      </c>
      <c r="U1660" t="str">
        <f>"84723.00"</f>
        <v>84723.00</v>
      </c>
      <c r="V1660" t="str">
        <f>"84723.00"</f>
        <v>84723.00</v>
      </c>
      <c r="W1660" t="str">
        <f t="shared" si="578"/>
        <v>2017</v>
      </c>
      <c r="X1660" t="str">
        <f>"7.33"</f>
        <v>7.33</v>
      </c>
      <c r="Y1660" t="str">
        <f>"743.35"</f>
        <v>743.35</v>
      </c>
      <c r="Z1660" t="str">
        <f>"25000.00"</f>
        <v>25000.00</v>
      </c>
      <c r="AA1660" t="str">
        <f>"59723.00"</f>
        <v>59723.00</v>
      </c>
      <c r="AB1660" t="str">
        <f t="shared" si="593"/>
        <v>Residential</v>
      </c>
      <c r="AC1660" t="str">
        <f t="shared" si="588"/>
        <v>0</v>
      </c>
      <c r="AD1660" t="str">
        <f>"4"</f>
        <v>4</v>
      </c>
      <c r="AE1660" t="str">
        <f>"WOOD (INCLUDE STEEL STUDS)"</f>
        <v>WOOD (INCLUDE STEEL STUDS)</v>
      </c>
      <c r="AF1660" t="str">
        <f>"001"</f>
        <v>001</v>
      </c>
      <c r="AG1660" t="str">
        <f t="shared" si="590"/>
        <v>FL</v>
      </c>
      <c r="AH1660" t="str">
        <f>"-"</f>
        <v>-</v>
      </c>
      <c r="AI1660" t="str">
        <f>"25000.00"</f>
        <v>25000.00</v>
      </c>
      <c r="AJ1660" t="str">
        <f>"C55-000-588-4313-7"</f>
        <v>C55-000-588-4313-7</v>
      </c>
      <c r="AK1660" t="str">
        <f>"29840"</f>
        <v>29840</v>
      </c>
      <c r="AL1660">
        <v>6</v>
      </c>
      <c r="AM1660">
        <v>1894</v>
      </c>
      <c r="AN1660">
        <v>778.92</v>
      </c>
      <c r="AQ1660" t="s">
        <v>16488</v>
      </c>
      <c r="AR1660" t="s">
        <v>16488</v>
      </c>
      <c r="AS1660" t="s">
        <v>16488</v>
      </c>
      <c r="AU1660" t="s">
        <v>396</v>
      </c>
      <c r="AV1660">
        <v>2017</v>
      </c>
      <c r="AW1660" t="str">
        <f>"44-2N-28-5160-000A-0140 "</f>
        <v xml:space="preserve">44-2N-28-5160-000A-0140 </v>
      </c>
      <c r="AX1660">
        <v>95145</v>
      </c>
      <c r="AZ1660" t="s">
        <v>16426</v>
      </c>
      <c r="BA1660" t="s">
        <v>653</v>
      </c>
      <c r="BD1660" t="s">
        <v>11749</v>
      </c>
      <c r="BE1660" t="s">
        <v>393</v>
      </c>
      <c r="BF1660">
        <v>32034</v>
      </c>
      <c r="BG1660" t="s">
        <v>16489</v>
      </c>
      <c r="BH1660" t="s">
        <v>11751</v>
      </c>
      <c r="BI1660">
        <v>-81.500629675399907</v>
      </c>
      <c r="BJ1660">
        <v>30.569529078609602</v>
      </c>
      <c r="BK1660" t="s">
        <v>16490</v>
      </c>
      <c r="BL1660" t="s">
        <v>16491</v>
      </c>
      <c r="BM1660" t="s">
        <v>16489</v>
      </c>
      <c r="BN1660" t="s">
        <v>3983</v>
      </c>
      <c r="BO1660">
        <v>32034</v>
      </c>
      <c r="BP1660" t="s">
        <v>416</v>
      </c>
      <c r="BQ1660">
        <v>100</v>
      </c>
      <c r="BR1660" t="s">
        <v>514</v>
      </c>
      <c r="BS1660">
        <v>1001</v>
      </c>
      <c r="BT1660" t="s">
        <v>515</v>
      </c>
      <c r="BW1660">
        <v>26579</v>
      </c>
      <c r="BX1660" t="s">
        <v>407</v>
      </c>
      <c r="BY1660" t="s">
        <v>408</v>
      </c>
      <c r="BZ1660">
        <v>4</v>
      </c>
      <c r="CA1660">
        <v>1994</v>
      </c>
      <c r="CB1660">
        <v>1</v>
      </c>
      <c r="CC1660">
        <v>1</v>
      </c>
      <c r="CD1660">
        <v>2017</v>
      </c>
      <c r="CG1660">
        <v>84723</v>
      </c>
      <c r="CH1660">
        <v>2017</v>
      </c>
      <c r="CI1660">
        <v>25000</v>
      </c>
      <c r="CJ1660">
        <v>76748</v>
      </c>
      <c r="CK1660">
        <v>101748</v>
      </c>
      <c r="CL1660">
        <v>2017</v>
      </c>
      <c r="CM1660">
        <v>690.63</v>
      </c>
      <c r="CN1660" s="1">
        <v>32196</v>
      </c>
      <c r="CO1660">
        <v>21500</v>
      </c>
      <c r="CZ1660" s="1">
        <v>32196</v>
      </c>
      <c r="DD1660" t="s">
        <v>11749</v>
      </c>
      <c r="DF1660">
        <v>14</v>
      </c>
      <c r="DG1660">
        <v>44</v>
      </c>
      <c r="DL1660">
        <v>50303</v>
      </c>
      <c r="DM1660" t="s">
        <v>15677</v>
      </c>
      <c r="DO1660" t="s">
        <v>16492</v>
      </c>
      <c r="DP1660">
        <v>0</v>
      </c>
      <c r="DQ1660">
        <v>0</v>
      </c>
      <c r="DR1660" t="s">
        <v>411</v>
      </c>
      <c r="DS1660" t="b">
        <v>1</v>
      </c>
      <c r="DT1660" t="s">
        <v>470</v>
      </c>
      <c r="DU1660" t="s">
        <v>10249</v>
      </c>
      <c r="DV1660" t="s">
        <v>472</v>
      </c>
      <c r="DX1660">
        <v>-9999</v>
      </c>
      <c r="DZ1660" t="s">
        <v>447</v>
      </c>
      <c r="EA1660" t="s">
        <v>448</v>
      </c>
      <c r="EB1660" t="s">
        <v>14895</v>
      </c>
      <c r="EC1660">
        <v>20101217</v>
      </c>
      <c r="ED1660" t="s">
        <v>10251</v>
      </c>
      <c r="EE1660">
        <v>5</v>
      </c>
      <c r="EF1660">
        <v>155.30000000000001</v>
      </c>
      <c r="EG1660">
        <v>0</v>
      </c>
      <c r="EI1660">
        <v>20160407</v>
      </c>
      <c r="EJ1660">
        <v>0</v>
      </c>
      <c r="EK1660">
        <v>0</v>
      </c>
      <c r="EP1660" t="s">
        <v>421</v>
      </c>
      <c r="EQ1660" t="s">
        <v>422</v>
      </c>
      <c r="ER1660">
        <v>0</v>
      </c>
      <c r="ES1660">
        <v>10</v>
      </c>
      <c r="ET1660">
        <v>0</v>
      </c>
      <c r="EU1660">
        <v>0</v>
      </c>
      <c r="EV1660">
        <v>0</v>
      </c>
      <c r="EW1660" s="2">
        <v>43222</v>
      </c>
      <c r="EX1660" s="1">
        <v>42879</v>
      </c>
      <c r="EY1660">
        <v>2016</v>
      </c>
      <c r="EZ1660">
        <v>758.23</v>
      </c>
      <c r="FA1660" t="s">
        <v>16493</v>
      </c>
      <c r="FB1660">
        <v>0.25</v>
      </c>
      <c r="FC1660" t="s">
        <v>424</v>
      </c>
      <c r="FD1660" t="s">
        <v>425</v>
      </c>
      <c r="FE1660" s="1">
        <v>42976</v>
      </c>
      <c r="FF1660">
        <v>3</v>
      </c>
      <c r="FG1660">
        <v>7400234</v>
      </c>
      <c r="FH1660" t="s">
        <v>426</v>
      </c>
      <c r="FJ1660" s="1">
        <v>42879</v>
      </c>
      <c r="FK1660">
        <v>2016</v>
      </c>
      <c r="FL1660">
        <v>758.23</v>
      </c>
      <c r="FM1660" t="s">
        <v>16493</v>
      </c>
      <c r="FN1660">
        <v>0.25</v>
      </c>
      <c r="FO1660" t="s">
        <v>424</v>
      </c>
      <c r="FP1660" t="s">
        <v>425</v>
      </c>
      <c r="FR1660">
        <v>22</v>
      </c>
      <c r="FS1660">
        <v>7489106</v>
      </c>
      <c r="FT1660" t="s">
        <v>16494</v>
      </c>
      <c r="FV1660" s="1">
        <v>42515</v>
      </c>
      <c r="FW1660">
        <v>2015</v>
      </c>
      <c r="FX1660">
        <v>766.42</v>
      </c>
      <c r="FY1660" t="s">
        <v>16495</v>
      </c>
      <c r="FZ1660">
        <v>0.25</v>
      </c>
      <c r="GA1660" t="s">
        <v>424</v>
      </c>
      <c r="GB1660" t="s">
        <v>425</v>
      </c>
      <c r="GC1660" s="1">
        <v>42604</v>
      </c>
      <c r="GD1660">
        <v>3</v>
      </c>
      <c r="GE1660">
        <v>5894185</v>
      </c>
      <c r="GF1660" t="s">
        <v>7135</v>
      </c>
      <c r="GH1660" s="1">
        <v>42515</v>
      </c>
      <c r="GI1660">
        <v>2015</v>
      </c>
      <c r="GJ1660">
        <v>766.42</v>
      </c>
      <c r="GK1660" t="s">
        <v>16495</v>
      </c>
      <c r="GL1660">
        <v>0.25</v>
      </c>
      <c r="GM1660" t="s">
        <v>424</v>
      </c>
      <c r="GN1660" t="s">
        <v>425</v>
      </c>
      <c r="GP1660">
        <v>22</v>
      </c>
      <c r="GQ1660">
        <v>6072737</v>
      </c>
      <c r="GR1660" t="s">
        <v>16496</v>
      </c>
      <c r="GT1660" s="1">
        <v>42151</v>
      </c>
      <c r="GU1660">
        <v>2014</v>
      </c>
      <c r="GV1660">
        <v>759.74</v>
      </c>
      <c r="GW1660" t="s">
        <v>16497</v>
      </c>
      <c r="GX1660">
        <v>0.25</v>
      </c>
      <c r="GY1660" t="s">
        <v>424</v>
      </c>
      <c r="GZ1660" t="s">
        <v>425</v>
      </c>
      <c r="HA1660" s="1">
        <v>42216</v>
      </c>
      <c r="HB1660">
        <v>2</v>
      </c>
      <c r="HC1660">
        <v>2101382</v>
      </c>
      <c r="HD1660" t="s">
        <v>993</v>
      </c>
      <c r="HF1660" s="1">
        <v>42151</v>
      </c>
      <c r="HG1660">
        <v>2014</v>
      </c>
      <c r="HH1660">
        <v>759.74</v>
      </c>
      <c r="HI1660" t="s">
        <v>16497</v>
      </c>
      <c r="HJ1660">
        <v>0.25</v>
      </c>
      <c r="HK1660" t="s">
        <v>424</v>
      </c>
      <c r="HL1660" t="s">
        <v>425</v>
      </c>
      <c r="HN1660">
        <v>22</v>
      </c>
      <c r="HO1660">
        <v>5617169</v>
      </c>
      <c r="HP1660" t="s">
        <v>16498</v>
      </c>
      <c r="HR1660" s="1">
        <v>41787</v>
      </c>
      <c r="HS1660">
        <v>2013</v>
      </c>
      <c r="HT1660">
        <v>715.03</v>
      </c>
      <c r="HU1660" t="s">
        <v>16499</v>
      </c>
      <c r="HV1660">
        <v>0.25</v>
      </c>
      <c r="HW1660" t="s">
        <v>424</v>
      </c>
      <c r="HX1660" t="s">
        <v>425</v>
      </c>
      <c r="HY1660" s="1">
        <v>41852</v>
      </c>
      <c r="HZ1660">
        <v>3</v>
      </c>
      <c r="IA1660">
        <v>2757457</v>
      </c>
      <c r="IB1660" t="s">
        <v>648</v>
      </c>
      <c r="ID1660" s="1">
        <v>41423</v>
      </c>
      <c r="IE1660">
        <v>2012</v>
      </c>
      <c r="IF1660">
        <v>732.71</v>
      </c>
      <c r="IG1660" t="s">
        <v>16500</v>
      </c>
      <c r="IH1660">
        <v>0.25</v>
      </c>
      <c r="II1660" t="s">
        <v>424</v>
      </c>
      <c r="IJ1660" t="s">
        <v>425</v>
      </c>
      <c r="IK1660" s="1">
        <v>41852</v>
      </c>
      <c r="IL1660">
        <v>15</v>
      </c>
      <c r="IM1660">
        <v>11303</v>
      </c>
      <c r="IN1660" t="s">
        <v>918</v>
      </c>
      <c r="IP1660" s="1">
        <v>41052</v>
      </c>
      <c r="IQ1660">
        <v>2011</v>
      </c>
      <c r="IR1660">
        <v>747.22</v>
      </c>
      <c r="IS1660" t="s">
        <v>16501</v>
      </c>
      <c r="IT1660">
        <v>0.25</v>
      </c>
      <c r="IU1660" t="s">
        <v>424</v>
      </c>
      <c r="IV1660" t="s">
        <v>425</v>
      </c>
      <c r="IW1660" s="1">
        <v>41075</v>
      </c>
      <c r="IX1660">
        <v>1</v>
      </c>
      <c r="IY1660">
        <v>14190</v>
      </c>
      <c r="IZ1660" t="s">
        <v>16502</v>
      </c>
      <c r="JB1660" s="1">
        <v>40688</v>
      </c>
      <c r="JC1660">
        <v>2010</v>
      </c>
      <c r="JD1660">
        <v>749.71</v>
      </c>
      <c r="JE1660" t="s">
        <v>16503</v>
      </c>
      <c r="JF1660">
        <v>0.25</v>
      </c>
      <c r="JG1660" t="s">
        <v>424</v>
      </c>
      <c r="JH1660" t="s">
        <v>425</v>
      </c>
      <c r="JI1660" s="1">
        <v>40724</v>
      </c>
      <c r="JJ1660">
        <v>1</v>
      </c>
      <c r="JK1660">
        <v>11296</v>
      </c>
      <c r="JL1660" t="s">
        <v>4008</v>
      </c>
    </row>
    <row r="1661" spans="1:284" x14ac:dyDescent="0.25">
      <c r="A1661">
        <v>16486668</v>
      </c>
      <c r="B1661">
        <v>1660</v>
      </c>
      <c r="C1661" t="s">
        <v>393</v>
      </c>
      <c r="D1661" t="s">
        <v>394</v>
      </c>
      <c r="F1661" t="str">
        <f>"44-2N-28-5180-0005-0020"</f>
        <v>44-2N-28-5180-0005-0020</v>
      </c>
      <c r="H1661" t="str">
        <f>"BOUDROW REANNA A"</f>
        <v>BOUDROW REANNA A</v>
      </c>
      <c r="I1661" t="str">
        <f>"95020 LADYFISH LANE"</f>
        <v>95020 LADYFISH LANE</v>
      </c>
      <c r="J1661" t="str">
        <f t="shared" si="591"/>
        <v>FERNANDINA BEACH FL 32034</v>
      </c>
      <c r="K1661" t="str">
        <f>"95020 LADYFISH LN"</f>
        <v>95020 LADYFISH LN</v>
      </c>
      <c r="L1661" t="str">
        <f t="shared" si="592"/>
        <v>FERNANDINA BEACH FL 32034</v>
      </c>
      <c r="M1661" t="str">
        <f>"BLK A {K/A PARCEL A} PT OF LOT 5 IN OR 1717/980 WILDERS SUB OF NASSAU RIVER FRONTAGE PBK 2/67"</f>
        <v>BLK A {K/A PARCEL A} PT OF LOT 5 IN OR 1717/980 WILDERS SUB OF NASSAU RIVER FRONTAGE PBK 2/67</v>
      </c>
      <c r="N1661" t="str">
        <f>""</f>
        <v/>
      </c>
      <c r="O1661" t="str">
        <f>"51141"</f>
        <v>51141</v>
      </c>
      <c r="P1661" t="str">
        <f t="shared" si="577"/>
        <v>2017</v>
      </c>
      <c r="Q1661" t="str">
        <f>""</f>
        <v/>
      </c>
      <c r="R1661" t="str">
        <f>"Y"</f>
        <v>Y</v>
      </c>
      <c r="S1661" t="str">
        <f>""</f>
        <v/>
      </c>
      <c r="T1661" t="str">
        <f>"774.01"</f>
        <v>774.01</v>
      </c>
      <c r="U1661" t="str">
        <f>"90232.00"</f>
        <v>90232.00</v>
      </c>
      <c r="V1661" t="str">
        <f>"90232.00"</f>
        <v>90232.00</v>
      </c>
      <c r="W1661" t="str">
        <f t="shared" si="578"/>
        <v>2017</v>
      </c>
      <c r="X1661" t="str">
        <f>"17.75"</f>
        <v>17.75</v>
      </c>
      <c r="Y1661" t="str">
        <f>"829.23"</f>
        <v>829.23</v>
      </c>
      <c r="Z1661" t="str">
        <f>"25000.00"</f>
        <v>25000.00</v>
      </c>
      <c r="AA1661" t="str">
        <f>"65232.00"</f>
        <v>65232.00</v>
      </c>
      <c r="AB1661" t="str">
        <f t="shared" si="593"/>
        <v>Residential</v>
      </c>
      <c r="AC1661" t="str">
        <f t="shared" si="588"/>
        <v>0</v>
      </c>
      <c r="AD1661" t="str">
        <f>"4"</f>
        <v>4</v>
      </c>
      <c r="AE1661" t="str">
        <f>"WOOD (INCLUDE STEEL STUDS)"</f>
        <v>WOOD (INCLUDE STEEL STUDS)</v>
      </c>
      <c r="AF1661" t="str">
        <f>"001"</f>
        <v>001</v>
      </c>
      <c r="AG1661" t="str">
        <f t="shared" si="590"/>
        <v>FL</v>
      </c>
      <c r="AH1661" t="str">
        <f>"12750.00"</f>
        <v>12750.00</v>
      </c>
      <c r="AI1661" t="str">
        <f>"40500.00"</f>
        <v>40500.00</v>
      </c>
      <c r="AJ1661" t="str">
        <f>"C55-000-588-4324-4"</f>
        <v>C55-000-588-4324-4</v>
      </c>
      <c r="AK1661" t="str">
        <f>"29857"</f>
        <v>29857</v>
      </c>
      <c r="AL1661">
        <v>6</v>
      </c>
      <c r="AM1661">
        <v>1895</v>
      </c>
      <c r="AN1661">
        <v>869.09</v>
      </c>
      <c r="AQ1661" t="s">
        <v>16504</v>
      </c>
      <c r="AR1661" t="s">
        <v>16504</v>
      </c>
      <c r="AS1661" t="s">
        <v>16504</v>
      </c>
      <c r="AU1661" t="s">
        <v>396</v>
      </c>
      <c r="AV1661">
        <v>2017</v>
      </c>
      <c r="AW1661" t="str">
        <f>"44-2N-28-5180-0005-0020 "</f>
        <v xml:space="preserve">44-2N-28-5180-0005-0020 </v>
      </c>
      <c r="AX1661">
        <v>95020</v>
      </c>
      <c r="AZ1661" t="s">
        <v>16505</v>
      </c>
      <c r="BA1661" t="s">
        <v>653</v>
      </c>
      <c r="BD1661" t="s">
        <v>11749</v>
      </c>
      <c r="BE1661" t="s">
        <v>393</v>
      </c>
      <c r="BF1661">
        <v>32034</v>
      </c>
      <c r="BG1661" t="s">
        <v>16506</v>
      </c>
      <c r="BH1661" t="s">
        <v>11751</v>
      </c>
      <c r="BI1661">
        <v>-81.5048054917781</v>
      </c>
      <c r="BJ1661">
        <v>30.568167022066</v>
      </c>
      <c r="BK1661" t="s">
        <v>16507</v>
      </c>
      <c r="BM1661" t="s">
        <v>16506</v>
      </c>
      <c r="BN1661" t="s">
        <v>3983</v>
      </c>
      <c r="BO1661">
        <v>32034</v>
      </c>
      <c r="BP1661" t="s">
        <v>416</v>
      </c>
      <c r="BQ1661">
        <v>100</v>
      </c>
      <c r="BR1661" t="s">
        <v>514</v>
      </c>
      <c r="BS1661">
        <v>1001</v>
      </c>
      <c r="BT1661" t="s">
        <v>515</v>
      </c>
      <c r="BW1661">
        <v>12751</v>
      </c>
      <c r="BX1661" t="s">
        <v>407</v>
      </c>
      <c r="BY1661" t="s">
        <v>408</v>
      </c>
      <c r="BZ1661">
        <v>4</v>
      </c>
      <c r="CA1661">
        <v>1957</v>
      </c>
      <c r="CB1661">
        <v>2</v>
      </c>
      <c r="CC1661">
        <v>1</v>
      </c>
      <c r="CD1661">
        <v>2017</v>
      </c>
      <c r="CG1661">
        <v>90232</v>
      </c>
      <c r="CH1661">
        <v>2017</v>
      </c>
      <c r="CI1661">
        <v>40500</v>
      </c>
      <c r="CJ1661">
        <v>50097</v>
      </c>
      <c r="CK1661">
        <v>90597</v>
      </c>
      <c r="CL1661">
        <v>2017</v>
      </c>
      <c r="CM1661">
        <v>774.01</v>
      </c>
      <c r="CN1661" s="1">
        <v>40546</v>
      </c>
      <c r="CO1661">
        <v>95000</v>
      </c>
      <c r="CV1661">
        <v>100000</v>
      </c>
      <c r="CX1661" t="s">
        <v>675</v>
      </c>
      <c r="CZ1661" s="1">
        <v>40546</v>
      </c>
      <c r="DA1661">
        <v>0</v>
      </c>
      <c r="DD1661" t="s">
        <v>11749</v>
      </c>
      <c r="DF1661">
        <v>5</v>
      </c>
      <c r="DG1661">
        <v>44</v>
      </c>
      <c r="DL1661">
        <v>50303</v>
      </c>
      <c r="DM1661" t="s">
        <v>15677</v>
      </c>
      <c r="DO1661" t="s">
        <v>16508</v>
      </c>
      <c r="DP1661">
        <v>0</v>
      </c>
      <c r="DQ1661">
        <v>0</v>
      </c>
      <c r="DR1661" t="s">
        <v>411</v>
      </c>
      <c r="DS1661" t="b">
        <v>1</v>
      </c>
      <c r="DT1661" t="s">
        <v>470</v>
      </c>
      <c r="DU1661" t="s">
        <v>10249</v>
      </c>
      <c r="DV1661" t="s">
        <v>472</v>
      </c>
      <c r="DX1661">
        <v>-9999</v>
      </c>
      <c r="DZ1661" t="s">
        <v>447</v>
      </c>
      <c r="EA1661" t="s">
        <v>448</v>
      </c>
      <c r="EB1661" t="s">
        <v>14895</v>
      </c>
      <c r="EC1661">
        <v>20101217</v>
      </c>
      <c r="ED1661" t="s">
        <v>10251</v>
      </c>
      <c r="EE1661">
        <v>5</v>
      </c>
      <c r="EF1661">
        <v>172.7</v>
      </c>
      <c r="EG1661">
        <v>0</v>
      </c>
      <c r="EI1661">
        <v>20160407</v>
      </c>
      <c r="EJ1661">
        <v>0</v>
      </c>
      <c r="EK1661">
        <v>0</v>
      </c>
      <c r="EP1661" t="s">
        <v>421</v>
      </c>
      <c r="EQ1661" t="s">
        <v>422</v>
      </c>
      <c r="ER1661">
        <v>2</v>
      </c>
      <c r="ES1661">
        <v>6</v>
      </c>
      <c r="ET1661">
        <v>1695.62</v>
      </c>
      <c r="EU1661">
        <v>97.28</v>
      </c>
      <c r="EV1661">
        <v>1792.9</v>
      </c>
      <c r="EW1661" s="2">
        <v>43222</v>
      </c>
      <c r="EX1661" s="1">
        <v>42879</v>
      </c>
      <c r="EY1661">
        <v>2016</v>
      </c>
      <c r="EZ1661">
        <v>847.81</v>
      </c>
      <c r="FA1661" t="s">
        <v>16509</v>
      </c>
      <c r="FB1661">
        <v>0.25</v>
      </c>
      <c r="FC1661" t="s">
        <v>424</v>
      </c>
      <c r="FD1661" t="s">
        <v>454</v>
      </c>
      <c r="FF1661">
        <v>12</v>
      </c>
      <c r="FG1661">
        <v>2851116</v>
      </c>
      <c r="FH1661" t="s">
        <v>480</v>
      </c>
      <c r="FJ1661" s="1">
        <v>42879</v>
      </c>
      <c r="FK1661">
        <v>2016</v>
      </c>
      <c r="FL1661">
        <v>847.81</v>
      </c>
      <c r="FM1661" t="s">
        <v>16509</v>
      </c>
      <c r="FN1661">
        <v>0.25</v>
      </c>
      <c r="FO1661" t="s">
        <v>424</v>
      </c>
      <c r="FP1661" t="s">
        <v>454</v>
      </c>
      <c r="FR1661">
        <v>12</v>
      </c>
      <c r="FS1661">
        <v>5057227</v>
      </c>
      <c r="FT1661" t="s">
        <v>16510</v>
      </c>
      <c r="FV1661" s="1">
        <v>42515</v>
      </c>
      <c r="FW1661">
        <v>2015</v>
      </c>
      <c r="FX1661">
        <v>857.55</v>
      </c>
      <c r="FY1661" t="s">
        <v>16511</v>
      </c>
      <c r="FZ1661">
        <v>0.25</v>
      </c>
      <c r="GA1661" t="s">
        <v>424</v>
      </c>
      <c r="GB1661" t="s">
        <v>425</v>
      </c>
      <c r="GC1661" s="1">
        <v>43155</v>
      </c>
      <c r="GD1661">
        <v>21</v>
      </c>
      <c r="GE1661">
        <v>7045074</v>
      </c>
      <c r="GF1661" t="s">
        <v>580</v>
      </c>
      <c r="GH1661" s="1">
        <v>42515</v>
      </c>
      <c r="GI1661">
        <v>2015</v>
      </c>
      <c r="GJ1661">
        <v>857.55</v>
      </c>
      <c r="GK1661" t="s">
        <v>16511</v>
      </c>
      <c r="GL1661">
        <v>0.25</v>
      </c>
      <c r="GM1661" t="s">
        <v>424</v>
      </c>
      <c r="GN1661" t="s">
        <v>425</v>
      </c>
      <c r="GP1661">
        <v>22</v>
      </c>
      <c r="GQ1661">
        <v>6413359</v>
      </c>
      <c r="GR1661" t="s">
        <v>16512</v>
      </c>
      <c r="GT1661" s="1">
        <v>42151</v>
      </c>
      <c r="GU1661">
        <v>2014</v>
      </c>
      <c r="GV1661">
        <v>850.62</v>
      </c>
      <c r="GW1661" t="s">
        <v>16513</v>
      </c>
      <c r="GX1661">
        <v>0.25</v>
      </c>
      <c r="GY1661" t="s">
        <v>424</v>
      </c>
      <c r="GZ1661" t="s">
        <v>425</v>
      </c>
      <c r="HA1661" s="1">
        <v>42762</v>
      </c>
      <c r="HB1661">
        <v>20</v>
      </c>
      <c r="HC1661">
        <v>2851116</v>
      </c>
      <c r="HD1661" t="s">
        <v>480</v>
      </c>
      <c r="HF1661" s="1">
        <v>42151</v>
      </c>
      <c r="HG1661">
        <v>2014</v>
      </c>
      <c r="HH1661">
        <v>850.62</v>
      </c>
      <c r="HI1661" t="s">
        <v>16513</v>
      </c>
      <c r="HJ1661">
        <v>0.25</v>
      </c>
      <c r="HK1661" t="s">
        <v>424</v>
      </c>
      <c r="HL1661" t="s">
        <v>425</v>
      </c>
      <c r="HN1661">
        <v>22</v>
      </c>
      <c r="HO1661">
        <v>5264600</v>
      </c>
      <c r="HP1661" t="s">
        <v>16514</v>
      </c>
      <c r="HR1661" s="1">
        <v>41423</v>
      </c>
      <c r="HS1661">
        <v>2012</v>
      </c>
      <c r="HT1661">
        <v>815.83</v>
      </c>
      <c r="HU1661" t="s">
        <v>16515</v>
      </c>
      <c r="HV1661">
        <v>0.25</v>
      </c>
      <c r="HW1661" t="s">
        <v>424</v>
      </c>
      <c r="HX1661" t="s">
        <v>425</v>
      </c>
      <c r="HY1661" s="1">
        <v>41695</v>
      </c>
      <c r="HZ1661">
        <v>9</v>
      </c>
      <c r="IA1661">
        <v>15259</v>
      </c>
      <c r="IB1661" t="s">
        <v>891</v>
      </c>
      <c r="ID1661" s="1">
        <v>41052</v>
      </c>
      <c r="IE1661">
        <v>2011</v>
      </c>
      <c r="IF1661">
        <v>1451.54</v>
      </c>
      <c r="IG1661" t="s">
        <v>16516</v>
      </c>
      <c r="IH1661">
        <v>0.25</v>
      </c>
      <c r="II1661" t="s">
        <v>424</v>
      </c>
      <c r="IJ1661" t="s">
        <v>425</v>
      </c>
      <c r="IK1661" s="1">
        <v>41695</v>
      </c>
      <c r="IL1661">
        <v>21</v>
      </c>
      <c r="IM1661">
        <v>14164</v>
      </c>
      <c r="IN1661" t="s">
        <v>16517</v>
      </c>
    </row>
    <row r="1662" spans="1:284" x14ac:dyDescent="0.25">
      <c r="A1662">
        <v>16486669</v>
      </c>
      <c r="B1662">
        <v>1661</v>
      </c>
      <c r="C1662" t="s">
        <v>393</v>
      </c>
      <c r="D1662" t="s">
        <v>394</v>
      </c>
      <c r="F1662" t="str">
        <f>"44-2N-28-5210-0006-0000"</f>
        <v>44-2N-28-5210-0006-0000</v>
      </c>
      <c r="H1662" t="str">
        <f>"WILSON AVA A"</f>
        <v>WILSON AVA A</v>
      </c>
      <c r="I1662" t="str">
        <f>"2010 OAKVIEW DRIVE"</f>
        <v>2010 OAKVIEW DRIVE</v>
      </c>
      <c r="J1662" t="str">
        <f>"SEVERVILLE TN 37876"</f>
        <v>SEVERVILLE TN 37876</v>
      </c>
      <c r="K1662" t="str">
        <f>"1670 SR 107-A"</f>
        <v>1670 SR 107-A</v>
      </c>
      <c r="L1662" t="str">
        <f t="shared" si="592"/>
        <v>FERNANDINA BEACH FL 32034</v>
      </c>
      <c r="M1662" t="str">
        <f>"LOT 6 IN OR 248 PG 579 RAINBOW ACRES SUB UNR PLAT"</f>
        <v>LOT 6 IN OR 248 PG 579 RAINBOW ACRES SUB UNR PLAT</v>
      </c>
      <c r="N1662" t="str">
        <f>""</f>
        <v/>
      </c>
      <c r="O1662" t="str">
        <f>"51181"</f>
        <v>51181</v>
      </c>
      <c r="P1662" t="str">
        <f t="shared" si="577"/>
        <v>2017</v>
      </c>
      <c r="Q1662" t="str">
        <f>""</f>
        <v/>
      </c>
      <c r="R1662" t="str">
        <f>"N"</f>
        <v>N</v>
      </c>
      <c r="S1662" t="str">
        <f>"2.50"</f>
        <v>2.50</v>
      </c>
      <c r="T1662" t="str">
        <f>"978.58"</f>
        <v>978.58</v>
      </c>
      <c r="U1662" t="str">
        <f>"60500.00"</f>
        <v>60500.00</v>
      </c>
      <c r="V1662" t="str">
        <f>"60500.00"</f>
        <v>60500.00</v>
      </c>
      <c r="W1662" t="str">
        <f t="shared" si="578"/>
        <v>2017</v>
      </c>
      <c r="X1662" t="str">
        <f>"17.63"</f>
        <v>17.63</v>
      </c>
      <c r="Y1662" t="str">
        <f>"1039.94"</f>
        <v>1039.94</v>
      </c>
      <c r="Z1662" t="str">
        <f>""</f>
        <v/>
      </c>
      <c r="AA1662" t="str">
        <f>"70000.00"</f>
        <v>70000.00</v>
      </c>
      <c r="AB1662" t="str">
        <f t="shared" si="593"/>
        <v>Residential</v>
      </c>
      <c r="AC1662" t="str">
        <f t="shared" si="588"/>
        <v>0</v>
      </c>
      <c r="AD1662" t="str">
        <f>""</f>
        <v/>
      </c>
      <c r="AE1662" t="str">
        <f>""</f>
        <v/>
      </c>
      <c r="AF1662" t="str">
        <f>"000"</f>
        <v>000</v>
      </c>
      <c r="AG1662" t="str">
        <f>"TN"</f>
        <v>TN</v>
      </c>
      <c r="AH1662" t="str">
        <f>"108900.00"</f>
        <v>108900.00</v>
      </c>
      <c r="AI1662" t="str">
        <f>"62500.00"</f>
        <v>62500.00</v>
      </c>
      <c r="AJ1662" t="str">
        <f>"C55-000-588-4357-4"</f>
        <v>C55-000-588-4357-4</v>
      </c>
      <c r="AK1662" t="str">
        <f>"29893"</f>
        <v>29893</v>
      </c>
      <c r="AL1662">
        <v>6</v>
      </c>
      <c r="AM1662">
        <v>1896</v>
      </c>
      <c r="AN1662">
        <v>1090.3399999999999</v>
      </c>
      <c r="AQ1662" t="s">
        <v>16518</v>
      </c>
      <c r="AR1662" t="s">
        <v>16518</v>
      </c>
      <c r="AS1662" t="s">
        <v>16518</v>
      </c>
      <c r="AU1662" t="s">
        <v>396</v>
      </c>
      <c r="AV1662">
        <v>2017</v>
      </c>
      <c r="AW1662" t="str">
        <f>"44-2N-28-5210-0006-0000 "</f>
        <v xml:space="preserve">44-2N-28-5210-0006-0000 </v>
      </c>
      <c r="AX1662">
        <v>1670</v>
      </c>
      <c r="AZ1662" t="s">
        <v>16519</v>
      </c>
      <c r="BD1662" t="s">
        <v>11749</v>
      </c>
      <c r="BE1662" t="s">
        <v>393</v>
      </c>
      <c r="BF1662">
        <v>32034</v>
      </c>
      <c r="BG1662" t="s">
        <v>16520</v>
      </c>
      <c r="BH1662" t="s">
        <v>11751</v>
      </c>
      <c r="BI1662">
        <v>-81.511158513520499</v>
      </c>
      <c r="BJ1662">
        <v>30.5713432562709</v>
      </c>
      <c r="BK1662" t="s">
        <v>16521</v>
      </c>
      <c r="BM1662" t="s">
        <v>10931</v>
      </c>
      <c r="BN1662" t="s">
        <v>10932</v>
      </c>
      <c r="BO1662">
        <v>37876</v>
      </c>
      <c r="BP1662" t="s">
        <v>404</v>
      </c>
      <c r="BQ1662">
        <v>1</v>
      </c>
      <c r="BR1662" t="s">
        <v>491</v>
      </c>
      <c r="BS1662">
        <v>8001</v>
      </c>
      <c r="BT1662" t="s">
        <v>492</v>
      </c>
      <c r="BW1662">
        <v>108900</v>
      </c>
      <c r="BX1662" t="s">
        <v>407</v>
      </c>
      <c r="BY1662" t="s">
        <v>408</v>
      </c>
      <c r="CD1662">
        <v>2017</v>
      </c>
      <c r="CE1662">
        <v>62500</v>
      </c>
      <c r="CF1662">
        <v>7500</v>
      </c>
      <c r="CG1662">
        <v>70000</v>
      </c>
      <c r="CH1662">
        <v>2017</v>
      </c>
      <c r="CI1662">
        <v>62500</v>
      </c>
      <c r="CJ1662">
        <v>7500</v>
      </c>
      <c r="CK1662">
        <v>70000</v>
      </c>
      <c r="CL1662">
        <v>2017</v>
      </c>
      <c r="CM1662">
        <v>978.58</v>
      </c>
      <c r="CN1662" s="1">
        <v>25569</v>
      </c>
      <c r="CO1662">
        <v>2115</v>
      </c>
      <c r="CZ1662" s="1">
        <v>25569</v>
      </c>
      <c r="DD1662" t="s">
        <v>11749</v>
      </c>
      <c r="DF1662">
        <v>6</v>
      </c>
      <c r="DG1662">
        <v>44</v>
      </c>
      <c r="DJ1662" t="s">
        <v>16522</v>
      </c>
      <c r="DL1662">
        <v>50303</v>
      </c>
      <c r="DM1662" t="s">
        <v>15677</v>
      </c>
      <c r="DO1662" t="s">
        <v>16523</v>
      </c>
      <c r="DP1662">
        <v>0</v>
      </c>
      <c r="DQ1662">
        <v>1</v>
      </c>
      <c r="DR1662" t="s">
        <v>411</v>
      </c>
      <c r="DS1662" t="b">
        <v>1</v>
      </c>
      <c r="DT1662" t="s">
        <v>8902</v>
      </c>
      <c r="DV1662" t="s">
        <v>446</v>
      </c>
      <c r="DX1662">
        <v>9</v>
      </c>
      <c r="DY1662" t="s">
        <v>11438</v>
      </c>
      <c r="DZ1662" t="s">
        <v>447</v>
      </c>
      <c r="EA1662" t="s">
        <v>448</v>
      </c>
      <c r="EB1662" t="s">
        <v>16524</v>
      </c>
      <c r="EC1662">
        <v>20101217</v>
      </c>
      <c r="ED1662" t="s">
        <v>450</v>
      </c>
      <c r="EE1662">
        <v>5</v>
      </c>
      <c r="EF1662">
        <v>0</v>
      </c>
      <c r="EG1662">
        <v>0</v>
      </c>
      <c r="EI1662">
        <v>20160407</v>
      </c>
      <c r="EJ1662">
        <v>0</v>
      </c>
      <c r="EK1662">
        <v>0</v>
      </c>
      <c r="EP1662" t="s">
        <v>421</v>
      </c>
      <c r="EQ1662" t="s">
        <v>422</v>
      </c>
      <c r="ER1662">
        <v>1</v>
      </c>
      <c r="ES1662">
        <v>7</v>
      </c>
      <c r="ET1662">
        <v>940.12</v>
      </c>
      <c r="EU1662">
        <v>53.26</v>
      </c>
      <c r="EV1662">
        <v>993.38</v>
      </c>
      <c r="EW1662" s="2">
        <v>43222</v>
      </c>
      <c r="EX1662" s="1">
        <v>42879</v>
      </c>
      <c r="EY1662">
        <v>2016</v>
      </c>
      <c r="EZ1662">
        <v>940.12</v>
      </c>
      <c r="FA1662" t="s">
        <v>16525</v>
      </c>
      <c r="FB1662">
        <v>0.25</v>
      </c>
      <c r="FC1662" t="s">
        <v>424</v>
      </c>
      <c r="FD1662" t="s">
        <v>454</v>
      </c>
      <c r="FF1662">
        <v>12</v>
      </c>
      <c r="FG1662">
        <v>2035919</v>
      </c>
      <c r="FH1662" t="s">
        <v>507</v>
      </c>
      <c r="FJ1662" s="1">
        <v>42515</v>
      </c>
      <c r="FK1662">
        <v>2015</v>
      </c>
      <c r="FL1662">
        <v>957.3</v>
      </c>
      <c r="FM1662" t="s">
        <v>16526</v>
      </c>
      <c r="FN1662">
        <v>0.25</v>
      </c>
      <c r="FO1662" t="s">
        <v>424</v>
      </c>
      <c r="FP1662" t="s">
        <v>425</v>
      </c>
      <c r="FQ1662" s="1">
        <v>43154</v>
      </c>
      <c r="FR1662">
        <v>21</v>
      </c>
      <c r="FS1662">
        <v>13139</v>
      </c>
      <c r="FT1662" t="s">
        <v>955</v>
      </c>
      <c r="FV1662" s="1">
        <v>42151</v>
      </c>
      <c r="FW1662">
        <v>2014</v>
      </c>
      <c r="FX1662">
        <v>908.6</v>
      </c>
      <c r="FY1662" t="s">
        <v>16527</v>
      </c>
      <c r="FZ1662">
        <v>8.75</v>
      </c>
      <c r="GA1662" t="s">
        <v>424</v>
      </c>
      <c r="GB1662" t="s">
        <v>425</v>
      </c>
      <c r="GC1662" s="1">
        <v>42823</v>
      </c>
      <c r="GD1662">
        <v>22</v>
      </c>
      <c r="GE1662">
        <v>10125</v>
      </c>
      <c r="GF1662" t="s">
        <v>440</v>
      </c>
      <c r="GH1662" s="1">
        <v>41787</v>
      </c>
      <c r="GI1662">
        <v>2013</v>
      </c>
      <c r="GJ1662">
        <v>861.2</v>
      </c>
      <c r="GK1662" t="s">
        <v>16528</v>
      </c>
      <c r="GL1662">
        <v>0.25</v>
      </c>
      <c r="GM1662" t="s">
        <v>424</v>
      </c>
      <c r="GN1662" t="s">
        <v>425</v>
      </c>
      <c r="GO1662" s="1">
        <v>42453</v>
      </c>
      <c r="GP1662">
        <v>22</v>
      </c>
      <c r="GQ1662">
        <v>10125</v>
      </c>
      <c r="GR1662" t="s">
        <v>440</v>
      </c>
      <c r="GT1662" s="1">
        <v>41423</v>
      </c>
      <c r="GU1662">
        <v>2012</v>
      </c>
      <c r="GV1662">
        <v>871.69</v>
      </c>
      <c r="GW1662" t="s">
        <v>16529</v>
      </c>
      <c r="GX1662">
        <v>3.75</v>
      </c>
      <c r="GY1662" t="s">
        <v>424</v>
      </c>
      <c r="GZ1662" t="s">
        <v>425</v>
      </c>
      <c r="HA1662" s="1">
        <v>42060</v>
      </c>
      <c r="HB1662">
        <v>21</v>
      </c>
      <c r="HC1662">
        <v>1625515</v>
      </c>
      <c r="HD1662" t="s">
        <v>487</v>
      </c>
      <c r="HF1662" s="1">
        <v>41052</v>
      </c>
      <c r="HG1662">
        <v>2011</v>
      </c>
      <c r="HH1662">
        <v>1034.8</v>
      </c>
      <c r="HI1662" t="s">
        <v>16530</v>
      </c>
      <c r="HJ1662">
        <v>6</v>
      </c>
      <c r="HK1662" t="s">
        <v>424</v>
      </c>
      <c r="HL1662" t="s">
        <v>425</v>
      </c>
      <c r="HM1662" s="1">
        <v>41689</v>
      </c>
      <c r="HN1662">
        <v>21</v>
      </c>
      <c r="HO1662">
        <v>105</v>
      </c>
      <c r="HP1662" t="s">
        <v>946</v>
      </c>
      <c r="HR1662" s="1">
        <v>40688</v>
      </c>
      <c r="HS1662">
        <v>2010</v>
      </c>
      <c r="HT1662">
        <v>1306.46</v>
      </c>
      <c r="HU1662" t="s">
        <v>16531</v>
      </c>
      <c r="HV1662">
        <v>6</v>
      </c>
      <c r="HW1662" t="s">
        <v>424</v>
      </c>
      <c r="HX1662" t="s">
        <v>425</v>
      </c>
      <c r="HY1662" s="1">
        <v>41331</v>
      </c>
      <c r="HZ1662">
        <v>21</v>
      </c>
      <c r="IA1662">
        <v>375</v>
      </c>
      <c r="IB1662" t="s">
        <v>776</v>
      </c>
      <c r="ID1662" s="1">
        <v>40688</v>
      </c>
      <c r="IE1662">
        <v>2010</v>
      </c>
      <c r="IF1662">
        <v>1306.46</v>
      </c>
      <c r="IG1662" t="s">
        <v>16531</v>
      </c>
      <c r="IH1662">
        <v>6</v>
      </c>
      <c r="II1662" t="s">
        <v>424</v>
      </c>
      <c r="IJ1662" t="s">
        <v>425</v>
      </c>
      <c r="IL1662">
        <v>22</v>
      </c>
      <c r="IM1662">
        <v>105</v>
      </c>
      <c r="IN1662" t="s">
        <v>946</v>
      </c>
    </row>
    <row r="1663" spans="1:284" x14ac:dyDescent="0.25">
      <c r="A1663">
        <v>16486670</v>
      </c>
      <c r="B1663">
        <v>1662</v>
      </c>
      <c r="C1663" t="s">
        <v>393</v>
      </c>
      <c r="D1663" t="s">
        <v>394</v>
      </c>
      <c r="F1663" t="str">
        <f>"44-2N-28-5210-0010-0000"</f>
        <v>44-2N-28-5210-0010-0000</v>
      </c>
      <c r="H1663" t="str">
        <f>"CORBITT RONALD &amp; CORBITT MAXINE (JT/RS)"</f>
        <v>CORBITT RONALD &amp; CORBITT MAXINE (JT/RS)</v>
      </c>
      <c r="I1663" t="str">
        <f>"95149 RAINBOW ACRES RD"</f>
        <v>95149 RAINBOW ACRES RD</v>
      </c>
      <c r="J1663" t="str">
        <f>"FERNANDINA BEACH FL 32034"</f>
        <v>FERNANDINA BEACH FL 32034</v>
      </c>
      <c r="K1663" t="str">
        <f>"95149 RAINBOW ACRES RD"</f>
        <v>95149 RAINBOW ACRES RD</v>
      </c>
      <c r="L1663" t="str">
        <f t="shared" si="592"/>
        <v>FERNANDINA BEACH FL 32034</v>
      </c>
      <c r="M1663" t="str">
        <f>"LOTS 10 &amp; 11 RP 1781 &amp; R788209 &amp; R788210 MH/ID GAFL1AD34074405 IN OR 1815/163 RAINBOW ACRES SUB UNR PLAT"</f>
        <v>LOTS 10 &amp; 11 RP 1781 &amp; R788209 &amp; R788210 MH/ID GAFL1AD34074405 IN OR 1815/163 RAINBOW ACRES SUB UNR PLAT</v>
      </c>
      <c r="N1663" t="str">
        <f>""</f>
        <v/>
      </c>
      <c r="O1663" t="str">
        <f>"51187"</f>
        <v>51187</v>
      </c>
      <c r="P1663" t="str">
        <f t="shared" si="577"/>
        <v>2017</v>
      </c>
      <c r="Q1663" t="str">
        <f>""</f>
        <v/>
      </c>
      <c r="R1663" t="str">
        <f>"N"</f>
        <v>N</v>
      </c>
      <c r="S1663" t="str">
        <f>"4.26"</f>
        <v>4.26</v>
      </c>
      <c r="T1663" t="str">
        <f>"1944.75"</f>
        <v>1944.75</v>
      </c>
      <c r="U1663" t="str">
        <f>"123520.00"</f>
        <v>123520.00</v>
      </c>
      <c r="V1663" t="str">
        <f>"123520.00"</f>
        <v>123520.00</v>
      </c>
      <c r="W1663" t="str">
        <f t="shared" si="578"/>
        <v>2017</v>
      </c>
      <c r="X1663" t="str">
        <f>"19.20"</f>
        <v>19.20</v>
      </c>
      <c r="Y1663" t="str">
        <f>"2035.09"</f>
        <v>2035.09</v>
      </c>
      <c r="Z1663" t="str">
        <f>""</f>
        <v/>
      </c>
      <c r="AA1663" t="str">
        <f>"134857.00"</f>
        <v>134857.00</v>
      </c>
      <c r="AB1663" t="str">
        <f t="shared" si="593"/>
        <v>Residential</v>
      </c>
      <c r="AC1663" t="str">
        <f t="shared" si="588"/>
        <v>0</v>
      </c>
      <c r="AD1663" t="str">
        <f>"4"</f>
        <v>4</v>
      </c>
      <c r="AE1663" t="str">
        <f>"WOOD (INCLUDE STEEL STUDS)"</f>
        <v>WOOD (INCLUDE STEEL STUDS)</v>
      </c>
      <c r="AF1663" t="str">
        <f>"002"</f>
        <v>002</v>
      </c>
      <c r="AG1663" t="str">
        <f t="shared" ref="AG1663:AG1668" si="596">"FL"</f>
        <v>FL</v>
      </c>
      <c r="AH1663" t="str">
        <f>"185565.00"</f>
        <v>185565.00</v>
      </c>
      <c r="AI1663" t="str">
        <f>"90525.00"</f>
        <v>90525.00</v>
      </c>
      <c r="AJ1663" t="str">
        <f>"C55-000-588-4363-2"</f>
        <v>C55-000-588-4363-2</v>
      </c>
      <c r="AK1663" t="str">
        <f>"29897"</f>
        <v>29897</v>
      </c>
      <c r="AL1663">
        <v>6</v>
      </c>
      <c r="AM1663">
        <v>1897</v>
      </c>
      <c r="AN1663">
        <v>2135.2399999999998</v>
      </c>
      <c r="AQ1663" t="s">
        <v>16532</v>
      </c>
      <c r="AR1663" t="s">
        <v>16532</v>
      </c>
      <c r="AS1663" t="s">
        <v>16532</v>
      </c>
      <c r="AU1663" t="s">
        <v>396</v>
      </c>
      <c r="AV1663">
        <v>2017</v>
      </c>
      <c r="AW1663" t="str">
        <f>"44-2N-28-5210-0010-0000 "</f>
        <v xml:space="preserve">44-2N-28-5210-0010-0000 </v>
      </c>
      <c r="AX1663">
        <v>95149</v>
      </c>
      <c r="AZ1663" t="s">
        <v>16522</v>
      </c>
      <c r="BA1663" t="s">
        <v>496</v>
      </c>
      <c r="BD1663" t="s">
        <v>11749</v>
      </c>
      <c r="BE1663" t="s">
        <v>393</v>
      </c>
      <c r="BF1663">
        <v>32034</v>
      </c>
      <c r="BG1663" t="s">
        <v>16533</v>
      </c>
      <c r="BH1663" t="s">
        <v>11751</v>
      </c>
      <c r="BI1663">
        <v>-81.508265497811607</v>
      </c>
      <c r="BJ1663">
        <v>30.571621894632599</v>
      </c>
      <c r="BK1663" t="s">
        <v>16534</v>
      </c>
      <c r="BL1663" t="s">
        <v>16535</v>
      </c>
      <c r="BM1663" t="s">
        <v>16533</v>
      </c>
      <c r="BN1663" t="s">
        <v>3983</v>
      </c>
      <c r="BO1663">
        <v>32034</v>
      </c>
      <c r="BP1663" t="s">
        <v>416</v>
      </c>
      <c r="BQ1663">
        <v>200</v>
      </c>
      <c r="BR1663" t="s">
        <v>405</v>
      </c>
      <c r="BS1663">
        <v>1006</v>
      </c>
      <c r="BT1663" t="s">
        <v>406</v>
      </c>
      <c r="BW1663">
        <v>185565</v>
      </c>
      <c r="BX1663" t="s">
        <v>407</v>
      </c>
      <c r="BY1663" t="s">
        <v>408</v>
      </c>
      <c r="BZ1663">
        <v>4</v>
      </c>
      <c r="CA1663">
        <v>1999</v>
      </c>
      <c r="CB1663">
        <v>1</v>
      </c>
      <c r="CC1663">
        <v>3</v>
      </c>
      <c r="CD1663">
        <v>2017</v>
      </c>
      <c r="CE1663">
        <v>90525</v>
      </c>
      <c r="CF1663">
        <v>44332</v>
      </c>
      <c r="CG1663">
        <v>134857</v>
      </c>
      <c r="CH1663">
        <v>2017</v>
      </c>
      <c r="CI1663">
        <v>90525</v>
      </c>
      <c r="CJ1663">
        <v>44332</v>
      </c>
      <c r="CK1663">
        <v>134857</v>
      </c>
      <c r="CL1663">
        <v>2017</v>
      </c>
      <c r="CM1663">
        <v>1944.75</v>
      </c>
      <c r="CN1663" s="1">
        <v>41023</v>
      </c>
      <c r="CZ1663" s="1">
        <v>41023</v>
      </c>
      <c r="DD1663" t="s">
        <v>11749</v>
      </c>
      <c r="DG1663">
        <v>44</v>
      </c>
      <c r="DL1663">
        <v>50303</v>
      </c>
      <c r="DM1663" t="s">
        <v>15677</v>
      </c>
      <c r="DO1663" t="s">
        <v>16536</v>
      </c>
      <c r="DP1663">
        <v>0</v>
      </c>
      <c r="DQ1663">
        <v>0</v>
      </c>
      <c r="DR1663" t="s">
        <v>411</v>
      </c>
      <c r="DS1663" t="b">
        <v>1</v>
      </c>
      <c r="DT1663" t="s">
        <v>470</v>
      </c>
      <c r="DU1663" t="s">
        <v>10249</v>
      </c>
      <c r="DV1663" t="s">
        <v>472</v>
      </c>
      <c r="DX1663">
        <v>-9999</v>
      </c>
      <c r="DZ1663" t="s">
        <v>447</v>
      </c>
      <c r="EA1663" t="s">
        <v>448</v>
      </c>
      <c r="EB1663" t="s">
        <v>14895</v>
      </c>
      <c r="EC1663">
        <v>20101217</v>
      </c>
      <c r="ED1663" t="s">
        <v>10251</v>
      </c>
      <c r="EE1663">
        <v>5</v>
      </c>
      <c r="EF1663">
        <v>353</v>
      </c>
      <c r="EG1663">
        <v>0</v>
      </c>
      <c r="EI1663">
        <v>20160407</v>
      </c>
      <c r="EJ1663">
        <v>0</v>
      </c>
      <c r="EK1663">
        <v>0</v>
      </c>
      <c r="EP1663" t="s">
        <v>421</v>
      </c>
      <c r="EQ1663" t="s">
        <v>422</v>
      </c>
      <c r="ER1663">
        <v>2</v>
      </c>
      <c r="ES1663">
        <v>7</v>
      </c>
      <c r="ET1663">
        <v>3782.48</v>
      </c>
      <c r="EU1663">
        <v>201.62</v>
      </c>
      <c r="EV1663">
        <v>3984.1</v>
      </c>
      <c r="EW1663" s="2">
        <v>43222</v>
      </c>
      <c r="EX1663" s="1">
        <v>42879</v>
      </c>
      <c r="EY1663">
        <v>2016</v>
      </c>
      <c r="EZ1663">
        <v>1891.24</v>
      </c>
      <c r="FA1663" t="s">
        <v>16537</v>
      </c>
      <c r="FB1663">
        <v>0.25</v>
      </c>
      <c r="FC1663" t="s">
        <v>424</v>
      </c>
      <c r="FD1663" t="s">
        <v>454</v>
      </c>
      <c r="FF1663">
        <v>12</v>
      </c>
      <c r="FG1663">
        <v>2851116</v>
      </c>
      <c r="FH1663" t="s">
        <v>480</v>
      </c>
      <c r="FJ1663" s="1">
        <v>42879</v>
      </c>
      <c r="FK1663">
        <v>2016</v>
      </c>
      <c r="FL1663">
        <v>1891.24</v>
      </c>
      <c r="FM1663" t="s">
        <v>16537</v>
      </c>
      <c r="FN1663">
        <v>0.25</v>
      </c>
      <c r="FO1663" t="s">
        <v>424</v>
      </c>
      <c r="FP1663" t="s">
        <v>454</v>
      </c>
      <c r="FR1663">
        <v>12</v>
      </c>
      <c r="FS1663">
        <v>5286822</v>
      </c>
      <c r="FT1663" t="s">
        <v>16538</v>
      </c>
      <c r="FV1663" s="1">
        <v>42515</v>
      </c>
      <c r="FW1663">
        <v>2015</v>
      </c>
      <c r="FX1663">
        <v>1896.94</v>
      </c>
      <c r="FY1663" t="s">
        <v>16539</v>
      </c>
      <c r="FZ1663">
        <v>0.25</v>
      </c>
      <c r="GA1663" t="s">
        <v>424</v>
      </c>
      <c r="GB1663" t="s">
        <v>425</v>
      </c>
      <c r="GC1663" s="1">
        <v>43187</v>
      </c>
      <c r="GD1663">
        <v>22</v>
      </c>
      <c r="GE1663">
        <v>2851116</v>
      </c>
      <c r="GF1663" t="s">
        <v>480</v>
      </c>
      <c r="GH1663" s="1">
        <v>42515</v>
      </c>
      <c r="GI1663">
        <v>2015</v>
      </c>
      <c r="GJ1663">
        <v>1896.94</v>
      </c>
      <c r="GK1663" t="s">
        <v>16539</v>
      </c>
      <c r="GL1663">
        <v>0.25</v>
      </c>
      <c r="GM1663" t="s">
        <v>424</v>
      </c>
      <c r="GN1663" t="s">
        <v>425</v>
      </c>
      <c r="GP1663">
        <v>22</v>
      </c>
      <c r="GQ1663">
        <v>5702952</v>
      </c>
      <c r="GR1663" t="s">
        <v>16540</v>
      </c>
      <c r="GT1663" s="1">
        <v>42151</v>
      </c>
      <c r="GU1663">
        <v>2014</v>
      </c>
      <c r="GV1663">
        <v>1933.93</v>
      </c>
      <c r="GW1663" t="s">
        <v>16541</v>
      </c>
      <c r="GX1663">
        <v>0.25</v>
      </c>
      <c r="GY1663" t="s">
        <v>424</v>
      </c>
      <c r="GZ1663" t="s">
        <v>425</v>
      </c>
      <c r="HA1663" s="1">
        <v>42790</v>
      </c>
      <c r="HB1663">
        <v>21</v>
      </c>
      <c r="HC1663">
        <v>2851116</v>
      </c>
      <c r="HD1663" t="s">
        <v>480</v>
      </c>
      <c r="HF1663" s="1">
        <v>42151</v>
      </c>
      <c r="HG1663">
        <v>2014</v>
      </c>
      <c r="HH1663">
        <v>1933.93</v>
      </c>
      <c r="HI1663" t="s">
        <v>16541</v>
      </c>
      <c r="HJ1663">
        <v>0.25</v>
      </c>
      <c r="HK1663" t="s">
        <v>424</v>
      </c>
      <c r="HL1663" t="s">
        <v>425</v>
      </c>
      <c r="HN1663">
        <v>22</v>
      </c>
      <c r="HO1663">
        <v>5428086</v>
      </c>
      <c r="HP1663" t="s">
        <v>16542</v>
      </c>
      <c r="HR1663" s="1">
        <v>41787</v>
      </c>
      <c r="HS1663">
        <v>2013</v>
      </c>
      <c r="HT1663">
        <v>1889.03</v>
      </c>
      <c r="HU1663" t="s">
        <v>16543</v>
      </c>
      <c r="HV1663">
        <v>0.25</v>
      </c>
      <c r="HW1663" t="s">
        <v>424</v>
      </c>
      <c r="HX1663" t="s">
        <v>425</v>
      </c>
      <c r="HY1663" s="1">
        <v>42423</v>
      </c>
      <c r="HZ1663">
        <v>21</v>
      </c>
      <c r="IA1663">
        <v>2101382</v>
      </c>
      <c r="IB1663" t="s">
        <v>993</v>
      </c>
      <c r="ID1663" s="1">
        <v>41423</v>
      </c>
      <c r="IE1663">
        <v>2012</v>
      </c>
      <c r="IF1663">
        <v>1952.92</v>
      </c>
      <c r="IG1663" t="s">
        <v>16544</v>
      </c>
      <c r="IH1663">
        <v>0.25</v>
      </c>
      <c r="II1663" t="s">
        <v>424</v>
      </c>
      <c r="IJ1663" t="s">
        <v>425</v>
      </c>
      <c r="IK1663" s="1">
        <v>42060</v>
      </c>
      <c r="IL1663">
        <v>21</v>
      </c>
      <c r="IM1663">
        <v>606981</v>
      </c>
      <c r="IN1663" t="s">
        <v>792</v>
      </c>
      <c r="IP1663" s="1">
        <v>40688</v>
      </c>
      <c r="IQ1663">
        <v>2010</v>
      </c>
      <c r="IR1663">
        <v>887.59</v>
      </c>
      <c r="IS1663" t="s">
        <v>16545</v>
      </c>
      <c r="IT1663">
        <v>5.75</v>
      </c>
      <c r="IU1663" t="s">
        <v>424</v>
      </c>
      <c r="IV1663" t="s">
        <v>425</v>
      </c>
      <c r="IW1663" s="1">
        <v>41023</v>
      </c>
      <c r="IX1663">
        <v>11</v>
      </c>
      <c r="IY1663">
        <v>62</v>
      </c>
      <c r="IZ1663" t="s">
        <v>463</v>
      </c>
    </row>
    <row r="1664" spans="1:284" x14ac:dyDescent="0.25">
      <c r="A1664">
        <v>16486671</v>
      </c>
      <c r="B1664">
        <v>1663</v>
      </c>
      <c r="C1664" t="s">
        <v>393</v>
      </c>
      <c r="D1664" t="s">
        <v>394</v>
      </c>
      <c r="F1664" t="str">
        <f>"44-2N-28-5210-0013-0010"</f>
        <v>44-2N-28-5210-0013-0010</v>
      </c>
      <c r="H1664" t="str">
        <f>"CARTER EDWARD M"</f>
        <v>CARTER EDWARD M</v>
      </c>
      <c r="I1664" t="str">
        <f>"95231 RAINBOW ACRES ROAD"</f>
        <v>95231 RAINBOW ACRES ROAD</v>
      </c>
      <c r="J1664" t="str">
        <f>"FERNANDINA BEACH FL 32034"</f>
        <v>FERNANDINA BEACH FL 32034</v>
      </c>
      <c r="K1664" t="str">
        <f>"95237 RAINBOW ACRES RD"</f>
        <v>95237 RAINBOW ACRES RD</v>
      </c>
      <c r="L1664" t="str">
        <f t="shared" si="592"/>
        <v>FERNANDINA BEACH FL 32034</v>
      </c>
      <c r="M1664" t="str">
        <f>"PT OF LOT 13 OR 835/627 &amp; CASE 01-151-DR R787504 &amp; R787505 RAINBOW ACRES SUB UNR PLAT"</f>
        <v>PT OF LOT 13 OR 835/627 &amp; CASE 01-151-DR R787504 &amp; R787505 RAINBOW ACRES SUB UNR PLAT</v>
      </c>
      <c r="N1664" t="str">
        <f>""</f>
        <v/>
      </c>
      <c r="O1664" t="str">
        <f>"51190"</f>
        <v>51190</v>
      </c>
      <c r="P1664" t="str">
        <f t="shared" si="577"/>
        <v>2017</v>
      </c>
      <c r="Q1664" t="str">
        <f>""</f>
        <v/>
      </c>
      <c r="R1664" t="str">
        <f>"Y"</f>
        <v>Y</v>
      </c>
      <c r="S1664" t="str">
        <f>"1.00"</f>
        <v>1.00</v>
      </c>
      <c r="T1664" t="str">
        <f>"396.59"</f>
        <v>396.59</v>
      </c>
      <c r="U1664" t="str">
        <f>"52745.00"</f>
        <v>52745.00</v>
      </c>
      <c r="V1664" t="str">
        <f>"52745.00"</f>
        <v>52745.00</v>
      </c>
      <c r="W1664" t="str">
        <f t="shared" si="578"/>
        <v>2017</v>
      </c>
      <c r="X1664" t="str">
        <f>"31.00"</f>
        <v>31.00</v>
      </c>
      <c r="Y1664" t="str">
        <f>"440.49"</f>
        <v>440.49</v>
      </c>
      <c r="Z1664" t="str">
        <f>"25000.00"</f>
        <v>25000.00</v>
      </c>
      <c r="AA1664" t="str">
        <f>"27745.00"</f>
        <v>27745.00</v>
      </c>
      <c r="AB1664" t="str">
        <f t="shared" si="593"/>
        <v>Residential</v>
      </c>
      <c r="AC1664" t="str">
        <f t="shared" si="588"/>
        <v>0</v>
      </c>
      <c r="AD1664" t="str">
        <f>"4"</f>
        <v>4</v>
      </c>
      <c r="AE1664" t="str">
        <f>"WOOD (INCLUDE STEEL STUDS)"</f>
        <v>WOOD (INCLUDE STEEL STUDS)</v>
      </c>
      <c r="AF1664" t="str">
        <f>"002"</f>
        <v>002</v>
      </c>
      <c r="AG1664" t="str">
        <f t="shared" si="596"/>
        <v>FL</v>
      </c>
      <c r="AH1664" t="str">
        <f>"43560.00"</f>
        <v>43560.00</v>
      </c>
      <c r="AI1664" t="str">
        <f>"17500.00"</f>
        <v>17500.00</v>
      </c>
      <c r="AJ1664" t="str">
        <f>"C55-000-588-4366-5"</f>
        <v>C55-000-588-4366-5</v>
      </c>
      <c r="AK1664" t="str">
        <f>"29900"</f>
        <v>29900</v>
      </c>
      <c r="AL1664">
        <v>6</v>
      </c>
      <c r="AM1664">
        <v>1898</v>
      </c>
      <c r="AN1664">
        <v>460.91</v>
      </c>
      <c r="AQ1664" t="s">
        <v>16546</v>
      </c>
      <c r="AR1664" t="s">
        <v>16546</v>
      </c>
      <c r="AS1664" t="s">
        <v>16546</v>
      </c>
      <c r="AU1664" t="s">
        <v>396</v>
      </c>
      <c r="AV1664">
        <v>2017</v>
      </c>
      <c r="AW1664" t="str">
        <f>"44-2N-28-5210-0013-0010 "</f>
        <v xml:space="preserve">44-2N-28-5210-0013-0010 </v>
      </c>
      <c r="AX1664">
        <v>95237</v>
      </c>
      <c r="AZ1664" t="s">
        <v>16522</v>
      </c>
      <c r="BA1664" t="s">
        <v>496</v>
      </c>
      <c r="BD1664" t="s">
        <v>11749</v>
      </c>
      <c r="BE1664" t="s">
        <v>393</v>
      </c>
      <c r="BF1664">
        <v>32034</v>
      </c>
      <c r="BG1664" t="s">
        <v>16547</v>
      </c>
      <c r="BH1664" t="s">
        <v>11751</v>
      </c>
      <c r="BI1664">
        <v>-81.508862453815993</v>
      </c>
      <c r="BJ1664">
        <v>30.572710771578301</v>
      </c>
      <c r="BK1664" t="s">
        <v>16548</v>
      </c>
      <c r="BM1664" t="s">
        <v>16549</v>
      </c>
      <c r="BN1664" t="s">
        <v>3983</v>
      </c>
      <c r="BO1664">
        <v>32034</v>
      </c>
      <c r="BP1664" t="s">
        <v>404</v>
      </c>
      <c r="BQ1664">
        <v>200</v>
      </c>
      <c r="BR1664" t="s">
        <v>405</v>
      </c>
      <c r="BS1664">
        <v>1006</v>
      </c>
      <c r="BT1664" t="s">
        <v>406</v>
      </c>
      <c r="BW1664">
        <v>43560</v>
      </c>
      <c r="BX1664" t="s">
        <v>407</v>
      </c>
      <c r="BZ1664">
        <v>4</v>
      </c>
      <c r="CA1664">
        <v>1998</v>
      </c>
      <c r="CB1664">
        <v>1</v>
      </c>
      <c r="CC1664">
        <v>1</v>
      </c>
      <c r="CD1664">
        <v>2017</v>
      </c>
      <c r="CG1664">
        <v>52745</v>
      </c>
      <c r="CH1664">
        <v>2017</v>
      </c>
      <c r="CI1664">
        <v>17500</v>
      </c>
      <c r="CJ1664">
        <v>41778</v>
      </c>
      <c r="CK1664">
        <v>59278</v>
      </c>
      <c r="CL1664">
        <v>2017</v>
      </c>
      <c r="CM1664">
        <v>396.59</v>
      </c>
      <c r="CN1664" s="1">
        <v>35943</v>
      </c>
      <c r="CO1664">
        <v>12000</v>
      </c>
      <c r="CZ1664" s="1">
        <v>35943</v>
      </c>
      <c r="DD1664" t="s">
        <v>11749</v>
      </c>
      <c r="DF1664">
        <v>13</v>
      </c>
      <c r="DG1664">
        <v>44</v>
      </c>
      <c r="DL1664">
        <v>50303</v>
      </c>
      <c r="DM1664" t="s">
        <v>15677</v>
      </c>
      <c r="DO1664" t="s">
        <v>16550</v>
      </c>
      <c r="DP1664">
        <v>0</v>
      </c>
      <c r="DQ1664">
        <v>0</v>
      </c>
      <c r="DR1664" t="s">
        <v>411</v>
      </c>
      <c r="DS1664" t="b">
        <v>1</v>
      </c>
      <c r="DT1664" t="s">
        <v>470</v>
      </c>
      <c r="DU1664" t="s">
        <v>10249</v>
      </c>
      <c r="DV1664" t="s">
        <v>472</v>
      </c>
      <c r="DX1664">
        <v>-9999</v>
      </c>
      <c r="DZ1664" t="s">
        <v>447</v>
      </c>
      <c r="EA1664" t="s">
        <v>448</v>
      </c>
      <c r="EB1664" t="s">
        <v>14895</v>
      </c>
      <c r="EC1664">
        <v>20101217</v>
      </c>
      <c r="ED1664" t="s">
        <v>10251</v>
      </c>
      <c r="EE1664">
        <v>5</v>
      </c>
      <c r="EF1664">
        <v>226.3</v>
      </c>
      <c r="EG1664">
        <v>0</v>
      </c>
      <c r="EI1664">
        <v>20160407</v>
      </c>
      <c r="EJ1664">
        <v>0</v>
      </c>
      <c r="EK1664">
        <v>0</v>
      </c>
      <c r="EP1664" t="s">
        <v>595</v>
      </c>
      <c r="EQ1664" t="s">
        <v>452</v>
      </c>
      <c r="ER1664">
        <v>0</v>
      </c>
      <c r="ES1664">
        <v>7</v>
      </c>
      <c r="ET1664">
        <v>0</v>
      </c>
      <c r="EU1664">
        <v>0</v>
      </c>
      <c r="EV1664">
        <v>0</v>
      </c>
      <c r="EW1664" s="2">
        <v>43222</v>
      </c>
      <c r="EX1664" s="1">
        <v>42515</v>
      </c>
      <c r="EY1664">
        <v>2015</v>
      </c>
      <c r="EZ1664">
        <v>457.98</v>
      </c>
      <c r="FA1664" t="s">
        <v>16551</v>
      </c>
      <c r="FB1664">
        <v>0.25</v>
      </c>
      <c r="FC1664" t="s">
        <v>424</v>
      </c>
      <c r="FD1664" t="s">
        <v>425</v>
      </c>
      <c r="FE1664" s="1">
        <v>42863</v>
      </c>
      <c r="FF1664">
        <v>12</v>
      </c>
      <c r="FG1664">
        <v>2851116</v>
      </c>
      <c r="FH1664" t="s">
        <v>480</v>
      </c>
      <c r="FJ1664" s="1">
        <v>42515</v>
      </c>
      <c r="FK1664">
        <v>2015</v>
      </c>
      <c r="FL1664">
        <v>457.98</v>
      </c>
      <c r="FM1664" t="s">
        <v>16551</v>
      </c>
      <c r="FN1664">
        <v>0.25</v>
      </c>
      <c r="FO1664" t="s">
        <v>424</v>
      </c>
      <c r="FP1664" t="s">
        <v>425</v>
      </c>
      <c r="FR1664">
        <v>22</v>
      </c>
      <c r="FS1664">
        <v>5066986</v>
      </c>
      <c r="FT1664" t="s">
        <v>16552</v>
      </c>
      <c r="FV1664" s="1">
        <v>42151</v>
      </c>
      <c r="FW1664">
        <v>2014</v>
      </c>
      <c r="FX1664">
        <v>470.05</v>
      </c>
      <c r="FY1664" t="s">
        <v>16553</v>
      </c>
      <c r="FZ1664">
        <v>2.5</v>
      </c>
      <c r="GA1664" t="s">
        <v>424</v>
      </c>
      <c r="GB1664" t="s">
        <v>425</v>
      </c>
      <c r="GC1664" s="1">
        <v>42201</v>
      </c>
      <c r="GD1664">
        <v>2</v>
      </c>
      <c r="GE1664">
        <v>15399</v>
      </c>
      <c r="GF1664" t="s">
        <v>485</v>
      </c>
      <c r="GG1664" t="s">
        <v>458</v>
      </c>
      <c r="GH1664" s="1">
        <v>42151</v>
      </c>
      <c r="GI1664">
        <v>2014</v>
      </c>
      <c r="GJ1664">
        <v>470.05</v>
      </c>
      <c r="GK1664" t="s">
        <v>16553</v>
      </c>
      <c r="GL1664">
        <v>2.5</v>
      </c>
      <c r="GM1664" t="s">
        <v>424</v>
      </c>
      <c r="GN1664" t="s">
        <v>425</v>
      </c>
      <c r="GP1664">
        <v>22</v>
      </c>
      <c r="GQ1664">
        <v>7045017</v>
      </c>
      <c r="GR1664" t="s">
        <v>7494</v>
      </c>
      <c r="GS1664" t="s">
        <v>458</v>
      </c>
      <c r="GT1664" s="1">
        <v>41787</v>
      </c>
      <c r="GU1664">
        <v>2013</v>
      </c>
      <c r="GV1664">
        <v>493.09</v>
      </c>
      <c r="GW1664" t="s">
        <v>16554</v>
      </c>
      <c r="GX1664">
        <v>0.25</v>
      </c>
      <c r="GY1664" t="s">
        <v>424</v>
      </c>
      <c r="GZ1664" t="s">
        <v>425</v>
      </c>
      <c r="HA1664" s="1">
        <v>42201</v>
      </c>
      <c r="HB1664">
        <v>14</v>
      </c>
      <c r="HC1664">
        <v>10125</v>
      </c>
      <c r="HD1664" t="s">
        <v>440</v>
      </c>
      <c r="HE1664" t="s">
        <v>458</v>
      </c>
      <c r="HF1664" s="1">
        <v>41423</v>
      </c>
      <c r="HG1664">
        <v>2012</v>
      </c>
      <c r="HH1664">
        <v>511.17</v>
      </c>
      <c r="HI1664" t="s">
        <v>16555</v>
      </c>
      <c r="HJ1664">
        <v>3.75</v>
      </c>
      <c r="HK1664" t="s">
        <v>424</v>
      </c>
      <c r="HL1664" t="s">
        <v>425</v>
      </c>
      <c r="HN1664">
        <v>22</v>
      </c>
      <c r="HO1664">
        <v>15407</v>
      </c>
      <c r="HP1664" t="s">
        <v>1134</v>
      </c>
      <c r="HQ1664" t="s">
        <v>458</v>
      </c>
      <c r="HR1664" s="1">
        <v>41052</v>
      </c>
      <c r="HS1664">
        <v>2011</v>
      </c>
      <c r="HT1664">
        <v>136.22</v>
      </c>
      <c r="HU1664" t="s">
        <v>16556</v>
      </c>
      <c r="HV1664">
        <v>18</v>
      </c>
      <c r="HW1664" t="s">
        <v>603</v>
      </c>
      <c r="HX1664" t="s">
        <v>425</v>
      </c>
      <c r="HY1664" s="1">
        <v>42201</v>
      </c>
      <c r="HZ1664">
        <v>38</v>
      </c>
      <c r="IA1664">
        <v>9999999</v>
      </c>
      <c r="IB1664" t="s">
        <v>604</v>
      </c>
      <c r="IC1664" t="s">
        <v>458</v>
      </c>
    </row>
    <row r="1665" spans="1:296" x14ac:dyDescent="0.25">
      <c r="A1665">
        <v>16486672</v>
      </c>
      <c r="B1665">
        <v>1664</v>
      </c>
      <c r="C1665" t="s">
        <v>393</v>
      </c>
      <c r="D1665" t="s">
        <v>394</v>
      </c>
      <c r="F1665" t="str">
        <f>"44-2N-28-5210-0047-0020"</f>
        <v>44-2N-28-5210-0047-0020</v>
      </c>
      <c r="H1665" t="str">
        <f>"SEVILLA CHRISTOPHER J &amp; ASHLEY"</f>
        <v>SEVILLA CHRISTOPHER J &amp; ASHLEY</v>
      </c>
      <c r="I1665" t="str">
        <f>"95379 ALLIGATOR CREEK RD"</f>
        <v>95379 ALLIGATOR CREEK RD</v>
      </c>
      <c r="J1665" t="str">
        <f>"FERNANDINA BEACH FL 32034"</f>
        <v>FERNANDINA BEACH FL 32034</v>
      </c>
      <c r="K1665" t="str">
        <f>"95379 ALLIGATOR CREEK RD"</f>
        <v>95379 ALLIGATOR CREEK RD</v>
      </c>
      <c r="L1665" t="str">
        <f t="shared" si="592"/>
        <v>FERNANDINA BEACH FL 32034</v>
      </c>
      <c r="M1665" t="str">
        <f>"PT OF LOTS 47 &amp; 48 IN OR 2055/717 &amp; WELL ESMT IN OR 691/1260 RAINBOW ACRES SUB UNR PLAT {1988 OMNI DW/MH}"</f>
        <v>PT OF LOTS 47 &amp; 48 IN OR 2055/717 &amp; WELL ESMT IN OR 691/1260 RAINBOW ACRES SUB UNR PLAT {1988 OMNI DW/MH}</v>
      </c>
      <c r="N1665" t="str">
        <f>""</f>
        <v/>
      </c>
      <c r="O1665" t="str">
        <f>"51232"</f>
        <v>51232</v>
      </c>
      <c r="P1665" t="str">
        <f t="shared" si="577"/>
        <v>2017</v>
      </c>
      <c r="Q1665" t="str">
        <f>""</f>
        <v/>
      </c>
      <c r="R1665" t="str">
        <f>"N"</f>
        <v>N</v>
      </c>
      <c r="S1665" t="str">
        <f>"2.00"</f>
        <v>2.00</v>
      </c>
      <c r="T1665" t="str">
        <f>"929.25"</f>
        <v>929.25</v>
      </c>
      <c r="U1665" t="str">
        <f>"61382.00"</f>
        <v>61382.00</v>
      </c>
      <c r="V1665" t="str">
        <f>"61382.00"</f>
        <v>61382.00</v>
      </c>
      <c r="W1665" t="str">
        <f t="shared" si="578"/>
        <v>2017</v>
      </c>
      <c r="X1665" t="str">
        <f>""</f>
        <v/>
      </c>
      <c r="Y1665" t="str">
        <f>"989.13"</f>
        <v>989.13</v>
      </c>
      <c r="Z1665" t="str">
        <f>""</f>
        <v/>
      </c>
      <c r="AA1665" t="str">
        <f>"61382.00"</f>
        <v>61382.00</v>
      </c>
      <c r="AB1665" t="str">
        <f t="shared" si="593"/>
        <v>Residential</v>
      </c>
      <c r="AC1665" t="str">
        <f t="shared" si="588"/>
        <v>0</v>
      </c>
      <c r="AD1665" t="str">
        <f>"4"</f>
        <v>4</v>
      </c>
      <c r="AE1665" t="str">
        <f>"WOOD (INCLUDE STEEL STUDS)"</f>
        <v>WOOD (INCLUDE STEEL STUDS)</v>
      </c>
      <c r="AF1665" t="str">
        <f>"002"</f>
        <v>002</v>
      </c>
      <c r="AG1665" t="str">
        <f t="shared" si="596"/>
        <v>FL</v>
      </c>
      <c r="AH1665" t="str">
        <f>"87120.00"</f>
        <v>87120.00</v>
      </c>
      <c r="AI1665" t="str">
        <f>"45000.00"</f>
        <v>45000.00</v>
      </c>
      <c r="AJ1665" t="str">
        <f>"C55-000-588-4406-9"</f>
        <v>C55-000-588-4406-9</v>
      </c>
      <c r="AK1665" t="str">
        <f>"29940"</f>
        <v>29940</v>
      </c>
      <c r="AL1665">
        <v>6</v>
      </c>
      <c r="AM1665">
        <v>1899</v>
      </c>
      <c r="AN1665">
        <v>1036.99</v>
      </c>
      <c r="AQ1665" t="s">
        <v>16557</v>
      </c>
      <c r="AR1665" t="s">
        <v>16557</v>
      </c>
      <c r="AS1665" t="s">
        <v>16557</v>
      </c>
      <c r="AU1665" t="s">
        <v>396</v>
      </c>
      <c r="AV1665">
        <v>2017</v>
      </c>
      <c r="AW1665" t="str">
        <f>"44-2N-28-5210-0047-0020 "</f>
        <v xml:space="preserve">44-2N-28-5210-0047-0020 </v>
      </c>
      <c r="AX1665">
        <v>95379</v>
      </c>
      <c r="AZ1665" t="s">
        <v>16482</v>
      </c>
      <c r="BA1665" t="s">
        <v>496</v>
      </c>
      <c r="BD1665" t="s">
        <v>11749</v>
      </c>
      <c r="BE1665" t="s">
        <v>393</v>
      </c>
      <c r="BF1665">
        <v>32034</v>
      </c>
      <c r="BG1665" t="s">
        <v>16558</v>
      </c>
      <c r="BH1665" t="s">
        <v>11751</v>
      </c>
      <c r="BI1665">
        <v>-81.506367514097604</v>
      </c>
      <c r="BJ1665">
        <v>30.573559945138001</v>
      </c>
      <c r="BK1665" t="s">
        <v>16559</v>
      </c>
      <c r="BL1665" t="s">
        <v>16560</v>
      </c>
      <c r="BM1665" t="s">
        <v>16558</v>
      </c>
      <c r="BN1665" t="s">
        <v>3983</v>
      </c>
      <c r="BO1665">
        <v>32034</v>
      </c>
      <c r="BP1665" t="s">
        <v>416</v>
      </c>
      <c r="BQ1665">
        <v>200</v>
      </c>
      <c r="BR1665" t="s">
        <v>405</v>
      </c>
      <c r="BS1665">
        <v>1006</v>
      </c>
      <c r="BT1665" t="s">
        <v>406</v>
      </c>
      <c r="BW1665">
        <v>87120</v>
      </c>
      <c r="BX1665" t="s">
        <v>407</v>
      </c>
      <c r="BY1665" t="s">
        <v>408</v>
      </c>
      <c r="BZ1665">
        <v>4</v>
      </c>
      <c r="CA1665">
        <v>1988</v>
      </c>
      <c r="CB1665">
        <v>1</v>
      </c>
      <c r="CC1665">
        <v>1</v>
      </c>
      <c r="CD1665">
        <v>2017</v>
      </c>
      <c r="CE1665">
        <v>45000</v>
      </c>
      <c r="CF1665">
        <v>16382</v>
      </c>
      <c r="CG1665">
        <v>61382</v>
      </c>
      <c r="CH1665">
        <v>2017</v>
      </c>
      <c r="CI1665">
        <v>45000</v>
      </c>
      <c r="CJ1665">
        <v>16382</v>
      </c>
      <c r="CK1665">
        <v>61382</v>
      </c>
      <c r="CL1665">
        <v>2017</v>
      </c>
      <c r="CM1665">
        <v>929.25</v>
      </c>
      <c r="CN1665" s="1">
        <v>42550</v>
      </c>
      <c r="CO1665">
        <v>37000</v>
      </c>
      <c r="CV1665">
        <v>0</v>
      </c>
      <c r="CZ1665" s="1">
        <v>42550</v>
      </c>
      <c r="DA1665">
        <v>0</v>
      </c>
      <c r="DD1665" t="s">
        <v>11749</v>
      </c>
      <c r="DF1665">
        <v>47</v>
      </c>
      <c r="DG1665">
        <v>44</v>
      </c>
      <c r="DL1665">
        <v>50303</v>
      </c>
      <c r="DM1665" t="s">
        <v>15677</v>
      </c>
      <c r="DO1665" t="s">
        <v>16561</v>
      </c>
      <c r="DP1665">
        <v>0</v>
      </c>
      <c r="DQ1665">
        <v>0</v>
      </c>
      <c r="DR1665" t="s">
        <v>411</v>
      </c>
      <c r="EP1665" t="s">
        <v>421</v>
      </c>
      <c r="EQ1665" t="s">
        <v>422</v>
      </c>
      <c r="ER1665">
        <v>2</v>
      </c>
      <c r="ES1665">
        <v>0</v>
      </c>
      <c r="ET1665">
        <v>2487.96</v>
      </c>
      <c r="EU1665">
        <v>136.9</v>
      </c>
      <c r="EV1665">
        <v>2624.86</v>
      </c>
      <c r="EW1665" s="2">
        <v>43222</v>
      </c>
      <c r="EX1665" s="1">
        <v>42879</v>
      </c>
      <c r="EY1665">
        <v>2016</v>
      </c>
      <c r="EZ1665">
        <v>1243.98</v>
      </c>
      <c r="FA1665" t="s">
        <v>16562</v>
      </c>
      <c r="FB1665">
        <v>0.25</v>
      </c>
      <c r="FC1665" t="s">
        <v>424</v>
      </c>
      <c r="FD1665" t="s">
        <v>454</v>
      </c>
      <c r="FF1665">
        <v>12</v>
      </c>
      <c r="FG1665">
        <v>2851116</v>
      </c>
      <c r="FH1665" t="s">
        <v>480</v>
      </c>
      <c r="FJ1665" s="1">
        <v>42879</v>
      </c>
      <c r="FK1665">
        <v>2016</v>
      </c>
      <c r="FL1665">
        <v>1243.98</v>
      </c>
      <c r="FM1665" t="s">
        <v>16562</v>
      </c>
      <c r="FN1665">
        <v>0.25</v>
      </c>
      <c r="FO1665" t="s">
        <v>424</v>
      </c>
      <c r="FP1665" t="s">
        <v>454</v>
      </c>
      <c r="FR1665">
        <v>12</v>
      </c>
      <c r="FS1665">
        <v>5026426</v>
      </c>
      <c r="FT1665" t="s">
        <v>16563</v>
      </c>
    </row>
    <row r="1666" spans="1:296" x14ac:dyDescent="0.25">
      <c r="A1666">
        <v>16486673</v>
      </c>
      <c r="B1666">
        <v>1665</v>
      </c>
      <c r="C1666" t="s">
        <v>393</v>
      </c>
      <c r="D1666" t="s">
        <v>394</v>
      </c>
      <c r="F1666" t="str">
        <f>"44-2N-28-5210-0054-0010"</f>
        <v>44-2N-28-5210-0054-0010</v>
      </c>
      <c r="H1666" t="str">
        <f>"DENMARK GARY"</f>
        <v>DENMARK GARY</v>
      </c>
      <c r="I1666" t="str">
        <f>"95002 CANOE LN"</f>
        <v>95002 CANOE LN</v>
      </c>
      <c r="J1666" t="str">
        <f>"FERNANDINA BEACH FL 32034"</f>
        <v>FERNANDINA BEACH FL 32034</v>
      </c>
      <c r="K1666" t="str">
        <f>"95002 CANOE LN"</f>
        <v>95002 CANOE LN</v>
      </c>
      <c r="L1666" t="str">
        <f>"FERNANDINA BEACH FL 32023"</f>
        <v>FERNANDINA BEACH FL 32023</v>
      </c>
      <c r="M1666" t="str">
        <f>"PT LOT 54 IN OR 1970/1639 RAINBOW ACRES SUB UNR"</f>
        <v>PT LOT 54 IN OR 1970/1639 RAINBOW ACRES SUB UNR</v>
      </c>
      <c r="N1666" t="str">
        <f>""</f>
        <v/>
      </c>
      <c r="O1666" t="str">
        <f>"51239"</f>
        <v>51239</v>
      </c>
      <c r="P1666" t="str">
        <f t="shared" ref="P1666:P1729" si="597">"2017"</f>
        <v>2017</v>
      </c>
      <c r="Q1666" t="str">
        <f>""</f>
        <v/>
      </c>
      <c r="R1666" t="str">
        <f>"N"</f>
        <v>N</v>
      </c>
      <c r="S1666" t="str">
        <f>"1.25"</f>
        <v>1.25</v>
      </c>
      <c r="T1666" t="str">
        <f>"714.42"</f>
        <v>714.42</v>
      </c>
      <c r="U1666" t="str">
        <f>"41878.00"</f>
        <v>41878.00</v>
      </c>
      <c r="V1666" t="str">
        <f>"41878.00"</f>
        <v>41878.00</v>
      </c>
      <c r="W1666" t="str">
        <f t="shared" ref="W1666:W1729" si="598">"2017"</f>
        <v>2017</v>
      </c>
      <c r="X1666" t="str">
        <f>"10.00"</f>
        <v>10.00</v>
      </c>
      <c r="Y1666" t="str">
        <f>"767.85"</f>
        <v>767.85</v>
      </c>
      <c r="Z1666" t="str">
        <f>""</f>
        <v/>
      </c>
      <c r="AA1666" t="str">
        <f>"54069.00"</f>
        <v>54069.00</v>
      </c>
      <c r="AB1666" t="str">
        <f t="shared" si="593"/>
        <v>Residential</v>
      </c>
      <c r="AC1666" t="str">
        <f t="shared" si="588"/>
        <v>0</v>
      </c>
      <c r="AD1666" t="str">
        <f>"4"</f>
        <v>4</v>
      </c>
      <c r="AE1666" t="str">
        <f>"WOOD (INCLUDE STEEL STUDS)"</f>
        <v>WOOD (INCLUDE STEEL STUDS)</v>
      </c>
      <c r="AF1666" t="str">
        <f>"002"</f>
        <v>002</v>
      </c>
      <c r="AG1666" t="str">
        <f t="shared" si="596"/>
        <v>FL</v>
      </c>
      <c r="AH1666" t="str">
        <f>"54450.00"</f>
        <v>54450.00</v>
      </c>
      <c r="AI1666" t="str">
        <f>"31250.00"</f>
        <v>31250.00</v>
      </c>
      <c r="AJ1666" t="str">
        <f>"C55-001-072-1606-1"</f>
        <v>C55-001-072-1606-1</v>
      </c>
      <c r="AK1666" t="str">
        <f>"29946"</f>
        <v>29946</v>
      </c>
      <c r="AL1666">
        <v>6</v>
      </c>
      <c r="AM1666">
        <v>1900</v>
      </c>
      <c r="AN1666">
        <v>804.64</v>
      </c>
      <c r="AQ1666" t="s">
        <v>16564</v>
      </c>
      <c r="AR1666" t="s">
        <v>16564</v>
      </c>
      <c r="AS1666" t="s">
        <v>16564</v>
      </c>
      <c r="AU1666" t="s">
        <v>396</v>
      </c>
      <c r="AV1666">
        <v>2017</v>
      </c>
      <c r="AW1666" t="str">
        <f>"44-2N-28-5210-0054-0010 "</f>
        <v xml:space="preserve">44-2N-28-5210-0054-0010 </v>
      </c>
      <c r="AX1666">
        <v>95002</v>
      </c>
      <c r="AZ1666" t="s">
        <v>16565</v>
      </c>
      <c r="BA1666" t="s">
        <v>653</v>
      </c>
      <c r="BD1666" t="s">
        <v>11749</v>
      </c>
      <c r="BE1666" t="s">
        <v>393</v>
      </c>
      <c r="BF1666">
        <v>32023</v>
      </c>
      <c r="BG1666" t="s">
        <v>16566</v>
      </c>
      <c r="BH1666" t="s">
        <v>16567</v>
      </c>
      <c r="BI1666">
        <v>-81.508310352055602</v>
      </c>
      <c r="BJ1666">
        <v>30.575975747570102</v>
      </c>
      <c r="BK1666" t="s">
        <v>16568</v>
      </c>
      <c r="BM1666" t="s">
        <v>16566</v>
      </c>
      <c r="BN1666" t="s">
        <v>3983</v>
      </c>
      <c r="BO1666">
        <v>32034</v>
      </c>
      <c r="BP1666" t="s">
        <v>416</v>
      </c>
      <c r="BQ1666">
        <v>200</v>
      </c>
      <c r="BR1666" t="s">
        <v>405</v>
      </c>
      <c r="BS1666">
        <v>1006</v>
      </c>
      <c r="BT1666" t="s">
        <v>406</v>
      </c>
      <c r="BW1666">
        <v>54450</v>
      </c>
      <c r="BX1666" t="s">
        <v>407</v>
      </c>
      <c r="BZ1666">
        <v>4</v>
      </c>
      <c r="CA1666">
        <v>1993</v>
      </c>
      <c r="CC1666">
        <v>1</v>
      </c>
      <c r="CD1666">
        <v>2017</v>
      </c>
      <c r="CE1666">
        <v>31250</v>
      </c>
      <c r="CF1666">
        <v>22819</v>
      </c>
      <c r="CG1666">
        <v>54069</v>
      </c>
      <c r="CH1666">
        <v>2017</v>
      </c>
      <c r="CI1666">
        <v>31250</v>
      </c>
      <c r="CJ1666">
        <v>22819</v>
      </c>
      <c r="CK1666">
        <v>54069</v>
      </c>
      <c r="CL1666">
        <v>2017</v>
      </c>
      <c r="CM1666">
        <v>714.42</v>
      </c>
      <c r="CN1666" s="1">
        <v>42192</v>
      </c>
      <c r="CZ1666" s="1">
        <v>42192</v>
      </c>
      <c r="DD1666" t="s">
        <v>11749</v>
      </c>
      <c r="DG1666">
        <v>44</v>
      </c>
      <c r="DL1666">
        <v>50303</v>
      </c>
      <c r="DM1666" t="s">
        <v>15677</v>
      </c>
      <c r="DO1666" t="s">
        <v>16569</v>
      </c>
      <c r="DP1666">
        <v>0</v>
      </c>
      <c r="DQ1666">
        <v>0</v>
      </c>
      <c r="DR1666" t="s">
        <v>411</v>
      </c>
      <c r="DS1666" t="s">
        <v>695</v>
      </c>
      <c r="EJ1666">
        <v>0</v>
      </c>
      <c r="EK1666">
        <v>0</v>
      </c>
      <c r="EP1666" t="s">
        <v>421</v>
      </c>
      <c r="EQ1666" t="s">
        <v>422</v>
      </c>
      <c r="ER1666">
        <v>0</v>
      </c>
      <c r="ES1666">
        <v>3</v>
      </c>
      <c r="ET1666">
        <v>0</v>
      </c>
      <c r="EU1666">
        <v>0</v>
      </c>
      <c r="EV1666">
        <v>0</v>
      </c>
      <c r="EW1666" s="2">
        <v>43222</v>
      </c>
      <c r="EX1666" s="1">
        <v>42879</v>
      </c>
      <c r="EY1666">
        <v>2016</v>
      </c>
      <c r="EZ1666">
        <v>659.06</v>
      </c>
      <c r="FA1666" t="s">
        <v>16570</v>
      </c>
      <c r="FB1666">
        <v>0.25</v>
      </c>
      <c r="FC1666" t="s">
        <v>424</v>
      </c>
      <c r="FD1666" t="s">
        <v>425</v>
      </c>
      <c r="FE1666" s="1">
        <v>43206</v>
      </c>
      <c r="FF1666">
        <v>11</v>
      </c>
      <c r="FG1666">
        <v>7400234</v>
      </c>
      <c r="FH1666" t="s">
        <v>426</v>
      </c>
      <c r="FJ1666" s="1">
        <v>42879</v>
      </c>
      <c r="FK1666">
        <v>2016</v>
      </c>
      <c r="FL1666">
        <v>659.06</v>
      </c>
      <c r="FM1666" t="s">
        <v>16570</v>
      </c>
      <c r="FN1666">
        <v>0.25</v>
      </c>
      <c r="FO1666" t="s">
        <v>424</v>
      </c>
      <c r="FP1666" t="s">
        <v>425</v>
      </c>
      <c r="FR1666">
        <v>22</v>
      </c>
      <c r="FS1666">
        <v>7473506</v>
      </c>
      <c r="FT1666" t="s">
        <v>16571</v>
      </c>
      <c r="FV1666" s="1">
        <v>42515</v>
      </c>
      <c r="FW1666">
        <v>2015</v>
      </c>
      <c r="FX1666">
        <v>447.15</v>
      </c>
      <c r="FY1666" t="s">
        <v>16572</v>
      </c>
      <c r="FZ1666">
        <v>0.25</v>
      </c>
      <c r="GA1666" t="s">
        <v>424</v>
      </c>
      <c r="GB1666" t="s">
        <v>425</v>
      </c>
      <c r="GC1666" s="1">
        <v>42767</v>
      </c>
      <c r="GD1666">
        <v>9</v>
      </c>
      <c r="GE1666">
        <v>2035919</v>
      </c>
      <c r="GF1666" t="s">
        <v>507</v>
      </c>
    </row>
    <row r="1667" spans="1:296" x14ac:dyDescent="0.25">
      <c r="A1667">
        <v>16486674</v>
      </c>
      <c r="B1667">
        <v>1666</v>
      </c>
      <c r="C1667" t="s">
        <v>393</v>
      </c>
      <c r="D1667" t="s">
        <v>394</v>
      </c>
      <c r="F1667" t="str">
        <f>"45-2N-28-0000-0003-0000"</f>
        <v>45-2N-28-0000-0003-0000</v>
      </c>
      <c r="H1667" t="str">
        <f>"PRINCE CHAPEL AME CHURCH OF NASSAUVILLE ALBERT CHARLES &amp; PRINCE TRS"</f>
        <v>PRINCE CHAPEL AME CHURCH OF NASSAUVILLE ALBERT CHARLES &amp; PRINCE TRS</v>
      </c>
      <c r="I1667" t="str">
        <f>""</f>
        <v/>
      </c>
      <c r="J1667" t="str">
        <f>"FERNANDINA BEACH FL 32035"</f>
        <v>FERNANDINA BEACH FL 32035</v>
      </c>
      <c r="K1667" t="str">
        <f>"OFF SR 107"</f>
        <v>OFF SR 107</v>
      </c>
      <c r="L1667" t="str">
        <f t="shared" ref="L1667:L1713" si="599">"FERNANDINA BEACH FL 32034"</f>
        <v>FERNANDINA BEACH FL 32034</v>
      </c>
      <c r="M1667" t="str">
        <f>"IN OR 463 PG 29"</f>
        <v>IN OR 463 PG 29</v>
      </c>
      <c r="N1667" t="str">
        <f>""</f>
        <v/>
      </c>
      <c r="O1667" t="str">
        <f>"51512"</f>
        <v>51512</v>
      </c>
      <c r="P1667" t="str">
        <f t="shared" si="597"/>
        <v>2017</v>
      </c>
      <c r="Q1667" t="str">
        <f>""</f>
        <v/>
      </c>
      <c r="R1667" t="str">
        <f>"N"</f>
        <v>N</v>
      </c>
      <c r="S1667" t="str">
        <f>""</f>
        <v/>
      </c>
      <c r="T1667" t="str">
        <f>"37.85"</f>
        <v>37.85</v>
      </c>
      <c r="U1667" t="str">
        <f>"2500.00"</f>
        <v>2500.00</v>
      </c>
      <c r="V1667" t="str">
        <f>"2500.00"</f>
        <v>2500.00</v>
      </c>
      <c r="W1667" t="str">
        <f t="shared" si="598"/>
        <v>2017</v>
      </c>
      <c r="X1667" t="str">
        <f>"13.14"</f>
        <v>13.14</v>
      </c>
      <c r="Y1667" t="str">
        <f>"70.99"</f>
        <v>70.99</v>
      </c>
      <c r="Z1667" t="str">
        <f>""</f>
        <v/>
      </c>
      <c r="AA1667" t="str">
        <f>"2500.00"</f>
        <v>2500.00</v>
      </c>
      <c r="AB1667" t="str">
        <f>"Institutional"</f>
        <v>Institutional</v>
      </c>
      <c r="AC1667" t="str">
        <f t="shared" si="588"/>
        <v>0</v>
      </c>
      <c r="AD1667" t="str">
        <f>""</f>
        <v/>
      </c>
      <c r="AE1667" t="str">
        <f>""</f>
        <v/>
      </c>
      <c r="AF1667" t="str">
        <f>"070"</f>
        <v>070</v>
      </c>
      <c r="AG1667" t="str">
        <f t="shared" si="596"/>
        <v>FL</v>
      </c>
      <c r="AH1667" t="str">
        <f>"-"</f>
        <v>-</v>
      </c>
      <c r="AI1667" t="str">
        <f>"2500.00"</f>
        <v>2500.00</v>
      </c>
      <c r="AJ1667" t="str">
        <f>"C55-000-588-4648-6"</f>
        <v>C55-000-588-4648-6</v>
      </c>
      <c r="AK1667" t="str">
        <f>"29963"</f>
        <v>29963</v>
      </c>
      <c r="AL1667">
        <v>6</v>
      </c>
      <c r="AM1667">
        <v>1901</v>
      </c>
      <c r="AN1667">
        <v>72.94</v>
      </c>
      <c r="AQ1667" t="s">
        <v>16573</v>
      </c>
      <c r="AR1667" t="s">
        <v>16573</v>
      </c>
      <c r="AS1667" t="s">
        <v>16573</v>
      </c>
      <c r="AU1667" t="s">
        <v>396</v>
      </c>
      <c r="AV1667">
        <v>2017</v>
      </c>
      <c r="AW1667" t="str">
        <f>"45-2N-28-0000-0003-0000 "</f>
        <v xml:space="preserve">45-2N-28-0000-0003-0000 </v>
      </c>
      <c r="AZ1667" t="s">
        <v>16574</v>
      </c>
      <c r="BD1667" t="s">
        <v>11749</v>
      </c>
      <c r="BE1667" t="s">
        <v>393</v>
      </c>
      <c r="BF1667">
        <v>32034</v>
      </c>
      <c r="BG1667" t="s">
        <v>16574</v>
      </c>
      <c r="BH1667" t="s">
        <v>11751</v>
      </c>
      <c r="BI1667">
        <v>-81.523435585193596</v>
      </c>
      <c r="BJ1667">
        <v>30.568350477049901</v>
      </c>
      <c r="BK1667" t="s">
        <v>16575</v>
      </c>
      <c r="BM1667" t="s">
        <v>16576</v>
      </c>
      <c r="BN1667" t="s">
        <v>3983</v>
      </c>
      <c r="BO1667">
        <v>32035</v>
      </c>
      <c r="BP1667" t="s">
        <v>404</v>
      </c>
      <c r="BQ1667">
        <v>7000</v>
      </c>
      <c r="BR1667" t="s">
        <v>15582</v>
      </c>
      <c r="BS1667">
        <v>8005</v>
      </c>
      <c r="BT1667" t="s">
        <v>15583</v>
      </c>
      <c r="BW1667">
        <v>1685</v>
      </c>
      <c r="BX1667" t="s">
        <v>407</v>
      </c>
      <c r="BY1667" t="s">
        <v>2729</v>
      </c>
      <c r="CD1667">
        <v>2017</v>
      </c>
      <c r="CE1667">
        <v>2500</v>
      </c>
      <c r="CG1667">
        <v>2500</v>
      </c>
      <c r="CH1667">
        <v>2017</v>
      </c>
      <c r="CI1667">
        <v>2500</v>
      </c>
      <c r="CK1667">
        <v>2500</v>
      </c>
      <c r="CL1667">
        <v>2017</v>
      </c>
      <c r="CM1667">
        <v>37.85</v>
      </c>
      <c r="DD1667" t="s">
        <v>11749</v>
      </c>
      <c r="DG1667">
        <v>45</v>
      </c>
      <c r="DL1667">
        <v>50303</v>
      </c>
      <c r="DM1667" t="s">
        <v>16577</v>
      </c>
      <c r="DO1667" t="s">
        <v>16578</v>
      </c>
      <c r="DP1667">
        <v>0</v>
      </c>
      <c r="DQ1667">
        <v>0</v>
      </c>
      <c r="DR1667" t="s">
        <v>411</v>
      </c>
      <c r="DS1667" t="b">
        <v>1</v>
      </c>
      <c r="DT1667" t="s">
        <v>470</v>
      </c>
      <c r="DU1667" t="s">
        <v>471</v>
      </c>
      <c r="DV1667" t="s">
        <v>472</v>
      </c>
      <c r="DX1667">
        <v>-9999</v>
      </c>
      <c r="DZ1667" t="s">
        <v>447</v>
      </c>
      <c r="EA1667" t="s">
        <v>448</v>
      </c>
      <c r="EB1667" t="s">
        <v>742</v>
      </c>
      <c r="EC1667">
        <v>20101217</v>
      </c>
      <c r="ED1667" t="s">
        <v>474</v>
      </c>
      <c r="EF1667">
        <v>187.2</v>
      </c>
      <c r="EG1667">
        <v>64.7</v>
      </c>
      <c r="EI1667">
        <v>20160407</v>
      </c>
      <c r="EJ1667">
        <v>0</v>
      </c>
      <c r="EK1667">
        <v>0</v>
      </c>
      <c r="EP1667" t="s">
        <v>595</v>
      </c>
      <c r="EQ1667" t="s">
        <v>422</v>
      </c>
      <c r="ER1667">
        <v>0</v>
      </c>
      <c r="ES1667">
        <v>5</v>
      </c>
      <c r="ET1667">
        <v>0</v>
      </c>
      <c r="EU1667">
        <v>0</v>
      </c>
      <c r="EV1667">
        <v>0</v>
      </c>
      <c r="EW1667" s="2">
        <v>43222</v>
      </c>
      <c r="EX1667" s="1">
        <v>42515</v>
      </c>
      <c r="EY1667">
        <v>2015</v>
      </c>
      <c r="EZ1667">
        <v>64.510000000000005</v>
      </c>
      <c r="FA1667" t="s">
        <v>16579</v>
      </c>
      <c r="FB1667">
        <v>18</v>
      </c>
      <c r="FC1667" t="s">
        <v>603</v>
      </c>
      <c r="FD1667" t="s">
        <v>425</v>
      </c>
      <c r="FF1667">
        <v>22</v>
      </c>
      <c r="FG1667">
        <v>9999999</v>
      </c>
      <c r="FH1667" t="s">
        <v>604</v>
      </c>
      <c r="FJ1667" s="1">
        <v>42515</v>
      </c>
      <c r="FK1667">
        <v>2015</v>
      </c>
      <c r="FL1667">
        <v>71.73</v>
      </c>
      <c r="FM1667" t="s">
        <v>16579</v>
      </c>
      <c r="FN1667">
        <v>18</v>
      </c>
      <c r="FO1667" t="s">
        <v>424</v>
      </c>
      <c r="FP1667" t="s">
        <v>425</v>
      </c>
      <c r="FQ1667" s="1">
        <v>42822</v>
      </c>
      <c r="FR1667">
        <v>10</v>
      </c>
      <c r="FS1667">
        <v>4844951</v>
      </c>
      <c r="FT1667" t="s">
        <v>697</v>
      </c>
      <c r="FV1667" s="1">
        <v>41423</v>
      </c>
      <c r="FW1667">
        <v>2012</v>
      </c>
      <c r="FX1667">
        <v>62.96</v>
      </c>
      <c r="FY1667" t="s">
        <v>16580</v>
      </c>
      <c r="FZ1667">
        <v>9.75</v>
      </c>
      <c r="GA1667" t="s">
        <v>424</v>
      </c>
      <c r="GB1667" t="s">
        <v>425</v>
      </c>
      <c r="GC1667" s="1">
        <v>41467</v>
      </c>
      <c r="GD1667">
        <v>2</v>
      </c>
      <c r="GE1667">
        <v>2101381</v>
      </c>
      <c r="GF1667" t="s">
        <v>605</v>
      </c>
      <c r="GH1667" s="1">
        <v>40688</v>
      </c>
      <c r="GI1667">
        <v>2010</v>
      </c>
      <c r="GJ1667">
        <v>61.78</v>
      </c>
      <c r="GK1667" t="s">
        <v>16581</v>
      </c>
      <c r="GL1667">
        <v>18</v>
      </c>
      <c r="GM1667" t="s">
        <v>424</v>
      </c>
      <c r="GN1667" t="s">
        <v>425</v>
      </c>
      <c r="GO1667" s="1">
        <v>41016</v>
      </c>
      <c r="GP1667">
        <v>11</v>
      </c>
      <c r="GQ1667">
        <v>10017</v>
      </c>
      <c r="GR1667" t="s">
        <v>534</v>
      </c>
      <c r="GT1667" s="1">
        <v>40688</v>
      </c>
      <c r="GU1667">
        <v>2010</v>
      </c>
      <c r="GV1667">
        <v>54.71</v>
      </c>
      <c r="GW1667" t="s">
        <v>16581</v>
      </c>
      <c r="GX1667">
        <v>18</v>
      </c>
      <c r="GY1667" t="s">
        <v>603</v>
      </c>
      <c r="GZ1667" t="s">
        <v>425</v>
      </c>
      <c r="HB1667">
        <v>22</v>
      </c>
      <c r="HC1667">
        <v>9999999</v>
      </c>
      <c r="HD1667" t="s">
        <v>604</v>
      </c>
    </row>
    <row r="1668" spans="1:296" x14ac:dyDescent="0.25">
      <c r="A1668">
        <v>16486675</v>
      </c>
      <c r="B1668">
        <v>1667</v>
      </c>
      <c r="C1668" t="s">
        <v>393</v>
      </c>
      <c r="D1668" t="s">
        <v>394</v>
      </c>
      <c r="F1668" t="str">
        <f>"45-2N-28-0000-0007-0020"</f>
        <v>45-2N-28-0000-0007-0020</v>
      </c>
      <c r="H1668" t="str">
        <f>"WALL BRIAN A &amp; ANGELA"</f>
        <v>WALL BRIAN A &amp; ANGELA</v>
      </c>
      <c r="I1668" t="str">
        <f>"940261 OLD NASSAUVILLE RD"</f>
        <v>940261 OLD NASSAUVILLE RD</v>
      </c>
      <c r="J1668" t="str">
        <f>"FERNANDINA BEACH FL 32034"</f>
        <v>FERNANDINA BEACH FL 32034</v>
      </c>
      <c r="K1668" t="str">
        <f>"940261 OLD NASSAUVILLE RD"</f>
        <v>940261 OLD NASSAUVILLE RD</v>
      </c>
      <c r="L1668" t="str">
        <f t="shared" si="599"/>
        <v>FERNANDINA BEACH FL 32034</v>
      </c>
      <c r="M1668" t="str">
        <f>"IN OR 1641/575"</f>
        <v>IN OR 1641/575</v>
      </c>
      <c r="N1668" t="str">
        <f>""</f>
        <v/>
      </c>
      <c r="O1668" t="str">
        <f>"51523"</f>
        <v>51523</v>
      </c>
      <c r="P1668" t="str">
        <f t="shared" si="597"/>
        <v>2017</v>
      </c>
      <c r="Q1668" t="str">
        <f>""</f>
        <v/>
      </c>
      <c r="R1668" t="str">
        <f>"Y"</f>
        <v>Y</v>
      </c>
      <c r="S1668" t="str">
        <f>"2.87"</f>
        <v>2.87</v>
      </c>
      <c r="T1668" t="str">
        <f>"3916.07"</f>
        <v>3916.07</v>
      </c>
      <c r="U1668" t="str">
        <f>"297781.00"</f>
        <v>297781.00</v>
      </c>
      <c r="V1668" t="str">
        <f>"297781.00"</f>
        <v>297781.00</v>
      </c>
      <c r="W1668" t="str">
        <f t="shared" si="598"/>
        <v>2017</v>
      </c>
      <c r="X1668" t="str">
        <f>"15.50"</f>
        <v>15.50</v>
      </c>
      <c r="Y1668" t="str">
        <f>"4065.55"</f>
        <v>4065.55</v>
      </c>
      <c r="Z1668" t="str">
        <f>"25000.00"</f>
        <v>25000.00</v>
      </c>
      <c r="AA1668" t="str">
        <f>"272781.00"</f>
        <v>272781.00</v>
      </c>
      <c r="AB1668" t="str">
        <f t="shared" ref="AB1668:AB1702" si="600">"Residential"</f>
        <v>Residential</v>
      </c>
      <c r="AC1668" t="str">
        <f t="shared" si="588"/>
        <v>0</v>
      </c>
      <c r="AD1668" t="str">
        <f>"4"</f>
        <v>4</v>
      </c>
      <c r="AE1668" t="str">
        <f>"WOOD (INCLUDE STEEL STUDS)"</f>
        <v>WOOD (INCLUDE STEEL STUDS)</v>
      </c>
      <c r="AF1668" t="str">
        <f>"001"</f>
        <v>001</v>
      </c>
      <c r="AG1668" t="str">
        <f t="shared" si="596"/>
        <v>FL</v>
      </c>
      <c r="AH1668" t="str">
        <f>"125017.00"</f>
        <v>125017.00</v>
      </c>
      <c r="AI1668" t="str">
        <f>"71750.00"</f>
        <v>71750.00</v>
      </c>
      <c r="AJ1668" t="str">
        <f>"C55-000-588-4656-9"</f>
        <v>C55-000-588-4656-9</v>
      </c>
      <c r="AK1668" t="str">
        <f>"29969"</f>
        <v>29969</v>
      </c>
      <c r="AL1668">
        <v>6</v>
      </c>
      <c r="AM1668">
        <v>1902</v>
      </c>
      <c r="AN1668">
        <v>4267.2299999999996</v>
      </c>
      <c r="AQ1668" t="s">
        <v>16582</v>
      </c>
      <c r="AR1668" t="s">
        <v>16582</v>
      </c>
      <c r="AS1668" t="s">
        <v>16582</v>
      </c>
      <c r="AU1668" t="s">
        <v>396</v>
      </c>
      <c r="AV1668">
        <v>2017</v>
      </c>
      <c r="AW1668" t="str">
        <f>"45-2N-28-0000-0007-0020 "</f>
        <v xml:space="preserve">45-2N-28-0000-0007-0020 </v>
      </c>
      <c r="AX1668">
        <v>940261</v>
      </c>
      <c r="AZ1668" t="s">
        <v>15258</v>
      </c>
      <c r="BA1668" t="s">
        <v>496</v>
      </c>
      <c r="BD1668" t="s">
        <v>11749</v>
      </c>
      <c r="BE1668" t="s">
        <v>393</v>
      </c>
      <c r="BF1668">
        <v>32034</v>
      </c>
      <c r="BG1668" t="s">
        <v>16583</v>
      </c>
      <c r="BH1668" t="s">
        <v>11751</v>
      </c>
      <c r="BI1668">
        <v>-81.537888609809698</v>
      </c>
      <c r="BJ1668">
        <v>30.556400357464</v>
      </c>
      <c r="BK1668" t="s">
        <v>16584</v>
      </c>
      <c r="BL1668" t="s">
        <v>16585</v>
      </c>
      <c r="BM1668" t="s">
        <v>16583</v>
      </c>
      <c r="BN1668" t="s">
        <v>3983</v>
      </c>
      <c r="BO1668">
        <v>32034</v>
      </c>
      <c r="BP1668" t="s">
        <v>416</v>
      </c>
      <c r="BQ1668">
        <v>100</v>
      </c>
      <c r="BR1668" t="s">
        <v>514</v>
      </c>
      <c r="BS1668">
        <v>1001</v>
      </c>
      <c r="BT1668" t="s">
        <v>515</v>
      </c>
      <c r="BW1668">
        <v>125017</v>
      </c>
      <c r="BX1668" t="s">
        <v>407</v>
      </c>
      <c r="BY1668" t="s">
        <v>408</v>
      </c>
      <c r="BZ1668">
        <v>4</v>
      </c>
      <c r="CA1668">
        <v>2011</v>
      </c>
      <c r="CB1668">
        <v>1</v>
      </c>
      <c r="CC1668">
        <v>1</v>
      </c>
      <c r="CD1668">
        <v>2017</v>
      </c>
      <c r="CG1668">
        <v>297781</v>
      </c>
      <c r="CH1668">
        <v>2017</v>
      </c>
      <c r="CI1668">
        <v>71750</v>
      </c>
      <c r="CJ1668">
        <v>294310</v>
      </c>
      <c r="CK1668">
        <v>366060</v>
      </c>
      <c r="CL1668">
        <v>2017</v>
      </c>
      <c r="CM1668">
        <v>3916.07</v>
      </c>
      <c r="CN1668" s="1">
        <v>40084</v>
      </c>
      <c r="CV1668">
        <v>0</v>
      </c>
      <c r="CZ1668" s="1">
        <v>40084</v>
      </c>
      <c r="DA1668">
        <v>0</v>
      </c>
      <c r="DD1668" t="s">
        <v>11749</v>
      </c>
      <c r="DG1668">
        <v>45</v>
      </c>
      <c r="DL1668">
        <v>50303</v>
      </c>
      <c r="DM1668" t="s">
        <v>16577</v>
      </c>
      <c r="DO1668" t="s">
        <v>16586</v>
      </c>
      <c r="DP1668">
        <v>0</v>
      </c>
      <c r="DQ1668">
        <v>0</v>
      </c>
      <c r="DR1668" t="s">
        <v>411</v>
      </c>
      <c r="DS1668" t="b">
        <v>1</v>
      </c>
      <c r="DT1668" t="s">
        <v>8902</v>
      </c>
      <c r="DV1668" t="s">
        <v>446</v>
      </c>
      <c r="DX1668">
        <v>9</v>
      </c>
      <c r="DY1668" t="s">
        <v>11438</v>
      </c>
      <c r="DZ1668" t="s">
        <v>447</v>
      </c>
      <c r="EA1668" t="s">
        <v>448</v>
      </c>
      <c r="EB1668" t="s">
        <v>12074</v>
      </c>
      <c r="EC1668">
        <v>20101217</v>
      </c>
      <c r="ED1668" t="s">
        <v>450</v>
      </c>
      <c r="EE1668">
        <v>7.5</v>
      </c>
      <c r="EF1668">
        <v>0</v>
      </c>
      <c r="EG1668">
        <v>0</v>
      </c>
      <c r="EI1668">
        <v>20160407</v>
      </c>
      <c r="EJ1668">
        <v>0</v>
      </c>
      <c r="EK1668">
        <v>0</v>
      </c>
      <c r="EP1668" t="s">
        <v>421</v>
      </c>
      <c r="EQ1668" t="s">
        <v>422</v>
      </c>
      <c r="ER1668">
        <v>2</v>
      </c>
      <c r="ES1668">
        <v>10</v>
      </c>
      <c r="ET1668">
        <v>8445.2999999999993</v>
      </c>
      <c r="EU1668">
        <v>434.76</v>
      </c>
      <c r="EV1668">
        <v>8880.06</v>
      </c>
      <c r="EW1668" s="2">
        <v>43222</v>
      </c>
      <c r="EX1668" s="1">
        <v>42879</v>
      </c>
      <c r="EY1668">
        <v>2016</v>
      </c>
      <c r="EZ1668">
        <v>4222.6499999999996</v>
      </c>
      <c r="FA1668" t="s">
        <v>16587</v>
      </c>
      <c r="FB1668">
        <v>0.25</v>
      </c>
      <c r="FC1668" t="s">
        <v>424</v>
      </c>
      <c r="FD1668" t="s">
        <v>454</v>
      </c>
      <c r="FF1668">
        <v>12</v>
      </c>
      <c r="FG1668">
        <v>5857474</v>
      </c>
      <c r="FH1668" t="s">
        <v>900</v>
      </c>
      <c r="FJ1668" s="1">
        <v>42879</v>
      </c>
      <c r="FK1668">
        <v>2016</v>
      </c>
      <c r="FL1668">
        <v>4222.6499999999996</v>
      </c>
      <c r="FM1668" t="s">
        <v>16587</v>
      </c>
      <c r="FN1668">
        <v>0.25</v>
      </c>
      <c r="FO1668" t="s">
        <v>424</v>
      </c>
      <c r="FP1668" t="s">
        <v>454</v>
      </c>
      <c r="FR1668">
        <v>12</v>
      </c>
      <c r="FS1668">
        <v>6522512</v>
      </c>
      <c r="FT1668" t="s">
        <v>16588</v>
      </c>
      <c r="FV1668" s="1">
        <v>42515</v>
      </c>
      <c r="FW1668">
        <v>2015</v>
      </c>
      <c r="FX1668">
        <v>4290.33</v>
      </c>
      <c r="FY1668" t="s">
        <v>16589</v>
      </c>
      <c r="FZ1668">
        <v>0.25</v>
      </c>
      <c r="GA1668" t="s">
        <v>424</v>
      </c>
      <c r="GB1668" t="s">
        <v>425</v>
      </c>
      <c r="GC1668" s="1">
        <v>42549</v>
      </c>
      <c r="GD1668">
        <v>1</v>
      </c>
      <c r="GE1668">
        <v>2851116</v>
      </c>
      <c r="GF1668" t="s">
        <v>480</v>
      </c>
      <c r="GH1668" s="1">
        <v>42515</v>
      </c>
      <c r="GI1668">
        <v>2015</v>
      </c>
      <c r="GJ1668">
        <v>4290.33</v>
      </c>
      <c r="GK1668" t="s">
        <v>16589</v>
      </c>
      <c r="GL1668">
        <v>0.25</v>
      </c>
      <c r="GM1668" t="s">
        <v>424</v>
      </c>
      <c r="GN1668" t="s">
        <v>425</v>
      </c>
      <c r="GP1668">
        <v>22</v>
      </c>
      <c r="GQ1668">
        <v>5313767</v>
      </c>
      <c r="GR1668" t="s">
        <v>16590</v>
      </c>
      <c r="GT1668" s="1">
        <v>42151</v>
      </c>
      <c r="GU1668">
        <v>2014</v>
      </c>
      <c r="GV1668">
        <v>4273.38</v>
      </c>
      <c r="GW1668" t="s">
        <v>16591</v>
      </c>
      <c r="GX1668">
        <v>0.25</v>
      </c>
      <c r="GY1668" t="s">
        <v>424</v>
      </c>
      <c r="GZ1668" t="s">
        <v>425</v>
      </c>
      <c r="HA1668" s="1">
        <v>42549</v>
      </c>
      <c r="HB1668">
        <v>13</v>
      </c>
      <c r="HC1668">
        <v>4844984</v>
      </c>
      <c r="HD1668" t="s">
        <v>1323</v>
      </c>
      <c r="HF1668" s="1">
        <v>42151</v>
      </c>
      <c r="HG1668">
        <v>2014</v>
      </c>
      <c r="HH1668">
        <v>4273.38</v>
      </c>
      <c r="HI1668" t="s">
        <v>16591</v>
      </c>
      <c r="HJ1668">
        <v>0.25</v>
      </c>
      <c r="HK1668" t="s">
        <v>424</v>
      </c>
      <c r="HL1668" t="s">
        <v>425</v>
      </c>
      <c r="HN1668">
        <v>22</v>
      </c>
      <c r="HO1668">
        <v>5774957</v>
      </c>
      <c r="HP1668" t="s">
        <v>16592</v>
      </c>
      <c r="HR1668" s="1">
        <v>41787</v>
      </c>
      <c r="HS1668">
        <v>2013</v>
      </c>
      <c r="HT1668">
        <v>3991.63</v>
      </c>
      <c r="HU1668" t="s">
        <v>16593</v>
      </c>
      <c r="HV1668">
        <v>0.25</v>
      </c>
      <c r="HW1668" t="s">
        <v>424</v>
      </c>
      <c r="HX1668" t="s">
        <v>425</v>
      </c>
      <c r="HY1668" s="1">
        <v>42425</v>
      </c>
      <c r="HZ1668">
        <v>21</v>
      </c>
      <c r="IA1668">
        <v>2719956</v>
      </c>
      <c r="IB1668" t="s">
        <v>5473</v>
      </c>
      <c r="ID1668" s="1">
        <v>41423</v>
      </c>
      <c r="IE1668">
        <v>2012</v>
      </c>
      <c r="IF1668">
        <v>4043.75</v>
      </c>
      <c r="IG1668" t="s">
        <v>16594</v>
      </c>
      <c r="IH1668">
        <v>0.25</v>
      </c>
      <c r="II1668" t="s">
        <v>424</v>
      </c>
      <c r="IJ1668" t="s">
        <v>425</v>
      </c>
      <c r="IK1668" s="1">
        <v>42077</v>
      </c>
      <c r="IL1668">
        <v>22</v>
      </c>
      <c r="IM1668">
        <v>15259</v>
      </c>
      <c r="IN1668" t="s">
        <v>891</v>
      </c>
      <c r="IP1668" s="1">
        <v>41052</v>
      </c>
      <c r="IQ1668">
        <v>2011</v>
      </c>
      <c r="IR1668">
        <v>1161.95</v>
      </c>
      <c r="IS1668" t="s">
        <v>16595</v>
      </c>
      <c r="IT1668">
        <v>4.75</v>
      </c>
      <c r="IU1668" t="s">
        <v>424</v>
      </c>
      <c r="IV1668" t="s">
        <v>425</v>
      </c>
      <c r="IW1668" s="1">
        <v>41752</v>
      </c>
      <c r="IX1668">
        <v>23</v>
      </c>
      <c r="IY1668">
        <v>1625515</v>
      </c>
      <c r="IZ1668" t="s">
        <v>487</v>
      </c>
      <c r="JB1668" s="1">
        <v>41052</v>
      </c>
      <c r="JC1668">
        <v>2011</v>
      </c>
      <c r="JD1668">
        <v>1161.95</v>
      </c>
      <c r="JE1668" t="s">
        <v>16595</v>
      </c>
      <c r="JF1668">
        <v>4.75</v>
      </c>
      <c r="JG1668" t="s">
        <v>424</v>
      </c>
      <c r="JH1668" t="s">
        <v>425</v>
      </c>
      <c r="JJ1668">
        <v>22</v>
      </c>
      <c r="JK1668">
        <v>10579</v>
      </c>
      <c r="JL1668" t="s">
        <v>488</v>
      </c>
      <c r="JN1668" s="1">
        <v>40688</v>
      </c>
      <c r="JO1668">
        <v>2010</v>
      </c>
      <c r="JP1668">
        <v>1494.3</v>
      </c>
      <c r="JQ1668" t="s">
        <v>16596</v>
      </c>
      <c r="JR1668">
        <v>6</v>
      </c>
      <c r="JS1668" t="s">
        <v>424</v>
      </c>
      <c r="JT1668" t="s">
        <v>425</v>
      </c>
      <c r="JU1668" s="1">
        <v>41358</v>
      </c>
      <c r="JV1668">
        <v>22</v>
      </c>
      <c r="JW1668">
        <v>375</v>
      </c>
      <c r="JX1668" t="s">
        <v>776</v>
      </c>
      <c r="JZ1668" s="1">
        <v>40688</v>
      </c>
      <c r="KA1668">
        <v>2010</v>
      </c>
      <c r="KB1668">
        <v>1494.3</v>
      </c>
      <c r="KC1668" t="s">
        <v>16596</v>
      </c>
      <c r="KD1668">
        <v>6</v>
      </c>
      <c r="KE1668" t="s">
        <v>424</v>
      </c>
      <c r="KF1668" t="s">
        <v>425</v>
      </c>
      <c r="KH1668">
        <v>22</v>
      </c>
      <c r="KI1668">
        <v>105</v>
      </c>
      <c r="KJ1668" t="s">
        <v>946</v>
      </c>
    </row>
    <row r="1669" spans="1:296" x14ac:dyDescent="0.25">
      <c r="A1669">
        <v>16486676</v>
      </c>
      <c r="B1669">
        <v>1668</v>
      </c>
      <c r="C1669" t="s">
        <v>393</v>
      </c>
      <c r="D1669" t="s">
        <v>394</v>
      </c>
      <c r="F1669" t="str">
        <f>"45-2N-28-0000-0011-0000"</f>
        <v>45-2N-28-0000-0011-0000</v>
      </c>
      <c r="H1669" t="str">
        <f>"ALBERT EUGENE TRUSTEE OF ALBERT FAMILY IRREVOCABLE TRUST AGREEMENT"</f>
        <v>ALBERT EUGENE TRUSTEE OF ALBERT FAMILY IRREVOCABLE TRUST AGREEMENT</v>
      </c>
      <c r="I1669" t="str">
        <f>""</f>
        <v/>
      </c>
      <c r="J1669" t="str">
        <f>"PHILADELPHIA PA 19138"</f>
        <v>PHILADELPHIA PA 19138</v>
      </c>
      <c r="K1669" t="str">
        <f>"95050 ALBERT WAY"</f>
        <v>95050 ALBERT WAY</v>
      </c>
      <c r="L1669" t="str">
        <f t="shared" si="599"/>
        <v>FERNANDINA BEACH FL 32034</v>
      </c>
      <c r="M1669" t="str">
        <f>"PT JOHN CHRISTOPHER GRANT SEC 45-2N-28E IN OR 1267/944 (EX PT IN OR 1530/506)"</f>
        <v>PT JOHN CHRISTOPHER GRANT SEC 45-2N-28E IN OR 1267/944 (EX PT IN OR 1530/506)</v>
      </c>
      <c r="N1669" t="str">
        <f>""</f>
        <v/>
      </c>
      <c r="O1669" t="str">
        <f>"51533"</f>
        <v>51533</v>
      </c>
      <c r="P1669" t="str">
        <f t="shared" si="597"/>
        <v>2017</v>
      </c>
      <c r="Q1669" t="str">
        <f>""</f>
        <v/>
      </c>
      <c r="R1669" t="str">
        <f>"N"</f>
        <v>N</v>
      </c>
      <c r="S1669" t="str">
        <f>"5.00"</f>
        <v>5.00</v>
      </c>
      <c r="T1669" t="str">
        <f>"7883.70"</f>
        <v>7883.70</v>
      </c>
      <c r="U1669" t="str">
        <f>"508658.00"</f>
        <v>508658.00</v>
      </c>
      <c r="V1669" t="str">
        <f>"508658.00"</f>
        <v>508658.00</v>
      </c>
      <c r="W1669" t="str">
        <f t="shared" si="598"/>
        <v>2017</v>
      </c>
      <c r="X1669" t="str">
        <f>"17.38"</f>
        <v>17.38</v>
      </c>
      <c r="Y1669" t="str">
        <f>"8152.21"</f>
        <v>8152.21</v>
      </c>
      <c r="Z1669" t="str">
        <f>""</f>
        <v/>
      </c>
      <c r="AA1669" t="str">
        <f>"536427.00"</f>
        <v>536427.00</v>
      </c>
      <c r="AB1669" t="str">
        <f t="shared" si="600"/>
        <v>Residential</v>
      </c>
      <c r="AC1669" t="str">
        <f t="shared" si="588"/>
        <v>0</v>
      </c>
      <c r="AD1669" t="str">
        <f>"4"</f>
        <v>4</v>
      </c>
      <c r="AE1669" t="str">
        <f>"WOOD (INCLUDE STEEL STUDS)"</f>
        <v>WOOD (INCLUDE STEEL STUDS)</v>
      </c>
      <c r="AF1669" t="str">
        <f>"001"</f>
        <v>001</v>
      </c>
      <c r="AG1669" t="str">
        <f>"PA"</f>
        <v>PA</v>
      </c>
      <c r="AH1669" t="str">
        <f>"217800.00"</f>
        <v>217800.00</v>
      </c>
      <c r="AI1669" t="str">
        <f>"455000.00"</f>
        <v>455000.00</v>
      </c>
      <c r="AJ1669" t="str">
        <f>"C55-000-588-4666-8"</f>
        <v>C55-000-588-4666-8</v>
      </c>
      <c r="AK1669" t="str">
        <f>"29978"</f>
        <v>29978</v>
      </c>
      <c r="AL1669">
        <v>6</v>
      </c>
      <c r="AM1669">
        <v>1903</v>
      </c>
      <c r="AN1669">
        <v>8558.2199999999993</v>
      </c>
      <c r="AQ1669" t="s">
        <v>16597</v>
      </c>
      <c r="AR1669" t="s">
        <v>16597</v>
      </c>
      <c r="AS1669" t="s">
        <v>16597</v>
      </c>
      <c r="AU1669" t="s">
        <v>396</v>
      </c>
      <c r="AV1669">
        <v>2017</v>
      </c>
      <c r="AW1669" t="str">
        <f>"45-2N-28-0000-0011-0000 "</f>
        <v xml:space="preserve">45-2N-28-0000-0011-0000 </v>
      </c>
      <c r="AX1669">
        <v>95050</v>
      </c>
      <c r="AZ1669" t="s">
        <v>16598</v>
      </c>
      <c r="BA1669" t="s">
        <v>866</v>
      </c>
      <c r="BD1669" t="s">
        <v>11749</v>
      </c>
      <c r="BE1669" t="s">
        <v>393</v>
      </c>
      <c r="BF1669">
        <v>32034</v>
      </c>
      <c r="BG1669" t="s">
        <v>16599</v>
      </c>
      <c r="BH1669" t="s">
        <v>11751</v>
      </c>
      <c r="BI1669">
        <v>-81.533358718518002</v>
      </c>
      <c r="BJ1669">
        <v>30.557861456843401</v>
      </c>
      <c r="BK1669" t="s">
        <v>16600</v>
      </c>
      <c r="BL1669" t="s">
        <v>16601</v>
      </c>
      <c r="BM1669" t="s">
        <v>16602</v>
      </c>
      <c r="BN1669" t="s">
        <v>16603</v>
      </c>
      <c r="BO1669">
        <v>19138</v>
      </c>
      <c r="BP1669" t="s">
        <v>404</v>
      </c>
      <c r="BQ1669">
        <v>100</v>
      </c>
      <c r="BR1669" t="s">
        <v>514</v>
      </c>
      <c r="BS1669">
        <v>1001</v>
      </c>
      <c r="BT1669" t="s">
        <v>515</v>
      </c>
      <c r="BU1669">
        <v>2750</v>
      </c>
      <c r="BV1669">
        <v>1000</v>
      </c>
      <c r="BW1669">
        <v>217800</v>
      </c>
      <c r="BX1669" t="s">
        <v>407</v>
      </c>
      <c r="BY1669" t="s">
        <v>2729</v>
      </c>
      <c r="BZ1669">
        <v>4</v>
      </c>
      <c r="CA1669">
        <v>1969</v>
      </c>
      <c r="CB1669">
        <v>1</v>
      </c>
      <c r="CC1669">
        <v>1</v>
      </c>
      <c r="CD1669">
        <v>2017</v>
      </c>
      <c r="CE1669">
        <v>455000</v>
      </c>
      <c r="CF1669">
        <v>81427</v>
      </c>
      <c r="CG1669">
        <v>536427</v>
      </c>
      <c r="CH1669">
        <v>2017</v>
      </c>
      <c r="CI1669">
        <v>455000</v>
      </c>
      <c r="CJ1669">
        <v>81427</v>
      </c>
      <c r="CK1669">
        <v>536427</v>
      </c>
      <c r="CL1669">
        <v>2017</v>
      </c>
      <c r="CM1669">
        <v>7883.7</v>
      </c>
      <c r="CN1669" s="1">
        <v>38280</v>
      </c>
      <c r="CZ1669" s="1">
        <v>38280</v>
      </c>
      <c r="DD1669" t="s">
        <v>11749</v>
      </c>
      <c r="DG1669">
        <v>45</v>
      </c>
      <c r="DL1669">
        <v>50303</v>
      </c>
      <c r="DM1669" t="s">
        <v>16577</v>
      </c>
      <c r="DO1669" t="s">
        <v>16604</v>
      </c>
      <c r="DP1669">
        <v>0</v>
      </c>
      <c r="DQ1669">
        <v>0</v>
      </c>
      <c r="DR1669" t="s">
        <v>411</v>
      </c>
      <c r="DS1669" t="b">
        <v>1</v>
      </c>
      <c r="DT1669" t="s">
        <v>470</v>
      </c>
      <c r="DU1669" t="s">
        <v>10249</v>
      </c>
      <c r="DV1669" t="s">
        <v>472</v>
      </c>
      <c r="DX1669">
        <v>-9999</v>
      </c>
      <c r="DZ1669" t="s">
        <v>447</v>
      </c>
      <c r="EA1669" t="s">
        <v>448</v>
      </c>
      <c r="EB1669" t="s">
        <v>12096</v>
      </c>
      <c r="EC1669">
        <v>20101217</v>
      </c>
      <c r="ED1669" t="s">
        <v>10251</v>
      </c>
      <c r="EE1669">
        <v>7.5</v>
      </c>
      <c r="EF1669">
        <v>261.60000000000002</v>
      </c>
      <c r="EG1669">
        <v>0</v>
      </c>
      <c r="EI1669">
        <v>20160407</v>
      </c>
      <c r="EJ1669">
        <v>0</v>
      </c>
      <c r="EK1669">
        <v>0</v>
      </c>
      <c r="EP1669" t="s">
        <v>421</v>
      </c>
      <c r="EQ1669" t="s">
        <v>422</v>
      </c>
      <c r="ER1669">
        <v>2</v>
      </c>
      <c r="ES1669">
        <v>8</v>
      </c>
      <c r="ET1669">
        <v>16099.64</v>
      </c>
      <c r="EU1669">
        <v>817.48</v>
      </c>
      <c r="EV1669">
        <v>16917.12</v>
      </c>
      <c r="EW1669" s="2">
        <v>43222</v>
      </c>
      <c r="EX1669" s="1">
        <v>42879</v>
      </c>
      <c r="EY1669">
        <v>2016</v>
      </c>
      <c r="EZ1669">
        <v>8049.82</v>
      </c>
      <c r="FA1669" t="s">
        <v>16605</v>
      </c>
      <c r="FB1669">
        <v>0.25</v>
      </c>
      <c r="FC1669" t="s">
        <v>424</v>
      </c>
      <c r="FD1669" t="s">
        <v>454</v>
      </c>
      <c r="FF1669">
        <v>12</v>
      </c>
      <c r="FG1669">
        <v>2851116</v>
      </c>
      <c r="FH1669" t="s">
        <v>480</v>
      </c>
      <c r="FJ1669" s="1">
        <v>42879</v>
      </c>
      <c r="FK1669">
        <v>2016</v>
      </c>
      <c r="FL1669">
        <v>8049.82</v>
      </c>
      <c r="FM1669" t="s">
        <v>16605</v>
      </c>
      <c r="FN1669">
        <v>0.25</v>
      </c>
      <c r="FO1669" t="s">
        <v>424</v>
      </c>
      <c r="FP1669" t="s">
        <v>454</v>
      </c>
      <c r="FR1669">
        <v>12</v>
      </c>
      <c r="FS1669">
        <v>5392755</v>
      </c>
      <c r="FT1669" t="s">
        <v>16606</v>
      </c>
      <c r="FV1669" s="1">
        <v>42515</v>
      </c>
      <c r="FW1669">
        <v>2015</v>
      </c>
      <c r="FX1669">
        <v>7864.11</v>
      </c>
      <c r="FY1669" t="s">
        <v>16607</v>
      </c>
      <c r="FZ1669">
        <v>0.25</v>
      </c>
      <c r="GA1669" t="s">
        <v>424</v>
      </c>
      <c r="GB1669" t="s">
        <v>425</v>
      </c>
      <c r="GC1669" s="1">
        <v>43168</v>
      </c>
      <c r="GD1669">
        <v>22</v>
      </c>
      <c r="GE1669">
        <v>5894185</v>
      </c>
      <c r="GF1669" t="s">
        <v>7135</v>
      </c>
      <c r="GH1669" s="1">
        <v>42515</v>
      </c>
      <c r="GI1669">
        <v>2015</v>
      </c>
      <c r="GJ1669">
        <v>7864.11</v>
      </c>
      <c r="GK1669" t="s">
        <v>16607</v>
      </c>
      <c r="GL1669">
        <v>0.25</v>
      </c>
      <c r="GM1669" t="s">
        <v>424</v>
      </c>
      <c r="GN1669" t="s">
        <v>425</v>
      </c>
      <c r="GP1669">
        <v>22</v>
      </c>
      <c r="GQ1669">
        <v>5938018</v>
      </c>
      <c r="GR1669" t="s">
        <v>16608</v>
      </c>
      <c r="GT1669" s="1">
        <v>42151</v>
      </c>
      <c r="GU1669">
        <v>2014</v>
      </c>
      <c r="GV1669">
        <v>6553.63</v>
      </c>
      <c r="GW1669" t="s">
        <v>16609</v>
      </c>
      <c r="GX1669">
        <v>0.25</v>
      </c>
      <c r="GY1669" t="s">
        <v>424</v>
      </c>
      <c r="GZ1669" t="s">
        <v>425</v>
      </c>
      <c r="HA1669" s="1">
        <v>42818</v>
      </c>
      <c r="HB1669">
        <v>22</v>
      </c>
      <c r="HC1669">
        <v>2851116</v>
      </c>
      <c r="HD1669" t="s">
        <v>480</v>
      </c>
      <c r="HF1669" s="1">
        <v>42151</v>
      </c>
      <c r="HG1669">
        <v>2014</v>
      </c>
      <c r="HH1669">
        <v>6553.63</v>
      </c>
      <c r="HI1669" t="s">
        <v>16609</v>
      </c>
      <c r="HJ1669">
        <v>0.25</v>
      </c>
      <c r="HK1669" t="s">
        <v>424</v>
      </c>
      <c r="HL1669" t="s">
        <v>425</v>
      </c>
      <c r="HN1669">
        <v>22</v>
      </c>
      <c r="HO1669">
        <v>4932026</v>
      </c>
      <c r="HP1669" t="s">
        <v>16610</v>
      </c>
      <c r="HR1669" s="1">
        <v>41787</v>
      </c>
      <c r="HS1669">
        <v>2013</v>
      </c>
      <c r="HT1669">
        <v>6130.67</v>
      </c>
      <c r="HU1669" t="s">
        <v>16611</v>
      </c>
      <c r="HV1669">
        <v>0.25</v>
      </c>
      <c r="HW1669" t="s">
        <v>424</v>
      </c>
      <c r="HX1669" t="s">
        <v>425</v>
      </c>
      <c r="HY1669" s="1">
        <v>42460</v>
      </c>
      <c r="HZ1669">
        <v>22</v>
      </c>
      <c r="IA1669">
        <v>2662137</v>
      </c>
      <c r="IB1669" t="s">
        <v>916</v>
      </c>
      <c r="ID1669" s="1">
        <v>41423</v>
      </c>
      <c r="IE1669">
        <v>2012</v>
      </c>
      <c r="IF1669">
        <v>6214.52</v>
      </c>
      <c r="IG1669" t="s">
        <v>16612</v>
      </c>
      <c r="IH1669">
        <v>0.25</v>
      </c>
      <c r="II1669" t="s">
        <v>424</v>
      </c>
      <c r="IJ1669" t="s">
        <v>425</v>
      </c>
      <c r="IK1669" s="1">
        <v>42086</v>
      </c>
      <c r="IL1669">
        <v>22</v>
      </c>
      <c r="IM1669">
        <v>2101382</v>
      </c>
      <c r="IN1669" t="s">
        <v>993</v>
      </c>
      <c r="IP1669" s="1">
        <v>41052</v>
      </c>
      <c r="IQ1669">
        <v>2011</v>
      </c>
      <c r="IR1669">
        <v>7322.46</v>
      </c>
      <c r="IS1669" t="s">
        <v>16613</v>
      </c>
      <c r="IT1669">
        <v>0.25</v>
      </c>
      <c r="IU1669" t="s">
        <v>424</v>
      </c>
      <c r="IV1669" t="s">
        <v>425</v>
      </c>
      <c r="IW1669" s="1">
        <v>41752</v>
      </c>
      <c r="IX1669">
        <v>23</v>
      </c>
      <c r="IY1669">
        <v>14111</v>
      </c>
      <c r="IZ1669" t="s">
        <v>16614</v>
      </c>
      <c r="JB1669" s="1">
        <v>40688</v>
      </c>
      <c r="JC1669">
        <v>2010</v>
      </c>
      <c r="JD1669">
        <v>9499.2800000000007</v>
      </c>
      <c r="JE1669" t="s">
        <v>16615</v>
      </c>
      <c r="JF1669">
        <v>0.25</v>
      </c>
      <c r="JG1669" t="s">
        <v>424</v>
      </c>
      <c r="JH1669" t="s">
        <v>425</v>
      </c>
      <c r="JI1669" s="1">
        <v>41330</v>
      </c>
      <c r="JJ1669">
        <v>21</v>
      </c>
      <c r="JK1669">
        <v>11302</v>
      </c>
      <c r="JL1669" t="s">
        <v>3940</v>
      </c>
    </row>
    <row r="1670" spans="1:296" x14ac:dyDescent="0.25">
      <c r="A1670">
        <v>16486677</v>
      </c>
      <c r="B1670">
        <v>1669</v>
      </c>
      <c r="C1670" t="s">
        <v>393</v>
      </c>
      <c r="D1670" t="s">
        <v>394</v>
      </c>
      <c r="F1670" t="str">
        <f>"45-2N-28-0000-0012-0010"</f>
        <v>45-2N-28-0000-0012-0010</v>
      </c>
      <c r="H1670" t="str">
        <f>"DUEY-DODGE AMY LEGARE"</f>
        <v>DUEY-DODGE AMY LEGARE</v>
      </c>
      <c r="I1670" t="str">
        <f>"940272 OLD NASSAUVILLE RD"</f>
        <v>940272 OLD NASSAUVILLE RD</v>
      </c>
      <c r="J1670" t="str">
        <f>"FERNANDINA BEACH FL 32034"</f>
        <v>FERNANDINA BEACH FL 32034</v>
      </c>
      <c r="K1670" t="str">
        <f>"940272 OLD NASSAUVILLE RD"</f>
        <v>940272 OLD NASSAUVILLE RD</v>
      </c>
      <c r="L1670" t="str">
        <f t="shared" si="599"/>
        <v>FERNANDINA BEACH FL 32034</v>
      </c>
      <c r="M1670" t="str">
        <f>"PT JOHN CHISTOPHER GRANT SEC 45-2N-28E L/E OR 1939/1228 (EX FPL UTIL ESMT OR 333/771)"</f>
        <v>PT JOHN CHISTOPHER GRANT SEC 45-2N-28E L/E OR 1939/1228 (EX FPL UTIL ESMT OR 333/771)</v>
      </c>
      <c r="N1670" t="str">
        <f>""</f>
        <v/>
      </c>
      <c r="O1670" t="str">
        <f>"51535"</f>
        <v>51535</v>
      </c>
      <c r="P1670" t="str">
        <f t="shared" si="597"/>
        <v>2017</v>
      </c>
      <c r="Q1670" t="str">
        <f>""</f>
        <v/>
      </c>
      <c r="R1670" t="str">
        <f>"N"</f>
        <v>N</v>
      </c>
      <c r="S1670" t="str">
        <f>"8.00"</f>
        <v>8.00</v>
      </c>
      <c r="T1670" t="str">
        <f>"12096.63"</f>
        <v>12096.63</v>
      </c>
      <c r="U1670" t="str">
        <f>"799048.00"</f>
        <v>799048.00</v>
      </c>
      <c r="V1670" t="str">
        <f>"799048.00"</f>
        <v>799048.00</v>
      </c>
      <c r="W1670" t="str">
        <f t="shared" si="598"/>
        <v>2017</v>
      </c>
      <c r="X1670" t="str">
        <f>""</f>
        <v/>
      </c>
      <c r="Y1670" t="str">
        <f>"12491.53"</f>
        <v>12491.53</v>
      </c>
      <c r="Z1670" t="str">
        <f>""</f>
        <v/>
      </c>
      <c r="AA1670" t="str">
        <f>"799048.00"</f>
        <v>799048.00</v>
      </c>
      <c r="AB1670" t="str">
        <f t="shared" si="600"/>
        <v>Residential</v>
      </c>
      <c r="AC1670" t="str">
        <f t="shared" si="588"/>
        <v>0</v>
      </c>
      <c r="AD1670" t="str">
        <f>"4"</f>
        <v>4</v>
      </c>
      <c r="AE1670" t="str">
        <f>"WOOD (INCLUDE STEEL STUDS)"</f>
        <v>WOOD (INCLUDE STEEL STUDS)</v>
      </c>
      <c r="AF1670" t="str">
        <f>"001"</f>
        <v>001</v>
      </c>
      <c r="AG1670" t="str">
        <f t="shared" ref="AG1670:AG1677" si="601">"FL"</f>
        <v>FL</v>
      </c>
      <c r="AH1670" t="str">
        <f>"348480.00"</f>
        <v>348480.00</v>
      </c>
      <c r="AI1670" t="str">
        <f>"680000.00"</f>
        <v>680000.00</v>
      </c>
      <c r="AJ1670" t="str">
        <f>"C55-000-588-4667-6"</f>
        <v>C55-000-588-4667-6</v>
      </c>
      <c r="AK1670" t="str">
        <f>"29980"</f>
        <v>29980</v>
      </c>
      <c r="AL1670">
        <v>6</v>
      </c>
      <c r="AM1670">
        <v>1904</v>
      </c>
      <c r="AN1670">
        <v>13114.51</v>
      </c>
      <c r="AQ1670" t="s">
        <v>16616</v>
      </c>
      <c r="AR1670" t="s">
        <v>16616</v>
      </c>
      <c r="AS1670" t="s">
        <v>16616</v>
      </c>
      <c r="AU1670" t="s">
        <v>396</v>
      </c>
      <c r="AV1670">
        <v>2017</v>
      </c>
      <c r="AW1670" t="str">
        <f>"45-2N-28-0000-0012-0010 "</f>
        <v xml:space="preserve">45-2N-28-0000-0012-0010 </v>
      </c>
      <c r="AX1670">
        <v>940272</v>
      </c>
      <c r="AZ1670" t="s">
        <v>15258</v>
      </c>
      <c r="BA1670" t="s">
        <v>496</v>
      </c>
      <c r="BD1670" t="s">
        <v>11749</v>
      </c>
      <c r="BE1670" t="s">
        <v>393</v>
      </c>
      <c r="BF1670">
        <v>32034</v>
      </c>
      <c r="BG1670" t="s">
        <v>9152</v>
      </c>
      <c r="BH1670" t="s">
        <v>11751</v>
      </c>
      <c r="BI1670">
        <v>-81.535239209875499</v>
      </c>
      <c r="BJ1670">
        <v>30.554819286630899</v>
      </c>
      <c r="BK1670" t="s">
        <v>16617</v>
      </c>
      <c r="BL1670" t="s">
        <v>16618</v>
      </c>
      <c r="BM1670" t="s">
        <v>9152</v>
      </c>
      <c r="BN1670" t="s">
        <v>3983</v>
      </c>
      <c r="BO1670">
        <v>32034</v>
      </c>
      <c r="BP1670" t="s">
        <v>416</v>
      </c>
      <c r="BQ1670">
        <v>100</v>
      </c>
      <c r="BR1670" t="s">
        <v>514</v>
      </c>
      <c r="BS1670">
        <v>1001</v>
      </c>
      <c r="BT1670" t="s">
        <v>515</v>
      </c>
      <c r="BW1670">
        <v>348480</v>
      </c>
      <c r="BX1670" t="s">
        <v>407</v>
      </c>
      <c r="BY1670" t="s">
        <v>2729</v>
      </c>
      <c r="BZ1670">
        <v>4</v>
      </c>
      <c r="CA1670">
        <v>1986</v>
      </c>
      <c r="CB1670">
        <v>2</v>
      </c>
      <c r="CC1670">
        <v>1</v>
      </c>
      <c r="CD1670">
        <v>2017</v>
      </c>
      <c r="CE1670">
        <v>680000</v>
      </c>
      <c r="CF1670">
        <v>119048</v>
      </c>
      <c r="CG1670">
        <v>799048</v>
      </c>
      <c r="CH1670">
        <v>2017</v>
      </c>
      <c r="CI1670">
        <v>680000</v>
      </c>
      <c r="CJ1670">
        <v>119048</v>
      </c>
      <c r="CK1670">
        <v>799048</v>
      </c>
      <c r="CL1670">
        <v>2017</v>
      </c>
      <c r="CM1670">
        <v>12096.63</v>
      </c>
      <c r="CN1670" s="1">
        <v>41900</v>
      </c>
      <c r="CZ1670" s="1">
        <v>41900</v>
      </c>
      <c r="DD1670" t="s">
        <v>11749</v>
      </c>
      <c r="DG1670">
        <v>45</v>
      </c>
      <c r="DL1670">
        <v>50303</v>
      </c>
      <c r="DM1670" t="s">
        <v>16577</v>
      </c>
      <c r="DO1670" t="s">
        <v>16619</v>
      </c>
      <c r="DP1670">
        <v>0</v>
      </c>
      <c r="DQ1670">
        <v>0</v>
      </c>
      <c r="DR1670" t="s">
        <v>411</v>
      </c>
      <c r="EP1670" t="s">
        <v>421</v>
      </c>
      <c r="EQ1670" t="s">
        <v>422</v>
      </c>
      <c r="ER1670">
        <v>2</v>
      </c>
      <c r="ES1670">
        <v>0</v>
      </c>
      <c r="ET1670">
        <v>6616.16</v>
      </c>
      <c r="EU1670">
        <v>343.31</v>
      </c>
      <c r="EV1670">
        <v>6959.47</v>
      </c>
      <c r="EW1670" s="2">
        <v>43222</v>
      </c>
      <c r="EX1670" s="1">
        <v>42879</v>
      </c>
      <c r="EY1670">
        <v>2016</v>
      </c>
      <c r="EZ1670">
        <v>3308.08</v>
      </c>
      <c r="FA1670" t="s">
        <v>16620</v>
      </c>
      <c r="FB1670">
        <v>0.25</v>
      </c>
      <c r="FC1670" t="s">
        <v>424</v>
      </c>
      <c r="FD1670" t="s">
        <v>454</v>
      </c>
      <c r="FF1670">
        <v>12</v>
      </c>
      <c r="FG1670">
        <v>2851116</v>
      </c>
      <c r="FH1670" t="s">
        <v>480</v>
      </c>
      <c r="FJ1670" s="1">
        <v>42879</v>
      </c>
      <c r="FK1670">
        <v>2016</v>
      </c>
      <c r="FL1670">
        <v>3308.08</v>
      </c>
      <c r="FM1670" t="s">
        <v>16620</v>
      </c>
      <c r="FN1670">
        <v>0.25</v>
      </c>
      <c r="FO1670" t="s">
        <v>424</v>
      </c>
      <c r="FP1670" t="s">
        <v>454</v>
      </c>
      <c r="FR1670">
        <v>12</v>
      </c>
      <c r="FS1670">
        <v>4929002</v>
      </c>
      <c r="FT1670" t="s">
        <v>16621</v>
      </c>
    </row>
    <row r="1671" spans="1:296" x14ac:dyDescent="0.25">
      <c r="A1671">
        <v>16486678</v>
      </c>
      <c r="B1671">
        <v>1670</v>
      </c>
      <c r="C1671" t="s">
        <v>393</v>
      </c>
      <c r="D1671" t="s">
        <v>394</v>
      </c>
      <c r="F1671" t="str">
        <f>"45-2N-28-0000-0015-0010"</f>
        <v>45-2N-28-0000-0015-0010</v>
      </c>
      <c r="H1671" t="str">
        <f>"MANGE JOE W &amp; MARIE R"</f>
        <v>MANGE JOE W &amp; MARIE R</v>
      </c>
      <c r="I1671" t="str">
        <f>"3761 CEDAR CREST DR"</f>
        <v>3761 CEDAR CREST DR</v>
      </c>
      <c r="J1671" t="str">
        <f>"JACKSONVILLE FL 32210"</f>
        <v>JACKSONVILLE FL 32210</v>
      </c>
      <c r="K1671" t="str">
        <f>"WINTERBERRY AV"</f>
        <v>WINTERBERRY AV</v>
      </c>
      <c r="L1671" t="str">
        <f t="shared" si="599"/>
        <v>FERNANDINA BEACH FL 32034</v>
      </c>
      <c r="M1671" t="str">
        <f>"IN OR 92 PG 527 &amp; OR 122/73 (EX OR 122/74) &amp; OR 122 PG 76"</f>
        <v>IN OR 92 PG 527 &amp; OR 122/73 (EX OR 122/74) &amp; OR 122 PG 76</v>
      </c>
      <c r="N1671" t="str">
        <f>""</f>
        <v/>
      </c>
      <c r="O1671" t="str">
        <f>"51550"</f>
        <v>51550</v>
      </c>
      <c r="P1671" t="str">
        <f t="shared" si="597"/>
        <v>2017</v>
      </c>
      <c r="Q1671" t="str">
        <f>""</f>
        <v/>
      </c>
      <c r="R1671" t="str">
        <f>"N"</f>
        <v>N</v>
      </c>
      <c r="S1671" t="str">
        <f>""</f>
        <v/>
      </c>
      <c r="T1671" t="str">
        <f>"2456.99"</f>
        <v>2456.99</v>
      </c>
      <c r="U1671" t="str">
        <f>"137759.00"</f>
        <v>137759.00</v>
      </c>
      <c r="V1671" t="str">
        <f>"137759.00"</f>
        <v>137759.00</v>
      </c>
      <c r="W1671" t="str">
        <f t="shared" si="598"/>
        <v>2017</v>
      </c>
      <c r="X1671" t="str">
        <f>"13.83"</f>
        <v>13.83</v>
      </c>
      <c r="Y1671" t="str">
        <f>"2562.70"</f>
        <v>2562.70</v>
      </c>
      <c r="Z1671" t="str">
        <f>""</f>
        <v/>
      </c>
      <c r="AA1671" t="str">
        <f>"194062.00"</f>
        <v>194062.00</v>
      </c>
      <c r="AB1671" t="str">
        <f t="shared" si="600"/>
        <v>Residential</v>
      </c>
      <c r="AC1671" t="str">
        <f t="shared" si="588"/>
        <v>0</v>
      </c>
      <c r="AD1671" t="str">
        <f>""</f>
        <v/>
      </c>
      <c r="AE1671" t="str">
        <f>""</f>
        <v/>
      </c>
      <c r="AF1671" t="str">
        <f>"000"</f>
        <v>000</v>
      </c>
      <c r="AG1671" t="str">
        <f t="shared" si="601"/>
        <v>FL</v>
      </c>
      <c r="AH1671" t="str">
        <f>"-"</f>
        <v>-</v>
      </c>
      <c r="AI1671" t="str">
        <f>"194062.00"</f>
        <v>194062.00</v>
      </c>
      <c r="AJ1671" t="str">
        <f>"C55-000-588-4681-7"</f>
        <v>C55-000-588-4681-7</v>
      </c>
      <c r="AK1671" t="str">
        <f>"29993"</f>
        <v>29993</v>
      </c>
      <c r="AL1671">
        <v>6</v>
      </c>
      <c r="AM1671">
        <v>1905</v>
      </c>
      <c r="AN1671">
        <v>2689.24</v>
      </c>
      <c r="AQ1671" t="s">
        <v>16622</v>
      </c>
      <c r="AR1671" t="s">
        <v>16622</v>
      </c>
      <c r="AS1671" t="s">
        <v>16622</v>
      </c>
      <c r="AU1671" t="s">
        <v>396</v>
      </c>
      <c r="AV1671">
        <v>2017</v>
      </c>
      <c r="AW1671" t="str">
        <f>"45-2N-28-0000-0015-0010 "</f>
        <v xml:space="preserve">45-2N-28-0000-0015-0010 </v>
      </c>
      <c r="AZ1671" t="s">
        <v>16623</v>
      </c>
      <c r="BA1671" t="s">
        <v>1122</v>
      </c>
      <c r="BD1671" t="s">
        <v>11749</v>
      </c>
      <c r="BE1671" t="s">
        <v>393</v>
      </c>
      <c r="BF1671">
        <v>32034</v>
      </c>
      <c r="BG1671" t="s">
        <v>16624</v>
      </c>
      <c r="BH1671" t="s">
        <v>11751</v>
      </c>
      <c r="BI1671">
        <v>-81.536475757625496</v>
      </c>
      <c r="BJ1671">
        <v>30.550424134702801</v>
      </c>
      <c r="BK1671" t="s">
        <v>16625</v>
      </c>
      <c r="BL1671" t="s">
        <v>16626</v>
      </c>
      <c r="BM1671" t="s">
        <v>16627</v>
      </c>
      <c r="BN1671" t="s">
        <v>548</v>
      </c>
      <c r="BO1671">
        <v>32210</v>
      </c>
      <c r="BP1671" t="s">
        <v>404</v>
      </c>
      <c r="BQ1671">
        <v>0</v>
      </c>
      <c r="BR1671" t="s">
        <v>491</v>
      </c>
      <c r="BS1671">
        <v>8001</v>
      </c>
      <c r="BT1671" t="s">
        <v>492</v>
      </c>
      <c r="BU1671">
        <v>1035</v>
      </c>
      <c r="BW1671">
        <v>22935</v>
      </c>
      <c r="BX1671" t="s">
        <v>407</v>
      </c>
      <c r="BY1671" t="s">
        <v>4360</v>
      </c>
      <c r="CD1671">
        <v>2017</v>
      </c>
      <c r="CE1671">
        <v>194062</v>
      </c>
      <c r="CG1671">
        <v>194062</v>
      </c>
      <c r="CH1671">
        <v>2017</v>
      </c>
      <c r="CI1671">
        <v>194062</v>
      </c>
      <c r="CK1671">
        <v>194062</v>
      </c>
      <c r="CL1671">
        <v>2017</v>
      </c>
      <c r="CM1671">
        <v>2456.9899999999998</v>
      </c>
      <c r="DD1671" t="s">
        <v>11749</v>
      </c>
      <c r="DG1671">
        <v>45</v>
      </c>
      <c r="DL1671">
        <v>50303</v>
      </c>
      <c r="DM1671" t="s">
        <v>16577</v>
      </c>
      <c r="DO1671" t="s">
        <v>16628</v>
      </c>
      <c r="DP1671">
        <v>0</v>
      </c>
      <c r="DQ1671">
        <v>0</v>
      </c>
      <c r="DR1671" t="s">
        <v>411</v>
      </c>
      <c r="DS1671" t="b">
        <v>1</v>
      </c>
      <c r="DT1671" t="s">
        <v>8902</v>
      </c>
      <c r="DV1671" t="s">
        <v>446</v>
      </c>
      <c r="DX1671">
        <v>10</v>
      </c>
      <c r="DY1671" t="s">
        <v>11438</v>
      </c>
      <c r="DZ1671" t="s">
        <v>447</v>
      </c>
      <c r="EA1671" t="s">
        <v>448</v>
      </c>
      <c r="EB1671" t="s">
        <v>16629</v>
      </c>
      <c r="EC1671">
        <v>20101217</v>
      </c>
      <c r="ED1671" t="s">
        <v>450</v>
      </c>
      <c r="EE1671">
        <v>7.5</v>
      </c>
      <c r="EF1671">
        <v>0</v>
      </c>
      <c r="EG1671">
        <v>0</v>
      </c>
      <c r="EI1671">
        <v>20160407</v>
      </c>
      <c r="EJ1671">
        <v>0</v>
      </c>
      <c r="EK1671">
        <v>0</v>
      </c>
      <c r="EP1671" t="s">
        <v>421</v>
      </c>
      <c r="EQ1671" t="s">
        <v>422</v>
      </c>
      <c r="ER1671">
        <v>2</v>
      </c>
      <c r="ES1671">
        <v>7</v>
      </c>
      <c r="ET1671">
        <v>5223.76</v>
      </c>
      <c r="EU1671">
        <v>273.69</v>
      </c>
      <c r="EV1671">
        <v>5497.45</v>
      </c>
      <c r="EW1671" s="2">
        <v>43222</v>
      </c>
      <c r="EX1671" s="1">
        <v>42879</v>
      </c>
      <c r="EY1671">
        <v>2016</v>
      </c>
      <c r="EZ1671">
        <v>2611.88</v>
      </c>
      <c r="FA1671" t="s">
        <v>16630</v>
      </c>
      <c r="FB1671">
        <v>0.25</v>
      </c>
      <c r="FC1671" t="s">
        <v>424</v>
      </c>
      <c r="FD1671" t="s">
        <v>454</v>
      </c>
      <c r="FF1671">
        <v>12</v>
      </c>
      <c r="FG1671">
        <v>7400234</v>
      </c>
      <c r="FH1671" t="s">
        <v>426</v>
      </c>
      <c r="FJ1671" s="1">
        <v>42879</v>
      </c>
      <c r="FK1671">
        <v>2016</v>
      </c>
      <c r="FL1671">
        <v>2611.88</v>
      </c>
      <c r="FM1671" t="s">
        <v>16630</v>
      </c>
      <c r="FN1671">
        <v>0.25</v>
      </c>
      <c r="FO1671" t="s">
        <v>424</v>
      </c>
      <c r="FP1671" t="s">
        <v>454</v>
      </c>
      <c r="FR1671">
        <v>12</v>
      </c>
      <c r="FS1671">
        <v>7421178</v>
      </c>
      <c r="FT1671" t="s">
        <v>16631</v>
      </c>
      <c r="FV1671" s="1">
        <v>42515</v>
      </c>
      <c r="FW1671">
        <v>2015</v>
      </c>
      <c r="FX1671">
        <v>2278.31</v>
      </c>
      <c r="FY1671" t="s">
        <v>16632</v>
      </c>
      <c r="FZ1671">
        <v>0.25</v>
      </c>
      <c r="GA1671" t="s">
        <v>424</v>
      </c>
      <c r="GB1671" t="s">
        <v>425</v>
      </c>
      <c r="GC1671" s="1">
        <v>42877</v>
      </c>
      <c r="GD1671">
        <v>12</v>
      </c>
      <c r="GE1671">
        <v>7045074</v>
      </c>
      <c r="GF1671" t="s">
        <v>580</v>
      </c>
      <c r="GH1671" s="1">
        <v>42515</v>
      </c>
      <c r="GI1671">
        <v>2015</v>
      </c>
      <c r="GJ1671">
        <v>2278.31</v>
      </c>
      <c r="GK1671" t="s">
        <v>16632</v>
      </c>
      <c r="GL1671">
        <v>0.25</v>
      </c>
      <c r="GM1671" t="s">
        <v>424</v>
      </c>
      <c r="GN1671" t="s">
        <v>425</v>
      </c>
      <c r="GP1671">
        <v>22</v>
      </c>
      <c r="GQ1671">
        <v>6326894</v>
      </c>
      <c r="GR1671" t="s">
        <v>16633</v>
      </c>
      <c r="GT1671" s="1">
        <v>42151</v>
      </c>
      <c r="GU1671">
        <v>2014</v>
      </c>
      <c r="GV1671">
        <v>1790.95</v>
      </c>
      <c r="GW1671" t="s">
        <v>16634</v>
      </c>
      <c r="GX1671">
        <v>4.75</v>
      </c>
      <c r="GY1671" t="s">
        <v>424</v>
      </c>
      <c r="GZ1671" t="s">
        <v>425</v>
      </c>
      <c r="HA1671" s="1">
        <v>42635</v>
      </c>
      <c r="HB1671">
        <v>16</v>
      </c>
      <c r="HC1671">
        <v>7045030</v>
      </c>
      <c r="HD1671" t="s">
        <v>16635</v>
      </c>
      <c r="HF1671" s="1">
        <v>41787</v>
      </c>
      <c r="HG1671">
        <v>2013</v>
      </c>
      <c r="HH1671">
        <v>1696.35</v>
      </c>
      <c r="HI1671" t="s">
        <v>16636</v>
      </c>
      <c r="HJ1671">
        <v>0.25</v>
      </c>
      <c r="HK1671" t="s">
        <v>424</v>
      </c>
      <c r="HL1671" t="s">
        <v>425</v>
      </c>
      <c r="HM1671" s="1">
        <v>42401</v>
      </c>
      <c r="HN1671">
        <v>21</v>
      </c>
      <c r="HO1671">
        <v>1155951</v>
      </c>
      <c r="HP1671" t="s">
        <v>1451</v>
      </c>
      <c r="HR1671" s="1">
        <v>41423</v>
      </c>
      <c r="HS1671">
        <v>2012</v>
      </c>
      <c r="HT1671">
        <v>1717.28</v>
      </c>
      <c r="HU1671" t="s">
        <v>16637</v>
      </c>
      <c r="HV1671">
        <v>2.75</v>
      </c>
      <c r="HW1671" t="s">
        <v>424</v>
      </c>
      <c r="HX1671" t="s">
        <v>425</v>
      </c>
      <c r="HY1671" s="1">
        <v>41879</v>
      </c>
      <c r="HZ1671">
        <v>15</v>
      </c>
      <c r="IA1671">
        <v>1625515</v>
      </c>
      <c r="IB1671" t="s">
        <v>487</v>
      </c>
      <c r="ID1671" s="1">
        <v>41052</v>
      </c>
      <c r="IE1671">
        <v>2011</v>
      </c>
      <c r="IF1671">
        <v>2170.1799999999998</v>
      </c>
      <c r="IG1671" t="s">
        <v>16638</v>
      </c>
      <c r="IH1671">
        <v>5.75</v>
      </c>
      <c r="II1671" t="s">
        <v>424</v>
      </c>
      <c r="IJ1671" t="s">
        <v>425</v>
      </c>
      <c r="IK1671" s="1">
        <v>41516</v>
      </c>
      <c r="IL1671">
        <v>15</v>
      </c>
      <c r="IM1671">
        <v>1625515</v>
      </c>
      <c r="IN1671" t="s">
        <v>487</v>
      </c>
      <c r="IP1671" s="1">
        <v>41052</v>
      </c>
      <c r="IQ1671">
        <v>2011</v>
      </c>
      <c r="IR1671">
        <v>2170.1799999999998</v>
      </c>
      <c r="IS1671" t="s">
        <v>16638</v>
      </c>
      <c r="IT1671">
        <v>5.75</v>
      </c>
      <c r="IU1671" t="s">
        <v>424</v>
      </c>
      <c r="IV1671" t="s">
        <v>425</v>
      </c>
      <c r="IX1671">
        <v>22</v>
      </c>
      <c r="IY1671">
        <v>10579</v>
      </c>
      <c r="IZ1671" t="s">
        <v>488</v>
      </c>
    </row>
    <row r="1672" spans="1:296" x14ac:dyDescent="0.25">
      <c r="A1672">
        <v>16486679</v>
      </c>
      <c r="B1672">
        <v>1671</v>
      </c>
      <c r="C1672" t="s">
        <v>393</v>
      </c>
      <c r="D1672" t="s">
        <v>394</v>
      </c>
      <c r="F1672" t="str">
        <f>"45-2N-28-5240-0011-0000"</f>
        <v>45-2N-28-5240-0011-0000</v>
      </c>
      <c r="H1672" t="str">
        <f>"PANKE RUSSELL E &amp; BRENDA"</f>
        <v>PANKE RUSSELL E &amp; BRENDA</v>
      </c>
      <c r="I1672" t="str">
        <f>"940496 OLD NASSAUVILLE ROAD"</f>
        <v>940496 OLD NASSAUVILLE ROAD</v>
      </c>
      <c r="J1672" t="str">
        <f>"FERNANDINA BEACH FL 32034"</f>
        <v>FERNANDINA BEACH FL 32034</v>
      </c>
      <c r="K1672" t="str">
        <f>"940496 OLD NASSAUVILLE RD"</f>
        <v>940496 OLD NASSAUVILLE RD</v>
      </c>
      <c r="L1672" t="str">
        <f t="shared" si="599"/>
        <v>FERNANDINA BEACH FL 32034</v>
      </c>
      <c r="M1672" t="str">
        <f>"S 150 FT OF LOT 11 IN OR 728/633 CHRISTOPHER CREEK ESTATES PB 3/12"</f>
        <v>S 150 FT OF LOT 11 IN OR 728/633 CHRISTOPHER CREEK ESTATES PB 3/12</v>
      </c>
      <c r="N1672" t="str">
        <f>""</f>
        <v/>
      </c>
      <c r="O1672" t="str">
        <f>"51606"</f>
        <v>51606</v>
      </c>
      <c r="P1672" t="str">
        <f t="shared" si="597"/>
        <v>2017</v>
      </c>
      <c r="Q1672" t="str">
        <f>""</f>
        <v/>
      </c>
      <c r="R1672" t="str">
        <f>"Y"</f>
        <v>Y</v>
      </c>
      <c r="S1672" t="str">
        <f>""</f>
        <v/>
      </c>
      <c r="T1672" t="str">
        <f>"4372.58"</f>
        <v>4372.58</v>
      </c>
      <c r="U1672" t="str">
        <f>"327937.00"</f>
        <v>327937.00</v>
      </c>
      <c r="V1672" t="str">
        <f>"327937.00"</f>
        <v>327937.00</v>
      </c>
      <c r="W1672" t="str">
        <f t="shared" si="598"/>
        <v>2017</v>
      </c>
      <c r="X1672" t="str">
        <f>"16.40"</f>
        <v>16.40</v>
      </c>
      <c r="Y1672" t="str">
        <f>"4535.76"</f>
        <v>4535.76</v>
      </c>
      <c r="Z1672" t="str">
        <f>"25000.00"</f>
        <v>25000.00</v>
      </c>
      <c r="AA1672" t="str">
        <f>"302937.00"</f>
        <v>302937.00</v>
      </c>
      <c r="AB1672" t="str">
        <f t="shared" si="600"/>
        <v>Residential</v>
      </c>
      <c r="AC1672" t="str">
        <f t="shared" si="588"/>
        <v>0</v>
      </c>
      <c r="AD1672" t="str">
        <f>"4"</f>
        <v>4</v>
      </c>
      <c r="AE1672" t="str">
        <f>"WOOD (INCLUDE STEEL STUDS)"</f>
        <v>WOOD (INCLUDE STEEL STUDS)</v>
      </c>
      <c r="AF1672" t="str">
        <f>"001"</f>
        <v>001</v>
      </c>
      <c r="AG1672" t="str">
        <f t="shared" si="601"/>
        <v>FL</v>
      </c>
      <c r="AH1672" t="str">
        <f>"45000.00"</f>
        <v>45000.00</v>
      </c>
      <c r="AI1672" t="str">
        <f>"210000.00"</f>
        <v>210000.00</v>
      </c>
      <c r="AJ1672" t="str">
        <f>"C55-000-588-4718-7"</f>
        <v>C55-000-588-4718-7</v>
      </c>
      <c r="AK1672" t="str">
        <f>"30041"</f>
        <v>30041</v>
      </c>
      <c r="AL1672">
        <v>6</v>
      </c>
      <c r="AM1672">
        <v>1908</v>
      </c>
      <c r="AN1672">
        <v>4760.95</v>
      </c>
      <c r="AQ1672" t="s">
        <v>16639</v>
      </c>
      <c r="AR1672" t="s">
        <v>16639</v>
      </c>
      <c r="AS1672" t="s">
        <v>16639</v>
      </c>
      <c r="AU1672" t="s">
        <v>396</v>
      </c>
      <c r="AV1672">
        <v>2017</v>
      </c>
      <c r="AW1672" t="str">
        <f>"45-2N-28-5240-0011-0000 "</f>
        <v xml:space="preserve">45-2N-28-5240-0011-0000 </v>
      </c>
      <c r="AX1672">
        <v>940496</v>
      </c>
      <c r="AZ1672" t="s">
        <v>15258</v>
      </c>
      <c r="BA1672" t="s">
        <v>496</v>
      </c>
      <c r="BD1672" t="s">
        <v>11749</v>
      </c>
      <c r="BE1672" t="s">
        <v>393</v>
      </c>
      <c r="BF1672">
        <v>32034</v>
      </c>
      <c r="BG1672" t="s">
        <v>16640</v>
      </c>
      <c r="BH1672" t="s">
        <v>11751</v>
      </c>
      <c r="BI1672">
        <v>-81.534333062040403</v>
      </c>
      <c r="BJ1672">
        <v>30.560369196513701</v>
      </c>
      <c r="BK1672" t="s">
        <v>16641</v>
      </c>
      <c r="BL1672" t="s">
        <v>16642</v>
      </c>
      <c r="BM1672" t="s">
        <v>16640</v>
      </c>
      <c r="BN1672" t="s">
        <v>3983</v>
      </c>
      <c r="BO1672">
        <v>32034</v>
      </c>
      <c r="BP1672" t="s">
        <v>416</v>
      </c>
      <c r="BQ1672">
        <v>100</v>
      </c>
      <c r="BR1672" t="s">
        <v>514</v>
      </c>
      <c r="BS1672">
        <v>1001</v>
      </c>
      <c r="BT1672" t="s">
        <v>515</v>
      </c>
      <c r="BU1672">
        <v>1500</v>
      </c>
      <c r="BV1672">
        <v>0</v>
      </c>
      <c r="BW1672">
        <v>45054</v>
      </c>
      <c r="BX1672" t="s">
        <v>407</v>
      </c>
      <c r="BY1672" t="s">
        <v>2729</v>
      </c>
      <c r="BZ1672">
        <v>4</v>
      </c>
      <c r="CA1672">
        <v>1995</v>
      </c>
      <c r="CB1672">
        <v>2</v>
      </c>
      <c r="CC1672">
        <v>1</v>
      </c>
      <c r="CD1672">
        <v>2017</v>
      </c>
      <c r="CG1672">
        <v>327937</v>
      </c>
      <c r="CH1672">
        <v>2017</v>
      </c>
      <c r="CI1672">
        <v>210000</v>
      </c>
      <c r="CJ1672">
        <v>198596</v>
      </c>
      <c r="CK1672">
        <v>408596</v>
      </c>
      <c r="CL1672">
        <v>2017</v>
      </c>
      <c r="CM1672">
        <v>4372.58</v>
      </c>
      <c r="CN1672" s="1">
        <v>34815</v>
      </c>
      <c r="CO1672">
        <v>70000</v>
      </c>
      <c r="CZ1672" s="1">
        <v>34815</v>
      </c>
      <c r="DD1672" t="s">
        <v>11749</v>
      </c>
      <c r="DF1672">
        <v>11</v>
      </c>
      <c r="DG1672">
        <v>45</v>
      </c>
      <c r="DL1672">
        <v>50303</v>
      </c>
      <c r="DM1672" t="s">
        <v>16577</v>
      </c>
      <c r="DO1672" t="s">
        <v>16643</v>
      </c>
      <c r="DP1672">
        <v>0</v>
      </c>
      <c r="DQ1672">
        <v>0</v>
      </c>
      <c r="DR1672" t="s">
        <v>411</v>
      </c>
      <c r="DS1672" t="b">
        <v>1</v>
      </c>
      <c r="DT1672" t="s">
        <v>470</v>
      </c>
      <c r="DU1672" t="s">
        <v>471</v>
      </c>
      <c r="DV1672" t="s">
        <v>472</v>
      </c>
      <c r="DX1672">
        <v>-9999</v>
      </c>
      <c r="DZ1672" t="s">
        <v>447</v>
      </c>
      <c r="EA1672" t="s">
        <v>448</v>
      </c>
      <c r="EB1672" t="s">
        <v>742</v>
      </c>
      <c r="EC1672">
        <v>20101217</v>
      </c>
      <c r="ED1672" t="s">
        <v>474</v>
      </c>
      <c r="EF1672">
        <v>111.7</v>
      </c>
      <c r="EG1672">
        <v>2.6</v>
      </c>
      <c r="EI1672">
        <v>20160407</v>
      </c>
      <c r="EJ1672">
        <v>0</v>
      </c>
      <c r="EK1672">
        <v>0</v>
      </c>
      <c r="EP1672" t="s">
        <v>421</v>
      </c>
      <c r="EQ1672" t="s">
        <v>452</v>
      </c>
      <c r="ER1672">
        <v>0</v>
      </c>
      <c r="ES1672">
        <v>8</v>
      </c>
      <c r="ET1672">
        <v>0</v>
      </c>
      <c r="EU1672">
        <v>0</v>
      </c>
      <c r="EV1672">
        <v>0</v>
      </c>
      <c r="EW1672" s="2">
        <v>43222</v>
      </c>
      <c r="EX1672" s="1">
        <v>42879</v>
      </c>
      <c r="EY1672">
        <v>2016</v>
      </c>
      <c r="EZ1672">
        <v>4713.03</v>
      </c>
      <c r="FA1672" t="s">
        <v>16644</v>
      </c>
      <c r="FB1672">
        <v>0.25</v>
      </c>
      <c r="FC1672" t="s">
        <v>424</v>
      </c>
      <c r="FD1672" t="s">
        <v>425</v>
      </c>
      <c r="FE1672" s="1">
        <v>43208</v>
      </c>
      <c r="FF1672">
        <v>11</v>
      </c>
      <c r="FG1672">
        <v>5856194</v>
      </c>
      <c r="FH1672" t="s">
        <v>2685</v>
      </c>
      <c r="FJ1672" s="1">
        <v>42879</v>
      </c>
      <c r="FK1672">
        <v>2016</v>
      </c>
      <c r="FL1672">
        <v>4713.03</v>
      </c>
      <c r="FM1672" t="s">
        <v>16644</v>
      </c>
      <c r="FN1672">
        <v>0.25</v>
      </c>
      <c r="FO1672" t="s">
        <v>424</v>
      </c>
      <c r="FP1672" t="s">
        <v>425</v>
      </c>
      <c r="FR1672">
        <v>22</v>
      </c>
      <c r="FS1672">
        <v>5955061</v>
      </c>
      <c r="FT1672" t="s">
        <v>16645</v>
      </c>
      <c r="FV1672" s="1">
        <v>42515</v>
      </c>
      <c r="FW1672">
        <v>2015</v>
      </c>
      <c r="FX1672">
        <v>4789.09</v>
      </c>
      <c r="FY1672" t="s">
        <v>16646</v>
      </c>
      <c r="FZ1672">
        <v>0.25</v>
      </c>
      <c r="GA1672" t="s">
        <v>424</v>
      </c>
      <c r="GB1672" t="s">
        <v>425</v>
      </c>
      <c r="GC1672" s="1">
        <v>42642</v>
      </c>
      <c r="GD1672">
        <v>4</v>
      </c>
      <c r="GE1672">
        <v>7045074</v>
      </c>
      <c r="GF1672" t="s">
        <v>580</v>
      </c>
      <c r="GG1672" t="s">
        <v>458</v>
      </c>
      <c r="GH1672" s="1">
        <v>42515</v>
      </c>
      <c r="GI1672">
        <v>2015</v>
      </c>
      <c r="GJ1672">
        <v>4789.09</v>
      </c>
      <c r="GK1672" t="s">
        <v>16646</v>
      </c>
      <c r="GL1672">
        <v>0.25</v>
      </c>
      <c r="GM1672" t="s">
        <v>424</v>
      </c>
      <c r="GN1672" t="s">
        <v>425</v>
      </c>
      <c r="GP1672">
        <v>22</v>
      </c>
      <c r="GQ1672">
        <v>6343997</v>
      </c>
      <c r="GR1672" t="s">
        <v>16647</v>
      </c>
      <c r="GS1672" t="s">
        <v>458</v>
      </c>
      <c r="GT1672" s="1">
        <v>42151</v>
      </c>
      <c r="GU1672">
        <v>2014</v>
      </c>
      <c r="GV1672">
        <v>4770.7</v>
      </c>
      <c r="GW1672" t="s">
        <v>16648</v>
      </c>
      <c r="GX1672">
        <v>0.25</v>
      </c>
      <c r="GY1672" t="s">
        <v>424</v>
      </c>
      <c r="GZ1672" t="s">
        <v>425</v>
      </c>
      <c r="HB1672">
        <v>22</v>
      </c>
      <c r="HC1672">
        <v>2851116</v>
      </c>
      <c r="HD1672" t="s">
        <v>480</v>
      </c>
      <c r="HE1672" t="s">
        <v>458</v>
      </c>
      <c r="HF1672" s="1">
        <v>42151</v>
      </c>
      <c r="HG1672">
        <v>2014</v>
      </c>
      <c r="HH1672">
        <v>4770.7</v>
      </c>
      <c r="HI1672" t="s">
        <v>16648</v>
      </c>
      <c r="HJ1672">
        <v>0.25</v>
      </c>
      <c r="HK1672" t="s">
        <v>424</v>
      </c>
      <c r="HL1672" t="s">
        <v>425</v>
      </c>
      <c r="HN1672">
        <v>22</v>
      </c>
      <c r="HO1672">
        <v>5297934</v>
      </c>
      <c r="HP1672" t="s">
        <v>16649</v>
      </c>
      <c r="HQ1672" t="s">
        <v>458</v>
      </c>
      <c r="HR1672" s="1">
        <v>41787</v>
      </c>
      <c r="HS1672">
        <v>2013</v>
      </c>
      <c r="HT1672">
        <v>4455.3900000000003</v>
      </c>
      <c r="HU1672" t="s">
        <v>16650</v>
      </c>
      <c r="HV1672">
        <v>0.25</v>
      </c>
      <c r="HW1672" t="s">
        <v>424</v>
      </c>
      <c r="HX1672" t="s">
        <v>425</v>
      </c>
      <c r="HZ1672">
        <v>22</v>
      </c>
      <c r="IA1672">
        <v>2851116</v>
      </c>
      <c r="IB1672" t="s">
        <v>480</v>
      </c>
      <c r="IC1672" t="s">
        <v>458</v>
      </c>
      <c r="ID1672" s="1">
        <v>41423</v>
      </c>
      <c r="IE1672">
        <v>2012</v>
      </c>
      <c r="IF1672">
        <v>4427.96</v>
      </c>
      <c r="IG1672" t="s">
        <v>16651</v>
      </c>
      <c r="IH1672">
        <v>0.25</v>
      </c>
      <c r="II1672" t="s">
        <v>424</v>
      </c>
      <c r="IJ1672" t="s">
        <v>425</v>
      </c>
      <c r="IK1672" s="1">
        <v>42110</v>
      </c>
      <c r="IL1672">
        <v>23</v>
      </c>
      <c r="IM1672">
        <v>606981</v>
      </c>
      <c r="IN1672" t="s">
        <v>792</v>
      </c>
    </row>
    <row r="1673" spans="1:296" x14ac:dyDescent="0.25">
      <c r="A1673">
        <v>16486680</v>
      </c>
      <c r="B1673">
        <v>1672</v>
      </c>
      <c r="C1673" t="s">
        <v>393</v>
      </c>
      <c r="D1673" t="s">
        <v>394</v>
      </c>
      <c r="F1673" t="str">
        <f>"45-2N-28-525B-0001-0000"</f>
        <v>45-2N-28-525B-0001-0000</v>
      </c>
      <c r="H1673" t="str">
        <f>"DAVIS SUSAN M"</f>
        <v>DAVIS SUSAN M</v>
      </c>
      <c r="I1673" t="str">
        <f>"94035 MERLIN DR"</f>
        <v>94035 MERLIN DR</v>
      </c>
      <c r="J1673" t="str">
        <f>"FERNANDINA BEACH FL 32034"</f>
        <v>FERNANDINA BEACH FL 32034</v>
      </c>
      <c r="K1673" t="str">
        <f>"94061 DUCK LAKE DR"</f>
        <v>94061 DUCK LAKE DR</v>
      </c>
      <c r="L1673" t="str">
        <f t="shared" si="599"/>
        <v>FERNANDINA BEACH FL 32034</v>
      </c>
      <c r="M1673" t="str">
        <f>"TRACT 1 &amp; 2 R672541 &amp; R672542 IN OR 2023/1791 HOLLY POINT UNIT 2 UR"</f>
        <v>TRACT 1 &amp; 2 R672541 &amp; R672542 IN OR 2023/1791 HOLLY POINT UNIT 2 UR</v>
      </c>
      <c r="N1673" t="str">
        <f>""</f>
        <v/>
      </c>
      <c r="O1673" t="str">
        <f>"51657"</f>
        <v>51657</v>
      </c>
      <c r="P1673" t="str">
        <f t="shared" si="597"/>
        <v>2017</v>
      </c>
      <c r="Q1673" t="str">
        <f>""</f>
        <v/>
      </c>
      <c r="R1673" t="str">
        <f t="shared" ref="R1673:R1678" si="602">"N"</f>
        <v>N</v>
      </c>
      <c r="S1673" t="str">
        <f>""</f>
        <v/>
      </c>
      <c r="T1673" t="str">
        <f>"597.76"</f>
        <v>597.76</v>
      </c>
      <c r="U1673" t="str">
        <f>"39486.00"</f>
        <v>39486.00</v>
      </c>
      <c r="V1673" t="str">
        <f>"39486.00"</f>
        <v>39486.00</v>
      </c>
      <c r="W1673" t="str">
        <f t="shared" si="598"/>
        <v>2017</v>
      </c>
      <c r="X1673" t="str">
        <f>"10.00"</f>
        <v>10.00</v>
      </c>
      <c r="Y1673" t="str">
        <f>"647.69"</f>
        <v>647.69</v>
      </c>
      <c r="Z1673" t="str">
        <f>""</f>
        <v/>
      </c>
      <c r="AA1673" t="str">
        <f>"39486.00"</f>
        <v>39486.00</v>
      </c>
      <c r="AB1673" t="str">
        <f t="shared" si="600"/>
        <v>Residential</v>
      </c>
      <c r="AC1673" t="str">
        <f t="shared" si="588"/>
        <v>0</v>
      </c>
      <c r="AD1673" t="str">
        <f>"4"</f>
        <v>4</v>
      </c>
      <c r="AE1673" t="str">
        <f>"WOOD (INCLUDE STEEL STUDS)"</f>
        <v>WOOD (INCLUDE STEEL STUDS)</v>
      </c>
      <c r="AF1673" t="str">
        <f>"002"</f>
        <v>002</v>
      </c>
      <c r="AG1673" t="str">
        <f t="shared" si="601"/>
        <v>FL</v>
      </c>
      <c r="AH1673" t="str">
        <f>"-"</f>
        <v>-</v>
      </c>
      <c r="AI1673" t="str">
        <f>"30000.00"</f>
        <v>30000.00</v>
      </c>
      <c r="AJ1673" t="str">
        <f>"C55-000-588-4765-8"</f>
        <v>C55-000-588-4765-8</v>
      </c>
      <c r="AK1673" t="str">
        <f>"30086"</f>
        <v>30086</v>
      </c>
      <c r="AL1673">
        <v>6</v>
      </c>
      <c r="AM1673">
        <v>1910</v>
      </c>
      <c r="AN1673">
        <v>678.47</v>
      </c>
      <c r="AQ1673" t="s">
        <v>16652</v>
      </c>
      <c r="AR1673" t="s">
        <v>16652</v>
      </c>
      <c r="AS1673" t="s">
        <v>16652</v>
      </c>
      <c r="AU1673" t="s">
        <v>396</v>
      </c>
      <c r="AV1673">
        <v>2017</v>
      </c>
      <c r="AW1673" t="str">
        <f>"45-2N-28-525B-0001-0000 "</f>
        <v xml:space="preserve">45-2N-28-525B-0001-0000 </v>
      </c>
      <c r="AX1673">
        <v>94061</v>
      </c>
      <c r="AZ1673" t="s">
        <v>16653</v>
      </c>
      <c r="BA1673" t="s">
        <v>669</v>
      </c>
      <c r="BD1673" t="s">
        <v>11749</v>
      </c>
      <c r="BE1673" t="s">
        <v>393</v>
      </c>
      <c r="BF1673">
        <v>32034</v>
      </c>
      <c r="BG1673" t="s">
        <v>16654</v>
      </c>
      <c r="BH1673" t="s">
        <v>11751</v>
      </c>
      <c r="BI1673">
        <v>-81.541123846824206</v>
      </c>
      <c r="BJ1673">
        <v>30.551056691889499</v>
      </c>
      <c r="BK1673" t="s">
        <v>16655</v>
      </c>
      <c r="BM1673" t="s">
        <v>16656</v>
      </c>
      <c r="BN1673" t="s">
        <v>3983</v>
      </c>
      <c r="BO1673">
        <v>32034</v>
      </c>
      <c r="BP1673" t="s">
        <v>404</v>
      </c>
      <c r="BQ1673">
        <v>200</v>
      </c>
      <c r="BR1673" t="s">
        <v>405</v>
      </c>
      <c r="BS1673">
        <v>1006</v>
      </c>
      <c r="BT1673" t="s">
        <v>406</v>
      </c>
      <c r="BW1673">
        <v>40059</v>
      </c>
      <c r="BX1673" t="s">
        <v>407</v>
      </c>
      <c r="BY1673" t="s">
        <v>4360</v>
      </c>
      <c r="BZ1673">
        <v>4</v>
      </c>
      <c r="CA1673">
        <v>1975</v>
      </c>
      <c r="CB1673">
        <v>1</v>
      </c>
      <c r="CC1673">
        <v>1</v>
      </c>
      <c r="CD1673">
        <v>2017</v>
      </c>
      <c r="CE1673">
        <v>30000</v>
      </c>
      <c r="CF1673">
        <v>9486</v>
      </c>
      <c r="CG1673">
        <v>39486</v>
      </c>
      <c r="CH1673">
        <v>2017</v>
      </c>
      <c r="CI1673">
        <v>30000</v>
      </c>
      <c r="CJ1673">
        <v>9486</v>
      </c>
      <c r="CK1673">
        <v>39486</v>
      </c>
      <c r="CL1673">
        <v>2017</v>
      </c>
      <c r="CM1673">
        <v>597.76</v>
      </c>
      <c r="CN1673" s="1">
        <v>42382</v>
      </c>
      <c r="CO1673">
        <v>35000</v>
      </c>
      <c r="CZ1673" s="1">
        <v>42382</v>
      </c>
      <c r="DD1673" t="s">
        <v>11749</v>
      </c>
      <c r="DG1673">
        <v>45</v>
      </c>
      <c r="DI1673">
        <v>2</v>
      </c>
      <c r="DJ1673" t="s">
        <v>12188</v>
      </c>
      <c r="DL1673">
        <v>50303</v>
      </c>
      <c r="DM1673" t="s">
        <v>16577</v>
      </c>
      <c r="DO1673" t="s">
        <v>16657</v>
      </c>
      <c r="DP1673">
        <v>0</v>
      </c>
      <c r="DQ1673">
        <v>0</v>
      </c>
      <c r="DR1673" t="s">
        <v>411</v>
      </c>
      <c r="EP1673" t="s">
        <v>421</v>
      </c>
      <c r="EQ1673" t="s">
        <v>422</v>
      </c>
      <c r="ER1673">
        <v>0</v>
      </c>
      <c r="ES1673">
        <v>2</v>
      </c>
      <c r="ET1673">
        <v>0</v>
      </c>
      <c r="EU1673">
        <v>0</v>
      </c>
      <c r="EV1673">
        <v>0</v>
      </c>
      <c r="EW1673" s="2">
        <v>43222</v>
      </c>
      <c r="EX1673" s="1">
        <v>42879</v>
      </c>
      <c r="EY1673">
        <v>2016</v>
      </c>
      <c r="EZ1673">
        <v>708.81</v>
      </c>
      <c r="FA1673" t="s">
        <v>16658</v>
      </c>
      <c r="FB1673">
        <v>0.25</v>
      </c>
      <c r="FC1673" t="s">
        <v>424</v>
      </c>
      <c r="FD1673" t="s">
        <v>425</v>
      </c>
      <c r="FE1673" s="1">
        <v>43166</v>
      </c>
      <c r="FF1673">
        <v>10</v>
      </c>
      <c r="FG1673">
        <v>2851116</v>
      </c>
      <c r="FH1673" t="s">
        <v>480</v>
      </c>
      <c r="FJ1673" s="1">
        <v>42879</v>
      </c>
      <c r="FK1673">
        <v>2016</v>
      </c>
      <c r="FL1673">
        <v>708.81</v>
      </c>
      <c r="FM1673" t="s">
        <v>16658</v>
      </c>
      <c r="FN1673">
        <v>0.25</v>
      </c>
      <c r="FO1673" t="s">
        <v>424</v>
      </c>
      <c r="FP1673" t="s">
        <v>425</v>
      </c>
      <c r="FR1673">
        <v>22</v>
      </c>
      <c r="FS1673">
        <v>5098997</v>
      </c>
      <c r="FT1673" t="s">
        <v>16659</v>
      </c>
    </row>
    <row r="1674" spans="1:296" x14ac:dyDescent="0.25">
      <c r="A1674">
        <v>16486681</v>
      </c>
      <c r="B1674">
        <v>1673</v>
      </c>
      <c r="C1674" t="s">
        <v>393</v>
      </c>
      <c r="D1674" t="s">
        <v>394</v>
      </c>
      <c r="F1674" t="str">
        <f>"45-2N-28-525B-0011-0000"</f>
        <v>45-2N-28-525B-0011-0000</v>
      </c>
      <c r="H1674" t="str">
        <f>"ALLISON VENTURES LLC"</f>
        <v>ALLISON VENTURES LLC</v>
      </c>
      <c r="I1674" t="str">
        <f>"96034 SANDY POINTE CR"</f>
        <v>96034 SANDY POINTE CR</v>
      </c>
      <c r="J1674" t="str">
        <f>"FERNANDINA BEACH FL 32034"</f>
        <v>FERNANDINA BEACH FL 32034</v>
      </c>
      <c r="K1674" t="str">
        <f>"94146 DUCK LAKE DR"</f>
        <v>94146 DUCK LAKE DR</v>
      </c>
      <c r="L1674" t="str">
        <f t="shared" si="599"/>
        <v>FERNANDINA BEACH FL 32034</v>
      </c>
      <c r="M1674" t="str">
        <f>"TRACT 11 &amp; PAR 4-1 IN OR 1788/1473 1993 HOMETTE TW/MH PT OF LIVE OAK DR OR 425/187 HOLLY POINT UNIT 2 UNR"</f>
        <v>TRACT 11 &amp; PAR 4-1 IN OR 1788/1473 1993 HOMETTE TW/MH PT OF LIVE OAK DR OR 425/187 HOLLY POINT UNIT 2 UNR</v>
      </c>
      <c r="N1674" t="str">
        <f>""</f>
        <v/>
      </c>
      <c r="O1674" t="str">
        <f>"51665"</f>
        <v>51665</v>
      </c>
      <c r="P1674" t="str">
        <f t="shared" si="597"/>
        <v>2017</v>
      </c>
      <c r="Q1674" t="str">
        <f>""</f>
        <v/>
      </c>
      <c r="R1674" t="str">
        <f t="shared" si="602"/>
        <v>N</v>
      </c>
      <c r="S1674" t="str">
        <f>"0.48"</f>
        <v>0.48</v>
      </c>
      <c r="T1674" t="str">
        <f>"1000.57"</f>
        <v>1000.57</v>
      </c>
      <c r="U1674" t="str">
        <f>"59645.00"</f>
        <v>59645.00</v>
      </c>
      <c r="V1674" t="str">
        <f>"59645.00"</f>
        <v>59645.00</v>
      </c>
      <c r="W1674" t="str">
        <f t="shared" si="598"/>
        <v>2017</v>
      </c>
      <c r="X1674" t="str">
        <f>"15.50"</f>
        <v>15.50</v>
      </c>
      <c r="Y1674" t="str">
        <f>"1062.59"</f>
        <v>1062.59</v>
      </c>
      <c r="Z1674" t="str">
        <f>""</f>
        <v/>
      </c>
      <c r="AA1674" t="str">
        <f>"74439.00"</f>
        <v>74439.00</v>
      </c>
      <c r="AB1674" t="str">
        <f t="shared" si="600"/>
        <v>Residential</v>
      </c>
      <c r="AC1674" t="str">
        <f t="shared" si="588"/>
        <v>0</v>
      </c>
      <c r="AD1674" t="str">
        <f>""</f>
        <v/>
      </c>
      <c r="AE1674" t="str">
        <f>""</f>
        <v/>
      </c>
      <c r="AF1674" t="str">
        <f>"002"</f>
        <v>002</v>
      </c>
      <c r="AG1674" t="str">
        <f t="shared" si="601"/>
        <v>FL</v>
      </c>
      <c r="AH1674" t="str">
        <f>"20908.00"</f>
        <v>20908.00</v>
      </c>
      <c r="AI1674" t="str">
        <f>"35400.00"</f>
        <v>35400.00</v>
      </c>
      <c r="AJ1674" t="str">
        <f>"C55-000-588-4773-2"</f>
        <v>C55-000-588-4773-2</v>
      </c>
      <c r="AK1674" t="str">
        <f>"30095"</f>
        <v>30095</v>
      </c>
      <c r="AL1674">
        <v>6</v>
      </c>
      <c r="AM1674">
        <v>1911</v>
      </c>
      <c r="AN1674">
        <v>1114.1199999999999</v>
      </c>
      <c r="AQ1674" t="s">
        <v>16660</v>
      </c>
      <c r="AR1674" t="s">
        <v>16660</v>
      </c>
      <c r="AS1674" t="s">
        <v>16660</v>
      </c>
      <c r="AU1674" t="s">
        <v>396</v>
      </c>
      <c r="AV1674">
        <v>2017</v>
      </c>
      <c r="AW1674" t="str">
        <f>"45-2N-28-525B-0011-0000 "</f>
        <v xml:space="preserve">45-2N-28-525B-0011-0000 </v>
      </c>
      <c r="AX1674">
        <v>94146</v>
      </c>
      <c r="AZ1674" t="s">
        <v>16653</v>
      </c>
      <c r="BA1674" t="s">
        <v>669</v>
      </c>
      <c r="BD1674" t="s">
        <v>11749</v>
      </c>
      <c r="BE1674" t="s">
        <v>393</v>
      </c>
      <c r="BF1674">
        <v>32034</v>
      </c>
      <c r="BG1674" t="s">
        <v>16661</v>
      </c>
      <c r="BH1674" t="s">
        <v>11751</v>
      </c>
      <c r="BI1674">
        <v>-81.543724624582396</v>
      </c>
      <c r="BJ1674">
        <v>30.5528436522671</v>
      </c>
      <c r="BK1674" t="s">
        <v>12305</v>
      </c>
      <c r="BM1674" t="s">
        <v>12306</v>
      </c>
      <c r="BN1674" t="s">
        <v>3983</v>
      </c>
      <c r="BO1674">
        <v>32034</v>
      </c>
      <c r="BP1674" t="s">
        <v>404</v>
      </c>
      <c r="BQ1674">
        <v>200</v>
      </c>
      <c r="BR1674" t="s">
        <v>405</v>
      </c>
      <c r="BS1674">
        <v>1006</v>
      </c>
      <c r="BT1674" t="s">
        <v>406</v>
      </c>
      <c r="BW1674">
        <v>20908</v>
      </c>
      <c r="BX1674" t="s">
        <v>407</v>
      </c>
      <c r="BY1674" t="s">
        <v>4360</v>
      </c>
      <c r="CA1674">
        <v>1993</v>
      </c>
      <c r="CC1674">
        <v>1</v>
      </c>
      <c r="CD1674">
        <v>2017</v>
      </c>
      <c r="CE1674">
        <v>35400</v>
      </c>
      <c r="CF1674">
        <v>39039</v>
      </c>
      <c r="CG1674">
        <v>74439</v>
      </c>
      <c r="CH1674">
        <v>2017</v>
      </c>
      <c r="CI1674">
        <v>35400</v>
      </c>
      <c r="CJ1674">
        <v>39039</v>
      </c>
      <c r="CK1674">
        <v>74439</v>
      </c>
      <c r="CL1674">
        <v>2017</v>
      </c>
      <c r="CM1674">
        <v>1000.57</v>
      </c>
      <c r="CN1674" s="1">
        <v>41016</v>
      </c>
      <c r="CO1674">
        <v>17500</v>
      </c>
      <c r="CV1674">
        <v>55000</v>
      </c>
      <c r="CX1674" t="s">
        <v>693</v>
      </c>
      <c r="CZ1674" s="1">
        <v>41016</v>
      </c>
      <c r="DA1674">
        <v>0</v>
      </c>
      <c r="DD1674" t="s">
        <v>11749</v>
      </c>
      <c r="DG1674">
        <v>45</v>
      </c>
      <c r="DL1674">
        <v>50303</v>
      </c>
      <c r="DM1674" t="s">
        <v>16577</v>
      </c>
      <c r="DO1674" t="s">
        <v>16662</v>
      </c>
      <c r="DP1674">
        <v>0</v>
      </c>
      <c r="DQ1674">
        <v>0</v>
      </c>
      <c r="DR1674" t="s">
        <v>411</v>
      </c>
      <c r="DS1674" t="b">
        <v>1</v>
      </c>
      <c r="DT1674" t="s">
        <v>8902</v>
      </c>
      <c r="DV1674" t="s">
        <v>446</v>
      </c>
      <c r="DX1674">
        <v>9</v>
      </c>
      <c r="DY1674" t="s">
        <v>11438</v>
      </c>
      <c r="DZ1674" t="s">
        <v>447</v>
      </c>
      <c r="EA1674" t="s">
        <v>448</v>
      </c>
      <c r="EB1674" t="s">
        <v>12074</v>
      </c>
      <c r="EC1674">
        <v>20101217</v>
      </c>
      <c r="ED1674" t="s">
        <v>450</v>
      </c>
      <c r="EE1674">
        <v>7.5</v>
      </c>
      <c r="EF1674">
        <v>0</v>
      </c>
      <c r="EG1674">
        <v>0</v>
      </c>
      <c r="EI1674">
        <v>20160407</v>
      </c>
      <c r="EJ1674">
        <v>0</v>
      </c>
      <c r="EK1674">
        <v>0</v>
      </c>
      <c r="EP1674" t="s">
        <v>421</v>
      </c>
      <c r="EQ1674" t="s">
        <v>422</v>
      </c>
      <c r="ER1674">
        <v>2</v>
      </c>
      <c r="ES1674">
        <v>6</v>
      </c>
      <c r="ET1674">
        <v>1854.42</v>
      </c>
      <c r="EU1674">
        <v>105.22</v>
      </c>
      <c r="EV1674">
        <v>1959.64</v>
      </c>
      <c r="EW1674" s="2">
        <v>43222</v>
      </c>
      <c r="EX1674" s="1">
        <v>42879</v>
      </c>
      <c r="EY1674">
        <v>2016</v>
      </c>
      <c r="EZ1674">
        <v>927.21</v>
      </c>
      <c r="FA1674" t="s">
        <v>16663</v>
      </c>
      <c r="FB1674">
        <v>0.25</v>
      </c>
      <c r="FC1674" t="s">
        <v>424</v>
      </c>
      <c r="FD1674" t="s">
        <v>454</v>
      </c>
      <c r="FF1674">
        <v>12</v>
      </c>
      <c r="FG1674">
        <v>7400234</v>
      </c>
      <c r="FH1674" t="s">
        <v>426</v>
      </c>
      <c r="FJ1674" s="1">
        <v>42879</v>
      </c>
      <c r="FK1674">
        <v>2016</v>
      </c>
      <c r="FL1674">
        <v>927.21</v>
      </c>
      <c r="FM1674" t="s">
        <v>16663</v>
      </c>
      <c r="FN1674">
        <v>0.25</v>
      </c>
      <c r="FO1674" t="s">
        <v>424</v>
      </c>
      <c r="FP1674" t="s">
        <v>454</v>
      </c>
      <c r="FR1674">
        <v>12</v>
      </c>
      <c r="FS1674">
        <v>7562369</v>
      </c>
      <c r="FT1674" t="s">
        <v>16664</v>
      </c>
      <c r="FV1674" s="1">
        <v>42515</v>
      </c>
      <c r="FW1674">
        <v>2015</v>
      </c>
      <c r="FX1674">
        <v>1072.6400000000001</v>
      </c>
      <c r="FY1674" t="s">
        <v>16665</v>
      </c>
      <c r="FZ1674">
        <v>0.25</v>
      </c>
      <c r="GA1674" t="s">
        <v>424</v>
      </c>
      <c r="GB1674" t="s">
        <v>425</v>
      </c>
      <c r="GC1674" s="1">
        <v>43145</v>
      </c>
      <c r="GD1674">
        <v>21</v>
      </c>
      <c r="GE1674">
        <v>11289</v>
      </c>
      <c r="GF1674" t="s">
        <v>787</v>
      </c>
      <c r="GH1674" s="1">
        <v>42515</v>
      </c>
      <c r="GI1674">
        <v>2015</v>
      </c>
      <c r="GJ1674">
        <v>1072.6400000000001</v>
      </c>
      <c r="GK1674" t="s">
        <v>16665</v>
      </c>
      <c r="GL1674">
        <v>0.25</v>
      </c>
      <c r="GM1674" t="s">
        <v>424</v>
      </c>
      <c r="GN1674" t="s">
        <v>425</v>
      </c>
      <c r="GP1674">
        <v>22</v>
      </c>
      <c r="GQ1674">
        <v>5173599</v>
      </c>
      <c r="GR1674" t="s">
        <v>16666</v>
      </c>
      <c r="GT1674" s="1">
        <v>42151</v>
      </c>
      <c r="GU1674">
        <v>2014</v>
      </c>
      <c r="GV1674">
        <v>969.53</v>
      </c>
      <c r="GW1674" t="s">
        <v>16667</v>
      </c>
      <c r="GX1674">
        <v>0.25</v>
      </c>
      <c r="GY1674" t="s">
        <v>424</v>
      </c>
      <c r="GZ1674" t="s">
        <v>425</v>
      </c>
      <c r="HA1674" s="1">
        <v>42787</v>
      </c>
      <c r="HB1674">
        <v>21</v>
      </c>
      <c r="HC1674">
        <v>2101382</v>
      </c>
      <c r="HD1674" t="s">
        <v>993</v>
      </c>
      <c r="HF1674" s="1">
        <v>42151</v>
      </c>
      <c r="HG1674">
        <v>2014</v>
      </c>
      <c r="HH1674">
        <v>969.53</v>
      </c>
      <c r="HI1674" t="s">
        <v>16667</v>
      </c>
      <c r="HJ1674">
        <v>0.25</v>
      </c>
      <c r="HK1674" t="s">
        <v>424</v>
      </c>
      <c r="HL1674" t="s">
        <v>425</v>
      </c>
      <c r="HN1674">
        <v>22</v>
      </c>
      <c r="HO1674">
        <v>5601107</v>
      </c>
      <c r="HP1674" t="s">
        <v>16668</v>
      </c>
      <c r="HR1674" s="1">
        <v>41787</v>
      </c>
      <c r="HS1674">
        <v>2013</v>
      </c>
      <c r="HT1674">
        <v>508.77</v>
      </c>
      <c r="HU1674" t="s">
        <v>16669</v>
      </c>
      <c r="HV1674">
        <v>0.25</v>
      </c>
      <c r="HW1674" t="s">
        <v>424</v>
      </c>
      <c r="HX1674" t="s">
        <v>425</v>
      </c>
      <c r="HY1674" s="1">
        <v>41886</v>
      </c>
      <c r="HZ1674">
        <v>4</v>
      </c>
      <c r="IA1674">
        <v>10125</v>
      </c>
      <c r="IB1674" t="s">
        <v>440</v>
      </c>
      <c r="ID1674" s="1">
        <v>41423</v>
      </c>
      <c r="IE1674">
        <v>2012</v>
      </c>
      <c r="IF1674">
        <v>514.86</v>
      </c>
      <c r="IG1674" t="s">
        <v>16670</v>
      </c>
      <c r="IH1674">
        <v>0.25</v>
      </c>
      <c r="II1674" t="s">
        <v>424</v>
      </c>
      <c r="IJ1674" t="s">
        <v>425</v>
      </c>
      <c r="IK1674" s="1">
        <v>41886</v>
      </c>
      <c r="IL1674">
        <v>16</v>
      </c>
      <c r="IM1674">
        <v>2101385</v>
      </c>
      <c r="IN1674" t="s">
        <v>810</v>
      </c>
    </row>
    <row r="1675" spans="1:296" x14ac:dyDescent="0.25">
      <c r="A1675">
        <v>16486682</v>
      </c>
      <c r="B1675">
        <v>1674</v>
      </c>
      <c r="C1675" t="s">
        <v>393</v>
      </c>
      <c r="D1675" t="s">
        <v>394</v>
      </c>
      <c r="F1675" t="str">
        <f>"45-2N-28-525B-0017-0000"</f>
        <v>45-2N-28-525B-0017-0000</v>
      </c>
      <c r="H1675" t="str">
        <f>"DAVIS MARK D"</f>
        <v>DAVIS MARK D</v>
      </c>
      <c r="I1675" t="str">
        <f>"85217 JOHNSON LN"</f>
        <v>85217 JOHNSON LN</v>
      </c>
      <c r="J1675" t="str">
        <f>"YULEE FL 32097"</f>
        <v>YULEE FL 32097</v>
      </c>
      <c r="K1675" t="str">
        <f>"94204 DUCK LAKE DR"</f>
        <v>94204 DUCK LAKE DR</v>
      </c>
      <c r="L1675" t="str">
        <f t="shared" si="599"/>
        <v>FERNANDINA BEACH FL 32034</v>
      </c>
      <c r="M1675" t="str">
        <f>"TRACT 17 R567717 IN OR 1780/944 HOLLY POINT UNIT 2 UNR"</f>
        <v>TRACT 17 R567717 IN OR 1780/944 HOLLY POINT UNIT 2 UNR</v>
      </c>
      <c r="N1675" t="str">
        <f>""</f>
        <v/>
      </c>
      <c r="O1675" t="str">
        <f>"51671"</f>
        <v>51671</v>
      </c>
      <c r="P1675" t="str">
        <f t="shared" si="597"/>
        <v>2017</v>
      </c>
      <c r="Q1675" t="str">
        <f>""</f>
        <v/>
      </c>
      <c r="R1675" t="str">
        <f t="shared" si="602"/>
        <v>N</v>
      </c>
      <c r="S1675" t="str">
        <f>""</f>
        <v/>
      </c>
      <c r="T1675" t="str">
        <f>"535.59"</f>
        <v>535.59</v>
      </c>
      <c r="U1675" t="str">
        <f>"31884.00"</f>
        <v>31884.00</v>
      </c>
      <c r="V1675" t="str">
        <f>"31884.00"</f>
        <v>31884.00</v>
      </c>
      <c r="W1675" t="str">
        <f t="shared" si="598"/>
        <v>2017</v>
      </c>
      <c r="X1675" t="str">
        <f>"16.11"</f>
        <v>16.11</v>
      </c>
      <c r="Y1675" t="str">
        <f>"583.66"</f>
        <v>583.66</v>
      </c>
      <c r="Z1675" t="str">
        <f>""</f>
        <v/>
      </c>
      <c r="AA1675" t="str">
        <f>"39902.00"</f>
        <v>39902.00</v>
      </c>
      <c r="AB1675" t="str">
        <f t="shared" si="600"/>
        <v>Residential</v>
      </c>
      <c r="AC1675" t="str">
        <f t="shared" si="588"/>
        <v>0</v>
      </c>
      <c r="AD1675" t="str">
        <f>"4"</f>
        <v>4</v>
      </c>
      <c r="AE1675" t="str">
        <f>"WOOD (INCLUDE STEEL STUDS)"</f>
        <v>WOOD (INCLUDE STEEL STUDS)</v>
      </c>
      <c r="AF1675" t="str">
        <f>"002"</f>
        <v>002</v>
      </c>
      <c r="AG1675" t="str">
        <f t="shared" si="601"/>
        <v>FL</v>
      </c>
      <c r="AH1675" t="str">
        <f>"-"</f>
        <v>-</v>
      </c>
      <c r="AI1675" t="str">
        <f>"23400.00"</f>
        <v>23400.00</v>
      </c>
      <c r="AJ1675" t="str">
        <f>"C55-000-588-4779-9"</f>
        <v>C55-000-588-4779-9</v>
      </c>
      <c r="AK1675" t="str">
        <f>"30101"</f>
        <v>30101</v>
      </c>
      <c r="AL1675">
        <v>6</v>
      </c>
      <c r="AM1675">
        <v>1912</v>
      </c>
      <c r="AN1675">
        <v>611.24</v>
      </c>
      <c r="AQ1675" t="s">
        <v>16671</v>
      </c>
      <c r="AR1675" t="s">
        <v>16671</v>
      </c>
      <c r="AS1675" t="s">
        <v>16671</v>
      </c>
      <c r="AU1675" t="s">
        <v>396</v>
      </c>
      <c r="AV1675">
        <v>2017</v>
      </c>
      <c r="AW1675" t="str">
        <f>"45-2N-28-525B-0017-0000 "</f>
        <v xml:space="preserve">45-2N-28-525B-0017-0000 </v>
      </c>
      <c r="AX1675">
        <v>94204</v>
      </c>
      <c r="AZ1675" t="s">
        <v>16653</v>
      </c>
      <c r="BA1675" t="s">
        <v>669</v>
      </c>
      <c r="BD1675" t="s">
        <v>11749</v>
      </c>
      <c r="BE1675" t="s">
        <v>393</v>
      </c>
      <c r="BF1675">
        <v>32034</v>
      </c>
      <c r="BG1675" t="s">
        <v>16672</v>
      </c>
      <c r="BH1675" t="s">
        <v>11751</v>
      </c>
      <c r="BI1675">
        <v>-81.545634148324993</v>
      </c>
      <c r="BJ1675">
        <v>30.552276307455799</v>
      </c>
      <c r="BK1675" t="s">
        <v>16673</v>
      </c>
      <c r="BM1675" t="s">
        <v>16674</v>
      </c>
      <c r="BN1675" t="s">
        <v>1778</v>
      </c>
      <c r="BO1675">
        <v>32097</v>
      </c>
      <c r="BP1675" t="s">
        <v>404</v>
      </c>
      <c r="BQ1675">
        <v>200</v>
      </c>
      <c r="BR1675" t="s">
        <v>405</v>
      </c>
      <c r="BS1675">
        <v>1006</v>
      </c>
      <c r="BT1675" t="s">
        <v>406</v>
      </c>
      <c r="BW1675">
        <v>16748</v>
      </c>
      <c r="BX1675" t="s">
        <v>407</v>
      </c>
      <c r="BY1675" t="s">
        <v>4360</v>
      </c>
      <c r="BZ1675">
        <v>4</v>
      </c>
      <c r="CA1675">
        <v>1991</v>
      </c>
      <c r="CB1675">
        <v>1</v>
      </c>
      <c r="CC1675">
        <v>1</v>
      </c>
      <c r="CD1675">
        <v>2017</v>
      </c>
      <c r="CE1675">
        <v>23400</v>
      </c>
      <c r="CF1675">
        <v>16502</v>
      </c>
      <c r="CG1675">
        <v>39902</v>
      </c>
      <c r="CH1675">
        <v>2017</v>
      </c>
      <c r="CI1675">
        <v>23400</v>
      </c>
      <c r="CJ1675">
        <v>16502</v>
      </c>
      <c r="CK1675">
        <v>39902</v>
      </c>
      <c r="CL1675">
        <v>2017</v>
      </c>
      <c r="CM1675">
        <v>535.59</v>
      </c>
      <c r="CN1675" s="1">
        <v>40949</v>
      </c>
      <c r="CZ1675" s="1">
        <v>40949</v>
      </c>
      <c r="DD1675" t="s">
        <v>11749</v>
      </c>
      <c r="DG1675">
        <v>45</v>
      </c>
      <c r="DI1675">
        <v>2</v>
      </c>
      <c r="DJ1675" t="s">
        <v>12188</v>
      </c>
      <c r="DL1675">
        <v>50303</v>
      </c>
      <c r="DM1675" t="s">
        <v>16577</v>
      </c>
      <c r="DO1675" t="s">
        <v>16675</v>
      </c>
      <c r="DP1675">
        <v>0</v>
      </c>
      <c r="DQ1675">
        <v>0</v>
      </c>
      <c r="DR1675" t="s">
        <v>411</v>
      </c>
      <c r="DS1675" t="b">
        <v>1</v>
      </c>
      <c r="DT1675" t="s">
        <v>8902</v>
      </c>
      <c r="DV1675" t="s">
        <v>446</v>
      </c>
      <c r="DX1675">
        <v>9</v>
      </c>
      <c r="DY1675" t="s">
        <v>11438</v>
      </c>
      <c r="DZ1675" t="s">
        <v>447</v>
      </c>
      <c r="EA1675" t="s">
        <v>448</v>
      </c>
      <c r="EB1675" t="s">
        <v>12074</v>
      </c>
      <c r="EC1675">
        <v>20101217</v>
      </c>
      <c r="ED1675" t="s">
        <v>450</v>
      </c>
      <c r="EE1675">
        <v>7.5</v>
      </c>
      <c r="EF1675">
        <v>0</v>
      </c>
      <c r="EG1675">
        <v>0</v>
      </c>
      <c r="EI1675">
        <v>20160407</v>
      </c>
      <c r="EJ1675">
        <v>0</v>
      </c>
      <c r="EK1675">
        <v>2</v>
      </c>
      <c r="EP1675" t="s">
        <v>421</v>
      </c>
      <c r="EQ1675" t="s">
        <v>452</v>
      </c>
      <c r="ER1675">
        <v>0</v>
      </c>
      <c r="ES1675">
        <v>9</v>
      </c>
      <c r="ET1675">
        <v>0</v>
      </c>
      <c r="EU1675">
        <v>0</v>
      </c>
      <c r="EV1675">
        <v>0</v>
      </c>
      <c r="EW1675" s="2">
        <v>43222</v>
      </c>
      <c r="EX1675" s="1">
        <v>42515</v>
      </c>
      <c r="EY1675">
        <v>2015</v>
      </c>
      <c r="EZ1675">
        <v>579.74</v>
      </c>
      <c r="FA1675" t="s">
        <v>16676</v>
      </c>
      <c r="FB1675">
        <v>0.25</v>
      </c>
      <c r="FC1675" t="s">
        <v>424</v>
      </c>
      <c r="FD1675" t="s">
        <v>425</v>
      </c>
      <c r="FE1675" s="1">
        <v>42849</v>
      </c>
      <c r="FF1675">
        <v>11</v>
      </c>
      <c r="FG1675">
        <v>2851116</v>
      </c>
      <c r="FH1675" t="s">
        <v>480</v>
      </c>
      <c r="FI1675" t="s">
        <v>458</v>
      </c>
      <c r="FJ1675" s="1">
        <v>42515</v>
      </c>
      <c r="FK1675">
        <v>2015</v>
      </c>
      <c r="FL1675">
        <v>579.74</v>
      </c>
      <c r="FM1675" t="s">
        <v>16676</v>
      </c>
      <c r="FN1675">
        <v>0.25</v>
      </c>
      <c r="FO1675" t="s">
        <v>424</v>
      </c>
      <c r="FP1675" t="s">
        <v>425</v>
      </c>
      <c r="FR1675">
        <v>22</v>
      </c>
      <c r="FS1675">
        <v>5012864</v>
      </c>
      <c r="FT1675" t="s">
        <v>16677</v>
      </c>
      <c r="FU1675" t="s">
        <v>458</v>
      </c>
      <c r="FV1675" s="1">
        <v>42151</v>
      </c>
      <c r="FW1675">
        <v>2014</v>
      </c>
      <c r="FX1675">
        <v>519.46</v>
      </c>
      <c r="FY1675" t="s">
        <v>16678</v>
      </c>
      <c r="FZ1675">
        <v>4</v>
      </c>
      <c r="GA1675" t="s">
        <v>424</v>
      </c>
      <c r="GB1675" t="s">
        <v>425</v>
      </c>
      <c r="GD1675">
        <v>22</v>
      </c>
      <c r="GE1675">
        <v>15399</v>
      </c>
      <c r="GF1675" t="s">
        <v>485</v>
      </c>
      <c r="GG1675" t="s">
        <v>458</v>
      </c>
      <c r="GH1675" s="1">
        <v>42151</v>
      </c>
      <c r="GI1675">
        <v>2014</v>
      </c>
      <c r="GJ1675">
        <v>519.46</v>
      </c>
      <c r="GK1675" t="s">
        <v>16678</v>
      </c>
      <c r="GL1675">
        <v>4</v>
      </c>
      <c r="GM1675" t="s">
        <v>424</v>
      </c>
      <c r="GN1675" t="s">
        <v>425</v>
      </c>
      <c r="GP1675">
        <v>22</v>
      </c>
      <c r="GQ1675">
        <v>7045017</v>
      </c>
      <c r="GR1675" t="s">
        <v>7494</v>
      </c>
      <c r="GS1675" t="s">
        <v>458</v>
      </c>
      <c r="GT1675" s="1">
        <v>42151</v>
      </c>
      <c r="GU1675">
        <v>2014</v>
      </c>
      <c r="GV1675">
        <v>519.46</v>
      </c>
      <c r="GW1675" t="s">
        <v>16678</v>
      </c>
      <c r="GX1675">
        <v>4</v>
      </c>
      <c r="GY1675" t="s">
        <v>424</v>
      </c>
      <c r="GZ1675" t="s">
        <v>425</v>
      </c>
      <c r="HB1675">
        <v>22</v>
      </c>
      <c r="HC1675">
        <v>7336692</v>
      </c>
      <c r="HD1675" t="s">
        <v>822</v>
      </c>
      <c r="HE1675" t="s">
        <v>458</v>
      </c>
      <c r="HF1675" s="1">
        <v>42151</v>
      </c>
      <c r="HG1675">
        <v>2014</v>
      </c>
      <c r="HH1675">
        <v>519.46</v>
      </c>
      <c r="HI1675" t="s">
        <v>16678</v>
      </c>
      <c r="HJ1675">
        <v>4</v>
      </c>
      <c r="HK1675" t="s">
        <v>424</v>
      </c>
      <c r="HL1675" t="s">
        <v>425</v>
      </c>
      <c r="HN1675">
        <v>22</v>
      </c>
      <c r="HO1675">
        <v>7336698</v>
      </c>
      <c r="HP1675" t="s">
        <v>823</v>
      </c>
      <c r="HQ1675" t="s">
        <v>458</v>
      </c>
      <c r="HR1675" s="1">
        <v>41787</v>
      </c>
      <c r="HS1675">
        <v>2013</v>
      </c>
      <c r="HT1675">
        <v>600.24</v>
      </c>
      <c r="HU1675" t="s">
        <v>16679</v>
      </c>
      <c r="HV1675">
        <v>0.25</v>
      </c>
      <c r="HW1675" t="s">
        <v>424</v>
      </c>
      <c r="HX1675" t="s">
        <v>425</v>
      </c>
      <c r="HY1675" s="1">
        <v>42058</v>
      </c>
      <c r="HZ1675">
        <v>9</v>
      </c>
      <c r="IA1675">
        <v>10125</v>
      </c>
      <c r="IB1675" t="s">
        <v>440</v>
      </c>
      <c r="ID1675" s="1">
        <v>41423</v>
      </c>
      <c r="IE1675">
        <v>2012</v>
      </c>
      <c r="IF1675">
        <v>620.88</v>
      </c>
      <c r="IG1675" t="s">
        <v>16680</v>
      </c>
      <c r="IH1675">
        <v>0.25</v>
      </c>
      <c r="II1675" t="s">
        <v>424</v>
      </c>
      <c r="IJ1675" t="s">
        <v>425</v>
      </c>
      <c r="IK1675" s="1">
        <v>42058</v>
      </c>
      <c r="IL1675">
        <v>21</v>
      </c>
      <c r="IM1675">
        <v>1625515</v>
      </c>
      <c r="IN1675" t="s">
        <v>487</v>
      </c>
      <c r="IP1675" s="1">
        <v>40688</v>
      </c>
      <c r="IQ1675">
        <v>2010</v>
      </c>
      <c r="IR1675">
        <v>663.81</v>
      </c>
      <c r="IS1675" t="s">
        <v>16681</v>
      </c>
      <c r="IT1675">
        <v>6</v>
      </c>
      <c r="IU1675" t="s">
        <v>424</v>
      </c>
      <c r="IV1675" t="s">
        <v>425</v>
      </c>
      <c r="IW1675" s="1">
        <v>40963</v>
      </c>
      <c r="IX1675">
        <v>9</v>
      </c>
      <c r="IY1675">
        <v>10579</v>
      </c>
      <c r="IZ1675" t="s">
        <v>488</v>
      </c>
    </row>
    <row r="1676" spans="1:296" x14ac:dyDescent="0.25">
      <c r="A1676">
        <v>16486683</v>
      </c>
      <c r="B1676">
        <v>1675</v>
      </c>
      <c r="C1676" t="s">
        <v>393</v>
      </c>
      <c r="D1676" t="s">
        <v>394</v>
      </c>
      <c r="F1676" t="str">
        <f>"45-2N-28-525B-0031-0000"</f>
        <v>45-2N-28-525B-0031-0000</v>
      </c>
      <c r="H1676" t="str">
        <f>"DAVIS SUSAN M"</f>
        <v>DAVIS SUSAN M</v>
      </c>
      <c r="I1676" t="str">
        <f>"94035 MERLIN DR"</f>
        <v>94035 MERLIN DR</v>
      </c>
      <c r="J1676" t="str">
        <f>"FERNANDINA BEACH FL 32034"</f>
        <v>FERNANDINA BEACH FL 32034</v>
      </c>
      <c r="K1676" t="str">
        <f>"94654 DUCK LAKE DR"</f>
        <v>94654 DUCK LAKE DR</v>
      </c>
      <c r="L1676" t="str">
        <f t="shared" si="599"/>
        <v>FERNANDINA BEACH FL 32034</v>
      </c>
      <c r="M1676" t="str">
        <f>"TRACT 31 &amp; 32 R359520 IN OR 2004/1651 HOLLY POINT UNIT 2 UNR"</f>
        <v>TRACT 31 &amp; 32 R359520 IN OR 2004/1651 HOLLY POINT UNIT 2 UNR</v>
      </c>
      <c r="N1676" t="str">
        <f>""</f>
        <v/>
      </c>
      <c r="O1676" t="str">
        <f>"51682"</f>
        <v>51682</v>
      </c>
      <c r="P1676" t="str">
        <f t="shared" si="597"/>
        <v>2017</v>
      </c>
      <c r="Q1676" t="str">
        <f>""</f>
        <v/>
      </c>
      <c r="R1676" t="str">
        <f t="shared" si="602"/>
        <v>N</v>
      </c>
      <c r="S1676" t="str">
        <f>""</f>
        <v/>
      </c>
      <c r="T1676" t="str">
        <f>"1033.06"</f>
        <v>1033.06</v>
      </c>
      <c r="U1676" t="str">
        <f>"68239.00"</f>
        <v>68239.00</v>
      </c>
      <c r="V1676" t="str">
        <f>"68239.00"</f>
        <v>68239.00</v>
      </c>
      <c r="W1676" t="str">
        <f t="shared" si="598"/>
        <v>2017</v>
      </c>
      <c r="X1676" t="str">
        <f>"15.00"</f>
        <v>15.00</v>
      </c>
      <c r="Y1676" t="str">
        <f>"1096.05"</f>
        <v>1096.05</v>
      </c>
      <c r="Z1676" t="str">
        <f>""</f>
        <v/>
      </c>
      <c r="AA1676" t="str">
        <f>"68239.00"</f>
        <v>68239.00</v>
      </c>
      <c r="AB1676" t="str">
        <f t="shared" si="600"/>
        <v>Residential</v>
      </c>
      <c r="AC1676" t="str">
        <f t="shared" si="588"/>
        <v>0</v>
      </c>
      <c r="AD1676" t="str">
        <f>"4"</f>
        <v>4</v>
      </c>
      <c r="AE1676" t="str">
        <f>"WOOD (INCLUDE STEEL STUDS)"</f>
        <v>WOOD (INCLUDE STEEL STUDS)</v>
      </c>
      <c r="AF1676" t="str">
        <f>"002"</f>
        <v>002</v>
      </c>
      <c r="AG1676" t="str">
        <f t="shared" si="601"/>
        <v>FL</v>
      </c>
      <c r="AH1676" t="str">
        <f>"-"</f>
        <v>-</v>
      </c>
      <c r="AI1676" t="str">
        <f>"30000.00"</f>
        <v>30000.00</v>
      </c>
      <c r="AJ1676" t="str">
        <f>"C55-000-588-4790-6"</f>
        <v>C55-000-588-4790-6</v>
      </c>
      <c r="AK1676" t="str">
        <f>"30112"</f>
        <v>30112</v>
      </c>
      <c r="AL1676">
        <v>6</v>
      </c>
      <c r="AM1676">
        <v>1913</v>
      </c>
      <c r="AN1676">
        <v>1149.25</v>
      </c>
      <c r="AQ1676" t="s">
        <v>16682</v>
      </c>
      <c r="AR1676" t="s">
        <v>16682</v>
      </c>
      <c r="AS1676" t="s">
        <v>16682</v>
      </c>
      <c r="AU1676" t="s">
        <v>396</v>
      </c>
      <c r="AV1676">
        <v>2017</v>
      </c>
      <c r="AW1676" t="str">
        <f>"45-2N-28-525B-0031-0000 "</f>
        <v xml:space="preserve">45-2N-28-525B-0031-0000 </v>
      </c>
      <c r="AX1676">
        <v>94654</v>
      </c>
      <c r="AZ1676" t="s">
        <v>16653</v>
      </c>
      <c r="BA1676" t="s">
        <v>669</v>
      </c>
      <c r="BD1676" t="s">
        <v>11749</v>
      </c>
      <c r="BE1676" t="s">
        <v>393</v>
      </c>
      <c r="BF1676">
        <v>32034</v>
      </c>
      <c r="BG1676" t="s">
        <v>16683</v>
      </c>
      <c r="BH1676" t="s">
        <v>11751</v>
      </c>
      <c r="BI1676">
        <v>-81.543058089908698</v>
      </c>
      <c r="BJ1676">
        <v>30.551510741799</v>
      </c>
      <c r="BK1676" t="s">
        <v>16655</v>
      </c>
      <c r="BM1676" t="s">
        <v>16656</v>
      </c>
      <c r="BN1676" t="s">
        <v>3983</v>
      </c>
      <c r="BO1676">
        <v>32034</v>
      </c>
      <c r="BP1676" t="s">
        <v>404</v>
      </c>
      <c r="BQ1676">
        <v>200</v>
      </c>
      <c r="BR1676" t="s">
        <v>405</v>
      </c>
      <c r="BS1676">
        <v>1006</v>
      </c>
      <c r="BT1676" t="s">
        <v>406</v>
      </c>
      <c r="BW1676">
        <v>40001</v>
      </c>
      <c r="BX1676" t="s">
        <v>407</v>
      </c>
      <c r="BY1676" t="s">
        <v>4360</v>
      </c>
      <c r="BZ1676">
        <v>4</v>
      </c>
      <c r="CA1676">
        <v>1969</v>
      </c>
      <c r="CB1676">
        <v>1</v>
      </c>
      <c r="CC1676">
        <v>2</v>
      </c>
      <c r="CD1676">
        <v>2017</v>
      </c>
      <c r="CE1676">
        <v>30000</v>
      </c>
      <c r="CF1676">
        <v>38239</v>
      </c>
      <c r="CG1676">
        <v>68239</v>
      </c>
      <c r="CH1676">
        <v>2017</v>
      </c>
      <c r="CI1676">
        <v>30000</v>
      </c>
      <c r="CJ1676">
        <v>38239</v>
      </c>
      <c r="CK1676">
        <v>68239</v>
      </c>
      <c r="CL1676">
        <v>2017</v>
      </c>
      <c r="CM1676">
        <v>1033.06</v>
      </c>
      <c r="CN1676" s="1">
        <v>42271</v>
      </c>
      <c r="CZ1676" s="1">
        <v>42271</v>
      </c>
      <c r="DD1676" t="s">
        <v>11749</v>
      </c>
      <c r="DG1676">
        <v>45</v>
      </c>
      <c r="DI1676">
        <v>2</v>
      </c>
      <c r="DL1676">
        <v>50303</v>
      </c>
      <c r="DM1676" t="s">
        <v>16577</v>
      </c>
      <c r="DO1676" t="s">
        <v>16684</v>
      </c>
      <c r="DP1676">
        <v>0</v>
      </c>
      <c r="DQ1676">
        <v>0</v>
      </c>
      <c r="DR1676" t="s">
        <v>411</v>
      </c>
      <c r="DS1676" t="b">
        <v>1</v>
      </c>
      <c r="DT1676" t="s">
        <v>8902</v>
      </c>
      <c r="DV1676" t="s">
        <v>446</v>
      </c>
      <c r="DX1676">
        <v>9</v>
      </c>
      <c r="DY1676" t="s">
        <v>11438</v>
      </c>
      <c r="DZ1676" t="s">
        <v>447</v>
      </c>
      <c r="EA1676" t="s">
        <v>448</v>
      </c>
      <c r="EB1676" t="s">
        <v>12074</v>
      </c>
      <c r="EC1676">
        <v>20101217</v>
      </c>
      <c r="ED1676" t="s">
        <v>450</v>
      </c>
      <c r="EE1676">
        <v>7.5</v>
      </c>
      <c r="EF1676">
        <v>0</v>
      </c>
      <c r="EG1676">
        <v>0</v>
      </c>
      <c r="EI1676">
        <v>20160407</v>
      </c>
      <c r="EJ1676">
        <v>0</v>
      </c>
      <c r="EK1676">
        <v>0</v>
      </c>
      <c r="EP1676" t="s">
        <v>421</v>
      </c>
      <c r="EQ1676" t="s">
        <v>422</v>
      </c>
      <c r="ER1676">
        <v>0</v>
      </c>
      <c r="ES1676">
        <v>11</v>
      </c>
      <c r="ET1676">
        <v>0</v>
      </c>
      <c r="EU1676">
        <v>0</v>
      </c>
      <c r="EV1676">
        <v>0</v>
      </c>
      <c r="EW1676" s="2">
        <v>43222</v>
      </c>
      <c r="EX1676" s="1">
        <v>42879</v>
      </c>
      <c r="EY1676">
        <v>2016</v>
      </c>
      <c r="EZ1676">
        <v>1142.6600000000001</v>
      </c>
      <c r="FA1676" t="s">
        <v>16685</v>
      </c>
      <c r="FB1676">
        <v>0.25</v>
      </c>
      <c r="FC1676" t="s">
        <v>424</v>
      </c>
      <c r="FD1676" t="s">
        <v>425</v>
      </c>
      <c r="FE1676" s="1">
        <v>43166</v>
      </c>
      <c r="FF1676">
        <v>10</v>
      </c>
      <c r="FG1676">
        <v>2851116</v>
      </c>
      <c r="FH1676" t="s">
        <v>480</v>
      </c>
      <c r="FJ1676" s="1">
        <v>42879</v>
      </c>
      <c r="FK1676">
        <v>2016</v>
      </c>
      <c r="FL1676">
        <v>1142.6600000000001</v>
      </c>
      <c r="FM1676" t="s">
        <v>16685</v>
      </c>
      <c r="FN1676">
        <v>0.25</v>
      </c>
      <c r="FO1676" t="s">
        <v>424</v>
      </c>
      <c r="FP1676" t="s">
        <v>425</v>
      </c>
      <c r="FR1676">
        <v>22</v>
      </c>
      <c r="FS1676">
        <v>5320432</v>
      </c>
      <c r="FT1676" t="s">
        <v>16686</v>
      </c>
      <c r="FV1676" s="1">
        <v>42515</v>
      </c>
      <c r="FW1676">
        <v>2015</v>
      </c>
      <c r="FX1676">
        <v>1000.82</v>
      </c>
      <c r="FY1676" t="s">
        <v>16687</v>
      </c>
      <c r="FZ1676">
        <v>0.25</v>
      </c>
      <c r="GA1676" t="s">
        <v>424</v>
      </c>
      <c r="GB1676" t="s">
        <v>425</v>
      </c>
      <c r="GC1676" s="1">
        <v>43031</v>
      </c>
      <c r="GD1676">
        <v>17</v>
      </c>
      <c r="GE1676">
        <v>2851116</v>
      </c>
      <c r="GF1676" t="s">
        <v>480</v>
      </c>
      <c r="GH1676" s="1">
        <v>42515</v>
      </c>
      <c r="GI1676">
        <v>2015</v>
      </c>
      <c r="GJ1676">
        <v>1000.82</v>
      </c>
      <c r="GK1676" t="s">
        <v>16687</v>
      </c>
      <c r="GL1676">
        <v>0.25</v>
      </c>
      <c r="GM1676" t="s">
        <v>424</v>
      </c>
      <c r="GN1676" t="s">
        <v>425</v>
      </c>
      <c r="GP1676">
        <v>22</v>
      </c>
      <c r="GQ1676">
        <v>5512157</v>
      </c>
      <c r="GR1676" t="s">
        <v>16688</v>
      </c>
      <c r="GT1676" s="1">
        <v>42151</v>
      </c>
      <c r="GU1676">
        <v>2014</v>
      </c>
      <c r="GV1676">
        <v>916.92</v>
      </c>
      <c r="GW1676" t="s">
        <v>16689</v>
      </c>
      <c r="GX1676">
        <v>0.25</v>
      </c>
      <c r="GY1676" t="s">
        <v>424</v>
      </c>
      <c r="GZ1676" t="s">
        <v>425</v>
      </c>
      <c r="HA1676" s="1">
        <v>42270</v>
      </c>
      <c r="HB1676">
        <v>4</v>
      </c>
      <c r="HC1676">
        <v>2851116</v>
      </c>
      <c r="HD1676" t="s">
        <v>480</v>
      </c>
      <c r="HF1676" s="1">
        <v>42151</v>
      </c>
      <c r="HG1676">
        <v>2014</v>
      </c>
      <c r="HH1676">
        <v>916.92</v>
      </c>
      <c r="HI1676" t="s">
        <v>16689</v>
      </c>
      <c r="HJ1676">
        <v>0.25</v>
      </c>
      <c r="HK1676" t="s">
        <v>424</v>
      </c>
      <c r="HL1676" t="s">
        <v>425</v>
      </c>
      <c r="HN1676">
        <v>22</v>
      </c>
      <c r="HO1676">
        <v>4892609</v>
      </c>
      <c r="HP1676" t="s">
        <v>16690</v>
      </c>
      <c r="HR1676" s="1">
        <v>41787</v>
      </c>
      <c r="HS1676">
        <v>2013</v>
      </c>
      <c r="HT1676">
        <v>949.41</v>
      </c>
      <c r="HU1676" t="s">
        <v>16691</v>
      </c>
      <c r="HV1676">
        <v>0.25</v>
      </c>
      <c r="HW1676" t="s">
        <v>424</v>
      </c>
      <c r="HX1676" t="s">
        <v>425</v>
      </c>
      <c r="HY1676" s="1">
        <v>42270</v>
      </c>
      <c r="HZ1676">
        <v>16</v>
      </c>
      <c r="IA1676">
        <v>305</v>
      </c>
      <c r="IB1676" t="s">
        <v>1078</v>
      </c>
      <c r="ID1676" s="1">
        <v>41423</v>
      </c>
      <c r="IE1676">
        <v>2012</v>
      </c>
      <c r="IF1676">
        <v>1077.8399999999999</v>
      </c>
      <c r="IG1676" t="s">
        <v>16692</v>
      </c>
      <c r="IH1676">
        <v>0.25</v>
      </c>
      <c r="II1676" t="s">
        <v>424</v>
      </c>
      <c r="IJ1676" t="s">
        <v>425</v>
      </c>
      <c r="IK1676" s="1">
        <v>42086</v>
      </c>
      <c r="IL1676">
        <v>22</v>
      </c>
      <c r="IM1676">
        <v>606981</v>
      </c>
      <c r="IN1676" t="s">
        <v>792</v>
      </c>
      <c r="IP1676" s="1">
        <v>41052</v>
      </c>
      <c r="IQ1676">
        <v>2011</v>
      </c>
      <c r="IR1676">
        <v>1181.69</v>
      </c>
      <c r="IS1676" t="s">
        <v>16693</v>
      </c>
      <c r="IT1676">
        <v>5.75</v>
      </c>
      <c r="IU1676" t="s">
        <v>424</v>
      </c>
      <c r="IV1676" t="s">
        <v>425</v>
      </c>
      <c r="IW1676" s="1">
        <v>41717</v>
      </c>
      <c r="IX1676">
        <v>22</v>
      </c>
      <c r="IY1676">
        <v>1625515</v>
      </c>
      <c r="IZ1676" t="s">
        <v>487</v>
      </c>
      <c r="JB1676" s="1">
        <v>41052</v>
      </c>
      <c r="JC1676">
        <v>2011</v>
      </c>
      <c r="JD1676">
        <v>1181.69</v>
      </c>
      <c r="JE1676" t="s">
        <v>16693</v>
      </c>
      <c r="JF1676">
        <v>5.75</v>
      </c>
      <c r="JG1676" t="s">
        <v>424</v>
      </c>
      <c r="JH1676" t="s">
        <v>425</v>
      </c>
      <c r="JJ1676">
        <v>22</v>
      </c>
      <c r="JK1676">
        <v>10579</v>
      </c>
      <c r="JL1676" t="s">
        <v>488</v>
      </c>
      <c r="JN1676" s="1">
        <v>40688</v>
      </c>
      <c r="JO1676">
        <v>2010</v>
      </c>
      <c r="JP1676">
        <v>1325.98</v>
      </c>
      <c r="JQ1676" t="s">
        <v>16694</v>
      </c>
      <c r="JR1676">
        <v>6</v>
      </c>
      <c r="JS1676" t="s">
        <v>424</v>
      </c>
      <c r="JT1676" t="s">
        <v>425</v>
      </c>
      <c r="JU1676" s="1">
        <v>41354</v>
      </c>
      <c r="JV1676">
        <v>22</v>
      </c>
      <c r="JW1676">
        <v>10579</v>
      </c>
      <c r="JX1676" t="s">
        <v>488</v>
      </c>
    </row>
    <row r="1677" spans="1:296" x14ac:dyDescent="0.25">
      <c r="A1677">
        <v>16486684</v>
      </c>
      <c r="B1677">
        <v>1676</v>
      </c>
      <c r="C1677" t="s">
        <v>393</v>
      </c>
      <c r="D1677" t="s">
        <v>394</v>
      </c>
      <c r="F1677" t="str">
        <f>"45-2N-28-525B-0034-0000"</f>
        <v>45-2N-28-525B-0034-0000</v>
      </c>
      <c r="H1677" t="str">
        <f>"NICHOLS LINDA R &amp; PAUL E"</f>
        <v>NICHOLS LINDA R &amp; PAUL E</v>
      </c>
      <c r="I1677" t="str">
        <f>"94634 DUCK LAKE DRIVE"</f>
        <v>94634 DUCK LAKE DRIVE</v>
      </c>
      <c r="J1677" t="str">
        <f>"FERNANDINA BEACH FL 32034"</f>
        <v>FERNANDINA BEACH FL 32034</v>
      </c>
      <c r="K1677" t="str">
        <f>"DUCK LAKE DR"</f>
        <v>DUCK LAKE DR</v>
      </c>
      <c r="L1677" t="str">
        <f t="shared" si="599"/>
        <v>FERNANDINA BEACH FL 32034</v>
      </c>
      <c r="M1677" t="str">
        <f>"TRACT 34 IN OR 1076/928 HOLLY POINT UNIT 2 UNR"</f>
        <v>TRACT 34 IN OR 1076/928 HOLLY POINT UNIT 2 UNR</v>
      </c>
      <c r="N1677" t="str">
        <f>""</f>
        <v/>
      </c>
      <c r="O1677" t="str">
        <f>"51684"</f>
        <v>51684</v>
      </c>
      <c r="P1677" t="str">
        <f t="shared" si="597"/>
        <v>2017</v>
      </c>
      <c r="Q1677" t="str">
        <f>""</f>
        <v/>
      </c>
      <c r="R1677" t="str">
        <f t="shared" si="602"/>
        <v>N</v>
      </c>
      <c r="S1677" t="str">
        <f>""</f>
        <v/>
      </c>
      <c r="T1677" t="str">
        <f>"227.09"</f>
        <v>227.09</v>
      </c>
      <c r="U1677" t="str">
        <f>"15000.00"</f>
        <v>15000.00</v>
      </c>
      <c r="V1677" t="str">
        <f>"15000.00"</f>
        <v>15000.00</v>
      </c>
      <c r="W1677" t="str">
        <f t="shared" si="598"/>
        <v>2017</v>
      </c>
      <c r="X1677" t="str">
        <f>""</f>
        <v/>
      </c>
      <c r="Y1677" t="str">
        <f>"265.90"</f>
        <v>265.90</v>
      </c>
      <c r="Z1677" t="str">
        <f>""</f>
        <v/>
      </c>
      <c r="AA1677" t="str">
        <f>"15000.00"</f>
        <v>15000.00</v>
      </c>
      <c r="AB1677" t="str">
        <f t="shared" si="600"/>
        <v>Residential</v>
      </c>
      <c r="AC1677" t="str">
        <f t="shared" si="588"/>
        <v>0</v>
      </c>
      <c r="AD1677" t="str">
        <f>""</f>
        <v/>
      </c>
      <c r="AE1677" t="str">
        <f>""</f>
        <v/>
      </c>
      <c r="AF1677" t="str">
        <f>"000"</f>
        <v>000</v>
      </c>
      <c r="AG1677" t="str">
        <f t="shared" si="601"/>
        <v>FL</v>
      </c>
      <c r="AH1677" t="str">
        <f>"20037.00"</f>
        <v>20037.00</v>
      </c>
      <c r="AI1677" t="str">
        <f>"15000.00"</f>
        <v>15000.00</v>
      </c>
      <c r="AJ1677" t="str">
        <f>"C55-000-588-4792-2"</f>
        <v>C55-000-588-4792-2</v>
      </c>
      <c r="AK1677" t="str">
        <f>"30114"</f>
        <v>30114</v>
      </c>
      <c r="AL1677">
        <v>6</v>
      </c>
      <c r="AM1677">
        <v>1914</v>
      </c>
      <c r="AN1677">
        <v>277.60000000000002</v>
      </c>
      <c r="AQ1677" t="s">
        <v>16695</v>
      </c>
      <c r="AR1677" t="s">
        <v>16695</v>
      </c>
      <c r="AS1677" t="s">
        <v>16695</v>
      </c>
      <c r="AU1677" t="s">
        <v>396</v>
      </c>
      <c r="AV1677">
        <v>2017</v>
      </c>
      <c r="AW1677" t="str">
        <f>"45-2N-28-525B-0034-0000 "</f>
        <v xml:space="preserve">45-2N-28-525B-0034-0000 </v>
      </c>
      <c r="AZ1677" t="s">
        <v>16653</v>
      </c>
      <c r="BA1677" t="s">
        <v>669</v>
      </c>
      <c r="BD1677" t="s">
        <v>11749</v>
      </c>
      <c r="BE1677" t="s">
        <v>393</v>
      </c>
      <c r="BF1677">
        <v>32034</v>
      </c>
      <c r="BG1677" t="s">
        <v>16696</v>
      </c>
      <c r="BH1677" t="s">
        <v>11751</v>
      </c>
      <c r="BK1677" t="s">
        <v>16697</v>
      </c>
      <c r="BM1677" t="s">
        <v>16698</v>
      </c>
      <c r="BN1677" t="s">
        <v>3983</v>
      </c>
      <c r="BO1677">
        <v>32034</v>
      </c>
      <c r="BQ1677">
        <v>0</v>
      </c>
      <c r="BR1677" t="s">
        <v>491</v>
      </c>
      <c r="BS1677">
        <v>8001</v>
      </c>
      <c r="BT1677" t="s">
        <v>492</v>
      </c>
      <c r="BW1677">
        <v>20037</v>
      </c>
      <c r="BX1677" t="s">
        <v>407</v>
      </c>
      <c r="CD1677">
        <v>2017</v>
      </c>
      <c r="CE1677">
        <v>15000</v>
      </c>
      <c r="CG1677">
        <v>15000</v>
      </c>
      <c r="CH1677">
        <v>2017</v>
      </c>
      <c r="CI1677">
        <v>15000</v>
      </c>
      <c r="CK1677">
        <v>15000</v>
      </c>
      <c r="CL1677">
        <v>2017</v>
      </c>
      <c r="CM1677">
        <v>227.09</v>
      </c>
      <c r="DD1677" t="s">
        <v>11749</v>
      </c>
      <c r="DM1677" t="s">
        <v>16577</v>
      </c>
      <c r="DO1677" t="s">
        <v>16699</v>
      </c>
    </row>
    <row r="1678" spans="1:296" x14ac:dyDescent="0.25">
      <c r="A1678">
        <v>16486685</v>
      </c>
      <c r="B1678">
        <v>1677</v>
      </c>
      <c r="C1678" t="s">
        <v>393</v>
      </c>
      <c r="D1678" t="s">
        <v>394</v>
      </c>
      <c r="F1678" t="str">
        <f>"45-2N-28-525B-0039-0000"</f>
        <v>45-2N-28-525B-0039-0000</v>
      </c>
      <c r="H1678" t="str">
        <f>"SCOTT-CHUNG MEIBECK LEE TRSTEE OF SCOTT-CHUNG FAMILY TRUST"</f>
        <v>SCOTT-CHUNG MEIBECK LEE TRSTEE OF SCOTT-CHUNG FAMILY TRUST</v>
      </c>
      <c r="I1678" t="str">
        <f>"1717 16TH AVENUE"</f>
        <v>1717 16TH AVENUE</v>
      </c>
      <c r="J1678" t="str">
        <f>"OAKLAND CA 94606"</f>
        <v>OAKLAND CA 94606</v>
      </c>
      <c r="K1678" t="str">
        <f>"WINTERBERRY AV"</f>
        <v>WINTERBERRY AV</v>
      </c>
      <c r="L1678" t="str">
        <f t="shared" si="599"/>
        <v>FERNANDINA BEACH FL 32034</v>
      </c>
      <c r="M1678" t="str">
        <f>"TRACT 39 IN OR 1491/1082 HOLLY POINT UNIT 2 UNR"</f>
        <v>TRACT 39 IN OR 1491/1082 HOLLY POINT UNIT 2 UNR</v>
      </c>
      <c r="N1678" t="str">
        <f>""</f>
        <v/>
      </c>
      <c r="O1678" t="str">
        <f>"51688"</f>
        <v>51688</v>
      </c>
      <c r="P1678" t="str">
        <f t="shared" si="597"/>
        <v>2017</v>
      </c>
      <c r="Q1678" t="str">
        <f>""</f>
        <v/>
      </c>
      <c r="R1678" t="str">
        <f t="shared" si="602"/>
        <v>N</v>
      </c>
      <c r="S1678" t="str">
        <f>""</f>
        <v/>
      </c>
      <c r="T1678" t="str">
        <f>"227.09"</f>
        <v>227.09</v>
      </c>
      <c r="U1678" t="str">
        <f>"15000.00"</f>
        <v>15000.00</v>
      </c>
      <c r="V1678" t="str">
        <f>"15000.00"</f>
        <v>15000.00</v>
      </c>
      <c r="W1678" t="str">
        <f t="shared" si="598"/>
        <v>2017</v>
      </c>
      <c r="X1678" t="str">
        <f>"1.00"</f>
        <v>1.00</v>
      </c>
      <c r="Y1678" t="str">
        <f>"265.90"</f>
        <v>265.90</v>
      </c>
      <c r="Z1678" t="str">
        <f>""</f>
        <v/>
      </c>
      <c r="AA1678" t="str">
        <f>"15000.00"</f>
        <v>15000.00</v>
      </c>
      <c r="AB1678" t="str">
        <f t="shared" si="600"/>
        <v>Residential</v>
      </c>
      <c r="AC1678" t="str">
        <f t="shared" si="588"/>
        <v>0</v>
      </c>
      <c r="AD1678" t="str">
        <f>""</f>
        <v/>
      </c>
      <c r="AE1678" t="str">
        <f>""</f>
        <v/>
      </c>
      <c r="AF1678" t="str">
        <f>"000"</f>
        <v>000</v>
      </c>
      <c r="AG1678" t="str">
        <f>"CA"</f>
        <v>CA</v>
      </c>
      <c r="AH1678" t="str">
        <f>"-"</f>
        <v>-</v>
      </c>
      <c r="AI1678" t="str">
        <f>"15000.00"</f>
        <v>15000.00</v>
      </c>
      <c r="AJ1678" t="str">
        <f>"C55-000-588-4796-3"</f>
        <v>C55-000-588-4796-3</v>
      </c>
      <c r="AK1678" t="str">
        <f>"30118"</f>
        <v>30118</v>
      </c>
      <c r="AL1678">
        <v>6</v>
      </c>
      <c r="AM1678">
        <v>1915</v>
      </c>
      <c r="AN1678">
        <v>277.60000000000002</v>
      </c>
      <c r="AQ1678" t="s">
        <v>16700</v>
      </c>
      <c r="AR1678" t="s">
        <v>16700</v>
      </c>
      <c r="AS1678" t="s">
        <v>16700</v>
      </c>
      <c r="AU1678" t="s">
        <v>396</v>
      </c>
      <c r="AV1678">
        <v>2017</v>
      </c>
      <c r="AW1678" t="str">
        <f>"45-2N-28-525B-0039-0000 "</f>
        <v xml:space="preserve">45-2N-28-525B-0039-0000 </v>
      </c>
      <c r="AZ1678" t="s">
        <v>16623</v>
      </c>
      <c r="BA1678" t="s">
        <v>1122</v>
      </c>
      <c r="BD1678" t="s">
        <v>11749</v>
      </c>
      <c r="BE1678" t="s">
        <v>393</v>
      </c>
      <c r="BF1678">
        <v>32034</v>
      </c>
      <c r="BG1678" t="s">
        <v>16624</v>
      </c>
      <c r="BH1678" t="s">
        <v>11751</v>
      </c>
      <c r="BI1678">
        <v>-81.539370732884095</v>
      </c>
      <c r="BJ1678">
        <v>30.549571994038502</v>
      </c>
      <c r="BK1678" t="s">
        <v>16701</v>
      </c>
      <c r="BM1678" t="s">
        <v>16702</v>
      </c>
      <c r="BN1678" t="s">
        <v>16703</v>
      </c>
      <c r="BO1678">
        <v>94606</v>
      </c>
      <c r="BP1678" t="s">
        <v>404</v>
      </c>
      <c r="BQ1678">
        <v>0</v>
      </c>
      <c r="BR1678" t="s">
        <v>491</v>
      </c>
      <c r="BS1678">
        <v>8001</v>
      </c>
      <c r="BT1678" t="s">
        <v>492</v>
      </c>
      <c r="BW1678">
        <v>21339</v>
      </c>
      <c r="BX1678" t="s">
        <v>407</v>
      </c>
      <c r="BY1678" t="s">
        <v>4360</v>
      </c>
      <c r="CD1678">
        <v>2017</v>
      </c>
      <c r="CE1678">
        <v>15000</v>
      </c>
      <c r="CG1678">
        <v>15000</v>
      </c>
      <c r="CH1678">
        <v>2017</v>
      </c>
      <c r="CI1678">
        <v>15000</v>
      </c>
      <c r="CK1678">
        <v>15000</v>
      </c>
      <c r="CL1678">
        <v>2017</v>
      </c>
      <c r="CM1678">
        <v>227.09</v>
      </c>
      <c r="CN1678" s="1">
        <v>39182</v>
      </c>
      <c r="CZ1678" s="1">
        <v>39182</v>
      </c>
      <c r="DD1678" t="s">
        <v>11749</v>
      </c>
      <c r="DG1678">
        <v>45</v>
      </c>
      <c r="DI1678">
        <v>2</v>
      </c>
      <c r="DJ1678" t="s">
        <v>12188</v>
      </c>
      <c r="DL1678">
        <v>50303</v>
      </c>
      <c r="DM1678" t="s">
        <v>16577</v>
      </c>
      <c r="DO1678" t="s">
        <v>16704</v>
      </c>
      <c r="DP1678">
        <v>0</v>
      </c>
      <c r="DQ1678">
        <v>0</v>
      </c>
      <c r="DR1678" t="s">
        <v>411</v>
      </c>
    </row>
    <row r="1679" spans="1:296" x14ac:dyDescent="0.25">
      <c r="A1679">
        <v>16486686</v>
      </c>
      <c r="B1679">
        <v>1678</v>
      </c>
      <c r="C1679" t="s">
        <v>393</v>
      </c>
      <c r="D1679" t="s">
        <v>394</v>
      </c>
      <c r="F1679" t="str">
        <f>"45-2N-28-525C-0005-0000"</f>
        <v>45-2N-28-525C-0005-0000</v>
      </c>
      <c r="H1679" t="str">
        <f>"BEST ALVIN E III &amp; MABEL J"</f>
        <v>BEST ALVIN E III &amp; MABEL J</v>
      </c>
      <c r="I1679" t="str">
        <f>"94070 WINTERBERRY AV"</f>
        <v>94070 WINTERBERRY AV</v>
      </c>
      <c r="J1679" t="str">
        <f>"FERNANDINA BEACH FL 32034"</f>
        <v>FERNANDINA BEACH FL 32034</v>
      </c>
      <c r="K1679" t="str">
        <f>"94070 WINTERBERRY AVE"</f>
        <v>94070 WINTERBERRY AVE</v>
      </c>
      <c r="L1679" t="str">
        <f t="shared" si="599"/>
        <v>FERNANDINA BEACH FL 32034</v>
      </c>
      <c r="M1679" t="str">
        <f>"TRACTS 5 6 &amp; 10 IN OR 1779/588 &amp; 765/1183 HOLLY POINT UNIT 3 UNR {1996 MERI DW/MH} {R672557 &amp; R672558}"</f>
        <v>TRACTS 5 6 &amp; 10 IN OR 1779/588 &amp; 765/1183 HOLLY POINT UNIT 3 UNR {1996 MERI DW/MH} {R672557 &amp; R672558}</v>
      </c>
      <c r="N1679" t="str">
        <f>""</f>
        <v/>
      </c>
      <c r="O1679" t="str">
        <f>"51703"</f>
        <v>51703</v>
      </c>
      <c r="P1679" t="str">
        <f t="shared" si="597"/>
        <v>2017</v>
      </c>
      <c r="Q1679" t="str">
        <f>""</f>
        <v/>
      </c>
      <c r="R1679" t="str">
        <f>"Y"</f>
        <v>Y</v>
      </c>
      <c r="S1679" t="str">
        <f>""</f>
        <v/>
      </c>
      <c r="T1679" t="str">
        <f>"863.97"</f>
        <v>863.97</v>
      </c>
      <c r="U1679" t="str">
        <f>"93278.00"</f>
        <v>93278.00</v>
      </c>
      <c r="V1679" t="str">
        <f>"93278.00"</f>
        <v>93278.00</v>
      </c>
      <c r="W1679" t="str">
        <f t="shared" si="598"/>
        <v>2017</v>
      </c>
      <c r="X1679" t="str">
        <f>"8.75"</f>
        <v>8.75</v>
      </c>
      <c r="Y1679" t="str">
        <f>"921.89"</f>
        <v>921.89</v>
      </c>
      <c r="Z1679" t="str">
        <f>"25000.00"</f>
        <v>25000.00</v>
      </c>
      <c r="AA1679" t="str">
        <f>"68278.00"</f>
        <v>68278.00</v>
      </c>
      <c r="AB1679" t="str">
        <f t="shared" si="600"/>
        <v>Residential</v>
      </c>
      <c r="AC1679" t="str">
        <f t="shared" si="588"/>
        <v>0</v>
      </c>
      <c r="AD1679" t="str">
        <f>"4"</f>
        <v>4</v>
      </c>
      <c r="AE1679" t="str">
        <f>"WOOD (INCLUDE STEEL STUDS)"</f>
        <v>WOOD (INCLUDE STEEL STUDS)</v>
      </c>
      <c r="AF1679" t="str">
        <f>"002"</f>
        <v>002</v>
      </c>
      <c r="AG1679" t="str">
        <f t="shared" ref="AG1679:AG1713" si="603">"FL"</f>
        <v>FL</v>
      </c>
      <c r="AH1679" t="str">
        <f>"59756.00"</f>
        <v>59756.00</v>
      </c>
      <c r="AI1679" t="str">
        <f>"36000.00"</f>
        <v>36000.00</v>
      </c>
      <c r="AJ1679" t="str">
        <f>"C55-000-588-4810-2"</f>
        <v>C55-000-588-4810-2</v>
      </c>
      <c r="AK1679" t="str">
        <f>"30132"</f>
        <v>30132</v>
      </c>
      <c r="AL1679">
        <v>6</v>
      </c>
      <c r="AM1679">
        <v>1916</v>
      </c>
      <c r="AN1679">
        <v>966.38</v>
      </c>
      <c r="AQ1679" t="s">
        <v>16705</v>
      </c>
      <c r="AR1679" t="s">
        <v>16705</v>
      </c>
      <c r="AS1679" t="s">
        <v>16705</v>
      </c>
      <c r="AU1679" t="s">
        <v>396</v>
      </c>
      <c r="AV1679">
        <v>2017</v>
      </c>
      <c r="AW1679" t="str">
        <f>"45-2N-28-525C-0005-0000 "</f>
        <v xml:space="preserve">45-2N-28-525C-0005-0000 </v>
      </c>
      <c r="AX1679">
        <v>94070</v>
      </c>
      <c r="AZ1679" t="s">
        <v>16623</v>
      </c>
      <c r="BA1679" t="s">
        <v>1112</v>
      </c>
      <c r="BD1679" t="s">
        <v>11749</v>
      </c>
      <c r="BE1679" t="s">
        <v>393</v>
      </c>
      <c r="BF1679">
        <v>32034</v>
      </c>
      <c r="BG1679" t="s">
        <v>5609</v>
      </c>
      <c r="BH1679" t="s">
        <v>11751</v>
      </c>
      <c r="BI1679">
        <v>-81.540142939566607</v>
      </c>
      <c r="BJ1679">
        <v>30.5486854531399</v>
      </c>
      <c r="BK1679" t="s">
        <v>16706</v>
      </c>
      <c r="BL1679" t="s">
        <v>16707</v>
      </c>
      <c r="BM1679" t="s">
        <v>5609</v>
      </c>
      <c r="BN1679" t="s">
        <v>3983</v>
      </c>
      <c r="BO1679">
        <v>32034</v>
      </c>
      <c r="BP1679" t="s">
        <v>416</v>
      </c>
      <c r="BQ1679">
        <v>200</v>
      </c>
      <c r="BR1679" t="s">
        <v>405</v>
      </c>
      <c r="BS1679">
        <v>1006</v>
      </c>
      <c r="BT1679" t="s">
        <v>406</v>
      </c>
      <c r="BW1679">
        <v>39105</v>
      </c>
      <c r="BX1679" t="s">
        <v>407</v>
      </c>
      <c r="BY1679" t="s">
        <v>4360</v>
      </c>
      <c r="BZ1679">
        <v>4</v>
      </c>
      <c r="CA1679">
        <v>1995</v>
      </c>
      <c r="CB1679">
        <v>1</v>
      </c>
      <c r="CC1679">
        <v>2</v>
      </c>
      <c r="CD1679">
        <v>2017</v>
      </c>
      <c r="CG1679">
        <v>93278</v>
      </c>
      <c r="CH1679">
        <v>2017</v>
      </c>
      <c r="CI1679">
        <v>36000</v>
      </c>
      <c r="CJ1679">
        <v>81278</v>
      </c>
      <c r="CK1679">
        <v>117278</v>
      </c>
      <c r="CL1679">
        <v>2017</v>
      </c>
      <c r="CM1679">
        <v>863.97</v>
      </c>
      <c r="CN1679" s="1">
        <v>40956</v>
      </c>
      <c r="CO1679">
        <v>115000</v>
      </c>
      <c r="CV1679">
        <v>0</v>
      </c>
      <c r="CZ1679" s="1">
        <v>40956</v>
      </c>
      <c r="DA1679">
        <v>0</v>
      </c>
      <c r="DD1679" t="s">
        <v>11749</v>
      </c>
      <c r="DG1679">
        <v>45</v>
      </c>
      <c r="DL1679">
        <v>50303</v>
      </c>
      <c r="DM1679" t="s">
        <v>16577</v>
      </c>
      <c r="DO1679" t="s">
        <v>16708</v>
      </c>
      <c r="DP1679">
        <v>0</v>
      </c>
      <c r="DQ1679">
        <v>0</v>
      </c>
      <c r="DR1679" t="s">
        <v>411</v>
      </c>
      <c r="DS1679" t="b">
        <v>1</v>
      </c>
      <c r="DT1679" t="s">
        <v>8902</v>
      </c>
      <c r="DV1679" t="s">
        <v>446</v>
      </c>
      <c r="DX1679">
        <v>9</v>
      </c>
      <c r="DY1679" t="s">
        <v>11438</v>
      </c>
      <c r="DZ1679" t="s">
        <v>447</v>
      </c>
      <c r="EA1679" t="s">
        <v>448</v>
      </c>
      <c r="EB1679" t="s">
        <v>12074</v>
      </c>
      <c r="EC1679">
        <v>20101217</v>
      </c>
      <c r="ED1679" t="s">
        <v>450</v>
      </c>
      <c r="EE1679">
        <v>7.5</v>
      </c>
      <c r="EF1679">
        <v>0</v>
      </c>
      <c r="EG1679">
        <v>0</v>
      </c>
      <c r="EI1679">
        <v>20160407</v>
      </c>
      <c r="EJ1679">
        <v>0</v>
      </c>
      <c r="EK1679">
        <v>0</v>
      </c>
      <c r="EP1679" t="s">
        <v>421</v>
      </c>
      <c r="EQ1679" t="s">
        <v>422</v>
      </c>
      <c r="ER1679">
        <v>0</v>
      </c>
      <c r="ES1679">
        <v>7</v>
      </c>
      <c r="ET1679">
        <v>0</v>
      </c>
      <c r="EU1679">
        <v>0</v>
      </c>
      <c r="EV1679">
        <v>0</v>
      </c>
      <c r="EW1679" s="2">
        <v>43222</v>
      </c>
      <c r="EX1679" s="1">
        <v>42879</v>
      </c>
      <c r="EY1679">
        <v>2016</v>
      </c>
      <c r="EZ1679">
        <v>1283.01</v>
      </c>
      <c r="FA1679" t="s">
        <v>16709</v>
      </c>
      <c r="FB1679">
        <v>0.25</v>
      </c>
      <c r="FC1679" t="s">
        <v>424</v>
      </c>
      <c r="FD1679" t="s">
        <v>425</v>
      </c>
      <c r="FE1679" s="1">
        <v>43131</v>
      </c>
      <c r="FF1679">
        <v>8</v>
      </c>
      <c r="FG1679">
        <v>7336671</v>
      </c>
      <c r="FH1679" t="s">
        <v>437</v>
      </c>
      <c r="FJ1679" s="1">
        <v>42879</v>
      </c>
      <c r="FK1679">
        <v>2016</v>
      </c>
      <c r="FL1679">
        <v>1283.01</v>
      </c>
      <c r="FM1679" t="s">
        <v>16709</v>
      </c>
      <c r="FN1679">
        <v>0.25</v>
      </c>
      <c r="FO1679" t="s">
        <v>424</v>
      </c>
      <c r="FP1679" t="s">
        <v>425</v>
      </c>
      <c r="FR1679">
        <v>22</v>
      </c>
      <c r="FS1679">
        <v>5141550</v>
      </c>
      <c r="FT1679" t="s">
        <v>16710</v>
      </c>
      <c r="FV1679" s="1">
        <v>42515</v>
      </c>
      <c r="FW1679">
        <v>2015</v>
      </c>
      <c r="FX1679">
        <v>1319.65</v>
      </c>
      <c r="FY1679" t="s">
        <v>16711</v>
      </c>
      <c r="FZ1679">
        <v>0.25</v>
      </c>
      <c r="GA1679" t="s">
        <v>424</v>
      </c>
      <c r="GB1679" t="s">
        <v>425</v>
      </c>
      <c r="GC1679" s="1">
        <v>42769</v>
      </c>
      <c r="GD1679">
        <v>9</v>
      </c>
      <c r="GE1679">
        <v>2851116</v>
      </c>
      <c r="GF1679" t="s">
        <v>480</v>
      </c>
      <c r="GH1679" s="1">
        <v>42515</v>
      </c>
      <c r="GI1679">
        <v>2015</v>
      </c>
      <c r="GJ1679">
        <v>1319.65</v>
      </c>
      <c r="GK1679" t="s">
        <v>16711</v>
      </c>
      <c r="GL1679">
        <v>0.25</v>
      </c>
      <c r="GM1679" t="s">
        <v>424</v>
      </c>
      <c r="GN1679" t="s">
        <v>425</v>
      </c>
      <c r="GP1679">
        <v>22</v>
      </c>
      <c r="GQ1679">
        <v>5337994</v>
      </c>
      <c r="GR1679" t="s">
        <v>16712</v>
      </c>
      <c r="GT1679" s="1">
        <v>42151</v>
      </c>
      <c r="GU1679">
        <v>2014</v>
      </c>
      <c r="GV1679">
        <v>1245.42</v>
      </c>
      <c r="GW1679" t="s">
        <v>16713</v>
      </c>
      <c r="GX1679">
        <v>0.25</v>
      </c>
      <c r="GY1679" t="s">
        <v>424</v>
      </c>
      <c r="GZ1679" t="s">
        <v>425</v>
      </c>
      <c r="HA1679" s="1">
        <v>42403</v>
      </c>
      <c r="HB1679">
        <v>9</v>
      </c>
      <c r="HC1679">
        <v>4975594</v>
      </c>
      <c r="HD1679" t="s">
        <v>457</v>
      </c>
      <c r="HF1679" s="1">
        <v>42151</v>
      </c>
      <c r="HG1679">
        <v>2014</v>
      </c>
      <c r="HH1679">
        <v>1245.42</v>
      </c>
      <c r="HI1679" t="s">
        <v>16713</v>
      </c>
      <c r="HJ1679">
        <v>0.25</v>
      </c>
      <c r="HK1679" t="s">
        <v>424</v>
      </c>
      <c r="HL1679" t="s">
        <v>425</v>
      </c>
      <c r="HN1679">
        <v>22</v>
      </c>
      <c r="HO1679">
        <v>6674626</v>
      </c>
      <c r="HP1679" t="s">
        <v>16714</v>
      </c>
      <c r="HR1679" s="1">
        <v>41787</v>
      </c>
      <c r="HS1679">
        <v>2013</v>
      </c>
      <c r="HT1679">
        <v>1387.02</v>
      </c>
      <c r="HU1679" t="s">
        <v>16715</v>
      </c>
      <c r="HV1679">
        <v>0.25</v>
      </c>
      <c r="HW1679" t="s">
        <v>424</v>
      </c>
      <c r="HX1679" t="s">
        <v>425</v>
      </c>
      <c r="HY1679" s="1">
        <v>42058</v>
      </c>
      <c r="HZ1679">
        <v>9</v>
      </c>
      <c r="IA1679">
        <v>2851116</v>
      </c>
      <c r="IB1679" t="s">
        <v>480</v>
      </c>
    </row>
    <row r="1680" spans="1:296" x14ac:dyDescent="0.25">
      <c r="A1680">
        <v>16486687</v>
      </c>
      <c r="B1680">
        <v>1679</v>
      </c>
      <c r="C1680" t="s">
        <v>393</v>
      </c>
      <c r="D1680" t="s">
        <v>394</v>
      </c>
      <c r="F1680" t="str">
        <f>"45-2N-28-525C-0034-0000"</f>
        <v>45-2N-28-525C-0034-0000</v>
      </c>
      <c r="H1680" t="str">
        <f>"PARKER JAMES O"</f>
        <v>PARKER JAMES O</v>
      </c>
      <c r="I1680" t="str">
        <f>"1812 CR 340"</f>
        <v>1812 CR 340</v>
      </c>
      <c r="J1680" t="str">
        <f>"MAYO FL 32066"</f>
        <v>MAYO FL 32066</v>
      </c>
      <c r="K1680" t="str">
        <f>"CHRISTOPHER LN"</f>
        <v>CHRISTOPHER LN</v>
      </c>
      <c r="L1680" t="str">
        <f t="shared" si="599"/>
        <v>FERNANDINA BEACH FL 32034</v>
      </c>
      <c r="M1680" t="str">
        <f>"LOT 34 IN OR 2070/1661 HOLLY POINT UNIT 3 UNR"</f>
        <v>LOT 34 IN OR 2070/1661 HOLLY POINT UNIT 3 UNR</v>
      </c>
      <c r="N1680" t="str">
        <f>""</f>
        <v/>
      </c>
      <c r="O1680" t="str">
        <f>"51731"</f>
        <v>51731</v>
      </c>
      <c r="P1680" t="str">
        <f t="shared" si="597"/>
        <v>2017</v>
      </c>
      <c r="Q1680" t="str">
        <f>""</f>
        <v/>
      </c>
      <c r="R1680" t="str">
        <f>"N"</f>
        <v>N</v>
      </c>
      <c r="S1680" t="str">
        <f>""</f>
        <v/>
      </c>
      <c r="T1680" t="str">
        <f>"756.94"</f>
        <v>756.94</v>
      </c>
      <c r="U1680" t="str">
        <f>"50000.00"</f>
        <v>50000.00</v>
      </c>
      <c r="V1680" t="str">
        <f>"50000.00"</f>
        <v>50000.00</v>
      </c>
      <c r="W1680" t="str">
        <f t="shared" si="598"/>
        <v>2017</v>
      </c>
      <c r="X1680" t="str">
        <f>"15.00"</f>
        <v>15.00</v>
      </c>
      <c r="Y1680" t="str">
        <f>"811.65"</f>
        <v>811.65</v>
      </c>
      <c r="Z1680" t="str">
        <f>""</f>
        <v/>
      </c>
      <c r="AA1680" t="str">
        <f>"50000.00"</f>
        <v>50000.00</v>
      </c>
      <c r="AB1680" t="str">
        <f t="shared" si="600"/>
        <v>Residential</v>
      </c>
      <c r="AC1680" t="str">
        <f t="shared" si="588"/>
        <v>0</v>
      </c>
      <c r="AD1680" t="str">
        <f>""</f>
        <v/>
      </c>
      <c r="AE1680" t="str">
        <f>""</f>
        <v/>
      </c>
      <c r="AF1680" t="str">
        <f>"000"</f>
        <v>000</v>
      </c>
      <c r="AG1680" t="str">
        <f t="shared" si="603"/>
        <v>FL</v>
      </c>
      <c r="AH1680" t="str">
        <f>"-"</f>
        <v>-</v>
      </c>
      <c r="AI1680" t="str">
        <f>"50000.00"</f>
        <v>50000.00</v>
      </c>
      <c r="AJ1680" t="str">
        <f>"C55-000-588-4837-5"</f>
        <v>C55-000-588-4837-5</v>
      </c>
      <c r="AK1680" t="str">
        <f>"30154"</f>
        <v>30154</v>
      </c>
      <c r="AL1680">
        <v>6</v>
      </c>
      <c r="AM1680">
        <v>1919</v>
      </c>
      <c r="AN1680">
        <v>850.63</v>
      </c>
      <c r="AQ1680" t="s">
        <v>16716</v>
      </c>
      <c r="AR1680" t="s">
        <v>16716</v>
      </c>
      <c r="AS1680" t="s">
        <v>16716</v>
      </c>
      <c r="AU1680" t="s">
        <v>396</v>
      </c>
      <c r="AV1680">
        <v>2017</v>
      </c>
      <c r="AW1680" t="str">
        <f>"45-2N-28-525C-0034-0000 "</f>
        <v xml:space="preserve">45-2N-28-525C-0034-0000 </v>
      </c>
      <c r="AZ1680" t="s">
        <v>16717</v>
      </c>
      <c r="BA1680" t="s">
        <v>653</v>
      </c>
      <c r="BD1680" t="s">
        <v>11749</v>
      </c>
      <c r="BE1680" t="s">
        <v>393</v>
      </c>
      <c r="BF1680">
        <v>32034</v>
      </c>
      <c r="BG1680" t="s">
        <v>16718</v>
      </c>
      <c r="BH1680" t="s">
        <v>11751</v>
      </c>
      <c r="BI1680">
        <v>-81.540146962535403</v>
      </c>
      <c r="BJ1680">
        <v>30.547311757482699</v>
      </c>
      <c r="BK1680" t="s">
        <v>16719</v>
      </c>
      <c r="BM1680" t="s">
        <v>16720</v>
      </c>
      <c r="BN1680" t="s">
        <v>16721</v>
      </c>
      <c r="BO1680">
        <v>32066</v>
      </c>
      <c r="BP1680" t="s">
        <v>404</v>
      </c>
      <c r="BQ1680">
        <v>0</v>
      </c>
      <c r="BR1680" t="s">
        <v>491</v>
      </c>
      <c r="BS1680">
        <v>8001</v>
      </c>
      <c r="BT1680" t="s">
        <v>492</v>
      </c>
      <c r="BW1680">
        <v>41559</v>
      </c>
      <c r="BX1680" t="s">
        <v>407</v>
      </c>
      <c r="BY1680" t="s">
        <v>4360</v>
      </c>
      <c r="CD1680">
        <v>2017</v>
      </c>
      <c r="CE1680">
        <v>50000</v>
      </c>
      <c r="CG1680">
        <v>50000</v>
      </c>
      <c r="CH1680">
        <v>2017</v>
      </c>
      <c r="CI1680">
        <v>50000</v>
      </c>
      <c r="CK1680">
        <v>50000</v>
      </c>
      <c r="CL1680">
        <v>2017</v>
      </c>
      <c r="CM1680">
        <v>756.94</v>
      </c>
      <c r="CN1680" s="1">
        <v>42622</v>
      </c>
      <c r="CO1680">
        <v>62000</v>
      </c>
      <c r="CV1680">
        <v>0</v>
      </c>
      <c r="CZ1680" s="1">
        <v>42622</v>
      </c>
      <c r="DA1680">
        <v>0</v>
      </c>
      <c r="DD1680" t="s">
        <v>11749</v>
      </c>
      <c r="DF1680">
        <v>34</v>
      </c>
      <c r="DG1680">
        <v>45</v>
      </c>
      <c r="DI1680">
        <v>3</v>
      </c>
      <c r="DJ1680" t="s">
        <v>12188</v>
      </c>
      <c r="DL1680">
        <v>50303</v>
      </c>
      <c r="DM1680" t="s">
        <v>16577</v>
      </c>
      <c r="DO1680" t="s">
        <v>16722</v>
      </c>
      <c r="DP1680">
        <v>0</v>
      </c>
      <c r="DQ1680">
        <v>0</v>
      </c>
      <c r="DR1680" t="s">
        <v>411</v>
      </c>
      <c r="DS1680" t="b">
        <v>1</v>
      </c>
      <c r="DT1680" t="s">
        <v>8902</v>
      </c>
      <c r="DV1680" t="s">
        <v>446</v>
      </c>
      <c r="DX1680">
        <v>9</v>
      </c>
      <c r="DY1680" t="s">
        <v>11438</v>
      </c>
      <c r="DZ1680" t="s">
        <v>447</v>
      </c>
      <c r="EA1680" t="s">
        <v>448</v>
      </c>
      <c r="EB1680" t="s">
        <v>12074</v>
      </c>
      <c r="EC1680">
        <v>20101217</v>
      </c>
      <c r="ED1680" t="s">
        <v>450</v>
      </c>
      <c r="EE1680">
        <v>7.5</v>
      </c>
      <c r="EF1680">
        <v>0</v>
      </c>
      <c r="EG1680">
        <v>0</v>
      </c>
      <c r="EI1680">
        <v>20160407</v>
      </c>
      <c r="EJ1680">
        <v>0</v>
      </c>
      <c r="EK1680">
        <v>1</v>
      </c>
      <c r="EP1680" t="s">
        <v>421</v>
      </c>
      <c r="EQ1680" t="s">
        <v>452</v>
      </c>
      <c r="ER1680">
        <v>2</v>
      </c>
      <c r="ES1680">
        <v>3</v>
      </c>
      <c r="ET1680">
        <v>1714.22</v>
      </c>
      <c r="EU1680">
        <v>98.21</v>
      </c>
      <c r="EV1680">
        <v>1812.43</v>
      </c>
      <c r="EW1680" s="2">
        <v>43222</v>
      </c>
      <c r="EX1680" s="1">
        <v>42879</v>
      </c>
      <c r="EY1680">
        <v>2016</v>
      </c>
      <c r="EZ1680">
        <v>857.11</v>
      </c>
      <c r="FA1680" t="s">
        <v>16723</v>
      </c>
      <c r="FB1680">
        <v>0.25</v>
      </c>
      <c r="FC1680" t="s">
        <v>424</v>
      </c>
      <c r="FD1680" t="s">
        <v>454</v>
      </c>
      <c r="FF1680">
        <v>12</v>
      </c>
      <c r="FG1680">
        <v>2851116</v>
      </c>
      <c r="FH1680" t="s">
        <v>480</v>
      </c>
      <c r="FJ1680" s="1">
        <v>42879</v>
      </c>
      <c r="FK1680">
        <v>2016</v>
      </c>
      <c r="FL1680">
        <v>857.11</v>
      </c>
      <c r="FM1680" t="s">
        <v>16723</v>
      </c>
      <c r="FN1680">
        <v>0.25</v>
      </c>
      <c r="FO1680" t="s">
        <v>424</v>
      </c>
      <c r="FP1680" t="s">
        <v>454</v>
      </c>
      <c r="FR1680">
        <v>12</v>
      </c>
      <c r="FS1680">
        <v>4916686</v>
      </c>
      <c r="FT1680" t="s">
        <v>16724</v>
      </c>
      <c r="FV1680" s="1">
        <v>42515</v>
      </c>
      <c r="FW1680">
        <v>2015</v>
      </c>
      <c r="FX1680">
        <v>872.27</v>
      </c>
      <c r="FY1680" t="s">
        <v>16725</v>
      </c>
      <c r="FZ1680">
        <v>14.75</v>
      </c>
      <c r="GA1680" t="s">
        <v>424</v>
      </c>
      <c r="GB1680" t="s">
        <v>425</v>
      </c>
      <c r="GC1680" s="1">
        <v>42584</v>
      </c>
      <c r="GD1680">
        <v>3</v>
      </c>
      <c r="GE1680">
        <v>2035919</v>
      </c>
      <c r="GF1680" t="s">
        <v>507</v>
      </c>
      <c r="GG1680" t="s">
        <v>458</v>
      </c>
      <c r="GH1680" s="1">
        <v>42151</v>
      </c>
      <c r="GI1680">
        <v>2014</v>
      </c>
      <c r="GJ1680">
        <v>876.57</v>
      </c>
      <c r="GK1680" t="s">
        <v>16726</v>
      </c>
      <c r="GL1680">
        <v>4.75</v>
      </c>
      <c r="GM1680" t="s">
        <v>424</v>
      </c>
      <c r="GN1680" t="s">
        <v>425</v>
      </c>
      <c r="GO1680" s="1">
        <v>42584</v>
      </c>
      <c r="GP1680">
        <v>15</v>
      </c>
      <c r="GQ1680">
        <v>7045030</v>
      </c>
      <c r="GR1680" t="s">
        <v>16635</v>
      </c>
      <c r="GS1680" t="s">
        <v>458</v>
      </c>
      <c r="GT1680" s="1">
        <v>41787</v>
      </c>
      <c r="GU1680">
        <v>2013</v>
      </c>
      <c r="GV1680">
        <v>798.97</v>
      </c>
      <c r="GW1680" t="s">
        <v>16727</v>
      </c>
      <c r="GX1680">
        <v>0.25</v>
      </c>
      <c r="GY1680" t="s">
        <v>424</v>
      </c>
      <c r="GZ1680" t="s">
        <v>425</v>
      </c>
      <c r="HB1680">
        <v>22</v>
      </c>
      <c r="HC1680">
        <v>10125</v>
      </c>
      <c r="HD1680" t="s">
        <v>440</v>
      </c>
      <c r="HE1680" t="s">
        <v>458</v>
      </c>
    </row>
    <row r="1681" spans="1:272" x14ac:dyDescent="0.25">
      <c r="A1681">
        <v>16486688</v>
      </c>
      <c r="B1681">
        <v>1680</v>
      </c>
      <c r="C1681" t="s">
        <v>393</v>
      </c>
      <c r="D1681" t="s">
        <v>394</v>
      </c>
      <c r="F1681" t="str">
        <f>"45-2N-28-525C-0048-0000"</f>
        <v>45-2N-28-525C-0048-0000</v>
      </c>
      <c r="H1681" t="str">
        <f>"RICHARDSON MICHAEL"</f>
        <v>RICHARDSON MICHAEL</v>
      </c>
      <c r="I1681" t="str">
        <f>"P O BOX 483"</f>
        <v>P O BOX 483</v>
      </c>
      <c r="J1681" t="str">
        <f>"FERNANDINA BEACH FL 32035"</f>
        <v>FERNANDINA BEACH FL 32035</v>
      </c>
      <c r="K1681" t="str">
        <f>"94390 DUCK LAKE DR"</f>
        <v>94390 DUCK LAKE DR</v>
      </c>
      <c r="L1681" t="str">
        <f t="shared" si="599"/>
        <v>FERNANDINA BEACH FL 32034</v>
      </c>
      <c r="M1681" t="str">
        <f>"TRACT 48 L/E IN OR 1085/55 HOLLY POINT 3 UNR"</f>
        <v>TRACT 48 L/E IN OR 1085/55 HOLLY POINT 3 UNR</v>
      </c>
      <c r="N1681" t="str">
        <f>""</f>
        <v/>
      </c>
      <c r="O1681" t="str">
        <f>"51743"</f>
        <v>51743</v>
      </c>
      <c r="P1681" t="str">
        <f t="shared" si="597"/>
        <v>2017</v>
      </c>
      <c r="Q1681" t="str">
        <f>""</f>
        <v/>
      </c>
      <c r="R1681" t="str">
        <f>"N"</f>
        <v>N</v>
      </c>
      <c r="S1681" t="str">
        <f>""</f>
        <v/>
      </c>
      <c r="T1681" t="str">
        <f>"461.05"</f>
        <v>461.05</v>
      </c>
      <c r="U1681" t="str">
        <f>"28875.00"</f>
        <v>28875.00</v>
      </c>
      <c r="V1681" t="str">
        <f>"28875.00"</f>
        <v>28875.00</v>
      </c>
      <c r="W1681" t="str">
        <f t="shared" si="598"/>
        <v>2017</v>
      </c>
      <c r="X1681" t="str">
        <f>"18.38"</f>
        <v>18.38</v>
      </c>
      <c r="Y1681" t="str">
        <f>"506.88"</f>
        <v>506.88</v>
      </c>
      <c r="Z1681" t="str">
        <f>""</f>
        <v/>
      </c>
      <c r="AA1681" t="str">
        <f>"32500.00"</f>
        <v>32500.00</v>
      </c>
      <c r="AB1681" t="str">
        <f t="shared" si="600"/>
        <v>Residential</v>
      </c>
      <c r="AC1681" t="str">
        <f t="shared" si="588"/>
        <v>0</v>
      </c>
      <c r="AD1681" t="str">
        <f>""</f>
        <v/>
      </c>
      <c r="AE1681" t="str">
        <f>""</f>
        <v/>
      </c>
      <c r="AF1681" t="str">
        <f>"000"</f>
        <v>000</v>
      </c>
      <c r="AG1681" t="str">
        <f t="shared" si="603"/>
        <v>FL</v>
      </c>
      <c r="AH1681" t="str">
        <f>"-"</f>
        <v>-</v>
      </c>
      <c r="AI1681" t="str">
        <f>"25000.00"</f>
        <v>25000.00</v>
      </c>
      <c r="AJ1681" t="str">
        <f>"C55-000-588-4848-2"</f>
        <v>C55-000-588-4848-2</v>
      </c>
      <c r="AK1681" t="str">
        <f>"30165"</f>
        <v>30165</v>
      </c>
      <c r="AL1681">
        <v>6</v>
      </c>
      <c r="AM1681">
        <v>1922</v>
      </c>
      <c r="AN1681">
        <v>530.62</v>
      </c>
      <c r="AQ1681" t="s">
        <v>16728</v>
      </c>
      <c r="AR1681" t="s">
        <v>16728</v>
      </c>
      <c r="AS1681" t="s">
        <v>16728</v>
      </c>
      <c r="AU1681" t="s">
        <v>396</v>
      </c>
      <c r="AV1681">
        <v>2017</v>
      </c>
      <c r="AW1681" t="str">
        <f>"45-2N-28-525C-0048-0000 "</f>
        <v xml:space="preserve">45-2N-28-525C-0048-0000 </v>
      </c>
      <c r="AX1681">
        <v>94390</v>
      </c>
      <c r="AZ1681" t="s">
        <v>16653</v>
      </c>
      <c r="BA1681" t="s">
        <v>669</v>
      </c>
      <c r="BD1681" t="s">
        <v>11749</v>
      </c>
      <c r="BE1681" t="s">
        <v>393</v>
      </c>
      <c r="BF1681">
        <v>32034</v>
      </c>
      <c r="BG1681" t="s">
        <v>16729</v>
      </c>
      <c r="BH1681" t="s">
        <v>11751</v>
      </c>
      <c r="BI1681">
        <v>-81.545841414284993</v>
      </c>
      <c r="BJ1681">
        <v>30.546803193486198</v>
      </c>
      <c r="BK1681" t="s">
        <v>16730</v>
      </c>
      <c r="BM1681" t="s">
        <v>16731</v>
      </c>
      <c r="BN1681" t="s">
        <v>3983</v>
      </c>
      <c r="BO1681">
        <v>32035</v>
      </c>
      <c r="BP1681" t="s">
        <v>404</v>
      </c>
      <c r="BQ1681">
        <v>1</v>
      </c>
      <c r="BR1681" t="s">
        <v>491</v>
      </c>
      <c r="BS1681">
        <v>8001</v>
      </c>
      <c r="BT1681" t="s">
        <v>492</v>
      </c>
      <c r="BW1681">
        <v>28793</v>
      </c>
      <c r="BX1681" t="s">
        <v>407</v>
      </c>
      <c r="BY1681" t="s">
        <v>4360</v>
      </c>
      <c r="CD1681">
        <v>2017</v>
      </c>
      <c r="CE1681">
        <v>25000</v>
      </c>
      <c r="CF1681">
        <v>7500</v>
      </c>
      <c r="CG1681">
        <v>32500</v>
      </c>
      <c r="CH1681">
        <v>2017</v>
      </c>
      <c r="CI1681">
        <v>25000</v>
      </c>
      <c r="CJ1681">
        <v>7500</v>
      </c>
      <c r="CK1681">
        <v>32500</v>
      </c>
      <c r="CL1681">
        <v>2017</v>
      </c>
      <c r="CM1681">
        <v>461.05</v>
      </c>
      <c r="CN1681" s="1">
        <v>37533</v>
      </c>
      <c r="CO1681">
        <v>8500</v>
      </c>
      <c r="CZ1681" s="1">
        <v>37533</v>
      </c>
      <c r="DD1681" t="s">
        <v>11749</v>
      </c>
      <c r="DG1681">
        <v>45</v>
      </c>
      <c r="DJ1681" t="s">
        <v>12188</v>
      </c>
      <c r="DL1681">
        <v>50303</v>
      </c>
      <c r="DM1681" t="s">
        <v>16577</v>
      </c>
      <c r="DO1681" t="s">
        <v>16732</v>
      </c>
      <c r="DP1681">
        <v>0</v>
      </c>
      <c r="DQ1681">
        <v>0</v>
      </c>
      <c r="DR1681" t="s">
        <v>411</v>
      </c>
      <c r="DS1681" t="b">
        <v>1</v>
      </c>
      <c r="DT1681" t="s">
        <v>8902</v>
      </c>
      <c r="DV1681" t="s">
        <v>446</v>
      </c>
      <c r="DX1681">
        <v>9</v>
      </c>
      <c r="DY1681" t="s">
        <v>11438</v>
      </c>
      <c r="DZ1681" t="s">
        <v>447</v>
      </c>
      <c r="EA1681" t="s">
        <v>448</v>
      </c>
      <c r="EB1681" t="s">
        <v>12074</v>
      </c>
      <c r="EC1681">
        <v>20101217</v>
      </c>
      <c r="ED1681" t="s">
        <v>450</v>
      </c>
      <c r="EE1681">
        <v>7.5</v>
      </c>
      <c r="EF1681">
        <v>0</v>
      </c>
      <c r="EG1681">
        <v>0</v>
      </c>
      <c r="EI1681">
        <v>20160407</v>
      </c>
      <c r="EJ1681">
        <v>0</v>
      </c>
      <c r="EK1681">
        <v>0</v>
      </c>
      <c r="EP1681" t="s">
        <v>421</v>
      </c>
      <c r="EQ1681" t="s">
        <v>422</v>
      </c>
      <c r="ER1681">
        <v>1</v>
      </c>
      <c r="ES1681">
        <v>5</v>
      </c>
      <c r="ET1681">
        <v>462.8</v>
      </c>
      <c r="EU1681">
        <v>29.39</v>
      </c>
      <c r="EV1681">
        <v>492.19</v>
      </c>
      <c r="EW1681" s="2">
        <v>43222</v>
      </c>
      <c r="EX1681" s="1">
        <v>42879</v>
      </c>
      <c r="EY1681">
        <v>2016</v>
      </c>
      <c r="EZ1681">
        <v>462.8</v>
      </c>
      <c r="FA1681" t="s">
        <v>16733</v>
      </c>
      <c r="FB1681">
        <v>0.25</v>
      </c>
      <c r="FC1681" t="s">
        <v>424</v>
      </c>
      <c r="FD1681" t="s">
        <v>454</v>
      </c>
      <c r="FF1681">
        <v>12</v>
      </c>
      <c r="FG1681">
        <v>62</v>
      </c>
      <c r="FH1681" t="s">
        <v>463</v>
      </c>
      <c r="FJ1681" s="1">
        <v>42515</v>
      </c>
      <c r="FK1681">
        <v>2015</v>
      </c>
      <c r="FL1681">
        <v>468.39</v>
      </c>
      <c r="FM1681" t="s">
        <v>16734</v>
      </c>
      <c r="FN1681">
        <v>6</v>
      </c>
      <c r="FO1681" t="s">
        <v>424</v>
      </c>
      <c r="FP1681" t="s">
        <v>425</v>
      </c>
      <c r="FQ1681" s="1">
        <v>43171</v>
      </c>
      <c r="FR1681">
        <v>22</v>
      </c>
      <c r="FS1681">
        <v>2035919</v>
      </c>
      <c r="FT1681" t="s">
        <v>507</v>
      </c>
      <c r="FV1681" s="1">
        <v>42151</v>
      </c>
      <c r="FW1681">
        <v>2014</v>
      </c>
      <c r="FX1681">
        <v>470.67</v>
      </c>
      <c r="FY1681" t="s">
        <v>16735</v>
      </c>
      <c r="FZ1681">
        <v>5</v>
      </c>
      <c r="GA1681" t="s">
        <v>424</v>
      </c>
      <c r="GB1681" t="s">
        <v>425</v>
      </c>
      <c r="GC1681" s="1">
        <v>43171</v>
      </c>
      <c r="GD1681">
        <v>34</v>
      </c>
      <c r="GE1681">
        <v>10003</v>
      </c>
      <c r="GF1681" t="s">
        <v>4341</v>
      </c>
      <c r="GH1681" s="1">
        <v>41787</v>
      </c>
      <c r="GI1681">
        <v>2013</v>
      </c>
      <c r="GJ1681">
        <v>446.66</v>
      </c>
      <c r="GK1681" t="s">
        <v>16736</v>
      </c>
      <c r="GL1681">
        <v>0.25</v>
      </c>
      <c r="GM1681" t="s">
        <v>424</v>
      </c>
      <c r="GN1681" t="s">
        <v>425</v>
      </c>
      <c r="GO1681" s="1">
        <v>42429</v>
      </c>
      <c r="GP1681">
        <v>21</v>
      </c>
      <c r="GQ1681">
        <v>305</v>
      </c>
      <c r="GR1681" t="s">
        <v>1078</v>
      </c>
      <c r="GT1681" s="1">
        <v>41423</v>
      </c>
      <c r="GU1681">
        <v>2012</v>
      </c>
      <c r="GV1681">
        <v>451.96</v>
      </c>
      <c r="GW1681" t="s">
        <v>16737</v>
      </c>
      <c r="GX1681">
        <v>3.75</v>
      </c>
      <c r="GY1681" t="s">
        <v>424</v>
      </c>
      <c r="GZ1681" t="s">
        <v>425</v>
      </c>
      <c r="HA1681" s="1">
        <v>42062</v>
      </c>
      <c r="HB1681">
        <v>21</v>
      </c>
      <c r="HC1681">
        <v>1625515</v>
      </c>
      <c r="HD1681" t="s">
        <v>487</v>
      </c>
      <c r="HF1681" s="1">
        <v>41052</v>
      </c>
      <c r="HG1681">
        <v>2011</v>
      </c>
      <c r="HH1681">
        <v>442.12</v>
      </c>
      <c r="HI1681" t="s">
        <v>16738</v>
      </c>
      <c r="HJ1681">
        <v>6</v>
      </c>
      <c r="HK1681" t="s">
        <v>424</v>
      </c>
      <c r="HL1681" t="s">
        <v>425</v>
      </c>
      <c r="HM1681" s="1">
        <v>41698</v>
      </c>
      <c r="HN1681">
        <v>21</v>
      </c>
      <c r="HO1681">
        <v>375</v>
      </c>
      <c r="HP1681" t="s">
        <v>776</v>
      </c>
    </row>
    <row r="1682" spans="1:272" x14ac:dyDescent="0.25">
      <c r="A1682">
        <v>16486689</v>
      </c>
      <c r="B1682">
        <v>1681</v>
      </c>
      <c r="C1682" t="s">
        <v>393</v>
      </c>
      <c r="D1682" t="s">
        <v>394</v>
      </c>
      <c r="F1682" t="str">
        <f>"45-2N-28-525D-0003-0000"</f>
        <v>45-2N-28-525D-0003-0000</v>
      </c>
      <c r="H1682" t="str">
        <f>"NYREN GERALD PAUL &amp; MARY M"</f>
        <v>NYREN GERALD PAUL &amp; MARY M</v>
      </c>
      <c r="I1682" t="str">
        <f>"3911 PARK ST"</f>
        <v>3911 PARK ST</v>
      </c>
      <c r="J1682" t="str">
        <f>"JACKSONVILLE FL 32205"</f>
        <v>JACKSONVILLE FL 32205</v>
      </c>
      <c r="K1682" t="str">
        <f>"PALM CR"</f>
        <v>PALM CR</v>
      </c>
      <c r="L1682" t="str">
        <f t="shared" si="599"/>
        <v>FERNANDINA BEACH FL 32034</v>
      </c>
      <c r="M1682" t="str">
        <f>"LOT 3 IN OR 1916/681 HOLLY POINT UNIT 4 UNR"</f>
        <v>LOT 3 IN OR 1916/681 HOLLY POINT UNIT 4 UNR</v>
      </c>
      <c r="N1682" t="str">
        <f>""</f>
        <v/>
      </c>
      <c r="O1682" t="str">
        <f>"51748"</f>
        <v>51748</v>
      </c>
      <c r="P1682" t="str">
        <f t="shared" si="597"/>
        <v>2017</v>
      </c>
      <c r="Q1682" t="str">
        <f>""</f>
        <v/>
      </c>
      <c r="R1682" t="str">
        <f>"N"</f>
        <v>N</v>
      </c>
      <c r="S1682" t="str">
        <f>""</f>
        <v/>
      </c>
      <c r="T1682" t="str">
        <f>"867.73"</f>
        <v>867.73</v>
      </c>
      <c r="U1682" t="str">
        <f>"55633.00"</f>
        <v>55633.00</v>
      </c>
      <c r="V1682" t="str">
        <f>"55633.00"</f>
        <v>55633.00</v>
      </c>
      <c r="W1682" t="str">
        <f t="shared" si="598"/>
        <v>2017</v>
      </c>
      <c r="X1682" t="str">
        <f>"12.71"</f>
        <v>12.71</v>
      </c>
      <c r="Y1682" t="str">
        <f>"925.76"</f>
        <v>925.76</v>
      </c>
      <c r="Z1682" t="str">
        <f>""</f>
        <v/>
      </c>
      <c r="AA1682" t="str">
        <f>"59500.00"</f>
        <v>59500.00</v>
      </c>
      <c r="AB1682" t="str">
        <f t="shared" si="600"/>
        <v>Residential</v>
      </c>
      <c r="AC1682" t="str">
        <f t="shared" si="588"/>
        <v>0</v>
      </c>
      <c r="AD1682" t="str">
        <f>""</f>
        <v/>
      </c>
      <c r="AE1682" t="str">
        <f>""</f>
        <v/>
      </c>
      <c r="AF1682" t="str">
        <f>"000"</f>
        <v>000</v>
      </c>
      <c r="AG1682" t="str">
        <f t="shared" si="603"/>
        <v>FL</v>
      </c>
      <c r="AH1682" t="str">
        <f>"-"</f>
        <v>-</v>
      </c>
      <c r="AI1682" t="str">
        <f>"59500.00"</f>
        <v>59500.00</v>
      </c>
      <c r="AJ1682" t="str">
        <f>"C55-000-588-4852-4"</f>
        <v>C55-000-588-4852-4</v>
      </c>
      <c r="AK1682" t="str">
        <f>"30169"</f>
        <v>30169</v>
      </c>
      <c r="AL1682">
        <v>6</v>
      </c>
      <c r="AM1682">
        <v>1925</v>
      </c>
      <c r="AN1682">
        <v>970.45</v>
      </c>
      <c r="AQ1682" t="s">
        <v>16739</v>
      </c>
      <c r="AR1682" t="s">
        <v>16739</v>
      </c>
      <c r="AS1682" t="s">
        <v>16739</v>
      </c>
      <c r="AU1682" t="s">
        <v>396</v>
      </c>
      <c r="AV1682">
        <v>2017</v>
      </c>
      <c r="AW1682" t="str">
        <f>"45-2N-28-525D-0003-0000 "</f>
        <v xml:space="preserve">45-2N-28-525D-0003-0000 </v>
      </c>
      <c r="AZ1682" t="s">
        <v>16740</v>
      </c>
      <c r="BD1682" t="s">
        <v>11749</v>
      </c>
      <c r="BE1682" t="s">
        <v>393</v>
      </c>
      <c r="BF1682">
        <v>32034</v>
      </c>
      <c r="BG1682" t="s">
        <v>16740</v>
      </c>
      <c r="BH1682" t="s">
        <v>11751</v>
      </c>
      <c r="BI1682">
        <v>-81.547956480410903</v>
      </c>
      <c r="BJ1682">
        <v>30.546670618297401</v>
      </c>
      <c r="BK1682" t="s">
        <v>16741</v>
      </c>
      <c r="BL1682" t="s">
        <v>16742</v>
      </c>
      <c r="BM1682" t="s">
        <v>16743</v>
      </c>
      <c r="BN1682" t="s">
        <v>548</v>
      </c>
      <c r="BO1682">
        <v>32205</v>
      </c>
      <c r="BP1682" t="s">
        <v>404</v>
      </c>
      <c r="BQ1682">
        <v>0</v>
      </c>
      <c r="BR1682" t="s">
        <v>491</v>
      </c>
      <c r="BS1682">
        <v>8001</v>
      </c>
      <c r="BT1682" t="s">
        <v>492</v>
      </c>
      <c r="BW1682">
        <v>92570</v>
      </c>
      <c r="BX1682" t="s">
        <v>407</v>
      </c>
      <c r="CD1682">
        <v>2017</v>
      </c>
      <c r="CE1682">
        <v>59500</v>
      </c>
      <c r="CG1682">
        <v>59500</v>
      </c>
      <c r="CH1682">
        <v>2017</v>
      </c>
      <c r="CI1682">
        <v>59500</v>
      </c>
      <c r="CK1682">
        <v>59500</v>
      </c>
      <c r="CL1682">
        <v>2017</v>
      </c>
      <c r="CM1682">
        <v>867.73</v>
      </c>
      <c r="CN1682" s="1">
        <v>41767</v>
      </c>
      <c r="CO1682">
        <v>30000</v>
      </c>
      <c r="CV1682">
        <v>0</v>
      </c>
      <c r="CZ1682" s="1">
        <v>41767</v>
      </c>
      <c r="DA1682">
        <v>0</v>
      </c>
      <c r="DD1682" t="s">
        <v>11749</v>
      </c>
      <c r="DF1682">
        <v>3</v>
      </c>
      <c r="DG1682">
        <v>45</v>
      </c>
      <c r="DI1682">
        <v>4</v>
      </c>
      <c r="DJ1682" t="s">
        <v>12188</v>
      </c>
      <c r="DL1682">
        <v>50303</v>
      </c>
      <c r="DM1682" t="s">
        <v>16577</v>
      </c>
      <c r="DO1682" t="s">
        <v>16744</v>
      </c>
      <c r="DP1682">
        <v>0</v>
      </c>
      <c r="DQ1682">
        <v>0</v>
      </c>
      <c r="DR1682" t="s">
        <v>411</v>
      </c>
      <c r="DS1682" t="b">
        <v>1</v>
      </c>
      <c r="DT1682" t="s">
        <v>15881</v>
      </c>
      <c r="DV1682" t="s">
        <v>446</v>
      </c>
      <c r="DX1682">
        <v>11</v>
      </c>
      <c r="DY1682" t="s">
        <v>11438</v>
      </c>
      <c r="DZ1682" t="s">
        <v>447</v>
      </c>
      <c r="EA1682" t="s">
        <v>448</v>
      </c>
      <c r="EB1682" t="s">
        <v>16745</v>
      </c>
      <c r="EC1682">
        <v>20101217</v>
      </c>
      <c r="ED1682" t="s">
        <v>450</v>
      </c>
      <c r="EE1682">
        <v>7.5</v>
      </c>
      <c r="EF1682">
        <v>0</v>
      </c>
      <c r="EG1682">
        <v>0</v>
      </c>
      <c r="EI1682">
        <v>20160407</v>
      </c>
      <c r="EJ1682">
        <v>0</v>
      </c>
      <c r="EK1682">
        <v>0</v>
      </c>
      <c r="EP1682" t="s">
        <v>421</v>
      </c>
      <c r="EQ1682" t="s">
        <v>422</v>
      </c>
      <c r="ER1682">
        <v>0</v>
      </c>
      <c r="ES1682">
        <v>6</v>
      </c>
      <c r="ET1682">
        <v>0</v>
      </c>
      <c r="EU1682">
        <v>0</v>
      </c>
      <c r="EV1682">
        <v>0</v>
      </c>
      <c r="EW1682" s="2">
        <v>43222</v>
      </c>
      <c r="EX1682" s="1">
        <v>42515</v>
      </c>
      <c r="EY1682">
        <v>2015</v>
      </c>
      <c r="EZ1682">
        <v>882.06</v>
      </c>
      <c r="FA1682" t="s">
        <v>16746</v>
      </c>
      <c r="FB1682">
        <v>14.75</v>
      </c>
      <c r="FC1682" t="s">
        <v>424</v>
      </c>
      <c r="FD1682" t="s">
        <v>425</v>
      </c>
      <c r="FE1682" s="1">
        <v>42789</v>
      </c>
      <c r="FF1682">
        <v>9</v>
      </c>
      <c r="FG1682">
        <v>2035919</v>
      </c>
      <c r="FH1682" t="s">
        <v>507</v>
      </c>
      <c r="FJ1682" s="1">
        <v>42151</v>
      </c>
      <c r="FK1682">
        <v>2014</v>
      </c>
      <c r="FL1682">
        <v>886.39</v>
      </c>
      <c r="FM1682" t="s">
        <v>16747</v>
      </c>
      <c r="FN1682">
        <v>0.25</v>
      </c>
      <c r="FO1682" t="s">
        <v>424</v>
      </c>
      <c r="FP1682" t="s">
        <v>425</v>
      </c>
      <c r="FQ1682" s="1">
        <v>42789</v>
      </c>
      <c r="FR1682">
        <v>21</v>
      </c>
      <c r="FS1682">
        <v>2101382</v>
      </c>
      <c r="FT1682" t="s">
        <v>993</v>
      </c>
      <c r="FV1682" s="1">
        <v>42151</v>
      </c>
      <c r="FW1682">
        <v>2014</v>
      </c>
      <c r="FX1682">
        <v>886.39</v>
      </c>
      <c r="FY1682" t="s">
        <v>16747</v>
      </c>
      <c r="FZ1682">
        <v>0.25</v>
      </c>
      <c r="GA1682" t="s">
        <v>424</v>
      </c>
      <c r="GB1682" t="s">
        <v>425</v>
      </c>
      <c r="GD1682">
        <v>22</v>
      </c>
      <c r="GE1682">
        <v>5534705</v>
      </c>
      <c r="GF1682" t="s">
        <v>16748</v>
      </c>
      <c r="GH1682" s="1">
        <v>41423</v>
      </c>
      <c r="GI1682">
        <v>2012</v>
      </c>
      <c r="GJ1682">
        <v>1661.84</v>
      </c>
      <c r="GK1682" t="s">
        <v>16749</v>
      </c>
      <c r="GL1682">
        <v>2.75</v>
      </c>
      <c r="GM1682" t="s">
        <v>424</v>
      </c>
      <c r="GN1682" t="s">
        <v>425</v>
      </c>
      <c r="GO1682" s="1">
        <v>41745</v>
      </c>
      <c r="GP1682">
        <v>11</v>
      </c>
      <c r="GQ1682">
        <v>1625515</v>
      </c>
      <c r="GR1682" t="s">
        <v>487</v>
      </c>
      <c r="GT1682" s="1">
        <v>41052</v>
      </c>
      <c r="GU1682">
        <v>2011</v>
      </c>
      <c r="GV1682">
        <v>1754.24</v>
      </c>
      <c r="GW1682" t="s">
        <v>16750</v>
      </c>
      <c r="GX1682">
        <v>5.75</v>
      </c>
      <c r="GY1682" t="s">
        <v>424</v>
      </c>
      <c r="GZ1682" t="s">
        <v>425</v>
      </c>
      <c r="HA1682" s="1">
        <v>41444</v>
      </c>
      <c r="HB1682">
        <v>13</v>
      </c>
      <c r="HC1682">
        <v>10579</v>
      </c>
      <c r="HD1682" t="s">
        <v>488</v>
      </c>
      <c r="HF1682" s="1">
        <v>40688</v>
      </c>
      <c r="HG1682">
        <v>2010</v>
      </c>
      <c r="HH1682">
        <v>1699.69</v>
      </c>
      <c r="HI1682" t="s">
        <v>16751</v>
      </c>
      <c r="HJ1682">
        <v>6</v>
      </c>
      <c r="HK1682" t="s">
        <v>424</v>
      </c>
      <c r="HL1682" t="s">
        <v>425</v>
      </c>
      <c r="HM1682" s="1">
        <v>41143</v>
      </c>
      <c r="HN1682">
        <v>15</v>
      </c>
      <c r="HO1682">
        <v>105</v>
      </c>
      <c r="HP1682" t="s">
        <v>946</v>
      </c>
    </row>
    <row r="1683" spans="1:272" x14ac:dyDescent="0.25">
      <c r="A1683">
        <v>16486690</v>
      </c>
      <c r="B1683">
        <v>1682</v>
      </c>
      <c r="C1683" t="s">
        <v>393</v>
      </c>
      <c r="D1683" t="s">
        <v>394</v>
      </c>
      <c r="F1683" t="str">
        <f>"45-2N-28-525D-0018-0000"</f>
        <v>45-2N-28-525D-0018-0000</v>
      </c>
      <c r="H1683" t="str">
        <f>"PEGG R KEVIN"</f>
        <v>PEGG R KEVIN</v>
      </c>
      <c r="I1683" t="str">
        <f>"94245 PALM CIRCLE"</f>
        <v>94245 PALM CIRCLE</v>
      </c>
      <c r="J1683" t="str">
        <f>"FERNANDINA BEACH FL 32034"</f>
        <v>FERNANDINA BEACH FL 32034</v>
      </c>
      <c r="K1683" t="str">
        <f>"94245 PALM CIR"</f>
        <v>94245 PALM CIR</v>
      </c>
      <c r="L1683" t="str">
        <f t="shared" si="599"/>
        <v>FERNANDINA BEACH FL 32034</v>
      </c>
      <c r="M1683" t="str">
        <f>"LOT 18 PT OR 2016/9 (EX THE TOGETHER WITH PARCEL) HOLLY POINT UNIT 4 UNR R497402"</f>
        <v>LOT 18 PT OR 2016/9 (EX THE TOGETHER WITH PARCEL) HOLLY POINT UNIT 4 UNR R497402</v>
      </c>
      <c r="N1683" t="str">
        <f>""</f>
        <v/>
      </c>
      <c r="O1683" t="str">
        <f>"57874"</f>
        <v>57874</v>
      </c>
      <c r="P1683" t="str">
        <f t="shared" si="597"/>
        <v>2017</v>
      </c>
      <c r="Q1683" t="str">
        <f>""</f>
        <v/>
      </c>
      <c r="R1683" t="str">
        <f>"Y"</f>
        <v>Y</v>
      </c>
      <c r="S1683" t="str">
        <f>""</f>
        <v/>
      </c>
      <c r="T1683" t="str">
        <f>"1131.23"</f>
        <v>1131.23</v>
      </c>
      <c r="U1683" t="str">
        <f>"113828.00"</f>
        <v>113828.00</v>
      </c>
      <c r="V1683" t="str">
        <f>"113828.00"</f>
        <v>113828.00</v>
      </c>
      <c r="W1683" t="str">
        <f t="shared" si="598"/>
        <v>2017</v>
      </c>
      <c r="X1683" t="str">
        <f>""</f>
        <v/>
      </c>
      <c r="Y1683" t="str">
        <f>"1197.17"</f>
        <v>1197.17</v>
      </c>
      <c r="Z1683" t="str">
        <f>"25000.00"</f>
        <v>25000.00</v>
      </c>
      <c r="AA1683" t="str">
        <f>"88828.00"</f>
        <v>88828.00</v>
      </c>
      <c r="AB1683" t="str">
        <f t="shared" si="600"/>
        <v>Residential</v>
      </c>
      <c r="AC1683" t="str">
        <f t="shared" si="588"/>
        <v>0</v>
      </c>
      <c r="AD1683" t="str">
        <f t="shared" ref="AD1683:AD1696" si="604">"4"</f>
        <v>4</v>
      </c>
      <c r="AE1683" t="str">
        <f t="shared" ref="AE1683:AE1696" si="605">"WOOD (INCLUDE STEEL STUDS)"</f>
        <v>WOOD (INCLUDE STEEL STUDS)</v>
      </c>
      <c r="AF1683" t="str">
        <f>"001"</f>
        <v>001</v>
      </c>
      <c r="AG1683" t="str">
        <f t="shared" si="603"/>
        <v>FL</v>
      </c>
      <c r="AH1683" t="str">
        <f>"22128.00"</f>
        <v>22128.00</v>
      </c>
      <c r="AI1683" t="str">
        <f>"27625.00"</f>
        <v>27625.00</v>
      </c>
      <c r="AJ1683" t="str">
        <f>"C55-001-092-8421-6"</f>
        <v>C55-001-092-8421-6</v>
      </c>
      <c r="AK1683" t="str">
        <f>"30182"</f>
        <v>30182</v>
      </c>
      <c r="AL1683">
        <v>6</v>
      </c>
      <c r="AM1683">
        <v>1926</v>
      </c>
      <c r="AN1683">
        <v>1255.43</v>
      </c>
      <c r="AQ1683" t="s">
        <v>16752</v>
      </c>
      <c r="AR1683" t="s">
        <v>16752</v>
      </c>
      <c r="AS1683" t="s">
        <v>16752</v>
      </c>
      <c r="AU1683" t="s">
        <v>396</v>
      </c>
      <c r="AV1683">
        <v>2017</v>
      </c>
      <c r="AW1683" t="str">
        <f>"45-2N-28-525D-0018-0000 "</f>
        <v xml:space="preserve">45-2N-28-525D-0018-0000 </v>
      </c>
      <c r="AX1683">
        <v>94245</v>
      </c>
      <c r="AZ1683" t="s">
        <v>16753</v>
      </c>
      <c r="BA1683" t="s">
        <v>1799</v>
      </c>
      <c r="BD1683" t="s">
        <v>11749</v>
      </c>
      <c r="BE1683" t="s">
        <v>393</v>
      </c>
      <c r="BF1683">
        <v>32034</v>
      </c>
      <c r="BG1683" t="s">
        <v>16754</v>
      </c>
      <c r="BH1683" t="s">
        <v>11751</v>
      </c>
      <c r="BK1683" t="s">
        <v>16755</v>
      </c>
      <c r="BM1683" t="s">
        <v>16756</v>
      </c>
      <c r="BN1683" t="s">
        <v>3983</v>
      </c>
      <c r="BO1683">
        <v>32034</v>
      </c>
      <c r="BQ1683">
        <v>100</v>
      </c>
      <c r="BR1683" t="s">
        <v>514</v>
      </c>
      <c r="BS1683">
        <v>1001</v>
      </c>
      <c r="BT1683" t="s">
        <v>515</v>
      </c>
      <c r="BW1683">
        <v>22128</v>
      </c>
      <c r="BX1683" t="s">
        <v>407</v>
      </c>
      <c r="BZ1683">
        <v>4</v>
      </c>
      <c r="CA1683">
        <v>2016</v>
      </c>
      <c r="CC1683">
        <v>1</v>
      </c>
      <c r="CD1683">
        <v>2017</v>
      </c>
      <c r="CE1683">
        <v>27625</v>
      </c>
      <c r="CF1683">
        <v>86203</v>
      </c>
      <c r="CG1683">
        <v>113828</v>
      </c>
      <c r="CH1683">
        <v>2017</v>
      </c>
      <c r="CI1683">
        <v>27625</v>
      </c>
      <c r="CJ1683">
        <v>86203</v>
      </c>
      <c r="CK1683">
        <v>113828</v>
      </c>
      <c r="CL1683">
        <v>2017</v>
      </c>
      <c r="CM1683">
        <v>1131.23</v>
      </c>
      <c r="DD1683" t="s">
        <v>11749</v>
      </c>
      <c r="DM1683" t="s">
        <v>16577</v>
      </c>
      <c r="DO1683" t="s">
        <v>16757</v>
      </c>
    </row>
    <row r="1684" spans="1:272" x14ac:dyDescent="0.25">
      <c r="A1684">
        <v>16486691</v>
      </c>
      <c r="B1684">
        <v>1683</v>
      </c>
      <c r="C1684" t="s">
        <v>393</v>
      </c>
      <c r="D1684" t="s">
        <v>394</v>
      </c>
      <c r="F1684" t="str">
        <f>"45-2N-28-525F-0010-0000"</f>
        <v>45-2N-28-525F-0010-0000</v>
      </c>
      <c r="H1684" t="str">
        <f>"ZIMMERMAN JILL E &amp; FRITTS ANTHONY C (JT/RS)"</f>
        <v>ZIMMERMAN JILL E &amp; FRITTS ANTHONY C (JT/RS)</v>
      </c>
      <c r="I1684" t="str">
        <f>"95180 KAREN WALK"</f>
        <v>95180 KAREN WALK</v>
      </c>
      <c r="J1684" t="str">
        <f>"FERNANDINA BEACH FL 32034"</f>
        <v>FERNANDINA BEACH FL 32034</v>
      </c>
      <c r="K1684" t="str">
        <f>"85766 OWENS RD"</f>
        <v>85766 OWENS RD</v>
      </c>
      <c r="L1684" t="str">
        <f t="shared" si="599"/>
        <v>FERNANDINA BEACH FL 32034</v>
      </c>
      <c r="M1684" t="str">
        <f>"LOT 10 IN OR 1903/1079 GAFL1AD36074513 HOLLY POINT EAST PB 6/160"</f>
        <v>LOT 10 IN OR 1903/1079 GAFL1AD36074513 HOLLY POINT EAST PB 6/160</v>
      </c>
      <c r="N1684" t="str">
        <f>""</f>
        <v/>
      </c>
      <c r="O1684" t="str">
        <f>"51809"</f>
        <v>51809</v>
      </c>
      <c r="P1684" t="str">
        <f t="shared" si="597"/>
        <v>2017</v>
      </c>
      <c r="Q1684" t="str">
        <f>""</f>
        <v/>
      </c>
      <c r="R1684" t="str">
        <f>"N"</f>
        <v>N</v>
      </c>
      <c r="S1684" t="str">
        <f>""</f>
        <v/>
      </c>
      <c r="T1684" t="str">
        <f>"427.71"</f>
        <v>427.71</v>
      </c>
      <c r="U1684" t="str">
        <f>"27149.00"</f>
        <v>27149.00</v>
      </c>
      <c r="V1684" t="str">
        <f>"27149.00"</f>
        <v>27149.00</v>
      </c>
      <c r="W1684" t="str">
        <f t="shared" si="598"/>
        <v>2017</v>
      </c>
      <c r="X1684" t="str">
        <f>"1.00"</f>
        <v>1.00</v>
      </c>
      <c r="Y1684" t="str">
        <f>"472.54"</f>
        <v>472.54</v>
      </c>
      <c r="Z1684" t="str">
        <f>""</f>
        <v/>
      </c>
      <c r="AA1684" t="str">
        <f>"29681.00"</f>
        <v>29681.00</v>
      </c>
      <c r="AB1684" t="str">
        <f t="shared" si="600"/>
        <v>Residential</v>
      </c>
      <c r="AC1684" t="str">
        <f t="shared" si="588"/>
        <v>0</v>
      </c>
      <c r="AD1684" t="str">
        <f t="shared" si="604"/>
        <v>4</v>
      </c>
      <c r="AE1684" t="str">
        <f t="shared" si="605"/>
        <v>WOOD (INCLUDE STEEL STUDS)</v>
      </c>
      <c r="AF1684" t="str">
        <f>"002"</f>
        <v>002</v>
      </c>
      <c r="AG1684" t="str">
        <f t="shared" si="603"/>
        <v>FL</v>
      </c>
      <c r="AH1684" t="str">
        <f t="shared" ref="AH1684:AH1699" si="606">"-"</f>
        <v>-</v>
      </c>
      <c r="AI1684" t="str">
        <f t="shared" ref="AI1684:AI1695" si="607">"25000.00"</f>
        <v>25000.00</v>
      </c>
      <c r="AJ1684" t="str">
        <f>"C55-000-588-4909-2"</f>
        <v>C55-000-588-4909-2</v>
      </c>
      <c r="AK1684" t="str">
        <f>"30227"</f>
        <v>30227</v>
      </c>
      <c r="AL1684">
        <v>6</v>
      </c>
      <c r="AM1684">
        <v>1927</v>
      </c>
      <c r="AN1684">
        <v>494.57</v>
      </c>
      <c r="AQ1684" t="s">
        <v>16758</v>
      </c>
      <c r="AR1684" t="s">
        <v>16758</v>
      </c>
      <c r="AS1684" t="s">
        <v>16758</v>
      </c>
      <c r="AU1684" t="s">
        <v>396</v>
      </c>
      <c r="AV1684">
        <v>2017</v>
      </c>
      <c r="AW1684" t="str">
        <f>"45-2N-28-525F-0010-0000 "</f>
        <v xml:space="preserve">45-2N-28-525F-0010-0000 </v>
      </c>
      <c r="AX1684">
        <v>85766</v>
      </c>
      <c r="AZ1684" t="s">
        <v>16759</v>
      </c>
      <c r="BA1684" t="s">
        <v>496</v>
      </c>
      <c r="BD1684" t="s">
        <v>11749</v>
      </c>
      <c r="BE1684" t="s">
        <v>393</v>
      </c>
      <c r="BF1684">
        <v>32034</v>
      </c>
      <c r="BG1684" t="s">
        <v>16760</v>
      </c>
      <c r="BH1684" t="s">
        <v>11751</v>
      </c>
      <c r="BI1684">
        <v>-81.535719886139105</v>
      </c>
      <c r="BJ1684">
        <v>30.563407227384399</v>
      </c>
      <c r="BK1684" t="s">
        <v>15848</v>
      </c>
      <c r="BL1684" t="s">
        <v>15849</v>
      </c>
      <c r="BM1684" t="s">
        <v>15847</v>
      </c>
      <c r="BN1684" t="s">
        <v>3983</v>
      </c>
      <c r="BO1684">
        <v>32034</v>
      </c>
      <c r="BP1684" t="s">
        <v>404</v>
      </c>
      <c r="BQ1684">
        <v>200</v>
      </c>
      <c r="BR1684" t="s">
        <v>405</v>
      </c>
      <c r="BS1684">
        <v>1006</v>
      </c>
      <c r="BT1684" t="s">
        <v>406</v>
      </c>
      <c r="BW1684">
        <v>43398</v>
      </c>
      <c r="BX1684" t="s">
        <v>407</v>
      </c>
      <c r="BZ1684">
        <v>4</v>
      </c>
      <c r="CA1684">
        <v>1984</v>
      </c>
      <c r="CB1684">
        <v>1</v>
      </c>
      <c r="CC1684">
        <v>1</v>
      </c>
      <c r="CD1684">
        <v>2017</v>
      </c>
      <c r="CE1684">
        <v>25000</v>
      </c>
      <c r="CF1684">
        <v>4681</v>
      </c>
      <c r="CG1684">
        <v>29681</v>
      </c>
      <c r="CH1684">
        <v>2017</v>
      </c>
      <c r="CI1684">
        <v>25000</v>
      </c>
      <c r="CJ1684">
        <v>4681</v>
      </c>
      <c r="CK1684">
        <v>29681</v>
      </c>
      <c r="CL1684">
        <v>2017</v>
      </c>
      <c r="CM1684">
        <v>427.71</v>
      </c>
      <c r="CN1684" s="1">
        <v>41688</v>
      </c>
      <c r="CO1684">
        <v>24000</v>
      </c>
      <c r="CZ1684" s="1">
        <v>41688</v>
      </c>
      <c r="DD1684" t="s">
        <v>11749</v>
      </c>
      <c r="DG1684">
        <v>45</v>
      </c>
      <c r="DL1684">
        <v>50303</v>
      </c>
      <c r="DM1684" t="s">
        <v>16577</v>
      </c>
      <c r="DO1684" t="s">
        <v>16761</v>
      </c>
      <c r="DP1684">
        <v>0</v>
      </c>
      <c r="DQ1684">
        <v>0</v>
      </c>
      <c r="DR1684" t="s">
        <v>411</v>
      </c>
      <c r="EP1684" t="s">
        <v>421</v>
      </c>
      <c r="EQ1684" t="s">
        <v>422</v>
      </c>
      <c r="ER1684">
        <v>0</v>
      </c>
      <c r="ES1684">
        <v>1</v>
      </c>
      <c r="ET1684">
        <v>0</v>
      </c>
      <c r="EU1684">
        <v>0</v>
      </c>
      <c r="EV1684">
        <v>0</v>
      </c>
      <c r="EW1684" s="2">
        <v>43222</v>
      </c>
      <c r="EX1684" s="1">
        <v>42879</v>
      </c>
      <c r="EY1684">
        <v>2016</v>
      </c>
      <c r="EZ1684">
        <v>436.75</v>
      </c>
      <c r="FA1684" t="s">
        <v>16762</v>
      </c>
      <c r="FB1684">
        <v>0.25</v>
      </c>
      <c r="FC1684" t="s">
        <v>424</v>
      </c>
      <c r="FD1684" t="s">
        <v>425</v>
      </c>
      <c r="FE1684" s="1">
        <v>42903</v>
      </c>
      <c r="FF1684">
        <v>1</v>
      </c>
      <c r="FG1684">
        <v>7336143</v>
      </c>
      <c r="FH1684" t="s">
        <v>539</v>
      </c>
    </row>
    <row r="1685" spans="1:272" x14ac:dyDescent="0.25">
      <c r="A1685">
        <v>16486692</v>
      </c>
      <c r="B1685">
        <v>1684</v>
      </c>
      <c r="C1685" t="s">
        <v>393</v>
      </c>
      <c r="D1685" t="s">
        <v>394</v>
      </c>
      <c r="F1685" t="str">
        <f>"45-2N-28-525F-0013-0000"</f>
        <v>45-2N-28-525F-0013-0000</v>
      </c>
      <c r="H1685" t="str">
        <f>"AMERICAN RECOVERY CORPORATION INC OF USA"</f>
        <v>AMERICAN RECOVERY CORPORATION INC OF USA</v>
      </c>
      <c r="I1685" t="str">
        <f>"2200 BAYVIEW ROAD"</f>
        <v>2200 BAYVIEW ROAD</v>
      </c>
      <c r="J1685" t="str">
        <f>"JACKSONVILLE FL 32210"</f>
        <v>JACKSONVILLE FL 32210</v>
      </c>
      <c r="K1685" t="str">
        <f>"85700 OWENS RD"</f>
        <v>85700 OWENS RD</v>
      </c>
      <c r="L1685" t="str">
        <f t="shared" si="599"/>
        <v>FERNANDINA BEACH FL 32034</v>
      </c>
      <c r="M1685" t="str">
        <f>"LOT 13 2005 DW/MH FTWD IN OR 1965/878 HOLLY POINT EAST PB 6/160"</f>
        <v>LOT 13 2005 DW/MH FTWD IN OR 1965/878 HOLLY POINT EAST PB 6/160</v>
      </c>
      <c r="N1685" t="str">
        <f>""</f>
        <v/>
      </c>
      <c r="O1685" t="str">
        <f>"51812"</f>
        <v>51812</v>
      </c>
      <c r="P1685" t="str">
        <f t="shared" si="597"/>
        <v>2017</v>
      </c>
      <c r="Q1685" t="str">
        <f>""</f>
        <v/>
      </c>
      <c r="R1685" t="str">
        <f>"N"</f>
        <v>N</v>
      </c>
      <c r="S1685" t="str">
        <f>""</f>
        <v/>
      </c>
      <c r="T1685" t="str">
        <f>"937.30"</f>
        <v>937.30</v>
      </c>
      <c r="U1685" t="str">
        <f>"60963.00"</f>
        <v>60963.00</v>
      </c>
      <c r="V1685" t="str">
        <f>"60963.00"</f>
        <v>60963.00</v>
      </c>
      <c r="W1685" t="str">
        <f t="shared" si="598"/>
        <v>2017</v>
      </c>
      <c r="X1685" t="str">
        <f>"15.40"</f>
        <v>15.40</v>
      </c>
      <c r="Y1685" t="str">
        <f>"997.42"</f>
        <v>997.42</v>
      </c>
      <c r="Z1685" t="str">
        <f>""</f>
        <v/>
      </c>
      <c r="AA1685" t="str">
        <f>"63145.00"</f>
        <v>63145.00</v>
      </c>
      <c r="AB1685" t="str">
        <f t="shared" si="600"/>
        <v>Residential</v>
      </c>
      <c r="AC1685" t="str">
        <f t="shared" si="588"/>
        <v>0</v>
      </c>
      <c r="AD1685" t="str">
        <f t="shared" si="604"/>
        <v>4</v>
      </c>
      <c r="AE1685" t="str">
        <f t="shared" si="605"/>
        <v>WOOD (INCLUDE STEEL STUDS)</v>
      </c>
      <c r="AF1685" t="str">
        <f>"002"</f>
        <v>002</v>
      </c>
      <c r="AG1685" t="str">
        <f t="shared" si="603"/>
        <v>FL</v>
      </c>
      <c r="AH1685" t="str">
        <f t="shared" si="606"/>
        <v>-</v>
      </c>
      <c r="AI1685" t="str">
        <f t="shared" si="607"/>
        <v>25000.00</v>
      </c>
      <c r="AJ1685" t="str">
        <f>"C55-000-588-4912-6"</f>
        <v>C55-000-588-4912-6</v>
      </c>
      <c r="AK1685" t="str">
        <f>"30230"</f>
        <v>30230</v>
      </c>
      <c r="AL1685">
        <v>6</v>
      </c>
      <c r="AM1685">
        <v>1928</v>
      </c>
      <c r="AN1685">
        <v>1045.69</v>
      </c>
      <c r="AQ1685" t="s">
        <v>16763</v>
      </c>
      <c r="AR1685" t="s">
        <v>16763</v>
      </c>
      <c r="AS1685" t="s">
        <v>16763</v>
      </c>
      <c r="AU1685" t="s">
        <v>396</v>
      </c>
      <c r="AV1685">
        <v>2017</v>
      </c>
      <c r="AW1685" t="str">
        <f>"45-2N-28-525F-0013-0000 "</f>
        <v xml:space="preserve">45-2N-28-525F-0013-0000 </v>
      </c>
      <c r="AX1685">
        <v>85700</v>
      </c>
      <c r="AZ1685" t="s">
        <v>16759</v>
      </c>
      <c r="BA1685" t="s">
        <v>496</v>
      </c>
      <c r="BD1685" t="s">
        <v>11749</v>
      </c>
      <c r="BE1685" t="s">
        <v>393</v>
      </c>
      <c r="BF1685">
        <v>32034</v>
      </c>
      <c r="BG1685" t="s">
        <v>16764</v>
      </c>
      <c r="BH1685" t="s">
        <v>11751</v>
      </c>
      <c r="BI1685">
        <v>-81.536580902996207</v>
      </c>
      <c r="BJ1685">
        <v>30.5628004908001</v>
      </c>
      <c r="BK1685" t="s">
        <v>14198</v>
      </c>
      <c r="BM1685" t="s">
        <v>14199</v>
      </c>
      <c r="BN1685" t="s">
        <v>548</v>
      </c>
      <c r="BO1685">
        <v>32210</v>
      </c>
      <c r="BP1685" t="s">
        <v>404</v>
      </c>
      <c r="BQ1685">
        <v>200</v>
      </c>
      <c r="BR1685" t="s">
        <v>405</v>
      </c>
      <c r="BS1685">
        <v>1006</v>
      </c>
      <c r="BT1685" t="s">
        <v>406</v>
      </c>
      <c r="BW1685">
        <v>44424</v>
      </c>
      <c r="BX1685" t="s">
        <v>407</v>
      </c>
      <c r="BZ1685">
        <v>4</v>
      </c>
      <c r="CA1685">
        <v>2005</v>
      </c>
      <c r="CC1685">
        <v>1</v>
      </c>
      <c r="CD1685">
        <v>2017</v>
      </c>
      <c r="CE1685">
        <v>25000</v>
      </c>
      <c r="CF1685">
        <v>38145</v>
      </c>
      <c r="CG1685">
        <v>63145</v>
      </c>
      <c r="CH1685">
        <v>2017</v>
      </c>
      <c r="CI1685">
        <v>25000</v>
      </c>
      <c r="CJ1685">
        <v>38145</v>
      </c>
      <c r="CK1685">
        <v>63145</v>
      </c>
      <c r="CL1685">
        <v>2017</v>
      </c>
      <c r="CM1685">
        <v>937.3</v>
      </c>
      <c r="CN1685" s="1">
        <v>38446</v>
      </c>
      <c r="CO1685">
        <v>38500</v>
      </c>
      <c r="CV1685">
        <v>0</v>
      </c>
      <c r="CZ1685" s="1">
        <v>38446</v>
      </c>
      <c r="DA1685">
        <v>0</v>
      </c>
      <c r="DD1685" t="s">
        <v>11749</v>
      </c>
      <c r="DF1685">
        <v>13</v>
      </c>
      <c r="DG1685">
        <v>45</v>
      </c>
      <c r="DJ1685" t="s">
        <v>12188</v>
      </c>
      <c r="DL1685">
        <v>50303</v>
      </c>
      <c r="DM1685" t="s">
        <v>16577</v>
      </c>
      <c r="DO1685" t="s">
        <v>16765</v>
      </c>
      <c r="DP1685">
        <v>0</v>
      </c>
      <c r="DQ1685">
        <v>0</v>
      </c>
      <c r="DR1685" t="s">
        <v>411</v>
      </c>
      <c r="DS1685" t="b">
        <v>1</v>
      </c>
      <c r="DT1685" t="s">
        <v>470</v>
      </c>
      <c r="DU1685" t="s">
        <v>471</v>
      </c>
      <c r="DV1685" t="s">
        <v>472</v>
      </c>
      <c r="DX1685">
        <v>-9999</v>
      </c>
      <c r="DZ1685" t="s">
        <v>447</v>
      </c>
      <c r="EA1685" t="s">
        <v>448</v>
      </c>
      <c r="EB1685" t="s">
        <v>742</v>
      </c>
      <c r="EC1685">
        <v>20101217</v>
      </c>
      <c r="ED1685" t="s">
        <v>474</v>
      </c>
      <c r="EF1685">
        <v>381.4</v>
      </c>
      <c r="EG1685">
        <v>217.7</v>
      </c>
      <c r="EI1685">
        <v>20160407</v>
      </c>
      <c r="EJ1685">
        <v>0</v>
      </c>
      <c r="EK1685">
        <v>0</v>
      </c>
      <c r="EP1685" t="s">
        <v>421</v>
      </c>
      <c r="EQ1685" t="s">
        <v>422</v>
      </c>
      <c r="ER1685">
        <v>2</v>
      </c>
      <c r="ES1685">
        <v>5</v>
      </c>
      <c r="ET1685">
        <v>1894.18</v>
      </c>
      <c r="EU1685">
        <v>107.21</v>
      </c>
      <c r="EV1685">
        <v>2001.39</v>
      </c>
      <c r="EW1685" s="2">
        <v>43222</v>
      </c>
      <c r="EX1685" s="1">
        <v>42879</v>
      </c>
      <c r="EY1685">
        <v>2016</v>
      </c>
      <c r="EZ1685">
        <v>947.09</v>
      </c>
      <c r="FA1685" t="s">
        <v>16766</v>
      </c>
      <c r="FB1685">
        <v>0.25</v>
      </c>
      <c r="FC1685" t="s">
        <v>424</v>
      </c>
      <c r="FD1685" t="s">
        <v>454</v>
      </c>
      <c r="FF1685">
        <v>12</v>
      </c>
      <c r="FG1685">
        <v>2851116</v>
      </c>
      <c r="FH1685" t="s">
        <v>480</v>
      </c>
      <c r="FJ1685" s="1">
        <v>42879</v>
      </c>
      <c r="FK1685">
        <v>2016</v>
      </c>
      <c r="FL1685">
        <v>947.09</v>
      </c>
      <c r="FM1685" t="s">
        <v>16766</v>
      </c>
      <c r="FN1685">
        <v>0.25</v>
      </c>
      <c r="FO1685" t="s">
        <v>424</v>
      </c>
      <c r="FP1685" t="s">
        <v>454</v>
      </c>
      <c r="FR1685">
        <v>12</v>
      </c>
      <c r="FS1685">
        <v>5716921</v>
      </c>
      <c r="FT1685" t="s">
        <v>16767</v>
      </c>
      <c r="FV1685" s="1">
        <v>42515</v>
      </c>
      <c r="FW1685">
        <v>2015</v>
      </c>
      <c r="FX1685">
        <v>978.4</v>
      </c>
      <c r="FY1685" t="s">
        <v>16768</v>
      </c>
      <c r="FZ1685">
        <v>0.25</v>
      </c>
      <c r="GA1685" t="s">
        <v>424</v>
      </c>
      <c r="GB1685" t="s">
        <v>425</v>
      </c>
      <c r="GC1685" s="1">
        <v>43153</v>
      </c>
      <c r="GD1685">
        <v>21</v>
      </c>
      <c r="GE1685">
        <v>7336671</v>
      </c>
      <c r="GF1685" t="s">
        <v>437</v>
      </c>
      <c r="GH1685" s="1">
        <v>42515</v>
      </c>
      <c r="GI1685">
        <v>2015</v>
      </c>
      <c r="GJ1685">
        <v>978.4</v>
      </c>
      <c r="GK1685" t="s">
        <v>16768</v>
      </c>
      <c r="GL1685">
        <v>0.25</v>
      </c>
      <c r="GM1685" t="s">
        <v>424</v>
      </c>
      <c r="GN1685" t="s">
        <v>425</v>
      </c>
      <c r="GP1685">
        <v>22</v>
      </c>
      <c r="GQ1685">
        <v>6776520</v>
      </c>
      <c r="GR1685" t="s">
        <v>16769</v>
      </c>
      <c r="GT1685" s="1">
        <v>42151</v>
      </c>
      <c r="GU1685">
        <v>2014</v>
      </c>
      <c r="GV1685">
        <v>871.15</v>
      </c>
      <c r="GW1685" t="s">
        <v>16770</v>
      </c>
      <c r="GX1685">
        <v>0.25</v>
      </c>
      <c r="GY1685" t="s">
        <v>424</v>
      </c>
      <c r="GZ1685" t="s">
        <v>425</v>
      </c>
      <c r="HA1685" s="1">
        <v>42788</v>
      </c>
      <c r="HB1685">
        <v>21</v>
      </c>
      <c r="HC1685">
        <v>4975594</v>
      </c>
      <c r="HD1685" t="s">
        <v>457</v>
      </c>
      <c r="HF1685" s="1">
        <v>42151</v>
      </c>
      <c r="HG1685">
        <v>2014</v>
      </c>
      <c r="HH1685">
        <v>871.15</v>
      </c>
      <c r="HI1685" t="s">
        <v>16770</v>
      </c>
      <c r="HJ1685">
        <v>0.25</v>
      </c>
      <c r="HK1685" t="s">
        <v>424</v>
      </c>
      <c r="HL1685" t="s">
        <v>425</v>
      </c>
      <c r="HN1685">
        <v>22</v>
      </c>
      <c r="HO1685">
        <v>6602624</v>
      </c>
      <c r="HP1685" t="s">
        <v>16771</v>
      </c>
      <c r="HR1685" s="1">
        <v>41787</v>
      </c>
      <c r="HS1685">
        <v>2013</v>
      </c>
      <c r="HT1685">
        <v>838.72</v>
      </c>
      <c r="HU1685" t="s">
        <v>16772</v>
      </c>
      <c r="HV1685">
        <v>0.25</v>
      </c>
      <c r="HW1685" t="s">
        <v>424</v>
      </c>
      <c r="HX1685" t="s">
        <v>425</v>
      </c>
      <c r="HY1685" s="1">
        <v>42424</v>
      </c>
      <c r="HZ1685">
        <v>21</v>
      </c>
      <c r="IA1685">
        <v>2407503</v>
      </c>
      <c r="IB1685" t="s">
        <v>461</v>
      </c>
    </row>
    <row r="1686" spans="1:272" x14ac:dyDescent="0.25">
      <c r="A1686">
        <v>16486693</v>
      </c>
      <c r="B1686">
        <v>1685</v>
      </c>
      <c r="C1686" t="s">
        <v>393</v>
      </c>
      <c r="D1686" t="s">
        <v>394</v>
      </c>
      <c r="F1686" t="str">
        <f>"45-2N-28-545K-0002-0000"</f>
        <v>45-2N-28-545K-0002-0000</v>
      </c>
      <c r="H1686" t="str">
        <f>"TRANTHAM NANCY R"</f>
        <v>TRANTHAM NANCY R</v>
      </c>
      <c r="I1686" t="str">
        <f>"940732 OLD NASSAUVILLE RD"</f>
        <v>940732 OLD NASSAUVILLE RD</v>
      </c>
      <c r="J1686" t="str">
        <f>"FERNANDINA BEACH FL 32034"</f>
        <v>FERNANDINA BEACH FL 32034</v>
      </c>
      <c r="K1686" t="str">
        <f>"940732 OLD NASSAUVILLE RD"</f>
        <v>940732 OLD NASSAUVILLE RD</v>
      </c>
      <c r="L1686" t="str">
        <f t="shared" si="599"/>
        <v>FERNANDINA BEACH FL 32034</v>
      </c>
      <c r="M1686" t="str">
        <f>"LOT 2 IN OR 1751/810 &amp; OR 1847/1834 KASIE HILL SUB PB 6/102 F/K/A 45-2N-28-0000-0004-0070"</f>
        <v>LOT 2 IN OR 1751/810 &amp; OR 1847/1834 KASIE HILL SUB PB 6/102 F/K/A 45-2N-28-0000-0004-0070</v>
      </c>
      <c r="N1686" t="str">
        <f>""</f>
        <v/>
      </c>
      <c r="O1686" t="str">
        <f>"51838"</f>
        <v>51838</v>
      </c>
      <c r="P1686" t="str">
        <f t="shared" si="597"/>
        <v>2017</v>
      </c>
      <c r="Q1686" t="str">
        <f>""</f>
        <v/>
      </c>
      <c r="R1686" t="str">
        <f>"Y"</f>
        <v>Y</v>
      </c>
      <c r="S1686" t="str">
        <f>""</f>
        <v/>
      </c>
      <c r="T1686" t="str">
        <f>"1446.36"</f>
        <v>1446.36</v>
      </c>
      <c r="U1686" t="str">
        <f>"135644.00"</f>
        <v>135644.00</v>
      </c>
      <c r="V1686" t="str">
        <f>"135644.00"</f>
        <v>135644.00</v>
      </c>
      <c r="W1686" t="str">
        <f t="shared" si="598"/>
        <v>2017</v>
      </c>
      <c r="X1686" t="str">
        <f>""</f>
        <v/>
      </c>
      <c r="Y1686" t="str">
        <f>"409.58"</f>
        <v>409.58</v>
      </c>
      <c r="Z1686" t="str">
        <f>"26000.00"</f>
        <v>26000.00</v>
      </c>
      <c r="AA1686" t="str">
        <f>"109644.00"</f>
        <v>109644.00</v>
      </c>
      <c r="AB1686" t="str">
        <f t="shared" si="600"/>
        <v>Residential</v>
      </c>
      <c r="AC1686" t="str">
        <f t="shared" si="588"/>
        <v>0</v>
      </c>
      <c r="AD1686" t="str">
        <f t="shared" si="604"/>
        <v>4</v>
      </c>
      <c r="AE1686" t="str">
        <f t="shared" si="605"/>
        <v>WOOD (INCLUDE STEEL STUDS)</v>
      </c>
      <c r="AF1686" t="str">
        <f>"001"</f>
        <v>001</v>
      </c>
      <c r="AG1686" t="str">
        <f t="shared" si="603"/>
        <v>FL</v>
      </c>
      <c r="AH1686" t="str">
        <f t="shared" si="606"/>
        <v>-</v>
      </c>
      <c r="AI1686" t="str">
        <f t="shared" si="607"/>
        <v>25000.00</v>
      </c>
      <c r="AJ1686" t="str">
        <f>"C55-000-588-4929-0"</f>
        <v>C55-000-588-4929-0</v>
      </c>
      <c r="AK1686" t="str">
        <f>"30249"</f>
        <v>30249</v>
      </c>
      <c r="AL1686">
        <v>6</v>
      </c>
      <c r="AM1686">
        <v>1929</v>
      </c>
      <c r="AN1686">
        <v>428.46</v>
      </c>
      <c r="AQ1686" t="s">
        <v>16773</v>
      </c>
      <c r="AR1686" t="s">
        <v>16773</v>
      </c>
      <c r="AS1686" t="s">
        <v>16773</v>
      </c>
      <c r="AU1686" t="s">
        <v>396</v>
      </c>
      <c r="AV1686">
        <v>2017</v>
      </c>
      <c r="AW1686" t="str">
        <f>"45-2N-28-545K-0002-0000 "</f>
        <v xml:space="preserve">45-2N-28-545K-0002-0000 </v>
      </c>
      <c r="AX1686">
        <v>940732</v>
      </c>
      <c r="AZ1686" t="s">
        <v>15258</v>
      </c>
      <c r="BA1686" t="s">
        <v>496</v>
      </c>
      <c r="BD1686" t="s">
        <v>11749</v>
      </c>
      <c r="BE1686" t="s">
        <v>393</v>
      </c>
      <c r="BF1686">
        <v>32034</v>
      </c>
      <c r="BG1686" t="s">
        <v>16774</v>
      </c>
      <c r="BH1686" t="s">
        <v>11751</v>
      </c>
      <c r="BI1686">
        <v>-81.528465497607201</v>
      </c>
      <c r="BJ1686">
        <v>30.564873093171201</v>
      </c>
      <c r="BK1686" t="s">
        <v>16775</v>
      </c>
      <c r="BL1686" t="s">
        <v>16776</v>
      </c>
      <c r="BM1686" t="s">
        <v>16774</v>
      </c>
      <c r="BN1686" t="s">
        <v>3983</v>
      </c>
      <c r="BO1686">
        <v>32034</v>
      </c>
      <c r="BP1686" t="s">
        <v>416</v>
      </c>
      <c r="BQ1686">
        <v>100</v>
      </c>
      <c r="BR1686" t="s">
        <v>514</v>
      </c>
      <c r="BS1686">
        <v>1001</v>
      </c>
      <c r="BT1686" t="s">
        <v>515</v>
      </c>
      <c r="BW1686">
        <v>34923</v>
      </c>
      <c r="BX1686" t="s">
        <v>407</v>
      </c>
      <c r="BZ1686">
        <v>4</v>
      </c>
      <c r="CA1686">
        <v>1998</v>
      </c>
      <c r="CB1686">
        <v>1</v>
      </c>
      <c r="CC1686">
        <v>2</v>
      </c>
      <c r="CD1686">
        <v>2017</v>
      </c>
      <c r="CG1686">
        <v>135644</v>
      </c>
      <c r="CH1686">
        <v>2017</v>
      </c>
      <c r="CI1686">
        <v>25000</v>
      </c>
      <c r="CJ1686">
        <v>115315</v>
      </c>
      <c r="CK1686">
        <v>140315</v>
      </c>
      <c r="CL1686">
        <v>2017</v>
      </c>
      <c r="CM1686">
        <v>1446.36</v>
      </c>
      <c r="CN1686" s="1">
        <v>41288</v>
      </c>
      <c r="CO1686">
        <v>48000</v>
      </c>
      <c r="CZ1686" s="1">
        <v>41288</v>
      </c>
      <c r="DD1686" t="s">
        <v>11749</v>
      </c>
      <c r="DF1686">
        <v>2</v>
      </c>
      <c r="DG1686">
        <v>45</v>
      </c>
      <c r="DJ1686" t="s">
        <v>16777</v>
      </c>
      <c r="DL1686">
        <v>50303</v>
      </c>
      <c r="DM1686" t="s">
        <v>16577</v>
      </c>
      <c r="DO1686" t="s">
        <v>16778</v>
      </c>
      <c r="DP1686">
        <v>0</v>
      </c>
      <c r="DQ1686">
        <v>0</v>
      </c>
      <c r="DR1686" t="s">
        <v>411</v>
      </c>
    </row>
    <row r="1687" spans="1:272" x14ac:dyDescent="0.25">
      <c r="A1687">
        <v>16486694</v>
      </c>
      <c r="B1687">
        <v>1686</v>
      </c>
      <c r="C1687" t="s">
        <v>393</v>
      </c>
      <c r="D1687" t="s">
        <v>394</v>
      </c>
      <c r="F1687" t="str">
        <f>"45-2N-28-550A-0001-0020"</f>
        <v>45-2N-28-550A-0001-0020</v>
      </c>
      <c r="H1687" t="str">
        <f>"BAKER SHANNON L"</f>
        <v>BAKER SHANNON L</v>
      </c>
      <c r="I1687" t="str">
        <f>"95297 SANTA JUANA ROAD"</f>
        <v>95297 SANTA JUANA ROAD</v>
      </c>
      <c r="J1687" t="str">
        <f>"FERNANDINA BEACH FL 32034"</f>
        <v>FERNANDINA BEACH FL 32034</v>
      </c>
      <c r="K1687" t="str">
        <f>"95297 SANTA JUANA RD"</f>
        <v>95297 SANTA JUANA RD</v>
      </c>
      <c r="L1687" t="str">
        <f t="shared" si="599"/>
        <v>FERNANDINA BEACH FL 32034</v>
      </c>
      <c r="M1687" t="str">
        <f>"BLOCK 1 LOT 2 R360276 IN OR 1689/566 SPRING HILL SUB PB 5/32"</f>
        <v>BLOCK 1 LOT 2 R360276 IN OR 1689/566 SPRING HILL SUB PB 5/32</v>
      </c>
      <c r="N1687" t="str">
        <f>""</f>
        <v/>
      </c>
      <c r="O1687" t="str">
        <f>"51860"</f>
        <v>51860</v>
      </c>
      <c r="P1687" t="str">
        <f t="shared" si="597"/>
        <v>2017</v>
      </c>
      <c r="Q1687" t="str">
        <f>""</f>
        <v/>
      </c>
      <c r="R1687" t="str">
        <f>"N"</f>
        <v>N</v>
      </c>
      <c r="S1687" t="str">
        <f>""</f>
        <v/>
      </c>
      <c r="T1687" t="str">
        <f>"428.99"</f>
        <v>428.99</v>
      </c>
      <c r="U1687" t="str">
        <f>"27237.00"</f>
        <v>27237.00</v>
      </c>
      <c r="V1687" t="str">
        <f>"27237.00"</f>
        <v>27237.00</v>
      </c>
      <c r="W1687" t="str">
        <f t="shared" si="598"/>
        <v>2017</v>
      </c>
      <c r="X1687" t="str">
        <f>"11.67"</f>
        <v>11.67</v>
      </c>
      <c r="Y1687" t="str">
        <f>"473.86"</f>
        <v>473.86</v>
      </c>
      <c r="Z1687" t="str">
        <f>""</f>
        <v/>
      </c>
      <c r="AA1687" t="str">
        <f>"29761.00"</f>
        <v>29761.00</v>
      </c>
      <c r="AB1687" t="str">
        <f t="shared" si="600"/>
        <v>Residential</v>
      </c>
      <c r="AC1687" t="str">
        <f t="shared" si="588"/>
        <v>0</v>
      </c>
      <c r="AD1687" t="str">
        <f t="shared" si="604"/>
        <v>4</v>
      </c>
      <c r="AE1687" t="str">
        <f t="shared" si="605"/>
        <v>WOOD (INCLUDE STEEL STUDS)</v>
      </c>
      <c r="AF1687" t="str">
        <f t="shared" ref="AF1687:AF1696" si="608">"002"</f>
        <v>002</v>
      </c>
      <c r="AG1687" t="str">
        <f t="shared" si="603"/>
        <v>FL</v>
      </c>
      <c r="AH1687" t="str">
        <f t="shared" si="606"/>
        <v>-</v>
      </c>
      <c r="AI1687" t="str">
        <f t="shared" si="607"/>
        <v>25000.00</v>
      </c>
      <c r="AJ1687" t="str">
        <f>"C55-000-588-4940-7"</f>
        <v>C55-000-588-4940-7</v>
      </c>
      <c r="AK1687" t="str">
        <f>"30267"</f>
        <v>30267</v>
      </c>
      <c r="AL1687">
        <v>6</v>
      </c>
      <c r="AM1687">
        <v>1930</v>
      </c>
      <c r="AN1687">
        <v>495.95</v>
      </c>
      <c r="AQ1687" t="s">
        <v>16779</v>
      </c>
      <c r="AR1687" t="s">
        <v>16779</v>
      </c>
      <c r="AS1687" t="s">
        <v>16779</v>
      </c>
      <c r="AU1687" t="s">
        <v>396</v>
      </c>
      <c r="AV1687">
        <v>2017</v>
      </c>
      <c r="AW1687" t="str">
        <f>"45-2N-28-550A-0001-0020 "</f>
        <v xml:space="preserve">45-2N-28-550A-0001-0020 </v>
      </c>
      <c r="AX1687">
        <v>95297</v>
      </c>
      <c r="AZ1687" t="s">
        <v>16780</v>
      </c>
      <c r="BA1687" t="s">
        <v>496</v>
      </c>
      <c r="BD1687" t="s">
        <v>11749</v>
      </c>
      <c r="BE1687" t="s">
        <v>393</v>
      </c>
      <c r="BF1687">
        <v>32034</v>
      </c>
      <c r="BG1687" t="s">
        <v>16781</v>
      </c>
      <c r="BH1687" t="s">
        <v>11751</v>
      </c>
      <c r="BI1687">
        <v>-81.526491009417597</v>
      </c>
      <c r="BJ1687">
        <v>30.5730593558952</v>
      </c>
      <c r="BK1687" t="s">
        <v>16782</v>
      </c>
      <c r="BM1687" t="s">
        <v>16781</v>
      </c>
      <c r="BN1687" t="s">
        <v>3983</v>
      </c>
      <c r="BO1687">
        <v>32034</v>
      </c>
      <c r="BP1687" t="s">
        <v>416</v>
      </c>
      <c r="BQ1687">
        <v>200</v>
      </c>
      <c r="BR1687" t="s">
        <v>405</v>
      </c>
      <c r="BS1687">
        <v>1006</v>
      </c>
      <c r="BT1687" t="s">
        <v>406</v>
      </c>
      <c r="BW1687">
        <v>43928</v>
      </c>
      <c r="BX1687" t="s">
        <v>407</v>
      </c>
      <c r="BY1687" t="s">
        <v>408</v>
      </c>
      <c r="BZ1687">
        <v>4</v>
      </c>
      <c r="CA1687">
        <v>1970</v>
      </c>
      <c r="CB1687">
        <v>1</v>
      </c>
      <c r="CC1687">
        <v>1</v>
      </c>
      <c r="CD1687">
        <v>2017</v>
      </c>
      <c r="CE1687">
        <v>25000</v>
      </c>
      <c r="CF1687">
        <v>4761</v>
      </c>
      <c r="CG1687">
        <v>29761</v>
      </c>
      <c r="CH1687">
        <v>2017</v>
      </c>
      <c r="CI1687">
        <v>25000</v>
      </c>
      <c r="CJ1687">
        <v>4761</v>
      </c>
      <c r="CK1687">
        <v>29761</v>
      </c>
      <c r="CL1687">
        <v>2017</v>
      </c>
      <c r="CM1687">
        <v>428.99</v>
      </c>
      <c r="CN1687" s="1">
        <v>40379</v>
      </c>
      <c r="CO1687">
        <v>32900</v>
      </c>
      <c r="CV1687">
        <v>29900</v>
      </c>
      <c r="CX1687" t="s">
        <v>707</v>
      </c>
      <c r="CZ1687" s="1">
        <v>40379</v>
      </c>
      <c r="DA1687">
        <v>0</v>
      </c>
      <c r="DD1687" t="s">
        <v>11749</v>
      </c>
      <c r="DG1687">
        <v>45</v>
      </c>
      <c r="DJ1687" t="s">
        <v>12244</v>
      </c>
      <c r="DL1687">
        <v>50303</v>
      </c>
      <c r="DM1687" t="s">
        <v>16577</v>
      </c>
      <c r="DO1687" t="s">
        <v>16783</v>
      </c>
      <c r="DP1687">
        <v>0</v>
      </c>
      <c r="DQ1687">
        <v>1</v>
      </c>
      <c r="DR1687" t="s">
        <v>411</v>
      </c>
      <c r="DS1687" t="b">
        <v>1</v>
      </c>
      <c r="DT1687" t="s">
        <v>470</v>
      </c>
      <c r="DU1687" t="s">
        <v>471</v>
      </c>
      <c r="DV1687" t="s">
        <v>472</v>
      </c>
      <c r="DX1687">
        <v>-9999</v>
      </c>
      <c r="DZ1687" t="s">
        <v>447</v>
      </c>
      <c r="EA1687" t="s">
        <v>448</v>
      </c>
      <c r="EB1687" t="s">
        <v>742</v>
      </c>
      <c r="EC1687">
        <v>20101217</v>
      </c>
      <c r="ED1687" t="s">
        <v>474</v>
      </c>
      <c r="EF1687">
        <v>573.9</v>
      </c>
      <c r="EG1687">
        <v>510.3</v>
      </c>
      <c r="EI1687">
        <v>20160407</v>
      </c>
      <c r="EJ1687">
        <v>0</v>
      </c>
      <c r="EK1687">
        <v>0</v>
      </c>
      <c r="EP1687" t="s">
        <v>421</v>
      </c>
      <c r="EQ1687" t="s">
        <v>422</v>
      </c>
      <c r="ER1687">
        <v>0</v>
      </c>
      <c r="ES1687">
        <v>7</v>
      </c>
      <c r="ET1687">
        <v>0</v>
      </c>
      <c r="EU1687">
        <v>0</v>
      </c>
      <c r="EV1687">
        <v>0</v>
      </c>
      <c r="EW1687" s="2">
        <v>43222</v>
      </c>
      <c r="EX1687" s="1">
        <v>42879</v>
      </c>
      <c r="EY1687">
        <v>2016</v>
      </c>
      <c r="EZ1687">
        <v>438.09</v>
      </c>
      <c r="FA1687" t="s">
        <v>16784</v>
      </c>
      <c r="FB1687">
        <v>0.25</v>
      </c>
      <c r="FC1687" t="s">
        <v>424</v>
      </c>
      <c r="FD1687" t="s">
        <v>425</v>
      </c>
      <c r="FE1687" s="1">
        <v>43171</v>
      </c>
      <c r="FF1687">
        <v>10</v>
      </c>
      <c r="FG1687">
        <v>62</v>
      </c>
      <c r="FH1687" t="s">
        <v>463</v>
      </c>
      <c r="FJ1687" s="1">
        <v>42515</v>
      </c>
      <c r="FK1687">
        <v>2015</v>
      </c>
      <c r="FL1687">
        <v>443.08</v>
      </c>
      <c r="FM1687" t="s">
        <v>16785</v>
      </c>
      <c r="FN1687">
        <v>6</v>
      </c>
      <c r="FO1687" t="s">
        <v>424</v>
      </c>
      <c r="FP1687" t="s">
        <v>425</v>
      </c>
      <c r="FQ1687" s="1">
        <v>42821</v>
      </c>
      <c r="FR1687">
        <v>10</v>
      </c>
      <c r="FS1687">
        <v>2035919</v>
      </c>
      <c r="FT1687" t="s">
        <v>507</v>
      </c>
      <c r="FV1687" s="1">
        <v>42151</v>
      </c>
      <c r="FW1687">
        <v>2014</v>
      </c>
      <c r="FX1687">
        <v>436.99</v>
      </c>
      <c r="FY1687" t="s">
        <v>16786</v>
      </c>
      <c r="FZ1687">
        <v>4</v>
      </c>
      <c r="GA1687" t="s">
        <v>424</v>
      </c>
      <c r="GB1687" t="s">
        <v>425</v>
      </c>
      <c r="GC1687" s="1">
        <v>42430</v>
      </c>
      <c r="GD1687">
        <v>10</v>
      </c>
      <c r="GE1687">
        <v>15399</v>
      </c>
      <c r="GF1687" t="s">
        <v>485</v>
      </c>
      <c r="GH1687" s="1">
        <v>42151</v>
      </c>
      <c r="GI1687">
        <v>2014</v>
      </c>
      <c r="GJ1687">
        <v>436.99</v>
      </c>
      <c r="GK1687" t="s">
        <v>16786</v>
      </c>
      <c r="GL1687">
        <v>4</v>
      </c>
      <c r="GM1687" t="s">
        <v>424</v>
      </c>
      <c r="GN1687" t="s">
        <v>425</v>
      </c>
      <c r="GP1687">
        <v>22</v>
      </c>
      <c r="GQ1687">
        <v>7045021</v>
      </c>
      <c r="GR1687" t="s">
        <v>16787</v>
      </c>
      <c r="GT1687" s="1">
        <v>41787</v>
      </c>
      <c r="GU1687">
        <v>2013</v>
      </c>
      <c r="GV1687">
        <v>421.26</v>
      </c>
      <c r="GW1687" t="s">
        <v>16788</v>
      </c>
      <c r="GX1687">
        <v>0.25</v>
      </c>
      <c r="GY1687" t="s">
        <v>424</v>
      </c>
      <c r="GZ1687" t="s">
        <v>425</v>
      </c>
      <c r="HA1687" s="1">
        <v>42089</v>
      </c>
      <c r="HB1687">
        <v>10</v>
      </c>
      <c r="HC1687">
        <v>13026</v>
      </c>
      <c r="HD1687" t="s">
        <v>2129</v>
      </c>
      <c r="HF1687" s="1">
        <v>41423</v>
      </c>
      <c r="HG1687">
        <v>2012</v>
      </c>
      <c r="HH1687">
        <v>430.85</v>
      </c>
      <c r="HI1687" t="s">
        <v>16789</v>
      </c>
      <c r="HJ1687">
        <v>0.25</v>
      </c>
      <c r="HK1687" t="s">
        <v>424</v>
      </c>
      <c r="HL1687" t="s">
        <v>425</v>
      </c>
      <c r="HM1687" s="1">
        <v>41694</v>
      </c>
      <c r="HN1687">
        <v>9</v>
      </c>
      <c r="HO1687">
        <v>15399</v>
      </c>
      <c r="HP1687" t="s">
        <v>485</v>
      </c>
      <c r="HR1687" s="1">
        <v>40688</v>
      </c>
      <c r="HS1687">
        <v>2010</v>
      </c>
      <c r="HT1687">
        <v>723.4</v>
      </c>
      <c r="HU1687" t="s">
        <v>16790</v>
      </c>
      <c r="HV1687">
        <v>6</v>
      </c>
      <c r="HW1687" t="s">
        <v>424</v>
      </c>
      <c r="HX1687" t="s">
        <v>425</v>
      </c>
      <c r="HY1687" s="1">
        <v>41327</v>
      </c>
      <c r="HZ1687">
        <v>21</v>
      </c>
      <c r="IA1687">
        <v>10579</v>
      </c>
      <c r="IB1687" t="s">
        <v>488</v>
      </c>
    </row>
    <row r="1688" spans="1:272" x14ac:dyDescent="0.25">
      <c r="A1688">
        <v>16486695</v>
      </c>
      <c r="B1688">
        <v>1687</v>
      </c>
      <c r="C1688" t="s">
        <v>393</v>
      </c>
      <c r="D1688" t="s">
        <v>394</v>
      </c>
      <c r="F1688" t="str">
        <f>"45-2N-28-550A-0001-0050"</f>
        <v>45-2N-28-550A-0001-0050</v>
      </c>
      <c r="H1688" t="str">
        <f>"BLACK CREEK CUSTOM HOMES INC"</f>
        <v>BLACK CREEK CUSTOM HOMES INC</v>
      </c>
      <c r="I1688" t="str">
        <f>"2372 BLANDING BLVD"</f>
        <v>2372 BLANDING BLVD</v>
      </c>
      <c r="J1688" t="str">
        <f>"MIDDLEBURG FL 32068"</f>
        <v>MIDDLEBURG FL 32068</v>
      </c>
      <c r="K1688" t="str">
        <f>"95363 SANTA JUANA RD"</f>
        <v>95363 SANTA JUANA RD</v>
      </c>
      <c r="L1688" t="str">
        <f t="shared" si="599"/>
        <v>FERNANDINA BEACH FL 32034</v>
      </c>
      <c r="M1688" t="str">
        <f>"BLOCK 1 LOT 5 IN OR 2141/170 1998 REDMAN SWMH SPRING HILL SUB PB 5/32"</f>
        <v>BLOCK 1 LOT 5 IN OR 2141/170 1998 REDMAN SWMH SPRING HILL SUB PB 5/32</v>
      </c>
      <c r="N1688" t="str">
        <f>""</f>
        <v/>
      </c>
      <c r="O1688" t="str">
        <f>"51863"</f>
        <v>51863</v>
      </c>
      <c r="P1688" t="str">
        <f t="shared" si="597"/>
        <v>2017</v>
      </c>
      <c r="Q1688" t="str">
        <f>""</f>
        <v/>
      </c>
      <c r="R1688" t="str">
        <f>"N"</f>
        <v>N</v>
      </c>
      <c r="S1688" t="str">
        <f>""</f>
        <v/>
      </c>
      <c r="T1688" t="str">
        <f>"763.35"</f>
        <v>763.35</v>
      </c>
      <c r="U1688" t="str">
        <f>"50424.00"</f>
        <v>50424.00</v>
      </c>
      <c r="V1688" t="str">
        <f>"50424.00"</f>
        <v>50424.00</v>
      </c>
      <c r="W1688" t="str">
        <f t="shared" si="598"/>
        <v>2017</v>
      </c>
      <c r="X1688" t="str">
        <f>""</f>
        <v/>
      </c>
      <c r="Y1688" t="str">
        <f>"818.25"</f>
        <v>818.25</v>
      </c>
      <c r="Z1688" t="str">
        <f>""</f>
        <v/>
      </c>
      <c r="AA1688" t="str">
        <f>"50424.00"</f>
        <v>50424.00</v>
      </c>
      <c r="AB1688" t="str">
        <f t="shared" si="600"/>
        <v>Residential</v>
      </c>
      <c r="AC1688" t="str">
        <f t="shared" ref="AC1688:AC1751" si="609">"0"</f>
        <v>0</v>
      </c>
      <c r="AD1688" t="str">
        <f t="shared" si="604"/>
        <v>4</v>
      </c>
      <c r="AE1688" t="str">
        <f t="shared" si="605"/>
        <v>WOOD (INCLUDE STEEL STUDS)</v>
      </c>
      <c r="AF1688" t="str">
        <f t="shared" si="608"/>
        <v>002</v>
      </c>
      <c r="AG1688" t="str">
        <f t="shared" si="603"/>
        <v>FL</v>
      </c>
      <c r="AH1688" t="str">
        <f t="shared" si="606"/>
        <v>-</v>
      </c>
      <c r="AI1688" t="str">
        <f t="shared" si="607"/>
        <v>25000.00</v>
      </c>
      <c r="AJ1688" t="str">
        <f>"C55-000-588-4943-1"</f>
        <v>C55-000-588-4943-1</v>
      </c>
      <c r="AK1688" t="str">
        <f>"30270"</f>
        <v>30270</v>
      </c>
      <c r="AL1688">
        <v>6</v>
      </c>
      <c r="AM1688">
        <v>1931</v>
      </c>
      <c r="AN1688">
        <v>857.56</v>
      </c>
      <c r="AQ1688" t="s">
        <v>16791</v>
      </c>
      <c r="AR1688" t="s">
        <v>16791</v>
      </c>
      <c r="AS1688" t="s">
        <v>16791</v>
      </c>
      <c r="AU1688" t="s">
        <v>396</v>
      </c>
      <c r="AV1688">
        <v>2017</v>
      </c>
      <c r="AW1688" t="str">
        <f>"45-2N-28-550A-0001-0050 "</f>
        <v xml:space="preserve">45-2N-28-550A-0001-0050 </v>
      </c>
      <c r="AX1688">
        <v>95363</v>
      </c>
      <c r="AZ1688" t="s">
        <v>16780</v>
      </c>
      <c r="BA1688" t="s">
        <v>496</v>
      </c>
      <c r="BD1688" t="s">
        <v>11749</v>
      </c>
      <c r="BE1688" t="s">
        <v>393</v>
      </c>
      <c r="BF1688">
        <v>32034</v>
      </c>
      <c r="BG1688" t="s">
        <v>16792</v>
      </c>
      <c r="BH1688" t="s">
        <v>11751</v>
      </c>
      <c r="BI1688">
        <v>-81.526851132842907</v>
      </c>
      <c r="BJ1688">
        <v>30.573877635495901</v>
      </c>
      <c r="BK1688" t="s">
        <v>16793</v>
      </c>
      <c r="BM1688" t="s">
        <v>16794</v>
      </c>
      <c r="BN1688" t="s">
        <v>16795</v>
      </c>
      <c r="BO1688">
        <v>33146</v>
      </c>
      <c r="BP1688" t="s">
        <v>404</v>
      </c>
      <c r="BQ1688">
        <v>200</v>
      </c>
      <c r="BR1688" t="s">
        <v>405</v>
      </c>
      <c r="BS1688">
        <v>1006</v>
      </c>
      <c r="BT1688" t="s">
        <v>406</v>
      </c>
      <c r="BW1688">
        <v>44212</v>
      </c>
      <c r="BX1688" t="s">
        <v>407</v>
      </c>
      <c r="BY1688" t="s">
        <v>408</v>
      </c>
      <c r="BZ1688">
        <v>4</v>
      </c>
      <c r="CA1688">
        <v>1998</v>
      </c>
      <c r="CB1688">
        <v>1</v>
      </c>
      <c r="CC1688">
        <v>1</v>
      </c>
      <c r="CD1688">
        <v>2017</v>
      </c>
      <c r="CE1688">
        <v>25000</v>
      </c>
      <c r="CF1688">
        <v>25424</v>
      </c>
      <c r="CG1688">
        <v>50424</v>
      </c>
      <c r="CH1688">
        <v>2017</v>
      </c>
      <c r="CI1688">
        <v>25000</v>
      </c>
      <c r="CJ1688">
        <v>25424</v>
      </c>
      <c r="CK1688">
        <v>50424</v>
      </c>
      <c r="CL1688">
        <v>2017</v>
      </c>
      <c r="CM1688">
        <v>763.35</v>
      </c>
      <c r="CN1688" s="1">
        <v>39434</v>
      </c>
      <c r="CO1688">
        <v>104000</v>
      </c>
      <c r="CV1688">
        <v>102393</v>
      </c>
      <c r="CX1688" t="s">
        <v>9036</v>
      </c>
      <c r="CZ1688" s="1">
        <v>39434</v>
      </c>
      <c r="DA1688">
        <v>0</v>
      </c>
      <c r="DD1688" t="s">
        <v>11749</v>
      </c>
      <c r="DF1688">
        <v>5</v>
      </c>
      <c r="DG1688">
        <v>45</v>
      </c>
      <c r="DL1688">
        <v>50303</v>
      </c>
      <c r="DM1688" t="s">
        <v>16577</v>
      </c>
      <c r="DO1688" t="s">
        <v>16796</v>
      </c>
      <c r="DP1688">
        <v>0</v>
      </c>
      <c r="DQ1688">
        <v>0</v>
      </c>
      <c r="DR1688" t="s">
        <v>411</v>
      </c>
    </row>
    <row r="1689" spans="1:272" x14ac:dyDescent="0.25">
      <c r="A1689">
        <v>16486696</v>
      </c>
      <c r="B1689">
        <v>1688</v>
      </c>
      <c r="C1689" t="s">
        <v>393</v>
      </c>
      <c r="D1689" t="s">
        <v>394</v>
      </c>
      <c r="F1689" t="str">
        <f>"45-2N-28-550B-0002-0120"</f>
        <v>45-2N-28-550B-0002-0120</v>
      </c>
      <c r="H1689" t="str">
        <f>"OVERLY TERRY L &amp; LINDA G"</f>
        <v>OVERLY TERRY L &amp; LINDA G</v>
      </c>
      <c r="I1689" t="str">
        <f>"95364 CLEARWATER ROAD"</f>
        <v>95364 CLEARWATER ROAD</v>
      </c>
      <c r="J1689" t="str">
        <f>"FERNANDINA BEACH FL 32034"</f>
        <v>FERNANDINA BEACH FL 32034</v>
      </c>
      <c r="K1689" t="str">
        <f>"95364 CLEARWATER RD"</f>
        <v>95364 CLEARWATER RD</v>
      </c>
      <c r="L1689" t="str">
        <f t="shared" si="599"/>
        <v>FERNANDINA BEACH FL 32034</v>
      </c>
      <c r="M1689" t="str">
        <f>"BLOCK 2 LOT 12 IN OR 860/474 1993 HORT DW/MH SPRING HILL SUB 2 PB 5/35"</f>
        <v>BLOCK 2 LOT 12 IN OR 860/474 1993 HORT DW/MH SPRING HILL SUB 2 PB 5/35</v>
      </c>
      <c r="N1689" t="str">
        <f>""</f>
        <v/>
      </c>
      <c r="O1689" t="str">
        <f>"51918"</f>
        <v>51918</v>
      </c>
      <c r="P1689" t="str">
        <f t="shared" si="597"/>
        <v>2017</v>
      </c>
      <c r="Q1689" t="str">
        <f>""</f>
        <v/>
      </c>
      <c r="R1689" t="str">
        <f>"Y"</f>
        <v>Y</v>
      </c>
      <c r="S1689" t="str">
        <f>""</f>
        <v/>
      </c>
      <c r="T1689" t="str">
        <f>"229.05"</f>
        <v>229.05</v>
      </c>
      <c r="U1689" t="str">
        <f>"41130.00"</f>
        <v>41130.00</v>
      </c>
      <c r="V1689" t="str">
        <f>"41130.00"</f>
        <v>41130.00</v>
      </c>
      <c r="W1689" t="str">
        <f t="shared" si="598"/>
        <v>2017</v>
      </c>
      <c r="X1689" t="str">
        <f>"19.30"</f>
        <v>19.30</v>
      </c>
      <c r="Y1689" t="str">
        <f>"267.92"</f>
        <v>267.92</v>
      </c>
      <c r="Z1689" t="str">
        <f>"26000.00"</f>
        <v>26000.00</v>
      </c>
      <c r="AA1689" t="str">
        <f>"15130.00"</f>
        <v>15130.00</v>
      </c>
      <c r="AB1689" t="str">
        <f t="shared" si="600"/>
        <v>Residential</v>
      </c>
      <c r="AC1689" t="str">
        <f t="shared" si="609"/>
        <v>0</v>
      </c>
      <c r="AD1689" t="str">
        <f t="shared" si="604"/>
        <v>4</v>
      </c>
      <c r="AE1689" t="str">
        <f t="shared" si="605"/>
        <v>WOOD (INCLUDE STEEL STUDS)</v>
      </c>
      <c r="AF1689" t="str">
        <f t="shared" si="608"/>
        <v>002</v>
      </c>
      <c r="AG1689" t="str">
        <f t="shared" si="603"/>
        <v>FL</v>
      </c>
      <c r="AH1689" t="str">
        <f t="shared" si="606"/>
        <v>-</v>
      </c>
      <c r="AI1689" t="str">
        <f t="shared" si="607"/>
        <v>25000.00</v>
      </c>
      <c r="AJ1689" t="str">
        <f>"C55-000-588-4997-7"</f>
        <v>C55-000-588-4997-7</v>
      </c>
      <c r="AK1689" t="str">
        <f>"30324"</f>
        <v>30324</v>
      </c>
      <c r="AL1689">
        <v>6</v>
      </c>
      <c r="AM1689">
        <v>1933</v>
      </c>
      <c r="AN1689">
        <v>279.72000000000003</v>
      </c>
      <c r="AQ1689" t="s">
        <v>16797</v>
      </c>
      <c r="AR1689" t="s">
        <v>16797</v>
      </c>
      <c r="AS1689" t="s">
        <v>16797</v>
      </c>
      <c r="AU1689" t="s">
        <v>396</v>
      </c>
      <c r="AV1689">
        <v>2017</v>
      </c>
      <c r="AW1689" t="str">
        <f>"45-2N-28-550B-0002-0120 "</f>
        <v xml:space="preserve">45-2N-28-550B-0002-0120 </v>
      </c>
      <c r="AX1689">
        <v>95364</v>
      </c>
      <c r="AZ1689" t="s">
        <v>16798</v>
      </c>
      <c r="BA1689" t="s">
        <v>496</v>
      </c>
      <c r="BD1689" t="s">
        <v>11749</v>
      </c>
      <c r="BE1689" t="s">
        <v>393</v>
      </c>
      <c r="BF1689">
        <v>32034</v>
      </c>
      <c r="BG1689" t="s">
        <v>16799</v>
      </c>
      <c r="BH1689" t="s">
        <v>11751</v>
      </c>
      <c r="BI1689">
        <v>-81.529903244718099</v>
      </c>
      <c r="BJ1689">
        <v>30.569095556144301</v>
      </c>
      <c r="BK1689" t="s">
        <v>16800</v>
      </c>
      <c r="BL1689" t="s">
        <v>16801</v>
      </c>
      <c r="BM1689" t="s">
        <v>16799</v>
      </c>
      <c r="BN1689" t="s">
        <v>3983</v>
      </c>
      <c r="BO1689">
        <v>32034</v>
      </c>
      <c r="BP1689" t="s">
        <v>416</v>
      </c>
      <c r="BQ1689">
        <v>200</v>
      </c>
      <c r="BR1689" t="s">
        <v>405</v>
      </c>
      <c r="BS1689">
        <v>1006</v>
      </c>
      <c r="BT1689" t="s">
        <v>406</v>
      </c>
      <c r="BW1689">
        <v>59141</v>
      </c>
      <c r="BX1689" t="s">
        <v>407</v>
      </c>
      <c r="BY1689" t="s">
        <v>408</v>
      </c>
      <c r="BZ1689">
        <v>4</v>
      </c>
      <c r="CA1689">
        <v>1993</v>
      </c>
      <c r="CB1689">
        <v>1</v>
      </c>
      <c r="CC1689">
        <v>1</v>
      </c>
      <c r="CD1689">
        <v>2017</v>
      </c>
      <c r="CG1689">
        <v>41130</v>
      </c>
      <c r="CH1689">
        <v>2017</v>
      </c>
      <c r="CI1689">
        <v>25000</v>
      </c>
      <c r="CJ1689">
        <v>32522</v>
      </c>
      <c r="CK1689">
        <v>57522</v>
      </c>
      <c r="CL1689">
        <v>2017</v>
      </c>
      <c r="CM1689">
        <v>229.05</v>
      </c>
      <c r="CN1689" s="1">
        <v>36152</v>
      </c>
      <c r="CZ1689" s="1">
        <v>36152</v>
      </c>
      <c r="DD1689" t="s">
        <v>11749</v>
      </c>
      <c r="DF1689">
        <v>12</v>
      </c>
      <c r="DG1689">
        <v>45</v>
      </c>
      <c r="DJ1689" t="s">
        <v>12244</v>
      </c>
      <c r="DL1689">
        <v>50303</v>
      </c>
      <c r="DM1689" t="s">
        <v>16577</v>
      </c>
      <c r="DO1689" t="s">
        <v>16802</v>
      </c>
      <c r="DP1689">
        <v>0</v>
      </c>
      <c r="DQ1689">
        <v>0</v>
      </c>
      <c r="DR1689" t="s">
        <v>411</v>
      </c>
      <c r="DS1689" t="b">
        <v>1</v>
      </c>
      <c r="DT1689" t="s">
        <v>470</v>
      </c>
      <c r="DU1689" t="s">
        <v>471</v>
      </c>
      <c r="DV1689" t="s">
        <v>472</v>
      </c>
      <c r="DX1689">
        <v>-9999</v>
      </c>
      <c r="DZ1689" t="s">
        <v>447</v>
      </c>
      <c r="EA1689" t="s">
        <v>448</v>
      </c>
      <c r="EB1689" t="s">
        <v>742</v>
      </c>
      <c r="EC1689">
        <v>20101217</v>
      </c>
      <c r="ED1689" t="s">
        <v>474</v>
      </c>
      <c r="EF1689">
        <v>1921.3</v>
      </c>
      <c r="EG1689">
        <v>1410</v>
      </c>
      <c r="EI1689">
        <v>20160407</v>
      </c>
      <c r="EJ1689">
        <v>0</v>
      </c>
      <c r="EK1689">
        <v>0</v>
      </c>
      <c r="EP1689" t="s">
        <v>421</v>
      </c>
      <c r="EQ1689" t="s">
        <v>422</v>
      </c>
      <c r="ER1689">
        <v>2</v>
      </c>
      <c r="ES1689">
        <v>8</v>
      </c>
      <c r="ET1689">
        <v>528.28</v>
      </c>
      <c r="EU1689">
        <v>38.909999999999997</v>
      </c>
      <c r="EV1689">
        <v>567.19000000000005</v>
      </c>
      <c r="EW1689" s="2">
        <v>43222</v>
      </c>
      <c r="EX1689" s="1">
        <v>42879</v>
      </c>
      <c r="EY1689">
        <v>2016</v>
      </c>
      <c r="EZ1689">
        <v>264.14</v>
      </c>
      <c r="FA1689" t="s">
        <v>16803</v>
      </c>
      <c r="FB1689">
        <v>0.25</v>
      </c>
      <c r="FC1689" t="s">
        <v>424</v>
      </c>
      <c r="FD1689" t="s">
        <v>454</v>
      </c>
      <c r="FF1689">
        <v>12</v>
      </c>
      <c r="FG1689">
        <v>7400234</v>
      </c>
      <c r="FH1689" t="s">
        <v>426</v>
      </c>
      <c r="FJ1689" s="1">
        <v>42879</v>
      </c>
      <c r="FK1689">
        <v>2016</v>
      </c>
      <c r="FL1689">
        <v>264.14</v>
      </c>
      <c r="FM1689" t="s">
        <v>16803</v>
      </c>
      <c r="FN1689">
        <v>0.25</v>
      </c>
      <c r="FO1689" t="s">
        <v>424</v>
      </c>
      <c r="FP1689" t="s">
        <v>454</v>
      </c>
      <c r="FR1689">
        <v>12</v>
      </c>
      <c r="FS1689">
        <v>7407795</v>
      </c>
      <c r="FT1689" t="s">
        <v>16804</v>
      </c>
      <c r="FV1689" s="1">
        <v>42515</v>
      </c>
      <c r="FW1689">
        <v>2015</v>
      </c>
      <c r="FX1689">
        <v>289.2</v>
      </c>
      <c r="FY1689" t="s">
        <v>16805</v>
      </c>
      <c r="FZ1689">
        <v>0.25</v>
      </c>
      <c r="GA1689" t="s">
        <v>424</v>
      </c>
      <c r="GB1689" t="s">
        <v>425</v>
      </c>
      <c r="GC1689" s="1">
        <v>43138</v>
      </c>
      <c r="GD1689">
        <v>21</v>
      </c>
      <c r="GE1689">
        <v>2851116</v>
      </c>
      <c r="GF1689" t="s">
        <v>480</v>
      </c>
      <c r="GH1689" s="1">
        <v>42515</v>
      </c>
      <c r="GI1689">
        <v>2015</v>
      </c>
      <c r="GJ1689">
        <v>289.2</v>
      </c>
      <c r="GK1689" t="s">
        <v>16805</v>
      </c>
      <c r="GL1689">
        <v>0.25</v>
      </c>
      <c r="GM1689" t="s">
        <v>424</v>
      </c>
      <c r="GN1689" t="s">
        <v>425</v>
      </c>
      <c r="GP1689">
        <v>22</v>
      </c>
      <c r="GQ1689">
        <v>5450973</v>
      </c>
      <c r="GR1689" t="s">
        <v>16806</v>
      </c>
      <c r="GT1689" s="1">
        <v>42151</v>
      </c>
      <c r="GU1689">
        <v>2014</v>
      </c>
      <c r="GV1689">
        <v>284.91000000000003</v>
      </c>
      <c r="GW1689" t="s">
        <v>16807</v>
      </c>
      <c r="GX1689">
        <v>0.25</v>
      </c>
      <c r="GY1689" t="s">
        <v>424</v>
      </c>
      <c r="GZ1689" t="s">
        <v>425</v>
      </c>
      <c r="HA1689" s="1">
        <v>42235</v>
      </c>
      <c r="HB1689">
        <v>3</v>
      </c>
      <c r="HC1689">
        <v>2851116</v>
      </c>
      <c r="HD1689" t="s">
        <v>480</v>
      </c>
      <c r="HF1689" s="1">
        <v>42151</v>
      </c>
      <c r="HG1689">
        <v>2014</v>
      </c>
      <c r="HH1689">
        <v>284.91000000000003</v>
      </c>
      <c r="HI1689" t="s">
        <v>16807</v>
      </c>
      <c r="HJ1689">
        <v>0.25</v>
      </c>
      <c r="HK1689" t="s">
        <v>424</v>
      </c>
      <c r="HL1689" t="s">
        <v>425</v>
      </c>
      <c r="HN1689">
        <v>22</v>
      </c>
      <c r="HO1689">
        <v>5352752</v>
      </c>
      <c r="HP1689" t="s">
        <v>16808</v>
      </c>
      <c r="HR1689" s="1">
        <v>41787</v>
      </c>
      <c r="HS1689">
        <v>2013</v>
      </c>
      <c r="HT1689">
        <v>425.23</v>
      </c>
      <c r="HU1689" t="s">
        <v>16809</v>
      </c>
      <c r="HV1689">
        <v>0.25</v>
      </c>
      <c r="HW1689" t="s">
        <v>424</v>
      </c>
      <c r="HX1689" t="s">
        <v>425</v>
      </c>
      <c r="HY1689" s="1">
        <v>42235</v>
      </c>
      <c r="HZ1689">
        <v>15</v>
      </c>
      <c r="IA1689">
        <v>62</v>
      </c>
      <c r="IB1689" t="s">
        <v>463</v>
      </c>
      <c r="ID1689" s="1">
        <v>41423</v>
      </c>
      <c r="IE1689">
        <v>2012</v>
      </c>
      <c r="IF1689">
        <v>456.11</v>
      </c>
      <c r="IG1689" t="s">
        <v>16810</v>
      </c>
      <c r="IH1689">
        <v>3.5</v>
      </c>
      <c r="II1689" t="s">
        <v>424</v>
      </c>
      <c r="IJ1689" t="s">
        <v>425</v>
      </c>
      <c r="IK1689" s="1">
        <v>42089</v>
      </c>
      <c r="IL1689">
        <v>22</v>
      </c>
      <c r="IM1689">
        <v>15399</v>
      </c>
      <c r="IN1689" t="s">
        <v>485</v>
      </c>
      <c r="IP1689" s="1">
        <v>41052</v>
      </c>
      <c r="IQ1689">
        <v>2011</v>
      </c>
      <c r="IR1689">
        <v>543.85</v>
      </c>
      <c r="IS1689" t="s">
        <v>16811</v>
      </c>
      <c r="IT1689">
        <v>6</v>
      </c>
      <c r="IU1689" t="s">
        <v>424</v>
      </c>
      <c r="IV1689" t="s">
        <v>425</v>
      </c>
      <c r="IW1689" s="1">
        <v>41724</v>
      </c>
      <c r="IX1689">
        <v>22</v>
      </c>
      <c r="IY1689">
        <v>375</v>
      </c>
      <c r="IZ1689" t="s">
        <v>776</v>
      </c>
      <c r="JB1689" s="1">
        <v>40688</v>
      </c>
      <c r="JC1689">
        <v>2010</v>
      </c>
      <c r="JD1689">
        <v>554.49</v>
      </c>
      <c r="JE1689" t="s">
        <v>16812</v>
      </c>
      <c r="JF1689">
        <v>5.75</v>
      </c>
      <c r="JG1689" t="s">
        <v>424</v>
      </c>
      <c r="JH1689" t="s">
        <v>425</v>
      </c>
      <c r="JI1689" s="1">
        <v>41361</v>
      </c>
      <c r="JJ1689">
        <v>22</v>
      </c>
      <c r="JK1689">
        <v>62</v>
      </c>
      <c r="JL1689" t="s">
        <v>463</v>
      </c>
    </row>
    <row r="1690" spans="1:272" x14ac:dyDescent="0.25">
      <c r="A1690">
        <v>16486697</v>
      </c>
      <c r="B1690">
        <v>1689</v>
      </c>
      <c r="C1690" t="s">
        <v>393</v>
      </c>
      <c r="D1690" t="s">
        <v>394</v>
      </c>
      <c r="F1690" t="str">
        <f>"45-2N-28-550B-0002-0180"</f>
        <v>45-2N-28-550B-0002-0180</v>
      </c>
      <c r="H1690" t="str">
        <f>"WILLIAMS OLVAN E JR"</f>
        <v>WILLIAMS OLVAN E JR</v>
      </c>
      <c r="I1690" t="str">
        <f>"95190 CLEARWATER RD"</f>
        <v>95190 CLEARWATER RD</v>
      </c>
      <c r="J1690" t="str">
        <f>"FERNANDINA BEACH FL 32034"</f>
        <v>FERNANDINA BEACH FL 32034</v>
      </c>
      <c r="K1690" t="str">
        <f>"95190 CLEARWATER RD"</f>
        <v>95190 CLEARWATER RD</v>
      </c>
      <c r="L1690" t="str">
        <f t="shared" si="599"/>
        <v>FERNANDINA BEACH FL 32034</v>
      </c>
      <c r="M1690" t="str">
        <f>"BLOCK 2 LOT 18 IN OR 896/518 2005 ANNIVERS DW/MH SPRING HILL SUB 2 PB 5/35"</f>
        <v>BLOCK 2 LOT 18 IN OR 896/518 2005 ANNIVERS DW/MH SPRING HILL SUB 2 PB 5/35</v>
      </c>
      <c r="N1690" t="str">
        <f>""</f>
        <v/>
      </c>
      <c r="O1690" t="str">
        <f>"51924"</f>
        <v>51924</v>
      </c>
      <c r="P1690" t="str">
        <f t="shared" si="597"/>
        <v>2017</v>
      </c>
      <c r="Q1690" t="str">
        <f>""</f>
        <v/>
      </c>
      <c r="R1690" t="str">
        <f>"Y"</f>
        <v>Y</v>
      </c>
      <c r="S1690" t="str">
        <f>""</f>
        <v/>
      </c>
      <c r="T1690" t="str">
        <f>"721.79"</f>
        <v>721.79</v>
      </c>
      <c r="U1690" t="str">
        <f>"86782.00"</f>
        <v>86782.00</v>
      </c>
      <c r="V1690" t="str">
        <f>"86782.00"</f>
        <v>86782.00</v>
      </c>
      <c r="W1690" t="str">
        <f t="shared" si="598"/>
        <v>2017</v>
      </c>
      <c r="X1690" t="str">
        <f>""</f>
        <v/>
      </c>
      <c r="Y1690" t="str">
        <f>"775.44"</f>
        <v>775.44</v>
      </c>
      <c r="Z1690" t="str">
        <f>"25000.00"</f>
        <v>25000.00</v>
      </c>
      <c r="AA1690" t="str">
        <f>"61782.00"</f>
        <v>61782.00</v>
      </c>
      <c r="AB1690" t="str">
        <f t="shared" si="600"/>
        <v>Residential</v>
      </c>
      <c r="AC1690" t="str">
        <f t="shared" si="609"/>
        <v>0</v>
      </c>
      <c r="AD1690" t="str">
        <f t="shared" si="604"/>
        <v>4</v>
      </c>
      <c r="AE1690" t="str">
        <f t="shared" si="605"/>
        <v>WOOD (INCLUDE STEEL STUDS)</v>
      </c>
      <c r="AF1690" t="str">
        <f t="shared" si="608"/>
        <v>002</v>
      </c>
      <c r="AG1690" t="str">
        <f t="shared" si="603"/>
        <v>FL</v>
      </c>
      <c r="AH1690" t="str">
        <f t="shared" si="606"/>
        <v>-</v>
      </c>
      <c r="AI1690" t="str">
        <f t="shared" si="607"/>
        <v>25000.00</v>
      </c>
      <c r="AJ1690" t="str">
        <f>"C55-000-588-5003-3"</f>
        <v>C55-000-588-5003-3</v>
      </c>
      <c r="AK1690" t="str">
        <f>"30330"</f>
        <v>30330</v>
      </c>
      <c r="AL1690">
        <v>6</v>
      </c>
      <c r="AM1690">
        <v>1934</v>
      </c>
      <c r="AN1690">
        <v>812.61</v>
      </c>
      <c r="AQ1690" t="s">
        <v>16813</v>
      </c>
      <c r="AR1690" t="s">
        <v>16813</v>
      </c>
      <c r="AS1690" t="s">
        <v>16813</v>
      </c>
      <c r="AU1690" t="s">
        <v>396</v>
      </c>
      <c r="AV1690">
        <v>2017</v>
      </c>
      <c r="AW1690" t="str">
        <f>"45-2N-28-550B-0002-0180 "</f>
        <v xml:space="preserve">45-2N-28-550B-0002-0180 </v>
      </c>
      <c r="AX1690">
        <v>95190</v>
      </c>
      <c r="AZ1690" t="s">
        <v>16798</v>
      </c>
      <c r="BA1690" t="s">
        <v>496</v>
      </c>
      <c r="BD1690" t="s">
        <v>11749</v>
      </c>
      <c r="BE1690" t="s">
        <v>393</v>
      </c>
      <c r="BF1690">
        <v>32034</v>
      </c>
      <c r="BG1690" t="s">
        <v>16814</v>
      </c>
      <c r="BH1690" t="s">
        <v>11751</v>
      </c>
      <c r="BI1690">
        <v>-81.532035371396205</v>
      </c>
      <c r="BJ1690">
        <v>30.5674438267013</v>
      </c>
      <c r="BK1690" t="s">
        <v>16815</v>
      </c>
      <c r="BM1690" t="s">
        <v>16814</v>
      </c>
      <c r="BN1690" t="s">
        <v>3983</v>
      </c>
      <c r="BO1690">
        <v>32034</v>
      </c>
      <c r="BP1690" t="s">
        <v>416</v>
      </c>
      <c r="BQ1690">
        <v>200</v>
      </c>
      <c r="BR1690" t="s">
        <v>405</v>
      </c>
      <c r="BS1690">
        <v>1006</v>
      </c>
      <c r="BT1690" t="s">
        <v>406</v>
      </c>
      <c r="BW1690">
        <v>67066</v>
      </c>
      <c r="BX1690" t="s">
        <v>407</v>
      </c>
      <c r="BY1690" t="s">
        <v>408</v>
      </c>
      <c r="BZ1690">
        <v>4</v>
      </c>
      <c r="CA1690">
        <v>2005</v>
      </c>
      <c r="CB1690">
        <v>1</v>
      </c>
      <c r="CC1690">
        <v>1</v>
      </c>
      <c r="CD1690">
        <v>2017</v>
      </c>
      <c r="CG1690">
        <v>86782</v>
      </c>
      <c r="CH1690">
        <v>2017</v>
      </c>
      <c r="CI1690">
        <v>25000</v>
      </c>
      <c r="CJ1690">
        <v>69645</v>
      </c>
      <c r="CK1690">
        <v>94645</v>
      </c>
      <c r="CL1690">
        <v>2017</v>
      </c>
      <c r="CM1690">
        <v>721.79</v>
      </c>
      <c r="CN1690" s="1">
        <v>36395</v>
      </c>
      <c r="CO1690">
        <v>27100</v>
      </c>
      <c r="CZ1690" s="1">
        <v>36395</v>
      </c>
      <c r="DD1690" t="s">
        <v>11749</v>
      </c>
      <c r="DF1690">
        <v>18</v>
      </c>
      <c r="DG1690">
        <v>45</v>
      </c>
      <c r="DL1690">
        <v>50303</v>
      </c>
      <c r="DM1690" t="s">
        <v>16577</v>
      </c>
      <c r="DO1690" t="s">
        <v>16816</v>
      </c>
      <c r="DP1690">
        <v>0</v>
      </c>
      <c r="DQ1690">
        <v>0</v>
      </c>
      <c r="DR1690" t="s">
        <v>411</v>
      </c>
      <c r="DS1690" t="b">
        <v>1</v>
      </c>
      <c r="DT1690" t="s">
        <v>470</v>
      </c>
      <c r="DU1690" t="s">
        <v>471</v>
      </c>
      <c r="DV1690" t="s">
        <v>472</v>
      </c>
      <c r="DX1690">
        <v>-9999</v>
      </c>
      <c r="DZ1690" t="s">
        <v>447</v>
      </c>
      <c r="EA1690" t="s">
        <v>448</v>
      </c>
      <c r="EB1690" t="s">
        <v>742</v>
      </c>
      <c r="EC1690">
        <v>20101217</v>
      </c>
      <c r="ED1690" t="s">
        <v>474</v>
      </c>
      <c r="EF1690">
        <v>2006.1</v>
      </c>
      <c r="EG1690">
        <v>1669</v>
      </c>
      <c r="EI1690">
        <v>20160407</v>
      </c>
      <c r="EJ1690">
        <v>0</v>
      </c>
      <c r="EK1690">
        <v>0</v>
      </c>
    </row>
    <row r="1691" spans="1:272" x14ac:dyDescent="0.25">
      <c r="A1691">
        <v>16486698</v>
      </c>
      <c r="B1691">
        <v>1690</v>
      </c>
      <c r="C1691" t="s">
        <v>393</v>
      </c>
      <c r="D1691" t="s">
        <v>394</v>
      </c>
      <c r="F1691" t="str">
        <f>"45-2N-28-550B-0002-0281"</f>
        <v>45-2N-28-550B-0002-0281</v>
      </c>
      <c r="H1691" t="str">
        <f>"DELAPP JULIA B"</f>
        <v>DELAPP JULIA B</v>
      </c>
      <c r="I1691" t="str">
        <f>"95096 MOBLEY HEIGHTS RD"</f>
        <v>95096 MOBLEY HEIGHTS RD</v>
      </c>
      <c r="J1691" t="str">
        <f>"FERNANDINA BEACH FL 32034"</f>
        <v>FERNANDINA BEACH FL 32034</v>
      </c>
      <c r="K1691" t="str">
        <f>"95096 MOBLEY HEIGHTS RD"</f>
        <v>95096 MOBLEY HEIGHTS RD</v>
      </c>
      <c r="L1691" t="str">
        <f t="shared" si="599"/>
        <v>FERNANDINA BEACH FL 32034</v>
      </c>
      <c r="M1691" t="str">
        <f>"BLOCK 2 NWLY 100 FT OF TRACT 28 IN OR 1805/412 1998 MERI DW/MH SPRING HILL 2 PB 5/35"</f>
        <v>BLOCK 2 NWLY 100 FT OF TRACT 28 IN OR 1805/412 1998 MERI DW/MH SPRING HILL 2 PB 5/35</v>
      </c>
      <c r="N1691" t="str">
        <f>""</f>
        <v/>
      </c>
      <c r="O1691" t="str">
        <f>"51928"</f>
        <v>51928</v>
      </c>
      <c r="P1691" t="str">
        <f t="shared" si="597"/>
        <v>2017</v>
      </c>
      <c r="Q1691" t="str">
        <f>""</f>
        <v/>
      </c>
      <c r="R1691" t="str">
        <f>"Y"</f>
        <v>Y</v>
      </c>
      <c r="S1691" t="str">
        <f>""</f>
        <v/>
      </c>
      <c r="T1691" t="str">
        <f>"542.71"</f>
        <v>542.71</v>
      </c>
      <c r="U1691" t="str">
        <f>"72778.00"</f>
        <v>72778.00</v>
      </c>
      <c r="V1691" t="str">
        <f>"72778.00"</f>
        <v>72778.00</v>
      </c>
      <c r="W1691" t="str">
        <f t="shared" si="598"/>
        <v>2017</v>
      </c>
      <c r="X1691" t="str">
        <f>"17.36"</f>
        <v>17.36</v>
      </c>
      <c r="Y1691" t="str">
        <f>"590.99"</f>
        <v>590.99</v>
      </c>
      <c r="Z1691" t="str">
        <f>"25000.00"</f>
        <v>25000.00</v>
      </c>
      <c r="AA1691" t="str">
        <f>"47778.00"</f>
        <v>47778.00</v>
      </c>
      <c r="AB1691" t="str">
        <f t="shared" si="600"/>
        <v>Residential</v>
      </c>
      <c r="AC1691" t="str">
        <f t="shared" si="609"/>
        <v>0</v>
      </c>
      <c r="AD1691" t="str">
        <f t="shared" si="604"/>
        <v>4</v>
      </c>
      <c r="AE1691" t="str">
        <f t="shared" si="605"/>
        <v>WOOD (INCLUDE STEEL STUDS)</v>
      </c>
      <c r="AF1691" t="str">
        <f t="shared" si="608"/>
        <v>002</v>
      </c>
      <c r="AG1691" t="str">
        <f t="shared" si="603"/>
        <v>FL</v>
      </c>
      <c r="AH1691" t="str">
        <f t="shared" si="606"/>
        <v>-</v>
      </c>
      <c r="AI1691" t="str">
        <f t="shared" si="607"/>
        <v>25000.00</v>
      </c>
      <c r="AJ1691" t="str">
        <f>"C55-000-588-5007-4"</f>
        <v>C55-000-588-5007-4</v>
      </c>
      <c r="AK1691" t="str">
        <f>"30334"</f>
        <v>30334</v>
      </c>
      <c r="AL1691">
        <v>6</v>
      </c>
      <c r="AM1691">
        <v>1935</v>
      </c>
      <c r="AN1691">
        <v>618.94000000000005</v>
      </c>
      <c r="AQ1691" t="s">
        <v>16817</v>
      </c>
      <c r="AR1691" t="s">
        <v>16817</v>
      </c>
      <c r="AS1691" t="s">
        <v>16817</v>
      </c>
      <c r="AU1691" t="s">
        <v>396</v>
      </c>
      <c r="AV1691">
        <v>2017</v>
      </c>
      <c r="AW1691" t="str">
        <f>"45-2N-28-550B-0002-0281 "</f>
        <v xml:space="preserve">45-2N-28-550B-0002-0281 </v>
      </c>
      <c r="AX1691">
        <v>95096</v>
      </c>
      <c r="AZ1691" t="s">
        <v>16818</v>
      </c>
      <c r="BA1691" t="s">
        <v>496</v>
      </c>
      <c r="BD1691" t="s">
        <v>11749</v>
      </c>
      <c r="BE1691" t="s">
        <v>393</v>
      </c>
      <c r="BF1691">
        <v>32034</v>
      </c>
      <c r="BG1691" t="s">
        <v>16819</v>
      </c>
      <c r="BH1691" t="s">
        <v>11751</v>
      </c>
      <c r="BI1691">
        <v>-81.533469193732998</v>
      </c>
      <c r="BJ1691">
        <v>30.564606921192201</v>
      </c>
      <c r="BK1691" t="s">
        <v>16820</v>
      </c>
      <c r="BL1691" t="s">
        <v>16821</v>
      </c>
      <c r="BM1691" t="s">
        <v>16819</v>
      </c>
      <c r="BN1691" t="s">
        <v>3983</v>
      </c>
      <c r="BO1691">
        <v>32034</v>
      </c>
      <c r="BP1691" t="s">
        <v>416</v>
      </c>
      <c r="BQ1691">
        <v>200</v>
      </c>
      <c r="BR1691" t="s">
        <v>405</v>
      </c>
      <c r="BS1691">
        <v>1006</v>
      </c>
      <c r="BT1691" t="s">
        <v>406</v>
      </c>
      <c r="BW1691">
        <v>43599</v>
      </c>
      <c r="BX1691" t="s">
        <v>407</v>
      </c>
      <c r="BY1691" t="s">
        <v>408</v>
      </c>
      <c r="BZ1691">
        <v>4</v>
      </c>
      <c r="CA1691">
        <v>1998</v>
      </c>
      <c r="CB1691">
        <v>1</v>
      </c>
      <c r="CC1691">
        <v>1</v>
      </c>
      <c r="CD1691">
        <v>2017</v>
      </c>
      <c r="CG1691">
        <v>72778</v>
      </c>
      <c r="CH1691">
        <v>2017</v>
      </c>
      <c r="CI1691">
        <v>25000</v>
      </c>
      <c r="CJ1691">
        <v>62604</v>
      </c>
      <c r="CK1691">
        <v>87604</v>
      </c>
      <c r="CL1691">
        <v>2017</v>
      </c>
      <c r="CM1691">
        <v>542.71</v>
      </c>
      <c r="CN1691" s="1">
        <v>41123</v>
      </c>
      <c r="CO1691">
        <v>40000</v>
      </c>
      <c r="CV1691">
        <v>0</v>
      </c>
      <c r="CZ1691" s="1">
        <v>41123</v>
      </c>
      <c r="DA1691">
        <v>0</v>
      </c>
      <c r="DD1691" t="s">
        <v>11749</v>
      </c>
      <c r="DG1691">
        <v>45</v>
      </c>
      <c r="DL1691">
        <v>50303</v>
      </c>
      <c r="DM1691" t="s">
        <v>16577</v>
      </c>
      <c r="DO1691" t="s">
        <v>16822</v>
      </c>
      <c r="DP1691">
        <v>0</v>
      </c>
      <c r="DQ1691">
        <v>0</v>
      </c>
      <c r="DR1691" t="s">
        <v>411</v>
      </c>
      <c r="DS1691" t="b">
        <v>1</v>
      </c>
      <c r="DT1691" t="s">
        <v>470</v>
      </c>
      <c r="DU1691" t="s">
        <v>471</v>
      </c>
      <c r="DV1691" t="s">
        <v>472</v>
      </c>
      <c r="DX1691">
        <v>-9999</v>
      </c>
      <c r="DZ1691" t="s">
        <v>447</v>
      </c>
      <c r="EA1691" t="s">
        <v>448</v>
      </c>
      <c r="EB1691" t="s">
        <v>742</v>
      </c>
      <c r="EC1691">
        <v>20101217</v>
      </c>
      <c r="ED1691" t="s">
        <v>474</v>
      </c>
      <c r="EF1691">
        <v>1011.5</v>
      </c>
      <c r="EG1691">
        <v>547</v>
      </c>
      <c r="EI1691">
        <v>20160407</v>
      </c>
      <c r="EJ1691">
        <v>0</v>
      </c>
      <c r="EK1691">
        <v>0</v>
      </c>
      <c r="EP1691" t="s">
        <v>421</v>
      </c>
      <c r="EQ1691" t="s">
        <v>422</v>
      </c>
      <c r="ER1691">
        <v>0</v>
      </c>
      <c r="ES1691">
        <v>10</v>
      </c>
      <c r="ET1691">
        <v>0</v>
      </c>
      <c r="EU1691">
        <v>0</v>
      </c>
      <c r="EV1691">
        <v>0</v>
      </c>
      <c r="EW1691" s="2">
        <v>43222</v>
      </c>
      <c r="EX1691" s="1">
        <v>42879</v>
      </c>
      <c r="EY1691">
        <v>2016</v>
      </c>
      <c r="EZ1691">
        <v>586.65</v>
      </c>
      <c r="FA1691" t="s">
        <v>16823</v>
      </c>
      <c r="FB1691">
        <v>0.25</v>
      </c>
      <c r="FC1691" t="s">
        <v>424</v>
      </c>
      <c r="FD1691" t="s">
        <v>425</v>
      </c>
      <c r="FE1691" s="1">
        <v>43154</v>
      </c>
      <c r="FF1691">
        <v>9</v>
      </c>
      <c r="FG1691">
        <v>2851116</v>
      </c>
      <c r="FH1691" t="s">
        <v>480</v>
      </c>
      <c r="FJ1691" s="1">
        <v>42879</v>
      </c>
      <c r="FK1691">
        <v>2016</v>
      </c>
      <c r="FL1691">
        <v>586.65</v>
      </c>
      <c r="FM1691" t="s">
        <v>16823</v>
      </c>
      <c r="FN1691">
        <v>0.25</v>
      </c>
      <c r="FO1691" t="s">
        <v>424</v>
      </c>
      <c r="FP1691" t="s">
        <v>425</v>
      </c>
      <c r="FR1691">
        <v>22</v>
      </c>
      <c r="FS1691">
        <v>5340288</v>
      </c>
      <c r="FT1691" t="s">
        <v>16824</v>
      </c>
      <c r="FV1691" s="1">
        <v>42515</v>
      </c>
      <c r="FW1691">
        <v>2015</v>
      </c>
      <c r="FX1691">
        <v>595.64</v>
      </c>
      <c r="FY1691" t="s">
        <v>16825</v>
      </c>
      <c r="FZ1691">
        <v>0.25</v>
      </c>
      <c r="GA1691" t="s">
        <v>424</v>
      </c>
      <c r="GB1691" t="s">
        <v>425</v>
      </c>
      <c r="GC1691" s="1">
        <v>43154</v>
      </c>
      <c r="GD1691">
        <v>21</v>
      </c>
      <c r="GE1691">
        <v>2851116</v>
      </c>
      <c r="GF1691" t="s">
        <v>480</v>
      </c>
      <c r="GH1691" s="1">
        <v>42515</v>
      </c>
      <c r="GI1691">
        <v>2015</v>
      </c>
      <c r="GJ1691">
        <v>595.64</v>
      </c>
      <c r="GK1691" t="s">
        <v>16825</v>
      </c>
      <c r="GL1691">
        <v>0.25</v>
      </c>
      <c r="GM1691" t="s">
        <v>424</v>
      </c>
      <c r="GN1691" t="s">
        <v>425</v>
      </c>
      <c r="GP1691">
        <v>22</v>
      </c>
      <c r="GQ1691">
        <v>5047649</v>
      </c>
      <c r="GR1691" t="s">
        <v>16826</v>
      </c>
      <c r="GT1691" s="1">
        <v>42151</v>
      </c>
      <c r="GU1691">
        <v>2014</v>
      </c>
      <c r="GV1691">
        <v>1234.69</v>
      </c>
      <c r="GW1691" t="s">
        <v>16827</v>
      </c>
      <c r="GX1691">
        <v>0.25</v>
      </c>
      <c r="GY1691" t="s">
        <v>424</v>
      </c>
      <c r="GZ1691" t="s">
        <v>425</v>
      </c>
      <c r="HA1691" s="1">
        <v>42793</v>
      </c>
      <c r="HB1691">
        <v>21</v>
      </c>
      <c r="HC1691">
        <v>2851116</v>
      </c>
      <c r="HD1691" t="s">
        <v>480</v>
      </c>
      <c r="HF1691" s="1">
        <v>42151</v>
      </c>
      <c r="HG1691">
        <v>2014</v>
      </c>
      <c r="HH1691">
        <v>1234.69</v>
      </c>
      <c r="HI1691" t="s">
        <v>16827</v>
      </c>
      <c r="HJ1691">
        <v>0.25</v>
      </c>
      <c r="HK1691" t="s">
        <v>424</v>
      </c>
      <c r="HL1691" t="s">
        <v>425</v>
      </c>
      <c r="HN1691">
        <v>22</v>
      </c>
      <c r="HO1691">
        <v>4878251</v>
      </c>
      <c r="HP1691" t="s">
        <v>16828</v>
      </c>
      <c r="HR1691" s="1">
        <v>41787</v>
      </c>
      <c r="HS1691">
        <v>2013</v>
      </c>
      <c r="HT1691">
        <v>1302.5</v>
      </c>
      <c r="HU1691" t="s">
        <v>16829</v>
      </c>
      <c r="HV1691">
        <v>0.25</v>
      </c>
      <c r="HW1691" t="s">
        <v>424</v>
      </c>
      <c r="HX1691" t="s">
        <v>425</v>
      </c>
      <c r="HY1691" s="1">
        <v>42426</v>
      </c>
      <c r="HZ1691">
        <v>21</v>
      </c>
      <c r="IA1691">
        <v>2407503</v>
      </c>
      <c r="IB1691" t="s">
        <v>461</v>
      </c>
      <c r="ID1691" s="1">
        <v>41423</v>
      </c>
      <c r="IE1691">
        <v>2012</v>
      </c>
      <c r="IF1691">
        <v>734.54</v>
      </c>
      <c r="IG1691" t="s">
        <v>16830</v>
      </c>
      <c r="IH1691">
        <v>0.25</v>
      </c>
      <c r="II1691" t="s">
        <v>424</v>
      </c>
      <c r="IJ1691" t="s">
        <v>425</v>
      </c>
      <c r="IK1691" s="1">
        <v>42060</v>
      </c>
      <c r="IL1691">
        <v>21</v>
      </c>
      <c r="IM1691">
        <v>62</v>
      </c>
      <c r="IN1691" t="s">
        <v>463</v>
      </c>
      <c r="IP1691" s="1">
        <v>41052</v>
      </c>
      <c r="IQ1691">
        <v>2011</v>
      </c>
      <c r="IR1691">
        <v>837.86</v>
      </c>
      <c r="IS1691" t="s">
        <v>16831</v>
      </c>
      <c r="IT1691">
        <v>6</v>
      </c>
      <c r="IU1691" t="s">
        <v>424</v>
      </c>
      <c r="IV1691" t="s">
        <v>425</v>
      </c>
      <c r="IW1691" s="1">
        <v>41123</v>
      </c>
      <c r="IX1691">
        <v>3</v>
      </c>
      <c r="IY1691">
        <v>375</v>
      </c>
      <c r="IZ1691" t="s">
        <v>776</v>
      </c>
      <c r="JB1691" s="1">
        <v>40688</v>
      </c>
      <c r="JC1691">
        <v>2010</v>
      </c>
      <c r="JD1691">
        <v>964.33</v>
      </c>
      <c r="JE1691" t="s">
        <v>16832</v>
      </c>
      <c r="JF1691">
        <v>5.75</v>
      </c>
      <c r="JG1691" t="s">
        <v>424</v>
      </c>
      <c r="JH1691" t="s">
        <v>425</v>
      </c>
      <c r="JI1691" s="1">
        <v>41123</v>
      </c>
      <c r="JJ1691">
        <v>15</v>
      </c>
      <c r="JK1691">
        <v>62</v>
      </c>
      <c r="JL1691" t="s">
        <v>463</v>
      </c>
    </row>
    <row r="1692" spans="1:272" x14ac:dyDescent="0.25">
      <c r="A1692">
        <v>16486699</v>
      </c>
      <c r="B1692">
        <v>1691</v>
      </c>
      <c r="C1692" t="s">
        <v>393</v>
      </c>
      <c r="D1692" t="s">
        <v>394</v>
      </c>
      <c r="F1692" t="str">
        <f>"45-2N-28-550B-0002-0460"</f>
        <v>45-2N-28-550B-0002-0460</v>
      </c>
      <c r="H1692" t="str">
        <f>"DEONAS NICK D &amp; HELEN D"</f>
        <v>DEONAS NICK D &amp; HELEN D</v>
      </c>
      <c r="I1692" t="str">
        <f>"96208 LIGHTWIND DR"</f>
        <v>96208 LIGHTWIND DR</v>
      </c>
      <c r="J1692" t="str">
        <f>"FERNANDINA BEACH FL 32034"</f>
        <v>FERNANDINA BEACH FL 32034</v>
      </c>
      <c r="K1692" t="str">
        <f>"95633 SPRINGHILL RD"</f>
        <v>95633 SPRINGHILL RD</v>
      </c>
      <c r="L1692" t="str">
        <f t="shared" si="599"/>
        <v>FERNANDINA BEACH FL 32034</v>
      </c>
      <c r="M1692" t="str">
        <f>"BLOCK 2 LOT 46 IN OR 934/1105 R498258 &amp; R498259 SPRING HILL SUB UNIT 2 PB 5/35"</f>
        <v>BLOCK 2 LOT 46 IN OR 934/1105 R498258 &amp; R498259 SPRING HILL SUB UNIT 2 PB 5/35</v>
      </c>
      <c r="N1692" t="str">
        <f>""</f>
        <v/>
      </c>
      <c r="O1692" t="str">
        <f>"51946"</f>
        <v>51946</v>
      </c>
      <c r="P1692" t="str">
        <f t="shared" si="597"/>
        <v>2017</v>
      </c>
      <c r="Q1692" t="str">
        <f>""</f>
        <v/>
      </c>
      <c r="R1692" t="str">
        <f>"N"</f>
        <v>N</v>
      </c>
      <c r="S1692" t="str">
        <f>""</f>
        <v/>
      </c>
      <c r="T1692" t="str">
        <f>"582.96"</f>
        <v>582.96</v>
      </c>
      <c r="U1692" t="str">
        <f>"38413.00"</f>
        <v>38413.00</v>
      </c>
      <c r="V1692" t="str">
        <f>"38413.00"</f>
        <v>38413.00</v>
      </c>
      <c r="W1692" t="str">
        <f t="shared" si="598"/>
        <v>2017</v>
      </c>
      <c r="X1692" t="str">
        <f>"10.50"</f>
        <v>10.50</v>
      </c>
      <c r="Y1692" t="str">
        <f>"632.45"</f>
        <v>632.45</v>
      </c>
      <c r="Z1692" t="str">
        <f>""</f>
        <v/>
      </c>
      <c r="AA1692" t="str">
        <f>"38629.00"</f>
        <v>38629.00</v>
      </c>
      <c r="AB1692" t="str">
        <f t="shared" si="600"/>
        <v>Residential</v>
      </c>
      <c r="AC1692" t="str">
        <f t="shared" si="609"/>
        <v>0</v>
      </c>
      <c r="AD1692" t="str">
        <f t="shared" si="604"/>
        <v>4</v>
      </c>
      <c r="AE1692" t="str">
        <f t="shared" si="605"/>
        <v>WOOD (INCLUDE STEEL STUDS)</v>
      </c>
      <c r="AF1692" t="str">
        <f t="shared" si="608"/>
        <v>002</v>
      </c>
      <c r="AG1692" t="str">
        <f t="shared" si="603"/>
        <v>FL</v>
      </c>
      <c r="AH1692" t="str">
        <f t="shared" si="606"/>
        <v>-</v>
      </c>
      <c r="AI1692" t="str">
        <f t="shared" si="607"/>
        <v>25000.00</v>
      </c>
      <c r="AJ1692" t="str">
        <f>"C55-000-588-5025-6"</f>
        <v>C55-000-588-5025-6</v>
      </c>
      <c r="AK1692" t="str">
        <f>"30353"</f>
        <v>30353</v>
      </c>
      <c r="AL1692">
        <v>6</v>
      </c>
      <c r="AM1692">
        <v>1936</v>
      </c>
      <c r="AN1692">
        <v>662.47</v>
      </c>
      <c r="AQ1692" t="s">
        <v>16833</v>
      </c>
      <c r="AR1692" t="s">
        <v>16833</v>
      </c>
      <c r="AS1692" t="s">
        <v>16833</v>
      </c>
      <c r="AU1692" t="s">
        <v>396</v>
      </c>
      <c r="AV1692">
        <v>2017</v>
      </c>
      <c r="AW1692" t="str">
        <f>"45-2N-28-550B-0002-0460 "</f>
        <v xml:space="preserve">45-2N-28-550B-0002-0460 </v>
      </c>
      <c r="AX1692">
        <v>95633</v>
      </c>
      <c r="AZ1692" t="s">
        <v>16834</v>
      </c>
      <c r="BA1692" t="s">
        <v>496</v>
      </c>
      <c r="BD1692" t="s">
        <v>11749</v>
      </c>
      <c r="BE1692" t="s">
        <v>393</v>
      </c>
      <c r="BF1692">
        <v>32034</v>
      </c>
      <c r="BG1692" t="s">
        <v>16835</v>
      </c>
      <c r="BH1692" t="s">
        <v>11751</v>
      </c>
      <c r="BI1692">
        <v>-81.526728455127497</v>
      </c>
      <c r="BJ1692">
        <v>30.570371919600699</v>
      </c>
      <c r="BK1692" t="s">
        <v>16836</v>
      </c>
      <c r="BL1692" t="s">
        <v>16837</v>
      </c>
      <c r="BM1692" t="s">
        <v>16838</v>
      </c>
      <c r="BN1692" t="s">
        <v>3983</v>
      </c>
      <c r="BO1692">
        <v>32034</v>
      </c>
      <c r="BP1692" t="s">
        <v>404</v>
      </c>
      <c r="BQ1692">
        <v>200</v>
      </c>
      <c r="BR1692" t="s">
        <v>405</v>
      </c>
      <c r="BS1692">
        <v>1006</v>
      </c>
      <c r="BT1692" t="s">
        <v>406</v>
      </c>
      <c r="BW1692">
        <v>46011</v>
      </c>
      <c r="BX1692" t="s">
        <v>407</v>
      </c>
      <c r="BY1692" t="s">
        <v>408</v>
      </c>
      <c r="BZ1692">
        <v>4</v>
      </c>
      <c r="CA1692">
        <v>1985</v>
      </c>
      <c r="CB1692">
        <v>1</v>
      </c>
      <c r="CC1692">
        <v>1</v>
      </c>
      <c r="CD1692">
        <v>2017</v>
      </c>
      <c r="CE1692">
        <v>25000</v>
      </c>
      <c r="CF1692">
        <v>13629</v>
      </c>
      <c r="CG1692">
        <v>38629</v>
      </c>
      <c r="CH1692">
        <v>2017</v>
      </c>
      <c r="CI1692">
        <v>25000</v>
      </c>
      <c r="CJ1692">
        <v>13629</v>
      </c>
      <c r="CK1692">
        <v>38629</v>
      </c>
      <c r="CL1692">
        <v>2017</v>
      </c>
      <c r="CM1692">
        <v>582.96</v>
      </c>
      <c r="CN1692" s="1">
        <v>36678</v>
      </c>
      <c r="CO1692">
        <v>32000</v>
      </c>
      <c r="CV1692">
        <v>0</v>
      </c>
      <c r="CZ1692" s="1">
        <v>36678</v>
      </c>
      <c r="DA1692">
        <v>0</v>
      </c>
      <c r="DD1692" t="s">
        <v>11749</v>
      </c>
      <c r="DF1692">
        <v>46</v>
      </c>
      <c r="DG1692">
        <v>45</v>
      </c>
      <c r="DL1692">
        <v>50303</v>
      </c>
      <c r="DM1692" t="s">
        <v>16577</v>
      </c>
      <c r="DO1692" t="s">
        <v>16839</v>
      </c>
      <c r="DP1692">
        <v>0</v>
      </c>
      <c r="DQ1692">
        <v>1</v>
      </c>
      <c r="DR1692" t="s">
        <v>1479</v>
      </c>
      <c r="DS1692" t="b">
        <v>1</v>
      </c>
      <c r="DT1692" t="s">
        <v>470</v>
      </c>
      <c r="DU1692" t="s">
        <v>471</v>
      </c>
      <c r="DV1692" t="s">
        <v>472</v>
      </c>
      <c r="DX1692">
        <v>-9999</v>
      </c>
      <c r="DZ1692" t="s">
        <v>447</v>
      </c>
      <c r="EA1692" t="s">
        <v>448</v>
      </c>
      <c r="EB1692" t="s">
        <v>742</v>
      </c>
      <c r="EC1692">
        <v>20101217</v>
      </c>
      <c r="ED1692" t="s">
        <v>474</v>
      </c>
      <c r="EF1692">
        <v>856</v>
      </c>
      <c r="EG1692">
        <v>417.7</v>
      </c>
      <c r="EI1692">
        <v>20160407</v>
      </c>
      <c r="EJ1692">
        <v>0</v>
      </c>
      <c r="EK1692">
        <v>0</v>
      </c>
      <c r="EP1692" t="s">
        <v>421</v>
      </c>
      <c r="EQ1692" t="s">
        <v>422</v>
      </c>
      <c r="ER1692">
        <v>0</v>
      </c>
      <c r="ES1692">
        <v>6</v>
      </c>
      <c r="ET1692">
        <v>0</v>
      </c>
      <c r="EU1692">
        <v>0</v>
      </c>
      <c r="EV1692">
        <v>0</v>
      </c>
      <c r="EW1692" s="2">
        <v>43222</v>
      </c>
      <c r="EX1692" s="1">
        <v>42515</v>
      </c>
      <c r="EY1692">
        <v>2015</v>
      </c>
      <c r="EZ1692">
        <v>592.53</v>
      </c>
      <c r="FA1692" t="s">
        <v>16840</v>
      </c>
      <c r="FB1692">
        <v>0.25</v>
      </c>
      <c r="FC1692" t="s">
        <v>424</v>
      </c>
      <c r="FD1692" t="s">
        <v>425</v>
      </c>
      <c r="FE1692" s="1">
        <v>42594</v>
      </c>
      <c r="FF1692">
        <v>3</v>
      </c>
      <c r="FG1692">
        <v>2851116</v>
      </c>
      <c r="FH1692" t="s">
        <v>480</v>
      </c>
      <c r="FJ1692" s="1">
        <v>42515</v>
      </c>
      <c r="FK1692">
        <v>2015</v>
      </c>
      <c r="FL1692">
        <v>592.53</v>
      </c>
      <c r="FM1692" t="s">
        <v>16840</v>
      </c>
      <c r="FN1692">
        <v>0.25</v>
      </c>
      <c r="FO1692" t="s">
        <v>424</v>
      </c>
      <c r="FP1692" t="s">
        <v>425</v>
      </c>
      <c r="FR1692">
        <v>22</v>
      </c>
      <c r="FS1692">
        <v>4989713</v>
      </c>
      <c r="FT1692" t="s">
        <v>16841</v>
      </c>
      <c r="FV1692" s="1">
        <v>41423</v>
      </c>
      <c r="FW1692">
        <v>2012</v>
      </c>
      <c r="FX1692">
        <v>631.04</v>
      </c>
      <c r="FY1692" t="s">
        <v>16842</v>
      </c>
      <c r="FZ1692">
        <v>0.25</v>
      </c>
      <c r="GA1692" t="s">
        <v>424</v>
      </c>
      <c r="GB1692" t="s">
        <v>425</v>
      </c>
      <c r="GC1692" s="1">
        <v>41514</v>
      </c>
      <c r="GD1692">
        <v>3</v>
      </c>
      <c r="GE1692">
        <v>1625515</v>
      </c>
      <c r="GF1692" t="s">
        <v>487</v>
      </c>
      <c r="GH1692" s="1">
        <v>41052</v>
      </c>
      <c r="GI1692">
        <v>2011</v>
      </c>
      <c r="GJ1692">
        <v>765.67</v>
      </c>
      <c r="GK1692" t="s">
        <v>16843</v>
      </c>
      <c r="GL1692">
        <v>5.75</v>
      </c>
      <c r="GM1692" t="s">
        <v>424</v>
      </c>
      <c r="GN1692" t="s">
        <v>425</v>
      </c>
      <c r="GO1692" s="1">
        <v>41514</v>
      </c>
      <c r="GP1692">
        <v>15</v>
      </c>
      <c r="GQ1692">
        <v>1625515</v>
      </c>
      <c r="GR1692" t="s">
        <v>487</v>
      </c>
      <c r="GT1692" s="1">
        <v>41052</v>
      </c>
      <c r="GU1692">
        <v>2011</v>
      </c>
      <c r="GV1692">
        <v>765.67</v>
      </c>
      <c r="GW1692" t="s">
        <v>16843</v>
      </c>
      <c r="GX1692">
        <v>5.75</v>
      </c>
      <c r="GY1692" t="s">
        <v>424</v>
      </c>
      <c r="GZ1692" t="s">
        <v>425</v>
      </c>
      <c r="HB1692">
        <v>22</v>
      </c>
      <c r="HC1692">
        <v>10579</v>
      </c>
      <c r="HD1692" t="s">
        <v>488</v>
      </c>
      <c r="HF1692" s="1">
        <v>40688</v>
      </c>
      <c r="HG1692">
        <v>2010</v>
      </c>
      <c r="HH1692">
        <v>936.6</v>
      </c>
      <c r="HI1692" t="s">
        <v>16844</v>
      </c>
      <c r="HJ1692">
        <v>5.75</v>
      </c>
      <c r="HK1692" t="s">
        <v>424</v>
      </c>
      <c r="HL1692" t="s">
        <v>425</v>
      </c>
      <c r="HM1692" s="1">
        <v>41332</v>
      </c>
      <c r="HN1692">
        <v>21</v>
      </c>
      <c r="HO1692">
        <v>62</v>
      </c>
      <c r="HP1692" t="s">
        <v>463</v>
      </c>
    </row>
    <row r="1693" spans="1:272" x14ac:dyDescent="0.25">
      <c r="A1693">
        <v>16486700</v>
      </c>
      <c r="B1693">
        <v>1692</v>
      </c>
      <c r="C1693" t="s">
        <v>393</v>
      </c>
      <c r="D1693" t="s">
        <v>394</v>
      </c>
      <c r="F1693" t="str">
        <f>"45-2N-28-550B-0003-0460"</f>
        <v>45-2N-28-550B-0003-0460</v>
      </c>
      <c r="H1693" t="str">
        <f>"YAKUNOVICH IVAN &amp; BRANDY"</f>
        <v>YAKUNOVICH IVAN &amp; BRANDY</v>
      </c>
      <c r="I1693" t="str">
        <f>"940847 OLD NASSAUVILLE RD"</f>
        <v>940847 OLD NASSAUVILLE RD</v>
      </c>
      <c r="J1693" t="str">
        <f>"FERNANDINA BEACH FL 32034"</f>
        <v>FERNANDINA BEACH FL 32034</v>
      </c>
      <c r="K1693" t="str">
        <f>"940847 OLD NASSAUVILLE RD"</f>
        <v>940847 OLD NASSAUVILLE RD</v>
      </c>
      <c r="L1693" t="str">
        <f t="shared" si="599"/>
        <v>FERNANDINA BEACH FL 32034</v>
      </c>
      <c r="M1693" t="str">
        <f>"BLOCK 3 LOT 46 R433472 IN OR 2063/903 SPRING HILL SUB UNIT 2 PB 5/35"</f>
        <v>BLOCK 3 LOT 46 R433472 IN OR 2063/903 SPRING HILL SUB UNIT 2 PB 5/35</v>
      </c>
      <c r="N1693" t="str">
        <f>""</f>
        <v/>
      </c>
      <c r="O1693" t="str">
        <f>"51997"</f>
        <v>51997</v>
      </c>
      <c r="P1693" t="str">
        <f t="shared" si="597"/>
        <v>2017</v>
      </c>
      <c r="Q1693" t="str">
        <f>""</f>
        <v/>
      </c>
      <c r="R1693" t="str">
        <f>"N"</f>
        <v>N</v>
      </c>
      <c r="S1693" t="str">
        <f>""</f>
        <v/>
      </c>
      <c r="T1693" t="str">
        <f>"509.93"</f>
        <v>509.93</v>
      </c>
      <c r="U1693" t="str">
        <f>"33683.00"</f>
        <v>33683.00</v>
      </c>
      <c r="V1693" t="str">
        <f>"33683.00"</f>
        <v>33683.00</v>
      </c>
      <c r="W1693" t="str">
        <f t="shared" si="598"/>
        <v>2017</v>
      </c>
      <c r="X1693" t="str">
        <f>""</f>
        <v/>
      </c>
      <c r="Y1693" t="str">
        <f>"557.23"</f>
        <v>557.23</v>
      </c>
      <c r="Z1693" t="str">
        <f>""</f>
        <v/>
      </c>
      <c r="AA1693" t="str">
        <f>"33683.00"</f>
        <v>33683.00</v>
      </c>
      <c r="AB1693" t="str">
        <f t="shared" si="600"/>
        <v>Residential</v>
      </c>
      <c r="AC1693" t="str">
        <f t="shared" si="609"/>
        <v>0</v>
      </c>
      <c r="AD1693" t="str">
        <f t="shared" si="604"/>
        <v>4</v>
      </c>
      <c r="AE1693" t="str">
        <f t="shared" si="605"/>
        <v>WOOD (INCLUDE STEEL STUDS)</v>
      </c>
      <c r="AF1693" t="str">
        <f t="shared" si="608"/>
        <v>002</v>
      </c>
      <c r="AG1693" t="str">
        <f t="shared" si="603"/>
        <v>FL</v>
      </c>
      <c r="AH1693" t="str">
        <f t="shared" si="606"/>
        <v>-</v>
      </c>
      <c r="AI1693" t="str">
        <f t="shared" si="607"/>
        <v>25000.00</v>
      </c>
      <c r="AJ1693" t="str">
        <f>"C55-000-588-5076-9"</f>
        <v>C55-000-588-5076-9</v>
      </c>
      <c r="AK1693" t="str">
        <f>"30402"</f>
        <v>30402</v>
      </c>
      <c r="AL1693">
        <v>6</v>
      </c>
      <c r="AM1693">
        <v>1937</v>
      </c>
      <c r="AN1693">
        <v>583.49</v>
      </c>
      <c r="AQ1693" t="s">
        <v>16845</v>
      </c>
      <c r="AR1693" t="s">
        <v>16845</v>
      </c>
      <c r="AS1693" t="s">
        <v>16845</v>
      </c>
      <c r="AU1693" t="s">
        <v>396</v>
      </c>
      <c r="AV1693">
        <v>2017</v>
      </c>
      <c r="AW1693" t="str">
        <f>"45-2N-28-550B-0003-0460 "</f>
        <v xml:space="preserve">45-2N-28-550B-0003-0460 </v>
      </c>
      <c r="AX1693">
        <v>940847</v>
      </c>
      <c r="AZ1693" t="s">
        <v>15258</v>
      </c>
      <c r="BA1693" t="s">
        <v>496</v>
      </c>
      <c r="BD1693" t="s">
        <v>11749</v>
      </c>
      <c r="BE1693" t="s">
        <v>393</v>
      </c>
      <c r="BF1693">
        <v>32034</v>
      </c>
      <c r="BG1693" t="s">
        <v>16846</v>
      </c>
      <c r="BH1693" t="s">
        <v>11751</v>
      </c>
      <c r="BI1693">
        <v>-81.526456888737698</v>
      </c>
      <c r="BJ1693">
        <v>30.567940760948701</v>
      </c>
      <c r="BK1693" t="s">
        <v>16847</v>
      </c>
      <c r="BL1693" t="s">
        <v>16848</v>
      </c>
      <c r="BM1693" t="s">
        <v>16849</v>
      </c>
      <c r="BN1693" t="s">
        <v>3983</v>
      </c>
      <c r="BO1693">
        <v>32034</v>
      </c>
      <c r="BP1693" t="s">
        <v>404</v>
      </c>
      <c r="BQ1693">
        <v>200</v>
      </c>
      <c r="BR1693" t="s">
        <v>405</v>
      </c>
      <c r="BS1693">
        <v>1006</v>
      </c>
      <c r="BT1693" t="s">
        <v>406</v>
      </c>
      <c r="BW1693">
        <v>47607</v>
      </c>
      <c r="BX1693" t="s">
        <v>407</v>
      </c>
      <c r="BY1693" t="s">
        <v>408</v>
      </c>
      <c r="BZ1693">
        <v>4</v>
      </c>
      <c r="CA1693">
        <v>1981</v>
      </c>
      <c r="CB1693">
        <v>1</v>
      </c>
      <c r="CC1693">
        <v>1</v>
      </c>
      <c r="CD1693">
        <v>2017</v>
      </c>
      <c r="CE1693">
        <v>25000</v>
      </c>
      <c r="CF1693">
        <v>8683</v>
      </c>
      <c r="CG1693">
        <v>33683</v>
      </c>
      <c r="CH1693">
        <v>2017</v>
      </c>
      <c r="CI1693">
        <v>25000</v>
      </c>
      <c r="CJ1693">
        <v>8683</v>
      </c>
      <c r="CK1693">
        <v>33683</v>
      </c>
      <c r="CL1693">
        <v>2017</v>
      </c>
      <c r="CM1693">
        <v>509.93</v>
      </c>
      <c r="CN1693" s="1">
        <v>37777</v>
      </c>
      <c r="CO1693">
        <v>10800</v>
      </c>
      <c r="CZ1693" s="1">
        <v>37777</v>
      </c>
      <c r="DD1693" t="s">
        <v>11749</v>
      </c>
      <c r="DG1693">
        <v>45</v>
      </c>
      <c r="DI1693">
        <v>2</v>
      </c>
      <c r="DJ1693" t="s">
        <v>12244</v>
      </c>
      <c r="DL1693">
        <v>50303</v>
      </c>
      <c r="DM1693" t="s">
        <v>16577</v>
      </c>
      <c r="DO1693" t="s">
        <v>16850</v>
      </c>
      <c r="DP1693">
        <v>0</v>
      </c>
      <c r="DQ1693">
        <v>0</v>
      </c>
      <c r="DR1693" t="s">
        <v>411</v>
      </c>
      <c r="EP1693" t="s">
        <v>421</v>
      </c>
      <c r="EQ1693" t="s">
        <v>422</v>
      </c>
      <c r="ER1693">
        <v>2</v>
      </c>
      <c r="ES1693">
        <v>0</v>
      </c>
      <c r="ET1693">
        <v>1180.58</v>
      </c>
      <c r="EU1693">
        <v>71.53</v>
      </c>
      <c r="EV1693">
        <v>1252.1099999999999</v>
      </c>
      <c r="EW1693" s="2">
        <v>43222</v>
      </c>
      <c r="EX1693" s="1">
        <v>42879</v>
      </c>
      <c r="EY1693">
        <v>2016</v>
      </c>
      <c r="EZ1693">
        <v>590.29</v>
      </c>
      <c r="FA1693" t="s">
        <v>16851</v>
      </c>
      <c r="FB1693">
        <v>0.25</v>
      </c>
      <c r="FC1693" t="s">
        <v>424</v>
      </c>
      <c r="FD1693" t="s">
        <v>454</v>
      </c>
      <c r="FF1693">
        <v>12</v>
      </c>
      <c r="FG1693">
        <v>2851116</v>
      </c>
      <c r="FH1693" t="s">
        <v>480</v>
      </c>
      <c r="FJ1693" s="1">
        <v>42879</v>
      </c>
      <c r="FK1693">
        <v>2016</v>
      </c>
      <c r="FL1693">
        <v>590.29</v>
      </c>
      <c r="FM1693" t="s">
        <v>16851</v>
      </c>
      <c r="FN1693">
        <v>0.25</v>
      </c>
      <c r="FO1693" t="s">
        <v>424</v>
      </c>
      <c r="FP1693" t="s">
        <v>454</v>
      </c>
      <c r="FR1693">
        <v>12</v>
      </c>
      <c r="FS1693">
        <v>5693179</v>
      </c>
      <c r="FT1693" t="s">
        <v>16852</v>
      </c>
    </row>
    <row r="1694" spans="1:272" x14ac:dyDescent="0.25">
      <c r="A1694">
        <v>16486701</v>
      </c>
      <c r="B1694">
        <v>1693</v>
      </c>
      <c r="C1694" t="s">
        <v>393</v>
      </c>
      <c r="D1694" t="s">
        <v>394</v>
      </c>
      <c r="F1694" t="str">
        <f>"45-2N-28-550B-0003-0510"</f>
        <v>45-2N-28-550B-0003-0510</v>
      </c>
      <c r="H1694" t="str">
        <f>"PERALTA ELIAZAR FIGUEROA"</f>
        <v>PERALTA ELIAZAR FIGUEROA</v>
      </c>
      <c r="I1694" t="str">
        <f>"96012 SUNFISH LANE"</f>
        <v>96012 SUNFISH LANE</v>
      </c>
      <c r="J1694" t="str">
        <f>"YULEE FL 32097"</f>
        <v>YULEE FL 32097</v>
      </c>
      <c r="K1694" t="str">
        <f>"940917 OLD NASSAUVILLE RD"</f>
        <v>940917 OLD NASSAUVILLE RD</v>
      </c>
      <c r="L1694" t="str">
        <f t="shared" si="599"/>
        <v>FERNANDINA BEACH FL 32034</v>
      </c>
      <c r="M1694" t="str">
        <f>"BLOCK 3 LOT 51 IN OR 1416/120 MH/ID GDWGA308218682A &amp; GDWGA308218682B EX R/W OR 677/1198 SPRING HILL SUB 2 PB 5/35"</f>
        <v>BLOCK 3 LOT 51 IN OR 1416/120 MH/ID GDWGA308218682A &amp; GDWGA308218682B EX R/W OR 677/1198 SPRING HILL SUB 2 PB 5/35</v>
      </c>
      <c r="N1694" t="str">
        <f>""</f>
        <v/>
      </c>
      <c r="O1694" t="str">
        <f>"52002"</f>
        <v>52002</v>
      </c>
      <c r="P1694" t="str">
        <f t="shared" si="597"/>
        <v>2017</v>
      </c>
      <c r="Q1694" t="str">
        <f>""</f>
        <v/>
      </c>
      <c r="R1694" t="str">
        <f>"N"</f>
        <v>N</v>
      </c>
      <c r="S1694" t="str">
        <f>""</f>
        <v/>
      </c>
      <c r="T1694" t="str">
        <f>"587.72"</f>
        <v>587.72</v>
      </c>
      <c r="U1694" t="str">
        <f>"38822.00"</f>
        <v>38822.00</v>
      </c>
      <c r="V1694" t="str">
        <f>"38822.00"</f>
        <v>38822.00</v>
      </c>
      <c r="W1694" t="str">
        <f t="shared" si="598"/>
        <v>2017</v>
      </c>
      <c r="X1694" t="str">
        <f>"3.33"</f>
        <v>3.33</v>
      </c>
      <c r="Y1694" t="str">
        <f>"637.35"</f>
        <v>637.35</v>
      </c>
      <c r="Z1694" t="str">
        <f>""</f>
        <v/>
      </c>
      <c r="AA1694" t="str">
        <f>"38822.00"</f>
        <v>38822.00</v>
      </c>
      <c r="AB1694" t="str">
        <f t="shared" si="600"/>
        <v>Residential</v>
      </c>
      <c r="AC1694" t="str">
        <f t="shared" si="609"/>
        <v>0</v>
      </c>
      <c r="AD1694" t="str">
        <f t="shared" si="604"/>
        <v>4</v>
      </c>
      <c r="AE1694" t="str">
        <f t="shared" si="605"/>
        <v>WOOD (INCLUDE STEEL STUDS)</v>
      </c>
      <c r="AF1694" t="str">
        <f t="shared" si="608"/>
        <v>002</v>
      </c>
      <c r="AG1694" t="str">
        <f t="shared" si="603"/>
        <v>FL</v>
      </c>
      <c r="AH1694" t="str">
        <f t="shared" si="606"/>
        <v>-</v>
      </c>
      <c r="AI1694" t="str">
        <f t="shared" si="607"/>
        <v>25000.00</v>
      </c>
      <c r="AJ1694" t="str">
        <f>"C55-000-588-5081-9"</f>
        <v>C55-000-588-5081-9</v>
      </c>
      <c r="AK1694" t="str">
        <f>"30407"</f>
        <v>30407</v>
      </c>
      <c r="AL1694">
        <v>6</v>
      </c>
      <c r="AM1694">
        <v>1938</v>
      </c>
      <c r="AN1694">
        <v>667.62</v>
      </c>
      <c r="AQ1694" t="s">
        <v>16853</v>
      </c>
      <c r="AR1694" t="s">
        <v>16853</v>
      </c>
      <c r="AS1694" t="s">
        <v>16853</v>
      </c>
      <c r="AU1694" t="s">
        <v>396</v>
      </c>
      <c r="AV1694">
        <v>2017</v>
      </c>
      <c r="AW1694" t="str">
        <f>"45-2N-28-550B-0003-0510 "</f>
        <v xml:space="preserve">45-2N-28-550B-0003-0510 </v>
      </c>
      <c r="AX1694">
        <v>940917</v>
      </c>
      <c r="AZ1694" t="s">
        <v>15258</v>
      </c>
      <c r="BA1694" t="s">
        <v>496</v>
      </c>
      <c r="BD1694" t="s">
        <v>11749</v>
      </c>
      <c r="BE1694" t="s">
        <v>393</v>
      </c>
      <c r="BF1694">
        <v>32034</v>
      </c>
      <c r="BG1694" t="s">
        <v>16854</v>
      </c>
      <c r="BH1694" t="s">
        <v>11751</v>
      </c>
      <c r="BI1694">
        <v>-81.524836585305593</v>
      </c>
      <c r="BJ1694">
        <v>30.569448177056099</v>
      </c>
      <c r="BK1694" t="s">
        <v>16855</v>
      </c>
      <c r="BM1694" t="s">
        <v>16856</v>
      </c>
      <c r="BN1694" t="s">
        <v>1778</v>
      </c>
      <c r="BO1694">
        <v>32097</v>
      </c>
      <c r="BP1694" t="s">
        <v>404</v>
      </c>
      <c r="BQ1694">
        <v>200</v>
      </c>
      <c r="BR1694" t="s">
        <v>405</v>
      </c>
      <c r="BS1694">
        <v>1006</v>
      </c>
      <c r="BT1694" t="s">
        <v>406</v>
      </c>
      <c r="BW1694">
        <v>47329</v>
      </c>
      <c r="BX1694" t="s">
        <v>407</v>
      </c>
      <c r="BY1694" t="s">
        <v>408</v>
      </c>
      <c r="BZ1694">
        <v>4</v>
      </c>
      <c r="CA1694">
        <v>1983</v>
      </c>
      <c r="CB1694">
        <v>1</v>
      </c>
      <c r="CC1694">
        <v>1</v>
      </c>
      <c r="CD1694">
        <v>2017</v>
      </c>
      <c r="CE1694">
        <v>25000</v>
      </c>
      <c r="CF1694">
        <v>13822</v>
      </c>
      <c r="CG1694">
        <v>38822</v>
      </c>
      <c r="CH1694">
        <v>2017</v>
      </c>
      <c r="CI1694">
        <v>25000</v>
      </c>
      <c r="CJ1694">
        <v>13822</v>
      </c>
      <c r="CK1694">
        <v>38822</v>
      </c>
      <c r="CL1694">
        <v>2017</v>
      </c>
      <c r="CM1694">
        <v>587.72</v>
      </c>
      <c r="CN1694" s="1">
        <v>38868</v>
      </c>
      <c r="CZ1694" s="1">
        <v>38868</v>
      </c>
      <c r="DD1694" t="s">
        <v>11749</v>
      </c>
      <c r="DF1694">
        <v>51</v>
      </c>
      <c r="DG1694">
        <v>45</v>
      </c>
      <c r="DL1694">
        <v>50303</v>
      </c>
      <c r="DM1694" t="s">
        <v>16577</v>
      </c>
      <c r="DO1694" t="s">
        <v>16857</v>
      </c>
      <c r="DP1694">
        <v>0</v>
      </c>
      <c r="DQ1694">
        <v>0</v>
      </c>
      <c r="DR1694" t="s">
        <v>411</v>
      </c>
      <c r="DS1694" t="b">
        <v>1</v>
      </c>
      <c r="DT1694" t="s">
        <v>470</v>
      </c>
      <c r="DU1694" t="s">
        <v>10249</v>
      </c>
      <c r="DV1694" t="s">
        <v>472</v>
      </c>
      <c r="DX1694">
        <v>-9999</v>
      </c>
      <c r="DZ1694" t="s">
        <v>447</v>
      </c>
      <c r="EA1694" t="s">
        <v>448</v>
      </c>
      <c r="EB1694" t="s">
        <v>15691</v>
      </c>
      <c r="EC1694">
        <v>20101217</v>
      </c>
      <c r="ED1694" t="s">
        <v>10251</v>
      </c>
      <c r="EE1694">
        <v>5</v>
      </c>
      <c r="EF1694">
        <v>398.6</v>
      </c>
      <c r="EG1694">
        <v>0</v>
      </c>
      <c r="EI1694">
        <v>20160407</v>
      </c>
      <c r="EJ1694">
        <v>0</v>
      </c>
      <c r="EK1694">
        <v>0</v>
      </c>
      <c r="EP1694" t="s">
        <v>421</v>
      </c>
      <c r="EQ1694" t="s">
        <v>422</v>
      </c>
      <c r="ER1694">
        <v>0</v>
      </c>
      <c r="ES1694">
        <v>5</v>
      </c>
      <c r="ET1694">
        <v>0</v>
      </c>
      <c r="EU1694">
        <v>0</v>
      </c>
      <c r="EV1694">
        <v>0</v>
      </c>
      <c r="EW1694" s="2">
        <v>43222</v>
      </c>
      <c r="EX1694" s="1">
        <v>42515</v>
      </c>
      <c r="EY1694">
        <v>2015</v>
      </c>
      <c r="EZ1694">
        <v>675.1</v>
      </c>
      <c r="FA1694" t="s">
        <v>16858</v>
      </c>
      <c r="FB1694">
        <v>0.25</v>
      </c>
      <c r="FC1694" t="s">
        <v>424</v>
      </c>
      <c r="FD1694" t="s">
        <v>425</v>
      </c>
      <c r="FE1694" s="1">
        <v>42647</v>
      </c>
      <c r="FF1694">
        <v>5</v>
      </c>
      <c r="FG1694">
        <v>2851116</v>
      </c>
      <c r="FH1694" t="s">
        <v>480</v>
      </c>
      <c r="FJ1694" s="1">
        <v>42515</v>
      </c>
      <c r="FK1694">
        <v>2015</v>
      </c>
      <c r="FL1694">
        <v>675.1</v>
      </c>
      <c r="FM1694" t="s">
        <v>16858</v>
      </c>
      <c r="FN1694">
        <v>0.25</v>
      </c>
      <c r="FO1694" t="s">
        <v>424</v>
      </c>
      <c r="FP1694" t="s">
        <v>425</v>
      </c>
      <c r="FR1694">
        <v>22</v>
      </c>
      <c r="FS1694">
        <v>5363862</v>
      </c>
      <c r="FT1694" t="s">
        <v>16859</v>
      </c>
      <c r="FV1694" s="1">
        <v>42151</v>
      </c>
      <c r="FW1694">
        <v>2014</v>
      </c>
      <c r="FX1694">
        <v>612.22</v>
      </c>
      <c r="FY1694" t="s">
        <v>16860</v>
      </c>
      <c r="FZ1694">
        <v>0.25</v>
      </c>
      <c r="GA1694" t="s">
        <v>424</v>
      </c>
      <c r="GB1694" t="s">
        <v>425</v>
      </c>
      <c r="GC1694" s="1">
        <v>42241</v>
      </c>
      <c r="GD1694">
        <v>3</v>
      </c>
      <c r="GE1694">
        <v>2851116</v>
      </c>
      <c r="GF1694" t="s">
        <v>480</v>
      </c>
      <c r="GH1694" s="1">
        <v>42151</v>
      </c>
      <c r="GI1694">
        <v>2014</v>
      </c>
      <c r="GJ1694">
        <v>612.22</v>
      </c>
      <c r="GK1694" t="s">
        <v>16860</v>
      </c>
      <c r="GL1694">
        <v>0.25</v>
      </c>
      <c r="GM1694" t="s">
        <v>424</v>
      </c>
      <c r="GN1694" t="s">
        <v>425</v>
      </c>
      <c r="GP1694">
        <v>22</v>
      </c>
      <c r="GQ1694">
        <v>4893637</v>
      </c>
      <c r="GR1694" t="s">
        <v>16861</v>
      </c>
      <c r="GT1694" s="1">
        <v>41787</v>
      </c>
      <c r="GU1694">
        <v>2013</v>
      </c>
      <c r="GV1694">
        <v>687.41</v>
      </c>
      <c r="GW1694" t="s">
        <v>16862</v>
      </c>
      <c r="GX1694">
        <v>0.25</v>
      </c>
      <c r="GY1694" t="s">
        <v>424</v>
      </c>
      <c r="GZ1694" t="s">
        <v>425</v>
      </c>
      <c r="HA1694" s="1">
        <v>41841</v>
      </c>
      <c r="HB1694">
        <v>2</v>
      </c>
      <c r="HC1694">
        <v>305</v>
      </c>
      <c r="HD1694" t="s">
        <v>1078</v>
      </c>
    </row>
    <row r="1695" spans="1:272" x14ac:dyDescent="0.25">
      <c r="A1695">
        <v>16486702</v>
      </c>
      <c r="B1695">
        <v>1694</v>
      </c>
      <c r="C1695" t="s">
        <v>393</v>
      </c>
      <c r="D1695" t="s">
        <v>394</v>
      </c>
      <c r="F1695" t="str">
        <f>"45-2N-28-550C-0006-0000"</f>
        <v>45-2N-28-550C-0006-0000</v>
      </c>
      <c r="H1695" t="str">
        <f>"KING JEREMY A"</f>
        <v>KING JEREMY A</v>
      </c>
      <c r="I1695" t="str">
        <f>"95282 SANTA JUANA RD"</f>
        <v>95282 SANTA JUANA RD</v>
      </c>
      <c r="J1695" t="str">
        <f>"FERNANDINA BEACH FL 32034"</f>
        <v>FERNANDINA BEACH FL 32034</v>
      </c>
      <c r="K1695" t="str">
        <f>"95282 SANTA JUANA RD"</f>
        <v>95282 SANTA JUANA RD</v>
      </c>
      <c r="L1695" t="str">
        <f t="shared" si="599"/>
        <v>FERNANDINA BEACH FL 32034</v>
      </c>
      <c r="M1695" t="str">
        <f>"LOT 6 IN OR 1933/1947 1999 MERT DW/MH SPRING HILL 3 PB 5/52"</f>
        <v>LOT 6 IN OR 1933/1947 1999 MERT DW/MH SPRING HILL 3 PB 5/52</v>
      </c>
      <c r="N1695" t="str">
        <f>""</f>
        <v/>
      </c>
      <c r="O1695" t="str">
        <f>"52010"</f>
        <v>52010</v>
      </c>
      <c r="P1695" t="str">
        <f t="shared" si="597"/>
        <v>2017</v>
      </c>
      <c r="Q1695" t="str">
        <f>""</f>
        <v/>
      </c>
      <c r="R1695" t="str">
        <f>"Y"</f>
        <v>Y</v>
      </c>
      <c r="S1695" t="str">
        <f>""</f>
        <v/>
      </c>
      <c r="T1695" t="str">
        <f>"457.93"</f>
        <v>457.93</v>
      </c>
      <c r="U1695" t="str">
        <f>"62042.00"</f>
        <v>62042.00</v>
      </c>
      <c r="V1695" t="str">
        <f>"62042.00"</f>
        <v>62042.00</v>
      </c>
      <c r="W1695" t="str">
        <f t="shared" si="598"/>
        <v>2017</v>
      </c>
      <c r="X1695" t="str">
        <f>"2.29"</f>
        <v>2.29</v>
      </c>
      <c r="Y1695" t="str">
        <f>"503.67"</f>
        <v>503.67</v>
      </c>
      <c r="Z1695" t="str">
        <f>"25000.00"</f>
        <v>25000.00</v>
      </c>
      <c r="AA1695" t="str">
        <f>"37042.00"</f>
        <v>37042.00</v>
      </c>
      <c r="AB1695" t="str">
        <f t="shared" si="600"/>
        <v>Residential</v>
      </c>
      <c r="AC1695" t="str">
        <f t="shared" si="609"/>
        <v>0</v>
      </c>
      <c r="AD1695" t="str">
        <f t="shared" si="604"/>
        <v>4</v>
      </c>
      <c r="AE1695" t="str">
        <f t="shared" si="605"/>
        <v>WOOD (INCLUDE STEEL STUDS)</v>
      </c>
      <c r="AF1695" t="str">
        <f t="shared" si="608"/>
        <v>002</v>
      </c>
      <c r="AG1695" t="str">
        <f t="shared" si="603"/>
        <v>FL</v>
      </c>
      <c r="AH1695" t="str">
        <f t="shared" si="606"/>
        <v>-</v>
      </c>
      <c r="AI1695" t="str">
        <f t="shared" si="607"/>
        <v>25000.00</v>
      </c>
      <c r="AJ1695" t="str">
        <f>"C55-000-588-5088-4"</f>
        <v>C55-000-588-5088-4</v>
      </c>
      <c r="AK1695" t="str">
        <f>"30414"</f>
        <v>30414</v>
      </c>
      <c r="AL1695">
        <v>6</v>
      </c>
      <c r="AM1695">
        <v>1939</v>
      </c>
      <c r="AN1695">
        <v>527.25</v>
      </c>
      <c r="AQ1695" t="s">
        <v>16863</v>
      </c>
      <c r="AR1695" t="s">
        <v>16863</v>
      </c>
      <c r="AS1695" t="s">
        <v>16863</v>
      </c>
      <c r="AU1695" t="s">
        <v>396</v>
      </c>
      <c r="AV1695">
        <v>2017</v>
      </c>
      <c r="AW1695" t="str">
        <f>"45-2N-28-550C-0006-0000 "</f>
        <v xml:space="preserve">45-2N-28-550C-0006-0000 </v>
      </c>
      <c r="AX1695">
        <v>95282</v>
      </c>
      <c r="AZ1695" t="s">
        <v>16780</v>
      </c>
      <c r="BA1695" t="s">
        <v>496</v>
      </c>
      <c r="BD1695" t="s">
        <v>11749</v>
      </c>
      <c r="BE1695" t="s">
        <v>393</v>
      </c>
      <c r="BF1695">
        <v>32034</v>
      </c>
      <c r="BG1695" t="s">
        <v>16864</v>
      </c>
      <c r="BH1695" t="s">
        <v>11751</v>
      </c>
      <c r="BI1695">
        <v>-81.524944103691993</v>
      </c>
      <c r="BJ1695">
        <v>30.573219710265501</v>
      </c>
      <c r="BK1695" t="s">
        <v>16865</v>
      </c>
      <c r="BM1695" t="s">
        <v>16864</v>
      </c>
      <c r="BN1695" t="s">
        <v>3983</v>
      </c>
      <c r="BO1695">
        <v>32034</v>
      </c>
      <c r="BP1695" t="s">
        <v>404</v>
      </c>
      <c r="BQ1695">
        <v>200</v>
      </c>
      <c r="BR1695" t="s">
        <v>405</v>
      </c>
      <c r="BS1695">
        <v>1006</v>
      </c>
      <c r="BT1695" t="s">
        <v>406</v>
      </c>
      <c r="BW1695">
        <v>52391</v>
      </c>
      <c r="BX1695" t="s">
        <v>407</v>
      </c>
      <c r="BZ1695">
        <v>4</v>
      </c>
      <c r="CA1695">
        <v>1999</v>
      </c>
      <c r="CB1695">
        <v>1</v>
      </c>
      <c r="CC1695">
        <v>1</v>
      </c>
      <c r="CD1695">
        <v>2017</v>
      </c>
      <c r="CG1695">
        <v>62042</v>
      </c>
      <c r="CH1695">
        <v>2017</v>
      </c>
      <c r="CI1695">
        <v>25000</v>
      </c>
      <c r="CJ1695">
        <v>59917</v>
      </c>
      <c r="CK1695">
        <v>84917</v>
      </c>
      <c r="CL1695">
        <v>2017</v>
      </c>
      <c r="CM1695">
        <v>457.93</v>
      </c>
      <c r="CN1695" s="1">
        <v>41859</v>
      </c>
      <c r="CO1695">
        <v>80000</v>
      </c>
      <c r="CZ1695" s="1">
        <v>41859</v>
      </c>
      <c r="DD1695" t="s">
        <v>11749</v>
      </c>
      <c r="DF1695">
        <v>6</v>
      </c>
      <c r="DG1695">
        <v>45</v>
      </c>
      <c r="DL1695">
        <v>50303</v>
      </c>
      <c r="DM1695" t="s">
        <v>16577</v>
      </c>
      <c r="DO1695" t="s">
        <v>16866</v>
      </c>
      <c r="DP1695">
        <v>0</v>
      </c>
      <c r="DQ1695">
        <v>1</v>
      </c>
      <c r="DR1695" t="s">
        <v>411</v>
      </c>
      <c r="EP1695" t="s">
        <v>421</v>
      </c>
      <c r="EQ1695" t="s">
        <v>422</v>
      </c>
      <c r="ER1695">
        <v>0</v>
      </c>
      <c r="ES1695">
        <v>4</v>
      </c>
      <c r="ET1695">
        <v>0</v>
      </c>
      <c r="EU1695">
        <v>0</v>
      </c>
      <c r="EV1695">
        <v>0</v>
      </c>
      <c r="EW1695" s="2">
        <v>43222</v>
      </c>
      <c r="EX1695" s="1">
        <v>41787</v>
      </c>
      <c r="EY1695">
        <v>2013</v>
      </c>
      <c r="EZ1695">
        <v>488.12</v>
      </c>
      <c r="FA1695" t="s">
        <v>16867</v>
      </c>
      <c r="FB1695">
        <v>0.25</v>
      </c>
      <c r="FC1695" t="s">
        <v>424</v>
      </c>
      <c r="FD1695" t="s">
        <v>425</v>
      </c>
      <c r="FE1695" s="1">
        <v>41813</v>
      </c>
      <c r="FF1695">
        <v>1</v>
      </c>
      <c r="FG1695">
        <v>2101382</v>
      </c>
      <c r="FH1695" t="s">
        <v>993</v>
      </c>
      <c r="FJ1695" s="1">
        <v>41423</v>
      </c>
      <c r="FK1695">
        <v>2012</v>
      </c>
      <c r="FL1695">
        <v>514.82000000000005</v>
      </c>
      <c r="FM1695" t="s">
        <v>16868</v>
      </c>
      <c r="FN1695">
        <v>3.5</v>
      </c>
      <c r="FO1695" t="s">
        <v>424</v>
      </c>
      <c r="FP1695" t="s">
        <v>425</v>
      </c>
      <c r="FQ1695" s="1">
        <v>41599</v>
      </c>
      <c r="FR1695">
        <v>6</v>
      </c>
      <c r="FS1695">
        <v>62</v>
      </c>
      <c r="FT1695" t="s">
        <v>463</v>
      </c>
      <c r="FV1695" s="1">
        <v>41052</v>
      </c>
      <c r="FW1695">
        <v>2011</v>
      </c>
      <c r="FX1695">
        <v>556.67999999999995</v>
      </c>
      <c r="FY1695" t="s">
        <v>16869</v>
      </c>
      <c r="FZ1695">
        <v>6</v>
      </c>
      <c r="GA1695" t="s">
        <v>424</v>
      </c>
      <c r="GB1695" t="s">
        <v>425</v>
      </c>
      <c r="GC1695" s="1">
        <v>41075</v>
      </c>
      <c r="GD1695">
        <v>1</v>
      </c>
      <c r="GE1695">
        <v>1109</v>
      </c>
      <c r="GF1695" t="s">
        <v>852</v>
      </c>
      <c r="GH1695" s="1">
        <v>40688</v>
      </c>
      <c r="GI1695">
        <v>2010</v>
      </c>
      <c r="GJ1695">
        <v>612.76</v>
      </c>
      <c r="GK1695" t="s">
        <v>16870</v>
      </c>
      <c r="GL1695">
        <v>5.75</v>
      </c>
      <c r="GM1695" t="s">
        <v>424</v>
      </c>
      <c r="GN1695" t="s">
        <v>425</v>
      </c>
      <c r="GO1695" s="1">
        <v>40757</v>
      </c>
      <c r="GP1695">
        <v>3</v>
      </c>
      <c r="GQ1695">
        <v>62</v>
      </c>
      <c r="GR1695" t="s">
        <v>463</v>
      </c>
    </row>
    <row r="1696" spans="1:272" x14ac:dyDescent="0.25">
      <c r="A1696">
        <v>16486703</v>
      </c>
      <c r="B1696">
        <v>1695</v>
      </c>
      <c r="C1696" t="s">
        <v>393</v>
      </c>
      <c r="D1696" t="s">
        <v>394</v>
      </c>
      <c r="F1696" t="str">
        <f>"45-2N-28-550D-0004-0000"</f>
        <v>45-2N-28-550D-0004-0000</v>
      </c>
      <c r="H1696" t="str">
        <f>"THORNTON BILLY J &amp; THORNTON JENNIFER L"</f>
        <v>THORNTON BILLY J &amp; THORNTON JENNIFER L</v>
      </c>
      <c r="I1696" t="str">
        <f>"85735 LONNIE CREWS RD"</f>
        <v>85735 LONNIE CREWS RD</v>
      </c>
      <c r="J1696" t="str">
        <f>"FERNANDINA BEACH FL 32034"</f>
        <v>FERNANDINA BEACH FL 32034</v>
      </c>
      <c r="K1696" t="str">
        <f>"85735 LONNIE CREWS RD"</f>
        <v>85735 LONNIE CREWS RD</v>
      </c>
      <c r="L1696" t="str">
        <f t="shared" si="599"/>
        <v>FERNANDINA BEACH FL 32034</v>
      </c>
      <c r="M1696" t="str">
        <f>"LOT 4 IN OR 873/1577 1999 MERIT DW/MH SPRING HILL 4 PB 6/43"</f>
        <v>LOT 4 IN OR 873/1577 1999 MERIT DW/MH SPRING HILL 4 PB 6/43</v>
      </c>
      <c r="N1696" t="str">
        <f>""</f>
        <v/>
      </c>
      <c r="O1696" t="str">
        <f>"52025"</f>
        <v>52025</v>
      </c>
      <c r="P1696" t="str">
        <f t="shared" si="597"/>
        <v>2017</v>
      </c>
      <c r="Q1696" t="str">
        <f>""</f>
        <v/>
      </c>
      <c r="R1696" t="str">
        <f>"Y"</f>
        <v>Y</v>
      </c>
      <c r="S1696" t="str">
        <f>""</f>
        <v/>
      </c>
      <c r="T1696" t="str">
        <f>"456.87"</f>
        <v>456.87</v>
      </c>
      <c r="U1696" t="str">
        <f>"61880.00"</f>
        <v>61880.00</v>
      </c>
      <c r="V1696" t="str">
        <f>"61880.00"</f>
        <v>61880.00</v>
      </c>
      <c r="W1696" t="str">
        <f t="shared" si="598"/>
        <v>2017</v>
      </c>
      <c r="X1696" t="str">
        <f>"17.89"</f>
        <v>17.89</v>
      </c>
      <c r="Y1696" t="str">
        <f>"502.58"</f>
        <v>502.58</v>
      </c>
      <c r="Z1696" t="str">
        <f>"25000.00"</f>
        <v>25000.00</v>
      </c>
      <c r="AA1696" t="str">
        <f>"36880.00"</f>
        <v>36880.00</v>
      </c>
      <c r="AB1696" t="str">
        <f t="shared" si="600"/>
        <v>Residential</v>
      </c>
      <c r="AC1696" t="str">
        <f t="shared" si="609"/>
        <v>0</v>
      </c>
      <c r="AD1696" t="str">
        <f t="shared" si="604"/>
        <v>4</v>
      </c>
      <c r="AE1696" t="str">
        <f t="shared" si="605"/>
        <v>WOOD (INCLUDE STEEL STUDS)</v>
      </c>
      <c r="AF1696" t="str">
        <f t="shared" si="608"/>
        <v>002</v>
      </c>
      <c r="AG1696" t="str">
        <f t="shared" si="603"/>
        <v>FL</v>
      </c>
      <c r="AH1696" t="str">
        <f t="shared" si="606"/>
        <v>-</v>
      </c>
      <c r="AI1696" t="str">
        <f>"31250.00"</f>
        <v>31250.00</v>
      </c>
      <c r="AJ1696" t="str">
        <f>"C55-000-588-5102-3"</f>
        <v>C55-000-588-5102-3</v>
      </c>
      <c r="AK1696" t="str">
        <f>"30428"</f>
        <v>30428</v>
      </c>
      <c r="AL1696">
        <v>6</v>
      </c>
      <c r="AM1696">
        <v>1940</v>
      </c>
      <c r="AN1696">
        <v>526.11</v>
      </c>
      <c r="AQ1696" t="s">
        <v>16871</v>
      </c>
      <c r="AR1696" t="s">
        <v>16871</v>
      </c>
      <c r="AS1696" t="s">
        <v>16871</v>
      </c>
      <c r="AU1696" t="s">
        <v>396</v>
      </c>
      <c r="AV1696">
        <v>2017</v>
      </c>
      <c r="AW1696" t="str">
        <f>"45-2N-28-550D-0004-0000 "</f>
        <v xml:space="preserve">45-2N-28-550D-0004-0000 </v>
      </c>
      <c r="AX1696">
        <v>85735</v>
      </c>
      <c r="AZ1696" t="s">
        <v>12270</v>
      </c>
      <c r="BA1696" t="s">
        <v>496</v>
      </c>
      <c r="BD1696" t="s">
        <v>11749</v>
      </c>
      <c r="BE1696" t="s">
        <v>393</v>
      </c>
      <c r="BF1696">
        <v>32034</v>
      </c>
      <c r="BG1696" t="s">
        <v>16872</v>
      </c>
      <c r="BH1696" t="s">
        <v>11751</v>
      </c>
      <c r="BI1696">
        <v>-81.537689684020904</v>
      </c>
      <c r="BJ1696">
        <v>30.565091286386</v>
      </c>
      <c r="BK1696" t="s">
        <v>16873</v>
      </c>
      <c r="BL1696" t="s">
        <v>16874</v>
      </c>
      <c r="BM1696" t="s">
        <v>16872</v>
      </c>
      <c r="BN1696" t="s">
        <v>3983</v>
      </c>
      <c r="BO1696">
        <v>32034</v>
      </c>
      <c r="BP1696" t="s">
        <v>416</v>
      </c>
      <c r="BQ1696">
        <v>200</v>
      </c>
      <c r="BR1696" t="s">
        <v>405</v>
      </c>
      <c r="BS1696">
        <v>1006</v>
      </c>
      <c r="BT1696" t="s">
        <v>406</v>
      </c>
      <c r="BW1696">
        <v>75449</v>
      </c>
      <c r="BX1696" t="s">
        <v>407</v>
      </c>
      <c r="BZ1696">
        <v>4</v>
      </c>
      <c r="CA1696">
        <v>1999</v>
      </c>
      <c r="CC1696">
        <v>1</v>
      </c>
      <c r="CD1696">
        <v>2017</v>
      </c>
      <c r="CG1696">
        <v>61880</v>
      </c>
      <c r="CH1696">
        <v>2017</v>
      </c>
      <c r="CI1696">
        <v>31250</v>
      </c>
      <c r="CJ1696">
        <v>45232</v>
      </c>
      <c r="CK1696">
        <v>76482</v>
      </c>
      <c r="CL1696">
        <v>2017</v>
      </c>
      <c r="CM1696">
        <v>456.87</v>
      </c>
      <c r="CN1696" s="1">
        <v>36229</v>
      </c>
      <c r="CO1696">
        <v>25000</v>
      </c>
      <c r="CZ1696" s="1">
        <v>36229</v>
      </c>
      <c r="DD1696" t="s">
        <v>11749</v>
      </c>
      <c r="DF1696">
        <v>4</v>
      </c>
      <c r="DG1696">
        <v>45</v>
      </c>
      <c r="DJ1696" t="s">
        <v>12244</v>
      </c>
      <c r="DL1696">
        <v>50303</v>
      </c>
      <c r="DM1696" t="s">
        <v>16577</v>
      </c>
      <c r="DO1696" t="s">
        <v>16875</v>
      </c>
      <c r="DP1696">
        <v>0</v>
      </c>
      <c r="DQ1696">
        <v>0</v>
      </c>
      <c r="DR1696" t="s">
        <v>411</v>
      </c>
      <c r="DS1696" t="b">
        <v>1</v>
      </c>
      <c r="DT1696" t="s">
        <v>470</v>
      </c>
      <c r="DU1696" t="s">
        <v>471</v>
      </c>
      <c r="DV1696" t="s">
        <v>472</v>
      </c>
      <c r="DX1696">
        <v>-9999</v>
      </c>
      <c r="DZ1696" t="s">
        <v>447</v>
      </c>
      <c r="EA1696" t="s">
        <v>448</v>
      </c>
      <c r="EB1696" t="s">
        <v>742</v>
      </c>
      <c r="EC1696">
        <v>20101217</v>
      </c>
      <c r="ED1696" t="s">
        <v>474</v>
      </c>
      <c r="EF1696">
        <v>1278.3</v>
      </c>
      <c r="EG1696">
        <v>1117.4000000000001</v>
      </c>
      <c r="EI1696">
        <v>20160407</v>
      </c>
      <c r="EJ1696">
        <v>0</v>
      </c>
      <c r="EK1696">
        <v>0</v>
      </c>
      <c r="EP1696" t="s">
        <v>421</v>
      </c>
      <c r="EQ1696" t="s">
        <v>452</v>
      </c>
      <c r="ER1696">
        <v>2</v>
      </c>
      <c r="ES1696">
        <v>7</v>
      </c>
      <c r="ET1696">
        <v>1040</v>
      </c>
      <c r="EU1696">
        <v>64.5</v>
      </c>
      <c r="EV1696">
        <v>1104.5</v>
      </c>
      <c r="EW1696" s="2">
        <v>43222</v>
      </c>
      <c r="EX1696" s="1">
        <v>42879</v>
      </c>
      <c r="EY1696">
        <v>2016</v>
      </c>
      <c r="EZ1696">
        <v>520</v>
      </c>
      <c r="FA1696" t="s">
        <v>16876</v>
      </c>
      <c r="FB1696">
        <v>0.25</v>
      </c>
      <c r="FC1696" t="s">
        <v>424</v>
      </c>
      <c r="FD1696" t="s">
        <v>454</v>
      </c>
      <c r="FF1696">
        <v>12</v>
      </c>
      <c r="FG1696">
        <v>11289</v>
      </c>
      <c r="FH1696" t="s">
        <v>787</v>
      </c>
      <c r="FJ1696" s="1">
        <v>42879</v>
      </c>
      <c r="FK1696">
        <v>2016</v>
      </c>
      <c r="FL1696">
        <v>520</v>
      </c>
      <c r="FM1696" t="s">
        <v>16876</v>
      </c>
      <c r="FN1696">
        <v>0.25</v>
      </c>
      <c r="FO1696" t="s">
        <v>424</v>
      </c>
      <c r="FP1696" t="s">
        <v>454</v>
      </c>
      <c r="FR1696">
        <v>12</v>
      </c>
      <c r="FS1696">
        <v>7108628</v>
      </c>
      <c r="FT1696" t="s">
        <v>16877</v>
      </c>
      <c r="FV1696" s="1">
        <v>42515</v>
      </c>
      <c r="FW1696">
        <v>2015</v>
      </c>
      <c r="FX1696">
        <v>525.95000000000005</v>
      </c>
      <c r="FY1696" t="s">
        <v>16878</v>
      </c>
      <c r="FZ1696">
        <v>0.25</v>
      </c>
      <c r="GA1696" t="s">
        <v>424</v>
      </c>
      <c r="GB1696" t="s">
        <v>425</v>
      </c>
      <c r="GC1696" s="1">
        <v>43144</v>
      </c>
      <c r="GD1696">
        <v>21</v>
      </c>
      <c r="GE1696">
        <v>2851116</v>
      </c>
      <c r="GF1696" t="s">
        <v>480</v>
      </c>
      <c r="GH1696" s="1">
        <v>42515</v>
      </c>
      <c r="GI1696">
        <v>2015</v>
      </c>
      <c r="GJ1696">
        <v>525.95000000000005</v>
      </c>
      <c r="GK1696" t="s">
        <v>16878</v>
      </c>
      <c r="GL1696">
        <v>0.25</v>
      </c>
      <c r="GM1696" t="s">
        <v>424</v>
      </c>
      <c r="GN1696" t="s">
        <v>425</v>
      </c>
      <c r="GP1696">
        <v>22</v>
      </c>
      <c r="GQ1696">
        <v>5503264</v>
      </c>
      <c r="GR1696" t="s">
        <v>16879</v>
      </c>
      <c r="GT1696" s="1">
        <v>42151</v>
      </c>
      <c r="GU1696">
        <v>2014</v>
      </c>
      <c r="GV1696">
        <v>550.17999999999995</v>
      </c>
      <c r="GW1696" t="s">
        <v>16880</v>
      </c>
      <c r="GX1696">
        <v>18</v>
      </c>
      <c r="GY1696" t="s">
        <v>424</v>
      </c>
      <c r="GZ1696" t="s">
        <v>425</v>
      </c>
      <c r="HA1696" s="1">
        <v>42172</v>
      </c>
      <c r="HB1696">
        <v>1</v>
      </c>
      <c r="HC1696">
        <v>10125</v>
      </c>
      <c r="HD1696" t="s">
        <v>440</v>
      </c>
      <c r="HE1696" t="s">
        <v>458</v>
      </c>
      <c r="HF1696" s="1">
        <v>41787</v>
      </c>
      <c r="HG1696">
        <v>2013</v>
      </c>
      <c r="HH1696">
        <v>556.46</v>
      </c>
      <c r="HI1696" t="s">
        <v>16881</v>
      </c>
      <c r="HJ1696">
        <v>0.25</v>
      </c>
      <c r="HK1696" t="s">
        <v>424</v>
      </c>
      <c r="HL1696" t="s">
        <v>425</v>
      </c>
      <c r="HM1696" s="1">
        <v>42172</v>
      </c>
      <c r="HN1696">
        <v>13</v>
      </c>
      <c r="HO1696">
        <v>10125</v>
      </c>
      <c r="HP1696" t="s">
        <v>440</v>
      </c>
      <c r="HQ1696" t="s">
        <v>458</v>
      </c>
      <c r="HR1696" s="1">
        <v>41423</v>
      </c>
      <c r="HS1696">
        <v>2012</v>
      </c>
      <c r="HT1696">
        <v>583.28</v>
      </c>
      <c r="HU1696" t="s">
        <v>16882</v>
      </c>
      <c r="HV1696">
        <v>0.25</v>
      </c>
      <c r="HW1696" t="s">
        <v>424</v>
      </c>
      <c r="HX1696" t="s">
        <v>425</v>
      </c>
      <c r="HZ1696">
        <v>22</v>
      </c>
      <c r="IA1696">
        <v>62</v>
      </c>
      <c r="IB1696" t="s">
        <v>463</v>
      </c>
      <c r="IC1696" t="s">
        <v>458</v>
      </c>
      <c r="ID1696" s="1">
        <v>41052</v>
      </c>
      <c r="IE1696">
        <v>2011</v>
      </c>
      <c r="IF1696">
        <v>635.16</v>
      </c>
      <c r="IG1696" t="s">
        <v>16883</v>
      </c>
      <c r="IH1696">
        <v>6</v>
      </c>
      <c r="II1696" t="s">
        <v>424</v>
      </c>
      <c r="IJ1696" t="s">
        <v>425</v>
      </c>
      <c r="IK1696" s="1">
        <v>42172</v>
      </c>
      <c r="IL1696">
        <v>37</v>
      </c>
      <c r="IM1696">
        <v>375</v>
      </c>
      <c r="IN1696" t="s">
        <v>776</v>
      </c>
      <c r="IO1696" t="s">
        <v>458</v>
      </c>
      <c r="IP1696" s="1">
        <v>40688</v>
      </c>
      <c r="IQ1696">
        <v>2010</v>
      </c>
      <c r="IR1696">
        <v>846.51</v>
      </c>
      <c r="IS1696" t="s">
        <v>16884</v>
      </c>
      <c r="IT1696">
        <v>5.75</v>
      </c>
      <c r="IU1696" t="s">
        <v>424</v>
      </c>
      <c r="IV1696" t="s">
        <v>425</v>
      </c>
      <c r="IX1696">
        <v>22</v>
      </c>
      <c r="IY1696">
        <v>62</v>
      </c>
      <c r="IZ1696" t="s">
        <v>463</v>
      </c>
      <c r="JA1696" t="s">
        <v>458</v>
      </c>
    </row>
    <row r="1697" spans="1:272" x14ac:dyDescent="0.25">
      <c r="A1697">
        <v>16486704</v>
      </c>
      <c r="B1697">
        <v>1696</v>
      </c>
      <c r="C1697" t="s">
        <v>393</v>
      </c>
      <c r="D1697" t="s">
        <v>394</v>
      </c>
      <c r="F1697" t="str">
        <f>"45-2N-28-550D-0009-0000"</f>
        <v>45-2N-28-550D-0009-0000</v>
      </c>
      <c r="H1697" t="str">
        <f>"BROWN JAMES SR"</f>
        <v>BROWN JAMES SR</v>
      </c>
      <c r="I1697" t="str">
        <f>"97001 RICHO LANE"</f>
        <v>97001 RICHO LANE</v>
      </c>
      <c r="J1697" t="str">
        <f>"YULEE FL 32097"</f>
        <v>YULEE FL 32097</v>
      </c>
      <c r="K1697" t="str">
        <f>"85795 OWENS RD"</f>
        <v>85795 OWENS RD</v>
      </c>
      <c r="L1697" t="str">
        <f t="shared" si="599"/>
        <v>FERNANDINA BEACH FL 32034</v>
      </c>
      <c r="M1697" t="str">
        <f>"LOT 9 IN OR 1183/835 SPRING HILL 4 PB 6/43"</f>
        <v>LOT 9 IN OR 1183/835 SPRING HILL 4 PB 6/43</v>
      </c>
      <c r="N1697" t="str">
        <f>""</f>
        <v/>
      </c>
      <c r="O1697" t="str">
        <f>"52030"</f>
        <v>52030</v>
      </c>
      <c r="P1697" t="str">
        <f t="shared" si="597"/>
        <v>2017</v>
      </c>
      <c r="Q1697" t="str">
        <f>""</f>
        <v/>
      </c>
      <c r="R1697" t="str">
        <f>"N"</f>
        <v>N</v>
      </c>
      <c r="S1697" t="str">
        <f>""</f>
        <v/>
      </c>
      <c r="T1697" t="str">
        <f>"484.59"</f>
        <v>484.59</v>
      </c>
      <c r="U1697" t="str">
        <f>"29700.00"</f>
        <v>29700.00</v>
      </c>
      <c r="V1697" t="str">
        <f>"29700.00"</f>
        <v>29700.00</v>
      </c>
      <c r="W1697" t="str">
        <f t="shared" si="598"/>
        <v>2017</v>
      </c>
      <c r="X1697" t="str">
        <f>"10.33"</f>
        <v>10.33</v>
      </c>
      <c r="Y1697" t="str">
        <f>"531.13"</f>
        <v>531.13</v>
      </c>
      <c r="Z1697" t="str">
        <f>""</f>
        <v/>
      </c>
      <c r="AA1697" t="str">
        <f>"35000.00"</f>
        <v>35000.00</v>
      </c>
      <c r="AB1697" t="str">
        <f t="shared" si="600"/>
        <v>Residential</v>
      </c>
      <c r="AC1697" t="str">
        <f t="shared" si="609"/>
        <v>0</v>
      </c>
      <c r="AD1697" t="str">
        <f>""</f>
        <v/>
      </c>
      <c r="AE1697" t="str">
        <f>""</f>
        <v/>
      </c>
      <c r="AF1697" t="str">
        <f>"000"</f>
        <v>000</v>
      </c>
      <c r="AG1697" t="str">
        <f t="shared" si="603"/>
        <v>FL</v>
      </c>
      <c r="AH1697" t="str">
        <f t="shared" si="606"/>
        <v>-</v>
      </c>
      <c r="AI1697" t="str">
        <f>"27500.00"</f>
        <v>27500.00</v>
      </c>
      <c r="AJ1697" t="str">
        <f>"C55-000-588-5106-4"</f>
        <v>C55-000-588-5106-4</v>
      </c>
      <c r="AK1697" t="str">
        <f>"30432"</f>
        <v>30432</v>
      </c>
      <c r="AL1697">
        <v>6</v>
      </c>
      <c r="AM1697">
        <v>1941</v>
      </c>
      <c r="AN1697">
        <v>556.09</v>
      </c>
      <c r="AQ1697" t="s">
        <v>16885</v>
      </c>
      <c r="AR1697" t="s">
        <v>16885</v>
      </c>
      <c r="AS1697" t="s">
        <v>16885</v>
      </c>
      <c r="AU1697" t="s">
        <v>396</v>
      </c>
      <c r="AV1697">
        <v>2017</v>
      </c>
      <c r="AW1697" t="str">
        <f>"45-2N-28-550D-0009-0000 "</f>
        <v xml:space="preserve">45-2N-28-550D-0009-0000 </v>
      </c>
      <c r="AX1697">
        <v>85795</v>
      </c>
      <c r="AZ1697" t="s">
        <v>16759</v>
      </c>
      <c r="BA1697" t="s">
        <v>496</v>
      </c>
      <c r="BD1697" t="s">
        <v>11749</v>
      </c>
      <c r="BE1697" t="s">
        <v>393</v>
      </c>
      <c r="BF1697">
        <v>32034</v>
      </c>
      <c r="BG1697" t="s">
        <v>16886</v>
      </c>
      <c r="BH1697" t="s">
        <v>11751</v>
      </c>
      <c r="BI1697">
        <v>-81.536177514784498</v>
      </c>
      <c r="BJ1697">
        <v>30.564608390092602</v>
      </c>
      <c r="BK1697" t="s">
        <v>16887</v>
      </c>
      <c r="BM1697" t="s">
        <v>16888</v>
      </c>
      <c r="BN1697" t="s">
        <v>1778</v>
      </c>
      <c r="BO1697">
        <v>32097</v>
      </c>
      <c r="BP1697" t="s">
        <v>404</v>
      </c>
      <c r="BQ1697">
        <v>1</v>
      </c>
      <c r="BR1697" t="s">
        <v>491</v>
      </c>
      <c r="BS1697">
        <v>8001</v>
      </c>
      <c r="BT1697" t="s">
        <v>492</v>
      </c>
      <c r="BW1697">
        <v>52630</v>
      </c>
      <c r="BX1697" t="s">
        <v>407</v>
      </c>
      <c r="CD1697">
        <v>2017</v>
      </c>
      <c r="CE1697">
        <v>27500</v>
      </c>
      <c r="CF1697">
        <v>7500</v>
      </c>
      <c r="CG1697">
        <v>35000</v>
      </c>
      <c r="CH1697">
        <v>2017</v>
      </c>
      <c r="CI1697">
        <v>27500</v>
      </c>
      <c r="CJ1697">
        <v>7500</v>
      </c>
      <c r="CK1697">
        <v>35000</v>
      </c>
      <c r="CL1697">
        <v>2017</v>
      </c>
      <c r="CM1697">
        <v>484.59</v>
      </c>
      <c r="CN1697" s="1">
        <v>37917</v>
      </c>
      <c r="CZ1697" s="1">
        <v>37917</v>
      </c>
      <c r="DD1697" t="s">
        <v>11749</v>
      </c>
      <c r="DF1697">
        <v>9</v>
      </c>
      <c r="DG1697">
        <v>45</v>
      </c>
      <c r="DL1697">
        <v>50303</v>
      </c>
      <c r="DM1697" t="s">
        <v>16577</v>
      </c>
      <c r="DO1697" t="s">
        <v>16889</v>
      </c>
      <c r="DP1697">
        <v>0</v>
      </c>
      <c r="DQ1697">
        <v>0</v>
      </c>
      <c r="DR1697" t="s">
        <v>411</v>
      </c>
      <c r="DS1697" t="b">
        <v>1</v>
      </c>
      <c r="DT1697" t="s">
        <v>470</v>
      </c>
      <c r="DU1697" t="s">
        <v>471</v>
      </c>
      <c r="DV1697" t="s">
        <v>472</v>
      </c>
      <c r="DX1697">
        <v>-9999</v>
      </c>
      <c r="DZ1697" t="s">
        <v>447</v>
      </c>
      <c r="EA1697" t="s">
        <v>448</v>
      </c>
      <c r="EB1697" t="s">
        <v>742</v>
      </c>
      <c r="EC1697">
        <v>20101217</v>
      </c>
      <c r="ED1697" t="s">
        <v>474</v>
      </c>
      <c r="EF1697">
        <v>972.9</v>
      </c>
      <c r="EG1697">
        <v>690.6</v>
      </c>
      <c r="EI1697">
        <v>20160407</v>
      </c>
      <c r="EJ1697">
        <v>0</v>
      </c>
      <c r="EK1697">
        <v>0</v>
      </c>
      <c r="EP1697" t="s">
        <v>421</v>
      </c>
      <c r="EQ1697" t="s">
        <v>422</v>
      </c>
      <c r="ER1697">
        <v>0</v>
      </c>
      <c r="ES1697">
        <v>8</v>
      </c>
      <c r="ET1697">
        <v>0</v>
      </c>
      <c r="EU1697">
        <v>0</v>
      </c>
      <c r="EV1697">
        <v>0</v>
      </c>
      <c r="EW1697" s="2">
        <v>43222</v>
      </c>
      <c r="EX1697" s="1">
        <v>42879</v>
      </c>
      <c r="EY1697">
        <v>2016</v>
      </c>
      <c r="EZ1697">
        <v>475.25</v>
      </c>
      <c r="FA1697" t="s">
        <v>16890</v>
      </c>
      <c r="FB1697">
        <v>0.25</v>
      </c>
      <c r="FC1697" t="s">
        <v>424</v>
      </c>
      <c r="FD1697" t="s">
        <v>425</v>
      </c>
      <c r="FE1697" s="1">
        <v>43209</v>
      </c>
      <c r="FF1697">
        <v>11</v>
      </c>
      <c r="FG1697">
        <v>62</v>
      </c>
      <c r="FH1697" t="s">
        <v>463</v>
      </c>
      <c r="FJ1697" s="1">
        <v>42515</v>
      </c>
      <c r="FK1697">
        <v>2015</v>
      </c>
      <c r="FL1697">
        <v>481.14</v>
      </c>
      <c r="FM1697" t="s">
        <v>16891</v>
      </c>
      <c r="FN1697">
        <v>0.25</v>
      </c>
      <c r="FO1697" t="s">
        <v>424</v>
      </c>
      <c r="FP1697" t="s">
        <v>425</v>
      </c>
      <c r="FQ1697" s="1">
        <v>42865</v>
      </c>
      <c r="FR1697">
        <v>12</v>
      </c>
      <c r="FS1697">
        <v>7336671</v>
      </c>
      <c r="FT1697" t="s">
        <v>437</v>
      </c>
      <c r="FV1697" s="1">
        <v>42515</v>
      </c>
      <c r="FW1697">
        <v>2015</v>
      </c>
      <c r="FX1697">
        <v>481.14</v>
      </c>
      <c r="FY1697" t="s">
        <v>16891</v>
      </c>
      <c r="FZ1697">
        <v>0.25</v>
      </c>
      <c r="GA1697" t="s">
        <v>424</v>
      </c>
      <c r="GB1697" t="s">
        <v>425</v>
      </c>
      <c r="GD1697">
        <v>22</v>
      </c>
      <c r="GE1697">
        <v>7025578</v>
      </c>
      <c r="GF1697" t="s">
        <v>16892</v>
      </c>
      <c r="GH1697" s="1">
        <v>42151</v>
      </c>
      <c r="GI1697">
        <v>2014</v>
      </c>
      <c r="GJ1697">
        <v>483.46</v>
      </c>
      <c r="GK1697" t="s">
        <v>16893</v>
      </c>
      <c r="GL1697">
        <v>8.75</v>
      </c>
      <c r="GM1697" t="s">
        <v>424</v>
      </c>
      <c r="GN1697" t="s">
        <v>425</v>
      </c>
      <c r="GO1697" s="1">
        <v>42480</v>
      </c>
      <c r="GP1697">
        <v>11</v>
      </c>
      <c r="GQ1697">
        <v>10125</v>
      </c>
      <c r="GR1697" t="s">
        <v>440</v>
      </c>
      <c r="GT1697" s="1">
        <v>41787</v>
      </c>
      <c r="GU1697">
        <v>2013</v>
      </c>
      <c r="GV1697">
        <v>458.79</v>
      </c>
      <c r="GW1697" t="s">
        <v>16894</v>
      </c>
      <c r="GX1697">
        <v>0.25</v>
      </c>
      <c r="GY1697" t="s">
        <v>424</v>
      </c>
      <c r="GZ1697" t="s">
        <v>425</v>
      </c>
      <c r="HA1697" s="1">
        <v>42150</v>
      </c>
      <c r="HB1697">
        <v>12</v>
      </c>
      <c r="HC1697">
        <v>10125</v>
      </c>
      <c r="HD1697" t="s">
        <v>440</v>
      </c>
      <c r="HF1697" s="1">
        <v>41423</v>
      </c>
      <c r="HG1697">
        <v>2012</v>
      </c>
      <c r="HH1697">
        <v>464.25</v>
      </c>
      <c r="HI1697" t="s">
        <v>16895</v>
      </c>
      <c r="HJ1697">
        <v>3.25</v>
      </c>
      <c r="HK1697" t="s">
        <v>424</v>
      </c>
      <c r="HL1697" t="s">
        <v>425</v>
      </c>
      <c r="HM1697" s="1">
        <v>41786</v>
      </c>
      <c r="HN1697">
        <v>12</v>
      </c>
      <c r="HO1697">
        <v>1625515</v>
      </c>
      <c r="HP1697" t="s">
        <v>487</v>
      </c>
      <c r="HR1697" s="1">
        <v>41052</v>
      </c>
      <c r="HS1697">
        <v>2011</v>
      </c>
      <c r="HT1697">
        <v>555.66</v>
      </c>
      <c r="HU1697" t="s">
        <v>16896</v>
      </c>
      <c r="HV1697">
        <v>6</v>
      </c>
      <c r="HW1697" t="s">
        <v>424</v>
      </c>
      <c r="HX1697" t="s">
        <v>425</v>
      </c>
      <c r="HY1697" s="1">
        <v>41282</v>
      </c>
      <c r="HZ1697">
        <v>8</v>
      </c>
      <c r="IA1697">
        <v>375</v>
      </c>
      <c r="IB1697" t="s">
        <v>776</v>
      </c>
      <c r="ID1697" s="1">
        <v>40688</v>
      </c>
      <c r="IE1697">
        <v>2010</v>
      </c>
      <c r="IF1697">
        <v>741.95</v>
      </c>
      <c r="IG1697" t="s">
        <v>16897</v>
      </c>
      <c r="IH1697">
        <v>5.75</v>
      </c>
      <c r="II1697" t="s">
        <v>424</v>
      </c>
      <c r="IJ1697" t="s">
        <v>425</v>
      </c>
      <c r="IK1697" s="1">
        <v>40786</v>
      </c>
      <c r="IL1697">
        <v>3</v>
      </c>
      <c r="IM1697">
        <v>62</v>
      </c>
      <c r="IN1697" t="s">
        <v>463</v>
      </c>
    </row>
    <row r="1698" spans="1:272" x14ac:dyDescent="0.25">
      <c r="A1698">
        <v>16486705</v>
      </c>
      <c r="B1698">
        <v>1697</v>
      </c>
      <c r="C1698" t="s">
        <v>393</v>
      </c>
      <c r="D1698" t="s">
        <v>394</v>
      </c>
      <c r="F1698" t="str">
        <f>"45-2N-28-550D-0013-0000"</f>
        <v>45-2N-28-550D-0013-0000</v>
      </c>
      <c r="H1698" t="str">
        <f>"HATCH DAVID J &amp; JAIME E"</f>
        <v>HATCH DAVID J &amp; JAIME E</v>
      </c>
      <c r="I1698" t="str">
        <f>"95147 MOBLEY HEIGHTS ROAD"</f>
        <v>95147 MOBLEY HEIGHTS ROAD</v>
      </c>
      <c r="J1698" t="str">
        <f>"FERNANDINA BEACH FL 32034"</f>
        <v>FERNANDINA BEACH FL 32034</v>
      </c>
      <c r="K1698" t="str">
        <f>"95147 MOBLEY HEIGHTS RD"</f>
        <v>95147 MOBLEY HEIGHTS RD</v>
      </c>
      <c r="L1698" t="str">
        <f t="shared" si="599"/>
        <v>FERNANDINA BEACH FL 32034</v>
      </c>
      <c r="M1698" t="str">
        <f>"LOT 13 IN OR 798 PG 321 R788105 &amp; R788106 SPRING HILL 4 PB 6/43"</f>
        <v>LOT 13 IN OR 798 PG 321 R788105 &amp; R788106 SPRING HILL 4 PB 6/43</v>
      </c>
      <c r="N1698" t="str">
        <f>""</f>
        <v/>
      </c>
      <c r="O1698" t="str">
        <f>"52034"</f>
        <v>52034</v>
      </c>
      <c r="P1698" t="str">
        <f t="shared" si="597"/>
        <v>2017</v>
      </c>
      <c r="Q1698" t="str">
        <f>""</f>
        <v/>
      </c>
      <c r="R1698" t="str">
        <f>"Y"</f>
        <v>Y</v>
      </c>
      <c r="S1698" t="str">
        <f>""</f>
        <v/>
      </c>
      <c r="T1698" t="str">
        <f>"435.81"</f>
        <v>435.81</v>
      </c>
      <c r="U1698" t="str">
        <f>"58689.00"</f>
        <v>58689.00</v>
      </c>
      <c r="V1698" t="str">
        <f>"58689.00"</f>
        <v>58689.00</v>
      </c>
      <c r="W1698" t="str">
        <f t="shared" si="598"/>
        <v>2017</v>
      </c>
      <c r="X1698" t="str">
        <f>"23.22"</f>
        <v>23.22</v>
      </c>
      <c r="Y1698" t="str">
        <f>"480.88"</f>
        <v>480.88</v>
      </c>
      <c r="Z1698" t="str">
        <f>"25000.00"</f>
        <v>25000.00</v>
      </c>
      <c r="AA1698" t="str">
        <f>"33689.00"</f>
        <v>33689.00</v>
      </c>
      <c r="AB1698" t="str">
        <f t="shared" si="600"/>
        <v>Residential</v>
      </c>
      <c r="AC1698" t="str">
        <f t="shared" si="609"/>
        <v>0</v>
      </c>
      <c r="AD1698" t="str">
        <f>"4"</f>
        <v>4</v>
      </c>
      <c r="AE1698" t="str">
        <f>"WOOD (INCLUDE STEEL STUDS)"</f>
        <v>WOOD (INCLUDE STEEL STUDS)</v>
      </c>
      <c r="AF1698" t="str">
        <f>"002"</f>
        <v>002</v>
      </c>
      <c r="AG1698" t="str">
        <f t="shared" si="603"/>
        <v>FL</v>
      </c>
      <c r="AH1698" t="str">
        <f t="shared" si="606"/>
        <v>-</v>
      </c>
      <c r="AI1698" t="str">
        <f>"27500.00"</f>
        <v>27500.00</v>
      </c>
      <c r="AJ1698" t="str">
        <f>"C55-000-588-5110-6"</f>
        <v>C55-000-588-5110-6</v>
      </c>
      <c r="AK1698" t="str">
        <f>"30436"</f>
        <v>30436</v>
      </c>
      <c r="AL1698">
        <v>6</v>
      </c>
      <c r="AM1698">
        <v>1942</v>
      </c>
      <c r="AN1698">
        <v>503.32</v>
      </c>
      <c r="AQ1698" t="s">
        <v>16898</v>
      </c>
      <c r="AR1698" t="s">
        <v>16898</v>
      </c>
      <c r="AS1698" t="s">
        <v>16898</v>
      </c>
      <c r="AU1698" t="s">
        <v>396</v>
      </c>
      <c r="AV1698">
        <v>2017</v>
      </c>
      <c r="AW1698" t="str">
        <f>"45-2N-28-550D-0013-0000 "</f>
        <v xml:space="preserve">45-2N-28-550D-0013-0000 </v>
      </c>
      <c r="AX1698">
        <v>95147</v>
      </c>
      <c r="AZ1698" t="s">
        <v>16818</v>
      </c>
      <c r="BA1698" t="s">
        <v>496</v>
      </c>
      <c r="BD1698" t="s">
        <v>11749</v>
      </c>
      <c r="BE1698" t="s">
        <v>393</v>
      </c>
      <c r="BF1698">
        <v>32034</v>
      </c>
      <c r="BG1698" t="s">
        <v>16899</v>
      </c>
      <c r="BH1698" t="s">
        <v>11751</v>
      </c>
      <c r="BI1698">
        <v>-81.535582163012705</v>
      </c>
      <c r="BJ1698">
        <v>30.5655093318761</v>
      </c>
      <c r="BK1698" t="s">
        <v>16900</v>
      </c>
      <c r="BL1698" t="s">
        <v>16901</v>
      </c>
      <c r="BM1698" t="s">
        <v>16899</v>
      </c>
      <c r="BN1698" t="s">
        <v>3983</v>
      </c>
      <c r="BO1698">
        <v>32034</v>
      </c>
      <c r="BP1698" t="s">
        <v>416</v>
      </c>
      <c r="BQ1698">
        <v>200</v>
      </c>
      <c r="BR1698" t="s">
        <v>405</v>
      </c>
      <c r="BS1698">
        <v>1006</v>
      </c>
      <c r="BT1698" t="s">
        <v>406</v>
      </c>
      <c r="BW1698">
        <v>71122</v>
      </c>
      <c r="BX1698" t="s">
        <v>407</v>
      </c>
      <c r="BZ1698">
        <v>4</v>
      </c>
      <c r="CA1698">
        <v>1999</v>
      </c>
      <c r="CB1698">
        <v>1</v>
      </c>
      <c r="CC1698">
        <v>1</v>
      </c>
      <c r="CD1698">
        <v>2017</v>
      </c>
      <c r="CG1698">
        <v>58689</v>
      </c>
      <c r="CH1698">
        <v>2017</v>
      </c>
      <c r="CI1698">
        <v>27500</v>
      </c>
      <c r="CJ1698">
        <v>43083</v>
      </c>
      <c r="CK1698">
        <v>70583</v>
      </c>
      <c r="CL1698">
        <v>2017</v>
      </c>
      <c r="CM1698">
        <v>435.81</v>
      </c>
      <c r="CN1698" s="1">
        <v>35612</v>
      </c>
      <c r="CO1698">
        <v>23500</v>
      </c>
      <c r="CZ1698" s="1">
        <v>35612</v>
      </c>
      <c r="DD1698" t="s">
        <v>11749</v>
      </c>
      <c r="DF1698">
        <v>13</v>
      </c>
      <c r="DG1698">
        <v>45</v>
      </c>
      <c r="DL1698">
        <v>50303</v>
      </c>
      <c r="DM1698" t="s">
        <v>16577</v>
      </c>
      <c r="DO1698" t="s">
        <v>16902</v>
      </c>
      <c r="DP1698">
        <v>0</v>
      </c>
      <c r="DQ1698">
        <v>0</v>
      </c>
      <c r="DR1698" t="s">
        <v>411</v>
      </c>
      <c r="DS1698" t="b">
        <v>1</v>
      </c>
      <c r="DT1698" t="s">
        <v>470</v>
      </c>
      <c r="DU1698" t="s">
        <v>471</v>
      </c>
      <c r="DV1698" t="s">
        <v>472</v>
      </c>
      <c r="DX1698">
        <v>-9999</v>
      </c>
      <c r="DZ1698" t="s">
        <v>447</v>
      </c>
      <c r="EA1698" t="s">
        <v>448</v>
      </c>
      <c r="EB1698" t="s">
        <v>742</v>
      </c>
      <c r="EC1698">
        <v>20101217</v>
      </c>
      <c r="ED1698" t="s">
        <v>474</v>
      </c>
      <c r="EF1698">
        <v>1296.7</v>
      </c>
      <c r="EG1698">
        <v>923.9</v>
      </c>
      <c r="EI1698">
        <v>20160407</v>
      </c>
      <c r="EJ1698">
        <v>0</v>
      </c>
      <c r="EK1698">
        <v>0</v>
      </c>
      <c r="EP1698" t="s">
        <v>421</v>
      </c>
      <c r="EQ1698" t="s">
        <v>452</v>
      </c>
      <c r="ER1698">
        <v>4</v>
      </c>
      <c r="ES1698">
        <v>6</v>
      </c>
      <c r="ET1698">
        <v>1973.8</v>
      </c>
      <c r="EU1698">
        <v>123.69</v>
      </c>
      <c r="EV1698">
        <v>2097.4899999999998</v>
      </c>
      <c r="EW1698" s="2">
        <v>43222</v>
      </c>
      <c r="EX1698" s="1">
        <v>42879</v>
      </c>
      <c r="EY1698">
        <v>2016</v>
      </c>
      <c r="EZ1698">
        <v>497.03</v>
      </c>
      <c r="FA1698" t="s">
        <v>16903</v>
      </c>
      <c r="FB1698">
        <v>0.25</v>
      </c>
      <c r="FC1698" t="s">
        <v>424</v>
      </c>
      <c r="FD1698" t="s">
        <v>454</v>
      </c>
      <c r="FF1698">
        <v>12</v>
      </c>
      <c r="FG1698">
        <v>2851116</v>
      </c>
      <c r="FH1698" t="s">
        <v>480</v>
      </c>
      <c r="FJ1698" s="1">
        <v>42879</v>
      </c>
      <c r="FK1698">
        <v>2016</v>
      </c>
      <c r="FL1698">
        <v>497.03</v>
      </c>
      <c r="FM1698" t="s">
        <v>16903</v>
      </c>
      <c r="FN1698">
        <v>0.25</v>
      </c>
      <c r="FO1698" t="s">
        <v>424</v>
      </c>
      <c r="FP1698" t="s">
        <v>454</v>
      </c>
      <c r="FR1698">
        <v>12</v>
      </c>
      <c r="FS1698">
        <v>5728543</v>
      </c>
      <c r="FT1698" t="s">
        <v>16904</v>
      </c>
      <c r="FV1698" s="1">
        <v>42515</v>
      </c>
      <c r="FW1698">
        <v>2015</v>
      </c>
      <c r="FX1698">
        <v>489.87</v>
      </c>
      <c r="FY1698" t="s">
        <v>16905</v>
      </c>
      <c r="FZ1698">
        <v>0.25</v>
      </c>
      <c r="GA1698" t="s">
        <v>424</v>
      </c>
      <c r="GB1698" t="s">
        <v>454</v>
      </c>
      <c r="GD1698">
        <v>24</v>
      </c>
      <c r="GE1698">
        <v>2851116</v>
      </c>
      <c r="GF1698" t="s">
        <v>480</v>
      </c>
      <c r="GH1698" s="1">
        <v>42515</v>
      </c>
      <c r="GI1698">
        <v>2015</v>
      </c>
      <c r="GJ1698">
        <v>489.87</v>
      </c>
      <c r="GK1698" t="s">
        <v>16905</v>
      </c>
      <c r="GL1698">
        <v>0.25</v>
      </c>
      <c r="GM1698" t="s">
        <v>424</v>
      </c>
      <c r="GN1698" t="s">
        <v>454</v>
      </c>
      <c r="GP1698">
        <v>24</v>
      </c>
      <c r="GQ1698">
        <v>5273541</v>
      </c>
      <c r="GR1698" t="s">
        <v>16906</v>
      </c>
      <c r="GT1698" s="1">
        <v>42151</v>
      </c>
      <c r="GU1698">
        <v>2014</v>
      </c>
      <c r="GV1698">
        <v>515.91999999999996</v>
      </c>
      <c r="GW1698" t="s">
        <v>16907</v>
      </c>
      <c r="GX1698">
        <v>18</v>
      </c>
      <c r="GY1698" t="s">
        <v>424</v>
      </c>
      <c r="GZ1698" t="s">
        <v>425</v>
      </c>
      <c r="HA1698" s="1">
        <v>42165</v>
      </c>
      <c r="HB1698">
        <v>1</v>
      </c>
      <c r="HC1698">
        <v>10125</v>
      </c>
      <c r="HD1698" t="s">
        <v>440</v>
      </c>
      <c r="HE1698" t="s">
        <v>458</v>
      </c>
      <c r="HF1698" s="1">
        <v>41787</v>
      </c>
      <c r="HG1698">
        <v>2013</v>
      </c>
      <c r="HH1698">
        <v>524.11</v>
      </c>
      <c r="HI1698" t="s">
        <v>16908</v>
      </c>
      <c r="HJ1698">
        <v>0.25</v>
      </c>
      <c r="HK1698" t="s">
        <v>424</v>
      </c>
      <c r="HL1698" t="s">
        <v>425</v>
      </c>
      <c r="HM1698" s="1">
        <v>42165</v>
      </c>
      <c r="HN1698">
        <v>13</v>
      </c>
      <c r="HO1698">
        <v>305</v>
      </c>
      <c r="HP1698" t="s">
        <v>1078</v>
      </c>
      <c r="HQ1698" t="s">
        <v>458</v>
      </c>
      <c r="HR1698" s="1">
        <v>41423</v>
      </c>
      <c r="HS1698">
        <v>2012</v>
      </c>
      <c r="HT1698">
        <v>552.01</v>
      </c>
      <c r="HU1698" t="s">
        <v>16909</v>
      </c>
      <c r="HV1698">
        <v>0.25</v>
      </c>
      <c r="HW1698" t="s">
        <v>424</v>
      </c>
      <c r="HX1698" t="s">
        <v>425</v>
      </c>
      <c r="HZ1698">
        <v>22</v>
      </c>
      <c r="IA1698">
        <v>15399</v>
      </c>
      <c r="IB1698" t="s">
        <v>485</v>
      </c>
      <c r="IC1698" t="s">
        <v>458</v>
      </c>
      <c r="ID1698" s="1">
        <v>41423</v>
      </c>
      <c r="IE1698">
        <v>2012</v>
      </c>
      <c r="IF1698">
        <v>552.01</v>
      </c>
      <c r="IG1698" t="s">
        <v>16909</v>
      </c>
      <c r="IH1698">
        <v>0.25</v>
      </c>
      <c r="II1698" t="s">
        <v>424</v>
      </c>
      <c r="IJ1698" t="s">
        <v>425</v>
      </c>
      <c r="IK1698" s="1">
        <v>42165</v>
      </c>
      <c r="IL1698">
        <v>25</v>
      </c>
      <c r="IM1698">
        <v>13027</v>
      </c>
      <c r="IN1698" t="s">
        <v>826</v>
      </c>
      <c r="IO1698" t="s">
        <v>458</v>
      </c>
      <c r="IP1698" s="1">
        <v>41052</v>
      </c>
      <c r="IQ1698">
        <v>2011</v>
      </c>
      <c r="IR1698">
        <v>595.89</v>
      </c>
      <c r="IS1698" t="s">
        <v>16910</v>
      </c>
      <c r="IT1698">
        <v>6</v>
      </c>
      <c r="IU1698" t="s">
        <v>424</v>
      </c>
      <c r="IV1698" t="s">
        <v>425</v>
      </c>
      <c r="IW1698" s="1">
        <v>42165</v>
      </c>
      <c r="IX1698">
        <v>37</v>
      </c>
      <c r="IY1698">
        <v>375</v>
      </c>
      <c r="IZ1698" t="s">
        <v>776</v>
      </c>
      <c r="JA1698" t="s">
        <v>458</v>
      </c>
      <c r="JB1698" s="1">
        <v>40688</v>
      </c>
      <c r="JC1698">
        <v>2010</v>
      </c>
      <c r="JD1698">
        <v>635.63</v>
      </c>
      <c r="JE1698" t="s">
        <v>16911</v>
      </c>
      <c r="JF1698">
        <v>5.75</v>
      </c>
      <c r="JG1698" t="s">
        <v>424</v>
      </c>
      <c r="JH1698" t="s">
        <v>425</v>
      </c>
      <c r="JI1698" s="1">
        <v>41331</v>
      </c>
      <c r="JJ1698">
        <v>21</v>
      </c>
      <c r="JK1698">
        <v>62</v>
      </c>
      <c r="JL1698" t="s">
        <v>463</v>
      </c>
    </row>
    <row r="1699" spans="1:272" x14ac:dyDescent="0.25">
      <c r="A1699">
        <v>16486706</v>
      </c>
      <c r="B1699">
        <v>1698</v>
      </c>
      <c r="C1699" t="s">
        <v>393</v>
      </c>
      <c r="D1699" t="s">
        <v>394</v>
      </c>
      <c r="F1699" t="str">
        <f>"45-2N-28-550D-0016-0000"</f>
        <v>45-2N-28-550D-0016-0000</v>
      </c>
      <c r="H1699" t="str">
        <f>"JOHNS DONNA M"</f>
        <v>JOHNS DONNA M</v>
      </c>
      <c r="I1699" t="str">
        <f>"95187 MOBLEY HEIGHTS ROAD"</f>
        <v>95187 MOBLEY HEIGHTS ROAD</v>
      </c>
      <c r="J1699" t="str">
        <f>"FERNANDINA BEACH FL 32034"</f>
        <v>FERNANDINA BEACH FL 32034</v>
      </c>
      <c r="K1699" t="str">
        <f>"95187 MOBLEY HEIGHTS RD"</f>
        <v>95187 MOBLEY HEIGHTS RD</v>
      </c>
      <c r="L1699" t="str">
        <f t="shared" si="599"/>
        <v>FERNANDINA BEACH FL 32034</v>
      </c>
      <c r="M1699" t="str">
        <f>"LOT 16 IN OR 842/1219 R788133 &amp; R788134 SPRING HILL 4 PB 6/43"</f>
        <v>LOT 16 IN OR 842/1219 R788133 &amp; R788134 SPRING HILL 4 PB 6/43</v>
      </c>
      <c r="N1699" t="str">
        <f>""</f>
        <v/>
      </c>
      <c r="O1699" t="str">
        <f>"52037"</f>
        <v>52037</v>
      </c>
      <c r="P1699" t="str">
        <f t="shared" si="597"/>
        <v>2017</v>
      </c>
      <c r="Q1699" t="str">
        <f>""</f>
        <v/>
      </c>
      <c r="R1699" t="str">
        <f>"N"</f>
        <v>N</v>
      </c>
      <c r="S1699" t="str">
        <f>""</f>
        <v/>
      </c>
      <c r="T1699" t="str">
        <f>"766.40"</f>
        <v>766.40</v>
      </c>
      <c r="U1699" t="str">
        <f>"50625.00"</f>
        <v>50625.00</v>
      </c>
      <c r="V1699" t="str">
        <f>"50625.00"</f>
        <v>50625.00</v>
      </c>
      <c r="W1699" t="str">
        <f t="shared" si="598"/>
        <v>2017</v>
      </c>
      <c r="X1699" t="str">
        <f>"1.00"</f>
        <v>1.00</v>
      </c>
      <c r="Y1699" t="str">
        <f>"821.39"</f>
        <v>821.39</v>
      </c>
      <c r="Z1699" t="str">
        <f>""</f>
        <v/>
      </c>
      <c r="AA1699" t="str">
        <f>"50625.00"</f>
        <v>50625.00</v>
      </c>
      <c r="AB1699" t="str">
        <f t="shared" si="600"/>
        <v>Residential</v>
      </c>
      <c r="AC1699" t="str">
        <f t="shared" si="609"/>
        <v>0</v>
      </c>
      <c r="AD1699" t="str">
        <f>"4"</f>
        <v>4</v>
      </c>
      <c r="AE1699" t="str">
        <f>"WOOD (INCLUDE STEEL STUDS)"</f>
        <v>WOOD (INCLUDE STEEL STUDS)</v>
      </c>
      <c r="AF1699" t="str">
        <f>"002"</f>
        <v>002</v>
      </c>
      <c r="AG1699" t="str">
        <f t="shared" si="603"/>
        <v>FL</v>
      </c>
      <c r="AH1699" t="str">
        <f t="shared" si="606"/>
        <v>-</v>
      </c>
      <c r="AI1699" t="str">
        <f>"27500.00"</f>
        <v>27500.00</v>
      </c>
      <c r="AJ1699" t="str">
        <f>"C55-000-588-5113-0"</f>
        <v>C55-000-588-5113-0</v>
      </c>
      <c r="AK1699" t="str">
        <f>"30439"</f>
        <v>30439</v>
      </c>
      <c r="AL1699">
        <v>6</v>
      </c>
      <c r="AM1699">
        <v>1943</v>
      </c>
      <c r="AN1699">
        <v>860.86</v>
      </c>
      <c r="AQ1699" t="s">
        <v>16912</v>
      </c>
      <c r="AR1699" t="s">
        <v>16912</v>
      </c>
      <c r="AS1699" t="s">
        <v>16912</v>
      </c>
      <c r="AU1699" t="s">
        <v>396</v>
      </c>
      <c r="AV1699">
        <v>2017</v>
      </c>
      <c r="AW1699" t="str">
        <f>"45-2N-28-550D-0016-0000 "</f>
        <v xml:space="preserve">45-2N-28-550D-0016-0000 </v>
      </c>
      <c r="AX1699">
        <v>95187</v>
      </c>
      <c r="AZ1699" t="s">
        <v>16818</v>
      </c>
      <c r="BA1699" t="s">
        <v>496</v>
      </c>
      <c r="BD1699" t="s">
        <v>11749</v>
      </c>
      <c r="BE1699" t="s">
        <v>393</v>
      </c>
      <c r="BF1699">
        <v>32034</v>
      </c>
      <c r="BG1699" t="s">
        <v>16913</v>
      </c>
      <c r="BH1699" t="s">
        <v>11751</v>
      </c>
      <c r="BI1699">
        <v>-81.536258533346697</v>
      </c>
      <c r="BJ1699">
        <v>30.5664302136244</v>
      </c>
      <c r="BK1699" t="s">
        <v>16914</v>
      </c>
      <c r="BM1699" t="s">
        <v>16913</v>
      </c>
      <c r="BN1699" t="s">
        <v>3983</v>
      </c>
      <c r="BO1699">
        <v>32034</v>
      </c>
      <c r="BP1699" t="s">
        <v>416</v>
      </c>
      <c r="BQ1699">
        <v>200</v>
      </c>
      <c r="BR1699" t="s">
        <v>405</v>
      </c>
      <c r="BS1699">
        <v>1006</v>
      </c>
      <c r="BT1699" t="s">
        <v>406</v>
      </c>
      <c r="BW1699">
        <v>87111</v>
      </c>
      <c r="BX1699" t="s">
        <v>407</v>
      </c>
      <c r="BZ1699">
        <v>4</v>
      </c>
      <c r="CA1699">
        <v>1999</v>
      </c>
      <c r="CB1699">
        <v>1</v>
      </c>
      <c r="CC1699">
        <v>1</v>
      </c>
      <c r="CD1699">
        <v>2017</v>
      </c>
      <c r="CE1699">
        <v>27500</v>
      </c>
      <c r="CF1699">
        <v>23125</v>
      </c>
      <c r="CG1699">
        <v>50625</v>
      </c>
      <c r="CH1699">
        <v>2017</v>
      </c>
      <c r="CI1699">
        <v>27500</v>
      </c>
      <c r="CJ1699">
        <v>23125</v>
      </c>
      <c r="CK1699">
        <v>50625</v>
      </c>
      <c r="CL1699">
        <v>2017</v>
      </c>
      <c r="CM1699">
        <v>766.4</v>
      </c>
      <c r="CN1699" s="1">
        <v>36003</v>
      </c>
      <c r="CO1699">
        <v>19500</v>
      </c>
      <c r="CZ1699" s="1">
        <v>36003</v>
      </c>
      <c r="DD1699" t="s">
        <v>11749</v>
      </c>
      <c r="DF1699">
        <v>16</v>
      </c>
      <c r="DG1699">
        <v>45</v>
      </c>
      <c r="DL1699">
        <v>50303</v>
      </c>
      <c r="DM1699" t="s">
        <v>16577</v>
      </c>
      <c r="DO1699" t="s">
        <v>16915</v>
      </c>
      <c r="DP1699">
        <v>0</v>
      </c>
      <c r="DQ1699">
        <v>0</v>
      </c>
      <c r="DR1699" t="s">
        <v>411</v>
      </c>
      <c r="DS1699" t="b">
        <v>1</v>
      </c>
      <c r="DT1699" t="s">
        <v>470</v>
      </c>
      <c r="DU1699" t="s">
        <v>471</v>
      </c>
      <c r="DV1699" t="s">
        <v>472</v>
      </c>
      <c r="DX1699">
        <v>-9999</v>
      </c>
      <c r="DZ1699" t="s">
        <v>447</v>
      </c>
      <c r="EA1699" t="s">
        <v>448</v>
      </c>
      <c r="EB1699" t="s">
        <v>742</v>
      </c>
      <c r="EC1699">
        <v>20101217</v>
      </c>
      <c r="ED1699" t="s">
        <v>474</v>
      </c>
      <c r="EF1699">
        <v>1635.2</v>
      </c>
      <c r="EG1699">
        <v>1303.4000000000001</v>
      </c>
      <c r="EI1699">
        <v>20160407</v>
      </c>
      <c r="EJ1699">
        <v>0</v>
      </c>
      <c r="EK1699">
        <v>0</v>
      </c>
      <c r="EP1699" t="s">
        <v>421</v>
      </c>
      <c r="EQ1699" t="s">
        <v>422</v>
      </c>
      <c r="ER1699">
        <v>0</v>
      </c>
      <c r="ES1699">
        <v>2</v>
      </c>
      <c r="ET1699">
        <v>0</v>
      </c>
      <c r="EU1699">
        <v>0</v>
      </c>
      <c r="EV1699">
        <v>0</v>
      </c>
      <c r="EW1699" s="2">
        <v>43222</v>
      </c>
      <c r="EX1699" s="1">
        <v>42515</v>
      </c>
      <c r="EY1699">
        <v>2015</v>
      </c>
      <c r="EZ1699">
        <v>475.88</v>
      </c>
      <c r="FA1699" t="s">
        <v>16916</v>
      </c>
      <c r="FB1699">
        <v>0.25</v>
      </c>
      <c r="FC1699" t="s">
        <v>424</v>
      </c>
      <c r="FD1699" t="s">
        <v>425</v>
      </c>
      <c r="FE1699" s="1">
        <v>42542</v>
      </c>
      <c r="FF1699">
        <v>1</v>
      </c>
      <c r="FG1699">
        <v>11289</v>
      </c>
      <c r="FH1699" t="s">
        <v>787</v>
      </c>
      <c r="FJ1699" s="1">
        <v>42515</v>
      </c>
      <c r="FK1699">
        <v>2015</v>
      </c>
      <c r="FL1699">
        <v>475.88</v>
      </c>
      <c r="FM1699" t="s">
        <v>16916</v>
      </c>
      <c r="FN1699">
        <v>0.25</v>
      </c>
      <c r="FO1699" t="s">
        <v>424</v>
      </c>
      <c r="FP1699" t="s">
        <v>425</v>
      </c>
      <c r="FR1699">
        <v>22</v>
      </c>
      <c r="FS1699">
        <v>7153030</v>
      </c>
      <c r="FT1699" t="s">
        <v>16917</v>
      </c>
    </row>
    <row r="1700" spans="1:272" x14ac:dyDescent="0.25">
      <c r="A1700">
        <v>16486707</v>
      </c>
      <c r="B1700">
        <v>1699</v>
      </c>
      <c r="C1700" t="s">
        <v>393</v>
      </c>
      <c r="D1700" t="s">
        <v>394</v>
      </c>
      <c r="F1700" t="str">
        <f>"45-2N-28-550E-0016-0010"</f>
        <v>45-2N-28-550E-0016-0010</v>
      </c>
      <c r="H1700" t="str">
        <f>"MADDOX DAWN"</f>
        <v>MADDOX DAWN</v>
      </c>
      <c r="I1700" t="str">
        <f>"95077 CAROLINE WAY"</f>
        <v>95077 CAROLINE WAY</v>
      </c>
      <c r="J1700" t="str">
        <f>"FERNANDINA BEACH FL 32034"</f>
        <v>FERNANDINA BEACH FL 32034</v>
      </c>
      <c r="K1700" t="str">
        <f>"95077 CAROLINE WAY"</f>
        <v>95077 CAROLINE WAY</v>
      </c>
      <c r="L1700" t="str">
        <f t="shared" si="599"/>
        <v>FERNANDINA BEACH FL 32034</v>
      </c>
      <c r="M1700" t="str">
        <f>"PT OF LOT 16 (S-1) IN OR 1941/260 ESMT PT OR 1043/798 ESMT OR 1074/1211 SPRING HILL 5 PB 6/85 2000 FTWD DWMH"</f>
        <v>PT OF LOT 16 (S-1) IN OR 1941/260 ESMT PT OR 1043/798 ESMT OR 1074/1211 SPRING HILL 5 PB 6/85 2000 FTWD DWMH</v>
      </c>
      <c r="N1700" t="str">
        <f>""</f>
        <v/>
      </c>
      <c r="O1700" t="str">
        <f>"52056"</f>
        <v>52056</v>
      </c>
      <c r="P1700" t="str">
        <f t="shared" si="597"/>
        <v>2017</v>
      </c>
      <c r="Q1700" t="str">
        <f>""</f>
        <v/>
      </c>
      <c r="R1700" t="str">
        <f>"Y"</f>
        <v>Y</v>
      </c>
      <c r="S1700" t="str">
        <f>"3.28"</f>
        <v>3.28</v>
      </c>
      <c r="T1700" t="str">
        <f>"551.98"</f>
        <v>551.98</v>
      </c>
      <c r="U1700" t="str">
        <f>"75565.00"</f>
        <v>75565.00</v>
      </c>
      <c r="V1700" t="str">
        <f>"75565.00"</f>
        <v>75565.00</v>
      </c>
      <c r="W1700" t="str">
        <f t="shared" si="598"/>
        <v>2017</v>
      </c>
      <c r="X1700" t="str">
        <f>"11.67"</f>
        <v>11.67</v>
      </c>
      <c r="Y1700" t="str">
        <f>"600.54"</f>
        <v>600.54</v>
      </c>
      <c r="Z1700" t="str">
        <f>"25000.00"</f>
        <v>25000.00</v>
      </c>
      <c r="AA1700" t="str">
        <f>"50565.00"</f>
        <v>50565.00</v>
      </c>
      <c r="AB1700" t="str">
        <f t="shared" si="600"/>
        <v>Residential</v>
      </c>
      <c r="AC1700" t="str">
        <f t="shared" si="609"/>
        <v>0</v>
      </c>
      <c r="AD1700" t="str">
        <f>"4"</f>
        <v>4</v>
      </c>
      <c r="AE1700" t="str">
        <f>"WOOD (INCLUDE STEEL STUDS)"</f>
        <v>WOOD (INCLUDE STEEL STUDS)</v>
      </c>
      <c r="AF1700" t="str">
        <f>"002"</f>
        <v>002</v>
      </c>
      <c r="AG1700" t="str">
        <f t="shared" si="603"/>
        <v>FL</v>
      </c>
      <c r="AH1700" t="str">
        <f>"142876.00"</f>
        <v>142876.00</v>
      </c>
      <c r="AI1700" t="str">
        <f>"32800.00"</f>
        <v>32800.00</v>
      </c>
      <c r="AJ1700" t="str">
        <f>"C55-000-588-5130-4"</f>
        <v>C55-000-588-5130-4</v>
      </c>
      <c r="AK1700" t="str">
        <f>"30456"</f>
        <v>30456</v>
      </c>
      <c r="AL1700">
        <v>6</v>
      </c>
      <c r="AM1700">
        <v>1944</v>
      </c>
      <c r="AN1700">
        <v>628.97</v>
      </c>
      <c r="AQ1700" t="s">
        <v>16918</v>
      </c>
      <c r="AR1700" t="s">
        <v>16918</v>
      </c>
      <c r="AS1700" t="s">
        <v>16918</v>
      </c>
      <c r="AU1700" t="s">
        <v>396</v>
      </c>
      <c r="AV1700">
        <v>2017</v>
      </c>
      <c r="AW1700" t="str">
        <f>"45-2N-28-550E-0016-0010 "</f>
        <v xml:space="preserve">45-2N-28-550E-0016-0010 </v>
      </c>
      <c r="AX1700">
        <v>95077</v>
      </c>
      <c r="AZ1700" t="s">
        <v>16919</v>
      </c>
      <c r="BA1700" t="s">
        <v>866</v>
      </c>
      <c r="BD1700" t="s">
        <v>11749</v>
      </c>
      <c r="BE1700" t="s">
        <v>393</v>
      </c>
      <c r="BF1700">
        <v>32034</v>
      </c>
      <c r="BG1700" t="s">
        <v>16920</v>
      </c>
      <c r="BH1700" t="s">
        <v>11751</v>
      </c>
      <c r="BI1700">
        <v>-81.540478817743903</v>
      </c>
      <c r="BJ1700">
        <v>30.5623042982401</v>
      </c>
      <c r="BK1700" t="s">
        <v>16921</v>
      </c>
      <c r="BM1700" t="s">
        <v>16920</v>
      </c>
      <c r="BN1700" t="s">
        <v>3983</v>
      </c>
      <c r="BO1700">
        <v>32034</v>
      </c>
      <c r="BP1700" t="s">
        <v>416</v>
      </c>
      <c r="BQ1700">
        <v>200</v>
      </c>
      <c r="BR1700" t="s">
        <v>405</v>
      </c>
      <c r="BS1700">
        <v>1006</v>
      </c>
      <c r="BT1700" t="s">
        <v>406</v>
      </c>
      <c r="BW1700">
        <v>142876</v>
      </c>
      <c r="BX1700" t="s">
        <v>407</v>
      </c>
      <c r="BZ1700">
        <v>4</v>
      </c>
      <c r="CA1700">
        <v>2000</v>
      </c>
      <c r="CB1700">
        <v>1</v>
      </c>
      <c r="CC1700">
        <v>1</v>
      </c>
      <c r="CD1700">
        <v>2017</v>
      </c>
      <c r="CG1700">
        <v>75565</v>
      </c>
      <c r="CH1700">
        <v>2017</v>
      </c>
      <c r="CI1700">
        <v>32800</v>
      </c>
      <c r="CJ1700">
        <v>44958</v>
      </c>
      <c r="CK1700">
        <v>77758</v>
      </c>
      <c r="CL1700">
        <v>2017</v>
      </c>
      <c r="CM1700">
        <v>551.98</v>
      </c>
      <c r="CN1700" s="1">
        <v>41904</v>
      </c>
      <c r="CZ1700" s="1">
        <v>41904</v>
      </c>
      <c r="DD1700" t="s">
        <v>11749</v>
      </c>
      <c r="DF1700">
        <v>16</v>
      </c>
      <c r="DG1700">
        <v>45</v>
      </c>
      <c r="DL1700">
        <v>50303</v>
      </c>
      <c r="DM1700" t="s">
        <v>16577</v>
      </c>
      <c r="DO1700" t="s">
        <v>16922</v>
      </c>
      <c r="DP1700">
        <v>0</v>
      </c>
      <c r="DQ1700">
        <v>0</v>
      </c>
      <c r="DR1700" t="s">
        <v>411</v>
      </c>
      <c r="DS1700" t="b">
        <v>1</v>
      </c>
      <c r="DT1700" t="s">
        <v>470</v>
      </c>
      <c r="DU1700" t="s">
        <v>471</v>
      </c>
      <c r="DV1700" t="s">
        <v>472</v>
      </c>
      <c r="DX1700">
        <v>-9999</v>
      </c>
      <c r="DZ1700" t="s">
        <v>447</v>
      </c>
      <c r="EA1700" t="s">
        <v>448</v>
      </c>
      <c r="EB1700" t="s">
        <v>742</v>
      </c>
      <c r="EC1700">
        <v>20101217</v>
      </c>
      <c r="ED1700" t="s">
        <v>474</v>
      </c>
      <c r="EF1700">
        <v>1172.0999999999999</v>
      </c>
      <c r="EG1700">
        <v>785.7</v>
      </c>
      <c r="EI1700">
        <v>20160407</v>
      </c>
      <c r="EJ1700">
        <v>0</v>
      </c>
      <c r="EK1700">
        <v>0</v>
      </c>
      <c r="EP1700" t="s">
        <v>421</v>
      </c>
      <c r="EQ1700" t="s">
        <v>422</v>
      </c>
      <c r="ER1700">
        <v>0</v>
      </c>
      <c r="ES1700">
        <v>7</v>
      </c>
      <c r="ET1700">
        <v>0</v>
      </c>
      <c r="EU1700">
        <v>0</v>
      </c>
      <c r="EV1700">
        <v>0</v>
      </c>
      <c r="EW1700" s="2">
        <v>43222</v>
      </c>
      <c r="EX1700" s="1">
        <v>42515</v>
      </c>
      <c r="EY1700">
        <v>2015</v>
      </c>
      <c r="EZ1700">
        <v>581.88</v>
      </c>
      <c r="FA1700" t="s">
        <v>16923</v>
      </c>
      <c r="FB1700">
        <v>0.25</v>
      </c>
      <c r="FC1700" t="s">
        <v>424</v>
      </c>
      <c r="FD1700" t="s">
        <v>425</v>
      </c>
      <c r="FE1700" s="1">
        <v>42528</v>
      </c>
      <c r="FF1700">
        <v>1</v>
      </c>
      <c r="FG1700">
        <v>11289</v>
      </c>
      <c r="FH1700" t="s">
        <v>787</v>
      </c>
      <c r="FJ1700" s="1">
        <v>42515</v>
      </c>
      <c r="FK1700">
        <v>2015</v>
      </c>
      <c r="FL1700">
        <v>581.88</v>
      </c>
      <c r="FM1700" t="s">
        <v>16923</v>
      </c>
      <c r="FN1700">
        <v>0.25</v>
      </c>
      <c r="FO1700" t="s">
        <v>424</v>
      </c>
      <c r="FP1700" t="s">
        <v>425</v>
      </c>
      <c r="FR1700">
        <v>22</v>
      </c>
      <c r="FS1700">
        <v>5140195</v>
      </c>
      <c r="FT1700" t="s">
        <v>16924</v>
      </c>
      <c r="FV1700" s="1">
        <v>42151</v>
      </c>
      <c r="FW1700">
        <v>2014</v>
      </c>
      <c r="FX1700">
        <v>422.12</v>
      </c>
      <c r="FY1700" t="s">
        <v>16925</v>
      </c>
      <c r="FZ1700">
        <v>0.25</v>
      </c>
      <c r="GA1700" t="s">
        <v>424</v>
      </c>
      <c r="GB1700" t="s">
        <v>425</v>
      </c>
      <c r="GC1700" s="1">
        <v>42517</v>
      </c>
      <c r="GD1700">
        <v>12</v>
      </c>
      <c r="GE1700">
        <v>2851116</v>
      </c>
      <c r="GF1700" t="s">
        <v>480</v>
      </c>
      <c r="GH1700" s="1">
        <v>42151</v>
      </c>
      <c r="GI1700">
        <v>2014</v>
      </c>
      <c r="GJ1700">
        <v>422.12</v>
      </c>
      <c r="GK1700" t="s">
        <v>16925</v>
      </c>
      <c r="GL1700">
        <v>0.25</v>
      </c>
      <c r="GM1700" t="s">
        <v>424</v>
      </c>
      <c r="GN1700" t="s">
        <v>425</v>
      </c>
      <c r="GP1700">
        <v>22</v>
      </c>
      <c r="GQ1700">
        <v>5347194</v>
      </c>
      <c r="GR1700" t="s">
        <v>16926</v>
      </c>
      <c r="GT1700" s="1">
        <v>41423</v>
      </c>
      <c r="GU1700">
        <v>2012</v>
      </c>
      <c r="GV1700">
        <v>1084.67</v>
      </c>
      <c r="GW1700" t="s">
        <v>16927</v>
      </c>
      <c r="GX1700">
        <v>0.25</v>
      </c>
      <c r="GY1700" t="s">
        <v>424</v>
      </c>
      <c r="GZ1700" t="s">
        <v>425</v>
      </c>
      <c r="HA1700" s="1">
        <v>41449</v>
      </c>
      <c r="HB1700">
        <v>1</v>
      </c>
      <c r="HC1700">
        <v>606981</v>
      </c>
      <c r="HD1700" t="s">
        <v>792</v>
      </c>
      <c r="HF1700" s="1">
        <v>41052</v>
      </c>
      <c r="HG1700">
        <v>2011</v>
      </c>
      <c r="HH1700">
        <v>1358.12</v>
      </c>
      <c r="HI1700" t="s">
        <v>16928</v>
      </c>
      <c r="HJ1700">
        <v>5.75</v>
      </c>
      <c r="HK1700" t="s">
        <v>424</v>
      </c>
      <c r="HL1700" t="s">
        <v>425</v>
      </c>
      <c r="HM1700" s="1">
        <v>41466</v>
      </c>
      <c r="HN1700">
        <v>14</v>
      </c>
      <c r="HO1700">
        <v>10579</v>
      </c>
      <c r="HP1700" t="s">
        <v>488</v>
      </c>
      <c r="HR1700" s="1">
        <v>40688</v>
      </c>
      <c r="HS1700">
        <v>2010</v>
      </c>
      <c r="HT1700">
        <v>1555.2</v>
      </c>
      <c r="HU1700" t="s">
        <v>16929</v>
      </c>
      <c r="HV1700">
        <v>5.75</v>
      </c>
      <c r="HW1700" t="s">
        <v>424</v>
      </c>
      <c r="HX1700" t="s">
        <v>425</v>
      </c>
      <c r="HY1700" s="1">
        <v>41325</v>
      </c>
      <c r="HZ1700">
        <v>21</v>
      </c>
      <c r="IA1700">
        <v>287</v>
      </c>
      <c r="IB1700" t="s">
        <v>572</v>
      </c>
    </row>
    <row r="1701" spans="1:272" x14ac:dyDescent="0.25">
      <c r="A1701">
        <v>16486708</v>
      </c>
      <c r="B1701">
        <v>1700</v>
      </c>
      <c r="C1701" t="s">
        <v>393</v>
      </c>
      <c r="D1701" t="s">
        <v>394</v>
      </c>
      <c r="F1701" t="str">
        <f>"45-2N-28-550E-0016-0020"</f>
        <v>45-2N-28-550E-0016-0020</v>
      </c>
      <c r="H1701" t="str">
        <f>"JS JACKSON PROPERTIES LLC"</f>
        <v>JS JACKSON PROPERTIES LLC</v>
      </c>
      <c r="I1701" t="str">
        <f>"6818 SOUTH COURT DRIVE"</f>
        <v>6818 SOUTH COURT DRIVE</v>
      </c>
      <c r="J1701" t="str">
        <f>"TAMPA FL 33611"</f>
        <v>TAMPA FL 33611</v>
      </c>
      <c r="K1701" t="str">
        <f>"95188 CAROLINE WAY"</f>
        <v>95188 CAROLINE WAY</v>
      </c>
      <c r="L1701" t="str">
        <f t="shared" si="599"/>
        <v>FERNANDINA BEACH FL 32034</v>
      </c>
      <c r="M1701" t="str">
        <f>"PT OF LOT 16 IN OR 1658/1048 1989 SOUT DW/MH ESMT PT OR 1043/798 ESMT OR 1187/159 SPRING HILL 5 PB 6/85"</f>
        <v>PT OF LOT 16 IN OR 1658/1048 1989 SOUT DW/MH ESMT PT OR 1043/798 ESMT OR 1187/159 SPRING HILL 5 PB 6/85</v>
      </c>
      <c r="N1701" t="str">
        <f>""</f>
        <v/>
      </c>
      <c r="O1701" t="str">
        <f>"52057"</f>
        <v>52057</v>
      </c>
      <c r="P1701" t="str">
        <f t="shared" si="597"/>
        <v>2017</v>
      </c>
      <c r="Q1701" t="str">
        <f>""</f>
        <v/>
      </c>
      <c r="R1701" t="str">
        <f>"N"</f>
        <v>N</v>
      </c>
      <c r="S1701" t="str">
        <f>"2.49"</f>
        <v>2.49</v>
      </c>
      <c r="T1701" t="str">
        <f>"1045.30"</f>
        <v>1045.30</v>
      </c>
      <c r="U1701" t="str">
        <f>"49981.00"</f>
        <v>49981.00</v>
      </c>
      <c r="V1701" t="str">
        <f>"49981.00"</f>
        <v>49981.00</v>
      </c>
      <c r="W1701" t="str">
        <f t="shared" si="598"/>
        <v>2017</v>
      </c>
      <c r="X1701" t="str">
        <f>"1.00"</f>
        <v>1.00</v>
      </c>
      <c r="Y1701" t="str">
        <f>"1108.66"</f>
        <v>1108.66</v>
      </c>
      <c r="Z1701" t="str">
        <f>""</f>
        <v/>
      </c>
      <c r="AA1701" t="str">
        <f>"93729.00"</f>
        <v>93729.00</v>
      </c>
      <c r="AB1701" t="str">
        <f t="shared" si="600"/>
        <v>Residential</v>
      </c>
      <c r="AC1701" t="str">
        <f t="shared" si="609"/>
        <v>0</v>
      </c>
      <c r="AD1701" t="str">
        <f>"4"</f>
        <v>4</v>
      </c>
      <c r="AE1701" t="str">
        <f>"WOOD (INCLUDE STEEL STUDS)"</f>
        <v>WOOD (INCLUDE STEEL STUDS)</v>
      </c>
      <c r="AF1701" t="str">
        <f>"002"</f>
        <v>002</v>
      </c>
      <c r="AG1701" t="str">
        <f t="shared" si="603"/>
        <v>FL</v>
      </c>
      <c r="AH1701" t="str">
        <f>"108464.00"</f>
        <v>108464.00</v>
      </c>
      <c r="AI1701" t="str">
        <f>"62250.00"</f>
        <v>62250.00</v>
      </c>
      <c r="AJ1701" t="str">
        <f>"C55-000-588-5131-2"</f>
        <v>C55-000-588-5131-2</v>
      </c>
      <c r="AK1701" t="str">
        <f>"30457"</f>
        <v>30457</v>
      </c>
      <c r="AL1701">
        <v>6</v>
      </c>
      <c r="AM1701">
        <v>1945</v>
      </c>
      <c r="AN1701">
        <v>1162.49</v>
      </c>
      <c r="AQ1701" t="s">
        <v>16930</v>
      </c>
      <c r="AR1701" t="s">
        <v>16930</v>
      </c>
      <c r="AS1701" t="s">
        <v>16930</v>
      </c>
      <c r="AU1701" t="s">
        <v>396</v>
      </c>
      <c r="AV1701">
        <v>2017</v>
      </c>
      <c r="AW1701" t="str">
        <f>"45-2N-28-550E-0016-0020 "</f>
        <v xml:space="preserve">45-2N-28-550E-0016-0020 </v>
      </c>
      <c r="AX1701">
        <v>95188</v>
      </c>
      <c r="AZ1701" t="s">
        <v>16919</v>
      </c>
      <c r="BA1701" t="s">
        <v>866</v>
      </c>
      <c r="BD1701" t="s">
        <v>11749</v>
      </c>
      <c r="BE1701" t="s">
        <v>393</v>
      </c>
      <c r="BF1701">
        <v>32034</v>
      </c>
      <c r="BG1701" t="s">
        <v>16931</v>
      </c>
      <c r="BH1701" t="s">
        <v>11751</v>
      </c>
      <c r="BI1701">
        <v>-81.541342296954099</v>
      </c>
      <c r="BJ1701">
        <v>30.563284236751201</v>
      </c>
      <c r="BK1701" t="s">
        <v>16932</v>
      </c>
      <c r="BM1701" t="s">
        <v>15787</v>
      </c>
      <c r="BN1701" t="s">
        <v>1971</v>
      </c>
      <c r="BO1701">
        <v>33611</v>
      </c>
      <c r="BP1701" t="s">
        <v>404</v>
      </c>
      <c r="BQ1701">
        <v>200</v>
      </c>
      <c r="BR1701" t="s">
        <v>405</v>
      </c>
      <c r="BS1701">
        <v>1006</v>
      </c>
      <c r="BT1701" t="s">
        <v>406</v>
      </c>
      <c r="BW1701">
        <v>108464</v>
      </c>
      <c r="BX1701" t="s">
        <v>407</v>
      </c>
      <c r="BZ1701">
        <v>4</v>
      </c>
      <c r="CA1701">
        <v>1989</v>
      </c>
      <c r="CC1701">
        <v>1</v>
      </c>
      <c r="CD1701">
        <v>2017</v>
      </c>
      <c r="CE1701">
        <v>62250</v>
      </c>
      <c r="CF1701">
        <v>31479</v>
      </c>
      <c r="CG1701">
        <v>93729</v>
      </c>
      <c r="CH1701">
        <v>2017</v>
      </c>
      <c r="CI1701">
        <v>62250</v>
      </c>
      <c r="CJ1701">
        <v>31479</v>
      </c>
      <c r="CK1701">
        <v>93729</v>
      </c>
      <c r="CL1701">
        <v>2017</v>
      </c>
      <c r="CM1701">
        <v>1045.3</v>
      </c>
      <c r="CN1701" s="1">
        <v>40197</v>
      </c>
      <c r="CO1701">
        <v>95000</v>
      </c>
      <c r="CV1701">
        <v>80000</v>
      </c>
      <c r="CX1701" t="s">
        <v>707</v>
      </c>
      <c r="CZ1701" s="1">
        <v>40197</v>
      </c>
      <c r="DA1701">
        <v>0</v>
      </c>
      <c r="DD1701" t="s">
        <v>11749</v>
      </c>
      <c r="DF1701">
        <v>16</v>
      </c>
      <c r="DG1701">
        <v>45</v>
      </c>
      <c r="DL1701">
        <v>50303</v>
      </c>
      <c r="DM1701" t="s">
        <v>16577</v>
      </c>
      <c r="DO1701" t="s">
        <v>16933</v>
      </c>
      <c r="DP1701">
        <v>0</v>
      </c>
      <c r="DQ1701">
        <v>0</v>
      </c>
      <c r="DR1701" t="s">
        <v>411</v>
      </c>
    </row>
    <row r="1702" spans="1:272" x14ac:dyDescent="0.25">
      <c r="A1702">
        <v>16486709</v>
      </c>
      <c r="B1702">
        <v>1701</v>
      </c>
      <c r="C1702" t="s">
        <v>393</v>
      </c>
      <c r="D1702" t="s">
        <v>394</v>
      </c>
      <c r="F1702" t="str">
        <f>"45-2N-28-550E-0024-0000"</f>
        <v>45-2N-28-550E-0024-0000</v>
      </c>
      <c r="H1702" t="str">
        <f>"THORNTON KENNETH D &amp; LEONA R"</f>
        <v>THORNTON KENNETH D &amp; LEONA R</v>
      </c>
      <c r="I1702" t="str">
        <f>"95195 BOBCAT LN"</f>
        <v>95195 BOBCAT LN</v>
      </c>
      <c r="J1702" t="str">
        <f>"FERNANDINA BEACH FL 32034"</f>
        <v>FERNANDINA BEACH FL 32034</v>
      </c>
      <c r="K1702" t="str">
        <f>"95195 BOBCAT LN"</f>
        <v>95195 BOBCAT LN</v>
      </c>
      <c r="L1702" t="str">
        <f t="shared" si="599"/>
        <v>FERNANDINA BEACH FL 32034</v>
      </c>
      <c r="M1702" t="str">
        <f>"LOT 24 1998 SW/MH REDM IN OR 1180/1764 ESMT IN OR 849/803 SPRING HILL 5 PB 6/85"</f>
        <v>LOT 24 1998 SW/MH REDM IN OR 1180/1764 ESMT IN OR 849/803 SPRING HILL 5 PB 6/85</v>
      </c>
      <c r="N1702" t="str">
        <f>""</f>
        <v/>
      </c>
      <c r="O1702" t="str">
        <f>"52065"</f>
        <v>52065</v>
      </c>
      <c r="P1702" t="str">
        <f t="shared" si="597"/>
        <v>2017</v>
      </c>
      <c r="Q1702" t="str">
        <f>""</f>
        <v/>
      </c>
      <c r="R1702" t="str">
        <f>"Y"</f>
        <v>Y</v>
      </c>
      <c r="S1702" t="str">
        <f>"5.95"</f>
        <v>5.95</v>
      </c>
      <c r="T1702" t="str">
        <f>"1159.13"</f>
        <v>1159.13</v>
      </c>
      <c r="U1702" t="str">
        <f>"115671.00"</f>
        <v>115671.00</v>
      </c>
      <c r="V1702" t="str">
        <f>"115671.00"</f>
        <v>115671.00</v>
      </c>
      <c r="W1702" t="str">
        <f t="shared" si="598"/>
        <v>2017</v>
      </c>
      <c r="X1702" t="str">
        <f>"11.67"</f>
        <v>11.67</v>
      </c>
      <c r="Y1702" t="str">
        <f>"546.91"</f>
        <v>546.91</v>
      </c>
      <c r="Z1702" t="str">
        <f>"25000.00"</f>
        <v>25000.00</v>
      </c>
      <c r="AA1702" t="str">
        <f>"90671.00"</f>
        <v>90671.00</v>
      </c>
      <c r="AB1702" t="str">
        <f t="shared" si="600"/>
        <v>Residential</v>
      </c>
      <c r="AC1702" t="str">
        <f t="shared" si="609"/>
        <v>0</v>
      </c>
      <c r="AD1702" t="str">
        <f>"4"</f>
        <v>4</v>
      </c>
      <c r="AE1702" t="str">
        <f>"WOOD (INCLUDE STEEL STUDS)"</f>
        <v>WOOD (INCLUDE STEEL STUDS)</v>
      </c>
      <c r="AF1702" t="str">
        <f>"002"</f>
        <v>002</v>
      </c>
      <c r="AG1702" t="str">
        <f t="shared" si="603"/>
        <v>FL</v>
      </c>
      <c r="AH1702" t="str">
        <f>"259182.00"</f>
        <v>259182.00</v>
      </c>
      <c r="AI1702" t="str">
        <f>"59500.00"</f>
        <v>59500.00</v>
      </c>
      <c r="AJ1702" t="str">
        <f>"C55-000-588-5139-5"</f>
        <v>C55-000-588-5139-5</v>
      </c>
      <c r="AK1702" t="str">
        <f>"30465"</f>
        <v>30465</v>
      </c>
      <c r="AL1702">
        <v>6</v>
      </c>
      <c r="AM1702">
        <v>1946</v>
      </c>
      <c r="AN1702">
        <v>572.66</v>
      </c>
      <c r="AQ1702" t="s">
        <v>16934</v>
      </c>
      <c r="AR1702" t="s">
        <v>16934</v>
      </c>
      <c r="AS1702" t="s">
        <v>16934</v>
      </c>
      <c r="AU1702" t="s">
        <v>396</v>
      </c>
      <c r="AV1702">
        <v>2017</v>
      </c>
      <c r="AW1702" t="str">
        <f>"45-2N-28-550E-0024-0000 "</f>
        <v xml:space="preserve">45-2N-28-550E-0024-0000 </v>
      </c>
      <c r="AX1702">
        <v>95195</v>
      </c>
      <c r="AZ1702" t="s">
        <v>16935</v>
      </c>
      <c r="BA1702" t="s">
        <v>653</v>
      </c>
      <c r="BD1702" t="s">
        <v>11749</v>
      </c>
      <c r="BE1702" t="s">
        <v>393</v>
      </c>
      <c r="BF1702">
        <v>32034</v>
      </c>
      <c r="BG1702" t="s">
        <v>16936</v>
      </c>
      <c r="BH1702" t="s">
        <v>11751</v>
      </c>
      <c r="BI1702">
        <v>-81.542872173188798</v>
      </c>
      <c r="BJ1702">
        <v>30.561130338021101</v>
      </c>
      <c r="BK1702" t="s">
        <v>16937</v>
      </c>
      <c r="BL1702" t="s">
        <v>16938</v>
      </c>
      <c r="BM1702" t="s">
        <v>16936</v>
      </c>
      <c r="BN1702" t="s">
        <v>3983</v>
      </c>
      <c r="BO1702">
        <v>32034</v>
      </c>
      <c r="BP1702" t="s">
        <v>416</v>
      </c>
      <c r="BQ1702">
        <v>200</v>
      </c>
      <c r="BR1702" t="s">
        <v>405</v>
      </c>
      <c r="BS1702">
        <v>1006</v>
      </c>
      <c r="BT1702" t="s">
        <v>406</v>
      </c>
      <c r="BW1702">
        <v>259182</v>
      </c>
      <c r="BX1702" t="s">
        <v>407</v>
      </c>
      <c r="BZ1702">
        <v>4</v>
      </c>
      <c r="CA1702">
        <v>1998</v>
      </c>
      <c r="CB1702">
        <v>1</v>
      </c>
      <c r="CC1702">
        <v>1</v>
      </c>
      <c r="CD1702">
        <v>2017</v>
      </c>
      <c r="CG1702">
        <v>115671</v>
      </c>
      <c r="CH1702">
        <v>2017</v>
      </c>
      <c r="CI1702">
        <v>59500</v>
      </c>
      <c r="CJ1702">
        <v>61329</v>
      </c>
      <c r="CK1702">
        <v>120829</v>
      </c>
      <c r="CL1702">
        <v>2017</v>
      </c>
      <c r="CM1702">
        <v>1159.1300000000001</v>
      </c>
      <c r="CN1702" s="1">
        <v>42326</v>
      </c>
      <c r="CZ1702" s="1">
        <v>42326</v>
      </c>
      <c r="DD1702" t="s">
        <v>11749</v>
      </c>
      <c r="DG1702">
        <v>45</v>
      </c>
      <c r="DL1702">
        <v>50303</v>
      </c>
      <c r="DM1702" t="s">
        <v>16577</v>
      </c>
      <c r="DO1702" t="s">
        <v>16939</v>
      </c>
      <c r="DP1702">
        <v>0</v>
      </c>
      <c r="DQ1702">
        <v>0</v>
      </c>
      <c r="DR1702" t="s">
        <v>411</v>
      </c>
      <c r="DS1702" t="b">
        <v>1</v>
      </c>
      <c r="DT1702" t="s">
        <v>470</v>
      </c>
      <c r="DU1702" t="s">
        <v>471</v>
      </c>
      <c r="DV1702" t="s">
        <v>472</v>
      </c>
      <c r="DX1702">
        <v>-9999</v>
      </c>
      <c r="DZ1702" t="s">
        <v>447</v>
      </c>
      <c r="EA1702" t="s">
        <v>448</v>
      </c>
      <c r="EB1702" t="s">
        <v>742</v>
      </c>
      <c r="EC1702">
        <v>20101217</v>
      </c>
      <c r="ED1702" t="s">
        <v>474</v>
      </c>
      <c r="EF1702">
        <v>1293.4000000000001</v>
      </c>
      <c r="EG1702">
        <v>704.6</v>
      </c>
      <c r="EH1702" t="s">
        <v>451</v>
      </c>
      <c r="EI1702">
        <v>20140731</v>
      </c>
      <c r="EJ1702">
        <v>0</v>
      </c>
      <c r="EK1702">
        <v>0</v>
      </c>
      <c r="EP1702" t="s">
        <v>421</v>
      </c>
      <c r="EQ1702" t="s">
        <v>452</v>
      </c>
      <c r="ER1702">
        <v>0</v>
      </c>
      <c r="ES1702">
        <v>9</v>
      </c>
      <c r="ET1702">
        <v>0</v>
      </c>
      <c r="EU1702">
        <v>0</v>
      </c>
      <c r="EV1702">
        <v>0</v>
      </c>
      <c r="EW1702" s="2">
        <v>43222</v>
      </c>
      <c r="EX1702" s="1">
        <v>42879</v>
      </c>
      <c r="EY1702">
        <v>2016</v>
      </c>
      <c r="EZ1702">
        <v>1261.46</v>
      </c>
      <c r="FA1702" t="s">
        <v>16940</v>
      </c>
      <c r="FB1702">
        <v>0.25</v>
      </c>
      <c r="FC1702" t="s">
        <v>424</v>
      </c>
      <c r="FD1702" t="s">
        <v>425</v>
      </c>
      <c r="FE1702" s="1">
        <v>43192</v>
      </c>
      <c r="FF1702">
        <v>11</v>
      </c>
      <c r="FG1702">
        <v>11289</v>
      </c>
      <c r="FH1702" t="s">
        <v>787</v>
      </c>
      <c r="FJ1702" s="1">
        <v>42879</v>
      </c>
      <c r="FK1702">
        <v>2016</v>
      </c>
      <c r="FL1702">
        <v>1261.46</v>
      </c>
      <c r="FM1702" t="s">
        <v>16940</v>
      </c>
      <c r="FN1702">
        <v>0.25</v>
      </c>
      <c r="FO1702" t="s">
        <v>424</v>
      </c>
      <c r="FP1702" t="s">
        <v>425</v>
      </c>
      <c r="FR1702">
        <v>22</v>
      </c>
      <c r="FS1702">
        <v>7120378</v>
      </c>
      <c r="FT1702" t="s">
        <v>16941</v>
      </c>
      <c r="FV1702" s="1">
        <v>42151</v>
      </c>
      <c r="FW1702">
        <v>2014</v>
      </c>
      <c r="FX1702">
        <v>1551.66</v>
      </c>
      <c r="FY1702" t="s">
        <v>16942</v>
      </c>
      <c r="FZ1702">
        <v>0.25</v>
      </c>
      <c r="GA1702" t="s">
        <v>424</v>
      </c>
      <c r="GB1702" t="s">
        <v>425</v>
      </c>
      <c r="GC1702" s="1">
        <v>42328</v>
      </c>
      <c r="GD1702">
        <v>6</v>
      </c>
      <c r="GE1702">
        <v>2101382</v>
      </c>
      <c r="GF1702" t="s">
        <v>993</v>
      </c>
      <c r="GH1702" s="1">
        <v>42151</v>
      </c>
      <c r="GI1702">
        <v>2014</v>
      </c>
      <c r="GJ1702">
        <v>1551.66</v>
      </c>
      <c r="GK1702" t="s">
        <v>16942</v>
      </c>
      <c r="GL1702">
        <v>0.25</v>
      </c>
      <c r="GM1702" t="s">
        <v>424</v>
      </c>
      <c r="GN1702" t="s">
        <v>425</v>
      </c>
      <c r="GP1702">
        <v>22</v>
      </c>
      <c r="GQ1702">
        <v>5522024</v>
      </c>
      <c r="GR1702" t="s">
        <v>16943</v>
      </c>
      <c r="GT1702" s="1">
        <v>41787</v>
      </c>
      <c r="GU1702">
        <v>2013</v>
      </c>
      <c r="GV1702">
        <v>1493.86</v>
      </c>
      <c r="GW1702" t="s">
        <v>16944</v>
      </c>
      <c r="GX1702">
        <v>0.25</v>
      </c>
      <c r="GY1702" t="s">
        <v>424</v>
      </c>
      <c r="GZ1702" t="s">
        <v>425</v>
      </c>
      <c r="HA1702" s="1">
        <v>41842</v>
      </c>
      <c r="HB1702">
        <v>2</v>
      </c>
      <c r="HC1702">
        <v>12092</v>
      </c>
      <c r="HD1702" t="s">
        <v>483</v>
      </c>
      <c r="HE1702" t="s">
        <v>458</v>
      </c>
      <c r="HF1702" s="1">
        <v>41423</v>
      </c>
      <c r="HG1702">
        <v>2012</v>
      </c>
      <c r="HH1702">
        <v>1148.6199999999999</v>
      </c>
      <c r="HI1702" t="s">
        <v>16945</v>
      </c>
      <c r="HJ1702">
        <v>0.25</v>
      </c>
      <c r="HK1702" t="s">
        <v>424</v>
      </c>
      <c r="HL1702" t="s">
        <v>425</v>
      </c>
      <c r="HN1702">
        <v>22</v>
      </c>
      <c r="HO1702">
        <v>1625515</v>
      </c>
      <c r="HP1702" t="s">
        <v>487</v>
      </c>
      <c r="HQ1702" t="s">
        <v>458</v>
      </c>
      <c r="HR1702" s="1">
        <v>41052</v>
      </c>
      <c r="HS1702">
        <v>2011</v>
      </c>
      <c r="HT1702">
        <v>1290.6199999999999</v>
      </c>
      <c r="HU1702" t="s">
        <v>16946</v>
      </c>
      <c r="HV1702">
        <v>5.75</v>
      </c>
      <c r="HW1702" t="s">
        <v>424</v>
      </c>
      <c r="HX1702" t="s">
        <v>425</v>
      </c>
      <c r="HZ1702">
        <v>22</v>
      </c>
      <c r="IA1702">
        <v>1625515</v>
      </c>
      <c r="IB1702" t="s">
        <v>487</v>
      </c>
      <c r="IC1702" t="s">
        <v>458</v>
      </c>
      <c r="ID1702" s="1">
        <v>41052</v>
      </c>
      <c r="IE1702">
        <v>2011</v>
      </c>
      <c r="IF1702">
        <v>1290.6199999999999</v>
      </c>
      <c r="IG1702" t="s">
        <v>16946</v>
      </c>
      <c r="IH1702">
        <v>5.75</v>
      </c>
      <c r="II1702" t="s">
        <v>424</v>
      </c>
      <c r="IJ1702" t="s">
        <v>425</v>
      </c>
      <c r="IL1702">
        <v>22</v>
      </c>
      <c r="IM1702">
        <v>10579</v>
      </c>
      <c r="IN1702" t="s">
        <v>488</v>
      </c>
      <c r="IO1702" t="s">
        <v>458</v>
      </c>
      <c r="IP1702" s="1">
        <v>40688</v>
      </c>
      <c r="IQ1702">
        <v>2010</v>
      </c>
      <c r="IR1702">
        <v>1467.59</v>
      </c>
      <c r="IS1702" t="s">
        <v>16947</v>
      </c>
      <c r="IT1702">
        <v>5.75</v>
      </c>
      <c r="IU1702" t="s">
        <v>424</v>
      </c>
      <c r="IV1702" t="s">
        <v>425</v>
      </c>
      <c r="IW1702" s="1">
        <v>41842</v>
      </c>
      <c r="IX1702">
        <v>38</v>
      </c>
      <c r="IY1702">
        <v>62</v>
      </c>
      <c r="IZ1702" t="s">
        <v>463</v>
      </c>
      <c r="JA1702" t="s">
        <v>458</v>
      </c>
    </row>
    <row r="1703" spans="1:272" x14ac:dyDescent="0.25">
      <c r="A1703">
        <v>16486710</v>
      </c>
      <c r="B1703">
        <v>1702</v>
      </c>
      <c r="C1703" t="s">
        <v>393</v>
      </c>
      <c r="D1703" t="s">
        <v>394</v>
      </c>
      <c r="F1703" t="str">
        <f>"46-2N-28-0000-0009-0000"</f>
        <v>46-2N-28-0000-0009-0000</v>
      </c>
      <c r="H1703" t="str">
        <f>"TESTON EILEEN"</f>
        <v>TESTON EILEEN</v>
      </c>
      <c r="I1703" t="str">
        <f>"95415 BARNWELL RD"</f>
        <v>95415 BARNWELL RD</v>
      </c>
      <c r="J1703" t="str">
        <f>"FERNANDINA BEACH FL 32034"</f>
        <v>FERNANDINA BEACH FL 32034</v>
      </c>
      <c r="K1703" t="str">
        <f>"96008 WADES PL"</f>
        <v>96008 WADES PL</v>
      </c>
      <c r="L1703" t="str">
        <f t="shared" si="599"/>
        <v>FERNANDINA BEACH FL 32034</v>
      </c>
      <c r="M1703" t="str">
        <f>"IN OR 2127/553 (EX ST RD) MARSH LAND"</f>
        <v>IN OR 2127/553 (EX ST RD) MARSH LAND</v>
      </c>
      <c r="N1703" t="str">
        <f>""</f>
        <v/>
      </c>
      <c r="O1703" t="str">
        <f>"52695"</f>
        <v>52695</v>
      </c>
      <c r="P1703" t="str">
        <f t="shared" si="597"/>
        <v>2017</v>
      </c>
      <c r="Q1703" t="str">
        <f>""</f>
        <v/>
      </c>
      <c r="R1703" t="str">
        <f t="shared" ref="R1703:R1733" si="610">"N"</f>
        <v>N</v>
      </c>
      <c r="S1703" t="str">
        <f>"1.64"</f>
        <v>1.64</v>
      </c>
      <c r="T1703" t="str">
        <f>"6624.01"</f>
        <v>6624.01</v>
      </c>
      <c r="U1703" t="str">
        <f>"433274.00"</f>
        <v>433274.00</v>
      </c>
      <c r="V1703" t="str">
        <f>"433274.00"</f>
        <v>433274.00</v>
      </c>
      <c r="W1703" t="str">
        <f t="shared" si="598"/>
        <v>2017</v>
      </c>
      <c r="X1703" t="str">
        <f>""</f>
        <v/>
      </c>
      <c r="Y1703" t="str">
        <f>"6854.73"</f>
        <v>6854.73</v>
      </c>
      <c r="Z1703" t="str">
        <f>""</f>
        <v/>
      </c>
      <c r="AA1703" t="str">
        <f>"433274.00"</f>
        <v>433274.00</v>
      </c>
      <c r="AB1703" t="str">
        <f>"Commercial"</f>
        <v>Commercial</v>
      </c>
      <c r="AC1703" t="str">
        <f t="shared" si="609"/>
        <v>0</v>
      </c>
      <c r="AD1703" t="str">
        <f>"3"</f>
        <v>3</v>
      </c>
      <c r="AE1703" t="str">
        <f>"MASONRY"</f>
        <v>MASONRY</v>
      </c>
      <c r="AF1703" t="str">
        <f>"033"</f>
        <v>033</v>
      </c>
      <c r="AG1703" t="str">
        <f t="shared" si="603"/>
        <v>FL</v>
      </c>
      <c r="AH1703" t="str">
        <f>"71438.00"</f>
        <v>71438.00</v>
      </c>
      <c r="AI1703" t="str">
        <f>"188219.00"</f>
        <v>188219.00</v>
      </c>
      <c r="AJ1703" t="str">
        <f>"C55-000-588-5524-8"</f>
        <v>C55-000-588-5524-8</v>
      </c>
      <c r="AK1703" t="str">
        <f>"30484"</f>
        <v>30484</v>
      </c>
      <c r="AL1703">
        <v>6</v>
      </c>
      <c r="AM1703">
        <v>1947</v>
      </c>
      <c r="AN1703">
        <v>7195.87</v>
      </c>
      <c r="AQ1703" t="s">
        <v>16948</v>
      </c>
      <c r="AR1703" t="s">
        <v>16948</v>
      </c>
      <c r="AS1703" t="s">
        <v>16948</v>
      </c>
      <c r="AU1703" t="s">
        <v>396</v>
      </c>
      <c r="AV1703">
        <v>2017</v>
      </c>
      <c r="AW1703" t="str">
        <f>"46-2N-28-0000-0009-0000 "</f>
        <v xml:space="preserve">46-2N-28-0000-0009-0000 </v>
      </c>
      <c r="AX1703">
        <v>96008</v>
      </c>
      <c r="AZ1703" t="s">
        <v>16949</v>
      </c>
      <c r="BA1703" t="s">
        <v>641</v>
      </c>
      <c r="BD1703" t="s">
        <v>11749</v>
      </c>
      <c r="BE1703" t="s">
        <v>393</v>
      </c>
      <c r="BF1703">
        <v>32034</v>
      </c>
      <c r="BG1703" t="s">
        <v>16950</v>
      </c>
      <c r="BH1703" t="s">
        <v>11751</v>
      </c>
      <c r="BI1703">
        <v>-81.490128651967396</v>
      </c>
      <c r="BJ1703">
        <v>30.623721061311201</v>
      </c>
      <c r="BK1703" t="s">
        <v>16951</v>
      </c>
      <c r="BM1703" t="s">
        <v>16952</v>
      </c>
      <c r="BN1703" t="s">
        <v>3983</v>
      </c>
      <c r="BO1703">
        <v>32034</v>
      </c>
      <c r="BP1703" t="s">
        <v>404</v>
      </c>
      <c r="BQ1703">
        <v>3300</v>
      </c>
      <c r="BR1703" t="s">
        <v>5616</v>
      </c>
      <c r="BS1703">
        <v>2048</v>
      </c>
      <c r="BT1703" t="s">
        <v>5617</v>
      </c>
      <c r="BW1703">
        <v>71438</v>
      </c>
      <c r="BX1703" t="s">
        <v>407</v>
      </c>
      <c r="BY1703" t="s">
        <v>2221</v>
      </c>
      <c r="BZ1703">
        <v>3</v>
      </c>
      <c r="CA1703">
        <v>1995</v>
      </c>
      <c r="CB1703">
        <v>1</v>
      </c>
      <c r="CD1703">
        <v>2017</v>
      </c>
      <c r="CE1703">
        <v>188219</v>
      </c>
      <c r="CF1703">
        <v>245055</v>
      </c>
      <c r="CG1703">
        <v>433274</v>
      </c>
      <c r="CH1703">
        <v>2017</v>
      </c>
      <c r="CI1703">
        <v>188219</v>
      </c>
      <c r="CJ1703">
        <v>245055</v>
      </c>
      <c r="CK1703">
        <v>433274</v>
      </c>
      <c r="CL1703">
        <v>2017</v>
      </c>
      <c r="CM1703">
        <v>6624.01</v>
      </c>
      <c r="CN1703" s="1">
        <v>42905</v>
      </c>
      <c r="CO1703">
        <v>450000</v>
      </c>
      <c r="CV1703">
        <v>250000</v>
      </c>
      <c r="CX1703" t="s">
        <v>3031</v>
      </c>
      <c r="CZ1703" s="1">
        <v>42905</v>
      </c>
      <c r="DA1703">
        <v>0</v>
      </c>
      <c r="DD1703" t="s">
        <v>11749</v>
      </c>
      <c r="DG1703">
        <v>46</v>
      </c>
      <c r="DL1703">
        <v>50303</v>
      </c>
      <c r="DM1703" t="s">
        <v>16953</v>
      </c>
      <c r="DO1703" t="s">
        <v>16954</v>
      </c>
      <c r="DP1703">
        <v>0</v>
      </c>
      <c r="DQ1703">
        <v>0</v>
      </c>
      <c r="DR1703" t="s">
        <v>411</v>
      </c>
    </row>
    <row r="1704" spans="1:272" x14ac:dyDescent="0.25">
      <c r="A1704">
        <v>16486711</v>
      </c>
      <c r="B1704">
        <v>1703</v>
      </c>
      <c r="C1704" t="s">
        <v>393</v>
      </c>
      <c r="D1704" t="s">
        <v>394</v>
      </c>
      <c r="F1704" t="str">
        <f>"50-2N-28-0000-0004-0000"</f>
        <v>50-2N-28-0000-0004-0000</v>
      </c>
      <c r="H1704" t="str">
        <f>"KLARER MRS JOHN J C/O CRISP DANIEL T"</f>
        <v>KLARER MRS JOHN J C/O CRISP DANIEL T</v>
      </c>
      <c r="I1704" t="str">
        <f>"1301 CHARTER CT EAST"</f>
        <v>1301 CHARTER CT EAST</v>
      </c>
      <c r="J1704" t="str">
        <f>"JACKSONVILLE BEACH FL 32225"</f>
        <v>JACKSONVILLE BEACH FL 32225</v>
      </c>
      <c r="K1704" t="str">
        <f>"OFF AMELIA RD"</f>
        <v>OFF AMELIA RD</v>
      </c>
      <c r="L1704" t="str">
        <f t="shared" si="599"/>
        <v>FERNANDINA BEACH FL 32034</v>
      </c>
      <c r="M1704" t="str">
        <f>"PT SW1/4 OF SEC 50-2N-28E IN DBK 119/340 (EX PT IN SOVEREIGN LANDS &amp; PT IN OR 275/173)"</f>
        <v>PT SW1/4 OF SEC 50-2N-28E IN DBK 119/340 (EX PT IN SOVEREIGN LANDS &amp; PT IN OR 275/173)</v>
      </c>
      <c r="N1704" t="str">
        <f>""</f>
        <v/>
      </c>
      <c r="O1704" t="str">
        <f>"54112"</f>
        <v>54112</v>
      </c>
      <c r="P1704" t="str">
        <f t="shared" si="597"/>
        <v>2017</v>
      </c>
      <c r="Q1704" t="str">
        <f>""</f>
        <v/>
      </c>
      <c r="R1704" t="str">
        <f t="shared" si="610"/>
        <v>N</v>
      </c>
      <c r="S1704" t="str">
        <f>"75.00"</f>
        <v>75.00</v>
      </c>
      <c r="T1704" t="str">
        <f>"28.86"</f>
        <v>28.86</v>
      </c>
      <c r="U1704" t="str">
        <f>"1875.00"</f>
        <v>1875.00</v>
      </c>
      <c r="V1704" t="str">
        <f>"1875.00"</f>
        <v>1875.00</v>
      </c>
      <c r="W1704" t="str">
        <f t="shared" si="598"/>
        <v>2017</v>
      </c>
      <c r="X1704" t="str">
        <f>""</f>
        <v/>
      </c>
      <c r="Y1704" t="str">
        <f>"61.73"</f>
        <v>61.73</v>
      </c>
      <c r="Z1704" t="str">
        <f>""</f>
        <v/>
      </c>
      <c r="AA1704" t="str">
        <f>"1875.00"</f>
        <v>1875.00</v>
      </c>
      <c r="AB1704" t="str">
        <f>"Miscellaneous"</f>
        <v>Miscellaneous</v>
      </c>
      <c r="AC1704" t="str">
        <f t="shared" si="609"/>
        <v>0</v>
      </c>
      <c r="AD1704" t="str">
        <f>""</f>
        <v/>
      </c>
      <c r="AE1704" t="str">
        <f>""</f>
        <v/>
      </c>
      <c r="AF1704" t="str">
        <f>"095"</f>
        <v>095</v>
      </c>
      <c r="AG1704" t="str">
        <f t="shared" si="603"/>
        <v>FL</v>
      </c>
      <c r="AH1704" t="str">
        <f>"3267000.00"</f>
        <v>3267000.00</v>
      </c>
      <c r="AI1704" t="str">
        <f>"1875.00"</f>
        <v>1875.00</v>
      </c>
      <c r="AJ1704" t="str">
        <f>"C55-000-588-6677-3"</f>
        <v>C55-000-588-6677-3</v>
      </c>
      <c r="AK1704" t="str">
        <f>"30501"</f>
        <v>30501</v>
      </c>
      <c r="AL1704">
        <v>6</v>
      </c>
      <c r="AM1704">
        <v>1948</v>
      </c>
      <c r="AN1704">
        <v>63.22</v>
      </c>
      <c r="AQ1704" t="s">
        <v>16955</v>
      </c>
      <c r="AR1704" t="s">
        <v>16955</v>
      </c>
      <c r="AS1704" t="s">
        <v>16955</v>
      </c>
      <c r="AU1704" t="s">
        <v>396</v>
      </c>
      <c r="AV1704">
        <v>2017</v>
      </c>
      <c r="AW1704" t="str">
        <f>"50-2N-28-0000-0004-0000 "</f>
        <v xml:space="preserve">50-2N-28-0000-0004-0000 </v>
      </c>
      <c r="AZ1704" t="s">
        <v>16956</v>
      </c>
      <c r="BA1704" t="s">
        <v>496</v>
      </c>
      <c r="BD1704" t="s">
        <v>11749</v>
      </c>
      <c r="BE1704" t="s">
        <v>393</v>
      </c>
      <c r="BF1704">
        <v>32034</v>
      </c>
      <c r="BG1704" t="s">
        <v>16957</v>
      </c>
      <c r="BH1704" t="s">
        <v>11751</v>
      </c>
      <c r="BI1704">
        <v>-81.4697313261277</v>
      </c>
      <c r="BJ1704">
        <v>30.594654937346402</v>
      </c>
      <c r="BK1704" t="s">
        <v>16958</v>
      </c>
      <c r="BM1704" t="s">
        <v>16959</v>
      </c>
      <c r="BN1704" t="s">
        <v>548</v>
      </c>
      <c r="BO1704">
        <v>32225</v>
      </c>
      <c r="BP1704" t="s">
        <v>404</v>
      </c>
      <c r="BQ1704">
        <v>9500</v>
      </c>
      <c r="BR1704" t="s">
        <v>16960</v>
      </c>
      <c r="BS1704">
        <v>8009</v>
      </c>
      <c r="BT1704" t="s">
        <v>16961</v>
      </c>
      <c r="BW1704">
        <v>3267000</v>
      </c>
      <c r="BX1704" t="s">
        <v>407</v>
      </c>
      <c r="BY1704" t="s">
        <v>408</v>
      </c>
      <c r="CD1704">
        <v>2017</v>
      </c>
      <c r="CE1704">
        <v>1875</v>
      </c>
      <c r="CG1704">
        <v>1875</v>
      </c>
      <c r="CH1704">
        <v>2017</v>
      </c>
      <c r="CI1704">
        <v>1875</v>
      </c>
      <c r="CK1704">
        <v>1875</v>
      </c>
      <c r="CL1704">
        <v>2017</v>
      </c>
      <c r="CM1704">
        <v>28.86</v>
      </c>
      <c r="CN1704" s="1">
        <v>15921</v>
      </c>
      <c r="CZ1704" s="1">
        <v>15921</v>
      </c>
      <c r="DD1704" t="s">
        <v>11749</v>
      </c>
      <c r="DG1704">
        <v>50</v>
      </c>
      <c r="DM1704" t="s">
        <v>16962</v>
      </c>
      <c r="DO1704" t="s">
        <v>16963</v>
      </c>
      <c r="DP1704">
        <v>0</v>
      </c>
      <c r="DQ1704">
        <v>2</v>
      </c>
      <c r="DR1704" t="s">
        <v>411</v>
      </c>
      <c r="DS1704" t="b">
        <v>1</v>
      </c>
      <c r="DT1704" t="s">
        <v>8902</v>
      </c>
      <c r="DV1704" t="s">
        <v>446</v>
      </c>
      <c r="DX1704">
        <v>11</v>
      </c>
      <c r="DY1704" t="s">
        <v>11438</v>
      </c>
      <c r="DZ1704" t="s">
        <v>447</v>
      </c>
      <c r="EA1704" t="s">
        <v>448</v>
      </c>
      <c r="EB1704" t="s">
        <v>16964</v>
      </c>
      <c r="EC1704">
        <v>20101217</v>
      </c>
      <c r="ED1704" t="s">
        <v>450</v>
      </c>
      <c r="EE1704">
        <v>5</v>
      </c>
      <c r="EF1704">
        <v>0</v>
      </c>
      <c r="EG1704">
        <v>0</v>
      </c>
      <c r="EI1704">
        <v>20160407</v>
      </c>
      <c r="EJ1704">
        <v>0</v>
      </c>
      <c r="EK1704">
        <v>0</v>
      </c>
      <c r="EP1704" t="s">
        <v>421</v>
      </c>
      <c r="EQ1704" t="s">
        <v>422</v>
      </c>
      <c r="ER1704">
        <v>7</v>
      </c>
      <c r="ES1704">
        <v>0</v>
      </c>
      <c r="ET1704">
        <v>371.35</v>
      </c>
      <c r="EU1704">
        <v>217.48</v>
      </c>
      <c r="EV1704">
        <v>588.83000000000004</v>
      </c>
      <c r="EW1704" s="2">
        <v>43222</v>
      </c>
      <c r="EX1704" s="1">
        <v>42879</v>
      </c>
      <c r="EY1704">
        <v>2016</v>
      </c>
      <c r="EZ1704">
        <v>58.66</v>
      </c>
      <c r="FA1704" t="s">
        <v>16965</v>
      </c>
      <c r="FB1704">
        <v>0.25</v>
      </c>
      <c r="FC1704" t="s">
        <v>424</v>
      </c>
      <c r="FD1704" t="s">
        <v>454</v>
      </c>
      <c r="FF1704">
        <v>12</v>
      </c>
      <c r="FG1704">
        <v>305</v>
      </c>
      <c r="FH1704" t="s">
        <v>1078</v>
      </c>
      <c r="FJ1704" s="1">
        <v>42515</v>
      </c>
      <c r="FK1704">
        <v>2015</v>
      </c>
      <c r="FL1704">
        <v>54.18</v>
      </c>
      <c r="FM1704" t="s">
        <v>16966</v>
      </c>
      <c r="FN1704">
        <v>0.75</v>
      </c>
      <c r="FO1704" t="s">
        <v>424</v>
      </c>
      <c r="FP1704" t="s">
        <v>454</v>
      </c>
      <c r="FR1704">
        <v>24</v>
      </c>
      <c r="FS1704">
        <v>13139</v>
      </c>
      <c r="FT1704" t="s">
        <v>955</v>
      </c>
      <c r="FV1704" s="1">
        <v>42151</v>
      </c>
      <c r="FW1704">
        <v>2014</v>
      </c>
      <c r="FX1704">
        <v>54.35</v>
      </c>
      <c r="FY1704" t="s">
        <v>16967</v>
      </c>
      <c r="FZ1704">
        <v>18</v>
      </c>
      <c r="GA1704" t="s">
        <v>424</v>
      </c>
      <c r="GB1704" t="s">
        <v>454</v>
      </c>
      <c r="GD1704">
        <v>36</v>
      </c>
      <c r="GE1704">
        <v>10125</v>
      </c>
      <c r="GF1704" t="s">
        <v>440</v>
      </c>
      <c r="GH1704" s="1">
        <v>41787</v>
      </c>
      <c r="GI1704">
        <v>2013</v>
      </c>
      <c r="GJ1704">
        <v>52.64</v>
      </c>
      <c r="GK1704" t="s">
        <v>16968</v>
      </c>
      <c r="GL1704">
        <v>18</v>
      </c>
      <c r="GM1704" t="s">
        <v>424</v>
      </c>
      <c r="GN1704" t="s">
        <v>454</v>
      </c>
      <c r="GP1704">
        <v>48</v>
      </c>
      <c r="GQ1704">
        <v>305</v>
      </c>
      <c r="GR1704" t="s">
        <v>1078</v>
      </c>
      <c r="GT1704" s="1">
        <v>41423</v>
      </c>
      <c r="GU1704">
        <v>2012</v>
      </c>
      <c r="GV1704">
        <v>53</v>
      </c>
      <c r="GW1704" t="s">
        <v>16969</v>
      </c>
      <c r="GX1704">
        <v>9.75</v>
      </c>
      <c r="GY1704" t="s">
        <v>424</v>
      </c>
      <c r="GZ1704" t="s">
        <v>454</v>
      </c>
      <c r="HB1704">
        <v>60</v>
      </c>
      <c r="HC1704">
        <v>10178</v>
      </c>
      <c r="HD1704" t="s">
        <v>8022</v>
      </c>
      <c r="HF1704" s="1">
        <v>41423</v>
      </c>
      <c r="HG1704">
        <v>2012</v>
      </c>
      <c r="HH1704">
        <v>53</v>
      </c>
      <c r="HI1704" t="s">
        <v>16969</v>
      </c>
      <c r="HJ1704">
        <v>9.75</v>
      </c>
      <c r="HK1704" t="s">
        <v>424</v>
      </c>
      <c r="HL1704" t="s">
        <v>454</v>
      </c>
      <c r="HN1704">
        <v>60</v>
      </c>
      <c r="HO1704">
        <v>7336713</v>
      </c>
      <c r="HP1704" t="s">
        <v>16970</v>
      </c>
      <c r="HR1704" s="1">
        <v>41052</v>
      </c>
      <c r="HS1704">
        <v>2011</v>
      </c>
      <c r="HT1704">
        <v>45.52</v>
      </c>
      <c r="HU1704" t="s">
        <v>16971</v>
      </c>
      <c r="HV1704">
        <v>18</v>
      </c>
      <c r="HW1704" t="s">
        <v>424</v>
      </c>
      <c r="HX1704" t="s">
        <v>454</v>
      </c>
      <c r="HZ1704">
        <v>72</v>
      </c>
      <c r="IA1704">
        <v>14532</v>
      </c>
      <c r="IB1704" t="s">
        <v>16972</v>
      </c>
    </row>
    <row r="1705" spans="1:272" x14ac:dyDescent="0.25">
      <c r="A1705">
        <v>16486712</v>
      </c>
      <c r="B1705">
        <v>1704</v>
      </c>
      <c r="C1705" t="s">
        <v>393</v>
      </c>
      <c r="D1705" t="s">
        <v>394</v>
      </c>
      <c r="F1705" t="str">
        <f>"51-2N-28-0000-0002-0000"</f>
        <v>51-2N-28-0000-0002-0000</v>
      </c>
      <c r="H1705" t="str">
        <f>"KLARER JOHN J MRS C/O CRISP DANIEL T"</f>
        <v>KLARER JOHN J MRS C/O CRISP DANIEL T</v>
      </c>
      <c r="I1705" t="str">
        <f>"4278 RAPALLO RD"</f>
        <v>4278 RAPALLO RD</v>
      </c>
      <c r="J1705" t="str">
        <f>"JACKSONVILLE FL 32244"</f>
        <v>JACKSONVILLE FL 32244</v>
      </c>
      <c r="K1705" t="str">
        <f>"OFF CLEMENTS RD"</f>
        <v>OFF CLEMENTS RD</v>
      </c>
      <c r="L1705" t="str">
        <f t="shared" si="599"/>
        <v>FERNANDINA BEACH FL 32034</v>
      </c>
      <c r="M1705" t="str">
        <f>"PT E1/2 OF SEC 51-2N-28E IN DBK 119/340 (EX SOVEREIGN LANDS)"</f>
        <v>PT E1/2 OF SEC 51-2N-28E IN DBK 119/340 (EX SOVEREIGN LANDS)</v>
      </c>
      <c r="N1705" t="str">
        <f>""</f>
        <v/>
      </c>
      <c r="O1705" t="str">
        <f>"54906"</f>
        <v>54906</v>
      </c>
      <c r="P1705" t="str">
        <f t="shared" si="597"/>
        <v>2017</v>
      </c>
      <c r="Q1705" t="str">
        <f>""</f>
        <v/>
      </c>
      <c r="R1705" t="str">
        <f t="shared" si="610"/>
        <v>N</v>
      </c>
      <c r="S1705" t="str">
        <f>"43.00"</f>
        <v>43.00</v>
      </c>
      <c r="T1705" t="str">
        <f>"16.27"</f>
        <v>16.27</v>
      </c>
      <c r="U1705" t="str">
        <f>"1075.00"</f>
        <v>1075.00</v>
      </c>
      <c r="V1705" t="str">
        <f>"1075.00"</f>
        <v>1075.00</v>
      </c>
      <c r="W1705" t="str">
        <f t="shared" si="598"/>
        <v>2017</v>
      </c>
      <c r="X1705" t="str">
        <f>""</f>
        <v/>
      </c>
      <c r="Y1705" t="str">
        <f>"48.76"</f>
        <v>48.76</v>
      </c>
      <c r="Z1705" t="str">
        <f>""</f>
        <v/>
      </c>
      <c r="AA1705" t="str">
        <f>"1075.00"</f>
        <v>1075.00</v>
      </c>
      <c r="AB1705" t="str">
        <f>"Miscellaneous"</f>
        <v>Miscellaneous</v>
      </c>
      <c r="AC1705" t="str">
        <f t="shared" si="609"/>
        <v>0</v>
      </c>
      <c r="AD1705" t="str">
        <f>""</f>
        <v/>
      </c>
      <c r="AE1705" t="str">
        <f>""</f>
        <v/>
      </c>
      <c r="AF1705" t="str">
        <f>"095"</f>
        <v>095</v>
      </c>
      <c r="AG1705" t="str">
        <f t="shared" si="603"/>
        <v>FL</v>
      </c>
      <c r="AH1705" t="str">
        <f>"1873080.00"</f>
        <v>1873080.00</v>
      </c>
      <c r="AI1705" t="str">
        <f>"1075.00"</f>
        <v>1075.00</v>
      </c>
      <c r="AJ1705" t="str">
        <f>"C55-000-588-7237-5"</f>
        <v>C55-000-588-7237-5</v>
      </c>
      <c r="AK1705" t="str">
        <f>"30505"</f>
        <v>30505</v>
      </c>
      <c r="AL1705">
        <v>6</v>
      </c>
      <c r="AM1705">
        <v>1949</v>
      </c>
      <c r="AN1705">
        <v>49.6</v>
      </c>
      <c r="AQ1705" t="s">
        <v>16973</v>
      </c>
      <c r="AR1705" t="s">
        <v>16973</v>
      </c>
      <c r="AS1705" t="s">
        <v>16973</v>
      </c>
      <c r="AU1705" t="s">
        <v>396</v>
      </c>
      <c r="AV1705">
        <v>2017</v>
      </c>
      <c r="AW1705" t="str">
        <f>"51-2N-28-0000-0002-0000 "</f>
        <v xml:space="preserve">51-2N-28-0000-0002-0000 </v>
      </c>
      <c r="AZ1705" t="s">
        <v>16974</v>
      </c>
      <c r="BA1705" t="s">
        <v>496</v>
      </c>
      <c r="BD1705" t="s">
        <v>11749</v>
      </c>
      <c r="BE1705" t="s">
        <v>393</v>
      </c>
      <c r="BF1705">
        <v>32034</v>
      </c>
      <c r="BG1705" t="s">
        <v>16975</v>
      </c>
      <c r="BH1705" t="s">
        <v>11751</v>
      </c>
      <c r="BI1705">
        <v>-81.476832148947096</v>
      </c>
      <c r="BJ1705">
        <v>30.5960178770688</v>
      </c>
      <c r="BK1705" t="s">
        <v>16976</v>
      </c>
      <c r="BM1705" t="s">
        <v>16977</v>
      </c>
      <c r="BN1705" t="s">
        <v>548</v>
      </c>
      <c r="BO1705">
        <v>32244</v>
      </c>
      <c r="BP1705" t="s">
        <v>404</v>
      </c>
      <c r="BQ1705">
        <v>9500</v>
      </c>
      <c r="BR1705" t="s">
        <v>16960</v>
      </c>
      <c r="BS1705">
        <v>8009</v>
      </c>
      <c r="BT1705" t="s">
        <v>16961</v>
      </c>
      <c r="BW1705">
        <v>1873080</v>
      </c>
      <c r="BX1705" t="s">
        <v>407</v>
      </c>
      <c r="BY1705" t="s">
        <v>408</v>
      </c>
      <c r="CD1705">
        <v>2017</v>
      </c>
      <c r="CE1705">
        <v>1075</v>
      </c>
      <c r="CG1705">
        <v>1075</v>
      </c>
      <c r="CH1705">
        <v>2017</v>
      </c>
      <c r="CI1705">
        <v>1075</v>
      </c>
      <c r="CK1705">
        <v>1075</v>
      </c>
      <c r="CL1705">
        <v>2017</v>
      </c>
      <c r="CM1705">
        <v>16.27</v>
      </c>
      <c r="CN1705" s="1">
        <v>15921</v>
      </c>
      <c r="CZ1705" s="1">
        <v>15921</v>
      </c>
      <c r="DD1705" t="s">
        <v>11749</v>
      </c>
      <c r="DG1705">
        <v>51</v>
      </c>
      <c r="DM1705" t="s">
        <v>16978</v>
      </c>
      <c r="DO1705" t="s">
        <v>16979</v>
      </c>
      <c r="DP1705">
        <v>0</v>
      </c>
      <c r="DQ1705">
        <v>0</v>
      </c>
      <c r="DR1705" t="s">
        <v>411</v>
      </c>
      <c r="DS1705" t="s">
        <v>695</v>
      </c>
      <c r="EJ1705">
        <v>0</v>
      </c>
      <c r="EK1705">
        <v>0</v>
      </c>
      <c r="EP1705" t="s">
        <v>421</v>
      </c>
      <c r="EQ1705" t="s">
        <v>422</v>
      </c>
      <c r="ER1705">
        <v>9</v>
      </c>
      <c r="ES1705">
        <v>0</v>
      </c>
      <c r="ET1705">
        <v>662.16</v>
      </c>
      <c r="EU1705">
        <v>455.67</v>
      </c>
      <c r="EV1705">
        <v>1117.83</v>
      </c>
      <c r="EW1705" s="2">
        <v>43222</v>
      </c>
      <c r="EX1705" s="1">
        <v>42879</v>
      </c>
      <c r="EY1705">
        <v>2016</v>
      </c>
      <c r="EZ1705">
        <v>44.83</v>
      </c>
      <c r="FA1705" t="s">
        <v>16980</v>
      </c>
      <c r="FB1705">
        <v>0.25</v>
      </c>
      <c r="FC1705" t="s">
        <v>424</v>
      </c>
      <c r="FD1705" t="s">
        <v>454</v>
      </c>
      <c r="FF1705">
        <v>12</v>
      </c>
      <c r="FG1705">
        <v>62</v>
      </c>
      <c r="FH1705" t="s">
        <v>463</v>
      </c>
      <c r="FJ1705" s="1">
        <v>42515</v>
      </c>
      <c r="FK1705">
        <v>2015</v>
      </c>
      <c r="FL1705">
        <v>80.25</v>
      </c>
      <c r="FM1705" t="s">
        <v>16981</v>
      </c>
      <c r="FN1705">
        <v>0.75</v>
      </c>
      <c r="FO1705" t="s">
        <v>424</v>
      </c>
      <c r="FP1705" t="s">
        <v>454</v>
      </c>
      <c r="FR1705">
        <v>24</v>
      </c>
      <c r="FS1705">
        <v>13139</v>
      </c>
      <c r="FT1705" t="s">
        <v>955</v>
      </c>
      <c r="FV1705" s="1">
        <v>42151</v>
      </c>
      <c r="FW1705">
        <v>2014</v>
      </c>
      <c r="FX1705">
        <v>80.540000000000006</v>
      </c>
      <c r="FY1705" t="s">
        <v>16982</v>
      </c>
      <c r="FZ1705">
        <v>17.75</v>
      </c>
      <c r="GA1705" t="s">
        <v>424</v>
      </c>
      <c r="GB1705" t="s">
        <v>454</v>
      </c>
      <c r="GD1705">
        <v>36</v>
      </c>
      <c r="GE1705">
        <v>10125</v>
      </c>
      <c r="GF1705" t="s">
        <v>440</v>
      </c>
      <c r="GH1705" s="1">
        <v>42151</v>
      </c>
      <c r="GI1705">
        <v>2013</v>
      </c>
      <c r="GJ1705">
        <v>87.1</v>
      </c>
      <c r="GK1705" t="s">
        <v>16983</v>
      </c>
      <c r="GL1705">
        <v>18</v>
      </c>
      <c r="GM1705" t="s">
        <v>424</v>
      </c>
      <c r="GN1705" t="s">
        <v>454</v>
      </c>
      <c r="GP1705">
        <v>36</v>
      </c>
      <c r="GQ1705">
        <v>5100525</v>
      </c>
      <c r="GR1705" t="s">
        <v>6804</v>
      </c>
      <c r="GT1705" s="1">
        <v>41423</v>
      </c>
      <c r="GU1705">
        <v>2012</v>
      </c>
      <c r="GV1705">
        <v>78.099999999999994</v>
      </c>
      <c r="GW1705" t="s">
        <v>16984</v>
      </c>
      <c r="GX1705">
        <v>9.75</v>
      </c>
      <c r="GY1705" t="s">
        <v>424</v>
      </c>
      <c r="GZ1705" t="s">
        <v>454</v>
      </c>
      <c r="HB1705">
        <v>60</v>
      </c>
      <c r="HC1705">
        <v>10178</v>
      </c>
      <c r="HD1705" t="s">
        <v>8022</v>
      </c>
      <c r="HF1705" s="1">
        <v>41423</v>
      </c>
      <c r="HG1705">
        <v>2012</v>
      </c>
      <c r="HH1705">
        <v>78.099999999999994</v>
      </c>
      <c r="HI1705" t="s">
        <v>16984</v>
      </c>
      <c r="HJ1705">
        <v>9.75</v>
      </c>
      <c r="HK1705" t="s">
        <v>424</v>
      </c>
      <c r="HL1705" t="s">
        <v>454</v>
      </c>
      <c r="HN1705">
        <v>60</v>
      </c>
      <c r="HO1705">
        <v>7336705</v>
      </c>
      <c r="HP1705" t="s">
        <v>16985</v>
      </c>
      <c r="HR1705" s="1">
        <v>41052</v>
      </c>
      <c r="HS1705">
        <v>2011</v>
      </c>
      <c r="HT1705">
        <v>71.08</v>
      </c>
      <c r="HU1705" t="s">
        <v>16986</v>
      </c>
      <c r="HV1705">
        <v>17.75</v>
      </c>
      <c r="HW1705" t="s">
        <v>424</v>
      </c>
      <c r="HX1705" t="s">
        <v>454</v>
      </c>
      <c r="HZ1705">
        <v>72</v>
      </c>
      <c r="IA1705">
        <v>13042</v>
      </c>
      <c r="IB1705" t="s">
        <v>5881</v>
      </c>
      <c r="ID1705" s="1">
        <v>41052</v>
      </c>
      <c r="IE1705">
        <v>2011</v>
      </c>
      <c r="IF1705">
        <v>71.08</v>
      </c>
      <c r="IG1705" t="s">
        <v>16986</v>
      </c>
      <c r="IH1705">
        <v>17.75</v>
      </c>
      <c r="II1705" t="s">
        <v>424</v>
      </c>
      <c r="IJ1705" t="s">
        <v>454</v>
      </c>
      <c r="IL1705">
        <v>72</v>
      </c>
      <c r="IM1705">
        <v>7336708</v>
      </c>
      <c r="IN1705" t="s">
        <v>5878</v>
      </c>
      <c r="IP1705" s="1">
        <v>41052</v>
      </c>
      <c r="IQ1705">
        <v>2011</v>
      </c>
      <c r="IR1705">
        <v>71.08</v>
      </c>
      <c r="IS1705" t="s">
        <v>16986</v>
      </c>
      <c r="IT1705">
        <v>17.75</v>
      </c>
      <c r="IU1705" t="s">
        <v>424</v>
      </c>
      <c r="IV1705" t="s">
        <v>454</v>
      </c>
      <c r="IX1705">
        <v>72</v>
      </c>
      <c r="IY1705">
        <v>7336736</v>
      </c>
      <c r="IZ1705" t="s">
        <v>16987</v>
      </c>
    </row>
    <row r="1706" spans="1:272" x14ac:dyDescent="0.25">
      <c r="A1706">
        <v>16486713</v>
      </c>
      <c r="B1706">
        <v>1705</v>
      </c>
      <c r="C1706" t="s">
        <v>393</v>
      </c>
      <c r="D1706" t="s">
        <v>394</v>
      </c>
      <c r="F1706" t="str">
        <f>"27-3N-28-1192-0009-0000"</f>
        <v>27-3N-28-1192-0009-0000</v>
      </c>
      <c r="H1706" t="str">
        <f>"ROBINSON CREEK 34 LLC"</f>
        <v>ROBINSON CREEK 34 LLC</v>
      </c>
      <c r="I1706" t="str">
        <f>"PO BOX 706"</f>
        <v>PO BOX 706</v>
      </c>
      <c r="J1706" t="str">
        <f>"FERNANDINA BEACH FL 32035"</f>
        <v>FERNANDINA BEACH FL 32035</v>
      </c>
      <c r="K1706" t="str">
        <f>"2178 SHELL COVE CR"</f>
        <v>2178 SHELL COVE CR</v>
      </c>
      <c r="L1706" t="str">
        <f t="shared" si="599"/>
        <v>FERNANDINA BEACH FL 32034</v>
      </c>
      <c r="M1706" t="str">
        <f>"LOT 9 SHELL COVE PBK 8/150"</f>
        <v>LOT 9 SHELL COVE PBK 8/150</v>
      </c>
      <c r="N1706" t="str">
        <f>""</f>
        <v/>
      </c>
      <c r="O1706" t="str">
        <f>"56259"</f>
        <v>56259</v>
      </c>
      <c r="P1706" t="str">
        <f t="shared" si="597"/>
        <v>2017</v>
      </c>
      <c r="Q1706" t="str">
        <f>""</f>
        <v/>
      </c>
      <c r="R1706" t="str">
        <f t="shared" si="610"/>
        <v>N</v>
      </c>
      <c r="S1706" t="str">
        <f>""</f>
        <v/>
      </c>
      <c r="T1706" t="str">
        <f>"1155.98"</f>
        <v>1155.98</v>
      </c>
      <c r="U1706" t="str">
        <f>"58000.00"</f>
        <v>58000.00</v>
      </c>
      <c r="V1706" t="str">
        <f>"58000.00"</f>
        <v>58000.00</v>
      </c>
      <c r="W1706" t="str">
        <f t="shared" si="598"/>
        <v>2017</v>
      </c>
      <c r="X1706" t="str">
        <f>""</f>
        <v/>
      </c>
      <c r="Y1706" t="str">
        <f>"1222.66"</f>
        <v>1222.66</v>
      </c>
      <c r="Z1706" t="str">
        <f>""</f>
        <v/>
      </c>
      <c r="AA1706" t="str">
        <f>"58000.00"</f>
        <v>58000.00</v>
      </c>
      <c r="AB1706" t="str">
        <f t="shared" ref="AB1706:AB1737" si="611">"Residential"</f>
        <v>Residential</v>
      </c>
      <c r="AC1706" t="str">
        <f t="shared" si="609"/>
        <v>0</v>
      </c>
      <c r="AD1706" t="str">
        <f>""</f>
        <v/>
      </c>
      <c r="AE1706" t="str">
        <f>""</f>
        <v/>
      </c>
      <c r="AF1706" t="str">
        <f t="shared" ref="AF1706:AF1713" si="612">"000"</f>
        <v>000</v>
      </c>
      <c r="AG1706" t="str">
        <f t="shared" si="603"/>
        <v>FL</v>
      </c>
      <c r="AH1706" t="str">
        <f>"3484.00"</f>
        <v>3484.00</v>
      </c>
      <c r="AI1706" t="str">
        <f>"58000.00"</f>
        <v>58000.00</v>
      </c>
      <c r="AJ1706" t="str">
        <f>"C55-001-080-5058-4"</f>
        <v>C55-001-080-5058-4</v>
      </c>
      <c r="AK1706" t="str">
        <f>"30566"</f>
        <v>30566</v>
      </c>
      <c r="AL1706">
        <v>6</v>
      </c>
      <c r="AM1706">
        <v>1950</v>
      </c>
      <c r="AN1706">
        <v>1282.19</v>
      </c>
      <c r="AQ1706" t="s">
        <v>16988</v>
      </c>
      <c r="AR1706" t="s">
        <v>16988</v>
      </c>
      <c r="AS1706" t="s">
        <v>16988</v>
      </c>
      <c r="AU1706" t="s">
        <v>396</v>
      </c>
      <c r="AV1706">
        <v>2017</v>
      </c>
      <c r="AW1706" t="str">
        <f>"27-3N-28-1192-0009-0000 "</f>
        <v xml:space="preserve">27-3N-28-1192-0009-0000 </v>
      </c>
      <c r="AX1706">
        <v>2178</v>
      </c>
      <c r="AZ1706" t="s">
        <v>16989</v>
      </c>
      <c r="BD1706" t="s">
        <v>11749</v>
      </c>
      <c r="BE1706" t="s">
        <v>393</v>
      </c>
      <c r="BF1706">
        <v>32034</v>
      </c>
      <c r="BG1706" t="s">
        <v>16990</v>
      </c>
      <c r="BH1706" t="s">
        <v>11751</v>
      </c>
      <c r="BI1706">
        <v>-81.443601744609595</v>
      </c>
      <c r="BJ1706">
        <v>30.6585664916967</v>
      </c>
      <c r="BK1706" t="s">
        <v>16991</v>
      </c>
      <c r="BM1706" t="s">
        <v>11454</v>
      </c>
      <c r="BN1706" t="s">
        <v>3983</v>
      </c>
      <c r="BO1706">
        <v>32035</v>
      </c>
      <c r="BP1706" t="s">
        <v>404</v>
      </c>
      <c r="BQ1706">
        <v>0</v>
      </c>
      <c r="BR1706" t="s">
        <v>491</v>
      </c>
      <c r="BS1706">
        <v>8001</v>
      </c>
      <c r="BT1706" t="s">
        <v>492</v>
      </c>
      <c r="BW1706">
        <v>3484</v>
      </c>
      <c r="BX1706" t="s">
        <v>407</v>
      </c>
      <c r="CD1706">
        <v>2017</v>
      </c>
      <c r="CE1706">
        <v>58000</v>
      </c>
      <c r="CG1706">
        <v>58000</v>
      </c>
      <c r="CH1706">
        <v>2017</v>
      </c>
      <c r="CI1706">
        <v>58000</v>
      </c>
      <c r="CK1706">
        <v>58000</v>
      </c>
      <c r="CL1706">
        <v>2017</v>
      </c>
      <c r="CM1706">
        <v>1155.98</v>
      </c>
      <c r="DD1706" t="s">
        <v>11749</v>
      </c>
      <c r="DG1706">
        <v>27</v>
      </c>
      <c r="DL1706">
        <v>50101</v>
      </c>
      <c r="DM1706" t="s">
        <v>16992</v>
      </c>
      <c r="DO1706" t="s">
        <v>16993</v>
      </c>
      <c r="DP1706">
        <v>0</v>
      </c>
      <c r="DQ1706">
        <v>0</v>
      </c>
      <c r="DR1706" t="s">
        <v>411</v>
      </c>
      <c r="EP1706" t="s">
        <v>421</v>
      </c>
      <c r="EQ1706" t="s">
        <v>422</v>
      </c>
      <c r="ER1706">
        <v>1</v>
      </c>
      <c r="ES1706">
        <v>0</v>
      </c>
      <c r="ET1706">
        <v>212.39</v>
      </c>
      <c r="EU1706">
        <v>16.87</v>
      </c>
      <c r="EV1706">
        <v>229.26</v>
      </c>
      <c r="EW1706" s="2">
        <v>43222</v>
      </c>
      <c r="EX1706" s="1">
        <v>42879</v>
      </c>
      <c r="EY1706">
        <v>2016</v>
      </c>
      <c r="EZ1706">
        <v>212.39</v>
      </c>
      <c r="FA1706" t="s">
        <v>16994</v>
      </c>
      <c r="FB1706">
        <v>0.25</v>
      </c>
      <c r="FC1706" t="s">
        <v>424</v>
      </c>
      <c r="FD1706" t="s">
        <v>454</v>
      </c>
      <c r="FF1706">
        <v>12</v>
      </c>
      <c r="FG1706">
        <v>305</v>
      </c>
      <c r="FH1706" t="s">
        <v>1078</v>
      </c>
    </row>
    <row r="1707" spans="1:272" x14ac:dyDescent="0.25">
      <c r="A1707">
        <v>16486714</v>
      </c>
      <c r="B1707">
        <v>1706</v>
      </c>
      <c r="C1707" t="s">
        <v>393</v>
      </c>
      <c r="D1707" t="s">
        <v>394</v>
      </c>
      <c r="F1707" t="str">
        <f>"27-3N-28-1192-0018-0000"</f>
        <v>27-3N-28-1192-0018-0000</v>
      </c>
      <c r="H1707" t="str">
        <f>"ROBINSON CREEK 34 LLC"</f>
        <v>ROBINSON CREEK 34 LLC</v>
      </c>
      <c r="I1707" t="str">
        <f>"PO BOX 706"</f>
        <v>PO BOX 706</v>
      </c>
      <c r="J1707" t="str">
        <f>"FERNANDINA BEACH FL 32035"</f>
        <v>FERNANDINA BEACH FL 32035</v>
      </c>
      <c r="K1707" t="str">
        <f>"2142 SHELL COVE CR"</f>
        <v>2142 SHELL COVE CR</v>
      </c>
      <c r="L1707" t="str">
        <f t="shared" si="599"/>
        <v>FERNANDINA BEACH FL 32034</v>
      </c>
      <c r="M1707" t="str">
        <f>"LOT 18 SHELL COVE PBK 8/150"</f>
        <v>LOT 18 SHELL COVE PBK 8/150</v>
      </c>
      <c r="N1707" t="str">
        <f>""</f>
        <v/>
      </c>
      <c r="O1707" t="str">
        <f>"56275"</f>
        <v>56275</v>
      </c>
      <c r="P1707" t="str">
        <f t="shared" si="597"/>
        <v>2017</v>
      </c>
      <c r="Q1707" t="str">
        <f>""</f>
        <v/>
      </c>
      <c r="R1707" t="str">
        <f t="shared" si="610"/>
        <v>N</v>
      </c>
      <c r="S1707" t="str">
        <f>""</f>
        <v/>
      </c>
      <c r="T1707" t="str">
        <f>"1271.57"</f>
        <v>1271.57</v>
      </c>
      <c r="U1707" t="str">
        <f>"63800.00"</f>
        <v>63800.00</v>
      </c>
      <c r="V1707" t="str">
        <f>"63800.00"</f>
        <v>63800.00</v>
      </c>
      <c r="W1707" t="str">
        <f t="shared" si="598"/>
        <v>2017</v>
      </c>
      <c r="X1707" t="str">
        <f>""</f>
        <v/>
      </c>
      <c r="Y1707" t="str">
        <f>"1341.72"</f>
        <v>1341.72</v>
      </c>
      <c r="Z1707" t="str">
        <f>""</f>
        <v/>
      </c>
      <c r="AA1707" t="str">
        <f>"63800.00"</f>
        <v>63800.00</v>
      </c>
      <c r="AB1707" t="str">
        <f t="shared" si="611"/>
        <v>Residential</v>
      </c>
      <c r="AC1707" t="str">
        <f t="shared" si="609"/>
        <v>0</v>
      </c>
      <c r="AD1707" t="str">
        <f>""</f>
        <v/>
      </c>
      <c r="AE1707" t="str">
        <f>""</f>
        <v/>
      </c>
      <c r="AF1707" t="str">
        <f t="shared" si="612"/>
        <v>000</v>
      </c>
      <c r="AG1707" t="str">
        <f t="shared" si="603"/>
        <v>FL</v>
      </c>
      <c r="AH1707" t="str">
        <f>"4791.00"</f>
        <v>4791.00</v>
      </c>
      <c r="AI1707" t="str">
        <f>"63800.00"</f>
        <v>63800.00</v>
      </c>
      <c r="AJ1707" t="str">
        <f>"C55-001-080-5074-1"</f>
        <v>C55-001-080-5074-1</v>
      </c>
      <c r="AK1707" t="str">
        <f>"30575"</f>
        <v>30575</v>
      </c>
      <c r="AL1707">
        <v>6</v>
      </c>
      <c r="AM1707">
        <v>1951</v>
      </c>
      <c r="AN1707">
        <v>1407.21</v>
      </c>
      <c r="AQ1707" t="s">
        <v>16995</v>
      </c>
      <c r="AR1707" t="s">
        <v>16995</v>
      </c>
      <c r="AS1707" t="s">
        <v>16995</v>
      </c>
      <c r="AU1707" t="s">
        <v>396</v>
      </c>
      <c r="AV1707">
        <v>2017</v>
      </c>
      <c r="AW1707" t="str">
        <f>"27-3N-28-1192-0018-0000 "</f>
        <v xml:space="preserve">27-3N-28-1192-0018-0000 </v>
      </c>
      <c r="AX1707">
        <v>2142</v>
      </c>
      <c r="AZ1707" t="s">
        <v>16989</v>
      </c>
      <c r="BD1707" t="s">
        <v>11749</v>
      </c>
      <c r="BE1707" t="s">
        <v>393</v>
      </c>
      <c r="BF1707">
        <v>32034</v>
      </c>
      <c r="BG1707" t="s">
        <v>16996</v>
      </c>
      <c r="BH1707" t="s">
        <v>11751</v>
      </c>
      <c r="BI1707">
        <v>-81.443378592475099</v>
      </c>
      <c r="BJ1707">
        <v>30.6576320792717</v>
      </c>
      <c r="BK1707" t="s">
        <v>16991</v>
      </c>
      <c r="BM1707" t="s">
        <v>11454</v>
      </c>
      <c r="BN1707" t="s">
        <v>3983</v>
      </c>
      <c r="BO1707">
        <v>32035</v>
      </c>
      <c r="BP1707" t="s">
        <v>404</v>
      </c>
      <c r="BQ1707">
        <v>0</v>
      </c>
      <c r="BR1707" t="s">
        <v>491</v>
      </c>
      <c r="BS1707">
        <v>8001</v>
      </c>
      <c r="BT1707" t="s">
        <v>492</v>
      </c>
      <c r="BW1707">
        <v>4791</v>
      </c>
      <c r="BX1707" t="s">
        <v>407</v>
      </c>
      <c r="CD1707">
        <v>2017</v>
      </c>
      <c r="CE1707">
        <v>63800</v>
      </c>
      <c r="CG1707">
        <v>63800</v>
      </c>
      <c r="CH1707">
        <v>2017</v>
      </c>
      <c r="CI1707">
        <v>63800</v>
      </c>
      <c r="CK1707">
        <v>63800</v>
      </c>
      <c r="CL1707">
        <v>2017</v>
      </c>
      <c r="CM1707">
        <v>1271.57</v>
      </c>
      <c r="DD1707" t="s">
        <v>11749</v>
      </c>
      <c r="DG1707">
        <v>27</v>
      </c>
      <c r="DL1707">
        <v>50101</v>
      </c>
      <c r="DM1707" t="s">
        <v>16992</v>
      </c>
      <c r="DO1707" t="s">
        <v>16997</v>
      </c>
      <c r="DP1707">
        <v>0</v>
      </c>
      <c r="DQ1707">
        <v>1</v>
      </c>
      <c r="DR1707" t="s">
        <v>1174</v>
      </c>
      <c r="EP1707" t="s">
        <v>421</v>
      </c>
      <c r="EQ1707" t="s">
        <v>422</v>
      </c>
      <c r="ER1707">
        <v>1</v>
      </c>
      <c r="ES1707">
        <v>0</v>
      </c>
      <c r="ET1707">
        <v>212.39</v>
      </c>
      <c r="EU1707">
        <v>16.87</v>
      </c>
      <c r="EV1707">
        <v>229.26</v>
      </c>
      <c r="EW1707" s="2">
        <v>43222</v>
      </c>
      <c r="EX1707" s="1">
        <v>42879</v>
      </c>
      <c r="EY1707">
        <v>2016</v>
      </c>
      <c r="EZ1707">
        <v>212.39</v>
      </c>
      <c r="FA1707" t="s">
        <v>16998</v>
      </c>
      <c r="FB1707">
        <v>0.25</v>
      </c>
      <c r="FC1707" t="s">
        <v>424</v>
      </c>
      <c r="FD1707" t="s">
        <v>454</v>
      </c>
      <c r="FF1707">
        <v>12</v>
      </c>
      <c r="FG1707">
        <v>305</v>
      </c>
      <c r="FH1707" t="s">
        <v>1078</v>
      </c>
    </row>
    <row r="1708" spans="1:272" x14ac:dyDescent="0.25">
      <c r="A1708">
        <v>16486715</v>
      </c>
      <c r="B1708">
        <v>1707</v>
      </c>
      <c r="C1708" t="s">
        <v>393</v>
      </c>
      <c r="D1708" t="s">
        <v>394</v>
      </c>
      <c r="F1708" t="str">
        <f>"27-3N-28-1192-0019-0000"</f>
        <v>27-3N-28-1192-0019-0000</v>
      </c>
      <c r="H1708" t="str">
        <f>"ROBINSON CREEK 34 LLC"</f>
        <v>ROBINSON CREEK 34 LLC</v>
      </c>
      <c r="I1708" t="str">
        <f>"PO BOX 706"</f>
        <v>PO BOX 706</v>
      </c>
      <c r="J1708" t="str">
        <f>"FERNANDINA BEACH FL 32035"</f>
        <v>FERNANDINA BEACH FL 32035</v>
      </c>
      <c r="K1708" t="str">
        <f>"2138 SHELL COVE CR"</f>
        <v>2138 SHELL COVE CR</v>
      </c>
      <c r="L1708" t="str">
        <f t="shared" si="599"/>
        <v>FERNANDINA BEACH FL 32034</v>
      </c>
      <c r="M1708" t="str">
        <f>"LOT 19 SHELL COVE PBK 8/150"</f>
        <v>LOT 19 SHELL COVE PBK 8/150</v>
      </c>
      <c r="N1708" t="str">
        <f>""</f>
        <v/>
      </c>
      <c r="O1708" t="str">
        <f>"56276"</f>
        <v>56276</v>
      </c>
      <c r="P1708" t="str">
        <f t="shared" si="597"/>
        <v>2017</v>
      </c>
      <c r="Q1708" t="str">
        <f>""</f>
        <v/>
      </c>
      <c r="R1708" t="str">
        <f t="shared" si="610"/>
        <v>N</v>
      </c>
      <c r="S1708" t="str">
        <f>""</f>
        <v/>
      </c>
      <c r="T1708" t="str">
        <f t="shared" ref="T1708:T1713" si="613">"1155.98"</f>
        <v>1155.98</v>
      </c>
      <c r="U1708" t="str">
        <f t="shared" ref="U1708:V1713" si="614">"58000.00"</f>
        <v>58000.00</v>
      </c>
      <c r="V1708" t="str">
        <f t="shared" si="614"/>
        <v>58000.00</v>
      </c>
      <c r="W1708" t="str">
        <f t="shared" si="598"/>
        <v>2017</v>
      </c>
      <c r="X1708" t="str">
        <f>""</f>
        <v/>
      </c>
      <c r="Y1708" t="str">
        <f t="shared" ref="Y1708:Y1713" si="615">"1222.66"</f>
        <v>1222.66</v>
      </c>
      <c r="Z1708" t="str">
        <f>""</f>
        <v/>
      </c>
      <c r="AA1708" t="str">
        <f t="shared" ref="AA1708:AA1713" si="616">"58000.00"</f>
        <v>58000.00</v>
      </c>
      <c r="AB1708" t="str">
        <f t="shared" si="611"/>
        <v>Residential</v>
      </c>
      <c r="AC1708" t="str">
        <f t="shared" si="609"/>
        <v>0</v>
      </c>
      <c r="AD1708" t="str">
        <f>""</f>
        <v/>
      </c>
      <c r="AE1708" t="str">
        <f>""</f>
        <v/>
      </c>
      <c r="AF1708" t="str">
        <f t="shared" si="612"/>
        <v>000</v>
      </c>
      <c r="AG1708" t="str">
        <f t="shared" si="603"/>
        <v>FL</v>
      </c>
      <c r="AH1708" t="str">
        <f>"3049.00"</f>
        <v>3049.00</v>
      </c>
      <c r="AI1708" t="str">
        <f t="shared" ref="AI1708:AI1713" si="617">"58000.00"</f>
        <v>58000.00</v>
      </c>
      <c r="AJ1708" t="str">
        <f>"C55-001-080-5075-8"</f>
        <v>C55-001-080-5075-8</v>
      </c>
      <c r="AK1708" t="str">
        <f>"30576"</f>
        <v>30576</v>
      </c>
      <c r="AL1708">
        <v>6</v>
      </c>
      <c r="AM1708">
        <v>1952</v>
      </c>
      <c r="AN1708">
        <v>1282.19</v>
      </c>
      <c r="AQ1708" t="s">
        <v>16999</v>
      </c>
      <c r="AR1708" t="s">
        <v>16999</v>
      </c>
      <c r="AS1708" t="s">
        <v>16999</v>
      </c>
      <c r="AU1708" t="s">
        <v>396</v>
      </c>
      <c r="AV1708">
        <v>2017</v>
      </c>
      <c r="AW1708" t="str">
        <f>"27-3N-28-1192-0019-0000 "</f>
        <v xml:space="preserve">27-3N-28-1192-0019-0000 </v>
      </c>
      <c r="AX1708">
        <v>2138</v>
      </c>
      <c r="AZ1708" t="s">
        <v>16989</v>
      </c>
      <c r="BD1708" t="s">
        <v>11749</v>
      </c>
      <c r="BE1708" t="s">
        <v>393</v>
      </c>
      <c r="BF1708">
        <v>32034</v>
      </c>
      <c r="BG1708" t="s">
        <v>17000</v>
      </c>
      <c r="BH1708" t="s">
        <v>11751</v>
      </c>
      <c r="BI1708">
        <v>-81.443547380878698</v>
      </c>
      <c r="BJ1708">
        <v>30.657663923388199</v>
      </c>
      <c r="BK1708" t="s">
        <v>16991</v>
      </c>
      <c r="BM1708" t="s">
        <v>11454</v>
      </c>
      <c r="BN1708" t="s">
        <v>3983</v>
      </c>
      <c r="BO1708">
        <v>32035</v>
      </c>
      <c r="BP1708" t="s">
        <v>404</v>
      </c>
      <c r="BQ1708">
        <v>0</v>
      </c>
      <c r="BR1708" t="s">
        <v>491</v>
      </c>
      <c r="BS1708">
        <v>8001</v>
      </c>
      <c r="BT1708" t="s">
        <v>492</v>
      </c>
      <c r="BW1708">
        <v>3049</v>
      </c>
      <c r="BX1708" t="s">
        <v>407</v>
      </c>
      <c r="CD1708">
        <v>2017</v>
      </c>
      <c r="CE1708">
        <v>58000</v>
      </c>
      <c r="CG1708">
        <v>58000</v>
      </c>
      <c r="CH1708">
        <v>2017</v>
      </c>
      <c r="CI1708">
        <v>58000</v>
      </c>
      <c r="CK1708">
        <v>58000</v>
      </c>
      <c r="CL1708">
        <v>2017</v>
      </c>
      <c r="CM1708">
        <v>1155.98</v>
      </c>
      <c r="DD1708" t="s">
        <v>11749</v>
      </c>
      <c r="DG1708">
        <v>27</v>
      </c>
      <c r="DL1708">
        <v>50101</v>
      </c>
      <c r="DM1708" t="s">
        <v>16992</v>
      </c>
      <c r="DO1708" t="s">
        <v>17001</v>
      </c>
      <c r="DP1708">
        <v>0</v>
      </c>
      <c r="DQ1708">
        <v>1</v>
      </c>
      <c r="DR1708" t="s">
        <v>1174</v>
      </c>
      <c r="EP1708" t="s">
        <v>421</v>
      </c>
      <c r="EQ1708" t="s">
        <v>422</v>
      </c>
      <c r="ER1708">
        <v>1</v>
      </c>
      <c r="ES1708">
        <v>0</v>
      </c>
      <c r="ET1708">
        <v>212.39</v>
      </c>
      <c r="EU1708">
        <v>16.87</v>
      </c>
      <c r="EV1708">
        <v>229.26</v>
      </c>
      <c r="EW1708" s="2">
        <v>43222</v>
      </c>
      <c r="EX1708" s="1">
        <v>42879</v>
      </c>
      <c r="EY1708">
        <v>2016</v>
      </c>
      <c r="EZ1708">
        <v>212.39</v>
      </c>
      <c r="FA1708" t="s">
        <v>17002</v>
      </c>
      <c r="FB1708">
        <v>0.25</v>
      </c>
      <c r="FC1708" t="s">
        <v>424</v>
      </c>
      <c r="FD1708" t="s">
        <v>454</v>
      </c>
      <c r="FF1708">
        <v>12</v>
      </c>
      <c r="FG1708">
        <v>62</v>
      </c>
      <c r="FH1708" t="s">
        <v>463</v>
      </c>
    </row>
    <row r="1709" spans="1:272" x14ac:dyDescent="0.25">
      <c r="A1709">
        <v>16486716</v>
      </c>
      <c r="B1709">
        <v>1708</v>
      </c>
      <c r="C1709" t="s">
        <v>393</v>
      </c>
      <c r="D1709" t="s">
        <v>394</v>
      </c>
      <c r="F1709" t="str">
        <f>"27-3N-28-1192-0026-0000"</f>
        <v>27-3N-28-1192-0026-0000</v>
      </c>
      <c r="H1709" t="str">
        <f>"MAGNOLIA HOMES INC"</f>
        <v>MAGNOLIA HOMES INC</v>
      </c>
      <c r="I1709" t="str">
        <f>"12543 HERBLORE DR"</f>
        <v>12543 HERBLORE DR</v>
      </c>
      <c r="J1709" t="str">
        <f>"JACKSONVILLE FL 32225"</f>
        <v>JACKSONVILLE FL 32225</v>
      </c>
      <c r="K1709" t="str">
        <f>"2110 SHELL COVE CR"</f>
        <v>2110 SHELL COVE CR</v>
      </c>
      <c r="L1709" t="str">
        <f t="shared" si="599"/>
        <v>FERNANDINA BEACH FL 32034</v>
      </c>
      <c r="M1709" t="str">
        <f>"LOT 26 IN OR 2039/773 SHELL COVE PBK 8/150"</f>
        <v>LOT 26 IN OR 2039/773 SHELL COVE PBK 8/150</v>
      </c>
      <c r="N1709" t="str">
        <f>""</f>
        <v/>
      </c>
      <c r="O1709" t="str">
        <f>"56283"</f>
        <v>56283</v>
      </c>
      <c r="P1709" t="str">
        <f t="shared" si="597"/>
        <v>2017</v>
      </c>
      <c r="Q1709" t="str">
        <f>""</f>
        <v/>
      </c>
      <c r="R1709" t="str">
        <f t="shared" si="610"/>
        <v>N</v>
      </c>
      <c r="S1709" t="str">
        <f>""</f>
        <v/>
      </c>
      <c r="T1709" t="str">
        <f t="shared" si="613"/>
        <v>1155.98</v>
      </c>
      <c r="U1709" t="str">
        <f t="shared" si="614"/>
        <v>58000.00</v>
      </c>
      <c r="V1709" t="str">
        <f t="shared" si="614"/>
        <v>58000.00</v>
      </c>
      <c r="W1709" t="str">
        <f t="shared" si="598"/>
        <v>2017</v>
      </c>
      <c r="X1709" t="str">
        <f>""</f>
        <v/>
      </c>
      <c r="Y1709" t="str">
        <f t="shared" si="615"/>
        <v>1222.66</v>
      </c>
      <c r="Z1709" t="str">
        <f>""</f>
        <v/>
      </c>
      <c r="AA1709" t="str">
        <f t="shared" si="616"/>
        <v>58000.00</v>
      </c>
      <c r="AB1709" t="str">
        <f t="shared" si="611"/>
        <v>Residential</v>
      </c>
      <c r="AC1709" t="str">
        <f t="shared" si="609"/>
        <v>0</v>
      </c>
      <c r="AD1709" t="str">
        <f>""</f>
        <v/>
      </c>
      <c r="AE1709" t="str">
        <f>""</f>
        <v/>
      </c>
      <c r="AF1709" t="str">
        <f t="shared" si="612"/>
        <v>000</v>
      </c>
      <c r="AG1709" t="str">
        <f t="shared" si="603"/>
        <v>FL</v>
      </c>
      <c r="AH1709" t="str">
        <f>"3484.00"</f>
        <v>3484.00</v>
      </c>
      <c r="AI1709" t="str">
        <f t="shared" si="617"/>
        <v>58000.00</v>
      </c>
      <c r="AJ1709" t="str">
        <f>"C55-001-080-5082-4"</f>
        <v>C55-001-080-5082-4</v>
      </c>
      <c r="AK1709" t="str">
        <f>"30583"</f>
        <v>30583</v>
      </c>
      <c r="AL1709">
        <v>6</v>
      </c>
      <c r="AM1709">
        <v>1953</v>
      </c>
      <c r="AN1709">
        <v>1282.19</v>
      </c>
      <c r="AQ1709" t="s">
        <v>17003</v>
      </c>
      <c r="AR1709" t="s">
        <v>17003</v>
      </c>
      <c r="AS1709" t="s">
        <v>17003</v>
      </c>
      <c r="AU1709" t="s">
        <v>396</v>
      </c>
      <c r="AV1709">
        <v>2017</v>
      </c>
      <c r="AW1709" t="str">
        <f>"27-3N-28-1192-0026-0000 "</f>
        <v xml:space="preserve">27-3N-28-1192-0026-0000 </v>
      </c>
      <c r="AX1709">
        <v>2110</v>
      </c>
      <c r="AZ1709" t="s">
        <v>16989</v>
      </c>
      <c r="BD1709" t="s">
        <v>11749</v>
      </c>
      <c r="BE1709" t="s">
        <v>393</v>
      </c>
      <c r="BF1709">
        <v>32034</v>
      </c>
      <c r="BG1709" t="s">
        <v>17004</v>
      </c>
      <c r="BH1709" t="s">
        <v>11751</v>
      </c>
      <c r="BI1709">
        <v>-81.444559980764197</v>
      </c>
      <c r="BJ1709">
        <v>30.657792650500902</v>
      </c>
      <c r="BK1709" t="s">
        <v>17005</v>
      </c>
      <c r="BM1709" t="s">
        <v>17006</v>
      </c>
      <c r="BN1709" t="s">
        <v>3983</v>
      </c>
      <c r="BO1709">
        <v>32034</v>
      </c>
      <c r="BP1709" t="s">
        <v>404</v>
      </c>
      <c r="BQ1709">
        <v>0</v>
      </c>
      <c r="BR1709" t="s">
        <v>491</v>
      </c>
      <c r="BS1709">
        <v>8001</v>
      </c>
      <c r="BT1709" t="s">
        <v>492</v>
      </c>
      <c r="BW1709">
        <v>3484</v>
      </c>
      <c r="BX1709" t="s">
        <v>407</v>
      </c>
      <c r="CD1709">
        <v>2017</v>
      </c>
      <c r="CE1709">
        <v>58000</v>
      </c>
      <c r="CG1709">
        <v>58000</v>
      </c>
      <c r="CH1709">
        <v>2017</v>
      </c>
      <c r="CI1709">
        <v>58000</v>
      </c>
      <c r="CK1709">
        <v>58000</v>
      </c>
      <c r="CL1709">
        <v>2017</v>
      </c>
      <c r="CM1709">
        <v>1155.98</v>
      </c>
      <c r="CN1709" s="1">
        <v>43020</v>
      </c>
      <c r="CO1709">
        <v>390000</v>
      </c>
      <c r="CV1709">
        <v>0</v>
      </c>
      <c r="CZ1709" s="1">
        <v>43020</v>
      </c>
      <c r="DA1709">
        <v>0</v>
      </c>
      <c r="DD1709" t="s">
        <v>11749</v>
      </c>
      <c r="DG1709">
        <v>27</v>
      </c>
      <c r="DL1709">
        <v>50101</v>
      </c>
      <c r="DM1709" t="s">
        <v>16992</v>
      </c>
      <c r="DO1709" t="s">
        <v>17007</v>
      </c>
      <c r="DP1709">
        <v>0</v>
      </c>
      <c r="DQ1709">
        <v>0</v>
      </c>
      <c r="DR1709" t="s">
        <v>411</v>
      </c>
    </row>
    <row r="1710" spans="1:272" x14ac:dyDescent="0.25">
      <c r="A1710">
        <v>16486717</v>
      </c>
      <c r="B1710">
        <v>1709</v>
      </c>
      <c r="C1710" t="s">
        <v>393</v>
      </c>
      <c r="D1710" t="s">
        <v>394</v>
      </c>
      <c r="F1710" t="str">
        <f>"27-3N-28-1192-0027-0000"</f>
        <v>27-3N-28-1192-0027-0000</v>
      </c>
      <c r="H1710" t="str">
        <f>"MAGNOLIA HOMES INC"</f>
        <v>MAGNOLIA HOMES INC</v>
      </c>
      <c r="I1710" t="str">
        <f>"12543 HERBLORE DR"</f>
        <v>12543 HERBLORE DR</v>
      </c>
      <c r="J1710" t="str">
        <f>"JACKSONVILLE FL 32225"</f>
        <v>JACKSONVILLE FL 32225</v>
      </c>
      <c r="K1710" t="str">
        <f>"2106 SHELL COVE CR"</f>
        <v>2106 SHELL COVE CR</v>
      </c>
      <c r="L1710" t="str">
        <f t="shared" si="599"/>
        <v>FERNANDINA BEACH FL 32034</v>
      </c>
      <c r="M1710" t="str">
        <f>"LOT 27 IN OR 2039/843 SHELL COVE PBK 8/150"</f>
        <v>LOT 27 IN OR 2039/843 SHELL COVE PBK 8/150</v>
      </c>
      <c r="N1710" t="str">
        <f>""</f>
        <v/>
      </c>
      <c r="O1710" t="str">
        <f>"56284"</f>
        <v>56284</v>
      </c>
      <c r="P1710" t="str">
        <f t="shared" si="597"/>
        <v>2017</v>
      </c>
      <c r="Q1710" t="str">
        <f>""</f>
        <v/>
      </c>
      <c r="R1710" t="str">
        <f t="shared" si="610"/>
        <v>N</v>
      </c>
      <c r="S1710" t="str">
        <f>""</f>
        <v/>
      </c>
      <c r="T1710" t="str">
        <f t="shared" si="613"/>
        <v>1155.98</v>
      </c>
      <c r="U1710" t="str">
        <f t="shared" si="614"/>
        <v>58000.00</v>
      </c>
      <c r="V1710" t="str">
        <f t="shared" si="614"/>
        <v>58000.00</v>
      </c>
      <c r="W1710" t="str">
        <f t="shared" si="598"/>
        <v>2017</v>
      </c>
      <c r="X1710" t="str">
        <f>""</f>
        <v/>
      </c>
      <c r="Y1710" t="str">
        <f t="shared" si="615"/>
        <v>1222.66</v>
      </c>
      <c r="Z1710" t="str">
        <f>""</f>
        <v/>
      </c>
      <c r="AA1710" t="str">
        <f t="shared" si="616"/>
        <v>58000.00</v>
      </c>
      <c r="AB1710" t="str">
        <f t="shared" si="611"/>
        <v>Residential</v>
      </c>
      <c r="AC1710" t="str">
        <f t="shared" si="609"/>
        <v>0</v>
      </c>
      <c r="AD1710" t="str">
        <f>""</f>
        <v/>
      </c>
      <c r="AE1710" t="str">
        <f>""</f>
        <v/>
      </c>
      <c r="AF1710" t="str">
        <f t="shared" si="612"/>
        <v>000</v>
      </c>
      <c r="AG1710" t="str">
        <f t="shared" si="603"/>
        <v>FL</v>
      </c>
      <c r="AH1710" t="str">
        <f>"3484.00"</f>
        <v>3484.00</v>
      </c>
      <c r="AI1710" t="str">
        <f t="shared" si="617"/>
        <v>58000.00</v>
      </c>
      <c r="AJ1710" t="str">
        <f>"C55-001-080-5083-2"</f>
        <v>C55-001-080-5083-2</v>
      </c>
      <c r="AK1710" t="str">
        <f>"30584"</f>
        <v>30584</v>
      </c>
      <c r="AL1710">
        <v>6</v>
      </c>
      <c r="AM1710">
        <v>1954</v>
      </c>
      <c r="AN1710">
        <v>1282.19</v>
      </c>
      <c r="AQ1710" t="s">
        <v>17008</v>
      </c>
      <c r="AR1710" t="s">
        <v>17008</v>
      </c>
      <c r="AS1710" t="s">
        <v>17008</v>
      </c>
      <c r="AU1710" t="s">
        <v>396</v>
      </c>
      <c r="AV1710">
        <v>2017</v>
      </c>
      <c r="AW1710" t="str">
        <f>"27-3N-28-1192-0027-0000 "</f>
        <v xml:space="preserve">27-3N-28-1192-0027-0000 </v>
      </c>
      <c r="AX1710">
        <v>2106</v>
      </c>
      <c r="AZ1710" t="s">
        <v>16989</v>
      </c>
      <c r="BD1710" t="s">
        <v>11749</v>
      </c>
      <c r="BE1710" t="s">
        <v>393</v>
      </c>
      <c r="BF1710">
        <v>32034</v>
      </c>
      <c r="BG1710" t="s">
        <v>17009</v>
      </c>
      <c r="BH1710" t="s">
        <v>11751</v>
      </c>
      <c r="BI1710">
        <v>-81.444693875231593</v>
      </c>
      <c r="BJ1710">
        <v>30.657808622225499</v>
      </c>
      <c r="BK1710" t="s">
        <v>17005</v>
      </c>
      <c r="BM1710" t="s">
        <v>17006</v>
      </c>
      <c r="BN1710" t="s">
        <v>3983</v>
      </c>
      <c r="BO1710">
        <v>32034</v>
      </c>
      <c r="BP1710" t="s">
        <v>404</v>
      </c>
      <c r="BQ1710">
        <v>0</v>
      </c>
      <c r="BR1710" t="s">
        <v>491</v>
      </c>
      <c r="BS1710">
        <v>8001</v>
      </c>
      <c r="BT1710" t="s">
        <v>492</v>
      </c>
      <c r="BW1710">
        <v>3484</v>
      </c>
      <c r="BX1710" t="s">
        <v>407</v>
      </c>
      <c r="CD1710">
        <v>2017</v>
      </c>
      <c r="CE1710">
        <v>58000</v>
      </c>
      <c r="CG1710">
        <v>58000</v>
      </c>
      <c r="CH1710">
        <v>2017</v>
      </c>
      <c r="CI1710">
        <v>58000</v>
      </c>
      <c r="CK1710">
        <v>58000</v>
      </c>
      <c r="CL1710">
        <v>2017</v>
      </c>
      <c r="CM1710">
        <v>1155.98</v>
      </c>
      <c r="CN1710" s="1">
        <v>43020</v>
      </c>
      <c r="CO1710">
        <v>390000</v>
      </c>
      <c r="CV1710">
        <v>0</v>
      </c>
      <c r="CZ1710" s="1">
        <v>43020</v>
      </c>
      <c r="DA1710">
        <v>0</v>
      </c>
      <c r="DD1710" t="s">
        <v>11749</v>
      </c>
      <c r="DG1710">
        <v>27</v>
      </c>
      <c r="DL1710">
        <v>50101</v>
      </c>
      <c r="DM1710" t="s">
        <v>16992</v>
      </c>
      <c r="DO1710" t="s">
        <v>17010</v>
      </c>
      <c r="DP1710">
        <v>0</v>
      </c>
      <c r="DQ1710">
        <v>0</v>
      </c>
      <c r="DR1710" t="s">
        <v>411</v>
      </c>
    </row>
    <row r="1711" spans="1:272" x14ac:dyDescent="0.25">
      <c r="A1711">
        <v>16486718</v>
      </c>
      <c r="B1711">
        <v>1710</v>
      </c>
      <c r="C1711" t="s">
        <v>393</v>
      </c>
      <c r="D1711" t="s">
        <v>394</v>
      </c>
      <c r="F1711" t="str">
        <f>"27-3N-28-1192-0028-0000"</f>
        <v>27-3N-28-1192-0028-0000</v>
      </c>
      <c r="H1711" t="str">
        <f>"MAGNOLIA HOMES INC"</f>
        <v>MAGNOLIA HOMES INC</v>
      </c>
      <c r="I1711" t="str">
        <f>"12543 HERBLORE DR"</f>
        <v>12543 HERBLORE DR</v>
      </c>
      <c r="J1711" t="str">
        <f>"JACKSONVILLE FL 32225"</f>
        <v>JACKSONVILLE FL 32225</v>
      </c>
      <c r="K1711" t="str">
        <f>"2102 SHELL COVE CR"</f>
        <v>2102 SHELL COVE CR</v>
      </c>
      <c r="L1711" t="str">
        <f t="shared" si="599"/>
        <v>FERNANDINA BEACH FL 32034</v>
      </c>
      <c r="M1711" t="str">
        <f>"LOT 28 IN OR 2039/914 SHELL COVE PBK 8/150"</f>
        <v>LOT 28 IN OR 2039/914 SHELL COVE PBK 8/150</v>
      </c>
      <c r="N1711" t="str">
        <f>""</f>
        <v/>
      </c>
      <c r="O1711" t="str">
        <f>"56285"</f>
        <v>56285</v>
      </c>
      <c r="P1711" t="str">
        <f t="shared" si="597"/>
        <v>2017</v>
      </c>
      <c r="Q1711" t="str">
        <f>""</f>
        <v/>
      </c>
      <c r="R1711" t="str">
        <f t="shared" si="610"/>
        <v>N</v>
      </c>
      <c r="S1711" t="str">
        <f>""</f>
        <v/>
      </c>
      <c r="T1711" t="str">
        <f t="shared" si="613"/>
        <v>1155.98</v>
      </c>
      <c r="U1711" t="str">
        <f t="shared" si="614"/>
        <v>58000.00</v>
      </c>
      <c r="V1711" t="str">
        <f t="shared" si="614"/>
        <v>58000.00</v>
      </c>
      <c r="W1711" t="str">
        <f t="shared" si="598"/>
        <v>2017</v>
      </c>
      <c r="X1711" t="str">
        <f>""</f>
        <v/>
      </c>
      <c r="Y1711" t="str">
        <f t="shared" si="615"/>
        <v>1222.66</v>
      </c>
      <c r="Z1711" t="str">
        <f>""</f>
        <v/>
      </c>
      <c r="AA1711" t="str">
        <f t="shared" si="616"/>
        <v>58000.00</v>
      </c>
      <c r="AB1711" t="str">
        <f t="shared" si="611"/>
        <v>Residential</v>
      </c>
      <c r="AC1711" t="str">
        <f t="shared" si="609"/>
        <v>0</v>
      </c>
      <c r="AD1711" t="str">
        <f>""</f>
        <v/>
      </c>
      <c r="AE1711" t="str">
        <f>""</f>
        <v/>
      </c>
      <c r="AF1711" t="str">
        <f t="shared" si="612"/>
        <v>000</v>
      </c>
      <c r="AG1711" t="str">
        <f t="shared" si="603"/>
        <v>FL</v>
      </c>
      <c r="AH1711" t="str">
        <f>"3484.00"</f>
        <v>3484.00</v>
      </c>
      <c r="AI1711" t="str">
        <f t="shared" si="617"/>
        <v>58000.00</v>
      </c>
      <c r="AJ1711" t="str">
        <f>"C55-001-080-5084-0"</f>
        <v>C55-001-080-5084-0</v>
      </c>
      <c r="AK1711" t="str">
        <f>"30585"</f>
        <v>30585</v>
      </c>
      <c r="AL1711">
        <v>6</v>
      </c>
      <c r="AM1711">
        <v>1955</v>
      </c>
      <c r="AN1711">
        <v>1282.19</v>
      </c>
      <c r="AQ1711" t="s">
        <v>17011</v>
      </c>
      <c r="AR1711" t="s">
        <v>17011</v>
      </c>
      <c r="AS1711" t="s">
        <v>17011</v>
      </c>
      <c r="AU1711" t="s">
        <v>396</v>
      </c>
      <c r="AV1711">
        <v>2017</v>
      </c>
      <c r="AW1711" t="str">
        <f>"27-3N-28-1192-0028-0000 "</f>
        <v xml:space="preserve">27-3N-28-1192-0028-0000 </v>
      </c>
      <c r="AX1711">
        <v>2102</v>
      </c>
      <c r="AZ1711" t="s">
        <v>16989</v>
      </c>
      <c r="BD1711" t="s">
        <v>11749</v>
      </c>
      <c r="BE1711" t="s">
        <v>393</v>
      </c>
      <c r="BF1711">
        <v>32034</v>
      </c>
      <c r="BG1711" t="s">
        <v>17012</v>
      </c>
      <c r="BH1711" t="s">
        <v>11751</v>
      </c>
      <c r="BI1711">
        <v>-81.444827769159502</v>
      </c>
      <c r="BJ1711">
        <v>30.657824595017999</v>
      </c>
      <c r="BK1711" t="s">
        <v>17005</v>
      </c>
      <c r="BM1711" t="s">
        <v>17006</v>
      </c>
      <c r="BN1711" t="s">
        <v>3983</v>
      </c>
      <c r="BO1711">
        <v>32034</v>
      </c>
      <c r="BP1711" t="s">
        <v>404</v>
      </c>
      <c r="BQ1711">
        <v>0</v>
      </c>
      <c r="BR1711" t="s">
        <v>491</v>
      </c>
      <c r="BS1711">
        <v>8001</v>
      </c>
      <c r="BT1711" t="s">
        <v>492</v>
      </c>
      <c r="BW1711">
        <v>3484</v>
      </c>
      <c r="BX1711" t="s">
        <v>407</v>
      </c>
      <c r="CD1711">
        <v>2017</v>
      </c>
      <c r="CE1711">
        <v>58000</v>
      </c>
      <c r="CG1711">
        <v>58000</v>
      </c>
      <c r="CH1711">
        <v>2017</v>
      </c>
      <c r="CI1711">
        <v>58000</v>
      </c>
      <c r="CK1711">
        <v>58000</v>
      </c>
      <c r="CL1711">
        <v>2017</v>
      </c>
      <c r="CM1711">
        <v>1155.98</v>
      </c>
      <c r="CN1711" s="1">
        <v>43020</v>
      </c>
      <c r="CO1711">
        <v>390000</v>
      </c>
      <c r="CV1711">
        <v>0</v>
      </c>
      <c r="CZ1711" s="1">
        <v>43020</v>
      </c>
      <c r="DA1711">
        <v>0</v>
      </c>
      <c r="DD1711" t="s">
        <v>11749</v>
      </c>
      <c r="DG1711">
        <v>27</v>
      </c>
      <c r="DL1711">
        <v>50101</v>
      </c>
      <c r="DM1711" t="s">
        <v>16992</v>
      </c>
      <c r="DO1711" t="s">
        <v>17013</v>
      </c>
      <c r="DP1711">
        <v>0</v>
      </c>
      <c r="DQ1711">
        <v>0</v>
      </c>
      <c r="DR1711" t="s">
        <v>411</v>
      </c>
    </row>
    <row r="1712" spans="1:272" x14ac:dyDescent="0.25">
      <c r="A1712">
        <v>16486719</v>
      </c>
      <c r="B1712">
        <v>1711</v>
      </c>
      <c r="C1712" t="s">
        <v>393</v>
      </c>
      <c r="D1712" t="s">
        <v>394</v>
      </c>
      <c r="F1712" t="str">
        <f>"27-3N-28-1192-0029-0000"</f>
        <v>27-3N-28-1192-0029-0000</v>
      </c>
      <c r="H1712" t="str">
        <f>"MAGNOLIA HOMES INC"</f>
        <v>MAGNOLIA HOMES INC</v>
      </c>
      <c r="I1712" t="str">
        <f>"12543 HERBLORE DR"</f>
        <v>12543 HERBLORE DR</v>
      </c>
      <c r="J1712" t="str">
        <f>"JACKSONVILLE FL 32225"</f>
        <v>JACKSONVILLE FL 32225</v>
      </c>
      <c r="K1712" t="str">
        <f>"2101 SHELL COVE CR"</f>
        <v>2101 SHELL COVE CR</v>
      </c>
      <c r="L1712" t="str">
        <f t="shared" si="599"/>
        <v>FERNANDINA BEACH FL 32034</v>
      </c>
      <c r="M1712" t="str">
        <f>"LOT 29 IN OR 2039/877 SHELL COVE PBK 8/150"</f>
        <v>LOT 29 IN OR 2039/877 SHELL COVE PBK 8/150</v>
      </c>
      <c r="N1712" t="str">
        <f>""</f>
        <v/>
      </c>
      <c r="O1712" t="str">
        <f>"56286"</f>
        <v>56286</v>
      </c>
      <c r="P1712" t="str">
        <f t="shared" si="597"/>
        <v>2017</v>
      </c>
      <c r="Q1712" t="str">
        <f>""</f>
        <v/>
      </c>
      <c r="R1712" t="str">
        <f t="shared" si="610"/>
        <v>N</v>
      </c>
      <c r="S1712" t="str">
        <f>""</f>
        <v/>
      </c>
      <c r="T1712" t="str">
        <f t="shared" si="613"/>
        <v>1155.98</v>
      </c>
      <c r="U1712" t="str">
        <f t="shared" si="614"/>
        <v>58000.00</v>
      </c>
      <c r="V1712" t="str">
        <f t="shared" si="614"/>
        <v>58000.00</v>
      </c>
      <c r="W1712" t="str">
        <f t="shared" si="598"/>
        <v>2017</v>
      </c>
      <c r="X1712" t="str">
        <f>""</f>
        <v/>
      </c>
      <c r="Y1712" t="str">
        <f t="shared" si="615"/>
        <v>1222.66</v>
      </c>
      <c r="Z1712" t="str">
        <f>""</f>
        <v/>
      </c>
      <c r="AA1712" t="str">
        <f t="shared" si="616"/>
        <v>58000.00</v>
      </c>
      <c r="AB1712" t="str">
        <f t="shared" si="611"/>
        <v>Residential</v>
      </c>
      <c r="AC1712" t="str">
        <f t="shared" si="609"/>
        <v>0</v>
      </c>
      <c r="AD1712" t="str">
        <f>""</f>
        <v/>
      </c>
      <c r="AE1712" t="str">
        <f>""</f>
        <v/>
      </c>
      <c r="AF1712" t="str">
        <f t="shared" si="612"/>
        <v>000</v>
      </c>
      <c r="AG1712" t="str">
        <f t="shared" si="603"/>
        <v>FL</v>
      </c>
      <c r="AH1712" t="str">
        <f>"3484.00"</f>
        <v>3484.00</v>
      </c>
      <c r="AI1712" t="str">
        <f t="shared" si="617"/>
        <v>58000.00</v>
      </c>
      <c r="AJ1712" t="str">
        <f>"C55-001-080-5085-7"</f>
        <v>C55-001-080-5085-7</v>
      </c>
      <c r="AK1712" t="str">
        <f>"30586"</f>
        <v>30586</v>
      </c>
      <c r="AL1712">
        <v>6</v>
      </c>
      <c r="AM1712">
        <v>1956</v>
      </c>
      <c r="AN1712">
        <v>1282.19</v>
      </c>
      <c r="AQ1712" t="s">
        <v>17014</v>
      </c>
      <c r="AR1712" t="s">
        <v>17014</v>
      </c>
      <c r="AS1712" t="s">
        <v>17014</v>
      </c>
      <c r="AU1712" t="s">
        <v>396</v>
      </c>
      <c r="AV1712">
        <v>2017</v>
      </c>
      <c r="AW1712" t="str">
        <f>"27-3N-28-1192-0029-0000 "</f>
        <v xml:space="preserve">27-3N-28-1192-0029-0000 </v>
      </c>
      <c r="AX1712">
        <v>2101</v>
      </c>
      <c r="AZ1712" t="s">
        <v>16989</v>
      </c>
      <c r="BD1712" t="s">
        <v>11749</v>
      </c>
      <c r="BE1712" t="s">
        <v>393</v>
      </c>
      <c r="BF1712">
        <v>32034</v>
      </c>
      <c r="BG1712" t="s">
        <v>17015</v>
      </c>
      <c r="BH1712" t="s">
        <v>11751</v>
      </c>
      <c r="BI1712">
        <v>-81.444701188949693</v>
      </c>
      <c r="BJ1712">
        <v>30.658114798379199</v>
      </c>
      <c r="BK1712" t="s">
        <v>17016</v>
      </c>
      <c r="BM1712" t="s">
        <v>17017</v>
      </c>
      <c r="BN1712" t="s">
        <v>548</v>
      </c>
      <c r="BO1712">
        <v>32225</v>
      </c>
      <c r="BP1712" t="s">
        <v>404</v>
      </c>
      <c r="BQ1712">
        <v>0</v>
      </c>
      <c r="BR1712" t="s">
        <v>491</v>
      </c>
      <c r="BS1712">
        <v>8001</v>
      </c>
      <c r="BT1712" t="s">
        <v>492</v>
      </c>
      <c r="BW1712">
        <v>3484</v>
      </c>
      <c r="BX1712" t="s">
        <v>407</v>
      </c>
      <c r="CD1712">
        <v>2017</v>
      </c>
      <c r="CE1712">
        <v>58000</v>
      </c>
      <c r="CG1712">
        <v>58000</v>
      </c>
      <c r="CH1712">
        <v>2017</v>
      </c>
      <c r="CI1712">
        <v>58000</v>
      </c>
      <c r="CK1712">
        <v>58000</v>
      </c>
      <c r="CL1712">
        <v>2017</v>
      </c>
      <c r="CM1712">
        <v>1155.98</v>
      </c>
      <c r="CN1712" s="1">
        <v>42472</v>
      </c>
      <c r="CO1712">
        <v>68500</v>
      </c>
      <c r="CV1712">
        <v>220000</v>
      </c>
      <c r="CX1712" t="s">
        <v>3031</v>
      </c>
      <c r="CZ1712" s="1">
        <v>42472</v>
      </c>
      <c r="DA1712">
        <v>0</v>
      </c>
      <c r="DD1712" t="s">
        <v>11749</v>
      </c>
      <c r="DG1712">
        <v>27</v>
      </c>
      <c r="DL1712">
        <v>50101</v>
      </c>
      <c r="DM1712" t="s">
        <v>16992</v>
      </c>
      <c r="DO1712" t="s">
        <v>17018</v>
      </c>
      <c r="DP1712">
        <v>0</v>
      </c>
      <c r="DQ1712">
        <v>0</v>
      </c>
      <c r="DR1712" t="s">
        <v>411</v>
      </c>
    </row>
    <row r="1713" spans="1:224" x14ac:dyDescent="0.25">
      <c r="A1713">
        <v>16486720</v>
      </c>
      <c r="B1713">
        <v>1712</v>
      </c>
      <c r="C1713" t="s">
        <v>393</v>
      </c>
      <c r="D1713" t="s">
        <v>394</v>
      </c>
      <c r="F1713" t="str">
        <f>"27-3N-28-1192-0035-0000"</f>
        <v>27-3N-28-1192-0035-0000</v>
      </c>
      <c r="H1713" t="str">
        <f>"ROBINSON CREEK 34 LLC"</f>
        <v>ROBINSON CREEK 34 LLC</v>
      </c>
      <c r="I1713" t="str">
        <f>"PO BOX 706"</f>
        <v>PO BOX 706</v>
      </c>
      <c r="J1713" t="str">
        <f>"FERNANDINA BEACH FL 32035"</f>
        <v>FERNANDINA BEACH FL 32035</v>
      </c>
      <c r="K1713" t="str">
        <f>"2123 SHELL COVE CR"</f>
        <v>2123 SHELL COVE CR</v>
      </c>
      <c r="L1713" t="str">
        <f t="shared" si="599"/>
        <v>FERNANDINA BEACH FL 32034</v>
      </c>
      <c r="M1713" t="str">
        <f>"LOT 35 SHELL COVE PBK 8/150"</f>
        <v>LOT 35 SHELL COVE PBK 8/150</v>
      </c>
      <c r="N1713" t="str">
        <f>""</f>
        <v/>
      </c>
      <c r="O1713" t="str">
        <f>"56292"</f>
        <v>56292</v>
      </c>
      <c r="P1713" t="str">
        <f t="shared" si="597"/>
        <v>2017</v>
      </c>
      <c r="Q1713" t="str">
        <f>""</f>
        <v/>
      </c>
      <c r="R1713" t="str">
        <f t="shared" si="610"/>
        <v>N</v>
      </c>
      <c r="S1713" t="str">
        <f>""</f>
        <v/>
      </c>
      <c r="T1713" t="str">
        <f t="shared" si="613"/>
        <v>1155.98</v>
      </c>
      <c r="U1713" t="str">
        <f t="shared" si="614"/>
        <v>58000.00</v>
      </c>
      <c r="V1713" t="str">
        <f t="shared" si="614"/>
        <v>58000.00</v>
      </c>
      <c r="W1713" t="str">
        <f t="shared" si="598"/>
        <v>2017</v>
      </c>
      <c r="X1713" t="str">
        <f>""</f>
        <v/>
      </c>
      <c r="Y1713" t="str">
        <f t="shared" si="615"/>
        <v>1222.66</v>
      </c>
      <c r="Z1713" t="str">
        <f>""</f>
        <v/>
      </c>
      <c r="AA1713" t="str">
        <f t="shared" si="616"/>
        <v>58000.00</v>
      </c>
      <c r="AB1713" t="str">
        <f t="shared" si="611"/>
        <v>Residential</v>
      </c>
      <c r="AC1713" t="str">
        <f t="shared" si="609"/>
        <v>0</v>
      </c>
      <c r="AD1713" t="str">
        <f>""</f>
        <v/>
      </c>
      <c r="AE1713" t="str">
        <f>""</f>
        <v/>
      </c>
      <c r="AF1713" t="str">
        <f t="shared" si="612"/>
        <v>000</v>
      </c>
      <c r="AG1713" t="str">
        <f t="shared" si="603"/>
        <v>FL</v>
      </c>
      <c r="AH1713" t="str">
        <f>"3484.00"</f>
        <v>3484.00</v>
      </c>
      <c r="AI1713" t="str">
        <f t="shared" si="617"/>
        <v>58000.00</v>
      </c>
      <c r="AJ1713" t="str">
        <f>"C55-001-080-5091-5"</f>
        <v>C55-001-080-5091-5</v>
      </c>
      <c r="AK1713" t="str">
        <f>"30592"</f>
        <v>30592</v>
      </c>
      <c r="AL1713">
        <v>6</v>
      </c>
      <c r="AM1713">
        <v>1957</v>
      </c>
      <c r="AN1713">
        <v>1282.19</v>
      </c>
      <c r="AQ1713" t="s">
        <v>17019</v>
      </c>
      <c r="AR1713" t="s">
        <v>17019</v>
      </c>
      <c r="AS1713" t="s">
        <v>17019</v>
      </c>
      <c r="AU1713" t="s">
        <v>396</v>
      </c>
      <c r="AV1713">
        <v>2017</v>
      </c>
      <c r="AW1713" t="str">
        <f>"27-3N-28-1192-0035-0000 "</f>
        <v xml:space="preserve">27-3N-28-1192-0035-0000 </v>
      </c>
      <c r="AX1713">
        <v>2123</v>
      </c>
      <c r="AZ1713" t="s">
        <v>16989</v>
      </c>
      <c r="BD1713" t="s">
        <v>11749</v>
      </c>
      <c r="BE1713" t="s">
        <v>393</v>
      </c>
      <c r="BF1713">
        <v>32034</v>
      </c>
      <c r="BG1713" t="s">
        <v>17020</v>
      </c>
      <c r="BH1713" t="s">
        <v>11751</v>
      </c>
      <c r="BI1713">
        <v>-81.443897821685894</v>
      </c>
      <c r="BJ1713">
        <v>30.658018961196799</v>
      </c>
      <c r="BK1713" t="s">
        <v>16991</v>
      </c>
      <c r="BM1713" t="s">
        <v>11454</v>
      </c>
      <c r="BN1713" t="s">
        <v>3983</v>
      </c>
      <c r="BO1713">
        <v>32035</v>
      </c>
      <c r="BP1713" t="s">
        <v>404</v>
      </c>
      <c r="BQ1713">
        <v>0</v>
      </c>
      <c r="BR1713" t="s">
        <v>491</v>
      </c>
      <c r="BS1713">
        <v>8001</v>
      </c>
      <c r="BT1713" t="s">
        <v>492</v>
      </c>
      <c r="BW1713">
        <v>3484</v>
      </c>
      <c r="BX1713" t="s">
        <v>407</v>
      </c>
      <c r="CD1713">
        <v>2017</v>
      </c>
      <c r="CE1713">
        <v>58000</v>
      </c>
      <c r="CG1713">
        <v>58000</v>
      </c>
      <c r="CH1713">
        <v>2017</v>
      </c>
      <c r="CI1713">
        <v>58000</v>
      </c>
      <c r="CK1713">
        <v>58000</v>
      </c>
      <c r="CL1713">
        <v>2017</v>
      </c>
      <c r="CM1713">
        <v>1155.98</v>
      </c>
      <c r="DD1713" t="s">
        <v>11749</v>
      </c>
      <c r="DG1713">
        <v>27</v>
      </c>
      <c r="DL1713">
        <v>50101</v>
      </c>
      <c r="DM1713" t="s">
        <v>16992</v>
      </c>
      <c r="DO1713" t="s">
        <v>17021</v>
      </c>
      <c r="DP1713">
        <v>0</v>
      </c>
      <c r="DQ1713">
        <v>1</v>
      </c>
      <c r="DR1713" t="s">
        <v>1479</v>
      </c>
      <c r="EP1713" t="s">
        <v>421</v>
      </c>
      <c r="EQ1713" t="s">
        <v>422</v>
      </c>
      <c r="ER1713">
        <v>1</v>
      </c>
      <c r="ES1713">
        <v>0</v>
      </c>
      <c r="ET1713">
        <v>212.39</v>
      </c>
      <c r="EU1713">
        <v>27.49</v>
      </c>
      <c r="EV1713">
        <v>239.88</v>
      </c>
      <c r="EW1713" s="2">
        <v>43222</v>
      </c>
      <c r="EX1713" s="1">
        <v>42879</v>
      </c>
      <c r="EY1713">
        <v>2016</v>
      </c>
      <c r="EZ1713">
        <v>212.39</v>
      </c>
      <c r="FA1713" t="s">
        <v>17022</v>
      </c>
      <c r="FB1713">
        <v>10</v>
      </c>
      <c r="FC1713" t="s">
        <v>424</v>
      </c>
      <c r="FD1713" t="s">
        <v>454</v>
      </c>
      <c r="FF1713">
        <v>12</v>
      </c>
      <c r="FG1713">
        <v>7685283</v>
      </c>
      <c r="FH1713" t="s">
        <v>6726</v>
      </c>
    </row>
    <row r="1714" spans="1:224" x14ac:dyDescent="0.25">
      <c r="A1714">
        <v>16486721</v>
      </c>
      <c r="B1714">
        <v>1713</v>
      </c>
      <c r="C1714" t="s">
        <v>393</v>
      </c>
      <c r="D1714" t="s">
        <v>394</v>
      </c>
      <c r="F1714" t="str">
        <f>"37-3N-28-0740-0184-0000"</f>
        <v>37-3N-28-0740-0184-0000</v>
      </c>
      <c r="H1714" t="str">
        <f>"BRECKENRIDGE PROPERTY FUND 2016 LLC"</f>
        <v>BRECKENRIDGE PROPERTY FUND 2016 LLC</v>
      </c>
      <c r="I1714" t="str">
        <f>"2015 MANHATTAN BEACH BLVD 100"</f>
        <v>2015 MANHATTAN BEACH BLVD 100</v>
      </c>
      <c r="J1714" t="str">
        <f>"REDONDO BEACH CA 90278"</f>
        <v>REDONDO BEACH CA 90278</v>
      </c>
      <c r="K1714" t="str">
        <f>"96593 COMMODORE POINT DR"</f>
        <v>96593 COMMODORE POINT DR</v>
      </c>
      <c r="L1714" t="str">
        <f t="shared" ref="L1714:L1742" si="618">"YULEE FL 32097"</f>
        <v>YULEE FL 32097</v>
      </c>
      <c r="M1714" t="str">
        <f>"LOT 184 IN OR 2134/145 HERON ISLES PHASE 1 REPLAT PB 7/152"</f>
        <v>LOT 184 IN OR 2134/145 HERON ISLES PHASE 1 REPLAT PB 7/152</v>
      </c>
      <c r="N1714" t="str">
        <f>""</f>
        <v/>
      </c>
      <c r="O1714" t="str">
        <f>"44478"</f>
        <v>44478</v>
      </c>
      <c r="P1714" t="str">
        <f t="shared" si="597"/>
        <v>2017</v>
      </c>
      <c r="Q1714" t="str">
        <f>""</f>
        <v/>
      </c>
      <c r="R1714" t="str">
        <f t="shared" si="610"/>
        <v>N</v>
      </c>
      <c r="S1714" t="str">
        <f>""</f>
        <v/>
      </c>
      <c r="T1714" t="str">
        <f>"2728.10"</f>
        <v>2728.10</v>
      </c>
      <c r="U1714" t="str">
        <f>"124000.00"</f>
        <v>124000.00</v>
      </c>
      <c r="V1714" t="str">
        <f>"124000.00"</f>
        <v>124000.00</v>
      </c>
      <c r="W1714" t="str">
        <f t="shared" si="598"/>
        <v>2017</v>
      </c>
      <c r="X1714" t="str">
        <f>""</f>
        <v/>
      </c>
      <c r="Y1714" t="str">
        <f>"2841.94"</f>
        <v>2841.94</v>
      </c>
      <c r="Z1714" t="str">
        <f>""</f>
        <v/>
      </c>
      <c r="AA1714" t="str">
        <f>"124000.00"</f>
        <v>124000.00</v>
      </c>
      <c r="AB1714" t="str">
        <f t="shared" si="611"/>
        <v>Residential</v>
      </c>
      <c r="AC1714" t="str">
        <f t="shared" si="609"/>
        <v>0</v>
      </c>
      <c r="AD1714" t="str">
        <f>"4"</f>
        <v>4</v>
      </c>
      <c r="AE1714" t="str">
        <f>"WOOD (INCLUDE STEEL STUDS)"</f>
        <v>WOOD (INCLUDE STEEL STUDS)</v>
      </c>
      <c r="AF1714" t="str">
        <f>"001"</f>
        <v>001</v>
      </c>
      <c r="AG1714" t="str">
        <f>"CA"</f>
        <v>CA</v>
      </c>
      <c r="AH1714" t="str">
        <f>"-"</f>
        <v>-</v>
      </c>
      <c r="AI1714" t="str">
        <f t="shared" ref="AI1714:AI1729" si="619">"30000.00"</f>
        <v>30000.00</v>
      </c>
      <c r="AJ1714" t="str">
        <f>"C55-000-589-2001-8"</f>
        <v>C55-000-589-2001-8</v>
      </c>
      <c r="AK1714" t="str">
        <f>"30930"</f>
        <v>30930</v>
      </c>
      <c r="AL1714">
        <v>6</v>
      </c>
      <c r="AM1714">
        <v>1958</v>
      </c>
      <c r="AN1714">
        <v>2982.44</v>
      </c>
      <c r="AQ1714" t="s">
        <v>17023</v>
      </c>
      <c r="AR1714" t="s">
        <v>17023</v>
      </c>
      <c r="AS1714" t="s">
        <v>17023</v>
      </c>
      <c r="AU1714" t="s">
        <v>396</v>
      </c>
      <c r="AV1714">
        <v>2017</v>
      </c>
      <c r="AW1714" t="str">
        <f>"37-3N-28-0740-0184-0000 "</f>
        <v xml:space="preserve">37-3N-28-0740-0184-0000 </v>
      </c>
      <c r="AX1714">
        <v>96593</v>
      </c>
      <c r="AZ1714" t="s">
        <v>17024</v>
      </c>
      <c r="BA1714" t="s">
        <v>669</v>
      </c>
      <c r="BD1714" t="s">
        <v>2387</v>
      </c>
      <c r="BE1714" t="s">
        <v>393</v>
      </c>
      <c r="BF1714">
        <v>32097</v>
      </c>
      <c r="BG1714" t="s">
        <v>17025</v>
      </c>
      <c r="BH1714" t="s">
        <v>2388</v>
      </c>
      <c r="BI1714">
        <v>-81.541095860698803</v>
      </c>
      <c r="BJ1714">
        <v>30.637977995304102</v>
      </c>
      <c r="BK1714" t="s">
        <v>17026</v>
      </c>
      <c r="BM1714" t="s">
        <v>17027</v>
      </c>
      <c r="BN1714" t="s">
        <v>1778</v>
      </c>
      <c r="BO1714">
        <v>32097</v>
      </c>
      <c r="BP1714" t="s">
        <v>404</v>
      </c>
      <c r="BQ1714">
        <v>100</v>
      </c>
      <c r="BR1714" t="s">
        <v>514</v>
      </c>
      <c r="BS1714">
        <v>1001</v>
      </c>
      <c r="BT1714" t="s">
        <v>515</v>
      </c>
      <c r="BW1714">
        <v>6346</v>
      </c>
      <c r="BX1714" t="s">
        <v>407</v>
      </c>
      <c r="BY1714" t="s">
        <v>3019</v>
      </c>
      <c r="BZ1714">
        <v>4</v>
      </c>
      <c r="CA1714">
        <v>2006</v>
      </c>
      <c r="CB1714">
        <v>1</v>
      </c>
      <c r="CC1714">
        <v>1</v>
      </c>
      <c r="CD1714">
        <v>2017</v>
      </c>
      <c r="CE1714">
        <v>30000</v>
      </c>
      <c r="CF1714">
        <v>94000</v>
      </c>
      <c r="CG1714">
        <v>124000</v>
      </c>
      <c r="CH1714">
        <v>2017</v>
      </c>
      <c r="CI1714">
        <v>30000</v>
      </c>
      <c r="CJ1714">
        <v>94000</v>
      </c>
      <c r="CK1714">
        <v>124000</v>
      </c>
      <c r="CL1714">
        <v>2017</v>
      </c>
      <c r="CM1714">
        <v>2728.1</v>
      </c>
      <c r="CN1714" s="1">
        <v>43052</v>
      </c>
      <c r="CO1714">
        <v>165000</v>
      </c>
      <c r="CV1714">
        <v>165000</v>
      </c>
      <c r="CX1714" t="s">
        <v>11066</v>
      </c>
      <c r="CZ1714" s="1">
        <v>43052</v>
      </c>
      <c r="DA1714">
        <v>0</v>
      </c>
      <c r="DD1714" t="s">
        <v>2387</v>
      </c>
      <c r="DF1714">
        <v>184</v>
      </c>
      <c r="DG1714">
        <v>37</v>
      </c>
      <c r="DJ1714" t="s">
        <v>17028</v>
      </c>
      <c r="DL1714">
        <v>50301</v>
      </c>
      <c r="DM1714" t="s">
        <v>17029</v>
      </c>
      <c r="DO1714" t="s">
        <v>17030</v>
      </c>
      <c r="DP1714">
        <v>0</v>
      </c>
      <c r="DQ1714">
        <v>0</v>
      </c>
      <c r="DR1714" t="s">
        <v>411</v>
      </c>
      <c r="EL1714" s="1">
        <v>38632</v>
      </c>
      <c r="EM1714" t="s">
        <v>17031</v>
      </c>
      <c r="EN1714" t="s">
        <v>17032</v>
      </c>
      <c r="EO1714" s="3">
        <v>4935000</v>
      </c>
    </row>
    <row r="1715" spans="1:224" x14ac:dyDescent="0.25">
      <c r="A1715">
        <v>16486722</v>
      </c>
      <c r="B1715">
        <v>1714</v>
      </c>
      <c r="C1715" t="s">
        <v>393</v>
      </c>
      <c r="D1715" t="s">
        <v>394</v>
      </c>
      <c r="F1715" t="str">
        <f>"37-3N-28-0740-0212-0000"</f>
        <v>37-3N-28-0740-0212-0000</v>
      </c>
      <c r="H1715" t="str">
        <f>"SAPIKOWSKI SANDRA KAYE"</f>
        <v>SAPIKOWSKI SANDRA KAYE</v>
      </c>
      <c r="I1715" t="str">
        <f>"96080 STONEY GLEN CT"</f>
        <v>96080 STONEY GLEN CT</v>
      </c>
      <c r="J1715" t="str">
        <f>"YULEE FL 32097"</f>
        <v>YULEE FL 32097</v>
      </c>
      <c r="K1715" t="str">
        <f>"96080 STONEY GLEN CT"</f>
        <v>96080 STONEY GLEN CT</v>
      </c>
      <c r="L1715" t="str">
        <f t="shared" si="618"/>
        <v>YULEE FL 32097</v>
      </c>
      <c r="M1715" t="str">
        <f>"LOT 212 IN OR 1927/1579 HERON ISLES PHASE 1 REPLAT PB 7/152"</f>
        <v>LOT 212 IN OR 1927/1579 HERON ISLES PHASE 1 REPLAT PB 7/152</v>
      </c>
      <c r="N1715" t="str">
        <f>""</f>
        <v/>
      </c>
      <c r="O1715" t="str">
        <f>"44506"</f>
        <v>44506</v>
      </c>
      <c r="P1715" t="str">
        <f t="shared" si="597"/>
        <v>2017</v>
      </c>
      <c r="Q1715" t="str">
        <f>""</f>
        <v/>
      </c>
      <c r="R1715" t="str">
        <f t="shared" si="610"/>
        <v>N</v>
      </c>
      <c r="S1715" t="str">
        <f>""</f>
        <v/>
      </c>
      <c r="T1715" t="str">
        <f>"2474.35"</f>
        <v>2474.35</v>
      </c>
      <c r="U1715" t="str">
        <f>"136786.00"</f>
        <v>136786.00</v>
      </c>
      <c r="V1715" t="str">
        <f>"136786.00"</f>
        <v>136786.00</v>
      </c>
      <c r="W1715" t="str">
        <f t="shared" si="598"/>
        <v>2017</v>
      </c>
      <c r="X1715" t="str">
        <f>"11.50"</f>
        <v>11.50</v>
      </c>
      <c r="Y1715" t="str">
        <f>"2580.58"</f>
        <v>2580.58</v>
      </c>
      <c r="Z1715" t="str">
        <f>""</f>
        <v/>
      </c>
      <c r="AA1715" t="str">
        <f>"136786.00"</f>
        <v>136786.00</v>
      </c>
      <c r="AB1715" t="str">
        <f t="shared" si="611"/>
        <v>Residential</v>
      </c>
      <c r="AC1715" t="str">
        <f t="shared" si="609"/>
        <v>0</v>
      </c>
      <c r="AD1715" t="str">
        <f>"4"</f>
        <v>4</v>
      </c>
      <c r="AE1715" t="str">
        <f>"WOOD (INCLUDE STEEL STUDS)"</f>
        <v>WOOD (INCLUDE STEEL STUDS)</v>
      </c>
      <c r="AF1715" t="str">
        <f>"001"</f>
        <v>001</v>
      </c>
      <c r="AG1715" t="str">
        <f t="shared" ref="AG1715:AG1736" si="620">"FL"</f>
        <v>FL</v>
      </c>
      <c r="AH1715" t="str">
        <f>"-"</f>
        <v>-</v>
      </c>
      <c r="AI1715" t="str">
        <f t="shared" si="619"/>
        <v>30000.00</v>
      </c>
      <c r="AJ1715" t="str">
        <f>"C55-000-589-2029-9"</f>
        <v>C55-000-589-2029-9</v>
      </c>
      <c r="AK1715" t="str">
        <f>"30958"</f>
        <v>30958</v>
      </c>
      <c r="AL1715">
        <v>6</v>
      </c>
      <c r="AM1715">
        <v>1959</v>
      </c>
      <c r="AN1715">
        <v>2708.01</v>
      </c>
      <c r="AQ1715" t="s">
        <v>17033</v>
      </c>
      <c r="AR1715" t="s">
        <v>17033</v>
      </c>
      <c r="AS1715" t="s">
        <v>17033</v>
      </c>
      <c r="AU1715" t="s">
        <v>396</v>
      </c>
      <c r="AV1715">
        <v>2017</v>
      </c>
      <c r="AW1715" t="str">
        <f>"37-3N-28-0740-0212-0000 "</f>
        <v xml:space="preserve">37-3N-28-0740-0212-0000 </v>
      </c>
      <c r="AX1715">
        <v>96080</v>
      </c>
      <c r="AZ1715" t="s">
        <v>17034</v>
      </c>
      <c r="BA1715" t="s">
        <v>3181</v>
      </c>
      <c r="BD1715" t="s">
        <v>2387</v>
      </c>
      <c r="BE1715" t="s">
        <v>393</v>
      </c>
      <c r="BF1715">
        <v>32097</v>
      </c>
      <c r="BG1715" t="s">
        <v>17035</v>
      </c>
      <c r="BH1715" t="s">
        <v>2388</v>
      </c>
      <c r="BI1715">
        <v>-81.538594960581605</v>
      </c>
      <c r="BJ1715">
        <v>30.635979422759601</v>
      </c>
      <c r="BK1715" t="s">
        <v>17036</v>
      </c>
      <c r="BM1715" t="s">
        <v>17035</v>
      </c>
      <c r="BN1715" t="s">
        <v>1778</v>
      </c>
      <c r="BO1715">
        <v>32097</v>
      </c>
      <c r="BP1715" t="s">
        <v>416</v>
      </c>
      <c r="BQ1715">
        <v>100</v>
      </c>
      <c r="BR1715" t="s">
        <v>514</v>
      </c>
      <c r="BS1715">
        <v>1001</v>
      </c>
      <c r="BT1715" t="s">
        <v>515</v>
      </c>
      <c r="BW1715">
        <v>5498</v>
      </c>
      <c r="BX1715" t="s">
        <v>407</v>
      </c>
      <c r="BY1715" t="s">
        <v>3019</v>
      </c>
      <c r="BZ1715">
        <v>4</v>
      </c>
      <c r="CA1715">
        <v>2014</v>
      </c>
      <c r="CB1715">
        <v>1</v>
      </c>
      <c r="CC1715">
        <v>1</v>
      </c>
      <c r="CD1715">
        <v>2017</v>
      </c>
      <c r="CE1715">
        <v>30000</v>
      </c>
      <c r="CF1715">
        <v>106786</v>
      </c>
      <c r="CG1715">
        <v>136786</v>
      </c>
      <c r="CH1715">
        <v>2017</v>
      </c>
      <c r="CI1715">
        <v>30000</v>
      </c>
      <c r="CJ1715">
        <v>106786</v>
      </c>
      <c r="CK1715">
        <v>136786</v>
      </c>
      <c r="CL1715">
        <v>2017</v>
      </c>
      <c r="CM1715">
        <v>2474.35</v>
      </c>
      <c r="CN1715" s="1">
        <v>41836</v>
      </c>
      <c r="CO1715">
        <v>149990</v>
      </c>
      <c r="CV1715">
        <v>0</v>
      </c>
      <c r="CZ1715" s="1">
        <v>41836</v>
      </c>
      <c r="DA1715">
        <v>0</v>
      </c>
      <c r="DD1715" t="s">
        <v>2387</v>
      </c>
      <c r="DF1715">
        <v>212</v>
      </c>
      <c r="DG1715">
        <v>37</v>
      </c>
      <c r="DJ1715" t="s">
        <v>17028</v>
      </c>
      <c r="DL1715">
        <v>50301</v>
      </c>
      <c r="DM1715" t="s">
        <v>17029</v>
      </c>
      <c r="DO1715" t="s">
        <v>17037</v>
      </c>
      <c r="DP1715">
        <v>0</v>
      </c>
      <c r="DQ1715">
        <v>0</v>
      </c>
      <c r="DR1715" t="s">
        <v>411</v>
      </c>
      <c r="DS1715" t="b">
        <v>1</v>
      </c>
      <c r="DT1715" t="s">
        <v>470</v>
      </c>
      <c r="DU1715" t="s">
        <v>471</v>
      </c>
      <c r="DV1715" t="s">
        <v>472</v>
      </c>
      <c r="DX1715">
        <v>-9999</v>
      </c>
      <c r="DZ1715" t="s">
        <v>447</v>
      </c>
      <c r="EA1715" t="s">
        <v>448</v>
      </c>
      <c r="EB1715" t="s">
        <v>742</v>
      </c>
      <c r="EC1715">
        <v>20101217</v>
      </c>
      <c r="ED1715" t="s">
        <v>474</v>
      </c>
      <c r="EF1715">
        <v>1832</v>
      </c>
      <c r="EG1715">
        <v>1749.7</v>
      </c>
      <c r="EI1715">
        <v>20160407</v>
      </c>
      <c r="EJ1715">
        <v>0</v>
      </c>
      <c r="EK1715">
        <v>0</v>
      </c>
      <c r="EL1715" s="1">
        <v>38660</v>
      </c>
      <c r="EM1715" t="s">
        <v>17031</v>
      </c>
      <c r="EN1715" t="s">
        <v>17032</v>
      </c>
      <c r="EO1715" s="3">
        <v>4935000</v>
      </c>
      <c r="EP1715" t="s">
        <v>421</v>
      </c>
      <c r="EQ1715" t="s">
        <v>422</v>
      </c>
      <c r="ER1715">
        <v>0</v>
      </c>
      <c r="ES1715">
        <v>6</v>
      </c>
      <c r="ET1715">
        <v>0</v>
      </c>
      <c r="EU1715">
        <v>0</v>
      </c>
      <c r="EV1715">
        <v>0</v>
      </c>
      <c r="EW1715" s="2">
        <v>43222</v>
      </c>
      <c r="EX1715" s="1">
        <v>42879</v>
      </c>
      <c r="EY1715">
        <v>2016</v>
      </c>
      <c r="EZ1715">
        <v>2631.24</v>
      </c>
      <c r="FA1715" t="s">
        <v>17038</v>
      </c>
      <c r="FB1715">
        <v>0.25</v>
      </c>
      <c r="FC1715" t="s">
        <v>424</v>
      </c>
      <c r="FD1715" t="s">
        <v>425</v>
      </c>
      <c r="FE1715" s="1">
        <v>43159</v>
      </c>
      <c r="FF1715">
        <v>9</v>
      </c>
      <c r="FG1715">
        <v>7336671</v>
      </c>
      <c r="FH1715" t="s">
        <v>437</v>
      </c>
      <c r="FJ1715" s="1">
        <v>42879</v>
      </c>
      <c r="FK1715">
        <v>2016</v>
      </c>
      <c r="FL1715">
        <v>2631.24</v>
      </c>
      <c r="FM1715" t="s">
        <v>17038</v>
      </c>
      <c r="FN1715">
        <v>0.25</v>
      </c>
      <c r="FO1715" t="s">
        <v>424</v>
      </c>
      <c r="FP1715" t="s">
        <v>425</v>
      </c>
      <c r="FR1715">
        <v>22</v>
      </c>
      <c r="FS1715">
        <v>6799440</v>
      </c>
      <c r="FT1715" t="s">
        <v>17039</v>
      </c>
      <c r="FV1715" s="1">
        <v>42515</v>
      </c>
      <c r="FW1715">
        <v>2015</v>
      </c>
      <c r="FX1715">
        <v>2679.59</v>
      </c>
      <c r="FY1715" t="s">
        <v>17040</v>
      </c>
      <c r="FZ1715">
        <v>0.25</v>
      </c>
      <c r="GA1715" t="s">
        <v>424</v>
      </c>
      <c r="GB1715" t="s">
        <v>425</v>
      </c>
      <c r="GC1715" s="1">
        <v>43159</v>
      </c>
      <c r="GD1715">
        <v>21</v>
      </c>
      <c r="GE1715">
        <v>2851116</v>
      </c>
      <c r="GF1715" t="s">
        <v>480</v>
      </c>
      <c r="GH1715" s="1">
        <v>42515</v>
      </c>
      <c r="GI1715">
        <v>2015</v>
      </c>
      <c r="GJ1715">
        <v>2679.59</v>
      </c>
      <c r="GK1715" t="s">
        <v>17040</v>
      </c>
      <c r="GL1715">
        <v>0.25</v>
      </c>
      <c r="GM1715" t="s">
        <v>424</v>
      </c>
      <c r="GN1715" t="s">
        <v>425</v>
      </c>
      <c r="GP1715">
        <v>22</v>
      </c>
      <c r="GQ1715">
        <v>5747157</v>
      </c>
      <c r="GR1715" t="s">
        <v>17041</v>
      </c>
      <c r="GT1715" s="1">
        <v>41423</v>
      </c>
      <c r="GU1715">
        <v>2012</v>
      </c>
      <c r="GV1715">
        <v>1226.3499999999999</v>
      </c>
      <c r="GW1715" t="s">
        <v>17042</v>
      </c>
      <c r="GX1715">
        <v>4.75</v>
      </c>
      <c r="GY1715" t="s">
        <v>424</v>
      </c>
      <c r="GZ1715" t="s">
        <v>425</v>
      </c>
      <c r="HA1715" s="1">
        <v>41486</v>
      </c>
      <c r="HB1715">
        <v>2</v>
      </c>
      <c r="HC1715">
        <v>10125</v>
      </c>
      <c r="HD1715" t="s">
        <v>440</v>
      </c>
      <c r="HF1715" s="1">
        <v>41052</v>
      </c>
      <c r="HG1715">
        <v>2011</v>
      </c>
      <c r="HH1715">
        <v>1274.79</v>
      </c>
      <c r="HI1715" t="s">
        <v>17043</v>
      </c>
      <c r="HJ1715">
        <v>6</v>
      </c>
      <c r="HK1715" t="s">
        <v>424</v>
      </c>
      <c r="HL1715" t="s">
        <v>425</v>
      </c>
      <c r="HM1715" s="1">
        <v>41486</v>
      </c>
      <c r="HN1715">
        <v>14</v>
      </c>
      <c r="HO1715">
        <v>375</v>
      </c>
      <c r="HP1715" t="s">
        <v>776</v>
      </c>
    </row>
    <row r="1716" spans="1:224" x14ac:dyDescent="0.25">
      <c r="A1716">
        <v>16486723</v>
      </c>
      <c r="B1716">
        <v>1715</v>
      </c>
      <c r="C1716" t="s">
        <v>393</v>
      </c>
      <c r="D1716" t="s">
        <v>394</v>
      </c>
      <c r="F1716" t="str">
        <f>"37-3N-28-0741-0542-0000"</f>
        <v>37-3N-28-0741-0542-0000</v>
      </c>
      <c r="H1716" t="str">
        <f>"ESB INVESTMENTS LLC"</f>
        <v>ESB INVESTMENTS LLC</v>
      </c>
      <c r="I1716" t="str">
        <f>"95540 CLEMENTS RD"</f>
        <v>95540 CLEMENTS RD</v>
      </c>
      <c r="J1716" t="str">
        <f t="shared" ref="J1716:J1721" si="621">"FERNANDINA BEACH FL 32034"</f>
        <v>FERNANDINA BEACH FL 32034</v>
      </c>
      <c r="K1716" t="str">
        <f>"95962 GRAYLON DR"</f>
        <v>95962 GRAYLON DR</v>
      </c>
      <c r="L1716" t="str">
        <f t="shared" si="618"/>
        <v>YULEE FL 32097</v>
      </c>
      <c r="M1716" t="str">
        <f>"LOT 542 IN OR 1984/781 HERON ISLES PHASE TWO C-1 PBK 8/77"</f>
        <v>LOT 542 IN OR 1984/781 HERON ISLES PHASE TWO C-1 PBK 8/77</v>
      </c>
      <c r="N1716" t="str">
        <f>""</f>
        <v/>
      </c>
      <c r="O1716" t="str">
        <f>"44814"</f>
        <v>44814</v>
      </c>
      <c r="P1716" t="str">
        <f t="shared" si="597"/>
        <v>2017</v>
      </c>
      <c r="Q1716" t="str">
        <f>""</f>
        <v/>
      </c>
      <c r="R1716" t="str">
        <f t="shared" si="610"/>
        <v>N</v>
      </c>
      <c r="S1716" t="str">
        <f>""</f>
        <v/>
      </c>
      <c r="T1716" t="str">
        <f>"1283.69"</f>
        <v>1283.69</v>
      </c>
      <c r="U1716" t="str">
        <f t="shared" ref="U1716:V1719" si="622">"27500.00"</f>
        <v>27500.00</v>
      </c>
      <c r="V1716" t="str">
        <f t="shared" si="622"/>
        <v>27500.00</v>
      </c>
      <c r="W1716" t="str">
        <f t="shared" si="598"/>
        <v>2017</v>
      </c>
      <c r="X1716" t="str">
        <f>"12.00"</f>
        <v>12.00</v>
      </c>
      <c r="Y1716" t="str">
        <f>"1354.20"</f>
        <v>1354.20</v>
      </c>
      <c r="Z1716" t="str">
        <f>""</f>
        <v/>
      </c>
      <c r="AA1716" t="str">
        <f t="shared" ref="AA1716:AA1729" si="623">"30000.00"</f>
        <v>30000.00</v>
      </c>
      <c r="AB1716" t="str">
        <f t="shared" si="611"/>
        <v>Residential</v>
      </c>
      <c r="AC1716" t="str">
        <f t="shared" si="609"/>
        <v>0</v>
      </c>
      <c r="AD1716" t="str">
        <f>""</f>
        <v/>
      </c>
      <c r="AE1716" t="str">
        <f>""</f>
        <v/>
      </c>
      <c r="AF1716" t="str">
        <f t="shared" ref="AF1716:AF1733" si="624">"000"</f>
        <v>000</v>
      </c>
      <c r="AG1716" t="str">
        <f t="shared" si="620"/>
        <v>FL</v>
      </c>
      <c r="AH1716" t="str">
        <f>"5662.00"</f>
        <v>5662.00</v>
      </c>
      <c r="AI1716" t="str">
        <f t="shared" si="619"/>
        <v>30000.00</v>
      </c>
      <c r="AJ1716" t="str">
        <f>"C55-001-060-7711-8"</f>
        <v>C55-001-060-7711-8</v>
      </c>
      <c r="AK1716" t="str">
        <f>"31294"</f>
        <v>31294</v>
      </c>
      <c r="AL1716">
        <v>6</v>
      </c>
      <c r="AM1716">
        <v>1960</v>
      </c>
      <c r="AN1716">
        <v>1420.31</v>
      </c>
      <c r="AQ1716" t="s">
        <v>17044</v>
      </c>
      <c r="AR1716" t="s">
        <v>17044</v>
      </c>
      <c r="AS1716" t="s">
        <v>17044</v>
      </c>
      <c r="AU1716" t="s">
        <v>396</v>
      </c>
      <c r="AV1716">
        <v>2017</v>
      </c>
      <c r="AW1716" t="str">
        <f>"37-3N-28-0741-0542-0000 "</f>
        <v xml:space="preserve">37-3N-28-0741-0542-0000 </v>
      </c>
      <c r="AX1716">
        <v>95962</v>
      </c>
      <c r="AZ1716" t="s">
        <v>17045</v>
      </c>
      <c r="BA1716" t="s">
        <v>669</v>
      </c>
      <c r="BD1716" t="s">
        <v>2387</v>
      </c>
      <c r="BE1716" t="s">
        <v>393</v>
      </c>
      <c r="BF1716">
        <v>32097</v>
      </c>
      <c r="BG1716" t="s">
        <v>17046</v>
      </c>
      <c r="BH1716" t="s">
        <v>2388</v>
      </c>
      <c r="BI1716">
        <v>-81.5381969931925</v>
      </c>
      <c r="BJ1716">
        <v>30.644265747538299</v>
      </c>
      <c r="BK1716" t="s">
        <v>16125</v>
      </c>
      <c r="BM1716" t="s">
        <v>16126</v>
      </c>
      <c r="BN1716" t="s">
        <v>3983</v>
      </c>
      <c r="BO1716">
        <v>32034</v>
      </c>
      <c r="BP1716" t="s">
        <v>404</v>
      </c>
      <c r="BQ1716">
        <v>0</v>
      </c>
      <c r="BR1716" t="s">
        <v>491</v>
      </c>
      <c r="BS1716">
        <v>8001</v>
      </c>
      <c r="BT1716" t="s">
        <v>492</v>
      </c>
      <c r="BW1716">
        <v>5662</v>
      </c>
      <c r="BX1716" t="s">
        <v>407</v>
      </c>
      <c r="CD1716">
        <v>2017</v>
      </c>
      <c r="CE1716">
        <v>30000</v>
      </c>
      <c r="CG1716">
        <v>30000</v>
      </c>
      <c r="CH1716">
        <v>2017</v>
      </c>
      <c r="CI1716">
        <v>30000</v>
      </c>
      <c r="CK1716">
        <v>30000</v>
      </c>
      <c r="CL1716">
        <v>2017</v>
      </c>
      <c r="CM1716">
        <v>1283.69</v>
      </c>
      <c r="CN1716" s="1">
        <v>42164</v>
      </c>
      <c r="CO1716">
        <v>240000</v>
      </c>
      <c r="CV1716">
        <v>0</v>
      </c>
      <c r="CZ1716" s="1">
        <v>42164</v>
      </c>
      <c r="DA1716">
        <v>0</v>
      </c>
      <c r="DD1716" t="s">
        <v>2387</v>
      </c>
      <c r="DF1716">
        <v>542</v>
      </c>
      <c r="DG1716">
        <v>37</v>
      </c>
      <c r="DJ1716" t="s">
        <v>17028</v>
      </c>
      <c r="DL1716">
        <v>50301</v>
      </c>
      <c r="DM1716" t="s">
        <v>17029</v>
      </c>
      <c r="DO1716" t="s">
        <v>17047</v>
      </c>
      <c r="DP1716">
        <v>0</v>
      </c>
      <c r="DQ1716">
        <v>0</v>
      </c>
      <c r="DR1716" t="s">
        <v>411</v>
      </c>
      <c r="DS1716" t="b">
        <v>1</v>
      </c>
      <c r="DT1716" t="s">
        <v>470</v>
      </c>
      <c r="DU1716" t="s">
        <v>471</v>
      </c>
      <c r="DV1716" t="s">
        <v>472</v>
      </c>
      <c r="DX1716">
        <v>-9999</v>
      </c>
      <c r="DZ1716" t="s">
        <v>447</v>
      </c>
      <c r="EA1716" t="s">
        <v>448</v>
      </c>
      <c r="EB1716" t="s">
        <v>742</v>
      </c>
      <c r="EC1716">
        <v>20101217</v>
      </c>
      <c r="ED1716" t="s">
        <v>474</v>
      </c>
      <c r="EF1716">
        <v>3256.8</v>
      </c>
      <c r="EG1716">
        <v>3006.3</v>
      </c>
      <c r="EI1716">
        <v>20160407</v>
      </c>
      <c r="EJ1716">
        <v>0</v>
      </c>
      <c r="EK1716">
        <v>0</v>
      </c>
      <c r="EL1716" s="1">
        <v>38967</v>
      </c>
      <c r="EM1716" t="s">
        <v>17031</v>
      </c>
      <c r="EN1716" t="s">
        <v>17032</v>
      </c>
      <c r="EO1716" s="3">
        <v>4935000</v>
      </c>
      <c r="EP1716" t="s">
        <v>421</v>
      </c>
      <c r="EQ1716" t="s">
        <v>422</v>
      </c>
      <c r="ER1716">
        <v>0</v>
      </c>
      <c r="ES1716">
        <v>1</v>
      </c>
      <c r="ET1716">
        <v>0</v>
      </c>
      <c r="EU1716">
        <v>0</v>
      </c>
      <c r="EV1716">
        <v>0</v>
      </c>
      <c r="EW1716" s="2">
        <v>43222</v>
      </c>
      <c r="EX1716" s="1">
        <v>42515</v>
      </c>
      <c r="EY1716">
        <v>2015</v>
      </c>
      <c r="EZ1716">
        <v>1401.01</v>
      </c>
      <c r="FA1716" t="s">
        <v>17048</v>
      </c>
      <c r="FB1716">
        <v>4.75</v>
      </c>
      <c r="FC1716" t="s">
        <v>424</v>
      </c>
      <c r="FD1716" t="s">
        <v>425</v>
      </c>
      <c r="FE1716" s="1">
        <v>42871</v>
      </c>
      <c r="FF1716">
        <v>12</v>
      </c>
      <c r="FG1716">
        <v>13139</v>
      </c>
      <c r="FH1716" t="s">
        <v>955</v>
      </c>
    </row>
    <row r="1717" spans="1:224" x14ac:dyDescent="0.25">
      <c r="A1717">
        <v>16486724</v>
      </c>
      <c r="B1717">
        <v>1716</v>
      </c>
      <c r="C1717" t="s">
        <v>393</v>
      </c>
      <c r="D1717" t="s">
        <v>394</v>
      </c>
      <c r="F1717" t="str">
        <f>"37-3N-28-0741-0543-0000"</f>
        <v>37-3N-28-0741-0543-0000</v>
      </c>
      <c r="H1717" t="str">
        <f>"ESB INVESTMENTS LLC"</f>
        <v>ESB INVESTMENTS LLC</v>
      </c>
      <c r="I1717" t="str">
        <f>"95540 CLEMENTS RD"</f>
        <v>95540 CLEMENTS RD</v>
      </c>
      <c r="J1717" t="str">
        <f t="shared" si="621"/>
        <v>FERNANDINA BEACH FL 32034</v>
      </c>
      <c r="K1717" t="str">
        <f>"95974 GRAYLON DR"</f>
        <v>95974 GRAYLON DR</v>
      </c>
      <c r="L1717" t="str">
        <f t="shared" si="618"/>
        <v>YULEE FL 32097</v>
      </c>
      <c r="M1717" t="str">
        <f>"LOT 543 IN OR 1984/781 HERON ISLES PHASE TWO C-1 PBK 8/77"</f>
        <v>LOT 543 IN OR 1984/781 HERON ISLES PHASE TWO C-1 PBK 8/77</v>
      </c>
      <c r="N1717" t="str">
        <f>""</f>
        <v/>
      </c>
      <c r="O1717" t="str">
        <f>"44815"</f>
        <v>44815</v>
      </c>
      <c r="P1717" t="str">
        <f t="shared" si="597"/>
        <v>2017</v>
      </c>
      <c r="Q1717" t="str">
        <f>""</f>
        <v/>
      </c>
      <c r="R1717" t="str">
        <f t="shared" si="610"/>
        <v>N</v>
      </c>
      <c r="S1717" t="str">
        <f>""</f>
        <v/>
      </c>
      <c r="T1717" t="str">
        <f>"1283.69"</f>
        <v>1283.69</v>
      </c>
      <c r="U1717" t="str">
        <f t="shared" si="622"/>
        <v>27500.00</v>
      </c>
      <c r="V1717" t="str">
        <f t="shared" si="622"/>
        <v>27500.00</v>
      </c>
      <c r="W1717" t="str">
        <f t="shared" si="598"/>
        <v>2017</v>
      </c>
      <c r="X1717" t="str">
        <f>"12.00"</f>
        <v>12.00</v>
      </c>
      <c r="Y1717" t="str">
        <f>"1354.20"</f>
        <v>1354.20</v>
      </c>
      <c r="Z1717" t="str">
        <f>""</f>
        <v/>
      </c>
      <c r="AA1717" t="str">
        <f t="shared" si="623"/>
        <v>30000.00</v>
      </c>
      <c r="AB1717" t="str">
        <f t="shared" si="611"/>
        <v>Residential</v>
      </c>
      <c r="AC1717" t="str">
        <f t="shared" si="609"/>
        <v>0</v>
      </c>
      <c r="AD1717" t="str">
        <f>""</f>
        <v/>
      </c>
      <c r="AE1717" t="str">
        <f>""</f>
        <v/>
      </c>
      <c r="AF1717" t="str">
        <f t="shared" si="624"/>
        <v>000</v>
      </c>
      <c r="AG1717" t="str">
        <f t="shared" si="620"/>
        <v>FL</v>
      </c>
      <c r="AH1717" t="str">
        <f>"5662.00"</f>
        <v>5662.00</v>
      </c>
      <c r="AI1717" t="str">
        <f t="shared" si="619"/>
        <v>30000.00</v>
      </c>
      <c r="AJ1717" t="str">
        <f>"C55-001-060-7712-6"</f>
        <v>C55-001-060-7712-6</v>
      </c>
      <c r="AK1717" t="str">
        <f>"31295"</f>
        <v>31295</v>
      </c>
      <c r="AL1717">
        <v>6</v>
      </c>
      <c r="AM1717">
        <v>1961</v>
      </c>
      <c r="AN1717">
        <v>1420.31</v>
      </c>
      <c r="AQ1717" t="s">
        <v>17049</v>
      </c>
      <c r="AR1717" t="s">
        <v>17049</v>
      </c>
      <c r="AS1717" t="s">
        <v>17049</v>
      </c>
      <c r="AU1717" t="s">
        <v>396</v>
      </c>
      <c r="AV1717">
        <v>2017</v>
      </c>
      <c r="AW1717" t="str">
        <f>"37-3N-28-0741-0543-0000 "</f>
        <v xml:space="preserve">37-3N-28-0741-0543-0000 </v>
      </c>
      <c r="AX1717">
        <v>95974</v>
      </c>
      <c r="AZ1717" t="s">
        <v>17045</v>
      </c>
      <c r="BA1717" t="s">
        <v>669</v>
      </c>
      <c r="BD1717" t="s">
        <v>2387</v>
      </c>
      <c r="BE1717" t="s">
        <v>393</v>
      </c>
      <c r="BF1717">
        <v>32097</v>
      </c>
      <c r="BG1717" t="s">
        <v>17050</v>
      </c>
      <c r="BH1717" t="s">
        <v>2388</v>
      </c>
      <c r="BI1717">
        <v>-81.538347587393304</v>
      </c>
      <c r="BJ1717">
        <v>30.644309833539999</v>
      </c>
      <c r="BK1717" t="s">
        <v>16125</v>
      </c>
      <c r="BM1717" t="s">
        <v>16126</v>
      </c>
      <c r="BN1717" t="s">
        <v>3983</v>
      </c>
      <c r="BO1717">
        <v>32034</v>
      </c>
      <c r="BP1717" t="s">
        <v>404</v>
      </c>
      <c r="BQ1717">
        <v>0</v>
      </c>
      <c r="BR1717" t="s">
        <v>491</v>
      </c>
      <c r="BS1717">
        <v>8001</v>
      </c>
      <c r="BT1717" t="s">
        <v>492</v>
      </c>
      <c r="BW1717">
        <v>5662</v>
      </c>
      <c r="BX1717" t="s">
        <v>407</v>
      </c>
      <c r="CD1717">
        <v>2017</v>
      </c>
      <c r="CE1717">
        <v>30000</v>
      </c>
      <c r="CG1717">
        <v>30000</v>
      </c>
      <c r="CH1717">
        <v>2017</v>
      </c>
      <c r="CI1717">
        <v>30000</v>
      </c>
      <c r="CK1717">
        <v>30000</v>
      </c>
      <c r="CL1717">
        <v>2017</v>
      </c>
      <c r="CM1717">
        <v>1283.69</v>
      </c>
      <c r="CN1717" s="1">
        <v>42164</v>
      </c>
      <c r="CO1717">
        <v>240000</v>
      </c>
      <c r="CV1717">
        <v>0</v>
      </c>
      <c r="CZ1717" s="1">
        <v>42164</v>
      </c>
      <c r="DA1717">
        <v>0</v>
      </c>
      <c r="DD1717" t="s">
        <v>2387</v>
      </c>
      <c r="DF1717">
        <v>543</v>
      </c>
      <c r="DG1717">
        <v>37</v>
      </c>
      <c r="DJ1717" t="s">
        <v>17028</v>
      </c>
      <c r="DL1717">
        <v>50301</v>
      </c>
      <c r="DM1717" t="s">
        <v>17029</v>
      </c>
      <c r="DO1717" t="s">
        <v>17051</v>
      </c>
      <c r="DP1717">
        <v>0</v>
      </c>
      <c r="DQ1717">
        <v>0</v>
      </c>
      <c r="DR1717" t="s">
        <v>411</v>
      </c>
      <c r="DS1717" t="b">
        <v>1</v>
      </c>
      <c r="DT1717" t="s">
        <v>470</v>
      </c>
      <c r="DU1717" t="s">
        <v>471</v>
      </c>
      <c r="DV1717" t="s">
        <v>472</v>
      </c>
      <c r="DX1717">
        <v>-9999</v>
      </c>
      <c r="DZ1717" t="s">
        <v>447</v>
      </c>
      <c r="EA1717" t="s">
        <v>448</v>
      </c>
      <c r="EB1717" t="s">
        <v>742</v>
      </c>
      <c r="EC1717">
        <v>20101217</v>
      </c>
      <c r="ED1717" t="s">
        <v>474</v>
      </c>
      <c r="EF1717">
        <v>3295.3</v>
      </c>
      <c r="EG1717">
        <v>3045.6</v>
      </c>
      <c r="EI1717">
        <v>20160407</v>
      </c>
      <c r="EJ1717">
        <v>0</v>
      </c>
      <c r="EK1717">
        <v>0</v>
      </c>
      <c r="EL1717" s="1">
        <v>38968</v>
      </c>
      <c r="EM1717" t="s">
        <v>17031</v>
      </c>
      <c r="EN1717" t="s">
        <v>17032</v>
      </c>
      <c r="EO1717" s="3">
        <v>4935000</v>
      </c>
      <c r="EP1717" t="s">
        <v>421</v>
      </c>
      <c r="EQ1717" t="s">
        <v>422</v>
      </c>
      <c r="ER1717">
        <v>0</v>
      </c>
      <c r="ES1717">
        <v>1</v>
      </c>
      <c r="ET1717">
        <v>0</v>
      </c>
      <c r="EU1717">
        <v>0</v>
      </c>
      <c r="EV1717">
        <v>0</v>
      </c>
      <c r="EW1717" s="2">
        <v>43222</v>
      </c>
      <c r="EX1717" s="1">
        <v>42515</v>
      </c>
      <c r="EY1717">
        <v>2015</v>
      </c>
      <c r="EZ1717">
        <v>1401.01</v>
      </c>
      <c r="FA1717" t="s">
        <v>17052</v>
      </c>
      <c r="FB1717">
        <v>4.75</v>
      </c>
      <c r="FC1717" t="s">
        <v>424</v>
      </c>
      <c r="FD1717" t="s">
        <v>425</v>
      </c>
      <c r="FE1717" s="1">
        <v>42871</v>
      </c>
      <c r="FF1717">
        <v>12</v>
      </c>
      <c r="FG1717">
        <v>13139</v>
      </c>
      <c r="FH1717" t="s">
        <v>955</v>
      </c>
    </row>
    <row r="1718" spans="1:224" x14ac:dyDescent="0.25">
      <c r="A1718">
        <v>16486725</v>
      </c>
      <c r="B1718">
        <v>1717</v>
      </c>
      <c r="C1718" t="s">
        <v>393</v>
      </c>
      <c r="D1718" t="s">
        <v>394</v>
      </c>
      <c r="F1718" t="str">
        <f>"37-3N-28-0741-0544-0000"</f>
        <v>37-3N-28-0741-0544-0000</v>
      </c>
      <c r="H1718" t="str">
        <f>"ESB INVESTMENTS LLC"</f>
        <v>ESB INVESTMENTS LLC</v>
      </c>
      <c r="I1718" t="str">
        <f>"95540 CLEMENTS RD"</f>
        <v>95540 CLEMENTS RD</v>
      </c>
      <c r="J1718" t="str">
        <f t="shared" si="621"/>
        <v>FERNANDINA BEACH FL 32034</v>
      </c>
      <c r="K1718" t="str">
        <f>"95986 GRAYLON DR"</f>
        <v>95986 GRAYLON DR</v>
      </c>
      <c r="L1718" t="str">
        <f t="shared" si="618"/>
        <v>YULEE FL 32097</v>
      </c>
      <c r="M1718" t="str">
        <f>"LOT 544 IN OR 1984/781 HERON ISLES PHASE TWO C-1 PBK 8/77"</f>
        <v>LOT 544 IN OR 1984/781 HERON ISLES PHASE TWO C-1 PBK 8/77</v>
      </c>
      <c r="N1718" t="str">
        <f>""</f>
        <v/>
      </c>
      <c r="O1718" t="str">
        <f>"44816"</f>
        <v>44816</v>
      </c>
      <c r="P1718" t="str">
        <f t="shared" si="597"/>
        <v>2017</v>
      </c>
      <c r="Q1718" t="str">
        <f>""</f>
        <v/>
      </c>
      <c r="R1718" t="str">
        <f t="shared" si="610"/>
        <v>N</v>
      </c>
      <c r="S1718" t="str">
        <f>""</f>
        <v/>
      </c>
      <c r="T1718" t="str">
        <f>"1283.69"</f>
        <v>1283.69</v>
      </c>
      <c r="U1718" t="str">
        <f t="shared" si="622"/>
        <v>27500.00</v>
      </c>
      <c r="V1718" t="str">
        <f t="shared" si="622"/>
        <v>27500.00</v>
      </c>
      <c r="W1718" t="str">
        <f t="shared" si="598"/>
        <v>2017</v>
      </c>
      <c r="X1718" t="str">
        <f>"12.00"</f>
        <v>12.00</v>
      </c>
      <c r="Y1718" t="str">
        <f>"1354.20"</f>
        <v>1354.20</v>
      </c>
      <c r="Z1718" t="str">
        <f>""</f>
        <v/>
      </c>
      <c r="AA1718" t="str">
        <f t="shared" si="623"/>
        <v>30000.00</v>
      </c>
      <c r="AB1718" t="str">
        <f t="shared" si="611"/>
        <v>Residential</v>
      </c>
      <c r="AC1718" t="str">
        <f t="shared" si="609"/>
        <v>0</v>
      </c>
      <c r="AD1718" t="str">
        <f>""</f>
        <v/>
      </c>
      <c r="AE1718" t="str">
        <f>""</f>
        <v/>
      </c>
      <c r="AF1718" t="str">
        <f t="shared" si="624"/>
        <v>000</v>
      </c>
      <c r="AG1718" t="str">
        <f t="shared" si="620"/>
        <v>FL</v>
      </c>
      <c r="AH1718" t="str">
        <f>"6534.00"</f>
        <v>6534.00</v>
      </c>
      <c r="AI1718" t="str">
        <f t="shared" si="619"/>
        <v>30000.00</v>
      </c>
      <c r="AJ1718" t="str">
        <f>"C55-001-060-7713-4"</f>
        <v>C55-001-060-7713-4</v>
      </c>
      <c r="AK1718" t="str">
        <f>"31296"</f>
        <v>31296</v>
      </c>
      <c r="AL1718">
        <v>6</v>
      </c>
      <c r="AM1718">
        <v>1962</v>
      </c>
      <c r="AN1718">
        <v>1420.31</v>
      </c>
      <c r="AQ1718" t="s">
        <v>17053</v>
      </c>
      <c r="AR1718" t="s">
        <v>17053</v>
      </c>
      <c r="AS1718" t="s">
        <v>17053</v>
      </c>
      <c r="AU1718" t="s">
        <v>396</v>
      </c>
      <c r="AV1718">
        <v>2017</v>
      </c>
      <c r="AW1718" t="str">
        <f>"37-3N-28-0741-0544-0000 "</f>
        <v xml:space="preserve">37-3N-28-0741-0544-0000 </v>
      </c>
      <c r="AX1718">
        <v>95986</v>
      </c>
      <c r="AZ1718" t="s">
        <v>17045</v>
      </c>
      <c r="BA1718" t="s">
        <v>669</v>
      </c>
      <c r="BD1718" t="s">
        <v>2387</v>
      </c>
      <c r="BE1718" t="s">
        <v>393</v>
      </c>
      <c r="BF1718">
        <v>32097</v>
      </c>
      <c r="BG1718" t="s">
        <v>17054</v>
      </c>
      <c r="BH1718" t="s">
        <v>2388</v>
      </c>
      <c r="BI1718">
        <v>-81.538509106792105</v>
      </c>
      <c r="BJ1718">
        <v>30.644360828931699</v>
      </c>
      <c r="BK1718" t="s">
        <v>16125</v>
      </c>
      <c r="BM1718" t="s">
        <v>16126</v>
      </c>
      <c r="BN1718" t="s">
        <v>3983</v>
      </c>
      <c r="BO1718">
        <v>32034</v>
      </c>
      <c r="BP1718" t="s">
        <v>404</v>
      </c>
      <c r="BQ1718">
        <v>0</v>
      </c>
      <c r="BR1718" t="s">
        <v>491</v>
      </c>
      <c r="BS1718">
        <v>8001</v>
      </c>
      <c r="BT1718" t="s">
        <v>492</v>
      </c>
      <c r="BW1718">
        <v>6534</v>
      </c>
      <c r="BX1718" t="s">
        <v>407</v>
      </c>
      <c r="CD1718">
        <v>2017</v>
      </c>
      <c r="CE1718">
        <v>30000</v>
      </c>
      <c r="CG1718">
        <v>30000</v>
      </c>
      <c r="CH1718">
        <v>2017</v>
      </c>
      <c r="CI1718">
        <v>30000</v>
      </c>
      <c r="CK1718">
        <v>30000</v>
      </c>
      <c r="CL1718">
        <v>2017</v>
      </c>
      <c r="CM1718">
        <v>1283.69</v>
      </c>
      <c r="CN1718" s="1">
        <v>42164</v>
      </c>
      <c r="CO1718">
        <v>240000</v>
      </c>
      <c r="CV1718">
        <v>0</v>
      </c>
      <c r="CZ1718" s="1">
        <v>42164</v>
      </c>
      <c r="DA1718">
        <v>0</v>
      </c>
      <c r="DD1718" t="s">
        <v>2387</v>
      </c>
      <c r="DF1718">
        <v>544</v>
      </c>
      <c r="DG1718">
        <v>37</v>
      </c>
      <c r="DJ1718" t="s">
        <v>17028</v>
      </c>
      <c r="DL1718">
        <v>50301</v>
      </c>
      <c r="DM1718" t="s">
        <v>17029</v>
      </c>
      <c r="DO1718" t="s">
        <v>17055</v>
      </c>
      <c r="DP1718">
        <v>0</v>
      </c>
      <c r="DQ1718">
        <v>0</v>
      </c>
      <c r="DR1718" t="s">
        <v>411</v>
      </c>
      <c r="DS1718" t="b">
        <v>1</v>
      </c>
      <c r="DT1718" t="s">
        <v>470</v>
      </c>
      <c r="DU1718" t="s">
        <v>471</v>
      </c>
      <c r="DV1718" t="s">
        <v>472</v>
      </c>
      <c r="DX1718">
        <v>-9999</v>
      </c>
      <c r="DZ1718" t="s">
        <v>447</v>
      </c>
      <c r="EA1718" t="s">
        <v>448</v>
      </c>
      <c r="EB1718" t="s">
        <v>742</v>
      </c>
      <c r="EC1718">
        <v>20101217</v>
      </c>
      <c r="ED1718" t="s">
        <v>474</v>
      </c>
      <c r="EF1718">
        <v>3338.4</v>
      </c>
      <c r="EG1718">
        <v>3089.5</v>
      </c>
      <c r="EI1718">
        <v>20160407</v>
      </c>
      <c r="EJ1718">
        <v>0</v>
      </c>
      <c r="EK1718">
        <v>0</v>
      </c>
      <c r="EL1718" s="1">
        <v>38969</v>
      </c>
      <c r="EM1718" t="s">
        <v>17031</v>
      </c>
      <c r="EN1718" t="s">
        <v>17032</v>
      </c>
      <c r="EO1718" s="3">
        <v>4935000</v>
      </c>
      <c r="EP1718" t="s">
        <v>421</v>
      </c>
      <c r="EQ1718" t="s">
        <v>422</v>
      </c>
      <c r="ER1718">
        <v>0</v>
      </c>
      <c r="ES1718">
        <v>1</v>
      </c>
      <c r="ET1718">
        <v>0</v>
      </c>
      <c r="EU1718">
        <v>0</v>
      </c>
      <c r="EV1718">
        <v>0</v>
      </c>
      <c r="EW1718" s="2">
        <v>43222</v>
      </c>
      <c r="EX1718" s="1">
        <v>42515</v>
      </c>
      <c r="EY1718">
        <v>2015</v>
      </c>
      <c r="EZ1718">
        <v>1401.01</v>
      </c>
      <c r="FA1718" t="s">
        <v>17056</v>
      </c>
      <c r="FB1718">
        <v>4.75</v>
      </c>
      <c r="FC1718" t="s">
        <v>424</v>
      </c>
      <c r="FD1718" t="s">
        <v>425</v>
      </c>
      <c r="FE1718" s="1">
        <v>42871</v>
      </c>
      <c r="FF1718">
        <v>12</v>
      </c>
      <c r="FG1718">
        <v>13139</v>
      </c>
      <c r="FH1718" t="s">
        <v>955</v>
      </c>
    </row>
    <row r="1719" spans="1:224" x14ac:dyDescent="0.25">
      <c r="A1719">
        <v>16486726</v>
      </c>
      <c r="B1719">
        <v>1718</v>
      </c>
      <c r="C1719" t="s">
        <v>393</v>
      </c>
      <c r="D1719" t="s">
        <v>394</v>
      </c>
      <c r="F1719" t="str">
        <f>"37-3N-28-0741-0570-0000"</f>
        <v>37-3N-28-0741-0570-0000</v>
      </c>
      <c r="H1719" t="str">
        <f>"ESB INVESTMENTS LLC"</f>
        <v>ESB INVESTMENTS LLC</v>
      </c>
      <c r="I1719" t="str">
        <f>"95540 CLEMENTS RD"</f>
        <v>95540 CLEMENTS RD</v>
      </c>
      <c r="J1719" t="str">
        <f t="shared" si="621"/>
        <v>FERNANDINA BEACH FL 32034</v>
      </c>
      <c r="K1719" t="str">
        <f>"97597 ALBATROSS DR"</f>
        <v>97597 ALBATROSS DR</v>
      </c>
      <c r="L1719" t="str">
        <f t="shared" si="618"/>
        <v>YULEE FL 32097</v>
      </c>
      <c r="M1719" t="str">
        <f>"LOT 570 IN OR 1940/85 HERON ISLES PHASE TWO C-1 PBK 8/77"</f>
        <v>LOT 570 IN OR 1940/85 HERON ISLES PHASE TWO C-1 PBK 8/77</v>
      </c>
      <c r="N1719" t="str">
        <f>""</f>
        <v/>
      </c>
      <c r="O1719" t="str">
        <f>"44842"</f>
        <v>44842</v>
      </c>
      <c r="P1719" t="str">
        <f t="shared" si="597"/>
        <v>2017</v>
      </c>
      <c r="Q1719" t="str">
        <f>""</f>
        <v/>
      </c>
      <c r="R1719" t="str">
        <f t="shared" si="610"/>
        <v>N</v>
      </c>
      <c r="S1719" t="str">
        <f>""</f>
        <v/>
      </c>
      <c r="T1719" t="str">
        <f>"1283.69"</f>
        <v>1283.69</v>
      </c>
      <c r="U1719" t="str">
        <f t="shared" si="622"/>
        <v>27500.00</v>
      </c>
      <c r="V1719" t="str">
        <f t="shared" si="622"/>
        <v>27500.00</v>
      </c>
      <c r="W1719" t="str">
        <f t="shared" si="598"/>
        <v>2017</v>
      </c>
      <c r="X1719" t="str">
        <f>"12.00"</f>
        <v>12.00</v>
      </c>
      <c r="Y1719" t="str">
        <f>"1354.20"</f>
        <v>1354.20</v>
      </c>
      <c r="Z1719" t="str">
        <f>""</f>
        <v/>
      </c>
      <c r="AA1719" t="str">
        <f t="shared" si="623"/>
        <v>30000.00</v>
      </c>
      <c r="AB1719" t="str">
        <f t="shared" si="611"/>
        <v>Residential</v>
      </c>
      <c r="AC1719" t="str">
        <f t="shared" si="609"/>
        <v>0</v>
      </c>
      <c r="AD1719" t="str">
        <f>""</f>
        <v/>
      </c>
      <c r="AE1719" t="str">
        <f>""</f>
        <v/>
      </c>
      <c r="AF1719" t="str">
        <f t="shared" si="624"/>
        <v>000</v>
      </c>
      <c r="AG1719" t="str">
        <f t="shared" si="620"/>
        <v>FL</v>
      </c>
      <c r="AH1719" t="str">
        <f>"6969.00"</f>
        <v>6969.00</v>
      </c>
      <c r="AI1719" t="str">
        <f t="shared" si="619"/>
        <v>30000.00</v>
      </c>
      <c r="AJ1719" t="str">
        <f>"C55-001-060-7739-9"</f>
        <v>C55-001-060-7739-9</v>
      </c>
      <c r="AK1719" t="str">
        <f>"31322"</f>
        <v>31322</v>
      </c>
      <c r="AL1719">
        <v>6</v>
      </c>
      <c r="AM1719">
        <v>1963</v>
      </c>
      <c r="AN1719">
        <v>1420.31</v>
      </c>
      <c r="AQ1719" t="s">
        <v>17057</v>
      </c>
      <c r="AR1719" t="s">
        <v>17057</v>
      </c>
      <c r="AS1719" t="s">
        <v>17057</v>
      </c>
      <c r="AU1719" t="s">
        <v>396</v>
      </c>
      <c r="AV1719">
        <v>2017</v>
      </c>
      <c r="AW1719" t="str">
        <f>"37-3N-28-0741-0570-0000 "</f>
        <v xml:space="preserve">37-3N-28-0741-0570-0000 </v>
      </c>
      <c r="AX1719">
        <v>97597</v>
      </c>
      <c r="AZ1719" t="s">
        <v>17058</v>
      </c>
      <c r="BA1719" t="s">
        <v>669</v>
      </c>
      <c r="BD1719" t="s">
        <v>2387</v>
      </c>
      <c r="BE1719" t="s">
        <v>393</v>
      </c>
      <c r="BF1719">
        <v>32097</v>
      </c>
      <c r="BG1719" t="s">
        <v>17059</v>
      </c>
      <c r="BH1719" t="s">
        <v>2388</v>
      </c>
      <c r="BI1719">
        <v>-81.536242177468907</v>
      </c>
      <c r="BJ1719">
        <v>30.642606275098299</v>
      </c>
      <c r="BK1719" t="s">
        <v>16125</v>
      </c>
      <c r="BM1719" t="s">
        <v>16126</v>
      </c>
      <c r="BN1719" t="s">
        <v>3983</v>
      </c>
      <c r="BO1719">
        <v>32034</v>
      </c>
      <c r="BP1719" t="s">
        <v>404</v>
      </c>
      <c r="BQ1719">
        <v>0</v>
      </c>
      <c r="BR1719" t="s">
        <v>491</v>
      </c>
      <c r="BS1719">
        <v>8001</v>
      </c>
      <c r="BT1719" t="s">
        <v>492</v>
      </c>
      <c r="BW1719">
        <v>6969</v>
      </c>
      <c r="BX1719" t="s">
        <v>407</v>
      </c>
      <c r="CD1719">
        <v>2017</v>
      </c>
      <c r="CE1719">
        <v>30000</v>
      </c>
      <c r="CG1719">
        <v>30000</v>
      </c>
      <c r="CH1719">
        <v>2017</v>
      </c>
      <c r="CI1719">
        <v>30000</v>
      </c>
      <c r="CK1719">
        <v>30000</v>
      </c>
      <c r="CL1719">
        <v>2017</v>
      </c>
      <c r="CM1719">
        <v>1283.69</v>
      </c>
      <c r="CN1719" s="1">
        <v>41906</v>
      </c>
      <c r="CO1719">
        <v>30000</v>
      </c>
      <c r="CZ1719" s="1">
        <v>41906</v>
      </c>
      <c r="DD1719" t="s">
        <v>2387</v>
      </c>
      <c r="DF1719">
        <v>570</v>
      </c>
      <c r="DG1719">
        <v>37</v>
      </c>
      <c r="DJ1719" t="s">
        <v>17028</v>
      </c>
      <c r="DL1719">
        <v>50301</v>
      </c>
      <c r="DM1719" t="s">
        <v>17029</v>
      </c>
      <c r="DO1719" t="s">
        <v>17060</v>
      </c>
      <c r="DP1719">
        <v>0</v>
      </c>
      <c r="DQ1719">
        <v>0</v>
      </c>
      <c r="DR1719" t="s">
        <v>411</v>
      </c>
      <c r="DS1719" t="b">
        <v>1</v>
      </c>
      <c r="DT1719" t="s">
        <v>470</v>
      </c>
      <c r="DU1719" t="s">
        <v>471</v>
      </c>
      <c r="DV1719" t="s">
        <v>472</v>
      </c>
      <c r="DX1719">
        <v>-9999</v>
      </c>
      <c r="DZ1719" t="s">
        <v>447</v>
      </c>
      <c r="EA1719" t="s">
        <v>448</v>
      </c>
      <c r="EB1719" t="s">
        <v>742</v>
      </c>
      <c r="EC1719">
        <v>20101217</v>
      </c>
      <c r="ED1719" t="s">
        <v>474</v>
      </c>
      <c r="EF1719">
        <v>2429.9</v>
      </c>
      <c r="EG1719">
        <v>2174.1</v>
      </c>
      <c r="EI1719">
        <v>20160407</v>
      </c>
      <c r="EJ1719">
        <v>0</v>
      </c>
      <c r="EK1719">
        <v>0</v>
      </c>
      <c r="EL1719" s="1">
        <v>38995</v>
      </c>
      <c r="EM1719" t="s">
        <v>17031</v>
      </c>
      <c r="EN1719" t="s">
        <v>17032</v>
      </c>
      <c r="EO1719" s="3">
        <v>4935000</v>
      </c>
      <c r="EP1719" t="s">
        <v>421</v>
      </c>
      <c r="EQ1719" t="s">
        <v>422</v>
      </c>
      <c r="ER1719">
        <v>0</v>
      </c>
      <c r="ES1719">
        <v>1</v>
      </c>
      <c r="ET1719">
        <v>0</v>
      </c>
      <c r="EU1719">
        <v>0</v>
      </c>
      <c r="EV1719">
        <v>0</v>
      </c>
      <c r="EW1719" s="2">
        <v>43222</v>
      </c>
      <c r="EX1719" s="1">
        <v>42515</v>
      </c>
      <c r="EY1719">
        <v>2015</v>
      </c>
      <c r="EZ1719">
        <v>1401.01</v>
      </c>
      <c r="FA1719" t="s">
        <v>17061</v>
      </c>
      <c r="FB1719">
        <v>4.75</v>
      </c>
      <c r="FC1719" t="s">
        <v>424</v>
      </c>
      <c r="FD1719" t="s">
        <v>425</v>
      </c>
      <c r="FE1719" s="1">
        <v>42871</v>
      </c>
      <c r="FF1719">
        <v>12</v>
      </c>
      <c r="FG1719">
        <v>13139</v>
      </c>
      <c r="FH1719" t="s">
        <v>955</v>
      </c>
    </row>
    <row r="1720" spans="1:224" x14ac:dyDescent="0.25">
      <c r="A1720">
        <v>16486727</v>
      </c>
      <c r="B1720">
        <v>1719</v>
      </c>
      <c r="C1720" t="s">
        <v>393</v>
      </c>
      <c r="D1720" t="s">
        <v>394</v>
      </c>
      <c r="F1720" t="str">
        <f>"37-3N-28-0743-0479-0000"</f>
        <v>37-3N-28-0743-0479-0000</v>
      </c>
      <c r="H1720" t="str">
        <f>"ESB INVESTMENTS LLC"</f>
        <v>ESB INVESTMENTS LLC</v>
      </c>
      <c r="I1720" t="str">
        <f>"95540 CLEMENTS RD"</f>
        <v>95540 CLEMENTS RD</v>
      </c>
      <c r="J1720" t="str">
        <f t="shared" si="621"/>
        <v>FERNANDINA BEACH FL 32034</v>
      </c>
      <c r="K1720" t="str">
        <f>"97612 ALBATROSS DR"</f>
        <v>97612 ALBATROSS DR</v>
      </c>
      <c r="L1720" t="str">
        <f t="shared" si="618"/>
        <v>YULEE FL 32097</v>
      </c>
      <c r="M1720" t="str">
        <f>"LOT 479 HERON ISLES PHASE TWO C-2 PBK 8/132"</f>
        <v>LOT 479 HERON ISLES PHASE TWO C-2 PBK 8/132</v>
      </c>
      <c r="N1720" t="str">
        <f>""</f>
        <v/>
      </c>
      <c r="O1720" t="str">
        <f>"56470"</f>
        <v>56470</v>
      </c>
      <c r="P1720" t="str">
        <f t="shared" si="597"/>
        <v>2017</v>
      </c>
      <c r="Q1720" t="str">
        <f>""</f>
        <v/>
      </c>
      <c r="R1720" t="str">
        <f t="shared" si="610"/>
        <v>N</v>
      </c>
      <c r="S1720" t="str">
        <f>""</f>
        <v/>
      </c>
      <c r="T1720" t="str">
        <f t="shared" ref="T1720:T1729" si="625">"1305.04"</f>
        <v>1305.04</v>
      </c>
      <c r="U1720" t="str">
        <f t="shared" ref="U1720:V1729" si="626">"30000.00"</f>
        <v>30000.00</v>
      </c>
      <c r="V1720" t="str">
        <f t="shared" si="626"/>
        <v>30000.00</v>
      </c>
      <c r="W1720" t="str">
        <f t="shared" si="598"/>
        <v>2017</v>
      </c>
      <c r="X1720" t="str">
        <f>""</f>
        <v/>
      </c>
      <c r="Y1720" t="str">
        <f t="shared" ref="Y1720:Y1729" si="627">"1376.19"</f>
        <v>1376.19</v>
      </c>
      <c r="Z1720" t="str">
        <f>""</f>
        <v/>
      </c>
      <c r="AA1720" t="str">
        <f t="shared" si="623"/>
        <v>30000.00</v>
      </c>
      <c r="AB1720" t="str">
        <f t="shared" si="611"/>
        <v>Residential</v>
      </c>
      <c r="AC1720" t="str">
        <f t="shared" si="609"/>
        <v>0</v>
      </c>
      <c r="AD1720" t="str">
        <f>""</f>
        <v/>
      </c>
      <c r="AE1720" t="str">
        <f>""</f>
        <v/>
      </c>
      <c r="AF1720" t="str">
        <f t="shared" si="624"/>
        <v>000</v>
      </c>
      <c r="AG1720" t="str">
        <f t="shared" si="620"/>
        <v>FL</v>
      </c>
      <c r="AH1720" t="str">
        <f>"6098.00"</f>
        <v>6098.00</v>
      </c>
      <c r="AI1720" t="str">
        <f t="shared" si="619"/>
        <v>30000.00</v>
      </c>
      <c r="AJ1720" t="str">
        <f>"C55-001-080-5251-5"</f>
        <v>C55-001-080-5251-5</v>
      </c>
      <c r="AK1720" t="str">
        <f>"31391"</f>
        <v>31391</v>
      </c>
      <c r="AL1720">
        <v>6</v>
      </c>
      <c r="AM1720">
        <v>1964</v>
      </c>
      <c r="AN1720">
        <v>1443.4</v>
      </c>
      <c r="AQ1720" t="s">
        <v>17062</v>
      </c>
      <c r="AR1720" t="s">
        <v>17062</v>
      </c>
      <c r="AS1720" t="s">
        <v>17062</v>
      </c>
      <c r="AU1720" t="s">
        <v>396</v>
      </c>
      <c r="AV1720">
        <v>2017</v>
      </c>
      <c r="AW1720" t="str">
        <f>"37-3N-28-0743-0479-0000 "</f>
        <v xml:space="preserve">37-3N-28-0743-0479-0000 </v>
      </c>
      <c r="AX1720">
        <v>97612</v>
      </c>
      <c r="AZ1720" t="s">
        <v>17058</v>
      </c>
      <c r="BA1720" t="s">
        <v>669</v>
      </c>
      <c r="BD1720" t="s">
        <v>2387</v>
      </c>
      <c r="BE1720" t="s">
        <v>393</v>
      </c>
      <c r="BF1720">
        <v>32097</v>
      </c>
      <c r="BG1720" t="s">
        <v>17063</v>
      </c>
      <c r="BH1720" t="s">
        <v>2388</v>
      </c>
      <c r="BI1720">
        <v>-81.535576932420696</v>
      </c>
      <c r="BJ1720">
        <v>30.642646275028099</v>
      </c>
      <c r="BK1720" t="s">
        <v>16125</v>
      </c>
      <c r="BM1720" t="s">
        <v>16126</v>
      </c>
      <c r="BN1720" t="s">
        <v>3983</v>
      </c>
      <c r="BO1720">
        <v>32034</v>
      </c>
      <c r="BP1720" t="s">
        <v>404</v>
      </c>
      <c r="BQ1720">
        <v>0</v>
      </c>
      <c r="BR1720" t="s">
        <v>491</v>
      </c>
      <c r="BS1720">
        <v>8001</v>
      </c>
      <c r="BT1720" t="s">
        <v>492</v>
      </c>
      <c r="BW1720">
        <v>6098</v>
      </c>
      <c r="BX1720" t="s">
        <v>407</v>
      </c>
      <c r="CD1720">
        <v>2017</v>
      </c>
      <c r="CE1720">
        <v>30000</v>
      </c>
      <c r="CG1720">
        <v>30000</v>
      </c>
      <c r="CH1720">
        <v>2017</v>
      </c>
      <c r="CI1720">
        <v>30000</v>
      </c>
      <c r="CK1720">
        <v>30000</v>
      </c>
      <c r="CL1720">
        <v>2017</v>
      </c>
      <c r="CM1720">
        <v>1305.04</v>
      </c>
      <c r="CN1720" s="1">
        <v>42807</v>
      </c>
      <c r="CO1720">
        <v>162500</v>
      </c>
      <c r="CV1720">
        <v>171920</v>
      </c>
      <c r="CX1720" t="s">
        <v>3031</v>
      </c>
      <c r="CZ1720" s="1">
        <v>42807</v>
      </c>
      <c r="DA1720">
        <v>0</v>
      </c>
      <c r="DD1720" t="s">
        <v>2387</v>
      </c>
      <c r="DG1720">
        <v>37</v>
      </c>
      <c r="DL1720">
        <v>50301</v>
      </c>
      <c r="DM1720" t="s">
        <v>17029</v>
      </c>
      <c r="DO1720" t="s">
        <v>17064</v>
      </c>
      <c r="DP1720">
        <v>0</v>
      </c>
      <c r="DQ1720">
        <v>0</v>
      </c>
      <c r="DR1720" t="s">
        <v>411</v>
      </c>
      <c r="EL1720" s="1">
        <v>39035</v>
      </c>
      <c r="EM1720" t="s">
        <v>17031</v>
      </c>
      <c r="EN1720" t="s">
        <v>17032</v>
      </c>
      <c r="EO1720" s="3">
        <v>4935000</v>
      </c>
    </row>
    <row r="1721" spans="1:224" x14ac:dyDescent="0.25">
      <c r="A1721">
        <v>16486728</v>
      </c>
      <c r="B1721">
        <v>1720</v>
      </c>
      <c r="C1721" t="s">
        <v>393</v>
      </c>
      <c r="D1721" t="s">
        <v>394</v>
      </c>
      <c r="F1721" t="str">
        <f>"37-3N-28-0743-0486-0000"</f>
        <v>37-3N-28-0743-0486-0000</v>
      </c>
      <c r="H1721" t="str">
        <f>"ESB INVSTEMENTS LLC"</f>
        <v>ESB INVSTEMENTS LLC</v>
      </c>
      <c r="I1721" t="str">
        <f>"95540 CLEMENTS ROAD"</f>
        <v>95540 CLEMENTS ROAD</v>
      </c>
      <c r="J1721" t="str">
        <f t="shared" si="621"/>
        <v>FERNANDINA BEACH FL 32034</v>
      </c>
      <c r="K1721" t="str">
        <f>"97654 ALBATROSS DR"</f>
        <v>97654 ALBATROSS DR</v>
      </c>
      <c r="L1721" t="str">
        <f t="shared" si="618"/>
        <v>YULEE FL 32097</v>
      </c>
      <c r="M1721" t="str">
        <f>"LOT 486 IN OR 2147/844 HERON ISLES PHASE TWO C-2 PBK 8/132"</f>
        <v>LOT 486 IN OR 2147/844 HERON ISLES PHASE TWO C-2 PBK 8/132</v>
      </c>
      <c r="N1721" t="str">
        <f>""</f>
        <v/>
      </c>
      <c r="O1721" t="str">
        <f>"56477"</f>
        <v>56477</v>
      </c>
      <c r="P1721" t="str">
        <f t="shared" si="597"/>
        <v>2017</v>
      </c>
      <c r="Q1721" t="str">
        <f>""</f>
        <v/>
      </c>
      <c r="R1721" t="str">
        <f t="shared" si="610"/>
        <v>N</v>
      </c>
      <c r="S1721" t="str">
        <f>""</f>
        <v/>
      </c>
      <c r="T1721" t="str">
        <f t="shared" si="625"/>
        <v>1305.04</v>
      </c>
      <c r="U1721" t="str">
        <f t="shared" si="626"/>
        <v>30000.00</v>
      </c>
      <c r="V1721" t="str">
        <f t="shared" si="626"/>
        <v>30000.00</v>
      </c>
      <c r="W1721" t="str">
        <f t="shared" si="598"/>
        <v>2017</v>
      </c>
      <c r="X1721" t="str">
        <f>"4.00"</f>
        <v>4.00</v>
      </c>
      <c r="Y1721" t="str">
        <f t="shared" si="627"/>
        <v>1376.19</v>
      </c>
      <c r="Z1721" t="str">
        <f>""</f>
        <v/>
      </c>
      <c r="AA1721" t="str">
        <f t="shared" si="623"/>
        <v>30000.00</v>
      </c>
      <c r="AB1721" t="str">
        <f t="shared" si="611"/>
        <v>Residential</v>
      </c>
      <c r="AC1721" t="str">
        <f t="shared" si="609"/>
        <v>0</v>
      </c>
      <c r="AD1721" t="str">
        <f>""</f>
        <v/>
      </c>
      <c r="AE1721" t="str">
        <f>""</f>
        <v/>
      </c>
      <c r="AF1721" t="str">
        <f t="shared" si="624"/>
        <v>000</v>
      </c>
      <c r="AG1721" t="str">
        <f t="shared" si="620"/>
        <v>FL</v>
      </c>
      <c r="AH1721" t="str">
        <f>"7405.00"</f>
        <v>7405.00</v>
      </c>
      <c r="AI1721" t="str">
        <f t="shared" si="619"/>
        <v>30000.00</v>
      </c>
      <c r="AJ1721" t="str">
        <f>"C55-001-080-5258-0"</f>
        <v>C55-001-080-5258-0</v>
      </c>
      <c r="AK1721" t="str">
        <f>"31398"</f>
        <v>31398</v>
      </c>
      <c r="AL1721">
        <v>6</v>
      </c>
      <c r="AM1721">
        <v>1965</v>
      </c>
      <c r="AN1721">
        <v>1443.4</v>
      </c>
      <c r="AQ1721" t="s">
        <v>17065</v>
      </c>
      <c r="AR1721" t="s">
        <v>17065</v>
      </c>
      <c r="AS1721" t="s">
        <v>17065</v>
      </c>
      <c r="AU1721" t="s">
        <v>396</v>
      </c>
      <c r="AV1721">
        <v>2017</v>
      </c>
      <c r="AW1721" t="str">
        <f>"37-3N-28-0743-0486-0000 "</f>
        <v xml:space="preserve">37-3N-28-0743-0486-0000 </v>
      </c>
      <c r="AX1721">
        <v>97654</v>
      </c>
      <c r="AZ1721" t="s">
        <v>17058</v>
      </c>
      <c r="BA1721" t="s">
        <v>669</v>
      </c>
      <c r="BD1721" t="s">
        <v>2387</v>
      </c>
      <c r="BE1721" t="s">
        <v>393</v>
      </c>
      <c r="BF1721">
        <v>32097</v>
      </c>
      <c r="BG1721" t="s">
        <v>17066</v>
      </c>
      <c r="BH1721" t="s">
        <v>2388</v>
      </c>
      <c r="BI1721">
        <v>-81.535477152337904</v>
      </c>
      <c r="BJ1721">
        <v>30.6436704366672</v>
      </c>
      <c r="BK1721" t="s">
        <v>16125</v>
      </c>
      <c r="BM1721" t="s">
        <v>16126</v>
      </c>
      <c r="BN1721" t="s">
        <v>3983</v>
      </c>
      <c r="BO1721">
        <v>32034</v>
      </c>
      <c r="BP1721" t="s">
        <v>404</v>
      </c>
      <c r="BQ1721">
        <v>0</v>
      </c>
      <c r="BR1721" t="s">
        <v>491</v>
      </c>
      <c r="BS1721">
        <v>8001</v>
      </c>
      <c r="BT1721" t="s">
        <v>492</v>
      </c>
      <c r="BW1721">
        <v>7405</v>
      </c>
      <c r="BX1721" t="s">
        <v>407</v>
      </c>
      <c r="CD1721">
        <v>2017</v>
      </c>
      <c r="CE1721">
        <v>30000</v>
      </c>
      <c r="CG1721">
        <v>30000</v>
      </c>
      <c r="CH1721">
        <v>2017</v>
      </c>
      <c r="CI1721">
        <v>30000</v>
      </c>
      <c r="CK1721">
        <v>30000</v>
      </c>
      <c r="CL1721">
        <v>2017</v>
      </c>
      <c r="CM1721">
        <v>1305.04</v>
      </c>
      <c r="CN1721" s="1">
        <v>43003</v>
      </c>
      <c r="CO1721">
        <v>36500</v>
      </c>
      <c r="CV1721">
        <v>114300</v>
      </c>
      <c r="CX1721" t="s">
        <v>3031</v>
      </c>
      <c r="CZ1721" s="1">
        <v>43003</v>
      </c>
      <c r="DA1721">
        <v>0</v>
      </c>
      <c r="DD1721" t="s">
        <v>2387</v>
      </c>
      <c r="DG1721">
        <v>37</v>
      </c>
      <c r="DL1721">
        <v>50301</v>
      </c>
      <c r="DM1721" t="s">
        <v>17029</v>
      </c>
      <c r="DO1721" t="s">
        <v>17067</v>
      </c>
      <c r="DP1721">
        <v>0</v>
      </c>
      <c r="DQ1721">
        <v>0</v>
      </c>
      <c r="DR1721" t="s">
        <v>411</v>
      </c>
      <c r="EL1721" s="1">
        <v>39042</v>
      </c>
      <c r="EM1721" t="s">
        <v>17031</v>
      </c>
      <c r="EN1721" t="s">
        <v>17032</v>
      </c>
      <c r="EO1721" s="3">
        <v>4935000</v>
      </c>
      <c r="EP1721" t="s">
        <v>421</v>
      </c>
      <c r="EQ1721" t="s">
        <v>422</v>
      </c>
      <c r="ER1721">
        <v>0</v>
      </c>
      <c r="ES1721">
        <v>1</v>
      </c>
      <c r="ET1721">
        <v>0</v>
      </c>
      <c r="EU1721">
        <v>0</v>
      </c>
      <c r="EV1721">
        <v>0</v>
      </c>
      <c r="EW1721" s="2">
        <v>43222</v>
      </c>
      <c r="EX1721" s="1">
        <v>42879</v>
      </c>
      <c r="EY1721">
        <v>2016</v>
      </c>
      <c r="EZ1721">
        <v>1041.67</v>
      </c>
      <c r="FA1721" t="s">
        <v>17068</v>
      </c>
      <c r="FB1721">
        <v>0.25</v>
      </c>
      <c r="FC1721" t="s">
        <v>424</v>
      </c>
      <c r="FD1721" t="s">
        <v>425</v>
      </c>
      <c r="FE1721" s="1">
        <v>43003</v>
      </c>
      <c r="FF1721">
        <v>4</v>
      </c>
      <c r="FG1721">
        <v>62</v>
      </c>
      <c r="FH1721" t="s">
        <v>463</v>
      </c>
    </row>
    <row r="1722" spans="1:224" x14ac:dyDescent="0.25">
      <c r="A1722">
        <v>16486729</v>
      </c>
      <c r="B1722">
        <v>1721</v>
      </c>
      <c r="C1722" t="s">
        <v>393</v>
      </c>
      <c r="D1722" t="s">
        <v>394</v>
      </c>
      <c r="F1722" t="str">
        <f>"37-3N-28-0743-0487-0000"</f>
        <v>37-3N-28-0743-0487-0000</v>
      </c>
      <c r="H1722" t="str">
        <f>"HERON ISLES JOINT VENTURE LLP"</f>
        <v>HERON ISLES JOINT VENTURE LLP</v>
      </c>
      <c r="I1722" t="str">
        <f>"2955 HARTLEY RD STE 108"</f>
        <v>2955 HARTLEY RD STE 108</v>
      </c>
      <c r="J1722" t="str">
        <f>"JACKSONVILLE FL 32257"</f>
        <v>JACKSONVILLE FL 32257</v>
      </c>
      <c r="K1722" t="str">
        <f>"97660 ALBATROSS DR"</f>
        <v>97660 ALBATROSS DR</v>
      </c>
      <c r="L1722" t="str">
        <f t="shared" si="618"/>
        <v>YULEE FL 32097</v>
      </c>
      <c r="M1722" t="str">
        <f>"LOT 487 HERON ISLES PHASE TWO C-2 PBK 8/132"</f>
        <v>LOT 487 HERON ISLES PHASE TWO C-2 PBK 8/132</v>
      </c>
      <c r="N1722" t="str">
        <f>""</f>
        <v/>
      </c>
      <c r="O1722" t="str">
        <f>"56478"</f>
        <v>56478</v>
      </c>
      <c r="P1722" t="str">
        <f t="shared" si="597"/>
        <v>2017</v>
      </c>
      <c r="Q1722" t="str">
        <f>""</f>
        <v/>
      </c>
      <c r="R1722" t="str">
        <f t="shared" si="610"/>
        <v>N</v>
      </c>
      <c r="S1722" t="str">
        <f>""</f>
        <v/>
      </c>
      <c r="T1722" t="str">
        <f t="shared" si="625"/>
        <v>1305.04</v>
      </c>
      <c r="U1722" t="str">
        <f t="shared" si="626"/>
        <v>30000.00</v>
      </c>
      <c r="V1722" t="str">
        <f t="shared" si="626"/>
        <v>30000.00</v>
      </c>
      <c r="W1722" t="str">
        <f t="shared" si="598"/>
        <v>2017</v>
      </c>
      <c r="X1722" t="str">
        <f>"5.00"</f>
        <v>5.00</v>
      </c>
      <c r="Y1722" t="str">
        <f t="shared" si="627"/>
        <v>1376.19</v>
      </c>
      <c r="Z1722" t="str">
        <f>""</f>
        <v/>
      </c>
      <c r="AA1722" t="str">
        <f t="shared" si="623"/>
        <v>30000.00</v>
      </c>
      <c r="AB1722" t="str">
        <f t="shared" si="611"/>
        <v>Residential</v>
      </c>
      <c r="AC1722" t="str">
        <f t="shared" si="609"/>
        <v>0</v>
      </c>
      <c r="AD1722" t="str">
        <f>""</f>
        <v/>
      </c>
      <c r="AE1722" t="str">
        <f>""</f>
        <v/>
      </c>
      <c r="AF1722" t="str">
        <f t="shared" si="624"/>
        <v>000</v>
      </c>
      <c r="AG1722" t="str">
        <f t="shared" si="620"/>
        <v>FL</v>
      </c>
      <c r="AH1722" t="str">
        <f>"6969.00"</f>
        <v>6969.00</v>
      </c>
      <c r="AI1722" t="str">
        <f t="shared" si="619"/>
        <v>30000.00</v>
      </c>
      <c r="AJ1722" t="str">
        <f>"C55-001-080-5259-8"</f>
        <v>C55-001-080-5259-8</v>
      </c>
      <c r="AK1722" t="str">
        <f>"31399"</f>
        <v>31399</v>
      </c>
      <c r="AL1722">
        <v>6</v>
      </c>
      <c r="AM1722">
        <v>1966</v>
      </c>
      <c r="AN1722">
        <v>1443.4</v>
      </c>
      <c r="AQ1722" t="s">
        <v>17069</v>
      </c>
      <c r="AR1722" t="s">
        <v>17069</v>
      </c>
      <c r="AS1722" t="s">
        <v>17069</v>
      </c>
      <c r="AU1722" t="s">
        <v>396</v>
      </c>
      <c r="AV1722">
        <v>2017</v>
      </c>
      <c r="AW1722" t="str">
        <f>"37-3N-28-0743-0487-0000 "</f>
        <v xml:space="preserve">37-3N-28-0743-0487-0000 </v>
      </c>
      <c r="AX1722">
        <v>97660</v>
      </c>
      <c r="AZ1722" t="s">
        <v>17058</v>
      </c>
      <c r="BA1722" t="s">
        <v>669</v>
      </c>
      <c r="BD1722" t="s">
        <v>2387</v>
      </c>
      <c r="BE1722" t="s">
        <v>393</v>
      </c>
      <c r="BF1722">
        <v>32097</v>
      </c>
      <c r="BG1722" t="s">
        <v>17070</v>
      </c>
      <c r="BH1722" t="s">
        <v>2388</v>
      </c>
      <c r="BI1722">
        <v>-81.535552381677604</v>
      </c>
      <c r="BJ1722">
        <v>30.6438107060631</v>
      </c>
      <c r="BK1722" t="s">
        <v>17071</v>
      </c>
      <c r="BM1722" t="s">
        <v>17072</v>
      </c>
      <c r="BN1722" t="s">
        <v>548</v>
      </c>
      <c r="BO1722">
        <v>32257</v>
      </c>
      <c r="BP1722" t="s">
        <v>404</v>
      </c>
      <c r="BQ1722">
        <v>0</v>
      </c>
      <c r="BR1722" t="s">
        <v>491</v>
      </c>
      <c r="BS1722">
        <v>8001</v>
      </c>
      <c r="BT1722" t="s">
        <v>492</v>
      </c>
      <c r="BW1722">
        <v>6969</v>
      </c>
      <c r="BX1722" t="s">
        <v>407</v>
      </c>
      <c r="CD1722">
        <v>2017</v>
      </c>
      <c r="CE1722">
        <v>30000</v>
      </c>
      <c r="CG1722">
        <v>30000</v>
      </c>
      <c r="CH1722">
        <v>2017</v>
      </c>
      <c r="CI1722">
        <v>30000</v>
      </c>
      <c r="CK1722">
        <v>30000</v>
      </c>
      <c r="CL1722">
        <v>2017</v>
      </c>
      <c r="CM1722">
        <v>1305.04</v>
      </c>
      <c r="DD1722" t="s">
        <v>2387</v>
      </c>
      <c r="DG1722">
        <v>37</v>
      </c>
      <c r="DL1722">
        <v>50301</v>
      </c>
      <c r="DM1722" t="s">
        <v>17029</v>
      </c>
      <c r="DO1722" t="s">
        <v>17073</v>
      </c>
      <c r="DP1722">
        <v>0</v>
      </c>
      <c r="DQ1722">
        <v>0</v>
      </c>
      <c r="DR1722" t="s">
        <v>411</v>
      </c>
      <c r="EL1722" s="1">
        <v>39043</v>
      </c>
      <c r="EM1722" t="s">
        <v>17031</v>
      </c>
      <c r="EN1722" t="s">
        <v>17032</v>
      </c>
      <c r="EO1722" s="3">
        <v>4935000</v>
      </c>
      <c r="EP1722" t="s">
        <v>421</v>
      </c>
      <c r="EQ1722" t="s">
        <v>422</v>
      </c>
      <c r="ER1722">
        <v>0</v>
      </c>
      <c r="ES1722">
        <v>1</v>
      </c>
      <c r="ET1722">
        <v>0</v>
      </c>
      <c r="EU1722">
        <v>0</v>
      </c>
      <c r="EV1722">
        <v>0</v>
      </c>
      <c r="EW1722" s="2">
        <v>43222</v>
      </c>
      <c r="EX1722" s="1">
        <v>42879</v>
      </c>
      <c r="EY1722">
        <v>2016</v>
      </c>
      <c r="EZ1722">
        <v>1041.67</v>
      </c>
      <c r="FA1722" t="s">
        <v>17074</v>
      </c>
      <c r="FB1722">
        <v>0.25</v>
      </c>
      <c r="FC1722" t="s">
        <v>424</v>
      </c>
      <c r="FD1722" t="s">
        <v>425</v>
      </c>
      <c r="FE1722" s="1">
        <v>43018</v>
      </c>
      <c r="FF1722">
        <v>5</v>
      </c>
      <c r="FG1722">
        <v>305</v>
      </c>
      <c r="FH1722" t="s">
        <v>1078</v>
      </c>
    </row>
    <row r="1723" spans="1:224" x14ac:dyDescent="0.25">
      <c r="A1723">
        <v>16486730</v>
      </c>
      <c r="B1723">
        <v>1722</v>
      </c>
      <c r="C1723" t="s">
        <v>393</v>
      </c>
      <c r="D1723" t="s">
        <v>394</v>
      </c>
      <c r="F1723" t="str">
        <f>"37-3N-28-0743-0489-0000"</f>
        <v>37-3N-28-0743-0489-0000</v>
      </c>
      <c r="H1723" t="str">
        <f>"ESB INVESTMENTS LLC"</f>
        <v>ESB INVESTMENTS LLC</v>
      </c>
      <c r="I1723" t="str">
        <f>"95540 CLEMENTS RD"</f>
        <v>95540 CLEMENTS RD</v>
      </c>
      <c r="J1723" t="str">
        <f>"FERNANDINA BEACH FL 32034"</f>
        <v>FERNANDINA BEACH FL 32034</v>
      </c>
      <c r="K1723" t="str">
        <f>"97672 ALBATROSS DR"</f>
        <v>97672 ALBATROSS DR</v>
      </c>
      <c r="L1723" t="str">
        <f t="shared" si="618"/>
        <v>YULEE FL 32097</v>
      </c>
      <c r="M1723" t="str">
        <f>"LOT 489 IN OR 2139/1827 HERON ISLES PHASE TWO C-2 PBK 8/132"</f>
        <v>LOT 489 IN OR 2139/1827 HERON ISLES PHASE TWO C-2 PBK 8/132</v>
      </c>
      <c r="N1723" t="str">
        <f>""</f>
        <v/>
      </c>
      <c r="O1723" t="str">
        <f>"56480"</f>
        <v>56480</v>
      </c>
      <c r="P1723" t="str">
        <f t="shared" si="597"/>
        <v>2017</v>
      </c>
      <c r="Q1723" t="str">
        <f>""</f>
        <v/>
      </c>
      <c r="R1723" t="str">
        <f t="shared" si="610"/>
        <v>N</v>
      </c>
      <c r="S1723" t="str">
        <f>""</f>
        <v/>
      </c>
      <c r="T1723" t="str">
        <f t="shared" si="625"/>
        <v>1305.04</v>
      </c>
      <c r="U1723" t="str">
        <f t="shared" si="626"/>
        <v>30000.00</v>
      </c>
      <c r="V1723" t="str">
        <f t="shared" si="626"/>
        <v>30000.00</v>
      </c>
      <c r="W1723" t="str">
        <f t="shared" si="598"/>
        <v>2017</v>
      </c>
      <c r="X1723" t="str">
        <f>"3.00"</f>
        <v>3.00</v>
      </c>
      <c r="Y1723" t="str">
        <f t="shared" si="627"/>
        <v>1376.19</v>
      </c>
      <c r="Z1723" t="str">
        <f>""</f>
        <v/>
      </c>
      <c r="AA1723" t="str">
        <f t="shared" si="623"/>
        <v>30000.00</v>
      </c>
      <c r="AB1723" t="str">
        <f t="shared" si="611"/>
        <v>Residential</v>
      </c>
      <c r="AC1723" t="str">
        <f t="shared" si="609"/>
        <v>0</v>
      </c>
      <c r="AD1723" t="str">
        <f>""</f>
        <v/>
      </c>
      <c r="AE1723" t="str">
        <f>""</f>
        <v/>
      </c>
      <c r="AF1723" t="str">
        <f t="shared" si="624"/>
        <v>000</v>
      </c>
      <c r="AG1723" t="str">
        <f t="shared" si="620"/>
        <v>FL</v>
      </c>
      <c r="AH1723" t="str">
        <f>"6969.00"</f>
        <v>6969.00</v>
      </c>
      <c r="AI1723" t="str">
        <f t="shared" si="619"/>
        <v>30000.00</v>
      </c>
      <c r="AJ1723" t="str">
        <f>"C55-001-080-5261-4"</f>
        <v>C55-001-080-5261-4</v>
      </c>
      <c r="AK1723" t="str">
        <f>"31401"</f>
        <v>31401</v>
      </c>
      <c r="AL1723">
        <v>6</v>
      </c>
      <c r="AM1723">
        <v>1967</v>
      </c>
      <c r="AN1723">
        <v>1443.4</v>
      </c>
      <c r="AQ1723" t="s">
        <v>17075</v>
      </c>
      <c r="AR1723" t="s">
        <v>17075</v>
      </c>
      <c r="AS1723" t="s">
        <v>17075</v>
      </c>
      <c r="AU1723" t="s">
        <v>396</v>
      </c>
      <c r="AV1723">
        <v>2017</v>
      </c>
      <c r="AW1723" t="str">
        <f>"37-3N-28-0743-0489-0000 "</f>
        <v xml:space="preserve">37-3N-28-0743-0489-0000 </v>
      </c>
      <c r="AX1723">
        <v>97672</v>
      </c>
      <c r="AZ1723" t="s">
        <v>17058</v>
      </c>
      <c r="BA1723" t="s">
        <v>669</v>
      </c>
      <c r="BD1723" t="s">
        <v>2387</v>
      </c>
      <c r="BE1723" t="s">
        <v>393</v>
      </c>
      <c r="BF1723">
        <v>32097</v>
      </c>
      <c r="BG1723" t="s">
        <v>17076</v>
      </c>
      <c r="BH1723" t="s">
        <v>2388</v>
      </c>
      <c r="BI1723">
        <v>-81.535739498916698</v>
      </c>
      <c r="BJ1723">
        <v>30.644067428334498</v>
      </c>
      <c r="BK1723" t="s">
        <v>16125</v>
      </c>
      <c r="BM1723" t="s">
        <v>16126</v>
      </c>
      <c r="BN1723" t="s">
        <v>3983</v>
      </c>
      <c r="BO1723">
        <v>32034</v>
      </c>
      <c r="BP1723" t="s">
        <v>404</v>
      </c>
      <c r="BQ1723">
        <v>0</v>
      </c>
      <c r="BR1723" t="s">
        <v>491</v>
      </c>
      <c r="BS1723">
        <v>8001</v>
      </c>
      <c r="BT1723" t="s">
        <v>492</v>
      </c>
      <c r="BW1723">
        <v>6969</v>
      </c>
      <c r="BX1723" t="s">
        <v>407</v>
      </c>
      <c r="CD1723">
        <v>2017</v>
      </c>
      <c r="CE1723">
        <v>30000</v>
      </c>
      <c r="CG1723">
        <v>30000</v>
      </c>
      <c r="CH1723">
        <v>2017</v>
      </c>
      <c r="CI1723">
        <v>30000</v>
      </c>
      <c r="CK1723">
        <v>30000</v>
      </c>
      <c r="CL1723">
        <v>2017</v>
      </c>
      <c r="CM1723">
        <v>1305.04</v>
      </c>
      <c r="CN1723" s="1">
        <v>42961</v>
      </c>
      <c r="CO1723">
        <v>36500</v>
      </c>
      <c r="CV1723">
        <v>104400</v>
      </c>
      <c r="CX1723" t="s">
        <v>2501</v>
      </c>
      <c r="CZ1723" s="1">
        <v>42961</v>
      </c>
      <c r="DA1723">
        <v>0</v>
      </c>
      <c r="DD1723" t="s">
        <v>2387</v>
      </c>
      <c r="DG1723">
        <v>37</v>
      </c>
      <c r="DL1723">
        <v>50301</v>
      </c>
      <c r="DM1723" t="s">
        <v>17029</v>
      </c>
      <c r="DO1723" t="s">
        <v>17077</v>
      </c>
      <c r="DP1723">
        <v>0</v>
      </c>
      <c r="DQ1723">
        <v>0</v>
      </c>
      <c r="DR1723" t="s">
        <v>411</v>
      </c>
      <c r="EL1723" s="1">
        <v>39045</v>
      </c>
      <c r="EM1723" t="s">
        <v>17031</v>
      </c>
      <c r="EN1723" t="s">
        <v>17032</v>
      </c>
      <c r="EO1723" s="3">
        <v>4935000</v>
      </c>
      <c r="EP1723" t="s">
        <v>421</v>
      </c>
      <c r="EQ1723" t="s">
        <v>422</v>
      </c>
      <c r="ER1723">
        <v>0</v>
      </c>
      <c r="ES1723">
        <v>1</v>
      </c>
      <c r="ET1723">
        <v>0</v>
      </c>
      <c r="EU1723">
        <v>0</v>
      </c>
      <c r="EV1723">
        <v>0</v>
      </c>
      <c r="EW1723" s="2">
        <v>43222</v>
      </c>
      <c r="EX1723" s="1">
        <v>42879</v>
      </c>
      <c r="EY1723">
        <v>2016</v>
      </c>
      <c r="EZ1723">
        <v>1041.67</v>
      </c>
      <c r="FA1723" t="s">
        <v>17078</v>
      </c>
      <c r="FB1723">
        <v>0.25</v>
      </c>
      <c r="FC1723" t="s">
        <v>424</v>
      </c>
      <c r="FD1723" t="s">
        <v>425</v>
      </c>
      <c r="FE1723" s="1">
        <v>42961</v>
      </c>
      <c r="FF1723">
        <v>3</v>
      </c>
      <c r="FG1723">
        <v>62</v>
      </c>
      <c r="FH1723" t="s">
        <v>463</v>
      </c>
    </row>
    <row r="1724" spans="1:224" x14ac:dyDescent="0.25">
      <c r="A1724">
        <v>16486731</v>
      </c>
      <c r="B1724">
        <v>1723</v>
      </c>
      <c r="C1724" t="s">
        <v>393</v>
      </c>
      <c r="D1724" t="s">
        <v>394</v>
      </c>
      <c r="F1724" t="str">
        <f>"37-3N-28-0743-0495-0000"</f>
        <v>37-3N-28-0743-0495-0000</v>
      </c>
      <c r="H1724" t="str">
        <f>"HERON ISLES JOINT VENTURE LLP"</f>
        <v>HERON ISLES JOINT VENTURE LLP</v>
      </c>
      <c r="I1724" t="str">
        <f>"2955 HARTLEY RD STE 108"</f>
        <v>2955 HARTLEY RD STE 108</v>
      </c>
      <c r="J1724" t="str">
        <f>"JACKSONVILLE FL 32257"</f>
        <v>JACKSONVILLE FL 32257</v>
      </c>
      <c r="K1724" t="str">
        <f>"97708 ALBATROSS DR"</f>
        <v>97708 ALBATROSS DR</v>
      </c>
      <c r="L1724" t="str">
        <f t="shared" si="618"/>
        <v>YULEE FL 32097</v>
      </c>
      <c r="M1724" t="str">
        <f>"LOT 495 HERON ISLES PHASE TWO C-2 PBK 8/132"</f>
        <v>LOT 495 HERON ISLES PHASE TWO C-2 PBK 8/132</v>
      </c>
      <c r="N1724" t="str">
        <f>""</f>
        <v/>
      </c>
      <c r="O1724" t="str">
        <f>"56486"</f>
        <v>56486</v>
      </c>
      <c r="P1724" t="str">
        <f t="shared" si="597"/>
        <v>2017</v>
      </c>
      <c r="Q1724" t="str">
        <f>""</f>
        <v/>
      </c>
      <c r="R1724" t="str">
        <f t="shared" si="610"/>
        <v>N</v>
      </c>
      <c r="S1724" t="str">
        <f>""</f>
        <v/>
      </c>
      <c r="T1724" t="str">
        <f t="shared" si="625"/>
        <v>1305.04</v>
      </c>
      <c r="U1724" t="str">
        <f t="shared" si="626"/>
        <v>30000.00</v>
      </c>
      <c r="V1724" t="str">
        <f t="shared" si="626"/>
        <v>30000.00</v>
      </c>
      <c r="W1724" t="str">
        <f t="shared" si="598"/>
        <v>2017</v>
      </c>
      <c r="X1724" t="str">
        <f>"5.00"</f>
        <v>5.00</v>
      </c>
      <c r="Y1724" t="str">
        <f t="shared" si="627"/>
        <v>1376.19</v>
      </c>
      <c r="Z1724" t="str">
        <f>""</f>
        <v/>
      </c>
      <c r="AA1724" t="str">
        <f t="shared" si="623"/>
        <v>30000.00</v>
      </c>
      <c r="AB1724" t="str">
        <f t="shared" si="611"/>
        <v>Residential</v>
      </c>
      <c r="AC1724" t="str">
        <f t="shared" si="609"/>
        <v>0</v>
      </c>
      <c r="AD1724" t="str">
        <f>""</f>
        <v/>
      </c>
      <c r="AE1724" t="str">
        <f>""</f>
        <v/>
      </c>
      <c r="AF1724" t="str">
        <f t="shared" si="624"/>
        <v>000</v>
      </c>
      <c r="AG1724" t="str">
        <f t="shared" si="620"/>
        <v>FL</v>
      </c>
      <c r="AH1724" t="str">
        <f>"5662.00"</f>
        <v>5662.00</v>
      </c>
      <c r="AI1724" t="str">
        <f t="shared" si="619"/>
        <v>30000.00</v>
      </c>
      <c r="AJ1724" t="str">
        <f>"C55-001-080-5267-1"</f>
        <v>C55-001-080-5267-1</v>
      </c>
      <c r="AK1724" t="str">
        <f>"31407"</f>
        <v>31407</v>
      </c>
      <c r="AL1724">
        <v>6</v>
      </c>
      <c r="AM1724">
        <v>1969</v>
      </c>
      <c r="AN1724">
        <v>1443.4</v>
      </c>
      <c r="AQ1724" t="s">
        <v>17079</v>
      </c>
      <c r="AR1724" t="s">
        <v>17079</v>
      </c>
      <c r="AS1724" t="s">
        <v>17079</v>
      </c>
      <c r="AU1724" t="s">
        <v>396</v>
      </c>
      <c r="AV1724">
        <v>2017</v>
      </c>
      <c r="AW1724" t="str">
        <f>"37-3N-28-0743-0495-0000 "</f>
        <v xml:space="preserve">37-3N-28-0743-0495-0000 </v>
      </c>
      <c r="AX1724">
        <v>97708</v>
      </c>
      <c r="AZ1724" t="s">
        <v>17058</v>
      </c>
      <c r="BA1724" t="s">
        <v>669</v>
      </c>
      <c r="BD1724" t="s">
        <v>2387</v>
      </c>
      <c r="BE1724" t="s">
        <v>393</v>
      </c>
      <c r="BF1724">
        <v>32097</v>
      </c>
      <c r="BG1724" t="s">
        <v>17080</v>
      </c>
      <c r="BH1724" t="s">
        <v>2388</v>
      </c>
      <c r="BI1724">
        <v>-81.536588526769506</v>
      </c>
      <c r="BJ1724">
        <v>30.644545204086999</v>
      </c>
      <c r="BK1724" t="s">
        <v>17081</v>
      </c>
      <c r="BM1724" t="s">
        <v>17082</v>
      </c>
      <c r="BN1724" t="s">
        <v>548</v>
      </c>
      <c r="BO1724">
        <v>32257</v>
      </c>
      <c r="BP1724" t="s">
        <v>404</v>
      </c>
      <c r="BQ1724">
        <v>0</v>
      </c>
      <c r="BR1724" t="s">
        <v>491</v>
      </c>
      <c r="BS1724">
        <v>8001</v>
      </c>
      <c r="BT1724" t="s">
        <v>492</v>
      </c>
      <c r="BW1724">
        <v>5662</v>
      </c>
      <c r="BX1724" t="s">
        <v>407</v>
      </c>
      <c r="CD1724">
        <v>2017</v>
      </c>
      <c r="CE1724">
        <v>30000</v>
      </c>
      <c r="CG1724">
        <v>30000</v>
      </c>
      <c r="CH1724">
        <v>2017</v>
      </c>
      <c r="CI1724">
        <v>30000</v>
      </c>
      <c r="CK1724">
        <v>30000</v>
      </c>
      <c r="CL1724">
        <v>2017</v>
      </c>
      <c r="CM1724">
        <v>1305.04</v>
      </c>
      <c r="CN1724" s="1">
        <v>43018</v>
      </c>
      <c r="CO1724">
        <v>40000</v>
      </c>
      <c r="CV1724">
        <v>174511</v>
      </c>
      <c r="CX1724" t="s">
        <v>675</v>
      </c>
      <c r="CZ1724" s="1">
        <v>43018</v>
      </c>
      <c r="DA1724">
        <v>0</v>
      </c>
      <c r="DD1724" t="s">
        <v>2387</v>
      </c>
      <c r="DG1724">
        <v>37</v>
      </c>
      <c r="DL1724">
        <v>50301</v>
      </c>
      <c r="DM1724" t="s">
        <v>17029</v>
      </c>
      <c r="DO1724" t="s">
        <v>17083</v>
      </c>
      <c r="DP1724">
        <v>0</v>
      </c>
      <c r="DQ1724">
        <v>0</v>
      </c>
      <c r="DR1724" t="s">
        <v>411</v>
      </c>
      <c r="EL1724" s="1">
        <v>39051</v>
      </c>
      <c r="EM1724" t="s">
        <v>17031</v>
      </c>
      <c r="EN1724" t="s">
        <v>17032</v>
      </c>
      <c r="EO1724" s="3">
        <v>4935000</v>
      </c>
      <c r="EP1724" t="s">
        <v>421</v>
      </c>
      <c r="EQ1724" t="s">
        <v>422</v>
      </c>
      <c r="ER1724">
        <v>0</v>
      </c>
      <c r="ES1724">
        <v>1</v>
      </c>
      <c r="ET1724">
        <v>0</v>
      </c>
      <c r="EU1724">
        <v>0</v>
      </c>
      <c r="EV1724">
        <v>0</v>
      </c>
      <c r="EW1724" s="2">
        <v>43222</v>
      </c>
      <c r="EX1724" s="1">
        <v>42879</v>
      </c>
      <c r="EY1724">
        <v>2016</v>
      </c>
      <c r="EZ1724">
        <v>1041.67</v>
      </c>
      <c r="FA1724" t="s">
        <v>17084</v>
      </c>
      <c r="FB1724">
        <v>17.75</v>
      </c>
      <c r="FC1724" t="s">
        <v>424</v>
      </c>
      <c r="FD1724" t="s">
        <v>425</v>
      </c>
      <c r="FE1724" s="1">
        <v>43018</v>
      </c>
      <c r="FF1724">
        <v>5</v>
      </c>
      <c r="FG1724">
        <v>10125</v>
      </c>
      <c r="FH1724" t="s">
        <v>440</v>
      </c>
    </row>
    <row r="1725" spans="1:224" x14ac:dyDescent="0.25">
      <c r="A1725">
        <v>16486732</v>
      </c>
      <c r="B1725">
        <v>1724</v>
      </c>
      <c r="C1725" t="s">
        <v>393</v>
      </c>
      <c r="D1725" t="s">
        <v>394</v>
      </c>
      <c r="F1725" t="str">
        <f>"37-3N-28-0743-0503-0000"</f>
        <v>37-3N-28-0743-0503-0000</v>
      </c>
      <c r="H1725" t="str">
        <f>"ESB INVESTMENTS LLC"</f>
        <v>ESB INVESTMENTS LLC</v>
      </c>
      <c r="I1725" t="str">
        <f>"95540 CLEMENTS RD"</f>
        <v>95540 CLEMENTS RD</v>
      </c>
      <c r="J1725" t="str">
        <f>"FERNANDINA BEACH FL 32034"</f>
        <v>FERNANDINA BEACH FL 32034</v>
      </c>
      <c r="K1725" t="str">
        <f>"97756 ALBATROSS DR"</f>
        <v>97756 ALBATROSS DR</v>
      </c>
      <c r="L1725" t="str">
        <f t="shared" si="618"/>
        <v>YULEE FL 32097</v>
      </c>
      <c r="M1725" t="str">
        <f>"LOT 503 HERON ISLES PHASE TWO C-2 PBK 8/132"</f>
        <v>LOT 503 HERON ISLES PHASE TWO C-2 PBK 8/132</v>
      </c>
      <c r="N1725" t="str">
        <f>""</f>
        <v/>
      </c>
      <c r="O1725" t="str">
        <f>"56494"</f>
        <v>56494</v>
      </c>
      <c r="P1725" t="str">
        <f t="shared" si="597"/>
        <v>2017</v>
      </c>
      <c r="Q1725" t="str">
        <f>""</f>
        <v/>
      </c>
      <c r="R1725" t="str">
        <f t="shared" si="610"/>
        <v>N</v>
      </c>
      <c r="S1725" t="str">
        <f>""</f>
        <v/>
      </c>
      <c r="T1725" t="str">
        <f t="shared" si="625"/>
        <v>1305.04</v>
      </c>
      <c r="U1725" t="str">
        <f t="shared" si="626"/>
        <v>30000.00</v>
      </c>
      <c r="V1725" t="str">
        <f t="shared" si="626"/>
        <v>30000.00</v>
      </c>
      <c r="W1725" t="str">
        <f t="shared" si="598"/>
        <v>2017</v>
      </c>
      <c r="X1725" t="str">
        <f>""</f>
        <v/>
      </c>
      <c r="Y1725" t="str">
        <f t="shared" si="627"/>
        <v>1376.19</v>
      </c>
      <c r="Z1725" t="str">
        <f>""</f>
        <v/>
      </c>
      <c r="AA1725" t="str">
        <f t="shared" si="623"/>
        <v>30000.00</v>
      </c>
      <c r="AB1725" t="str">
        <f t="shared" si="611"/>
        <v>Residential</v>
      </c>
      <c r="AC1725" t="str">
        <f t="shared" si="609"/>
        <v>0</v>
      </c>
      <c r="AD1725" t="str">
        <f>""</f>
        <v/>
      </c>
      <c r="AE1725" t="str">
        <f>""</f>
        <v/>
      </c>
      <c r="AF1725" t="str">
        <f t="shared" si="624"/>
        <v>000</v>
      </c>
      <c r="AG1725" t="str">
        <f t="shared" si="620"/>
        <v>FL</v>
      </c>
      <c r="AH1725" t="str">
        <f>"7405.00"</f>
        <v>7405.00</v>
      </c>
      <c r="AI1725" t="str">
        <f t="shared" si="619"/>
        <v>30000.00</v>
      </c>
      <c r="AJ1725" t="str">
        <f>"C55-001-080-5275-4"</f>
        <v>C55-001-080-5275-4</v>
      </c>
      <c r="AK1725" t="str">
        <f>"31415"</f>
        <v>31415</v>
      </c>
      <c r="AL1725">
        <v>6</v>
      </c>
      <c r="AM1725">
        <v>1970</v>
      </c>
      <c r="AN1725">
        <v>1443.4</v>
      </c>
      <c r="AQ1725" t="s">
        <v>17085</v>
      </c>
      <c r="AR1725" t="s">
        <v>17085</v>
      </c>
      <c r="AS1725" t="s">
        <v>17085</v>
      </c>
      <c r="AU1725" t="s">
        <v>396</v>
      </c>
      <c r="AV1725">
        <v>2017</v>
      </c>
      <c r="AW1725" t="str">
        <f>"37-3N-28-0743-0503-0000 "</f>
        <v xml:space="preserve">37-3N-28-0743-0503-0000 </v>
      </c>
      <c r="AX1725">
        <v>97756</v>
      </c>
      <c r="AZ1725" t="s">
        <v>17058</v>
      </c>
      <c r="BA1725" t="s">
        <v>669</v>
      </c>
      <c r="BD1725" t="s">
        <v>2387</v>
      </c>
      <c r="BE1725" t="s">
        <v>393</v>
      </c>
      <c r="BF1725">
        <v>32097</v>
      </c>
      <c r="BG1725" t="s">
        <v>17086</v>
      </c>
      <c r="BH1725" t="s">
        <v>2388</v>
      </c>
      <c r="BI1725">
        <v>-81.537760894478495</v>
      </c>
      <c r="BJ1725">
        <v>30.644986749929501</v>
      </c>
      <c r="BK1725" t="s">
        <v>16125</v>
      </c>
      <c r="BM1725" t="s">
        <v>16126</v>
      </c>
      <c r="BN1725" t="s">
        <v>3983</v>
      </c>
      <c r="BO1725">
        <v>32034</v>
      </c>
      <c r="BP1725" t="s">
        <v>404</v>
      </c>
      <c r="BQ1725">
        <v>0</v>
      </c>
      <c r="BR1725" t="s">
        <v>491</v>
      </c>
      <c r="BS1725">
        <v>8001</v>
      </c>
      <c r="BT1725" t="s">
        <v>492</v>
      </c>
      <c r="BW1725">
        <v>7405</v>
      </c>
      <c r="BX1725" t="s">
        <v>407</v>
      </c>
      <c r="CD1725">
        <v>2017</v>
      </c>
      <c r="CE1725">
        <v>30000</v>
      </c>
      <c r="CG1725">
        <v>30000</v>
      </c>
      <c r="CH1725">
        <v>2017</v>
      </c>
      <c r="CI1725">
        <v>30000</v>
      </c>
      <c r="CK1725">
        <v>30000</v>
      </c>
      <c r="CL1725">
        <v>2017</v>
      </c>
      <c r="CM1725">
        <v>1305.04</v>
      </c>
      <c r="CN1725" s="1">
        <v>42807</v>
      </c>
      <c r="CO1725">
        <v>162500</v>
      </c>
      <c r="CV1725">
        <v>171920</v>
      </c>
      <c r="CX1725" t="s">
        <v>3031</v>
      </c>
      <c r="CZ1725" s="1">
        <v>42807</v>
      </c>
      <c r="DA1725">
        <v>0</v>
      </c>
      <c r="DD1725" t="s">
        <v>2387</v>
      </c>
      <c r="DG1725">
        <v>37</v>
      </c>
      <c r="DL1725">
        <v>50301</v>
      </c>
      <c r="DM1725" t="s">
        <v>17029</v>
      </c>
      <c r="DO1725" t="s">
        <v>17087</v>
      </c>
      <c r="DP1725">
        <v>0</v>
      </c>
      <c r="DQ1725">
        <v>0</v>
      </c>
      <c r="DR1725" t="s">
        <v>411</v>
      </c>
      <c r="EL1725" s="1">
        <v>39059</v>
      </c>
      <c r="EM1725" t="s">
        <v>17031</v>
      </c>
      <c r="EN1725" t="s">
        <v>17032</v>
      </c>
      <c r="EO1725" s="3">
        <v>4935000</v>
      </c>
    </row>
    <row r="1726" spans="1:224" x14ac:dyDescent="0.25">
      <c r="A1726">
        <v>16486733</v>
      </c>
      <c r="B1726">
        <v>1725</v>
      </c>
      <c r="C1726" t="s">
        <v>393</v>
      </c>
      <c r="D1726" t="s">
        <v>394</v>
      </c>
      <c r="F1726" t="str">
        <f>"37-3N-28-0743-0515-0000"</f>
        <v>37-3N-28-0743-0515-0000</v>
      </c>
      <c r="H1726" t="str">
        <f>"ESB INVESTMENTS LLC"</f>
        <v>ESB INVESTMENTS LLC</v>
      </c>
      <c r="I1726" t="str">
        <f>"95540 CLEMENTS RD"</f>
        <v>95540 CLEMENTS RD</v>
      </c>
      <c r="J1726" t="str">
        <f>"FERNANDINA BEACH FL 32034"</f>
        <v>FERNANDINA BEACH FL 32034</v>
      </c>
      <c r="K1726" t="str">
        <f>"97717 ALBATROSS DR"</f>
        <v>97717 ALBATROSS DR</v>
      </c>
      <c r="L1726" t="str">
        <f t="shared" si="618"/>
        <v>YULEE FL 32097</v>
      </c>
      <c r="M1726" t="str">
        <f>"LOT 515 IN OR 2139/1816 HERON ISLES PHASE TWO C-2 PBK 8/132"</f>
        <v>LOT 515 IN OR 2139/1816 HERON ISLES PHASE TWO C-2 PBK 8/132</v>
      </c>
      <c r="N1726" t="str">
        <f>""</f>
        <v/>
      </c>
      <c r="O1726" t="str">
        <f>"56506"</f>
        <v>56506</v>
      </c>
      <c r="P1726" t="str">
        <f t="shared" si="597"/>
        <v>2017</v>
      </c>
      <c r="Q1726" t="str">
        <f>""</f>
        <v/>
      </c>
      <c r="R1726" t="str">
        <f t="shared" si="610"/>
        <v>N</v>
      </c>
      <c r="S1726" t="str">
        <f>""</f>
        <v/>
      </c>
      <c r="T1726" t="str">
        <f t="shared" si="625"/>
        <v>1305.04</v>
      </c>
      <c r="U1726" t="str">
        <f t="shared" si="626"/>
        <v>30000.00</v>
      </c>
      <c r="V1726" t="str">
        <f t="shared" si="626"/>
        <v>30000.00</v>
      </c>
      <c r="W1726" t="str">
        <f t="shared" si="598"/>
        <v>2017</v>
      </c>
      <c r="X1726" t="str">
        <f>"3.00"</f>
        <v>3.00</v>
      </c>
      <c r="Y1726" t="str">
        <f t="shared" si="627"/>
        <v>1376.19</v>
      </c>
      <c r="Z1726" t="str">
        <f>""</f>
        <v/>
      </c>
      <c r="AA1726" t="str">
        <f t="shared" si="623"/>
        <v>30000.00</v>
      </c>
      <c r="AB1726" t="str">
        <f t="shared" si="611"/>
        <v>Residential</v>
      </c>
      <c r="AC1726" t="str">
        <f t="shared" si="609"/>
        <v>0</v>
      </c>
      <c r="AD1726" t="str">
        <f>""</f>
        <v/>
      </c>
      <c r="AE1726" t="str">
        <f>""</f>
        <v/>
      </c>
      <c r="AF1726" t="str">
        <f t="shared" si="624"/>
        <v>000</v>
      </c>
      <c r="AG1726" t="str">
        <f t="shared" si="620"/>
        <v>FL</v>
      </c>
      <c r="AH1726" t="str">
        <f>"5662.00"</f>
        <v>5662.00</v>
      </c>
      <c r="AI1726" t="str">
        <f t="shared" si="619"/>
        <v>30000.00</v>
      </c>
      <c r="AJ1726" t="str">
        <f>"C55-001-080-5287-9"</f>
        <v>C55-001-080-5287-9</v>
      </c>
      <c r="AK1726" t="str">
        <f>"31427"</f>
        <v>31427</v>
      </c>
      <c r="AL1726">
        <v>6</v>
      </c>
      <c r="AM1726">
        <v>1971</v>
      </c>
      <c r="AN1726">
        <v>1443.4</v>
      </c>
      <c r="AQ1726" t="s">
        <v>17088</v>
      </c>
      <c r="AR1726" t="s">
        <v>17088</v>
      </c>
      <c r="AS1726" t="s">
        <v>17088</v>
      </c>
      <c r="AU1726" t="s">
        <v>396</v>
      </c>
      <c r="AV1726">
        <v>2017</v>
      </c>
      <c r="AW1726" t="str">
        <f>"37-3N-28-0743-0515-0000 "</f>
        <v xml:space="preserve">37-3N-28-0743-0515-0000 </v>
      </c>
      <c r="AX1726">
        <v>97717</v>
      </c>
      <c r="AZ1726" t="s">
        <v>17058</v>
      </c>
      <c r="BA1726" t="s">
        <v>669</v>
      </c>
      <c r="BD1726" t="s">
        <v>2387</v>
      </c>
      <c r="BE1726" t="s">
        <v>393</v>
      </c>
      <c r="BF1726">
        <v>32097</v>
      </c>
      <c r="BG1726" t="s">
        <v>17089</v>
      </c>
      <c r="BH1726" t="s">
        <v>2388</v>
      </c>
      <c r="BI1726">
        <v>-81.537039771358394</v>
      </c>
      <c r="BJ1726">
        <v>30.644218739453098</v>
      </c>
      <c r="BK1726" t="s">
        <v>16125</v>
      </c>
      <c r="BM1726" t="s">
        <v>16126</v>
      </c>
      <c r="BN1726" t="s">
        <v>3983</v>
      </c>
      <c r="BO1726">
        <v>32034</v>
      </c>
      <c r="BP1726" t="s">
        <v>404</v>
      </c>
      <c r="BQ1726">
        <v>0</v>
      </c>
      <c r="BR1726" t="s">
        <v>491</v>
      </c>
      <c r="BS1726">
        <v>8001</v>
      </c>
      <c r="BT1726" t="s">
        <v>492</v>
      </c>
      <c r="BW1726">
        <v>5662</v>
      </c>
      <c r="BX1726" t="s">
        <v>407</v>
      </c>
      <c r="CD1726">
        <v>2017</v>
      </c>
      <c r="CE1726">
        <v>30000</v>
      </c>
      <c r="CG1726">
        <v>30000</v>
      </c>
      <c r="CH1726">
        <v>2017</v>
      </c>
      <c r="CI1726">
        <v>30000</v>
      </c>
      <c r="CK1726">
        <v>30000</v>
      </c>
      <c r="CL1726">
        <v>2017</v>
      </c>
      <c r="CM1726">
        <v>1305.04</v>
      </c>
      <c r="CN1726" s="1">
        <v>42961</v>
      </c>
      <c r="CO1726">
        <v>73000</v>
      </c>
      <c r="CV1726">
        <v>78170</v>
      </c>
      <c r="CX1726" t="s">
        <v>3031</v>
      </c>
      <c r="CZ1726" s="1">
        <v>42961</v>
      </c>
      <c r="DA1726">
        <v>0</v>
      </c>
      <c r="DD1726" t="s">
        <v>2387</v>
      </c>
      <c r="DG1726">
        <v>37</v>
      </c>
      <c r="DL1726">
        <v>50301</v>
      </c>
      <c r="DM1726" t="s">
        <v>17029</v>
      </c>
      <c r="DO1726" t="s">
        <v>17090</v>
      </c>
      <c r="DP1726">
        <v>0</v>
      </c>
      <c r="DQ1726">
        <v>0</v>
      </c>
      <c r="DR1726" t="s">
        <v>411</v>
      </c>
      <c r="EL1726" s="1">
        <v>39071</v>
      </c>
      <c r="EM1726" t="s">
        <v>17031</v>
      </c>
      <c r="EN1726" t="s">
        <v>17032</v>
      </c>
      <c r="EO1726" s="3">
        <v>4935000</v>
      </c>
      <c r="EP1726" t="s">
        <v>421</v>
      </c>
      <c r="EQ1726" t="s">
        <v>422</v>
      </c>
      <c r="ER1726">
        <v>0</v>
      </c>
      <c r="ES1726">
        <v>1</v>
      </c>
      <c r="ET1726">
        <v>0</v>
      </c>
      <c r="EU1726">
        <v>0</v>
      </c>
      <c r="EV1726">
        <v>0</v>
      </c>
      <c r="EW1726" s="2">
        <v>43222</v>
      </c>
      <c r="EX1726" s="1">
        <v>42879</v>
      </c>
      <c r="EY1726">
        <v>2016</v>
      </c>
      <c r="EZ1726">
        <v>1041.67</v>
      </c>
      <c r="FA1726" t="s">
        <v>17091</v>
      </c>
      <c r="FB1726">
        <v>17.75</v>
      </c>
      <c r="FC1726" t="s">
        <v>424</v>
      </c>
      <c r="FD1726" t="s">
        <v>425</v>
      </c>
      <c r="FE1726" s="1">
        <v>42961</v>
      </c>
      <c r="FF1726">
        <v>3</v>
      </c>
      <c r="FG1726">
        <v>10125</v>
      </c>
      <c r="FH1726" t="s">
        <v>440</v>
      </c>
    </row>
    <row r="1727" spans="1:224" x14ac:dyDescent="0.25">
      <c r="A1727">
        <v>16486734</v>
      </c>
      <c r="B1727">
        <v>1726</v>
      </c>
      <c r="C1727" t="s">
        <v>393</v>
      </c>
      <c r="D1727" t="s">
        <v>394</v>
      </c>
      <c r="F1727" t="str">
        <f>"37-3N-28-0743-0519-0000"</f>
        <v>37-3N-28-0743-0519-0000</v>
      </c>
      <c r="H1727" t="str">
        <f>"ESB INVESTMENTS LLC"</f>
        <v>ESB INVESTMENTS LLC</v>
      </c>
      <c r="I1727" t="str">
        <f>"95540 CLEMENTS RD"</f>
        <v>95540 CLEMENTS RD</v>
      </c>
      <c r="J1727" t="str">
        <f>"FERNANDINA BEACH FL 32034"</f>
        <v>FERNANDINA BEACH FL 32034</v>
      </c>
      <c r="K1727" t="str">
        <f>"97689 ALBATROSS DR"</f>
        <v>97689 ALBATROSS DR</v>
      </c>
      <c r="L1727" t="str">
        <f t="shared" si="618"/>
        <v>YULEE FL 32097</v>
      </c>
      <c r="M1727" t="str">
        <f>"LOT 519 HERON ISLES PHASE TWO C-2 PBK 8/132"</f>
        <v>LOT 519 HERON ISLES PHASE TWO C-2 PBK 8/132</v>
      </c>
      <c r="N1727" t="str">
        <f>""</f>
        <v/>
      </c>
      <c r="O1727" t="str">
        <f>"56510"</f>
        <v>56510</v>
      </c>
      <c r="P1727" t="str">
        <f t="shared" si="597"/>
        <v>2017</v>
      </c>
      <c r="Q1727" t="str">
        <f>""</f>
        <v/>
      </c>
      <c r="R1727" t="str">
        <f t="shared" si="610"/>
        <v>N</v>
      </c>
      <c r="S1727" t="str">
        <f>""</f>
        <v/>
      </c>
      <c r="T1727" t="str">
        <f t="shared" si="625"/>
        <v>1305.04</v>
      </c>
      <c r="U1727" t="str">
        <f t="shared" si="626"/>
        <v>30000.00</v>
      </c>
      <c r="V1727" t="str">
        <f t="shared" si="626"/>
        <v>30000.00</v>
      </c>
      <c r="W1727" t="str">
        <f t="shared" si="598"/>
        <v>2017</v>
      </c>
      <c r="X1727" t="str">
        <f>""</f>
        <v/>
      </c>
      <c r="Y1727" t="str">
        <f t="shared" si="627"/>
        <v>1376.19</v>
      </c>
      <c r="Z1727" t="str">
        <f>""</f>
        <v/>
      </c>
      <c r="AA1727" t="str">
        <f t="shared" si="623"/>
        <v>30000.00</v>
      </c>
      <c r="AB1727" t="str">
        <f t="shared" si="611"/>
        <v>Residential</v>
      </c>
      <c r="AC1727" t="str">
        <f t="shared" si="609"/>
        <v>0</v>
      </c>
      <c r="AD1727" t="str">
        <f>""</f>
        <v/>
      </c>
      <c r="AE1727" t="str">
        <f>""</f>
        <v/>
      </c>
      <c r="AF1727" t="str">
        <f t="shared" si="624"/>
        <v>000</v>
      </c>
      <c r="AG1727" t="str">
        <f t="shared" si="620"/>
        <v>FL</v>
      </c>
      <c r="AH1727" t="str">
        <f>"5662.00"</f>
        <v>5662.00</v>
      </c>
      <c r="AI1727" t="str">
        <f t="shared" si="619"/>
        <v>30000.00</v>
      </c>
      <c r="AJ1727" t="str">
        <f>"C55-001-080-5291-1"</f>
        <v>C55-001-080-5291-1</v>
      </c>
      <c r="AK1727" t="str">
        <f>"31431"</f>
        <v>31431</v>
      </c>
      <c r="AL1727">
        <v>6</v>
      </c>
      <c r="AM1727">
        <v>1972</v>
      </c>
      <c r="AN1727">
        <v>1443.4</v>
      </c>
      <c r="AQ1727" t="s">
        <v>17092</v>
      </c>
      <c r="AR1727" t="s">
        <v>17092</v>
      </c>
      <c r="AS1727" t="s">
        <v>17092</v>
      </c>
      <c r="AU1727" t="s">
        <v>396</v>
      </c>
      <c r="AV1727">
        <v>2017</v>
      </c>
      <c r="AW1727" t="str">
        <f>"37-3N-28-0743-0519-0000 "</f>
        <v xml:space="preserve">37-3N-28-0743-0519-0000 </v>
      </c>
      <c r="AX1727">
        <v>97689</v>
      </c>
      <c r="AZ1727" t="s">
        <v>17058</v>
      </c>
      <c r="BA1727" t="s">
        <v>669</v>
      </c>
      <c r="BD1727" t="s">
        <v>2387</v>
      </c>
      <c r="BE1727" t="s">
        <v>393</v>
      </c>
      <c r="BF1727">
        <v>32097</v>
      </c>
      <c r="BG1727" t="s">
        <v>17093</v>
      </c>
      <c r="BH1727" t="s">
        <v>2388</v>
      </c>
      <c r="BI1727">
        <v>-81.536416475949693</v>
      </c>
      <c r="BJ1727">
        <v>30.643973317180802</v>
      </c>
      <c r="BK1727" t="s">
        <v>16125</v>
      </c>
      <c r="BM1727" t="s">
        <v>16126</v>
      </c>
      <c r="BN1727" t="s">
        <v>3983</v>
      </c>
      <c r="BO1727">
        <v>32034</v>
      </c>
      <c r="BP1727" t="s">
        <v>404</v>
      </c>
      <c r="BQ1727">
        <v>0</v>
      </c>
      <c r="BR1727" t="s">
        <v>491</v>
      </c>
      <c r="BS1727">
        <v>8001</v>
      </c>
      <c r="BT1727" t="s">
        <v>492</v>
      </c>
      <c r="BW1727">
        <v>5662</v>
      </c>
      <c r="BX1727" t="s">
        <v>407</v>
      </c>
      <c r="CD1727">
        <v>2017</v>
      </c>
      <c r="CE1727">
        <v>30000</v>
      </c>
      <c r="CG1727">
        <v>30000</v>
      </c>
      <c r="CH1727">
        <v>2017</v>
      </c>
      <c r="CI1727">
        <v>30000</v>
      </c>
      <c r="CK1727">
        <v>30000</v>
      </c>
      <c r="CL1727">
        <v>2017</v>
      </c>
      <c r="CM1727">
        <v>1305.04</v>
      </c>
      <c r="CN1727" s="1">
        <v>42807</v>
      </c>
      <c r="CO1727">
        <v>162500</v>
      </c>
      <c r="CV1727">
        <v>171920</v>
      </c>
      <c r="CX1727" t="s">
        <v>3031</v>
      </c>
      <c r="CZ1727" s="1">
        <v>42807</v>
      </c>
      <c r="DA1727">
        <v>0</v>
      </c>
      <c r="DD1727" t="s">
        <v>2387</v>
      </c>
      <c r="DG1727">
        <v>37</v>
      </c>
      <c r="DL1727">
        <v>50301</v>
      </c>
      <c r="DM1727" t="s">
        <v>17029</v>
      </c>
      <c r="DO1727" t="s">
        <v>17094</v>
      </c>
      <c r="DP1727">
        <v>0</v>
      </c>
      <c r="DQ1727">
        <v>0</v>
      </c>
      <c r="DR1727" t="s">
        <v>411</v>
      </c>
      <c r="EL1727" s="1">
        <v>39075</v>
      </c>
      <c r="EM1727" t="s">
        <v>17031</v>
      </c>
      <c r="EN1727" t="s">
        <v>17032</v>
      </c>
      <c r="EO1727" s="3">
        <v>4935000</v>
      </c>
    </row>
    <row r="1728" spans="1:224" x14ac:dyDescent="0.25">
      <c r="A1728">
        <v>16486735</v>
      </c>
      <c r="B1728">
        <v>1727</v>
      </c>
      <c r="C1728" t="s">
        <v>393</v>
      </c>
      <c r="D1728" t="s">
        <v>394</v>
      </c>
      <c r="F1728" t="str">
        <f>"37-3N-28-0743-0520-0000"</f>
        <v>37-3N-28-0743-0520-0000</v>
      </c>
      <c r="H1728" t="str">
        <f>"ESB INVESTMENTS LLC"</f>
        <v>ESB INVESTMENTS LLC</v>
      </c>
      <c r="I1728" t="str">
        <f>"95540 CLEMENTS RD"</f>
        <v>95540 CLEMENTS RD</v>
      </c>
      <c r="J1728" t="str">
        <f>"FERNANDINA BEACH FL 32034"</f>
        <v>FERNANDINA BEACH FL 32034</v>
      </c>
      <c r="K1728" t="str">
        <f>"97681 ALBATROSS DR"</f>
        <v>97681 ALBATROSS DR</v>
      </c>
      <c r="L1728" t="str">
        <f t="shared" si="618"/>
        <v>YULEE FL 32097</v>
      </c>
      <c r="M1728" t="str">
        <f>"LOT 520 HERON ISLES PHASE TWO C-2 PBK 8/132"</f>
        <v>LOT 520 HERON ISLES PHASE TWO C-2 PBK 8/132</v>
      </c>
      <c r="N1728" t="str">
        <f>""</f>
        <v/>
      </c>
      <c r="O1728" t="str">
        <f>"56511"</f>
        <v>56511</v>
      </c>
      <c r="P1728" t="str">
        <f t="shared" si="597"/>
        <v>2017</v>
      </c>
      <c r="Q1728" t="str">
        <f>""</f>
        <v/>
      </c>
      <c r="R1728" t="str">
        <f t="shared" si="610"/>
        <v>N</v>
      </c>
      <c r="S1728" t="str">
        <f>""</f>
        <v/>
      </c>
      <c r="T1728" t="str">
        <f t="shared" si="625"/>
        <v>1305.04</v>
      </c>
      <c r="U1728" t="str">
        <f t="shared" si="626"/>
        <v>30000.00</v>
      </c>
      <c r="V1728" t="str">
        <f t="shared" si="626"/>
        <v>30000.00</v>
      </c>
      <c r="W1728" t="str">
        <f t="shared" si="598"/>
        <v>2017</v>
      </c>
      <c r="X1728" t="str">
        <f>""</f>
        <v/>
      </c>
      <c r="Y1728" t="str">
        <f t="shared" si="627"/>
        <v>1376.19</v>
      </c>
      <c r="Z1728" t="str">
        <f>""</f>
        <v/>
      </c>
      <c r="AA1728" t="str">
        <f t="shared" si="623"/>
        <v>30000.00</v>
      </c>
      <c r="AB1728" t="str">
        <f t="shared" si="611"/>
        <v>Residential</v>
      </c>
      <c r="AC1728" t="str">
        <f t="shared" si="609"/>
        <v>0</v>
      </c>
      <c r="AD1728" t="str">
        <f>""</f>
        <v/>
      </c>
      <c r="AE1728" t="str">
        <f>""</f>
        <v/>
      </c>
      <c r="AF1728" t="str">
        <f t="shared" si="624"/>
        <v>000</v>
      </c>
      <c r="AG1728" t="str">
        <f t="shared" si="620"/>
        <v>FL</v>
      </c>
      <c r="AH1728" t="str">
        <f>"6098.00"</f>
        <v>6098.00</v>
      </c>
      <c r="AI1728" t="str">
        <f t="shared" si="619"/>
        <v>30000.00</v>
      </c>
      <c r="AJ1728" t="str">
        <f>"C55-001-080-5292-9"</f>
        <v>C55-001-080-5292-9</v>
      </c>
      <c r="AK1728" t="str">
        <f>"31432"</f>
        <v>31432</v>
      </c>
      <c r="AL1728">
        <v>6</v>
      </c>
      <c r="AM1728">
        <v>1973</v>
      </c>
      <c r="AN1728">
        <v>1443.4</v>
      </c>
      <c r="AQ1728" t="s">
        <v>17095</v>
      </c>
      <c r="AR1728" t="s">
        <v>17095</v>
      </c>
      <c r="AS1728" t="s">
        <v>17095</v>
      </c>
      <c r="AU1728" t="s">
        <v>396</v>
      </c>
      <c r="AV1728">
        <v>2017</v>
      </c>
      <c r="AW1728" t="str">
        <f>"37-3N-28-0743-0520-0000 "</f>
        <v xml:space="preserve">37-3N-28-0743-0520-0000 </v>
      </c>
      <c r="AX1728">
        <v>97681</v>
      </c>
      <c r="AZ1728" t="s">
        <v>17058</v>
      </c>
      <c r="BA1728" t="s">
        <v>669</v>
      </c>
      <c r="BD1728" t="s">
        <v>2387</v>
      </c>
      <c r="BE1728" t="s">
        <v>393</v>
      </c>
      <c r="BF1728">
        <v>32097</v>
      </c>
      <c r="BG1728" t="s">
        <v>17096</v>
      </c>
      <c r="BH1728" t="s">
        <v>2388</v>
      </c>
      <c r="BI1728">
        <v>-81.536274264869704</v>
      </c>
      <c r="BJ1728">
        <v>30.643882067221</v>
      </c>
      <c r="BK1728" t="s">
        <v>16125</v>
      </c>
      <c r="BM1728" t="s">
        <v>16126</v>
      </c>
      <c r="BN1728" t="s">
        <v>3983</v>
      </c>
      <c r="BO1728">
        <v>32034</v>
      </c>
      <c r="BP1728" t="s">
        <v>404</v>
      </c>
      <c r="BQ1728">
        <v>0</v>
      </c>
      <c r="BR1728" t="s">
        <v>491</v>
      </c>
      <c r="BS1728">
        <v>8001</v>
      </c>
      <c r="BT1728" t="s">
        <v>492</v>
      </c>
      <c r="BW1728">
        <v>6098</v>
      </c>
      <c r="BX1728" t="s">
        <v>407</v>
      </c>
      <c r="CD1728">
        <v>2017</v>
      </c>
      <c r="CE1728">
        <v>30000</v>
      </c>
      <c r="CG1728">
        <v>30000</v>
      </c>
      <c r="CH1728">
        <v>2017</v>
      </c>
      <c r="CI1728">
        <v>30000</v>
      </c>
      <c r="CK1728">
        <v>30000</v>
      </c>
      <c r="CL1728">
        <v>2017</v>
      </c>
      <c r="CM1728">
        <v>1305.04</v>
      </c>
      <c r="CN1728" s="1">
        <v>42807</v>
      </c>
      <c r="CO1728">
        <v>162500</v>
      </c>
      <c r="CV1728">
        <v>171920</v>
      </c>
      <c r="CX1728" t="s">
        <v>3031</v>
      </c>
      <c r="CZ1728" s="1">
        <v>42807</v>
      </c>
      <c r="DA1728">
        <v>0</v>
      </c>
      <c r="DD1728" t="s">
        <v>2387</v>
      </c>
      <c r="DG1728">
        <v>37</v>
      </c>
      <c r="DL1728">
        <v>50301</v>
      </c>
      <c r="DM1728" t="s">
        <v>17029</v>
      </c>
      <c r="DO1728" t="s">
        <v>17097</v>
      </c>
      <c r="DP1728">
        <v>0</v>
      </c>
      <c r="DQ1728">
        <v>0</v>
      </c>
      <c r="DR1728" t="s">
        <v>411</v>
      </c>
      <c r="EL1728" s="1">
        <v>39076</v>
      </c>
      <c r="EM1728" t="s">
        <v>17031</v>
      </c>
      <c r="EN1728" t="s">
        <v>17032</v>
      </c>
      <c r="EO1728" s="3">
        <v>4935000</v>
      </c>
    </row>
    <row r="1729" spans="1:296" x14ac:dyDescent="0.25">
      <c r="A1729">
        <v>16486736</v>
      </c>
      <c r="B1729">
        <v>1728</v>
      </c>
      <c r="C1729" t="s">
        <v>393</v>
      </c>
      <c r="D1729" t="s">
        <v>394</v>
      </c>
      <c r="F1729" t="str">
        <f>"37-3N-28-0743-0521-0000"</f>
        <v>37-3N-28-0743-0521-0000</v>
      </c>
      <c r="H1729" t="str">
        <f>"ESB INVESTMENTS LLC"</f>
        <v>ESB INVESTMENTS LLC</v>
      </c>
      <c r="I1729" t="str">
        <f>"95540 CLEMENTS RD"</f>
        <v>95540 CLEMENTS RD</v>
      </c>
      <c r="J1729" t="str">
        <f>"FERNANDINA BEACH FL 32034"</f>
        <v>FERNANDINA BEACH FL 32034</v>
      </c>
      <c r="K1729" t="str">
        <f>"97669 ALBATROSS DR"</f>
        <v>97669 ALBATROSS DR</v>
      </c>
      <c r="L1729" t="str">
        <f t="shared" si="618"/>
        <v>YULEE FL 32097</v>
      </c>
      <c r="M1729" t="str">
        <f>"LOT 521 IN OR 2139/1816 HERON ISLES PHASE TWO C-2 PBK 8/132"</f>
        <v>LOT 521 IN OR 2139/1816 HERON ISLES PHASE TWO C-2 PBK 8/132</v>
      </c>
      <c r="N1729" t="str">
        <f>""</f>
        <v/>
      </c>
      <c r="O1729" t="str">
        <f>"56512"</f>
        <v>56512</v>
      </c>
      <c r="P1729" t="str">
        <f t="shared" si="597"/>
        <v>2017</v>
      </c>
      <c r="Q1729" t="str">
        <f>""</f>
        <v/>
      </c>
      <c r="R1729" t="str">
        <f t="shared" si="610"/>
        <v>N</v>
      </c>
      <c r="S1729" t="str">
        <f>""</f>
        <v/>
      </c>
      <c r="T1729" t="str">
        <f t="shared" si="625"/>
        <v>1305.04</v>
      </c>
      <c r="U1729" t="str">
        <f t="shared" si="626"/>
        <v>30000.00</v>
      </c>
      <c r="V1729" t="str">
        <f t="shared" si="626"/>
        <v>30000.00</v>
      </c>
      <c r="W1729" t="str">
        <f t="shared" si="598"/>
        <v>2017</v>
      </c>
      <c r="X1729" t="str">
        <f>"3.00"</f>
        <v>3.00</v>
      </c>
      <c r="Y1729" t="str">
        <f t="shared" si="627"/>
        <v>1376.19</v>
      </c>
      <c r="Z1729" t="str">
        <f>""</f>
        <v/>
      </c>
      <c r="AA1729" t="str">
        <f t="shared" si="623"/>
        <v>30000.00</v>
      </c>
      <c r="AB1729" t="str">
        <f t="shared" si="611"/>
        <v>Residential</v>
      </c>
      <c r="AC1729" t="str">
        <f t="shared" si="609"/>
        <v>0</v>
      </c>
      <c r="AD1729" t="str">
        <f>""</f>
        <v/>
      </c>
      <c r="AE1729" t="str">
        <f>""</f>
        <v/>
      </c>
      <c r="AF1729" t="str">
        <f t="shared" si="624"/>
        <v>000</v>
      </c>
      <c r="AG1729" t="str">
        <f t="shared" si="620"/>
        <v>FL</v>
      </c>
      <c r="AH1729" t="str">
        <f>"6098.00"</f>
        <v>6098.00</v>
      </c>
      <c r="AI1729" t="str">
        <f t="shared" si="619"/>
        <v>30000.00</v>
      </c>
      <c r="AJ1729" t="str">
        <f>"C55-001-080-5293-7"</f>
        <v>C55-001-080-5293-7</v>
      </c>
      <c r="AK1729" t="str">
        <f>"31433"</f>
        <v>31433</v>
      </c>
      <c r="AL1729">
        <v>6</v>
      </c>
      <c r="AM1729">
        <v>1974</v>
      </c>
      <c r="AN1729">
        <v>1443.4</v>
      </c>
      <c r="AQ1729" t="s">
        <v>17098</v>
      </c>
      <c r="AR1729" t="s">
        <v>17098</v>
      </c>
      <c r="AS1729" t="s">
        <v>17098</v>
      </c>
      <c r="AU1729" t="s">
        <v>396</v>
      </c>
      <c r="AV1729">
        <v>2017</v>
      </c>
      <c r="AW1729" t="str">
        <f>"37-3N-28-0743-0521-0000 "</f>
        <v xml:space="preserve">37-3N-28-0743-0521-0000 </v>
      </c>
      <c r="AX1729">
        <v>97669</v>
      </c>
      <c r="AZ1729" t="s">
        <v>17058</v>
      </c>
      <c r="BA1729" t="s">
        <v>669</v>
      </c>
      <c r="BD1729" t="s">
        <v>2387</v>
      </c>
      <c r="BE1729" t="s">
        <v>393</v>
      </c>
      <c r="BF1729">
        <v>32097</v>
      </c>
      <c r="BG1729" t="s">
        <v>17099</v>
      </c>
      <c r="BH1729" t="s">
        <v>2388</v>
      </c>
      <c r="BI1729">
        <v>-81.536152216313994</v>
      </c>
      <c r="BJ1729">
        <v>30.643767659060401</v>
      </c>
      <c r="BK1729" t="s">
        <v>16125</v>
      </c>
      <c r="BM1729" t="s">
        <v>16126</v>
      </c>
      <c r="BN1729" t="s">
        <v>3983</v>
      </c>
      <c r="BO1729">
        <v>32034</v>
      </c>
      <c r="BP1729" t="s">
        <v>404</v>
      </c>
      <c r="BQ1729">
        <v>0</v>
      </c>
      <c r="BR1729" t="s">
        <v>491</v>
      </c>
      <c r="BS1729">
        <v>8001</v>
      </c>
      <c r="BT1729" t="s">
        <v>492</v>
      </c>
      <c r="BW1729">
        <v>6098</v>
      </c>
      <c r="BX1729" t="s">
        <v>407</v>
      </c>
      <c r="CD1729">
        <v>2017</v>
      </c>
      <c r="CE1729">
        <v>30000</v>
      </c>
      <c r="CG1729">
        <v>30000</v>
      </c>
      <c r="CH1729">
        <v>2017</v>
      </c>
      <c r="CI1729">
        <v>30000</v>
      </c>
      <c r="CK1729">
        <v>30000</v>
      </c>
      <c r="CL1729">
        <v>2017</v>
      </c>
      <c r="CM1729">
        <v>1305.04</v>
      </c>
      <c r="CN1729" s="1">
        <v>42961</v>
      </c>
      <c r="CO1729">
        <v>73000</v>
      </c>
      <c r="CV1729">
        <v>78170</v>
      </c>
      <c r="CX1729" t="s">
        <v>3031</v>
      </c>
      <c r="CZ1729" s="1">
        <v>42961</v>
      </c>
      <c r="DA1729">
        <v>0</v>
      </c>
      <c r="DD1729" t="s">
        <v>2387</v>
      </c>
      <c r="DG1729">
        <v>37</v>
      </c>
      <c r="DL1729">
        <v>50301</v>
      </c>
      <c r="DM1729" t="s">
        <v>17029</v>
      </c>
      <c r="DO1729" t="s">
        <v>17100</v>
      </c>
      <c r="DP1729">
        <v>0</v>
      </c>
      <c r="DQ1729">
        <v>0</v>
      </c>
      <c r="DR1729" t="s">
        <v>411</v>
      </c>
      <c r="EL1729" s="1">
        <v>39077</v>
      </c>
      <c r="EM1729" t="s">
        <v>17031</v>
      </c>
      <c r="EN1729" t="s">
        <v>17032</v>
      </c>
      <c r="EO1729" s="3">
        <v>4935000</v>
      </c>
      <c r="EP1729" t="s">
        <v>421</v>
      </c>
      <c r="EQ1729" t="s">
        <v>422</v>
      </c>
      <c r="ER1729">
        <v>0</v>
      </c>
      <c r="ES1729">
        <v>1</v>
      </c>
      <c r="ET1729">
        <v>0</v>
      </c>
      <c r="EU1729">
        <v>0</v>
      </c>
      <c r="EV1729">
        <v>0</v>
      </c>
      <c r="EW1729" s="2">
        <v>43222</v>
      </c>
      <c r="EX1729" s="1">
        <v>42879</v>
      </c>
      <c r="EY1729">
        <v>2016</v>
      </c>
      <c r="EZ1729">
        <v>1041.67</v>
      </c>
      <c r="FA1729" t="s">
        <v>17101</v>
      </c>
      <c r="FB1729">
        <v>17.75</v>
      </c>
      <c r="FC1729" t="s">
        <v>424</v>
      </c>
      <c r="FD1729" t="s">
        <v>425</v>
      </c>
      <c r="FE1729" s="1">
        <v>42961</v>
      </c>
      <c r="FF1729">
        <v>3</v>
      </c>
      <c r="FG1729">
        <v>10125</v>
      </c>
      <c r="FH1729" t="s">
        <v>440</v>
      </c>
    </row>
    <row r="1730" spans="1:296" x14ac:dyDescent="0.25">
      <c r="A1730">
        <v>16486737</v>
      </c>
      <c r="B1730">
        <v>1729</v>
      </c>
      <c r="C1730" t="s">
        <v>393</v>
      </c>
      <c r="D1730" t="s">
        <v>394</v>
      </c>
      <c r="F1730" t="str">
        <f>"37-3N-28-0745-0727-0000"</f>
        <v>37-3N-28-0745-0727-0000</v>
      </c>
      <c r="H1730" t="str">
        <f>"HERON ISLES JOINT VENTURE LLP"</f>
        <v>HERON ISLES JOINT VENTURE LLP</v>
      </c>
      <c r="I1730" t="str">
        <f>"2955 HARTLEY RD STE 108"</f>
        <v>2955 HARTLEY RD STE 108</v>
      </c>
      <c r="J1730" t="str">
        <f>"JACKSONVILLE FL 32257"</f>
        <v>JACKSONVILLE FL 32257</v>
      </c>
      <c r="K1730" t="str">
        <f>"96060 BREEZEWAY CT"</f>
        <v>96060 BREEZEWAY CT</v>
      </c>
      <c r="L1730" t="str">
        <f t="shared" si="618"/>
        <v>YULEE FL 32097</v>
      </c>
      <c r="M1730" t="str">
        <f>"LOT 727 HERON ISLES PHASE THREE C PBK 8/177"</f>
        <v>LOT 727 HERON ISLES PHASE THREE C PBK 8/177</v>
      </c>
      <c r="N1730" t="str">
        <f>""</f>
        <v/>
      </c>
      <c r="O1730" t="str">
        <f>"57824"</f>
        <v>57824</v>
      </c>
      <c r="P1730" t="str">
        <f t="shared" ref="P1730:P1793" si="628">"2017"</f>
        <v>2017</v>
      </c>
      <c r="Q1730" t="str">
        <f>""</f>
        <v/>
      </c>
      <c r="R1730" t="str">
        <f t="shared" si="610"/>
        <v>N</v>
      </c>
      <c r="S1730" t="str">
        <f>""</f>
        <v/>
      </c>
      <c r="T1730" t="str">
        <f>"896.30"</f>
        <v>896.30</v>
      </c>
      <c r="U1730" t="str">
        <f t="shared" ref="U1730:V1733" si="629">"3000.00"</f>
        <v>3000.00</v>
      </c>
      <c r="V1730" t="str">
        <f t="shared" si="629"/>
        <v>3000.00</v>
      </c>
      <c r="W1730" t="str">
        <f t="shared" ref="W1730:W1793" si="630">"2017"</f>
        <v>2017</v>
      </c>
      <c r="X1730" t="str">
        <f>""</f>
        <v/>
      </c>
      <c r="Y1730" t="str">
        <f>"955.19"</f>
        <v>955.19</v>
      </c>
      <c r="Z1730" t="str">
        <f>""</f>
        <v/>
      </c>
      <c r="AA1730" t="str">
        <f>"3000.00"</f>
        <v>3000.00</v>
      </c>
      <c r="AB1730" t="str">
        <f t="shared" si="611"/>
        <v>Residential</v>
      </c>
      <c r="AC1730" t="str">
        <f t="shared" si="609"/>
        <v>0</v>
      </c>
      <c r="AD1730" t="str">
        <f>""</f>
        <v/>
      </c>
      <c r="AE1730" t="str">
        <f>""</f>
        <v/>
      </c>
      <c r="AF1730" t="str">
        <f t="shared" si="624"/>
        <v>000</v>
      </c>
      <c r="AG1730" t="str">
        <f t="shared" si="620"/>
        <v>FL</v>
      </c>
      <c r="AH1730" t="str">
        <f>"7149.00"</f>
        <v>7149.00</v>
      </c>
      <c r="AI1730" t="str">
        <f>"3000.00"</f>
        <v>3000.00</v>
      </c>
      <c r="AJ1730" t="str">
        <f>"C55-001-092-8379-6"</f>
        <v>C55-001-092-8379-6</v>
      </c>
      <c r="AK1730" t="str">
        <f>"31487"</f>
        <v>31487</v>
      </c>
      <c r="AL1730">
        <v>7</v>
      </c>
      <c r="AM1730">
        <v>1975</v>
      </c>
      <c r="AN1730">
        <v>1001.35</v>
      </c>
      <c r="AQ1730" t="s">
        <v>17102</v>
      </c>
      <c r="AR1730" t="s">
        <v>17102</v>
      </c>
      <c r="AS1730" t="s">
        <v>17102</v>
      </c>
      <c r="AU1730" t="s">
        <v>396</v>
      </c>
      <c r="AV1730">
        <v>2017</v>
      </c>
      <c r="AW1730" t="str">
        <f>"37-3N-28-0745-0727-0000 "</f>
        <v xml:space="preserve">37-3N-28-0745-0727-0000 </v>
      </c>
      <c r="AX1730">
        <v>96060</v>
      </c>
      <c r="AZ1730" t="s">
        <v>17103</v>
      </c>
      <c r="BA1730" t="s">
        <v>3181</v>
      </c>
      <c r="BD1730" t="s">
        <v>2387</v>
      </c>
      <c r="BE1730" t="s">
        <v>393</v>
      </c>
      <c r="BF1730">
        <v>32097</v>
      </c>
      <c r="BG1730" t="s">
        <v>17104</v>
      </c>
      <c r="BH1730" t="s">
        <v>2388</v>
      </c>
      <c r="BK1730" t="s">
        <v>17105</v>
      </c>
      <c r="BM1730" t="s">
        <v>17072</v>
      </c>
      <c r="BN1730" t="s">
        <v>548</v>
      </c>
      <c r="BO1730">
        <v>32257</v>
      </c>
      <c r="BQ1730">
        <v>0</v>
      </c>
      <c r="BR1730" t="s">
        <v>491</v>
      </c>
      <c r="BS1730">
        <v>8001</v>
      </c>
      <c r="BT1730" t="s">
        <v>492</v>
      </c>
      <c r="BW1730">
        <v>7149</v>
      </c>
      <c r="BX1730" t="s">
        <v>407</v>
      </c>
      <c r="CD1730">
        <v>2017</v>
      </c>
      <c r="CE1730">
        <v>3000</v>
      </c>
      <c r="CG1730">
        <v>3000</v>
      </c>
      <c r="CH1730">
        <v>2017</v>
      </c>
      <c r="CI1730">
        <v>3000</v>
      </c>
      <c r="CK1730">
        <v>3000</v>
      </c>
      <c r="CL1730">
        <v>2017</v>
      </c>
      <c r="CM1730">
        <v>896.3</v>
      </c>
      <c r="DD1730" t="s">
        <v>2387</v>
      </c>
      <c r="DM1730" t="s">
        <v>17106</v>
      </c>
      <c r="DO1730" t="s">
        <v>17107</v>
      </c>
    </row>
    <row r="1731" spans="1:296" x14ac:dyDescent="0.25">
      <c r="A1731">
        <v>16486738</v>
      </c>
      <c r="B1731">
        <v>1730</v>
      </c>
      <c r="C1731" t="s">
        <v>393</v>
      </c>
      <c r="D1731" t="s">
        <v>394</v>
      </c>
      <c r="F1731" t="str">
        <f>"37-3N-28-0745-0735-0000"</f>
        <v>37-3N-28-0745-0735-0000</v>
      </c>
      <c r="H1731" t="str">
        <f>"HERON ISLES JOINT VENTURE LLP"</f>
        <v>HERON ISLES JOINT VENTURE LLP</v>
      </c>
      <c r="I1731" t="str">
        <f>"2955 HARTLEY RD STE 108"</f>
        <v>2955 HARTLEY RD STE 108</v>
      </c>
      <c r="J1731" t="str">
        <f>"JACKSONVILLE FL 32257"</f>
        <v>JACKSONVILLE FL 32257</v>
      </c>
      <c r="K1731" t="str">
        <f>"96085 BREEZEWAY CT"</f>
        <v>96085 BREEZEWAY CT</v>
      </c>
      <c r="L1731" t="str">
        <f t="shared" si="618"/>
        <v>YULEE FL 32097</v>
      </c>
      <c r="M1731" t="str">
        <f>"LOT 735 HERON ISLES PHASE THREE C PBK 8/177"</f>
        <v>LOT 735 HERON ISLES PHASE THREE C PBK 8/177</v>
      </c>
      <c r="N1731" t="str">
        <f>""</f>
        <v/>
      </c>
      <c r="O1731" t="str">
        <f>"57832"</f>
        <v>57832</v>
      </c>
      <c r="P1731" t="str">
        <f t="shared" si="628"/>
        <v>2017</v>
      </c>
      <c r="Q1731" t="str">
        <f>""</f>
        <v/>
      </c>
      <c r="R1731" t="str">
        <f t="shared" si="610"/>
        <v>N</v>
      </c>
      <c r="S1731" t="str">
        <f>""</f>
        <v/>
      </c>
      <c r="T1731" t="str">
        <f>"896.30"</f>
        <v>896.30</v>
      </c>
      <c r="U1731" t="str">
        <f t="shared" si="629"/>
        <v>3000.00</v>
      </c>
      <c r="V1731" t="str">
        <f t="shared" si="629"/>
        <v>3000.00</v>
      </c>
      <c r="W1731" t="str">
        <f t="shared" si="630"/>
        <v>2017</v>
      </c>
      <c r="X1731" t="str">
        <f>""</f>
        <v/>
      </c>
      <c r="Y1731" t="str">
        <f>"955.19"</f>
        <v>955.19</v>
      </c>
      <c r="Z1731" t="str">
        <f>""</f>
        <v/>
      </c>
      <c r="AA1731" t="str">
        <f>"3000.00"</f>
        <v>3000.00</v>
      </c>
      <c r="AB1731" t="str">
        <f t="shared" si="611"/>
        <v>Residential</v>
      </c>
      <c r="AC1731" t="str">
        <f t="shared" si="609"/>
        <v>0</v>
      </c>
      <c r="AD1731" t="str">
        <f>""</f>
        <v/>
      </c>
      <c r="AE1731" t="str">
        <f>""</f>
        <v/>
      </c>
      <c r="AF1731" t="str">
        <f t="shared" si="624"/>
        <v>000</v>
      </c>
      <c r="AG1731" t="str">
        <f t="shared" si="620"/>
        <v>FL</v>
      </c>
      <c r="AH1731" t="str">
        <f>"8172.00"</f>
        <v>8172.00</v>
      </c>
      <c r="AI1731" t="str">
        <f>"3000.00"</f>
        <v>3000.00</v>
      </c>
      <c r="AJ1731" t="str">
        <f>"C55-001-092-8387-9"</f>
        <v>C55-001-092-8387-9</v>
      </c>
      <c r="AK1731" t="str">
        <f>"31495"</f>
        <v>31495</v>
      </c>
      <c r="AL1731">
        <v>7</v>
      </c>
      <c r="AM1731">
        <v>1976</v>
      </c>
      <c r="AN1731">
        <v>1001.35</v>
      </c>
      <c r="AQ1731" t="s">
        <v>17108</v>
      </c>
      <c r="AR1731" t="s">
        <v>17108</v>
      </c>
      <c r="AS1731" t="s">
        <v>17108</v>
      </c>
      <c r="AU1731" t="s">
        <v>396</v>
      </c>
      <c r="AV1731">
        <v>2017</v>
      </c>
      <c r="AW1731" t="str">
        <f>"37-3N-28-0745-0735-0000 "</f>
        <v xml:space="preserve">37-3N-28-0745-0735-0000 </v>
      </c>
      <c r="AX1731">
        <v>96085</v>
      </c>
      <c r="AZ1731" t="s">
        <v>17103</v>
      </c>
      <c r="BA1731" t="s">
        <v>3181</v>
      </c>
      <c r="BD1731" t="s">
        <v>2387</v>
      </c>
      <c r="BE1731" t="s">
        <v>393</v>
      </c>
      <c r="BF1731">
        <v>32097</v>
      </c>
      <c r="BG1731" t="s">
        <v>17109</v>
      </c>
      <c r="BH1731" t="s">
        <v>2388</v>
      </c>
      <c r="BK1731" t="s">
        <v>17105</v>
      </c>
      <c r="BM1731" t="s">
        <v>17072</v>
      </c>
      <c r="BN1731" t="s">
        <v>548</v>
      </c>
      <c r="BO1731">
        <v>32257</v>
      </c>
      <c r="BQ1731">
        <v>0</v>
      </c>
      <c r="BR1731" t="s">
        <v>491</v>
      </c>
      <c r="BS1731">
        <v>8001</v>
      </c>
      <c r="BT1731" t="s">
        <v>492</v>
      </c>
      <c r="BW1731">
        <v>8172</v>
      </c>
      <c r="BX1731" t="s">
        <v>407</v>
      </c>
      <c r="CD1731">
        <v>2017</v>
      </c>
      <c r="CE1731">
        <v>3000</v>
      </c>
      <c r="CG1731">
        <v>3000</v>
      </c>
      <c r="CH1731">
        <v>2017</v>
      </c>
      <c r="CI1731">
        <v>3000</v>
      </c>
      <c r="CK1731">
        <v>3000</v>
      </c>
      <c r="CL1731">
        <v>2017</v>
      </c>
      <c r="CM1731">
        <v>896.3</v>
      </c>
      <c r="DD1731" t="s">
        <v>2387</v>
      </c>
      <c r="DM1731" t="s">
        <v>17106</v>
      </c>
      <c r="DO1731" t="s">
        <v>17110</v>
      </c>
    </row>
    <row r="1732" spans="1:296" x14ac:dyDescent="0.25">
      <c r="A1732">
        <v>16486739</v>
      </c>
      <c r="B1732">
        <v>1731</v>
      </c>
      <c r="C1732" t="s">
        <v>393</v>
      </c>
      <c r="D1732" t="s">
        <v>394</v>
      </c>
      <c r="F1732" t="str">
        <f>"37-3N-28-0745-0736-0000"</f>
        <v>37-3N-28-0745-0736-0000</v>
      </c>
      <c r="H1732" t="str">
        <f>"HERON ISLES JOINT VENTURE LLP"</f>
        <v>HERON ISLES JOINT VENTURE LLP</v>
      </c>
      <c r="I1732" t="str">
        <f>"2955 HARTLEY RD STE 108"</f>
        <v>2955 HARTLEY RD STE 108</v>
      </c>
      <c r="J1732" t="str">
        <f>"JACKSONVILLE FL 32257"</f>
        <v>JACKSONVILLE FL 32257</v>
      </c>
      <c r="K1732" t="str">
        <f>"96079 BREEZEWAY CT"</f>
        <v>96079 BREEZEWAY CT</v>
      </c>
      <c r="L1732" t="str">
        <f t="shared" si="618"/>
        <v>YULEE FL 32097</v>
      </c>
      <c r="M1732" t="str">
        <f>"LOT 736 HERON ISLES PHASE THREE C PBK 8/177"</f>
        <v>LOT 736 HERON ISLES PHASE THREE C PBK 8/177</v>
      </c>
      <c r="N1732" t="str">
        <f>""</f>
        <v/>
      </c>
      <c r="O1732" t="str">
        <f>"57833"</f>
        <v>57833</v>
      </c>
      <c r="P1732" t="str">
        <f t="shared" si="628"/>
        <v>2017</v>
      </c>
      <c r="Q1732" t="str">
        <f>""</f>
        <v/>
      </c>
      <c r="R1732" t="str">
        <f t="shared" si="610"/>
        <v>N</v>
      </c>
      <c r="S1732" t="str">
        <f>""</f>
        <v/>
      </c>
      <c r="T1732" t="str">
        <f>"896.30"</f>
        <v>896.30</v>
      </c>
      <c r="U1732" t="str">
        <f t="shared" si="629"/>
        <v>3000.00</v>
      </c>
      <c r="V1732" t="str">
        <f t="shared" si="629"/>
        <v>3000.00</v>
      </c>
      <c r="W1732" t="str">
        <f t="shared" si="630"/>
        <v>2017</v>
      </c>
      <c r="X1732" t="str">
        <f>""</f>
        <v/>
      </c>
      <c r="Y1732" t="str">
        <f>"955.19"</f>
        <v>955.19</v>
      </c>
      <c r="Z1732" t="str">
        <f>""</f>
        <v/>
      </c>
      <c r="AA1732" t="str">
        <f>"3000.00"</f>
        <v>3000.00</v>
      </c>
      <c r="AB1732" t="str">
        <f t="shared" si="611"/>
        <v>Residential</v>
      </c>
      <c r="AC1732" t="str">
        <f t="shared" si="609"/>
        <v>0</v>
      </c>
      <c r="AD1732" t="str">
        <f>""</f>
        <v/>
      </c>
      <c r="AE1732" t="str">
        <f>""</f>
        <v/>
      </c>
      <c r="AF1732" t="str">
        <f t="shared" si="624"/>
        <v>000</v>
      </c>
      <c r="AG1732" t="str">
        <f t="shared" si="620"/>
        <v>FL</v>
      </c>
      <c r="AH1732" t="str">
        <f>"7012.00"</f>
        <v>7012.00</v>
      </c>
      <c r="AI1732" t="str">
        <f>"3000.00"</f>
        <v>3000.00</v>
      </c>
      <c r="AJ1732" t="str">
        <f>"C55-001-092-8388-7"</f>
        <v>C55-001-092-8388-7</v>
      </c>
      <c r="AK1732" t="str">
        <f>"31496"</f>
        <v>31496</v>
      </c>
      <c r="AL1732">
        <v>7</v>
      </c>
      <c r="AM1732">
        <v>1977</v>
      </c>
      <c r="AN1732">
        <v>1001.35</v>
      </c>
      <c r="AQ1732" t="s">
        <v>17111</v>
      </c>
      <c r="AR1732" t="s">
        <v>17111</v>
      </c>
      <c r="AS1732" t="s">
        <v>17111</v>
      </c>
      <c r="AU1732" t="s">
        <v>396</v>
      </c>
      <c r="AV1732">
        <v>2017</v>
      </c>
      <c r="AW1732" t="str">
        <f>"37-3N-28-0745-0736-0000 "</f>
        <v xml:space="preserve">37-3N-28-0745-0736-0000 </v>
      </c>
      <c r="AX1732">
        <v>96079</v>
      </c>
      <c r="AZ1732" t="s">
        <v>17103</v>
      </c>
      <c r="BA1732" t="s">
        <v>3181</v>
      </c>
      <c r="BD1732" t="s">
        <v>2387</v>
      </c>
      <c r="BE1732" t="s">
        <v>393</v>
      </c>
      <c r="BF1732">
        <v>32097</v>
      </c>
      <c r="BG1732" t="s">
        <v>17112</v>
      </c>
      <c r="BH1732" t="s">
        <v>2388</v>
      </c>
      <c r="BK1732" t="s">
        <v>17105</v>
      </c>
      <c r="BM1732" t="s">
        <v>17072</v>
      </c>
      <c r="BN1732" t="s">
        <v>548</v>
      </c>
      <c r="BO1732">
        <v>32257</v>
      </c>
      <c r="BQ1732">
        <v>0</v>
      </c>
      <c r="BR1732" t="s">
        <v>491</v>
      </c>
      <c r="BS1732">
        <v>8001</v>
      </c>
      <c r="BT1732" t="s">
        <v>492</v>
      </c>
      <c r="BW1732">
        <v>7012</v>
      </c>
      <c r="BX1732" t="s">
        <v>407</v>
      </c>
      <c r="CD1732">
        <v>2017</v>
      </c>
      <c r="CE1732">
        <v>3000</v>
      </c>
      <c r="CG1732">
        <v>3000</v>
      </c>
      <c r="CH1732">
        <v>2017</v>
      </c>
      <c r="CI1732">
        <v>3000</v>
      </c>
      <c r="CK1732">
        <v>3000</v>
      </c>
      <c r="CL1732">
        <v>2017</v>
      </c>
      <c r="CM1732">
        <v>896.3</v>
      </c>
      <c r="DD1732" t="s">
        <v>2387</v>
      </c>
      <c r="DM1732" t="s">
        <v>17106</v>
      </c>
      <c r="DO1732" t="s">
        <v>17113</v>
      </c>
    </row>
    <row r="1733" spans="1:296" x14ac:dyDescent="0.25">
      <c r="A1733">
        <v>16486740</v>
      </c>
      <c r="B1733">
        <v>1732</v>
      </c>
      <c r="C1733" t="s">
        <v>393</v>
      </c>
      <c r="D1733" t="s">
        <v>394</v>
      </c>
      <c r="F1733" t="str">
        <f>"37-3N-28-0745-0739-0000"</f>
        <v>37-3N-28-0745-0739-0000</v>
      </c>
      <c r="H1733" t="str">
        <f>"HERON ISLES JOINT VENTURE LLP"</f>
        <v>HERON ISLES JOINT VENTURE LLP</v>
      </c>
      <c r="I1733" t="str">
        <f>"2955 HARTLEY RD STE 108"</f>
        <v>2955 HARTLEY RD STE 108</v>
      </c>
      <c r="J1733" t="str">
        <f>"JACKSONVILLE FL 32257"</f>
        <v>JACKSONVILLE FL 32257</v>
      </c>
      <c r="K1733" t="str">
        <f>"96063 BREEZEWAY CT"</f>
        <v>96063 BREEZEWAY CT</v>
      </c>
      <c r="L1733" t="str">
        <f t="shared" si="618"/>
        <v>YULEE FL 32097</v>
      </c>
      <c r="M1733" t="str">
        <f>"LOT 739 HERON ISLES PHASE THREE C PBK 8/177"</f>
        <v>LOT 739 HERON ISLES PHASE THREE C PBK 8/177</v>
      </c>
      <c r="N1733" t="str">
        <f>""</f>
        <v/>
      </c>
      <c r="O1733" t="str">
        <f>"57836"</f>
        <v>57836</v>
      </c>
      <c r="P1733" t="str">
        <f t="shared" si="628"/>
        <v>2017</v>
      </c>
      <c r="Q1733" t="str">
        <f>""</f>
        <v/>
      </c>
      <c r="R1733" t="str">
        <f t="shared" si="610"/>
        <v>N</v>
      </c>
      <c r="S1733" t="str">
        <f>""</f>
        <v/>
      </c>
      <c r="T1733" t="str">
        <f>"896.30"</f>
        <v>896.30</v>
      </c>
      <c r="U1733" t="str">
        <f t="shared" si="629"/>
        <v>3000.00</v>
      </c>
      <c r="V1733" t="str">
        <f t="shared" si="629"/>
        <v>3000.00</v>
      </c>
      <c r="W1733" t="str">
        <f t="shared" si="630"/>
        <v>2017</v>
      </c>
      <c r="X1733" t="str">
        <f>""</f>
        <v/>
      </c>
      <c r="Y1733" t="str">
        <f>"955.19"</f>
        <v>955.19</v>
      </c>
      <c r="Z1733" t="str">
        <f>""</f>
        <v/>
      </c>
      <c r="AA1733" t="str">
        <f>"3000.00"</f>
        <v>3000.00</v>
      </c>
      <c r="AB1733" t="str">
        <f t="shared" si="611"/>
        <v>Residential</v>
      </c>
      <c r="AC1733" t="str">
        <f t="shared" si="609"/>
        <v>0</v>
      </c>
      <c r="AD1733" t="str">
        <f>""</f>
        <v/>
      </c>
      <c r="AE1733" t="str">
        <f>""</f>
        <v/>
      </c>
      <c r="AF1733" t="str">
        <f t="shared" si="624"/>
        <v>000</v>
      </c>
      <c r="AG1733" t="str">
        <f t="shared" si="620"/>
        <v>FL</v>
      </c>
      <c r="AH1733" t="str">
        <f>"8468.00"</f>
        <v>8468.00</v>
      </c>
      <c r="AI1733" t="str">
        <f>"3000.00"</f>
        <v>3000.00</v>
      </c>
      <c r="AJ1733" t="str">
        <f>"C55-001-092-8391-1"</f>
        <v>C55-001-092-8391-1</v>
      </c>
      <c r="AK1733" t="str">
        <f>"31499"</f>
        <v>31499</v>
      </c>
      <c r="AL1733">
        <v>7</v>
      </c>
      <c r="AM1733">
        <v>1978</v>
      </c>
      <c r="AN1733">
        <v>1001.35</v>
      </c>
      <c r="AQ1733" t="s">
        <v>17114</v>
      </c>
      <c r="AR1733" t="s">
        <v>17114</v>
      </c>
      <c r="AS1733" t="s">
        <v>17114</v>
      </c>
      <c r="AU1733" t="s">
        <v>396</v>
      </c>
      <c r="AV1733">
        <v>2017</v>
      </c>
      <c r="AW1733" t="str">
        <f>"37-3N-28-0745-0739-0000 "</f>
        <v xml:space="preserve">37-3N-28-0745-0739-0000 </v>
      </c>
      <c r="AX1733">
        <v>96063</v>
      </c>
      <c r="AZ1733" t="s">
        <v>17103</v>
      </c>
      <c r="BA1733" t="s">
        <v>3181</v>
      </c>
      <c r="BD1733" t="s">
        <v>2387</v>
      </c>
      <c r="BE1733" t="s">
        <v>393</v>
      </c>
      <c r="BF1733">
        <v>32097</v>
      </c>
      <c r="BG1733" t="s">
        <v>17115</v>
      </c>
      <c r="BH1733" t="s">
        <v>2388</v>
      </c>
      <c r="BK1733" t="s">
        <v>17105</v>
      </c>
      <c r="BM1733" t="s">
        <v>17072</v>
      </c>
      <c r="BN1733" t="s">
        <v>548</v>
      </c>
      <c r="BO1733">
        <v>32257</v>
      </c>
      <c r="BQ1733">
        <v>0</v>
      </c>
      <c r="BR1733" t="s">
        <v>491</v>
      </c>
      <c r="BS1733">
        <v>8001</v>
      </c>
      <c r="BT1733" t="s">
        <v>492</v>
      </c>
      <c r="BW1733">
        <v>8468</v>
      </c>
      <c r="BX1733" t="s">
        <v>407</v>
      </c>
      <c r="CD1733">
        <v>2017</v>
      </c>
      <c r="CE1733">
        <v>3000</v>
      </c>
      <c r="CG1733">
        <v>3000</v>
      </c>
      <c r="CH1733">
        <v>2017</v>
      </c>
      <c r="CI1733">
        <v>3000</v>
      </c>
      <c r="CK1733">
        <v>3000</v>
      </c>
      <c r="CL1733">
        <v>2017</v>
      </c>
      <c r="CM1733">
        <v>896.3</v>
      </c>
      <c r="DD1733" t="s">
        <v>2387</v>
      </c>
      <c r="DM1733" t="s">
        <v>17106</v>
      </c>
      <c r="DO1733" t="s">
        <v>17116</v>
      </c>
    </row>
    <row r="1734" spans="1:296" x14ac:dyDescent="0.25">
      <c r="A1734">
        <v>16486741</v>
      </c>
      <c r="B1734">
        <v>1733</v>
      </c>
      <c r="C1734" t="s">
        <v>393</v>
      </c>
      <c r="D1734" t="s">
        <v>394</v>
      </c>
      <c r="F1734" t="str">
        <f>"38-3N-28-0000-0001-0000"</f>
        <v>38-3N-28-0000-0001-0000</v>
      </c>
      <c r="H1734" t="str">
        <f>"BOWDEN DONNA M"</f>
        <v>BOWDEN DONNA M</v>
      </c>
      <c r="I1734" t="str">
        <f>"96275 YAHTZEE LN"</f>
        <v>96275 YAHTZEE LN</v>
      </c>
      <c r="J1734" t="str">
        <f>"YULEE FL 32097"</f>
        <v>YULEE FL 32097</v>
      </c>
      <c r="K1734" t="str">
        <f>"96275 YAHTZEE LN"</f>
        <v>96275 YAHTZEE LN</v>
      </c>
      <c r="L1734" t="str">
        <f t="shared" si="618"/>
        <v>YULEE FL 32097</v>
      </c>
      <c r="M1734" t="str">
        <f>"IN OR 2112/1536 FPL ESMT IN OR 1635/1814"</f>
        <v>IN OR 2112/1536 FPL ESMT IN OR 1635/1814</v>
      </c>
      <c r="N1734" t="str">
        <f>""</f>
        <v/>
      </c>
      <c r="O1734" t="str">
        <f>"45770"</f>
        <v>45770</v>
      </c>
      <c r="P1734" t="str">
        <f t="shared" si="628"/>
        <v>2017</v>
      </c>
      <c r="Q1734" t="str">
        <f>""</f>
        <v/>
      </c>
      <c r="R1734" t="str">
        <f>"Y"</f>
        <v>Y</v>
      </c>
      <c r="S1734" t="str">
        <f>""</f>
        <v/>
      </c>
      <c r="T1734" t="str">
        <f>"4985.45"</f>
        <v>4985.45</v>
      </c>
      <c r="U1734" t="str">
        <f>"368920.00"</f>
        <v>368920.00</v>
      </c>
      <c r="V1734" t="str">
        <f>"368920.00"</f>
        <v>368920.00</v>
      </c>
      <c r="W1734" t="str">
        <f t="shared" si="630"/>
        <v>2017</v>
      </c>
      <c r="X1734" t="str">
        <f>"20.86"</f>
        <v>20.86</v>
      </c>
      <c r="Y1734" t="str">
        <f>"5167.01"</f>
        <v>5167.01</v>
      </c>
      <c r="Z1734" t="str">
        <f>"25500.00"</f>
        <v>25500.00</v>
      </c>
      <c r="AA1734" t="str">
        <f>"343420.00"</f>
        <v>343420.00</v>
      </c>
      <c r="AB1734" t="str">
        <f t="shared" si="611"/>
        <v>Residential</v>
      </c>
      <c r="AC1734" t="str">
        <f t="shared" si="609"/>
        <v>0</v>
      </c>
      <c r="AD1734" t="str">
        <f>"4"</f>
        <v>4</v>
      </c>
      <c r="AE1734" t="str">
        <f>"WOOD (INCLUDE STEEL STUDS)"</f>
        <v>WOOD (INCLUDE STEEL STUDS)</v>
      </c>
      <c r="AF1734" t="str">
        <f>"001"</f>
        <v>001</v>
      </c>
      <c r="AG1734" t="str">
        <f t="shared" si="620"/>
        <v>FL</v>
      </c>
      <c r="AH1734" t="str">
        <f>"205167.00"</f>
        <v>205167.00</v>
      </c>
      <c r="AI1734" t="str">
        <f>"461768.00"</f>
        <v>461768.00</v>
      </c>
      <c r="AJ1734" t="str">
        <f>"C55-000-588-0522-7"</f>
        <v>C55-000-588-0522-7</v>
      </c>
      <c r="AK1734" t="str">
        <f>"31510"</f>
        <v>31510</v>
      </c>
      <c r="AL1734">
        <v>7</v>
      </c>
      <c r="AM1734">
        <v>1979</v>
      </c>
      <c r="AN1734">
        <v>5423.76</v>
      </c>
      <c r="AQ1734" t="s">
        <v>17117</v>
      </c>
      <c r="AR1734" t="s">
        <v>17117</v>
      </c>
      <c r="AS1734" t="s">
        <v>17117</v>
      </c>
      <c r="AU1734" t="s">
        <v>396</v>
      </c>
      <c r="AV1734">
        <v>2017</v>
      </c>
      <c r="AW1734" t="str">
        <f>"38-3N-28-0000-0001-0000 "</f>
        <v xml:space="preserve">38-3N-28-0000-0001-0000 </v>
      </c>
      <c r="AX1734">
        <v>96275</v>
      </c>
      <c r="AZ1734" t="s">
        <v>17118</v>
      </c>
      <c r="BA1734" t="s">
        <v>653</v>
      </c>
      <c r="BD1734" t="s">
        <v>2387</v>
      </c>
      <c r="BE1734" t="s">
        <v>393</v>
      </c>
      <c r="BF1734">
        <v>32097</v>
      </c>
      <c r="BG1734" t="s">
        <v>17119</v>
      </c>
      <c r="BH1734" t="s">
        <v>2388</v>
      </c>
      <c r="BI1734">
        <v>-81.5254867840613</v>
      </c>
      <c r="BJ1734">
        <v>30.644303654004599</v>
      </c>
      <c r="BK1734" t="s">
        <v>17120</v>
      </c>
      <c r="BM1734" t="s">
        <v>17119</v>
      </c>
      <c r="BN1734" t="s">
        <v>1778</v>
      </c>
      <c r="BO1734">
        <v>32097</v>
      </c>
      <c r="BP1734" t="s">
        <v>416</v>
      </c>
      <c r="BQ1734">
        <v>100</v>
      </c>
      <c r="BR1734" t="s">
        <v>514</v>
      </c>
      <c r="BS1734">
        <v>1001</v>
      </c>
      <c r="BT1734" t="s">
        <v>515</v>
      </c>
      <c r="BU1734">
        <v>2930</v>
      </c>
      <c r="BV1734">
        <v>0</v>
      </c>
      <c r="BW1734">
        <v>205167</v>
      </c>
      <c r="BX1734" t="s">
        <v>407</v>
      </c>
      <c r="BY1734" t="s">
        <v>12744</v>
      </c>
      <c r="BZ1734">
        <v>4</v>
      </c>
      <c r="CA1734">
        <v>1952</v>
      </c>
      <c r="CB1734">
        <v>1</v>
      </c>
      <c r="CC1734">
        <v>1</v>
      </c>
      <c r="CD1734">
        <v>2017</v>
      </c>
      <c r="CG1734">
        <v>368920</v>
      </c>
      <c r="CH1734">
        <v>2017</v>
      </c>
      <c r="CI1734">
        <v>461768</v>
      </c>
      <c r="CJ1734">
        <v>52434</v>
      </c>
      <c r="CK1734">
        <v>514202</v>
      </c>
      <c r="CL1734">
        <v>2017</v>
      </c>
      <c r="CM1734">
        <v>4985.45</v>
      </c>
      <c r="CN1734" s="1">
        <v>38401</v>
      </c>
      <c r="CZ1734" s="1">
        <v>38401</v>
      </c>
      <c r="DD1734" t="s">
        <v>2387</v>
      </c>
      <c r="DG1734">
        <v>38</v>
      </c>
      <c r="DL1734">
        <v>50303</v>
      </c>
      <c r="DM1734" t="s">
        <v>11367</v>
      </c>
      <c r="DO1734" t="s">
        <v>17121</v>
      </c>
      <c r="DP1734">
        <v>0</v>
      </c>
      <c r="DQ1734">
        <v>0</v>
      </c>
      <c r="DR1734" t="s">
        <v>411</v>
      </c>
      <c r="DS1734" t="b">
        <v>1</v>
      </c>
      <c r="DT1734" t="s">
        <v>470</v>
      </c>
      <c r="DU1734" t="s">
        <v>471</v>
      </c>
      <c r="DV1734" t="s">
        <v>472</v>
      </c>
      <c r="DX1734">
        <v>-9999</v>
      </c>
      <c r="DZ1734" t="s">
        <v>447</v>
      </c>
      <c r="EA1734" t="s">
        <v>448</v>
      </c>
      <c r="EB1734" t="s">
        <v>742</v>
      </c>
      <c r="EC1734">
        <v>20101217</v>
      </c>
      <c r="ED1734" t="s">
        <v>474</v>
      </c>
      <c r="EF1734">
        <v>322.60000000000002</v>
      </c>
      <c r="EG1734">
        <v>150.5</v>
      </c>
      <c r="EI1734">
        <v>20160407</v>
      </c>
      <c r="EJ1734">
        <v>0</v>
      </c>
      <c r="EK1734">
        <v>0</v>
      </c>
      <c r="EP1734" t="s">
        <v>421</v>
      </c>
      <c r="EQ1734" t="s">
        <v>422</v>
      </c>
      <c r="ER1734">
        <v>2</v>
      </c>
      <c r="ES1734">
        <v>10</v>
      </c>
      <c r="ET1734">
        <v>10742.26</v>
      </c>
      <c r="EU1734">
        <v>549.61</v>
      </c>
      <c r="EV1734">
        <v>11291.87</v>
      </c>
      <c r="EW1734" s="2">
        <v>43222</v>
      </c>
      <c r="EX1734" s="1">
        <v>42879</v>
      </c>
      <c r="EY1734">
        <v>2016</v>
      </c>
      <c r="EZ1734">
        <v>5371.13</v>
      </c>
      <c r="FA1734" t="s">
        <v>17122</v>
      </c>
      <c r="FB1734">
        <v>0.25</v>
      </c>
      <c r="FC1734" t="s">
        <v>424</v>
      </c>
      <c r="FD1734" t="s">
        <v>454</v>
      </c>
      <c r="FF1734">
        <v>12</v>
      </c>
      <c r="FG1734">
        <v>7336671</v>
      </c>
      <c r="FH1734" t="s">
        <v>437</v>
      </c>
      <c r="FJ1734" s="1">
        <v>42879</v>
      </c>
      <c r="FK1734">
        <v>2016</v>
      </c>
      <c r="FL1734">
        <v>5371.13</v>
      </c>
      <c r="FM1734" t="s">
        <v>17122</v>
      </c>
      <c r="FN1734">
        <v>0.25</v>
      </c>
      <c r="FO1734" t="s">
        <v>424</v>
      </c>
      <c r="FP1734" t="s">
        <v>454</v>
      </c>
      <c r="FR1734">
        <v>12</v>
      </c>
      <c r="FS1734">
        <v>6876422</v>
      </c>
      <c r="FT1734" t="s">
        <v>17123</v>
      </c>
      <c r="FV1734" s="1">
        <v>42515</v>
      </c>
      <c r="FW1734">
        <v>2015</v>
      </c>
      <c r="FX1734">
        <v>5458.45</v>
      </c>
      <c r="FY1734" t="s">
        <v>17124</v>
      </c>
      <c r="FZ1734">
        <v>0.25</v>
      </c>
      <c r="GA1734" t="s">
        <v>424</v>
      </c>
      <c r="GB1734" t="s">
        <v>425</v>
      </c>
      <c r="GC1734" s="1">
        <v>43186</v>
      </c>
      <c r="GD1734">
        <v>22</v>
      </c>
      <c r="GE1734">
        <v>5894185</v>
      </c>
      <c r="GF1734" t="s">
        <v>7135</v>
      </c>
      <c r="GH1734" s="1">
        <v>42515</v>
      </c>
      <c r="GI1734">
        <v>2015</v>
      </c>
      <c r="GJ1734">
        <v>5458.45</v>
      </c>
      <c r="GK1734" t="s">
        <v>17124</v>
      </c>
      <c r="GL1734">
        <v>0.25</v>
      </c>
      <c r="GM1734" t="s">
        <v>424</v>
      </c>
      <c r="GN1734" t="s">
        <v>425</v>
      </c>
      <c r="GP1734">
        <v>22</v>
      </c>
      <c r="GQ1734">
        <v>5874971</v>
      </c>
      <c r="GR1734" t="s">
        <v>17125</v>
      </c>
      <c r="GT1734" s="1">
        <v>42151</v>
      </c>
      <c r="GU1734">
        <v>2014</v>
      </c>
      <c r="GV1734">
        <v>5446.56</v>
      </c>
      <c r="GW1734" t="s">
        <v>17126</v>
      </c>
      <c r="GX1734">
        <v>0.25</v>
      </c>
      <c r="GY1734" t="s">
        <v>424</v>
      </c>
      <c r="GZ1734" t="s">
        <v>425</v>
      </c>
      <c r="HA1734" s="1">
        <v>42823</v>
      </c>
      <c r="HB1734">
        <v>22</v>
      </c>
      <c r="HC1734">
        <v>4975594</v>
      </c>
      <c r="HD1734" t="s">
        <v>457</v>
      </c>
      <c r="HF1734" s="1">
        <v>42151</v>
      </c>
      <c r="HG1734">
        <v>2014</v>
      </c>
      <c r="HH1734">
        <v>5446.56</v>
      </c>
      <c r="HI1734" t="s">
        <v>17126</v>
      </c>
      <c r="HJ1734">
        <v>0.25</v>
      </c>
      <c r="HK1734" t="s">
        <v>424</v>
      </c>
      <c r="HL1734" t="s">
        <v>425</v>
      </c>
      <c r="HN1734">
        <v>22</v>
      </c>
      <c r="HO1734">
        <v>6388002</v>
      </c>
      <c r="HP1734" t="s">
        <v>17127</v>
      </c>
      <c r="HR1734" s="1">
        <v>41787</v>
      </c>
      <c r="HS1734">
        <v>2013</v>
      </c>
      <c r="HT1734">
        <v>5117.66</v>
      </c>
      <c r="HU1734" t="s">
        <v>17128</v>
      </c>
      <c r="HV1734">
        <v>0.25</v>
      </c>
      <c r="HW1734" t="s">
        <v>424</v>
      </c>
      <c r="HX1734" t="s">
        <v>425</v>
      </c>
      <c r="HZ1734">
        <v>22</v>
      </c>
      <c r="IA1734">
        <v>15259</v>
      </c>
      <c r="IB1734" t="s">
        <v>891</v>
      </c>
      <c r="ID1734" s="1">
        <v>41787</v>
      </c>
      <c r="IE1734">
        <v>2013</v>
      </c>
      <c r="IF1734">
        <v>5117.66</v>
      </c>
      <c r="IG1734" t="s">
        <v>17128</v>
      </c>
      <c r="IH1734">
        <v>0.25</v>
      </c>
      <c r="II1734" t="s">
        <v>424</v>
      </c>
      <c r="IJ1734" t="s">
        <v>425</v>
      </c>
      <c r="IK1734" s="1">
        <v>42460</v>
      </c>
      <c r="IL1734">
        <v>22</v>
      </c>
      <c r="IM1734">
        <v>7045049</v>
      </c>
      <c r="IN1734" t="s">
        <v>1335</v>
      </c>
      <c r="IP1734" s="1">
        <v>41423</v>
      </c>
      <c r="IQ1734">
        <v>2012</v>
      </c>
      <c r="IR1734">
        <v>5188.18</v>
      </c>
      <c r="IS1734" t="s">
        <v>17129</v>
      </c>
      <c r="IT1734">
        <v>0.25</v>
      </c>
      <c r="IU1734" t="s">
        <v>424</v>
      </c>
      <c r="IV1734" t="s">
        <v>425</v>
      </c>
      <c r="IW1734" s="1">
        <v>42062</v>
      </c>
      <c r="IX1734">
        <v>21</v>
      </c>
      <c r="IY1734">
        <v>15259</v>
      </c>
      <c r="IZ1734" t="s">
        <v>891</v>
      </c>
      <c r="JB1734" s="1">
        <v>41052</v>
      </c>
      <c r="JC1734">
        <v>2011</v>
      </c>
      <c r="JD1734">
        <v>6559.89</v>
      </c>
      <c r="JE1734" t="s">
        <v>17130</v>
      </c>
      <c r="JF1734">
        <v>0.25</v>
      </c>
      <c r="JG1734" t="s">
        <v>424</v>
      </c>
      <c r="JH1734" t="s">
        <v>425</v>
      </c>
      <c r="JI1734" s="1">
        <v>41698</v>
      </c>
      <c r="JJ1734">
        <v>21</v>
      </c>
      <c r="JK1734">
        <v>11289</v>
      </c>
      <c r="JL1734" t="s">
        <v>787</v>
      </c>
      <c r="JN1734" s="1">
        <v>41052</v>
      </c>
      <c r="JO1734">
        <v>2011</v>
      </c>
      <c r="JP1734">
        <v>6559.89</v>
      </c>
      <c r="JQ1734" t="s">
        <v>17130</v>
      </c>
      <c r="JR1734">
        <v>0.25</v>
      </c>
      <c r="JS1734" t="s">
        <v>424</v>
      </c>
      <c r="JT1734" t="s">
        <v>425</v>
      </c>
      <c r="JV1734">
        <v>22</v>
      </c>
      <c r="JW1734">
        <v>13165</v>
      </c>
      <c r="JX1734" t="s">
        <v>8778</v>
      </c>
      <c r="JZ1734" s="1">
        <v>40688</v>
      </c>
      <c r="KA1734">
        <v>2010</v>
      </c>
      <c r="KB1734">
        <v>8530.36</v>
      </c>
      <c r="KC1734" t="s">
        <v>17131</v>
      </c>
      <c r="KD1734">
        <v>3</v>
      </c>
      <c r="KE1734" t="s">
        <v>424</v>
      </c>
      <c r="KF1734" t="s">
        <v>425</v>
      </c>
      <c r="KG1734" s="1">
        <v>41331</v>
      </c>
      <c r="KH1734">
        <v>21</v>
      </c>
      <c r="KI1734">
        <v>11278</v>
      </c>
      <c r="KJ1734" t="s">
        <v>17132</v>
      </c>
    </row>
    <row r="1735" spans="1:296" x14ac:dyDescent="0.25">
      <c r="A1735">
        <v>16486742</v>
      </c>
      <c r="B1735">
        <v>1734</v>
      </c>
      <c r="C1735" t="s">
        <v>393</v>
      </c>
      <c r="D1735" t="s">
        <v>394</v>
      </c>
      <c r="F1735" t="str">
        <f>"38-3N-28-0000-0002-0000"</f>
        <v>38-3N-28-0000-0002-0000</v>
      </c>
      <c r="H1735" t="str">
        <f>"OLIVER MARIA"</f>
        <v>OLIVER MARIA</v>
      </c>
      <c r="I1735" t="str">
        <f>"PO BOX 748"</f>
        <v>PO BOX 748</v>
      </c>
      <c r="J1735" t="str">
        <f>"YULEE FL 32041"</f>
        <v>YULEE FL 32041</v>
      </c>
      <c r="K1735" t="str">
        <f>"YAHTZEE RD"</f>
        <v>YAHTZEE RD</v>
      </c>
      <c r="L1735" t="str">
        <f t="shared" si="618"/>
        <v>YULEE FL 32097</v>
      </c>
      <c r="M1735" t="str">
        <f>"PT FRAC SEC 38 PT OR 1508/386 &amp; IN OR 1591/953 (EX 2-2 THRU 2-7 &amp; 2-10)"</f>
        <v>PT FRAC SEC 38 PT OR 1508/386 &amp; IN OR 1591/953 (EX 2-2 THRU 2-7 &amp; 2-10)</v>
      </c>
      <c r="N1735" t="str">
        <f>""</f>
        <v/>
      </c>
      <c r="O1735" t="str">
        <f>"45771"</f>
        <v>45771</v>
      </c>
      <c r="P1735" t="str">
        <f t="shared" si="628"/>
        <v>2017</v>
      </c>
      <c r="Q1735" t="str">
        <f>""</f>
        <v/>
      </c>
      <c r="R1735" t="str">
        <f>"N"</f>
        <v>N</v>
      </c>
      <c r="S1735" t="str">
        <f>"2.18"</f>
        <v>2.18</v>
      </c>
      <c r="T1735" t="str">
        <f>"660.06"</f>
        <v>660.06</v>
      </c>
      <c r="U1735" t="str">
        <f>"43600.00"</f>
        <v>43600.00</v>
      </c>
      <c r="V1735" t="str">
        <f>"43600.00"</f>
        <v>43600.00</v>
      </c>
      <c r="W1735" t="str">
        <f t="shared" si="630"/>
        <v>2017</v>
      </c>
      <c r="X1735" t="str">
        <f>"19.00"</f>
        <v>19.00</v>
      </c>
      <c r="Y1735" t="str">
        <f>"711.86"</f>
        <v>711.86</v>
      </c>
      <c r="Z1735" t="str">
        <f>""</f>
        <v/>
      </c>
      <c r="AA1735" t="str">
        <f>"43600.00"</f>
        <v>43600.00</v>
      </c>
      <c r="AB1735" t="str">
        <f t="shared" si="611"/>
        <v>Residential</v>
      </c>
      <c r="AC1735" t="str">
        <f t="shared" si="609"/>
        <v>0</v>
      </c>
      <c r="AD1735" t="str">
        <f>""</f>
        <v/>
      </c>
      <c r="AE1735" t="str">
        <f>""</f>
        <v/>
      </c>
      <c r="AF1735" t="str">
        <f>"000"</f>
        <v>000</v>
      </c>
      <c r="AG1735" t="str">
        <f t="shared" si="620"/>
        <v>FL</v>
      </c>
      <c r="AH1735" t="str">
        <f>"94960.00"</f>
        <v>94960.00</v>
      </c>
      <c r="AI1735" t="str">
        <f>"43600.00"</f>
        <v>43600.00</v>
      </c>
      <c r="AJ1735" t="str">
        <f>"C55-000-588-0523-5"</f>
        <v>C55-000-588-0523-5</v>
      </c>
      <c r="AK1735" t="str">
        <f>"31511"</f>
        <v>31511</v>
      </c>
      <c r="AL1735">
        <v>7</v>
      </c>
      <c r="AM1735">
        <v>1980</v>
      </c>
      <c r="AN1735">
        <v>745.85</v>
      </c>
      <c r="AQ1735" t="s">
        <v>17133</v>
      </c>
      <c r="AR1735" t="s">
        <v>17133</v>
      </c>
      <c r="AS1735" t="s">
        <v>17133</v>
      </c>
      <c r="AU1735" t="s">
        <v>396</v>
      </c>
      <c r="AV1735">
        <v>2017</v>
      </c>
      <c r="AW1735" t="str">
        <f>"38-3N-28-0000-0002-0000 "</f>
        <v xml:space="preserve">38-3N-28-0000-0002-0000 </v>
      </c>
      <c r="AZ1735" t="s">
        <v>17118</v>
      </c>
      <c r="BA1735" t="s">
        <v>496</v>
      </c>
      <c r="BD1735" t="s">
        <v>2387</v>
      </c>
      <c r="BE1735" t="s">
        <v>393</v>
      </c>
      <c r="BF1735">
        <v>32097</v>
      </c>
      <c r="BG1735" t="s">
        <v>17134</v>
      </c>
      <c r="BH1735" t="s">
        <v>2388</v>
      </c>
      <c r="BI1735">
        <v>-81.527789584973306</v>
      </c>
      <c r="BJ1735">
        <v>30.644262994277401</v>
      </c>
      <c r="BK1735" t="s">
        <v>17135</v>
      </c>
      <c r="BM1735" t="s">
        <v>17136</v>
      </c>
      <c r="BN1735" t="s">
        <v>1778</v>
      </c>
      <c r="BO1735">
        <v>32041</v>
      </c>
      <c r="BP1735" t="s">
        <v>404</v>
      </c>
      <c r="BQ1735">
        <v>0</v>
      </c>
      <c r="BR1735" t="s">
        <v>491</v>
      </c>
      <c r="BS1735">
        <v>8001</v>
      </c>
      <c r="BT1735" t="s">
        <v>492</v>
      </c>
      <c r="BW1735">
        <v>94960</v>
      </c>
      <c r="BX1735" t="s">
        <v>407</v>
      </c>
      <c r="BY1735" t="s">
        <v>12744</v>
      </c>
      <c r="CD1735">
        <v>2017</v>
      </c>
      <c r="CE1735">
        <v>43600</v>
      </c>
      <c r="CG1735">
        <v>43600</v>
      </c>
      <c r="CH1735">
        <v>2017</v>
      </c>
      <c r="CI1735">
        <v>43600</v>
      </c>
      <c r="CK1735">
        <v>43600</v>
      </c>
      <c r="CL1735">
        <v>2017</v>
      </c>
      <c r="CM1735">
        <v>660.06</v>
      </c>
      <c r="CN1735" s="1">
        <v>39962</v>
      </c>
      <c r="CO1735">
        <v>34900</v>
      </c>
      <c r="CV1735">
        <v>0</v>
      </c>
      <c r="CZ1735" s="1">
        <v>39962</v>
      </c>
      <c r="DA1735">
        <v>0</v>
      </c>
      <c r="DD1735" t="s">
        <v>2387</v>
      </c>
      <c r="DG1735">
        <v>38</v>
      </c>
      <c r="DL1735">
        <v>50303</v>
      </c>
      <c r="DM1735" t="s">
        <v>11367</v>
      </c>
      <c r="DO1735" t="s">
        <v>17137</v>
      </c>
      <c r="DP1735">
        <v>0</v>
      </c>
      <c r="DQ1735">
        <v>0</v>
      </c>
      <c r="DR1735" t="s">
        <v>411</v>
      </c>
      <c r="DS1735" t="b">
        <v>1</v>
      </c>
      <c r="DT1735" t="s">
        <v>470</v>
      </c>
      <c r="DU1735" t="s">
        <v>471</v>
      </c>
      <c r="DV1735" t="s">
        <v>472</v>
      </c>
      <c r="DX1735">
        <v>-9999</v>
      </c>
      <c r="DZ1735" t="s">
        <v>447</v>
      </c>
      <c r="EA1735" t="s">
        <v>448</v>
      </c>
      <c r="EB1735" t="s">
        <v>742</v>
      </c>
      <c r="EC1735">
        <v>20101217</v>
      </c>
      <c r="ED1735" t="s">
        <v>474</v>
      </c>
      <c r="EF1735">
        <v>1025.5999999999999</v>
      </c>
      <c r="EG1735">
        <v>863.3</v>
      </c>
      <c r="EI1735">
        <v>20160407</v>
      </c>
      <c r="EJ1735">
        <v>0</v>
      </c>
      <c r="EK1735">
        <v>0</v>
      </c>
      <c r="EP1735" t="s">
        <v>421</v>
      </c>
      <c r="EQ1735" t="s">
        <v>422</v>
      </c>
      <c r="ER1735">
        <v>1</v>
      </c>
      <c r="ES1735">
        <v>7</v>
      </c>
      <c r="ET1735">
        <v>750.86</v>
      </c>
      <c r="EU1735">
        <v>43.79</v>
      </c>
      <c r="EV1735">
        <v>794.65</v>
      </c>
      <c r="EW1735" s="2">
        <v>43222</v>
      </c>
      <c r="EX1735" s="1">
        <v>42879</v>
      </c>
      <c r="EY1735">
        <v>2016</v>
      </c>
      <c r="EZ1735">
        <v>750.86</v>
      </c>
      <c r="FA1735" t="s">
        <v>17138</v>
      </c>
      <c r="FB1735">
        <v>4.75</v>
      </c>
      <c r="FC1735" t="s">
        <v>424</v>
      </c>
      <c r="FD1735" t="s">
        <v>454</v>
      </c>
      <c r="FF1735">
        <v>12</v>
      </c>
      <c r="FG1735">
        <v>5100525</v>
      </c>
      <c r="FH1735" t="s">
        <v>6804</v>
      </c>
      <c r="FJ1735" s="1">
        <v>42515</v>
      </c>
      <c r="FK1735">
        <v>2015</v>
      </c>
      <c r="FL1735">
        <v>763.44</v>
      </c>
      <c r="FM1735" t="s">
        <v>17139</v>
      </c>
      <c r="FN1735">
        <v>4.75</v>
      </c>
      <c r="FO1735" t="s">
        <v>424</v>
      </c>
      <c r="FP1735" t="s">
        <v>425</v>
      </c>
      <c r="FQ1735" s="1">
        <v>43154</v>
      </c>
      <c r="FR1735">
        <v>21</v>
      </c>
      <c r="FS1735">
        <v>2035919</v>
      </c>
      <c r="FT1735" t="s">
        <v>507</v>
      </c>
      <c r="FV1735" s="1">
        <v>42151</v>
      </c>
      <c r="FW1735">
        <v>2014</v>
      </c>
      <c r="FX1735">
        <v>767.17</v>
      </c>
      <c r="FY1735" t="s">
        <v>17140</v>
      </c>
      <c r="FZ1735">
        <v>8.75</v>
      </c>
      <c r="GA1735" t="s">
        <v>424</v>
      </c>
      <c r="GB1735" t="s">
        <v>425</v>
      </c>
      <c r="GC1735" s="1">
        <v>42790</v>
      </c>
      <c r="GD1735">
        <v>21</v>
      </c>
      <c r="GE1735">
        <v>10125</v>
      </c>
      <c r="GF1735" t="s">
        <v>440</v>
      </c>
      <c r="GH1735" s="1">
        <v>41787</v>
      </c>
      <c r="GI1735">
        <v>2013</v>
      </c>
      <c r="GJ1735">
        <v>727.33</v>
      </c>
      <c r="GK1735" t="s">
        <v>17141</v>
      </c>
      <c r="GL1735">
        <v>0.25</v>
      </c>
      <c r="GM1735" t="s">
        <v>424</v>
      </c>
      <c r="GN1735" t="s">
        <v>425</v>
      </c>
      <c r="GO1735" s="1">
        <v>42411</v>
      </c>
      <c r="GP1735">
        <v>21</v>
      </c>
      <c r="GQ1735">
        <v>13139</v>
      </c>
      <c r="GR1735" t="s">
        <v>955</v>
      </c>
      <c r="GT1735" s="1">
        <v>41423</v>
      </c>
      <c r="GU1735">
        <v>2012</v>
      </c>
      <c r="GV1735">
        <v>736.15</v>
      </c>
      <c r="GW1735" t="s">
        <v>17142</v>
      </c>
      <c r="GX1735">
        <v>3.75</v>
      </c>
      <c r="GY1735" t="s">
        <v>424</v>
      </c>
      <c r="GZ1735" t="s">
        <v>425</v>
      </c>
      <c r="HA1735" s="1">
        <v>42041</v>
      </c>
      <c r="HB1735">
        <v>21</v>
      </c>
      <c r="HC1735">
        <v>1625515</v>
      </c>
      <c r="HD1735" t="s">
        <v>487</v>
      </c>
      <c r="HF1735" s="1">
        <v>41052</v>
      </c>
      <c r="HG1735">
        <v>2011</v>
      </c>
      <c r="HH1735">
        <v>885.98</v>
      </c>
      <c r="HI1735" t="s">
        <v>17143</v>
      </c>
      <c r="HJ1735">
        <v>5.75</v>
      </c>
      <c r="HK1735" t="s">
        <v>424</v>
      </c>
      <c r="HL1735" t="s">
        <v>425</v>
      </c>
      <c r="HM1735" s="1">
        <v>41682</v>
      </c>
      <c r="HN1735">
        <v>21</v>
      </c>
      <c r="HO1735">
        <v>1625515</v>
      </c>
      <c r="HP1735" t="s">
        <v>487</v>
      </c>
      <c r="HR1735" s="1">
        <v>41052</v>
      </c>
      <c r="HS1735">
        <v>2011</v>
      </c>
      <c r="HT1735">
        <v>885.98</v>
      </c>
      <c r="HU1735" t="s">
        <v>17143</v>
      </c>
      <c r="HV1735">
        <v>5.75</v>
      </c>
      <c r="HW1735" t="s">
        <v>424</v>
      </c>
      <c r="HX1735" t="s">
        <v>425</v>
      </c>
      <c r="HZ1735">
        <v>22</v>
      </c>
      <c r="IA1735">
        <v>10579</v>
      </c>
      <c r="IB1735" t="s">
        <v>488</v>
      </c>
      <c r="ID1735" s="1">
        <v>40688</v>
      </c>
      <c r="IE1735">
        <v>2010</v>
      </c>
      <c r="IF1735">
        <v>1138.17</v>
      </c>
      <c r="IG1735" t="s">
        <v>17144</v>
      </c>
      <c r="IH1735">
        <v>6</v>
      </c>
      <c r="II1735" t="s">
        <v>424</v>
      </c>
      <c r="IJ1735" t="s">
        <v>425</v>
      </c>
      <c r="IK1735" s="1">
        <v>41388</v>
      </c>
      <c r="IL1735">
        <v>23</v>
      </c>
      <c r="IM1735">
        <v>375</v>
      </c>
      <c r="IN1735" t="s">
        <v>776</v>
      </c>
    </row>
    <row r="1736" spans="1:296" x14ac:dyDescent="0.25">
      <c r="A1736">
        <v>16486743</v>
      </c>
      <c r="B1736">
        <v>1735</v>
      </c>
      <c r="C1736" t="s">
        <v>393</v>
      </c>
      <c r="D1736" t="s">
        <v>394</v>
      </c>
      <c r="F1736" t="str">
        <f>"38-3N-28-0000-0002-0010"</f>
        <v>38-3N-28-0000-0002-0010</v>
      </c>
      <c r="H1736" t="str">
        <f>"OLIVER MARIA"</f>
        <v>OLIVER MARIA</v>
      </c>
      <c r="I1736" t="str">
        <f>"P O BOX 748"</f>
        <v>P O BOX 748</v>
      </c>
      <c r="J1736" t="str">
        <f>"YULEE FL 32041"</f>
        <v>YULEE FL 32041</v>
      </c>
      <c r="K1736" t="str">
        <f>"96310 BLACKROCK RD"</f>
        <v>96310 BLACKROCK RD</v>
      </c>
      <c r="L1736" t="str">
        <f t="shared" si="618"/>
        <v>YULEE FL 32097</v>
      </c>
      <c r="M1736" t="str">
        <f>"PT OR 1508/386 EX 2-7 ESMT IN OR 232/597"</f>
        <v>PT OR 1508/386 EX 2-7 ESMT IN OR 232/597</v>
      </c>
      <c r="N1736" t="str">
        <f>""</f>
        <v/>
      </c>
      <c r="O1736" t="str">
        <f>"45772"</f>
        <v>45772</v>
      </c>
      <c r="P1736" t="str">
        <f t="shared" si="628"/>
        <v>2017</v>
      </c>
      <c r="Q1736" t="str">
        <f>""</f>
        <v/>
      </c>
      <c r="R1736" t="str">
        <f>"Y"</f>
        <v>Y</v>
      </c>
      <c r="S1736" t="str">
        <f>"1.20"</f>
        <v>1.20</v>
      </c>
      <c r="T1736" t="str">
        <f>"520.12"</f>
        <v>520.12</v>
      </c>
      <c r="U1736" t="str">
        <f>"72617.00"</f>
        <v>72617.00</v>
      </c>
      <c r="V1736" t="str">
        <f>"72617.00"</f>
        <v>72617.00</v>
      </c>
      <c r="W1736" t="str">
        <f t="shared" si="630"/>
        <v>2017</v>
      </c>
      <c r="X1736" t="str">
        <f>"21.20"</f>
        <v>21.20</v>
      </c>
      <c r="Y1736" t="str">
        <f>"567.72"</f>
        <v>567.72</v>
      </c>
      <c r="Z1736" t="str">
        <f>"25500.00"</f>
        <v>25500.00</v>
      </c>
      <c r="AA1736" t="str">
        <f>"47117.00"</f>
        <v>47117.00</v>
      </c>
      <c r="AB1736" t="str">
        <f t="shared" si="611"/>
        <v>Residential</v>
      </c>
      <c r="AC1736" t="str">
        <f t="shared" si="609"/>
        <v>0</v>
      </c>
      <c r="AD1736" t="str">
        <f t="shared" ref="AD1736:AD1742" si="631">"4"</f>
        <v>4</v>
      </c>
      <c r="AE1736" t="str">
        <f t="shared" ref="AE1736:AE1742" si="632">"WOOD (INCLUDE STEEL STUDS)"</f>
        <v>WOOD (INCLUDE STEEL STUDS)</v>
      </c>
      <c r="AF1736" t="str">
        <f>"001"</f>
        <v>001</v>
      </c>
      <c r="AG1736" t="str">
        <f t="shared" si="620"/>
        <v>FL</v>
      </c>
      <c r="AH1736" t="str">
        <f>"52272.00"</f>
        <v>52272.00</v>
      </c>
      <c r="AI1736" t="str">
        <f>"30000.00"</f>
        <v>30000.00</v>
      </c>
      <c r="AJ1736" t="str">
        <f>"C55-000-588-0524-3"</f>
        <v>C55-000-588-0524-3</v>
      </c>
      <c r="AK1736" t="str">
        <f>"31512"</f>
        <v>31512</v>
      </c>
      <c r="AL1736">
        <v>7</v>
      </c>
      <c r="AM1736">
        <v>1981</v>
      </c>
      <c r="AN1736">
        <v>594.51</v>
      </c>
      <c r="AQ1736" t="s">
        <v>17145</v>
      </c>
      <c r="AR1736" t="s">
        <v>17145</v>
      </c>
      <c r="AS1736" t="s">
        <v>17145</v>
      </c>
      <c r="AU1736" t="s">
        <v>396</v>
      </c>
      <c r="AV1736">
        <v>2017</v>
      </c>
      <c r="AW1736" t="str">
        <f>"38-3N-28-0000-0002-0010 "</f>
        <v xml:space="preserve">38-3N-28-0000-0002-0010 </v>
      </c>
      <c r="AX1736">
        <v>96310</v>
      </c>
      <c r="AZ1736" t="s">
        <v>14867</v>
      </c>
      <c r="BA1736" t="s">
        <v>496</v>
      </c>
      <c r="BD1736" t="s">
        <v>2387</v>
      </c>
      <c r="BE1736" t="s">
        <v>393</v>
      </c>
      <c r="BF1736">
        <v>32097</v>
      </c>
      <c r="BG1736" t="s">
        <v>17146</v>
      </c>
      <c r="BH1736" t="s">
        <v>2388</v>
      </c>
      <c r="BI1736">
        <v>-81.529252005217501</v>
      </c>
      <c r="BJ1736">
        <v>30.6443112919908</v>
      </c>
      <c r="BK1736" t="s">
        <v>17135</v>
      </c>
      <c r="BM1736" t="s">
        <v>17136</v>
      </c>
      <c r="BN1736" t="s">
        <v>1778</v>
      </c>
      <c r="BO1736">
        <v>32041</v>
      </c>
      <c r="BP1736" t="s">
        <v>404</v>
      </c>
      <c r="BQ1736">
        <v>100</v>
      </c>
      <c r="BR1736" t="s">
        <v>514</v>
      </c>
      <c r="BS1736">
        <v>1001</v>
      </c>
      <c r="BT1736" t="s">
        <v>515</v>
      </c>
      <c r="BW1736">
        <v>52272</v>
      </c>
      <c r="BX1736" t="s">
        <v>407</v>
      </c>
      <c r="BY1736" t="s">
        <v>12744</v>
      </c>
      <c r="BZ1736">
        <v>4</v>
      </c>
      <c r="CA1736">
        <v>1977</v>
      </c>
      <c r="CB1736">
        <v>1</v>
      </c>
      <c r="CC1736">
        <v>1</v>
      </c>
      <c r="CD1736">
        <v>2017</v>
      </c>
      <c r="CG1736">
        <v>72617</v>
      </c>
      <c r="CH1736">
        <v>2017</v>
      </c>
      <c r="CI1736">
        <v>30000</v>
      </c>
      <c r="CJ1736">
        <v>66953</v>
      </c>
      <c r="CK1736">
        <v>96953</v>
      </c>
      <c r="CL1736">
        <v>2017</v>
      </c>
      <c r="CM1736">
        <v>520.12</v>
      </c>
      <c r="CN1736" s="1">
        <v>39259</v>
      </c>
      <c r="CZ1736" s="1">
        <v>39259</v>
      </c>
      <c r="DD1736" t="s">
        <v>2387</v>
      </c>
      <c r="DG1736">
        <v>38</v>
      </c>
      <c r="DL1736">
        <v>50303</v>
      </c>
      <c r="DM1736" t="s">
        <v>11367</v>
      </c>
      <c r="DO1736" t="s">
        <v>17147</v>
      </c>
      <c r="DP1736">
        <v>0</v>
      </c>
      <c r="DQ1736">
        <v>0</v>
      </c>
      <c r="DR1736" t="s">
        <v>411</v>
      </c>
      <c r="DS1736" t="b">
        <v>1</v>
      </c>
      <c r="DT1736" t="s">
        <v>470</v>
      </c>
      <c r="DU1736" t="s">
        <v>471</v>
      </c>
      <c r="DV1736" t="s">
        <v>472</v>
      </c>
      <c r="DX1736">
        <v>-9999</v>
      </c>
      <c r="DZ1736" t="s">
        <v>447</v>
      </c>
      <c r="EA1736" t="s">
        <v>448</v>
      </c>
      <c r="EB1736" t="s">
        <v>742</v>
      </c>
      <c r="EC1736">
        <v>20101217</v>
      </c>
      <c r="ED1736" t="s">
        <v>474</v>
      </c>
      <c r="EF1736">
        <v>1480</v>
      </c>
      <c r="EG1736">
        <v>1293.5999999999999</v>
      </c>
      <c r="EI1736">
        <v>20160407</v>
      </c>
      <c r="EJ1736">
        <v>0</v>
      </c>
      <c r="EK1736">
        <v>0</v>
      </c>
      <c r="EP1736" t="s">
        <v>421</v>
      </c>
      <c r="EQ1736" t="s">
        <v>422</v>
      </c>
      <c r="ER1736">
        <v>2</v>
      </c>
      <c r="ES1736">
        <v>10</v>
      </c>
      <c r="ET1736">
        <v>1177.9000000000001</v>
      </c>
      <c r="EU1736">
        <v>71.400000000000006</v>
      </c>
      <c r="EV1736">
        <v>1249.3</v>
      </c>
      <c r="EW1736" s="2">
        <v>43222</v>
      </c>
      <c r="EX1736" s="1">
        <v>42879</v>
      </c>
      <c r="EY1736">
        <v>2016</v>
      </c>
      <c r="EZ1736">
        <v>588.95000000000005</v>
      </c>
      <c r="FA1736" t="s">
        <v>17148</v>
      </c>
      <c r="FB1736">
        <v>0.25</v>
      </c>
      <c r="FC1736" t="s">
        <v>424</v>
      </c>
      <c r="FD1736" t="s">
        <v>454</v>
      </c>
      <c r="FF1736">
        <v>12</v>
      </c>
      <c r="FG1736">
        <v>7400234</v>
      </c>
      <c r="FH1736" t="s">
        <v>426</v>
      </c>
      <c r="FJ1736" s="1">
        <v>42879</v>
      </c>
      <c r="FK1736">
        <v>2016</v>
      </c>
      <c r="FL1736">
        <v>588.95000000000005</v>
      </c>
      <c r="FM1736" t="s">
        <v>17148</v>
      </c>
      <c r="FN1736">
        <v>0.25</v>
      </c>
      <c r="FO1736" t="s">
        <v>424</v>
      </c>
      <c r="FP1736" t="s">
        <v>454</v>
      </c>
      <c r="FR1736">
        <v>12</v>
      </c>
      <c r="FS1736">
        <v>7498069</v>
      </c>
      <c r="FT1736" t="s">
        <v>17149</v>
      </c>
      <c r="FV1736" s="1">
        <v>42515</v>
      </c>
      <c r="FW1736">
        <v>2015</v>
      </c>
      <c r="FX1736">
        <v>598.21</v>
      </c>
      <c r="FY1736" t="s">
        <v>17150</v>
      </c>
      <c r="FZ1736">
        <v>0.25</v>
      </c>
      <c r="GA1736" t="s">
        <v>424</v>
      </c>
      <c r="GB1736" t="s">
        <v>425</v>
      </c>
      <c r="GC1736" s="1">
        <v>43154</v>
      </c>
      <c r="GD1736">
        <v>21</v>
      </c>
      <c r="GE1736">
        <v>5916895</v>
      </c>
      <c r="GF1736" t="s">
        <v>1390</v>
      </c>
      <c r="GH1736" s="1">
        <v>42515</v>
      </c>
      <c r="GI1736">
        <v>2015</v>
      </c>
      <c r="GJ1736">
        <v>598.21</v>
      </c>
      <c r="GK1736" t="s">
        <v>17150</v>
      </c>
      <c r="GL1736">
        <v>0.25</v>
      </c>
      <c r="GM1736" t="s">
        <v>424</v>
      </c>
      <c r="GN1736" t="s">
        <v>425</v>
      </c>
      <c r="GP1736">
        <v>22</v>
      </c>
      <c r="GQ1736">
        <v>5926437</v>
      </c>
      <c r="GR1736" t="s">
        <v>17151</v>
      </c>
      <c r="GT1736" s="1">
        <v>42151</v>
      </c>
      <c r="GU1736">
        <v>2014</v>
      </c>
      <c r="GV1736">
        <v>597.35</v>
      </c>
      <c r="GW1736" t="s">
        <v>17152</v>
      </c>
      <c r="GX1736">
        <v>0.25</v>
      </c>
      <c r="GY1736" t="s">
        <v>424</v>
      </c>
      <c r="GZ1736" t="s">
        <v>425</v>
      </c>
      <c r="HA1736" s="1">
        <v>42790</v>
      </c>
      <c r="HB1736">
        <v>21</v>
      </c>
      <c r="HC1736">
        <v>2851116</v>
      </c>
      <c r="HD1736" t="s">
        <v>480</v>
      </c>
      <c r="HF1736" s="1">
        <v>42151</v>
      </c>
      <c r="HG1736">
        <v>2014</v>
      </c>
      <c r="HH1736">
        <v>597.35</v>
      </c>
      <c r="HI1736" t="s">
        <v>17152</v>
      </c>
      <c r="HJ1736">
        <v>0.25</v>
      </c>
      <c r="HK1736" t="s">
        <v>424</v>
      </c>
      <c r="HL1736" t="s">
        <v>425</v>
      </c>
      <c r="HN1736">
        <v>22</v>
      </c>
      <c r="HO1736">
        <v>4919409</v>
      </c>
      <c r="HP1736" t="s">
        <v>17153</v>
      </c>
      <c r="HR1736" s="1">
        <v>41787</v>
      </c>
      <c r="HS1736">
        <v>2013</v>
      </c>
      <c r="HT1736">
        <v>569.83000000000004</v>
      </c>
      <c r="HU1736" t="s">
        <v>17154</v>
      </c>
      <c r="HV1736">
        <v>0.25</v>
      </c>
      <c r="HW1736" t="s">
        <v>424</v>
      </c>
      <c r="HX1736" t="s">
        <v>425</v>
      </c>
      <c r="HY1736" s="1">
        <v>42411</v>
      </c>
      <c r="HZ1736">
        <v>21</v>
      </c>
      <c r="IA1736">
        <v>2757457</v>
      </c>
      <c r="IB1736" t="s">
        <v>648</v>
      </c>
      <c r="ID1736" s="1">
        <v>41423</v>
      </c>
      <c r="IE1736">
        <v>2012</v>
      </c>
      <c r="IF1736">
        <v>569.16999999999996</v>
      </c>
      <c r="IG1736" t="s">
        <v>17155</v>
      </c>
      <c r="IH1736">
        <v>0.25</v>
      </c>
      <c r="II1736" t="s">
        <v>424</v>
      </c>
      <c r="IJ1736" t="s">
        <v>425</v>
      </c>
      <c r="IL1736">
        <v>22</v>
      </c>
      <c r="IM1736">
        <v>11289</v>
      </c>
      <c r="IN1736" t="s">
        <v>787</v>
      </c>
      <c r="IP1736" s="1">
        <v>41423</v>
      </c>
      <c r="IQ1736">
        <v>2012</v>
      </c>
      <c r="IR1736">
        <v>569.16999999999996</v>
      </c>
      <c r="IS1736" t="s">
        <v>17155</v>
      </c>
      <c r="IT1736">
        <v>0.25</v>
      </c>
      <c r="IU1736" t="s">
        <v>424</v>
      </c>
      <c r="IV1736" t="s">
        <v>425</v>
      </c>
      <c r="IW1736" s="1">
        <v>42041</v>
      </c>
      <c r="IX1736">
        <v>21</v>
      </c>
      <c r="IY1736">
        <v>4844954</v>
      </c>
      <c r="IZ1736" t="s">
        <v>1719</v>
      </c>
      <c r="JB1736" s="1">
        <v>41052</v>
      </c>
      <c r="JC1736">
        <v>2011</v>
      </c>
      <c r="JD1736">
        <v>556.61</v>
      </c>
      <c r="JE1736" t="s">
        <v>17156</v>
      </c>
      <c r="JF1736">
        <v>0.25</v>
      </c>
      <c r="JG1736" t="s">
        <v>424</v>
      </c>
      <c r="JH1736" t="s">
        <v>425</v>
      </c>
      <c r="JI1736" s="1">
        <v>41682</v>
      </c>
      <c r="JJ1736">
        <v>21</v>
      </c>
      <c r="JK1736">
        <v>13104</v>
      </c>
      <c r="JL1736" t="s">
        <v>888</v>
      </c>
      <c r="JN1736" s="1">
        <v>41052</v>
      </c>
      <c r="JO1736">
        <v>2011</v>
      </c>
      <c r="JP1736">
        <v>556.61</v>
      </c>
      <c r="JQ1736" t="s">
        <v>17156</v>
      </c>
      <c r="JR1736">
        <v>0.25</v>
      </c>
      <c r="JS1736" t="s">
        <v>424</v>
      </c>
      <c r="JT1736" t="s">
        <v>425</v>
      </c>
      <c r="JV1736">
        <v>22</v>
      </c>
      <c r="JW1736">
        <v>13679</v>
      </c>
      <c r="JX1736" t="s">
        <v>17157</v>
      </c>
      <c r="JZ1736" s="1">
        <v>40688</v>
      </c>
      <c r="KA1736">
        <v>2010</v>
      </c>
      <c r="KB1736">
        <v>549.63</v>
      </c>
      <c r="KC1736" t="s">
        <v>17158</v>
      </c>
      <c r="KD1736">
        <v>3.75</v>
      </c>
      <c r="KE1736" t="s">
        <v>424</v>
      </c>
      <c r="KF1736" t="s">
        <v>425</v>
      </c>
      <c r="KG1736" s="1">
        <v>41331</v>
      </c>
      <c r="KH1736">
        <v>21</v>
      </c>
      <c r="KI1736">
        <v>11141</v>
      </c>
      <c r="KJ1736" t="s">
        <v>1723</v>
      </c>
    </row>
    <row r="1737" spans="1:296" x14ac:dyDescent="0.25">
      <c r="A1737">
        <v>16486744</v>
      </c>
      <c r="B1737">
        <v>1736</v>
      </c>
      <c r="C1737" t="s">
        <v>393</v>
      </c>
      <c r="D1737" t="s">
        <v>394</v>
      </c>
      <c r="F1737" t="str">
        <f>"38-3N-28-0000-0002-0040"</f>
        <v>38-3N-28-0000-0002-0040</v>
      </c>
      <c r="H1737" t="str">
        <f>"RUSS DONALD"</f>
        <v>RUSS DONALD</v>
      </c>
      <c r="I1737" t="str">
        <f>"46 WHIPORWILL RD"</f>
        <v>46 WHIPORWILL RD</v>
      </c>
      <c r="J1737" t="str">
        <f>"NICHOLLS GA 31554"</f>
        <v>NICHOLLS GA 31554</v>
      </c>
      <c r="K1737" t="str">
        <f>"96074 YAHTZEE LN"</f>
        <v>96074 YAHTZEE LN</v>
      </c>
      <c r="L1737" t="str">
        <f t="shared" si="618"/>
        <v>YULEE FL 32097</v>
      </c>
      <c r="M1737" t="str">
        <f>"IN OR 317 PG 221 R 106948"</f>
        <v>IN OR 317 PG 221 R 106948</v>
      </c>
      <c r="N1737" t="str">
        <f>""</f>
        <v/>
      </c>
      <c r="O1737" t="str">
        <f>"45775"</f>
        <v>45775</v>
      </c>
      <c r="P1737" t="str">
        <f t="shared" si="628"/>
        <v>2017</v>
      </c>
      <c r="Q1737" t="str">
        <f>""</f>
        <v/>
      </c>
      <c r="R1737" t="str">
        <f>"N"</f>
        <v>N</v>
      </c>
      <c r="S1737" t="str">
        <f>""</f>
        <v/>
      </c>
      <c r="T1737" t="str">
        <f>"427.57"</f>
        <v>427.57</v>
      </c>
      <c r="U1737" t="str">
        <f>"28244.00"</f>
        <v>28244.00</v>
      </c>
      <c r="V1737" t="str">
        <f>"28244.00"</f>
        <v>28244.00</v>
      </c>
      <c r="W1737" t="str">
        <f t="shared" si="630"/>
        <v>2017</v>
      </c>
      <c r="X1737" t="str">
        <f>""</f>
        <v/>
      </c>
      <c r="Y1737" t="str">
        <f>"472.40"</f>
        <v>472.40</v>
      </c>
      <c r="Z1737" t="str">
        <f>""</f>
        <v/>
      </c>
      <c r="AA1737" t="str">
        <f>"28244.00"</f>
        <v>28244.00</v>
      </c>
      <c r="AB1737" t="str">
        <f t="shared" si="611"/>
        <v>Residential</v>
      </c>
      <c r="AC1737" t="str">
        <f t="shared" si="609"/>
        <v>0</v>
      </c>
      <c r="AD1737" t="str">
        <f t="shared" si="631"/>
        <v>4</v>
      </c>
      <c r="AE1737" t="str">
        <f t="shared" si="632"/>
        <v>WOOD (INCLUDE STEEL STUDS)</v>
      </c>
      <c r="AF1737" t="str">
        <f>"002"</f>
        <v>002</v>
      </c>
      <c r="AG1737" t="str">
        <f>"GA"</f>
        <v>GA</v>
      </c>
      <c r="AH1737" t="str">
        <f>"-"</f>
        <v>-</v>
      </c>
      <c r="AI1737" t="str">
        <f>"20000.00"</f>
        <v>20000.00</v>
      </c>
      <c r="AJ1737" t="str">
        <f>"C55-000-588-0527-6"</f>
        <v>C55-000-588-0527-6</v>
      </c>
      <c r="AK1737" t="str">
        <f>"31515"</f>
        <v>31515</v>
      </c>
      <c r="AL1737">
        <v>7</v>
      </c>
      <c r="AM1737">
        <v>1982</v>
      </c>
      <c r="AN1737">
        <v>494.42</v>
      </c>
      <c r="AQ1737" t="s">
        <v>17159</v>
      </c>
      <c r="AR1737" t="s">
        <v>17159</v>
      </c>
      <c r="AS1737" t="s">
        <v>17159</v>
      </c>
      <c r="AU1737" t="s">
        <v>396</v>
      </c>
      <c r="AV1737">
        <v>2017</v>
      </c>
      <c r="AW1737" t="str">
        <f>"38-3N-28-0000-0002-0040 "</f>
        <v xml:space="preserve">38-3N-28-0000-0002-0040 </v>
      </c>
      <c r="AX1737">
        <v>96074</v>
      </c>
      <c r="AZ1737" t="s">
        <v>17118</v>
      </c>
      <c r="BA1737" t="s">
        <v>653</v>
      </c>
      <c r="BD1737" t="s">
        <v>2387</v>
      </c>
      <c r="BE1737" t="s">
        <v>393</v>
      </c>
      <c r="BF1737">
        <v>32097</v>
      </c>
      <c r="BG1737" t="s">
        <v>17160</v>
      </c>
      <c r="BH1737" t="s">
        <v>2388</v>
      </c>
      <c r="BI1737">
        <v>-81.528509640116397</v>
      </c>
      <c r="BJ1737">
        <v>30.643608521974699</v>
      </c>
      <c r="BK1737" t="s">
        <v>17161</v>
      </c>
      <c r="BM1737" t="s">
        <v>17162</v>
      </c>
      <c r="BN1737" t="s">
        <v>17163</v>
      </c>
      <c r="BO1737">
        <v>31554</v>
      </c>
      <c r="BP1737" t="s">
        <v>404</v>
      </c>
      <c r="BQ1737">
        <v>200</v>
      </c>
      <c r="BR1737" t="s">
        <v>405</v>
      </c>
      <c r="BS1737">
        <v>1006</v>
      </c>
      <c r="BT1737" t="s">
        <v>406</v>
      </c>
      <c r="BW1737">
        <v>30140</v>
      </c>
      <c r="BX1737" t="s">
        <v>407</v>
      </c>
      <c r="BY1737" t="s">
        <v>12744</v>
      </c>
      <c r="BZ1737">
        <v>4</v>
      </c>
      <c r="CA1737">
        <v>1979</v>
      </c>
      <c r="CB1737">
        <v>1</v>
      </c>
      <c r="CC1737">
        <v>1</v>
      </c>
      <c r="CD1737">
        <v>2017</v>
      </c>
      <c r="CE1737">
        <v>20000</v>
      </c>
      <c r="CF1737">
        <v>8244</v>
      </c>
      <c r="CG1737">
        <v>28244</v>
      </c>
      <c r="CH1737">
        <v>2017</v>
      </c>
      <c r="CI1737">
        <v>20000</v>
      </c>
      <c r="CJ1737">
        <v>8244</v>
      </c>
      <c r="CK1737">
        <v>28244</v>
      </c>
      <c r="CL1737">
        <v>2017</v>
      </c>
      <c r="CM1737">
        <v>427.57</v>
      </c>
      <c r="CN1737" s="1">
        <v>29403</v>
      </c>
      <c r="CO1737">
        <v>3200</v>
      </c>
      <c r="CZ1737" s="1">
        <v>29403</v>
      </c>
      <c r="DD1737" t="s">
        <v>2387</v>
      </c>
      <c r="DG1737">
        <v>38</v>
      </c>
      <c r="DL1737">
        <v>50303</v>
      </c>
      <c r="DM1737" t="s">
        <v>11367</v>
      </c>
      <c r="DO1737" t="s">
        <v>17164</v>
      </c>
      <c r="DP1737">
        <v>0</v>
      </c>
      <c r="DQ1737">
        <v>0</v>
      </c>
      <c r="DR1737" t="s">
        <v>411</v>
      </c>
      <c r="EP1737" t="s">
        <v>421</v>
      </c>
      <c r="EQ1737" t="s">
        <v>422</v>
      </c>
      <c r="ER1737">
        <v>2</v>
      </c>
      <c r="ES1737">
        <v>0</v>
      </c>
      <c r="ET1737">
        <v>1057.5</v>
      </c>
      <c r="EU1737">
        <v>65.38</v>
      </c>
      <c r="EV1737">
        <v>1122.8800000000001</v>
      </c>
      <c r="EW1737" s="2">
        <v>43222</v>
      </c>
      <c r="EX1737" s="1">
        <v>42879</v>
      </c>
      <c r="EY1737">
        <v>2016</v>
      </c>
      <c r="EZ1737">
        <v>528.75</v>
      </c>
      <c r="FA1737" t="s">
        <v>17165</v>
      </c>
      <c r="FB1737">
        <v>0.25</v>
      </c>
      <c r="FC1737" t="s">
        <v>424</v>
      </c>
      <c r="FD1737" t="s">
        <v>454</v>
      </c>
      <c r="FF1737">
        <v>12</v>
      </c>
      <c r="FG1737">
        <v>2851116</v>
      </c>
      <c r="FH1737" t="s">
        <v>480</v>
      </c>
      <c r="FJ1737" s="1">
        <v>42879</v>
      </c>
      <c r="FK1737">
        <v>2016</v>
      </c>
      <c r="FL1737">
        <v>528.75</v>
      </c>
      <c r="FM1737" t="s">
        <v>17165</v>
      </c>
      <c r="FN1737">
        <v>0.25</v>
      </c>
      <c r="FO1737" t="s">
        <v>424</v>
      </c>
      <c r="FP1737" t="s">
        <v>454</v>
      </c>
      <c r="FR1737">
        <v>12</v>
      </c>
      <c r="FS1737">
        <v>4935109</v>
      </c>
      <c r="FT1737" t="s">
        <v>17166</v>
      </c>
    </row>
    <row r="1738" spans="1:296" x14ac:dyDescent="0.25">
      <c r="A1738">
        <v>16486745</v>
      </c>
      <c r="B1738">
        <v>1737</v>
      </c>
      <c r="C1738" t="s">
        <v>393</v>
      </c>
      <c r="D1738" t="s">
        <v>394</v>
      </c>
      <c r="F1738" t="str">
        <f>"38-3N-28-0000-0003-0000"</f>
        <v>38-3N-28-0000-0003-0000</v>
      </c>
      <c r="H1738" t="str">
        <f>"FOURTEENTH STREET PROPERTIES LLC"</f>
        <v>FOURTEENTH STREET PROPERTIES LLC</v>
      </c>
      <c r="I1738" t="str">
        <f>"20 S 4TH ST"</f>
        <v>20 S 4TH ST</v>
      </c>
      <c r="J1738" t="str">
        <f>"FERNANDINA BEACH FL 32034"</f>
        <v>FERNANDINA BEACH FL 32034</v>
      </c>
      <c r="K1738" t="str">
        <f>"96311 BLACKROCK RD"</f>
        <v>96311 BLACKROCK RD</v>
      </c>
      <c r="L1738" t="str">
        <f t="shared" si="618"/>
        <v>YULEE FL 32097</v>
      </c>
      <c r="M1738" t="str">
        <f>"IN OR 2084/1007 R621699"</f>
        <v>IN OR 2084/1007 R621699</v>
      </c>
      <c r="N1738" t="str">
        <f>""</f>
        <v/>
      </c>
      <c r="O1738" t="str">
        <f>"45782"</f>
        <v>45782</v>
      </c>
      <c r="P1738" t="str">
        <f t="shared" si="628"/>
        <v>2017</v>
      </c>
      <c r="Q1738" t="str">
        <f>""</f>
        <v/>
      </c>
      <c r="R1738" t="str">
        <f>"N"</f>
        <v>N</v>
      </c>
      <c r="S1738" t="str">
        <f>""</f>
        <v/>
      </c>
      <c r="T1738" t="str">
        <f>"344.29"</f>
        <v>344.29</v>
      </c>
      <c r="U1738" t="str">
        <f>"22742.00"</f>
        <v>22742.00</v>
      </c>
      <c r="V1738" t="str">
        <f>"22742.00"</f>
        <v>22742.00</v>
      </c>
      <c r="W1738" t="str">
        <f t="shared" si="630"/>
        <v>2017</v>
      </c>
      <c r="X1738" t="str">
        <f>""</f>
        <v/>
      </c>
      <c r="Y1738" t="str">
        <f>"386.62"</f>
        <v>386.62</v>
      </c>
      <c r="Z1738" t="str">
        <f>""</f>
        <v/>
      </c>
      <c r="AA1738" t="str">
        <f>"22742.00"</f>
        <v>22742.00</v>
      </c>
      <c r="AB1738" t="str">
        <f t="shared" ref="AB1738:AB1769" si="633">"Residential"</f>
        <v>Residential</v>
      </c>
      <c r="AC1738" t="str">
        <f t="shared" si="609"/>
        <v>0</v>
      </c>
      <c r="AD1738" t="str">
        <f t="shared" si="631"/>
        <v>4</v>
      </c>
      <c r="AE1738" t="str">
        <f t="shared" si="632"/>
        <v>WOOD (INCLUDE STEEL STUDS)</v>
      </c>
      <c r="AF1738" t="str">
        <f>"002"</f>
        <v>002</v>
      </c>
      <c r="AG1738" t="str">
        <f>"FL"</f>
        <v>FL</v>
      </c>
      <c r="AH1738" t="str">
        <f>"24625.00"</f>
        <v>24625.00</v>
      </c>
      <c r="AI1738" t="str">
        <f>"20000.00"</f>
        <v>20000.00</v>
      </c>
      <c r="AJ1738" t="str">
        <f>"C55-000-588-0531-8"</f>
        <v>C55-000-588-0531-8</v>
      </c>
      <c r="AK1738" t="str">
        <f>"31521"</f>
        <v>31521</v>
      </c>
      <c r="AL1738">
        <v>7</v>
      </c>
      <c r="AM1738">
        <v>1983</v>
      </c>
      <c r="AN1738">
        <v>404.35</v>
      </c>
      <c r="AQ1738" t="s">
        <v>17167</v>
      </c>
      <c r="AR1738" t="s">
        <v>17167</v>
      </c>
      <c r="AS1738" t="s">
        <v>17167</v>
      </c>
      <c r="AU1738" t="s">
        <v>396</v>
      </c>
      <c r="AV1738">
        <v>2017</v>
      </c>
      <c r="AW1738" t="str">
        <f>"38-3N-28-0000-0003-0000 "</f>
        <v xml:space="preserve">38-3N-28-0000-0003-0000 </v>
      </c>
      <c r="AX1738">
        <v>96311</v>
      </c>
      <c r="AZ1738" t="s">
        <v>14867</v>
      </c>
      <c r="BA1738" t="s">
        <v>496</v>
      </c>
      <c r="BD1738" t="s">
        <v>2387</v>
      </c>
      <c r="BE1738" t="s">
        <v>393</v>
      </c>
      <c r="BF1738">
        <v>32097</v>
      </c>
      <c r="BG1738" t="s">
        <v>17168</v>
      </c>
      <c r="BH1738" t="s">
        <v>2388</v>
      </c>
      <c r="BI1738">
        <v>-81.530411651696895</v>
      </c>
      <c r="BJ1738">
        <v>30.644315523346499</v>
      </c>
      <c r="BK1738" t="s">
        <v>17169</v>
      </c>
      <c r="BM1738" t="s">
        <v>17170</v>
      </c>
      <c r="BN1738" t="s">
        <v>3983</v>
      </c>
      <c r="BO1738">
        <v>32034</v>
      </c>
      <c r="BP1738" t="s">
        <v>404</v>
      </c>
      <c r="BQ1738">
        <v>200</v>
      </c>
      <c r="BR1738" t="s">
        <v>405</v>
      </c>
      <c r="BS1738">
        <v>1006</v>
      </c>
      <c r="BT1738" t="s">
        <v>406</v>
      </c>
      <c r="BW1738">
        <v>24379</v>
      </c>
      <c r="BX1738" t="s">
        <v>407</v>
      </c>
      <c r="BY1738" t="s">
        <v>12744</v>
      </c>
      <c r="BZ1738">
        <v>4</v>
      </c>
      <c r="CA1738">
        <v>1978</v>
      </c>
      <c r="CB1738">
        <v>1</v>
      </c>
      <c r="CC1738">
        <v>1</v>
      </c>
      <c r="CD1738">
        <v>2017</v>
      </c>
      <c r="CE1738">
        <v>20000</v>
      </c>
      <c r="CF1738">
        <v>2742</v>
      </c>
      <c r="CG1738">
        <v>22742</v>
      </c>
      <c r="CH1738">
        <v>2017</v>
      </c>
      <c r="CI1738">
        <v>20000</v>
      </c>
      <c r="CJ1738">
        <v>2742</v>
      </c>
      <c r="CK1738">
        <v>22742</v>
      </c>
      <c r="CL1738">
        <v>2017</v>
      </c>
      <c r="CM1738">
        <v>344.29</v>
      </c>
      <c r="CN1738" s="1">
        <v>42696</v>
      </c>
      <c r="CO1738">
        <v>28800</v>
      </c>
      <c r="CV1738">
        <v>0</v>
      </c>
      <c r="CZ1738" s="1">
        <v>42696</v>
      </c>
      <c r="DA1738">
        <v>0</v>
      </c>
      <c r="DD1738" t="s">
        <v>2387</v>
      </c>
      <c r="DG1738">
        <v>38</v>
      </c>
      <c r="DL1738">
        <v>50301</v>
      </c>
      <c r="DM1738" t="s">
        <v>11367</v>
      </c>
      <c r="DO1738" t="s">
        <v>17171</v>
      </c>
      <c r="DP1738">
        <v>0</v>
      </c>
      <c r="DQ1738">
        <v>0</v>
      </c>
      <c r="DR1738" t="s">
        <v>411</v>
      </c>
    </row>
    <row r="1739" spans="1:296" x14ac:dyDescent="0.25">
      <c r="A1739">
        <v>16486746</v>
      </c>
      <c r="B1739">
        <v>1738</v>
      </c>
      <c r="C1739" t="s">
        <v>393</v>
      </c>
      <c r="D1739" t="s">
        <v>394</v>
      </c>
      <c r="F1739" t="str">
        <f>"38-3N-28-0000-0012-0070"</f>
        <v>38-3N-28-0000-0012-0070</v>
      </c>
      <c r="H1739" t="str">
        <f>"LEIBMAN MARILYN C"</f>
        <v>LEIBMAN MARILYN C</v>
      </c>
      <c r="I1739" t="str">
        <f>"PO BOX 150"</f>
        <v>PO BOX 150</v>
      </c>
      <c r="J1739" t="str">
        <f>"SOUND BEACH NY 11789"</f>
        <v>SOUND BEACH NY 11789</v>
      </c>
      <c r="K1739" t="str">
        <f>"96019 DURDEN RD"</f>
        <v>96019 DURDEN RD</v>
      </c>
      <c r="L1739" t="str">
        <f t="shared" si="618"/>
        <v>YULEE FL 32097</v>
      </c>
      <c r="M1739" t="str">
        <f>"PT GOVT LOTS 1 &amp; 2 OF SEC 38-3N-28E IN OR 2095/1659 {R567790 &amp; 567991}"</f>
        <v>PT GOVT LOTS 1 &amp; 2 OF SEC 38-3N-28E IN OR 2095/1659 {R567790 &amp; 567991}</v>
      </c>
      <c r="N1739" t="str">
        <f>""</f>
        <v/>
      </c>
      <c r="O1739" t="str">
        <f>"45796"</f>
        <v>45796</v>
      </c>
      <c r="P1739" t="str">
        <f t="shared" si="628"/>
        <v>2017</v>
      </c>
      <c r="Q1739" t="str">
        <f>""</f>
        <v/>
      </c>
      <c r="R1739" t="str">
        <f>"Y"</f>
        <v>Y</v>
      </c>
      <c r="S1739" t="str">
        <f>""</f>
        <v/>
      </c>
      <c r="T1739" t="str">
        <f>"334.42"</f>
        <v>334.42</v>
      </c>
      <c r="U1739" t="str">
        <f>"47089.00"</f>
        <v>47089.00</v>
      </c>
      <c r="V1739" t="str">
        <f>"47089.00"</f>
        <v>47089.00</v>
      </c>
      <c r="W1739" t="str">
        <f t="shared" si="630"/>
        <v>2017</v>
      </c>
      <c r="X1739" t="str">
        <f>""</f>
        <v/>
      </c>
      <c r="Y1739" t="str">
        <f>"376.45"</f>
        <v>376.45</v>
      </c>
      <c r="Z1739" t="str">
        <f>"25000.00"</f>
        <v>25000.00</v>
      </c>
      <c r="AA1739" t="str">
        <f>"22089.00"</f>
        <v>22089.00</v>
      </c>
      <c r="AB1739" t="str">
        <f t="shared" si="633"/>
        <v>Residential</v>
      </c>
      <c r="AC1739" t="str">
        <f t="shared" si="609"/>
        <v>0</v>
      </c>
      <c r="AD1739" t="str">
        <f t="shared" si="631"/>
        <v>4</v>
      </c>
      <c r="AE1739" t="str">
        <f t="shared" si="632"/>
        <v>WOOD (INCLUDE STEEL STUDS)</v>
      </c>
      <c r="AF1739" t="str">
        <f>"002"</f>
        <v>002</v>
      </c>
      <c r="AG1739" t="str">
        <f>"NY"</f>
        <v>NY</v>
      </c>
      <c r="AH1739" t="str">
        <f>"37250.00"</f>
        <v>37250.00</v>
      </c>
      <c r="AI1739" t="str">
        <f>"25000.00"</f>
        <v>25000.00</v>
      </c>
      <c r="AJ1739" t="str">
        <f>"C55-000-588-0545-8"</f>
        <v>C55-000-588-0545-8</v>
      </c>
      <c r="AK1739" t="str">
        <f>"31535"</f>
        <v>31535</v>
      </c>
      <c r="AL1739">
        <v>7</v>
      </c>
      <c r="AM1739">
        <v>1984</v>
      </c>
      <c r="AN1739">
        <v>393.67</v>
      </c>
      <c r="AQ1739" t="s">
        <v>17172</v>
      </c>
      <c r="AR1739" t="s">
        <v>17172</v>
      </c>
      <c r="AS1739" t="s">
        <v>17172</v>
      </c>
      <c r="AU1739" t="s">
        <v>396</v>
      </c>
      <c r="AV1739">
        <v>2017</v>
      </c>
      <c r="AW1739" t="str">
        <f>"38-3N-28-0000-0012-0070 "</f>
        <v xml:space="preserve">38-3N-28-0000-0012-0070 </v>
      </c>
      <c r="AX1739">
        <v>96019</v>
      </c>
      <c r="AZ1739" t="s">
        <v>17173</v>
      </c>
      <c r="BA1739" t="s">
        <v>496</v>
      </c>
      <c r="BD1739" t="s">
        <v>2387</v>
      </c>
      <c r="BE1739" t="s">
        <v>393</v>
      </c>
      <c r="BF1739">
        <v>32097</v>
      </c>
      <c r="BG1739" t="s">
        <v>17174</v>
      </c>
      <c r="BH1739" t="s">
        <v>2388</v>
      </c>
      <c r="BI1739">
        <v>-81.529335205345305</v>
      </c>
      <c r="BJ1739">
        <v>30.643247172285299</v>
      </c>
      <c r="BK1739" t="s">
        <v>17175</v>
      </c>
      <c r="BM1739" t="s">
        <v>17176</v>
      </c>
      <c r="BN1739" t="s">
        <v>17177</v>
      </c>
      <c r="BO1739">
        <v>11789</v>
      </c>
      <c r="BP1739" t="s">
        <v>404</v>
      </c>
      <c r="BQ1739">
        <v>200</v>
      </c>
      <c r="BR1739" t="s">
        <v>405</v>
      </c>
      <c r="BS1739">
        <v>1006</v>
      </c>
      <c r="BT1739" t="s">
        <v>406</v>
      </c>
      <c r="BU1739">
        <v>2500</v>
      </c>
      <c r="BV1739">
        <v>1250</v>
      </c>
      <c r="BW1739">
        <v>32617</v>
      </c>
      <c r="BX1739" t="s">
        <v>407</v>
      </c>
      <c r="BY1739" t="s">
        <v>12744</v>
      </c>
      <c r="BZ1739">
        <v>4</v>
      </c>
      <c r="CA1739">
        <v>1993</v>
      </c>
      <c r="CB1739">
        <v>1</v>
      </c>
      <c r="CC1739">
        <v>1</v>
      </c>
      <c r="CD1739">
        <v>2017</v>
      </c>
      <c r="CE1739">
        <v>25000</v>
      </c>
      <c r="CF1739">
        <v>22089</v>
      </c>
      <c r="CG1739">
        <v>47089</v>
      </c>
      <c r="CH1739">
        <v>2017</v>
      </c>
      <c r="CI1739">
        <v>25000</v>
      </c>
      <c r="CJ1739">
        <v>22089</v>
      </c>
      <c r="CK1739">
        <v>47089</v>
      </c>
      <c r="CL1739">
        <v>2017</v>
      </c>
      <c r="CM1739">
        <v>334.42</v>
      </c>
      <c r="CN1739" s="1">
        <v>42758</v>
      </c>
      <c r="CO1739">
        <v>48500</v>
      </c>
      <c r="CV1739">
        <v>0</v>
      </c>
      <c r="CZ1739" s="1">
        <v>42758</v>
      </c>
      <c r="DA1739">
        <v>0</v>
      </c>
      <c r="DD1739" t="s">
        <v>2387</v>
      </c>
      <c r="DG1739">
        <v>38</v>
      </c>
      <c r="DL1739">
        <v>50303</v>
      </c>
      <c r="DM1739" t="s">
        <v>11367</v>
      </c>
      <c r="DO1739" t="s">
        <v>17178</v>
      </c>
      <c r="DP1739">
        <v>0</v>
      </c>
      <c r="DQ1739">
        <v>0</v>
      </c>
      <c r="DR1739" t="s">
        <v>411</v>
      </c>
    </row>
    <row r="1740" spans="1:296" x14ac:dyDescent="0.25">
      <c r="A1740">
        <v>16486747</v>
      </c>
      <c r="B1740">
        <v>1739</v>
      </c>
      <c r="C1740" t="s">
        <v>393</v>
      </c>
      <c r="D1740" t="s">
        <v>394</v>
      </c>
      <c r="F1740" t="str">
        <f>"38-3N-28-0000-0012-0090"</f>
        <v>38-3N-28-0000-0012-0090</v>
      </c>
      <c r="H1740" t="str">
        <f>"CINTRON EDDIE"</f>
        <v>CINTRON EDDIE</v>
      </c>
      <c r="I1740" t="str">
        <f>"4012 CHERRYBROOK LOOP"</f>
        <v>4012 CHERRYBROOK LOOP</v>
      </c>
      <c r="J1740" t="str">
        <f>"FT MYERS FL 33966"</f>
        <v>FT MYERS FL 33966</v>
      </c>
      <c r="K1740" t="str">
        <f>"96181 DURDEN RD"</f>
        <v>96181 DURDEN RD</v>
      </c>
      <c r="L1740" t="str">
        <f t="shared" si="618"/>
        <v>YULEE FL 32097</v>
      </c>
      <c r="M1740" t="str">
        <f>"IN OR 2131/1527 R568163"</f>
        <v>IN OR 2131/1527 R568163</v>
      </c>
      <c r="N1740" t="str">
        <f>""</f>
        <v/>
      </c>
      <c r="O1740" t="str">
        <f>"45797"</f>
        <v>45797</v>
      </c>
      <c r="P1740" t="str">
        <f t="shared" si="628"/>
        <v>2017</v>
      </c>
      <c r="Q1740" t="str">
        <f>""</f>
        <v/>
      </c>
      <c r="R1740" t="str">
        <f>"N"</f>
        <v>N</v>
      </c>
      <c r="S1740" t="str">
        <f>""</f>
        <v/>
      </c>
      <c r="T1740" t="str">
        <f>"616.26"</f>
        <v>616.26</v>
      </c>
      <c r="U1740" t="str">
        <f>"40707.00"</f>
        <v>40707.00</v>
      </c>
      <c r="V1740" t="str">
        <f>"40707.00"</f>
        <v>40707.00</v>
      </c>
      <c r="W1740" t="str">
        <f t="shared" si="630"/>
        <v>2017</v>
      </c>
      <c r="X1740" t="str">
        <f>"17.78"</f>
        <v>17.78</v>
      </c>
      <c r="Y1740" t="str">
        <f>"666.75"</f>
        <v>666.75</v>
      </c>
      <c r="Z1740" t="str">
        <f>""</f>
        <v/>
      </c>
      <c r="AA1740" t="str">
        <f>"40707.00"</f>
        <v>40707.00</v>
      </c>
      <c r="AB1740" t="str">
        <f t="shared" si="633"/>
        <v>Residential</v>
      </c>
      <c r="AC1740" t="str">
        <f t="shared" si="609"/>
        <v>0</v>
      </c>
      <c r="AD1740" t="str">
        <f t="shared" si="631"/>
        <v>4</v>
      </c>
      <c r="AE1740" t="str">
        <f t="shared" si="632"/>
        <v>WOOD (INCLUDE STEEL STUDS)</v>
      </c>
      <c r="AF1740" t="str">
        <f>"002"</f>
        <v>002</v>
      </c>
      <c r="AG1740" t="str">
        <f t="shared" ref="AG1740:AG1771" si="634">"FL"</f>
        <v>FL</v>
      </c>
      <c r="AH1740" t="str">
        <f>"27950.00"</f>
        <v>27950.00</v>
      </c>
      <c r="AI1740" t="str">
        <f>"25000.00"</f>
        <v>25000.00</v>
      </c>
      <c r="AJ1740" t="str">
        <f>"C55-000-588-0546-6"</f>
        <v>C55-000-588-0546-6</v>
      </c>
      <c r="AK1740" t="str">
        <f>"31536"</f>
        <v>31536</v>
      </c>
      <c r="AL1740">
        <v>7</v>
      </c>
      <c r="AM1740">
        <v>1985</v>
      </c>
      <c r="AN1740">
        <v>698.49</v>
      </c>
      <c r="AQ1740" t="s">
        <v>17179</v>
      </c>
      <c r="AR1740" t="s">
        <v>17179</v>
      </c>
      <c r="AS1740" t="s">
        <v>17179</v>
      </c>
      <c r="AU1740" t="s">
        <v>396</v>
      </c>
      <c r="AV1740">
        <v>2017</v>
      </c>
      <c r="AW1740" t="str">
        <f>"38-3N-28-0000-0012-0090 "</f>
        <v xml:space="preserve">38-3N-28-0000-0012-0090 </v>
      </c>
      <c r="AX1740">
        <v>96181</v>
      </c>
      <c r="AZ1740" t="s">
        <v>17173</v>
      </c>
      <c r="BA1740" t="s">
        <v>496</v>
      </c>
      <c r="BD1740" t="s">
        <v>2387</v>
      </c>
      <c r="BE1740" t="s">
        <v>393</v>
      </c>
      <c r="BF1740">
        <v>32097</v>
      </c>
      <c r="BG1740" t="s">
        <v>17180</v>
      </c>
      <c r="BH1740" t="s">
        <v>2388</v>
      </c>
      <c r="BI1740">
        <v>-81.527006483155304</v>
      </c>
      <c r="BJ1740">
        <v>30.643374266040599</v>
      </c>
      <c r="BK1740" t="s">
        <v>17181</v>
      </c>
      <c r="BM1740" t="s">
        <v>17182</v>
      </c>
      <c r="BN1740" t="s">
        <v>17183</v>
      </c>
      <c r="BO1740">
        <v>33966</v>
      </c>
      <c r="BP1740" t="s">
        <v>404</v>
      </c>
      <c r="BQ1740">
        <v>200</v>
      </c>
      <c r="BR1740" t="s">
        <v>405</v>
      </c>
      <c r="BS1740">
        <v>1006</v>
      </c>
      <c r="BT1740" t="s">
        <v>406</v>
      </c>
      <c r="BU1740">
        <v>2155</v>
      </c>
      <c r="BV1740">
        <v>1300</v>
      </c>
      <c r="BW1740">
        <v>27950</v>
      </c>
      <c r="BX1740" t="s">
        <v>407</v>
      </c>
      <c r="BY1740" t="s">
        <v>12744</v>
      </c>
      <c r="BZ1740">
        <v>4</v>
      </c>
      <c r="CA1740">
        <v>1969</v>
      </c>
      <c r="CB1740">
        <v>1</v>
      </c>
      <c r="CC1740">
        <v>2</v>
      </c>
      <c r="CD1740">
        <v>2017</v>
      </c>
      <c r="CE1740">
        <v>25000</v>
      </c>
      <c r="CF1740">
        <v>15707</v>
      </c>
      <c r="CG1740">
        <v>40707</v>
      </c>
      <c r="CH1740">
        <v>2017</v>
      </c>
      <c r="CI1740">
        <v>25000</v>
      </c>
      <c r="CJ1740">
        <v>15707</v>
      </c>
      <c r="CK1740">
        <v>40707</v>
      </c>
      <c r="CL1740">
        <v>2017</v>
      </c>
      <c r="CM1740">
        <v>616.26</v>
      </c>
      <c r="CN1740" s="1">
        <v>39199</v>
      </c>
      <c r="CO1740">
        <v>60000</v>
      </c>
      <c r="CV1740">
        <v>0</v>
      </c>
      <c r="CZ1740" s="1">
        <v>39199</v>
      </c>
      <c r="DA1740">
        <v>0</v>
      </c>
      <c r="DD1740" t="s">
        <v>2387</v>
      </c>
      <c r="DG1740">
        <v>38</v>
      </c>
      <c r="DL1740">
        <v>50303</v>
      </c>
      <c r="DM1740" t="s">
        <v>11367</v>
      </c>
      <c r="DO1740" t="s">
        <v>17184</v>
      </c>
      <c r="DP1740">
        <v>0</v>
      </c>
      <c r="DQ1740">
        <v>0</v>
      </c>
      <c r="DR1740" t="s">
        <v>411</v>
      </c>
      <c r="DS1740" t="b">
        <v>1</v>
      </c>
      <c r="DT1740" t="s">
        <v>470</v>
      </c>
      <c r="DU1740" t="s">
        <v>471</v>
      </c>
      <c r="DV1740" t="s">
        <v>472</v>
      </c>
      <c r="DX1740">
        <v>-9999</v>
      </c>
      <c r="DZ1740" t="s">
        <v>447</v>
      </c>
      <c r="EA1740" t="s">
        <v>448</v>
      </c>
      <c r="EB1740" t="s">
        <v>742</v>
      </c>
      <c r="EC1740">
        <v>20101217</v>
      </c>
      <c r="ED1740" t="s">
        <v>474</v>
      </c>
      <c r="EF1740">
        <v>777.7</v>
      </c>
      <c r="EG1740">
        <v>562.4</v>
      </c>
      <c r="EI1740">
        <v>20160407</v>
      </c>
      <c r="EJ1740">
        <v>0</v>
      </c>
      <c r="EK1740">
        <v>0</v>
      </c>
      <c r="EP1740" t="s">
        <v>421</v>
      </c>
      <c r="EQ1740" t="s">
        <v>422</v>
      </c>
      <c r="ER1740">
        <v>2</v>
      </c>
      <c r="ES1740">
        <v>8</v>
      </c>
      <c r="ET1740">
        <v>1640.68</v>
      </c>
      <c r="EU1740">
        <v>94.53</v>
      </c>
      <c r="EV1740">
        <v>1735.21</v>
      </c>
      <c r="EW1740" s="2">
        <v>43222</v>
      </c>
      <c r="EX1740" s="1">
        <v>42879</v>
      </c>
      <c r="EY1740">
        <v>2016</v>
      </c>
      <c r="EZ1740">
        <v>820.34</v>
      </c>
      <c r="FA1740" t="s">
        <v>17185</v>
      </c>
      <c r="FB1740">
        <v>0.25</v>
      </c>
      <c r="FC1740" t="s">
        <v>424</v>
      </c>
      <c r="FD1740" t="s">
        <v>454</v>
      </c>
      <c r="FF1740">
        <v>12</v>
      </c>
      <c r="FG1740">
        <v>2851116</v>
      </c>
      <c r="FH1740" t="s">
        <v>480</v>
      </c>
      <c r="FJ1740" s="1">
        <v>42879</v>
      </c>
      <c r="FK1740">
        <v>2016</v>
      </c>
      <c r="FL1740">
        <v>820.34</v>
      </c>
      <c r="FM1740" t="s">
        <v>17185</v>
      </c>
      <c r="FN1740">
        <v>0.25</v>
      </c>
      <c r="FO1740" t="s">
        <v>424</v>
      </c>
      <c r="FP1740" t="s">
        <v>454</v>
      </c>
      <c r="FR1740">
        <v>12</v>
      </c>
      <c r="FS1740">
        <v>5285409</v>
      </c>
      <c r="FT1740" t="s">
        <v>17186</v>
      </c>
      <c r="FV1740" s="1">
        <v>42515</v>
      </c>
      <c r="FW1740">
        <v>2015</v>
      </c>
      <c r="FX1740">
        <v>710.81</v>
      </c>
      <c r="FY1740" t="s">
        <v>17187</v>
      </c>
      <c r="FZ1740">
        <v>0.25</v>
      </c>
      <c r="GA1740" t="s">
        <v>424</v>
      </c>
      <c r="GB1740" t="s">
        <v>425</v>
      </c>
      <c r="GC1740" s="1">
        <v>42670</v>
      </c>
      <c r="GD1740">
        <v>5</v>
      </c>
      <c r="GE1740">
        <v>2851116</v>
      </c>
      <c r="GF1740" t="s">
        <v>480</v>
      </c>
      <c r="GH1740" s="1">
        <v>42515</v>
      </c>
      <c r="GI1740">
        <v>2015</v>
      </c>
      <c r="GJ1740">
        <v>710.81</v>
      </c>
      <c r="GK1740" t="s">
        <v>17187</v>
      </c>
      <c r="GL1740">
        <v>0.25</v>
      </c>
      <c r="GM1740" t="s">
        <v>424</v>
      </c>
      <c r="GN1740" t="s">
        <v>425</v>
      </c>
      <c r="GP1740">
        <v>22</v>
      </c>
      <c r="GQ1740">
        <v>5557248</v>
      </c>
      <c r="GR1740" t="s">
        <v>17188</v>
      </c>
      <c r="GT1740" s="1">
        <v>42151</v>
      </c>
      <c r="GU1740">
        <v>2014</v>
      </c>
      <c r="GV1740">
        <v>700.26</v>
      </c>
      <c r="GW1740" t="s">
        <v>17189</v>
      </c>
      <c r="GX1740">
        <v>0.25</v>
      </c>
      <c r="GY1740" t="s">
        <v>424</v>
      </c>
      <c r="GZ1740" t="s">
        <v>425</v>
      </c>
      <c r="HA1740" s="1">
        <v>42670</v>
      </c>
      <c r="HB1740">
        <v>17</v>
      </c>
      <c r="HC1740">
        <v>2101382</v>
      </c>
      <c r="HD1740" t="s">
        <v>993</v>
      </c>
      <c r="HF1740" s="1">
        <v>42151</v>
      </c>
      <c r="HG1740">
        <v>2014</v>
      </c>
      <c r="HH1740">
        <v>700.26</v>
      </c>
      <c r="HI1740" t="s">
        <v>17189</v>
      </c>
      <c r="HJ1740">
        <v>0.25</v>
      </c>
      <c r="HK1740" t="s">
        <v>424</v>
      </c>
      <c r="HL1740" t="s">
        <v>425</v>
      </c>
      <c r="HN1740">
        <v>22</v>
      </c>
      <c r="HO1740">
        <v>5507286</v>
      </c>
      <c r="HP1740" t="s">
        <v>17190</v>
      </c>
      <c r="HR1740" s="1">
        <v>41787</v>
      </c>
      <c r="HS1740">
        <v>2013</v>
      </c>
      <c r="HT1740">
        <v>508.24</v>
      </c>
      <c r="HU1740" t="s">
        <v>17191</v>
      </c>
      <c r="HV1740">
        <v>0.25</v>
      </c>
      <c r="HW1740" t="s">
        <v>424</v>
      </c>
      <c r="HX1740" t="s">
        <v>425</v>
      </c>
      <c r="HY1740" s="1">
        <v>42093</v>
      </c>
      <c r="HZ1740">
        <v>10</v>
      </c>
      <c r="IA1740">
        <v>13026</v>
      </c>
      <c r="IB1740" t="s">
        <v>2129</v>
      </c>
      <c r="ID1740" s="1">
        <v>41423</v>
      </c>
      <c r="IE1740">
        <v>2012</v>
      </c>
      <c r="IF1740">
        <v>691.86</v>
      </c>
      <c r="IG1740" t="s">
        <v>17192</v>
      </c>
      <c r="IH1740">
        <v>0.25</v>
      </c>
      <c r="II1740" t="s">
        <v>424</v>
      </c>
      <c r="IJ1740" t="s">
        <v>425</v>
      </c>
      <c r="IK1740" s="1">
        <v>41443</v>
      </c>
      <c r="IL1740">
        <v>1</v>
      </c>
      <c r="IM1740">
        <v>15399</v>
      </c>
      <c r="IN1740" t="s">
        <v>485</v>
      </c>
      <c r="IP1740" s="1">
        <v>41052</v>
      </c>
      <c r="IQ1740">
        <v>2011</v>
      </c>
      <c r="IR1740">
        <v>789.31</v>
      </c>
      <c r="IS1740" t="s">
        <v>17193</v>
      </c>
      <c r="IT1740">
        <v>6</v>
      </c>
      <c r="IU1740" t="s">
        <v>424</v>
      </c>
      <c r="IV1740" t="s">
        <v>425</v>
      </c>
      <c r="IW1740" s="1">
        <v>41443</v>
      </c>
      <c r="IX1740">
        <v>13</v>
      </c>
      <c r="IY1740">
        <v>1109</v>
      </c>
      <c r="IZ1740" t="s">
        <v>852</v>
      </c>
      <c r="JB1740" s="1">
        <v>40688</v>
      </c>
      <c r="JC1740">
        <v>2010</v>
      </c>
      <c r="JD1740">
        <v>814.72</v>
      </c>
      <c r="JE1740" t="s">
        <v>17194</v>
      </c>
      <c r="JF1740">
        <v>6</v>
      </c>
      <c r="JG1740" t="s">
        <v>424</v>
      </c>
      <c r="JH1740" t="s">
        <v>425</v>
      </c>
      <c r="JI1740" s="1">
        <v>41317</v>
      </c>
      <c r="JJ1740">
        <v>21</v>
      </c>
      <c r="JK1740">
        <v>105</v>
      </c>
      <c r="JL1740" t="s">
        <v>946</v>
      </c>
    </row>
    <row r="1741" spans="1:296" x14ac:dyDescent="0.25">
      <c r="A1741">
        <v>16486748</v>
      </c>
      <c r="B1741">
        <v>1740</v>
      </c>
      <c r="C1741" t="s">
        <v>393</v>
      </c>
      <c r="D1741" t="s">
        <v>394</v>
      </c>
      <c r="F1741" t="str">
        <f>"38-3N-28-0000-0012-0120"</f>
        <v>38-3N-28-0000-0012-0120</v>
      </c>
      <c r="H1741" t="str">
        <f>"JOHNS LISA L"</f>
        <v>JOHNS LISA L</v>
      </c>
      <c r="I1741" t="str">
        <f>"85213 CUNO CREEK DRIVE"</f>
        <v>85213 CUNO CREEK DRIVE</v>
      </c>
      <c r="J1741" t="str">
        <f>"YULEE FL 32097"</f>
        <v>YULEE FL 32097</v>
      </c>
      <c r="K1741" t="str">
        <f>"96223 PIRATES BLUFF RD"</f>
        <v>96223 PIRATES BLUFF RD</v>
      </c>
      <c r="L1741" t="str">
        <f t="shared" si="618"/>
        <v>YULEE FL 32097</v>
      </c>
      <c r="M1741" t="str">
        <f>"PT GOVT LOT 2 OF SEC 38-3N-28E IN OR 2141/1483 {1978 REDMOND SW}"</f>
        <v>PT GOVT LOT 2 OF SEC 38-3N-28E IN OR 2141/1483 {1978 REDMOND SW}</v>
      </c>
      <c r="N1741" t="str">
        <f>""</f>
        <v/>
      </c>
      <c r="O1741" t="str">
        <f>"45799"</f>
        <v>45799</v>
      </c>
      <c r="P1741" t="str">
        <f t="shared" si="628"/>
        <v>2017</v>
      </c>
      <c r="Q1741" t="str">
        <f>""</f>
        <v/>
      </c>
      <c r="R1741" t="str">
        <f>"N"</f>
        <v>N</v>
      </c>
      <c r="S1741" t="str">
        <f>""</f>
        <v/>
      </c>
      <c r="T1741" t="str">
        <f>"462.56"</f>
        <v>462.56</v>
      </c>
      <c r="U1741" t="str">
        <f>"30554.00"</f>
        <v>30554.00</v>
      </c>
      <c r="V1741" t="str">
        <f>"30554.00"</f>
        <v>30554.00</v>
      </c>
      <c r="W1741" t="str">
        <f t="shared" si="630"/>
        <v>2017</v>
      </c>
      <c r="X1741" t="str">
        <f>"20.17"</f>
        <v>20.17</v>
      </c>
      <c r="Y1741" t="str">
        <f>"508.44"</f>
        <v>508.44</v>
      </c>
      <c r="Z1741" t="str">
        <f>""</f>
        <v/>
      </c>
      <c r="AA1741" t="str">
        <f>"30554.00"</f>
        <v>30554.00</v>
      </c>
      <c r="AB1741" t="str">
        <f t="shared" si="633"/>
        <v>Residential</v>
      </c>
      <c r="AC1741" t="str">
        <f t="shared" si="609"/>
        <v>0</v>
      </c>
      <c r="AD1741" t="str">
        <f t="shared" si="631"/>
        <v>4</v>
      </c>
      <c r="AE1741" t="str">
        <f t="shared" si="632"/>
        <v>WOOD (INCLUDE STEEL STUDS)</v>
      </c>
      <c r="AF1741" t="str">
        <f>"002"</f>
        <v>002</v>
      </c>
      <c r="AG1741" t="str">
        <f t="shared" si="634"/>
        <v>FL</v>
      </c>
      <c r="AH1741" t="str">
        <f>"24700.00"</f>
        <v>24700.00</v>
      </c>
      <c r="AI1741" t="str">
        <f>"25000.00"</f>
        <v>25000.00</v>
      </c>
      <c r="AJ1741" t="str">
        <f>"C55-000-588-0548-2"</f>
        <v>C55-000-588-0548-2</v>
      </c>
      <c r="AK1741" t="str">
        <f>"31538"</f>
        <v>31538</v>
      </c>
      <c r="AL1741">
        <v>7</v>
      </c>
      <c r="AM1741">
        <v>1986</v>
      </c>
      <c r="AN1741">
        <v>532.26</v>
      </c>
      <c r="AQ1741" t="s">
        <v>17195</v>
      </c>
      <c r="AR1741" t="s">
        <v>17195</v>
      </c>
      <c r="AS1741" t="s">
        <v>17195</v>
      </c>
      <c r="AU1741" t="s">
        <v>396</v>
      </c>
      <c r="AV1741">
        <v>2017</v>
      </c>
      <c r="AW1741" t="str">
        <f>"38-3N-28-0000-0012-0120 "</f>
        <v xml:space="preserve">38-3N-28-0000-0012-0120 </v>
      </c>
      <c r="AX1741">
        <v>96223</v>
      </c>
      <c r="AZ1741" t="s">
        <v>17196</v>
      </c>
      <c r="BA1741" t="s">
        <v>496</v>
      </c>
      <c r="BD1741" t="s">
        <v>2387</v>
      </c>
      <c r="BE1741" t="s">
        <v>393</v>
      </c>
      <c r="BF1741">
        <v>32097</v>
      </c>
      <c r="BG1741" t="s">
        <v>17197</v>
      </c>
      <c r="BH1741" t="s">
        <v>2388</v>
      </c>
      <c r="BI1741">
        <v>-81.526162096298293</v>
      </c>
      <c r="BJ1741">
        <v>30.642526591644</v>
      </c>
      <c r="BK1741" t="s">
        <v>17198</v>
      </c>
      <c r="BM1741" t="s">
        <v>17199</v>
      </c>
      <c r="BN1741" t="s">
        <v>17200</v>
      </c>
      <c r="BO1741">
        <v>30459</v>
      </c>
      <c r="BP1741" t="s">
        <v>404</v>
      </c>
      <c r="BQ1741">
        <v>200</v>
      </c>
      <c r="BR1741" t="s">
        <v>405</v>
      </c>
      <c r="BS1741">
        <v>1006</v>
      </c>
      <c r="BT1741" t="s">
        <v>406</v>
      </c>
      <c r="BU1741">
        <v>1900</v>
      </c>
      <c r="BV1741">
        <v>1300</v>
      </c>
      <c r="BW1741">
        <v>32355</v>
      </c>
      <c r="BX1741" t="s">
        <v>407</v>
      </c>
      <c r="BY1741" t="s">
        <v>12744</v>
      </c>
      <c r="BZ1741">
        <v>4</v>
      </c>
      <c r="CA1741">
        <v>1978</v>
      </c>
      <c r="CB1741">
        <v>1</v>
      </c>
      <c r="CC1741">
        <v>1</v>
      </c>
      <c r="CD1741">
        <v>2017</v>
      </c>
      <c r="CE1741">
        <v>25000</v>
      </c>
      <c r="CF1741">
        <v>5554</v>
      </c>
      <c r="CG1741">
        <v>30554</v>
      </c>
      <c r="CH1741">
        <v>2017</v>
      </c>
      <c r="CI1741">
        <v>25000</v>
      </c>
      <c r="CJ1741">
        <v>5554</v>
      </c>
      <c r="CK1741">
        <v>30554</v>
      </c>
      <c r="CL1741">
        <v>2017</v>
      </c>
      <c r="CM1741">
        <v>462.56</v>
      </c>
      <c r="CN1741" s="1">
        <v>38384</v>
      </c>
      <c r="CO1741">
        <v>65000</v>
      </c>
      <c r="CV1741">
        <v>0</v>
      </c>
      <c r="CZ1741" s="1">
        <v>38384</v>
      </c>
      <c r="DA1741">
        <v>0</v>
      </c>
      <c r="DD1741" t="s">
        <v>2387</v>
      </c>
      <c r="DG1741">
        <v>38</v>
      </c>
      <c r="DL1741">
        <v>50303</v>
      </c>
      <c r="DM1741" t="s">
        <v>11367</v>
      </c>
      <c r="DO1741" t="s">
        <v>17201</v>
      </c>
      <c r="DP1741">
        <v>0</v>
      </c>
      <c r="DQ1741">
        <v>0</v>
      </c>
      <c r="DR1741" t="s">
        <v>411</v>
      </c>
      <c r="EP1741" t="s">
        <v>421</v>
      </c>
      <c r="EQ1741" t="s">
        <v>422</v>
      </c>
      <c r="ER1741">
        <v>0</v>
      </c>
      <c r="ES1741">
        <v>2</v>
      </c>
      <c r="ET1741">
        <v>0</v>
      </c>
      <c r="EU1741">
        <v>0</v>
      </c>
      <c r="EV1741">
        <v>0</v>
      </c>
      <c r="EW1741" s="2">
        <v>43222</v>
      </c>
      <c r="EX1741" s="1">
        <v>41052</v>
      </c>
      <c r="EY1741">
        <v>2011</v>
      </c>
      <c r="EZ1741">
        <v>748.39</v>
      </c>
      <c r="FA1741" t="s">
        <v>17202</v>
      </c>
      <c r="FB1741">
        <v>6</v>
      </c>
      <c r="FC1741" t="s">
        <v>424</v>
      </c>
      <c r="FD1741" t="s">
        <v>425</v>
      </c>
      <c r="FE1741" s="1">
        <v>41456</v>
      </c>
      <c r="FF1741">
        <v>14</v>
      </c>
      <c r="FG1741">
        <v>1109</v>
      </c>
      <c r="FH1741" t="s">
        <v>852</v>
      </c>
      <c r="FJ1741" s="1">
        <v>40688</v>
      </c>
      <c r="FK1741">
        <v>2010</v>
      </c>
      <c r="FL1741">
        <v>751.41</v>
      </c>
      <c r="FM1741" t="s">
        <v>17203</v>
      </c>
      <c r="FN1741">
        <v>6</v>
      </c>
      <c r="FO1741" t="s">
        <v>424</v>
      </c>
      <c r="FP1741" t="s">
        <v>425</v>
      </c>
      <c r="FQ1741" s="1">
        <v>41372</v>
      </c>
      <c r="FR1741">
        <v>23</v>
      </c>
      <c r="FS1741">
        <v>10579</v>
      </c>
      <c r="FT1741" t="s">
        <v>488</v>
      </c>
    </row>
    <row r="1742" spans="1:296" x14ac:dyDescent="0.25">
      <c r="A1742">
        <v>16486749</v>
      </c>
      <c r="B1742">
        <v>1741</v>
      </c>
      <c r="C1742" t="s">
        <v>393</v>
      </c>
      <c r="D1742" t="s">
        <v>394</v>
      </c>
      <c r="F1742" t="str">
        <f>"38-3N-28-0000-0012-0130"</f>
        <v>38-3N-28-0000-0012-0130</v>
      </c>
      <c r="H1742" t="str">
        <f>"FOWLER F ROGER"</f>
        <v>FOWLER F ROGER</v>
      </c>
      <c r="I1742" t="str">
        <f>"96166 PIRATES BLUFF ROAD"</f>
        <v>96166 PIRATES BLUFF ROAD</v>
      </c>
      <c r="J1742" t="str">
        <f>"YULEE FL 32097"</f>
        <v>YULEE FL 32097</v>
      </c>
      <c r="K1742" t="str">
        <f>"96166 PIRATES BLUFF RD"</f>
        <v>96166 PIRATES BLUFF RD</v>
      </c>
      <c r="L1742" t="str">
        <f t="shared" si="618"/>
        <v>YULEE FL 32097</v>
      </c>
      <c r="M1742" t="str">
        <f>"PT GOVT LOT 2 OF SEC 38-3N-28E IN OR 648/1165 {1999 SPRINGWO DW/MH}"</f>
        <v>PT GOVT LOT 2 OF SEC 38-3N-28E IN OR 648/1165 {1999 SPRINGWO DW/MH}</v>
      </c>
      <c r="N1742" t="str">
        <f>""</f>
        <v/>
      </c>
      <c r="O1742" t="str">
        <f>"45800"</f>
        <v>45800</v>
      </c>
      <c r="P1742" t="str">
        <f t="shared" si="628"/>
        <v>2017</v>
      </c>
      <c r="Q1742" t="str">
        <f>""</f>
        <v/>
      </c>
      <c r="R1742" t="str">
        <f>"Y"</f>
        <v>Y</v>
      </c>
      <c r="S1742" t="str">
        <f>"4.00"</f>
        <v>4.00</v>
      </c>
      <c r="T1742" t="str">
        <f>"2037.62"</f>
        <v>2037.62</v>
      </c>
      <c r="U1742" t="str">
        <f>"172632.00"</f>
        <v>172632.00</v>
      </c>
      <c r="V1742" t="str">
        <f>"172632.00"</f>
        <v>172632.00</v>
      </c>
      <c r="W1742" t="str">
        <f t="shared" si="630"/>
        <v>2017</v>
      </c>
      <c r="X1742" t="str">
        <f>""</f>
        <v/>
      </c>
      <c r="Y1742" t="str">
        <f>"2130.75"</f>
        <v>2130.75</v>
      </c>
      <c r="Z1742" t="str">
        <f>"25000.00"</f>
        <v>25000.00</v>
      </c>
      <c r="AA1742" t="str">
        <f>"150085.00"</f>
        <v>150085.00</v>
      </c>
      <c r="AB1742" t="str">
        <f t="shared" si="633"/>
        <v>Residential</v>
      </c>
      <c r="AC1742" t="str">
        <f t="shared" si="609"/>
        <v>0</v>
      </c>
      <c r="AD1742" t="str">
        <f t="shared" si="631"/>
        <v>4</v>
      </c>
      <c r="AE1742" t="str">
        <f t="shared" si="632"/>
        <v>WOOD (INCLUDE STEEL STUDS)</v>
      </c>
      <c r="AF1742" t="str">
        <f>"001"</f>
        <v>001</v>
      </c>
      <c r="AG1742" t="str">
        <f t="shared" si="634"/>
        <v>FL</v>
      </c>
      <c r="AH1742" t="str">
        <f>"174240.00"</f>
        <v>174240.00</v>
      </c>
      <c r="AI1742" t="str">
        <f>"80000.00"</f>
        <v>80000.00</v>
      </c>
      <c r="AJ1742" t="str">
        <f>"C55-000-588-0549-0"</f>
        <v>C55-000-588-0549-0</v>
      </c>
      <c r="AK1742" t="str">
        <f>"31539"</f>
        <v>31539</v>
      </c>
      <c r="AL1742">
        <v>7</v>
      </c>
      <c r="AM1742">
        <v>1987</v>
      </c>
      <c r="AN1742">
        <v>2235.69</v>
      </c>
      <c r="AQ1742" t="s">
        <v>17204</v>
      </c>
      <c r="AR1742" t="s">
        <v>17204</v>
      </c>
      <c r="AS1742" t="s">
        <v>17204</v>
      </c>
      <c r="AU1742" t="s">
        <v>396</v>
      </c>
      <c r="AV1742">
        <v>2017</v>
      </c>
      <c r="AW1742" t="str">
        <f>"38-3N-28-0000-0012-0130 "</f>
        <v xml:space="preserve">38-3N-28-0000-0012-0130 </v>
      </c>
      <c r="AX1742">
        <v>96166</v>
      </c>
      <c r="AZ1742" t="s">
        <v>17196</v>
      </c>
      <c r="BA1742" t="s">
        <v>496</v>
      </c>
      <c r="BD1742" t="s">
        <v>2387</v>
      </c>
      <c r="BE1742" t="s">
        <v>393</v>
      </c>
      <c r="BF1742">
        <v>32097</v>
      </c>
      <c r="BG1742" t="s">
        <v>17205</v>
      </c>
      <c r="BH1742" t="s">
        <v>2388</v>
      </c>
      <c r="BI1742">
        <v>-81.5279732132623</v>
      </c>
      <c r="BJ1742">
        <v>30.641730010224101</v>
      </c>
      <c r="BK1742" t="s">
        <v>17206</v>
      </c>
      <c r="BL1742" t="s">
        <v>17207</v>
      </c>
      <c r="BM1742" t="s">
        <v>17205</v>
      </c>
      <c r="BN1742" t="s">
        <v>1778</v>
      </c>
      <c r="BO1742">
        <v>32097</v>
      </c>
      <c r="BP1742" t="s">
        <v>416</v>
      </c>
      <c r="BQ1742">
        <v>100</v>
      </c>
      <c r="BR1742" t="s">
        <v>514</v>
      </c>
      <c r="BS1742">
        <v>1001</v>
      </c>
      <c r="BT1742" t="s">
        <v>515</v>
      </c>
      <c r="BW1742">
        <v>174240</v>
      </c>
      <c r="BX1742" t="s">
        <v>407</v>
      </c>
      <c r="BY1742" t="s">
        <v>12744</v>
      </c>
      <c r="BZ1742">
        <v>4</v>
      </c>
      <c r="CA1742">
        <v>1975</v>
      </c>
      <c r="CB1742">
        <v>1</v>
      </c>
      <c r="CC1742">
        <v>2</v>
      </c>
      <c r="CD1742">
        <v>2017</v>
      </c>
      <c r="CG1742">
        <v>175085</v>
      </c>
      <c r="CH1742">
        <v>2017</v>
      </c>
      <c r="CI1742">
        <v>80000</v>
      </c>
      <c r="CJ1742">
        <v>104124</v>
      </c>
      <c r="CK1742">
        <v>184124</v>
      </c>
      <c r="CL1742">
        <v>2017</v>
      </c>
      <c r="CM1742">
        <v>2037.62</v>
      </c>
      <c r="CN1742" s="1">
        <v>33646</v>
      </c>
      <c r="CZ1742" s="1">
        <v>33646</v>
      </c>
      <c r="DD1742" t="s">
        <v>2387</v>
      </c>
      <c r="DF1742">
        <v>2</v>
      </c>
      <c r="DG1742">
        <v>38</v>
      </c>
      <c r="DL1742">
        <v>50303</v>
      </c>
      <c r="DM1742" t="s">
        <v>11367</v>
      </c>
      <c r="DO1742" t="s">
        <v>17208</v>
      </c>
      <c r="DP1742">
        <v>0</v>
      </c>
      <c r="DQ1742">
        <v>0</v>
      </c>
      <c r="DR1742" t="s">
        <v>411</v>
      </c>
    </row>
    <row r="1743" spans="1:296" x14ac:dyDescent="0.25">
      <c r="A1743">
        <v>16486750</v>
      </c>
      <c r="B1743">
        <v>1742</v>
      </c>
      <c r="C1743" t="s">
        <v>393</v>
      </c>
      <c r="D1743" t="s">
        <v>394</v>
      </c>
      <c r="F1743" t="str">
        <f>"41-3N-28-0000-0002-0000"</f>
        <v>41-3N-28-0000-0002-0000</v>
      </c>
      <c r="H1743" t="str">
        <f>"LIGHTHOUSE POINTE DEV LLC"</f>
        <v>LIGHTHOUSE POINTE DEV LLC</v>
      </c>
      <c r="I1743" t="str">
        <f>"PO BOX 17833"</f>
        <v>PO BOX 17833</v>
      </c>
      <c r="J1743" t="str">
        <f>"JACKSONVILLE FL 32245"</f>
        <v>JACKSONVILLE FL 32245</v>
      </c>
      <c r="K1743" t="str">
        <f>"GRANDVIEW MNR"</f>
        <v>GRANDVIEW MNR</v>
      </c>
      <c r="L1743" t="str">
        <f>"FERNANDINA BEACH FL 32034"</f>
        <v>FERNANDINA BEACH FL 32034</v>
      </c>
      <c r="M1743" t="str">
        <f>"PT OF E WATERMAN GRANT SEC 41-3N-28E IN OR 1938/1054 BEING THEISLAND &amp; SOVEREIGN LAND LEASE PT OF SEC 41-3N-28E &amp; PT SEC 55-3N-28E IN OR 1987/1284 (EX UTIL ESMT PT OR 1528/682) {K/A ISLAND PARCEL}"</f>
        <v>PT OF E WATERMAN GRANT SEC 41-3N-28E IN OR 1938/1054 BEING THEISLAND &amp; SOVEREIGN LAND LEASE PT OF SEC 41-3N-28E &amp; PT SEC 55-3N-28E IN OR 1987/1284 (EX UTIL ESMT PT OR 1528/682) {K/A ISLAND PARCEL}</v>
      </c>
      <c r="N1743" t="str">
        <f>""</f>
        <v/>
      </c>
      <c r="O1743" t="str">
        <f>"46781"</f>
        <v>46781</v>
      </c>
      <c r="P1743" t="str">
        <f t="shared" si="628"/>
        <v>2017</v>
      </c>
      <c r="Q1743" t="str">
        <f>""</f>
        <v/>
      </c>
      <c r="R1743" t="str">
        <f t="shared" ref="R1743:R1774" si="635">"N"</f>
        <v>N</v>
      </c>
      <c r="S1743" t="str">
        <f>""</f>
        <v/>
      </c>
      <c r="T1743" t="str">
        <f>"6345.00"</f>
        <v>6345.00</v>
      </c>
      <c r="U1743" t="str">
        <f>"419122.00"</f>
        <v>419122.00</v>
      </c>
      <c r="V1743" t="str">
        <f>"419122.00"</f>
        <v>419122.00</v>
      </c>
      <c r="W1743" t="str">
        <f t="shared" si="630"/>
        <v>2017</v>
      </c>
      <c r="X1743" t="str">
        <f>"14.33"</f>
        <v>14.33</v>
      </c>
      <c r="Y1743" t="str">
        <f>"6567.35"</f>
        <v>6567.35</v>
      </c>
      <c r="Z1743" t="str">
        <f>""</f>
        <v/>
      </c>
      <c r="AA1743" t="str">
        <f>"419122.00"</f>
        <v>419122.00</v>
      </c>
      <c r="AB1743" t="str">
        <f t="shared" si="633"/>
        <v>Residential</v>
      </c>
      <c r="AC1743" t="str">
        <f t="shared" si="609"/>
        <v>0</v>
      </c>
      <c r="AD1743" t="str">
        <f>""</f>
        <v/>
      </c>
      <c r="AE1743" t="str">
        <f>""</f>
        <v/>
      </c>
      <c r="AF1743" t="str">
        <f t="shared" ref="AF1743:AF1786" si="636">"000"</f>
        <v>000</v>
      </c>
      <c r="AG1743" t="str">
        <f t="shared" si="634"/>
        <v>FL</v>
      </c>
      <c r="AH1743" t="str">
        <f>"50965.00"</f>
        <v>50965.00</v>
      </c>
      <c r="AI1743" t="str">
        <f>"250000.00"</f>
        <v>250000.00</v>
      </c>
      <c r="AJ1743" t="str">
        <f>"C55-000-976-8047-4"</f>
        <v>C55-000-976-8047-4</v>
      </c>
      <c r="AK1743" t="str">
        <f>"31565"</f>
        <v>31565</v>
      </c>
      <c r="AL1743">
        <v>7</v>
      </c>
      <c r="AM1743">
        <v>1989</v>
      </c>
      <c r="AN1743">
        <v>6894.12</v>
      </c>
      <c r="AQ1743" t="s">
        <v>17209</v>
      </c>
      <c r="AR1743" t="s">
        <v>17209</v>
      </c>
      <c r="AS1743" t="s">
        <v>17209</v>
      </c>
      <c r="AU1743" t="s">
        <v>396</v>
      </c>
      <c r="AV1743">
        <v>2017</v>
      </c>
      <c r="AW1743" t="str">
        <f>"41-3N-28-0000-0002-0000 "</f>
        <v xml:space="preserve">41-3N-28-0000-0002-0000 </v>
      </c>
      <c r="AZ1743" t="s">
        <v>17210</v>
      </c>
      <c r="BD1743" t="s">
        <v>11749</v>
      </c>
      <c r="BE1743" t="s">
        <v>393</v>
      </c>
      <c r="BF1743">
        <v>32034</v>
      </c>
      <c r="BG1743" t="s">
        <v>17210</v>
      </c>
      <c r="BH1743" t="s">
        <v>11751</v>
      </c>
      <c r="BI1743">
        <v>-81.544260713495405</v>
      </c>
      <c r="BJ1743">
        <v>30.689757664383102</v>
      </c>
      <c r="BK1743" t="s">
        <v>17211</v>
      </c>
      <c r="BM1743" t="s">
        <v>17212</v>
      </c>
      <c r="BN1743" t="s">
        <v>548</v>
      </c>
      <c r="BO1743">
        <v>32245</v>
      </c>
      <c r="BP1743" t="s">
        <v>404</v>
      </c>
      <c r="BQ1743">
        <v>1</v>
      </c>
      <c r="BR1743" t="s">
        <v>491</v>
      </c>
      <c r="BS1743">
        <v>8001</v>
      </c>
      <c r="BT1743" t="s">
        <v>492</v>
      </c>
      <c r="BW1743">
        <v>50965</v>
      </c>
      <c r="BX1743" t="s">
        <v>407</v>
      </c>
      <c r="CD1743">
        <v>2017</v>
      </c>
      <c r="CE1743">
        <v>250000</v>
      </c>
      <c r="CF1743">
        <v>169122</v>
      </c>
      <c r="CG1743">
        <v>419122</v>
      </c>
      <c r="CH1743">
        <v>2017</v>
      </c>
      <c r="CI1743">
        <v>250000</v>
      </c>
      <c r="CJ1743">
        <v>169122</v>
      </c>
      <c r="CK1743">
        <v>419122</v>
      </c>
      <c r="CL1743">
        <v>2017</v>
      </c>
      <c r="CM1743">
        <v>6345</v>
      </c>
      <c r="CN1743" s="1">
        <v>41064</v>
      </c>
      <c r="CO1743">
        <v>734500</v>
      </c>
      <c r="CV1743">
        <v>0</v>
      </c>
      <c r="CZ1743" s="1">
        <v>41064</v>
      </c>
      <c r="DA1743">
        <v>0</v>
      </c>
      <c r="DD1743" t="s">
        <v>11749</v>
      </c>
      <c r="DG1743">
        <v>55</v>
      </c>
      <c r="DM1743" t="s">
        <v>17213</v>
      </c>
      <c r="DO1743" t="s">
        <v>17214</v>
      </c>
      <c r="DP1743">
        <v>0</v>
      </c>
      <c r="DQ1743">
        <v>0</v>
      </c>
      <c r="DR1743" t="s">
        <v>411</v>
      </c>
      <c r="DS1743" t="b">
        <v>1</v>
      </c>
      <c r="DT1743" t="s">
        <v>15881</v>
      </c>
      <c r="DV1743" t="s">
        <v>446</v>
      </c>
      <c r="DX1743">
        <v>11</v>
      </c>
      <c r="DY1743" t="s">
        <v>11438</v>
      </c>
      <c r="DZ1743" t="s">
        <v>447</v>
      </c>
      <c r="EA1743" t="s">
        <v>448</v>
      </c>
      <c r="EB1743" t="s">
        <v>17215</v>
      </c>
      <c r="EC1743">
        <v>20101217</v>
      </c>
      <c r="ED1743" t="s">
        <v>450</v>
      </c>
      <c r="EE1743">
        <v>5</v>
      </c>
      <c r="EF1743">
        <v>0</v>
      </c>
      <c r="EG1743">
        <v>0</v>
      </c>
      <c r="EI1743">
        <v>20160407</v>
      </c>
      <c r="EJ1743">
        <v>0</v>
      </c>
      <c r="EK1743">
        <v>0</v>
      </c>
      <c r="EP1743" t="s">
        <v>421</v>
      </c>
      <c r="EQ1743" t="s">
        <v>422</v>
      </c>
      <c r="ER1743">
        <v>2</v>
      </c>
      <c r="ES1743">
        <v>7</v>
      </c>
      <c r="ET1743">
        <v>14415.7</v>
      </c>
      <c r="EU1743">
        <v>733.28</v>
      </c>
      <c r="EV1743">
        <v>15148.98</v>
      </c>
      <c r="EW1743" s="2">
        <v>43222</v>
      </c>
      <c r="EX1743" s="1">
        <v>42879</v>
      </c>
      <c r="EY1743">
        <v>2016</v>
      </c>
      <c r="EZ1743">
        <v>7207.85</v>
      </c>
      <c r="FA1743" t="s">
        <v>17216</v>
      </c>
      <c r="FB1743">
        <v>0.25</v>
      </c>
      <c r="FC1743" t="s">
        <v>424</v>
      </c>
      <c r="FD1743" t="s">
        <v>454</v>
      </c>
      <c r="FF1743">
        <v>12</v>
      </c>
      <c r="FG1743">
        <v>7336753</v>
      </c>
      <c r="FH1743" t="s">
        <v>1731</v>
      </c>
      <c r="FJ1743" s="1">
        <v>42879</v>
      </c>
      <c r="FK1743">
        <v>2016</v>
      </c>
      <c r="FL1743">
        <v>7207.85</v>
      </c>
      <c r="FM1743" t="s">
        <v>17216</v>
      </c>
      <c r="FN1743">
        <v>0.25</v>
      </c>
      <c r="FO1743" t="s">
        <v>424</v>
      </c>
      <c r="FP1743" t="s">
        <v>454</v>
      </c>
      <c r="FR1743">
        <v>12</v>
      </c>
      <c r="FS1743">
        <v>7380407</v>
      </c>
      <c r="FT1743" t="s">
        <v>17217</v>
      </c>
      <c r="FV1743" s="1">
        <v>42515</v>
      </c>
      <c r="FW1743">
        <v>2015</v>
      </c>
      <c r="FX1743">
        <v>11850.41</v>
      </c>
      <c r="FY1743" t="s">
        <v>17218</v>
      </c>
      <c r="FZ1743">
        <v>0.25</v>
      </c>
      <c r="GA1743" t="s">
        <v>424</v>
      </c>
      <c r="GB1743" t="s">
        <v>425</v>
      </c>
      <c r="GC1743" s="1">
        <v>43157</v>
      </c>
      <c r="GD1743">
        <v>21</v>
      </c>
      <c r="GE1743">
        <v>11289</v>
      </c>
      <c r="GF1743" t="s">
        <v>787</v>
      </c>
      <c r="GH1743" s="1">
        <v>42515</v>
      </c>
      <c r="GI1743">
        <v>2015</v>
      </c>
      <c r="GJ1743">
        <v>11850.41</v>
      </c>
      <c r="GK1743" t="s">
        <v>17218</v>
      </c>
      <c r="GL1743">
        <v>0.25</v>
      </c>
      <c r="GM1743" t="s">
        <v>424</v>
      </c>
      <c r="GN1743" t="s">
        <v>425</v>
      </c>
      <c r="GP1743">
        <v>22</v>
      </c>
      <c r="GQ1743">
        <v>5147805</v>
      </c>
      <c r="GR1743" t="s">
        <v>17219</v>
      </c>
      <c r="GT1743" s="1">
        <v>42151</v>
      </c>
      <c r="GU1743">
        <v>2014</v>
      </c>
      <c r="GV1743">
        <v>12132.02</v>
      </c>
      <c r="GW1743" t="s">
        <v>17220</v>
      </c>
      <c r="GX1743">
        <v>0.25</v>
      </c>
      <c r="GY1743" t="s">
        <v>424</v>
      </c>
      <c r="GZ1743" t="s">
        <v>425</v>
      </c>
      <c r="HB1743">
        <v>22</v>
      </c>
      <c r="HC1743">
        <v>15259</v>
      </c>
      <c r="HD1743" t="s">
        <v>891</v>
      </c>
      <c r="HF1743" s="1">
        <v>42151</v>
      </c>
      <c r="HG1743">
        <v>2014</v>
      </c>
      <c r="HH1743">
        <v>12132.02</v>
      </c>
      <c r="HI1743" t="s">
        <v>17220</v>
      </c>
      <c r="HJ1743">
        <v>0.25</v>
      </c>
      <c r="HK1743" t="s">
        <v>424</v>
      </c>
      <c r="HL1743" t="s">
        <v>425</v>
      </c>
      <c r="HN1743">
        <v>22</v>
      </c>
      <c r="HO1743">
        <v>6830094</v>
      </c>
      <c r="HP1743" t="s">
        <v>17221</v>
      </c>
      <c r="HR1743" s="1">
        <v>42151</v>
      </c>
      <c r="HS1743">
        <v>2014</v>
      </c>
      <c r="HT1743">
        <v>12132.02</v>
      </c>
      <c r="HU1743" t="s">
        <v>17220</v>
      </c>
      <c r="HV1743">
        <v>0.25</v>
      </c>
      <c r="HW1743" t="s">
        <v>424</v>
      </c>
      <c r="HX1743" t="s">
        <v>425</v>
      </c>
      <c r="HY1743" s="1">
        <v>42605</v>
      </c>
      <c r="HZ1743">
        <v>15</v>
      </c>
      <c r="IA1743">
        <v>7045049</v>
      </c>
      <c r="IB1743" t="s">
        <v>1335</v>
      </c>
      <c r="ID1743" s="1">
        <v>41052</v>
      </c>
      <c r="IE1743">
        <v>2011</v>
      </c>
      <c r="IF1743">
        <v>12423.11</v>
      </c>
      <c r="IG1743" t="s">
        <v>17222</v>
      </c>
      <c r="IH1743">
        <v>6</v>
      </c>
      <c r="II1743" t="s">
        <v>424</v>
      </c>
      <c r="IJ1743" t="s">
        <v>425</v>
      </c>
      <c r="IK1743" s="1">
        <v>41089</v>
      </c>
      <c r="IL1743">
        <v>1</v>
      </c>
      <c r="IM1743">
        <v>1109</v>
      </c>
      <c r="IN1743" t="s">
        <v>852</v>
      </c>
      <c r="IP1743" s="1">
        <v>40688</v>
      </c>
      <c r="IQ1743">
        <v>2010</v>
      </c>
      <c r="IR1743">
        <v>12707.56</v>
      </c>
      <c r="IS1743" t="s">
        <v>17223</v>
      </c>
      <c r="IT1743">
        <v>6</v>
      </c>
      <c r="IU1743" t="s">
        <v>424</v>
      </c>
      <c r="IV1743" t="s">
        <v>425</v>
      </c>
      <c r="IW1743" s="1">
        <v>41089</v>
      </c>
      <c r="IX1743">
        <v>13</v>
      </c>
      <c r="IY1743">
        <v>105</v>
      </c>
      <c r="IZ1743" t="s">
        <v>946</v>
      </c>
    </row>
    <row r="1744" spans="1:296" x14ac:dyDescent="0.25">
      <c r="A1744">
        <v>16486751</v>
      </c>
      <c r="B1744">
        <v>1743</v>
      </c>
      <c r="C1744" t="s">
        <v>393</v>
      </c>
      <c r="D1744" t="s">
        <v>394</v>
      </c>
      <c r="F1744" t="str">
        <f>"41-3N-28-1250-000B-0000"</f>
        <v>41-3N-28-1250-000B-0000</v>
      </c>
      <c r="H1744" t="str">
        <f>"LIGHTHOUSE POINTE DEV LLC"</f>
        <v>LIGHTHOUSE POINTE DEV LLC</v>
      </c>
      <c r="I1744" t="str">
        <f>"PO BOX 17833"</f>
        <v>PO BOX 17833</v>
      </c>
      <c r="J1744" t="str">
        <f>"JACKSONVILLE FL 32245"</f>
        <v>JACKSONVILLE FL 32245</v>
      </c>
      <c r="K1744" t="str">
        <f>"LENTS RD"</f>
        <v>LENTS RD</v>
      </c>
      <c r="L1744" t="str">
        <f t="shared" ref="L1744:L1788" si="637">"YULEE FL 32097"</f>
        <v>YULEE FL 32097</v>
      </c>
      <c r="M1744" t="str">
        <f>"PARCEL B IN OR 1938/1054 BEING TRACT B ESMT PT OR 1528/682 LIGHTHOUSE POINTE 1 PBK 6/157"</f>
        <v>PARCEL B IN OR 1938/1054 BEING TRACT B ESMT PT OR 1528/682 LIGHTHOUSE POINTE 1 PBK 6/157</v>
      </c>
      <c r="N1744" t="str">
        <f>""</f>
        <v/>
      </c>
      <c r="O1744" t="str">
        <f>"46793"</f>
        <v>46793</v>
      </c>
      <c r="P1744" t="str">
        <f t="shared" si="628"/>
        <v>2017</v>
      </c>
      <c r="Q1744" t="str">
        <f>""</f>
        <v/>
      </c>
      <c r="R1744" t="str">
        <f t="shared" si="635"/>
        <v>N</v>
      </c>
      <c r="S1744" t="str">
        <f>"1.58"</f>
        <v>1.58</v>
      </c>
      <c r="T1744" t="str">
        <f>"596.46"</f>
        <v>596.46</v>
      </c>
      <c r="U1744" t="str">
        <f>"39400.00"</f>
        <v>39400.00</v>
      </c>
      <c r="V1744" t="str">
        <f>"39400.00"</f>
        <v>39400.00</v>
      </c>
      <c r="W1744" t="str">
        <f t="shared" si="630"/>
        <v>2017</v>
      </c>
      <c r="X1744" t="str">
        <f>"30.75"</f>
        <v>30.75</v>
      </c>
      <c r="Y1744" t="str">
        <f>"646.35"</f>
        <v>646.35</v>
      </c>
      <c r="Z1744" t="str">
        <f>""</f>
        <v/>
      </c>
      <c r="AA1744" t="str">
        <f>"39400.00"</f>
        <v>39400.00</v>
      </c>
      <c r="AB1744" t="str">
        <f t="shared" si="633"/>
        <v>Residential</v>
      </c>
      <c r="AC1744" t="str">
        <f t="shared" si="609"/>
        <v>0</v>
      </c>
      <c r="AD1744" t="str">
        <f>""</f>
        <v/>
      </c>
      <c r="AE1744" t="str">
        <f>""</f>
        <v/>
      </c>
      <c r="AF1744" t="str">
        <f t="shared" si="636"/>
        <v>000</v>
      </c>
      <c r="AG1744" t="str">
        <f t="shared" si="634"/>
        <v>FL</v>
      </c>
      <c r="AH1744" t="str">
        <f>"68651.00"</f>
        <v>68651.00</v>
      </c>
      <c r="AI1744" t="str">
        <f>"39400.00"</f>
        <v>39400.00</v>
      </c>
      <c r="AJ1744" t="str">
        <f>"C55-000-589-0150-5"</f>
        <v>C55-000-589-0150-5</v>
      </c>
      <c r="AK1744" t="str">
        <f>"31570"</f>
        <v>31570</v>
      </c>
      <c r="AL1744">
        <v>7</v>
      </c>
      <c r="AM1744">
        <v>1990</v>
      </c>
      <c r="AN1744">
        <v>677.07</v>
      </c>
      <c r="AQ1744" t="s">
        <v>17224</v>
      </c>
      <c r="AR1744" t="s">
        <v>17224</v>
      </c>
      <c r="AS1744" t="s">
        <v>17224</v>
      </c>
      <c r="AU1744" t="s">
        <v>396</v>
      </c>
      <c r="AV1744">
        <v>2017</v>
      </c>
      <c r="AW1744" t="str">
        <f>"41-3N-28-1250-000B-0000 "</f>
        <v xml:space="preserve">41-3N-28-1250-000B-0000 </v>
      </c>
      <c r="AZ1744" t="s">
        <v>14151</v>
      </c>
      <c r="BA1744" t="s">
        <v>496</v>
      </c>
      <c r="BD1744" t="s">
        <v>2387</v>
      </c>
      <c r="BE1744" t="s">
        <v>393</v>
      </c>
      <c r="BF1744">
        <v>32097</v>
      </c>
      <c r="BG1744" t="s">
        <v>17225</v>
      </c>
      <c r="BH1744" t="s">
        <v>2388</v>
      </c>
      <c r="BI1744">
        <v>-81.550832467394002</v>
      </c>
      <c r="BJ1744">
        <v>30.682421526802901</v>
      </c>
      <c r="BK1744" t="s">
        <v>17211</v>
      </c>
      <c r="BM1744" t="s">
        <v>17212</v>
      </c>
      <c r="BN1744" t="s">
        <v>548</v>
      </c>
      <c r="BO1744">
        <v>32245</v>
      </c>
      <c r="BP1744" t="s">
        <v>404</v>
      </c>
      <c r="BQ1744">
        <v>0</v>
      </c>
      <c r="BR1744" t="s">
        <v>491</v>
      </c>
      <c r="BS1744">
        <v>8001</v>
      </c>
      <c r="BT1744" t="s">
        <v>492</v>
      </c>
      <c r="BW1744">
        <v>68651</v>
      </c>
      <c r="BX1744" t="s">
        <v>407</v>
      </c>
      <c r="CD1744">
        <v>2017</v>
      </c>
      <c r="CE1744">
        <v>39400</v>
      </c>
      <c r="CG1744">
        <v>39400</v>
      </c>
      <c r="CH1744">
        <v>2017</v>
      </c>
      <c r="CI1744">
        <v>39400</v>
      </c>
      <c r="CK1744">
        <v>39400</v>
      </c>
      <c r="CL1744">
        <v>2017</v>
      </c>
      <c r="CM1744">
        <v>596.46</v>
      </c>
      <c r="CN1744" s="1">
        <v>41297</v>
      </c>
      <c r="CO1744">
        <v>15800</v>
      </c>
      <c r="CV1744">
        <v>0</v>
      </c>
      <c r="CZ1744" s="1">
        <v>41297</v>
      </c>
      <c r="DA1744">
        <v>0</v>
      </c>
      <c r="DD1744" t="s">
        <v>2387</v>
      </c>
      <c r="DG1744">
        <v>37</v>
      </c>
      <c r="DL1744">
        <v>50301</v>
      </c>
      <c r="DM1744" t="s">
        <v>14156</v>
      </c>
      <c r="DO1744" t="s">
        <v>17226</v>
      </c>
      <c r="DP1744">
        <v>0</v>
      </c>
      <c r="DQ1744">
        <v>0</v>
      </c>
      <c r="DR1744" t="s">
        <v>411</v>
      </c>
      <c r="DS1744" t="b">
        <v>1</v>
      </c>
      <c r="DT1744" t="s">
        <v>470</v>
      </c>
      <c r="DU1744" t="s">
        <v>471</v>
      </c>
      <c r="DV1744" t="s">
        <v>472</v>
      </c>
      <c r="DX1744">
        <v>-9999</v>
      </c>
      <c r="DZ1744" t="s">
        <v>447</v>
      </c>
      <c r="EA1744" t="s">
        <v>448</v>
      </c>
      <c r="EB1744" t="s">
        <v>742</v>
      </c>
      <c r="EC1744">
        <v>20101217</v>
      </c>
      <c r="ED1744" t="s">
        <v>474</v>
      </c>
      <c r="EF1744">
        <v>661</v>
      </c>
      <c r="EG1744">
        <v>561.79999999999995</v>
      </c>
      <c r="EI1744">
        <v>20160407</v>
      </c>
      <c r="EJ1744">
        <v>0</v>
      </c>
      <c r="EK1744">
        <v>0</v>
      </c>
      <c r="EP1744" t="s">
        <v>421</v>
      </c>
      <c r="EQ1744" t="s">
        <v>422</v>
      </c>
      <c r="ER1744">
        <v>1</v>
      </c>
      <c r="ES1744">
        <v>4</v>
      </c>
      <c r="ET1744">
        <v>681.11</v>
      </c>
      <c r="EU1744">
        <v>40.31</v>
      </c>
      <c r="EV1744">
        <v>721.42</v>
      </c>
      <c r="EW1744" s="2">
        <v>43222</v>
      </c>
      <c r="EX1744" s="1">
        <v>42879</v>
      </c>
      <c r="EY1744">
        <v>2016</v>
      </c>
      <c r="EZ1744">
        <v>681.11</v>
      </c>
      <c r="FA1744" t="s">
        <v>17227</v>
      </c>
      <c r="FB1744">
        <v>4.75</v>
      </c>
      <c r="FC1744" t="s">
        <v>424</v>
      </c>
      <c r="FD1744" t="s">
        <v>454</v>
      </c>
      <c r="FF1744">
        <v>12</v>
      </c>
      <c r="FG1744">
        <v>5100525</v>
      </c>
      <c r="FH1744" t="s">
        <v>6804</v>
      </c>
      <c r="FJ1744" s="1">
        <v>42515</v>
      </c>
      <c r="FK1744">
        <v>2015</v>
      </c>
      <c r="FL1744">
        <v>692.01</v>
      </c>
      <c r="FM1744" t="s">
        <v>17228</v>
      </c>
      <c r="FN1744">
        <v>4.75</v>
      </c>
      <c r="FO1744" t="s">
        <v>424</v>
      </c>
      <c r="FP1744" t="s">
        <v>425</v>
      </c>
      <c r="FQ1744" s="1">
        <v>42614</v>
      </c>
      <c r="FR1744">
        <v>4</v>
      </c>
      <c r="FS1744">
        <v>2035919</v>
      </c>
      <c r="FT1744" t="s">
        <v>507</v>
      </c>
      <c r="FV1744" s="1">
        <v>42151</v>
      </c>
      <c r="FW1744">
        <v>2014</v>
      </c>
      <c r="FX1744">
        <v>291.36</v>
      </c>
      <c r="FY1744" t="s">
        <v>17229</v>
      </c>
      <c r="FZ1744">
        <v>8.75</v>
      </c>
      <c r="GA1744" t="s">
        <v>424</v>
      </c>
      <c r="GB1744" t="s">
        <v>425</v>
      </c>
      <c r="GC1744" s="1">
        <v>42611</v>
      </c>
      <c r="GD1744">
        <v>15</v>
      </c>
      <c r="GE1744">
        <v>10125</v>
      </c>
      <c r="GF1744" t="s">
        <v>440</v>
      </c>
      <c r="GH1744" s="1">
        <v>41052</v>
      </c>
      <c r="GI1744">
        <v>2011</v>
      </c>
      <c r="GJ1744">
        <v>274</v>
      </c>
      <c r="GK1744" t="s">
        <v>17230</v>
      </c>
      <c r="GL1744">
        <v>18</v>
      </c>
      <c r="GM1744" t="s">
        <v>424</v>
      </c>
      <c r="GN1744" t="s">
        <v>425</v>
      </c>
      <c r="GO1744" s="1">
        <v>41305</v>
      </c>
      <c r="GP1744">
        <v>8</v>
      </c>
      <c r="GQ1744">
        <v>11265</v>
      </c>
      <c r="GR1744" t="s">
        <v>17231</v>
      </c>
      <c r="GT1744" s="1">
        <v>40688</v>
      </c>
      <c r="GU1744">
        <v>2010</v>
      </c>
      <c r="GV1744">
        <v>313.43</v>
      </c>
      <c r="GW1744" t="s">
        <v>17232</v>
      </c>
      <c r="GX1744">
        <v>11</v>
      </c>
      <c r="GY1744" t="s">
        <v>424</v>
      </c>
      <c r="GZ1744" t="s">
        <v>425</v>
      </c>
      <c r="HA1744" s="1">
        <v>41305</v>
      </c>
      <c r="HB1744">
        <v>20</v>
      </c>
      <c r="HC1744">
        <v>10125</v>
      </c>
      <c r="HD1744" t="s">
        <v>440</v>
      </c>
    </row>
    <row r="1745" spans="1:236" x14ac:dyDescent="0.25">
      <c r="A1745">
        <v>16486752</v>
      </c>
      <c r="B1745">
        <v>1744</v>
      </c>
      <c r="C1745" t="s">
        <v>393</v>
      </c>
      <c r="D1745" t="s">
        <v>394</v>
      </c>
      <c r="F1745" t="str">
        <f>"41-3N-28-1250-0020-0000"</f>
        <v>41-3N-28-1250-0020-0000</v>
      </c>
      <c r="H1745" t="str">
        <f>"WATERMANS BLUFF 20 LLC"</f>
        <v>WATERMANS BLUFF 20 LLC</v>
      </c>
      <c r="I1745" t="str">
        <f>"7849 JAMES ISLAND WAY"</f>
        <v>7849 JAMES ISLAND WAY</v>
      </c>
      <c r="J1745" t="str">
        <f>"JACKSONVILLE FL 32256"</f>
        <v>JACKSONVILLE FL 32256</v>
      </c>
      <c r="K1745" t="str">
        <f>"28820 GRANDVIEW MNR"</f>
        <v>28820 GRANDVIEW MNR</v>
      </c>
      <c r="L1745" t="str">
        <f t="shared" si="637"/>
        <v>YULEE FL 32097</v>
      </c>
      <c r="M1745" t="str">
        <f>"LOT 20 IN OR 2076/597 ESMT PT OR 1258/1035 LIGHTHOUSE POINTE PB 6/157"</f>
        <v>LOT 20 IN OR 2076/597 ESMT PT OR 1258/1035 LIGHTHOUSE POINTE PB 6/157</v>
      </c>
      <c r="N1745" t="str">
        <f>""</f>
        <v/>
      </c>
      <c r="O1745" t="str">
        <f>"46810"</f>
        <v>46810</v>
      </c>
      <c r="P1745" t="str">
        <f t="shared" si="628"/>
        <v>2017</v>
      </c>
      <c r="Q1745" t="str">
        <f>""</f>
        <v/>
      </c>
      <c r="R1745" t="str">
        <f t="shared" si="635"/>
        <v>N</v>
      </c>
      <c r="S1745" t="str">
        <f>"2.50"</f>
        <v>2.50</v>
      </c>
      <c r="T1745" t="str">
        <f>"3784.70"</f>
        <v>3784.70</v>
      </c>
      <c r="U1745" t="str">
        <f>"250000.00"</f>
        <v>250000.00</v>
      </c>
      <c r="V1745" t="str">
        <f>"250000.00"</f>
        <v>250000.00</v>
      </c>
      <c r="W1745" t="str">
        <f t="shared" si="630"/>
        <v>2017</v>
      </c>
      <c r="X1745" t="str">
        <f>"10.00"</f>
        <v>10.00</v>
      </c>
      <c r="Y1745" t="str">
        <f>"3930.24"</f>
        <v>3930.24</v>
      </c>
      <c r="Z1745" t="str">
        <f>""</f>
        <v/>
      </c>
      <c r="AA1745" t="str">
        <f>"250000.00"</f>
        <v>250000.00</v>
      </c>
      <c r="AB1745" t="str">
        <f t="shared" si="633"/>
        <v>Residential</v>
      </c>
      <c r="AC1745" t="str">
        <f t="shared" si="609"/>
        <v>0</v>
      </c>
      <c r="AD1745" t="str">
        <f>""</f>
        <v/>
      </c>
      <c r="AE1745" t="str">
        <f>""</f>
        <v/>
      </c>
      <c r="AF1745" t="str">
        <f t="shared" si="636"/>
        <v>000</v>
      </c>
      <c r="AG1745" t="str">
        <f t="shared" si="634"/>
        <v>FL</v>
      </c>
      <c r="AH1745" t="str">
        <f>"108900.00"</f>
        <v>108900.00</v>
      </c>
      <c r="AI1745" t="str">
        <f>"250000.00"</f>
        <v>250000.00</v>
      </c>
      <c r="AJ1745" t="str">
        <f>"C55-000-588-1219-9"</f>
        <v>C55-000-588-1219-9</v>
      </c>
      <c r="AK1745" t="str">
        <f>"31596"</f>
        <v>31596</v>
      </c>
      <c r="AL1745">
        <v>7</v>
      </c>
      <c r="AM1745">
        <v>1991</v>
      </c>
      <c r="AN1745">
        <v>4125.1499999999996</v>
      </c>
      <c r="AQ1745" t="s">
        <v>17233</v>
      </c>
      <c r="AR1745" t="s">
        <v>17233</v>
      </c>
      <c r="AS1745" t="s">
        <v>17233</v>
      </c>
      <c r="AU1745" t="s">
        <v>396</v>
      </c>
      <c r="AV1745">
        <v>2017</v>
      </c>
      <c r="AW1745" t="str">
        <f>"41-3N-28-1250-0020-0000 "</f>
        <v xml:space="preserve">41-3N-28-1250-0020-0000 </v>
      </c>
      <c r="AX1745">
        <v>28820</v>
      </c>
      <c r="AZ1745" t="s">
        <v>17210</v>
      </c>
      <c r="BD1745" t="s">
        <v>2387</v>
      </c>
      <c r="BE1745" t="s">
        <v>393</v>
      </c>
      <c r="BF1745">
        <v>32097</v>
      </c>
      <c r="BG1745" t="s">
        <v>17234</v>
      </c>
      <c r="BH1745" t="s">
        <v>2388</v>
      </c>
      <c r="BI1745">
        <v>-81.545233382547195</v>
      </c>
      <c r="BJ1745">
        <v>30.6884873895143</v>
      </c>
      <c r="BK1745" t="s">
        <v>17235</v>
      </c>
      <c r="BM1745" t="s">
        <v>17236</v>
      </c>
      <c r="BN1745" t="s">
        <v>548</v>
      </c>
      <c r="BO1745">
        <v>32256</v>
      </c>
      <c r="BP1745" t="s">
        <v>404</v>
      </c>
      <c r="BQ1745">
        <v>0</v>
      </c>
      <c r="BR1745" t="s">
        <v>491</v>
      </c>
      <c r="BS1745">
        <v>8001</v>
      </c>
      <c r="BT1745" t="s">
        <v>492</v>
      </c>
      <c r="BW1745">
        <v>108900</v>
      </c>
      <c r="BX1745" t="s">
        <v>407</v>
      </c>
      <c r="CD1745">
        <v>2017</v>
      </c>
      <c r="CE1745">
        <v>250000</v>
      </c>
      <c r="CG1745">
        <v>250000</v>
      </c>
      <c r="CH1745">
        <v>2017</v>
      </c>
      <c r="CI1745">
        <v>250000</v>
      </c>
      <c r="CK1745">
        <v>250000</v>
      </c>
      <c r="CL1745">
        <v>2017</v>
      </c>
      <c r="CM1745">
        <v>3784.7</v>
      </c>
      <c r="CN1745" s="1">
        <v>42648</v>
      </c>
      <c r="CO1745">
        <v>57500</v>
      </c>
      <c r="CV1745">
        <v>0</v>
      </c>
      <c r="CZ1745" s="1">
        <v>42648</v>
      </c>
      <c r="DA1745">
        <v>0</v>
      </c>
      <c r="DD1745" t="s">
        <v>2387</v>
      </c>
      <c r="DF1745">
        <v>20</v>
      </c>
      <c r="DG1745">
        <v>41</v>
      </c>
      <c r="DL1745">
        <v>50301</v>
      </c>
      <c r="DM1745" t="s">
        <v>17237</v>
      </c>
      <c r="DO1745" t="s">
        <v>17238</v>
      </c>
      <c r="DP1745">
        <v>0</v>
      </c>
      <c r="DQ1745">
        <v>0</v>
      </c>
      <c r="DR1745" t="s">
        <v>411</v>
      </c>
      <c r="DS1745" t="b">
        <v>1</v>
      </c>
      <c r="DT1745" t="s">
        <v>8902</v>
      </c>
      <c r="DV1745" t="s">
        <v>446</v>
      </c>
      <c r="DX1745">
        <v>9</v>
      </c>
      <c r="DY1745" t="s">
        <v>11438</v>
      </c>
      <c r="DZ1745" t="s">
        <v>447</v>
      </c>
      <c r="EA1745" t="s">
        <v>448</v>
      </c>
      <c r="EB1745" t="s">
        <v>17239</v>
      </c>
      <c r="EC1745">
        <v>20101217</v>
      </c>
      <c r="ED1745" t="s">
        <v>450</v>
      </c>
      <c r="EE1745">
        <v>5</v>
      </c>
      <c r="EF1745">
        <v>0</v>
      </c>
      <c r="EG1745">
        <v>0</v>
      </c>
      <c r="EI1745">
        <v>20160407</v>
      </c>
      <c r="EJ1745">
        <v>0</v>
      </c>
      <c r="EK1745">
        <v>0</v>
      </c>
      <c r="EP1745" t="s">
        <v>421</v>
      </c>
      <c r="EQ1745" t="s">
        <v>422</v>
      </c>
      <c r="ER1745">
        <v>2</v>
      </c>
      <c r="ES1745">
        <v>5</v>
      </c>
      <c r="ET1745">
        <v>8355</v>
      </c>
      <c r="EU1745">
        <v>430.25</v>
      </c>
      <c r="EV1745">
        <v>8785.25</v>
      </c>
      <c r="EW1745" s="2">
        <v>43222</v>
      </c>
      <c r="EX1745" s="1">
        <v>42879</v>
      </c>
      <c r="EY1745">
        <v>2016</v>
      </c>
      <c r="EZ1745">
        <v>4177.5</v>
      </c>
      <c r="FA1745" t="s">
        <v>17240</v>
      </c>
      <c r="FB1745">
        <v>0.25</v>
      </c>
      <c r="FC1745" t="s">
        <v>424</v>
      </c>
      <c r="FD1745" t="s">
        <v>454</v>
      </c>
      <c r="FF1745">
        <v>12</v>
      </c>
      <c r="FG1745">
        <v>11289</v>
      </c>
      <c r="FH1745" t="s">
        <v>787</v>
      </c>
      <c r="FJ1745" s="1">
        <v>42879</v>
      </c>
      <c r="FK1745">
        <v>2016</v>
      </c>
      <c r="FL1745">
        <v>4177.5</v>
      </c>
      <c r="FM1745" t="s">
        <v>17240</v>
      </c>
      <c r="FN1745">
        <v>0.25</v>
      </c>
      <c r="FO1745" t="s">
        <v>424</v>
      </c>
      <c r="FP1745" t="s">
        <v>454</v>
      </c>
      <c r="FR1745">
        <v>12</v>
      </c>
      <c r="FS1745">
        <v>7224378</v>
      </c>
      <c r="FT1745" t="s">
        <v>17241</v>
      </c>
      <c r="FV1745" s="1">
        <v>42515</v>
      </c>
      <c r="FW1745">
        <v>2015</v>
      </c>
      <c r="FX1745">
        <v>3933.19</v>
      </c>
      <c r="FY1745" t="s">
        <v>17242</v>
      </c>
      <c r="FZ1745">
        <v>0.25</v>
      </c>
      <c r="GA1745" t="s">
        <v>424</v>
      </c>
      <c r="GB1745" t="s">
        <v>425</v>
      </c>
      <c r="GC1745" s="1">
        <v>42614</v>
      </c>
      <c r="GD1745">
        <v>4</v>
      </c>
      <c r="GE1745">
        <v>11289</v>
      </c>
      <c r="GF1745" t="s">
        <v>787</v>
      </c>
      <c r="GH1745" s="1">
        <v>42515</v>
      </c>
      <c r="GI1745">
        <v>2015</v>
      </c>
      <c r="GJ1745">
        <v>3933.19</v>
      </c>
      <c r="GK1745" t="s">
        <v>17242</v>
      </c>
      <c r="GL1745">
        <v>0.25</v>
      </c>
      <c r="GM1745" t="s">
        <v>424</v>
      </c>
      <c r="GN1745" t="s">
        <v>425</v>
      </c>
      <c r="GP1745">
        <v>22</v>
      </c>
      <c r="GQ1745">
        <v>5155744</v>
      </c>
      <c r="GR1745" t="s">
        <v>17243</v>
      </c>
      <c r="GT1745" s="1">
        <v>42151</v>
      </c>
      <c r="GU1745">
        <v>2014</v>
      </c>
      <c r="GV1745">
        <v>7733.38</v>
      </c>
      <c r="GW1745" t="s">
        <v>17244</v>
      </c>
      <c r="GX1745">
        <v>0.25</v>
      </c>
      <c r="GY1745" t="s">
        <v>424</v>
      </c>
      <c r="GZ1745" t="s">
        <v>425</v>
      </c>
      <c r="HA1745" s="1">
        <v>42605</v>
      </c>
      <c r="HB1745">
        <v>15</v>
      </c>
      <c r="HC1745">
        <v>7045049</v>
      </c>
      <c r="HD1745" t="s">
        <v>1335</v>
      </c>
      <c r="HF1745" s="1">
        <v>42151</v>
      </c>
      <c r="HG1745">
        <v>2014</v>
      </c>
      <c r="HH1745">
        <v>7733.38</v>
      </c>
      <c r="HI1745" t="s">
        <v>17244</v>
      </c>
      <c r="HJ1745">
        <v>0.25</v>
      </c>
      <c r="HK1745" t="s">
        <v>424</v>
      </c>
      <c r="HL1745" t="s">
        <v>425</v>
      </c>
      <c r="HN1745">
        <v>22</v>
      </c>
      <c r="HO1745">
        <v>15259</v>
      </c>
      <c r="HP1745" t="s">
        <v>891</v>
      </c>
      <c r="HR1745" s="1">
        <v>42151</v>
      </c>
      <c r="HS1745">
        <v>2014</v>
      </c>
      <c r="HT1745">
        <v>7733.38</v>
      </c>
      <c r="HU1745" t="s">
        <v>17244</v>
      </c>
      <c r="HV1745">
        <v>0.25</v>
      </c>
      <c r="HW1745" t="s">
        <v>424</v>
      </c>
      <c r="HX1745" t="s">
        <v>425</v>
      </c>
      <c r="HZ1745">
        <v>22</v>
      </c>
      <c r="IA1745">
        <v>7027269</v>
      </c>
      <c r="IB1745" t="s">
        <v>17245</v>
      </c>
    </row>
    <row r="1746" spans="1:236" x14ac:dyDescent="0.25">
      <c r="A1746">
        <v>16486753</v>
      </c>
      <c r="B1746">
        <v>1745</v>
      </c>
      <c r="C1746" t="s">
        <v>393</v>
      </c>
      <c r="D1746" t="s">
        <v>394</v>
      </c>
      <c r="F1746" t="str">
        <f>"41-3N-28-1250-0043-0000"</f>
        <v>41-3N-28-1250-0043-0000</v>
      </c>
      <c r="H1746" t="str">
        <f>"TREVETT BUILDING SYSTEMS OF FLORIDA LLC"</f>
        <v>TREVETT BUILDING SYSTEMS OF FLORIDA LLC</v>
      </c>
      <c r="I1746" t="str">
        <f t="shared" ref="I1746:I1758" si="638">"PO BOX 17833"</f>
        <v>PO BOX 17833</v>
      </c>
      <c r="J1746" t="str">
        <f t="shared" ref="J1746:J1758" si="639">"JACKSONVILLE FL 32245"</f>
        <v>JACKSONVILLE FL 32245</v>
      </c>
      <c r="K1746" t="str">
        <f>"29770 SOUTHERN HERITAGE PL"</f>
        <v>29770 SOUTHERN HERITAGE PL</v>
      </c>
      <c r="L1746" t="str">
        <f t="shared" si="637"/>
        <v>YULEE FL 32097</v>
      </c>
      <c r="M1746" t="str">
        <f>"LOT 43 IN OR 1950/1356 LIGHTHOUSE POINTE PB 6/157"</f>
        <v>LOT 43 IN OR 1950/1356 LIGHTHOUSE POINTE PB 6/157</v>
      </c>
      <c r="N1746" t="str">
        <f>""</f>
        <v/>
      </c>
      <c r="O1746" t="str">
        <f>"46833"</f>
        <v>46833</v>
      </c>
      <c r="P1746" t="str">
        <f t="shared" si="628"/>
        <v>2017</v>
      </c>
      <c r="Q1746" t="str">
        <f>""</f>
        <v/>
      </c>
      <c r="R1746" t="str">
        <f t="shared" si="635"/>
        <v>N</v>
      </c>
      <c r="S1746" t="str">
        <f>""</f>
        <v/>
      </c>
      <c r="T1746" t="str">
        <f>"549.23"</f>
        <v>549.23</v>
      </c>
      <c r="U1746" t="str">
        <f>"27225.00"</f>
        <v>27225.00</v>
      </c>
      <c r="V1746" t="str">
        <f>"27225.00"</f>
        <v>27225.00</v>
      </c>
      <c r="W1746" t="str">
        <f t="shared" si="630"/>
        <v>2017</v>
      </c>
      <c r="X1746" t="str">
        <f>"6.00"</f>
        <v>6.00</v>
      </c>
      <c r="Y1746" t="str">
        <f>"597.71"</f>
        <v>597.71</v>
      </c>
      <c r="Z1746" t="str">
        <f>""</f>
        <v/>
      </c>
      <c r="AA1746" t="str">
        <f>"48000.00"</f>
        <v>48000.00</v>
      </c>
      <c r="AB1746" t="str">
        <f t="shared" si="633"/>
        <v>Residential</v>
      </c>
      <c r="AC1746" t="str">
        <f t="shared" si="609"/>
        <v>0</v>
      </c>
      <c r="AD1746" t="str">
        <f>""</f>
        <v/>
      </c>
      <c r="AE1746" t="str">
        <f>""</f>
        <v/>
      </c>
      <c r="AF1746" t="str">
        <f t="shared" si="636"/>
        <v>000</v>
      </c>
      <c r="AG1746" t="str">
        <f t="shared" si="634"/>
        <v>FL</v>
      </c>
      <c r="AH1746" t="str">
        <f t="shared" ref="AH1746:AH1785" si="640">"-"</f>
        <v>-</v>
      </c>
      <c r="AI1746" t="str">
        <f>"48000.00"</f>
        <v>48000.00</v>
      </c>
      <c r="AJ1746" t="str">
        <f>"C55-000-588-1242-1"</f>
        <v>C55-000-588-1242-1</v>
      </c>
      <c r="AK1746" t="str">
        <f>"31620"</f>
        <v>31620</v>
      </c>
      <c r="AL1746">
        <v>7</v>
      </c>
      <c r="AM1746">
        <v>1992</v>
      </c>
      <c r="AN1746">
        <v>626</v>
      </c>
      <c r="AQ1746" t="s">
        <v>17246</v>
      </c>
      <c r="AR1746" t="s">
        <v>17246</v>
      </c>
      <c r="AS1746" t="s">
        <v>17246</v>
      </c>
      <c r="AU1746" t="s">
        <v>396</v>
      </c>
      <c r="AV1746">
        <v>2017</v>
      </c>
      <c r="AW1746" t="str">
        <f>"41-3N-28-1250-0043-0000 "</f>
        <v xml:space="preserve">41-3N-28-1250-0043-0000 </v>
      </c>
      <c r="AX1746">
        <v>29770</v>
      </c>
      <c r="AZ1746" t="s">
        <v>17247</v>
      </c>
      <c r="BA1746" t="s">
        <v>641</v>
      </c>
      <c r="BD1746" t="s">
        <v>2387</v>
      </c>
      <c r="BE1746" t="s">
        <v>393</v>
      </c>
      <c r="BF1746">
        <v>32097</v>
      </c>
      <c r="BG1746" t="s">
        <v>17248</v>
      </c>
      <c r="BH1746" t="s">
        <v>2388</v>
      </c>
      <c r="BI1746">
        <v>-81.548536463102096</v>
      </c>
      <c r="BJ1746">
        <v>30.686164945779399</v>
      </c>
      <c r="BK1746" t="s">
        <v>17249</v>
      </c>
      <c r="BM1746" t="s">
        <v>17212</v>
      </c>
      <c r="BN1746" t="s">
        <v>548</v>
      </c>
      <c r="BO1746">
        <v>32245</v>
      </c>
      <c r="BP1746" t="s">
        <v>404</v>
      </c>
      <c r="BQ1746">
        <v>0</v>
      </c>
      <c r="BR1746" t="s">
        <v>491</v>
      </c>
      <c r="BS1746">
        <v>8001</v>
      </c>
      <c r="BT1746" t="s">
        <v>492</v>
      </c>
      <c r="BW1746">
        <v>17224</v>
      </c>
      <c r="BX1746" t="s">
        <v>407</v>
      </c>
      <c r="CD1746">
        <v>2017</v>
      </c>
      <c r="CE1746">
        <v>48000</v>
      </c>
      <c r="CG1746">
        <v>48000</v>
      </c>
      <c r="CH1746">
        <v>2017</v>
      </c>
      <c r="CI1746">
        <v>48000</v>
      </c>
      <c r="CK1746">
        <v>48000</v>
      </c>
      <c r="CL1746">
        <v>2017</v>
      </c>
      <c r="CM1746">
        <v>549.23</v>
      </c>
      <c r="CN1746" s="1">
        <v>41893</v>
      </c>
      <c r="CO1746">
        <v>20000</v>
      </c>
      <c r="CV1746">
        <v>0</v>
      </c>
      <c r="CZ1746" s="1">
        <v>41893</v>
      </c>
      <c r="DA1746">
        <v>0</v>
      </c>
      <c r="DD1746" t="s">
        <v>2387</v>
      </c>
      <c r="DF1746">
        <v>43</v>
      </c>
      <c r="DG1746">
        <v>41</v>
      </c>
      <c r="DJ1746" t="s">
        <v>17250</v>
      </c>
      <c r="DL1746">
        <v>50301</v>
      </c>
      <c r="DM1746" t="s">
        <v>17237</v>
      </c>
      <c r="DO1746" t="s">
        <v>17251</v>
      </c>
      <c r="DP1746">
        <v>0</v>
      </c>
      <c r="DQ1746">
        <v>0</v>
      </c>
      <c r="DR1746" t="s">
        <v>411</v>
      </c>
      <c r="DS1746" t="b">
        <v>1</v>
      </c>
      <c r="DT1746" t="s">
        <v>470</v>
      </c>
      <c r="DU1746" t="s">
        <v>471</v>
      </c>
      <c r="DV1746" t="s">
        <v>472</v>
      </c>
      <c r="DX1746">
        <v>-9999</v>
      </c>
      <c r="DZ1746" t="s">
        <v>447</v>
      </c>
      <c r="EA1746" t="s">
        <v>448</v>
      </c>
      <c r="EB1746" t="s">
        <v>742</v>
      </c>
      <c r="EC1746">
        <v>20101217</v>
      </c>
      <c r="ED1746" t="s">
        <v>474</v>
      </c>
      <c r="EF1746">
        <v>501</v>
      </c>
      <c r="EG1746">
        <v>373.1</v>
      </c>
      <c r="EH1746" t="s">
        <v>451</v>
      </c>
      <c r="EI1746">
        <v>20140731</v>
      </c>
      <c r="EJ1746">
        <v>0</v>
      </c>
      <c r="EK1746">
        <v>0</v>
      </c>
      <c r="EP1746" t="s">
        <v>421</v>
      </c>
      <c r="EQ1746" t="s">
        <v>422</v>
      </c>
      <c r="ER1746">
        <v>2</v>
      </c>
      <c r="ES1746">
        <v>2</v>
      </c>
      <c r="ET1746">
        <v>1217.46</v>
      </c>
      <c r="EU1746">
        <v>73.37</v>
      </c>
      <c r="EV1746">
        <v>1290.83</v>
      </c>
      <c r="EW1746" s="2">
        <v>43222</v>
      </c>
      <c r="EX1746" s="1">
        <v>42879</v>
      </c>
      <c r="EY1746">
        <v>2016</v>
      </c>
      <c r="EZ1746">
        <v>608.73</v>
      </c>
      <c r="FA1746" t="s">
        <v>17252</v>
      </c>
      <c r="FB1746">
        <v>0.25</v>
      </c>
      <c r="FC1746" t="s">
        <v>424</v>
      </c>
      <c r="FD1746" t="s">
        <v>454</v>
      </c>
      <c r="FF1746">
        <v>12</v>
      </c>
      <c r="FG1746">
        <v>11289</v>
      </c>
      <c r="FH1746" t="s">
        <v>787</v>
      </c>
      <c r="FJ1746" s="1">
        <v>42879</v>
      </c>
      <c r="FK1746">
        <v>2016</v>
      </c>
      <c r="FL1746">
        <v>608.73</v>
      </c>
      <c r="FM1746" t="s">
        <v>17252</v>
      </c>
      <c r="FN1746">
        <v>0.25</v>
      </c>
      <c r="FO1746" t="s">
        <v>424</v>
      </c>
      <c r="FP1746" t="s">
        <v>454</v>
      </c>
      <c r="FR1746">
        <v>12</v>
      </c>
      <c r="FS1746">
        <v>7214944</v>
      </c>
      <c r="FT1746" t="s">
        <v>17253</v>
      </c>
      <c r="FV1746" s="1">
        <v>42151</v>
      </c>
      <c r="FW1746">
        <v>2014</v>
      </c>
      <c r="FX1746">
        <v>123.27</v>
      </c>
      <c r="FY1746" t="s">
        <v>17254</v>
      </c>
      <c r="FZ1746">
        <v>0.25</v>
      </c>
      <c r="GA1746" t="s">
        <v>424</v>
      </c>
      <c r="GB1746" t="s">
        <v>425</v>
      </c>
      <c r="GC1746" s="1">
        <v>42327</v>
      </c>
      <c r="GD1746">
        <v>6</v>
      </c>
      <c r="GE1746">
        <v>4975594</v>
      </c>
      <c r="GF1746" t="s">
        <v>457</v>
      </c>
      <c r="GH1746" s="1">
        <v>42151</v>
      </c>
      <c r="GI1746">
        <v>2014</v>
      </c>
      <c r="GJ1746">
        <v>123.27</v>
      </c>
      <c r="GK1746" t="s">
        <v>17254</v>
      </c>
      <c r="GL1746">
        <v>0.25</v>
      </c>
      <c r="GM1746" t="s">
        <v>424</v>
      </c>
      <c r="GN1746" t="s">
        <v>425</v>
      </c>
      <c r="GP1746">
        <v>22</v>
      </c>
      <c r="GQ1746">
        <v>6602793</v>
      </c>
      <c r="GR1746" t="s">
        <v>17255</v>
      </c>
    </row>
    <row r="1747" spans="1:236" x14ac:dyDescent="0.25">
      <c r="A1747">
        <v>16486754</v>
      </c>
      <c r="B1747">
        <v>1746</v>
      </c>
      <c r="C1747" t="s">
        <v>393</v>
      </c>
      <c r="D1747" t="s">
        <v>394</v>
      </c>
      <c r="F1747" t="str">
        <f>"41-3N-28-1250-0052-0000"</f>
        <v>41-3N-28-1250-0052-0000</v>
      </c>
      <c r="H1747" t="str">
        <f>"LIGHTHOUSE POINTE DEV LLC"</f>
        <v>LIGHTHOUSE POINTE DEV LLC</v>
      </c>
      <c r="I1747" t="str">
        <f t="shared" si="638"/>
        <v>PO BOX 17833</v>
      </c>
      <c r="J1747" t="str">
        <f t="shared" si="639"/>
        <v>JACKSONVILLE FL 32245</v>
      </c>
      <c r="K1747" t="str">
        <f>"28886 GRANDVIEW MNR"</f>
        <v>28886 GRANDVIEW MNR</v>
      </c>
      <c r="L1747" t="str">
        <f t="shared" si="637"/>
        <v>YULEE FL 32097</v>
      </c>
      <c r="M1747" t="str">
        <f>"LOT 52 PT OR 1938/1054 ESMT PT OR 1701/837 ASSIGN OF ESMT PT OR 1796/300 LIGHTHOUSE POINTE 2 PB 7/145"</f>
        <v>LOT 52 PT OR 1938/1054 ESMT PT OR 1701/837 ASSIGN OF ESMT PT OR 1796/300 LIGHTHOUSE POINTE 2 PB 7/145</v>
      </c>
      <c r="N1747" t="str">
        <f>""</f>
        <v/>
      </c>
      <c r="O1747" t="str">
        <f>"46842"</f>
        <v>46842</v>
      </c>
      <c r="P1747" t="str">
        <f t="shared" si="628"/>
        <v>2017</v>
      </c>
      <c r="Q1747" t="str">
        <f>""</f>
        <v/>
      </c>
      <c r="R1747" t="str">
        <f t="shared" si="635"/>
        <v>N</v>
      </c>
      <c r="S1747" t="str">
        <f>""</f>
        <v/>
      </c>
      <c r="T1747" t="str">
        <f>"2024.46"</f>
        <v>2024.46</v>
      </c>
      <c r="U1747" t="str">
        <f>"95371.00"</f>
        <v>95371.00</v>
      </c>
      <c r="V1747" t="str">
        <f>"95371.00"</f>
        <v>95371.00</v>
      </c>
      <c r="W1747" t="str">
        <f t="shared" si="630"/>
        <v>2017</v>
      </c>
      <c r="X1747" t="str">
        <f>"10.00"</f>
        <v>10.00</v>
      </c>
      <c r="Y1747" t="str">
        <f>"2117.19"</f>
        <v>2117.19</v>
      </c>
      <c r="Z1747" t="str">
        <f>""</f>
        <v/>
      </c>
      <c r="AA1747" t="str">
        <f>"183377.00"</f>
        <v>183377.00</v>
      </c>
      <c r="AB1747" t="str">
        <f t="shared" si="633"/>
        <v>Residential</v>
      </c>
      <c r="AC1747" t="str">
        <f t="shared" si="609"/>
        <v>0</v>
      </c>
      <c r="AD1747" t="str">
        <f>""</f>
        <v/>
      </c>
      <c r="AE1747" t="str">
        <f>""</f>
        <v/>
      </c>
      <c r="AF1747" t="str">
        <f t="shared" si="636"/>
        <v>000</v>
      </c>
      <c r="AG1747" t="str">
        <f t="shared" si="634"/>
        <v>FL</v>
      </c>
      <c r="AH1747" t="str">
        <f t="shared" si="640"/>
        <v>-</v>
      </c>
      <c r="AI1747" t="str">
        <f>"145000.00"</f>
        <v>145000.00</v>
      </c>
      <c r="AJ1747" t="str">
        <f>"C55-000-969-7813-5"</f>
        <v>C55-000-969-7813-5</v>
      </c>
      <c r="AK1747" t="str">
        <f>"31629"</f>
        <v>31629</v>
      </c>
      <c r="AL1747">
        <v>7</v>
      </c>
      <c r="AM1747">
        <v>1993</v>
      </c>
      <c r="AN1747">
        <v>2221.4499999999998</v>
      </c>
      <c r="AQ1747" t="s">
        <v>17256</v>
      </c>
      <c r="AR1747" t="s">
        <v>17256</v>
      </c>
      <c r="AS1747" t="s">
        <v>17256</v>
      </c>
      <c r="AU1747" t="s">
        <v>396</v>
      </c>
      <c r="AV1747">
        <v>2017</v>
      </c>
      <c r="AW1747" t="str">
        <f>"41-3N-28-1250-0052-0000 "</f>
        <v xml:space="preserve">41-3N-28-1250-0052-0000 </v>
      </c>
      <c r="AX1747">
        <v>28886</v>
      </c>
      <c r="AZ1747" t="s">
        <v>17210</v>
      </c>
      <c r="BD1747" t="s">
        <v>2387</v>
      </c>
      <c r="BE1747" t="s">
        <v>393</v>
      </c>
      <c r="BF1747">
        <v>32097</v>
      </c>
      <c r="BG1747" t="s">
        <v>17257</v>
      </c>
      <c r="BH1747" t="s">
        <v>2388</v>
      </c>
      <c r="BI1747">
        <v>-81.545016519171</v>
      </c>
      <c r="BJ1747">
        <v>30.686427266481601</v>
      </c>
      <c r="BK1747" t="s">
        <v>17211</v>
      </c>
      <c r="BM1747" t="s">
        <v>17212</v>
      </c>
      <c r="BN1747" t="s">
        <v>548</v>
      </c>
      <c r="BO1747">
        <v>32245</v>
      </c>
      <c r="BP1747" t="s">
        <v>404</v>
      </c>
      <c r="BQ1747">
        <v>1</v>
      </c>
      <c r="BR1747" t="s">
        <v>491</v>
      </c>
      <c r="BS1747">
        <v>8001</v>
      </c>
      <c r="BT1747" t="s">
        <v>492</v>
      </c>
      <c r="BW1747">
        <v>38334</v>
      </c>
      <c r="BX1747" t="s">
        <v>407</v>
      </c>
      <c r="BY1747" t="s">
        <v>3019</v>
      </c>
      <c r="CD1747">
        <v>2017</v>
      </c>
      <c r="CE1747">
        <v>145000</v>
      </c>
      <c r="CF1747">
        <v>38377</v>
      </c>
      <c r="CG1747">
        <v>183377</v>
      </c>
      <c r="CH1747">
        <v>2017</v>
      </c>
      <c r="CI1747">
        <v>145000</v>
      </c>
      <c r="CJ1747">
        <v>38377</v>
      </c>
      <c r="CK1747">
        <v>183377</v>
      </c>
      <c r="CL1747">
        <v>2017</v>
      </c>
      <c r="CM1747">
        <v>2024.46</v>
      </c>
      <c r="CN1747" s="1">
        <v>41901</v>
      </c>
      <c r="CO1747">
        <v>2599000</v>
      </c>
      <c r="CZ1747" s="1">
        <v>41901</v>
      </c>
      <c r="DD1747" t="s">
        <v>2387</v>
      </c>
      <c r="DF1747">
        <v>52</v>
      </c>
      <c r="DG1747">
        <v>41</v>
      </c>
      <c r="DL1747">
        <v>50301</v>
      </c>
      <c r="DM1747" t="s">
        <v>17237</v>
      </c>
      <c r="DO1747" t="s">
        <v>17258</v>
      </c>
      <c r="DP1747">
        <v>0</v>
      </c>
      <c r="DQ1747">
        <v>0</v>
      </c>
      <c r="DR1747" t="s">
        <v>411</v>
      </c>
      <c r="DS1747" t="b">
        <v>1</v>
      </c>
      <c r="DT1747" t="s">
        <v>470</v>
      </c>
      <c r="DU1747" t="s">
        <v>10249</v>
      </c>
      <c r="DV1747" t="s">
        <v>472</v>
      </c>
      <c r="DX1747">
        <v>-9999</v>
      </c>
      <c r="DZ1747" t="s">
        <v>447</v>
      </c>
      <c r="EA1747" t="s">
        <v>448</v>
      </c>
      <c r="EB1747" t="s">
        <v>17259</v>
      </c>
      <c r="EC1747">
        <v>20101217</v>
      </c>
      <c r="ED1747" t="s">
        <v>10251</v>
      </c>
      <c r="EE1747">
        <v>5</v>
      </c>
      <c r="EF1747">
        <v>23</v>
      </c>
      <c r="EG1747">
        <v>0</v>
      </c>
      <c r="EI1747">
        <v>20160407</v>
      </c>
      <c r="EJ1747">
        <v>0</v>
      </c>
      <c r="EK1747">
        <v>0</v>
      </c>
      <c r="EP1747" t="s">
        <v>421</v>
      </c>
      <c r="EQ1747" t="s">
        <v>422</v>
      </c>
      <c r="ER1747">
        <v>2</v>
      </c>
      <c r="ES1747">
        <v>3</v>
      </c>
      <c r="ET1747">
        <v>4168.78</v>
      </c>
      <c r="EU1747">
        <v>220.94</v>
      </c>
      <c r="EV1747">
        <v>4389.72</v>
      </c>
      <c r="EW1747" s="2">
        <v>43222</v>
      </c>
      <c r="EX1747" s="1">
        <v>42879</v>
      </c>
      <c r="EY1747">
        <v>2016</v>
      </c>
      <c r="EZ1747">
        <v>2084.39</v>
      </c>
      <c r="FA1747" t="s">
        <v>17260</v>
      </c>
      <c r="FB1747">
        <v>0.25</v>
      </c>
      <c r="FC1747" t="s">
        <v>424</v>
      </c>
      <c r="FD1747" t="s">
        <v>454</v>
      </c>
      <c r="FF1747">
        <v>12</v>
      </c>
      <c r="FG1747">
        <v>11289</v>
      </c>
      <c r="FH1747" t="s">
        <v>787</v>
      </c>
      <c r="FJ1747" s="1">
        <v>42879</v>
      </c>
      <c r="FK1747">
        <v>2016</v>
      </c>
      <c r="FL1747">
        <v>2084.39</v>
      </c>
      <c r="FM1747" t="s">
        <v>17260</v>
      </c>
      <c r="FN1747">
        <v>0.25</v>
      </c>
      <c r="FO1747" t="s">
        <v>424</v>
      </c>
      <c r="FP1747" t="s">
        <v>454</v>
      </c>
      <c r="FR1747">
        <v>12</v>
      </c>
      <c r="FS1747">
        <v>7267384</v>
      </c>
      <c r="FT1747" t="s">
        <v>17261</v>
      </c>
      <c r="FV1747" s="1">
        <v>42515</v>
      </c>
      <c r="FW1747">
        <v>2015</v>
      </c>
      <c r="FX1747">
        <v>1362.33</v>
      </c>
      <c r="FY1747" t="s">
        <v>17262</v>
      </c>
      <c r="FZ1747">
        <v>4.75</v>
      </c>
      <c r="GA1747" t="s">
        <v>424</v>
      </c>
      <c r="GB1747" t="s">
        <v>425</v>
      </c>
      <c r="GC1747" s="1">
        <v>42614</v>
      </c>
      <c r="GD1747">
        <v>4</v>
      </c>
      <c r="GE1747">
        <v>2035919</v>
      </c>
      <c r="GF1747" t="s">
        <v>507</v>
      </c>
      <c r="GH1747" s="1">
        <v>42151</v>
      </c>
      <c r="GI1747">
        <v>2014</v>
      </c>
      <c r="GJ1747">
        <v>1410.65</v>
      </c>
      <c r="GK1747" t="s">
        <v>17263</v>
      </c>
      <c r="GL1747">
        <v>0.25</v>
      </c>
      <c r="GM1747" t="s">
        <v>424</v>
      </c>
      <c r="GN1747" t="s">
        <v>425</v>
      </c>
      <c r="GO1747" s="1">
        <v>42611</v>
      </c>
      <c r="GP1747">
        <v>15</v>
      </c>
      <c r="GQ1747">
        <v>4975594</v>
      </c>
      <c r="GR1747" t="s">
        <v>457</v>
      </c>
      <c r="GT1747" s="1">
        <v>42151</v>
      </c>
      <c r="GU1747">
        <v>2014</v>
      </c>
      <c r="GV1747">
        <v>1410.65</v>
      </c>
      <c r="GW1747" t="s">
        <v>17263</v>
      </c>
      <c r="GX1747">
        <v>0.25</v>
      </c>
      <c r="GY1747" t="s">
        <v>424</v>
      </c>
      <c r="GZ1747" t="s">
        <v>425</v>
      </c>
      <c r="HB1747">
        <v>22</v>
      </c>
      <c r="HC1747">
        <v>6637628</v>
      </c>
      <c r="HD1747" t="s">
        <v>17264</v>
      </c>
    </row>
    <row r="1748" spans="1:236" x14ac:dyDescent="0.25">
      <c r="A1748">
        <v>16486755</v>
      </c>
      <c r="B1748">
        <v>1747</v>
      </c>
      <c r="C1748" t="s">
        <v>393</v>
      </c>
      <c r="D1748" t="s">
        <v>394</v>
      </c>
      <c r="F1748" t="str">
        <f>"41-3N-28-1250-0053-0000"</f>
        <v>41-3N-28-1250-0053-0000</v>
      </c>
      <c r="H1748" t="str">
        <f>"TREVETT BUILDING SYSTEMS OF FLORIDA LLC"</f>
        <v>TREVETT BUILDING SYSTEMS OF FLORIDA LLC</v>
      </c>
      <c r="I1748" t="str">
        <f t="shared" si="638"/>
        <v>PO BOX 17833</v>
      </c>
      <c r="J1748" t="str">
        <f t="shared" si="639"/>
        <v>JACKSONVILLE FL 32245</v>
      </c>
      <c r="K1748" t="str">
        <f>"28900 GRANDVIEW MNR"</f>
        <v>28900 GRANDVIEW MNR</v>
      </c>
      <c r="L1748" t="str">
        <f t="shared" si="637"/>
        <v>YULEE FL 32097</v>
      </c>
      <c r="M1748" t="str">
        <f>"LOT 53 IN OR 1950/1356 LIGHTHOUSE POINTE 2 PB 7/145"</f>
        <v>LOT 53 IN OR 1950/1356 LIGHTHOUSE POINTE 2 PB 7/145</v>
      </c>
      <c r="N1748" t="str">
        <f>""</f>
        <v/>
      </c>
      <c r="O1748" t="str">
        <f>"46843"</f>
        <v>46843</v>
      </c>
      <c r="P1748" t="str">
        <f t="shared" si="628"/>
        <v>2017</v>
      </c>
      <c r="Q1748" t="str">
        <f>""</f>
        <v/>
      </c>
      <c r="R1748" t="str">
        <f t="shared" si="635"/>
        <v>N</v>
      </c>
      <c r="S1748" t="str">
        <f>""</f>
        <v/>
      </c>
      <c r="T1748" t="str">
        <f>"975.36"</f>
        <v>975.36</v>
      </c>
      <c r="U1748" t="str">
        <f t="shared" ref="U1748:V1752" si="641">"29222.00"</f>
        <v>29222.00</v>
      </c>
      <c r="V1748" t="str">
        <f t="shared" si="641"/>
        <v>29222.00</v>
      </c>
      <c r="W1748" t="str">
        <f t="shared" si="630"/>
        <v>2017</v>
      </c>
      <c r="X1748" t="str">
        <f>"9.75"</f>
        <v>9.75</v>
      </c>
      <c r="Y1748" t="str">
        <f>"1036.62"</f>
        <v>1036.62</v>
      </c>
      <c r="Z1748" t="str">
        <f>""</f>
        <v/>
      </c>
      <c r="AA1748" t="str">
        <f>"110000.00"</f>
        <v>110000.00</v>
      </c>
      <c r="AB1748" t="str">
        <f t="shared" si="633"/>
        <v>Residential</v>
      </c>
      <c r="AC1748" t="str">
        <f t="shared" si="609"/>
        <v>0</v>
      </c>
      <c r="AD1748" t="str">
        <f>""</f>
        <v/>
      </c>
      <c r="AE1748" t="str">
        <f>""</f>
        <v/>
      </c>
      <c r="AF1748" t="str">
        <f t="shared" si="636"/>
        <v>000</v>
      </c>
      <c r="AG1748" t="str">
        <f t="shared" si="634"/>
        <v>FL</v>
      </c>
      <c r="AH1748" t="str">
        <f t="shared" si="640"/>
        <v>-</v>
      </c>
      <c r="AI1748" t="str">
        <f>"110000.00"</f>
        <v>110000.00</v>
      </c>
      <c r="AJ1748" t="str">
        <f>"C55-000-969-7814-3"</f>
        <v>C55-000-969-7814-3</v>
      </c>
      <c r="AK1748" t="str">
        <f>"31630"</f>
        <v>31630</v>
      </c>
      <c r="AL1748">
        <v>7</v>
      </c>
      <c r="AM1748">
        <v>1994</v>
      </c>
      <c r="AN1748">
        <v>1086.8499999999999</v>
      </c>
      <c r="AQ1748" t="s">
        <v>17265</v>
      </c>
      <c r="AR1748" t="s">
        <v>17265</v>
      </c>
      <c r="AS1748" t="s">
        <v>17265</v>
      </c>
      <c r="AU1748" t="s">
        <v>396</v>
      </c>
      <c r="AV1748">
        <v>2017</v>
      </c>
      <c r="AW1748" t="str">
        <f>"41-3N-28-1250-0053-0000 "</f>
        <v xml:space="preserve">41-3N-28-1250-0053-0000 </v>
      </c>
      <c r="AX1748">
        <v>28900</v>
      </c>
      <c r="AZ1748" t="s">
        <v>17210</v>
      </c>
      <c r="BD1748" t="s">
        <v>2387</v>
      </c>
      <c r="BE1748" t="s">
        <v>393</v>
      </c>
      <c r="BF1748">
        <v>32097</v>
      </c>
      <c r="BG1748" t="s">
        <v>17266</v>
      </c>
      <c r="BH1748" t="s">
        <v>2388</v>
      </c>
      <c r="BI1748">
        <v>-81.5455727535292</v>
      </c>
      <c r="BJ1748">
        <v>30.686245802932898</v>
      </c>
      <c r="BK1748" t="s">
        <v>17249</v>
      </c>
      <c r="BM1748" t="s">
        <v>17212</v>
      </c>
      <c r="BN1748" t="s">
        <v>548</v>
      </c>
      <c r="BO1748">
        <v>32245</v>
      </c>
      <c r="BP1748" t="s">
        <v>404</v>
      </c>
      <c r="BQ1748">
        <v>0</v>
      </c>
      <c r="BR1748" t="s">
        <v>491</v>
      </c>
      <c r="BS1748">
        <v>8001</v>
      </c>
      <c r="BT1748" t="s">
        <v>492</v>
      </c>
      <c r="BW1748">
        <v>14843</v>
      </c>
      <c r="BX1748" t="s">
        <v>407</v>
      </c>
      <c r="BY1748" t="s">
        <v>3019</v>
      </c>
      <c r="CD1748">
        <v>2017</v>
      </c>
      <c r="CE1748">
        <v>110000</v>
      </c>
      <c r="CG1748">
        <v>110000</v>
      </c>
      <c r="CH1748">
        <v>2017</v>
      </c>
      <c r="CI1748">
        <v>110000</v>
      </c>
      <c r="CK1748">
        <v>110000</v>
      </c>
      <c r="CL1748">
        <v>2017</v>
      </c>
      <c r="CM1748">
        <v>975.36</v>
      </c>
      <c r="CN1748" s="1">
        <v>40822</v>
      </c>
      <c r="CO1748">
        <v>13800</v>
      </c>
      <c r="CV1748">
        <v>0</v>
      </c>
      <c r="CZ1748" s="1">
        <v>40822</v>
      </c>
      <c r="DA1748">
        <v>0</v>
      </c>
      <c r="DD1748" t="s">
        <v>2387</v>
      </c>
      <c r="DF1748">
        <v>53</v>
      </c>
      <c r="DG1748">
        <v>41</v>
      </c>
      <c r="DJ1748" t="s">
        <v>17267</v>
      </c>
      <c r="DL1748">
        <v>50301</v>
      </c>
      <c r="DM1748" t="s">
        <v>17237</v>
      </c>
      <c r="DO1748" t="s">
        <v>17268</v>
      </c>
      <c r="DP1748">
        <v>0</v>
      </c>
      <c r="DQ1748">
        <v>0</v>
      </c>
      <c r="DR1748" t="s">
        <v>411</v>
      </c>
      <c r="DS1748" t="b">
        <v>1</v>
      </c>
      <c r="DT1748" t="s">
        <v>470</v>
      </c>
      <c r="DU1748" t="s">
        <v>10249</v>
      </c>
      <c r="DV1748" t="s">
        <v>472</v>
      </c>
      <c r="DX1748">
        <v>-9999</v>
      </c>
      <c r="DZ1748" t="s">
        <v>447</v>
      </c>
      <c r="EA1748" t="s">
        <v>448</v>
      </c>
      <c r="EB1748" t="s">
        <v>17259</v>
      </c>
      <c r="EC1748">
        <v>20101217</v>
      </c>
      <c r="ED1748" t="s">
        <v>10251</v>
      </c>
      <c r="EE1748">
        <v>5</v>
      </c>
      <c r="EF1748">
        <v>33.9</v>
      </c>
      <c r="EG1748">
        <v>0</v>
      </c>
      <c r="EI1748">
        <v>20160407</v>
      </c>
      <c r="EJ1748">
        <v>0</v>
      </c>
      <c r="EK1748">
        <v>0</v>
      </c>
      <c r="EP1748" t="s">
        <v>421</v>
      </c>
      <c r="EQ1748" t="s">
        <v>422</v>
      </c>
      <c r="ER1748">
        <v>2</v>
      </c>
      <c r="ES1748">
        <v>2</v>
      </c>
      <c r="ET1748">
        <v>2162.16</v>
      </c>
      <c r="EU1748">
        <v>120.61</v>
      </c>
      <c r="EV1748">
        <v>2282.77</v>
      </c>
      <c r="EW1748" s="2">
        <v>43222</v>
      </c>
      <c r="EX1748" s="1">
        <v>42879</v>
      </c>
      <c r="EY1748">
        <v>2016</v>
      </c>
      <c r="EZ1748">
        <v>1081.08</v>
      </c>
      <c r="FA1748" t="s">
        <v>17269</v>
      </c>
      <c r="FB1748">
        <v>0.25</v>
      </c>
      <c r="FC1748" t="s">
        <v>424</v>
      </c>
      <c r="FD1748" t="s">
        <v>454</v>
      </c>
      <c r="FF1748">
        <v>12</v>
      </c>
      <c r="FG1748">
        <v>7400234</v>
      </c>
      <c r="FH1748" t="s">
        <v>426</v>
      </c>
      <c r="FJ1748" s="1">
        <v>42879</v>
      </c>
      <c r="FK1748">
        <v>2016</v>
      </c>
      <c r="FL1748">
        <v>1081.08</v>
      </c>
      <c r="FM1748" t="s">
        <v>17269</v>
      </c>
      <c r="FN1748">
        <v>0.25</v>
      </c>
      <c r="FO1748" t="s">
        <v>424</v>
      </c>
      <c r="FP1748" t="s">
        <v>454</v>
      </c>
      <c r="FR1748">
        <v>12</v>
      </c>
      <c r="FS1748">
        <v>7559041</v>
      </c>
      <c r="FT1748" t="s">
        <v>17270</v>
      </c>
      <c r="FV1748" s="1">
        <v>42515</v>
      </c>
      <c r="FW1748">
        <v>2015</v>
      </c>
      <c r="FX1748">
        <v>432.67</v>
      </c>
      <c r="FY1748" t="s">
        <v>17271</v>
      </c>
      <c r="FZ1748">
        <v>0.25</v>
      </c>
      <c r="GA1748" t="s">
        <v>424</v>
      </c>
      <c r="GB1748" t="s">
        <v>425</v>
      </c>
      <c r="GC1748" s="1">
        <v>43157</v>
      </c>
      <c r="GD1748">
        <v>21</v>
      </c>
      <c r="GE1748">
        <v>7336671</v>
      </c>
      <c r="GF1748" t="s">
        <v>437</v>
      </c>
      <c r="GH1748" s="1">
        <v>42515</v>
      </c>
      <c r="GI1748">
        <v>2015</v>
      </c>
      <c r="GJ1748">
        <v>432.67</v>
      </c>
      <c r="GK1748" t="s">
        <v>17271</v>
      </c>
      <c r="GL1748">
        <v>0.25</v>
      </c>
      <c r="GM1748" t="s">
        <v>424</v>
      </c>
      <c r="GN1748" t="s">
        <v>425</v>
      </c>
      <c r="GP1748">
        <v>22</v>
      </c>
      <c r="GQ1748">
        <v>6943263</v>
      </c>
      <c r="GR1748" t="s">
        <v>17272</v>
      </c>
    </row>
    <row r="1749" spans="1:236" x14ac:dyDescent="0.25">
      <c r="A1749">
        <v>16486756</v>
      </c>
      <c r="B1749">
        <v>1748</v>
      </c>
      <c r="C1749" t="s">
        <v>393</v>
      </c>
      <c r="D1749" t="s">
        <v>394</v>
      </c>
      <c r="F1749" t="str">
        <f>"41-3N-28-1250-0054-0000"</f>
        <v>41-3N-28-1250-0054-0000</v>
      </c>
      <c r="H1749" t="str">
        <f t="shared" ref="H1749:H1758" si="642">"LIGHTHOUSE POINTE DEV LLC"</f>
        <v>LIGHTHOUSE POINTE DEV LLC</v>
      </c>
      <c r="I1749" t="str">
        <f t="shared" si="638"/>
        <v>PO BOX 17833</v>
      </c>
      <c r="J1749" t="str">
        <f t="shared" si="639"/>
        <v>JACKSONVILLE FL 32245</v>
      </c>
      <c r="K1749" t="str">
        <f>"28920 GRANDVIEW MNR"</f>
        <v>28920 GRANDVIEW MNR</v>
      </c>
      <c r="L1749" t="str">
        <f t="shared" si="637"/>
        <v>YULEE FL 32097</v>
      </c>
      <c r="M1749" t="str">
        <f>"LOT 54 IN OR 1938/1054 LIGHTHOUSE POINTE 2 PB 7/145"</f>
        <v>LOT 54 IN OR 1938/1054 LIGHTHOUSE POINTE 2 PB 7/145</v>
      </c>
      <c r="N1749" t="str">
        <f>""</f>
        <v/>
      </c>
      <c r="O1749" t="str">
        <f>"46844"</f>
        <v>46844</v>
      </c>
      <c r="P1749" t="str">
        <f t="shared" si="628"/>
        <v>2017</v>
      </c>
      <c r="Q1749" t="str">
        <f>""</f>
        <v/>
      </c>
      <c r="R1749" t="str">
        <f t="shared" si="635"/>
        <v>N</v>
      </c>
      <c r="S1749" t="str">
        <f>""</f>
        <v/>
      </c>
      <c r="T1749" t="str">
        <f>"975.36"</f>
        <v>975.36</v>
      </c>
      <c r="U1749" t="str">
        <f t="shared" si="641"/>
        <v>29222.00</v>
      </c>
      <c r="V1749" t="str">
        <f t="shared" si="641"/>
        <v>29222.00</v>
      </c>
      <c r="W1749" t="str">
        <f t="shared" si="630"/>
        <v>2017</v>
      </c>
      <c r="X1749" t="str">
        <f>"20.57"</f>
        <v>20.57</v>
      </c>
      <c r="Y1749" t="str">
        <f>"1036.62"</f>
        <v>1036.62</v>
      </c>
      <c r="Z1749" t="str">
        <f>""</f>
        <v/>
      </c>
      <c r="AA1749" t="str">
        <f>"110000.00"</f>
        <v>110000.00</v>
      </c>
      <c r="AB1749" t="str">
        <f t="shared" si="633"/>
        <v>Residential</v>
      </c>
      <c r="AC1749" t="str">
        <f t="shared" si="609"/>
        <v>0</v>
      </c>
      <c r="AD1749" t="str">
        <f>""</f>
        <v/>
      </c>
      <c r="AE1749" t="str">
        <f>""</f>
        <v/>
      </c>
      <c r="AF1749" t="str">
        <f t="shared" si="636"/>
        <v>000</v>
      </c>
      <c r="AG1749" t="str">
        <f t="shared" si="634"/>
        <v>FL</v>
      </c>
      <c r="AH1749" t="str">
        <f t="shared" si="640"/>
        <v>-</v>
      </c>
      <c r="AI1749" t="str">
        <f>"110000.00"</f>
        <v>110000.00</v>
      </c>
      <c r="AJ1749" t="str">
        <f>"C55-000-969-7815-0"</f>
        <v>C55-000-969-7815-0</v>
      </c>
      <c r="AK1749" t="str">
        <f>"31631"</f>
        <v>31631</v>
      </c>
      <c r="AL1749">
        <v>7</v>
      </c>
      <c r="AM1749">
        <v>1995</v>
      </c>
      <c r="AN1749">
        <v>1086.8499999999999</v>
      </c>
      <c r="AQ1749" t="s">
        <v>17273</v>
      </c>
      <c r="AR1749" t="s">
        <v>17273</v>
      </c>
      <c r="AS1749" t="s">
        <v>17273</v>
      </c>
      <c r="AU1749" t="s">
        <v>396</v>
      </c>
      <c r="AV1749">
        <v>2017</v>
      </c>
      <c r="AW1749" t="str">
        <f>"41-3N-28-1250-0054-0000 "</f>
        <v xml:space="preserve">41-3N-28-1250-0054-0000 </v>
      </c>
      <c r="AX1749">
        <v>28920</v>
      </c>
      <c r="AZ1749" t="s">
        <v>17210</v>
      </c>
      <c r="BD1749" t="s">
        <v>2387</v>
      </c>
      <c r="BE1749" t="s">
        <v>393</v>
      </c>
      <c r="BF1749">
        <v>32097</v>
      </c>
      <c r="BG1749" t="s">
        <v>17274</v>
      </c>
      <c r="BH1749" t="s">
        <v>2388</v>
      </c>
      <c r="BI1749">
        <v>-81.545815371255202</v>
      </c>
      <c r="BJ1749">
        <v>30.6860515618337</v>
      </c>
      <c r="BK1749" t="s">
        <v>17211</v>
      </c>
      <c r="BM1749" t="s">
        <v>17212</v>
      </c>
      <c r="BN1749" t="s">
        <v>548</v>
      </c>
      <c r="BO1749">
        <v>32245</v>
      </c>
      <c r="BP1749" t="s">
        <v>404</v>
      </c>
      <c r="BQ1749">
        <v>0</v>
      </c>
      <c r="BR1749" t="s">
        <v>491</v>
      </c>
      <c r="BS1749">
        <v>8001</v>
      </c>
      <c r="BT1749" t="s">
        <v>492</v>
      </c>
      <c r="BW1749">
        <v>12091</v>
      </c>
      <c r="BX1749" t="s">
        <v>407</v>
      </c>
      <c r="BY1749" t="s">
        <v>3019</v>
      </c>
      <c r="CD1749">
        <v>2017</v>
      </c>
      <c r="CE1749">
        <v>110000</v>
      </c>
      <c r="CG1749">
        <v>110000</v>
      </c>
      <c r="CH1749">
        <v>2017</v>
      </c>
      <c r="CI1749">
        <v>110000</v>
      </c>
      <c r="CK1749">
        <v>110000</v>
      </c>
      <c r="CL1749">
        <v>2017</v>
      </c>
      <c r="CM1749">
        <v>975.36</v>
      </c>
      <c r="CN1749" s="1">
        <v>41901</v>
      </c>
      <c r="CO1749">
        <v>2599000</v>
      </c>
      <c r="CZ1749" s="1">
        <v>41901</v>
      </c>
      <c r="DD1749" t="s">
        <v>2387</v>
      </c>
      <c r="DF1749">
        <v>54</v>
      </c>
      <c r="DG1749">
        <v>41</v>
      </c>
      <c r="DJ1749" t="s">
        <v>17267</v>
      </c>
      <c r="DL1749">
        <v>50301</v>
      </c>
      <c r="DM1749" t="s">
        <v>17237</v>
      </c>
      <c r="DO1749" t="s">
        <v>17275</v>
      </c>
      <c r="DP1749">
        <v>0</v>
      </c>
      <c r="DQ1749">
        <v>0</v>
      </c>
      <c r="DR1749" t="s">
        <v>411</v>
      </c>
      <c r="DS1749" t="b">
        <v>1</v>
      </c>
      <c r="DT1749" t="s">
        <v>470</v>
      </c>
      <c r="DU1749" t="s">
        <v>10249</v>
      </c>
      <c r="DV1749" t="s">
        <v>472</v>
      </c>
      <c r="DX1749">
        <v>-9999</v>
      </c>
      <c r="DZ1749" t="s">
        <v>447</v>
      </c>
      <c r="EA1749" t="s">
        <v>448</v>
      </c>
      <c r="EB1749" t="s">
        <v>17259</v>
      </c>
      <c r="EC1749">
        <v>20101217</v>
      </c>
      <c r="ED1749" t="s">
        <v>10251</v>
      </c>
      <c r="EE1749">
        <v>5</v>
      </c>
      <c r="EF1749">
        <v>45.1</v>
      </c>
      <c r="EG1749">
        <v>0</v>
      </c>
      <c r="EI1749">
        <v>20160407</v>
      </c>
      <c r="EJ1749">
        <v>0</v>
      </c>
      <c r="EK1749">
        <v>0</v>
      </c>
      <c r="EP1749" t="s">
        <v>421</v>
      </c>
      <c r="EQ1749" t="s">
        <v>422</v>
      </c>
      <c r="ER1749">
        <v>1</v>
      </c>
      <c r="ES1749">
        <v>5</v>
      </c>
      <c r="ET1749">
        <v>1081.08</v>
      </c>
      <c r="EU1749">
        <v>60.3</v>
      </c>
      <c r="EV1749">
        <v>1141.3800000000001</v>
      </c>
      <c r="EW1749" s="2">
        <v>43222</v>
      </c>
      <c r="EX1749" s="1">
        <v>42879</v>
      </c>
      <c r="EY1749">
        <v>2016</v>
      </c>
      <c r="EZ1749">
        <v>1081.08</v>
      </c>
      <c r="FA1749" t="s">
        <v>17276</v>
      </c>
      <c r="FB1749">
        <v>4.75</v>
      </c>
      <c r="FC1749" t="s">
        <v>424</v>
      </c>
      <c r="FD1749" t="s">
        <v>454</v>
      </c>
      <c r="FF1749">
        <v>12</v>
      </c>
      <c r="FG1749">
        <v>2035919</v>
      </c>
      <c r="FH1749" t="s">
        <v>507</v>
      </c>
      <c r="FJ1749" s="1">
        <v>42515</v>
      </c>
      <c r="FK1749">
        <v>2015</v>
      </c>
      <c r="FL1749">
        <v>432.67</v>
      </c>
      <c r="FM1749" t="s">
        <v>17277</v>
      </c>
      <c r="FN1749">
        <v>15.25</v>
      </c>
      <c r="FO1749" t="s">
        <v>424</v>
      </c>
      <c r="FP1749" t="s">
        <v>425</v>
      </c>
      <c r="FQ1749" s="1">
        <v>42614</v>
      </c>
      <c r="FR1749">
        <v>4</v>
      </c>
      <c r="FS1749">
        <v>2035919</v>
      </c>
      <c r="FT1749" t="s">
        <v>507</v>
      </c>
      <c r="FV1749" s="1">
        <v>42151</v>
      </c>
      <c r="FW1749">
        <v>2014</v>
      </c>
      <c r="FX1749">
        <v>434.74</v>
      </c>
      <c r="FY1749" t="s">
        <v>17278</v>
      </c>
      <c r="FZ1749">
        <v>0.25</v>
      </c>
      <c r="GA1749" t="s">
        <v>424</v>
      </c>
      <c r="GB1749" t="s">
        <v>425</v>
      </c>
      <c r="GC1749" s="1">
        <v>42611</v>
      </c>
      <c r="GD1749">
        <v>15</v>
      </c>
      <c r="GE1749">
        <v>4975594</v>
      </c>
      <c r="GF1749" t="s">
        <v>457</v>
      </c>
      <c r="GH1749" s="1">
        <v>42151</v>
      </c>
      <c r="GI1749">
        <v>2014</v>
      </c>
      <c r="GJ1749">
        <v>434.74</v>
      </c>
      <c r="GK1749" t="s">
        <v>17278</v>
      </c>
      <c r="GL1749">
        <v>0.25</v>
      </c>
      <c r="GM1749" t="s">
        <v>424</v>
      </c>
      <c r="GN1749" t="s">
        <v>425</v>
      </c>
      <c r="GP1749">
        <v>22</v>
      </c>
      <c r="GQ1749">
        <v>6675490</v>
      </c>
      <c r="GR1749" t="s">
        <v>17279</v>
      </c>
      <c r="GT1749" s="1">
        <v>41052</v>
      </c>
      <c r="GU1749">
        <v>2011</v>
      </c>
      <c r="GV1749">
        <v>780.65</v>
      </c>
      <c r="GW1749" t="s">
        <v>17280</v>
      </c>
      <c r="GX1749">
        <v>18</v>
      </c>
      <c r="GY1749" t="s">
        <v>424</v>
      </c>
      <c r="GZ1749" t="s">
        <v>425</v>
      </c>
      <c r="HA1749" s="1">
        <v>41089</v>
      </c>
      <c r="HB1749">
        <v>1</v>
      </c>
      <c r="HC1749">
        <v>11265</v>
      </c>
      <c r="HD1749" t="s">
        <v>17231</v>
      </c>
      <c r="HF1749" s="1">
        <v>40688</v>
      </c>
      <c r="HG1749">
        <v>2010</v>
      </c>
      <c r="HH1749">
        <v>1265.6199999999999</v>
      </c>
      <c r="HI1749" t="s">
        <v>17281</v>
      </c>
      <c r="HJ1749">
        <v>9</v>
      </c>
      <c r="HK1749" t="s">
        <v>424</v>
      </c>
      <c r="HL1749" t="s">
        <v>425</v>
      </c>
      <c r="HM1749" s="1">
        <v>41089</v>
      </c>
      <c r="HN1749">
        <v>13</v>
      </c>
      <c r="HO1749">
        <v>11325</v>
      </c>
      <c r="HP1749" t="s">
        <v>2402</v>
      </c>
    </row>
    <row r="1750" spans="1:236" x14ac:dyDescent="0.25">
      <c r="A1750">
        <v>16486757</v>
      </c>
      <c r="B1750">
        <v>1749</v>
      </c>
      <c r="C1750" t="s">
        <v>393</v>
      </c>
      <c r="D1750" t="s">
        <v>394</v>
      </c>
      <c r="F1750" t="str">
        <f>"41-3N-28-1250-0056-0000"</f>
        <v>41-3N-28-1250-0056-0000</v>
      </c>
      <c r="H1750" t="str">
        <f t="shared" si="642"/>
        <v>LIGHTHOUSE POINTE DEV LLC</v>
      </c>
      <c r="I1750" t="str">
        <f t="shared" si="638"/>
        <v>PO BOX 17833</v>
      </c>
      <c r="J1750" t="str">
        <f t="shared" si="639"/>
        <v>JACKSONVILLE FL 32245</v>
      </c>
      <c r="K1750" t="str">
        <f>"28968 GRANDVIEW MNR"</f>
        <v>28968 GRANDVIEW MNR</v>
      </c>
      <c r="L1750" t="str">
        <f t="shared" si="637"/>
        <v>YULEE FL 32097</v>
      </c>
      <c r="M1750" t="str">
        <f>"LOT 56 PT OR 1938/1054 LIGHTHOUSE POINTE 2 PB 7/145"</f>
        <v>LOT 56 PT OR 1938/1054 LIGHTHOUSE POINTE 2 PB 7/145</v>
      </c>
      <c r="N1750" t="str">
        <f>""</f>
        <v/>
      </c>
      <c r="O1750" t="str">
        <f>"46846"</f>
        <v>46846</v>
      </c>
      <c r="P1750" t="str">
        <f t="shared" si="628"/>
        <v>2017</v>
      </c>
      <c r="Q1750" t="str">
        <f>""</f>
        <v/>
      </c>
      <c r="R1750" t="str">
        <f t="shared" si="635"/>
        <v>N</v>
      </c>
      <c r="S1750" t="str">
        <f>""</f>
        <v/>
      </c>
      <c r="T1750" t="str">
        <f>"975.36"</f>
        <v>975.36</v>
      </c>
      <c r="U1750" t="str">
        <f t="shared" si="641"/>
        <v>29222.00</v>
      </c>
      <c r="V1750" t="str">
        <f t="shared" si="641"/>
        <v>29222.00</v>
      </c>
      <c r="W1750" t="str">
        <f t="shared" si="630"/>
        <v>2017</v>
      </c>
      <c r="X1750" t="str">
        <f>"20.57"</f>
        <v>20.57</v>
      </c>
      <c r="Y1750" t="str">
        <f>"1036.62"</f>
        <v>1036.62</v>
      </c>
      <c r="Z1750" t="str">
        <f>""</f>
        <v/>
      </c>
      <c r="AA1750" t="str">
        <f>"110000.00"</f>
        <v>110000.00</v>
      </c>
      <c r="AB1750" t="str">
        <f t="shared" si="633"/>
        <v>Residential</v>
      </c>
      <c r="AC1750" t="str">
        <f t="shared" si="609"/>
        <v>0</v>
      </c>
      <c r="AD1750" t="str">
        <f>""</f>
        <v/>
      </c>
      <c r="AE1750" t="str">
        <f>""</f>
        <v/>
      </c>
      <c r="AF1750" t="str">
        <f t="shared" si="636"/>
        <v>000</v>
      </c>
      <c r="AG1750" t="str">
        <f t="shared" si="634"/>
        <v>FL</v>
      </c>
      <c r="AH1750" t="str">
        <f t="shared" si="640"/>
        <v>-</v>
      </c>
      <c r="AI1750" t="str">
        <f>"110000.00"</f>
        <v>110000.00</v>
      </c>
      <c r="AJ1750" t="str">
        <f>"C55-000-976-8048-2"</f>
        <v>C55-000-976-8048-2</v>
      </c>
      <c r="AK1750" t="str">
        <f>"31633"</f>
        <v>31633</v>
      </c>
      <c r="AL1750">
        <v>7</v>
      </c>
      <c r="AM1750">
        <v>1996</v>
      </c>
      <c r="AN1750">
        <v>1086.8499999999999</v>
      </c>
      <c r="AQ1750" t="s">
        <v>17282</v>
      </c>
      <c r="AR1750" t="s">
        <v>17282</v>
      </c>
      <c r="AS1750" t="s">
        <v>17282</v>
      </c>
      <c r="AU1750" t="s">
        <v>396</v>
      </c>
      <c r="AV1750">
        <v>2017</v>
      </c>
      <c r="AW1750" t="str">
        <f>"41-3N-28-1250-0056-0000 "</f>
        <v xml:space="preserve">41-3N-28-1250-0056-0000 </v>
      </c>
      <c r="AX1750">
        <v>28968</v>
      </c>
      <c r="AZ1750" t="s">
        <v>17210</v>
      </c>
      <c r="BD1750" t="s">
        <v>2387</v>
      </c>
      <c r="BE1750" t="s">
        <v>393</v>
      </c>
      <c r="BF1750">
        <v>32097</v>
      </c>
      <c r="BG1750" t="s">
        <v>17283</v>
      </c>
      <c r="BH1750" t="s">
        <v>2388</v>
      </c>
      <c r="BI1750">
        <v>-81.546010426376498</v>
      </c>
      <c r="BJ1750">
        <v>30.685592056307001</v>
      </c>
      <c r="BK1750" t="s">
        <v>17211</v>
      </c>
      <c r="BM1750" t="s">
        <v>17212</v>
      </c>
      <c r="BN1750" t="s">
        <v>548</v>
      </c>
      <c r="BO1750">
        <v>32245</v>
      </c>
      <c r="BP1750" t="s">
        <v>404</v>
      </c>
      <c r="BQ1750">
        <v>0</v>
      </c>
      <c r="BR1750" t="s">
        <v>491</v>
      </c>
      <c r="BS1750">
        <v>8001</v>
      </c>
      <c r="BT1750" t="s">
        <v>492</v>
      </c>
      <c r="BW1750">
        <v>12691</v>
      </c>
      <c r="BX1750" t="s">
        <v>407</v>
      </c>
      <c r="BY1750" t="s">
        <v>3019</v>
      </c>
      <c r="CD1750">
        <v>2017</v>
      </c>
      <c r="CE1750">
        <v>110000</v>
      </c>
      <c r="CG1750">
        <v>110000</v>
      </c>
      <c r="CH1750">
        <v>2017</v>
      </c>
      <c r="CI1750">
        <v>110000</v>
      </c>
      <c r="CK1750">
        <v>110000</v>
      </c>
      <c r="CL1750">
        <v>2017</v>
      </c>
      <c r="CM1750">
        <v>975.36</v>
      </c>
      <c r="CN1750" s="1">
        <v>41901</v>
      </c>
      <c r="CO1750">
        <v>2599000</v>
      </c>
      <c r="CZ1750" s="1">
        <v>41901</v>
      </c>
      <c r="DD1750" t="s">
        <v>2387</v>
      </c>
      <c r="DF1750">
        <v>56</v>
      </c>
      <c r="DG1750">
        <v>41</v>
      </c>
      <c r="DJ1750" t="s">
        <v>17267</v>
      </c>
      <c r="DL1750">
        <v>50301</v>
      </c>
      <c r="DM1750" t="s">
        <v>17237</v>
      </c>
      <c r="DO1750" t="s">
        <v>17284</v>
      </c>
      <c r="DP1750">
        <v>0</v>
      </c>
      <c r="DQ1750">
        <v>0</v>
      </c>
      <c r="DR1750" t="s">
        <v>411</v>
      </c>
      <c r="DS1750" t="b">
        <v>1</v>
      </c>
      <c r="DT1750" t="s">
        <v>470</v>
      </c>
      <c r="DU1750" t="s">
        <v>10249</v>
      </c>
      <c r="DV1750" t="s">
        <v>472</v>
      </c>
      <c r="DX1750">
        <v>-9999</v>
      </c>
      <c r="DZ1750" t="s">
        <v>447</v>
      </c>
      <c r="EA1750" t="s">
        <v>448</v>
      </c>
      <c r="EB1750" t="s">
        <v>17259</v>
      </c>
      <c r="EC1750">
        <v>20101217</v>
      </c>
      <c r="ED1750" t="s">
        <v>10251</v>
      </c>
      <c r="EE1750">
        <v>5</v>
      </c>
      <c r="EF1750">
        <v>27.3</v>
      </c>
      <c r="EG1750">
        <v>0</v>
      </c>
      <c r="EI1750">
        <v>20160407</v>
      </c>
      <c r="EJ1750">
        <v>0</v>
      </c>
      <c r="EK1750">
        <v>0</v>
      </c>
      <c r="EP1750" t="s">
        <v>421</v>
      </c>
      <c r="EQ1750" t="s">
        <v>422</v>
      </c>
      <c r="ER1750">
        <v>1</v>
      </c>
      <c r="ES1750">
        <v>5</v>
      </c>
      <c r="ET1750">
        <v>1081.08</v>
      </c>
      <c r="EU1750">
        <v>60.3</v>
      </c>
      <c r="EV1750">
        <v>1141.3800000000001</v>
      </c>
      <c r="EW1750" s="2">
        <v>43222</v>
      </c>
      <c r="EX1750" s="1">
        <v>42879</v>
      </c>
      <c r="EY1750">
        <v>2016</v>
      </c>
      <c r="EZ1750">
        <v>1081.08</v>
      </c>
      <c r="FA1750" t="s">
        <v>17285</v>
      </c>
      <c r="FB1750">
        <v>0.25</v>
      </c>
      <c r="FC1750" t="s">
        <v>424</v>
      </c>
      <c r="FD1750" t="s">
        <v>454</v>
      </c>
      <c r="FF1750">
        <v>12</v>
      </c>
      <c r="FG1750">
        <v>2035919</v>
      </c>
      <c r="FH1750" t="s">
        <v>507</v>
      </c>
      <c r="FJ1750" s="1">
        <v>42515</v>
      </c>
      <c r="FK1750">
        <v>2015</v>
      </c>
      <c r="FL1750">
        <v>432.67</v>
      </c>
      <c r="FM1750" t="s">
        <v>17286</v>
      </c>
      <c r="FN1750">
        <v>15.25</v>
      </c>
      <c r="FO1750" t="s">
        <v>424</v>
      </c>
      <c r="FP1750" t="s">
        <v>425</v>
      </c>
      <c r="FQ1750" s="1">
        <v>42614</v>
      </c>
      <c r="FR1750">
        <v>4</v>
      </c>
      <c r="FS1750">
        <v>2035919</v>
      </c>
      <c r="FT1750" t="s">
        <v>507</v>
      </c>
      <c r="FV1750" s="1">
        <v>42151</v>
      </c>
      <c r="FW1750">
        <v>2014</v>
      </c>
      <c r="FX1750">
        <v>434.74</v>
      </c>
      <c r="FY1750" t="s">
        <v>17287</v>
      </c>
      <c r="FZ1750">
        <v>0.25</v>
      </c>
      <c r="GA1750" t="s">
        <v>424</v>
      </c>
      <c r="GB1750" t="s">
        <v>425</v>
      </c>
      <c r="GC1750" s="1">
        <v>42611</v>
      </c>
      <c r="GD1750">
        <v>15</v>
      </c>
      <c r="GE1750">
        <v>4975594</v>
      </c>
      <c r="GF1750" t="s">
        <v>457</v>
      </c>
      <c r="GH1750" s="1">
        <v>42151</v>
      </c>
      <c r="GI1750">
        <v>2014</v>
      </c>
      <c r="GJ1750">
        <v>434.74</v>
      </c>
      <c r="GK1750" t="s">
        <v>17287</v>
      </c>
      <c r="GL1750">
        <v>0.25</v>
      </c>
      <c r="GM1750" t="s">
        <v>424</v>
      </c>
      <c r="GN1750" t="s">
        <v>425</v>
      </c>
      <c r="GP1750">
        <v>22</v>
      </c>
      <c r="GQ1750">
        <v>6623002</v>
      </c>
      <c r="GR1750" t="s">
        <v>17288</v>
      </c>
      <c r="GT1750" s="1">
        <v>41052</v>
      </c>
      <c r="GU1750">
        <v>2011</v>
      </c>
      <c r="GV1750">
        <v>780.65</v>
      </c>
      <c r="GW1750" t="s">
        <v>17289</v>
      </c>
      <c r="GX1750">
        <v>18</v>
      </c>
      <c r="GY1750" t="s">
        <v>424</v>
      </c>
      <c r="GZ1750" t="s">
        <v>425</v>
      </c>
      <c r="HA1750" s="1">
        <v>41089</v>
      </c>
      <c r="HB1750">
        <v>1</v>
      </c>
      <c r="HC1750">
        <v>11265</v>
      </c>
      <c r="HD1750" t="s">
        <v>17231</v>
      </c>
      <c r="HF1750" s="1">
        <v>40688</v>
      </c>
      <c r="HG1750">
        <v>2010</v>
      </c>
      <c r="HH1750">
        <v>1265.6199999999999</v>
      </c>
      <c r="HI1750" t="s">
        <v>17290</v>
      </c>
      <c r="HJ1750">
        <v>9</v>
      </c>
      <c r="HK1750" t="s">
        <v>424</v>
      </c>
      <c r="HL1750" t="s">
        <v>425</v>
      </c>
      <c r="HM1750" s="1">
        <v>41089</v>
      </c>
      <c r="HN1750">
        <v>13</v>
      </c>
      <c r="HO1750">
        <v>11325</v>
      </c>
      <c r="HP1750" t="s">
        <v>2402</v>
      </c>
    </row>
    <row r="1751" spans="1:236" x14ac:dyDescent="0.25">
      <c r="A1751">
        <v>16486758</v>
      </c>
      <c r="B1751">
        <v>1750</v>
      </c>
      <c r="C1751" t="s">
        <v>393</v>
      </c>
      <c r="D1751" t="s">
        <v>394</v>
      </c>
      <c r="F1751" t="str">
        <f>"41-3N-28-1250-0057-0000"</f>
        <v>41-3N-28-1250-0057-0000</v>
      </c>
      <c r="H1751" t="str">
        <f t="shared" si="642"/>
        <v>LIGHTHOUSE POINTE DEV LLC</v>
      </c>
      <c r="I1751" t="str">
        <f t="shared" si="638"/>
        <v>PO BOX 17833</v>
      </c>
      <c r="J1751" t="str">
        <f t="shared" si="639"/>
        <v>JACKSONVILLE FL 32245</v>
      </c>
      <c r="K1751" t="str">
        <f>"28990 GRANDVIEW MNR"</f>
        <v>28990 GRANDVIEW MNR</v>
      </c>
      <c r="L1751" t="str">
        <f t="shared" si="637"/>
        <v>YULEE FL 32097</v>
      </c>
      <c r="M1751" t="str">
        <f>"LOT 57 PT OR 1938/1054 LIGHTHOUSE POINTE 2 PB 7/145"</f>
        <v>LOT 57 PT OR 1938/1054 LIGHTHOUSE POINTE 2 PB 7/145</v>
      </c>
      <c r="N1751" t="str">
        <f>""</f>
        <v/>
      </c>
      <c r="O1751" t="str">
        <f>"46847"</f>
        <v>46847</v>
      </c>
      <c r="P1751" t="str">
        <f t="shared" si="628"/>
        <v>2017</v>
      </c>
      <c r="Q1751" t="str">
        <f>""</f>
        <v/>
      </c>
      <c r="R1751" t="str">
        <f t="shared" si="635"/>
        <v>N</v>
      </c>
      <c r="S1751" t="str">
        <f>""</f>
        <v/>
      </c>
      <c r="T1751" t="str">
        <f>"975.36"</f>
        <v>975.36</v>
      </c>
      <c r="U1751" t="str">
        <f t="shared" si="641"/>
        <v>29222.00</v>
      </c>
      <c r="V1751" t="str">
        <f t="shared" si="641"/>
        <v>29222.00</v>
      </c>
      <c r="W1751" t="str">
        <f t="shared" si="630"/>
        <v>2017</v>
      </c>
      <c r="X1751" t="str">
        <f>"20.57"</f>
        <v>20.57</v>
      </c>
      <c r="Y1751" t="str">
        <f>"1036.62"</f>
        <v>1036.62</v>
      </c>
      <c r="Z1751" t="str">
        <f>""</f>
        <v/>
      </c>
      <c r="AA1751" t="str">
        <f>"110000.00"</f>
        <v>110000.00</v>
      </c>
      <c r="AB1751" t="str">
        <f t="shared" si="633"/>
        <v>Residential</v>
      </c>
      <c r="AC1751" t="str">
        <f t="shared" si="609"/>
        <v>0</v>
      </c>
      <c r="AD1751" t="str">
        <f>""</f>
        <v/>
      </c>
      <c r="AE1751" t="str">
        <f>""</f>
        <v/>
      </c>
      <c r="AF1751" t="str">
        <f t="shared" si="636"/>
        <v>000</v>
      </c>
      <c r="AG1751" t="str">
        <f t="shared" si="634"/>
        <v>FL</v>
      </c>
      <c r="AH1751" t="str">
        <f t="shared" si="640"/>
        <v>-</v>
      </c>
      <c r="AI1751" t="str">
        <f>"110000.00"</f>
        <v>110000.00</v>
      </c>
      <c r="AJ1751" t="str">
        <f>"C55-000-969-7817-6"</f>
        <v>C55-000-969-7817-6</v>
      </c>
      <c r="AK1751" t="str">
        <f>"31634"</f>
        <v>31634</v>
      </c>
      <c r="AL1751">
        <v>7</v>
      </c>
      <c r="AM1751">
        <v>1997</v>
      </c>
      <c r="AN1751">
        <v>1086.8499999999999</v>
      </c>
      <c r="AQ1751" t="s">
        <v>17291</v>
      </c>
      <c r="AR1751" t="s">
        <v>17291</v>
      </c>
      <c r="AS1751" t="s">
        <v>17291</v>
      </c>
      <c r="AU1751" t="s">
        <v>396</v>
      </c>
      <c r="AV1751">
        <v>2017</v>
      </c>
      <c r="AW1751" t="str">
        <f>"41-3N-28-1250-0057-0000 "</f>
        <v xml:space="preserve">41-3N-28-1250-0057-0000 </v>
      </c>
      <c r="AX1751">
        <v>28990</v>
      </c>
      <c r="AZ1751" t="s">
        <v>17210</v>
      </c>
      <c r="BD1751" t="s">
        <v>2387</v>
      </c>
      <c r="BE1751" t="s">
        <v>393</v>
      </c>
      <c r="BF1751">
        <v>32097</v>
      </c>
      <c r="BG1751" t="s">
        <v>17292</v>
      </c>
      <c r="BH1751" t="s">
        <v>2388</v>
      </c>
      <c r="BI1751">
        <v>-81.5458631455773</v>
      </c>
      <c r="BJ1751">
        <v>30.685391420384999</v>
      </c>
      <c r="BK1751" t="s">
        <v>17211</v>
      </c>
      <c r="BM1751" t="s">
        <v>17212</v>
      </c>
      <c r="BN1751" t="s">
        <v>548</v>
      </c>
      <c r="BO1751">
        <v>32245</v>
      </c>
      <c r="BP1751" t="s">
        <v>404</v>
      </c>
      <c r="BQ1751">
        <v>0</v>
      </c>
      <c r="BR1751" t="s">
        <v>491</v>
      </c>
      <c r="BS1751">
        <v>8001</v>
      </c>
      <c r="BT1751" t="s">
        <v>492</v>
      </c>
      <c r="BW1751">
        <v>13181</v>
      </c>
      <c r="BX1751" t="s">
        <v>407</v>
      </c>
      <c r="BY1751" t="s">
        <v>3019</v>
      </c>
      <c r="CD1751">
        <v>2017</v>
      </c>
      <c r="CE1751">
        <v>110000</v>
      </c>
      <c r="CG1751">
        <v>110000</v>
      </c>
      <c r="CH1751">
        <v>2017</v>
      </c>
      <c r="CI1751">
        <v>110000</v>
      </c>
      <c r="CK1751">
        <v>110000</v>
      </c>
      <c r="CL1751">
        <v>2017</v>
      </c>
      <c r="CM1751">
        <v>975.36</v>
      </c>
      <c r="CN1751" s="1">
        <v>41901</v>
      </c>
      <c r="CO1751">
        <v>2599000</v>
      </c>
      <c r="CZ1751" s="1">
        <v>41901</v>
      </c>
      <c r="DD1751" t="s">
        <v>2387</v>
      </c>
      <c r="DF1751">
        <v>57</v>
      </c>
      <c r="DG1751">
        <v>41</v>
      </c>
      <c r="DJ1751" t="s">
        <v>17267</v>
      </c>
      <c r="DL1751">
        <v>50301</v>
      </c>
      <c r="DM1751" t="s">
        <v>17237</v>
      </c>
      <c r="DO1751" t="s">
        <v>17293</v>
      </c>
      <c r="DP1751">
        <v>0</v>
      </c>
      <c r="DQ1751">
        <v>0</v>
      </c>
      <c r="DR1751" t="s">
        <v>411</v>
      </c>
      <c r="DS1751" t="b">
        <v>1</v>
      </c>
      <c r="DT1751" t="s">
        <v>470</v>
      </c>
      <c r="DU1751" t="s">
        <v>10249</v>
      </c>
      <c r="DV1751" t="s">
        <v>472</v>
      </c>
      <c r="DX1751">
        <v>-9999</v>
      </c>
      <c r="DZ1751" t="s">
        <v>447</v>
      </c>
      <c r="EA1751" t="s">
        <v>448</v>
      </c>
      <c r="EB1751" t="s">
        <v>17259</v>
      </c>
      <c r="EC1751">
        <v>20101217</v>
      </c>
      <c r="ED1751" t="s">
        <v>10251</v>
      </c>
      <c r="EE1751">
        <v>5</v>
      </c>
      <c r="EF1751">
        <v>40.700000000000003</v>
      </c>
      <c r="EG1751">
        <v>0</v>
      </c>
      <c r="EI1751">
        <v>20160407</v>
      </c>
      <c r="EJ1751">
        <v>0</v>
      </c>
      <c r="EK1751">
        <v>0</v>
      </c>
      <c r="EP1751" t="s">
        <v>421</v>
      </c>
      <c r="EQ1751" t="s">
        <v>422</v>
      </c>
      <c r="ER1751">
        <v>1</v>
      </c>
      <c r="ES1751">
        <v>5</v>
      </c>
      <c r="ET1751">
        <v>1081.08</v>
      </c>
      <c r="EU1751">
        <v>60.3</v>
      </c>
      <c r="EV1751">
        <v>1141.3800000000001</v>
      </c>
      <c r="EW1751" s="2">
        <v>43222</v>
      </c>
      <c r="EX1751" s="1">
        <v>42879</v>
      </c>
      <c r="EY1751">
        <v>2016</v>
      </c>
      <c r="EZ1751">
        <v>1081.08</v>
      </c>
      <c r="FA1751" t="s">
        <v>17294</v>
      </c>
      <c r="FB1751">
        <v>3.5</v>
      </c>
      <c r="FC1751" t="s">
        <v>424</v>
      </c>
      <c r="FD1751" t="s">
        <v>454</v>
      </c>
      <c r="FF1751">
        <v>12</v>
      </c>
      <c r="FG1751">
        <v>2035919</v>
      </c>
      <c r="FH1751" t="s">
        <v>507</v>
      </c>
      <c r="FJ1751" s="1">
        <v>42515</v>
      </c>
      <c r="FK1751">
        <v>2015</v>
      </c>
      <c r="FL1751">
        <v>432.67</v>
      </c>
      <c r="FM1751" t="s">
        <v>17295</v>
      </c>
      <c r="FN1751">
        <v>15.25</v>
      </c>
      <c r="FO1751" t="s">
        <v>424</v>
      </c>
      <c r="FP1751" t="s">
        <v>425</v>
      </c>
      <c r="FQ1751" s="1">
        <v>42614</v>
      </c>
      <c r="FR1751">
        <v>4</v>
      </c>
      <c r="FS1751">
        <v>2035919</v>
      </c>
      <c r="FT1751" t="s">
        <v>507</v>
      </c>
      <c r="FV1751" s="1">
        <v>42151</v>
      </c>
      <c r="FW1751">
        <v>2014</v>
      </c>
      <c r="FX1751">
        <v>434.74</v>
      </c>
      <c r="FY1751" t="s">
        <v>17296</v>
      </c>
      <c r="FZ1751">
        <v>0.25</v>
      </c>
      <c r="GA1751" t="s">
        <v>424</v>
      </c>
      <c r="GB1751" t="s">
        <v>425</v>
      </c>
      <c r="GC1751" s="1">
        <v>42611</v>
      </c>
      <c r="GD1751">
        <v>15</v>
      </c>
      <c r="GE1751">
        <v>4975594</v>
      </c>
      <c r="GF1751" t="s">
        <v>457</v>
      </c>
      <c r="GH1751" s="1">
        <v>42151</v>
      </c>
      <c r="GI1751">
        <v>2014</v>
      </c>
      <c r="GJ1751">
        <v>434.74</v>
      </c>
      <c r="GK1751" t="s">
        <v>17296</v>
      </c>
      <c r="GL1751">
        <v>0.25</v>
      </c>
      <c r="GM1751" t="s">
        <v>424</v>
      </c>
      <c r="GN1751" t="s">
        <v>425</v>
      </c>
      <c r="GP1751">
        <v>22</v>
      </c>
      <c r="GQ1751">
        <v>6509806</v>
      </c>
      <c r="GR1751" t="s">
        <v>17297</v>
      </c>
      <c r="GT1751" s="1">
        <v>41052</v>
      </c>
      <c r="GU1751">
        <v>2011</v>
      </c>
      <c r="GV1751">
        <v>780.65</v>
      </c>
      <c r="GW1751" t="s">
        <v>17298</v>
      </c>
      <c r="GX1751">
        <v>18</v>
      </c>
      <c r="GY1751" t="s">
        <v>424</v>
      </c>
      <c r="GZ1751" t="s">
        <v>425</v>
      </c>
      <c r="HA1751" s="1">
        <v>41089</v>
      </c>
      <c r="HB1751">
        <v>1</v>
      </c>
      <c r="HC1751">
        <v>11265</v>
      </c>
      <c r="HD1751" t="s">
        <v>17231</v>
      </c>
      <c r="HF1751" s="1">
        <v>40688</v>
      </c>
      <c r="HG1751">
        <v>2010</v>
      </c>
      <c r="HH1751">
        <v>1265.6199999999999</v>
      </c>
      <c r="HI1751" t="s">
        <v>17299</v>
      </c>
      <c r="HJ1751">
        <v>9</v>
      </c>
      <c r="HK1751" t="s">
        <v>424</v>
      </c>
      <c r="HL1751" t="s">
        <v>425</v>
      </c>
      <c r="HM1751" s="1">
        <v>41089</v>
      </c>
      <c r="HN1751">
        <v>13</v>
      </c>
      <c r="HO1751">
        <v>11325</v>
      </c>
      <c r="HP1751" t="s">
        <v>2402</v>
      </c>
    </row>
    <row r="1752" spans="1:236" x14ac:dyDescent="0.25">
      <c r="A1752">
        <v>16486759</v>
      </c>
      <c r="B1752">
        <v>1751</v>
      </c>
      <c r="C1752" t="s">
        <v>393</v>
      </c>
      <c r="D1752" t="s">
        <v>394</v>
      </c>
      <c r="F1752" t="str">
        <f>"41-3N-28-1250-0065-0000"</f>
        <v>41-3N-28-1250-0065-0000</v>
      </c>
      <c r="H1752" t="str">
        <f t="shared" si="642"/>
        <v>LIGHTHOUSE POINTE DEV LLC</v>
      </c>
      <c r="I1752" t="str">
        <f t="shared" si="638"/>
        <v>PO BOX 17833</v>
      </c>
      <c r="J1752" t="str">
        <f t="shared" si="639"/>
        <v>JACKSONVILLE FL 32245</v>
      </c>
      <c r="K1752" t="str">
        <f>"29114 GRANDVIEW MNR"</f>
        <v>29114 GRANDVIEW MNR</v>
      </c>
      <c r="L1752" t="str">
        <f t="shared" si="637"/>
        <v>YULEE FL 32097</v>
      </c>
      <c r="M1752" t="str">
        <f>"LOT 65 PT OR 1938/1054 LIGHTHOUSE POINTE 2 PB 7/145"</f>
        <v>LOT 65 PT OR 1938/1054 LIGHTHOUSE POINTE 2 PB 7/145</v>
      </c>
      <c r="N1752" t="str">
        <f>""</f>
        <v/>
      </c>
      <c r="O1752" t="str">
        <f>"46855"</f>
        <v>46855</v>
      </c>
      <c r="P1752" t="str">
        <f t="shared" si="628"/>
        <v>2017</v>
      </c>
      <c r="Q1752" t="str">
        <f>""</f>
        <v/>
      </c>
      <c r="R1752" t="str">
        <f t="shared" si="635"/>
        <v>N</v>
      </c>
      <c r="S1752" t="str">
        <f>""</f>
        <v/>
      </c>
      <c r="T1752" t="str">
        <f>"843.40"</f>
        <v>843.40</v>
      </c>
      <c r="U1752" t="str">
        <f t="shared" si="641"/>
        <v>29222.00</v>
      </c>
      <c r="V1752" t="str">
        <f t="shared" si="641"/>
        <v>29222.00</v>
      </c>
      <c r="W1752" t="str">
        <f t="shared" si="630"/>
        <v>2017</v>
      </c>
      <c r="X1752" t="str">
        <f>"20.57"</f>
        <v>20.57</v>
      </c>
      <c r="Y1752" t="str">
        <f>"900.70"</f>
        <v>900.70</v>
      </c>
      <c r="Z1752" t="str">
        <f>""</f>
        <v/>
      </c>
      <c r="AA1752" t="str">
        <f>"90000.00"</f>
        <v>90000.00</v>
      </c>
      <c r="AB1752" t="str">
        <f t="shared" si="633"/>
        <v>Residential</v>
      </c>
      <c r="AC1752" t="str">
        <f t="shared" ref="AC1752:AC1820" si="643">"0"</f>
        <v>0</v>
      </c>
      <c r="AD1752" t="str">
        <f>""</f>
        <v/>
      </c>
      <c r="AE1752" t="str">
        <f>""</f>
        <v/>
      </c>
      <c r="AF1752" t="str">
        <f t="shared" si="636"/>
        <v>000</v>
      </c>
      <c r="AG1752" t="str">
        <f t="shared" si="634"/>
        <v>FL</v>
      </c>
      <c r="AH1752" t="str">
        <f t="shared" si="640"/>
        <v>-</v>
      </c>
      <c r="AI1752" t="str">
        <f>"90000.00"</f>
        <v>90000.00</v>
      </c>
      <c r="AJ1752" t="str">
        <f>"C55-000-969-7825-9"</f>
        <v>C55-000-969-7825-9</v>
      </c>
      <c r="AK1752" t="str">
        <f>"31642"</f>
        <v>31642</v>
      </c>
      <c r="AL1752">
        <v>7</v>
      </c>
      <c r="AM1752">
        <v>1998</v>
      </c>
      <c r="AN1752">
        <v>944.14</v>
      </c>
      <c r="AQ1752" t="s">
        <v>17300</v>
      </c>
      <c r="AR1752" t="s">
        <v>17300</v>
      </c>
      <c r="AS1752" t="s">
        <v>17300</v>
      </c>
      <c r="AU1752" t="s">
        <v>396</v>
      </c>
      <c r="AV1752">
        <v>2017</v>
      </c>
      <c r="AW1752" t="str">
        <f>"41-3N-28-1250-0065-0000 "</f>
        <v xml:space="preserve">41-3N-28-1250-0065-0000 </v>
      </c>
      <c r="AX1752">
        <v>29114</v>
      </c>
      <c r="AZ1752" t="s">
        <v>17210</v>
      </c>
      <c r="BD1752" t="s">
        <v>2387</v>
      </c>
      <c r="BE1752" t="s">
        <v>393</v>
      </c>
      <c r="BF1752">
        <v>32097</v>
      </c>
      <c r="BG1752" t="s">
        <v>17301</v>
      </c>
      <c r="BH1752" t="s">
        <v>2388</v>
      </c>
      <c r="BI1752">
        <v>-81.545533761595294</v>
      </c>
      <c r="BJ1752">
        <v>30.683328069752399</v>
      </c>
      <c r="BK1752" t="s">
        <v>17211</v>
      </c>
      <c r="BM1752" t="s">
        <v>17212</v>
      </c>
      <c r="BN1752" t="s">
        <v>548</v>
      </c>
      <c r="BO1752">
        <v>32245</v>
      </c>
      <c r="BP1752" t="s">
        <v>404</v>
      </c>
      <c r="BQ1752">
        <v>0</v>
      </c>
      <c r="BR1752" t="s">
        <v>491</v>
      </c>
      <c r="BS1752">
        <v>8001</v>
      </c>
      <c r="BT1752" t="s">
        <v>492</v>
      </c>
      <c r="BW1752">
        <v>16494</v>
      </c>
      <c r="BX1752" t="s">
        <v>407</v>
      </c>
      <c r="BY1752" t="s">
        <v>3019</v>
      </c>
      <c r="CD1752">
        <v>2017</v>
      </c>
      <c r="CE1752">
        <v>90000</v>
      </c>
      <c r="CG1752">
        <v>90000</v>
      </c>
      <c r="CH1752">
        <v>2017</v>
      </c>
      <c r="CI1752">
        <v>90000</v>
      </c>
      <c r="CK1752">
        <v>90000</v>
      </c>
      <c r="CL1752">
        <v>2017</v>
      </c>
      <c r="CM1752">
        <v>843.4</v>
      </c>
      <c r="CN1752" s="1">
        <v>41901</v>
      </c>
      <c r="CO1752">
        <v>2599000</v>
      </c>
      <c r="CZ1752" s="1">
        <v>41901</v>
      </c>
      <c r="DD1752" t="s">
        <v>2387</v>
      </c>
      <c r="DF1752">
        <v>65</v>
      </c>
      <c r="DG1752">
        <v>41</v>
      </c>
      <c r="DJ1752" t="s">
        <v>17267</v>
      </c>
      <c r="DL1752">
        <v>50301</v>
      </c>
      <c r="DM1752" t="s">
        <v>17237</v>
      </c>
      <c r="DO1752" t="s">
        <v>17302</v>
      </c>
      <c r="DP1752">
        <v>0</v>
      </c>
      <c r="DQ1752">
        <v>0</v>
      </c>
      <c r="DR1752" t="s">
        <v>411</v>
      </c>
      <c r="DS1752" t="b">
        <v>1</v>
      </c>
      <c r="DT1752" t="s">
        <v>8902</v>
      </c>
      <c r="DV1752" t="s">
        <v>446</v>
      </c>
      <c r="DX1752">
        <v>9</v>
      </c>
      <c r="DY1752" t="s">
        <v>11438</v>
      </c>
      <c r="DZ1752" t="s">
        <v>447</v>
      </c>
      <c r="EA1752" t="s">
        <v>448</v>
      </c>
      <c r="EB1752" t="s">
        <v>17303</v>
      </c>
      <c r="EC1752">
        <v>20101217</v>
      </c>
      <c r="ED1752" t="s">
        <v>450</v>
      </c>
      <c r="EE1752">
        <v>5</v>
      </c>
      <c r="EF1752">
        <v>0</v>
      </c>
      <c r="EG1752">
        <v>0</v>
      </c>
      <c r="EI1752">
        <v>20160407</v>
      </c>
      <c r="EJ1752">
        <v>0</v>
      </c>
      <c r="EK1752">
        <v>0</v>
      </c>
      <c r="EP1752" t="s">
        <v>421</v>
      </c>
      <c r="EQ1752" t="s">
        <v>422</v>
      </c>
      <c r="ER1752">
        <v>2</v>
      </c>
      <c r="ES1752">
        <v>5</v>
      </c>
      <c r="ET1752">
        <v>1868.26</v>
      </c>
      <c r="EU1752">
        <v>105.91</v>
      </c>
      <c r="EV1752">
        <v>1974.17</v>
      </c>
      <c r="EW1752" s="2">
        <v>43222</v>
      </c>
      <c r="EX1752" s="1">
        <v>42879</v>
      </c>
      <c r="EY1752">
        <v>2016</v>
      </c>
      <c r="EZ1752">
        <v>934.13</v>
      </c>
      <c r="FA1752" t="s">
        <v>17304</v>
      </c>
      <c r="FB1752">
        <v>0.25</v>
      </c>
      <c r="FC1752" t="s">
        <v>424</v>
      </c>
      <c r="FD1752" t="s">
        <v>454</v>
      </c>
      <c r="FF1752">
        <v>12</v>
      </c>
      <c r="FG1752">
        <v>11289</v>
      </c>
      <c r="FH1752" t="s">
        <v>787</v>
      </c>
      <c r="FJ1752" s="1">
        <v>42879</v>
      </c>
      <c r="FK1752">
        <v>2016</v>
      </c>
      <c r="FL1752">
        <v>934.13</v>
      </c>
      <c r="FM1752" t="s">
        <v>17304</v>
      </c>
      <c r="FN1752">
        <v>0.25</v>
      </c>
      <c r="FO1752" t="s">
        <v>424</v>
      </c>
      <c r="FP1752" t="s">
        <v>454</v>
      </c>
      <c r="FR1752">
        <v>12</v>
      </c>
      <c r="FS1752">
        <v>7056454</v>
      </c>
      <c r="FT1752" t="s">
        <v>17305</v>
      </c>
      <c r="FV1752" s="1">
        <v>42515</v>
      </c>
      <c r="FW1752">
        <v>2015</v>
      </c>
      <c r="FX1752">
        <v>432.67</v>
      </c>
      <c r="FY1752" t="s">
        <v>17306</v>
      </c>
      <c r="FZ1752">
        <v>15.25</v>
      </c>
      <c r="GA1752" t="s">
        <v>424</v>
      </c>
      <c r="GB1752" t="s">
        <v>425</v>
      </c>
      <c r="GC1752" s="1">
        <v>42614</v>
      </c>
      <c r="GD1752">
        <v>4</v>
      </c>
      <c r="GE1752">
        <v>2035919</v>
      </c>
      <c r="GF1752" t="s">
        <v>507</v>
      </c>
      <c r="GH1752" s="1">
        <v>42151</v>
      </c>
      <c r="GI1752">
        <v>2014</v>
      </c>
      <c r="GJ1752">
        <v>434.74</v>
      </c>
      <c r="GK1752" t="s">
        <v>17307</v>
      </c>
      <c r="GL1752">
        <v>0.25</v>
      </c>
      <c r="GM1752" t="s">
        <v>424</v>
      </c>
      <c r="GN1752" t="s">
        <v>425</v>
      </c>
      <c r="GO1752" s="1">
        <v>42611</v>
      </c>
      <c r="GP1752">
        <v>15</v>
      </c>
      <c r="GQ1752">
        <v>4975594</v>
      </c>
      <c r="GR1752" t="s">
        <v>457</v>
      </c>
      <c r="GT1752" s="1">
        <v>42151</v>
      </c>
      <c r="GU1752">
        <v>2014</v>
      </c>
      <c r="GV1752">
        <v>434.74</v>
      </c>
      <c r="GW1752" t="s">
        <v>17307</v>
      </c>
      <c r="GX1752">
        <v>0.25</v>
      </c>
      <c r="GY1752" t="s">
        <v>424</v>
      </c>
      <c r="GZ1752" t="s">
        <v>425</v>
      </c>
      <c r="HB1752">
        <v>22</v>
      </c>
      <c r="HC1752">
        <v>6496506</v>
      </c>
      <c r="HD1752" t="s">
        <v>17308</v>
      </c>
      <c r="HF1752" s="1">
        <v>41052</v>
      </c>
      <c r="HG1752">
        <v>2011</v>
      </c>
      <c r="HH1752">
        <v>780.65</v>
      </c>
      <c r="HI1752" t="s">
        <v>17309</v>
      </c>
      <c r="HJ1752">
        <v>18</v>
      </c>
      <c r="HK1752" t="s">
        <v>424</v>
      </c>
      <c r="HL1752" t="s">
        <v>425</v>
      </c>
      <c r="HM1752" s="1">
        <v>41089</v>
      </c>
      <c r="HN1752">
        <v>1</v>
      </c>
      <c r="HO1752">
        <v>11265</v>
      </c>
      <c r="HP1752" t="s">
        <v>17231</v>
      </c>
      <c r="HR1752" s="1">
        <v>40688</v>
      </c>
      <c r="HS1752">
        <v>2010</v>
      </c>
      <c r="HT1752">
        <v>1265.6199999999999</v>
      </c>
      <c r="HU1752" t="s">
        <v>17310</v>
      </c>
      <c r="HV1752">
        <v>9</v>
      </c>
      <c r="HW1752" t="s">
        <v>424</v>
      </c>
      <c r="HX1752" t="s">
        <v>425</v>
      </c>
      <c r="HY1752" s="1">
        <v>41089</v>
      </c>
      <c r="HZ1752">
        <v>13</v>
      </c>
      <c r="IA1752">
        <v>11325</v>
      </c>
      <c r="IB1752" t="s">
        <v>2402</v>
      </c>
    </row>
    <row r="1753" spans="1:236" x14ac:dyDescent="0.25">
      <c r="A1753">
        <v>16486760</v>
      </c>
      <c r="B1753">
        <v>1752</v>
      </c>
      <c r="C1753" t="s">
        <v>393</v>
      </c>
      <c r="D1753" t="s">
        <v>394</v>
      </c>
      <c r="F1753" t="str">
        <f>"41-3N-28-1250-0070-0000"</f>
        <v>41-3N-28-1250-0070-0000</v>
      </c>
      <c r="H1753" t="str">
        <f t="shared" si="642"/>
        <v>LIGHTHOUSE POINTE DEV LLC</v>
      </c>
      <c r="I1753" t="str">
        <f t="shared" si="638"/>
        <v>PO BOX 17833</v>
      </c>
      <c r="J1753" t="str">
        <f t="shared" si="639"/>
        <v>JACKSONVILLE FL 32245</v>
      </c>
      <c r="K1753" t="str">
        <f>"29184 GRANDVIEW MNR"</f>
        <v>29184 GRANDVIEW MNR</v>
      </c>
      <c r="L1753" t="str">
        <f t="shared" si="637"/>
        <v>YULEE FL 32097</v>
      </c>
      <c r="M1753" t="str">
        <f>"LOT 70 PT OR 1938/1054 LIGHTHOUSE POINTE 2 PB 7/145"</f>
        <v>LOT 70 PT OR 1938/1054 LIGHTHOUSE POINTE 2 PB 7/145</v>
      </c>
      <c r="N1753" t="str">
        <f>""</f>
        <v/>
      </c>
      <c r="O1753" t="str">
        <f>"46860"</f>
        <v>46860</v>
      </c>
      <c r="P1753" t="str">
        <f t="shared" si="628"/>
        <v>2017</v>
      </c>
      <c r="Q1753" t="str">
        <f>""</f>
        <v/>
      </c>
      <c r="R1753" t="str">
        <f t="shared" si="635"/>
        <v>N</v>
      </c>
      <c r="S1753" t="str">
        <f>""</f>
        <v/>
      </c>
      <c r="T1753" t="str">
        <f t="shared" ref="T1753:T1758" si="644">"456.21"</f>
        <v>456.21</v>
      </c>
      <c r="U1753" t="str">
        <f t="shared" ref="U1753:V1773" si="645">"16335.00"</f>
        <v>16335.00</v>
      </c>
      <c r="V1753" t="str">
        <f t="shared" si="645"/>
        <v>16335.00</v>
      </c>
      <c r="W1753" t="str">
        <f t="shared" si="630"/>
        <v>2017</v>
      </c>
      <c r="X1753" t="str">
        <f>"18.75"</f>
        <v>18.75</v>
      </c>
      <c r="Y1753" t="str">
        <f t="shared" ref="Y1753:Y1758" si="646">"501.90"</f>
        <v>501.90</v>
      </c>
      <c r="Z1753" t="str">
        <f>""</f>
        <v/>
      </c>
      <c r="AA1753" t="str">
        <f t="shared" ref="AA1753:AA1758" si="647">"48000.00"</f>
        <v>48000.00</v>
      </c>
      <c r="AB1753" t="str">
        <f t="shared" si="633"/>
        <v>Residential</v>
      </c>
      <c r="AC1753" t="str">
        <f t="shared" si="643"/>
        <v>0</v>
      </c>
      <c r="AD1753" t="str">
        <f>""</f>
        <v/>
      </c>
      <c r="AE1753" t="str">
        <f>""</f>
        <v/>
      </c>
      <c r="AF1753" t="str">
        <f t="shared" si="636"/>
        <v>000</v>
      </c>
      <c r="AG1753" t="str">
        <f t="shared" si="634"/>
        <v>FL</v>
      </c>
      <c r="AH1753" t="str">
        <f t="shared" si="640"/>
        <v>-</v>
      </c>
      <c r="AI1753" t="str">
        <f t="shared" ref="AI1753:AI1758" si="648">"48000.00"</f>
        <v>48000.00</v>
      </c>
      <c r="AJ1753" t="str">
        <f>"C55-000-969-7830-9"</f>
        <v>C55-000-969-7830-9</v>
      </c>
      <c r="AK1753" t="str">
        <f>"31647"</f>
        <v>31647</v>
      </c>
      <c r="AL1753">
        <v>7</v>
      </c>
      <c r="AM1753">
        <v>1999</v>
      </c>
      <c r="AN1753">
        <v>525.4</v>
      </c>
      <c r="AQ1753" t="s">
        <v>17311</v>
      </c>
      <c r="AR1753" t="s">
        <v>17311</v>
      </c>
      <c r="AS1753" t="s">
        <v>17311</v>
      </c>
      <c r="AU1753" t="s">
        <v>396</v>
      </c>
      <c r="AV1753">
        <v>2017</v>
      </c>
      <c r="AW1753" t="str">
        <f>"41-3N-28-1250-0070-0000 "</f>
        <v xml:space="preserve">41-3N-28-1250-0070-0000 </v>
      </c>
      <c r="AX1753">
        <v>29184</v>
      </c>
      <c r="AZ1753" t="s">
        <v>17210</v>
      </c>
      <c r="BD1753" t="s">
        <v>2387</v>
      </c>
      <c r="BE1753" t="s">
        <v>393</v>
      </c>
      <c r="BF1753">
        <v>32097</v>
      </c>
      <c r="BG1753" t="s">
        <v>17312</v>
      </c>
      <c r="BH1753" t="s">
        <v>2388</v>
      </c>
      <c r="BI1753">
        <v>-81.546854917212897</v>
      </c>
      <c r="BJ1753">
        <v>30.6827442460044</v>
      </c>
      <c r="BK1753" t="s">
        <v>17211</v>
      </c>
      <c r="BM1753" t="s">
        <v>17212</v>
      </c>
      <c r="BN1753" t="s">
        <v>548</v>
      </c>
      <c r="BO1753">
        <v>32245</v>
      </c>
      <c r="BP1753" t="s">
        <v>404</v>
      </c>
      <c r="BQ1753">
        <v>0</v>
      </c>
      <c r="BR1753" t="s">
        <v>491</v>
      </c>
      <c r="BS1753">
        <v>8001</v>
      </c>
      <c r="BT1753" t="s">
        <v>492</v>
      </c>
      <c r="BW1753">
        <v>17898</v>
      </c>
      <c r="BX1753" t="s">
        <v>407</v>
      </c>
      <c r="BY1753" t="s">
        <v>3019</v>
      </c>
      <c r="CD1753">
        <v>2017</v>
      </c>
      <c r="CE1753">
        <v>48000</v>
      </c>
      <c r="CG1753">
        <v>48000</v>
      </c>
      <c r="CH1753">
        <v>2017</v>
      </c>
      <c r="CI1753">
        <v>48000</v>
      </c>
      <c r="CK1753">
        <v>48000</v>
      </c>
      <c r="CL1753">
        <v>2017</v>
      </c>
      <c r="CM1753">
        <v>456.21</v>
      </c>
      <c r="CN1753" s="1">
        <v>41901</v>
      </c>
      <c r="CO1753">
        <v>2599000</v>
      </c>
      <c r="CZ1753" s="1">
        <v>41901</v>
      </c>
      <c r="DD1753" t="s">
        <v>2387</v>
      </c>
      <c r="DF1753">
        <v>70</v>
      </c>
      <c r="DG1753">
        <v>41</v>
      </c>
      <c r="DJ1753" t="s">
        <v>17267</v>
      </c>
      <c r="DL1753">
        <v>50301</v>
      </c>
      <c r="DM1753" t="s">
        <v>17237</v>
      </c>
      <c r="DO1753" t="s">
        <v>17313</v>
      </c>
      <c r="DP1753">
        <v>0</v>
      </c>
      <c r="DQ1753">
        <v>0</v>
      </c>
      <c r="DR1753" t="s">
        <v>411</v>
      </c>
      <c r="DS1753" t="b">
        <v>1</v>
      </c>
      <c r="DT1753" t="s">
        <v>8902</v>
      </c>
      <c r="DV1753" t="s">
        <v>446</v>
      </c>
      <c r="DX1753">
        <v>9</v>
      </c>
      <c r="DY1753" t="s">
        <v>11438</v>
      </c>
      <c r="DZ1753" t="s">
        <v>447</v>
      </c>
      <c r="EA1753" t="s">
        <v>448</v>
      </c>
      <c r="EB1753" t="s">
        <v>17303</v>
      </c>
      <c r="EC1753">
        <v>20101217</v>
      </c>
      <c r="ED1753" t="s">
        <v>450</v>
      </c>
      <c r="EE1753">
        <v>5</v>
      </c>
      <c r="EF1753">
        <v>0</v>
      </c>
      <c r="EG1753">
        <v>0</v>
      </c>
      <c r="EI1753">
        <v>20160407</v>
      </c>
      <c r="EJ1753">
        <v>0</v>
      </c>
      <c r="EK1753">
        <v>0</v>
      </c>
      <c r="EP1753" t="s">
        <v>421</v>
      </c>
      <c r="EQ1753" t="s">
        <v>422</v>
      </c>
      <c r="ER1753">
        <v>0</v>
      </c>
      <c r="ES1753">
        <v>6</v>
      </c>
      <c r="ET1753">
        <v>0</v>
      </c>
      <c r="EU1753">
        <v>0</v>
      </c>
      <c r="EV1753">
        <v>0</v>
      </c>
      <c r="EW1753" s="2">
        <v>43222</v>
      </c>
      <c r="EX1753" s="1">
        <v>42879</v>
      </c>
      <c r="EY1753">
        <v>2016</v>
      </c>
      <c r="EZ1753">
        <v>517.12</v>
      </c>
      <c r="FA1753" t="s">
        <v>17314</v>
      </c>
      <c r="FB1753">
        <v>4.75</v>
      </c>
      <c r="FC1753" t="s">
        <v>424</v>
      </c>
      <c r="FD1753" t="s">
        <v>425</v>
      </c>
      <c r="FE1753" s="1">
        <v>43054</v>
      </c>
      <c r="FF1753">
        <v>6</v>
      </c>
      <c r="FG1753">
        <v>5100525</v>
      </c>
      <c r="FH1753" t="s">
        <v>6804</v>
      </c>
      <c r="FJ1753" s="1">
        <v>42515</v>
      </c>
      <c r="FK1753">
        <v>2015</v>
      </c>
      <c r="FL1753">
        <v>251.57</v>
      </c>
      <c r="FM1753" t="s">
        <v>17315</v>
      </c>
      <c r="FN1753">
        <v>15.25</v>
      </c>
      <c r="FO1753" t="s">
        <v>424</v>
      </c>
      <c r="FP1753" t="s">
        <v>425</v>
      </c>
      <c r="FQ1753" s="1">
        <v>42614</v>
      </c>
      <c r="FR1753">
        <v>4</v>
      </c>
      <c r="FS1753">
        <v>2035919</v>
      </c>
      <c r="FT1753" t="s">
        <v>507</v>
      </c>
      <c r="FV1753" s="1">
        <v>42151</v>
      </c>
      <c r="FW1753">
        <v>2014</v>
      </c>
      <c r="FX1753">
        <v>252.74</v>
      </c>
      <c r="FY1753" t="s">
        <v>17316</v>
      </c>
      <c r="FZ1753">
        <v>0.25</v>
      </c>
      <c r="GA1753" t="s">
        <v>424</v>
      </c>
      <c r="GB1753" t="s">
        <v>425</v>
      </c>
      <c r="GC1753" s="1">
        <v>42611</v>
      </c>
      <c r="GD1753">
        <v>15</v>
      </c>
      <c r="GE1753">
        <v>4975594</v>
      </c>
      <c r="GF1753" t="s">
        <v>457</v>
      </c>
      <c r="GH1753" s="1">
        <v>42151</v>
      </c>
      <c r="GI1753">
        <v>2014</v>
      </c>
      <c r="GJ1753">
        <v>252.74</v>
      </c>
      <c r="GK1753" t="s">
        <v>17316</v>
      </c>
      <c r="GL1753">
        <v>0.25</v>
      </c>
      <c r="GM1753" t="s">
        <v>424</v>
      </c>
      <c r="GN1753" t="s">
        <v>425</v>
      </c>
      <c r="GP1753">
        <v>22</v>
      </c>
      <c r="GQ1753">
        <v>6247446</v>
      </c>
      <c r="GR1753" t="s">
        <v>17317</v>
      </c>
      <c r="GT1753" s="1">
        <v>41052</v>
      </c>
      <c r="GU1753">
        <v>2011</v>
      </c>
      <c r="GV1753">
        <v>388.99</v>
      </c>
      <c r="GW1753" t="s">
        <v>17318</v>
      </c>
      <c r="GX1753">
        <v>18</v>
      </c>
      <c r="GY1753" t="s">
        <v>424</v>
      </c>
      <c r="GZ1753" t="s">
        <v>425</v>
      </c>
      <c r="HA1753" s="1">
        <v>41089</v>
      </c>
      <c r="HB1753">
        <v>1</v>
      </c>
      <c r="HC1753">
        <v>11265</v>
      </c>
      <c r="HD1753" t="s">
        <v>17231</v>
      </c>
      <c r="HF1753" s="1">
        <v>40688</v>
      </c>
      <c r="HG1753">
        <v>2010</v>
      </c>
      <c r="HH1753">
        <v>850.88</v>
      </c>
      <c r="HI1753" t="s">
        <v>17319</v>
      </c>
      <c r="HJ1753">
        <v>9</v>
      </c>
      <c r="HK1753" t="s">
        <v>424</v>
      </c>
      <c r="HL1753" t="s">
        <v>425</v>
      </c>
      <c r="HM1753" s="1">
        <v>41089</v>
      </c>
      <c r="HN1753">
        <v>13</v>
      </c>
      <c r="HO1753">
        <v>11325</v>
      </c>
      <c r="HP1753" t="s">
        <v>2402</v>
      </c>
    </row>
    <row r="1754" spans="1:236" x14ac:dyDescent="0.25">
      <c r="A1754">
        <v>16486761</v>
      </c>
      <c r="B1754">
        <v>1753</v>
      </c>
      <c r="C1754" t="s">
        <v>393</v>
      </c>
      <c r="D1754" t="s">
        <v>394</v>
      </c>
      <c r="F1754" t="str">
        <f>"41-3N-28-1250-0072-0000"</f>
        <v>41-3N-28-1250-0072-0000</v>
      </c>
      <c r="H1754" t="str">
        <f t="shared" si="642"/>
        <v>LIGHTHOUSE POINTE DEV LLC</v>
      </c>
      <c r="I1754" t="str">
        <f t="shared" si="638"/>
        <v>PO BOX 17833</v>
      </c>
      <c r="J1754" t="str">
        <f t="shared" si="639"/>
        <v>JACKSONVILLE FL 32245</v>
      </c>
      <c r="K1754" t="str">
        <f>"29212 GRANDVIEW MNR"</f>
        <v>29212 GRANDVIEW MNR</v>
      </c>
      <c r="L1754" t="str">
        <f t="shared" si="637"/>
        <v>YULEE FL 32097</v>
      </c>
      <c r="M1754" t="str">
        <f>"LOT 72 PT OR 1938/1054 LIGHTHOUSE POINTE 2 PB 7/145"</f>
        <v>LOT 72 PT OR 1938/1054 LIGHTHOUSE POINTE 2 PB 7/145</v>
      </c>
      <c r="N1754" t="str">
        <f>""</f>
        <v/>
      </c>
      <c r="O1754" t="str">
        <f>"46862"</f>
        <v>46862</v>
      </c>
      <c r="P1754" t="str">
        <f t="shared" si="628"/>
        <v>2017</v>
      </c>
      <c r="Q1754" t="str">
        <f>""</f>
        <v/>
      </c>
      <c r="R1754" t="str">
        <f t="shared" si="635"/>
        <v>N</v>
      </c>
      <c r="S1754" t="str">
        <f>""</f>
        <v/>
      </c>
      <c r="T1754" t="str">
        <f t="shared" si="644"/>
        <v>456.21</v>
      </c>
      <c r="U1754" t="str">
        <f t="shared" si="645"/>
        <v>16335.00</v>
      </c>
      <c r="V1754" t="str">
        <f t="shared" si="645"/>
        <v>16335.00</v>
      </c>
      <c r="W1754" t="str">
        <f t="shared" si="630"/>
        <v>2017</v>
      </c>
      <c r="X1754" t="str">
        <f>"18.75"</f>
        <v>18.75</v>
      </c>
      <c r="Y1754" t="str">
        <f t="shared" si="646"/>
        <v>501.90</v>
      </c>
      <c r="Z1754" t="str">
        <f>""</f>
        <v/>
      </c>
      <c r="AA1754" t="str">
        <f t="shared" si="647"/>
        <v>48000.00</v>
      </c>
      <c r="AB1754" t="str">
        <f t="shared" si="633"/>
        <v>Residential</v>
      </c>
      <c r="AC1754" t="str">
        <f t="shared" si="643"/>
        <v>0</v>
      </c>
      <c r="AD1754" t="str">
        <f>""</f>
        <v/>
      </c>
      <c r="AE1754" t="str">
        <f>""</f>
        <v/>
      </c>
      <c r="AF1754" t="str">
        <f t="shared" si="636"/>
        <v>000</v>
      </c>
      <c r="AG1754" t="str">
        <f t="shared" si="634"/>
        <v>FL</v>
      </c>
      <c r="AH1754" t="str">
        <f t="shared" si="640"/>
        <v>-</v>
      </c>
      <c r="AI1754" t="str">
        <f t="shared" si="648"/>
        <v>48000.00</v>
      </c>
      <c r="AJ1754" t="str">
        <f>"C55-000-969-7832-5"</f>
        <v>C55-000-969-7832-5</v>
      </c>
      <c r="AK1754" t="str">
        <f>"31649"</f>
        <v>31649</v>
      </c>
      <c r="AL1754">
        <v>7</v>
      </c>
      <c r="AM1754">
        <v>2000</v>
      </c>
      <c r="AN1754">
        <v>525.4</v>
      </c>
      <c r="AQ1754" t="s">
        <v>17320</v>
      </c>
      <c r="AR1754" t="s">
        <v>17320</v>
      </c>
      <c r="AS1754" t="s">
        <v>17320</v>
      </c>
      <c r="AU1754" t="s">
        <v>396</v>
      </c>
      <c r="AV1754">
        <v>2017</v>
      </c>
      <c r="AW1754" t="str">
        <f>"41-3N-28-1250-0072-0000 "</f>
        <v xml:space="preserve">41-3N-28-1250-0072-0000 </v>
      </c>
      <c r="AX1754">
        <v>29212</v>
      </c>
      <c r="AZ1754" t="s">
        <v>17210</v>
      </c>
      <c r="BD1754" t="s">
        <v>2387</v>
      </c>
      <c r="BE1754" t="s">
        <v>393</v>
      </c>
      <c r="BF1754">
        <v>32097</v>
      </c>
      <c r="BG1754" t="s">
        <v>17321</v>
      </c>
      <c r="BH1754" t="s">
        <v>2388</v>
      </c>
      <c r="BI1754">
        <v>-81.547414391665896</v>
      </c>
      <c r="BJ1754">
        <v>30.682734201734799</v>
      </c>
      <c r="BK1754" t="s">
        <v>17211</v>
      </c>
      <c r="BM1754" t="s">
        <v>17212</v>
      </c>
      <c r="BN1754" t="s">
        <v>548</v>
      </c>
      <c r="BO1754">
        <v>32245</v>
      </c>
      <c r="BP1754" t="s">
        <v>404</v>
      </c>
      <c r="BQ1754">
        <v>0</v>
      </c>
      <c r="BR1754" t="s">
        <v>491</v>
      </c>
      <c r="BS1754">
        <v>8001</v>
      </c>
      <c r="BT1754" t="s">
        <v>492</v>
      </c>
      <c r="BW1754">
        <v>14269</v>
      </c>
      <c r="BX1754" t="s">
        <v>407</v>
      </c>
      <c r="BY1754" t="s">
        <v>3019</v>
      </c>
      <c r="CD1754">
        <v>2017</v>
      </c>
      <c r="CE1754">
        <v>48000</v>
      </c>
      <c r="CG1754">
        <v>48000</v>
      </c>
      <c r="CH1754">
        <v>2017</v>
      </c>
      <c r="CI1754">
        <v>48000</v>
      </c>
      <c r="CK1754">
        <v>48000</v>
      </c>
      <c r="CL1754">
        <v>2017</v>
      </c>
      <c r="CM1754">
        <v>456.21</v>
      </c>
      <c r="CN1754" s="1">
        <v>41901</v>
      </c>
      <c r="CO1754">
        <v>2599000</v>
      </c>
      <c r="CZ1754" s="1">
        <v>41901</v>
      </c>
      <c r="DD1754" t="s">
        <v>2387</v>
      </c>
      <c r="DF1754">
        <v>72</v>
      </c>
      <c r="DG1754">
        <v>41</v>
      </c>
      <c r="DJ1754" t="s">
        <v>17267</v>
      </c>
      <c r="DL1754">
        <v>50301</v>
      </c>
      <c r="DM1754" t="s">
        <v>17237</v>
      </c>
      <c r="DO1754" t="s">
        <v>17322</v>
      </c>
      <c r="DP1754">
        <v>0</v>
      </c>
      <c r="DQ1754">
        <v>0</v>
      </c>
      <c r="DR1754" t="s">
        <v>411</v>
      </c>
      <c r="DS1754" t="b">
        <v>1</v>
      </c>
      <c r="DT1754" t="s">
        <v>470</v>
      </c>
      <c r="DU1754" t="s">
        <v>10249</v>
      </c>
      <c r="DV1754" t="s">
        <v>472</v>
      </c>
      <c r="DX1754">
        <v>-9999</v>
      </c>
      <c r="DZ1754" t="s">
        <v>447</v>
      </c>
      <c r="EA1754" t="s">
        <v>448</v>
      </c>
      <c r="EB1754" t="s">
        <v>17259</v>
      </c>
      <c r="EC1754">
        <v>20101217</v>
      </c>
      <c r="ED1754" t="s">
        <v>10251</v>
      </c>
      <c r="EE1754">
        <v>5</v>
      </c>
      <c r="EF1754">
        <v>16.5</v>
      </c>
      <c r="EG1754">
        <v>0</v>
      </c>
      <c r="EI1754">
        <v>20160407</v>
      </c>
      <c r="EJ1754">
        <v>0</v>
      </c>
      <c r="EK1754">
        <v>0</v>
      </c>
      <c r="EP1754" t="s">
        <v>421</v>
      </c>
      <c r="EQ1754" t="s">
        <v>422</v>
      </c>
      <c r="ER1754">
        <v>0</v>
      </c>
      <c r="ES1754">
        <v>6</v>
      </c>
      <c r="ET1754">
        <v>0</v>
      </c>
      <c r="EU1754">
        <v>0</v>
      </c>
      <c r="EV1754">
        <v>0</v>
      </c>
      <c r="EW1754" s="2">
        <v>43222</v>
      </c>
      <c r="EX1754" s="1">
        <v>42879</v>
      </c>
      <c r="EY1754">
        <v>2016</v>
      </c>
      <c r="EZ1754">
        <v>517.12</v>
      </c>
      <c r="FA1754" t="s">
        <v>17323</v>
      </c>
      <c r="FB1754">
        <v>4.75</v>
      </c>
      <c r="FC1754" t="s">
        <v>424</v>
      </c>
      <c r="FD1754" t="s">
        <v>425</v>
      </c>
      <c r="FE1754" s="1">
        <v>43054</v>
      </c>
      <c r="FF1754">
        <v>6</v>
      </c>
      <c r="FG1754">
        <v>5100525</v>
      </c>
      <c r="FH1754" t="s">
        <v>6804</v>
      </c>
      <c r="FJ1754" s="1">
        <v>42515</v>
      </c>
      <c r="FK1754">
        <v>2015</v>
      </c>
      <c r="FL1754">
        <v>251.57</v>
      </c>
      <c r="FM1754" t="s">
        <v>17324</v>
      </c>
      <c r="FN1754">
        <v>15.25</v>
      </c>
      <c r="FO1754" t="s">
        <v>424</v>
      </c>
      <c r="FP1754" t="s">
        <v>425</v>
      </c>
      <c r="FQ1754" s="1">
        <v>42614</v>
      </c>
      <c r="FR1754">
        <v>4</v>
      </c>
      <c r="FS1754">
        <v>2035919</v>
      </c>
      <c r="FT1754" t="s">
        <v>507</v>
      </c>
      <c r="FV1754" s="1">
        <v>42151</v>
      </c>
      <c r="FW1754">
        <v>2014</v>
      </c>
      <c r="FX1754">
        <v>252.74</v>
      </c>
      <c r="FY1754" t="s">
        <v>17325</v>
      </c>
      <c r="FZ1754">
        <v>0.25</v>
      </c>
      <c r="GA1754" t="s">
        <v>424</v>
      </c>
      <c r="GB1754" t="s">
        <v>425</v>
      </c>
      <c r="GC1754" s="1">
        <v>42611</v>
      </c>
      <c r="GD1754">
        <v>15</v>
      </c>
      <c r="GE1754">
        <v>4975594</v>
      </c>
      <c r="GF1754" t="s">
        <v>457</v>
      </c>
      <c r="GH1754" s="1">
        <v>42151</v>
      </c>
      <c r="GI1754">
        <v>2014</v>
      </c>
      <c r="GJ1754">
        <v>252.74</v>
      </c>
      <c r="GK1754" t="s">
        <v>17325</v>
      </c>
      <c r="GL1754">
        <v>0.25</v>
      </c>
      <c r="GM1754" t="s">
        <v>424</v>
      </c>
      <c r="GN1754" t="s">
        <v>425</v>
      </c>
      <c r="GP1754">
        <v>22</v>
      </c>
      <c r="GQ1754">
        <v>6406878</v>
      </c>
      <c r="GR1754" t="s">
        <v>17326</v>
      </c>
      <c r="GT1754" s="1">
        <v>41052</v>
      </c>
      <c r="GU1754">
        <v>2011</v>
      </c>
      <c r="GV1754">
        <v>388.99</v>
      </c>
      <c r="GW1754" t="s">
        <v>17327</v>
      </c>
      <c r="GX1754">
        <v>18</v>
      </c>
      <c r="GY1754" t="s">
        <v>424</v>
      </c>
      <c r="GZ1754" t="s">
        <v>425</v>
      </c>
      <c r="HA1754" s="1">
        <v>41089</v>
      </c>
      <c r="HB1754">
        <v>1</v>
      </c>
      <c r="HC1754">
        <v>11265</v>
      </c>
      <c r="HD1754" t="s">
        <v>17231</v>
      </c>
      <c r="HF1754" s="1">
        <v>40688</v>
      </c>
      <c r="HG1754">
        <v>2010</v>
      </c>
      <c r="HH1754">
        <v>850.88</v>
      </c>
      <c r="HI1754" t="s">
        <v>17328</v>
      </c>
      <c r="HJ1754">
        <v>9</v>
      </c>
      <c r="HK1754" t="s">
        <v>424</v>
      </c>
      <c r="HL1754" t="s">
        <v>425</v>
      </c>
      <c r="HM1754" s="1">
        <v>41089</v>
      </c>
      <c r="HN1754">
        <v>13</v>
      </c>
      <c r="HO1754">
        <v>11325</v>
      </c>
      <c r="HP1754" t="s">
        <v>2402</v>
      </c>
    </row>
    <row r="1755" spans="1:236" x14ac:dyDescent="0.25">
      <c r="A1755">
        <v>16486762</v>
      </c>
      <c r="B1755">
        <v>1754</v>
      </c>
      <c r="C1755" t="s">
        <v>393</v>
      </c>
      <c r="D1755" t="s">
        <v>394</v>
      </c>
      <c r="F1755" t="str">
        <f>"41-3N-28-1250-0073-0000"</f>
        <v>41-3N-28-1250-0073-0000</v>
      </c>
      <c r="H1755" t="str">
        <f t="shared" si="642"/>
        <v>LIGHTHOUSE POINTE DEV LLC</v>
      </c>
      <c r="I1755" t="str">
        <f t="shared" si="638"/>
        <v>PO BOX 17833</v>
      </c>
      <c r="J1755" t="str">
        <f t="shared" si="639"/>
        <v>JACKSONVILLE FL 32245</v>
      </c>
      <c r="K1755" t="str">
        <f>"29226 GRANDVIEW MNR"</f>
        <v>29226 GRANDVIEW MNR</v>
      </c>
      <c r="L1755" t="str">
        <f t="shared" si="637"/>
        <v>YULEE FL 32097</v>
      </c>
      <c r="M1755" t="str">
        <f>"LOT 73 PT OR 1938/1054 LIGHTHOUSE POINTE 2 PB 7/145"</f>
        <v>LOT 73 PT OR 1938/1054 LIGHTHOUSE POINTE 2 PB 7/145</v>
      </c>
      <c r="N1755" t="str">
        <f>""</f>
        <v/>
      </c>
      <c r="O1755" t="str">
        <f>"46863"</f>
        <v>46863</v>
      </c>
      <c r="P1755" t="str">
        <f t="shared" si="628"/>
        <v>2017</v>
      </c>
      <c r="Q1755" t="str">
        <f>""</f>
        <v/>
      </c>
      <c r="R1755" t="str">
        <f t="shared" si="635"/>
        <v>N</v>
      </c>
      <c r="S1755" t="str">
        <f>""</f>
        <v/>
      </c>
      <c r="T1755" t="str">
        <f t="shared" si="644"/>
        <v>456.21</v>
      </c>
      <c r="U1755" t="str">
        <f t="shared" si="645"/>
        <v>16335.00</v>
      </c>
      <c r="V1755" t="str">
        <f t="shared" si="645"/>
        <v>16335.00</v>
      </c>
      <c r="W1755" t="str">
        <f t="shared" si="630"/>
        <v>2017</v>
      </c>
      <c r="X1755" t="str">
        <f>"20.57"</f>
        <v>20.57</v>
      </c>
      <c r="Y1755" t="str">
        <f t="shared" si="646"/>
        <v>501.90</v>
      </c>
      <c r="Z1755" t="str">
        <f>""</f>
        <v/>
      </c>
      <c r="AA1755" t="str">
        <f t="shared" si="647"/>
        <v>48000.00</v>
      </c>
      <c r="AB1755" t="str">
        <f t="shared" si="633"/>
        <v>Residential</v>
      </c>
      <c r="AC1755" t="str">
        <f t="shared" si="643"/>
        <v>0</v>
      </c>
      <c r="AD1755" t="str">
        <f>""</f>
        <v/>
      </c>
      <c r="AE1755" t="str">
        <f>""</f>
        <v/>
      </c>
      <c r="AF1755" t="str">
        <f t="shared" si="636"/>
        <v>000</v>
      </c>
      <c r="AG1755" t="str">
        <f t="shared" si="634"/>
        <v>FL</v>
      </c>
      <c r="AH1755" t="str">
        <f t="shared" si="640"/>
        <v>-</v>
      </c>
      <c r="AI1755" t="str">
        <f t="shared" si="648"/>
        <v>48000.00</v>
      </c>
      <c r="AJ1755" t="str">
        <f>"C55-000-969-7833-3"</f>
        <v>C55-000-969-7833-3</v>
      </c>
      <c r="AK1755" t="str">
        <f>"31650"</f>
        <v>31650</v>
      </c>
      <c r="AL1755">
        <v>7</v>
      </c>
      <c r="AM1755">
        <v>2001</v>
      </c>
      <c r="AN1755">
        <v>525.4</v>
      </c>
      <c r="AQ1755" t="s">
        <v>17329</v>
      </c>
      <c r="AR1755" t="s">
        <v>17329</v>
      </c>
      <c r="AS1755" t="s">
        <v>17329</v>
      </c>
      <c r="AU1755" t="s">
        <v>396</v>
      </c>
      <c r="AV1755">
        <v>2017</v>
      </c>
      <c r="AW1755" t="str">
        <f>"41-3N-28-1250-0073-0000 "</f>
        <v xml:space="preserve">41-3N-28-1250-0073-0000 </v>
      </c>
      <c r="AX1755">
        <v>29226</v>
      </c>
      <c r="AZ1755" t="s">
        <v>17210</v>
      </c>
      <c r="BD1755" t="s">
        <v>2387</v>
      </c>
      <c r="BE1755" t="s">
        <v>393</v>
      </c>
      <c r="BF1755">
        <v>32097</v>
      </c>
      <c r="BG1755" t="s">
        <v>17330</v>
      </c>
      <c r="BH1755" t="s">
        <v>2388</v>
      </c>
      <c r="BI1755">
        <v>-81.5476613534329</v>
      </c>
      <c r="BJ1755">
        <v>30.6827466819413</v>
      </c>
      <c r="BK1755" t="s">
        <v>17211</v>
      </c>
      <c r="BM1755" t="s">
        <v>17212</v>
      </c>
      <c r="BN1755" t="s">
        <v>548</v>
      </c>
      <c r="BO1755">
        <v>32245</v>
      </c>
      <c r="BP1755" t="s">
        <v>404</v>
      </c>
      <c r="BQ1755">
        <v>0</v>
      </c>
      <c r="BR1755" t="s">
        <v>491</v>
      </c>
      <c r="BS1755">
        <v>8001</v>
      </c>
      <c r="BT1755" t="s">
        <v>492</v>
      </c>
      <c r="BW1755">
        <v>15308</v>
      </c>
      <c r="BX1755" t="s">
        <v>407</v>
      </c>
      <c r="BY1755" t="s">
        <v>3019</v>
      </c>
      <c r="CD1755">
        <v>2017</v>
      </c>
      <c r="CE1755">
        <v>48000</v>
      </c>
      <c r="CG1755">
        <v>48000</v>
      </c>
      <c r="CH1755">
        <v>2017</v>
      </c>
      <c r="CI1755">
        <v>48000</v>
      </c>
      <c r="CK1755">
        <v>48000</v>
      </c>
      <c r="CL1755">
        <v>2017</v>
      </c>
      <c r="CM1755">
        <v>456.21</v>
      </c>
      <c r="CN1755" s="1">
        <v>41901</v>
      </c>
      <c r="CO1755">
        <v>2599000</v>
      </c>
      <c r="CZ1755" s="1">
        <v>41901</v>
      </c>
      <c r="DD1755" t="s">
        <v>2387</v>
      </c>
      <c r="DF1755">
        <v>73</v>
      </c>
      <c r="DG1755">
        <v>41</v>
      </c>
      <c r="DJ1755" t="s">
        <v>17267</v>
      </c>
      <c r="DL1755">
        <v>50301</v>
      </c>
      <c r="DM1755" t="s">
        <v>17237</v>
      </c>
      <c r="DO1755" t="s">
        <v>17331</v>
      </c>
      <c r="DP1755">
        <v>0</v>
      </c>
      <c r="DQ1755">
        <v>0</v>
      </c>
      <c r="DR1755" t="s">
        <v>411</v>
      </c>
      <c r="DS1755" t="b">
        <v>1</v>
      </c>
      <c r="DT1755" t="s">
        <v>470</v>
      </c>
      <c r="DU1755" t="s">
        <v>10249</v>
      </c>
      <c r="DV1755" t="s">
        <v>472</v>
      </c>
      <c r="DX1755">
        <v>-9999</v>
      </c>
      <c r="DZ1755" t="s">
        <v>447</v>
      </c>
      <c r="EA1755" t="s">
        <v>448</v>
      </c>
      <c r="EB1755" t="s">
        <v>17259</v>
      </c>
      <c r="EC1755">
        <v>20101217</v>
      </c>
      <c r="ED1755" t="s">
        <v>10251</v>
      </c>
      <c r="EE1755">
        <v>5</v>
      </c>
      <c r="EF1755">
        <v>34.1</v>
      </c>
      <c r="EG1755">
        <v>0</v>
      </c>
      <c r="EI1755">
        <v>20160407</v>
      </c>
      <c r="EJ1755">
        <v>0</v>
      </c>
      <c r="EK1755">
        <v>0</v>
      </c>
      <c r="EP1755" t="s">
        <v>421</v>
      </c>
      <c r="EQ1755" t="s">
        <v>422</v>
      </c>
      <c r="ER1755">
        <v>1</v>
      </c>
      <c r="ES1755">
        <v>5</v>
      </c>
      <c r="ET1755">
        <v>517.12</v>
      </c>
      <c r="EU1755">
        <v>32.11</v>
      </c>
      <c r="EV1755">
        <v>549.23</v>
      </c>
      <c r="EW1755" s="2">
        <v>43222</v>
      </c>
      <c r="EX1755" s="1">
        <v>42879</v>
      </c>
      <c r="EY1755">
        <v>2016</v>
      </c>
      <c r="EZ1755">
        <v>517.12</v>
      </c>
      <c r="FA1755" t="s">
        <v>17332</v>
      </c>
      <c r="FB1755">
        <v>4.75</v>
      </c>
      <c r="FC1755" t="s">
        <v>424</v>
      </c>
      <c r="FD1755" t="s">
        <v>454</v>
      </c>
      <c r="FF1755">
        <v>12</v>
      </c>
      <c r="FG1755">
        <v>5100525</v>
      </c>
      <c r="FH1755" t="s">
        <v>6804</v>
      </c>
      <c r="FJ1755" s="1">
        <v>42515</v>
      </c>
      <c r="FK1755">
        <v>2015</v>
      </c>
      <c r="FL1755">
        <v>251.57</v>
      </c>
      <c r="FM1755" t="s">
        <v>17333</v>
      </c>
      <c r="FN1755">
        <v>15.25</v>
      </c>
      <c r="FO1755" t="s">
        <v>424</v>
      </c>
      <c r="FP1755" t="s">
        <v>425</v>
      </c>
      <c r="FQ1755" s="1">
        <v>42614</v>
      </c>
      <c r="FR1755">
        <v>4</v>
      </c>
      <c r="FS1755">
        <v>2035919</v>
      </c>
      <c r="FT1755" t="s">
        <v>507</v>
      </c>
      <c r="FV1755" s="1">
        <v>42151</v>
      </c>
      <c r="FW1755">
        <v>2014</v>
      </c>
      <c r="FX1755">
        <v>252.74</v>
      </c>
      <c r="FY1755" t="s">
        <v>17334</v>
      </c>
      <c r="FZ1755">
        <v>0.25</v>
      </c>
      <c r="GA1755" t="s">
        <v>424</v>
      </c>
      <c r="GB1755" t="s">
        <v>425</v>
      </c>
      <c r="GC1755" s="1">
        <v>42611</v>
      </c>
      <c r="GD1755">
        <v>15</v>
      </c>
      <c r="GE1755">
        <v>4975594</v>
      </c>
      <c r="GF1755" t="s">
        <v>457</v>
      </c>
      <c r="GH1755" s="1">
        <v>42151</v>
      </c>
      <c r="GI1755">
        <v>2014</v>
      </c>
      <c r="GJ1755">
        <v>252.74</v>
      </c>
      <c r="GK1755" t="s">
        <v>17334</v>
      </c>
      <c r="GL1755">
        <v>0.25</v>
      </c>
      <c r="GM1755" t="s">
        <v>424</v>
      </c>
      <c r="GN1755" t="s">
        <v>425</v>
      </c>
      <c r="GP1755">
        <v>22</v>
      </c>
      <c r="GQ1755">
        <v>6688887</v>
      </c>
      <c r="GR1755" t="s">
        <v>17335</v>
      </c>
      <c r="GT1755" s="1">
        <v>41052</v>
      </c>
      <c r="GU1755">
        <v>2011</v>
      </c>
      <c r="GV1755">
        <v>388.99</v>
      </c>
      <c r="GW1755" t="s">
        <v>17336</v>
      </c>
      <c r="GX1755">
        <v>18</v>
      </c>
      <c r="GY1755" t="s">
        <v>424</v>
      </c>
      <c r="GZ1755" t="s">
        <v>425</v>
      </c>
      <c r="HA1755" s="1">
        <v>41089</v>
      </c>
      <c r="HB1755">
        <v>1</v>
      </c>
      <c r="HC1755">
        <v>11265</v>
      </c>
      <c r="HD1755" t="s">
        <v>17231</v>
      </c>
      <c r="HF1755" s="1">
        <v>40688</v>
      </c>
      <c r="HG1755">
        <v>2010</v>
      </c>
      <c r="HH1755">
        <v>850.88</v>
      </c>
      <c r="HI1755" t="s">
        <v>17337</v>
      </c>
      <c r="HJ1755">
        <v>9</v>
      </c>
      <c r="HK1755" t="s">
        <v>424</v>
      </c>
      <c r="HL1755" t="s">
        <v>425</v>
      </c>
      <c r="HM1755" s="1">
        <v>41089</v>
      </c>
      <c r="HN1755">
        <v>13</v>
      </c>
      <c r="HO1755">
        <v>11325</v>
      </c>
      <c r="HP1755" t="s">
        <v>2402</v>
      </c>
    </row>
    <row r="1756" spans="1:236" x14ac:dyDescent="0.25">
      <c r="A1756">
        <v>16486763</v>
      </c>
      <c r="B1756">
        <v>1755</v>
      </c>
      <c r="C1756" t="s">
        <v>393</v>
      </c>
      <c r="D1756" t="s">
        <v>394</v>
      </c>
      <c r="F1756" t="str">
        <f>"41-3N-28-1250-0074-0000"</f>
        <v>41-3N-28-1250-0074-0000</v>
      </c>
      <c r="H1756" t="str">
        <f t="shared" si="642"/>
        <v>LIGHTHOUSE POINTE DEV LLC</v>
      </c>
      <c r="I1756" t="str">
        <f t="shared" si="638"/>
        <v>PO BOX 17833</v>
      </c>
      <c r="J1756" t="str">
        <f t="shared" si="639"/>
        <v>JACKSONVILLE FL 32245</v>
      </c>
      <c r="K1756" t="str">
        <f>"29242 GRANDVIEW MNR"</f>
        <v>29242 GRANDVIEW MNR</v>
      </c>
      <c r="L1756" t="str">
        <f t="shared" si="637"/>
        <v>YULEE FL 32097</v>
      </c>
      <c r="M1756" t="str">
        <f>"LOT 74 PT OR 1938/1054 LIGHTHOUSE POINTE 2 PB 7/145"</f>
        <v>LOT 74 PT OR 1938/1054 LIGHTHOUSE POINTE 2 PB 7/145</v>
      </c>
      <c r="N1756" t="str">
        <f>""</f>
        <v/>
      </c>
      <c r="O1756" t="str">
        <f>"46864"</f>
        <v>46864</v>
      </c>
      <c r="P1756" t="str">
        <f t="shared" si="628"/>
        <v>2017</v>
      </c>
      <c r="Q1756" t="str">
        <f>""</f>
        <v/>
      </c>
      <c r="R1756" t="str">
        <f t="shared" si="635"/>
        <v>N</v>
      </c>
      <c r="S1756" t="str">
        <f>""</f>
        <v/>
      </c>
      <c r="T1756" t="str">
        <f t="shared" si="644"/>
        <v>456.21</v>
      </c>
      <c r="U1756" t="str">
        <f t="shared" si="645"/>
        <v>16335.00</v>
      </c>
      <c r="V1756" t="str">
        <f t="shared" si="645"/>
        <v>16335.00</v>
      </c>
      <c r="W1756" t="str">
        <f t="shared" si="630"/>
        <v>2017</v>
      </c>
      <c r="X1756" t="str">
        <f>"18.75"</f>
        <v>18.75</v>
      </c>
      <c r="Y1756" t="str">
        <f t="shared" si="646"/>
        <v>501.90</v>
      </c>
      <c r="Z1756" t="str">
        <f>""</f>
        <v/>
      </c>
      <c r="AA1756" t="str">
        <f t="shared" si="647"/>
        <v>48000.00</v>
      </c>
      <c r="AB1756" t="str">
        <f t="shared" si="633"/>
        <v>Residential</v>
      </c>
      <c r="AC1756" t="str">
        <f t="shared" si="643"/>
        <v>0</v>
      </c>
      <c r="AD1756" t="str">
        <f>""</f>
        <v/>
      </c>
      <c r="AE1756" t="str">
        <f>""</f>
        <v/>
      </c>
      <c r="AF1756" t="str">
        <f t="shared" si="636"/>
        <v>000</v>
      </c>
      <c r="AG1756" t="str">
        <f t="shared" si="634"/>
        <v>FL</v>
      </c>
      <c r="AH1756" t="str">
        <f t="shared" si="640"/>
        <v>-</v>
      </c>
      <c r="AI1756" t="str">
        <f t="shared" si="648"/>
        <v>48000.00</v>
      </c>
      <c r="AJ1756" t="str">
        <f>"C55-000-969-7834-1"</f>
        <v>C55-000-969-7834-1</v>
      </c>
      <c r="AK1756" t="str">
        <f>"31651"</f>
        <v>31651</v>
      </c>
      <c r="AL1756">
        <v>7</v>
      </c>
      <c r="AM1756">
        <v>2002</v>
      </c>
      <c r="AN1756">
        <v>525.4</v>
      </c>
      <c r="AQ1756" t="s">
        <v>17338</v>
      </c>
      <c r="AR1756" t="s">
        <v>17338</v>
      </c>
      <c r="AS1756" t="s">
        <v>17338</v>
      </c>
      <c r="AU1756" t="s">
        <v>396</v>
      </c>
      <c r="AV1756">
        <v>2017</v>
      </c>
      <c r="AW1756" t="str">
        <f>"41-3N-28-1250-0074-0000 "</f>
        <v xml:space="preserve">41-3N-28-1250-0074-0000 </v>
      </c>
      <c r="AX1756">
        <v>29242</v>
      </c>
      <c r="AZ1756" t="s">
        <v>17210</v>
      </c>
      <c r="BD1756" t="s">
        <v>2387</v>
      </c>
      <c r="BE1756" t="s">
        <v>393</v>
      </c>
      <c r="BF1756">
        <v>32097</v>
      </c>
      <c r="BG1756" t="s">
        <v>17339</v>
      </c>
      <c r="BH1756" t="s">
        <v>2388</v>
      </c>
      <c r="BI1756">
        <v>-81.547920248500404</v>
      </c>
      <c r="BJ1756">
        <v>30.6827819833292</v>
      </c>
      <c r="BK1756" t="s">
        <v>17211</v>
      </c>
      <c r="BM1756" t="s">
        <v>17212</v>
      </c>
      <c r="BN1756" t="s">
        <v>548</v>
      </c>
      <c r="BO1756">
        <v>32245</v>
      </c>
      <c r="BP1756" t="s">
        <v>404</v>
      </c>
      <c r="BQ1756">
        <v>0</v>
      </c>
      <c r="BR1756" t="s">
        <v>491</v>
      </c>
      <c r="BS1756">
        <v>8001</v>
      </c>
      <c r="BT1756" t="s">
        <v>492</v>
      </c>
      <c r="BW1756">
        <v>13462</v>
      </c>
      <c r="BX1756" t="s">
        <v>407</v>
      </c>
      <c r="BY1756" t="s">
        <v>3019</v>
      </c>
      <c r="CD1756">
        <v>2017</v>
      </c>
      <c r="CE1756">
        <v>48000</v>
      </c>
      <c r="CG1756">
        <v>48000</v>
      </c>
      <c r="CH1756">
        <v>2017</v>
      </c>
      <c r="CI1756">
        <v>48000</v>
      </c>
      <c r="CK1756">
        <v>48000</v>
      </c>
      <c r="CL1756">
        <v>2017</v>
      </c>
      <c r="CM1756">
        <v>456.21</v>
      </c>
      <c r="CN1756" s="1">
        <v>41901</v>
      </c>
      <c r="CO1756">
        <v>2599000</v>
      </c>
      <c r="CZ1756" s="1">
        <v>41901</v>
      </c>
      <c r="DD1756" t="s">
        <v>2387</v>
      </c>
      <c r="DF1756">
        <v>74</v>
      </c>
      <c r="DG1756">
        <v>41</v>
      </c>
      <c r="DJ1756" t="s">
        <v>17267</v>
      </c>
      <c r="DL1756">
        <v>50301</v>
      </c>
      <c r="DM1756" t="s">
        <v>17237</v>
      </c>
      <c r="DO1756" t="s">
        <v>17340</v>
      </c>
      <c r="DP1756">
        <v>0</v>
      </c>
      <c r="DQ1756">
        <v>0</v>
      </c>
      <c r="DR1756" t="s">
        <v>411</v>
      </c>
      <c r="DS1756" t="b">
        <v>1</v>
      </c>
      <c r="DT1756" t="s">
        <v>470</v>
      </c>
      <c r="DU1756" t="s">
        <v>10249</v>
      </c>
      <c r="DV1756" t="s">
        <v>472</v>
      </c>
      <c r="DX1756">
        <v>-9999</v>
      </c>
      <c r="DZ1756" t="s">
        <v>447</v>
      </c>
      <c r="EA1756" t="s">
        <v>448</v>
      </c>
      <c r="EB1756" t="s">
        <v>17259</v>
      </c>
      <c r="EC1756">
        <v>20101217</v>
      </c>
      <c r="ED1756" t="s">
        <v>10251</v>
      </c>
      <c r="EE1756">
        <v>5</v>
      </c>
      <c r="EF1756">
        <v>38.700000000000003</v>
      </c>
      <c r="EG1756">
        <v>0</v>
      </c>
      <c r="EI1756">
        <v>20160407</v>
      </c>
      <c r="EJ1756">
        <v>0</v>
      </c>
      <c r="EK1756">
        <v>0</v>
      </c>
      <c r="EP1756" t="s">
        <v>421</v>
      </c>
      <c r="EQ1756" t="s">
        <v>422</v>
      </c>
      <c r="ER1756">
        <v>0</v>
      </c>
      <c r="ES1756">
        <v>6</v>
      </c>
      <c r="ET1756">
        <v>0</v>
      </c>
      <c r="EU1756">
        <v>0</v>
      </c>
      <c r="EV1756">
        <v>0</v>
      </c>
      <c r="EW1756" s="2">
        <v>43222</v>
      </c>
      <c r="EX1756" s="1">
        <v>42879</v>
      </c>
      <c r="EY1756">
        <v>2016</v>
      </c>
      <c r="EZ1756">
        <v>517.12</v>
      </c>
      <c r="FA1756" t="s">
        <v>17341</v>
      </c>
      <c r="FB1756">
        <v>4.75</v>
      </c>
      <c r="FC1756" t="s">
        <v>424</v>
      </c>
      <c r="FD1756" t="s">
        <v>425</v>
      </c>
      <c r="FE1756" s="1">
        <v>43054</v>
      </c>
      <c r="FF1756">
        <v>6</v>
      </c>
      <c r="FG1756">
        <v>5100525</v>
      </c>
      <c r="FH1756" t="s">
        <v>6804</v>
      </c>
      <c r="FJ1756" s="1">
        <v>42515</v>
      </c>
      <c r="FK1756">
        <v>2015</v>
      </c>
      <c r="FL1756">
        <v>251.57</v>
      </c>
      <c r="FM1756" t="s">
        <v>17342</v>
      </c>
      <c r="FN1756">
        <v>15.25</v>
      </c>
      <c r="FO1756" t="s">
        <v>424</v>
      </c>
      <c r="FP1756" t="s">
        <v>425</v>
      </c>
      <c r="FQ1756" s="1">
        <v>42614</v>
      </c>
      <c r="FR1756">
        <v>4</v>
      </c>
      <c r="FS1756">
        <v>2035919</v>
      </c>
      <c r="FT1756" t="s">
        <v>507</v>
      </c>
      <c r="FV1756" s="1">
        <v>42151</v>
      </c>
      <c r="FW1756">
        <v>2014</v>
      </c>
      <c r="FX1756">
        <v>252.74</v>
      </c>
      <c r="FY1756" t="s">
        <v>17343</v>
      </c>
      <c r="FZ1756">
        <v>0.25</v>
      </c>
      <c r="GA1756" t="s">
        <v>424</v>
      </c>
      <c r="GB1756" t="s">
        <v>425</v>
      </c>
      <c r="GC1756" s="1">
        <v>42611</v>
      </c>
      <c r="GD1756">
        <v>15</v>
      </c>
      <c r="GE1756">
        <v>4975594</v>
      </c>
      <c r="GF1756" t="s">
        <v>457</v>
      </c>
      <c r="GH1756" s="1">
        <v>42151</v>
      </c>
      <c r="GI1756">
        <v>2014</v>
      </c>
      <c r="GJ1756">
        <v>252.74</v>
      </c>
      <c r="GK1756" t="s">
        <v>17343</v>
      </c>
      <c r="GL1756">
        <v>0.25</v>
      </c>
      <c r="GM1756" t="s">
        <v>424</v>
      </c>
      <c r="GN1756" t="s">
        <v>425</v>
      </c>
      <c r="GP1756">
        <v>22</v>
      </c>
      <c r="GQ1756">
        <v>6399992</v>
      </c>
      <c r="GR1756" t="s">
        <v>17344</v>
      </c>
      <c r="GT1756" s="1">
        <v>41052</v>
      </c>
      <c r="GU1756">
        <v>2011</v>
      </c>
      <c r="GV1756">
        <v>388.99</v>
      </c>
      <c r="GW1756" t="s">
        <v>17345</v>
      </c>
      <c r="GX1756">
        <v>18</v>
      </c>
      <c r="GY1756" t="s">
        <v>424</v>
      </c>
      <c r="GZ1756" t="s">
        <v>425</v>
      </c>
      <c r="HA1756" s="1">
        <v>41089</v>
      </c>
      <c r="HB1756">
        <v>1</v>
      </c>
      <c r="HC1756">
        <v>11265</v>
      </c>
      <c r="HD1756" t="s">
        <v>17231</v>
      </c>
      <c r="HF1756" s="1">
        <v>40688</v>
      </c>
      <c r="HG1756">
        <v>2010</v>
      </c>
      <c r="HH1756">
        <v>850.88</v>
      </c>
      <c r="HI1756" t="s">
        <v>17346</v>
      </c>
      <c r="HJ1756">
        <v>9</v>
      </c>
      <c r="HK1756" t="s">
        <v>424</v>
      </c>
      <c r="HL1756" t="s">
        <v>425</v>
      </c>
      <c r="HM1756" s="1">
        <v>41089</v>
      </c>
      <c r="HN1756">
        <v>13</v>
      </c>
      <c r="HO1756">
        <v>11325</v>
      </c>
      <c r="HP1756" t="s">
        <v>2402</v>
      </c>
    </row>
    <row r="1757" spans="1:236" x14ac:dyDescent="0.25">
      <c r="A1757">
        <v>16486764</v>
      </c>
      <c r="B1757">
        <v>1756</v>
      </c>
      <c r="C1757" t="s">
        <v>393</v>
      </c>
      <c r="D1757" t="s">
        <v>394</v>
      </c>
      <c r="F1757" t="str">
        <f>"41-3N-28-1250-0075-0000"</f>
        <v>41-3N-28-1250-0075-0000</v>
      </c>
      <c r="H1757" t="str">
        <f t="shared" si="642"/>
        <v>LIGHTHOUSE POINTE DEV LLC</v>
      </c>
      <c r="I1757" t="str">
        <f t="shared" si="638"/>
        <v>PO BOX 17833</v>
      </c>
      <c r="J1757" t="str">
        <f t="shared" si="639"/>
        <v>JACKSONVILLE FL 32245</v>
      </c>
      <c r="K1757" t="str">
        <f>"29258 GRANDVIEW MNR"</f>
        <v>29258 GRANDVIEW MNR</v>
      </c>
      <c r="L1757" t="str">
        <f t="shared" si="637"/>
        <v>YULEE FL 32097</v>
      </c>
      <c r="M1757" t="str">
        <f>"LOT 75 PT OR 1938/1054 LIGHTHOUSE POINTE 2 PB 7/145"</f>
        <v>LOT 75 PT OR 1938/1054 LIGHTHOUSE POINTE 2 PB 7/145</v>
      </c>
      <c r="N1757" t="str">
        <f>""</f>
        <v/>
      </c>
      <c r="O1757" t="str">
        <f>"46865"</f>
        <v>46865</v>
      </c>
      <c r="P1757" t="str">
        <f t="shared" si="628"/>
        <v>2017</v>
      </c>
      <c r="Q1757" t="str">
        <f>""</f>
        <v/>
      </c>
      <c r="R1757" t="str">
        <f t="shared" si="635"/>
        <v>N</v>
      </c>
      <c r="S1757" t="str">
        <f>""</f>
        <v/>
      </c>
      <c r="T1757" t="str">
        <f t="shared" si="644"/>
        <v>456.21</v>
      </c>
      <c r="U1757" t="str">
        <f t="shared" si="645"/>
        <v>16335.00</v>
      </c>
      <c r="V1757" t="str">
        <f t="shared" si="645"/>
        <v>16335.00</v>
      </c>
      <c r="W1757" t="str">
        <f t="shared" si="630"/>
        <v>2017</v>
      </c>
      <c r="X1757" t="str">
        <f>"18.75"</f>
        <v>18.75</v>
      </c>
      <c r="Y1757" t="str">
        <f t="shared" si="646"/>
        <v>501.90</v>
      </c>
      <c r="Z1757" t="str">
        <f>""</f>
        <v/>
      </c>
      <c r="AA1757" t="str">
        <f t="shared" si="647"/>
        <v>48000.00</v>
      </c>
      <c r="AB1757" t="str">
        <f t="shared" si="633"/>
        <v>Residential</v>
      </c>
      <c r="AC1757" t="str">
        <f t="shared" si="643"/>
        <v>0</v>
      </c>
      <c r="AD1757" t="str">
        <f>""</f>
        <v/>
      </c>
      <c r="AE1757" t="str">
        <f>""</f>
        <v/>
      </c>
      <c r="AF1757" t="str">
        <f t="shared" si="636"/>
        <v>000</v>
      </c>
      <c r="AG1757" t="str">
        <f t="shared" si="634"/>
        <v>FL</v>
      </c>
      <c r="AH1757" t="str">
        <f t="shared" si="640"/>
        <v>-</v>
      </c>
      <c r="AI1757" t="str">
        <f t="shared" si="648"/>
        <v>48000.00</v>
      </c>
      <c r="AJ1757" t="str">
        <f>"C55-000-969-7835-8"</f>
        <v>C55-000-969-7835-8</v>
      </c>
      <c r="AK1757" t="str">
        <f>"31652"</f>
        <v>31652</v>
      </c>
      <c r="AL1757">
        <v>7</v>
      </c>
      <c r="AM1757">
        <v>2003</v>
      </c>
      <c r="AN1757">
        <v>525.4</v>
      </c>
      <c r="AQ1757" t="s">
        <v>17347</v>
      </c>
      <c r="AR1757" t="s">
        <v>17347</v>
      </c>
      <c r="AS1757" t="s">
        <v>17347</v>
      </c>
      <c r="AU1757" t="s">
        <v>396</v>
      </c>
      <c r="AV1757">
        <v>2017</v>
      </c>
      <c r="AW1757" t="str">
        <f>"41-3N-28-1250-0075-0000 "</f>
        <v xml:space="preserve">41-3N-28-1250-0075-0000 </v>
      </c>
      <c r="AX1757">
        <v>29258</v>
      </c>
      <c r="AZ1757" t="s">
        <v>17210</v>
      </c>
      <c r="BD1757" t="s">
        <v>2387</v>
      </c>
      <c r="BE1757" t="s">
        <v>393</v>
      </c>
      <c r="BF1757">
        <v>32097</v>
      </c>
      <c r="BG1757" t="s">
        <v>17348</v>
      </c>
      <c r="BH1757" t="s">
        <v>2388</v>
      </c>
      <c r="BI1757">
        <v>-81.548189172329302</v>
      </c>
      <c r="BJ1757">
        <v>30.6828128104199</v>
      </c>
      <c r="BK1757" t="s">
        <v>17211</v>
      </c>
      <c r="BM1757" t="s">
        <v>17212</v>
      </c>
      <c r="BN1757" t="s">
        <v>548</v>
      </c>
      <c r="BO1757">
        <v>32245</v>
      </c>
      <c r="BP1757" t="s">
        <v>404</v>
      </c>
      <c r="BQ1757">
        <v>0</v>
      </c>
      <c r="BR1757" t="s">
        <v>491</v>
      </c>
      <c r="BS1757">
        <v>8001</v>
      </c>
      <c r="BT1757" t="s">
        <v>492</v>
      </c>
      <c r="BW1757">
        <v>13155</v>
      </c>
      <c r="BX1757" t="s">
        <v>407</v>
      </c>
      <c r="BY1757" t="s">
        <v>3019</v>
      </c>
      <c r="CD1757">
        <v>2017</v>
      </c>
      <c r="CE1757">
        <v>48000</v>
      </c>
      <c r="CG1757">
        <v>48000</v>
      </c>
      <c r="CH1757">
        <v>2017</v>
      </c>
      <c r="CI1757">
        <v>48000</v>
      </c>
      <c r="CK1757">
        <v>48000</v>
      </c>
      <c r="CL1757">
        <v>2017</v>
      </c>
      <c r="CM1757">
        <v>456.21</v>
      </c>
      <c r="CN1757" s="1">
        <v>41901</v>
      </c>
      <c r="CO1757">
        <v>2599000</v>
      </c>
      <c r="CZ1757" s="1">
        <v>41901</v>
      </c>
      <c r="DD1757" t="s">
        <v>2387</v>
      </c>
      <c r="DF1757">
        <v>75</v>
      </c>
      <c r="DG1757">
        <v>41</v>
      </c>
      <c r="DJ1757" t="s">
        <v>17267</v>
      </c>
      <c r="DL1757">
        <v>50301</v>
      </c>
      <c r="DM1757" t="s">
        <v>17237</v>
      </c>
      <c r="DO1757" t="s">
        <v>17349</v>
      </c>
      <c r="DP1757">
        <v>0</v>
      </c>
      <c r="DQ1757">
        <v>0</v>
      </c>
      <c r="DR1757" t="s">
        <v>411</v>
      </c>
      <c r="DS1757" t="b">
        <v>1</v>
      </c>
      <c r="DT1757" t="s">
        <v>470</v>
      </c>
      <c r="DU1757" t="s">
        <v>10249</v>
      </c>
      <c r="DV1757" t="s">
        <v>472</v>
      </c>
      <c r="DX1757">
        <v>-9999</v>
      </c>
      <c r="DZ1757" t="s">
        <v>447</v>
      </c>
      <c r="EA1757" t="s">
        <v>448</v>
      </c>
      <c r="EB1757" t="s">
        <v>17259</v>
      </c>
      <c r="EC1757">
        <v>20101217</v>
      </c>
      <c r="ED1757" t="s">
        <v>10251</v>
      </c>
      <c r="EE1757">
        <v>5</v>
      </c>
      <c r="EF1757">
        <v>41.2</v>
      </c>
      <c r="EG1757">
        <v>0</v>
      </c>
      <c r="EI1757">
        <v>20160407</v>
      </c>
      <c r="EJ1757">
        <v>0</v>
      </c>
      <c r="EK1757">
        <v>0</v>
      </c>
      <c r="EP1757" t="s">
        <v>421</v>
      </c>
      <c r="EQ1757" t="s">
        <v>422</v>
      </c>
      <c r="ER1757">
        <v>0</v>
      </c>
      <c r="ES1757">
        <v>6</v>
      </c>
      <c r="ET1757">
        <v>0</v>
      </c>
      <c r="EU1757">
        <v>0</v>
      </c>
      <c r="EV1757">
        <v>0</v>
      </c>
      <c r="EW1757" s="2">
        <v>43222</v>
      </c>
      <c r="EX1757" s="1">
        <v>42879</v>
      </c>
      <c r="EY1757">
        <v>2016</v>
      </c>
      <c r="EZ1757">
        <v>517.12</v>
      </c>
      <c r="FA1757" t="s">
        <v>17350</v>
      </c>
      <c r="FB1757">
        <v>4.75</v>
      </c>
      <c r="FC1757" t="s">
        <v>424</v>
      </c>
      <c r="FD1757" t="s">
        <v>425</v>
      </c>
      <c r="FE1757" s="1">
        <v>43054</v>
      </c>
      <c r="FF1757">
        <v>6</v>
      </c>
      <c r="FG1757">
        <v>5100525</v>
      </c>
      <c r="FH1757" t="s">
        <v>6804</v>
      </c>
      <c r="FJ1757" s="1">
        <v>42515</v>
      </c>
      <c r="FK1757">
        <v>2015</v>
      </c>
      <c r="FL1757">
        <v>251.57</v>
      </c>
      <c r="FM1757" t="s">
        <v>17351</v>
      </c>
      <c r="FN1757">
        <v>15.25</v>
      </c>
      <c r="FO1757" t="s">
        <v>424</v>
      </c>
      <c r="FP1757" t="s">
        <v>425</v>
      </c>
      <c r="FQ1757" s="1">
        <v>42614</v>
      </c>
      <c r="FR1757">
        <v>4</v>
      </c>
      <c r="FS1757">
        <v>2035919</v>
      </c>
      <c r="FT1757" t="s">
        <v>507</v>
      </c>
      <c r="FV1757" s="1">
        <v>42151</v>
      </c>
      <c r="FW1757">
        <v>2014</v>
      </c>
      <c r="FX1757">
        <v>252.74</v>
      </c>
      <c r="FY1757" t="s">
        <v>17352</v>
      </c>
      <c r="FZ1757">
        <v>0.25</v>
      </c>
      <c r="GA1757" t="s">
        <v>424</v>
      </c>
      <c r="GB1757" t="s">
        <v>425</v>
      </c>
      <c r="GC1757" s="1">
        <v>42611</v>
      </c>
      <c r="GD1757">
        <v>15</v>
      </c>
      <c r="GE1757">
        <v>4975594</v>
      </c>
      <c r="GF1757" t="s">
        <v>457</v>
      </c>
      <c r="GH1757" s="1">
        <v>42151</v>
      </c>
      <c r="GI1757">
        <v>2014</v>
      </c>
      <c r="GJ1757">
        <v>252.74</v>
      </c>
      <c r="GK1757" t="s">
        <v>17352</v>
      </c>
      <c r="GL1757">
        <v>0.25</v>
      </c>
      <c r="GM1757" t="s">
        <v>424</v>
      </c>
      <c r="GN1757" t="s">
        <v>425</v>
      </c>
      <c r="GP1757">
        <v>22</v>
      </c>
      <c r="GQ1757">
        <v>6385061</v>
      </c>
      <c r="GR1757" t="s">
        <v>17353</v>
      </c>
      <c r="GT1757" s="1">
        <v>41052</v>
      </c>
      <c r="GU1757">
        <v>2011</v>
      </c>
      <c r="GV1757">
        <v>388.99</v>
      </c>
      <c r="GW1757" t="s">
        <v>17354</v>
      </c>
      <c r="GX1757">
        <v>18</v>
      </c>
      <c r="GY1757" t="s">
        <v>424</v>
      </c>
      <c r="GZ1757" t="s">
        <v>425</v>
      </c>
      <c r="HA1757" s="1">
        <v>41089</v>
      </c>
      <c r="HB1757">
        <v>1</v>
      </c>
      <c r="HC1757">
        <v>11265</v>
      </c>
      <c r="HD1757" t="s">
        <v>17231</v>
      </c>
      <c r="HF1757" s="1">
        <v>40688</v>
      </c>
      <c r="HG1757">
        <v>2010</v>
      </c>
      <c r="HH1757">
        <v>850.88</v>
      </c>
      <c r="HI1757" t="s">
        <v>17355</v>
      </c>
      <c r="HJ1757">
        <v>9</v>
      </c>
      <c r="HK1757" t="s">
        <v>424</v>
      </c>
      <c r="HL1757" t="s">
        <v>425</v>
      </c>
      <c r="HM1757" s="1">
        <v>41089</v>
      </c>
      <c r="HN1757">
        <v>13</v>
      </c>
      <c r="HO1757">
        <v>11325</v>
      </c>
      <c r="HP1757" t="s">
        <v>2402</v>
      </c>
    </row>
    <row r="1758" spans="1:236" x14ac:dyDescent="0.25">
      <c r="A1758">
        <v>16486765</v>
      </c>
      <c r="B1758">
        <v>1757</v>
      </c>
      <c r="C1758" t="s">
        <v>393</v>
      </c>
      <c r="D1758" t="s">
        <v>394</v>
      </c>
      <c r="F1758" t="str">
        <f>"41-3N-28-1250-0076-0000"</f>
        <v>41-3N-28-1250-0076-0000</v>
      </c>
      <c r="H1758" t="str">
        <f t="shared" si="642"/>
        <v>LIGHTHOUSE POINTE DEV LLC</v>
      </c>
      <c r="I1758" t="str">
        <f t="shared" si="638"/>
        <v>PO BOX 17833</v>
      </c>
      <c r="J1758" t="str">
        <f t="shared" si="639"/>
        <v>JACKSONVILLE FL 32245</v>
      </c>
      <c r="K1758" t="str">
        <f>"29272 GRANDVIEW MNR"</f>
        <v>29272 GRANDVIEW MNR</v>
      </c>
      <c r="L1758" t="str">
        <f t="shared" si="637"/>
        <v>YULEE FL 32097</v>
      </c>
      <c r="M1758" t="str">
        <f>"LOT 76 PT OR 1938/1054 LIGHTHOUSE POINTE 2 PB 7/145"</f>
        <v>LOT 76 PT OR 1938/1054 LIGHTHOUSE POINTE 2 PB 7/145</v>
      </c>
      <c r="N1758" t="str">
        <f>""</f>
        <v/>
      </c>
      <c r="O1758" t="str">
        <f>"46866"</f>
        <v>46866</v>
      </c>
      <c r="P1758" t="str">
        <f t="shared" si="628"/>
        <v>2017</v>
      </c>
      <c r="Q1758" t="str">
        <f>""</f>
        <v/>
      </c>
      <c r="R1758" t="str">
        <f t="shared" si="635"/>
        <v>N</v>
      </c>
      <c r="S1758" t="str">
        <f>""</f>
        <v/>
      </c>
      <c r="T1758" t="str">
        <f t="shared" si="644"/>
        <v>456.21</v>
      </c>
      <c r="U1758" t="str">
        <f t="shared" si="645"/>
        <v>16335.00</v>
      </c>
      <c r="V1758" t="str">
        <f t="shared" si="645"/>
        <v>16335.00</v>
      </c>
      <c r="W1758" t="str">
        <f t="shared" si="630"/>
        <v>2017</v>
      </c>
      <c r="X1758" t="str">
        <f>"18.75"</f>
        <v>18.75</v>
      </c>
      <c r="Y1758" t="str">
        <f t="shared" si="646"/>
        <v>501.90</v>
      </c>
      <c r="Z1758" t="str">
        <f>""</f>
        <v/>
      </c>
      <c r="AA1758" t="str">
        <f t="shared" si="647"/>
        <v>48000.00</v>
      </c>
      <c r="AB1758" t="str">
        <f t="shared" si="633"/>
        <v>Residential</v>
      </c>
      <c r="AC1758" t="str">
        <f t="shared" si="643"/>
        <v>0</v>
      </c>
      <c r="AD1758" t="str">
        <f>""</f>
        <v/>
      </c>
      <c r="AE1758" t="str">
        <f>""</f>
        <v/>
      </c>
      <c r="AF1758" t="str">
        <f t="shared" si="636"/>
        <v>000</v>
      </c>
      <c r="AG1758" t="str">
        <f t="shared" si="634"/>
        <v>FL</v>
      </c>
      <c r="AH1758" t="str">
        <f t="shared" si="640"/>
        <v>-</v>
      </c>
      <c r="AI1758" t="str">
        <f t="shared" si="648"/>
        <v>48000.00</v>
      </c>
      <c r="AJ1758" t="str">
        <f>"C55-000-969-7836-6"</f>
        <v>C55-000-969-7836-6</v>
      </c>
      <c r="AK1758" t="str">
        <f>"31653"</f>
        <v>31653</v>
      </c>
      <c r="AL1758">
        <v>7</v>
      </c>
      <c r="AM1758">
        <v>2004</v>
      </c>
      <c r="AN1758">
        <v>525.4</v>
      </c>
      <c r="AQ1758" t="s">
        <v>17356</v>
      </c>
      <c r="AR1758" t="s">
        <v>17356</v>
      </c>
      <c r="AS1758" t="s">
        <v>17356</v>
      </c>
      <c r="AU1758" t="s">
        <v>396</v>
      </c>
      <c r="AV1758">
        <v>2017</v>
      </c>
      <c r="AW1758" t="str">
        <f>"41-3N-28-1250-0076-0000 "</f>
        <v xml:space="preserve">41-3N-28-1250-0076-0000 </v>
      </c>
      <c r="AX1758">
        <v>29272</v>
      </c>
      <c r="AZ1758" t="s">
        <v>17210</v>
      </c>
      <c r="BD1758" t="s">
        <v>2387</v>
      </c>
      <c r="BE1758" t="s">
        <v>393</v>
      </c>
      <c r="BF1758">
        <v>32097</v>
      </c>
      <c r="BG1758" t="s">
        <v>17357</v>
      </c>
      <c r="BH1758" t="s">
        <v>2388</v>
      </c>
      <c r="BI1758">
        <v>-81.548459065750706</v>
      </c>
      <c r="BJ1758">
        <v>30.6828153673382</v>
      </c>
      <c r="BK1758" t="s">
        <v>17211</v>
      </c>
      <c r="BM1758" t="s">
        <v>17212</v>
      </c>
      <c r="BN1758" t="s">
        <v>548</v>
      </c>
      <c r="BO1758">
        <v>32245</v>
      </c>
      <c r="BP1758" t="s">
        <v>404</v>
      </c>
      <c r="BQ1758">
        <v>0</v>
      </c>
      <c r="BR1758" t="s">
        <v>491</v>
      </c>
      <c r="BS1758">
        <v>8001</v>
      </c>
      <c r="BT1758" t="s">
        <v>492</v>
      </c>
      <c r="BW1758">
        <v>12358</v>
      </c>
      <c r="BX1758" t="s">
        <v>407</v>
      </c>
      <c r="BY1758" t="s">
        <v>3019</v>
      </c>
      <c r="CD1758">
        <v>2017</v>
      </c>
      <c r="CE1758">
        <v>48000</v>
      </c>
      <c r="CG1758">
        <v>48000</v>
      </c>
      <c r="CH1758">
        <v>2017</v>
      </c>
      <c r="CI1758">
        <v>48000</v>
      </c>
      <c r="CK1758">
        <v>48000</v>
      </c>
      <c r="CL1758">
        <v>2017</v>
      </c>
      <c r="CM1758">
        <v>456.21</v>
      </c>
      <c r="CN1758" s="1">
        <v>41901</v>
      </c>
      <c r="CO1758">
        <v>2599000</v>
      </c>
      <c r="CZ1758" s="1">
        <v>41901</v>
      </c>
      <c r="DD1758" t="s">
        <v>2387</v>
      </c>
      <c r="DF1758">
        <v>76</v>
      </c>
      <c r="DG1758">
        <v>41</v>
      </c>
      <c r="DJ1758" t="s">
        <v>17267</v>
      </c>
      <c r="DL1758">
        <v>50301</v>
      </c>
      <c r="DM1758" t="s">
        <v>17237</v>
      </c>
      <c r="DO1758" t="s">
        <v>17358</v>
      </c>
      <c r="DP1758">
        <v>0</v>
      </c>
      <c r="DQ1758">
        <v>0</v>
      </c>
      <c r="DR1758" t="s">
        <v>411</v>
      </c>
      <c r="DS1758" t="b">
        <v>1</v>
      </c>
      <c r="DT1758" t="s">
        <v>470</v>
      </c>
      <c r="DU1758" t="s">
        <v>10249</v>
      </c>
      <c r="DV1758" t="s">
        <v>472</v>
      </c>
      <c r="DX1758">
        <v>-9999</v>
      </c>
      <c r="DZ1758" t="s">
        <v>447</v>
      </c>
      <c r="EA1758" t="s">
        <v>448</v>
      </c>
      <c r="EB1758" t="s">
        <v>17259</v>
      </c>
      <c r="EC1758">
        <v>20101217</v>
      </c>
      <c r="ED1758" t="s">
        <v>10251</v>
      </c>
      <c r="EE1758">
        <v>5</v>
      </c>
      <c r="EF1758">
        <v>53</v>
      </c>
      <c r="EG1758">
        <v>0</v>
      </c>
      <c r="EI1758">
        <v>20160407</v>
      </c>
      <c r="EJ1758">
        <v>0</v>
      </c>
      <c r="EK1758">
        <v>0</v>
      </c>
      <c r="EP1758" t="s">
        <v>421</v>
      </c>
      <c r="EQ1758" t="s">
        <v>422</v>
      </c>
      <c r="ER1758">
        <v>0</v>
      </c>
      <c r="ES1758">
        <v>6</v>
      </c>
      <c r="ET1758">
        <v>0</v>
      </c>
      <c r="EU1758">
        <v>0</v>
      </c>
      <c r="EV1758">
        <v>0</v>
      </c>
      <c r="EW1758" s="2">
        <v>43222</v>
      </c>
      <c r="EX1758" s="1">
        <v>42879</v>
      </c>
      <c r="EY1758">
        <v>2016</v>
      </c>
      <c r="EZ1758">
        <v>517.12</v>
      </c>
      <c r="FA1758" t="s">
        <v>17359</v>
      </c>
      <c r="FB1758">
        <v>4.75</v>
      </c>
      <c r="FC1758" t="s">
        <v>424</v>
      </c>
      <c r="FD1758" t="s">
        <v>425</v>
      </c>
      <c r="FE1758" s="1">
        <v>43054</v>
      </c>
      <c r="FF1758">
        <v>6</v>
      </c>
      <c r="FG1758">
        <v>5100525</v>
      </c>
      <c r="FH1758" t="s">
        <v>6804</v>
      </c>
      <c r="FJ1758" s="1">
        <v>42515</v>
      </c>
      <c r="FK1758">
        <v>2015</v>
      </c>
      <c r="FL1758">
        <v>251.57</v>
      </c>
      <c r="FM1758" t="s">
        <v>17360</v>
      </c>
      <c r="FN1758">
        <v>15.25</v>
      </c>
      <c r="FO1758" t="s">
        <v>424</v>
      </c>
      <c r="FP1758" t="s">
        <v>425</v>
      </c>
      <c r="FQ1758" s="1">
        <v>42614</v>
      </c>
      <c r="FR1758">
        <v>4</v>
      </c>
      <c r="FS1758">
        <v>2035919</v>
      </c>
      <c r="FT1758" t="s">
        <v>507</v>
      </c>
      <c r="FV1758" s="1">
        <v>42151</v>
      </c>
      <c r="FW1758">
        <v>2014</v>
      </c>
      <c r="FX1758">
        <v>252.74</v>
      </c>
      <c r="FY1758" t="s">
        <v>17361</v>
      </c>
      <c r="FZ1758">
        <v>0.25</v>
      </c>
      <c r="GA1758" t="s">
        <v>424</v>
      </c>
      <c r="GB1758" t="s">
        <v>425</v>
      </c>
      <c r="GC1758" s="1">
        <v>42611</v>
      </c>
      <c r="GD1758">
        <v>15</v>
      </c>
      <c r="GE1758">
        <v>4975594</v>
      </c>
      <c r="GF1758" t="s">
        <v>457</v>
      </c>
      <c r="GH1758" s="1">
        <v>42151</v>
      </c>
      <c r="GI1758">
        <v>2014</v>
      </c>
      <c r="GJ1758">
        <v>252.74</v>
      </c>
      <c r="GK1758" t="s">
        <v>17361</v>
      </c>
      <c r="GL1758">
        <v>0.25</v>
      </c>
      <c r="GM1758" t="s">
        <v>424</v>
      </c>
      <c r="GN1758" t="s">
        <v>425</v>
      </c>
      <c r="GP1758">
        <v>22</v>
      </c>
      <c r="GQ1758">
        <v>6265575</v>
      </c>
      <c r="GR1758" t="s">
        <v>17362</v>
      </c>
      <c r="GT1758" s="1">
        <v>41052</v>
      </c>
      <c r="GU1758">
        <v>2011</v>
      </c>
      <c r="GV1758">
        <v>388.99</v>
      </c>
      <c r="GW1758" t="s">
        <v>17363</v>
      </c>
      <c r="GX1758">
        <v>18</v>
      </c>
      <c r="GY1758" t="s">
        <v>424</v>
      </c>
      <c r="GZ1758" t="s">
        <v>425</v>
      </c>
      <c r="HA1758" s="1">
        <v>41089</v>
      </c>
      <c r="HB1758">
        <v>1</v>
      </c>
      <c r="HC1758">
        <v>11265</v>
      </c>
      <c r="HD1758" t="s">
        <v>17231</v>
      </c>
      <c r="HF1758" s="1">
        <v>40688</v>
      </c>
      <c r="HG1758">
        <v>2010</v>
      </c>
      <c r="HH1758">
        <v>850.88</v>
      </c>
      <c r="HI1758" t="s">
        <v>17364</v>
      </c>
      <c r="HJ1758">
        <v>9</v>
      </c>
      <c r="HK1758" t="s">
        <v>424</v>
      </c>
      <c r="HL1758" t="s">
        <v>425</v>
      </c>
      <c r="HM1758" s="1">
        <v>41089</v>
      </c>
      <c r="HN1758">
        <v>13</v>
      </c>
      <c r="HO1758">
        <v>11325</v>
      </c>
      <c r="HP1758" t="s">
        <v>2402</v>
      </c>
    </row>
    <row r="1759" spans="1:236" x14ac:dyDescent="0.25">
      <c r="A1759">
        <v>16486766</v>
      </c>
      <c r="B1759">
        <v>1758</v>
      </c>
      <c r="C1759" t="s">
        <v>393</v>
      </c>
      <c r="D1759" t="s">
        <v>394</v>
      </c>
      <c r="F1759" t="str">
        <f>"41-3N-28-1250-0085-0000"</f>
        <v>41-3N-28-1250-0085-0000</v>
      </c>
      <c r="H1759" t="str">
        <f>"DJOKOTO EMMANUEL"</f>
        <v>DJOKOTO EMMANUEL</v>
      </c>
      <c r="I1759" t="str">
        <f>"13277 OCEAN MIST DR"</f>
        <v>13277 OCEAN MIST DR</v>
      </c>
      <c r="J1759" t="str">
        <f>"JACKSONVILLE FL 32258"</f>
        <v>JACKSONVILLE FL 32258</v>
      </c>
      <c r="K1759" t="str">
        <f>"28132 GRANDVIEW MNR"</f>
        <v>28132 GRANDVIEW MNR</v>
      </c>
      <c r="L1759" t="str">
        <f t="shared" si="637"/>
        <v>YULEE FL 32097</v>
      </c>
      <c r="M1759" t="str">
        <f>"LOT 85 IN OR 1804/1702 LIGHTHOUSE POINTE 2 PB 7/145"</f>
        <v>LOT 85 IN OR 1804/1702 LIGHTHOUSE POINTE 2 PB 7/145</v>
      </c>
      <c r="N1759" t="str">
        <f>""</f>
        <v/>
      </c>
      <c r="O1759" t="str">
        <f>"46875"</f>
        <v>46875</v>
      </c>
      <c r="P1759" t="str">
        <f t="shared" si="628"/>
        <v>2017</v>
      </c>
      <c r="Q1759" t="str">
        <f>""</f>
        <v/>
      </c>
      <c r="R1759" t="str">
        <f t="shared" si="635"/>
        <v>N</v>
      </c>
      <c r="S1759" t="str">
        <f>""</f>
        <v/>
      </c>
      <c r="T1759" t="str">
        <f>"350.65"</f>
        <v>350.65</v>
      </c>
      <c r="U1759" t="str">
        <f t="shared" si="645"/>
        <v>16335.00</v>
      </c>
      <c r="V1759" t="str">
        <f t="shared" si="645"/>
        <v>16335.00</v>
      </c>
      <c r="W1759" t="str">
        <f t="shared" si="630"/>
        <v>2017</v>
      </c>
      <c r="X1759" t="str">
        <f>"2.00"</f>
        <v>2.00</v>
      </c>
      <c r="Y1759" t="str">
        <f>"393.17"</f>
        <v>393.17</v>
      </c>
      <c r="Z1759" t="str">
        <f>""</f>
        <v/>
      </c>
      <c r="AA1759" t="str">
        <f>"32000.00"</f>
        <v>32000.00</v>
      </c>
      <c r="AB1759" t="str">
        <f t="shared" si="633"/>
        <v>Residential</v>
      </c>
      <c r="AC1759" t="str">
        <f t="shared" si="643"/>
        <v>0</v>
      </c>
      <c r="AD1759" t="str">
        <f>""</f>
        <v/>
      </c>
      <c r="AE1759" t="str">
        <f>""</f>
        <v/>
      </c>
      <c r="AF1759" t="str">
        <f t="shared" si="636"/>
        <v>000</v>
      </c>
      <c r="AG1759" t="str">
        <f t="shared" si="634"/>
        <v>FL</v>
      </c>
      <c r="AH1759" t="str">
        <f t="shared" si="640"/>
        <v>-</v>
      </c>
      <c r="AI1759" t="str">
        <f>"32000.00"</f>
        <v>32000.00</v>
      </c>
      <c r="AJ1759" t="str">
        <f>"C55-000-969-7845-7"</f>
        <v>C55-000-969-7845-7</v>
      </c>
      <c r="AK1759" t="str">
        <f>"31662"</f>
        <v>31662</v>
      </c>
      <c r="AL1759">
        <v>7</v>
      </c>
      <c r="AM1759">
        <v>2005</v>
      </c>
      <c r="AN1759">
        <v>411.23</v>
      </c>
      <c r="AQ1759" t="s">
        <v>17365</v>
      </c>
      <c r="AR1759" t="s">
        <v>17365</v>
      </c>
      <c r="AS1759" t="s">
        <v>17365</v>
      </c>
      <c r="AU1759" t="s">
        <v>396</v>
      </c>
      <c r="AV1759">
        <v>2017</v>
      </c>
      <c r="AW1759" t="str">
        <f>"41-3N-28-1250-0085-0000 "</f>
        <v xml:space="preserve">41-3N-28-1250-0085-0000 </v>
      </c>
      <c r="AX1759">
        <v>28132</v>
      </c>
      <c r="AZ1759" t="s">
        <v>17210</v>
      </c>
      <c r="BD1759" t="s">
        <v>2387</v>
      </c>
      <c r="BE1759" t="s">
        <v>393</v>
      </c>
      <c r="BF1759">
        <v>32097</v>
      </c>
      <c r="BG1759" t="s">
        <v>17366</v>
      </c>
      <c r="BH1759" t="s">
        <v>2388</v>
      </c>
      <c r="BI1759">
        <v>-81.549970557583904</v>
      </c>
      <c r="BJ1759">
        <v>30.6838946263263</v>
      </c>
      <c r="BK1759" t="s">
        <v>17367</v>
      </c>
      <c r="BM1759" t="s">
        <v>17368</v>
      </c>
      <c r="BN1759" t="s">
        <v>548</v>
      </c>
      <c r="BO1759">
        <v>32258</v>
      </c>
      <c r="BP1759" t="s">
        <v>404</v>
      </c>
      <c r="BQ1759">
        <v>0</v>
      </c>
      <c r="BR1759" t="s">
        <v>491</v>
      </c>
      <c r="BS1759">
        <v>8001</v>
      </c>
      <c r="BT1759" t="s">
        <v>492</v>
      </c>
      <c r="BW1759">
        <v>14092</v>
      </c>
      <c r="BX1759" t="s">
        <v>407</v>
      </c>
      <c r="BY1759" t="s">
        <v>3019</v>
      </c>
      <c r="CD1759">
        <v>2017</v>
      </c>
      <c r="CE1759">
        <v>32000</v>
      </c>
      <c r="CG1759">
        <v>32000</v>
      </c>
      <c r="CH1759">
        <v>2017</v>
      </c>
      <c r="CI1759">
        <v>32000</v>
      </c>
      <c r="CK1759">
        <v>32000</v>
      </c>
      <c r="CL1759">
        <v>2017</v>
      </c>
      <c r="CM1759">
        <v>350.65</v>
      </c>
      <c r="CN1759" s="1">
        <v>41121</v>
      </c>
      <c r="CO1759">
        <v>9000</v>
      </c>
      <c r="CV1759">
        <v>0</v>
      </c>
      <c r="CZ1759" s="1">
        <v>41121</v>
      </c>
      <c r="DA1759">
        <v>0</v>
      </c>
      <c r="DD1759" t="s">
        <v>2387</v>
      </c>
      <c r="DF1759">
        <v>85</v>
      </c>
      <c r="DG1759">
        <v>41</v>
      </c>
      <c r="DJ1759" t="s">
        <v>17267</v>
      </c>
      <c r="DL1759">
        <v>50301</v>
      </c>
      <c r="DM1759" t="s">
        <v>17237</v>
      </c>
      <c r="DO1759" t="s">
        <v>17369</v>
      </c>
      <c r="DP1759">
        <v>0</v>
      </c>
      <c r="DQ1759">
        <v>0</v>
      </c>
      <c r="DR1759" t="s">
        <v>411</v>
      </c>
    </row>
    <row r="1760" spans="1:236" x14ac:dyDescent="0.25">
      <c r="A1760">
        <v>16486767</v>
      </c>
      <c r="B1760">
        <v>1759</v>
      </c>
      <c r="C1760" t="s">
        <v>393</v>
      </c>
      <c r="D1760" t="s">
        <v>394</v>
      </c>
      <c r="F1760" t="str">
        <f>"41-3N-28-1250-0091-0000"</f>
        <v>41-3N-28-1250-0091-0000</v>
      </c>
      <c r="H1760" t="str">
        <f>"DJOKOTO EMMANUEL"</f>
        <v>DJOKOTO EMMANUEL</v>
      </c>
      <c r="I1760" t="str">
        <f>"13277 OCEAN MIST DR"</f>
        <v>13277 OCEAN MIST DR</v>
      </c>
      <c r="J1760" t="str">
        <f>"JACKSONVILLE FL 32258"</f>
        <v>JACKSONVILLE FL 32258</v>
      </c>
      <c r="K1760" t="str">
        <f>"28376 GRANDVIEW MNR"</f>
        <v>28376 GRANDVIEW MNR</v>
      </c>
      <c r="L1760" t="str">
        <f t="shared" si="637"/>
        <v>YULEE FL 32097</v>
      </c>
      <c r="M1760" t="str">
        <f>"LOT 91 IN OR 1907/24 LIGHTHOUSE POINTE 2 PB 7/145"</f>
        <v>LOT 91 IN OR 1907/24 LIGHTHOUSE POINTE 2 PB 7/145</v>
      </c>
      <c r="N1760" t="str">
        <f>""</f>
        <v/>
      </c>
      <c r="O1760" t="str">
        <f>"46881"</f>
        <v>46881</v>
      </c>
      <c r="P1760" t="str">
        <f t="shared" si="628"/>
        <v>2017</v>
      </c>
      <c r="Q1760" t="str">
        <f>""</f>
        <v/>
      </c>
      <c r="R1760" t="str">
        <f t="shared" si="635"/>
        <v>N</v>
      </c>
      <c r="S1760" t="str">
        <f>""</f>
        <v/>
      </c>
      <c r="T1760" t="str">
        <f>"350.65"</f>
        <v>350.65</v>
      </c>
      <c r="U1760" t="str">
        <f t="shared" si="645"/>
        <v>16335.00</v>
      </c>
      <c r="V1760" t="str">
        <f t="shared" si="645"/>
        <v>16335.00</v>
      </c>
      <c r="W1760" t="str">
        <f t="shared" si="630"/>
        <v>2017</v>
      </c>
      <c r="X1760" t="str">
        <f>"6.00"</f>
        <v>6.00</v>
      </c>
      <c r="Y1760" t="str">
        <f>"393.17"</f>
        <v>393.17</v>
      </c>
      <c r="Z1760" t="str">
        <f>""</f>
        <v/>
      </c>
      <c r="AA1760" t="str">
        <f>"32000.00"</f>
        <v>32000.00</v>
      </c>
      <c r="AB1760" t="str">
        <f t="shared" si="633"/>
        <v>Residential</v>
      </c>
      <c r="AC1760" t="str">
        <f t="shared" si="643"/>
        <v>0</v>
      </c>
      <c r="AD1760" t="str">
        <f>""</f>
        <v/>
      </c>
      <c r="AE1760" t="str">
        <f>""</f>
        <v/>
      </c>
      <c r="AF1760" t="str">
        <f t="shared" si="636"/>
        <v>000</v>
      </c>
      <c r="AG1760" t="str">
        <f t="shared" si="634"/>
        <v>FL</v>
      </c>
      <c r="AH1760" t="str">
        <f t="shared" si="640"/>
        <v>-</v>
      </c>
      <c r="AI1760" t="str">
        <f>"32000.00"</f>
        <v>32000.00</v>
      </c>
      <c r="AJ1760" t="str">
        <f>"C55-000-969-7851-5"</f>
        <v>C55-000-969-7851-5</v>
      </c>
      <c r="AK1760" t="str">
        <f>"31668"</f>
        <v>31668</v>
      </c>
      <c r="AL1760">
        <v>7</v>
      </c>
      <c r="AM1760">
        <v>2006</v>
      </c>
      <c r="AN1760">
        <v>411.23</v>
      </c>
      <c r="AQ1760" t="s">
        <v>17370</v>
      </c>
      <c r="AR1760" t="s">
        <v>17370</v>
      </c>
      <c r="AS1760" t="s">
        <v>17370</v>
      </c>
      <c r="AU1760" t="s">
        <v>396</v>
      </c>
      <c r="AV1760">
        <v>2017</v>
      </c>
      <c r="AW1760" t="str">
        <f>"41-3N-28-1250-0091-0000 "</f>
        <v xml:space="preserve">41-3N-28-1250-0091-0000 </v>
      </c>
      <c r="AX1760">
        <v>28376</v>
      </c>
      <c r="AZ1760" t="s">
        <v>17210</v>
      </c>
      <c r="BD1760" t="s">
        <v>2387</v>
      </c>
      <c r="BE1760" t="s">
        <v>393</v>
      </c>
      <c r="BF1760">
        <v>32097</v>
      </c>
      <c r="BG1760" t="s">
        <v>17371</v>
      </c>
      <c r="BH1760" t="s">
        <v>2388</v>
      </c>
      <c r="BI1760">
        <v>-81.549794411351499</v>
      </c>
      <c r="BJ1760">
        <v>30.685370572458201</v>
      </c>
      <c r="BK1760" t="s">
        <v>17367</v>
      </c>
      <c r="BM1760" t="s">
        <v>17368</v>
      </c>
      <c r="BN1760" t="s">
        <v>548</v>
      </c>
      <c r="BO1760">
        <v>32258</v>
      </c>
      <c r="BP1760" t="s">
        <v>404</v>
      </c>
      <c r="BQ1760">
        <v>0</v>
      </c>
      <c r="BR1760" t="s">
        <v>491</v>
      </c>
      <c r="BS1760">
        <v>8001</v>
      </c>
      <c r="BT1760" t="s">
        <v>492</v>
      </c>
      <c r="BW1760">
        <v>10595</v>
      </c>
      <c r="BX1760" t="s">
        <v>407</v>
      </c>
      <c r="BY1760" t="s">
        <v>3019</v>
      </c>
      <c r="CD1760">
        <v>2017</v>
      </c>
      <c r="CE1760">
        <v>32000</v>
      </c>
      <c r="CG1760">
        <v>32000</v>
      </c>
      <c r="CH1760">
        <v>2017</v>
      </c>
      <c r="CI1760">
        <v>32000</v>
      </c>
      <c r="CK1760">
        <v>32000</v>
      </c>
      <c r="CL1760">
        <v>2017</v>
      </c>
      <c r="CM1760">
        <v>350.65</v>
      </c>
      <c r="CN1760" s="1">
        <v>41711</v>
      </c>
      <c r="CO1760">
        <v>10000</v>
      </c>
      <c r="CV1760">
        <v>0</v>
      </c>
      <c r="CZ1760" s="1">
        <v>41711</v>
      </c>
      <c r="DA1760">
        <v>0</v>
      </c>
      <c r="DD1760" t="s">
        <v>2387</v>
      </c>
      <c r="DF1760">
        <v>91</v>
      </c>
      <c r="DG1760">
        <v>41</v>
      </c>
      <c r="DJ1760" t="s">
        <v>17267</v>
      </c>
      <c r="DL1760">
        <v>50301</v>
      </c>
      <c r="DM1760" t="s">
        <v>17237</v>
      </c>
      <c r="DO1760" t="s">
        <v>17372</v>
      </c>
      <c r="DP1760">
        <v>0</v>
      </c>
      <c r="DQ1760">
        <v>0</v>
      </c>
      <c r="DR1760" t="s">
        <v>411</v>
      </c>
    </row>
    <row r="1761" spans="1:236" x14ac:dyDescent="0.25">
      <c r="A1761">
        <v>16486768</v>
      </c>
      <c r="B1761">
        <v>1760</v>
      </c>
      <c r="C1761" t="s">
        <v>393</v>
      </c>
      <c r="D1761" t="s">
        <v>394</v>
      </c>
      <c r="F1761" t="str">
        <f>"41-3N-28-1250-0092-0000"</f>
        <v>41-3N-28-1250-0092-0000</v>
      </c>
      <c r="H1761" t="str">
        <f t="shared" ref="H1761:H1772" si="649">"LIGHTHOUSE POINTE DEV LLC"</f>
        <v>LIGHTHOUSE POINTE DEV LLC</v>
      </c>
      <c r="I1761" t="str">
        <f t="shared" ref="I1761:I1772" si="650">"PO BOX 17833"</f>
        <v>PO BOX 17833</v>
      </c>
      <c r="J1761" t="str">
        <f t="shared" ref="J1761:J1772" si="651">"JACKSONVILLE FL 32245"</f>
        <v>JACKSONVILLE FL 32245</v>
      </c>
      <c r="K1761" t="str">
        <f>"28424 GRANDVIEW MNR"</f>
        <v>28424 GRANDVIEW MNR</v>
      </c>
      <c r="L1761" t="str">
        <f t="shared" si="637"/>
        <v>YULEE FL 32097</v>
      </c>
      <c r="M1761" t="str">
        <f>"LOT 92 PT OR 1938/1054 LIGHTHOUSE POINTE 2 PB 7/145"</f>
        <v>LOT 92 PT OR 1938/1054 LIGHTHOUSE POINTE 2 PB 7/145</v>
      </c>
      <c r="N1761" t="str">
        <f>""</f>
        <v/>
      </c>
      <c r="O1761" t="str">
        <f>"46882"</f>
        <v>46882</v>
      </c>
      <c r="P1761" t="str">
        <f t="shared" si="628"/>
        <v>2017</v>
      </c>
      <c r="Q1761" t="str">
        <f>""</f>
        <v/>
      </c>
      <c r="R1761" t="str">
        <f t="shared" si="635"/>
        <v>N</v>
      </c>
      <c r="S1761" t="str">
        <f>""</f>
        <v/>
      </c>
      <c r="T1761" t="str">
        <f>"350.65"</f>
        <v>350.65</v>
      </c>
      <c r="U1761" t="str">
        <f t="shared" si="645"/>
        <v>16335.00</v>
      </c>
      <c r="V1761" t="str">
        <f t="shared" si="645"/>
        <v>16335.00</v>
      </c>
      <c r="W1761" t="str">
        <f t="shared" si="630"/>
        <v>2017</v>
      </c>
      <c r="X1761" t="str">
        <f t="shared" ref="X1761:X1772" si="652">"20.57"</f>
        <v>20.57</v>
      </c>
      <c r="Y1761" t="str">
        <f>"393.17"</f>
        <v>393.17</v>
      </c>
      <c r="Z1761" t="str">
        <f>""</f>
        <v/>
      </c>
      <c r="AA1761" t="str">
        <f>"32000.00"</f>
        <v>32000.00</v>
      </c>
      <c r="AB1761" t="str">
        <f t="shared" si="633"/>
        <v>Residential</v>
      </c>
      <c r="AC1761" t="str">
        <f t="shared" si="643"/>
        <v>0</v>
      </c>
      <c r="AD1761" t="str">
        <f>""</f>
        <v/>
      </c>
      <c r="AE1761" t="str">
        <f>""</f>
        <v/>
      </c>
      <c r="AF1761" t="str">
        <f t="shared" si="636"/>
        <v>000</v>
      </c>
      <c r="AG1761" t="str">
        <f t="shared" si="634"/>
        <v>FL</v>
      </c>
      <c r="AH1761" t="str">
        <f t="shared" si="640"/>
        <v>-</v>
      </c>
      <c r="AI1761" t="str">
        <f>"32000.00"</f>
        <v>32000.00</v>
      </c>
      <c r="AJ1761" t="str">
        <f>"C55-000-969-7852-3"</f>
        <v>C55-000-969-7852-3</v>
      </c>
      <c r="AK1761" t="str">
        <f>"31669"</f>
        <v>31669</v>
      </c>
      <c r="AL1761">
        <v>7</v>
      </c>
      <c r="AM1761">
        <v>2007</v>
      </c>
      <c r="AN1761">
        <v>411.23</v>
      </c>
      <c r="AQ1761" t="s">
        <v>17373</v>
      </c>
      <c r="AR1761" t="s">
        <v>17373</v>
      </c>
      <c r="AS1761" t="s">
        <v>17373</v>
      </c>
      <c r="AU1761" t="s">
        <v>396</v>
      </c>
      <c r="AV1761">
        <v>2017</v>
      </c>
      <c r="AW1761" t="str">
        <f>"41-3N-28-1250-0092-0000 "</f>
        <v xml:space="preserve">41-3N-28-1250-0092-0000 </v>
      </c>
      <c r="AX1761">
        <v>28424</v>
      </c>
      <c r="AZ1761" t="s">
        <v>17210</v>
      </c>
      <c r="BD1761" t="s">
        <v>2387</v>
      </c>
      <c r="BE1761" t="s">
        <v>393</v>
      </c>
      <c r="BF1761">
        <v>32097</v>
      </c>
      <c r="BG1761" t="s">
        <v>17374</v>
      </c>
      <c r="BH1761" t="s">
        <v>2388</v>
      </c>
      <c r="BI1761">
        <v>-81.549724223183105</v>
      </c>
      <c r="BJ1761">
        <v>30.685595771033199</v>
      </c>
      <c r="BK1761" t="s">
        <v>17211</v>
      </c>
      <c r="BM1761" t="s">
        <v>17212</v>
      </c>
      <c r="BN1761" t="s">
        <v>548</v>
      </c>
      <c r="BO1761">
        <v>32245</v>
      </c>
      <c r="BP1761" t="s">
        <v>404</v>
      </c>
      <c r="BQ1761">
        <v>0</v>
      </c>
      <c r="BR1761" t="s">
        <v>491</v>
      </c>
      <c r="BS1761">
        <v>8001</v>
      </c>
      <c r="BT1761" t="s">
        <v>492</v>
      </c>
      <c r="BW1761">
        <v>12256</v>
      </c>
      <c r="BX1761" t="s">
        <v>407</v>
      </c>
      <c r="BY1761" t="s">
        <v>3019</v>
      </c>
      <c r="CD1761">
        <v>2017</v>
      </c>
      <c r="CE1761">
        <v>32000</v>
      </c>
      <c r="CG1761">
        <v>32000</v>
      </c>
      <c r="CH1761">
        <v>2017</v>
      </c>
      <c r="CI1761">
        <v>32000</v>
      </c>
      <c r="CK1761">
        <v>32000</v>
      </c>
      <c r="CL1761">
        <v>2017</v>
      </c>
      <c r="CM1761">
        <v>350.65</v>
      </c>
      <c r="CN1761" s="1">
        <v>41901</v>
      </c>
      <c r="CO1761">
        <v>2599000</v>
      </c>
      <c r="CZ1761" s="1">
        <v>41901</v>
      </c>
      <c r="DD1761" t="s">
        <v>2387</v>
      </c>
      <c r="DF1761">
        <v>92</v>
      </c>
      <c r="DG1761">
        <v>41</v>
      </c>
      <c r="DJ1761" t="s">
        <v>17267</v>
      </c>
      <c r="DL1761">
        <v>50301</v>
      </c>
      <c r="DM1761" t="s">
        <v>17237</v>
      </c>
      <c r="DO1761" t="s">
        <v>17375</v>
      </c>
      <c r="DP1761">
        <v>0</v>
      </c>
      <c r="DQ1761">
        <v>0</v>
      </c>
      <c r="DR1761" t="s">
        <v>411</v>
      </c>
      <c r="DS1761" t="b">
        <v>1</v>
      </c>
      <c r="DT1761" t="s">
        <v>470</v>
      </c>
      <c r="DU1761" t="s">
        <v>471</v>
      </c>
      <c r="DV1761" t="s">
        <v>472</v>
      </c>
      <c r="DX1761">
        <v>-9999</v>
      </c>
      <c r="DZ1761" t="s">
        <v>447</v>
      </c>
      <c r="EA1761" t="s">
        <v>448</v>
      </c>
      <c r="EB1761" t="s">
        <v>742</v>
      </c>
      <c r="EC1761">
        <v>20101217</v>
      </c>
      <c r="ED1761" t="s">
        <v>474</v>
      </c>
      <c r="EF1761">
        <v>595.1</v>
      </c>
      <c r="EG1761">
        <v>451.2</v>
      </c>
      <c r="EI1761">
        <v>20160407</v>
      </c>
      <c r="EJ1761">
        <v>0</v>
      </c>
      <c r="EK1761">
        <v>0</v>
      </c>
      <c r="EP1761" t="s">
        <v>421</v>
      </c>
      <c r="EQ1761" t="s">
        <v>422</v>
      </c>
      <c r="ER1761">
        <v>1</v>
      </c>
      <c r="ES1761">
        <v>5</v>
      </c>
      <c r="ET1761">
        <v>399.55</v>
      </c>
      <c r="EU1761">
        <v>26.23</v>
      </c>
      <c r="EV1761">
        <v>425.78</v>
      </c>
      <c r="EW1761" s="2">
        <v>43222</v>
      </c>
      <c r="EX1761" s="1">
        <v>42879</v>
      </c>
      <c r="EY1761">
        <v>2016</v>
      </c>
      <c r="EZ1761">
        <v>399.55</v>
      </c>
      <c r="FA1761" t="s">
        <v>17376</v>
      </c>
      <c r="FB1761">
        <v>4.5</v>
      </c>
      <c r="FC1761" t="s">
        <v>424</v>
      </c>
      <c r="FD1761" t="s">
        <v>454</v>
      </c>
      <c r="FF1761">
        <v>12</v>
      </c>
      <c r="FG1761">
        <v>5100525</v>
      </c>
      <c r="FH1761" t="s">
        <v>6804</v>
      </c>
      <c r="FJ1761" s="1">
        <v>42515</v>
      </c>
      <c r="FK1761">
        <v>2015</v>
      </c>
      <c r="FL1761">
        <v>251.57</v>
      </c>
      <c r="FM1761" t="s">
        <v>17377</v>
      </c>
      <c r="FN1761">
        <v>15.25</v>
      </c>
      <c r="FO1761" t="s">
        <v>424</v>
      </c>
      <c r="FP1761" t="s">
        <v>425</v>
      </c>
      <c r="FQ1761" s="1">
        <v>42614</v>
      </c>
      <c r="FR1761">
        <v>4</v>
      </c>
      <c r="FS1761">
        <v>2035919</v>
      </c>
      <c r="FT1761" t="s">
        <v>507</v>
      </c>
      <c r="FV1761" s="1">
        <v>42151</v>
      </c>
      <c r="FW1761">
        <v>2014</v>
      </c>
      <c r="FX1761">
        <v>252.74</v>
      </c>
      <c r="FY1761" t="s">
        <v>17378</v>
      </c>
      <c r="FZ1761">
        <v>0.25</v>
      </c>
      <c r="GA1761" t="s">
        <v>424</v>
      </c>
      <c r="GB1761" t="s">
        <v>425</v>
      </c>
      <c r="GC1761" s="1">
        <v>42611</v>
      </c>
      <c r="GD1761">
        <v>15</v>
      </c>
      <c r="GE1761">
        <v>4975594</v>
      </c>
      <c r="GF1761" t="s">
        <v>457</v>
      </c>
      <c r="GH1761" s="1">
        <v>42151</v>
      </c>
      <c r="GI1761">
        <v>2014</v>
      </c>
      <c r="GJ1761">
        <v>252.74</v>
      </c>
      <c r="GK1761" t="s">
        <v>17378</v>
      </c>
      <c r="GL1761">
        <v>0.25</v>
      </c>
      <c r="GM1761" t="s">
        <v>424</v>
      </c>
      <c r="GN1761" t="s">
        <v>425</v>
      </c>
      <c r="GP1761">
        <v>22</v>
      </c>
      <c r="GQ1761">
        <v>6389036</v>
      </c>
      <c r="GR1761" t="s">
        <v>17379</v>
      </c>
      <c r="GT1761" s="1">
        <v>41052</v>
      </c>
      <c r="GU1761">
        <v>2011</v>
      </c>
      <c r="GV1761">
        <v>351.49</v>
      </c>
      <c r="GW1761" t="s">
        <v>17380</v>
      </c>
      <c r="GX1761">
        <v>18</v>
      </c>
      <c r="GY1761" t="s">
        <v>424</v>
      </c>
      <c r="GZ1761" t="s">
        <v>425</v>
      </c>
      <c r="HA1761" s="1">
        <v>41089</v>
      </c>
      <c r="HB1761">
        <v>1</v>
      </c>
      <c r="HC1761">
        <v>11265</v>
      </c>
      <c r="HD1761" t="s">
        <v>17231</v>
      </c>
      <c r="HF1761" s="1">
        <v>40688</v>
      </c>
      <c r="HG1761">
        <v>2010</v>
      </c>
      <c r="HH1761">
        <v>767.09</v>
      </c>
      <c r="HI1761" t="s">
        <v>17381</v>
      </c>
      <c r="HJ1761">
        <v>9</v>
      </c>
      <c r="HK1761" t="s">
        <v>424</v>
      </c>
      <c r="HL1761" t="s">
        <v>425</v>
      </c>
      <c r="HM1761" s="1">
        <v>41089</v>
      </c>
      <c r="HN1761">
        <v>13</v>
      </c>
      <c r="HO1761">
        <v>11325</v>
      </c>
      <c r="HP1761" t="s">
        <v>2402</v>
      </c>
    </row>
    <row r="1762" spans="1:236" x14ac:dyDescent="0.25">
      <c r="A1762">
        <v>16486769</v>
      </c>
      <c r="B1762">
        <v>1761</v>
      </c>
      <c r="C1762" t="s">
        <v>393</v>
      </c>
      <c r="D1762" t="s">
        <v>394</v>
      </c>
      <c r="F1762" t="str">
        <f>"41-3N-28-1250-0093-0000"</f>
        <v>41-3N-28-1250-0093-0000</v>
      </c>
      <c r="H1762" t="str">
        <f t="shared" si="649"/>
        <v>LIGHTHOUSE POINTE DEV LLC</v>
      </c>
      <c r="I1762" t="str">
        <f t="shared" si="650"/>
        <v>PO BOX 17833</v>
      </c>
      <c r="J1762" t="str">
        <f t="shared" si="651"/>
        <v>JACKSONVILLE FL 32245</v>
      </c>
      <c r="K1762" t="str">
        <f>"28466 GRANDVIEW MNR"</f>
        <v>28466 GRANDVIEW MNR</v>
      </c>
      <c r="L1762" t="str">
        <f t="shared" si="637"/>
        <v>YULEE FL 32097</v>
      </c>
      <c r="M1762" t="str">
        <f>"LOT 93 PT OR 1938/1054 LIGHTHOUSE POINTE 2 PB 7/145"</f>
        <v>LOT 93 PT OR 1938/1054 LIGHTHOUSE POINTE 2 PB 7/145</v>
      </c>
      <c r="N1762" t="str">
        <f>""</f>
        <v/>
      </c>
      <c r="O1762" t="str">
        <f>"46883"</f>
        <v>46883</v>
      </c>
      <c r="P1762" t="str">
        <f t="shared" si="628"/>
        <v>2017</v>
      </c>
      <c r="Q1762" t="str">
        <f>""</f>
        <v/>
      </c>
      <c r="R1762" t="str">
        <f t="shared" si="635"/>
        <v>N</v>
      </c>
      <c r="S1762" t="str">
        <f>""</f>
        <v/>
      </c>
      <c r="T1762" t="str">
        <f>"350.65"</f>
        <v>350.65</v>
      </c>
      <c r="U1762" t="str">
        <f t="shared" si="645"/>
        <v>16335.00</v>
      </c>
      <c r="V1762" t="str">
        <f t="shared" si="645"/>
        <v>16335.00</v>
      </c>
      <c r="W1762" t="str">
        <f t="shared" si="630"/>
        <v>2017</v>
      </c>
      <c r="X1762" t="str">
        <f t="shared" si="652"/>
        <v>20.57</v>
      </c>
      <c r="Y1762" t="str">
        <f>"393.17"</f>
        <v>393.17</v>
      </c>
      <c r="Z1762" t="str">
        <f>""</f>
        <v/>
      </c>
      <c r="AA1762" t="str">
        <f>"32000.00"</f>
        <v>32000.00</v>
      </c>
      <c r="AB1762" t="str">
        <f t="shared" si="633"/>
        <v>Residential</v>
      </c>
      <c r="AC1762" t="str">
        <f t="shared" si="643"/>
        <v>0</v>
      </c>
      <c r="AD1762" t="str">
        <f>""</f>
        <v/>
      </c>
      <c r="AE1762" t="str">
        <f>""</f>
        <v/>
      </c>
      <c r="AF1762" t="str">
        <f t="shared" si="636"/>
        <v>000</v>
      </c>
      <c r="AG1762" t="str">
        <f t="shared" si="634"/>
        <v>FL</v>
      </c>
      <c r="AH1762" t="str">
        <f t="shared" si="640"/>
        <v>-</v>
      </c>
      <c r="AI1762" t="str">
        <f>"32000.00"</f>
        <v>32000.00</v>
      </c>
      <c r="AJ1762" t="str">
        <f>"C55-000-969-7853-1"</f>
        <v>C55-000-969-7853-1</v>
      </c>
      <c r="AK1762" t="str">
        <f>"31670"</f>
        <v>31670</v>
      </c>
      <c r="AL1762">
        <v>7</v>
      </c>
      <c r="AM1762">
        <v>2008</v>
      </c>
      <c r="AN1762">
        <v>411.23</v>
      </c>
      <c r="AQ1762" t="s">
        <v>17382</v>
      </c>
      <c r="AR1762" t="s">
        <v>17382</v>
      </c>
      <c r="AS1762" t="s">
        <v>17382</v>
      </c>
      <c r="AU1762" t="s">
        <v>396</v>
      </c>
      <c r="AV1762">
        <v>2017</v>
      </c>
      <c r="AW1762" t="str">
        <f>"41-3N-28-1250-0093-0000 "</f>
        <v xml:space="preserve">41-3N-28-1250-0093-0000 </v>
      </c>
      <c r="AX1762">
        <v>28466</v>
      </c>
      <c r="AZ1762" t="s">
        <v>17210</v>
      </c>
      <c r="BD1762" t="s">
        <v>2387</v>
      </c>
      <c r="BE1762" t="s">
        <v>393</v>
      </c>
      <c r="BF1762">
        <v>32097</v>
      </c>
      <c r="BG1762" t="s">
        <v>17383</v>
      </c>
      <c r="BH1762" t="s">
        <v>2388</v>
      </c>
      <c r="BI1762">
        <v>-81.549698910484395</v>
      </c>
      <c r="BJ1762">
        <v>30.685826352407101</v>
      </c>
      <c r="BK1762" t="s">
        <v>17211</v>
      </c>
      <c r="BM1762" t="s">
        <v>17212</v>
      </c>
      <c r="BN1762" t="s">
        <v>548</v>
      </c>
      <c r="BO1762">
        <v>32245</v>
      </c>
      <c r="BP1762" t="s">
        <v>404</v>
      </c>
      <c r="BQ1762">
        <v>0</v>
      </c>
      <c r="BR1762" t="s">
        <v>491</v>
      </c>
      <c r="BS1762">
        <v>8001</v>
      </c>
      <c r="BT1762" t="s">
        <v>492</v>
      </c>
      <c r="BW1762">
        <v>14718</v>
      </c>
      <c r="BX1762" t="s">
        <v>407</v>
      </c>
      <c r="BY1762" t="s">
        <v>3019</v>
      </c>
      <c r="CD1762">
        <v>2017</v>
      </c>
      <c r="CE1762">
        <v>32000</v>
      </c>
      <c r="CG1762">
        <v>32000</v>
      </c>
      <c r="CH1762">
        <v>2017</v>
      </c>
      <c r="CI1762">
        <v>32000</v>
      </c>
      <c r="CK1762">
        <v>32000</v>
      </c>
      <c r="CL1762">
        <v>2017</v>
      </c>
      <c r="CM1762">
        <v>350.65</v>
      </c>
      <c r="CN1762" s="1">
        <v>41901</v>
      </c>
      <c r="CO1762">
        <v>2599000</v>
      </c>
      <c r="CZ1762" s="1">
        <v>41901</v>
      </c>
      <c r="DD1762" t="s">
        <v>2387</v>
      </c>
      <c r="DF1762">
        <v>93</v>
      </c>
      <c r="DG1762">
        <v>41</v>
      </c>
      <c r="DJ1762" t="s">
        <v>17267</v>
      </c>
      <c r="DL1762">
        <v>50301</v>
      </c>
      <c r="DM1762" t="s">
        <v>17237</v>
      </c>
      <c r="DO1762" t="s">
        <v>17384</v>
      </c>
      <c r="DP1762">
        <v>0</v>
      </c>
      <c r="DQ1762">
        <v>0</v>
      </c>
      <c r="DR1762" t="s">
        <v>411</v>
      </c>
      <c r="DS1762" t="b">
        <v>1</v>
      </c>
      <c r="DT1762" t="s">
        <v>470</v>
      </c>
      <c r="DU1762" t="s">
        <v>471</v>
      </c>
      <c r="DV1762" t="s">
        <v>472</v>
      </c>
      <c r="DX1762">
        <v>-9999</v>
      </c>
      <c r="DZ1762" t="s">
        <v>447</v>
      </c>
      <c r="EA1762" t="s">
        <v>448</v>
      </c>
      <c r="EB1762" t="s">
        <v>742</v>
      </c>
      <c r="EC1762">
        <v>20101217</v>
      </c>
      <c r="ED1762" t="s">
        <v>474</v>
      </c>
      <c r="EF1762">
        <v>511.4</v>
      </c>
      <c r="EG1762">
        <v>382.3</v>
      </c>
      <c r="EI1762">
        <v>20160407</v>
      </c>
      <c r="EJ1762">
        <v>0</v>
      </c>
      <c r="EK1762">
        <v>0</v>
      </c>
      <c r="EP1762" t="s">
        <v>421</v>
      </c>
      <c r="EQ1762" t="s">
        <v>422</v>
      </c>
      <c r="ER1762">
        <v>1</v>
      </c>
      <c r="ES1762">
        <v>5</v>
      </c>
      <c r="ET1762">
        <v>399.55</v>
      </c>
      <c r="EU1762">
        <v>26.23</v>
      </c>
      <c r="EV1762">
        <v>425.78</v>
      </c>
      <c r="EW1762" s="2">
        <v>43222</v>
      </c>
      <c r="EX1762" s="1">
        <v>42879</v>
      </c>
      <c r="EY1762">
        <v>2016</v>
      </c>
      <c r="EZ1762">
        <v>399.55</v>
      </c>
      <c r="FA1762" t="s">
        <v>17385</v>
      </c>
      <c r="FB1762">
        <v>4.5</v>
      </c>
      <c r="FC1762" t="s">
        <v>424</v>
      </c>
      <c r="FD1762" t="s">
        <v>454</v>
      </c>
      <c r="FF1762">
        <v>12</v>
      </c>
      <c r="FG1762">
        <v>5100525</v>
      </c>
      <c r="FH1762" t="s">
        <v>6804</v>
      </c>
      <c r="FJ1762" s="1">
        <v>42515</v>
      </c>
      <c r="FK1762">
        <v>2015</v>
      </c>
      <c r="FL1762">
        <v>251.57</v>
      </c>
      <c r="FM1762" t="s">
        <v>17386</v>
      </c>
      <c r="FN1762">
        <v>15.25</v>
      </c>
      <c r="FO1762" t="s">
        <v>424</v>
      </c>
      <c r="FP1762" t="s">
        <v>425</v>
      </c>
      <c r="FQ1762" s="1">
        <v>42614</v>
      </c>
      <c r="FR1762">
        <v>4</v>
      </c>
      <c r="FS1762">
        <v>2035919</v>
      </c>
      <c r="FT1762" t="s">
        <v>507</v>
      </c>
      <c r="FV1762" s="1">
        <v>42151</v>
      </c>
      <c r="FW1762">
        <v>2014</v>
      </c>
      <c r="FX1762">
        <v>252.74</v>
      </c>
      <c r="FY1762" t="s">
        <v>17387</v>
      </c>
      <c r="FZ1762">
        <v>0.25</v>
      </c>
      <c r="GA1762" t="s">
        <v>424</v>
      </c>
      <c r="GB1762" t="s">
        <v>425</v>
      </c>
      <c r="GC1762" s="1">
        <v>42611</v>
      </c>
      <c r="GD1762">
        <v>15</v>
      </c>
      <c r="GE1762">
        <v>4975594</v>
      </c>
      <c r="GF1762" t="s">
        <v>457</v>
      </c>
      <c r="GH1762" s="1">
        <v>42151</v>
      </c>
      <c r="GI1762">
        <v>2014</v>
      </c>
      <c r="GJ1762">
        <v>252.74</v>
      </c>
      <c r="GK1762" t="s">
        <v>17387</v>
      </c>
      <c r="GL1762">
        <v>0.25</v>
      </c>
      <c r="GM1762" t="s">
        <v>424</v>
      </c>
      <c r="GN1762" t="s">
        <v>425</v>
      </c>
      <c r="GP1762">
        <v>22</v>
      </c>
      <c r="GQ1762">
        <v>6634573</v>
      </c>
      <c r="GR1762" t="s">
        <v>17388</v>
      </c>
      <c r="GT1762" s="1">
        <v>41052</v>
      </c>
      <c r="GU1762">
        <v>2011</v>
      </c>
      <c r="GV1762">
        <v>351.49</v>
      </c>
      <c r="GW1762" t="s">
        <v>17389</v>
      </c>
      <c r="GX1762">
        <v>18</v>
      </c>
      <c r="GY1762" t="s">
        <v>424</v>
      </c>
      <c r="GZ1762" t="s">
        <v>425</v>
      </c>
      <c r="HA1762" s="1">
        <v>41089</v>
      </c>
      <c r="HB1762">
        <v>1</v>
      </c>
      <c r="HC1762">
        <v>11265</v>
      </c>
      <c r="HD1762" t="s">
        <v>17231</v>
      </c>
      <c r="HF1762" s="1">
        <v>40688</v>
      </c>
      <c r="HG1762">
        <v>2010</v>
      </c>
      <c r="HH1762">
        <v>767.09</v>
      </c>
      <c r="HI1762" t="s">
        <v>17390</v>
      </c>
      <c r="HJ1762">
        <v>9</v>
      </c>
      <c r="HK1762" t="s">
        <v>424</v>
      </c>
      <c r="HL1762" t="s">
        <v>425</v>
      </c>
      <c r="HM1762" s="1">
        <v>41089</v>
      </c>
      <c r="HN1762">
        <v>13</v>
      </c>
      <c r="HO1762">
        <v>11325</v>
      </c>
      <c r="HP1762" t="s">
        <v>2402</v>
      </c>
    </row>
    <row r="1763" spans="1:236" x14ac:dyDescent="0.25">
      <c r="A1763">
        <v>16486770</v>
      </c>
      <c r="B1763">
        <v>1762</v>
      </c>
      <c r="C1763" t="s">
        <v>393</v>
      </c>
      <c r="D1763" t="s">
        <v>394</v>
      </c>
      <c r="F1763" t="str">
        <f>"41-3N-28-1250-0096-0000"</f>
        <v>41-3N-28-1250-0096-0000</v>
      </c>
      <c r="H1763" t="str">
        <f t="shared" si="649"/>
        <v>LIGHTHOUSE POINTE DEV LLC</v>
      </c>
      <c r="I1763" t="str">
        <f t="shared" si="650"/>
        <v>PO BOX 17833</v>
      </c>
      <c r="J1763" t="str">
        <f t="shared" si="651"/>
        <v>JACKSONVILLE FL 32245</v>
      </c>
      <c r="K1763" t="str">
        <f>"28341 GRANDVIEW MNR"</f>
        <v>28341 GRANDVIEW MNR</v>
      </c>
      <c r="L1763" t="str">
        <f t="shared" si="637"/>
        <v>YULEE FL 32097</v>
      </c>
      <c r="M1763" t="str">
        <f>"LOT 96 PT OR 1938/1054 LIGHTHOUSE POINTE 2 PB 7/145"</f>
        <v>LOT 96 PT OR 1938/1054 LIGHTHOUSE POINTE 2 PB 7/145</v>
      </c>
      <c r="N1763" t="str">
        <f>""</f>
        <v/>
      </c>
      <c r="O1763" t="str">
        <f>"46886"</f>
        <v>46886</v>
      </c>
      <c r="P1763" t="str">
        <f t="shared" si="628"/>
        <v>2017</v>
      </c>
      <c r="Q1763" t="str">
        <f>""</f>
        <v/>
      </c>
      <c r="R1763" t="str">
        <f t="shared" si="635"/>
        <v>N</v>
      </c>
      <c r="S1763" t="str">
        <f>""</f>
        <v/>
      </c>
      <c r="T1763" t="str">
        <f t="shared" ref="T1763:T1773" si="653">"456.21"</f>
        <v>456.21</v>
      </c>
      <c r="U1763" t="str">
        <f t="shared" si="645"/>
        <v>16335.00</v>
      </c>
      <c r="V1763" t="str">
        <f t="shared" si="645"/>
        <v>16335.00</v>
      </c>
      <c r="W1763" t="str">
        <f t="shared" si="630"/>
        <v>2017</v>
      </c>
      <c r="X1763" t="str">
        <f t="shared" si="652"/>
        <v>20.57</v>
      </c>
      <c r="Y1763" t="str">
        <f t="shared" ref="Y1763:Y1773" si="654">"501.90"</f>
        <v>501.90</v>
      </c>
      <c r="Z1763" t="str">
        <f>""</f>
        <v/>
      </c>
      <c r="AA1763" t="str">
        <f t="shared" ref="AA1763:AA1773" si="655">"48000.00"</f>
        <v>48000.00</v>
      </c>
      <c r="AB1763" t="str">
        <f t="shared" si="633"/>
        <v>Residential</v>
      </c>
      <c r="AC1763" t="str">
        <f t="shared" si="643"/>
        <v>0</v>
      </c>
      <c r="AD1763" t="str">
        <f>""</f>
        <v/>
      </c>
      <c r="AE1763" t="str">
        <f>""</f>
        <v/>
      </c>
      <c r="AF1763" t="str">
        <f t="shared" si="636"/>
        <v>000</v>
      </c>
      <c r="AG1763" t="str">
        <f t="shared" si="634"/>
        <v>FL</v>
      </c>
      <c r="AH1763" t="str">
        <f t="shared" si="640"/>
        <v>-</v>
      </c>
      <c r="AI1763" t="str">
        <f t="shared" ref="AI1763:AI1773" si="656">"48000.00"</f>
        <v>48000.00</v>
      </c>
      <c r="AJ1763" t="str">
        <f>"C55-000-969-7856-4"</f>
        <v>C55-000-969-7856-4</v>
      </c>
      <c r="AK1763" t="str">
        <f>"31673"</f>
        <v>31673</v>
      </c>
      <c r="AL1763">
        <v>7</v>
      </c>
      <c r="AM1763">
        <v>2009</v>
      </c>
      <c r="AN1763">
        <v>525.4</v>
      </c>
      <c r="AQ1763" t="s">
        <v>17391</v>
      </c>
      <c r="AR1763" t="s">
        <v>17391</v>
      </c>
      <c r="AS1763" t="s">
        <v>17391</v>
      </c>
      <c r="AU1763" t="s">
        <v>396</v>
      </c>
      <c r="AV1763">
        <v>2017</v>
      </c>
      <c r="AW1763" t="str">
        <f>"41-3N-28-1250-0096-0000 "</f>
        <v xml:space="preserve">41-3N-28-1250-0096-0000 </v>
      </c>
      <c r="AX1763">
        <v>28341</v>
      </c>
      <c r="AZ1763" t="s">
        <v>17210</v>
      </c>
      <c r="BD1763" t="s">
        <v>2387</v>
      </c>
      <c r="BE1763" t="s">
        <v>393</v>
      </c>
      <c r="BF1763">
        <v>32097</v>
      </c>
      <c r="BG1763" t="s">
        <v>17392</v>
      </c>
      <c r="BH1763" t="s">
        <v>2388</v>
      </c>
      <c r="BI1763">
        <v>-81.549177732023907</v>
      </c>
      <c r="BJ1763">
        <v>30.685099395854799</v>
      </c>
      <c r="BK1763" t="s">
        <v>17211</v>
      </c>
      <c r="BM1763" t="s">
        <v>17212</v>
      </c>
      <c r="BN1763" t="s">
        <v>548</v>
      </c>
      <c r="BO1763">
        <v>32245</v>
      </c>
      <c r="BP1763" t="s">
        <v>404</v>
      </c>
      <c r="BQ1763">
        <v>0</v>
      </c>
      <c r="BR1763" t="s">
        <v>491</v>
      </c>
      <c r="BS1763">
        <v>8001</v>
      </c>
      <c r="BT1763" t="s">
        <v>492</v>
      </c>
      <c r="BW1763">
        <v>16588</v>
      </c>
      <c r="BX1763" t="s">
        <v>407</v>
      </c>
      <c r="BY1763" t="s">
        <v>3019</v>
      </c>
      <c r="CD1763">
        <v>2017</v>
      </c>
      <c r="CE1763">
        <v>48000</v>
      </c>
      <c r="CG1763">
        <v>48000</v>
      </c>
      <c r="CH1763">
        <v>2017</v>
      </c>
      <c r="CI1763">
        <v>48000</v>
      </c>
      <c r="CK1763">
        <v>48000</v>
      </c>
      <c r="CL1763">
        <v>2017</v>
      </c>
      <c r="CM1763">
        <v>456.21</v>
      </c>
      <c r="CN1763" s="1">
        <v>41901</v>
      </c>
      <c r="CO1763">
        <v>2599000</v>
      </c>
      <c r="CZ1763" s="1">
        <v>41901</v>
      </c>
      <c r="DD1763" t="s">
        <v>2387</v>
      </c>
      <c r="DF1763">
        <v>96</v>
      </c>
      <c r="DG1763">
        <v>41</v>
      </c>
      <c r="DJ1763" t="s">
        <v>17267</v>
      </c>
      <c r="DL1763">
        <v>50301</v>
      </c>
      <c r="DM1763" t="s">
        <v>17237</v>
      </c>
      <c r="DO1763" t="s">
        <v>17393</v>
      </c>
      <c r="DP1763">
        <v>0</v>
      </c>
      <c r="DQ1763">
        <v>0</v>
      </c>
      <c r="DR1763" t="s">
        <v>411</v>
      </c>
      <c r="DS1763" t="b">
        <v>1</v>
      </c>
      <c r="DT1763" t="s">
        <v>470</v>
      </c>
      <c r="DU1763" t="s">
        <v>471</v>
      </c>
      <c r="DV1763" t="s">
        <v>472</v>
      </c>
      <c r="DX1763">
        <v>-9999</v>
      </c>
      <c r="DZ1763" t="s">
        <v>447</v>
      </c>
      <c r="EA1763" t="s">
        <v>448</v>
      </c>
      <c r="EB1763" t="s">
        <v>742</v>
      </c>
      <c r="EC1763">
        <v>20101217</v>
      </c>
      <c r="ED1763" t="s">
        <v>474</v>
      </c>
      <c r="EF1763">
        <v>791.5</v>
      </c>
      <c r="EG1763">
        <v>295.10000000000002</v>
      </c>
      <c r="EI1763">
        <v>20160407</v>
      </c>
      <c r="EJ1763">
        <v>0</v>
      </c>
      <c r="EK1763">
        <v>0</v>
      </c>
      <c r="EP1763" t="s">
        <v>421</v>
      </c>
      <c r="EQ1763" t="s">
        <v>422</v>
      </c>
      <c r="ER1763">
        <v>2</v>
      </c>
      <c r="ES1763">
        <v>5</v>
      </c>
      <c r="ET1763">
        <v>1034.24</v>
      </c>
      <c r="EU1763">
        <v>64.209999999999994</v>
      </c>
      <c r="EV1763">
        <v>1098.45</v>
      </c>
      <c r="EW1763" s="2">
        <v>43222</v>
      </c>
      <c r="EX1763" s="1">
        <v>42879</v>
      </c>
      <c r="EY1763">
        <v>2016</v>
      </c>
      <c r="EZ1763">
        <v>517.12</v>
      </c>
      <c r="FA1763" t="s">
        <v>17394</v>
      </c>
      <c r="FB1763">
        <v>0.25</v>
      </c>
      <c r="FC1763" t="s">
        <v>424</v>
      </c>
      <c r="FD1763" t="s">
        <v>454</v>
      </c>
      <c r="FF1763">
        <v>12</v>
      </c>
      <c r="FG1763">
        <v>11289</v>
      </c>
      <c r="FH1763" t="s">
        <v>787</v>
      </c>
      <c r="FJ1763" s="1">
        <v>42879</v>
      </c>
      <c r="FK1763">
        <v>2016</v>
      </c>
      <c r="FL1763">
        <v>517.12</v>
      </c>
      <c r="FM1763" t="s">
        <v>17394</v>
      </c>
      <c r="FN1763">
        <v>0.25</v>
      </c>
      <c r="FO1763" t="s">
        <v>424</v>
      </c>
      <c r="FP1763" t="s">
        <v>454</v>
      </c>
      <c r="FR1763">
        <v>12</v>
      </c>
      <c r="FS1763">
        <v>7246819</v>
      </c>
      <c r="FT1763" t="s">
        <v>17395</v>
      </c>
      <c r="FV1763" s="1">
        <v>42515</v>
      </c>
      <c r="FW1763">
        <v>2015</v>
      </c>
      <c r="FX1763">
        <v>251.57</v>
      </c>
      <c r="FY1763" t="s">
        <v>17396</v>
      </c>
      <c r="FZ1763">
        <v>15.25</v>
      </c>
      <c r="GA1763" t="s">
        <v>424</v>
      </c>
      <c r="GB1763" t="s">
        <v>425</v>
      </c>
      <c r="GC1763" s="1">
        <v>42614</v>
      </c>
      <c r="GD1763">
        <v>4</v>
      </c>
      <c r="GE1763">
        <v>2035919</v>
      </c>
      <c r="GF1763" t="s">
        <v>507</v>
      </c>
      <c r="GH1763" s="1">
        <v>42151</v>
      </c>
      <c r="GI1763">
        <v>2014</v>
      </c>
      <c r="GJ1763">
        <v>252.74</v>
      </c>
      <c r="GK1763" t="s">
        <v>17397</v>
      </c>
      <c r="GL1763">
        <v>0.25</v>
      </c>
      <c r="GM1763" t="s">
        <v>424</v>
      </c>
      <c r="GN1763" t="s">
        <v>425</v>
      </c>
      <c r="GO1763" s="1">
        <v>42611</v>
      </c>
      <c r="GP1763">
        <v>15</v>
      </c>
      <c r="GQ1763">
        <v>4975594</v>
      </c>
      <c r="GR1763" t="s">
        <v>457</v>
      </c>
      <c r="GT1763" s="1">
        <v>42151</v>
      </c>
      <c r="GU1763">
        <v>2014</v>
      </c>
      <c r="GV1763">
        <v>252.74</v>
      </c>
      <c r="GW1763" t="s">
        <v>17397</v>
      </c>
      <c r="GX1763">
        <v>0.25</v>
      </c>
      <c r="GY1763" t="s">
        <v>424</v>
      </c>
      <c r="GZ1763" t="s">
        <v>425</v>
      </c>
      <c r="HB1763">
        <v>22</v>
      </c>
      <c r="HC1763">
        <v>6411963</v>
      </c>
      <c r="HD1763" t="s">
        <v>17398</v>
      </c>
      <c r="HF1763" s="1">
        <v>41052</v>
      </c>
      <c r="HG1763">
        <v>2011</v>
      </c>
      <c r="HH1763">
        <v>388.99</v>
      </c>
      <c r="HI1763" t="s">
        <v>17399</v>
      </c>
      <c r="HJ1763">
        <v>18</v>
      </c>
      <c r="HK1763" t="s">
        <v>424</v>
      </c>
      <c r="HL1763" t="s">
        <v>425</v>
      </c>
      <c r="HM1763" s="1">
        <v>41089</v>
      </c>
      <c r="HN1763">
        <v>1</v>
      </c>
      <c r="HO1763">
        <v>11265</v>
      </c>
      <c r="HP1763" t="s">
        <v>17231</v>
      </c>
      <c r="HR1763" s="1">
        <v>40688</v>
      </c>
      <c r="HS1763">
        <v>2010</v>
      </c>
      <c r="HT1763">
        <v>850.88</v>
      </c>
      <c r="HU1763" t="s">
        <v>17400</v>
      </c>
      <c r="HV1763">
        <v>9</v>
      </c>
      <c r="HW1763" t="s">
        <v>424</v>
      </c>
      <c r="HX1763" t="s">
        <v>425</v>
      </c>
      <c r="HY1763" s="1">
        <v>41089</v>
      </c>
      <c r="HZ1763">
        <v>13</v>
      </c>
      <c r="IA1763">
        <v>11325</v>
      </c>
      <c r="IB1763" t="s">
        <v>2402</v>
      </c>
    </row>
    <row r="1764" spans="1:236" x14ac:dyDescent="0.25">
      <c r="A1764">
        <v>16486771</v>
      </c>
      <c r="B1764">
        <v>1763</v>
      </c>
      <c r="C1764" t="s">
        <v>393</v>
      </c>
      <c r="D1764" t="s">
        <v>394</v>
      </c>
      <c r="F1764" t="str">
        <f>"41-3N-28-1250-0102-0000"</f>
        <v>41-3N-28-1250-0102-0000</v>
      </c>
      <c r="H1764" t="str">
        <f t="shared" si="649"/>
        <v>LIGHTHOUSE POINTE DEV LLC</v>
      </c>
      <c r="I1764" t="str">
        <f t="shared" si="650"/>
        <v>PO BOX 17833</v>
      </c>
      <c r="J1764" t="str">
        <f t="shared" si="651"/>
        <v>JACKSONVILLE FL 32245</v>
      </c>
      <c r="K1764" t="str">
        <f>"GRANDVIEW MNR"</f>
        <v>GRANDVIEW MNR</v>
      </c>
      <c r="L1764" t="str">
        <f t="shared" si="637"/>
        <v>YULEE FL 32097</v>
      </c>
      <c r="M1764" t="str">
        <f>"LOT 102 PT OR 1938/1054 LIGHTHOUSE POINTE 2 PB 7/145"</f>
        <v>LOT 102 PT OR 1938/1054 LIGHTHOUSE POINTE 2 PB 7/145</v>
      </c>
      <c r="N1764" t="str">
        <f>""</f>
        <v/>
      </c>
      <c r="O1764" t="str">
        <f>"46895"</f>
        <v>46895</v>
      </c>
      <c r="P1764" t="str">
        <f t="shared" si="628"/>
        <v>2017</v>
      </c>
      <c r="Q1764" t="str">
        <f>""</f>
        <v/>
      </c>
      <c r="R1764" t="str">
        <f t="shared" si="635"/>
        <v>N</v>
      </c>
      <c r="S1764" t="str">
        <f>""</f>
        <v/>
      </c>
      <c r="T1764" t="str">
        <f t="shared" si="653"/>
        <v>456.21</v>
      </c>
      <c r="U1764" t="str">
        <f t="shared" si="645"/>
        <v>16335.00</v>
      </c>
      <c r="V1764" t="str">
        <f t="shared" si="645"/>
        <v>16335.00</v>
      </c>
      <c r="W1764" t="str">
        <f t="shared" si="630"/>
        <v>2017</v>
      </c>
      <c r="X1764" t="str">
        <f t="shared" si="652"/>
        <v>20.57</v>
      </c>
      <c r="Y1764" t="str">
        <f t="shared" si="654"/>
        <v>501.90</v>
      </c>
      <c r="Z1764" t="str">
        <f>""</f>
        <v/>
      </c>
      <c r="AA1764" t="str">
        <f t="shared" si="655"/>
        <v>48000.00</v>
      </c>
      <c r="AB1764" t="str">
        <f t="shared" si="633"/>
        <v>Residential</v>
      </c>
      <c r="AC1764" t="str">
        <f t="shared" si="643"/>
        <v>0</v>
      </c>
      <c r="AD1764" t="str">
        <f>""</f>
        <v/>
      </c>
      <c r="AE1764" t="str">
        <f>""</f>
        <v/>
      </c>
      <c r="AF1764" t="str">
        <f t="shared" si="636"/>
        <v>000</v>
      </c>
      <c r="AG1764" t="str">
        <f t="shared" si="634"/>
        <v>FL</v>
      </c>
      <c r="AH1764" t="str">
        <f t="shared" si="640"/>
        <v>-</v>
      </c>
      <c r="AI1764" t="str">
        <f t="shared" si="656"/>
        <v>48000.00</v>
      </c>
      <c r="AJ1764" t="str">
        <f>"C55-000-969-7864-8"</f>
        <v>C55-000-969-7864-8</v>
      </c>
      <c r="AK1764" t="str">
        <f>"31679"</f>
        <v>31679</v>
      </c>
      <c r="AL1764">
        <v>7</v>
      </c>
      <c r="AM1764">
        <v>2012</v>
      </c>
      <c r="AN1764">
        <v>525.4</v>
      </c>
      <c r="AQ1764" t="s">
        <v>17401</v>
      </c>
      <c r="AR1764" t="s">
        <v>17401</v>
      </c>
      <c r="AS1764" t="s">
        <v>17401</v>
      </c>
      <c r="AU1764" t="s">
        <v>396</v>
      </c>
      <c r="AV1764">
        <v>2017</v>
      </c>
      <c r="AW1764" t="str">
        <f>"41-3N-28-1250-0102-0000 "</f>
        <v xml:space="preserve">41-3N-28-1250-0102-0000 </v>
      </c>
      <c r="AZ1764" t="s">
        <v>17210</v>
      </c>
      <c r="BD1764" t="s">
        <v>2387</v>
      </c>
      <c r="BE1764" t="s">
        <v>393</v>
      </c>
      <c r="BF1764">
        <v>32097</v>
      </c>
      <c r="BG1764" t="s">
        <v>17210</v>
      </c>
      <c r="BH1764" t="s">
        <v>2388</v>
      </c>
      <c r="BI1764">
        <v>-81.548926531942797</v>
      </c>
      <c r="BJ1764">
        <v>30.683313657136701</v>
      </c>
      <c r="BK1764" t="s">
        <v>17211</v>
      </c>
      <c r="BM1764" t="s">
        <v>17212</v>
      </c>
      <c r="BN1764" t="s">
        <v>548</v>
      </c>
      <c r="BO1764">
        <v>32245</v>
      </c>
      <c r="BP1764" t="s">
        <v>404</v>
      </c>
      <c r="BQ1764">
        <v>0</v>
      </c>
      <c r="BR1764" t="s">
        <v>491</v>
      </c>
      <c r="BS1764">
        <v>8001</v>
      </c>
      <c r="BT1764" t="s">
        <v>492</v>
      </c>
      <c r="BW1764">
        <v>12785</v>
      </c>
      <c r="BX1764" t="s">
        <v>407</v>
      </c>
      <c r="BY1764" t="s">
        <v>3019</v>
      </c>
      <c r="CD1764">
        <v>2017</v>
      </c>
      <c r="CE1764">
        <v>48000</v>
      </c>
      <c r="CG1764">
        <v>48000</v>
      </c>
      <c r="CH1764">
        <v>2017</v>
      </c>
      <c r="CI1764">
        <v>48000</v>
      </c>
      <c r="CK1764">
        <v>48000</v>
      </c>
      <c r="CL1764">
        <v>2017</v>
      </c>
      <c r="CM1764">
        <v>456.21</v>
      </c>
      <c r="CN1764" s="1">
        <v>41901</v>
      </c>
      <c r="CO1764">
        <v>2599000</v>
      </c>
      <c r="CZ1764" s="1">
        <v>41901</v>
      </c>
      <c r="DD1764" t="s">
        <v>2387</v>
      </c>
      <c r="DF1764">
        <v>102</v>
      </c>
      <c r="DG1764">
        <v>41</v>
      </c>
      <c r="DJ1764" t="s">
        <v>17267</v>
      </c>
      <c r="DL1764">
        <v>50301</v>
      </c>
      <c r="DM1764" t="s">
        <v>17237</v>
      </c>
      <c r="DO1764" t="s">
        <v>17402</v>
      </c>
      <c r="DP1764">
        <v>0</v>
      </c>
      <c r="DQ1764">
        <v>0</v>
      </c>
      <c r="DR1764" t="s">
        <v>411</v>
      </c>
      <c r="DS1764" t="b">
        <v>1</v>
      </c>
      <c r="DT1764" t="s">
        <v>470</v>
      </c>
      <c r="DU1764" t="s">
        <v>471</v>
      </c>
      <c r="DV1764" t="s">
        <v>472</v>
      </c>
      <c r="DX1764">
        <v>-9999</v>
      </c>
      <c r="DZ1764" t="s">
        <v>447</v>
      </c>
      <c r="EA1764" t="s">
        <v>448</v>
      </c>
      <c r="EB1764" t="s">
        <v>742</v>
      </c>
      <c r="EC1764">
        <v>20101217</v>
      </c>
      <c r="ED1764" t="s">
        <v>474</v>
      </c>
      <c r="EF1764">
        <v>266.5</v>
      </c>
      <c r="EG1764">
        <v>196.9</v>
      </c>
      <c r="EI1764">
        <v>20160407</v>
      </c>
      <c r="EJ1764">
        <v>0</v>
      </c>
      <c r="EK1764">
        <v>0</v>
      </c>
      <c r="EP1764" t="s">
        <v>421</v>
      </c>
      <c r="EQ1764" t="s">
        <v>422</v>
      </c>
      <c r="ER1764">
        <v>1</v>
      </c>
      <c r="ES1764">
        <v>5</v>
      </c>
      <c r="ET1764">
        <v>517.12</v>
      </c>
      <c r="EU1764">
        <v>32.11</v>
      </c>
      <c r="EV1764">
        <v>549.23</v>
      </c>
      <c r="EW1764" s="2">
        <v>43222</v>
      </c>
      <c r="EX1764" s="1">
        <v>42879</v>
      </c>
      <c r="EY1764">
        <v>2016</v>
      </c>
      <c r="EZ1764">
        <v>517.12</v>
      </c>
      <c r="FA1764" t="s">
        <v>17403</v>
      </c>
      <c r="FB1764">
        <v>4.75</v>
      </c>
      <c r="FC1764" t="s">
        <v>424</v>
      </c>
      <c r="FD1764" t="s">
        <v>454</v>
      </c>
      <c r="FF1764">
        <v>12</v>
      </c>
      <c r="FG1764">
        <v>5100525</v>
      </c>
      <c r="FH1764" t="s">
        <v>6804</v>
      </c>
      <c r="FJ1764" s="1">
        <v>42515</v>
      </c>
      <c r="FK1764">
        <v>2015</v>
      </c>
      <c r="FL1764">
        <v>251.57</v>
      </c>
      <c r="FM1764" t="s">
        <v>17404</v>
      </c>
      <c r="FN1764">
        <v>15.25</v>
      </c>
      <c r="FO1764" t="s">
        <v>424</v>
      </c>
      <c r="FP1764" t="s">
        <v>425</v>
      </c>
      <c r="FQ1764" s="1">
        <v>42614</v>
      </c>
      <c r="FR1764">
        <v>4</v>
      </c>
      <c r="FS1764">
        <v>2035919</v>
      </c>
      <c r="FT1764" t="s">
        <v>507</v>
      </c>
      <c r="FV1764" s="1">
        <v>42151</v>
      </c>
      <c r="FW1764">
        <v>2014</v>
      </c>
      <c r="FX1764">
        <v>252.74</v>
      </c>
      <c r="FY1764" t="s">
        <v>17405</v>
      </c>
      <c r="FZ1764">
        <v>0.25</v>
      </c>
      <c r="GA1764" t="s">
        <v>424</v>
      </c>
      <c r="GB1764" t="s">
        <v>425</v>
      </c>
      <c r="GC1764" s="1">
        <v>42611</v>
      </c>
      <c r="GD1764">
        <v>15</v>
      </c>
      <c r="GE1764">
        <v>4975594</v>
      </c>
      <c r="GF1764" t="s">
        <v>457</v>
      </c>
      <c r="GH1764" s="1">
        <v>42151</v>
      </c>
      <c r="GI1764">
        <v>2014</v>
      </c>
      <c r="GJ1764">
        <v>252.74</v>
      </c>
      <c r="GK1764" t="s">
        <v>17405</v>
      </c>
      <c r="GL1764">
        <v>0.25</v>
      </c>
      <c r="GM1764" t="s">
        <v>424</v>
      </c>
      <c r="GN1764" t="s">
        <v>425</v>
      </c>
      <c r="GP1764">
        <v>22</v>
      </c>
      <c r="GQ1764">
        <v>6389110</v>
      </c>
      <c r="GR1764" t="s">
        <v>17406</v>
      </c>
      <c r="GT1764" s="1">
        <v>41052</v>
      </c>
      <c r="GU1764">
        <v>2011</v>
      </c>
      <c r="GV1764">
        <v>388.99</v>
      </c>
      <c r="GW1764" t="s">
        <v>17407</v>
      </c>
      <c r="GX1764">
        <v>18</v>
      </c>
      <c r="GY1764" t="s">
        <v>424</v>
      </c>
      <c r="GZ1764" t="s">
        <v>425</v>
      </c>
      <c r="HA1764" s="1">
        <v>41089</v>
      </c>
      <c r="HB1764">
        <v>1</v>
      </c>
      <c r="HC1764">
        <v>11265</v>
      </c>
      <c r="HD1764" t="s">
        <v>17231</v>
      </c>
      <c r="HF1764" s="1">
        <v>40688</v>
      </c>
      <c r="HG1764">
        <v>2010</v>
      </c>
      <c r="HH1764">
        <v>850.88</v>
      </c>
      <c r="HI1764" t="s">
        <v>17408</v>
      </c>
      <c r="HJ1764">
        <v>9</v>
      </c>
      <c r="HK1764" t="s">
        <v>424</v>
      </c>
      <c r="HL1764" t="s">
        <v>425</v>
      </c>
      <c r="HM1764" s="1">
        <v>41089</v>
      </c>
      <c r="HN1764">
        <v>13</v>
      </c>
      <c r="HO1764">
        <v>11325</v>
      </c>
      <c r="HP1764" t="s">
        <v>2402</v>
      </c>
    </row>
    <row r="1765" spans="1:236" x14ac:dyDescent="0.25">
      <c r="A1765">
        <v>16486772</v>
      </c>
      <c r="B1765">
        <v>1764</v>
      </c>
      <c r="C1765" t="s">
        <v>393</v>
      </c>
      <c r="D1765" t="s">
        <v>394</v>
      </c>
      <c r="F1765" t="str">
        <f>"41-3N-28-1250-0104-0000"</f>
        <v>41-3N-28-1250-0104-0000</v>
      </c>
      <c r="H1765" t="str">
        <f t="shared" si="649"/>
        <v>LIGHTHOUSE POINTE DEV LLC</v>
      </c>
      <c r="I1765" t="str">
        <f t="shared" si="650"/>
        <v>PO BOX 17833</v>
      </c>
      <c r="J1765" t="str">
        <f t="shared" si="651"/>
        <v>JACKSONVILLE FL 32245</v>
      </c>
      <c r="K1765" t="str">
        <f>"29263 GRANDVIEW MNR"</f>
        <v>29263 GRANDVIEW MNR</v>
      </c>
      <c r="L1765" t="str">
        <f t="shared" si="637"/>
        <v>YULEE FL 32097</v>
      </c>
      <c r="M1765" t="str">
        <f>"LOT 104 PT OR 1938/1054 LIGHTHOUSE POINTE 2 PB 7/145"</f>
        <v>LOT 104 PT OR 1938/1054 LIGHTHOUSE POINTE 2 PB 7/145</v>
      </c>
      <c r="N1765" t="str">
        <f>""</f>
        <v/>
      </c>
      <c r="O1765" t="str">
        <f>"46897"</f>
        <v>46897</v>
      </c>
      <c r="P1765" t="str">
        <f t="shared" si="628"/>
        <v>2017</v>
      </c>
      <c r="Q1765" t="str">
        <f>""</f>
        <v/>
      </c>
      <c r="R1765" t="str">
        <f t="shared" si="635"/>
        <v>N</v>
      </c>
      <c r="S1765" t="str">
        <f>""</f>
        <v/>
      </c>
      <c r="T1765" t="str">
        <f t="shared" si="653"/>
        <v>456.21</v>
      </c>
      <c r="U1765" t="str">
        <f t="shared" si="645"/>
        <v>16335.00</v>
      </c>
      <c r="V1765" t="str">
        <f t="shared" si="645"/>
        <v>16335.00</v>
      </c>
      <c r="W1765" t="str">
        <f t="shared" si="630"/>
        <v>2017</v>
      </c>
      <c r="X1765" t="str">
        <f t="shared" si="652"/>
        <v>20.57</v>
      </c>
      <c r="Y1765" t="str">
        <f t="shared" si="654"/>
        <v>501.90</v>
      </c>
      <c r="Z1765" t="str">
        <f>""</f>
        <v/>
      </c>
      <c r="AA1765" t="str">
        <f t="shared" si="655"/>
        <v>48000.00</v>
      </c>
      <c r="AB1765" t="str">
        <f t="shared" si="633"/>
        <v>Residential</v>
      </c>
      <c r="AC1765" t="str">
        <f t="shared" si="643"/>
        <v>0</v>
      </c>
      <c r="AD1765" t="str">
        <f>""</f>
        <v/>
      </c>
      <c r="AE1765" t="str">
        <f>""</f>
        <v/>
      </c>
      <c r="AF1765" t="str">
        <f t="shared" si="636"/>
        <v>000</v>
      </c>
      <c r="AG1765" t="str">
        <f t="shared" si="634"/>
        <v>FL</v>
      </c>
      <c r="AH1765" t="str">
        <f t="shared" si="640"/>
        <v>-</v>
      </c>
      <c r="AI1765" t="str">
        <f t="shared" si="656"/>
        <v>48000.00</v>
      </c>
      <c r="AJ1765" t="str">
        <f>"C55-000-969-7866-3"</f>
        <v>C55-000-969-7866-3</v>
      </c>
      <c r="AK1765" t="str">
        <f>"31681"</f>
        <v>31681</v>
      </c>
      <c r="AL1765">
        <v>7</v>
      </c>
      <c r="AM1765">
        <v>2013</v>
      </c>
      <c r="AN1765">
        <v>525.4</v>
      </c>
      <c r="AQ1765" t="s">
        <v>17409</v>
      </c>
      <c r="AR1765" t="s">
        <v>17409</v>
      </c>
      <c r="AS1765" t="s">
        <v>17409</v>
      </c>
      <c r="AU1765" t="s">
        <v>396</v>
      </c>
      <c r="AV1765">
        <v>2017</v>
      </c>
      <c r="AW1765" t="str">
        <f>"41-3N-28-1250-0104-0000 "</f>
        <v xml:space="preserve">41-3N-28-1250-0104-0000 </v>
      </c>
      <c r="AX1765">
        <v>29263</v>
      </c>
      <c r="AZ1765" t="s">
        <v>17210</v>
      </c>
      <c r="BD1765" t="s">
        <v>2387</v>
      </c>
      <c r="BE1765" t="s">
        <v>393</v>
      </c>
      <c r="BF1765">
        <v>32097</v>
      </c>
      <c r="BG1765" t="s">
        <v>17410</v>
      </c>
      <c r="BH1765" t="s">
        <v>2388</v>
      </c>
      <c r="BI1765">
        <v>-81.548304760601496</v>
      </c>
      <c r="BJ1765">
        <v>30.683250545584102</v>
      </c>
      <c r="BK1765" t="s">
        <v>17211</v>
      </c>
      <c r="BM1765" t="s">
        <v>17212</v>
      </c>
      <c r="BN1765" t="s">
        <v>548</v>
      </c>
      <c r="BO1765">
        <v>32245</v>
      </c>
      <c r="BP1765" t="s">
        <v>404</v>
      </c>
      <c r="BQ1765">
        <v>0</v>
      </c>
      <c r="BR1765" t="s">
        <v>491</v>
      </c>
      <c r="BS1765">
        <v>8001</v>
      </c>
      <c r="BT1765" t="s">
        <v>492</v>
      </c>
      <c r="BW1765">
        <v>11102</v>
      </c>
      <c r="BX1765" t="s">
        <v>407</v>
      </c>
      <c r="BY1765" t="s">
        <v>3019</v>
      </c>
      <c r="CD1765">
        <v>2017</v>
      </c>
      <c r="CE1765">
        <v>48000</v>
      </c>
      <c r="CG1765">
        <v>48000</v>
      </c>
      <c r="CH1765">
        <v>2017</v>
      </c>
      <c r="CI1765">
        <v>48000</v>
      </c>
      <c r="CK1765">
        <v>48000</v>
      </c>
      <c r="CL1765">
        <v>2017</v>
      </c>
      <c r="CM1765">
        <v>456.21</v>
      </c>
      <c r="CN1765" s="1">
        <v>41901</v>
      </c>
      <c r="CO1765">
        <v>2599000</v>
      </c>
      <c r="CZ1765" s="1">
        <v>41901</v>
      </c>
      <c r="DD1765" t="s">
        <v>2387</v>
      </c>
      <c r="DF1765">
        <v>104</v>
      </c>
      <c r="DG1765">
        <v>41</v>
      </c>
      <c r="DJ1765" t="s">
        <v>17267</v>
      </c>
      <c r="DL1765">
        <v>50301</v>
      </c>
      <c r="DM1765" t="s">
        <v>17237</v>
      </c>
      <c r="DO1765" t="s">
        <v>17411</v>
      </c>
      <c r="DP1765">
        <v>0</v>
      </c>
      <c r="DQ1765">
        <v>0</v>
      </c>
      <c r="DR1765" t="s">
        <v>411</v>
      </c>
      <c r="DS1765" t="b">
        <v>1</v>
      </c>
      <c r="DT1765" t="s">
        <v>470</v>
      </c>
      <c r="DU1765" t="s">
        <v>471</v>
      </c>
      <c r="DV1765" t="s">
        <v>472</v>
      </c>
      <c r="DX1765">
        <v>-9999</v>
      </c>
      <c r="DZ1765" t="s">
        <v>447</v>
      </c>
      <c r="EA1765" t="s">
        <v>448</v>
      </c>
      <c r="EB1765" t="s">
        <v>742</v>
      </c>
      <c r="EC1765">
        <v>20101217</v>
      </c>
      <c r="ED1765" t="s">
        <v>474</v>
      </c>
      <c r="EF1765">
        <v>199.1</v>
      </c>
      <c r="EG1765">
        <v>115.7</v>
      </c>
      <c r="EI1765">
        <v>20160407</v>
      </c>
      <c r="EJ1765">
        <v>0</v>
      </c>
      <c r="EK1765">
        <v>0</v>
      </c>
      <c r="EP1765" t="s">
        <v>421</v>
      </c>
      <c r="EQ1765" t="s">
        <v>422</v>
      </c>
      <c r="ER1765">
        <v>1</v>
      </c>
      <c r="ES1765">
        <v>5</v>
      </c>
      <c r="ET1765">
        <v>517.12</v>
      </c>
      <c r="EU1765">
        <v>32.11</v>
      </c>
      <c r="EV1765">
        <v>549.23</v>
      </c>
      <c r="EW1765" s="2">
        <v>43222</v>
      </c>
      <c r="EX1765" s="1">
        <v>42879</v>
      </c>
      <c r="EY1765">
        <v>2016</v>
      </c>
      <c r="EZ1765">
        <v>517.12</v>
      </c>
      <c r="FA1765" t="s">
        <v>17412</v>
      </c>
      <c r="FB1765">
        <v>4.75</v>
      </c>
      <c r="FC1765" t="s">
        <v>424</v>
      </c>
      <c r="FD1765" t="s">
        <v>454</v>
      </c>
      <c r="FF1765">
        <v>12</v>
      </c>
      <c r="FG1765">
        <v>5100525</v>
      </c>
      <c r="FH1765" t="s">
        <v>6804</v>
      </c>
      <c r="FJ1765" s="1">
        <v>42515</v>
      </c>
      <c r="FK1765">
        <v>2015</v>
      </c>
      <c r="FL1765">
        <v>251.57</v>
      </c>
      <c r="FM1765" t="s">
        <v>17413</v>
      </c>
      <c r="FN1765">
        <v>15.25</v>
      </c>
      <c r="FO1765" t="s">
        <v>424</v>
      </c>
      <c r="FP1765" t="s">
        <v>425</v>
      </c>
      <c r="FQ1765" s="1">
        <v>42614</v>
      </c>
      <c r="FR1765">
        <v>4</v>
      </c>
      <c r="FS1765">
        <v>2035919</v>
      </c>
      <c r="FT1765" t="s">
        <v>507</v>
      </c>
      <c r="FV1765" s="1">
        <v>42151</v>
      </c>
      <c r="FW1765">
        <v>2014</v>
      </c>
      <c r="FX1765">
        <v>252.74</v>
      </c>
      <c r="FY1765" t="s">
        <v>17414</v>
      </c>
      <c r="FZ1765">
        <v>0.25</v>
      </c>
      <c r="GA1765" t="s">
        <v>424</v>
      </c>
      <c r="GB1765" t="s">
        <v>425</v>
      </c>
      <c r="GC1765" s="1">
        <v>42611</v>
      </c>
      <c r="GD1765">
        <v>15</v>
      </c>
      <c r="GE1765">
        <v>4975594</v>
      </c>
      <c r="GF1765" t="s">
        <v>457</v>
      </c>
      <c r="GH1765" s="1">
        <v>42151</v>
      </c>
      <c r="GI1765">
        <v>2014</v>
      </c>
      <c r="GJ1765">
        <v>252.74</v>
      </c>
      <c r="GK1765" t="s">
        <v>17414</v>
      </c>
      <c r="GL1765">
        <v>0.25</v>
      </c>
      <c r="GM1765" t="s">
        <v>424</v>
      </c>
      <c r="GN1765" t="s">
        <v>425</v>
      </c>
      <c r="GP1765">
        <v>22</v>
      </c>
      <c r="GQ1765">
        <v>6510118</v>
      </c>
      <c r="GR1765" t="s">
        <v>17415</v>
      </c>
      <c r="GT1765" s="1">
        <v>41052</v>
      </c>
      <c r="GU1765">
        <v>2011</v>
      </c>
      <c r="GV1765">
        <v>388.99</v>
      </c>
      <c r="GW1765" t="s">
        <v>17416</v>
      </c>
      <c r="GX1765">
        <v>18</v>
      </c>
      <c r="GY1765" t="s">
        <v>424</v>
      </c>
      <c r="GZ1765" t="s">
        <v>425</v>
      </c>
      <c r="HA1765" s="1">
        <v>41089</v>
      </c>
      <c r="HB1765">
        <v>1</v>
      </c>
      <c r="HC1765">
        <v>11265</v>
      </c>
      <c r="HD1765" t="s">
        <v>17231</v>
      </c>
      <c r="HF1765" s="1">
        <v>40688</v>
      </c>
      <c r="HG1765">
        <v>2010</v>
      </c>
      <c r="HH1765">
        <v>850.88</v>
      </c>
      <c r="HI1765" t="s">
        <v>17417</v>
      </c>
      <c r="HJ1765">
        <v>9</v>
      </c>
      <c r="HK1765" t="s">
        <v>424</v>
      </c>
      <c r="HL1765" t="s">
        <v>425</v>
      </c>
      <c r="HM1765" s="1">
        <v>41089</v>
      </c>
      <c r="HN1765">
        <v>13</v>
      </c>
      <c r="HO1765">
        <v>11325</v>
      </c>
      <c r="HP1765" t="s">
        <v>2402</v>
      </c>
    </row>
    <row r="1766" spans="1:236" x14ac:dyDescent="0.25">
      <c r="A1766">
        <v>16486773</v>
      </c>
      <c r="B1766">
        <v>1765</v>
      </c>
      <c r="C1766" t="s">
        <v>393</v>
      </c>
      <c r="D1766" t="s">
        <v>394</v>
      </c>
      <c r="F1766" t="str">
        <f>"41-3N-28-1250-0106-0000"</f>
        <v>41-3N-28-1250-0106-0000</v>
      </c>
      <c r="H1766" t="str">
        <f t="shared" si="649"/>
        <v>LIGHTHOUSE POINTE DEV LLC</v>
      </c>
      <c r="I1766" t="str">
        <f t="shared" si="650"/>
        <v>PO BOX 17833</v>
      </c>
      <c r="J1766" t="str">
        <f t="shared" si="651"/>
        <v>JACKSONVILLE FL 32245</v>
      </c>
      <c r="K1766" t="str">
        <f>"29223 GRANDVIEW MNR"</f>
        <v>29223 GRANDVIEW MNR</v>
      </c>
      <c r="L1766" t="str">
        <f t="shared" si="637"/>
        <v>YULEE FL 32097</v>
      </c>
      <c r="M1766" t="str">
        <f>"LOT 106 PT OR 1938/1054 LIGHTHOUSE POINTE 2 PB 7/145"</f>
        <v>LOT 106 PT OR 1938/1054 LIGHTHOUSE POINTE 2 PB 7/145</v>
      </c>
      <c r="N1766" t="str">
        <f>""</f>
        <v/>
      </c>
      <c r="O1766" t="str">
        <f>"46899"</f>
        <v>46899</v>
      </c>
      <c r="P1766" t="str">
        <f t="shared" si="628"/>
        <v>2017</v>
      </c>
      <c r="Q1766" t="str">
        <f>""</f>
        <v/>
      </c>
      <c r="R1766" t="str">
        <f t="shared" si="635"/>
        <v>N</v>
      </c>
      <c r="S1766" t="str">
        <f>""</f>
        <v/>
      </c>
      <c r="T1766" t="str">
        <f t="shared" si="653"/>
        <v>456.21</v>
      </c>
      <c r="U1766" t="str">
        <f t="shared" si="645"/>
        <v>16335.00</v>
      </c>
      <c r="V1766" t="str">
        <f t="shared" si="645"/>
        <v>16335.00</v>
      </c>
      <c r="W1766" t="str">
        <f t="shared" si="630"/>
        <v>2017</v>
      </c>
      <c r="X1766" t="str">
        <f t="shared" si="652"/>
        <v>20.57</v>
      </c>
      <c r="Y1766" t="str">
        <f t="shared" si="654"/>
        <v>501.90</v>
      </c>
      <c r="Z1766" t="str">
        <f>""</f>
        <v/>
      </c>
      <c r="AA1766" t="str">
        <f t="shared" si="655"/>
        <v>48000.00</v>
      </c>
      <c r="AB1766" t="str">
        <f t="shared" si="633"/>
        <v>Residential</v>
      </c>
      <c r="AC1766" t="str">
        <f t="shared" si="643"/>
        <v>0</v>
      </c>
      <c r="AD1766" t="str">
        <f>""</f>
        <v/>
      </c>
      <c r="AE1766" t="str">
        <f>""</f>
        <v/>
      </c>
      <c r="AF1766" t="str">
        <f t="shared" si="636"/>
        <v>000</v>
      </c>
      <c r="AG1766" t="str">
        <f t="shared" si="634"/>
        <v>FL</v>
      </c>
      <c r="AH1766" t="str">
        <f t="shared" si="640"/>
        <v>-</v>
      </c>
      <c r="AI1766" t="str">
        <f t="shared" si="656"/>
        <v>48000.00</v>
      </c>
      <c r="AJ1766" t="str">
        <f>"C55-000-969-7868-9"</f>
        <v>C55-000-969-7868-9</v>
      </c>
      <c r="AK1766" t="str">
        <f>"31683"</f>
        <v>31683</v>
      </c>
      <c r="AL1766">
        <v>7</v>
      </c>
      <c r="AM1766">
        <v>2014</v>
      </c>
      <c r="AN1766">
        <v>525.4</v>
      </c>
      <c r="AQ1766" t="s">
        <v>17418</v>
      </c>
      <c r="AR1766" t="s">
        <v>17418</v>
      </c>
      <c r="AS1766" t="s">
        <v>17418</v>
      </c>
      <c r="AU1766" t="s">
        <v>396</v>
      </c>
      <c r="AV1766">
        <v>2017</v>
      </c>
      <c r="AW1766" t="str">
        <f>"41-3N-28-1250-0106-0000 "</f>
        <v xml:space="preserve">41-3N-28-1250-0106-0000 </v>
      </c>
      <c r="AX1766">
        <v>29223</v>
      </c>
      <c r="AZ1766" t="s">
        <v>17210</v>
      </c>
      <c r="BD1766" t="s">
        <v>2387</v>
      </c>
      <c r="BE1766" t="s">
        <v>393</v>
      </c>
      <c r="BF1766">
        <v>32097</v>
      </c>
      <c r="BG1766" t="s">
        <v>17419</v>
      </c>
      <c r="BH1766" t="s">
        <v>2388</v>
      </c>
      <c r="BI1766">
        <v>-81.547624697912696</v>
      </c>
      <c r="BJ1766">
        <v>30.683274313548299</v>
      </c>
      <c r="BK1766" t="s">
        <v>17211</v>
      </c>
      <c r="BM1766" t="s">
        <v>17212</v>
      </c>
      <c r="BN1766" t="s">
        <v>548</v>
      </c>
      <c r="BO1766">
        <v>32245</v>
      </c>
      <c r="BP1766" t="s">
        <v>404</v>
      </c>
      <c r="BQ1766">
        <v>0</v>
      </c>
      <c r="BR1766" t="s">
        <v>491</v>
      </c>
      <c r="BS1766">
        <v>8001</v>
      </c>
      <c r="BT1766" t="s">
        <v>492</v>
      </c>
      <c r="BW1766">
        <v>14219</v>
      </c>
      <c r="BX1766" t="s">
        <v>407</v>
      </c>
      <c r="BY1766" t="s">
        <v>3019</v>
      </c>
      <c r="CD1766">
        <v>2017</v>
      </c>
      <c r="CE1766">
        <v>48000</v>
      </c>
      <c r="CG1766">
        <v>48000</v>
      </c>
      <c r="CH1766">
        <v>2017</v>
      </c>
      <c r="CI1766">
        <v>48000</v>
      </c>
      <c r="CK1766">
        <v>48000</v>
      </c>
      <c r="CL1766">
        <v>2017</v>
      </c>
      <c r="CM1766">
        <v>456.21</v>
      </c>
      <c r="CN1766" s="1">
        <v>41901</v>
      </c>
      <c r="CO1766">
        <v>2599000</v>
      </c>
      <c r="CZ1766" s="1">
        <v>41901</v>
      </c>
      <c r="DD1766" t="s">
        <v>2387</v>
      </c>
      <c r="DF1766">
        <v>106</v>
      </c>
      <c r="DG1766">
        <v>41</v>
      </c>
      <c r="DJ1766" t="s">
        <v>17267</v>
      </c>
      <c r="DL1766">
        <v>50301</v>
      </c>
      <c r="DM1766" t="s">
        <v>17237</v>
      </c>
      <c r="DO1766" t="s">
        <v>17420</v>
      </c>
      <c r="DP1766">
        <v>0</v>
      </c>
      <c r="DQ1766">
        <v>0</v>
      </c>
      <c r="DR1766" t="s">
        <v>411</v>
      </c>
      <c r="DS1766" t="b">
        <v>1</v>
      </c>
      <c r="DT1766" t="s">
        <v>470</v>
      </c>
      <c r="DU1766" t="s">
        <v>471</v>
      </c>
      <c r="DV1766" t="s">
        <v>472</v>
      </c>
      <c r="DX1766">
        <v>-9999</v>
      </c>
      <c r="DZ1766" t="s">
        <v>447</v>
      </c>
      <c r="EA1766" t="s">
        <v>448</v>
      </c>
      <c r="EB1766" t="s">
        <v>742</v>
      </c>
      <c r="EC1766">
        <v>20101217</v>
      </c>
      <c r="ED1766" t="s">
        <v>474</v>
      </c>
      <c r="EF1766">
        <v>218.2</v>
      </c>
      <c r="EG1766">
        <v>49.9</v>
      </c>
      <c r="EI1766">
        <v>20160407</v>
      </c>
      <c r="EJ1766">
        <v>0</v>
      </c>
      <c r="EK1766">
        <v>0</v>
      </c>
      <c r="EP1766" t="s">
        <v>421</v>
      </c>
      <c r="EQ1766" t="s">
        <v>422</v>
      </c>
      <c r="ER1766">
        <v>1</v>
      </c>
      <c r="ES1766">
        <v>5</v>
      </c>
      <c r="ET1766">
        <v>517.12</v>
      </c>
      <c r="EU1766">
        <v>32.11</v>
      </c>
      <c r="EV1766">
        <v>549.23</v>
      </c>
      <c r="EW1766" s="2">
        <v>43222</v>
      </c>
      <c r="EX1766" s="1">
        <v>42879</v>
      </c>
      <c r="EY1766">
        <v>2016</v>
      </c>
      <c r="EZ1766">
        <v>517.12</v>
      </c>
      <c r="FA1766" t="s">
        <v>17421</v>
      </c>
      <c r="FB1766">
        <v>4.75</v>
      </c>
      <c r="FC1766" t="s">
        <v>424</v>
      </c>
      <c r="FD1766" t="s">
        <v>454</v>
      </c>
      <c r="FF1766">
        <v>12</v>
      </c>
      <c r="FG1766">
        <v>5100525</v>
      </c>
      <c r="FH1766" t="s">
        <v>6804</v>
      </c>
      <c r="FJ1766" s="1">
        <v>42515</v>
      </c>
      <c r="FK1766">
        <v>2015</v>
      </c>
      <c r="FL1766">
        <v>251.57</v>
      </c>
      <c r="FM1766" t="s">
        <v>17422</v>
      </c>
      <c r="FN1766">
        <v>15.25</v>
      </c>
      <c r="FO1766" t="s">
        <v>424</v>
      </c>
      <c r="FP1766" t="s">
        <v>425</v>
      </c>
      <c r="FQ1766" s="1">
        <v>42614</v>
      </c>
      <c r="FR1766">
        <v>4</v>
      </c>
      <c r="FS1766">
        <v>2035919</v>
      </c>
      <c r="FT1766" t="s">
        <v>507</v>
      </c>
      <c r="FV1766" s="1">
        <v>42151</v>
      </c>
      <c r="FW1766">
        <v>2014</v>
      </c>
      <c r="FX1766">
        <v>252.74</v>
      </c>
      <c r="FY1766" t="s">
        <v>17423</v>
      </c>
      <c r="FZ1766">
        <v>0.25</v>
      </c>
      <c r="GA1766" t="s">
        <v>424</v>
      </c>
      <c r="GB1766" t="s">
        <v>425</v>
      </c>
      <c r="GC1766" s="1">
        <v>42611</v>
      </c>
      <c r="GD1766">
        <v>15</v>
      </c>
      <c r="GE1766">
        <v>4975594</v>
      </c>
      <c r="GF1766" t="s">
        <v>457</v>
      </c>
      <c r="GH1766" s="1">
        <v>42151</v>
      </c>
      <c r="GI1766">
        <v>2014</v>
      </c>
      <c r="GJ1766">
        <v>252.74</v>
      </c>
      <c r="GK1766" t="s">
        <v>17423</v>
      </c>
      <c r="GL1766">
        <v>0.25</v>
      </c>
      <c r="GM1766" t="s">
        <v>424</v>
      </c>
      <c r="GN1766" t="s">
        <v>425</v>
      </c>
      <c r="GP1766">
        <v>22</v>
      </c>
      <c r="GQ1766">
        <v>6505294</v>
      </c>
      <c r="GR1766" t="s">
        <v>17424</v>
      </c>
      <c r="GT1766" s="1">
        <v>41052</v>
      </c>
      <c r="GU1766">
        <v>2011</v>
      </c>
      <c r="GV1766">
        <v>388.99</v>
      </c>
      <c r="GW1766" t="s">
        <v>17425</v>
      </c>
      <c r="GX1766">
        <v>18</v>
      </c>
      <c r="GY1766" t="s">
        <v>424</v>
      </c>
      <c r="GZ1766" t="s">
        <v>425</v>
      </c>
      <c r="HA1766" s="1">
        <v>41089</v>
      </c>
      <c r="HB1766">
        <v>1</v>
      </c>
      <c r="HC1766">
        <v>11265</v>
      </c>
      <c r="HD1766" t="s">
        <v>17231</v>
      </c>
      <c r="HF1766" s="1">
        <v>40688</v>
      </c>
      <c r="HG1766">
        <v>2010</v>
      </c>
      <c r="HH1766">
        <v>850.88</v>
      </c>
      <c r="HI1766" t="s">
        <v>17426</v>
      </c>
      <c r="HJ1766">
        <v>9</v>
      </c>
      <c r="HK1766" t="s">
        <v>424</v>
      </c>
      <c r="HL1766" t="s">
        <v>425</v>
      </c>
      <c r="HM1766" s="1">
        <v>41089</v>
      </c>
      <c r="HN1766">
        <v>13</v>
      </c>
      <c r="HO1766">
        <v>11325</v>
      </c>
      <c r="HP1766" t="s">
        <v>2402</v>
      </c>
    </row>
    <row r="1767" spans="1:236" x14ac:dyDescent="0.25">
      <c r="A1767">
        <v>16486774</v>
      </c>
      <c r="B1767">
        <v>1766</v>
      </c>
      <c r="C1767" t="s">
        <v>393</v>
      </c>
      <c r="D1767" t="s">
        <v>394</v>
      </c>
      <c r="F1767" t="str">
        <f>"41-3N-28-1250-0110-0000"</f>
        <v>41-3N-28-1250-0110-0000</v>
      </c>
      <c r="H1767" t="str">
        <f t="shared" si="649"/>
        <v>LIGHTHOUSE POINTE DEV LLC</v>
      </c>
      <c r="I1767" t="str">
        <f t="shared" si="650"/>
        <v>PO BOX 17833</v>
      </c>
      <c r="J1767" t="str">
        <f t="shared" si="651"/>
        <v>JACKSONVILLE FL 32245</v>
      </c>
      <c r="K1767" t="str">
        <f>"29133 GRANDVIEW MNR"</f>
        <v>29133 GRANDVIEW MNR</v>
      </c>
      <c r="L1767" t="str">
        <f t="shared" si="637"/>
        <v>YULEE FL 32097</v>
      </c>
      <c r="M1767" t="str">
        <f>"LOT 110 PT OR 1938/1054 LIGHTHOUSE POINTE 2 PB 7/145"</f>
        <v>LOT 110 PT OR 1938/1054 LIGHTHOUSE POINTE 2 PB 7/145</v>
      </c>
      <c r="N1767" t="str">
        <f>""</f>
        <v/>
      </c>
      <c r="O1767" t="str">
        <f>"46903"</f>
        <v>46903</v>
      </c>
      <c r="P1767" t="str">
        <f t="shared" si="628"/>
        <v>2017</v>
      </c>
      <c r="Q1767" t="str">
        <f>""</f>
        <v/>
      </c>
      <c r="R1767" t="str">
        <f t="shared" si="635"/>
        <v>N</v>
      </c>
      <c r="S1767" t="str">
        <f>""</f>
        <v/>
      </c>
      <c r="T1767" t="str">
        <f t="shared" si="653"/>
        <v>456.21</v>
      </c>
      <c r="U1767" t="str">
        <f t="shared" si="645"/>
        <v>16335.00</v>
      </c>
      <c r="V1767" t="str">
        <f t="shared" si="645"/>
        <v>16335.00</v>
      </c>
      <c r="W1767" t="str">
        <f t="shared" si="630"/>
        <v>2017</v>
      </c>
      <c r="X1767" t="str">
        <f t="shared" si="652"/>
        <v>20.57</v>
      </c>
      <c r="Y1767" t="str">
        <f t="shared" si="654"/>
        <v>501.90</v>
      </c>
      <c r="Z1767" t="str">
        <f>""</f>
        <v/>
      </c>
      <c r="AA1767" t="str">
        <f t="shared" si="655"/>
        <v>48000.00</v>
      </c>
      <c r="AB1767" t="str">
        <f t="shared" si="633"/>
        <v>Residential</v>
      </c>
      <c r="AC1767" t="str">
        <f t="shared" si="643"/>
        <v>0</v>
      </c>
      <c r="AD1767" t="str">
        <f>""</f>
        <v/>
      </c>
      <c r="AE1767" t="str">
        <f>""</f>
        <v/>
      </c>
      <c r="AF1767" t="str">
        <f t="shared" si="636"/>
        <v>000</v>
      </c>
      <c r="AG1767" t="str">
        <f t="shared" si="634"/>
        <v>FL</v>
      </c>
      <c r="AH1767" t="str">
        <f t="shared" si="640"/>
        <v>-</v>
      </c>
      <c r="AI1767" t="str">
        <f t="shared" si="656"/>
        <v>48000.00</v>
      </c>
      <c r="AJ1767" t="str">
        <f>"C55-000-969-7872-1"</f>
        <v>C55-000-969-7872-1</v>
      </c>
      <c r="AK1767" t="str">
        <f>"31687"</f>
        <v>31687</v>
      </c>
      <c r="AL1767">
        <v>7</v>
      </c>
      <c r="AM1767">
        <v>2015</v>
      </c>
      <c r="AN1767">
        <v>525.4</v>
      </c>
      <c r="AQ1767" t="s">
        <v>17427</v>
      </c>
      <c r="AR1767" t="s">
        <v>17427</v>
      </c>
      <c r="AS1767" t="s">
        <v>17427</v>
      </c>
      <c r="AU1767" t="s">
        <v>396</v>
      </c>
      <c r="AV1767">
        <v>2017</v>
      </c>
      <c r="AW1767" t="str">
        <f>"41-3N-28-1250-0110-0000 "</f>
        <v xml:space="preserve">41-3N-28-1250-0110-0000 </v>
      </c>
      <c r="AX1767">
        <v>29133</v>
      </c>
      <c r="AZ1767" t="s">
        <v>17210</v>
      </c>
      <c r="BD1767" t="s">
        <v>2387</v>
      </c>
      <c r="BE1767" t="s">
        <v>393</v>
      </c>
      <c r="BF1767">
        <v>32097</v>
      </c>
      <c r="BG1767" t="s">
        <v>17428</v>
      </c>
      <c r="BH1767" t="s">
        <v>2388</v>
      </c>
      <c r="BI1767">
        <v>-81.546253353999305</v>
      </c>
      <c r="BJ1767">
        <v>30.6834651619697</v>
      </c>
      <c r="BK1767" t="s">
        <v>17211</v>
      </c>
      <c r="BM1767" t="s">
        <v>17212</v>
      </c>
      <c r="BN1767" t="s">
        <v>548</v>
      </c>
      <c r="BO1767">
        <v>32245</v>
      </c>
      <c r="BP1767" t="s">
        <v>404</v>
      </c>
      <c r="BQ1767">
        <v>0</v>
      </c>
      <c r="BR1767" t="s">
        <v>491</v>
      </c>
      <c r="BS1767">
        <v>8001</v>
      </c>
      <c r="BT1767" t="s">
        <v>492</v>
      </c>
      <c r="BW1767">
        <v>12712</v>
      </c>
      <c r="BX1767" t="s">
        <v>407</v>
      </c>
      <c r="BY1767" t="s">
        <v>3019</v>
      </c>
      <c r="CD1767">
        <v>2017</v>
      </c>
      <c r="CE1767">
        <v>48000</v>
      </c>
      <c r="CG1767">
        <v>48000</v>
      </c>
      <c r="CH1767">
        <v>2017</v>
      </c>
      <c r="CI1767">
        <v>48000</v>
      </c>
      <c r="CK1767">
        <v>48000</v>
      </c>
      <c r="CL1767">
        <v>2017</v>
      </c>
      <c r="CM1767">
        <v>456.21</v>
      </c>
      <c r="CN1767" s="1">
        <v>41901</v>
      </c>
      <c r="CO1767">
        <v>2599000</v>
      </c>
      <c r="CZ1767" s="1">
        <v>41901</v>
      </c>
      <c r="DD1767" t="s">
        <v>2387</v>
      </c>
      <c r="DF1767">
        <v>110</v>
      </c>
      <c r="DG1767">
        <v>41</v>
      </c>
      <c r="DJ1767" t="s">
        <v>17267</v>
      </c>
      <c r="DL1767">
        <v>50301</v>
      </c>
      <c r="DM1767" t="s">
        <v>17237</v>
      </c>
      <c r="DO1767" t="s">
        <v>17429</v>
      </c>
      <c r="DP1767">
        <v>0</v>
      </c>
      <c r="DQ1767">
        <v>0</v>
      </c>
      <c r="DR1767" t="s">
        <v>411</v>
      </c>
      <c r="DS1767" t="b">
        <v>1</v>
      </c>
      <c r="DT1767" t="s">
        <v>470</v>
      </c>
      <c r="DU1767" t="s">
        <v>10249</v>
      </c>
      <c r="DV1767" t="s">
        <v>472</v>
      </c>
      <c r="DX1767">
        <v>-9999</v>
      </c>
      <c r="DZ1767" t="s">
        <v>447</v>
      </c>
      <c r="EA1767" t="s">
        <v>448</v>
      </c>
      <c r="EB1767" t="s">
        <v>17259</v>
      </c>
      <c r="EC1767">
        <v>20101217</v>
      </c>
      <c r="ED1767" t="s">
        <v>10251</v>
      </c>
      <c r="EE1767">
        <v>5</v>
      </c>
      <c r="EF1767">
        <v>113.3</v>
      </c>
      <c r="EG1767">
        <v>0</v>
      </c>
      <c r="EI1767">
        <v>20160407</v>
      </c>
      <c r="EJ1767">
        <v>0</v>
      </c>
      <c r="EK1767">
        <v>0</v>
      </c>
      <c r="EP1767" t="s">
        <v>421</v>
      </c>
      <c r="EQ1767" t="s">
        <v>422</v>
      </c>
      <c r="ER1767">
        <v>1</v>
      </c>
      <c r="ES1767">
        <v>5</v>
      </c>
      <c r="ET1767">
        <v>517.12</v>
      </c>
      <c r="EU1767">
        <v>32.11</v>
      </c>
      <c r="EV1767">
        <v>549.23</v>
      </c>
      <c r="EW1767" s="2">
        <v>43222</v>
      </c>
      <c r="EX1767" s="1">
        <v>42879</v>
      </c>
      <c r="EY1767">
        <v>2016</v>
      </c>
      <c r="EZ1767">
        <v>517.12</v>
      </c>
      <c r="FA1767" t="s">
        <v>17430</v>
      </c>
      <c r="FB1767">
        <v>4.75</v>
      </c>
      <c r="FC1767" t="s">
        <v>424</v>
      </c>
      <c r="FD1767" t="s">
        <v>454</v>
      </c>
      <c r="FF1767">
        <v>12</v>
      </c>
      <c r="FG1767">
        <v>5100525</v>
      </c>
      <c r="FH1767" t="s">
        <v>6804</v>
      </c>
      <c r="FJ1767" s="1">
        <v>42515</v>
      </c>
      <c r="FK1767">
        <v>2015</v>
      </c>
      <c r="FL1767">
        <v>251.57</v>
      </c>
      <c r="FM1767" t="s">
        <v>17431</v>
      </c>
      <c r="FN1767">
        <v>15.25</v>
      </c>
      <c r="FO1767" t="s">
        <v>424</v>
      </c>
      <c r="FP1767" t="s">
        <v>425</v>
      </c>
      <c r="FQ1767" s="1">
        <v>42614</v>
      </c>
      <c r="FR1767">
        <v>4</v>
      </c>
      <c r="FS1767">
        <v>2035919</v>
      </c>
      <c r="FT1767" t="s">
        <v>507</v>
      </c>
      <c r="FV1767" s="1">
        <v>42151</v>
      </c>
      <c r="FW1767">
        <v>2014</v>
      </c>
      <c r="FX1767">
        <v>252.74</v>
      </c>
      <c r="FY1767" t="s">
        <v>17432</v>
      </c>
      <c r="FZ1767">
        <v>0.25</v>
      </c>
      <c r="GA1767" t="s">
        <v>424</v>
      </c>
      <c r="GB1767" t="s">
        <v>425</v>
      </c>
      <c r="GC1767" s="1">
        <v>42611</v>
      </c>
      <c r="GD1767">
        <v>15</v>
      </c>
      <c r="GE1767">
        <v>4975594</v>
      </c>
      <c r="GF1767" t="s">
        <v>457</v>
      </c>
      <c r="GH1767" s="1">
        <v>42151</v>
      </c>
      <c r="GI1767">
        <v>2014</v>
      </c>
      <c r="GJ1767">
        <v>252.74</v>
      </c>
      <c r="GK1767" t="s">
        <v>17432</v>
      </c>
      <c r="GL1767">
        <v>0.25</v>
      </c>
      <c r="GM1767" t="s">
        <v>424</v>
      </c>
      <c r="GN1767" t="s">
        <v>425</v>
      </c>
      <c r="GP1767">
        <v>22</v>
      </c>
      <c r="GQ1767">
        <v>6706018</v>
      </c>
      <c r="GR1767" t="s">
        <v>17433</v>
      </c>
      <c r="GT1767" s="1">
        <v>41052</v>
      </c>
      <c r="GU1767">
        <v>2011</v>
      </c>
      <c r="GV1767">
        <v>388.99</v>
      </c>
      <c r="GW1767" t="s">
        <v>17434</v>
      </c>
      <c r="GX1767">
        <v>18</v>
      </c>
      <c r="GY1767" t="s">
        <v>424</v>
      </c>
      <c r="GZ1767" t="s">
        <v>425</v>
      </c>
      <c r="HA1767" s="1">
        <v>41089</v>
      </c>
      <c r="HB1767">
        <v>1</v>
      </c>
      <c r="HC1767">
        <v>11265</v>
      </c>
      <c r="HD1767" t="s">
        <v>17231</v>
      </c>
      <c r="HF1767" s="1">
        <v>40688</v>
      </c>
      <c r="HG1767">
        <v>2010</v>
      </c>
      <c r="HH1767">
        <v>850.88</v>
      </c>
      <c r="HI1767" t="s">
        <v>17435</v>
      </c>
      <c r="HJ1767">
        <v>9</v>
      </c>
      <c r="HK1767" t="s">
        <v>424</v>
      </c>
      <c r="HL1767" t="s">
        <v>425</v>
      </c>
      <c r="HM1767" s="1">
        <v>41089</v>
      </c>
      <c r="HN1767">
        <v>13</v>
      </c>
      <c r="HO1767">
        <v>11325</v>
      </c>
      <c r="HP1767" t="s">
        <v>2402</v>
      </c>
    </row>
    <row r="1768" spans="1:236" x14ac:dyDescent="0.25">
      <c r="A1768">
        <v>16486775</v>
      </c>
      <c r="B1768">
        <v>1767</v>
      </c>
      <c r="C1768" t="s">
        <v>393</v>
      </c>
      <c r="D1768" t="s">
        <v>394</v>
      </c>
      <c r="F1768" t="str">
        <f>"41-3N-28-1250-0111-0000"</f>
        <v>41-3N-28-1250-0111-0000</v>
      </c>
      <c r="H1768" t="str">
        <f t="shared" si="649"/>
        <v>LIGHTHOUSE POINTE DEV LLC</v>
      </c>
      <c r="I1768" t="str">
        <f t="shared" si="650"/>
        <v>PO BOX 17833</v>
      </c>
      <c r="J1768" t="str">
        <f t="shared" si="651"/>
        <v>JACKSONVILLE FL 32245</v>
      </c>
      <c r="K1768" t="str">
        <f>"29103 GRANDVIEW MNR"</f>
        <v>29103 GRANDVIEW MNR</v>
      </c>
      <c r="L1768" t="str">
        <f t="shared" si="637"/>
        <v>YULEE FL 32097</v>
      </c>
      <c r="M1768" t="str">
        <f>"LOT 111 PT OR 1938/1054 LIGHTHOUSE POINTE 2 PB 7/145"</f>
        <v>LOT 111 PT OR 1938/1054 LIGHTHOUSE POINTE 2 PB 7/145</v>
      </c>
      <c r="N1768" t="str">
        <f>""</f>
        <v/>
      </c>
      <c r="O1768" t="str">
        <f>"46904"</f>
        <v>46904</v>
      </c>
      <c r="P1768" t="str">
        <f t="shared" si="628"/>
        <v>2017</v>
      </c>
      <c r="Q1768" t="str">
        <f>""</f>
        <v/>
      </c>
      <c r="R1768" t="str">
        <f t="shared" si="635"/>
        <v>N</v>
      </c>
      <c r="S1768" t="str">
        <f>""</f>
        <v/>
      </c>
      <c r="T1768" t="str">
        <f t="shared" si="653"/>
        <v>456.21</v>
      </c>
      <c r="U1768" t="str">
        <f t="shared" si="645"/>
        <v>16335.00</v>
      </c>
      <c r="V1768" t="str">
        <f t="shared" si="645"/>
        <v>16335.00</v>
      </c>
      <c r="W1768" t="str">
        <f t="shared" si="630"/>
        <v>2017</v>
      </c>
      <c r="X1768" t="str">
        <f t="shared" si="652"/>
        <v>20.57</v>
      </c>
      <c r="Y1768" t="str">
        <f t="shared" si="654"/>
        <v>501.90</v>
      </c>
      <c r="Z1768" t="str">
        <f>""</f>
        <v/>
      </c>
      <c r="AA1768" t="str">
        <f t="shared" si="655"/>
        <v>48000.00</v>
      </c>
      <c r="AB1768" t="str">
        <f t="shared" si="633"/>
        <v>Residential</v>
      </c>
      <c r="AC1768" t="str">
        <f t="shared" si="643"/>
        <v>0</v>
      </c>
      <c r="AD1768" t="str">
        <f>""</f>
        <v/>
      </c>
      <c r="AE1768" t="str">
        <f>""</f>
        <v/>
      </c>
      <c r="AF1768" t="str">
        <f t="shared" si="636"/>
        <v>000</v>
      </c>
      <c r="AG1768" t="str">
        <f t="shared" si="634"/>
        <v>FL</v>
      </c>
      <c r="AH1768" t="str">
        <f t="shared" si="640"/>
        <v>-</v>
      </c>
      <c r="AI1768" t="str">
        <f t="shared" si="656"/>
        <v>48000.00</v>
      </c>
      <c r="AJ1768" t="str">
        <f>"C55-000-969-7873-9"</f>
        <v>C55-000-969-7873-9</v>
      </c>
      <c r="AK1768" t="str">
        <f>"31688"</f>
        <v>31688</v>
      </c>
      <c r="AL1768">
        <v>7</v>
      </c>
      <c r="AM1768">
        <v>2016</v>
      </c>
      <c r="AN1768">
        <v>525.4</v>
      </c>
      <c r="AQ1768" t="s">
        <v>17436</v>
      </c>
      <c r="AR1768" t="s">
        <v>17436</v>
      </c>
      <c r="AS1768" t="s">
        <v>17436</v>
      </c>
      <c r="AU1768" t="s">
        <v>396</v>
      </c>
      <c r="AV1768">
        <v>2017</v>
      </c>
      <c r="AW1768" t="str">
        <f>"41-3N-28-1250-0111-0000 "</f>
        <v xml:space="preserve">41-3N-28-1250-0111-0000 </v>
      </c>
      <c r="AX1768">
        <v>29103</v>
      </c>
      <c r="AZ1768" t="s">
        <v>17210</v>
      </c>
      <c r="BD1768" t="s">
        <v>2387</v>
      </c>
      <c r="BE1768" t="s">
        <v>393</v>
      </c>
      <c r="BF1768">
        <v>32097</v>
      </c>
      <c r="BG1768" t="s">
        <v>17437</v>
      </c>
      <c r="BH1768" t="s">
        <v>2388</v>
      </c>
      <c r="BI1768">
        <v>-81.546016498549093</v>
      </c>
      <c r="BJ1768">
        <v>30.6836754184346</v>
      </c>
      <c r="BK1768" t="s">
        <v>17211</v>
      </c>
      <c r="BM1768" t="s">
        <v>17212</v>
      </c>
      <c r="BN1768" t="s">
        <v>548</v>
      </c>
      <c r="BO1768">
        <v>32245</v>
      </c>
      <c r="BP1768" t="s">
        <v>404</v>
      </c>
      <c r="BQ1768">
        <v>0</v>
      </c>
      <c r="BR1768" t="s">
        <v>491</v>
      </c>
      <c r="BS1768">
        <v>8001</v>
      </c>
      <c r="BT1768" t="s">
        <v>492</v>
      </c>
      <c r="BW1768">
        <v>13536</v>
      </c>
      <c r="BX1768" t="s">
        <v>407</v>
      </c>
      <c r="BY1768" t="s">
        <v>3019</v>
      </c>
      <c r="CD1768">
        <v>2017</v>
      </c>
      <c r="CE1768">
        <v>48000</v>
      </c>
      <c r="CG1768">
        <v>48000</v>
      </c>
      <c r="CH1768">
        <v>2017</v>
      </c>
      <c r="CI1768">
        <v>48000</v>
      </c>
      <c r="CK1768">
        <v>48000</v>
      </c>
      <c r="CL1768">
        <v>2017</v>
      </c>
      <c r="CM1768">
        <v>456.21</v>
      </c>
      <c r="CN1768" s="1">
        <v>41901</v>
      </c>
      <c r="CO1768">
        <v>2599000</v>
      </c>
      <c r="CZ1768" s="1">
        <v>41901</v>
      </c>
      <c r="DD1768" t="s">
        <v>2387</v>
      </c>
      <c r="DF1768">
        <v>111</v>
      </c>
      <c r="DG1768">
        <v>41</v>
      </c>
      <c r="DJ1768" t="s">
        <v>17267</v>
      </c>
      <c r="DL1768">
        <v>50301</v>
      </c>
      <c r="DM1768" t="s">
        <v>17237</v>
      </c>
      <c r="DO1768" t="s">
        <v>17438</v>
      </c>
      <c r="DP1768">
        <v>0</v>
      </c>
      <c r="DQ1768">
        <v>0</v>
      </c>
      <c r="DR1768" t="s">
        <v>411</v>
      </c>
      <c r="DS1768" t="b">
        <v>1</v>
      </c>
      <c r="DT1768" t="s">
        <v>470</v>
      </c>
      <c r="DU1768" t="s">
        <v>10249</v>
      </c>
      <c r="DV1768" t="s">
        <v>472</v>
      </c>
      <c r="DX1768">
        <v>-9999</v>
      </c>
      <c r="DZ1768" t="s">
        <v>447</v>
      </c>
      <c r="EA1768" t="s">
        <v>448</v>
      </c>
      <c r="EB1768" t="s">
        <v>17259</v>
      </c>
      <c r="EC1768">
        <v>20101217</v>
      </c>
      <c r="ED1768" t="s">
        <v>10251</v>
      </c>
      <c r="EE1768">
        <v>5</v>
      </c>
      <c r="EF1768">
        <v>152.5</v>
      </c>
      <c r="EG1768">
        <v>0</v>
      </c>
      <c r="EI1768">
        <v>20160407</v>
      </c>
      <c r="EJ1768">
        <v>0</v>
      </c>
      <c r="EK1768">
        <v>0</v>
      </c>
      <c r="EP1768" t="s">
        <v>421</v>
      </c>
      <c r="EQ1768" t="s">
        <v>422</v>
      </c>
      <c r="ER1768">
        <v>1</v>
      </c>
      <c r="ES1768">
        <v>5</v>
      </c>
      <c r="ET1768">
        <v>517.12</v>
      </c>
      <c r="EU1768">
        <v>32.11</v>
      </c>
      <c r="EV1768">
        <v>549.23</v>
      </c>
      <c r="EW1768" s="2">
        <v>43222</v>
      </c>
      <c r="EX1768" s="1">
        <v>42879</v>
      </c>
      <c r="EY1768">
        <v>2016</v>
      </c>
      <c r="EZ1768">
        <v>517.12</v>
      </c>
      <c r="FA1768" t="s">
        <v>17439</v>
      </c>
      <c r="FB1768">
        <v>4.75</v>
      </c>
      <c r="FC1768" t="s">
        <v>424</v>
      </c>
      <c r="FD1768" t="s">
        <v>454</v>
      </c>
      <c r="FF1768">
        <v>12</v>
      </c>
      <c r="FG1768">
        <v>5100525</v>
      </c>
      <c r="FH1768" t="s">
        <v>6804</v>
      </c>
      <c r="FJ1768" s="1">
        <v>42515</v>
      </c>
      <c r="FK1768">
        <v>2015</v>
      </c>
      <c r="FL1768">
        <v>251.57</v>
      </c>
      <c r="FM1768" t="s">
        <v>17440</v>
      </c>
      <c r="FN1768">
        <v>15.25</v>
      </c>
      <c r="FO1768" t="s">
        <v>424</v>
      </c>
      <c r="FP1768" t="s">
        <v>425</v>
      </c>
      <c r="FQ1768" s="1">
        <v>42614</v>
      </c>
      <c r="FR1768">
        <v>4</v>
      </c>
      <c r="FS1768">
        <v>2035919</v>
      </c>
      <c r="FT1768" t="s">
        <v>507</v>
      </c>
      <c r="FV1768" s="1">
        <v>42151</v>
      </c>
      <c r="FW1768">
        <v>2014</v>
      </c>
      <c r="FX1768">
        <v>252.74</v>
      </c>
      <c r="FY1768" t="s">
        <v>17441</v>
      </c>
      <c r="FZ1768">
        <v>0.25</v>
      </c>
      <c r="GA1768" t="s">
        <v>424</v>
      </c>
      <c r="GB1768" t="s">
        <v>425</v>
      </c>
      <c r="GC1768" s="1">
        <v>42611</v>
      </c>
      <c r="GD1768">
        <v>15</v>
      </c>
      <c r="GE1768">
        <v>4975594</v>
      </c>
      <c r="GF1768" t="s">
        <v>457</v>
      </c>
      <c r="GH1768" s="1">
        <v>42151</v>
      </c>
      <c r="GI1768">
        <v>2014</v>
      </c>
      <c r="GJ1768">
        <v>252.74</v>
      </c>
      <c r="GK1768" t="s">
        <v>17441</v>
      </c>
      <c r="GL1768">
        <v>0.25</v>
      </c>
      <c r="GM1768" t="s">
        <v>424</v>
      </c>
      <c r="GN1768" t="s">
        <v>425</v>
      </c>
      <c r="GP1768">
        <v>22</v>
      </c>
      <c r="GQ1768">
        <v>6617503</v>
      </c>
      <c r="GR1768" t="s">
        <v>17442</v>
      </c>
      <c r="GT1768" s="1">
        <v>41052</v>
      </c>
      <c r="GU1768">
        <v>2011</v>
      </c>
      <c r="GV1768">
        <v>388.99</v>
      </c>
      <c r="GW1768" t="s">
        <v>17443</v>
      </c>
      <c r="GX1768">
        <v>18</v>
      </c>
      <c r="GY1768" t="s">
        <v>424</v>
      </c>
      <c r="GZ1768" t="s">
        <v>425</v>
      </c>
      <c r="HA1768" s="1">
        <v>41089</v>
      </c>
      <c r="HB1768">
        <v>1</v>
      </c>
      <c r="HC1768">
        <v>11265</v>
      </c>
      <c r="HD1768" t="s">
        <v>17231</v>
      </c>
      <c r="HF1768" s="1">
        <v>40688</v>
      </c>
      <c r="HG1768">
        <v>2010</v>
      </c>
      <c r="HH1768">
        <v>850.88</v>
      </c>
      <c r="HI1768" t="s">
        <v>17444</v>
      </c>
      <c r="HJ1768">
        <v>9</v>
      </c>
      <c r="HK1768" t="s">
        <v>424</v>
      </c>
      <c r="HL1768" t="s">
        <v>425</v>
      </c>
      <c r="HM1768" s="1">
        <v>41089</v>
      </c>
      <c r="HN1768">
        <v>13</v>
      </c>
      <c r="HO1768">
        <v>11325</v>
      </c>
      <c r="HP1768" t="s">
        <v>2402</v>
      </c>
    </row>
    <row r="1769" spans="1:236" x14ac:dyDescent="0.25">
      <c r="A1769">
        <v>16486776</v>
      </c>
      <c r="B1769">
        <v>1768</v>
      </c>
      <c r="C1769" t="s">
        <v>393</v>
      </c>
      <c r="D1769" t="s">
        <v>394</v>
      </c>
      <c r="F1769" t="str">
        <f>"41-3N-28-1250-0115-0000"</f>
        <v>41-3N-28-1250-0115-0000</v>
      </c>
      <c r="H1769" t="str">
        <f t="shared" si="649"/>
        <v>LIGHTHOUSE POINTE DEV LLC</v>
      </c>
      <c r="I1769" t="str">
        <f t="shared" si="650"/>
        <v>PO BOX 17833</v>
      </c>
      <c r="J1769" t="str">
        <f t="shared" si="651"/>
        <v>JACKSONVILLE FL 32245</v>
      </c>
      <c r="K1769" t="str">
        <f>"29003 GRANDVIEW MNR"</f>
        <v>29003 GRANDVIEW MNR</v>
      </c>
      <c r="L1769" t="str">
        <f t="shared" si="637"/>
        <v>YULEE FL 32097</v>
      </c>
      <c r="M1769" t="str">
        <f>"LOT 115 PT OR 1938/1054 LIGHTHOUSE POINTE 2 PB 7/145"</f>
        <v>LOT 115 PT OR 1938/1054 LIGHTHOUSE POINTE 2 PB 7/145</v>
      </c>
      <c r="N1769" t="str">
        <f>""</f>
        <v/>
      </c>
      <c r="O1769" t="str">
        <f>"46908"</f>
        <v>46908</v>
      </c>
      <c r="P1769" t="str">
        <f t="shared" si="628"/>
        <v>2017</v>
      </c>
      <c r="Q1769" t="str">
        <f>""</f>
        <v/>
      </c>
      <c r="R1769" t="str">
        <f t="shared" si="635"/>
        <v>N</v>
      </c>
      <c r="S1769" t="str">
        <f>""</f>
        <v/>
      </c>
      <c r="T1769" t="str">
        <f t="shared" si="653"/>
        <v>456.21</v>
      </c>
      <c r="U1769" t="str">
        <f t="shared" si="645"/>
        <v>16335.00</v>
      </c>
      <c r="V1769" t="str">
        <f t="shared" si="645"/>
        <v>16335.00</v>
      </c>
      <c r="W1769" t="str">
        <f t="shared" si="630"/>
        <v>2017</v>
      </c>
      <c r="X1769" t="str">
        <f t="shared" si="652"/>
        <v>20.57</v>
      </c>
      <c r="Y1769" t="str">
        <f t="shared" si="654"/>
        <v>501.90</v>
      </c>
      <c r="Z1769" t="str">
        <f>""</f>
        <v/>
      </c>
      <c r="AA1769" t="str">
        <f t="shared" si="655"/>
        <v>48000.00</v>
      </c>
      <c r="AB1769" t="str">
        <f t="shared" si="633"/>
        <v>Residential</v>
      </c>
      <c r="AC1769" t="str">
        <f t="shared" si="643"/>
        <v>0</v>
      </c>
      <c r="AD1769" t="str">
        <f>""</f>
        <v/>
      </c>
      <c r="AE1769" t="str">
        <f>""</f>
        <v/>
      </c>
      <c r="AF1769" t="str">
        <f t="shared" si="636"/>
        <v>000</v>
      </c>
      <c r="AG1769" t="str">
        <f t="shared" si="634"/>
        <v>FL</v>
      </c>
      <c r="AH1769" t="str">
        <f t="shared" si="640"/>
        <v>-</v>
      </c>
      <c r="AI1769" t="str">
        <f t="shared" si="656"/>
        <v>48000.00</v>
      </c>
      <c r="AJ1769" t="str">
        <f>"C55-000-969-7877-0"</f>
        <v>C55-000-969-7877-0</v>
      </c>
      <c r="AK1769" t="str">
        <f>"31692"</f>
        <v>31692</v>
      </c>
      <c r="AL1769">
        <v>7</v>
      </c>
      <c r="AM1769">
        <v>2017</v>
      </c>
      <c r="AN1769">
        <v>525.4</v>
      </c>
      <c r="AQ1769" t="s">
        <v>17445</v>
      </c>
      <c r="AR1769" t="s">
        <v>17445</v>
      </c>
      <c r="AS1769" t="s">
        <v>17445</v>
      </c>
      <c r="AU1769" t="s">
        <v>396</v>
      </c>
      <c r="AV1769">
        <v>2017</v>
      </c>
      <c r="AW1769" t="str">
        <f>"41-3N-28-1250-0115-0000 "</f>
        <v xml:space="preserve">41-3N-28-1250-0115-0000 </v>
      </c>
      <c r="AX1769">
        <v>29003</v>
      </c>
      <c r="AZ1769" t="s">
        <v>17210</v>
      </c>
      <c r="BD1769" t="s">
        <v>2387</v>
      </c>
      <c r="BE1769" t="s">
        <v>393</v>
      </c>
      <c r="BF1769">
        <v>32097</v>
      </c>
      <c r="BG1769" t="s">
        <v>17446</v>
      </c>
      <c r="BH1769" t="s">
        <v>2388</v>
      </c>
      <c r="BI1769">
        <v>-81.546249191512004</v>
      </c>
      <c r="BJ1769">
        <v>30.684913536497799</v>
      </c>
      <c r="BK1769" t="s">
        <v>17211</v>
      </c>
      <c r="BM1769" t="s">
        <v>17212</v>
      </c>
      <c r="BN1769" t="s">
        <v>548</v>
      </c>
      <c r="BO1769">
        <v>32245</v>
      </c>
      <c r="BP1769" t="s">
        <v>404</v>
      </c>
      <c r="BQ1769">
        <v>0</v>
      </c>
      <c r="BR1769" t="s">
        <v>491</v>
      </c>
      <c r="BS1769">
        <v>8001</v>
      </c>
      <c r="BT1769" t="s">
        <v>492</v>
      </c>
      <c r="BW1769">
        <v>10802</v>
      </c>
      <c r="BX1769" t="s">
        <v>407</v>
      </c>
      <c r="BY1769" t="s">
        <v>3019</v>
      </c>
      <c r="CD1769">
        <v>2017</v>
      </c>
      <c r="CE1769">
        <v>48000</v>
      </c>
      <c r="CG1769">
        <v>48000</v>
      </c>
      <c r="CH1769">
        <v>2017</v>
      </c>
      <c r="CI1769">
        <v>48000</v>
      </c>
      <c r="CK1769">
        <v>48000</v>
      </c>
      <c r="CL1769">
        <v>2017</v>
      </c>
      <c r="CM1769">
        <v>456.21</v>
      </c>
      <c r="CN1769" s="1">
        <v>41901</v>
      </c>
      <c r="CO1769">
        <v>2599000</v>
      </c>
      <c r="CZ1769" s="1">
        <v>41901</v>
      </c>
      <c r="DD1769" t="s">
        <v>2387</v>
      </c>
      <c r="DF1769">
        <v>115</v>
      </c>
      <c r="DG1769">
        <v>41</v>
      </c>
      <c r="DJ1769" t="s">
        <v>17267</v>
      </c>
      <c r="DL1769">
        <v>50301</v>
      </c>
      <c r="DM1769" t="s">
        <v>17237</v>
      </c>
      <c r="DO1769" t="s">
        <v>17447</v>
      </c>
      <c r="DP1769">
        <v>0</v>
      </c>
      <c r="DQ1769">
        <v>0</v>
      </c>
      <c r="DR1769" t="s">
        <v>411</v>
      </c>
      <c r="DS1769" t="b">
        <v>1</v>
      </c>
      <c r="DT1769" t="s">
        <v>470</v>
      </c>
      <c r="DU1769" t="s">
        <v>10249</v>
      </c>
      <c r="DV1769" t="s">
        <v>472</v>
      </c>
      <c r="DX1769">
        <v>-9999</v>
      </c>
      <c r="DZ1769" t="s">
        <v>447</v>
      </c>
      <c r="EA1769" t="s">
        <v>448</v>
      </c>
      <c r="EB1769" t="s">
        <v>17259</v>
      </c>
      <c r="EC1769">
        <v>20101217</v>
      </c>
      <c r="ED1769" t="s">
        <v>10251</v>
      </c>
      <c r="EE1769">
        <v>5</v>
      </c>
      <c r="EF1769">
        <v>184.8</v>
      </c>
      <c r="EG1769">
        <v>0</v>
      </c>
      <c r="EI1769">
        <v>20160407</v>
      </c>
      <c r="EJ1769">
        <v>0</v>
      </c>
      <c r="EK1769">
        <v>0</v>
      </c>
      <c r="EP1769" t="s">
        <v>421</v>
      </c>
      <c r="EQ1769" t="s">
        <v>422</v>
      </c>
      <c r="ER1769">
        <v>1</v>
      </c>
      <c r="ES1769">
        <v>5</v>
      </c>
      <c r="ET1769">
        <v>517.12</v>
      </c>
      <c r="EU1769">
        <v>32.11</v>
      </c>
      <c r="EV1769">
        <v>549.23</v>
      </c>
      <c r="EW1769" s="2">
        <v>43222</v>
      </c>
      <c r="EX1769" s="1">
        <v>42879</v>
      </c>
      <c r="EY1769">
        <v>2016</v>
      </c>
      <c r="EZ1769">
        <v>517.12</v>
      </c>
      <c r="FA1769" t="s">
        <v>17448</v>
      </c>
      <c r="FB1769">
        <v>4.75</v>
      </c>
      <c r="FC1769" t="s">
        <v>424</v>
      </c>
      <c r="FD1769" t="s">
        <v>454</v>
      </c>
      <c r="FF1769">
        <v>12</v>
      </c>
      <c r="FG1769">
        <v>5100525</v>
      </c>
      <c r="FH1769" t="s">
        <v>6804</v>
      </c>
      <c r="FJ1769" s="1">
        <v>42515</v>
      </c>
      <c r="FK1769">
        <v>2015</v>
      </c>
      <c r="FL1769">
        <v>251.57</v>
      </c>
      <c r="FM1769" t="s">
        <v>17449</v>
      </c>
      <c r="FN1769">
        <v>15.25</v>
      </c>
      <c r="FO1769" t="s">
        <v>424</v>
      </c>
      <c r="FP1769" t="s">
        <v>425</v>
      </c>
      <c r="FQ1769" s="1">
        <v>42614</v>
      </c>
      <c r="FR1769">
        <v>4</v>
      </c>
      <c r="FS1769">
        <v>2035919</v>
      </c>
      <c r="FT1769" t="s">
        <v>507</v>
      </c>
      <c r="FV1769" s="1">
        <v>42151</v>
      </c>
      <c r="FW1769">
        <v>2014</v>
      </c>
      <c r="FX1769">
        <v>252.74</v>
      </c>
      <c r="FY1769" t="s">
        <v>17450</v>
      </c>
      <c r="FZ1769">
        <v>0.25</v>
      </c>
      <c r="GA1769" t="s">
        <v>424</v>
      </c>
      <c r="GB1769" t="s">
        <v>425</v>
      </c>
      <c r="GC1769" s="1">
        <v>42611</v>
      </c>
      <c r="GD1769">
        <v>15</v>
      </c>
      <c r="GE1769">
        <v>4975594</v>
      </c>
      <c r="GF1769" t="s">
        <v>457</v>
      </c>
      <c r="GH1769" s="1">
        <v>42151</v>
      </c>
      <c r="GI1769">
        <v>2014</v>
      </c>
      <c r="GJ1769">
        <v>252.74</v>
      </c>
      <c r="GK1769" t="s">
        <v>17450</v>
      </c>
      <c r="GL1769">
        <v>0.25</v>
      </c>
      <c r="GM1769" t="s">
        <v>424</v>
      </c>
      <c r="GN1769" t="s">
        <v>425</v>
      </c>
      <c r="GP1769">
        <v>22</v>
      </c>
      <c r="GQ1769">
        <v>6541953</v>
      </c>
      <c r="GR1769" t="s">
        <v>17451</v>
      </c>
      <c r="GT1769" s="1">
        <v>41052</v>
      </c>
      <c r="GU1769">
        <v>2011</v>
      </c>
      <c r="GV1769">
        <v>388.99</v>
      </c>
      <c r="GW1769" t="s">
        <v>17452</v>
      </c>
      <c r="GX1769">
        <v>18</v>
      </c>
      <c r="GY1769" t="s">
        <v>424</v>
      </c>
      <c r="GZ1769" t="s">
        <v>425</v>
      </c>
      <c r="HA1769" s="1">
        <v>41089</v>
      </c>
      <c r="HB1769">
        <v>1</v>
      </c>
      <c r="HC1769">
        <v>11265</v>
      </c>
      <c r="HD1769" t="s">
        <v>17231</v>
      </c>
      <c r="HF1769" s="1">
        <v>40688</v>
      </c>
      <c r="HG1769">
        <v>2010</v>
      </c>
      <c r="HH1769">
        <v>850.88</v>
      </c>
      <c r="HI1769" t="s">
        <v>17453</v>
      </c>
      <c r="HJ1769">
        <v>9</v>
      </c>
      <c r="HK1769" t="s">
        <v>424</v>
      </c>
      <c r="HL1769" t="s">
        <v>425</v>
      </c>
      <c r="HM1769" s="1">
        <v>41089</v>
      </c>
      <c r="HN1769">
        <v>13</v>
      </c>
      <c r="HO1769">
        <v>11325</v>
      </c>
      <c r="HP1769" t="s">
        <v>2402</v>
      </c>
    </row>
    <row r="1770" spans="1:236" x14ac:dyDescent="0.25">
      <c r="A1770">
        <v>16486777</v>
      </c>
      <c r="B1770">
        <v>1769</v>
      </c>
      <c r="C1770" t="s">
        <v>393</v>
      </c>
      <c r="D1770" t="s">
        <v>394</v>
      </c>
      <c r="F1770" t="str">
        <f>"41-3N-28-1250-0119-0000"</f>
        <v>41-3N-28-1250-0119-0000</v>
      </c>
      <c r="H1770" t="str">
        <f t="shared" si="649"/>
        <v>LIGHTHOUSE POINTE DEV LLC</v>
      </c>
      <c r="I1770" t="str">
        <f t="shared" si="650"/>
        <v>PO BOX 17833</v>
      </c>
      <c r="J1770" t="str">
        <f t="shared" si="651"/>
        <v>JACKSONVILLE FL 32245</v>
      </c>
      <c r="K1770" t="str">
        <f>"28935 GRANDVIEW MNR"</f>
        <v>28935 GRANDVIEW MNR</v>
      </c>
      <c r="L1770" t="str">
        <f t="shared" si="637"/>
        <v>YULEE FL 32097</v>
      </c>
      <c r="M1770" t="str">
        <f>"LOT 119 PT OR 1938/1054 LIGHTHOUSE POINTE 2 PB 7/145"</f>
        <v>LOT 119 PT OR 1938/1054 LIGHTHOUSE POINTE 2 PB 7/145</v>
      </c>
      <c r="N1770" t="str">
        <f>""</f>
        <v/>
      </c>
      <c r="O1770" t="str">
        <f>"46912"</f>
        <v>46912</v>
      </c>
      <c r="P1770" t="str">
        <f t="shared" si="628"/>
        <v>2017</v>
      </c>
      <c r="Q1770" t="str">
        <f>""</f>
        <v/>
      </c>
      <c r="R1770" t="str">
        <f t="shared" si="635"/>
        <v>N</v>
      </c>
      <c r="S1770" t="str">
        <f>""</f>
        <v/>
      </c>
      <c r="T1770" t="str">
        <f t="shared" si="653"/>
        <v>456.21</v>
      </c>
      <c r="U1770" t="str">
        <f t="shared" si="645"/>
        <v>16335.00</v>
      </c>
      <c r="V1770" t="str">
        <f t="shared" si="645"/>
        <v>16335.00</v>
      </c>
      <c r="W1770" t="str">
        <f t="shared" si="630"/>
        <v>2017</v>
      </c>
      <c r="X1770" t="str">
        <f t="shared" si="652"/>
        <v>20.57</v>
      </c>
      <c r="Y1770" t="str">
        <f t="shared" si="654"/>
        <v>501.90</v>
      </c>
      <c r="Z1770" t="str">
        <f>""</f>
        <v/>
      </c>
      <c r="AA1770" t="str">
        <f t="shared" si="655"/>
        <v>48000.00</v>
      </c>
      <c r="AB1770" t="str">
        <f t="shared" ref="AB1770:AB1793" si="657">"Residential"</f>
        <v>Residential</v>
      </c>
      <c r="AC1770" t="str">
        <f t="shared" si="643"/>
        <v>0</v>
      </c>
      <c r="AD1770" t="str">
        <f>""</f>
        <v/>
      </c>
      <c r="AE1770" t="str">
        <f>""</f>
        <v/>
      </c>
      <c r="AF1770" t="str">
        <f t="shared" si="636"/>
        <v>000</v>
      </c>
      <c r="AG1770" t="str">
        <f t="shared" si="634"/>
        <v>FL</v>
      </c>
      <c r="AH1770" t="str">
        <f t="shared" si="640"/>
        <v>-</v>
      </c>
      <c r="AI1770" t="str">
        <f t="shared" si="656"/>
        <v>48000.00</v>
      </c>
      <c r="AJ1770" t="str">
        <f>"C55-000-969-7881-2"</f>
        <v>C55-000-969-7881-2</v>
      </c>
      <c r="AK1770" t="str">
        <f>"31696"</f>
        <v>31696</v>
      </c>
      <c r="AL1770">
        <v>7</v>
      </c>
      <c r="AM1770">
        <v>2019</v>
      </c>
      <c r="AN1770">
        <v>525.4</v>
      </c>
      <c r="AQ1770" t="s">
        <v>17454</v>
      </c>
      <c r="AR1770" t="s">
        <v>17454</v>
      </c>
      <c r="AS1770" t="s">
        <v>17454</v>
      </c>
      <c r="AU1770" t="s">
        <v>396</v>
      </c>
      <c r="AV1770">
        <v>2017</v>
      </c>
      <c r="AW1770" t="str">
        <f>"41-3N-28-1250-0119-0000 "</f>
        <v xml:space="preserve">41-3N-28-1250-0119-0000 </v>
      </c>
      <c r="AX1770">
        <v>28935</v>
      </c>
      <c r="AZ1770" t="s">
        <v>17210</v>
      </c>
      <c r="BD1770" t="s">
        <v>2387</v>
      </c>
      <c r="BE1770" t="s">
        <v>393</v>
      </c>
      <c r="BF1770">
        <v>32097</v>
      </c>
      <c r="BG1770" t="s">
        <v>17455</v>
      </c>
      <c r="BH1770" t="s">
        <v>2388</v>
      </c>
      <c r="BI1770">
        <v>-81.546411099251998</v>
      </c>
      <c r="BJ1770">
        <v>30.685977609784601</v>
      </c>
      <c r="BK1770" t="s">
        <v>17211</v>
      </c>
      <c r="BM1770" t="s">
        <v>17212</v>
      </c>
      <c r="BN1770" t="s">
        <v>548</v>
      </c>
      <c r="BO1770">
        <v>32245</v>
      </c>
      <c r="BP1770" t="s">
        <v>404</v>
      </c>
      <c r="BQ1770">
        <v>0</v>
      </c>
      <c r="BR1770" t="s">
        <v>491</v>
      </c>
      <c r="BS1770">
        <v>8001</v>
      </c>
      <c r="BT1770" t="s">
        <v>492</v>
      </c>
      <c r="BW1770">
        <v>9149</v>
      </c>
      <c r="BX1770" t="s">
        <v>407</v>
      </c>
      <c r="BY1770" t="s">
        <v>3019</v>
      </c>
      <c r="CD1770">
        <v>2017</v>
      </c>
      <c r="CE1770">
        <v>48000</v>
      </c>
      <c r="CG1770">
        <v>48000</v>
      </c>
      <c r="CH1770">
        <v>2017</v>
      </c>
      <c r="CI1770">
        <v>48000</v>
      </c>
      <c r="CK1770">
        <v>48000</v>
      </c>
      <c r="CL1770">
        <v>2017</v>
      </c>
      <c r="CM1770">
        <v>456.21</v>
      </c>
      <c r="CN1770" s="1">
        <v>41901</v>
      </c>
      <c r="CO1770">
        <v>2599000</v>
      </c>
      <c r="CZ1770" s="1">
        <v>41901</v>
      </c>
      <c r="DD1770" t="s">
        <v>2387</v>
      </c>
      <c r="DF1770">
        <v>119</v>
      </c>
      <c r="DG1770">
        <v>41</v>
      </c>
      <c r="DJ1770" t="s">
        <v>17267</v>
      </c>
      <c r="DL1770">
        <v>50301</v>
      </c>
      <c r="DM1770" t="s">
        <v>17237</v>
      </c>
      <c r="DO1770" t="s">
        <v>17456</v>
      </c>
      <c r="DP1770">
        <v>0</v>
      </c>
      <c r="DQ1770">
        <v>0</v>
      </c>
      <c r="DR1770" t="s">
        <v>411</v>
      </c>
      <c r="DS1770" t="b">
        <v>1</v>
      </c>
      <c r="DT1770" t="s">
        <v>470</v>
      </c>
      <c r="DU1770" t="s">
        <v>471</v>
      </c>
      <c r="DV1770" t="s">
        <v>472</v>
      </c>
      <c r="DX1770">
        <v>-9999</v>
      </c>
      <c r="DZ1770" t="s">
        <v>447</v>
      </c>
      <c r="EA1770" t="s">
        <v>448</v>
      </c>
      <c r="EB1770" t="s">
        <v>742</v>
      </c>
      <c r="EC1770">
        <v>20101217</v>
      </c>
      <c r="ED1770" t="s">
        <v>474</v>
      </c>
      <c r="EF1770">
        <v>180.8</v>
      </c>
      <c r="EG1770">
        <v>43</v>
      </c>
      <c r="EI1770">
        <v>20160407</v>
      </c>
      <c r="EJ1770">
        <v>0</v>
      </c>
      <c r="EK1770">
        <v>0</v>
      </c>
      <c r="EP1770" t="s">
        <v>421</v>
      </c>
      <c r="EQ1770" t="s">
        <v>422</v>
      </c>
      <c r="ER1770">
        <v>1</v>
      </c>
      <c r="ES1770">
        <v>5</v>
      </c>
      <c r="ET1770">
        <v>517.12</v>
      </c>
      <c r="EU1770">
        <v>32.11</v>
      </c>
      <c r="EV1770">
        <v>549.23</v>
      </c>
      <c r="EW1770" s="2">
        <v>43222</v>
      </c>
      <c r="EX1770" s="1">
        <v>42879</v>
      </c>
      <c r="EY1770">
        <v>2016</v>
      </c>
      <c r="EZ1770">
        <v>517.12</v>
      </c>
      <c r="FA1770" t="s">
        <v>17457</v>
      </c>
      <c r="FB1770">
        <v>4.75</v>
      </c>
      <c r="FC1770" t="s">
        <v>424</v>
      </c>
      <c r="FD1770" t="s">
        <v>454</v>
      </c>
      <c r="FF1770">
        <v>12</v>
      </c>
      <c r="FG1770">
        <v>5100525</v>
      </c>
      <c r="FH1770" t="s">
        <v>6804</v>
      </c>
      <c r="FJ1770" s="1">
        <v>42515</v>
      </c>
      <c r="FK1770">
        <v>2015</v>
      </c>
      <c r="FL1770">
        <v>251.57</v>
      </c>
      <c r="FM1770" t="s">
        <v>17458</v>
      </c>
      <c r="FN1770">
        <v>15.25</v>
      </c>
      <c r="FO1770" t="s">
        <v>424</v>
      </c>
      <c r="FP1770" t="s">
        <v>425</v>
      </c>
      <c r="FQ1770" s="1">
        <v>42614</v>
      </c>
      <c r="FR1770">
        <v>4</v>
      </c>
      <c r="FS1770">
        <v>2035919</v>
      </c>
      <c r="FT1770" t="s">
        <v>507</v>
      </c>
      <c r="FV1770" s="1">
        <v>42151</v>
      </c>
      <c r="FW1770">
        <v>2014</v>
      </c>
      <c r="FX1770">
        <v>252.74</v>
      </c>
      <c r="FY1770" t="s">
        <v>17459</v>
      </c>
      <c r="FZ1770">
        <v>0.25</v>
      </c>
      <c r="GA1770" t="s">
        <v>424</v>
      </c>
      <c r="GB1770" t="s">
        <v>425</v>
      </c>
      <c r="GC1770" s="1">
        <v>42611</v>
      </c>
      <c r="GD1770">
        <v>15</v>
      </c>
      <c r="GE1770">
        <v>4975594</v>
      </c>
      <c r="GF1770" t="s">
        <v>457</v>
      </c>
      <c r="GH1770" s="1">
        <v>42151</v>
      </c>
      <c r="GI1770">
        <v>2014</v>
      </c>
      <c r="GJ1770">
        <v>252.74</v>
      </c>
      <c r="GK1770" t="s">
        <v>17459</v>
      </c>
      <c r="GL1770">
        <v>0.25</v>
      </c>
      <c r="GM1770" t="s">
        <v>424</v>
      </c>
      <c r="GN1770" t="s">
        <v>425</v>
      </c>
      <c r="GP1770">
        <v>22</v>
      </c>
      <c r="GQ1770">
        <v>6306157</v>
      </c>
      <c r="GR1770" t="s">
        <v>17460</v>
      </c>
      <c r="GT1770" s="1">
        <v>41052</v>
      </c>
      <c r="GU1770">
        <v>2011</v>
      </c>
      <c r="GV1770">
        <v>388.99</v>
      </c>
      <c r="GW1770" t="s">
        <v>17461</v>
      </c>
      <c r="GX1770">
        <v>18</v>
      </c>
      <c r="GY1770" t="s">
        <v>424</v>
      </c>
      <c r="GZ1770" t="s">
        <v>425</v>
      </c>
      <c r="HA1770" s="1">
        <v>41089</v>
      </c>
      <c r="HB1770">
        <v>1</v>
      </c>
      <c r="HC1770">
        <v>11265</v>
      </c>
      <c r="HD1770" t="s">
        <v>17231</v>
      </c>
      <c r="HF1770" s="1">
        <v>40688</v>
      </c>
      <c r="HG1770">
        <v>2010</v>
      </c>
      <c r="HH1770">
        <v>850.88</v>
      </c>
      <c r="HI1770" t="s">
        <v>17462</v>
      </c>
      <c r="HJ1770">
        <v>9</v>
      </c>
      <c r="HK1770" t="s">
        <v>424</v>
      </c>
      <c r="HL1770" t="s">
        <v>425</v>
      </c>
      <c r="HM1770" s="1">
        <v>41089</v>
      </c>
      <c r="HN1770">
        <v>13</v>
      </c>
      <c r="HO1770">
        <v>11325</v>
      </c>
      <c r="HP1770" t="s">
        <v>2402</v>
      </c>
    </row>
    <row r="1771" spans="1:236" x14ac:dyDescent="0.25">
      <c r="A1771">
        <v>16486778</v>
      </c>
      <c r="B1771">
        <v>1770</v>
      </c>
      <c r="C1771" t="s">
        <v>393</v>
      </c>
      <c r="D1771" t="s">
        <v>394</v>
      </c>
      <c r="F1771" t="str">
        <f>"41-3N-28-1250-0120-0000"</f>
        <v>41-3N-28-1250-0120-0000</v>
      </c>
      <c r="H1771" t="str">
        <f t="shared" si="649"/>
        <v>LIGHTHOUSE POINTE DEV LLC</v>
      </c>
      <c r="I1771" t="str">
        <f t="shared" si="650"/>
        <v>PO BOX 17833</v>
      </c>
      <c r="J1771" t="str">
        <f t="shared" si="651"/>
        <v>JACKSONVILLE FL 32245</v>
      </c>
      <c r="K1771" t="str">
        <f>"28919 GRANDVIEW MNR"</f>
        <v>28919 GRANDVIEW MNR</v>
      </c>
      <c r="L1771" t="str">
        <f t="shared" si="637"/>
        <v>YULEE FL 32097</v>
      </c>
      <c r="M1771" t="str">
        <f>"LOT 120 PT OR 1938/1054 LIGHTHOUSE POINTE 2 PB 7/145"</f>
        <v>LOT 120 PT OR 1938/1054 LIGHTHOUSE POINTE 2 PB 7/145</v>
      </c>
      <c r="N1771" t="str">
        <f>""</f>
        <v/>
      </c>
      <c r="O1771" t="str">
        <f>"46913"</f>
        <v>46913</v>
      </c>
      <c r="P1771" t="str">
        <f t="shared" si="628"/>
        <v>2017</v>
      </c>
      <c r="Q1771" t="str">
        <f>""</f>
        <v/>
      </c>
      <c r="R1771" t="str">
        <f t="shared" si="635"/>
        <v>N</v>
      </c>
      <c r="S1771" t="str">
        <f>""</f>
        <v/>
      </c>
      <c r="T1771" t="str">
        <f t="shared" si="653"/>
        <v>456.21</v>
      </c>
      <c r="U1771" t="str">
        <f t="shared" si="645"/>
        <v>16335.00</v>
      </c>
      <c r="V1771" t="str">
        <f t="shared" si="645"/>
        <v>16335.00</v>
      </c>
      <c r="W1771" t="str">
        <f t="shared" si="630"/>
        <v>2017</v>
      </c>
      <c r="X1771" t="str">
        <f t="shared" si="652"/>
        <v>20.57</v>
      </c>
      <c r="Y1771" t="str">
        <f t="shared" si="654"/>
        <v>501.90</v>
      </c>
      <c r="Z1771" t="str">
        <f>""</f>
        <v/>
      </c>
      <c r="AA1771" t="str">
        <f t="shared" si="655"/>
        <v>48000.00</v>
      </c>
      <c r="AB1771" t="str">
        <f t="shared" si="657"/>
        <v>Residential</v>
      </c>
      <c r="AC1771" t="str">
        <f t="shared" si="643"/>
        <v>0</v>
      </c>
      <c r="AD1771" t="str">
        <f>""</f>
        <v/>
      </c>
      <c r="AE1771" t="str">
        <f>""</f>
        <v/>
      </c>
      <c r="AF1771" t="str">
        <f t="shared" si="636"/>
        <v>000</v>
      </c>
      <c r="AG1771" t="str">
        <f t="shared" si="634"/>
        <v>FL</v>
      </c>
      <c r="AH1771" t="str">
        <f t="shared" si="640"/>
        <v>-</v>
      </c>
      <c r="AI1771" t="str">
        <f t="shared" si="656"/>
        <v>48000.00</v>
      </c>
      <c r="AJ1771" t="str">
        <f>"C55-000-969-7882-0"</f>
        <v>C55-000-969-7882-0</v>
      </c>
      <c r="AK1771" t="str">
        <f>"31697"</f>
        <v>31697</v>
      </c>
      <c r="AL1771">
        <v>7</v>
      </c>
      <c r="AM1771">
        <v>2020</v>
      </c>
      <c r="AN1771">
        <v>525.4</v>
      </c>
      <c r="AQ1771" t="s">
        <v>17463</v>
      </c>
      <c r="AR1771" t="s">
        <v>17463</v>
      </c>
      <c r="AS1771" t="s">
        <v>17463</v>
      </c>
      <c r="AU1771" t="s">
        <v>396</v>
      </c>
      <c r="AV1771">
        <v>2017</v>
      </c>
      <c r="AW1771" t="str">
        <f>"41-3N-28-1250-0120-0000 "</f>
        <v xml:space="preserve">41-3N-28-1250-0120-0000 </v>
      </c>
      <c r="AX1771">
        <v>28919</v>
      </c>
      <c r="AZ1771" t="s">
        <v>17210</v>
      </c>
      <c r="BD1771" t="s">
        <v>2387</v>
      </c>
      <c r="BE1771" t="s">
        <v>393</v>
      </c>
      <c r="BF1771">
        <v>32097</v>
      </c>
      <c r="BG1771" t="s">
        <v>17464</v>
      </c>
      <c r="BH1771" t="s">
        <v>2388</v>
      </c>
      <c r="BI1771">
        <v>-81.546271370643495</v>
      </c>
      <c r="BJ1771">
        <v>30.686208435884701</v>
      </c>
      <c r="BK1771" t="s">
        <v>17211</v>
      </c>
      <c r="BM1771" t="s">
        <v>17212</v>
      </c>
      <c r="BN1771" t="s">
        <v>548</v>
      </c>
      <c r="BO1771">
        <v>32245</v>
      </c>
      <c r="BP1771" t="s">
        <v>404</v>
      </c>
      <c r="BQ1771">
        <v>0</v>
      </c>
      <c r="BR1771" t="s">
        <v>491</v>
      </c>
      <c r="BS1771">
        <v>8001</v>
      </c>
      <c r="BT1771" t="s">
        <v>492</v>
      </c>
      <c r="BW1771">
        <v>9691</v>
      </c>
      <c r="BX1771" t="s">
        <v>407</v>
      </c>
      <c r="BY1771" t="s">
        <v>3019</v>
      </c>
      <c r="CD1771">
        <v>2017</v>
      </c>
      <c r="CE1771">
        <v>48000</v>
      </c>
      <c r="CG1771">
        <v>48000</v>
      </c>
      <c r="CH1771">
        <v>2017</v>
      </c>
      <c r="CI1771">
        <v>48000</v>
      </c>
      <c r="CK1771">
        <v>48000</v>
      </c>
      <c r="CL1771">
        <v>2017</v>
      </c>
      <c r="CM1771">
        <v>456.21</v>
      </c>
      <c r="CN1771" s="1">
        <v>41901</v>
      </c>
      <c r="CO1771">
        <v>2599000</v>
      </c>
      <c r="CZ1771" s="1">
        <v>41901</v>
      </c>
      <c r="DD1771" t="s">
        <v>2387</v>
      </c>
      <c r="DF1771">
        <v>120</v>
      </c>
      <c r="DG1771">
        <v>41</v>
      </c>
      <c r="DJ1771" t="s">
        <v>17267</v>
      </c>
      <c r="DL1771">
        <v>50301</v>
      </c>
      <c r="DM1771" t="s">
        <v>17237</v>
      </c>
      <c r="DO1771" t="s">
        <v>17465</v>
      </c>
      <c r="DP1771">
        <v>0</v>
      </c>
      <c r="DQ1771">
        <v>0</v>
      </c>
      <c r="DR1771" t="s">
        <v>411</v>
      </c>
      <c r="DS1771" t="b">
        <v>1</v>
      </c>
      <c r="DT1771" t="s">
        <v>470</v>
      </c>
      <c r="DU1771" t="s">
        <v>471</v>
      </c>
      <c r="DV1771" t="s">
        <v>472</v>
      </c>
      <c r="DX1771">
        <v>-9999</v>
      </c>
      <c r="DZ1771" t="s">
        <v>447</v>
      </c>
      <c r="EA1771" t="s">
        <v>448</v>
      </c>
      <c r="EB1771" t="s">
        <v>742</v>
      </c>
      <c r="EC1771">
        <v>20101217</v>
      </c>
      <c r="ED1771" t="s">
        <v>474</v>
      </c>
      <c r="EF1771">
        <v>190</v>
      </c>
      <c r="EG1771">
        <v>57.4</v>
      </c>
      <c r="EI1771">
        <v>20160407</v>
      </c>
      <c r="EJ1771">
        <v>0</v>
      </c>
      <c r="EK1771">
        <v>0</v>
      </c>
      <c r="EP1771" t="s">
        <v>421</v>
      </c>
      <c r="EQ1771" t="s">
        <v>422</v>
      </c>
      <c r="ER1771">
        <v>1</v>
      </c>
      <c r="ES1771">
        <v>5</v>
      </c>
      <c r="ET1771">
        <v>517.12</v>
      </c>
      <c r="EU1771">
        <v>32.11</v>
      </c>
      <c r="EV1771">
        <v>549.23</v>
      </c>
      <c r="EW1771" s="2">
        <v>43222</v>
      </c>
      <c r="EX1771" s="1">
        <v>42879</v>
      </c>
      <c r="EY1771">
        <v>2016</v>
      </c>
      <c r="EZ1771">
        <v>517.12</v>
      </c>
      <c r="FA1771" t="s">
        <v>17466</v>
      </c>
      <c r="FB1771">
        <v>4.75</v>
      </c>
      <c r="FC1771" t="s">
        <v>424</v>
      </c>
      <c r="FD1771" t="s">
        <v>454</v>
      </c>
      <c r="FF1771">
        <v>12</v>
      </c>
      <c r="FG1771">
        <v>5100525</v>
      </c>
      <c r="FH1771" t="s">
        <v>6804</v>
      </c>
      <c r="FJ1771" s="1">
        <v>42515</v>
      </c>
      <c r="FK1771">
        <v>2015</v>
      </c>
      <c r="FL1771">
        <v>251.57</v>
      </c>
      <c r="FM1771" t="s">
        <v>17467</v>
      </c>
      <c r="FN1771">
        <v>15.25</v>
      </c>
      <c r="FO1771" t="s">
        <v>424</v>
      </c>
      <c r="FP1771" t="s">
        <v>425</v>
      </c>
      <c r="FQ1771" s="1">
        <v>42614</v>
      </c>
      <c r="FR1771">
        <v>4</v>
      </c>
      <c r="FS1771">
        <v>2035919</v>
      </c>
      <c r="FT1771" t="s">
        <v>507</v>
      </c>
      <c r="FV1771" s="1">
        <v>42151</v>
      </c>
      <c r="FW1771">
        <v>2014</v>
      </c>
      <c r="FX1771">
        <v>252.74</v>
      </c>
      <c r="FY1771" t="s">
        <v>17468</v>
      </c>
      <c r="FZ1771">
        <v>0.25</v>
      </c>
      <c r="GA1771" t="s">
        <v>424</v>
      </c>
      <c r="GB1771" t="s">
        <v>425</v>
      </c>
      <c r="GC1771" s="1">
        <v>42611</v>
      </c>
      <c r="GD1771">
        <v>15</v>
      </c>
      <c r="GE1771">
        <v>4975594</v>
      </c>
      <c r="GF1771" t="s">
        <v>457</v>
      </c>
      <c r="GH1771" s="1">
        <v>42151</v>
      </c>
      <c r="GI1771">
        <v>2014</v>
      </c>
      <c r="GJ1771">
        <v>252.74</v>
      </c>
      <c r="GK1771" t="s">
        <v>17468</v>
      </c>
      <c r="GL1771">
        <v>0.25</v>
      </c>
      <c r="GM1771" t="s">
        <v>424</v>
      </c>
      <c r="GN1771" t="s">
        <v>425</v>
      </c>
      <c r="GP1771">
        <v>22</v>
      </c>
      <c r="GQ1771">
        <v>6325480</v>
      </c>
      <c r="GR1771" t="s">
        <v>17469</v>
      </c>
      <c r="GT1771" s="1">
        <v>41052</v>
      </c>
      <c r="GU1771">
        <v>2011</v>
      </c>
      <c r="GV1771">
        <v>388.99</v>
      </c>
      <c r="GW1771" t="s">
        <v>17470</v>
      </c>
      <c r="GX1771">
        <v>18</v>
      </c>
      <c r="GY1771" t="s">
        <v>424</v>
      </c>
      <c r="GZ1771" t="s">
        <v>425</v>
      </c>
      <c r="HA1771" s="1">
        <v>41089</v>
      </c>
      <c r="HB1771">
        <v>1</v>
      </c>
      <c r="HC1771">
        <v>11265</v>
      </c>
      <c r="HD1771" t="s">
        <v>17231</v>
      </c>
      <c r="HF1771" s="1">
        <v>40688</v>
      </c>
      <c r="HG1771">
        <v>2010</v>
      </c>
      <c r="HH1771">
        <v>850.88</v>
      </c>
      <c r="HI1771" t="s">
        <v>17471</v>
      </c>
      <c r="HJ1771">
        <v>9</v>
      </c>
      <c r="HK1771" t="s">
        <v>424</v>
      </c>
      <c r="HL1771" t="s">
        <v>425</v>
      </c>
      <c r="HM1771" s="1">
        <v>41089</v>
      </c>
      <c r="HN1771">
        <v>13</v>
      </c>
      <c r="HO1771">
        <v>11325</v>
      </c>
      <c r="HP1771" t="s">
        <v>2402</v>
      </c>
    </row>
    <row r="1772" spans="1:236" x14ac:dyDescent="0.25">
      <c r="A1772">
        <v>16486779</v>
      </c>
      <c r="B1772">
        <v>1771</v>
      </c>
      <c r="C1772" t="s">
        <v>393</v>
      </c>
      <c r="D1772" t="s">
        <v>394</v>
      </c>
      <c r="F1772" t="str">
        <f>"41-3N-28-1250-0123-0000"</f>
        <v>41-3N-28-1250-0123-0000</v>
      </c>
      <c r="H1772" t="str">
        <f t="shared" si="649"/>
        <v>LIGHTHOUSE POINTE DEV LLC</v>
      </c>
      <c r="I1772" t="str">
        <f t="shared" si="650"/>
        <v>PO BOX 17833</v>
      </c>
      <c r="J1772" t="str">
        <f t="shared" si="651"/>
        <v>JACKSONVILLE FL 32245</v>
      </c>
      <c r="K1772" t="str">
        <f>"28024 VIEUX CARRE"</f>
        <v>28024 VIEUX CARRE</v>
      </c>
      <c r="L1772" t="str">
        <f t="shared" si="637"/>
        <v>YULEE FL 32097</v>
      </c>
      <c r="M1772" t="str">
        <f>"LOT 123 PT OR 1938/1054 LIGHTHOUSE POINTE 2 PB 7/145"</f>
        <v>LOT 123 PT OR 1938/1054 LIGHTHOUSE POINTE 2 PB 7/145</v>
      </c>
      <c r="N1772" t="str">
        <f>""</f>
        <v/>
      </c>
      <c r="O1772" t="str">
        <f>"46916"</f>
        <v>46916</v>
      </c>
      <c r="P1772" t="str">
        <f t="shared" si="628"/>
        <v>2017</v>
      </c>
      <c r="Q1772" t="str">
        <f>""</f>
        <v/>
      </c>
      <c r="R1772" t="str">
        <f t="shared" si="635"/>
        <v>N</v>
      </c>
      <c r="S1772" t="str">
        <f>""</f>
        <v/>
      </c>
      <c r="T1772" t="str">
        <f t="shared" si="653"/>
        <v>456.21</v>
      </c>
      <c r="U1772" t="str">
        <f t="shared" si="645"/>
        <v>16335.00</v>
      </c>
      <c r="V1772" t="str">
        <f t="shared" si="645"/>
        <v>16335.00</v>
      </c>
      <c r="W1772" t="str">
        <f t="shared" si="630"/>
        <v>2017</v>
      </c>
      <c r="X1772" t="str">
        <f t="shared" si="652"/>
        <v>20.57</v>
      </c>
      <c r="Y1772" t="str">
        <f t="shared" si="654"/>
        <v>501.90</v>
      </c>
      <c r="Z1772" t="str">
        <f>""</f>
        <v/>
      </c>
      <c r="AA1772" t="str">
        <f t="shared" si="655"/>
        <v>48000.00</v>
      </c>
      <c r="AB1772" t="str">
        <f t="shared" si="657"/>
        <v>Residential</v>
      </c>
      <c r="AC1772" t="str">
        <f t="shared" si="643"/>
        <v>0</v>
      </c>
      <c r="AD1772" t="str">
        <f>""</f>
        <v/>
      </c>
      <c r="AE1772" t="str">
        <f>""</f>
        <v/>
      </c>
      <c r="AF1772" t="str">
        <f t="shared" si="636"/>
        <v>000</v>
      </c>
      <c r="AG1772" t="str">
        <f t="shared" ref="AG1772:AG1802" si="658">"FL"</f>
        <v>FL</v>
      </c>
      <c r="AH1772" t="str">
        <f t="shared" si="640"/>
        <v>-</v>
      </c>
      <c r="AI1772" t="str">
        <f t="shared" si="656"/>
        <v>48000.00</v>
      </c>
      <c r="AJ1772" t="str">
        <f>"C55-000-969-7885-3"</f>
        <v>C55-000-969-7885-3</v>
      </c>
      <c r="AK1772" t="str">
        <f>"31700"</f>
        <v>31700</v>
      </c>
      <c r="AL1772">
        <v>7</v>
      </c>
      <c r="AM1772">
        <v>2021</v>
      </c>
      <c r="AN1772">
        <v>525.4</v>
      </c>
      <c r="AQ1772" t="s">
        <v>17472</v>
      </c>
      <c r="AR1772" t="s">
        <v>17472</v>
      </c>
      <c r="AS1772" t="s">
        <v>17472</v>
      </c>
      <c r="AU1772" t="s">
        <v>396</v>
      </c>
      <c r="AV1772">
        <v>2017</v>
      </c>
      <c r="AW1772" t="str">
        <f>"41-3N-28-1250-0123-0000 "</f>
        <v xml:space="preserve">41-3N-28-1250-0123-0000 </v>
      </c>
      <c r="AX1772">
        <v>28024</v>
      </c>
      <c r="AZ1772" t="s">
        <v>17473</v>
      </c>
      <c r="BD1772" t="s">
        <v>2387</v>
      </c>
      <c r="BE1772" t="s">
        <v>393</v>
      </c>
      <c r="BF1772">
        <v>32097</v>
      </c>
      <c r="BG1772" t="s">
        <v>17474</v>
      </c>
      <c r="BH1772" t="s">
        <v>2388</v>
      </c>
      <c r="BI1772">
        <v>-81.546794245936695</v>
      </c>
      <c r="BJ1772">
        <v>30.6860557869758</v>
      </c>
      <c r="BK1772" t="s">
        <v>17211</v>
      </c>
      <c r="BM1772" t="s">
        <v>17212</v>
      </c>
      <c r="BN1772" t="s">
        <v>548</v>
      </c>
      <c r="BO1772">
        <v>32245</v>
      </c>
      <c r="BP1772" t="s">
        <v>404</v>
      </c>
      <c r="BQ1772">
        <v>0</v>
      </c>
      <c r="BR1772" t="s">
        <v>491</v>
      </c>
      <c r="BS1772">
        <v>8001</v>
      </c>
      <c r="BT1772" t="s">
        <v>492</v>
      </c>
      <c r="BW1772">
        <v>11173</v>
      </c>
      <c r="BX1772" t="s">
        <v>407</v>
      </c>
      <c r="BY1772" t="s">
        <v>3019</v>
      </c>
      <c r="CD1772">
        <v>2017</v>
      </c>
      <c r="CE1772">
        <v>48000</v>
      </c>
      <c r="CG1772">
        <v>48000</v>
      </c>
      <c r="CH1772">
        <v>2017</v>
      </c>
      <c r="CI1772">
        <v>48000</v>
      </c>
      <c r="CK1772">
        <v>48000</v>
      </c>
      <c r="CL1772">
        <v>2017</v>
      </c>
      <c r="CM1772">
        <v>456.21</v>
      </c>
      <c r="CN1772" s="1">
        <v>41901</v>
      </c>
      <c r="CO1772">
        <v>2599000</v>
      </c>
      <c r="CZ1772" s="1">
        <v>41901</v>
      </c>
      <c r="DD1772" t="s">
        <v>2387</v>
      </c>
      <c r="DF1772">
        <v>123</v>
      </c>
      <c r="DG1772">
        <v>41</v>
      </c>
      <c r="DJ1772" t="s">
        <v>17267</v>
      </c>
      <c r="DL1772">
        <v>50301</v>
      </c>
      <c r="DM1772" t="s">
        <v>17237</v>
      </c>
      <c r="DO1772" t="s">
        <v>17475</v>
      </c>
      <c r="DP1772">
        <v>0</v>
      </c>
      <c r="DQ1772">
        <v>0</v>
      </c>
      <c r="DR1772" t="s">
        <v>411</v>
      </c>
      <c r="DS1772" t="b">
        <v>1</v>
      </c>
      <c r="DT1772" t="s">
        <v>470</v>
      </c>
      <c r="DU1772" t="s">
        <v>471</v>
      </c>
      <c r="DV1772" t="s">
        <v>472</v>
      </c>
      <c r="DX1772">
        <v>-9999</v>
      </c>
      <c r="DZ1772" t="s">
        <v>447</v>
      </c>
      <c r="EA1772" t="s">
        <v>448</v>
      </c>
      <c r="EB1772" t="s">
        <v>742</v>
      </c>
      <c r="EC1772">
        <v>20101217</v>
      </c>
      <c r="ED1772" t="s">
        <v>474</v>
      </c>
      <c r="EF1772">
        <v>303.10000000000002</v>
      </c>
      <c r="EG1772">
        <v>107.3</v>
      </c>
      <c r="EI1772">
        <v>20160407</v>
      </c>
      <c r="EJ1772">
        <v>0</v>
      </c>
      <c r="EK1772">
        <v>0</v>
      </c>
      <c r="EP1772" t="s">
        <v>421</v>
      </c>
      <c r="EQ1772" t="s">
        <v>422</v>
      </c>
      <c r="ER1772">
        <v>1</v>
      </c>
      <c r="ES1772">
        <v>5</v>
      </c>
      <c r="ET1772">
        <v>517.12</v>
      </c>
      <c r="EU1772">
        <v>32.11</v>
      </c>
      <c r="EV1772">
        <v>549.23</v>
      </c>
      <c r="EW1772" s="2">
        <v>43222</v>
      </c>
      <c r="EX1772" s="1">
        <v>42879</v>
      </c>
      <c r="EY1772">
        <v>2016</v>
      </c>
      <c r="EZ1772">
        <v>517.12</v>
      </c>
      <c r="FA1772" t="s">
        <v>17476</v>
      </c>
      <c r="FB1772">
        <v>4.75</v>
      </c>
      <c r="FC1772" t="s">
        <v>424</v>
      </c>
      <c r="FD1772" t="s">
        <v>454</v>
      </c>
      <c r="FF1772">
        <v>12</v>
      </c>
      <c r="FG1772">
        <v>5100525</v>
      </c>
      <c r="FH1772" t="s">
        <v>6804</v>
      </c>
      <c r="FJ1772" s="1">
        <v>42515</v>
      </c>
      <c r="FK1772">
        <v>2015</v>
      </c>
      <c r="FL1772">
        <v>251.57</v>
      </c>
      <c r="FM1772" t="s">
        <v>17477</v>
      </c>
      <c r="FN1772">
        <v>15.25</v>
      </c>
      <c r="FO1772" t="s">
        <v>424</v>
      </c>
      <c r="FP1772" t="s">
        <v>425</v>
      </c>
      <c r="FQ1772" s="1">
        <v>42614</v>
      </c>
      <c r="FR1772">
        <v>4</v>
      </c>
      <c r="FS1772">
        <v>2035919</v>
      </c>
      <c r="FT1772" t="s">
        <v>507</v>
      </c>
      <c r="FV1772" s="1">
        <v>42151</v>
      </c>
      <c r="FW1772">
        <v>2014</v>
      </c>
      <c r="FX1772">
        <v>252.74</v>
      </c>
      <c r="FY1772" t="s">
        <v>17478</v>
      </c>
      <c r="FZ1772">
        <v>0.25</v>
      </c>
      <c r="GA1772" t="s">
        <v>424</v>
      </c>
      <c r="GB1772" t="s">
        <v>425</v>
      </c>
      <c r="GC1772" s="1">
        <v>42611</v>
      </c>
      <c r="GD1772">
        <v>15</v>
      </c>
      <c r="GE1772">
        <v>4975594</v>
      </c>
      <c r="GF1772" t="s">
        <v>457</v>
      </c>
      <c r="GH1772" s="1">
        <v>42151</v>
      </c>
      <c r="GI1772">
        <v>2014</v>
      </c>
      <c r="GJ1772">
        <v>252.74</v>
      </c>
      <c r="GK1772" t="s">
        <v>17478</v>
      </c>
      <c r="GL1772">
        <v>0.25</v>
      </c>
      <c r="GM1772" t="s">
        <v>424</v>
      </c>
      <c r="GN1772" t="s">
        <v>425</v>
      </c>
      <c r="GP1772">
        <v>22</v>
      </c>
      <c r="GQ1772">
        <v>6617674</v>
      </c>
      <c r="GR1772" t="s">
        <v>17479</v>
      </c>
      <c r="GT1772" s="1">
        <v>41052</v>
      </c>
      <c r="GU1772">
        <v>2011</v>
      </c>
      <c r="GV1772">
        <v>388.99</v>
      </c>
      <c r="GW1772" t="s">
        <v>17480</v>
      </c>
      <c r="GX1772">
        <v>18</v>
      </c>
      <c r="GY1772" t="s">
        <v>424</v>
      </c>
      <c r="GZ1772" t="s">
        <v>425</v>
      </c>
      <c r="HA1772" s="1">
        <v>41089</v>
      </c>
      <c r="HB1772">
        <v>1</v>
      </c>
      <c r="HC1772">
        <v>11265</v>
      </c>
      <c r="HD1772" t="s">
        <v>17231</v>
      </c>
      <c r="HF1772" s="1">
        <v>40688</v>
      </c>
      <c r="HG1772">
        <v>2010</v>
      </c>
      <c r="HH1772">
        <v>850.88</v>
      </c>
      <c r="HI1772" t="s">
        <v>17481</v>
      </c>
      <c r="HJ1772">
        <v>9</v>
      </c>
      <c r="HK1772" t="s">
        <v>424</v>
      </c>
      <c r="HL1772" t="s">
        <v>425</v>
      </c>
      <c r="HM1772" s="1">
        <v>41089</v>
      </c>
      <c r="HN1772">
        <v>13</v>
      </c>
      <c r="HO1772">
        <v>11325</v>
      </c>
      <c r="HP1772" t="s">
        <v>2402</v>
      </c>
    </row>
    <row r="1773" spans="1:236" x14ac:dyDescent="0.25">
      <c r="A1773">
        <v>16486780</v>
      </c>
      <c r="B1773">
        <v>1772</v>
      </c>
      <c r="C1773" t="s">
        <v>393</v>
      </c>
      <c r="D1773" t="s">
        <v>394</v>
      </c>
      <c r="F1773" t="str">
        <f>"41-3N-28-1250-0124-0000"</f>
        <v>41-3N-28-1250-0124-0000</v>
      </c>
      <c r="H1773" t="str">
        <f>"DJOKOTO EMMANUEL"</f>
        <v>DJOKOTO EMMANUEL</v>
      </c>
      <c r="I1773" t="str">
        <f>"13277 OCEAN MIST DR"</f>
        <v>13277 OCEAN MIST DR</v>
      </c>
      <c r="J1773" t="str">
        <f>"JACKSONVILLE FL 32258"</f>
        <v>JACKSONVILLE FL 32258</v>
      </c>
      <c r="K1773" t="str">
        <f>"28060 VIEUX CARRE"</f>
        <v>28060 VIEUX CARRE</v>
      </c>
      <c r="L1773" t="str">
        <f t="shared" si="637"/>
        <v>YULEE FL 32097</v>
      </c>
      <c r="M1773" t="str">
        <f>"LOT 124 IN OR 1870/35 LIGHTHOUSE POINTE 2 PB 7/145"</f>
        <v>LOT 124 IN OR 1870/35 LIGHTHOUSE POINTE 2 PB 7/145</v>
      </c>
      <c r="N1773" t="str">
        <f>""</f>
        <v/>
      </c>
      <c r="O1773" t="str">
        <f>"46917"</f>
        <v>46917</v>
      </c>
      <c r="P1773" t="str">
        <f t="shared" si="628"/>
        <v>2017</v>
      </c>
      <c r="Q1773" t="str">
        <f>""</f>
        <v/>
      </c>
      <c r="R1773" t="str">
        <f t="shared" si="635"/>
        <v>N</v>
      </c>
      <c r="S1773" t="str">
        <f>""</f>
        <v/>
      </c>
      <c r="T1773" t="str">
        <f t="shared" si="653"/>
        <v>456.21</v>
      </c>
      <c r="U1773" t="str">
        <f t="shared" si="645"/>
        <v>16335.00</v>
      </c>
      <c r="V1773" t="str">
        <f t="shared" si="645"/>
        <v>16335.00</v>
      </c>
      <c r="W1773" t="str">
        <f t="shared" si="630"/>
        <v>2017</v>
      </c>
      <c r="X1773" t="str">
        <f>"6.33"</f>
        <v>6.33</v>
      </c>
      <c r="Y1773" t="str">
        <f t="shared" si="654"/>
        <v>501.90</v>
      </c>
      <c r="Z1773" t="str">
        <f>""</f>
        <v/>
      </c>
      <c r="AA1773" t="str">
        <f t="shared" si="655"/>
        <v>48000.00</v>
      </c>
      <c r="AB1773" t="str">
        <f t="shared" si="657"/>
        <v>Residential</v>
      </c>
      <c r="AC1773" t="str">
        <f t="shared" si="643"/>
        <v>0</v>
      </c>
      <c r="AD1773" t="str">
        <f>""</f>
        <v/>
      </c>
      <c r="AE1773" t="str">
        <f>""</f>
        <v/>
      </c>
      <c r="AF1773" t="str">
        <f t="shared" si="636"/>
        <v>000</v>
      </c>
      <c r="AG1773" t="str">
        <f t="shared" si="658"/>
        <v>FL</v>
      </c>
      <c r="AH1773" t="str">
        <f t="shared" si="640"/>
        <v>-</v>
      </c>
      <c r="AI1773" t="str">
        <f t="shared" si="656"/>
        <v>48000.00</v>
      </c>
      <c r="AJ1773" t="str">
        <f>"C55-000-969-7886-1"</f>
        <v>C55-000-969-7886-1</v>
      </c>
      <c r="AK1773" t="str">
        <f>"31701"</f>
        <v>31701</v>
      </c>
      <c r="AL1773">
        <v>7</v>
      </c>
      <c r="AM1773">
        <v>2022</v>
      </c>
      <c r="AN1773">
        <v>525.4</v>
      </c>
      <c r="AQ1773" t="s">
        <v>17482</v>
      </c>
      <c r="AR1773" t="s">
        <v>17482</v>
      </c>
      <c r="AS1773" t="s">
        <v>17482</v>
      </c>
      <c r="AU1773" t="s">
        <v>396</v>
      </c>
      <c r="AV1773">
        <v>2017</v>
      </c>
      <c r="AW1773" t="str">
        <f>"41-3N-28-1250-0124-0000 "</f>
        <v xml:space="preserve">41-3N-28-1250-0124-0000 </v>
      </c>
      <c r="AX1773">
        <v>28060</v>
      </c>
      <c r="AZ1773" t="s">
        <v>17473</v>
      </c>
      <c r="BD1773" t="s">
        <v>2387</v>
      </c>
      <c r="BE1773" t="s">
        <v>393</v>
      </c>
      <c r="BF1773">
        <v>32097</v>
      </c>
      <c r="BG1773" t="s">
        <v>17483</v>
      </c>
      <c r="BH1773" t="s">
        <v>2388</v>
      </c>
      <c r="BI1773">
        <v>-81.546870530250004</v>
      </c>
      <c r="BJ1773">
        <v>30.685776120372001</v>
      </c>
      <c r="BK1773" t="s">
        <v>17367</v>
      </c>
      <c r="BM1773" t="s">
        <v>17368</v>
      </c>
      <c r="BN1773" t="s">
        <v>548</v>
      </c>
      <c r="BO1773">
        <v>32258</v>
      </c>
      <c r="BP1773" t="s">
        <v>404</v>
      </c>
      <c r="BQ1773">
        <v>0</v>
      </c>
      <c r="BR1773" t="s">
        <v>491</v>
      </c>
      <c r="BS1773">
        <v>8001</v>
      </c>
      <c r="BT1773" t="s">
        <v>492</v>
      </c>
      <c r="BW1773">
        <v>10677</v>
      </c>
      <c r="BX1773" t="s">
        <v>407</v>
      </c>
      <c r="BY1773" t="s">
        <v>3019</v>
      </c>
      <c r="CD1773">
        <v>2017</v>
      </c>
      <c r="CE1773">
        <v>48000</v>
      </c>
      <c r="CG1773">
        <v>48000</v>
      </c>
      <c r="CH1773">
        <v>2017</v>
      </c>
      <c r="CI1773">
        <v>48000</v>
      </c>
      <c r="CK1773">
        <v>48000</v>
      </c>
      <c r="CL1773">
        <v>2017</v>
      </c>
      <c r="CM1773">
        <v>456.21</v>
      </c>
      <c r="CN1773" s="1">
        <v>41484</v>
      </c>
      <c r="CO1773">
        <v>11200</v>
      </c>
      <c r="CV1773">
        <v>0</v>
      </c>
      <c r="CZ1773" s="1">
        <v>41484</v>
      </c>
      <c r="DA1773">
        <v>0</v>
      </c>
      <c r="DD1773" t="s">
        <v>2387</v>
      </c>
      <c r="DF1773">
        <v>124</v>
      </c>
      <c r="DG1773">
        <v>41</v>
      </c>
      <c r="DJ1773" t="s">
        <v>17267</v>
      </c>
      <c r="DL1773">
        <v>50301</v>
      </c>
      <c r="DM1773" t="s">
        <v>17237</v>
      </c>
      <c r="DO1773" t="s">
        <v>17484</v>
      </c>
      <c r="DP1773">
        <v>0</v>
      </c>
      <c r="DQ1773">
        <v>0</v>
      </c>
      <c r="DR1773" t="s">
        <v>411</v>
      </c>
      <c r="EP1773" t="s">
        <v>421</v>
      </c>
      <c r="EQ1773" t="s">
        <v>422</v>
      </c>
      <c r="ER1773">
        <v>0</v>
      </c>
      <c r="ES1773">
        <v>2</v>
      </c>
      <c r="ET1773">
        <v>0</v>
      </c>
      <c r="EU1773">
        <v>0</v>
      </c>
      <c r="EV1773">
        <v>0</v>
      </c>
      <c r="EW1773" s="2">
        <v>43222</v>
      </c>
      <c r="EX1773" s="1">
        <v>41423</v>
      </c>
      <c r="EY1773">
        <v>2012</v>
      </c>
      <c r="EZ1773">
        <v>243.12</v>
      </c>
      <c r="FA1773" t="s">
        <v>17485</v>
      </c>
      <c r="FB1773">
        <v>6</v>
      </c>
      <c r="FC1773" t="s">
        <v>424</v>
      </c>
      <c r="FD1773" t="s">
        <v>425</v>
      </c>
      <c r="FE1773" s="1">
        <v>41484</v>
      </c>
      <c r="FF1773">
        <v>2</v>
      </c>
      <c r="FG1773">
        <v>15399</v>
      </c>
      <c r="FH1773" t="s">
        <v>485</v>
      </c>
      <c r="FJ1773" s="1">
        <v>41052</v>
      </c>
      <c r="FK1773">
        <v>2011</v>
      </c>
      <c r="FL1773">
        <v>388.99</v>
      </c>
      <c r="FM1773" t="s">
        <v>17486</v>
      </c>
      <c r="FN1773">
        <v>6</v>
      </c>
      <c r="FO1773" t="s">
        <v>424</v>
      </c>
      <c r="FP1773" t="s">
        <v>425</v>
      </c>
      <c r="FQ1773" s="1">
        <v>41484</v>
      </c>
      <c r="FR1773">
        <v>14</v>
      </c>
      <c r="FS1773">
        <v>1109</v>
      </c>
      <c r="FT1773" t="s">
        <v>852</v>
      </c>
    </row>
    <row r="1774" spans="1:236" x14ac:dyDescent="0.25">
      <c r="A1774">
        <v>16486781</v>
      </c>
      <c r="B1774">
        <v>1773</v>
      </c>
      <c r="C1774" t="s">
        <v>393</v>
      </c>
      <c r="D1774" t="s">
        <v>394</v>
      </c>
      <c r="F1774" t="str">
        <f>"41-3N-28-1250-0130-0000"</f>
        <v>41-3N-28-1250-0130-0000</v>
      </c>
      <c r="H1774" t="str">
        <f t="shared" ref="H1774:H1780" si="659">"LIGHTHOUSE POINTE DEV LLC"</f>
        <v>LIGHTHOUSE POINTE DEV LLC</v>
      </c>
      <c r="I1774" t="str">
        <f t="shared" ref="I1774:I1785" si="660">"PO BOX 17833"</f>
        <v>PO BOX 17833</v>
      </c>
      <c r="J1774" t="str">
        <f t="shared" ref="J1774:J1785" si="661">"JACKSONVILLE FL 32245"</f>
        <v>JACKSONVILLE FL 32245</v>
      </c>
      <c r="K1774" t="str">
        <f>"28282 VIEUX CARRE"</f>
        <v>28282 VIEUX CARRE</v>
      </c>
      <c r="L1774" t="str">
        <f t="shared" si="637"/>
        <v>YULEE FL 32097</v>
      </c>
      <c r="M1774" t="str">
        <f>"LOT 130 PT OR 1938/1054 LIGHTHOUSE POINTE 2 PB 7/145"</f>
        <v>LOT 130 PT OR 1938/1054 LIGHTHOUSE POINTE 2 PB 7/145</v>
      </c>
      <c r="N1774" t="str">
        <f>""</f>
        <v/>
      </c>
      <c r="O1774" t="str">
        <f>"46923"</f>
        <v>46923</v>
      </c>
      <c r="P1774" t="str">
        <f t="shared" si="628"/>
        <v>2017</v>
      </c>
      <c r="Q1774" t="str">
        <f>""</f>
        <v/>
      </c>
      <c r="R1774" t="str">
        <f t="shared" si="635"/>
        <v>N</v>
      </c>
      <c r="S1774" t="str">
        <f>""</f>
        <v/>
      </c>
      <c r="T1774" t="str">
        <f t="shared" ref="T1774:T1783" si="662">"536.15"</f>
        <v>536.15</v>
      </c>
      <c r="U1774" t="str">
        <f t="shared" ref="U1774:V1783" si="663">"17969.00"</f>
        <v>17969.00</v>
      </c>
      <c r="V1774" t="str">
        <f t="shared" si="663"/>
        <v>17969.00</v>
      </c>
      <c r="W1774" t="str">
        <f t="shared" si="630"/>
        <v>2017</v>
      </c>
      <c r="X1774" t="str">
        <f t="shared" ref="X1774:X1780" si="664">"20.57"</f>
        <v>20.57</v>
      </c>
      <c r="Y1774" t="str">
        <f t="shared" ref="Y1774:Y1783" si="665">"584.23"</f>
        <v>584.23</v>
      </c>
      <c r="Z1774" t="str">
        <f>""</f>
        <v/>
      </c>
      <c r="AA1774" t="str">
        <f t="shared" ref="AA1774:AA1783" si="666">"58000.00"</f>
        <v>58000.00</v>
      </c>
      <c r="AB1774" t="str">
        <f t="shared" si="657"/>
        <v>Residential</v>
      </c>
      <c r="AC1774" t="str">
        <f t="shared" si="643"/>
        <v>0</v>
      </c>
      <c r="AD1774" t="str">
        <f>""</f>
        <v/>
      </c>
      <c r="AE1774" t="str">
        <f>""</f>
        <v/>
      </c>
      <c r="AF1774" t="str">
        <f t="shared" si="636"/>
        <v>000</v>
      </c>
      <c r="AG1774" t="str">
        <f t="shared" si="658"/>
        <v>FL</v>
      </c>
      <c r="AH1774" t="str">
        <f t="shared" si="640"/>
        <v>-</v>
      </c>
      <c r="AI1774" t="str">
        <f t="shared" ref="AI1774:AI1783" si="667">"58000.00"</f>
        <v>58000.00</v>
      </c>
      <c r="AJ1774" t="str">
        <f>"C55-000-969-7892-9"</f>
        <v>C55-000-969-7892-9</v>
      </c>
      <c r="AK1774" t="str">
        <f>"31707"</f>
        <v>31707</v>
      </c>
      <c r="AL1774">
        <v>7</v>
      </c>
      <c r="AM1774">
        <v>2023</v>
      </c>
      <c r="AN1774">
        <v>611.84</v>
      </c>
      <c r="AQ1774" t="s">
        <v>17487</v>
      </c>
      <c r="AR1774" t="s">
        <v>17487</v>
      </c>
      <c r="AS1774" t="s">
        <v>17487</v>
      </c>
      <c r="AU1774" t="s">
        <v>396</v>
      </c>
      <c r="AV1774">
        <v>2017</v>
      </c>
      <c r="AW1774" t="str">
        <f>"41-3N-28-1250-0130-0000 "</f>
        <v xml:space="preserve">41-3N-28-1250-0130-0000 </v>
      </c>
      <c r="AX1774">
        <v>28282</v>
      </c>
      <c r="AZ1774" t="s">
        <v>17473</v>
      </c>
      <c r="BD1774" t="s">
        <v>2387</v>
      </c>
      <c r="BE1774" t="s">
        <v>393</v>
      </c>
      <c r="BF1774">
        <v>32097</v>
      </c>
      <c r="BG1774" t="s">
        <v>17488</v>
      </c>
      <c r="BH1774" t="s">
        <v>2388</v>
      </c>
      <c r="BI1774">
        <v>-81.546370858485702</v>
      </c>
      <c r="BJ1774">
        <v>30.683911674614301</v>
      </c>
      <c r="BK1774" t="s">
        <v>17211</v>
      </c>
      <c r="BM1774" t="s">
        <v>17212</v>
      </c>
      <c r="BN1774" t="s">
        <v>548</v>
      </c>
      <c r="BO1774">
        <v>32245</v>
      </c>
      <c r="BP1774" t="s">
        <v>404</v>
      </c>
      <c r="BQ1774">
        <v>0</v>
      </c>
      <c r="BR1774" t="s">
        <v>491</v>
      </c>
      <c r="BS1774">
        <v>8001</v>
      </c>
      <c r="BT1774" t="s">
        <v>492</v>
      </c>
      <c r="BW1774">
        <v>11701</v>
      </c>
      <c r="BX1774" t="s">
        <v>407</v>
      </c>
      <c r="BY1774" t="s">
        <v>3019</v>
      </c>
      <c r="CD1774">
        <v>2017</v>
      </c>
      <c r="CE1774">
        <v>58000</v>
      </c>
      <c r="CG1774">
        <v>58000</v>
      </c>
      <c r="CH1774">
        <v>2017</v>
      </c>
      <c r="CI1774">
        <v>58000</v>
      </c>
      <c r="CK1774">
        <v>58000</v>
      </c>
      <c r="CL1774">
        <v>2017</v>
      </c>
      <c r="CM1774">
        <v>536.15</v>
      </c>
      <c r="CN1774" s="1">
        <v>41901</v>
      </c>
      <c r="CO1774">
        <v>2599000</v>
      </c>
      <c r="CZ1774" s="1">
        <v>41901</v>
      </c>
      <c r="DD1774" t="s">
        <v>2387</v>
      </c>
      <c r="DF1774">
        <v>130</v>
      </c>
      <c r="DG1774">
        <v>41</v>
      </c>
      <c r="DJ1774" t="s">
        <v>17267</v>
      </c>
      <c r="DL1774">
        <v>50301</v>
      </c>
      <c r="DM1774" t="s">
        <v>17237</v>
      </c>
      <c r="DO1774" t="s">
        <v>17489</v>
      </c>
      <c r="DP1774">
        <v>0</v>
      </c>
      <c r="DQ1774">
        <v>0</v>
      </c>
      <c r="DR1774" t="s">
        <v>411</v>
      </c>
      <c r="DS1774" t="b">
        <v>1</v>
      </c>
      <c r="DT1774" t="s">
        <v>470</v>
      </c>
      <c r="DU1774" t="s">
        <v>10249</v>
      </c>
      <c r="DV1774" t="s">
        <v>472</v>
      </c>
      <c r="DX1774">
        <v>-9999</v>
      </c>
      <c r="DZ1774" t="s">
        <v>447</v>
      </c>
      <c r="EA1774" t="s">
        <v>448</v>
      </c>
      <c r="EB1774" t="s">
        <v>17259</v>
      </c>
      <c r="EC1774">
        <v>20101217</v>
      </c>
      <c r="ED1774" t="s">
        <v>10251</v>
      </c>
      <c r="EE1774">
        <v>5</v>
      </c>
      <c r="EF1774">
        <v>240.8</v>
      </c>
      <c r="EG1774">
        <v>0</v>
      </c>
      <c r="EI1774">
        <v>20160407</v>
      </c>
      <c r="EJ1774">
        <v>0</v>
      </c>
      <c r="EK1774">
        <v>0</v>
      </c>
      <c r="EP1774" t="s">
        <v>421</v>
      </c>
      <c r="EQ1774" t="s">
        <v>422</v>
      </c>
      <c r="ER1774">
        <v>2</v>
      </c>
      <c r="ES1774">
        <v>5</v>
      </c>
      <c r="ET1774">
        <v>1208.6400000000001</v>
      </c>
      <c r="EU1774">
        <v>72.930000000000007</v>
      </c>
      <c r="EV1774">
        <v>1281.57</v>
      </c>
      <c r="EW1774" s="2">
        <v>43222</v>
      </c>
      <c r="EX1774" s="1">
        <v>42879</v>
      </c>
      <c r="EY1774">
        <v>2016</v>
      </c>
      <c r="EZ1774">
        <v>604.32000000000005</v>
      </c>
      <c r="FA1774" t="s">
        <v>17490</v>
      </c>
      <c r="FB1774">
        <v>0.25</v>
      </c>
      <c r="FC1774" t="s">
        <v>424</v>
      </c>
      <c r="FD1774" t="s">
        <v>454</v>
      </c>
      <c r="FF1774">
        <v>12</v>
      </c>
      <c r="FG1774">
        <v>11289</v>
      </c>
      <c r="FH1774" t="s">
        <v>787</v>
      </c>
      <c r="FJ1774" s="1">
        <v>42879</v>
      </c>
      <c r="FK1774">
        <v>2016</v>
      </c>
      <c r="FL1774">
        <v>604.32000000000005</v>
      </c>
      <c r="FM1774" t="s">
        <v>17490</v>
      </c>
      <c r="FN1774">
        <v>0.25</v>
      </c>
      <c r="FO1774" t="s">
        <v>424</v>
      </c>
      <c r="FP1774" t="s">
        <v>454</v>
      </c>
      <c r="FR1774">
        <v>12</v>
      </c>
      <c r="FS1774">
        <v>7318339</v>
      </c>
      <c r="FT1774" t="s">
        <v>17491</v>
      </c>
      <c r="FV1774" s="1">
        <v>42515</v>
      </c>
      <c r="FW1774">
        <v>2015</v>
      </c>
      <c r="FX1774">
        <v>274.54000000000002</v>
      </c>
      <c r="FY1774" t="s">
        <v>17492</v>
      </c>
      <c r="FZ1774">
        <v>15.25</v>
      </c>
      <c r="GA1774" t="s">
        <v>424</v>
      </c>
      <c r="GB1774" t="s">
        <v>425</v>
      </c>
      <c r="GC1774" s="1">
        <v>42614</v>
      </c>
      <c r="GD1774">
        <v>4</v>
      </c>
      <c r="GE1774">
        <v>2035919</v>
      </c>
      <c r="GF1774" t="s">
        <v>507</v>
      </c>
      <c r="GH1774" s="1">
        <v>42151</v>
      </c>
      <c r="GI1774">
        <v>2014</v>
      </c>
      <c r="GJ1774">
        <v>275.81</v>
      </c>
      <c r="GK1774" t="s">
        <v>17493</v>
      </c>
      <c r="GL1774">
        <v>0.25</v>
      </c>
      <c r="GM1774" t="s">
        <v>424</v>
      </c>
      <c r="GN1774" t="s">
        <v>425</v>
      </c>
      <c r="GO1774" s="1">
        <v>42611</v>
      </c>
      <c r="GP1774">
        <v>15</v>
      </c>
      <c r="GQ1774">
        <v>4975594</v>
      </c>
      <c r="GR1774" t="s">
        <v>457</v>
      </c>
      <c r="GT1774" s="1">
        <v>42151</v>
      </c>
      <c r="GU1774">
        <v>2014</v>
      </c>
      <c r="GV1774">
        <v>275.81</v>
      </c>
      <c r="GW1774" t="s">
        <v>17493</v>
      </c>
      <c r="GX1774">
        <v>0.25</v>
      </c>
      <c r="GY1774" t="s">
        <v>424</v>
      </c>
      <c r="GZ1774" t="s">
        <v>425</v>
      </c>
      <c r="HB1774">
        <v>22</v>
      </c>
      <c r="HC1774">
        <v>6282327</v>
      </c>
      <c r="HD1774" t="s">
        <v>17494</v>
      </c>
      <c r="HF1774" s="1">
        <v>41052</v>
      </c>
      <c r="HG1774">
        <v>2011</v>
      </c>
      <c r="HH1774">
        <v>426.48</v>
      </c>
      <c r="HI1774" t="s">
        <v>17495</v>
      </c>
      <c r="HJ1774">
        <v>18</v>
      </c>
      <c r="HK1774" t="s">
        <v>424</v>
      </c>
      <c r="HL1774" t="s">
        <v>425</v>
      </c>
      <c r="HM1774" s="1">
        <v>41089</v>
      </c>
      <c r="HN1774">
        <v>1</v>
      </c>
      <c r="HO1774">
        <v>11265</v>
      </c>
      <c r="HP1774" t="s">
        <v>17231</v>
      </c>
      <c r="HR1774" s="1">
        <v>40688</v>
      </c>
      <c r="HS1774">
        <v>2010</v>
      </c>
      <c r="HT1774">
        <v>934.68</v>
      </c>
      <c r="HU1774" t="s">
        <v>17496</v>
      </c>
      <c r="HV1774">
        <v>9</v>
      </c>
      <c r="HW1774" t="s">
        <v>424</v>
      </c>
      <c r="HX1774" t="s">
        <v>425</v>
      </c>
      <c r="HY1774" s="1">
        <v>41089</v>
      </c>
      <c r="HZ1774">
        <v>13</v>
      </c>
      <c r="IA1774">
        <v>11325</v>
      </c>
      <c r="IB1774" t="s">
        <v>2402</v>
      </c>
    </row>
    <row r="1775" spans="1:236" x14ac:dyDescent="0.25">
      <c r="A1775">
        <v>16486782</v>
      </c>
      <c r="B1775">
        <v>1774</v>
      </c>
      <c r="C1775" t="s">
        <v>393</v>
      </c>
      <c r="D1775" t="s">
        <v>394</v>
      </c>
      <c r="F1775" t="str">
        <f>"41-3N-28-1250-0131-0000"</f>
        <v>41-3N-28-1250-0131-0000</v>
      </c>
      <c r="H1775" t="str">
        <f t="shared" si="659"/>
        <v>LIGHTHOUSE POINTE DEV LLC</v>
      </c>
      <c r="I1775" t="str">
        <f t="shared" si="660"/>
        <v>PO BOX 17833</v>
      </c>
      <c r="J1775" t="str">
        <f t="shared" si="661"/>
        <v>JACKSONVILLE FL 32245</v>
      </c>
      <c r="K1775" t="str">
        <f>"28302 VIEUX CARRE"</f>
        <v>28302 VIEUX CARRE</v>
      </c>
      <c r="L1775" t="str">
        <f t="shared" si="637"/>
        <v>YULEE FL 32097</v>
      </c>
      <c r="M1775" t="str">
        <f>"LOT 131 PT OR 1938/1054 LIGHTHOUSE POINTE 2 PB 7/145"</f>
        <v>LOT 131 PT OR 1938/1054 LIGHTHOUSE POINTE 2 PB 7/145</v>
      </c>
      <c r="N1775" t="str">
        <f>""</f>
        <v/>
      </c>
      <c r="O1775" t="str">
        <f>"46924"</f>
        <v>46924</v>
      </c>
      <c r="P1775" t="str">
        <f t="shared" si="628"/>
        <v>2017</v>
      </c>
      <c r="Q1775" t="str">
        <f>""</f>
        <v/>
      </c>
      <c r="R1775" t="str">
        <f t="shared" ref="R1775:R1791" si="668">"N"</f>
        <v>N</v>
      </c>
      <c r="S1775" t="str">
        <f>""</f>
        <v/>
      </c>
      <c r="T1775" t="str">
        <f t="shared" si="662"/>
        <v>536.15</v>
      </c>
      <c r="U1775" t="str">
        <f t="shared" si="663"/>
        <v>17969.00</v>
      </c>
      <c r="V1775" t="str">
        <f t="shared" si="663"/>
        <v>17969.00</v>
      </c>
      <c r="W1775" t="str">
        <f t="shared" si="630"/>
        <v>2017</v>
      </c>
      <c r="X1775" t="str">
        <f t="shared" si="664"/>
        <v>20.57</v>
      </c>
      <c r="Y1775" t="str">
        <f t="shared" si="665"/>
        <v>584.23</v>
      </c>
      <c r="Z1775" t="str">
        <f>""</f>
        <v/>
      </c>
      <c r="AA1775" t="str">
        <f t="shared" si="666"/>
        <v>58000.00</v>
      </c>
      <c r="AB1775" t="str">
        <f t="shared" si="657"/>
        <v>Residential</v>
      </c>
      <c r="AC1775" t="str">
        <f t="shared" si="643"/>
        <v>0</v>
      </c>
      <c r="AD1775" t="str">
        <f>""</f>
        <v/>
      </c>
      <c r="AE1775" t="str">
        <f>""</f>
        <v/>
      </c>
      <c r="AF1775" t="str">
        <f t="shared" si="636"/>
        <v>000</v>
      </c>
      <c r="AG1775" t="str">
        <f t="shared" si="658"/>
        <v>FL</v>
      </c>
      <c r="AH1775" t="str">
        <f t="shared" si="640"/>
        <v>-</v>
      </c>
      <c r="AI1775" t="str">
        <f t="shared" si="667"/>
        <v>58000.00</v>
      </c>
      <c r="AJ1775" t="str">
        <f>"C55-000-969-7893-7"</f>
        <v>C55-000-969-7893-7</v>
      </c>
      <c r="AK1775" t="str">
        <f>"31708"</f>
        <v>31708</v>
      </c>
      <c r="AL1775">
        <v>7</v>
      </c>
      <c r="AM1775">
        <v>2024</v>
      </c>
      <c r="AN1775">
        <v>611.84</v>
      </c>
      <c r="AQ1775" t="s">
        <v>17497</v>
      </c>
      <c r="AR1775" t="s">
        <v>17497</v>
      </c>
      <c r="AS1775" t="s">
        <v>17497</v>
      </c>
      <c r="AU1775" t="s">
        <v>396</v>
      </c>
      <c r="AV1775">
        <v>2017</v>
      </c>
      <c r="AW1775" t="str">
        <f>"41-3N-28-1250-0131-0000 "</f>
        <v xml:space="preserve">41-3N-28-1250-0131-0000 </v>
      </c>
      <c r="AX1775">
        <v>28302</v>
      </c>
      <c r="AZ1775" t="s">
        <v>17473</v>
      </c>
      <c r="BD1775" t="s">
        <v>2387</v>
      </c>
      <c r="BE1775" t="s">
        <v>393</v>
      </c>
      <c r="BF1775">
        <v>32097</v>
      </c>
      <c r="BG1775" t="s">
        <v>17498</v>
      </c>
      <c r="BH1775" t="s">
        <v>2388</v>
      </c>
      <c r="BI1775">
        <v>-81.546597807996207</v>
      </c>
      <c r="BJ1775">
        <v>30.683698695274501</v>
      </c>
      <c r="BK1775" t="s">
        <v>17211</v>
      </c>
      <c r="BM1775" t="s">
        <v>17212</v>
      </c>
      <c r="BN1775" t="s">
        <v>548</v>
      </c>
      <c r="BO1775">
        <v>32245</v>
      </c>
      <c r="BP1775" t="s">
        <v>404</v>
      </c>
      <c r="BQ1775">
        <v>0</v>
      </c>
      <c r="BR1775" t="s">
        <v>491</v>
      </c>
      <c r="BS1775">
        <v>8001</v>
      </c>
      <c r="BT1775" t="s">
        <v>492</v>
      </c>
      <c r="BW1775">
        <v>10928</v>
      </c>
      <c r="BX1775" t="s">
        <v>407</v>
      </c>
      <c r="BY1775" t="s">
        <v>3019</v>
      </c>
      <c r="CD1775">
        <v>2017</v>
      </c>
      <c r="CE1775">
        <v>58000</v>
      </c>
      <c r="CG1775">
        <v>58000</v>
      </c>
      <c r="CH1775">
        <v>2017</v>
      </c>
      <c r="CI1775">
        <v>58000</v>
      </c>
      <c r="CK1775">
        <v>58000</v>
      </c>
      <c r="CL1775">
        <v>2017</v>
      </c>
      <c r="CM1775">
        <v>536.15</v>
      </c>
      <c r="CN1775" s="1">
        <v>41901</v>
      </c>
      <c r="CO1775">
        <v>2599000</v>
      </c>
      <c r="CZ1775" s="1">
        <v>41901</v>
      </c>
      <c r="DD1775" t="s">
        <v>2387</v>
      </c>
      <c r="DF1775">
        <v>131</v>
      </c>
      <c r="DG1775">
        <v>41</v>
      </c>
      <c r="DJ1775" t="s">
        <v>17267</v>
      </c>
      <c r="DL1775">
        <v>50301</v>
      </c>
      <c r="DM1775" t="s">
        <v>17237</v>
      </c>
      <c r="DO1775" t="s">
        <v>17499</v>
      </c>
      <c r="DP1775">
        <v>0</v>
      </c>
      <c r="DQ1775">
        <v>0</v>
      </c>
      <c r="DR1775" t="s">
        <v>411</v>
      </c>
      <c r="DS1775" t="b">
        <v>1</v>
      </c>
      <c r="DT1775" t="s">
        <v>470</v>
      </c>
      <c r="DU1775" t="s">
        <v>10249</v>
      </c>
      <c r="DV1775" t="s">
        <v>472</v>
      </c>
      <c r="DX1775">
        <v>-9999</v>
      </c>
      <c r="DZ1775" t="s">
        <v>447</v>
      </c>
      <c r="EA1775" t="s">
        <v>448</v>
      </c>
      <c r="EB1775" t="s">
        <v>17259</v>
      </c>
      <c r="EC1775">
        <v>20101217</v>
      </c>
      <c r="ED1775" t="s">
        <v>10251</v>
      </c>
      <c r="EE1775">
        <v>5</v>
      </c>
      <c r="EF1775">
        <v>230.8</v>
      </c>
      <c r="EG1775">
        <v>0</v>
      </c>
      <c r="EI1775">
        <v>20160407</v>
      </c>
      <c r="EJ1775">
        <v>0</v>
      </c>
      <c r="EK1775">
        <v>0</v>
      </c>
      <c r="EP1775" t="s">
        <v>421</v>
      </c>
      <c r="EQ1775" t="s">
        <v>422</v>
      </c>
      <c r="ER1775">
        <v>2</v>
      </c>
      <c r="ES1775">
        <v>5</v>
      </c>
      <c r="ET1775">
        <v>1208.6400000000001</v>
      </c>
      <c r="EU1775">
        <v>72.930000000000007</v>
      </c>
      <c r="EV1775">
        <v>1281.57</v>
      </c>
      <c r="EW1775" s="2">
        <v>43222</v>
      </c>
      <c r="EX1775" s="1">
        <v>42879</v>
      </c>
      <c r="EY1775">
        <v>2016</v>
      </c>
      <c r="EZ1775">
        <v>604.32000000000005</v>
      </c>
      <c r="FA1775" t="s">
        <v>17500</v>
      </c>
      <c r="FB1775">
        <v>0.25</v>
      </c>
      <c r="FC1775" t="s">
        <v>424</v>
      </c>
      <c r="FD1775" t="s">
        <v>454</v>
      </c>
      <c r="FF1775">
        <v>12</v>
      </c>
      <c r="FG1775">
        <v>11289</v>
      </c>
      <c r="FH1775" t="s">
        <v>787</v>
      </c>
      <c r="FJ1775" s="1">
        <v>42879</v>
      </c>
      <c r="FK1775">
        <v>2016</v>
      </c>
      <c r="FL1775">
        <v>604.32000000000005</v>
      </c>
      <c r="FM1775" t="s">
        <v>17500</v>
      </c>
      <c r="FN1775">
        <v>0.25</v>
      </c>
      <c r="FO1775" t="s">
        <v>424</v>
      </c>
      <c r="FP1775" t="s">
        <v>454</v>
      </c>
      <c r="FR1775">
        <v>12</v>
      </c>
      <c r="FS1775">
        <v>7185474</v>
      </c>
      <c r="FT1775" t="s">
        <v>17501</v>
      </c>
      <c r="FV1775" s="1">
        <v>42515</v>
      </c>
      <c r="FW1775">
        <v>2015</v>
      </c>
      <c r="FX1775">
        <v>274.54000000000002</v>
      </c>
      <c r="FY1775" t="s">
        <v>17502</v>
      </c>
      <c r="FZ1775">
        <v>15.25</v>
      </c>
      <c r="GA1775" t="s">
        <v>424</v>
      </c>
      <c r="GB1775" t="s">
        <v>425</v>
      </c>
      <c r="GC1775" s="1">
        <v>42614</v>
      </c>
      <c r="GD1775">
        <v>4</v>
      </c>
      <c r="GE1775">
        <v>2035919</v>
      </c>
      <c r="GF1775" t="s">
        <v>507</v>
      </c>
      <c r="GH1775" s="1">
        <v>42151</v>
      </c>
      <c r="GI1775">
        <v>2014</v>
      </c>
      <c r="GJ1775">
        <v>275.81</v>
      </c>
      <c r="GK1775" t="s">
        <v>17503</v>
      </c>
      <c r="GL1775">
        <v>0.25</v>
      </c>
      <c r="GM1775" t="s">
        <v>424</v>
      </c>
      <c r="GN1775" t="s">
        <v>425</v>
      </c>
      <c r="GO1775" s="1">
        <v>42611</v>
      </c>
      <c r="GP1775">
        <v>15</v>
      </c>
      <c r="GQ1775">
        <v>4975594</v>
      </c>
      <c r="GR1775" t="s">
        <v>457</v>
      </c>
      <c r="GT1775" s="1">
        <v>42151</v>
      </c>
      <c r="GU1775">
        <v>2014</v>
      </c>
      <c r="GV1775">
        <v>275.81</v>
      </c>
      <c r="GW1775" t="s">
        <v>17503</v>
      </c>
      <c r="GX1775">
        <v>0.25</v>
      </c>
      <c r="GY1775" t="s">
        <v>424</v>
      </c>
      <c r="GZ1775" t="s">
        <v>425</v>
      </c>
      <c r="HB1775">
        <v>22</v>
      </c>
      <c r="HC1775">
        <v>6451931</v>
      </c>
      <c r="HD1775" t="s">
        <v>17504</v>
      </c>
      <c r="HF1775" s="1">
        <v>41052</v>
      </c>
      <c r="HG1775">
        <v>2011</v>
      </c>
      <c r="HH1775">
        <v>426.48</v>
      </c>
      <c r="HI1775" t="s">
        <v>17505</v>
      </c>
      <c r="HJ1775">
        <v>18</v>
      </c>
      <c r="HK1775" t="s">
        <v>424</v>
      </c>
      <c r="HL1775" t="s">
        <v>425</v>
      </c>
      <c r="HM1775" s="1">
        <v>41089</v>
      </c>
      <c r="HN1775">
        <v>1</v>
      </c>
      <c r="HO1775">
        <v>11265</v>
      </c>
      <c r="HP1775" t="s">
        <v>17231</v>
      </c>
      <c r="HR1775" s="1">
        <v>40688</v>
      </c>
      <c r="HS1775">
        <v>2010</v>
      </c>
      <c r="HT1775">
        <v>934.68</v>
      </c>
      <c r="HU1775" t="s">
        <v>17506</v>
      </c>
      <c r="HV1775">
        <v>9</v>
      </c>
      <c r="HW1775" t="s">
        <v>424</v>
      </c>
      <c r="HX1775" t="s">
        <v>425</v>
      </c>
      <c r="HY1775" s="1">
        <v>41089</v>
      </c>
      <c r="HZ1775">
        <v>13</v>
      </c>
      <c r="IA1775">
        <v>11325</v>
      </c>
      <c r="IB1775" t="s">
        <v>2402</v>
      </c>
    </row>
    <row r="1776" spans="1:236" x14ac:dyDescent="0.25">
      <c r="A1776">
        <v>16486783</v>
      </c>
      <c r="B1776">
        <v>1775</v>
      </c>
      <c r="C1776" t="s">
        <v>393</v>
      </c>
      <c r="D1776" t="s">
        <v>394</v>
      </c>
      <c r="F1776" t="str">
        <f>"41-3N-28-1250-0132-0000"</f>
        <v>41-3N-28-1250-0132-0000</v>
      </c>
      <c r="H1776" t="str">
        <f t="shared" si="659"/>
        <v>LIGHTHOUSE POINTE DEV LLC</v>
      </c>
      <c r="I1776" t="str">
        <f t="shared" si="660"/>
        <v>PO BOX 17833</v>
      </c>
      <c r="J1776" t="str">
        <f t="shared" si="661"/>
        <v>JACKSONVILLE FL 32245</v>
      </c>
      <c r="K1776" t="str">
        <f>"28326 VIEUX CARRE"</f>
        <v>28326 VIEUX CARRE</v>
      </c>
      <c r="L1776" t="str">
        <f t="shared" si="637"/>
        <v>YULEE FL 32097</v>
      </c>
      <c r="M1776" t="str">
        <f>"LOT 132 PT OR 1938/1054 LIGHTHOUSE POINTE 2 PB 7/145"</f>
        <v>LOT 132 PT OR 1938/1054 LIGHTHOUSE POINTE 2 PB 7/145</v>
      </c>
      <c r="N1776" t="str">
        <f>""</f>
        <v/>
      </c>
      <c r="O1776" t="str">
        <f>"46925"</f>
        <v>46925</v>
      </c>
      <c r="P1776" t="str">
        <f t="shared" si="628"/>
        <v>2017</v>
      </c>
      <c r="Q1776" t="str">
        <f>""</f>
        <v/>
      </c>
      <c r="R1776" t="str">
        <f t="shared" si="668"/>
        <v>N</v>
      </c>
      <c r="S1776" t="str">
        <f>""</f>
        <v/>
      </c>
      <c r="T1776" t="str">
        <f t="shared" si="662"/>
        <v>536.15</v>
      </c>
      <c r="U1776" t="str">
        <f t="shared" si="663"/>
        <v>17969.00</v>
      </c>
      <c r="V1776" t="str">
        <f t="shared" si="663"/>
        <v>17969.00</v>
      </c>
      <c r="W1776" t="str">
        <f t="shared" si="630"/>
        <v>2017</v>
      </c>
      <c r="X1776" t="str">
        <f t="shared" si="664"/>
        <v>20.57</v>
      </c>
      <c r="Y1776" t="str">
        <f t="shared" si="665"/>
        <v>584.23</v>
      </c>
      <c r="Z1776" t="str">
        <f>""</f>
        <v/>
      </c>
      <c r="AA1776" t="str">
        <f t="shared" si="666"/>
        <v>58000.00</v>
      </c>
      <c r="AB1776" t="str">
        <f t="shared" si="657"/>
        <v>Residential</v>
      </c>
      <c r="AC1776" t="str">
        <f t="shared" si="643"/>
        <v>0</v>
      </c>
      <c r="AD1776" t="str">
        <f>""</f>
        <v/>
      </c>
      <c r="AE1776" t="str">
        <f>""</f>
        <v/>
      </c>
      <c r="AF1776" t="str">
        <f t="shared" si="636"/>
        <v>000</v>
      </c>
      <c r="AG1776" t="str">
        <f t="shared" si="658"/>
        <v>FL</v>
      </c>
      <c r="AH1776" t="str">
        <f t="shared" si="640"/>
        <v>-</v>
      </c>
      <c r="AI1776" t="str">
        <f t="shared" si="667"/>
        <v>58000.00</v>
      </c>
      <c r="AJ1776" t="str">
        <f>"C55-000-969-7894-5"</f>
        <v>C55-000-969-7894-5</v>
      </c>
      <c r="AK1776" t="str">
        <f>"31709"</f>
        <v>31709</v>
      </c>
      <c r="AL1776">
        <v>7</v>
      </c>
      <c r="AM1776">
        <v>2025</v>
      </c>
      <c r="AN1776">
        <v>611.84</v>
      </c>
      <c r="AQ1776" t="s">
        <v>17507</v>
      </c>
      <c r="AR1776" t="s">
        <v>17507</v>
      </c>
      <c r="AS1776" t="s">
        <v>17507</v>
      </c>
      <c r="AU1776" t="s">
        <v>396</v>
      </c>
      <c r="AV1776">
        <v>2017</v>
      </c>
      <c r="AW1776" t="str">
        <f>"41-3N-28-1250-0132-0000 "</f>
        <v xml:space="preserve">41-3N-28-1250-0132-0000 </v>
      </c>
      <c r="AX1776">
        <v>28326</v>
      </c>
      <c r="AZ1776" t="s">
        <v>17473</v>
      </c>
      <c r="BD1776" t="s">
        <v>2387</v>
      </c>
      <c r="BE1776" t="s">
        <v>393</v>
      </c>
      <c r="BF1776">
        <v>32097</v>
      </c>
      <c r="BG1776" t="s">
        <v>17508</v>
      </c>
      <c r="BH1776" t="s">
        <v>2388</v>
      </c>
      <c r="BI1776">
        <v>-81.546936329209103</v>
      </c>
      <c r="BJ1776">
        <v>30.683587999752501</v>
      </c>
      <c r="BK1776" t="s">
        <v>17211</v>
      </c>
      <c r="BM1776" t="s">
        <v>17212</v>
      </c>
      <c r="BN1776" t="s">
        <v>548</v>
      </c>
      <c r="BO1776">
        <v>32245</v>
      </c>
      <c r="BP1776" t="s">
        <v>404</v>
      </c>
      <c r="BQ1776">
        <v>0</v>
      </c>
      <c r="BR1776" t="s">
        <v>491</v>
      </c>
      <c r="BS1776">
        <v>8001</v>
      </c>
      <c r="BT1776" t="s">
        <v>492</v>
      </c>
      <c r="BW1776">
        <v>12364</v>
      </c>
      <c r="BX1776" t="s">
        <v>407</v>
      </c>
      <c r="BY1776" t="s">
        <v>3019</v>
      </c>
      <c r="CD1776">
        <v>2017</v>
      </c>
      <c r="CE1776">
        <v>58000</v>
      </c>
      <c r="CG1776">
        <v>58000</v>
      </c>
      <c r="CH1776">
        <v>2017</v>
      </c>
      <c r="CI1776">
        <v>58000</v>
      </c>
      <c r="CK1776">
        <v>58000</v>
      </c>
      <c r="CL1776">
        <v>2017</v>
      </c>
      <c r="CM1776">
        <v>536.15</v>
      </c>
      <c r="CN1776" s="1">
        <v>41901</v>
      </c>
      <c r="CO1776">
        <v>2599000</v>
      </c>
      <c r="CZ1776" s="1">
        <v>41901</v>
      </c>
      <c r="DD1776" t="s">
        <v>2387</v>
      </c>
      <c r="DF1776">
        <v>132</v>
      </c>
      <c r="DG1776">
        <v>41</v>
      </c>
      <c r="DJ1776" t="s">
        <v>17267</v>
      </c>
      <c r="DL1776">
        <v>50301</v>
      </c>
      <c r="DM1776" t="s">
        <v>17237</v>
      </c>
      <c r="DO1776" t="s">
        <v>17509</v>
      </c>
      <c r="DP1776">
        <v>0</v>
      </c>
      <c r="DQ1776">
        <v>0</v>
      </c>
      <c r="DR1776" t="s">
        <v>411</v>
      </c>
      <c r="DS1776" t="b">
        <v>1</v>
      </c>
      <c r="DT1776" t="s">
        <v>470</v>
      </c>
      <c r="DU1776" t="s">
        <v>471</v>
      </c>
      <c r="DV1776" t="s">
        <v>472</v>
      </c>
      <c r="DX1776">
        <v>-9999</v>
      </c>
      <c r="DZ1776" t="s">
        <v>447</v>
      </c>
      <c r="EA1776" t="s">
        <v>448</v>
      </c>
      <c r="EB1776" t="s">
        <v>742</v>
      </c>
      <c r="EC1776">
        <v>20101217</v>
      </c>
      <c r="ED1776" t="s">
        <v>474</v>
      </c>
      <c r="EF1776">
        <v>237.9</v>
      </c>
      <c r="EG1776">
        <v>25.8</v>
      </c>
      <c r="EI1776">
        <v>20160407</v>
      </c>
      <c r="EJ1776">
        <v>0</v>
      </c>
      <c r="EK1776">
        <v>0</v>
      </c>
      <c r="EP1776" t="s">
        <v>421</v>
      </c>
      <c r="EQ1776" t="s">
        <v>422</v>
      </c>
      <c r="ER1776">
        <v>2</v>
      </c>
      <c r="ES1776">
        <v>5</v>
      </c>
      <c r="ET1776">
        <v>1208.6400000000001</v>
      </c>
      <c r="EU1776">
        <v>72.930000000000007</v>
      </c>
      <c r="EV1776">
        <v>1281.57</v>
      </c>
      <c r="EW1776" s="2">
        <v>43222</v>
      </c>
      <c r="EX1776" s="1">
        <v>42879</v>
      </c>
      <c r="EY1776">
        <v>2016</v>
      </c>
      <c r="EZ1776">
        <v>604.32000000000005</v>
      </c>
      <c r="FA1776" t="s">
        <v>17510</v>
      </c>
      <c r="FB1776">
        <v>0.25</v>
      </c>
      <c r="FC1776" t="s">
        <v>424</v>
      </c>
      <c r="FD1776" t="s">
        <v>454</v>
      </c>
      <c r="FF1776">
        <v>12</v>
      </c>
      <c r="FG1776">
        <v>11289</v>
      </c>
      <c r="FH1776" t="s">
        <v>787</v>
      </c>
      <c r="FJ1776" s="1">
        <v>42879</v>
      </c>
      <c r="FK1776">
        <v>2016</v>
      </c>
      <c r="FL1776">
        <v>604.32000000000005</v>
      </c>
      <c r="FM1776" t="s">
        <v>17510</v>
      </c>
      <c r="FN1776">
        <v>0.25</v>
      </c>
      <c r="FO1776" t="s">
        <v>424</v>
      </c>
      <c r="FP1776" t="s">
        <v>454</v>
      </c>
      <c r="FR1776">
        <v>12</v>
      </c>
      <c r="FS1776">
        <v>7241726</v>
      </c>
      <c r="FT1776" t="s">
        <v>17511</v>
      </c>
      <c r="FV1776" s="1">
        <v>42515</v>
      </c>
      <c r="FW1776">
        <v>2015</v>
      </c>
      <c r="FX1776">
        <v>274.54000000000002</v>
      </c>
      <c r="FY1776" t="s">
        <v>17512</v>
      </c>
      <c r="FZ1776">
        <v>15.25</v>
      </c>
      <c r="GA1776" t="s">
        <v>424</v>
      </c>
      <c r="GB1776" t="s">
        <v>425</v>
      </c>
      <c r="GC1776" s="1">
        <v>42614</v>
      </c>
      <c r="GD1776">
        <v>4</v>
      </c>
      <c r="GE1776">
        <v>2035919</v>
      </c>
      <c r="GF1776" t="s">
        <v>507</v>
      </c>
      <c r="GH1776" s="1">
        <v>42151</v>
      </c>
      <c r="GI1776">
        <v>2014</v>
      </c>
      <c r="GJ1776">
        <v>275.81</v>
      </c>
      <c r="GK1776" t="s">
        <v>17513</v>
      </c>
      <c r="GL1776">
        <v>0.25</v>
      </c>
      <c r="GM1776" t="s">
        <v>424</v>
      </c>
      <c r="GN1776" t="s">
        <v>425</v>
      </c>
      <c r="GO1776" s="1">
        <v>42611</v>
      </c>
      <c r="GP1776">
        <v>15</v>
      </c>
      <c r="GQ1776">
        <v>4975594</v>
      </c>
      <c r="GR1776" t="s">
        <v>457</v>
      </c>
      <c r="GT1776" s="1">
        <v>42151</v>
      </c>
      <c r="GU1776">
        <v>2014</v>
      </c>
      <c r="GV1776">
        <v>275.81</v>
      </c>
      <c r="GW1776" t="s">
        <v>17513</v>
      </c>
      <c r="GX1776">
        <v>0.25</v>
      </c>
      <c r="GY1776" t="s">
        <v>424</v>
      </c>
      <c r="GZ1776" t="s">
        <v>425</v>
      </c>
      <c r="HB1776">
        <v>22</v>
      </c>
      <c r="HC1776">
        <v>6428916</v>
      </c>
      <c r="HD1776" t="s">
        <v>17514</v>
      </c>
      <c r="HF1776" s="1">
        <v>41052</v>
      </c>
      <c r="HG1776">
        <v>2011</v>
      </c>
      <c r="HH1776">
        <v>426.48</v>
      </c>
      <c r="HI1776" t="s">
        <v>17515</v>
      </c>
      <c r="HJ1776">
        <v>18</v>
      </c>
      <c r="HK1776" t="s">
        <v>424</v>
      </c>
      <c r="HL1776" t="s">
        <v>425</v>
      </c>
      <c r="HM1776" s="1">
        <v>41089</v>
      </c>
      <c r="HN1776">
        <v>1</v>
      </c>
      <c r="HO1776">
        <v>11265</v>
      </c>
      <c r="HP1776" t="s">
        <v>17231</v>
      </c>
      <c r="HR1776" s="1">
        <v>40688</v>
      </c>
      <c r="HS1776">
        <v>2010</v>
      </c>
      <c r="HT1776">
        <v>934.68</v>
      </c>
      <c r="HU1776" t="s">
        <v>17516</v>
      </c>
      <c r="HV1776">
        <v>9</v>
      </c>
      <c r="HW1776" t="s">
        <v>424</v>
      </c>
      <c r="HX1776" t="s">
        <v>425</v>
      </c>
      <c r="HY1776" s="1">
        <v>41089</v>
      </c>
      <c r="HZ1776">
        <v>13</v>
      </c>
      <c r="IA1776">
        <v>11325</v>
      </c>
      <c r="IB1776" t="s">
        <v>2402</v>
      </c>
    </row>
    <row r="1777" spans="1:260" x14ac:dyDescent="0.25">
      <c r="A1777">
        <v>16486784</v>
      </c>
      <c r="B1777">
        <v>1776</v>
      </c>
      <c r="C1777" t="s">
        <v>393</v>
      </c>
      <c r="D1777" t="s">
        <v>394</v>
      </c>
      <c r="F1777" t="str">
        <f>"41-3N-28-1250-0133-0000"</f>
        <v>41-3N-28-1250-0133-0000</v>
      </c>
      <c r="H1777" t="str">
        <f t="shared" si="659"/>
        <v>LIGHTHOUSE POINTE DEV LLC</v>
      </c>
      <c r="I1777" t="str">
        <f t="shared" si="660"/>
        <v>PO BOX 17833</v>
      </c>
      <c r="J1777" t="str">
        <f t="shared" si="661"/>
        <v>JACKSONVILLE FL 32245</v>
      </c>
      <c r="K1777" t="str">
        <f>"28354 VIEUX CARRE"</f>
        <v>28354 VIEUX CARRE</v>
      </c>
      <c r="L1777" t="str">
        <f t="shared" si="637"/>
        <v>YULEE FL 32097</v>
      </c>
      <c r="M1777" t="str">
        <f>"LOT 133 PT OR 1938/1054 LIGHTHOUSE POINTE 2 PB 7/145"</f>
        <v>LOT 133 PT OR 1938/1054 LIGHTHOUSE POINTE 2 PB 7/145</v>
      </c>
      <c r="N1777" t="str">
        <f>""</f>
        <v/>
      </c>
      <c r="O1777" t="str">
        <f>"46926"</f>
        <v>46926</v>
      </c>
      <c r="P1777" t="str">
        <f t="shared" si="628"/>
        <v>2017</v>
      </c>
      <c r="Q1777" t="str">
        <f>""</f>
        <v/>
      </c>
      <c r="R1777" t="str">
        <f t="shared" si="668"/>
        <v>N</v>
      </c>
      <c r="S1777" t="str">
        <f>""</f>
        <v/>
      </c>
      <c r="T1777" t="str">
        <f t="shared" si="662"/>
        <v>536.15</v>
      </c>
      <c r="U1777" t="str">
        <f t="shared" si="663"/>
        <v>17969.00</v>
      </c>
      <c r="V1777" t="str">
        <f t="shared" si="663"/>
        <v>17969.00</v>
      </c>
      <c r="W1777" t="str">
        <f t="shared" si="630"/>
        <v>2017</v>
      </c>
      <c r="X1777" t="str">
        <f t="shared" si="664"/>
        <v>20.57</v>
      </c>
      <c r="Y1777" t="str">
        <f t="shared" si="665"/>
        <v>584.23</v>
      </c>
      <c r="Z1777" t="str">
        <f>""</f>
        <v/>
      </c>
      <c r="AA1777" t="str">
        <f t="shared" si="666"/>
        <v>58000.00</v>
      </c>
      <c r="AB1777" t="str">
        <f t="shared" si="657"/>
        <v>Residential</v>
      </c>
      <c r="AC1777" t="str">
        <f t="shared" si="643"/>
        <v>0</v>
      </c>
      <c r="AD1777" t="str">
        <f>""</f>
        <v/>
      </c>
      <c r="AE1777" t="str">
        <f>""</f>
        <v/>
      </c>
      <c r="AF1777" t="str">
        <f t="shared" si="636"/>
        <v>000</v>
      </c>
      <c r="AG1777" t="str">
        <f t="shared" si="658"/>
        <v>FL</v>
      </c>
      <c r="AH1777" t="str">
        <f t="shared" si="640"/>
        <v>-</v>
      </c>
      <c r="AI1777" t="str">
        <f t="shared" si="667"/>
        <v>58000.00</v>
      </c>
      <c r="AJ1777" t="str">
        <f>"C55-000-969-7895-2"</f>
        <v>C55-000-969-7895-2</v>
      </c>
      <c r="AK1777" t="str">
        <f>"31710"</f>
        <v>31710</v>
      </c>
      <c r="AL1777">
        <v>7</v>
      </c>
      <c r="AM1777">
        <v>2026</v>
      </c>
      <c r="AN1777">
        <v>611.84</v>
      </c>
      <c r="AQ1777" t="s">
        <v>17517</v>
      </c>
      <c r="AR1777" t="s">
        <v>17517</v>
      </c>
      <c r="AS1777" t="s">
        <v>17517</v>
      </c>
      <c r="AU1777" t="s">
        <v>396</v>
      </c>
      <c r="AV1777">
        <v>2017</v>
      </c>
      <c r="AW1777" t="str">
        <f>"41-3N-28-1250-0133-0000 "</f>
        <v xml:space="preserve">41-3N-28-1250-0133-0000 </v>
      </c>
      <c r="AX1777">
        <v>28354</v>
      </c>
      <c r="AZ1777" t="s">
        <v>17473</v>
      </c>
      <c r="BD1777" t="s">
        <v>2387</v>
      </c>
      <c r="BE1777" t="s">
        <v>393</v>
      </c>
      <c r="BF1777">
        <v>32097</v>
      </c>
      <c r="BG1777" t="s">
        <v>17518</v>
      </c>
      <c r="BH1777" t="s">
        <v>2388</v>
      </c>
      <c r="BI1777">
        <v>-81.547281884217895</v>
      </c>
      <c r="BJ1777">
        <v>30.683643198354201</v>
      </c>
      <c r="BK1777" t="s">
        <v>17211</v>
      </c>
      <c r="BM1777" t="s">
        <v>17212</v>
      </c>
      <c r="BN1777" t="s">
        <v>548</v>
      </c>
      <c r="BO1777">
        <v>32245</v>
      </c>
      <c r="BP1777" t="s">
        <v>404</v>
      </c>
      <c r="BQ1777">
        <v>0</v>
      </c>
      <c r="BR1777" t="s">
        <v>491</v>
      </c>
      <c r="BS1777">
        <v>8001</v>
      </c>
      <c r="BT1777" t="s">
        <v>492</v>
      </c>
      <c r="BW1777">
        <v>12288</v>
      </c>
      <c r="BX1777" t="s">
        <v>407</v>
      </c>
      <c r="BY1777" t="s">
        <v>3019</v>
      </c>
      <c r="CD1777">
        <v>2017</v>
      </c>
      <c r="CE1777">
        <v>58000</v>
      </c>
      <c r="CG1777">
        <v>58000</v>
      </c>
      <c r="CH1777">
        <v>2017</v>
      </c>
      <c r="CI1777">
        <v>58000</v>
      </c>
      <c r="CK1777">
        <v>58000</v>
      </c>
      <c r="CL1777">
        <v>2017</v>
      </c>
      <c r="CM1777">
        <v>536.15</v>
      </c>
      <c r="CN1777" s="1">
        <v>41901</v>
      </c>
      <c r="CO1777">
        <v>2599000</v>
      </c>
      <c r="CZ1777" s="1">
        <v>41901</v>
      </c>
      <c r="DD1777" t="s">
        <v>2387</v>
      </c>
      <c r="DF1777">
        <v>133</v>
      </c>
      <c r="DG1777">
        <v>41</v>
      </c>
      <c r="DJ1777" t="s">
        <v>17267</v>
      </c>
      <c r="DL1777">
        <v>50301</v>
      </c>
      <c r="DM1777" t="s">
        <v>17237</v>
      </c>
      <c r="DO1777" t="s">
        <v>17519</v>
      </c>
      <c r="DP1777">
        <v>0</v>
      </c>
      <c r="DQ1777">
        <v>0</v>
      </c>
      <c r="DR1777" t="s">
        <v>411</v>
      </c>
      <c r="DS1777" t="b">
        <v>1</v>
      </c>
      <c r="DT1777" t="s">
        <v>470</v>
      </c>
      <c r="DU1777" t="s">
        <v>471</v>
      </c>
      <c r="DV1777" t="s">
        <v>472</v>
      </c>
      <c r="DX1777">
        <v>-9999</v>
      </c>
      <c r="DZ1777" t="s">
        <v>447</v>
      </c>
      <c r="EA1777" t="s">
        <v>448</v>
      </c>
      <c r="EB1777" t="s">
        <v>742</v>
      </c>
      <c r="EC1777">
        <v>20101217</v>
      </c>
      <c r="ED1777" t="s">
        <v>474</v>
      </c>
      <c r="EF1777">
        <v>304.10000000000002</v>
      </c>
      <c r="EG1777">
        <v>50.2</v>
      </c>
      <c r="EI1777">
        <v>20160407</v>
      </c>
      <c r="EJ1777">
        <v>0</v>
      </c>
      <c r="EK1777">
        <v>0</v>
      </c>
      <c r="EP1777" t="s">
        <v>421</v>
      </c>
      <c r="EQ1777" t="s">
        <v>422</v>
      </c>
      <c r="ER1777">
        <v>2</v>
      </c>
      <c r="ES1777">
        <v>5</v>
      </c>
      <c r="ET1777">
        <v>1208.6400000000001</v>
      </c>
      <c r="EU1777">
        <v>72.930000000000007</v>
      </c>
      <c r="EV1777">
        <v>1281.57</v>
      </c>
      <c r="EW1777" s="2">
        <v>43222</v>
      </c>
      <c r="EX1777" s="1">
        <v>42879</v>
      </c>
      <c r="EY1777">
        <v>2016</v>
      </c>
      <c r="EZ1777">
        <v>604.32000000000005</v>
      </c>
      <c r="FA1777" t="s">
        <v>17520</v>
      </c>
      <c r="FB1777">
        <v>0.25</v>
      </c>
      <c r="FC1777" t="s">
        <v>424</v>
      </c>
      <c r="FD1777" t="s">
        <v>454</v>
      </c>
      <c r="FF1777">
        <v>12</v>
      </c>
      <c r="FG1777">
        <v>11289</v>
      </c>
      <c r="FH1777" t="s">
        <v>787</v>
      </c>
      <c r="FJ1777" s="1">
        <v>42879</v>
      </c>
      <c r="FK1777">
        <v>2016</v>
      </c>
      <c r="FL1777">
        <v>604.32000000000005</v>
      </c>
      <c r="FM1777" t="s">
        <v>17520</v>
      </c>
      <c r="FN1777">
        <v>0.25</v>
      </c>
      <c r="FO1777" t="s">
        <v>424</v>
      </c>
      <c r="FP1777" t="s">
        <v>454</v>
      </c>
      <c r="FR1777">
        <v>12</v>
      </c>
      <c r="FS1777">
        <v>7165268</v>
      </c>
      <c r="FT1777" t="s">
        <v>17521</v>
      </c>
      <c r="FV1777" s="1">
        <v>42515</v>
      </c>
      <c r="FW1777">
        <v>2015</v>
      </c>
      <c r="FX1777">
        <v>274.54000000000002</v>
      </c>
      <c r="FY1777" t="s">
        <v>17522</v>
      </c>
      <c r="FZ1777">
        <v>15.25</v>
      </c>
      <c r="GA1777" t="s">
        <v>424</v>
      </c>
      <c r="GB1777" t="s">
        <v>425</v>
      </c>
      <c r="GC1777" s="1">
        <v>42614</v>
      </c>
      <c r="GD1777">
        <v>4</v>
      </c>
      <c r="GE1777">
        <v>2035919</v>
      </c>
      <c r="GF1777" t="s">
        <v>507</v>
      </c>
      <c r="GH1777" s="1">
        <v>42151</v>
      </c>
      <c r="GI1777">
        <v>2014</v>
      </c>
      <c r="GJ1777">
        <v>275.81</v>
      </c>
      <c r="GK1777" t="s">
        <v>17523</v>
      </c>
      <c r="GL1777">
        <v>0.25</v>
      </c>
      <c r="GM1777" t="s">
        <v>424</v>
      </c>
      <c r="GN1777" t="s">
        <v>425</v>
      </c>
      <c r="GO1777" s="1">
        <v>42611</v>
      </c>
      <c r="GP1777">
        <v>15</v>
      </c>
      <c r="GQ1777">
        <v>4975594</v>
      </c>
      <c r="GR1777" t="s">
        <v>457</v>
      </c>
      <c r="GT1777" s="1">
        <v>42151</v>
      </c>
      <c r="GU1777">
        <v>2014</v>
      </c>
      <c r="GV1777">
        <v>275.81</v>
      </c>
      <c r="GW1777" t="s">
        <v>17523</v>
      </c>
      <c r="GX1777">
        <v>0.25</v>
      </c>
      <c r="GY1777" t="s">
        <v>424</v>
      </c>
      <c r="GZ1777" t="s">
        <v>425</v>
      </c>
      <c r="HB1777">
        <v>22</v>
      </c>
      <c r="HC1777">
        <v>6548838</v>
      </c>
      <c r="HD1777" t="s">
        <v>17524</v>
      </c>
      <c r="HF1777" s="1">
        <v>41052</v>
      </c>
      <c r="HG1777">
        <v>2011</v>
      </c>
      <c r="HH1777">
        <v>426.48</v>
      </c>
      <c r="HI1777" t="s">
        <v>17525</v>
      </c>
      <c r="HJ1777">
        <v>18</v>
      </c>
      <c r="HK1777" t="s">
        <v>424</v>
      </c>
      <c r="HL1777" t="s">
        <v>425</v>
      </c>
      <c r="HM1777" s="1">
        <v>41089</v>
      </c>
      <c r="HN1777">
        <v>1</v>
      </c>
      <c r="HO1777">
        <v>11265</v>
      </c>
      <c r="HP1777" t="s">
        <v>17231</v>
      </c>
      <c r="HR1777" s="1">
        <v>40688</v>
      </c>
      <c r="HS1777">
        <v>2010</v>
      </c>
      <c r="HT1777">
        <v>934.68</v>
      </c>
      <c r="HU1777" t="s">
        <v>17526</v>
      </c>
      <c r="HV1777">
        <v>9</v>
      </c>
      <c r="HW1777" t="s">
        <v>424</v>
      </c>
      <c r="HX1777" t="s">
        <v>425</v>
      </c>
      <c r="HY1777" s="1">
        <v>41089</v>
      </c>
      <c r="HZ1777">
        <v>13</v>
      </c>
      <c r="IA1777">
        <v>11325</v>
      </c>
      <c r="IB1777" t="s">
        <v>2402</v>
      </c>
    </row>
    <row r="1778" spans="1:260" x14ac:dyDescent="0.25">
      <c r="A1778">
        <v>16486785</v>
      </c>
      <c r="B1778">
        <v>1777</v>
      </c>
      <c r="C1778" t="s">
        <v>393</v>
      </c>
      <c r="D1778" t="s">
        <v>394</v>
      </c>
      <c r="F1778" t="str">
        <f>"41-3N-28-1250-0135-0000"</f>
        <v>41-3N-28-1250-0135-0000</v>
      </c>
      <c r="H1778" t="str">
        <f t="shared" si="659"/>
        <v>LIGHTHOUSE POINTE DEV LLC</v>
      </c>
      <c r="I1778" t="str">
        <f t="shared" si="660"/>
        <v>PO BOX 17833</v>
      </c>
      <c r="J1778" t="str">
        <f t="shared" si="661"/>
        <v>JACKSONVILLE FL 32245</v>
      </c>
      <c r="K1778" t="str">
        <f>"28442 VIEUX CARRE"</f>
        <v>28442 VIEUX CARRE</v>
      </c>
      <c r="L1778" t="str">
        <f t="shared" si="637"/>
        <v>YULEE FL 32097</v>
      </c>
      <c r="M1778" t="str">
        <f>"LOT 135 PT OR 1938/1054 LIGHTHOUSE POINTE 2 PB 7/145"</f>
        <v>LOT 135 PT OR 1938/1054 LIGHTHOUSE POINTE 2 PB 7/145</v>
      </c>
      <c r="N1778" t="str">
        <f>""</f>
        <v/>
      </c>
      <c r="O1778" t="str">
        <f>"46928"</f>
        <v>46928</v>
      </c>
      <c r="P1778" t="str">
        <f t="shared" si="628"/>
        <v>2017</v>
      </c>
      <c r="Q1778" t="str">
        <f>""</f>
        <v/>
      </c>
      <c r="R1778" t="str">
        <f t="shared" si="668"/>
        <v>N</v>
      </c>
      <c r="S1778" t="str">
        <f>""</f>
        <v/>
      </c>
      <c r="T1778" t="str">
        <f t="shared" si="662"/>
        <v>536.15</v>
      </c>
      <c r="U1778" t="str">
        <f t="shared" si="663"/>
        <v>17969.00</v>
      </c>
      <c r="V1778" t="str">
        <f t="shared" si="663"/>
        <v>17969.00</v>
      </c>
      <c r="W1778" t="str">
        <f t="shared" si="630"/>
        <v>2017</v>
      </c>
      <c r="X1778" t="str">
        <f t="shared" si="664"/>
        <v>20.57</v>
      </c>
      <c r="Y1778" t="str">
        <f t="shared" si="665"/>
        <v>584.23</v>
      </c>
      <c r="Z1778" t="str">
        <f>""</f>
        <v/>
      </c>
      <c r="AA1778" t="str">
        <f t="shared" si="666"/>
        <v>58000.00</v>
      </c>
      <c r="AB1778" t="str">
        <f t="shared" si="657"/>
        <v>Residential</v>
      </c>
      <c r="AC1778" t="str">
        <f t="shared" si="643"/>
        <v>0</v>
      </c>
      <c r="AD1778" t="str">
        <f>""</f>
        <v/>
      </c>
      <c r="AE1778" t="str">
        <f>""</f>
        <v/>
      </c>
      <c r="AF1778" t="str">
        <f t="shared" si="636"/>
        <v>000</v>
      </c>
      <c r="AG1778" t="str">
        <f t="shared" si="658"/>
        <v>FL</v>
      </c>
      <c r="AH1778" t="str">
        <f t="shared" si="640"/>
        <v>-</v>
      </c>
      <c r="AI1778" t="str">
        <f t="shared" si="667"/>
        <v>58000.00</v>
      </c>
      <c r="AJ1778" t="str">
        <f>"C55-000-969-7897-8"</f>
        <v>C55-000-969-7897-8</v>
      </c>
      <c r="AK1778" t="str">
        <f>"31712"</f>
        <v>31712</v>
      </c>
      <c r="AL1778">
        <v>7</v>
      </c>
      <c r="AM1778">
        <v>2027</v>
      </c>
      <c r="AN1778">
        <v>611.84</v>
      </c>
      <c r="AQ1778" t="s">
        <v>17527</v>
      </c>
      <c r="AR1778" t="s">
        <v>17527</v>
      </c>
      <c r="AS1778" t="s">
        <v>17527</v>
      </c>
      <c r="AU1778" t="s">
        <v>396</v>
      </c>
      <c r="AV1778">
        <v>2017</v>
      </c>
      <c r="AW1778" t="str">
        <f>"41-3N-28-1250-0135-0000 "</f>
        <v xml:space="preserve">41-3N-28-1250-0135-0000 </v>
      </c>
      <c r="AX1778">
        <v>28442</v>
      </c>
      <c r="AZ1778" t="s">
        <v>17473</v>
      </c>
      <c r="BD1778" t="s">
        <v>2387</v>
      </c>
      <c r="BE1778" t="s">
        <v>393</v>
      </c>
      <c r="BF1778">
        <v>32097</v>
      </c>
      <c r="BG1778" t="s">
        <v>17528</v>
      </c>
      <c r="BH1778" t="s">
        <v>2388</v>
      </c>
      <c r="BI1778">
        <v>-81.547996029902293</v>
      </c>
      <c r="BJ1778">
        <v>30.683647219733398</v>
      </c>
      <c r="BK1778" t="s">
        <v>17211</v>
      </c>
      <c r="BM1778" t="s">
        <v>17212</v>
      </c>
      <c r="BN1778" t="s">
        <v>548</v>
      </c>
      <c r="BO1778">
        <v>32245</v>
      </c>
      <c r="BP1778" t="s">
        <v>404</v>
      </c>
      <c r="BQ1778">
        <v>0</v>
      </c>
      <c r="BR1778" t="s">
        <v>491</v>
      </c>
      <c r="BS1778">
        <v>8001</v>
      </c>
      <c r="BT1778" t="s">
        <v>492</v>
      </c>
      <c r="BW1778">
        <v>11545</v>
      </c>
      <c r="BX1778" t="s">
        <v>407</v>
      </c>
      <c r="BY1778" t="s">
        <v>3019</v>
      </c>
      <c r="CD1778">
        <v>2017</v>
      </c>
      <c r="CE1778">
        <v>58000</v>
      </c>
      <c r="CG1778">
        <v>58000</v>
      </c>
      <c r="CH1778">
        <v>2017</v>
      </c>
      <c r="CI1778">
        <v>58000</v>
      </c>
      <c r="CK1778">
        <v>58000</v>
      </c>
      <c r="CL1778">
        <v>2017</v>
      </c>
      <c r="CM1778">
        <v>536.15</v>
      </c>
      <c r="CN1778" s="1">
        <v>41901</v>
      </c>
      <c r="CO1778">
        <v>2599000</v>
      </c>
      <c r="CZ1778" s="1">
        <v>41901</v>
      </c>
      <c r="DD1778" t="s">
        <v>2387</v>
      </c>
      <c r="DF1778">
        <v>135</v>
      </c>
      <c r="DG1778">
        <v>41</v>
      </c>
      <c r="DJ1778" t="s">
        <v>17267</v>
      </c>
      <c r="DL1778">
        <v>50301</v>
      </c>
      <c r="DM1778" t="s">
        <v>17237</v>
      </c>
      <c r="DO1778" t="s">
        <v>17529</v>
      </c>
      <c r="DP1778">
        <v>0</v>
      </c>
      <c r="DQ1778">
        <v>0</v>
      </c>
      <c r="DR1778" t="s">
        <v>411</v>
      </c>
      <c r="DS1778" t="b">
        <v>1</v>
      </c>
      <c r="DT1778" t="s">
        <v>470</v>
      </c>
      <c r="DU1778" t="s">
        <v>471</v>
      </c>
      <c r="DV1778" t="s">
        <v>472</v>
      </c>
      <c r="DX1778">
        <v>-9999</v>
      </c>
      <c r="DZ1778" t="s">
        <v>447</v>
      </c>
      <c r="EA1778" t="s">
        <v>448</v>
      </c>
      <c r="EB1778" t="s">
        <v>742</v>
      </c>
      <c r="EC1778">
        <v>20101217</v>
      </c>
      <c r="ED1778" t="s">
        <v>474</v>
      </c>
      <c r="EF1778">
        <v>340.8</v>
      </c>
      <c r="EG1778">
        <v>92.5</v>
      </c>
      <c r="EI1778">
        <v>20160407</v>
      </c>
      <c r="EJ1778">
        <v>0</v>
      </c>
      <c r="EK1778">
        <v>0</v>
      </c>
      <c r="EP1778" t="s">
        <v>421</v>
      </c>
      <c r="EQ1778" t="s">
        <v>422</v>
      </c>
      <c r="ER1778">
        <v>2</v>
      </c>
      <c r="ES1778">
        <v>5</v>
      </c>
      <c r="ET1778">
        <v>1208.6400000000001</v>
      </c>
      <c r="EU1778">
        <v>72.930000000000007</v>
      </c>
      <c r="EV1778">
        <v>1281.57</v>
      </c>
      <c r="EW1778" s="2">
        <v>43222</v>
      </c>
      <c r="EX1778" s="1">
        <v>42879</v>
      </c>
      <c r="EY1778">
        <v>2016</v>
      </c>
      <c r="EZ1778">
        <v>604.32000000000005</v>
      </c>
      <c r="FA1778" t="s">
        <v>17530</v>
      </c>
      <c r="FB1778">
        <v>0.25</v>
      </c>
      <c r="FC1778" t="s">
        <v>424</v>
      </c>
      <c r="FD1778" t="s">
        <v>454</v>
      </c>
      <c r="FF1778">
        <v>12</v>
      </c>
      <c r="FG1778">
        <v>11289</v>
      </c>
      <c r="FH1778" t="s">
        <v>787</v>
      </c>
      <c r="FJ1778" s="1">
        <v>42879</v>
      </c>
      <c r="FK1778">
        <v>2016</v>
      </c>
      <c r="FL1778">
        <v>604.32000000000005</v>
      </c>
      <c r="FM1778" t="s">
        <v>17530</v>
      </c>
      <c r="FN1778">
        <v>0.25</v>
      </c>
      <c r="FO1778" t="s">
        <v>424</v>
      </c>
      <c r="FP1778" t="s">
        <v>454</v>
      </c>
      <c r="FR1778">
        <v>12</v>
      </c>
      <c r="FS1778">
        <v>7148565</v>
      </c>
      <c r="FT1778" t="s">
        <v>17531</v>
      </c>
      <c r="FV1778" s="1">
        <v>42515</v>
      </c>
      <c r="FW1778">
        <v>2015</v>
      </c>
      <c r="FX1778">
        <v>274.54000000000002</v>
      </c>
      <c r="FY1778" t="s">
        <v>17532</v>
      </c>
      <c r="FZ1778">
        <v>15.25</v>
      </c>
      <c r="GA1778" t="s">
        <v>424</v>
      </c>
      <c r="GB1778" t="s">
        <v>425</v>
      </c>
      <c r="GC1778" s="1">
        <v>42614</v>
      </c>
      <c r="GD1778">
        <v>4</v>
      </c>
      <c r="GE1778">
        <v>2035919</v>
      </c>
      <c r="GF1778" t="s">
        <v>507</v>
      </c>
      <c r="GH1778" s="1">
        <v>42151</v>
      </c>
      <c r="GI1778">
        <v>2014</v>
      </c>
      <c r="GJ1778">
        <v>275.81</v>
      </c>
      <c r="GK1778" t="s">
        <v>17533</v>
      </c>
      <c r="GL1778">
        <v>0.25</v>
      </c>
      <c r="GM1778" t="s">
        <v>424</v>
      </c>
      <c r="GN1778" t="s">
        <v>425</v>
      </c>
      <c r="GO1778" s="1">
        <v>42611</v>
      </c>
      <c r="GP1778">
        <v>15</v>
      </c>
      <c r="GQ1778">
        <v>4975594</v>
      </c>
      <c r="GR1778" t="s">
        <v>457</v>
      </c>
      <c r="GT1778" s="1">
        <v>42151</v>
      </c>
      <c r="GU1778">
        <v>2014</v>
      </c>
      <c r="GV1778">
        <v>275.81</v>
      </c>
      <c r="GW1778" t="s">
        <v>17533</v>
      </c>
      <c r="GX1778">
        <v>0.25</v>
      </c>
      <c r="GY1778" t="s">
        <v>424</v>
      </c>
      <c r="GZ1778" t="s">
        <v>425</v>
      </c>
      <c r="HB1778">
        <v>22</v>
      </c>
      <c r="HC1778">
        <v>6651155</v>
      </c>
      <c r="HD1778" t="s">
        <v>17534</v>
      </c>
      <c r="HF1778" s="1">
        <v>41052</v>
      </c>
      <c r="HG1778">
        <v>2011</v>
      </c>
      <c r="HH1778">
        <v>426.48</v>
      </c>
      <c r="HI1778" t="s">
        <v>17535</v>
      </c>
      <c r="HJ1778">
        <v>18</v>
      </c>
      <c r="HK1778" t="s">
        <v>424</v>
      </c>
      <c r="HL1778" t="s">
        <v>425</v>
      </c>
      <c r="HM1778" s="1">
        <v>41089</v>
      </c>
      <c r="HN1778">
        <v>1</v>
      </c>
      <c r="HO1778">
        <v>11265</v>
      </c>
      <c r="HP1778" t="s">
        <v>17231</v>
      </c>
      <c r="HR1778" s="1">
        <v>40688</v>
      </c>
      <c r="HS1778">
        <v>2010</v>
      </c>
      <c r="HT1778">
        <v>934.68</v>
      </c>
      <c r="HU1778" t="s">
        <v>17536</v>
      </c>
      <c r="HV1778">
        <v>9</v>
      </c>
      <c r="HW1778" t="s">
        <v>424</v>
      </c>
      <c r="HX1778" t="s">
        <v>425</v>
      </c>
      <c r="HY1778" s="1">
        <v>41089</v>
      </c>
      <c r="HZ1778">
        <v>13</v>
      </c>
      <c r="IA1778">
        <v>11325</v>
      </c>
      <c r="IB1778" t="s">
        <v>2402</v>
      </c>
    </row>
    <row r="1779" spans="1:260" x14ac:dyDescent="0.25">
      <c r="A1779">
        <v>16486786</v>
      </c>
      <c r="B1779">
        <v>1778</v>
      </c>
      <c r="C1779" t="s">
        <v>393</v>
      </c>
      <c r="D1779" t="s">
        <v>394</v>
      </c>
      <c r="F1779" t="str">
        <f>"41-3N-28-1250-0136-0000"</f>
        <v>41-3N-28-1250-0136-0000</v>
      </c>
      <c r="H1779" t="str">
        <f t="shared" si="659"/>
        <v>LIGHTHOUSE POINTE DEV LLC</v>
      </c>
      <c r="I1779" t="str">
        <f t="shared" si="660"/>
        <v>PO BOX 17833</v>
      </c>
      <c r="J1779" t="str">
        <f t="shared" si="661"/>
        <v>JACKSONVILLE FL 32245</v>
      </c>
      <c r="K1779" t="str">
        <f>"28468 VIEUX CARRE"</f>
        <v>28468 VIEUX CARRE</v>
      </c>
      <c r="L1779" t="str">
        <f t="shared" si="637"/>
        <v>YULEE FL 32097</v>
      </c>
      <c r="M1779" t="str">
        <f>"LOT 136 PT OR 1938/1054 LIGHTHOUSE POINTE 2 PB 7/145"</f>
        <v>LOT 136 PT OR 1938/1054 LIGHTHOUSE POINTE 2 PB 7/145</v>
      </c>
      <c r="N1779" t="str">
        <f>""</f>
        <v/>
      </c>
      <c r="O1779" t="str">
        <f>"46929"</f>
        <v>46929</v>
      </c>
      <c r="P1779" t="str">
        <f t="shared" si="628"/>
        <v>2017</v>
      </c>
      <c r="Q1779" t="str">
        <f>""</f>
        <v/>
      </c>
      <c r="R1779" t="str">
        <f t="shared" si="668"/>
        <v>N</v>
      </c>
      <c r="S1779" t="str">
        <f>""</f>
        <v/>
      </c>
      <c r="T1779" t="str">
        <f t="shared" si="662"/>
        <v>536.15</v>
      </c>
      <c r="U1779" t="str">
        <f t="shared" si="663"/>
        <v>17969.00</v>
      </c>
      <c r="V1779" t="str">
        <f t="shared" si="663"/>
        <v>17969.00</v>
      </c>
      <c r="W1779" t="str">
        <f t="shared" si="630"/>
        <v>2017</v>
      </c>
      <c r="X1779" t="str">
        <f t="shared" si="664"/>
        <v>20.57</v>
      </c>
      <c r="Y1779" t="str">
        <f t="shared" si="665"/>
        <v>584.23</v>
      </c>
      <c r="Z1779" t="str">
        <f>""</f>
        <v/>
      </c>
      <c r="AA1779" t="str">
        <f t="shared" si="666"/>
        <v>58000.00</v>
      </c>
      <c r="AB1779" t="str">
        <f t="shared" si="657"/>
        <v>Residential</v>
      </c>
      <c r="AC1779" t="str">
        <f t="shared" si="643"/>
        <v>0</v>
      </c>
      <c r="AD1779" t="str">
        <f>""</f>
        <v/>
      </c>
      <c r="AE1779" t="str">
        <f>""</f>
        <v/>
      </c>
      <c r="AF1779" t="str">
        <f t="shared" si="636"/>
        <v>000</v>
      </c>
      <c r="AG1779" t="str">
        <f t="shared" si="658"/>
        <v>FL</v>
      </c>
      <c r="AH1779" t="str">
        <f t="shared" si="640"/>
        <v>-</v>
      </c>
      <c r="AI1779" t="str">
        <f t="shared" si="667"/>
        <v>58000.00</v>
      </c>
      <c r="AJ1779" t="str">
        <f>"C55-000-969-7898-6"</f>
        <v>C55-000-969-7898-6</v>
      </c>
      <c r="AK1779" t="str">
        <f>"31713"</f>
        <v>31713</v>
      </c>
      <c r="AL1779">
        <v>7</v>
      </c>
      <c r="AM1779">
        <v>2028</v>
      </c>
      <c r="AN1779">
        <v>611.84</v>
      </c>
      <c r="AQ1779" t="s">
        <v>17537</v>
      </c>
      <c r="AR1779" t="s">
        <v>17537</v>
      </c>
      <c r="AS1779" t="s">
        <v>17537</v>
      </c>
      <c r="AU1779" t="s">
        <v>396</v>
      </c>
      <c r="AV1779">
        <v>2017</v>
      </c>
      <c r="AW1779" t="str">
        <f>"41-3N-28-1250-0136-0000 "</f>
        <v xml:space="preserve">41-3N-28-1250-0136-0000 </v>
      </c>
      <c r="AX1779">
        <v>28468</v>
      </c>
      <c r="AZ1779" t="s">
        <v>17473</v>
      </c>
      <c r="BD1779" t="s">
        <v>2387</v>
      </c>
      <c r="BE1779" t="s">
        <v>393</v>
      </c>
      <c r="BF1779">
        <v>32097</v>
      </c>
      <c r="BG1779" t="s">
        <v>17538</v>
      </c>
      <c r="BH1779" t="s">
        <v>2388</v>
      </c>
      <c r="BI1779">
        <v>-81.5483201279486</v>
      </c>
      <c r="BJ1779">
        <v>30.683597953061899</v>
      </c>
      <c r="BK1779" t="s">
        <v>17211</v>
      </c>
      <c r="BM1779" t="s">
        <v>17212</v>
      </c>
      <c r="BN1779" t="s">
        <v>548</v>
      </c>
      <c r="BO1779">
        <v>32245</v>
      </c>
      <c r="BP1779" t="s">
        <v>404</v>
      </c>
      <c r="BQ1779">
        <v>0</v>
      </c>
      <c r="BR1779" t="s">
        <v>491</v>
      </c>
      <c r="BS1779">
        <v>8001</v>
      </c>
      <c r="BT1779" t="s">
        <v>492</v>
      </c>
      <c r="BW1779">
        <v>10461</v>
      </c>
      <c r="BX1779" t="s">
        <v>407</v>
      </c>
      <c r="BY1779" t="s">
        <v>3019</v>
      </c>
      <c r="CD1779">
        <v>2017</v>
      </c>
      <c r="CE1779">
        <v>58000</v>
      </c>
      <c r="CG1779">
        <v>58000</v>
      </c>
      <c r="CH1779">
        <v>2017</v>
      </c>
      <c r="CI1779">
        <v>58000</v>
      </c>
      <c r="CK1779">
        <v>58000</v>
      </c>
      <c r="CL1779">
        <v>2017</v>
      </c>
      <c r="CM1779">
        <v>536.15</v>
      </c>
      <c r="CN1779" s="1">
        <v>41901</v>
      </c>
      <c r="CO1779">
        <v>2599000</v>
      </c>
      <c r="CZ1779" s="1">
        <v>41901</v>
      </c>
      <c r="DD1779" t="s">
        <v>2387</v>
      </c>
      <c r="DF1779">
        <v>136</v>
      </c>
      <c r="DG1779">
        <v>41</v>
      </c>
      <c r="DJ1779" t="s">
        <v>17267</v>
      </c>
      <c r="DL1779">
        <v>50301</v>
      </c>
      <c r="DM1779" t="s">
        <v>17237</v>
      </c>
      <c r="DO1779" t="s">
        <v>17539</v>
      </c>
      <c r="DP1779">
        <v>0</v>
      </c>
      <c r="DQ1779">
        <v>0</v>
      </c>
      <c r="DR1779" t="s">
        <v>411</v>
      </c>
      <c r="DS1779" t="b">
        <v>1</v>
      </c>
      <c r="DT1779" t="s">
        <v>470</v>
      </c>
      <c r="DU1779" t="s">
        <v>471</v>
      </c>
      <c r="DV1779" t="s">
        <v>472</v>
      </c>
      <c r="DX1779">
        <v>-9999</v>
      </c>
      <c r="DZ1779" t="s">
        <v>447</v>
      </c>
      <c r="EA1779" t="s">
        <v>448</v>
      </c>
      <c r="EB1779" t="s">
        <v>742</v>
      </c>
      <c r="EC1779">
        <v>20101217</v>
      </c>
      <c r="ED1779" t="s">
        <v>474</v>
      </c>
      <c r="EF1779">
        <v>325.5</v>
      </c>
      <c r="EG1779">
        <v>112.2</v>
      </c>
      <c r="EI1779">
        <v>20160407</v>
      </c>
      <c r="EJ1779">
        <v>0</v>
      </c>
      <c r="EK1779">
        <v>0</v>
      </c>
      <c r="EP1779" t="s">
        <v>421</v>
      </c>
      <c r="EQ1779" t="s">
        <v>422</v>
      </c>
      <c r="ER1779">
        <v>2</v>
      </c>
      <c r="ES1779">
        <v>5</v>
      </c>
      <c r="ET1779">
        <v>1208.6400000000001</v>
      </c>
      <c r="EU1779">
        <v>72.930000000000007</v>
      </c>
      <c r="EV1779">
        <v>1281.57</v>
      </c>
      <c r="EW1779" s="2">
        <v>43222</v>
      </c>
      <c r="EX1779" s="1">
        <v>42879</v>
      </c>
      <c r="EY1779">
        <v>2016</v>
      </c>
      <c r="EZ1779">
        <v>604.32000000000005</v>
      </c>
      <c r="FA1779" t="s">
        <v>17540</v>
      </c>
      <c r="FB1779">
        <v>0.25</v>
      </c>
      <c r="FC1779" t="s">
        <v>424</v>
      </c>
      <c r="FD1779" t="s">
        <v>454</v>
      </c>
      <c r="FF1779">
        <v>12</v>
      </c>
      <c r="FG1779">
        <v>11289</v>
      </c>
      <c r="FH1779" t="s">
        <v>787</v>
      </c>
      <c r="FJ1779" s="1">
        <v>42879</v>
      </c>
      <c r="FK1779">
        <v>2016</v>
      </c>
      <c r="FL1779">
        <v>604.32000000000005</v>
      </c>
      <c r="FM1779" t="s">
        <v>17540</v>
      </c>
      <c r="FN1779">
        <v>0.25</v>
      </c>
      <c r="FO1779" t="s">
        <v>424</v>
      </c>
      <c r="FP1779" t="s">
        <v>454</v>
      </c>
      <c r="FR1779">
        <v>12</v>
      </c>
      <c r="FS1779">
        <v>7143904</v>
      </c>
      <c r="FT1779" t="s">
        <v>17541</v>
      </c>
      <c r="FV1779" s="1">
        <v>42515</v>
      </c>
      <c r="FW1779">
        <v>2015</v>
      </c>
      <c r="FX1779">
        <v>274.54000000000002</v>
      </c>
      <c r="FY1779" t="s">
        <v>17542</v>
      </c>
      <c r="FZ1779">
        <v>15.25</v>
      </c>
      <c r="GA1779" t="s">
        <v>424</v>
      </c>
      <c r="GB1779" t="s">
        <v>425</v>
      </c>
      <c r="GC1779" s="1">
        <v>42614</v>
      </c>
      <c r="GD1779">
        <v>4</v>
      </c>
      <c r="GE1779">
        <v>2035919</v>
      </c>
      <c r="GF1779" t="s">
        <v>507</v>
      </c>
      <c r="GH1779" s="1">
        <v>42151</v>
      </c>
      <c r="GI1779">
        <v>2014</v>
      </c>
      <c r="GJ1779">
        <v>275.81</v>
      </c>
      <c r="GK1779" t="s">
        <v>17543</v>
      </c>
      <c r="GL1779">
        <v>0.25</v>
      </c>
      <c r="GM1779" t="s">
        <v>424</v>
      </c>
      <c r="GN1779" t="s">
        <v>425</v>
      </c>
      <c r="GO1779" s="1">
        <v>42611</v>
      </c>
      <c r="GP1779">
        <v>15</v>
      </c>
      <c r="GQ1779">
        <v>4975594</v>
      </c>
      <c r="GR1779" t="s">
        <v>457</v>
      </c>
      <c r="GT1779" s="1">
        <v>42151</v>
      </c>
      <c r="GU1779">
        <v>2014</v>
      </c>
      <c r="GV1779">
        <v>275.81</v>
      </c>
      <c r="GW1779" t="s">
        <v>17543</v>
      </c>
      <c r="GX1779">
        <v>0.25</v>
      </c>
      <c r="GY1779" t="s">
        <v>424</v>
      </c>
      <c r="GZ1779" t="s">
        <v>425</v>
      </c>
      <c r="HB1779">
        <v>22</v>
      </c>
      <c r="HC1779">
        <v>6313828</v>
      </c>
      <c r="HD1779" t="s">
        <v>17544</v>
      </c>
      <c r="HF1779" s="1">
        <v>41052</v>
      </c>
      <c r="HG1779">
        <v>2011</v>
      </c>
      <c r="HH1779">
        <v>426.48</v>
      </c>
      <c r="HI1779" t="s">
        <v>17545</v>
      </c>
      <c r="HJ1779">
        <v>18</v>
      </c>
      <c r="HK1779" t="s">
        <v>424</v>
      </c>
      <c r="HL1779" t="s">
        <v>425</v>
      </c>
      <c r="HM1779" s="1">
        <v>41089</v>
      </c>
      <c r="HN1779">
        <v>1</v>
      </c>
      <c r="HO1779">
        <v>11265</v>
      </c>
      <c r="HP1779" t="s">
        <v>17231</v>
      </c>
      <c r="HR1779" s="1">
        <v>40688</v>
      </c>
      <c r="HS1779">
        <v>2010</v>
      </c>
      <c r="HT1779">
        <v>934.68</v>
      </c>
      <c r="HU1779" t="s">
        <v>17546</v>
      </c>
      <c r="HV1779">
        <v>9</v>
      </c>
      <c r="HW1779" t="s">
        <v>424</v>
      </c>
      <c r="HX1779" t="s">
        <v>425</v>
      </c>
      <c r="HY1779" s="1">
        <v>41089</v>
      </c>
      <c r="HZ1779">
        <v>13</v>
      </c>
      <c r="IA1779">
        <v>11325</v>
      </c>
      <c r="IB1779" t="s">
        <v>2402</v>
      </c>
    </row>
    <row r="1780" spans="1:260" x14ac:dyDescent="0.25">
      <c r="A1780">
        <v>16486787</v>
      </c>
      <c r="B1780">
        <v>1779</v>
      </c>
      <c r="C1780" t="s">
        <v>393</v>
      </c>
      <c r="D1780" t="s">
        <v>394</v>
      </c>
      <c r="F1780" t="str">
        <f>"41-3N-28-1250-0137-0000"</f>
        <v>41-3N-28-1250-0137-0000</v>
      </c>
      <c r="H1780" t="str">
        <f t="shared" si="659"/>
        <v>LIGHTHOUSE POINTE DEV LLC</v>
      </c>
      <c r="I1780" t="str">
        <f t="shared" si="660"/>
        <v>PO BOX 17833</v>
      </c>
      <c r="J1780" t="str">
        <f t="shared" si="661"/>
        <v>JACKSONVILLE FL 32245</v>
      </c>
      <c r="K1780" t="str">
        <f>"VIEUX CARRE"</f>
        <v>VIEUX CARRE</v>
      </c>
      <c r="L1780" t="str">
        <f t="shared" si="637"/>
        <v>YULEE FL 32097</v>
      </c>
      <c r="M1780" t="str">
        <f>"LOT 137 PT OR 1938/1054 LIGHTHOUSE POINTE 2 PB 7/145"</f>
        <v>LOT 137 PT OR 1938/1054 LIGHTHOUSE POINTE 2 PB 7/145</v>
      </c>
      <c r="N1780" t="str">
        <f>""</f>
        <v/>
      </c>
      <c r="O1780" t="str">
        <f>"46930"</f>
        <v>46930</v>
      </c>
      <c r="P1780" t="str">
        <f t="shared" si="628"/>
        <v>2017</v>
      </c>
      <c r="Q1780" t="str">
        <f>""</f>
        <v/>
      </c>
      <c r="R1780" t="str">
        <f t="shared" si="668"/>
        <v>N</v>
      </c>
      <c r="S1780" t="str">
        <f>""</f>
        <v/>
      </c>
      <c r="T1780" t="str">
        <f t="shared" si="662"/>
        <v>536.15</v>
      </c>
      <c r="U1780" t="str">
        <f t="shared" si="663"/>
        <v>17969.00</v>
      </c>
      <c r="V1780" t="str">
        <f t="shared" si="663"/>
        <v>17969.00</v>
      </c>
      <c r="W1780" t="str">
        <f t="shared" si="630"/>
        <v>2017</v>
      </c>
      <c r="X1780" t="str">
        <f t="shared" si="664"/>
        <v>20.57</v>
      </c>
      <c r="Y1780" t="str">
        <f t="shared" si="665"/>
        <v>584.23</v>
      </c>
      <c r="Z1780" t="str">
        <f>""</f>
        <v/>
      </c>
      <c r="AA1780" t="str">
        <f t="shared" si="666"/>
        <v>58000.00</v>
      </c>
      <c r="AB1780" t="str">
        <f t="shared" si="657"/>
        <v>Residential</v>
      </c>
      <c r="AC1780" t="str">
        <f t="shared" si="643"/>
        <v>0</v>
      </c>
      <c r="AD1780" t="str">
        <f>""</f>
        <v/>
      </c>
      <c r="AE1780" t="str">
        <f>""</f>
        <v/>
      </c>
      <c r="AF1780" t="str">
        <f t="shared" si="636"/>
        <v>000</v>
      </c>
      <c r="AG1780" t="str">
        <f t="shared" si="658"/>
        <v>FL</v>
      </c>
      <c r="AH1780" t="str">
        <f t="shared" si="640"/>
        <v>-</v>
      </c>
      <c r="AI1780" t="str">
        <f t="shared" si="667"/>
        <v>58000.00</v>
      </c>
      <c r="AJ1780" t="str">
        <f>"C55-000-969-7899-4"</f>
        <v>C55-000-969-7899-4</v>
      </c>
      <c r="AK1780" t="str">
        <f>"31714"</f>
        <v>31714</v>
      </c>
      <c r="AL1780">
        <v>7</v>
      </c>
      <c r="AM1780">
        <v>2029</v>
      </c>
      <c r="AN1780">
        <v>611.84</v>
      </c>
      <c r="AQ1780" t="s">
        <v>17547</v>
      </c>
      <c r="AR1780" t="s">
        <v>17547</v>
      </c>
      <c r="AS1780" t="s">
        <v>17547</v>
      </c>
      <c r="AU1780" t="s">
        <v>396</v>
      </c>
      <c r="AV1780">
        <v>2017</v>
      </c>
      <c r="AW1780" t="str">
        <f>"41-3N-28-1250-0137-0000 "</f>
        <v xml:space="preserve">41-3N-28-1250-0137-0000 </v>
      </c>
      <c r="AZ1780" t="s">
        <v>17473</v>
      </c>
      <c r="BD1780" t="s">
        <v>2387</v>
      </c>
      <c r="BE1780" t="s">
        <v>393</v>
      </c>
      <c r="BF1780">
        <v>32097</v>
      </c>
      <c r="BG1780" t="s">
        <v>17473</v>
      </c>
      <c r="BH1780" t="s">
        <v>2388</v>
      </c>
      <c r="BI1780">
        <v>-81.548620084675605</v>
      </c>
      <c r="BJ1780">
        <v>30.683620000310299</v>
      </c>
      <c r="BK1780" t="s">
        <v>17211</v>
      </c>
      <c r="BM1780" t="s">
        <v>17212</v>
      </c>
      <c r="BN1780" t="s">
        <v>548</v>
      </c>
      <c r="BO1780">
        <v>32245</v>
      </c>
      <c r="BP1780" t="s">
        <v>404</v>
      </c>
      <c r="BQ1780">
        <v>0</v>
      </c>
      <c r="BR1780" t="s">
        <v>491</v>
      </c>
      <c r="BS1780">
        <v>8001</v>
      </c>
      <c r="BT1780" t="s">
        <v>492</v>
      </c>
      <c r="BW1780">
        <v>9677</v>
      </c>
      <c r="BX1780" t="s">
        <v>407</v>
      </c>
      <c r="BY1780" t="s">
        <v>3019</v>
      </c>
      <c r="CD1780">
        <v>2017</v>
      </c>
      <c r="CE1780">
        <v>58000</v>
      </c>
      <c r="CG1780">
        <v>58000</v>
      </c>
      <c r="CH1780">
        <v>2017</v>
      </c>
      <c r="CI1780">
        <v>58000</v>
      </c>
      <c r="CK1780">
        <v>58000</v>
      </c>
      <c r="CL1780">
        <v>2017</v>
      </c>
      <c r="CM1780">
        <v>536.15</v>
      </c>
      <c r="CN1780" s="1">
        <v>41901</v>
      </c>
      <c r="CO1780">
        <v>2599000</v>
      </c>
      <c r="CZ1780" s="1">
        <v>41901</v>
      </c>
      <c r="DD1780" t="s">
        <v>2387</v>
      </c>
      <c r="DF1780">
        <v>137</v>
      </c>
      <c r="DG1780">
        <v>41</v>
      </c>
      <c r="DJ1780" t="s">
        <v>17267</v>
      </c>
      <c r="DL1780">
        <v>50301</v>
      </c>
      <c r="DM1780" t="s">
        <v>17237</v>
      </c>
      <c r="DO1780" t="s">
        <v>17548</v>
      </c>
      <c r="DP1780">
        <v>0</v>
      </c>
      <c r="DQ1780">
        <v>0</v>
      </c>
      <c r="DR1780" t="s">
        <v>411</v>
      </c>
      <c r="DS1780" t="b">
        <v>1</v>
      </c>
      <c r="DT1780" t="s">
        <v>470</v>
      </c>
      <c r="DU1780" t="s">
        <v>471</v>
      </c>
      <c r="DV1780" t="s">
        <v>472</v>
      </c>
      <c r="DX1780">
        <v>-9999</v>
      </c>
      <c r="DZ1780" t="s">
        <v>447</v>
      </c>
      <c r="EA1780" t="s">
        <v>448</v>
      </c>
      <c r="EB1780" t="s">
        <v>742</v>
      </c>
      <c r="EC1780">
        <v>20101217</v>
      </c>
      <c r="ED1780" t="s">
        <v>474</v>
      </c>
      <c r="EF1780">
        <v>346.2</v>
      </c>
      <c r="EG1780">
        <v>131</v>
      </c>
      <c r="EI1780">
        <v>20160407</v>
      </c>
      <c r="EJ1780">
        <v>0</v>
      </c>
      <c r="EK1780">
        <v>0</v>
      </c>
      <c r="EP1780" t="s">
        <v>421</v>
      </c>
      <c r="EQ1780" t="s">
        <v>422</v>
      </c>
      <c r="ER1780">
        <v>2</v>
      </c>
      <c r="ES1780">
        <v>5</v>
      </c>
      <c r="ET1780">
        <v>1208.6400000000001</v>
      </c>
      <c r="EU1780">
        <v>72.930000000000007</v>
      </c>
      <c r="EV1780">
        <v>1281.57</v>
      </c>
      <c r="EW1780" s="2">
        <v>43222</v>
      </c>
      <c r="EX1780" s="1">
        <v>42879</v>
      </c>
      <c r="EY1780">
        <v>2016</v>
      </c>
      <c r="EZ1780">
        <v>604.32000000000005</v>
      </c>
      <c r="FA1780" t="s">
        <v>17549</v>
      </c>
      <c r="FB1780">
        <v>0.25</v>
      </c>
      <c r="FC1780" t="s">
        <v>424</v>
      </c>
      <c r="FD1780" t="s">
        <v>454</v>
      </c>
      <c r="FF1780">
        <v>12</v>
      </c>
      <c r="FG1780">
        <v>11289</v>
      </c>
      <c r="FH1780" t="s">
        <v>787</v>
      </c>
      <c r="FJ1780" s="1">
        <v>42879</v>
      </c>
      <c r="FK1780">
        <v>2016</v>
      </c>
      <c r="FL1780">
        <v>604.32000000000005</v>
      </c>
      <c r="FM1780" t="s">
        <v>17549</v>
      </c>
      <c r="FN1780">
        <v>0.25</v>
      </c>
      <c r="FO1780" t="s">
        <v>424</v>
      </c>
      <c r="FP1780" t="s">
        <v>454</v>
      </c>
      <c r="FR1780">
        <v>12</v>
      </c>
      <c r="FS1780">
        <v>7328921</v>
      </c>
      <c r="FT1780" t="s">
        <v>17550</v>
      </c>
      <c r="FV1780" s="1">
        <v>42515</v>
      </c>
      <c r="FW1780">
        <v>2015</v>
      </c>
      <c r="FX1780">
        <v>274.54000000000002</v>
      </c>
      <c r="FY1780" t="s">
        <v>17551</v>
      </c>
      <c r="FZ1780">
        <v>15.25</v>
      </c>
      <c r="GA1780" t="s">
        <v>424</v>
      </c>
      <c r="GB1780" t="s">
        <v>425</v>
      </c>
      <c r="GC1780" s="1">
        <v>42614</v>
      </c>
      <c r="GD1780">
        <v>4</v>
      </c>
      <c r="GE1780">
        <v>2035919</v>
      </c>
      <c r="GF1780" t="s">
        <v>507</v>
      </c>
      <c r="GH1780" s="1">
        <v>42151</v>
      </c>
      <c r="GI1780">
        <v>2014</v>
      </c>
      <c r="GJ1780">
        <v>275.81</v>
      </c>
      <c r="GK1780" t="s">
        <v>17552</v>
      </c>
      <c r="GL1780">
        <v>0.25</v>
      </c>
      <c r="GM1780" t="s">
        <v>424</v>
      </c>
      <c r="GN1780" t="s">
        <v>425</v>
      </c>
      <c r="GO1780" s="1">
        <v>42611</v>
      </c>
      <c r="GP1780">
        <v>15</v>
      </c>
      <c r="GQ1780">
        <v>4975594</v>
      </c>
      <c r="GR1780" t="s">
        <v>457</v>
      </c>
      <c r="GT1780" s="1">
        <v>42151</v>
      </c>
      <c r="GU1780">
        <v>2014</v>
      </c>
      <c r="GV1780">
        <v>275.81</v>
      </c>
      <c r="GW1780" t="s">
        <v>17552</v>
      </c>
      <c r="GX1780">
        <v>0.25</v>
      </c>
      <c r="GY1780" t="s">
        <v>424</v>
      </c>
      <c r="GZ1780" t="s">
        <v>425</v>
      </c>
      <c r="HB1780">
        <v>22</v>
      </c>
      <c r="HC1780">
        <v>6496013</v>
      </c>
      <c r="HD1780" t="s">
        <v>17553</v>
      </c>
      <c r="HF1780" s="1">
        <v>41052</v>
      </c>
      <c r="HG1780">
        <v>2011</v>
      </c>
      <c r="HH1780">
        <v>426.48</v>
      </c>
      <c r="HI1780" t="s">
        <v>17554</v>
      </c>
      <c r="HJ1780">
        <v>18</v>
      </c>
      <c r="HK1780" t="s">
        <v>424</v>
      </c>
      <c r="HL1780" t="s">
        <v>425</v>
      </c>
      <c r="HM1780" s="1">
        <v>41089</v>
      </c>
      <c r="HN1780">
        <v>1</v>
      </c>
      <c r="HO1780">
        <v>11265</v>
      </c>
      <c r="HP1780" t="s">
        <v>17231</v>
      </c>
      <c r="HR1780" s="1">
        <v>40688</v>
      </c>
      <c r="HS1780">
        <v>2010</v>
      </c>
      <c r="HT1780">
        <v>934.68</v>
      </c>
      <c r="HU1780" t="s">
        <v>17555</v>
      </c>
      <c r="HV1780">
        <v>9</v>
      </c>
      <c r="HW1780" t="s">
        <v>424</v>
      </c>
      <c r="HX1780" t="s">
        <v>425</v>
      </c>
      <c r="HY1780" s="1">
        <v>41089</v>
      </c>
      <c r="HZ1780">
        <v>13</v>
      </c>
      <c r="IA1780">
        <v>11325</v>
      </c>
      <c r="IB1780" t="s">
        <v>2402</v>
      </c>
    </row>
    <row r="1781" spans="1:260" x14ac:dyDescent="0.25">
      <c r="A1781">
        <v>16486788</v>
      </c>
      <c r="B1781">
        <v>1780</v>
      </c>
      <c r="C1781" t="s">
        <v>393</v>
      </c>
      <c r="D1781" t="s">
        <v>394</v>
      </c>
      <c r="F1781" t="str">
        <f>"41-3N-28-1250-0138-0000"</f>
        <v>41-3N-28-1250-0138-0000</v>
      </c>
      <c r="H1781" t="str">
        <f>"TREVETT BUILDING SYSTEMS OF FLORIDA LLC"</f>
        <v>TREVETT BUILDING SYSTEMS OF FLORIDA LLC</v>
      </c>
      <c r="I1781" t="str">
        <f t="shared" si="660"/>
        <v>PO BOX 17833</v>
      </c>
      <c r="J1781" t="str">
        <f t="shared" si="661"/>
        <v>JACKSONVILLE FL 32245</v>
      </c>
      <c r="K1781" t="str">
        <f>"VIEUX CARRE"</f>
        <v>VIEUX CARRE</v>
      </c>
      <c r="L1781" t="str">
        <f t="shared" si="637"/>
        <v>YULEE FL 32097</v>
      </c>
      <c r="M1781" t="str">
        <f>"LOT 138 IN OR 1950/1356 LIGHTHOUSE POINTE 2 PB 7/145"</f>
        <v>LOT 138 IN OR 1950/1356 LIGHTHOUSE POINTE 2 PB 7/145</v>
      </c>
      <c r="N1781" t="str">
        <f>""</f>
        <v/>
      </c>
      <c r="O1781" t="str">
        <f>"46931"</f>
        <v>46931</v>
      </c>
      <c r="P1781" t="str">
        <f t="shared" si="628"/>
        <v>2017</v>
      </c>
      <c r="Q1781" t="str">
        <f>""</f>
        <v/>
      </c>
      <c r="R1781" t="str">
        <f t="shared" si="668"/>
        <v>N</v>
      </c>
      <c r="S1781" t="str">
        <f>""</f>
        <v/>
      </c>
      <c r="T1781" t="str">
        <f t="shared" si="662"/>
        <v>536.15</v>
      </c>
      <c r="U1781" t="str">
        <f t="shared" si="663"/>
        <v>17969.00</v>
      </c>
      <c r="V1781" t="str">
        <f t="shared" si="663"/>
        <v>17969.00</v>
      </c>
      <c r="W1781" t="str">
        <f t="shared" si="630"/>
        <v>2017</v>
      </c>
      <c r="X1781" t="str">
        <f>"6.00"</f>
        <v>6.00</v>
      </c>
      <c r="Y1781" t="str">
        <f t="shared" si="665"/>
        <v>584.23</v>
      </c>
      <c r="Z1781" t="str">
        <f>""</f>
        <v/>
      </c>
      <c r="AA1781" t="str">
        <f t="shared" si="666"/>
        <v>58000.00</v>
      </c>
      <c r="AB1781" t="str">
        <f t="shared" si="657"/>
        <v>Residential</v>
      </c>
      <c r="AC1781" t="str">
        <f t="shared" si="643"/>
        <v>0</v>
      </c>
      <c r="AD1781" t="str">
        <f>""</f>
        <v/>
      </c>
      <c r="AE1781" t="str">
        <f>""</f>
        <v/>
      </c>
      <c r="AF1781" t="str">
        <f t="shared" si="636"/>
        <v>000</v>
      </c>
      <c r="AG1781" t="str">
        <f t="shared" si="658"/>
        <v>FL</v>
      </c>
      <c r="AH1781" t="str">
        <f t="shared" si="640"/>
        <v>-</v>
      </c>
      <c r="AI1781" t="str">
        <f t="shared" si="667"/>
        <v>58000.00</v>
      </c>
      <c r="AJ1781" t="str">
        <f>"C55-000-969-7900-0"</f>
        <v>C55-000-969-7900-0</v>
      </c>
      <c r="AK1781" t="str">
        <f>"31715"</f>
        <v>31715</v>
      </c>
      <c r="AL1781">
        <v>7</v>
      </c>
      <c r="AM1781">
        <v>2030</v>
      </c>
      <c r="AN1781">
        <v>611.89</v>
      </c>
      <c r="AQ1781" t="s">
        <v>17556</v>
      </c>
      <c r="AR1781" t="s">
        <v>17556</v>
      </c>
      <c r="AS1781" t="s">
        <v>17556</v>
      </c>
      <c r="AU1781" t="s">
        <v>396</v>
      </c>
      <c r="AV1781">
        <v>2017</v>
      </c>
      <c r="AW1781" t="str">
        <f>"41-3N-28-1250-0138-0000 "</f>
        <v xml:space="preserve">41-3N-28-1250-0138-0000 </v>
      </c>
      <c r="AZ1781" t="s">
        <v>17473</v>
      </c>
      <c r="BD1781" t="s">
        <v>2387</v>
      </c>
      <c r="BE1781" t="s">
        <v>393</v>
      </c>
      <c r="BF1781">
        <v>32097</v>
      </c>
      <c r="BG1781" t="s">
        <v>17473</v>
      </c>
      <c r="BH1781" t="s">
        <v>2388</v>
      </c>
      <c r="BI1781">
        <v>-81.548942348407394</v>
      </c>
      <c r="BJ1781">
        <v>30.6838653440565</v>
      </c>
      <c r="BK1781" t="s">
        <v>17249</v>
      </c>
      <c r="BM1781" t="s">
        <v>17212</v>
      </c>
      <c r="BN1781" t="s">
        <v>548</v>
      </c>
      <c r="BO1781">
        <v>32245</v>
      </c>
      <c r="BP1781" t="s">
        <v>404</v>
      </c>
      <c r="BQ1781">
        <v>0</v>
      </c>
      <c r="BR1781" t="s">
        <v>491</v>
      </c>
      <c r="BS1781">
        <v>8001</v>
      </c>
      <c r="BT1781" t="s">
        <v>492</v>
      </c>
      <c r="BW1781">
        <v>13745</v>
      </c>
      <c r="BX1781" t="s">
        <v>407</v>
      </c>
      <c r="BY1781" t="s">
        <v>3019</v>
      </c>
      <c r="CD1781">
        <v>2017</v>
      </c>
      <c r="CE1781">
        <v>58000</v>
      </c>
      <c r="CG1781">
        <v>58000</v>
      </c>
      <c r="CH1781">
        <v>2017</v>
      </c>
      <c r="CI1781">
        <v>58000</v>
      </c>
      <c r="CK1781">
        <v>58000</v>
      </c>
      <c r="CL1781">
        <v>2017</v>
      </c>
      <c r="CM1781">
        <v>536.15</v>
      </c>
      <c r="CN1781" s="1">
        <v>40822</v>
      </c>
      <c r="CO1781">
        <v>13800</v>
      </c>
      <c r="CV1781">
        <v>0</v>
      </c>
      <c r="CZ1781" s="1">
        <v>40822</v>
      </c>
      <c r="DA1781">
        <v>0</v>
      </c>
      <c r="DD1781" t="s">
        <v>2387</v>
      </c>
      <c r="DF1781">
        <v>138</v>
      </c>
      <c r="DG1781">
        <v>41</v>
      </c>
      <c r="DJ1781" t="s">
        <v>17267</v>
      </c>
      <c r="DL1781">
        <v>50301</v>
      </c>
      <c r="DM1781" t="s">
        <v>17237</v>
      </c>
      <c r="DO1781" t="s">
        <v>17557</v>
      </c>
      <c r="DP1781">
        <v>0</v>
      </c>
      <c r="DQ1781">
        <v>0</v>
      </c>
      <c r="DR1781" t="s">
        <v>411</v>
      </c>
      <c r="EP1781" t="s">
        <v>421</v>
      </c>
      <c r="EQ1781" t="s">
        <v>422</v>
      </c>
      <c r="ER1781">
        <v>2</v>
      </c>
      <c r="ES1781">
        <v>0</v>
      </c>
      <c r="ET1781">
        <v>1208.6400000000001</v>
      </c>
      <c r="EU1781">
        <v>72.930000000000007</v>
      </c>
      <c r="EV1781">
        <v>1281.57</v>
      </c>
      <c r="EW1781" s="2">
        <v>43222</v>
      </c>
      <c r="EX1781" s="1">
        <v>42879</v>
      </c>
      <c r="EY1781">
        <v>2016</v>
      </c>
      <c r="EZ1781">
        <v>604.32000000000005</v>
      </c>
      <c r="FA1781" t="s">
        <v>17558</v>
      </c>
      <c r="FB1781">
        <v>0.25</v>
      </c>
      <c r="FC1781" t="s">
        <v>424</v>
      </c>
      <c r="FD1781" t="s">
        <v>454</v>
      </c>
      <c r="FF1781">
        <v>12</v>
      </c>
      <c r="FG1781">
        <v>11289</v>
      </c>
      <c r="FH1781" t="s">
        <v>787</v>
      </c>
      <c r="FJ1781" s="1">
        <v>42879</v>
      </c>
      <c r="FK1781">
        <v>2016</v>
      </c>
      <c r="FL1781">
        <v>604.32000000000005</v>
      </c>
      <c r="FM1781" t="s">
        <v>17558</v>
      </c>
      <c r="FN1781">
        <v>0.25</v>
      </c>
      <c r="FO1781" t="s">
        <v>424</v>
      </c>
      <c r="FP1781" t="s">
        <v>454</v>
      </c>
      <c r="FR1781">
        <v>12</v>
      </c>
      <c r="FS1781">
        <v>7154665</v>
      </c>
      <c r="FT1781" t="s">
        <v>17559</v>
      </c>
    </row>
    <row r="1782" spans="1:260" x14ac:dyDescent="0.25">
      <c r="A1782">
        <v>16486789</v>
      </c>
      <c r="B1782">
        <v>1781</v>
      </c>
      <c r="C1782" t="s">
        <v>393</v>
      </c>
      <c r="D1782" t="s">
        <v>394</v>
      </c>
      <c r="F1782" t="str">
        <f>"41-3N-28-1250-0139-0000"</f>
        <v>41-3N-28-1250-0139-0000</v>
      </c>
      <c r="H1782" t="str">
        <f>"LIGHTHOUSE POINTE DEV LLC"</f>
        <v>LIGHTHOUSE POINTE DEV LLC</v>
      </c>
      <c r="I1782" t="str">
        <f t="shared" si="660"/>
        <v>PO BOX 17833</v>
      </c>
      <c r="J1782" t="str">
        <f t="shared" si="661"/>
        <v>JACKSONVILLE FL 32245</v>
      </c>
      <c r="K1782" t="str">
        <f>"28576 VIEUX CARRE"</f>
        <v>28576 VIEUX CARRE</v>
      </c>
      <c r="L1782" t="str">
        <f t="shared" si="637"/>
        <v>YULEE FL 32097</v>
      </c>
      <c r="M1782" t="str">
        <f>"LOT 139 PT OR 1938/1061 LIGHTHOUSE POINTE 2 PB 7/145"</f>
        <v>LOT 139 PT OR 1938/1061 LIGHTHOUSE POINTE 2 PB 7/145</v>
      </c>
      <c r="N1782" t="str">
        <f>""</f>
        <v/>
      </c>
      <c r="O1782" t="str">
        <f>"46932"</f>
        <v>46932</v>
      </c>
      <c r="P1782" t="str">
        <f t="shared" si="628"/>
        <v>2017</v>
      </c>
      <c r="Q1782" t="str">
        <f>""</f>
        <v/>
      </c>
      <c r="R1782" t="str">
        <f t="shared" si="668"/>
        <v>N</v>
      </c>
      <c r="S1782" t="str">
        <f>""</f>
        <v/>
      </c>
      <c r="T1782" t="str">
        <f t="shared" si="662"/>
        <v>536.15</v>
      </c>
      <c r="U1782" t="str">
        <f t="shared" si="663"/>
        <v>17969.00</v>
      </c>
      <c r="V1782" t="str">
        <f t="shared" si="663"/>
        <v>17969.00</v>
      </c>
      <c r="W1782" t="str">
        <f t="shared" si="630"/>
        <v>2017</v>
      </c>
      <c r="X1782" t="str">
        <f>"16.20"</f>
        <v>16.20</v>
      </c>
      <c r="Y1782" t="str">
        <f t="shared" si="665"/>
        <v>584.23</v>
      </c>
      <c r="Z1782" t="str">
        <f>""</f>
        <v/>
      </c>
      <c r="AA1782" t="str">
        <f t="shared" si="666"/>
        <v>58000.00</v>
      </c>
      <c r="AB1782" t="str">
        <f t="shared" si="657"/>
        <v>Residential</v>
      </c>
      <c r="AC1782" t="str">
        <f t="shared" si="643"/>
        <v>0</v>
      </c>
      <c r="AD1782" t="str">
        <f>""</f>
        <v/>
      </c>
      <c r="AE1782" t="str">
        <f>""</f>
        <v/>
      </c>
      <c r="AF1782" t="str">
        <f t="shared" si="636"/>
        <v>000</v>
      </c>
      <c r="AG1782" t="str">
        <f t="shared" si="658"/>
        <v>FL</v>
      </c>
      <c r="AH1782" t="str">
        <f t="shared" si="640"/>
        <v>-</v>
      </c>
      <c r="AI1782" t="str">
        <f t="shared" si="667"/>
        <v>58000.00</v>
      </c>
      <c r="AJ1782" t="str">
        <f>"C55-000-969-7901-8"</f>
        <v>C55-000-969-7901-8</v>
      </c>
      <c r="AK1782" t="str">
        <f>"31716"</f>
        <v>31716</v>
      </c>
      <c r="AL1782">
        <v>7</v>
      </c>
      <c r="AM1782">
        <v>2031</v>
      </c>
      <c r="AN1782">
        <v>611.84</v>
      </c>
      <c r="AQ1782" t="s">
        <v>17560</v>
      </c>
      <c r="AR1782" t="s">
        <v>17560</v>
      </c>
      <c r="AS1782" t="s">
        <v>17560</v>
      </c>
      <c r="AU1782" t="s">
        <v>396</v>
      </c>
      <c r="AV1782">
        <v>2017</v>
      </c>
      <c r="AW1782" t="str">
        <f>"41-3N-28-1250-0139-0000 "</f>
        <v xml:space="preserve">41-3N-28-1250-0139-0000 </v>
      </c>
      <c r="AX1782">
        <v>28576</v>
      </c>
      <c r="AZ1782" t="s">
        <v>17473</v>
      </c>
      <c r="BD1782" t="s">
        <v>2387</v>
      </c>
      <c r="BE1782" t="s">
        <v>393</v>
      </c>
      <c r="BF1782">
        <v>32097</v>
      </c>
      <c r="BG1782" t="s">
        <v>17561</v>
      </c>
      <c r="BH1782" t="s">
        <v>2388</v>
      </c>
      <c r="BI1782">
        <v>-81.548991064984904</v>
      </c>
      <c r="BJ1782">
        <v>30.684147166481601</v>
      </c>
      <c r="BK1782" t="s">
        <v>17211</v>
      </c>
      <c r="BM1782" t="s">
        <v>17212</v>
      </c>
      <c r="BN1782" t="s">
        <v>548</v>
      </c>
      <c r="BO1782">
        <v>32245</v>
      </c>
      <c r="BP1782" t="s">
        <v>404</v>
      </c>
      <c r="BQ1782">
        <v>0</v>
      </c>
      <c r="BR1782" t="s">
        <v>491</v>
      </c>
      <c r="BS1782">
        <v>8001</v>
      </c>
      <c r="BT1782" t="s">
        <v>492</v>
      </c>
      <c r="BW1782">
        <v>12300</v>
      </c>
      <c r="BX1782" t="s">
        <v>407</v>
      </c>
      <c r="BY1782" t="s">
        <v>3019</v>
      </c>
      <c r="CD1782">
        <v>2017</v>
      </c>
      <c r="CE1782">
        <v>58000</v>
      </c>
      <c r="CG1782">
        <v>58000</v>
      </c>
      <c r="CH1782">
        <v>2017</v>
      </c>
      <c r="CI1782">
        <v>58000</v>
      </c>
      <c r="CK1782">
        <v>58000</v>
      </c>
      <c r="CL1782">
        <v>2017</v>
      </c>
      <c r="CM1782">
        <v>536.15</v>
      </c>
      <c r="CN1782" s="1">
        <v>38726</v>
      </c>
      <c r="CO1782">
        <v>337500</v>
      </c>
      <c r="CV1782">
        <v>307134</v>
      </c>
      <c r="CX1782" t="s">
        <v>675</v>
      </c>
      <c r="CZ1782" s="1">
        <v>38726</v>
      </c>
      <c r="DA1782">
        <v>0</v>
      </c>
      <c r="DD1782" t="s">
        <v>2387</v>
      </c>
      <c r="DF1782">
        <v>139</v>
      </c>
      <c r="DG1782">
        <v>41</v>
      </c>
      <c r="DJ1782" t="s">
        <v>17267</v>
      </c>
      <c r="DL1782">
        <v>50301</v>
      </c>
      <c r="DM1782" t="s">
        <v>17237</v>
      </c>
      <c r="DO1782" t="s">
        <v>17562</v>
      </c>
      <c r="DP1782">
        <v>0</v>
      </c>
      <c r="DQ1782">
        <v>0</v>
      </c>
      <c r="DR1782" t="s">
        <v>411</v>
      </c>
      <c r="DS1782" t="b">
        <v>1</v>
      </c>
      <c r="DT1782" t="s">
        <v>470</v>
      </c>
      <c r="DU1782" t="s">
        <v>471</v>
      </c>
      <c r="DV1782" t="s">
        <v>472</v>
      </c>
      <c r="DX1782">
        <v>-9999</v>
      </c>
      <c r="DZ1782" t="s">
        <v>447</v>
      </c>
      <c r="EA1782" t="s">
        <v>448</v>
      </c>
      <c r="EB1782" t="s">
        <v>742</v>
      </c>
      <c r="EC1782">
        <v>20101217</v>
      </c>
      <c r="ED1782" t="s">
        <v>474</v>
      </c>
      <c r="EF1782">
        <v>559</v>
      </c>
      <c r="EG1782">
        <v>147.19999999999999</v>
      </c>
      <c r="EI1782">
        <v>20160407</v>
      </c>
      <c r="EJ1782">
        <v>0</v>
      </c>
      <c r="EK1782">
        <v>0</v>
      </c>
      <c r="EP1782" t="s">
        <v>421</v>
      </c>
      <c r="EQ1782" t="s">
        <v>452</v>
      </c>
      <c r="ER1782">
        <v>2</v>
      </c>
      <c r="ES1782">
        <v>4</v>
      </c>
      <c r="ET1782">
        <v>1208.6400000000001</v>
      </c>
      <c r="EU1782">
        <v>72.930000000000007</v>
      </c>
      <c r="EV1782">
        <v>1281.57</v>
      </c>
      <c r="EW1782" s="2">
        <v>43222</v>
      </c>
      <c r="EX1782" s="1">
        <v>42879</v>
      </c>
      <c r="EY1782">
        <v>2016</v>
      </c>
      <c r="EZ1782">
        <v>604.32000000000005</v>
      </c>
      <c r="FA1782" t="s">
        <v>17563</v>
      </c>
      <c r="FB1782">
        <v>0.25</v>
      </c>
      <c r="FC1782" t="s">
        <v>424</v>
      </c>
      <c r="FD1782" t="s">
        <v>454</v>
      </c>
      <c r="FF1782">
        <v>12</v>
      </c>
      <c r="FG1782">
        <v>11289</v>
      </c>
      <c r="FH1782" t="s">
        <v>787</v>
      </c>
      <c r="FJ1782" s="1">
        <v>42879</v>
      </c>
      <c r="FK1782">
        <v>2016</v>
      </c>
      <c r="FL1782">
        <v>604.32000000000005</v>
      </c>
      <c r="FM1782" t="s">
        <v>17563</v>
      </c>
      <c r="FN1782">
        <v>0.25</v>
      </c>
      <c r="FO1782" t="s">
        <v>424</v>
      </c>
      <c r="FP1782" t="s">
        <v>454</v>
      </c>
      <c r="FR1782">
        <v>12</v>
      </c>
      <c r="FS1782">
        <v>7281824</v>
      </c>
      <c r="FT1782" t="s">
        <v>17564</v>
      </c>
      <c r="FV1782" s="1">
        <v>42515</v>
      </c>
      <c r="FW1782">
        <v>2015</v>
      </c>
      <c r="FX1782">
        <v>274.54000000000002</v>
      </c>
      <c r="FY1782" t="s">
        <v>17565</v>
      </c>
      <c r="FZ1782">
        <v>15.25</v>
      </c>
      <c r="GA1782" t="s">
        <v>424</v>
      </c>
      <c r="GB1782" t="s">
        <v>425</v>
      </c>
      <c r="GC1782" s="1">
        <v>42614</v>
      </c>
      <c r="GD1782">
        <v>4</v>
      </c>
      <c r="GE1782">
        <v>2035919</v>
      </c>
      <c r="GF1782" t="s">
        <v>507</v>
      </c>
      <c r="GH1782" s="1">
        <v>42151</v>
      </c>
      <c r="GI1782">
        <v>2014</v>
      </c>
      <c r="GJ1782">
        <v>275.81</v>
      </c>
      <c r="GK1782" t="s">
        <v>17566</v>
      </c>
      <c r="GL1782">
        <v>0.25</v>
      </c>
      <c r="GM1782" t="s">
        <v>424</v>
      </c>
      <c r="GN1782" t="s">
        <v>425</v>
      </c>
      <c r="GO1782" s="1">
        <v>42611</v>
      </c>
      <c r="GP1782">
        <v>15</v>
      </c>
      <c r="GQ1782">
        <v>4975594</v>
      </c>
      <c r="GR1782" t="s">
        <v>457</v>
      </c>
      <c r="GT1782" s="1">
        <v>42151</v>
      </c>
      <c r="GU1782">
        <v>2014</v>
      </c>
      <c r="GV1782">
        <v>275.81</v>
      </c>
      <c r="GW1782" t="s">
        <v>17566</v>
      </c>
      <c r="GX1782">
        <v>0.25</v>
      </c>
      <c r="GY1782" t="s">
        <v>424</v>
      </c>
      <c r="GZ1782" t="s">
        <v>425</v>
      </c>
      <c r="HB1782">
        <v>22</v>
      </c>
      <c r="HC1782">
        <v>6434236</v>
      </c>
      <c r="HD1782" t="s">
        <v>17567</v>
      </c>
      <c r="HF1782" s="1">
        <v>40688</v>
      </c>
      <c r="HG1782">
        <v>2010</v>
      </c>
      <c r="HH1782">
        <v>934.68</v>
      </c>
      <c r="HI1782" t="s">
        <v>17568</v>
      </c>
      <c r="HJ1782">
        <v>6</v>
      </c>
      <c r="HK1782" t="s">
        <v>424</v>
      </c>
      <c r="HL1782" t="s">
        <v>425</v>
      </c>
      <c r="HM1782" s="1">
        <v>41050</v>
      </c>
      <c r="HN1782">
        <v>12</v>
      </c>
      <c r="HO1782">
        <v>105</v>
      </c>
      <c r="HP1782" t="s">
        <v>946</v>
      </c>
      <c r="HQ1782" t="s">
        <v>458</v>
      </c>
    </row>
    <row r="1783" spans="1:260" x14ac:dyDescent="0.25">
      <c r="A1783">
        <v>16486790</v>
      </c>
      <c r="B1783">
        <v>1782</v>
      </c>
      <c r="C1783" t="s">
        <v>393</v>
      </c>
      <c r="D1783" t="s">
        <v>394</v>
      </c>
      <c r="F1783" t="str">
        <f>"41-3N-28-1250-0140-0000"</f>
        <v>41-3N-28-1250-0140-0000</v>
      </c>
      <c r="H1783" t="str">
        <f>"LIGHTHOUSE POINTE DEV LLC"</f>
        <v>LIGHTHOUSE POINTE DEV LLC</v>
      </c>
      <c r="I1783" t="str">
        <f t="shared" si="660"/>
        <v>PO BOX 17833</v>
      </c>
      <c r="J1783" t="str">
        <f t="shared" si="661"/>
        <v>JACKSONVILLE FL 32245</v>
      </c>
      <c r="K1783" t="str">
        <f>"28634 VIEUX CARRE"</f>
        <v>28634 VIEUX CARRE</v>
      </c>
      <c r="L1783" t="str">
        <f t="shared" si="637"/>
        <v>YULEE FL 32097</v>
      </c>
      <c r="M1783" t="str">
        <f>"LOT 140 PT OR 1938/1054 LIGHTHOUSE POINTE 2 PB 7/145"</f>
        <v>LOT 140 PT OR 1938/1054 LIGHTHOUSE POINTE 2 PB 7/145</v>
      </c>
      <c r="N1783" t="str">
        <f>""</f>
        <v/>
      </c>
      <c r="O1783" t="str">
        <f>"46933"</f>
        <v>46933</v>
      </c>
      <c r="P1783" t="str">
        <f t="shared" si="628"/>
        <v>2017</v>
      </c>
      <c r="Q1783" t="str">
        <f>""</f>
        <v/>
      </c>
      <c r="R1783" t="str">
        <f t="shared" si="668"/>
        <v>N</v>
      </c>
      <c r="S1783" t="str">
        <f>""</f>
        <v/>
      </c>
      <c r="T1783" t="str">
        <f t="shared" si="662"/>
        <v>536.15</v>
      </c>
      <c r="U1783" t="str">
        <f t="shared" si="663"/>
        <v>17969.00</v>
      </c>
      <c r="V1783" t="str">
        <f t="shared" si="663"/>
        <v>17969.00</v>
      </c>
      <c r="W1783" t="str">
        <f t="shared" si="630"/>
        <v>2017</v>
      </c>
      <c r="X1783" t="str">
        <f>"20.57"</f>
        <v>20.57</v>
      </c>
      <c r="Y1783" t="str">
        <f t="shared" si="665"/>
        <v>584.23</v>
      </c>
      <c r="Z1783" t="str">
        <f>""</f>
        <v/>
      </c>
      <c r="AA1783" t="str">
        <f t="shared" si="666"/>
        <v>58000.00</v>
      </c>
      <c r="AB1783" t="str">
        <f t="shared" si="657"/>
        <v>Residential</v>
      </c>
      <c r="AC1783" t="str">
        <f t="shared" si="643"/>
        <v>0</v>
      </c>
      <c r="AD1783" t="str">
        <f>""</f>
        <v/>
      </c>
      <c r="AE1783" t="str">
        <f>""</f>
        <v/>
      </c>
      <c r="AF1783" t="str">
        <f t="shared" si="636"/>
        <v>000</v>
      </c>
      <c r="AG1783" t="str">
        <f t="shared" si="658"/>
        <v>FL</v>
      </c>
      <c r="AH1783" t="str">
        <f t="shared" si="640"/>
        <v>-</v>
      </c>
      <c r="AI1783" t="str">
        <f t="shared" si="667"/>
        <v>58000.00</v>
      </c>
      <c r="AJ1783" t="str">
        <f>"C55-000-969-7902-6"</f>
        <v>C55-000-969-7902-6</v>
      </c>
      <c r="AK1783" t="str">
        <f>"31717"</f>
        <v>31717</v>
      </c>
      <c r="AL1783">
        <v>7</v>
      </c>
      <c r="AM1783">
        <v>2032</v>
      </c>
      <c r="AN1783">
        <v>611.84</v>
      </c>
      <c r="AQ1783" t="s">
        <v>17569</v>
      </c>
      <c r="AR1783" t="s">
        <v>17569</v>
      </c>
      <c r="AS1783" t="s">
        <v>17569</v>
      </c>
      <c r="AU1783" t="s">
        <v>396</v>
      </c>
      <c r="AV1783">
        <v>2017</v>
      </c>
      <c r="AW1783" t="str">
        <f>"41-3N-28-1250-0140-0000 "</f>
        <v xml:space="preserve">41-3N-28-1250-0140-0000 </v>
      </c>
      <c r="AX1783">
        <v>28634</v>
      </c>
      <c r="AZ1783" t="s">
        <v>17473</v>
      </c>
      <c r="BD1783" t="s">
        <v>2387</v>
      </c>
      <c r="BE1783" t="s">
        <v>393</v>
      </c>
      <c r="BF1783">
        <v>32097</v>
      </c>
      <c r="BG1783" t="s">
        <v>17570</v>
      </c>
      <c r="BH1783" t="s">
        <v>2388</v>
      </c>
      <c r="BI1783">
        <v>-81.548882774471807</v>
      </c>
      <c r="BJ1783">
        <v>30.6844194241407</v>
      </c>
      <c r="BK1783" t="s">
        <v>17211</v>
      </c>
      <c r="BM1783" t="s">
        <v>17212</v>
      </c>
      <c r="BN1783" t="s">
        <v>548</v>
      </c>
      <c r="BO1783">
        <v>32245</v>
      </c>
      <c r="BP1783" t="s">
        <v>404</v>
      </c>
      <c r="BQ1783">
        <v>0</v>
      </c>
      <c r="BR1783" t="s">
        <v>491</v>
      </c>
      <c r="BS1783">
        <v>8001</v>
      </c>
      <c r="BT1783" t="s">
        <v>492</v>
      </c>
      <c r="BW1783">
        <v>12762</v>
      </c>
      <c r="BX1783" t="s">
        <v>407</v>
      </c>
      <c r="BY1783" t="s">
        <v>3019</v>
      </c>
      <c r="CD1783">
        <v>2017</v>
      </c>
      <c r="CE1783">
        <v>58000</v>
      </c>
      <c r="CG1783">
        <v>58000</v>
      </c>
      <c r="CH1783">
        <v>2017</v>
      </c>
      <c r="CI1783">
        <v>58000</v>
      </c>
      <c r="CK1783">
        <v>58000</v>
      </c>
      <c r="CL1783">
        <v>2017</v>
      </c>
      <c r="CM1783">
        <v>536.15</v>
      </c>
      <c r="CN1783" s="1">
        <v>41901</v>
      </c>
      <c r="CO1783">
        <v>2599000</v>
      </c>
      <c r="CZ1783" s="1">
        <v>41901</v>
      </c>
      <c r="DD1783" t="s">
        <v>2387</v>
      </c>
      <c r="DF1783">
        <v>140</v>
      </c>
      <c r="DG1783">
        <v>41</v>
      </c>
      <c r="DJ1783" t="s">
        <v>17267</v>
      </c>
      <c r="DL1783">
        <v>50301</v>
      </c>
      <c r="DM1783" t="s">
        <v>17237</v>
      </c>
      <c r="DO1783" t="s">
        <v>17571</v>
      </c>
      <c r="DP1783">
        <v>0</v>
      </c>
      <c r="DQ1783">
        <v>0</v>
      </c>
      <c r="DR1783" t="s">
        <v>411</v>
      </c>
      <c r="DS1783" t="b">
        <v>1</v>
      </c>
      <c r="DT1783" t="s">
        <v>470</v>
      </c>
      <c r="DU1783" t="s">
        <v>471</v>
      </c>
      <c r="DV1783" t="s">
        <v>472</v>
      </c>
      <c r="DX1783">
        <v>-9999</v>
      </c>
      <c r="DZ1783" t="s">
        <v>447</v>
      </c>
      <c r="EA1783" t="s">
        <v>448</v>
      </c>
      <c r="EB1783" t="s">
        <v>742</v>
      </c>
      <c r="EC1783">
        <v>20101217</v>
      </c>
      <c r="ED1783" t="s">
        <v>474</v>
      </c>
      <c r="EF1783">
        <v>648.5</v>
      </c>
      <c r="EG1783">
        <v>129.30000000000001</v>
      </c>
      <c r="EI1783">
        <v>20160407</v>
      </c>
      <c r="EJ1783">
        <v>0</v>
      </c>
      <c r="EK1783">
        <v>0</v>
      </c>
      <c r="EP1783" t="s">
        <v>421</v>
      </c>
      <c r="EQ1783" t="s">
        <v>422</v>
      </c>
      <c r="ER1783">
        <v>2</v>
      </c>
      <c r="ES1783">
        <v>5</v>
      </c>
      <c r="ET1783">
        <v>1208.6400000000001</v>
      </c>
      <c r="EU1783">
        <v>72.930000000000007</v>
      </c>
      <c r="EV1783">
        <v>1281.57</v>
      </c>
      <c r="EW1783" s="2">
        <v>43222</v>
      </c>
      <c r="EX1783" s="1">
        <v>42879</v>
      </c>
      <c r="EY1783">
        <v>2016</v>
      </c>
      <c r="EZ1783">
        <v>604.32000000000005</v>
      </c>
      <c r="FA1783" t="s">
        <v>17572</v>
      </c>
      <c r="FB1783">
        <v>0.25</v>
      </c>
      <c r="FC1783" t="s">
        <v>424</v>
      </c>
      <c r="FD1783" t="s">
        <v>454</v>
      </c>
      <c r="FF1783">
        <v>12</v>
      </c>
      <c r="FG1783">
        <v>11289</v>
      </c>
      <c r="FH1783" t="s">
        <v>787</v>
      </c>
      <c r="FJ1783" s="1">
        <v>42879</v>
      </c>
      <c r="FK1783">
        <v>2016</v>
      </c>
      <c r="FL1783">
        <v>604.32000000000005</v>
      </c>
      <c r="FM1783" t="s">
        <v>17572</v>
      </c>
      <c r="FN1783">
        <v>0.25</v>
      </c>
      <c r="FO1783" t="s">
        <v>424</v>
      </c>
      <c r="FP1783" t="s">
        <v>454</v>
      </c>
      <c r="FR1783">
        <v>12</v>
      </c>
      <c r="FS1783">
        <v>7121167</v>
      </c>
      <c r="FT1783" t="s">
        <v>17573</v>
      </c>
      <c r="FV1783" s="1">
        <v>42515</v>
      </c>
      <c r="FW1783">
        <v>2015</v>
      </c>
      <c r="FX1783">
        <v>274.54000000000002</v>
      </c>
      <c r="FY1783" t="s">
        <v>17574</v>
      </c>
      <c r="FZ1783">
        <v>15.25</v>
      </c>
      <c r="GA1783" t="s">
        <v>424</v>
      </c>
      <c r="GB1783" t="s">
        <v>425</v>
      </c>
      <c r="GC1783" s="1">
        <v>42614</v>
      </c>
      <c r="GD1783">
        <v>4</v>
      </c>
      <c r="GE1783">
        <v>2035919</v>
      </c>
      <c r="GF1783" t="s">
        <v>507</v>
      </c>
      <c r="GH1783" s="1">
        <v>42151</v>
      </c>
      <c r="GI1783">
        <v>2014</v>
      </c>
      <c r="GJ1783">
        <v>275.81</v>
      </c>
      <c r="GK1783" t="s">
        <v>17575</v>
      </c>
      <c r="GL1783">
        <v>0.25</v>
      </c>
      <c r="GM1783" t="s">
        <v>424</v>
      </c>
      <c r="GN1783" t="s">
        <v>425</v>
      </c>
      <c r="GO1783" s="1">
        <v>42611</v>
      </c>
      <c r="GP1783">
        <v>15</v>
      </c>
      <c r="GQ1783">
        <v>4975594</v>
      </c>
      <c r="GR1783" t="s">
        <v>457</v>
      </c>
      <c r="GT1783" s="1">
        <v>42151</v>
      </c>
      <c r="GU1783">
        <v>2014</v>
      </c>
      <c r="GV1783">
        <v>275.81</v>
      </c>
      <c r="GW1783" t="s">
        <v>17575</v>
      </c>
      <c r="GX1783">
        <v>0.25</v>
      </c>
      <c r="GY1783" t="s">
        <v>424</v>
      </c>
      <c r="GZ1783" t="s">
        <v>425</v>
      </c>
      <c r="HB1783">
        <v>22</v>
      </c>
      <c r="HC1783">
        <v>6451407</v>
      </c>
      <c r="HD1783" t="s">
        <v>17576</v>
      </c>
      <c r="HF1783" s="1">
        <v>41052</v>
      </c>
      <c r="HG1783">
        <v>2011</v>
      </c>
      <c r="HH1783">
        <v>426.48</v>
      </c>
      <c r="HI1783" t="s">
        <v>17577</v>
      </c>
      <c r="HJ1783">
        <v>18</v>
      </c>
      <c r="HK1783" t="s">
        <v>424</v>
      </c>
      <c r="HL1783" t="s">
        <v>425</v>
      </c>
      <c r="HM1783" s="1">
        <v>41089</v>
      </c>
      <c r="HN1783">
        <v>1</v>
      </c>
      <c r="HO1783">
        <v>11265</v>
      </c>
      <c r="HP1783" t="s">
        <v>17231</v>
      </c>
      <c r="HR1783" s="1">
        <v>40688</v>
      </c>
      <c r="HS1783">
        <v>2010</v>
      </c>
      <c r="HT1783">
        <v>934.68</v>
      </c>
      <c r="HU1783" t="s">
        <v>17578</v>
      </c>
      <c r="HV1783">
        <v>9</v>
      </c>
      <c r="HW1783" t="s">
        <v>424</v>
      </c>
      <c r="HX1783" t="s">
        <v>425</v>
      </c>
      <c r="HY1783" s="1">
        <v>41089</v>
      </c>
      <c r="HZ1783">
        <v>13</v>
      </c>
      <c r="IA1783">
        <v>11325</v>
      </c>
      <c r="IB1783" t="s">
        <v>2402</v>
      </c>
    </row>
    <row r="1784" spans="1:260" x14ac:dyDescent="0.25">
      <c r="A1784">
        <v>16486791</v>
      </c>
      <c r="B1784">
        <v>1783</v>
      </c>
      <c r="C1784" t="s">
        <v>393</v>
      </c>
      <c r="D1784" t="s">
        <v>394</v>
      </c>
      <c r="F1784" t="str">
        <f>"41-3N-28-1250-0143-0000"</f>
        <v>41-3N-28-1250-0143-0000</v>
      </c>
      <c r="H1784" t="str">
        <f>"LIGHTHOUSE POINTE DEV LLC"</f>
        <v>LIGHTHOUSE POINTE DEV LLC</v>
      </c>
      <c r="I1784" t="str">
        <f t="shared" si="660"/>
        <v>PO BOX 17833</v>
      </c>
      <c r="J1784" t="str">
        <f t="shared" si="661"/>
        <v>JACKSONVILLE FL 32245</v>
      </c>
      <c r="K1784" t="str">
        <f>"28872 VIEUX CARRE"</f>
        <v>28872 VIEUX CARRE</v>
      </c>
      <c r="L1784" t="str">
        <f t="shared" si="637"/>
        <v>YULEE FL 32097</v>
      </c>
      <c r="M1784" t="str">
        <f>"LOT 143 PT OR 1938/1054 LIGHTHOUSE POINTE 2 PB 7/145"</f>
        <v>LOT 143 PT OR 1938/1054 LIGHTHOUSE POINTE 2 PB 7/145</v>
      </c>
      <c r="N1784" t="str">
        <f>""</f>
        <v/>
      </c>
      <c r="O1784" t="str">
        <f>"46936"</f>
        <v>46936</v>
      </c>
      <c r="P1784" t="str">
        <f t="shared" si="628"/>
        <v>2017</v>
      </c>
      <c r="Q1784" t="str">
        <f>""</f>
        <v/>
      </c>
      <c r="R1784" t="str">
        <f t="shared" si="668"/>
        <v>N</v>
      </c>
      <c r="S1784" t="str">
        <f>""</f>
        <v/>
      </c>
      <c r="T1784" t="str">
        <f>"456.21"</f>
        <v>456.21</v>
      </c>
      <c r="U1784" t="str">
        <f>"16335.00"</f>
        <v>16335.00</v>
      </c>
      <c r="V1784" t="str">
        <f>"16335.00"</f>
        <v>16335.00</v>
      </c>
      <c r="W1784" t="str">
        <f t="shared" si="630"/>
        <v>2017</v>
      </c>
      <c r="X1784" t="str">
        <f>"20.57"</f>
        <v>20.57</v>
      </c>
      <c r="Y1784" t="str">
        <f>"501.90"</f>
        <v>501.90</v>
      </c>
      <c r="Z1784" t="str">
        <f>""</f>
        <v/>
      </c>
      <c r="AA1784" t="str">
        <f>"48000.00"</f>
        <v>48000.00</v>
      </c>
      <c r="AB1784" t="str">
        <f t="shared" si="657"/>
        <v>Residential</v>
      </c>
      <c r="AC1784" t="str">
        <f t="shared" si="643"/>
        <v>0</v>
      </c>
      <c r="AD1784" t="str">
        <f>""</f>
        <v/>
      </c>
      <c r="AE1784" t="str">
        <f>""</f>
        <v/>
      </c>
      <c r="AF1784" t="str">
        <f t="shared" si="636"/>
        <v>000</v>
      </c>
      <c r="AG1784" t="str">
        <f t="shared" si="658"/>
        <v>FL</v>
      </c>
      <c r="AH1784" t="str">
        <f t="shared" si="640"/>
        <v>-</v>
      </c>
      <c r="AI1784" t="str">
        <f>"48000.00"</f>
        <v>48000.00</v>
      </c>
      <c r="AJ1784" t="str">
        <f>"C55-000-969-7905-9"</f>
        <v>C55-000-969-7905-9</v>
      </c>
      <c r="AK1784" t="str">
        <f>"31720"</f>
        <v>31720</v>
      </c>
      <c r="AL1784">
        <v>7</v>
      </c>
      <c r="AM1784">
        <v>2033</v>
      </c>
      <c r="AN1784">
        <v>525.4</v>
      </c>
      <c r="AQ1784" t="s">
        <v>17579</v>
      </c>
      <c r="AR1784" t="s">
        <v>17579</v>
      </c>
      <c r="AS1784" t="s">
        <v>17579</v>
      </c>
      <c r="AU1784" t="s">
        <v>396</v>
      </c>
      <c r="AV1784">
        <v>2017</v>
      </c>
      <c r="AW1784" t="str">
        <f>"41-3N-28-1250-0143-0000 "</f>
        <v xml:space="preserve">41-3N-28-1250-0143-0000 </v>
      </c>
      <c r="AX1784">
        <v>28872</v>
      </c>
      <c r="AZ1784" t="s">
        <v>17473</v>
      </c>
      <c r="BD1784" t="s">
        <v>2387</v>
      </c>
      <c r="BE1784" t="s">
        <v>393</v>
      </c>
      <c r="BF1784">
        <v>32097</v>
      </c>
      <c r="BG1784" t="s">
        <v>17580</v>
      </c>
      <c r="BH1784" t="s">
        <v>2388</v>
      </c>
      <c r="BI1784">
        <v>-81.548705369737505</v>
      </c>
      <c r="BJ1784">
        <v>30.685394681470701</v>
      </c>
      <c r="BK1784" t="s">
        <v>17211</v>
      </c>
      <c r="BM1784" t="s">
        <v>17212</v>
      </c>
      <c r="BN1784" t="s">
        <v>548</v>
      </c>
      <c r="BO1784">
        <v>32245</v>
      </c>
      <c r="BP1784" t="s">
        <v>404</v>
      </c>
      <c r="BQ1784">
        <v>0</v>
      </c>
      <c r="BR1784" t="s">
        <v>491</v>
      </c>
      <c r="BS1784">
        <v>8001</v>
      </c>
      <c r="BT1784" t="s">
        <v>492</v>
      </c>
      <c r="BW1784">
        <v>13878</v>
      </c>
      <c r="BX1784" t="s">
        <v>407</v>
      </c>
      <c r="BY1784" t="s">
        <v>3019</v>
      </c>
      <c r="CD1784">
        <v>2017</v>
      </c>
      <c r="CE1784">
        <v>48000</v>
      </c>
      <c r="CG1784">
        <v>48000</v>
      </c>
      <c r="CH1784">
        <v>2017</v>
      </c>
      <c r="CI1784">
        <v>48000</v>
      </c>
      <c r="CK1784">
        <v>48000</v>
      </c>
      <c r="CL1784">
        <v>2017</v>
      </c>
      <c r="CM1784">
        <v>456.21</v>
      </c>
      <c r="CN1784" s="1">
        <v>41901</v>
      </c>
      <c r="CO1784">
        <v>2599000</v>
      </c>
      <c r="CZ1784" s="1">
        <v>41901</v>
      </c>
      <c r="DD1784" t="s">
        <v>2387</v>
      </c>
      <c r="DF1784">
        <v>143</v>
      </c>
      <c r="DG1784">
        <v>41</v>
      </c>
      <c r="DJ1784" t="s">
        <v>17267</v>
      </c>
      <c r="DL1784">
        <v>50301</v>
      </c>
      <c r="DM1784" t="s">
        <v>17237</v>
      </c>
      <c r="DO1784" t="s">
        <v>17581</v>
      </c>
      <c r="DP1784">
        <v>0</v>
      </c>
      <c r="DQ1784">
        <v>0</v>
      </c>
      <c r="DR1784" t="s">
        <v>411</v>
      </c>
      <c r="DS1784" t="b">
        <v>1</v>
      </c>
      <c r="DT1784" t="s">
        <v>470</v>
      </c>
      <c r="DU1784" t="s">
        <v>471</v>
      </c>
      <c r="DV1784" t="s">
        <v>472</v>
      </c>
      <c r="DX1784">
        <v>-9999</v>
      </c>
      <c r="DZ1784" t="s">
        <v>447</v>
      </c>
      <c r="EA1784" t="s">
        <v>448</v>
      </c>
      <c r="EB1784" t="s">
        <v>742</v>
      </c>
      <c r="EC1784">
        <v>20101217</v>
      </c>
      <c r="ED1784" t="s">
        <v>474</v>
      </c>
      <c r="EF1784">
        <v>711.8</v>
      </c>
      <c r="EG1784">
        <v>243.6</v>
      </c>
      <c r="EI1784">
        <v>20160407</v>
      </c>
      <c r="EJ1784">
        <v>0</v>
      </c>
      <c r="EK1784">
        <v>0</v>
      </c>
      <c r="EP1784" t="s">
        <v>421</v>
      </c>
      <c r="EQ1784" t="s">
        <v>422</v>
      </c>
      <c r="ER1784">
        <v>1</v>
      </c>
      <c r="ES1784">
        <v>5</v>
      </c>
      <c r="ET1784">
        <v>517.12</v>
      </c>
      <c r="EU1784">
        <v>32.11</v>
      </c>
      <c r="EV1784">
        <v>549.23</v>
      </c>
      <c r="EW1784" s="2">
        <v>43222</v>
      </c>
      <c r="EX1784" s="1">
        <v>42879</v>
      </c>
      <c r="EY1784">
        <v>2016</v>
      </c>
      <c r="EZ1784">
        <v>517.12</v>
      </c>
      <c r="FA1784" t="s">
        <v>17582</v>
      </c>
      <c r="FB1784">
        <v>4.75</v>
      </c>
      <c r="FC1784" t="s">
        <v>424</v>
      </c>
      <c r="FD1784" t="s">
        <v>454</v>
      </c>
      <c r="FF1784">
        <v>12</v>
      </c>
      <c r="FG1784">
        <v>5100525</v>
      </c>
      <c r="FH1784" t="s">
        <v>6804</v>
      </c>
      <c r="FJ1784" s="1">
        <v>42515</v>
      </c>
      <c r="FK1784">
        <v>2015</v>
      </c>
      <c r="FL1784">
        <v>251.57</v>
      </c>
      <c r="FM1784" t="s">
        <v>17583</v>
      </c>
      <c r="FN1784">
        <v>15.25</v>
      </c>
      <c r="FO1784" t="s">
        <v>424</v>
      </c>
      <c r="FP1784" t="s">
        <v>425</v>
      </c>
      <c r="FQ1784" s="1">
        <v>42614</v>
      </c>
      <c r="FR1784">
        <v>4</v>
      </c>
      <c r="FS1784">
        <v>2035919</v>
      </c>
      <c r="FT1784" t="s">
        <v>507</v>
      </c>
      <c r="FV1784" s="1">
        <v>42151</v>
      </c>
      <c r="FW1784">
        <v>2014</v>
      </c>
      <c r="FX1784">
        <v>252.74</v>
      </c>
      <c r="FY1784" t="s">
        <v>17584</v>
      </c>
      <c r="FZ1784">
        <v>0.25</v>
      </c>
      <c r="GA1784" t="s">
        <v>424</v>
      </c>
      <c r="GB1784" t="s">
        <v>425</v>
      </c>
      <c r="GC1784" s="1">
        <v>42611</v>
      </c>
      <c r="GD1784">
        <v>15</v>
      </c>
      <c r="GE1784">
        <v>4975594</v>
      </c>
      <c r="GF1784" t="s">
        <v>457</v>
      </c>
      <c r="GH1784" s="1">
        <v>42151</v>
      </c>
      <c r="GI1784">
        <v>2014</v>
      </c>
      <c r="GJ1784">
        <v>252.74</v>
      </c>
      <c r="GK1784" t="s">
        <v>17584</v>
      </c>
      <c r="GL1784">
        <v>0.25</v>
      </c>
      <c r="GM1784" t="s">
        <v>424</v>
      </c>
      <c r="GN1784" t="s">
        <v>425</v>
      </c>
      <c r="GP1784">
        <v>22</v>
      </c>
      <c r="GQ1784">
        <v>6670462</v>
      </c>
      <c r="GR1784" t="s">
        <v>17585</v>
      </c>
      <c r="GT1784" s="1">
        <v>41052</v>
      </c>
      <c r="GU1784">
        <v>2011</v>
      </c>
      <c r="GV1784">
        <v>426.48</v>
      </c>
      <c r="GW1784" t="s">
        <v>17586</v>
      </c>
      <c r="GX1784">
        <v>18</v>
      </c>
      <c r="GY1784" t="s">
        <v>424</v>
      </c>
      <c r="GZ1784" t="s">
        <v>425</v>
      </c>
      <c r="HA1784" s="1">
        <v>41089</v>
      </c>
      <c r="HB1784">
        <v>1</v>
      </c>
      <c r="HC1784">
        <v>11265</v>
      </c>
      <c r="HD1784" t="s">
        <v>17231</v>
      </c>
      <c r="HF1784" s="1">
        <v>40688</v>
      </c>
      <c r="HG1784">
        <v>2010</v>
      </c>
      <c r="HH1784">
        <v>934.68</v>
      </c>
      <c r="HI1784" t="s">
        <v>17587</v>
      </c>
      <c r="HJ1784">
        <v>9</v>
      </c>
      <c r="HK1784" t="s">
        <v>424</v>
      </c>
      <c r="HL1784" t="s">
        <v>425</v>
      </c>
      <c r="HM1784" s="1">
        <v>41089</v>
      </c>
      <c r="HN1784">
        <v>13</v>
      </c>
      <c r="HO1784">
        <v>11325</v>
      </c>
      <c r="HP1784" t="s">
        <v>2402</v>
      </c>
    </row>
    <row r="1785" spans="1:260" x14ac:dyDescent="0.25">
      <c r="A1785">
        <v>16486792</v>
      </c>
      <c r="B1785">
        <v>1784</v>
      </c>
      <c r="C1785" t="s">
        <v>393</v>
      </c>
      <c r="D1785" t="s">
        <v>394</v>
      </c>
      <c r="F1785" t="str">
        <f>"41-3N-28-1250-0144-0000"</f>
        <v>41-3N-28-1250-0144-0000</v>
      </c>
      <c r="H1785" t="str">
        <f>"LIGHTHOUSE POINTE DEV LLC"</f>
        <v>LIGHTHOUSE POINTE DEV LLC</v>
      </c>
      <c r="I1785" t="str">
        <f t="shared" si="660"/>
        <v>PO BOX 17833</v>
      </c>
      <c r="J1785" t="str">
        <f t="shared" si="661"/>
        <v>JACKSONVILLE FL 32245</v>
      </c>
      <c r="K1785" t="str">
        <f>"28936 VIEUX CARRE"</f>
        <v>28936 VIEUX CARRE</v>
      </c>
      <c r="L1785" t="str">
        <f t="shared" si="637"/>
        <v>YULEE FL 32097</v>
      </c>
      <c r="M1785" t="str">
        <f>"LOT 144 PT OR 1938/1054 LIGHTHOUSE POINTE 2 PB 7/145"</f>
        <v>LOT 144 PT OR 1938/1054 LIGHTHOUSE POINTE 2 PB 7/145</v>
      </c>
      <c r="N1785" t="str">
        <f>""</f>
        <v/>
      </c>
      <c r="O1785" t="str">
        <f>"46937"</f>
        <v>46937</v>
      </c>
      <c r="P1785" t="str">
        <f t="shared" si="628"/>
        <v>2017</v>
      </c>
      <c r="Q1785" t="str">
        <f>""</f>
        <v/>
      </c>
      <c r="R1785" t="str">
        <f t="shared" si="668"/>
        <v>N</v>
      </c>
      <c r="S1785" t="str">
        <f>""</f>
        <v/>
      </c>
      <c r="T1785" t="str">
        <f>"456.21"</f>
        <v>456.21</v>
      </c>
      <c r="U1785" t="str">
        <f>"16335.00"</f>
        <v>16335.00</v>
      </c>
      <c r="V1785" t="str">
        <f>"16335.00"</f>
        <v>16335.00</v>
      </c>
      <c r="W1785" t="str">
        <f t="shared" si="630"/>
        <v>2017</v>
      </c>
      <c r="X1785" t="str">
        <f>"20.57"</f>
        <v>20.57</v>
      </c>
      <c r="Y1785" t="str">
        <f>"501.90"</f>
        <v>501.90</v>
      </c>
      <c r="Z1785" t="str">
        <f>""</f>
        <v/>
      </c>
      <c r="AA1785" t="str">
        <f>"48000.00"</f>
        <v>48000.00</v>
      </c>
      <c r="AB1785" t="str">
        <f t="shared" si="657"/>
        <v>Residential</v>
      </c>
      <c r="AC1785" t="str">
        <f t="shared" si="643"/>
        <v>0</v>
      </c>
      <c r="AD1785" t="str">
        <f>""</f>
        <v/>
      </c>
      <c r="AE1785" t="str">
        <f>""</f>
        <v/>
      </c>
      <c r="AF1785" t="str">
        <f t="shared" si="636"/>
        <v>000</v>
      </c>
      <c r="AG1785" t="str">
        <f t="shared" si="658"/>
        <v>FL</v>
      </c>
      <c r="AH1785" t="str">
        <f t="shared" si="640"/>
        <v>-</v>
      </c>
      <c r="AI1785" t="str">
        <f>"48000.00"</f>
        <v>48000.00</v>
      </c>
      <c r="AJ1785" t="str">
        <f>"C55-000-969-7906-7"</f>
        <v>C55-000-969-7906-7</v>
      </c>
      <c r="AK1785" t="str">
        <f>"31721"</f>
        <v>31721</v>
      </c>
      <c r="AL1785">
        <v>7</v>
      </c>
      <c r="AM1785">
        <v>2034</v>
      </c>
      <c r="AN1785">
        <v>525.4</v>
      </c>
      <c r="AQ1785" t="s">
        <v>17588</v>
      </c>
      <c r="AR1785" t="s">
        <v>17588</v>
      </c>
      <c r="AS1785" t="s">
        <v>17588</v>
      </c>
      <c r="AU1785" t="s">
        <v>396</v>
      </c>
      <c r="AV1785">
        <v>2017</v>
      </c>
      <c r="AW1785" t="str">
        <f>"41-3N-28-1250-0144-0000 "</f>
        <v xml:space="preserve">41-3N-28-1250-0144-0000 </v>
      </c>
      <c r="AX1785">
        <v>28936</v>
      </c>
      <c r="AZ1785" t="s">
        <v>17473</v>
      </c>
      <c r="BD1785" t="s">
        <v>2387</v>
      </c>
      <c r="BE1785" t="s">
        <v>393</v>
      </c>
      <c r="BF1785">
        <v>32097</v>
      </c>
      <c r="BG1785" t="s">
        <v>17589</v>
      </c>
      <c r="BH1785" t="s">
        <v>2388</v>
      </c>
      <c r="BI1785">
        <v>-81.548699265207503</v>
      </c>
      <c r="BJ1785">
        <v>30.685702767711302</v>
      </c>
      <c r="BK1785" t="s">
        <v>17211</v>
      </c>
      <c r="BM1785" t="s">
        <v>17212</v>
      </c>
      <c r="BN1785" t="s">
        <v>548</v>
      </c>
      <c r="BO1785">
        <v>32245</v>
      </c>
      <c r="BP1785" t="s">
        <v>404</v>
      </c>
      <c r="BQ1785">
        <v>0</v>
      </c>
      <c r="BR1785" t="s">
        <v>491</v>
      </c>
      <c r="BS1785">
        <v>8001</v>
      </c>
      <c r="BT1785" t="s">
        <v>492</v>
      </c>
      <c r="BW1785">
        <v>13061</v>
      </c>
      <c r="BX1785" t="s">
        <v>407</v>
      </c>
      <c r="BY1785" t="s">
        <v>3019</v>
      </c>
      <c r="CD1785">
        <v>2017</v>
      </c>
      <c r="CE1785">
        <v>48000</v>
      </c>
      <c r="CG1785">
        <v>48000</v>
      </c>
      <c r="CH1785">
        <v>2017</v>
      </c>
      <c r="CI1785">
        <v>48000</v>
      </c>
      <c r="CK1785">
        <v>48000</v>
      </c>
      <c r="CL1785">
        <v>2017</v>
      </c>
      <c r="CM1785">
        <v>456.21</v>
      </c>
      <c r="CN1785" s="1">
        <v>41901</v>
      </c>
      <c r="CO1785">
        <v>2599000</v>
      </c>
      <c r="CZ1785" s="1">
        <v>41901</v>
      </c>
      <c r="DD1785" t="s">
        <v>2387</v>
      </c>
      <c r="DF1785">
        <v>144</v>
      </c>
      <c r="DG1785">
        <v>41</v>
      </c>
      <c r="DJ1785" t="s">
        <v>17267</v>
      </c>
      <c r="DL1785">
        <v>50301</v>
      </c>
      <c r="DM1785" t="s">
        <v>17237</v>
      </c>
      <c r="DO1785" t="s">
        <v>17590</v>
      </c>
      <c r="DP1785">
        <v>0</v>
      </c>
      <c r="DQ1785">
        <v>0</v>
      </c>
      <c r="DR1785" t="s">
        <v>411</v>
      </c>
      <c r="DS1785" t="b">
        <v>1</v>
      </c>
      <c r="DT1785" t="s">
        <v>470</v>
      </c>
      <c r="DU1785" t="s">
        <v>471</v>
      </c>
      <c r="DV1785" t="s">
        <v>472</v>
      </c>
      <c r="DX1785">
        <v>-9999</v>
      </c>
      <c r="DZ1785" t="s">
        <v>447</v>
      </c>
      <c r="EA1785" t="s">
        <v>448</v>
      </c>
      <c r="EB1785" t="s">
        <v>742</v>
      </c>
      <c r="EC1785">
        <v>20101217</v>
      </c>
      <c r="ED1785" t="s">
        <v>474</v>
      </c>
      <c r="EF1785">
        <v>601.20000000000005</v>
      </c>
      <c r="EG1785">
        <v>339.3</v>
      </c>
      <c r="EI1785">
        <v>20160407</v>
      </c>
      <c r="EJ1785">
        <v>0</v>
      </c>
      <c r="EK1785">
        <v>0</v>
      </c>
      <c r="EP1785" t="s">
        <v>421</v>
      </c>
      <c r="EQ1785" t="s">
        <v>422</v>
      </c>
      <c r="ER1785">
        <v>1</v>
      </c>
      <c r="ES1785">
        <v>5</v>
      </c>
      <c r="ET1785">
        <v>517.12</v>
      </c>
      <c r="EU1785">
        <v>32.11</v>
      </c>
      <c r="EV1785">
        <v>549.23</v>
      </c>
      <c r="EW1785" s="2">
        <v>43222</v>
      </c>
      <c r="EX1785" s="1">
        <v>42879</v>
      </c>
      <c r="EY1785">
        <v>2016</v>
      </c>
      <c r="EZ1785">
        <v>517.12</v>
      </c>
      <c r="FA1785" t="s">
        <v>17591</v>
      </c>
      <c r="FB1785">
        <v>4.75</v>
      </c>
      <c r="FC1785" t="s">
        <v>424</v>
      </c>
      <c r="FD1785" t="s">
        <v>454</v>
      </c>
      <c r="FF1785">
        <v>12</v>
      </c>
      <c r="FG1785">
        <v>5100525</v>
      </c>
      <c r="FH1785" t="s">
        <v>6804</v>
      </c>
      <c r="FJ1785" s="1">
        <v>42515</v>
      </c>
      <c r="FK1785">
        <v>2015</v>
      </c>
      <c r="FL1785">
        <v>251.57</v>
      </c>
      <c r="FM1785" t="s">
        <v>17592</v>
      </c>
      <c r="FN1785">
        <v>15.25</v>
      </c>
      <c r="FO1785" t="s">
        <v>424</v>
      </c>
      <c r="FP1785" t="s">
        <v>425</v>
      </c>
      <c r="FQ1785" s="1">
        <v>42614</v>
      </c>
      <c r="FR1785">
        <v>4</v>
      </c>
      <c r="FS1785">
        <v>2035919</v>
      </c>
      <c r="FT1785" t="s">
        <v>507</v>
      </c>
      <c r="FV1785" s="1">
        <v>42151</v>
      </c>
      <c r="FW1785">
        <v>2014</v>
      </c>
      <c r="FX1785">
        <v>252.74</v>
      </c>
      <c r="FY1785" t="s">
        <v>17593</v>
      </c>
      <c r="FZ1785">
        <v>0.25</v>
      </c>
      <c r="GA1785" t="s">
        <v>424</v>
      </c>
      <c r="GB1785" t="s">
        <v>425</v>
      </c>
      <c r="GC1785" s="1">
        <v>42611</v>
      </c>
      <c r="GD1785">
        <v>15</v>
      </c>
      <c r="GE1785">
        <v>4975594</v>
      </c>
      <c r="GF1785" t="s">
        <v>457</v>
      </c>
      <c r="GH1785" s="1">
        <v>42151</v>
      </c>
      <c r="GI1785">
        <v>2014</v>
      </c>
      <c r="GJ1785">
        <v>252.74</v>
      </c>
      <c r="GK1785" t="s">
        <v>17593</v>
      </c>
      <c r="GL1785">
        <v>0.25</v>
      </c>
      <c r="GM1785" t="s">
        <v>424</v>
      </c>
      <c r="GN1785" t="s">
        <v>425</v>
      </c>
      <c r="GP1785">
        <v>22</v>
      </c>
      <c r="GQ1785">
        <v>6288216</v>
      </c>
      <c r="GR1785" t="s">
        <v>17594</v>
      </c>
      <c r="GT1785" s="1">
        <v>41052</v>
      </c>
      <c r="GU1785">
        <v>2011</v>
      </c>
      <c r="GV1785">
        <v>426.48</v>
      </c>
      <c r="GW1785" t="s">
        <v>17595</v>
      </c>
      <c r="GX1785">
        <v>18</v>
      </c>
      <c r="GY1785" t="s">
        <v>424</v>
      </c>
      <c r="GZ1785" t="s">
        <v>425</v>
      </c>
      <c r="HA1785" s="1">
        <v>41089</v>
      </c>
      <c r="HB1785">
        <v>1</v>
      </c>
      <c r="HC1785">
        <v>11265</v>
      </c>
      <c r="HD1785" t="s">
        <v>17231</v>
      </c>
      <c r="HF1785" s="1">
        <v>40688</v>
      </c>
      <c r="HG1785">
        <v>2010</v>
      </c>
      <c r="HH1785">
        <v>934.68</v>
      </c>
      <c r="HI1785" t="s">
        <v>17596</v>
      </c>
      <c r="HJ1785">
        <v>9</v>
      </c>
      <c r="HK1785" t="s">
        <v>424</v>
      </c>
      <c r="HL1785" t="s">
        <v>425</v>
      </c>
      <c r="HM1785" s="1">
        <v>41089</v>
      </c>
      <c r="HN1785">
        <v>13</v>
      </c>
      <c r="HO1785">
        <v>11325</v>
      </c>
      <c r="HP1785" t="s">
        <v>2402</v>
      </c>
    </row>
    <row r="1786" spans="1:260" x14ac:dyDescent="0.25">
      <c r="A1786">
        <v>16486793</v>
      </c>
      <c r="B1786">
        <v>1785</v>
      </c>
      <c r="C1786" t="s">
        <v>393</v>
      </c>
      <c r="D1786" t="s">
        <v>394</v>
      </c>
      <c r="F1786" t="str">
        <f>"42-3N-28-0000-0001-0000"</f>
        <v>42-3N-28-0000-0001-0000</v>
      </c>
      <c r="H1786" t="str">
        <f>"BLUE POTATO PROPERTIES LLC 4 SE 1ST STREET"</f>
        <v>BLUE POTATO PROPERTIES LLC 4 SE 1ST STREET</v>
      </c>
      <c r="I1786" t="str">
        <f>"2ND FLOOR"</f>
        <v>2ND FLOOR</v>
      </c>
      <c r="J1786" t="str">
        <f>"MIAMI FL 33131"</f>
        <v>MIAMI FL 33131</v>
      </c>
      <c r="K1786" t="str">
        <f>"BELLEVILLE LN"</f>
        <v>BELLEVILLE LN</v>
      </c>
      <c r="L1786" t="str">
        <f t="shared" si="637"/>
        <v>YULEE FL 32097</v>
      </c>
      <c r="M1786" t="str">
        <f>"IN OR 1921/1762 IN SEC 42 &amp; 43"</f>
        <v>IN OR 1921/1762 IN SEC 42 &amp; 43</v>
      </c>
      <c r="N1786" t="str">
        <f>""</f>
        <v/>
      </c>
      <c r="O1786" t="str">
        <f>"49072"</f>
        <v>49072</v>
      </c>
      <c r="P1786" t="str">
        <f t="shared" si="628"/>
        <v>2017</v>
      </c>
      <c r="Q1786" t="str">
        <f>""</f>
        <v/>
      </c>
      <c r="R1786" t="str">
        <f t="shared" si="668"/>
        <v>N</v>
      </c>
      <c r="S1786" t="str">
        <f>""</f>
        <v/>
      </c>
      <c r="T1786" t="str">
        <f>"840.21"</f>
        <v>840.21</v>
      </c>
      <c r="U1786" t="str">
        <f>"55500.00"</f>
        <v>55500.00</v>
      </c>
      <c r="V1786" t="str">
        <f>"55500.00"</f>
        <v>55500.00</v>
      </c>
      <c r="W1786" t="str">
        <f t="shared" si="630"/>
        <v>2017</v>
      </c>
      <c r="X1786" t="str">
        <f>"21.00"</f>
        <v>21.00</v>
      </c>
      <c r="Y1786" t="str">
        <f>"897.42"</f>
        <v>897.42</v>
      </c>
      <c r="Z1786" t="str">
        <f>""</f>
        <v/>
      </c>
      <c r="AA1786" t="str">
        <f>"55500.00"</f>
        <v>55500.00</v>
      </c>
      <c r="AB1786" t="str">
        <f t="shared" si="657"/>
        <v>Residential</v>
      </c>
      <c r="AC1786" t="str">
        <f t="shared" si="643"/>
        <v>0</v>
      </c>
      <c r="AD1786" t="str">
        <f>""</f>
        <v/>
      </c>
      <c r="AE1786" t="str">
        <f>""</f>
        <v/>
      </c>
      <c r="AF1786" t="str">
        <f t="shared" si="636"/>
        <v>000</v>
      </c>
      <c r="AG1786" t="str">
        <f t="shared" si="658"/>
        <v>FL</v>
      </c>
      <c r="AH1786" t="str">
        <f>"27676.00"</f>
        <v>27676.00</v>
      </c>
      <c r="AI1786" t="str">
        <f>"55500.00"</f>
        <v>55500.00</v>
      </c>
      <c r="AJ1786" t="str">
        <f>"C55-000-588-2626-4"</f>
        <v>C55-000-588-2626-4</v>
      </c>
      <c r="AK1786" t="str">
        <f>"31723"</f>
        <v>31723</v>
      </c>
      <c r="AL1786">
        <v>7</v>
      </c>
      <c r="AM1786">
        <v>2035</v>
      </c>
      <c r="AN1786">
        <v>940.69</v>
      </c>
      <c r="AQ1786" t="s">
        <v>17597</v>
      </c>
      <c r="AR1786" t="s">
        <v>17597</v>
      </c>
      <c r="AS1786" t="s">
        <v>17597</v>
      </c>
      <c r="AU1786" t="s">
        <v>396</v>
      </c>
      <c r="AV1786">
        <v>2017</v>
      </c>
      <c r="AW1786" t="str">
        <f>"42-3N-28-0000-0001-0000 "</f>
        <v xml:space="preserve">42-3N-28-0000-0001-0000 </v>
      </c>
      <c r="AZ1786" t="s">
        <v>17598</v>
      </c>
      <c r="BA1786" t="s">
        <v>653</v>
      </c>
      <c r="BD1786" t="s">
        <v>2387</v>
      </c>
      <c r="BE1786" t="s">
        <v>393</v>
      </c>
      <c r="BF1786">
        <v>32097</v>
      </c>
      <c r="BG1786" t="s">
        <v>17599</v>
      </c>
      <c r="BH1786" t="s">
        <v>2388</v>
      </c>
      <c r="BI1786">
        <v>-81.538156349275496</v>
      </c>
      <c r="BJ1786">
        <v>30.6848868964262</v>
      </c>
      <c r="BK1786" t="s">
        <v>17600</v>
      </c>
      <c r="BM1786" t="s">
        <v>17601</v>
      </c>
      <c r="BN1786" t="s">
        <v>17602</v>
      </c>
      <c r="BO1786">
        <v>33131</v>
      </c>
      <c r="BP1786" t="s">
        <v>404</v>
      </c>
      <c r="BQ1786">
        <v>0</v>
      </c>
      <c r="BR1786" t="s">
        <v>491</v>
      </c>
      <c r="BS1786">
        <v>8001</v>
      </c>
      <c r="BT1786" t="s">
        <v>492</v>
      </c>
      <c r="BU1786">
        <v>740</v>
      </c>
      <c r="BV1786">
        <v>0</v>
      </c>
      <c r="BW1786">
        <v>28114</v>
      </c>
      <c r="BX1786" t="s">
        <v>407</v>
      </c>
      <c r="BY1786" t="s">
        <v>2729</v>
      </c>
      <c r="CD1786">
        <v>2017</v>
      </c>
      <c r="CE1786">
        <v>55500</v>
      </c>
      <c r="CG1786">
        <v>55500</v>
      </c>
      <c r="CH1786">
        <v>2017</v>
      </c>
      <c r="CI1786">
        <v>55500</v>
      </c>
      <c r="CK1786">
        <v>55500</v>
      </c>
      <c r="CL1786">
        <v>2017</v>
      </c>
      <c r="CM1786">
        <v>840.21</v>
      </c>
      <c r="CN1786" s="1">
        <v>41799</v>
      </c>
      <c r="CO1786">
        <v>105000</v>
      </c>
      <c r="CV1786">
        <v>0</v>
      </c>
      <c r="CZ1786" s="1">
        <v>41799</v>
      </c>
      <c r="DA1786">
        <v>0</v>
      </c>
      <c r="DD1786" t="s">
        <v>2387</v>
      </c>
      <c r="DG1786">
        <v>42</v>
      </c>
      <c r="DL1786">
        <v>50301</v>
      </c>
      <c r="DM1786" t="s">
        <v>17603</v>
      </c>
      <c r="DO1786" t="s">
        <v>17604</v>
      </c>
      <c r="DP1786">
        <v>0</v>
      </c>
      <c r="DQ1786">
        <v>1</v>
      </c>
      <c r="DR1786" t="s">
        <v>411</v>
      </c>
      <c r="DS1786" t="b">
        <v>1</v>
      </c>
      <c r="DT1786" t="s">
        <v>8902</v>
      </c>
      <c r="DV1786" t="s">
        <v>446</v>
      </c>
      <c r="DX1786">
        <v>9</v>
      </c>
      <c r="DY1786" t="s">
        <v>11438</v>
      </c>
      <c r="DZ1786" t="s">
        <v>447</v>
      </c>
      <c r="EA1786" t="s">
        <v>448</v>
      </c>
      <c r="EB1786" t="s">
        <v>17605</v>
      </c>
      <c r="EC1786">
        <v>20101217</v>
      </c>
      <c r="ED1786" t="s">
        <v>450</v>
      </c>
      <c r="EE1786">
        <v>5</v>
      </c>
      <c r="EF1786">
        <v>0</v>
      </c>
      <c r="EG1786">
        <v>0</v>
      </c>
      <c r="EI1786">
        <v>20160407</v>
      </c>
      <c r="EJ1786">
        <v>0</v>
      </c>
      <c r="EK1786">
        <v>0</v>
      </c>
      <c r="EP1786" t="s">
        <v>421</v>
      </c>
      <c r="EQ1786" t="s">
        <v>422</v>
      </c>
      <c r="ER1786">
        <v>1</v>
      </c>
      <c r="ES1786">
        <v>2</v>
      </c>
      <c r="ET1786">
        <v>948.41</v>
      </c>
      <c r="EU1786">
        <v>53.67</v>
      </c>
      <c r="EV1786">
        <v>1002.08</v>
      </c>
      <c r="EW1786" s="2">
        <v>43222</v>
      </c>
      <c r="EX1786" s="1">
        <v>42879</v>
      </c>
      <c r="EY1786">
        <v>2016</v>
      </c>
      <c r="EZ1786">
        <v>948.41</v>
      </c>
      <c r="FA1786" t="s">
        <v>17606</v>
      </c>
      <c r="FB1786">
        <v>3.5</v>
      </c>
      <c r="FC1786" t="s">
        <v>424</v>
      </c>
      <c r="FD1786" t="s">
        <v>454</v>
      </c>
      <c r="FF1786">
        <v>12</v>
      </c>
      <c r="FG1786">
        <v>2035919</v>
      </c>
      <c r="FH1786" t="s">
        <v>507</v>
      </c>
      <c r="FJ1786" s="1">
        <v>42515</v>
      </c>
      <c r="FK1786">
        <v>2015</v>
      </c>
      <c r="FL1786">
        <v>3167.98</v>
      </c>
      <c r="FM1786" t="s">
        <v>17607</v>
      </c>
      <c r="FN1786">
        <v>0.25</v>
      </c>
      <c r="FO1786" t="s">
        <v>424</v>
      </c>
      <c r="FP1786" t="s">
        <v>425</v>
      </c>
      <c r="FQ1786" s="1">
        <v>43157</v>
      </c>
      <c r="FR1786">
        <v>21</v>
      </c>
      <c r="FS1786">
        <v>7045074</v>
      </c>
      <c r="FT1786" t="s">
        <v>580</v>
      </c>
      <c r="FV1786" s="1">
        <v>42515</v>
      </c>
      <c r="FW1786">
        <v>2015</v>
      </c>
      <c r="FX1786">
        <v>3167.98</v>
      </c>
      <c r="FY1786" t="s">
        <v>17607</v>
      </c>
      <c r="FZ1786">
        <v>0.25</v>
      </c>
      <c r="GA1786" t="s">
        <v>424</v>
      </c>
      <c r="GB1786" t="s">
        <v>425</v>
      </c>
      <c r="GD1786">
        <v>22</v>
      </c>
      <c r="GE1786">
        <v>6392463</v>
      </c>
      <c r="GF1786" t="s">
        <v>17608</v>
      </c>
    </row>
    <row r="1787" spans="1:260" x14ac:dyDescent="0.25">
      <c r="A1787">
        <v>16486794</v>
      </c>
      <c r="B1787">
        <v>1786</v>
      </c>
      <c r="C1787" t="s">
        <v>393</v>
      </c>
      <c r="D1787" t="s">
        <v>394</v>
      </c>
      <c r="F1787" t="str">
        <f>"42-3N-28-0000-0003-0010"</f>
        <v>42-3N-28-0000-0003-0010</v>
      </c>
      <c r="H1787" t="str">
        <f>"BARBER JAMES DANIEL"</f>
        <v>BARBER JAMES DANIEL</v>
      </c>
      <c r="I1787" t="str">
        <f>"97573 CHESTER RIVER RD"</f>
        <v>97573 CHESTER RIVER RD</v>
      </c>
      <c r="J1787" t="str">
        <f>"YULEE FL 32097"</f>
        <v>YULEE FL 32097</v>
      </c>
      <c r="K1787" t="str">
        <f>"97205 BELLEVILLE LN"</f>
        <v>97205 BELLEVILLE LN</v>
      </c>
      <c r="L1787" t="str">
        <f t="shared" si="637"/>
        <v>YULEE FL 32097</v>
      </c>
      <c r="M1787" t="str">
        <f>"PT OF SEC 42-3N-28E &amp;43-3N-28E IN OR 1982/374 BEING PARCELS 1 &amp; 2"</f>
        <v>PT OF SEC 42-3N-28E &amp;43-3N-28E IN OR 1982/374 BEING PARCELS 1 &amp; 2</v>
      </c>
      <c r="N1787" t="str">
        <f>""</f>
        <v/>
      </c>
      <c r="O1787" t="str">
        <f>"49078"</f>
        <v>49078</v>
      </c>
      <c r="P1787" t="str">
        <f t="shared" si="628"/>
        <v>2017</v>
      </c>
      <c r="Q1787" t="str">
        <f>""</f>
        <v/>
      </c>
      <c r="R1787" t="str">
        <f t="shared" si="668"/>
        <v>N</v>
      </c>
      <c r="S1787" t="str">
        <f>""</f>
        <v/>
      </c>
      <c r="T1787" t="str">
        <f>"9239.83"</f>
        <v>9239.83</v>
      </c>
      <c r="U1787" t="str">
        <f>"610341.00"</f>
        <v>610341.00</v>
      </c>
      <c r="V1787" t="str">
        <f>"610341.00"</f>
        <v>610341.00</v>
      </c>
      <c r="W1787" t="str">
        <f t="shared" si="630"/>
        <v>2017</v>
      </c>
      <c r="X1787" t="str">
        <f>"1.00"</f>
        <v>1.00</v>
      </c>
      <c r="Y1787" t="str">
        <f>"9549.02"</f>
        <v>9549.02</v>
      </c>
      <c r="Z1787" t="str">
        <f>""</f>
        <v/>
      </c>
      <c r="AA1787" t="str">
        <f>"610341.00"</f>
        <v>610341.00</v>
      </c>
      <c r="AB1787" t="str">
        <f t="shared" si="657"/>
        <v>Residential</v>
      </c>
      <c r="AC1787" t="str">
        <f t="shared" si="643"/>
        <v>0</v>
      </c>
      <c r="AD1787" t="str">
        <f>"4"</f>
        <v>4</v>
      </c>
      <c r="AE1787" t="str">
        <f>"WOOD (INCLUDE STEEL STUDS)"</f>
        <v>WOOD (INCLUDE STEEL STUDS)</v>
      </c>
      <c r="AF1787" t="str">
        <f>"001"</f>
        <v>001</v>
      </c>
      <c r="AG1787" t="str">
        <f t="shared" si="658"/>
        <v>FL</v>
      </c>
      <c r="AH1787" t="str">
        <f>"88675.00"</f>
        <v>88675.00</v>
      </c>
      <c r="AI1787" t="str">
        <f>"400000.00"</f>
        <v>400000.00</v>
      </c>
      <c r="AJ1787" t="str">
        <f>"C55-000-588-2632-2"</f>
        <v>C55-000-588-2632-2</v>
      </c>
      <c r="AK1787" t="str">
        <f>"31727"</f>
        <v>31727</v>
      </c>
      <c r="AL1787">
        <v>7</v>
      </c>
      <c r="AM1787">
        <v>2036</v>
      </c>
      <c r="AN1787">
        <v>10024.870000000001</v>
      </c>
      <c r="AQ1787" t="s">
        <v>17609</v>
      </c>
      <c r="AR1787" t="s">
        <v>17609</v>
      </c>
      <c r="AS1787" t="s">
        <v>17609</v>
      </c>
      <c r="AU1787" t="s">
        <v>396</v>
      </c>
      <c r="AV1787">
        <v>2017</v>
      </c>
      <c r="AW1787" t="str">
        <f>"42-3N-28-0000-0003-0010 "</f>
        <v xml:space="preserve">42-3N-28-0000-0003-0010 </v>
      </c>
      <c r="AX1787">
        <v>97205</v>
      </c>
      <c r="AZ1787" t="s">
        <v>17598</v>
      </c>
      <c r="BA1787" t="s">
        <v>653</v>
      </c>
      <c r="BD1787" t="s">
        <v>2387</v>
      </c>
      <c r="BE1787" t="s">
        <v>393</v>
      </c>
      <c r="BF1787">
        <v>32097</v>
      </c>
      <c r="BG1787" t="s">
        <v>17610</v>
      </c>
      <c r="BH1787" t="s">
        <v>2388</v>
      </c>
      <c r="BI1787">
        <v>-81.539233182409205</v>
      </c>
      <c r="BJ1787">
        <v>30.685655820766801</v>
      </c>
      <c r="BK1787" t="s">
        <v>17611</v>
      </c>
      <c r="BM1787" t="s">
        <v>17612</v>
      </c>
      <c r="BN1787" t="s">
        <v>1778</v>
      </c>
      <c r="BO1787">
        <v>32097</v>
      </c>
      <c r="BP1787" t="s">
        <v>404</v>
      </c>
      <c r="BQ1787">
        <v>100</v>
      </c>
      <c r="BR1787" t="s">
        <v>514</v>
      </c>
      <c r="BS1787">
        <v>1001</v>
      </c>
      <c r="BT1787" t="s">
        <v>515</v>
      </c>
      <c r="BW1787">
        <v>88675</v>
      </c>
      <c r="BX1787" t="s">
        <v>407</v>
      </c>
      <c r="BY1787" t="s">
        <v>2729</v>
      </c>
      <c r="BZ1787">
        <v>4</v>
      </c>
      <c r="CA1787">
        <v>1989</v>
      </c>
      <c r="CB1787">
        <v>1</v>
      </c>
      <c r="CC1787">
        <v>1</v>
      </c>
      <c r="CD1787">
        <v>2017</v>
      </c>
      <c r="CE1787">
        <v>400000</v>
      </c>
      <c r="CF1787">
        <v>210341</v>
      </c>
      <c r="CG1787">
        <v>610341</v>
      </c>
      <c r="CH1787">
        <v>2017</v>
      </c>
      <c r="CI1787">
        <v>400000</v>
      </c>
      <c r="CJ1787">
        <v>210341</v>
      </c>
      <c r="CK1787">
        <v>610341</v>
      </c>
      <c r="CL1787">
        <v>2017</v>
      </c>
      <c r="CM1787">
        <v>9239.83</v>
      </c>
      <c r="CN1787" s="1">
        <v>42150</v>
      </c>
      <c r="CZ1787" s="1">
        <v>42150</v>
      </c>
      <c r="DD1787" t="s">
        <v>2387</v>
      </c>
      <c r="DG1787">
        <v>42</v>
      </c>
      <c r="DL1787">
        <v>50301</v>
      </c>
      <c r="DM1787" t="s">
        <v>17603</v>
      </c>
      <c r="DO1787" t="s">
        <v>17613</v>
      </c>
      <c r="DP1787">
        <v>0</v>
      </c>
      <c r="DQ1787">
        <v>0</v>
      </c>
      <c r="DR1787" t="s">
        <v>411</v>
      </c>
      <c r="EP1787" t="s">
        <v>421</v>
      </c>
      <c r="EQ1787" t="s">
        <v>422</v>
      </c>
      <c r="ER1787">
        <v>2</v>
      </c>
      <c r="ES1787">
        <v>1</v>
      </c>
      <c r="ET1787">
        <v>10437.32</v>
      </c>
      <c r="EU1787">
        <v>534.37</v>
      </c>
      <c r="EV1787">
        <v>10971.69</v>
      </c>
      <c r="EW1787" s="2">
        <v>43222</v>
      </c>
      <c r="EX1787" s="1">
        <v>42879</v>
      </c>
      <c r="EY1787">
        <v>2016</v>
      </c>
      <c r="EZ1787">
        <v>5218.66</v>
      </c>
      <c r="FA1787" t="s">
        <v>17614</v>
      </c>
      <c r="FB1787">
        <v>0.25</v>
      </c>
      <c r="FC1787" t="s">
        <v>424</v>
      </c>
      <c r="FD1787" t="s">
        <v>454</v>
      </c>
      <c r="FF1787">
        <v>12</v>
      </c>
      <c r="FG1787">
        <v>2851116</v>
      </c>
      <c r="FH1787" t="s">
        <v>480</v>
      </c>
      <c r="FJ1787" s="1">
        <v>42879</v>
      </c>
      <c r="FK1787">
        <v>2016</v>
      </c>
      <c r="FL1787">
        <v>5218.66</v>
      </c>
      <c r="FM1787" t="s">
        <v>17614</v>
      </c>
      <c r="FN1787">
        <v>0.25</v>
      </c>
      <c r="FO1787" t="s">
        <v>424</v>
      </c>
      <c r="FP1787" t="s">
        <v>454</v>
      </c>
      <c r="FR1787">
        <v>12</v>
      </c>
      <c r="FS1787">
        <v>5312432</v>
      </c>
      <c r="FT1787" t="s">
        <v>17615</v>
      </c>
      <c r="FV1787" s="1">
        <v>41423</v>
      </c>
      <c r="FW1787">
        <v>2012</v>
      </c>
      <c r="FX1787">
        <v>4904.09</v>
      </c>
      <c r="FY1787" t="s">
        <v>17616</v>
      </c>
      <c r="FZ1787">
        <v>0.25</v>
      </c>
      <c r="GA1787" t="s">
        <v>424</v>
      </c>
      <c r="GB1787" t="s">
        <v>425</v>
      </c>
      <c r="GC1787" s="1">
        <v>41437</v>
      </c>
      <c r="GD1787">
        <v>1</v>
      </c>
      <c r="GE1787">
        <v>15970</v>
      </c>
      <c r="GF1787" t="s">
        <v>1435</v>
      </c>
    </row>
    <row r="1788" spans="1:260" x14ac:dyDescent="0.25">
      <c r="A1788">
        <v>16486795</v>
      </c>
      <c r="B1788">
        <v>1787</v>
      </c>
      <c r="C1788" t="s">
        <v>393</v>
      </c>
      <c r="D1788" t="s">
        <v>394</v>
      </c>
      <c r="F1788" t="str">
        <f>"42-3N-28-0000-0009-0020"</f>
        <v>42-3N-28-0000-0009-0020</v>
      </c>
      <c r="H1788" t="str">
        <f>"LEVY KATHERINE I METZ (50%) &amp; LEVY WAYNE M (25%) &amp; LEVY KENNETH A (25%)"</f>
        <v>LEVY KATHERINE I METZ (50%) &amp; LEVY WAYNE M (25%) &amp; LEVY KENNETH A (25%)</v>
      </c>
      <c r="I1788" t="str">
        <f>""</f>
        <v/>
      </c>
      <c r="J1788" t="str">
        <f>"YULEE FL 32097"</f>
        <v>YULEE FL 32097</v>
      </c>
      <c r="K1788" t="str">
        <f>"BELLEVILLE LN"</f>
        <v>BELLEVILLE LN</v>
      </c>
      <c r="L1788" t="str">
        <f t="shared" si="637"/>
        <v>YULEE FL 32097</v>
      </c>
      <c r="M1788" t="str">
        <f>"IN OR 1575/466 CASE 08-CP-83"</f>
        <v>IN OR 1575/466 CASE 08-CP-83</v>
      </c>
      <c r="N1788" t="str">
        <f>""</f>
        <v/>
      </c>
      <c r="O1788" t="str">
        <f>"49092"</f>
        <v>49092</v>
      </c>
      <c r="P1788" t="str">
        <f t="shared" si="628"/>
        <v>2017</v>
      </c>
      <c r="Q1788" t="str">
        <f>""</f>
        <v/>
      </c>
      <c r="R1788" t="str">
        <f t="shared" si="668"/>
        <v>N</v>
      </c>
      <c r="S1788" t="str">
        <f>"0.65"</f>
        <v>0.65</v>
      </c>
      <c r="T1788" t="str">
        <f>"356.34"</f>
        <v>356.34</v>
      </c>
      <c r="U1788" t="str">
        <f>"23375.00"</f>
        <v>23375.00</v>
      </c>
      <c r="V1788" t="str">
        <f>"23375.00"</f>
        <v>23375.00</v>
      </c>
      <c r="W1788" t="str">
        <f t="shared" si="630"/>
        <v>2017</v>
      </c>
      <c r="X1788" t="str">
        <f>"22.00"</f>
        <v>22.00</v>
      </c>
      <c r="Y1788" t="str">
        <f>"399.03"</f>
        <v>399.03</v>
      </c>
      <c r="Z1788" t="str">
        <f>""</f>
        <v/>
      </c>
      <c r="AA1788" t="str">
        <f>"23750.00"</f>
        <v>23750.00</v>
      </c>
      <c r="AB1788" t="str">
        <f t="shared" si="657"/>
        <v>Residential</v>
      </c>
      <c r="AC1788" t="str">
        <f t="shared" si="643"/>
        <v>0</v>
      </c>
      <c r="AD1788" t="str">
        <f>""</f>
        <v/>
      </c>
      <c r="AE1788" t="str">
        <f>""</f>
        <v/>
      </c>
      <c r="AF1788" t="str">
        <f>"000"</f>
        <v>000</v>
      </c>
      <c r="AG1788" t="str">
        <f t="shared" si="658"/>
        <v>FL</v>
      </c>
      <c r="AH1788" t="str">
        <f>"28314.00"</f>
        <v>28314.00</v>
      </c>
      <c r="AI1788" t="str">
        <f>"16250.00"</f>
        <v>16250.00</v>
      </c>
      <c r="AJ1788" t="str">
        <f>"C55-000-588-2645-4"</f>
        <v>C55-000-588-2645-4</v>
      </c>
      <c r="AK1788" t="str">
        <f>"31741"</f>
        <v>31741</v>
      </c>
      <c r="AL1788">
        <v>7</v>
      </c>
      <c r="AM1788">
        <v>2037</v>
      </c>
      <c r="AN1788">
        <v>417.38</v>
      </c>
      <c r="AQ1788" t="s">
        <v>17617</v>
      </c>
      <c r="AR1788" t="s">
        <v>17617</v>
      </c>
      <c r="AS1788" t="s">
        <v>17617</v>
      </c>
      <c r="AU1788" t="s">
        <v>396</v>
      </c>
      <c r="AV1788">
        <v>2017</v>
      </c>
      <c r="AW1788" t="str">
        <f>"42-3N-28-0000-0009-0020 "</f>
        <v xml:space="preserve">42-3N-28-0000-0009-0020 </v>
      </c>
      <c r="AZ1788" t="s">
        <v>17598</v>
      </c>
      <c r="BA1788" t="s">
        <v>653</v>
      </c>
      <c r="BD1788" t="s">
        <v>2387</v>
      </c>
      <c r="BE1788" t="s">
        <v>393</v>
      </c>
      <c r="BF1788">
        <v>32097</v>
      </c>
      <c r="BG1788" t="s">
        <v>17599</v>
      </c>
      <c r="BH1788" t="s">
        <v>2388</v>
      </c>
      <c r="BI1788">
        <v>-81.541086053050506</v>
      </c>
      <c r="BJ1788">
        <v>30.685341576061901</v>
      </c>
      <c r="BK1788" t="s">
        <v>17618</v>
      </c>
      <c r="BM1788" t="s">
        <v>17619</v>
      </c>
      <c r="BN1788" t="s">
        <v>1778</v>
      </c>
      <c r="BO1788">
        <v>32097</v>
      </c>
      <c r="BP1788" t="s">
        <v>404</v>
      </c>
      <c r="BQ1788">
        <v>1</v>
      </c>
      <c r="BR1788" t="s">
        <v>491</v>
      </c>
      <c r="BS1788">
        <v>8001</v>
      </c>
      <c r="BT1788" t="s">
        <v>492</v>
      </c>
      <c r="BW1788">
        <v>28314</v>
      </c>
      <c r="BX1788" t="s">
        <v>407</v>
      </c>
      <c r="BY1788" t="s">
        <v>2729</v>
      </c>
      <c r="CD1788">
        <v>2017</v>
      </c>
      <c r="CE1788">
        <v>16250</v>
      </c>
      <c r="CF1788">
        <v>7500</v>
      </c>
      <c r="CG1788">
        <v>23750</v>
      </c>
      <c r="CH1788">
        <v>2017</v>
      </c>
      <c r="CI1788">
        <v>16250</v>
      </c>
      <c r="CJ1788">
        <v>7500</v>
      </c>
      <c r="CK1788">
        <v>23750</v>
      </c>
      <c r="CL1788">
        <v>2017</v>
      </c>
      <c r="CM1788">
        <v>356.34</v>
      </c>
      <c r="CN1788" s="1">
        <v>38422</v>
      </c>
      <c r="CZ1788" s="1">
        <v>38422</v>
      </c>
      <c r="DD1788" t="s">
        <v>2387</v>
      </c>
      <c r="DG1788">
        <v>42</v>
      </c>
      <c r="DL1788">
        <v>50301</v>
      </c>
      <c r="DM1788" t="s">
        <v>17603</v>
      </c>
      <c r="DO1788" t="s">
        <v>17620</v>
      </c>
      <c r="DP1788">
        <v>0</v>
      </c>
      <c r="DQ1788">
        <v>0</v>
      </c>
      <c r="DR1788" t="s">
        <v>411</v>
      </c>
      <c r="DS1788" t="b">
        <v>1</v>
      </c>
      <c r="DT1788" t="s">
        <v>470</v>
      </c>
      <c r="DU1788" t="s">
        <v>10249</v>
      </c>
      <c r="DV1788" t="s">
        <v>472</v>
      </c>
      <c r="DX1788">
        <v>-9999</v>
      </c>
      <c r="DZ1788" t="s">
        <v>447</v>
      </c>
      <c r="EA1788" t="s">
        <v>448</v>
      </c>
      <c r="EB1788" t="s">
        <v>17259</v>
      </c>
      <c r="EC1788">
        <v>20101217</v>
      </c>
      <c r="ED1788" t="s">
        <v>10251</v>
      </c>
      <c r="EE1788">
        <v>5</v>
      </c>
      <c r="EF1788">
        <v>205.6</v>
      </c>
      <c r="EG1788">
        <v>0</v>
      </c>
      <c r="EI1788">
        <v>20160407</v>
      </c>
      <c r="EJ1788">
        <v>0</v>
      </c>
      <c r="EK1788">
        <v>0</v>
      </c>
      <c r="EP1788" t="s">
        <v>595</v>
      </c>
      <c r="EQ1788" t="s">
        <v>422</v>
      </c>
      <c r="ER1788">
        <v>9</v>
      </c>
      <c r="ES1788">
        <v>0</v>
      </c>
      <c r="ET1788">
        <v>4037.51</v>
      </c>
      <c r="EU1788">
        <v>1622.87</v>
      </c>
      <c r="EV1788">
        <v>5660.38</v>
      </c>
      <c r="EW1788" s="2">
        <v>43222</v>
      </c>
      <c r="EX1788" s="1">
        <v>42879</v>
      </c>
      <c r="EY1788">
        <v>2016</v>
      </c>
      <c r="EZ1788">
        <v>379.8</v>
      </c>
      <c r="FA1788" t="s">
        <v>17621</v>
      </c>
      <c r="FB1788">
        <v>17.75</v>
      </c>
      <c r="FC1788" t="s">
        <v>424</v>
      </c>
      <c r="FD1788" t="s">
        <v>454</v>
      </c>
      <c r="FF1788">
        <v>12</v>
      </c>
      <c r="FG1788">
        <v>5100525</v>
      </c>
      <c r="FH1788" t="s">
        <v>6804</v>
      </c>
      <c r="FJ1788" s="1">
        <v>42515</v>
      </c>
      <c r="FK1788">
        <v>2015</v>
      </c>
      <c r="FL1788">
        <v>379.18</v>
      </c>
      <c r="FM1788" t="s">
        <v>17622</v>
      </c>
      <c r="FN1788">
        <v>18</v>
      </c>
      <c r="FO1788" t="s">
        <v>603</v>
      </c>
      <c r="FP1788" t="s">
        <v>454</v>
      </c>
      <c r="FR1788">
        <v>24</v>
      </c>
      <c r="FS1788">
        <v>9999999</v>
      </c>
      <c r="FT1788" t="s">
        <v>604</v>
      </c>
      <c r="FV1788" s="1">
        <v>42515</v>
      </c>
      <c r="FW1788">
        <v>2015</v>
      </c>
      <c r="FX1788">
        <v>402.49</v>
      </c>
      <c r="FY1788" t="s">
        <v>17622</v>
      </c>
      <c r="FZ1788">
        <v>18</v>
      </c>
      <c r="GA1788" t="s">
        <v>424</v>
      </c>
      <c r="GB1788" t="s">
        <v>454</v>
      </c>
      <c r="GD1788">
        <v>24</v>
      </c>
      <c r="GE1788">
        <v>14851</v>
      </c>
      <c r="GF1788" t="s">
        <v>4401</v>
      </c>
      <c r="GH1788" s="1">
        <v>42151</v>
      </c>
      <c r="GI1788">
        <v>2014</v>
      </c>
      <c r="GJ1788">
        <v>350.73</v>
      </c>
      <c r="GK1788" t="s">
        <v>17623</v>
      </c>
      <c r="GL1788">
        <v>18</v>
      </c>
      <c r="GM1788" t="s">
        <v>424</v>
      </c>
      <c r="GN1788" t="s">
        <v>454</v>
      </c>
      <c r="GP1788">
        <v>36</v>
      </c>
      <c r="GQ1788">
        <v>10125</v>
      </c>
      <c r="GR1788" t="s">
        <v>440</v>
      </c>
      <c r="GT1788" s="1">
        <v>41787</v>
      </c>
      <c r="GU1788">
        <v>2013</v>
      </c>
      <c r="GV1788">
        <v>300.02999999999997</v>
      </c>
      <c r="GW1788" t="s">
        <v>17624</v>
      </c>
      <c r="GX1788">
        <v>0.25</v>
      </c>
      <c r="GY1788" t="s">
        <v>424</v>
      </c>
      <c r="GZ1788" t="s">
        <v>454</v>
      </c>
      <c r="HB1788">
        <v>48</v>
      </c>
      <c r="HC1788">
        <v>10125</v>
      </c>
      <c r="HD1788" t="s">
        <v>440</v>
      </c>
      <c r="HF1788" s="1">
        <v>41423</v>
      </c>
      <c r="HG1788">
        <v>2012</v>
      </c>
      <c r="HH1788">
        <v>303.51</v>
      </c>
      <c r="HI1788" t="s">
        <v>17625</v>
      </c>
      <c r="HJ1788">
        <v>16.75</v>
      </c>
      <c r="HK1788" t="s">
        <v>424</v>
      </c>
      <c r="HL1788" t="s">
        <v>454</v>
      </c>
      <c r="HN1788">
        <v>60</v>
      </c>
      <c r="HO1788">
        <v>10125</v>
      </c>
      <c r="HP1788" t="s">
        <v>440</v>
      </c>
      <c r="HR1788" s="1">
        <v>41052</v>
      </c>
      <c r="HS1788">
        <v>2011</v>
      </c>
      <c r="HT1788">
        <v>638.97</v>
      </c>
      <c r="HU1788" t="s">
        <v>17626</v>
      </c>
      <c r="HV1788">
        <v>5.75</v>
      </c>
      <c r="HW1788" t="s">
        <v>424</v>
      </c>
      <c r="HX1788" t="s">
        <v>454</v>
      </c>
      <c r="HZ1788">
        <v>72</v>
      </c>
      <c r="IA1788">
        <v>62</v>
      </c>
      <c r="IB1788" t="s">
        <v>463</v>
      </c>
      <c r="ID1788" s="1">
        <v>40688</v>
      </c>
      <c r="IE1788">
        <v>2010</v>
      </c>
      <c r="IF1788">
        <v>641.4</v>
      </c>
      <c r="IG1788" t="s">
        <v>17627</v>
      </c>
      <c r="IH1788">
        <v>6</v>
      </c>
      <c r="II1788" t="s">
        <v>424</v>
      </c>
      <c r="IJ1788" t="s">
        <v>454</v>
      </c>
      <c r="IL1788">
        <v>84</v>
      </c>
      <c r="IM1788">
        <v>375</v>
      </c>
      <c r="IN1788" t="s">
        <v>776</v>
      </c>
      <c r="IP1788" s="1">
        <v>40688</v>
      </c>
      <c r="IQ1788">
        <v>2010</v>
      </c>
      <c r="IR1788">
        <v>641.4</v>
      </c>
      <c r="IS1788" t="s">
        <v>17627</v>
      </c>
      <c r="IT1788">
        <v>6</v>
      </c>
      <c r="IU1788" t="s">
        <v>424</v>
      </c>
      <c r="IV1788" t="s">
        <v>454</v>
      </c>
      <c r="IX1788">
        <v>84</v>
      </c>
      <c r="IY1788">
        <v>105</v>
      </c>
      <c r="IZ1788" t="s">
        <v>946</v>
      </c>
    </row>
    <row r="1789" spans="1:260" x14ac:dyDescent="0.25">
      <c r="A1789">
        <v>16486796</v>
      </c>
      <c r="B1789">
        <v>1788</v>
      </c>
      <c r="C1789" t="s">
        <v>393</v>
      </c>
      <c r="D1789" t="s">
        <v>394</v>
      </c>
      <c r="F1789" t="str">
        <f>"42-3N-28-0000-0012-0000"</f>
        <v>42-3N-28-0000-0012-0000</v>
      </c>
      <c r="H1789" t="str">
        <f>"HARRIS LEONARD I JR EST"</f>
        <v>HARRIS LEONARD I JR EST</v>
      </c>
      <c r="I1789" t="str">
        <f>"97304 WATER OAK RD"</f>
        <v>97304 WATER OAK RD</v>
      </c>
      <c r="J1789" t="str">
        <f>"YULEE FL 32097"</f>
        <v>YULEE FL 32097</v>
      </c>
      <c r="K1789" t="str">
        <f>"2225 CHESTER RD"</f>
        <v>2225 CHESTER RD</v>
      </c>
      <c r="L1789" t="str">
        <f>"FERNANDINA BEACH FL 32034"</f>
        <v>FERNANDINA BEACH FL 32034</v>
      </c>
      <c r="M1789" t="str">
        <f>"PT OF LOT 12 IN OR 642/166 EX 12-5 &amp; 12-6"</f>
        <v>PT OF LOT 12 IN OR 642/166 EX 12-5 &amp; 12-6</v>
      </c>
      <c r="N1789" t="str">
        <f>""</f>
        <v/>
      </c>
      <c r="O1789" t="str">
        <f>"49096"</f>
        <v>49096</v>
      </c>
      <c r="P1789" t="str">
        <f t="shared" si="628"/>
        <v>2017</v>
      </c>
      <c r="Q1789" t="str">
        <f>""</f>
        <v/>
      </c>
      <c r="R1789" t="str">
        <f t="shared" si="668"/>
        <v>N</v>
      </c>
      <c r="S1789" t="str">
        <f>""</f>
        <v/>
      </c>
      <c r="T1789" t="str">
        <f>"378.48"</f>
        <v>378.48</v>
      </c>
      <c r="U1789" t="str">
        <f>"25000.00"</f>
        <v>25000.00</v>
      </c>
      <c r="V1789" t="str">
        <f>"25000.00"</f>
        <v>25000.00</v>
      </c>
      <c r="W1789" t="str">
        <f t="shared" si="630"/>
        <v>2017</v>
      </c>
      <c r="X1789" t="str">
        <f>"7.50"</f>
        <v>7.50</v>
      </c>
      <c r="Y1789" t="str">
        <f>"421.83"</f>
        <v>421.83</v>
      </c>
      <c r="Z1789" t="str">
        <f>""</f>
        <v/>
      </c>
      <c r="AA1789" t="str">
        <f>"25000.00"</f>
        <v>25000.00</v>
      </c>
      <c r="AB1789" t="str">
        <f t="shared" si="657"/>
        <v>Residential</v>
      </c>
      <c r="AC1789" t="str">
        <f t="shared" si="643"/>
        <v>0</v>
      </c>
      <c r="AD1789" t="str">
        <f>""</f>
        <v/>
      </c>
      <c r="AE1789" t="str">
        <f>""</f>
        <v/>
      </c>
      <c r="AF1789" t="str">
        <f>"000"</f>
        <v>000</v>
      </c>
      <c r="AG1789" t="str">
        <f t="shared" si="658"/>
        <v>FL</v>
      </c>
      <c r="AH1789" t="str">
        <f>"-"</f>
        <v>-</v>
      </c>
      <c r="AI1789" t="str">
        <f>"25000.00"</f>
        <v>25000.00</v>
      </c>
      <c r="AJ1789" t="str">
        <f>"C55-000-588-2649-6"</f>
        <v>C55-000-588-2649-6</v>
      </c>
      <c r="AK1789" t="str">
        <f>"31745"</f>
        <v>31745</v>
      </c>
      <c r="AL1789">
        <v>7</v>
      </c>
      <c r="AM1789">
        <v>2038</v>
      </c>
      <c r="AN1789">
        <v>441.32</v>
      </c>
      <c r="AQ1789" t="s">
        <v>17628</v>
      </c>
      <c r="AR1789" t="s">
        <v>17628</v>
      </c>
      <c r="AS1789" t="s">
        <v>17628</v>
      </c>
      <c r="AU1789" t="s">
        <v>396</v>
      </c>
      <c r="AV1789">
        <v>2017</v>
      </c>
      <c r="AW1789" t="str">
        <f>"42-3N-28-0000-0012-0000 "</f>
        <v xml:space="preserve">42-3N-28-0000-0012-0000 </v>
      </c>
      <c r="AX1789">
        <v>2225</v>
      </c>
      <c r="AZ1789" t="s">
        <v>17629</v>
      </c>
      <c r="BA1789" t="s">
        <v>496</v>
      </c>
      <c r="BD1789" t="s">
        <v>11749</v>
      </c>
      <c r="BE1789" t="s">
        <v>393</v>
      </c>
      <c r="BF1789">
        <v>32034</v>
      </c>
      <c r="BG1789" t="s">
        <v>17630</v>
      </c>
      <c r="BH1789" t="s">
        <v>11751</v>
      </c>
      <c r="BI1789">
        <v>-81.538989010148399</v>
      </c>
      <c r="BJ1789">
        <v>30.683841618485101</v>
      </c>
      <c r="BK1789" t="s">
        <v>17631</v>
      </c>
      <c r="BM1789" t="s">
        <v>17632</v>
      </c>
      <c r="BN1789" t="s">
        <v>1778</v>
      </c>
      <c r="BO1789">
        <v>32097</v>
      </c>
      <c r="BP1789" t="s">
        <v>404</v>
      </c>
      <c r="BQ1789">
        <v>0</v>
      </c>
      <c r="BR1789" t="s">
        <v>491</v>
      </c>
      <c r="BS1789">
        <v>8001</v>
      </c>
      <c r="BT1789" t="s">
        <v>492</v>
      </c>
      <c r="BW1789">
        <v>32560</v>
      </c>
      <c r="BX1789" t="s">
        <v>407</v>
      </c>
      <c r="BY1789" t="s">
        <v>2729</v>
      </c>
      <c r="CD1789">
        <v>2017</v>
      </c>
      <c r="CE1789">
        <v>25000</v>
      </c>
      <c r="CG1789">
        <v>25000</v>
      </c>
      <c r="CH1789">
        <v>2017</v>
      </c>
      <c r="CI1789">
        <v>25000</v>
      </c>
      <c r="CK1789">
        <v>25000</v>
      </c>
      <c r="CL1789">
        <v>2017</v>
      </c>
      <c r="CM1789">
        <v>378.48</v>
      </c>
      <c r="CN1789" s="1">
        <v>38320</v>
      </c>
      <c r="CO1789">
        <v>16000</v>
      </c>
      <c r="CV1789">
        <v>0</v>
      </c>
      <c r="CZ1789" s="1">
        <v>38320</v>
      </c>
      <c r="DA1789">
        <v>0</v>
      </c>
      <c r="DD1789" t="s">
        <v>11749</v>
      </c>
      <c r="DF1789">
        <v>12</v>
      </c>
      <c r="DG1789">
        <v>42</v>
      </c>
      <c r="DL1789">
        <v>50301</v>
      </c>
      <c r="DM1789" t="s">
        <v>17603</v>
      </c>
      <c r="DO1789" t="s">
        <v>17633</v>
      </c>
      <c r="DP1789">
        <v>0</v>
      </c>
      <c r="DQ1789">
        <v>1</v>
      </c>
      <c r="DR1789" t="s">
        <v>411</v>
      </c>
      <c r="DS1789" t="b">
        <v>1</v>
      </c>
      <c r="DT1789" t="s">
        <v>470</v>
      </c>
      <c r="DU1789" t="s">
        <v>10249</v>
      </c>
      <c r="DV1789" t="s">
        <v>472</v>
      </c>
      <c r="DX1789">
        <v>-9999</v>
      </c>
      <c r="DZ1789" t="s">
        <v>447</v>
      </c>
      <c r="EA1789" t="s">
        <v>448</v>
      </c>
      <c r="EB1789" t="s">
        <v>17259</v>
      </c>
      <c r="EC1789">
        <v>20101217</v>
      </c>
      <c r="ED1789" t="s">
        <v>10251</v>
      </c>
      <c r="EE1789">
        <v>5</v>
      </c>
      <c r="EF1789">
        <v>303.3</v>
      </c>
      <c r="EG1789">
        <v>0</v>
      </c>
      <c r="EI1789">
        <v>20160407</v>
      </c>
      <c r="EJ1789">
        <v>0</v>
      </c>
      <c r="EK1789">
        <v>0</v>
      </c>
      <c r="EP1789" t="s">
        <v>421</v>
      </c>
      <c r="EQ1789" t="s">
        <v>422</v>
      </c>
      <c r="ER1789">
        <v>0</v>
      </c>
      <c r="ES1789">
        <v>3</v>
      </c>
      <c r="ET1789">
        <v>0</v>
      </c>
      <c r="EU1789">
        <v>0</v>
      </c>
      <c r="EV1789">
        <v>0</v>
      </c>
      <c r="EW1789" s="2">
        <v>43222</v>
      </c>
      <c r="EX1789" s="1">
        <v>42879</v>
      </c>
      <c r="EY1789">
        <v>2016</v>
      </c>
      <c r="EZ1789">
        <v>442.05</v>
      </c>
      <c r="FA1789" t="s">
        <v>17634</v>
      </c>
      <c r="FB1789">
        <v>4.5</v>
      </c>
      <c r="FC1789" t="s">
        <v>424</v>
      </c>
      <c r="FD1789" t="s">
        <v>425</v>
      </c>
      <c r="FE1789" s="1">
        <v>43122</v>
      </c>
      <c r="FF1789">
        <v>8</v>
      </c>
      <c r="FG1789">
        <v>5100525</v>
      </c>
      <c r="FH1789" t="s">
        <v>6804</v>
      </c>
      <c r="FJ1789" s="1">
        <v>42515</v>
      </c>
      <c r="FK1789">
        <v>2015</v>
      </c>
      <c r="FL1789">
        <v>447.15</v>
      </c>
      <c r="FM1789" t="s">
        <v>17635</v>
      </c>
      <c r="FN1789">
        <v>14.75</v>
      </c>
      <c r="FO1789" t="s">
        <v>424</v>
      </c>
      <c r="FP1789" t="s">
        <v>425</v>
      </c>
      <c r="FQ1789" s="1">
        <v>42811</v>
      </c>
      <c r="FR1789">
        <v>10</v>
      </c>
      <c r="FS1789">
        <v>7336143</v>
      </c>
      <c r="FT1789" t="s">
        <v>539</v>
      </c>
      <c r="FV1789" s="1">
        <v>40688</v>
      </c>
      <c r="FW1789">
        <v>2010</v>
      </c>
      <c r="FX1789">
        <v>513.23</v>
      </c>
      <c r="FY1789" t="s">
        <v>17636</v>
      </c>
      <c r="FZ1789">
        <v>6</v>
      </c>
      <c r="GA1789" t="s">
        <v>424</v>
      </c>
      <c r="GB1789" t="s">
        <v>425</v>
      </c>
      <c r="GC1789" s="1">
        <v>41016</v>
      </c>
      <c r="GD1789">
        <v>11</v>
      </c>
      <c r="GE1789">
        <v>375</v>
      </c>
      <c r="GF1789" t="s">
        <v>776</v>
      </c>
    </row>
    <row r="1790" spans="1:260" x14ac:dyDescent="0.25">
      <c r="A1790">
        <v>16486797</v>
      </c>
      <c r="B1790">
        <v>1789</v>
      </c>
      <c r="C1790" t="s">
        <v>393</v>
      </c>
      <c r="D1790" t="s">
        <v>394</v>
      </c>
      <c r="F1790" t="str">
        <f>"42-3N-28-0000-0013-0000"</f>
        <v>42-3N-28-0000-0013-0000</v>
      </c>
      <c r="H1790" t="str">
        <f>"GROVE NANCY ANN TRUSTEE OF THE NANCY ANN GROVE LIVING TRUST"</f>
        <v>GROVE NANCY ANN TRUSTEE OF THE NANCY ANN GROVE LIVING TRUST</v>
      </c>
      <c r="I1790" t="str">
        <f>"96082 PARK PLACE"</f>
        <v>96082 PARK PLACE</v>
      </c>
      <c r="J1790" t="str">
        <f>"FERNANDINA BEACH FL 32034"</f>
        <v>FERNANDINA BEACH FL 32034</v>
      </c>
      <c r="K1790" t="str">
        <f>"97590 CHESTER RIVER RD"</f>
        <v>97590 CHESTER RIVER RD</v>
      </c>
      <c r="L1790" t="str">
        <f t="shared" ref="L1790:L1822" si="669">"YULEE FL 32097"</f>
        <v>YULEE FL 32097</v>
      </c>
      <c r="M1790" t="str">
        <f>"LOT 19 (LESS S 85 FT) IN OR 2045/1849 R334387/R334388 1976 CENTAUR"</f>
        <v>LOT 19 (LESS S 85 FT) IN OR 2045/1849 R334387/R334388 1976 CENTAUR</v>
      </c>
      <c r="N1790" t="str">
        <f>""</f>
        <v/>
      </c>
      <c r="O1790" t="str">
        <f>"49103"</f>
        <v>49103</v>
      </c>
      <c r="P1790" t="str">
        <f t="shared" si="628"/>
        <v>2017</v>
      </c>
      <c r="Q1790" t="str">
        <f>""</f>
        <v/>
      </c>
      <c r="R1790" t="str">
        <f t="shared" si="668"/>
        <v>N</v>
      </c>
      <c r="S1790" t="str">
        <f>""</f>
        <v/>
      </c>
      <c r="T1790" t="str">
        <f>"641.89"</f>
        <v>641.89</v>
      </c>
      <c r="U1790" t="str">
        <f>"39673.00"</f>
        <v>39673.00</v>
      </c>
      <c r="V1790" t="str">
        <f>"39673.00"</f>
        <v>39673.00</v>
      </c>
      <c r="W1790" t="str">
        <f t="shared" si="630"/>
        <v>2017</v>
      </c>
      <c r="X1790" t="str">
        <f>""</f>
        <v/>
      </c>
      <c r="Y1790" t="str">
        <f>"693.15"</f>
        <v>693.15</v>
      </c>
      <c r="Z1790" t="str">
        <f>""</f>
        <v/>
      </c>
      <c r="AA1790" t="str">
        <f>"45931.00"</f>
        <v>45931.00</v>
      </c>
      <c r="AB1790" t="str">
        <f t="shared" si="657"/>
        <v>Residential</v>
      </c>
      <c r="AC1790" t="str">
        <f t="shared" si="643"/>
        <v>0</v>
      </c>
      <c r="AD1790" t="str">
        <f>"4"</f>
        <v>4</v>
      </c>
      <c r="AE1790" t="str">
        <f>"WOOD (INCLUDE STEEL STUDS)"</f>
        <v>WOOD (INCLUDE STEEL STUDS)</v>
      </c>
      <c r="AF1790" t="str">
        <f>"002"</f>
        <v>002</v>
      </c>
      <c r="AG1790" t="str">
        <f t="shared" si="658"/>
        <v>FL</v>
      </c>
      <c r="AH1790" t="str">
        <f>"-"</f>
        <v>-</v>
      </c>
      <c r="AI1790" t="str">
        <f>"20000.00"</f>
        <v>20000.00</v>
      </c>
      <c r="AJ1790" t="str">
        <f>"C55-000-588-2654-6"</f>
        <v>C55-000-588-2654-6</v>
      </c>
      <c r="AK1790" t="str">
        <f>"31749"</f>
        <v>31749</v>
      </c>
      <c r="AL1790">
        <v>7</v>
      </c>
      <c r="AM1790">
        <v>2039</v>
      </c>
      <c r="AN1790">
        <v>726.21</v>
      </c>
      <c r="AQ1790" t="s">
        <v>17637</v>
      </c>
      <c r="AR1790" t="s">
        <v>17637</v>
      </c>
      <c r="AS1790" t="s">
        <v>17637</v>
      </c>
      <c r="AU1790" t="s">
        <v>396</v>
      </c>
      <c r="AV1790">
        <v>2017</v>
      </c>
      <c r="AW1790" t="str">
        <f>"42-3N-28-0000-0013-0000 "</f>
        <v xml:space="preserve">42-3N-28-0000-0013-0000 </v>
      </c>
      <c r="AX1790">
        <v>97590</v>
      </c>
      <c r="AZ1790" t="s">
        <v>17638</v>
      </c>
      <c r="BA1790" t="s">
        <v>496</v>
      </c>
      <c r="BD1790" t="s">
        <v>2387</v>
      </c>
      <c r="BE1790" t="s">
        <v>393</v>
      </c>
      <c r="BF1790">
        <v>32097</v>
      </c>
      <c r="BG1790" t="s">
        <v>17639</v>
      </c>
      <c r="BH1790" t="s">
        <v>2388</v>
      </c>
      <c r="BI1790">
        <v>-81.5399217492578</v>
      </c>
      <c r="BJ1790">
        <v>30.683917885381</v>
      </c>
      <c r="BK1790" t="s">
        <v>13512</v>
      </c>
      <c r="BL1790" t="s">
        <v>13513</v>
      </c>
      <c r="BM1790" t="s">
        <v>13514</v>
      </c>
      <c r="BN1790" t="s">
        <v>3983</v>
      </c>
      <c r="BO1790">
        <v>32034</v>
      </c>
      <c r="BP1790" t="s">
        <v>404</v>
      </c>
      <c r="BQ1790">
        <v>200</v>
      </c>
      <c r="BR1790" t="s">
        <v>405</v>
      </c>
      <c r="BS1790">
        <v>1006</v>
      </c>
      <c r="BT1790" t="s">
        <v>406</v>
      </c>
      <c r="BW1790">
        <v>21883</v>
      </c>
      <c r="BX1790" t="s">
        <v>407</v>
      </c>
      <c r="BY1790" t="s">
        <v>2729</v>
      </c>
      <c r="BZ1790">
        <v>4</v>
      </c>
      <c r="CA1790">
        <v>1976</v>
      </c>
      <c r="CB1790">
        <v>1</v>
      </c>
      <c r="CC1790">
        <v>1</v>
      </c>
      <c r="CD1790">
        <v>2017</v>
      </c>
      <c r="CE1790">
        <v>20000</v>
      </c>
      <c r="CF1790">
        <v>25931</v>
      </c>
      <c r="CG1790">
        <v>45931</v>
      </c>
      <c r="CH1790">
        <v>2017</v>
      </c>
      <c r="CI1790">
        <v>20000</v>
      </c>
      <c r="CJ1790">
        <v>25931</v>
      </c>
      <c r="CK1790">
        <v>45931</v>
      </c>
      <c r="CL1790">
        <v>2017</v>
      </c>
      <c r="CM1790">
        <v>641.89</v>
      </c>
      <c r="CN1790" s="1">
        <v>39114</v>
      </c>
      <c r="CO1790">
        <v>90000</v>
      </c>
      <c r="CV1790">
        <v>0</v>
      </c>
      <c r="CZ1790" s="1">
        <v>39114</v>
      </c>
      <c r="DA1790">
        <v>0</v>
      </c>
      <c r="DD1790" t="s">
        <v>2387</v>
      </c>
      <c r="DF1790">
        <v>19</v>
      </c>
      <c r="DG1790">
        <v>42</v>
      </c>
      <c r="DL1790">
        <v>50301</v>
      </c>
      <c r="DM1790" t="s">
        <v>17603</v>
      </c>
      <c r="DO1790" t="s">
        <v>17640</v>
      </c>
      <c r="DP1790">
        <v>0</v>
      </c>
      <c r="DQ1790">
        <v>0</v>
      </c>
      <c r="DR1790" t="s">
        <v>411</v>
      </c>
    </row>
    <row r="1791" spans="1:260" x14ac:dyDescent="0.25">
      <c r="A1791">
        <v>16486798</v>
      </c>
      <c r="B1791">
        <v>1790</v>
      </c>
      <c r="C1791" t="s">
        <v>393</v>
      </c>
      <c r="D1791" t="s">
        <v>394</v>
      </c>
      <c r="F1791" t="str">
        <f>"42-3N-28-0000-0014-0010"</f>
        <v>42-3N-28-0000-0014-0010</v>
      </c>
      <c r="H1791" t="str">
        <f>"BARBER LORI MICHELE"</f>
        <v>BARBER LORI MICHELE</v>
      </c>
      <c r="I1791" t="str">
        <f>"96845 CHESTER RD"</f>
        <v>96845 CHESTER RD</v>
      </c>
      <c r="J1791" t="str">
        <f>"YULEE FL 32097"</f>
        <v>YULEE FL 32097</v>
      </c>
      <c r="K1791" t="str">
        <f>"CHESTER RIVER RD"</f>
        <v>CHESTER RIVER RD</v>
      </c>
      <c r="L1791" t="str">
        <f t="shared" si="669"/>
        <v>YULEE FL 32097</v>
      </c>
      <c r="M1791" t="str">
        <f>"PT SEC 42-3N-28E RECD IN OR 1967/1891"</f>
        <v>PT SEC 42-3N-28E RECD IN OR 1967/1891</v>
      </c>
      <c r="N1791" t="str">
        <f>""</f>
        <v/>
      </c>
      <c r="O1791" t="str">
        <f>"49106"</f>
        <v>49106</v>
      </c>
      <c r="P1791" t="str">
        <f t="shared" si="628"/>
        <v>2017</v>
      </c>
      <c r="Q1791" t="str">
        <f>""</f>
        <v/>
      </c>
      <c r="R1791" t="str">
        <f t="shared" si="668"/>
        <v>N</v>
      </c>
      <c r="S1791" t="str">
        <f>"1.00"</f>
        <v>1.00</v>
      </c>
      <c r="T1791" t="str">
        <f>"378.48"</f>
        <v>378.48</v>
      </c>
      <c r="U1791" t="str">
        <f>"25000.00"</f>
        <v>25000.00</v>
      </c>
      <c r="V1791" t="str">
        <f>"25000.00"</f>
        <v>25000.00</v>
      </c>
      <c r="W1791" t="str">
        <f t="shared" si="630"/>
        <v>2017</v>
      </c>
      <c r="X1791" t="str">
        <f>"7.75"</f>
        <v>7.75</v>
      </c>
      <c r="Y1791" t="str">
        <f>"421.83"</f>
        <v>421.83</v>
      </c>
      <c r="Z1791" t="str">
        <f>""</f>
        <v/>
      </c>
      <c r="AA1791" t="str">
        <f>"25000.00"</f>
        <v>25000.00</v>
      </c>
      <c r="AB1791" t="str">
        <f t="shared" si="657"/>
        <v>Residential</v>
      </c>
      <c r="AC1791" t="str">
        <f t="shared" si="643"/>
        <v>0</v>
      </c>
      <c r="AD1791" t="str">
        <f>""</f>
        <v/>
      </c>
      <c r="AE1791" t="str">
        <f>""</f>
        <v/>
      </c>
      <c r="AF1791" t="str">
        <f>"000"</f>
        <v>000</v>
      </c>
      <c r="AG1791" t="str">
        <f t="shared" si="658"/>
        <v>FL</v>
      </c>
      <c r="AH1791" t="str">
        <f>"43560.00"</f>
        <v>43560.00</v>
      </c>
      <c r="AI1791" t="str">
        <f>"25000.00"</f>
        <v>25000.00</v>
      </c>
      <c r="AJ1791" t="str">
        <f>"C55-000-588-2657-9"</f>
        <v>C55-000-588-2657-9</v>
      </c>
      <c r="AK1791" t="str">
        <f>"31752"</f>
        <v>31752</v>
      </c>
      <c r="AL1791">
        <v>7</v>
      </c>
      <c r="AM1791">
        <v>2040</v>
      </c>
      <c r="AN1791">
        <v>441.32</v>
      </c>
      <c r="AQ1791" t="s">
        <v>17641</v>
      </c>
      <c r="AR1791" t="s">
        <v>17641</v>
      </c>
      <c r="AS1791" t="s">
        <v>17641</v>
      </c>
      <c r="AU1791" t="s">
        <v>396</v>
      </c>
      <c r="AV1791">
        <v>2017</v>
      </c>
      <c r="AW1791" t="str">
        <f>"42-3N-28-0000-0014-0010 "</f>
        <v xml:space="preserve">42-3N-28-0000-0014-0010 </v>
      </c>
      <c r="AZ1791" t="s">
        <v>17638</v>
      </c>
      <c r="BA1791" t="s">
        <v>496</v>
      </c>
      <c r="BD1791" t="s">
        <v>2387</v>
      </c>
      <c r="BE1791" t="s">
        <v>393</v>
      </c>
      <c r="BF1791">
        <v>32097</v>
      </c>
      <c r="BG1791" t="s">
        <v>17642</v>
      </c>
      <c r="BH1791" t="s">
        <v>2388</v>
      </c>
      <c r="BI1791">
        <v>-81.540960064864805</v>
      </c>
      <c r="BJ1791">
        <v>30.6836175652187</v>
      </c>
      <c r="BK1791" t="s">
        <v>17643</v>
      </c>
      <c r="BM1791" t="s">
        <v>17644</v>
      </c>
      <c r="BN1791" t="s">
        <v>1778</v>
      </c>
      <c r="BO1791">
        <v>32097</v>
      </c>
      <c r="BP1791" t="s">
        <v>404</v>
      </c>
      <c r="BQ1791">
        <v>0</v>
      </c>
      <c r="BR1791" t="s">
        <v>491</v>
      </c>
      <c r="BS1791">
        <v>8001</v>
      </c>
      <c r="BT1791" t="s">
        <v>492</v>
      </c>
      <c r="BW1791">
        <v>43560</v>
      </c>
      <c r="BX1791" t="s">
        <v>407</v>
      </c>
      <c r="BY1791" t="s">
        <v>2729</v>
      </c>
      <c r="CD1791">
        <v>2017</v>
      </c>
      <c r="CE1791">
        <v>25000</v>
      </c>
      <c r="CG1791">
        <v>25000</v>
      </c>
      <c r="CH1791">
        <v>2017</v>
      </c>
      <c r="CI1791">
        <v>25000</v>
      </c>
      <c r="CK1791">
        <v>25000</v>
      </c>
      <c r="CL1791">
        <v>2017</v>
      </c>
      <c r="CM1791">
        <v>378.48</v>
      </c>
      <c r="CN1791" s="1">
        <v>42066</v>
      </c>
      <c r="CZ1791" s="1">
        <v>42066</v>
      </c>
      <c r="DD1791" t="s">
        <v>2387</v>
      </c>
      <c r="DG1791">
        <v>42</v>
      </c>
      <c r="DL1791">
        <v>50301</v>
      </c>
      <c r="DM1791" t="s">
        <v>17603</v>
      </c>
      <c r="DO1791" t="s">
        <v>17645</v>
      </c>
      <c r="DP1791">
        <v>0</v>
      </c>
      <c r="DQ1791">
        <v>0</v>
      </c>
      <c r="DR1791" t="s">
        <v>411</v>
      </c>
      <c r="DS1791" t="b">
        <v>1</v>
      </c>
      <c r="DT1791" t="s">
        <v>470</v>
      </c>
      <c r="DU1791" t="s">
        <v>10249</v>
      </c>
      <c r="DV1791" t="s">
        <v>472</v>
      </c>
      <c r="DX1791">
        <v>-9999</v>
      </c>
      <c r="DZ1791" t="s">
        <v>447</v>
      </c>
      <c r="EA1791" t="s">
        <v>448</v>
      </c>
      <c r="EB1791" t="s">
        <v>17259</v>
      </c>
      <c r="EC1791">
        <v>20101217</v>
      </c>
      <c r="ED1791" t="s">
        <v>10251</v>
      </c>
      <c r="EE1791">
        <v>5</v>
      </c>
      <c r="EF1791">
        <v>571.4</v>
      </c>
      <c r="EG1791">
        <v>0</v>
      </c>
      <c r="EI1791">
        <v>20160407</v>
      </c>
      <c r="EJ1791">
        <v>0</v>
      </c>
      <c r="EK1791">
        <v>0</v>
      </c>
      <c r="EP1791" t="s">
        <v>421</v>
      </c>
      <c r="EQ1791" t="s">
        <v>422</v>
      </c>
      <c r="ER1791">
        <v>0</v>
      </c>
      <c r="ES1791">
        <v>5</v>
      </c>
      <c r="ET1791">
        <v>0</v>
      </c>
      <c r="EU1791">
        <v>0</v>
      </c>
      <c r="EV1791">
        <v>0</v>
      </c>
      <c r="EW1791" s="2">
        <v>43222</v>
      </c>
      <c r="EX1791" s="1">
        <v>42879</v>
      </c>
      <c r="EY1791">
        <v>2016</v>
      </c>
      <c r="EZ1791">
        <v>442.05</v>
      </c>
      <c r="FA1791" t="s">
        <v>17646</v>
      </c>
      <c r="FB1791">
        <v>4.5</v>
      </c>
      <c r="FC1791" t="s">
        <v>424</v>
      </c>
      <c r="FD1791" t="s">
        <v>425</v>
      </c>
      <c r="FE1791" s="1">
        <v>42928</v>
      </c>
      <c r="FF1791">
        <v>2</v>
      </c>
      <c r="FG1791">
        <v>5100525</v>
      </c>
      <c r="FH1791" t="s">
        <v>6804</v>
      </c>
      <c r="FJ1791" s="1">
        <v>42515</v>
      </c>
      <c r="FK1791">
        <v>2015</v>
      </c>
      <c r="FL1791">
        <v>425.71</v>
      </c>
      <c r="FM1791" t="s">
        <v>17647</v>
      </c>
      <c r="FN1791">
        <v>0.25</v>
      </c>
      <c r="FO1791" t="s">
        <v>424</v>
      </c>
      <c r="FP1791" t="s">
        <v>425</v>
      </c>
      <c r="FQ1791" s="1">
        <v>42807</v>
      </c>
      <c r="FR1791">
        <v>10</v>
      </c>
      <c r="FS1791">
        <v>7336671</v>
      </c>
      <c r="FT1791" t="s">
        <v>437</v>
      </c>
      <c r="FV1791" s="1">
        <v>42515</v>
      </c>
      <c r="FW1791">
        <v>2015</v>
      </c>
      <c r="FX1791">
        <v>425.71</v>
      </c>
      <c r="FY1791" t="s">
        <v>17647</v>
      </c>
      <c r="FZ1791">
        <v>0.25</v>
      </c>
      <c r="GA1791" t="s">
        <v>424</v>
      </c>
      <c r="GB1791" t="s">
        <v>425</v>
      </c>
      <c r="GD1791">
        <v>22</v>
      </c>
      <c r="GE1791">
        <v>6913432</v>
      </c>
      <c r="GF1791" t="s">
        <v>17648</v>
      </c>
      <c r="GH1791" s="1">
        <v>42151</v>
      </c>
      <c r="GI1791">
        <v>2014</v>
      </c>
      <c r="GJ1791">
        <v>389.13</v>
      </c>
      <c r="GK1791" t="s">
        <v>17649</v>
      </c>
      <c r="GL1791">
        <v>6.75</v>
      </c>
      <c r="GM1791" t="s">
        <v>424</v>
      </c>
      <c r="GN1791" t="s">
        <v>425</v>
      </c>
      <c r="GO1791" s="1">
        <v>42374</v>
      </c>
      <c r="GP1791">
        <v>8</v>
      </c>
      <c r="GQ1791">
        <v>10125</v>
      </c>
      <c r="GR1791" t="s">
        <v>440</v>
      </c>
      <c r="GT1791" s="1">
        <v>41423</v>
      </c>
      <c r="GU1791">
        <v>2012</v>
      </c>
      <c r="GV1791">
        <v>329.11</v>
      </c>
      <c r="GW1791" t="s">
        <v>17650</v>
      </c>
      <c r="GX1791">
        <v>4.75</v>
      </c>
      <c r="GY1791" t="s">
        <v>424</v>
      </c>
      <c r="GZ1791" t="s">
        <v>425</v>
      </c>
      <c r="HA1791" s="1">
        <v>41736</v>
      </c>
      <c r="HB1791">
        <v>11</v>
      </c>
      <c r="HC1791">
        <v>10125</v>
      </c>
      <c r="HD1791" t="s">
        <v>440</v>
      </c>
    </row>
    <row r="1792" spans="1:260" x14ac:dyDescent="0.25">
      <c r="A1792">
        <v>16486799</v>
      </c>
      <c r="B1792">
        <v>1791</v>
      </c>
      <c r="C1792" t="s">
        <v>393</v>
      </c>
      <c r="D1792" t="s">
        <v>394</v>
      </c>
      <c r="F1792" t="str">
        <f>"42-3N-28-0000-0014-0020"</f>
        <v>42-3N-28-0000-0014-0020</v>
      </c>
      <c r="H1792" t="str">
        <f>"BARBER JAMES D SR L/E JAMES DANIEL BARBER SR &amp; JERRY ONEAL BARBER"</f>
        <v>BARBER JAMES D SR L/E JAMES DANIEL BARBER SR &amp; JERRY ONEAL BARBER</v>
      </c>
      <c r="I1792" t="str">
        <f>""</f>
        <v/>
      </c>
      <c r="J1792" t="str">
        <f>"YULEE FL 32097"</f>
        <v>YULEE FL 32097</v>
      </c>
      <c r="K1792" t="str">
        <f>"97573 CHESTER RIVER RD"</f>
        <v>97573 CHESTER RIVER RD</v>
      </c>
      <c r="L1792" t="str">
        <f t="shared" si="669"/>
        <v>YULEE FL 32097</v>
      </c>
      <c r="M1792" t="str">
        <f>"L/E IN OR 747/832 &amp; OR 1815/21"</f>
        <v>L/E IN OR 747/832 &amp; OR 1815/21</v>
      </c>
      <c r="N1792" t="str">
        <f>""</f>
        <v/>
      </c>
      <c r="O1792" t="str">
        <f>"49107"</f>
        <v>49107</v>
      </c>
      <c r="P1792" t="str">
        <f t="shared" si="628"/>
        <v>2017</v>
      </c>
      <c r="Q1792" t="str">
        <f>""</f>
        <v/>
      </c>
      <c r="R1792" t="str">
        <f>"Y"</f>
        <v>Y</v>
      </c>
      <c r="S1792" t="str">
        <f>"1.00"</f>
        <v>1.00</v>
      </c>
      <c r="T1792" t="str">
        <f>"1225.83"</f>
        <v>1225.83</v>
      </c>
      <c r="U1792" t="str">
        <f>"120077.00"</f>
        <v>120077.00</v>
      </c>
      <c r="V1792" t="str">
        <f>"120077.00"</f>
        <v>120077.00</v>
      </c>
      <c r="W1792" t="str">
        <f t="shared" si="630"/>
        <v>2017</v>
      </c>
      <c r="X1792" t="str">
        <f>"13.20"</f>
        <v>13.20</v>
      </c>
      <c r="Y1792" t="str">
        <f>"1294.60"</f>
        <v>1294.60</v>
      </c>
      <c r="Z1792" t="str">
        <f>"25000.00"</f>
        <v>25000.00</v>
      </c>
      <c r="AA1792" t="str">
        <f>"95077.00"</f>
        <v>95077.00</v>
      </c>
      <c r="AB1792" t="str">
        <f t="shared" si="657"/>
        <v>Residential</v>
      </c>
      <c r="AC1792" t="str">
        <f t="shared" si="643"/>
        <v>0</v>
      </c>
      <c r="AD1792" t="str">
        <f>"4"</f>
        <v>4</v>
      </c>
      <c r="AE1792" t="str">
        <f>"WOOD (INCLUDE STEEL STUDS)"</f>
        <v>WOOD (INCLUDE STEEL STUDS)</v>
      </c>
      <c r="AF1792" t="str">
        <f>"001"</f>
        <v>001</v>
      </c>
      <c r="AG1792" t="str">
        <f t="shared" si="658"/>
        <v>FL</v>
      </c>
      <c r="AH1792" t="str">
        <f>"43560.00"</f>
        <v>43560.00</v>
      </c>
      <c r="AI1792" t="str">
        <f>"25000.00"</f>
        <v>25000.00</v>
      </c>
      <c r="AJ1792" t="str">
        <f>"C55-000-588-2658-7"</f>
        <v>C55-000-588-2658-7</v>
      </c>
      <c r="AK1792" t="str">
        <f>"31753"</f>
        <v>31753</v>
      </c>
      <c r="AL1792">
        <v>7</v>
      </c>
      <c r="AM1792">
        <v>2041</v>
      </c>
      <c r="AN1792">
        <v>1357.73</v>
      </c>
      <c r="AQ1792" t="s">
        <v>17651</v>
      </c>
      <c r="AR1792" t="s">
        <v>17651</v>
      </c>
      <c r="AS1792" t="s">
        <v>17651</v>
      </c>
      <c r="AU1792" t="s">
        <v>396</v>
      </c>
      <c r="AV1792">
        <v>2017</v>
      </c>
      <c r="AW1792" t="str">
        <f>"42-3N-28-0000-0014-0020 "</f>
        <v xml:space="preserve">42-3N-28-0000-0014-0020 </v>
      </c>
      <c r="AX1792">
        <v>97573</v>
      </c>
      <c r="AZ1792" t="s">
        <v>17638</v>
      </c>
      <c r="BA1792" t="s">
        <v>496</v>
      </c>
      <c r="BD1792" t="s">
        <v>2387</v>
      </c>
      <c r="BE1792" t="s">
        <v>393</v>
      </c>
      <c r="BF1792">
        <v>32097</v>
      </c>
      <c r="BG1792" t="s">
        <v>17612</v>
      </c>
      <c r="BH1792" t="s">
        <v>2388</v>
      </c>
      <c r="BI1792">
        <v>-81.540745150079999</v>
      </c>
      <c r="BJ1792">
        <v>30.6839650100402</v>
      </c>
      <c r="BK1792" t="s">
        <v>17652</v>
      </c>
      <c r="BM1792" t="s">
        <v>17612</v>
      </c>
      <c r="BN1792" t="s">
        <v>1778</v>
      </c>
      <c r="BO1792">
        <v>32097</v>
      </c>
      <c r="BP1792" t="s">
        <v>416</v>
      </c>
      <c r="BQ1792">
        <v>100</v>
      </c>
      <c r="BR1792" t="s">
        <v>514</v>
      </c>
      <c r="BS1792">
        <v>1001</v>
      </c>
      <c r="BT1792" t="s">
        <v>515</v>
      </c>
      <c r="BW1792">
        <v>43560</v>
      </c>
      <c r="BX1792" t="s">
        <v>407</v>
      </c>
      <c r="BY1792" t="s">
        <v>2729</v>
      </c>
      <c r="BZ1792">
        <v>4</v>
      </c>
      <c r="CA1792">
        <v>1993</v>
      </c>
      <c r="CB1792">
        <v>1</v>
      </c>
      <c r="CC1792">
        <v>1</v>
      </c>
      <c r="CD1792">
        <v>2017</v>
      </c>
      <c r="CG1792">
        <v>120077</v>
      </c>
      <c r="CH1792">
        <v>2017</v>
      </c>
      <c r="CI1792">
        <v>25000</v>
      </c>
      <c r="CJ1792">
        <v>110183</v>
      </c>
      <c r="CK1792">
        <v>135183</v>
      </c>
      <c r="CL1792">
        <v>2017</v>
      </c>
      <c r="CM1792">
        <v>1225.83</v>
      </c>
      <c r="CN1792" s="1">
        <v>41170</v>
      </c>
      <c r="CZ1792" s="1">
        <v>41170</v>
      </c>
      <c r="DD1792" t="s">
        <v>2387</v>
      </c>
      <c r="DG1792">
        <v>42</v>
      </c>
      <c r="DL1792">
        <v>50301</v>
      </c>
      <c r="DM1792" t="s">
        <v>17603</v>
      </c>
      <c r="DO1792" t="s">
        <v>17653</v>
      </c>
      <c r="DP1792">
        <v>0</v>
      </c>
      <c r="DQ1792">
        <v>0</v>
      </c>
      <c r="DR1792" t="s">
        <v>411</v>
      </c>
      <c r="DS1792" t="b">
        <v>1</v>
      </c>
      <c r="DT1792" t="s">
        <v>470</v>
      </c>
      <c r="DU1792" t="s">
        <v>471</v>
      </c>
      <c r="DV1792" t="s">
        <v>472</v>
      </c>
      <c r="DX1792">
        <v>-9999</v>
      </c>
      <c r="DZ1792" t="s">
        <v>447</v>
      </c>
      <c r="EA1792" t="s">
        <v>448</v>
      </c>
      <c r="EB1792" t="s">
        <v>742</v>
      </c>
      <c r="EC1792">
        <v>20101217</v>
      </c>
      <c r="ED1792" t="s">
        <v>474</v>
      </c>
      <c r="EF1792">
        <v>596.9</v>
      </c>
      <c r="EG1792">
        <v>4.2</v>
      </c>
      <c r="EI1792">
        <v>20160407</v>
      </c>
      <c r="EJ1792">
        <v>0</v>
      </c>
      <c r="EK1792">
        <v>0</v>
      </c>
      <c r="EP1792" t="s">
        <v>421</v>
      </c>
      <c r="EQ1792" t="s">
        <v>452</v>
      </c>
      <c r="ER1792">
        <v>0</v>
      </c>
      <c r="ES1792">
        <v>8</v>
      </c>
      <c r="ET1792">
        <v>0</v>
      </c>
      <c r="EU1792">
        <v>0</v>
      </c>
      <c r="EV1792">
        <v>0</v>
      </c>
      <c r="EW1792" s="2">
        <v>43222</v>
      </c>
      <c r="EX1792" s="1">
        <v>42515</v>
      </c>
      <c r="EY1792">
        <v>2015</v>
      </c>
      <c r="EZ1792">
        <v>1351.15</v>
      </c>
      <c r="FA1792" t="s">
        <v>17654</v>
      </c>
      <c r="FB1792">
        <v>0.25</v>
      </c>
      <c r="FC1792" t="s">
        <v>424</v>
      </c>
      <c r="FD1792" t="s">
        <v>425</v>
      </c>
      <c r="FE1792" s="1">
        <v>42835</v>
      </c>
      <c r="FF1792">
        <v>11</v>
      </c>
      <c r="FG1792">
        <v>2851116</v>
      </c>
      <c r="FH1792" t="s">
        <v>480</v>
      </c>
      <c r="FJ1792" s="1">
        <v>42515</v>
      </c>
      <c r="FK1792">
        <v>2015</v>
      </c>
      <c r="FL1792">
        <v>1351.15</v>
      </c>
      <c r="FM1792" t="s">
        <v>17654</v>
      </c>
      <c r="FN1792">
        <v>0.25</v>
      </c>
      <c r="FO1792" t="s">
        <v>424</v>
      </c>
      <c r="FP1792" t="s">
        <v>425</v>
      </c>
      <c r="FR1792">
        <v>22</v>
      </c>
      <c r="FS1792">
        <v>4887697</v>
      </c>
      <c r="FT1792" t="s">
        <v>17655</v>
      </c>
      <c r="FV1792" s="1">
        <v>42151</v>
      </c>
      <c r="FW1792">
        <v>2014</v>
      </c>
      <c r="FX1792">
        <v>1342.77</v>
      </c>
      <c r="FY1792" t="s">
        <v>17656</v>
      </c>
      <c r="FZ1792">
        <v>0.25</v>
      </c>
      <c r="GA1792" t="s">
        <v>424</v>
      </c>
      <c r="GB1792" t="s">
        <v>425</v>
      </c>
      <c r="GC1792" s="1">
        <v>42489</v>
      </c>
      <c r="GD1792">
        <v>11</v>
      </c>
      <c r="GE1792">
        <v>2851116</v>
      </c>
      <c r="GF1792" t="s">
        <v>480</v>
      </c>
      <c r="GH1792" s="1">
        <v>42151</v>
      </c>
      <c r="GI1792">
        <v>2014</v>
      </c>
      <c r="GJ1792">
        <v>1342.77</v>
      </c>
      <c r="GK1792" t="s">
        <v>17656</v>
      </c>
      <c r="GL1792">
        <v>0.25</v>
      </c>
      <c r="GM1792" t="s">
        <v>424</v>
      </c>
      <c r="GN1792" t="s">
        <v>425</v>
      </c>
      <c r="GP1792">
        <v>22</v>
      </c>
      <c r="GQ1792">
        <v>5266242</v>
      </c>
      <c r="GR1792" t="s">
        <v>17657</v>
      </c>
      <c r="GT1792" s="1">
        <v>41423</v>
      </c>
      <c r="GU1792">
        <v>2012</v>
      </c>
      <c r="GV1792">
        <v>1265.68</v>
      </c>
      <c r="GW1792" t="s">
        <v>17658</v>
      </c>
      <c r="GX1792">
        <v>0.25</v>
      </c>
      <c r="GY1792" t="s">
        <v>424</v>
      </c>
      <c r="GZ1792" t="s">
        <v>425</v>
      </c>
      <c r="HA1792" s="1">
        <v>41761</v>
      </c>
      <c r="HB1792">
        <v>12</v>
      </c>
      <c r="HC1792">
        <v>11303</v>
      </c>
      <c r="HD1792" t="s">
        <v>918</v>
      </c>
      <c r="HE1792" t="s">
        <v>458</v>
      </c>
      <c r="HF1792" s="1">
        <v>41052</v>
      </c>
      <c r="HG1792">
        <v>2011</v>
      </c>
      <c r="HH1792">
        <v>1227.95</v>
      </c>
      <c r="HI1792" t="s">
        <v>17659</v>
      </c>
      <c r="HJ1792">
        <v>0.25</v>
      </c>
      <c r="HK1792" t="s">
        <v>424</v>
      </c>
      <c r="HL1792" t="s">
        <v>425</v>
      </c>
      <c r="HN1792">
        <v>22</v>
      </c>
      <c r="HO1792">
        <v>13104</v>
      </c>
      <c r="HP1792" t="s">
        <v>888</v>
      </c>
      <c r="HQ1792" t="s">
        <v>458</v>
      </c>
      <c r="HR1792" s="1">
        <v>41052</v>
      </c>
      <c r="HS1792">
        <v>2011</v>
      </c>
      <c r="HT1792">
        <v>1227.95</v>
      </c>
      <c r="HU1792" t="s">
        <v>17659</v>
      </c>
      <c r="HV1792">
        <v>0.25</v>
      </c>
      <c r="HW1792" t="s">
        <v>424</v>
      </c>
      <c r="HX1792" t="s">
        <v>425</v>
      </c>
      <c r="HZ1792">
        <v>22</v>
      </c>
      <c r="IA1792">
        <v>13710</v>
      </c>
      <c r="IB1792" t="s">
        <v>1437</v>
      </c>
      <c r="IC1792" t="s">
        <v>458</v>
      </c>
      <c r="ID1792" s="1">
        <v>40688</v>
      </c>
      <c r="IE1792">
        <v>2010</v>
      </c>
      <c r="IF1792">
        <v>1205.1600000000001</v>
      </c>
      <c r="IG1792" t="s">
        <v>17660</v>
      </c>
      <c r="IH1792">
        <v>0.25</v>
      </c>
      <c r="II1792" t="s">
        <v>424</v>
      </c>
      <c r="IJ1792" t="s">
        <v>425</v>
      </c>
      <c r="IK1792" s="1">
        <v>41365</v>
      </c>
      <c r="IL1792">
        <v>23</v>
      </c>
      <c r="IM1792">
        <v>11296</v>
      </c>
      <c r="IN1792" t="s">
        <v>4008</v>
      </c>
    </row>
    <row r="1793" spans="1:296" x14ac:dyDescent="0.25">
      <c r="A1793">
        <v>16486800</v>
      </c>
      <c r="B1793">
        <v>1792</v>
      </c>
      <c r="C1793" t="s">
        <v>393</v>
      </c>
      <c r="D1793" t="s">
        <v>394</v>
      </c>
      <c r="F1793" t="str">
        <f>"42-3N-28-0000-0015-0000"</f>
        <v>42-3N-28-0000-0015-0000</v>
      </c>
      <c r="H1793" t="str">
        <f>"BARBER JAMES DANIEL"</f>
        <v>BARBER JAMES DANIEL</v>
      </c>
      <c r="I1793" t="str">
        <f>"97573 CHESTER RIVER RD"</f>
        <v>97573 CHESTER RIVER RD</v>
      </c>
      <c r="J1793" t="str">
        <f>"YULEE FL 32097"</f>
        <v>YULEE FL 32097</v>
      </c>
      <c r="K1793" t="str">
        <f>"LOVERS LN"</f>
        <v>LOVERS LN</v>
      </c>
      <c r="L1793" t="str">
        <f t="shared" si="669"/>
        <v>YULEE FL 32097</v>
      </c>
      <c r="M1793" t="str">
        <f>"PT JOHN LOWE GRANT SEC 42-3N-28E IN OR 1982/374 BEING PARCEL 3"</f>
        <v>PT JOHN LOWE GRANT SEC 42-3N-28E IN OR 1982/374 BEING PARCEL 3</v>
      </c>
      <c r="N1793" t="str">
        <f>""</f>
        <v/>
      </c>
      <c r="O1793" t="str">
        <f>"49108"</f>
        <v>49108</v>
      </c>
      <c r="P1793" t="str">
        <f t="shared" si="628"/>
        <v>2017</v>
      </c>
      <c r="Q1793" t="str">
        <f>""</f>
        <v/>
      </c>
      <c r="R1793" t="str">
        <f t="shared" ref="R1793:R1801" si="670">"N"</f>
        <v>N</v>
      </c>
      <c r="S1793" t="str">
        <f>"1.13"</f>
        <v>1.13</v>
      </c>
      <c r="T1793" t="str">
        <f>"427.68"</f>
        <v>427.68</v>
      </c>
      <c r="U1793" t="str">
        <f>"28250.00"</f>
        <v>28250.00</v>
      </c>
      <c r="V1793" t="str">
        <f>"28250.00"</f>
        <v>28250.00</v>
      </c>
      <c r="W1793" t="str">
        <f t="shared" si="630"/>
        <v>2017</v>
      </c>
      <c r="X1793" t="str">
        <f>"1.00"</f>
        <v>1.00</v>
      </c>
      <c r="Y1793" t="str">
        <f>"472.51"</f>
        <v>472.51</v>
      </c>
      <c r="Z1793" t="str">
        <f>""</f>
        <v/>
      </c>
      <c r="AA1793" t="str">
        <f>"28250.00"</f>
        <v>28250.00</v>
      </c>
      <c r="AB1793" t="str">
        <f t="shared" si="657"/>
        <v>Residential</v>
      </c>
      <c r="AC1793" t="str">
        <f t="shared" si="643"/>
        <v>0</v>
      </c>
      <c r="AD1793" t="str">
        <f>""</f>
        <v/>
      </c>
      <c r="AE1793" t="str">
        <f>""</f>
        <v/>
      </c>
      <c r="AF1793" t="str">
        <f>"000"</f>
        <v>000</v>
      </c>
      <c r="AG1793" t="str">
        <f t="shared" si="658"/>
        <v>FL</v>
      </c>
      <c r="AH1793" t="str">
        <f>"49222.00"</f>
        <v>49222.00</v>
      </c>
      <c r="AI1793" t="str">
        <f>"28250.00"</f>
        <v>28250.00</v>
      </c>
      <c r="AJ1793" t="str">
        <f>"C55-000-588-2659-5"</f>
        <v>C55-000-588-2659-5</v>
      </c>
      <c r="AK1793" t="str">
        <f>"31754"</f>
        <v>31754</v>
      </c>
      <c r="AL1793">
        <v>7</v>
      </c>
      <c r="AM1793">
        <v>2042</v>
      </c>
      <c r="AN1793">
        <v>494.54</v>
      </c>
      <c r="AQ1793" t="s">
        <v>17661</v>
      </c>
      <c r="AR1793" t="s">
        <v>17661</v>
      </c>
      <c r="AS1793" t="s">
        <v>17661</v>
      </c>
      <c r="AU1793" t="s">
        <v>396</v>
      </c>
      <c r="AV1793">
        <v>2017</v>
      </c>
      <c r="AW1793" t="str">
        <f>"42-3N-28-0000-0015-0000 "</f>
        <v xml:space="preserve">42-3N-28-0000-0015-0000 </v>
      </c>
      <c r="AZ1793" t="s">
        <v>17662</v>
      </c>
      <c r="BA1793" t="s">
        <v>653</v>
      </c>
      <c r="BD1793" t="s">
        <v>2387</v>
      </c>
      <c r="BE1793" t="s">
        <v>393</v>
      </c>
      <c r="BF1793">
        <v>32097</v>
      </c>
      <c r="BG1793" t="s">
        <v>17663</v>
      </c>
      <c r="BH1793" t="s">
        <v>2388</v>
      </c>
      <c r="BI1793">
        <v>-81.5412921140626</v>
      </c>
      <c r="BJ1793">
        <v>30.684500998907499</v>
      </c>
      <c r="BK1793" t="s">
        <v>17611</v>
      </c>
      <c r="BM1793" t="s">
        <v>17612</v>
      </c>
      <c r="BN1793" t="s">
        <v>1778</v>
      </c>
      <c r="BO1793">
        <v>32097</v>
      </c>
      <c r="BP1793" t="s">
        <v>404</v>
      </c>
      <c r="BQ1793">
        <v>0</v>
      </c>
      <c r="BR1793" t="s">
        <v>491</v>
      </c>
      <c r="BS1793">
        <v>8001</v>
      </c>
      <c r="BT1793" t="s">
        <v>492</v>
      </c>
      <c r="BW1793">
        <v>49222</v>
      </c>
      <c r="BX1793" t="s">
        <v>407</v>
      </c>
      <c r="BY1793" t="s">
        <v>2729</v>
      </c>
      <c r="CD1793">
        <v>2017</v>
      </c>
      <c r="CE1793">
        <v>28250</v>
      </c>
      <c r="CG1793">
        <v>28250</v>
      </c>
      <c r="CH1793">
        <v>2017</v>
      </c>
      <c r="CI1793">
        <v>28250</v>
      </c>
      <c r="CK1793">
        <v>28250</v>
      </c>
      <c r="CL1793">
        <v>2017</v>
      </c>
      <c r="CM1793">
        <v>427.68</v>
      </c>
      <c r="CN1793" s="1">
        <v>42150</v>
      </c>
      <c r="CZ1793" s="1">
        <v>42150</v>
      </c>
      <c r="DD1793" t="s">
        <v>2387</v>
      </c>
      <c r="DG1793">
        <v>42</v>
      </c>
      <c r="DL1793">
        <v>50301</v>
      </c>
      <c r="DM1793" t="s">
        <v>17603</v>
      </c>
      <c r="DO1793" t="s">
        <v>17664</v>
      </c>
      <c r="DP1793">
        <v>0</v>
      </c>
      <c r="DQ1793">
        <v>0</v>
      </c>
      <c r="DR1793" t="s">
        <v>411</v>
      </c>
      <c r="EP1793" t="s">
        <v>421</v>
      </c>
      <c r="EQ1793" t="s">
        <v>422</v>
      </c>
      <c r="ER1793">
        <v>0</v>
      </c>
      <c r="ES1793">
        <v>1</v>
      </c>
      <c r="ET1793">
        <v>0</v>
      </c>
      <c r="EU1793">
        <v>0</v>
      </c>
      <c r="EV1793">
        <v>0</v>
      </c>
      <c r="EW1793" s="2">
        <v>43222</v>
      </c>
      <c r="EX1793" s="1">
        <v>41423</v>
      </c>
      <c r="EY1793">
        <v>2012</v>
      </c>
      <c r="EZ1793">
        <v>369.05</v>
      </c>
      <c r="FA1793" t="s">
        <v>17665</v>
      </c>
      <c r="FB1793">
        <v>4.75</v>
      </c>
      <c r="FC1793" t="s">
        <v>424</v>
      </c>
      <c r="FD1793" t="s">
        <v>425</v>
      </c>
      <c r="FE1793" s="1">
        <v>41437</v>
      </c>
      <c r="FF1793">
        <v>1</v>
      </c>
      <c r="FG1793">
        <v>10125</v>
      </c>
      <c r="FH1793" t="s">
        <v>440</v>
      </c>
    </row>
    <row r="1794" spans="1:296" x14ac:dyDescent="0.25">
      <c r="A1794">
        <v>16486801</v>
      </c>
      <c r="B1794">
        <v>1793</v>
      </c>
      <c r="C1794" t="s">
        <v>393</v>
      </c>
      <c r="D1794" t="s">
        <v>394</v>
      </c>
      <c r="F1794" t="str">
        <f>"42-3N-28-5080-0007-0010"</f>
        <v>42-3N-28-5080-0007-0010</v>
      </c>
      <c r="H1794" t="str">
        <f>"PIRATES TRADING POST INC"</f>
        <v>PIRATES TRADING POST INC</v>
      </c>
      <c r="I1794" t="str">
        <f>"96837 BLACKROCK ROAD"</f>
        <v>96837 BLACKROCK ROAD</v>
      </c>
      <c r="J1794" t="str">
        <f>"YULEE FL 32097"</f>
        <v>YULEE FL 32097</v>
      </c>
      <c r="K1794" t="str">
        <f>"96837 BLACKROCK RD"</f>
        <v>96837 BLACKROCK RD</v>
      </c>
      <c r="L1794" t="str">
        <f t="shared" si="669"/>
        <v>YULEE FL 32097</v>
      </c>
      <c r="M1794" t="str">
        <f>"PT OF LOT 7 (SEC 48) IN OR 752 PG 812 THIGPEN SURVEY DB 39/356"</f>
        <v>PT OF LOT 7 (SEC 48) IN OR 752 PG 812 THIGPEN SURVEY DB 39/356</v>
      </c>
      <c r="N1794" t="str">
        <f>""</f>
        <v/>
      </c>
      <c r="O1794" t="str">
        <f>"49242"</f>
        <v>49242</v>
      </c>
      <c r="P1794" t="str">
        <f t="shared" ref="P1794:P1857" si="671">"2017"</f>
        <v>2017</v>
      </c>
      <c r="Q1794" t="str">
        <f>""</f>
        <v/>
      </c>
      <c r="R1794" t="str">
        <f t="shared" si="670"/>
        <v>N</v>
      </c>
      <c r="S1794" t="str">
        <f>""</f>
        <v/>
      </c>
      <c r="T1794" t="str">
        <f>"2853.00"</f>
        <v>2853.00</v>
      </c>
      <c r="U1794" t="str">
        <f>"188456.00"</f>
        <v>188456.00</v>
      </c>
      <c r="V1794" t="str">
        <f>"188456.00"</f>
        <v>188456.00</v>
      </c>
      <c r="W1794" t="str">
        <f t="shared" ref="W1794:W1857" si="672">"2017"</f>
        <v>2017</v>
      </c>
      <c r="X1794" t="str">
        <f>"16.00"</f>
        <v>16.00</v>
      </c>
      <c r="Y1794" t="str">
        <f>"2970.59"</f>
        <v>2970.59</v>
      </c>
      <c r="Z1794" t="str">
        <f>""</f>
        <v/>
      </c>
      <c r="AA1794" t="str">
        <f>"188456.00"</f>
        <v>188456.00</v>
      </c>
      <c r="AB1794" t="str">
        <f>"Commercial"</f>
        <v>Commercial</v>
      </c>
      <c r="AC1794" t="str">
        <f t="shared" si="643"/>
        <v>0</v>
      </c>
      <c r="AD1794" t="str">
        <f>"3"</f>
        <v>3</v>
      </c>
      <c r="AE1794" t="str">
        <f>"MASONRY"</f>
        <v>MASONRY</v>
      </c>
      <c r="AF1794" t="str">
        <f>"012"</f>
        <v>012</v>
      </c>
      <c r="AG1794" t="str">
        <f t="shared" si="658"/>
        <v>FL</v>
      </c>
      <c r="AH1794" t="str">
        <f>"22500.00"</f>
        <v>22500.00</v>
      </c>
      <c r="AI1794" t="str">
        <f>"78750.00"</f>
        <v>78750.00</v>
      </c>
      <c r="AJ1794" t="str">
        <f>"C55-000-588-2697-5"</f>
        <v>C55-000-588-2697-5</v>
      </c>
      <c r="AK1794" t="str">
        <f>"31876"</f>
        <v>31876</v>
      </c>
      <c r="AL1794">
        <v>7</v>
      </c>
      <c r="AM1794">
        <v>2043</v>
      </c>
      <c r="AN1794">
        <v>3117.52</v>
      </c>
      <c r="AQ1794" t="s">
        <v>17666</v>
      </c>
      <c r="AR1794" t="s">
        <v>17666</v>
      </c>
      <c r="AS1794" t="s">
        <v>17666</v>
      </c>
      <c r="AU1794" t="s">
        <v>396</v>
      </c>
      <c r="AV1794">
        <v>2017</v>
      </c>
      <c r="AW1794" t="str">
        <f>"42-3N-28-5080-0007-0010 "</f>
        <v xml:space="preserve">42-3N-28-5080-0007-0010 </v>
      </c>
      <c r="AX1794">
        <v>96837</v>
      </c>
      <c r="AZ1794" t="s">
        <v>14867</v>
      </c>
      <c r="BA1794" t="s">
        <v>496</v>
      </c>
      <c r="BD1794" t="s">
        <v>2387</v>
      </c>
      <c r="BE1794" t="s">
        <v>393</v>
      </c>
      <c r="BF1794">
        <v>32097</v>
      </c>
      <c r="BG1794" t="s">
        <v>17667</v>
      </c>
      <c r="BH1794" t="s">
        <v>2388</v>
      </c>
      <c r="BI1794">
        <v>-81.531671917969305</v>
      </c>
      <c r="BJ1794">
        <v>30.672766883197301</v>
      </c>
      <c r="BK1794" t="s">
        <v>17668</v>
      </c>
      <c r="BM1794" t="s">
        <v>17667</v>
      </c>
      <c r="BN1794" t="s">
        <v>1778</v>
      </c>
      <c r="BO1794">
        <v>32097</v>
      </c>
      <c r="BP1794" t="s">
        <v>404</v>
      </c>
      <c r="BQ1794">
        <v>1200</v>
      </c>
      <c r="BR1794" t="s">
        <v>5393</v>
      </c>
      <c r="BS1794">
        <v>2003</v>
      </c>
      <c r="BT1794" t="s">
        <v>5394</v>
      </c>
      <c r="BW1794">
        <v>22198</v>
      </c>
      <c r="BX1794" t="s">
        <v>407</v>
      </c>
      <c r="BY1794" t="s">
        <v>5128</v>
      </c>
      <c r="BZ1794">
        <v>3</v>
      </c>
      <c r="CA1794">
        <v>1977</v>
      </c>
      <c r="CB1794">
        <v>2</v>
      </c>
      <c r="CD1794">
        <v>2017</v>
      </c>
      <c r="CE1794">
        <v>78750</v>
      </c>
      <c r="CF1794">
        <v>109706</v>
      </c>
      <c r="CG1794">
        <v>188456</v>
      </c>
      <c r="CH1794">
        <v>2017</v>
      </c>
      <c r="CI1794">
        <v>78750</v>
      </c>
      <c r="CJ1794">
        <v>109706</v>
      </c>
      <c r="CK1794">
        <v>188456</v>
      </c>
      <c r="CL1794">
        <v>2017</v>
      </c>
      <c r="CM1794">
        <v>2853</v>
      </c>
      <c r="CN1794" s="1">
        <v>35121</v>
      </c>
      <c r="CO1794">
        <v>128000</v>
      </c>
      <c r="CZ1794" s="1">
        <v>35121</v>
      </c>
      <c r="DD1794" t="s">
        <v>2387</v>
      </c>
      <c r="DF1794">
        <v>7</v>
      </c>
      <c r="DG1794">
        <v>48</v>
      </c>
      <c r="DJ1794" t="s">
        <v>17669</v>
      </c>
      <c r="DL1794">
        <v>50301</v>
      </c>
      <c r="DM1794" t="s">
        <v>17670</v>
      </c>
      <c r="DO1794" t="s">
        <v>17671</v>
      </c>
      <c r="DP1794">
        <v>4</v>
      </c>
      <c r="DQ1794">
        <v>4</v>
      </c>
      <c r="DR1794" t="s">
        <v>1174</v>
      </c>
      <c r="DS1794" t="b">
        <v>1</v>
      </c>
      <c r="DT1794" t="s">
        <v>470</v>
      </c>
      <c r="DU1794" t="s">
        <v>471</v>
      </c>
      <c r="DV1794" t="s">
        <v>472</v>
      </c>
      <c r="DX1794">
        <v>-9999</v>
      </c>
      <c r="DZ1794" t="s">
        <v>447</v>
      </c>
      <c r="EA1794" t="s">
        <v>448</v>
      </c>
      <c r="EB1794" t="s">
        <v>742</v>
      </c>
      <c r="EC1794">
        <v>20101217</v>
      </c>
      <c r="ED1794" t="s">
        <v>474</v>
      </c>
      <c r="EF1794">
        <v>908</v>
      </c>
      <c r="EG1794">
        <v>718</v>
      </c>
      <c r="EI1794">
        <v>20160407</v>
      </c>
      <c r="EJ1794">
        <v>0</v>
      </c>
      <c r="EK1794">
        <v>0</v>
      </c>
      <c r="EP1794" t="s">
        <v>421</v>
      </c>
      <c r="EQ1794" t="s">
        <v>422</v>
      </c>
      <c r="ER1794">
        <v>4</v>
      </c>
      <c r="ES1794">
        <v>8</v>
      </c>
      <c r="ET1794">
        <v>12904.4</v>
      </c>
      <c r="EU1794">
        <v>670.22</v>
      </c>
      <c r="EV1794">
        <v>13574.62</v>
      </c>
      <c r="EW1794" s="2">
        <v>43222</v>
      </c>
      <c r="EX1794" s="1">
        <v>42879</v>
      </c>
      <c r="EY1794">
        <v>2016</v>
      </c>
      <c r="EZ1794">
        <v>3174.51</v>
      </c>
      <c r="FA1794" t="s">
        <v>17672</v>
      </c>
      <c r="FB1794">
        <v>0.25</v>
      </c>
      <c r="FC1794" t="s">
        <v>424</v>
      </c>
      <c r="FD1794" t="s">
        <v>454</v>
      </c>
      <c r="FF1794">
        <v>12</v>
      </c>
      <c r="FG1794">
        <v>7336671</v>
      </c>
      <c r="FH1794" t="s">
        <v>437</v>
      </c>
      <c r="FJ1794" s="1">
        <v>42879</v>
      </c>
      <c r="FK1794">
        <v>2016</v>
      </c>
      <c r="FL1794">
        <v>3174.51</v>
      </c>
      <c r="FM1794" t="s">
        <v>17672</v>
      </c>
      <c r="FN1794">
        <v>0.25</v>
      </c>
      <c r="FO1794" t="s">
        <v>424</v>
      </c>
      <c r="FP1794" t="s">
        <v>454</v>
      </c>
      <c r="FR1794">
        <v>12</v>
      </c>
      <c r="FS1794">
        <v>6900674</v>
      </c>
      <c r="FT1794" t="s">
        <v>17673</v>
      </c>
      <c r="FV1794" s="1">
        <v>42515</v>
      </c>
      <c r="FW1794">
        <v>2015</v>
      </c>
      <c r="FX1794">
        <v>3277.69</v>
      </c>
      <c r="FY1794" t="s">
        <v>17674</v>
      </c>
      <c r="FZ1794">
        <v>0.25</v>
      </c>
      <c r="GA1794" t="s">
        <v>424</v>
      </c>
      <c r="GB1794" t="s">
        <v>454</v>
      </c>
      <c r="GD1794">
        <v>24</v>
      </c>
      <c r="GE1794">
        <v>2851116</v>
      </c>
      <c r="GF1794" t="s">
        <v>480</v>
      </c>
      <c r="GH1794" s="1">
        <v>42515</v>
      </c>
      <c r="GI1794">
        <v>2015</v>
      </c>
      <c r="GJ1794">
        <v>3277.69</v>
      </c>
      <c r="GK1794" t="s">
        <v>17674</v>
      </c>
      <c r="GL1794">
        <v>0.25</v>
      </c>
      <c r="GM1794" t="s">
        <v>424</v>
      </c>
      <c r="GN1794" t="s">
        <v>454</v>
      </c>
      <c r="GP1794">
        <v>24</v>
      </c>
      <c r="GQ1794">
        <v>5470335</v>
      </c>
      <c r="GR1794" t="s">
        <v>17675</v>
      </c>
      <c r="GT1794" s="1">
        <v>42151</v>
      </c>
      <c r="GU1794">
        <v>2014</v>
      </c>
      <c r="GV1794">
        <v>3216.44</v>
      </c>
      <c r="GW1794" t="s">
        <v>17676</v>
      </c>
      <c r="GX1794">
        <v>0.25</v>
      </c>
      <c r="GY1794" t="s">
        <v>424</v>
      </c>
      <c r="GZ1794" t="s">
        <v>425</v>
      </c>
      <c r="HB1794">
        <v>22</v>
      </c>
      <c r="HC1794">
        <v>15259</v>
      </c>
      <c r="HD1794" t="s">
        <v>891</v>
      </c>
      <c r="HF1794" s="1">
        <v>42151</v>
      </c>
      <c r="HG1794">
        <v>2014</v>
      </c>
      <c r="HH1794">
        <v>3216.44</v>
      </c>
      <c r="HI1794" t="s">
        <v>17676</v>
      </c>
      <c r="HJ1794">
        <v>0.25</v>
      </c>
      <c r="HK1794" t="s">
        <v>424</v>
      </c>
      <c r="HL1794" t="s">
        <v>425</v>
      </c>
      <c r="HN1794">
        <v>22</v>
      </c>
      <c r="HO1794">
        <v>6990431</v>
      </c>
      <c r="HP1794" t="s">
        <v>17677</v>
      </c>
      <c r="HR1794" s="1">
        <v>42151</v>
      </c>
      <c r="HS1794">
        <v>2014</v>
      </c>
      <c r="HT1794">
        <v>3216.44</v>
      </c>
      <c r="HU1794" t="s">
        <v>17676</v>
      </c>
      <c r="HV1794">
        <v>0.25</v>
      </c>
      <c r="HW1794" t="s">
        <v>424</v>
      </c>
      <c r="HX1794" t="s">
        <v>425</v>
      </c>
      <c r="HY1794" s="1">
        <v>42661</v>
      </c>
      <c r="HZ1794">
        <v>17</v>
      </c>
      <c r="IA1794">
        <v>7045049</v>
      </c>
      <c r="IB1794" t="s">
        <v>1335</v>
      </c>
      <c r="ID1794" s="1">
        <v>41787</v>
      </c>
      <c r="IE1794">
        <v>2013</v>
      </c>
      <c r="IF1794">
        <v>3212.11</v>
      </c>
      <c r="IG1794" t="s">
        <v>17678</v>
      </c>
      <c r="IH1794">
        <v>0.25</v>
      </c>
      <c r="II1794" t="s">
        <v>424</v>
      </c>
      <c r="IJ1794" t="s">
        <v>425</v>
      </c>
      <c r="IK1794" s="1">
        <v>42429</v>
      </c>
      <c r="IL1794">
        <v>21</v>
      </c>
      <c r="IM1794">
        <v>2851116</v>
      </c>
      <c r="IN1794" t="s">
        <v>480</v>
      </c>
      <c r="IP1794" s="1">
        <v>41423</v>
      </c>
      <c r="IQ1794">
        <v>2012</v>
      </c>
      <c r="IR1794">
        <v>3282.7</v>
      </c>
      <c r="IS1794" t="s">
        <v>17679</v>
      </c>
      <c r="IT1794">
        <v>0.25</v>
      </c>
      <c r="IU1794" t="s">
        <v>424</v>
      </c>
      <c r="IV1794" t="s">
        <v>425</v>
      </c>
      <c r="IX1794">
        <v>22</v>
      </c>
      <c r="IY1794">
        <v>606981</v>
      </c>
      <c r="IZ1794" t="s">
        <v>792</v>
      </c>
      <c r="JB1794" s="1">
        <v>41423</v>
      </c>
      <c r="JC1794">
        <v>2012</v>
      </c>
      <c r="JD1794">
        <v>3282.7</v>
      </c>
      <c r="JE1794" t="s">
        <v>17679</v>
      </c>
      <c r="JF1794">
        <v>0.25</v>
      </c>
      <c r="JG1794" t="s">
        <v>424</v>
      </c>
      <c r="JH1794" t="s">
        <v>425</v>
      </c>
      <c r="JI1794" s="1">
        <v>42215</v>
      </c>
      <c r="JJ1794">
        <v>26</v>
      </c>
      <c r="JK1794">
        <v>10594</v>
      </c>
      <c r="JL1794" t="s">
        <v>4543</v>
      </c>
      <c r="JN1794" s="1">
        <v>41052</v>
      </c>
      <c r="JO1794">
        <v>2011</v>
      </c>
      <c r="JP1794">
        <v>3360.31</v>
      </c>
      <c r="JQ1794" t="s">
        <v>17680</v>
      </c>
      <c r="JR1794">
        <v>0.25</v>
      </c>
      <c r="JS1794" t="s">
        <v>424</v>
      </c>
      <c r="JT1794" t="s">
        <v>425</v>
      </c>
      <c r="JU1794" s="1">
        <v>41529</v>
      </c>
      <c r="JV1794">
        <v>16</v>
      </c>
      <c r="JW1794">
        <v>13247</v>
      </c>
      <c r="JX1794" t="s">
        <v>17681</v>
      </c>
      <c r="JZ1794" s="1">
        <v>40688</v>
      </c>
      <c r="KA1794">
        <v>2010</v>
      </c>
      <c r="KB1794">
        <v>3408.83</v>
      </c>
      <c r="KC1794" t="s">
        <v>17682</v>
      </c>
      <c r="KD1794">
        <v>4.75</v>
      </c>
      <c r="KE1794" t="s">
        <v>424</v>
      </c>
      <c r="KF1794" t="s">
        <v>425</v>
      </c>
      <c r="KG1794" s="1">
        <v>41025</v>
      </c>
      <c r="KH1794">
        <v>11</v>
      </c>
      <c r="KI1794">
        <v>11177</v>
      </c>
      <c r="KJ1794" t="s">
        <v>650</v>
      </c>
    </row>
    <row r="1795" spans="1:296" x14ac:dyDescent="0.25">
      <c r="A1795">
        <v>16486802</v>
      </c>
      <c r="B1795">
        <v>1794</v>
      </c>
      <c r="C1795" t="s">
        <v>393</v>
      </c>
      <c r="D1795" t="s">
        <v>394</v>
      </c>
      <c r="F1795" t="str">
        <f>"42-3N-28-5080-0015-0090"</f>
        <v>42-3N-28-5080-0015-0090</v>
      </c>
      <c r="H1795" t="str">
        <f>"ELLIS KRISTEN D &amp; ELLIS KEITH DUANE"</f>
        <v>ELLIS KRISTEN D &amp; ELLIS KEITH DUANE</v>
      </c>
      <c r="I1795" t="str">
        <f>"96797 BLACKROCK ROAD"</f>
        <v>96797 BLACKROCK ROAD</v>
      </c>
      <c r="J1795" t="str">
        <f>"YULEE FL 32097"</f>
        <v>YULEE FL 32097</v>
      </c>
      <c r="K1795" t="str">
        <f>"96797 BLACKROCK RD"</f>
        <v>96797 BLACKROCK RD</v>
      </c>
      <c r="L1795" t="str">
        <f t="shared" si="669"/>
        <v>YULEE FL 32097</v>
      </c>
      <c r="M1795" t="str">
        <f>"PT OF LOT 15 W OF R/W IN OR 1500/1681 ESMT OR 1608/165 EX ESMT PT OR 1610/226 THIGPEN SURVEY DB 39/356"</f>
        <v>PT OF LOT 15 W OF R/W IN OR 1500/1681 ESMT OR 1608/165 EX ESMT PT OR 1610/226 THIGPEN SURVEY DB 39/356</v>
      </c>
      <c r="N1795" t="str">
        <f>""</f>
        <v/>
      </c>
      <c r="O1795" t="str">
        <f>"49258"</f>
        <v>49258</v>
      </c>
      <c r="P1795" t="str">
        <f t="shared" si="671"/>
        <v>2017</v>
      </c>
      <c r="Q1795" t="str">
        <f>""</f>
        <v/>
      </c>
      <c r="R1795" t="str">
        <f t="shared" si="670"/>
        <v>N</v>
      </c>
      <c r="S1795" t="str">
        <f>"1.00"</f>
        <v>1.00</v>
      </c>
      <c r="T1795" t="str">
        <f>"233.79"</f>
        <v>233.79</v>
      </c>
      <c r="U1795" t="str">
        <f>"15400.00"</f>
        <v>15400.00</v>
      </c>
      <c r="V1795" t="str">
        <f>"15400.00"</f>
        <v>15400.00</v>
      </c>
      <c r="W1795" t="str">
        <f t="shared" si="672"/>
        <v>2017</v>
      </c>
      <c r="X1795" t="str">
        <f>""</f>
        <v/>
      </c>
      <c r="Y1795" t="str">
        <f>"272.80"</f>
        <v>272.80</v>
      </c>
      <c r="Z1795" t="str">
        <f>""</f>
        <v/>
      </c>
      <c r="AA1795" t="str">
        <f>"15500.00"</f>
        <v>15500.00</v>
      </c>
      <c r="AB1795" t="str">
        <f t="shared" ref="AB1795:AB1826" si="673">"Residential"</f>
        <v>Residential</v>
      </c>
      <c r="AC1795" t="str">
        <f t="shared" si="643"/>
        <v>0</v>
      </c>
      <c r="AD1795" t="str">
        <f>""</f>
        <v/>
      </c>
      <c r="AE1795" t="str">
        <f>""</f>
        <v/>
      </c>
      <c r="AF1795" t="str">
        <f>"000"</f>
        <v>000</v>
      </c>
      <c r="AG1795" t="str">
        <f t="shared" si="658"/>
        <v>FL</v>
      </c>
      <c r="AH1795" t="str">
        <f>"43560.00"</f>
        <v>43560.00</v>
      </c>
      <c r="AI1795" t="str">
        <f>"12500.00"</f>
        <v>12500.00</v>
      </c>
      <c r="AJ1795" t="str">
        <f>"C55-000-588-2713-0"</f>
        <v>C55-000-588-2713-0</v>
      </c>
      <c r="AK1795" t="str">
        <f>"31892"</f>
        <v>31892</v>
      </c>
      <c r="AL1795">
        <v>7</v>
      </c>
      <c r="AM1795">
        <v>2044</v>
      </c>
      <c r="AN1795">
        <v>284.83999999999997</v>
      </c>
      <c r="AQ1795" t="s">
        <v>17683</v>
      </c>
      <c r="AR1795" t="s">
        <v>17683</v>
      </c>
      <c r="AS1795" t="s">
        <v>17683</v>
      </c>
      <c r="AU1795" t="s">
        <v>396</v>
      </c>
      <c r="AV1795">
        <v>2017</v>
      </c>
      <c r="AW1795" t="str">
        <f>"42-3N-28-5080-0015-0090 "</f>
        <v xml:space="preserve">42-3N-28-5080-0015-0090 </v>
      </c>
      <c r="AX1795">
        <v>96797</v>
      </c>
      <c r="AZ1795" t="s">
        <v>14867</v>
      </c>
      <c r="BA1795" t="s">
        <v>496</v>
      </c>
      <c r="BD1795" t="s">
        <v>2387</v>
      </c>
      <c r="BE1795" t="s">
        <v>393</v>
      </c>
      <c r="BF1795">
        <v>32097</v>
      </c>
      <c r="BG1795" t="s">
        <v>17684</v>
      </c>
      <c r="BH1795" t="s">
        <v>2388</v>
      </c>
      <c r="BI1795">
        <v>-81.533172046654798</v>
      </c>
      <c r="BJ1795">
        <v>30.6701399782098</v>
      </c>
      <c r="BK1795" t="s">
        <v>17685</v>
      </c>
      <c r="BL1795" t="s">
        <v>17686</v>
      </c>
      <c r="BM1795" t="s">
        <v>17684</v>
      </c>
      <c r="BN1795" t="s">
        <v>1778</v>
      </c>
      <c r="BO1795">
        <v>32097</v>
      </c>
      <c r="BP1795" t="s">
        <v>416</v>
      </c>
      <c r="BQ1795">
        <v>1</v>
      </c>
      <c r="BR1795" t="s">
        <v>491</v>
      </c>
      <c r="BS1795">
        <v>8001</v>
      </c>
      <c r="BT1795" t="s">
        <v>492</v>
      </c>
      <c r="BW1795">
        <v>43560</v>
      </c>
      <c r="BX1795" t="s">
        <v>407</v>
      </c>
      <c r="CD1795">
        <v>2017</v>
      </c>
      <c r="CE1795">
        <v>12500</v>
      </c>
      <c r="CF1795">
        <v>3000</v>
      </c>
      <c r="CG1795">
        <v>15500</v>
      </c>
      <c r="CH1795">
        <v>2017</v>
      </c>
      <c r="CI1795">
        <v>12500</v>
      </c>
      <c r="CJ1795">
        <v>3000</v>
      </c>
      <c r="CK1795">
        <v>15500</v>
      </c>
      <c r="CL1795">
        <v>2017</v>
      </c>
      <c r="CM1795">
        <v>233.79</v>
      </c>
      <c r="CN1795" s="1">
        <v>39539</v>
      </c>
      <c r="CO1795">
        <v>25000</v>
      </c>
      <c r="CV1795">
        <v>21250</v>
      </c>
      <c r="CX1795" t="s">
        <v>675</v>
      </c>
      <c r="CZ1795" s="1">
        <v>39539</v>
      </c>
      <c r="DA1795">
        <v>0</v>
      </c>
      <c r="DD1795" t="s">
        <v>2387</v>
      </c>
      <c r="DF1795">
        <v>15</v>
      </c>
      <c r="DG1795">
        <v>48</v>
      </c>
      <c r="DL1795">
        <v>50301</v>
      </c>
      <c r="DM1795" t="s">
        <v>17670</v>
      </c>
      <c r="DO1795" t="s">
        <v>17687</v>
      </c>
      <c r="DP1795">
        <v>0</v>
      </c>
      <c r="DQ1795">
        <v>0</v>
      </c>
      <c r="DR1795" t="s">
        <v>411</v>
      </c>
    </row>
    <row r="1796" spans="1:296" x14ac:dyDescent="0.25">
      <c r="A1796">
        <v>16486803</v>
      </c>
      <c r="B1796">
        <v>1795</v>
      </c>
      <c r="C1796" t="s">
        <v>393</v>
      </c>
      <c r="D1796" t="s">
        <v>394</v>
      </c>
      <c r="F1796" t="str">
        <f>"42-3N-28-5080-0015-0160"</f>
        <v>42-3N-28-5080-0015-0160</v>
      </c>
      <c r="H1796" t="str">
        <f>"RAWLS EDWIN E"</f>
        <v>RAWLS EDWIN E</v>
      </c>
      <c r="I1796" t="str">
        <f>"96785 BLACKROCK RD"</f>
        <v>96785 BLACKROCK RD</v>
      </c>
      <c r="J1796" t="str">
        <f>"YULEE FL 32041"</f>
        <v>YULEE FL 32041</v>
      </c>
      <c r="K1796" t="str">
        <f>"96785 BLACKROCK RD"</f>
        <v>96785 BLACKROCK RD</v>
      </c>
      <c r="L1796" t="str">
        <f t="shared" si="669"/>
        <v>YULEE FL 32097</v>
      </c>
      <c r="M1796" t="str">
        <f>"PT LOT 15 (EX S-17) IN OR 1781/793 THIGPEN SURVEY DB 39/356"</f>
        <v>PT LOT 15 (EX S-17) IN OR 1781/793 THIGPEN SURVEY DB 39/356</v>
      </c>
      <c r="N1796" t="str">
        <f>""</f>
        <v/>
      </c>
      <c r="O1796" t="str">
        <f>"49263"</f>
        <v>49263</v>
      </c>
      <c r="P1796" t="str">
        <f t="shared" si="671"/>
        <v>2017</v>
      </c>
      <c r="Q1796" t="str">
        <f>""</f>
        <v/>
      </c>
      <c r="R1796" t="str">
        <f t="shared" si="670"/>
        <v>N</v>
      </c>
      <c r="S1796" t="str">
        <f>"1.84"</f>
        <v>1.84</v>
      </c>
      <c r="T1796" t="str">
        <f>"745.72"</f>
        <v>745.72</v>
      </c>
      <c r="U1796" t="str">
        <f>"47868.00"</f>
        <v>47868.00</v>
      </c>
      <c r="V1796" t="str">
        <f>"47868.00"</f>
        <v>47868.00</v>
      </c>
      <c r="W1796" t="str">
        <f t="shared" si="672"/>
        <v>2017</v>
      </c>
      <c r="X1796" t="str">
        <f>"11.20"</f>
        <v>11.20</v>
      </c>
      <c r="Y1796" t="str">
        <f>"800.09"</f>
        <v>800.09</v>
      </c>
      <c r="Z1796" t="str">
        <f>""</f>
        <v/>
      </c>
      <c r="AA1796" t="str">
        <f>"51060.00"</f>
        <v>51060.00</v>
      </c>
      <c r="AB1796" t="str">
        <f t="shared" si="673"/>
        <v>Residential</v>
      </c>
      <c r="AC1796" t="str">
        <f t="shared" si="643"/>
        <v>0</v>
      </c>
      <c r="AD1796" t="str">
        <f>""</f>
        <v/>
      </c>
      <c r="AE1796" t="str">
        <f>""</f>
        <v/>
      </c>
      <c r="AF1796" t="str">
        <f>"002"</f>
        <v>002</v>
      </c>
      <c r="AG1796" t="str">
        <f t="shared" si="658"/>
        <v>FL</v>
      </c>
      <c r="AH1796" t="str">
        <f>"80150.00"</f>
        <v>80150.00</v>
      </c>
      <c r="AI1796" t="str">
        <f>"32200.00"</f>
        <v>32200.00</v>
      </c>
      <c r="AJ1796" t="str">
        <f>"C55-000-588-2718-9"</f>
        <v>C55-000-588-2718-9</v>
      </c>
      <c r="AK1796" t="str">
        <f>"31895"</f>
        <v>31895</v>
      </c>
      <c r="AL1796">
        <v>7</v>
      </c>
      <c r="AM1796">
        <v>2045</v>
      </c>
      <c r="AN1796">
        <v>838.49</v>
      </c>
      <c r="AQ1796" t="s">
        <v>17688</v>
      </c>
      <c r="AR1796" t="s">
        <v>17688</v>
      </c>
      <c r="AS1796" t="s">
        <v>17688</v>
      </c>
      <c r="AU1796" t="s">
        <v>396</v>
      </c>
      <c r="AV1796">
        <v>2017</v>
      </c>
      <c r="AW1796" t="str">
        <f>"42-3N-28-5080-0015-0160 "</f>
        <v xml:space="preserve">42-3N-28-5080-0015-0160 </v>
      </c>
      <c r="AX1796">
        <v>96785</v>
      </c>
      <c r="AZ1796" t="s">
        <v>14867</v>
      </c>
      <c r="BA1796" t="s">
        <v>496</v>
      </c>
      <c r="BD1796" t="s">
        <v>2387</v>
      </c>
      <c r="BE1796" t="s">
        <v>393</v>
      </c>
      <c r="BF1796">
        <v>32097</v>
      </c>
      <c r="BG1796" t="s">
        <v>17689</v>
      </c>
      <c r="BH1796" t="s">
        <v>2388</v>
      </c>
      <c r="BI1796">
        <v>-81.533712506960995</v>
      </c>
      <c r="BJ1796">
        <v>30.669724056228599</v>
      </c>
      <c r="BK1796" t="s">
        <v>17690</v>
      </c>
      <c r="BM1796" t="s">
        <v>17689</v>
      </c>
      <c r="BN1796" t="s">
        <v>1778</v>
      </c>
      <c r="BO1796">
        <v>32097</v>
      </c>
      <c r="BP1796" t="s">
        <v>416</v>
      </c>
      <c r="BQ1796">
        <v>200</v>
      </c>
      <c r="BR1796" t="s">
        <v>405</v>
      </c>
      <c r="BS1796">
        <v>1006</v>
      </c>
      <c r="BT1796" t="s">
        <v>406</v>
      </c>
      <c r="BW1796">
        <v>80150</v>
      </c>
      <c r="BX1796" t="s">
        <v>407</v>
      </c>
      <c r="CA1796">
        <v>1989</v>
      </c>
      <c r="CC1796">
        <v>1</v>
      </c>
      <c r="CD1796">
        <v>2017</v>
      </c>
      <c r="CE1796">
        <v>32200</v>
      </c>
      <c r="CF1796">
        <v>18860</v>
      </c>
      <c r="CG1796">
        <v>51060</v>
      </c>
      <c r="CH1796">
        <v>2017</v>
      </c>
      <c r="CI1796">
        <v>32200</v>
      </c>
      <c r="CJ1796">
        <v>18860</v>
      </c>
      <c r="CK1796">
        <v>51060</v>
      </c>
      <c r="CL1796">
        <v>2017</v>
      </c>
      <c r="CM1796">
        <v>745.72</v>
      </c>
      <c r="CN1796" s="1">
        <v>40973</v>
      </c>
      <c r="CO1796">
        <v>43000</v>
      </c>
      <c r="CV1796">
        <v>38000</v>
      </c>
      <c r="CX1796" t="s">
        <v>707</v>
      </c>
      <c r="CZ1796" s="1">
        <v>40973</v>
      </c>
      <c r="DA1796">
        <v>0</v>
      </c>
      <c r="DD1796" t="s">
        <v>2387</v>
      </c>
      <c r="DG1796">
        <v>48</v>
      </c>
      <c r="DJ1796" t="s">
        <v>17669</v>
      </c>
      <c r="DL1796">
        <v>50301</v>
      </c>
      <c r="DM1796" t="s">
        <v>17670</v>
      </c>
      <c r="DO1796" t="s">
        <v>17691</v>
      </c>
      <c r="DP1796">
        <v>0</v>
      </c>
      <c r="DQ1796">
        <v>0</v>
      </c>
      <c r="DR1796" t="s">
        <v>411</v>
      </c>
      <c r="DS1796" t="b">
        <v>1</v>
      </c>
      <c r="DT1796" t="s">
        <v>470</v>
      </c>
      <c r="DU1796" t="s">
        <v>471</v>
      </c>
      <c r="DV1796" t="s">
        <v>472</v>
      </c>
      <c r="DX1796">
        <v>-9999</v>
      </c>
      <c r="DZ1796" t="s">
        <v>447</v>
      </c>
      <c r="EA1796" t="s">
        <v>448</v>
      </c>
      <c r="EB1796" t="s">
        <v>742</v>
      </c>
      <c r="EC1796">
        <v>20101217</v>
      </c>
      <c r="ED1796" t="s">
        <v>474</v>
      </c>
      <c r="EF1796">
        <v>629.29999999999995</v>
      </c>
      <c r="EG1796">
        <v>413.7</v>
      </c>
      <c r="EI1796">
        <v>20160407</v>
      </c>
      <c r="EJ1796">
        <v>0</v>
      </c>
      <c r="EK1796">
        <v>0</v>
      </c>
      <c r="EP1796" t="s">
        <v>421</v>
      </c>
      <c r="EQ1796" t="s">
        <v>422</v>
      </c>
      <c r="ER1796">
        <v>0</v>
      </c>
      <c r="ES1796">
        <v>8</v>
      </c>
      <c r="ET1796">
        <v>0</v>
      </c>
      <c r="EU1796">
        <v>0</v>
      </c>
      <c r="EV1796">
        <v>0</v>
      </c>
      <c r="EW1796" s="2">
        <v>43222</v>
      </c>
      <c r="EX1796" s="1">
        <v>42879</v>
      </c>
      <c r="EY1796">
        <v>2016</v>
      </c>
      <c r="EZ1796">
        <v>749.45</v>
      </c>
      <c r="FA1796" t="s">
        <v>17692</v>
      </c>
      <c r="FB1796">
        <v>0.25</v>
      </c>
      <c r="FC1796" t="s">
        <v>424</v>
      </c>
      <c r="FD1796" t="s">
        <v>425</v>
      </c>
      <c r="FE1796" s="1">
        <v>42975</v>
      </c>
      <c r="FF1796">
        <v>3</v>
      </c>
      <c r="FG1796">
        <v>2851116</v>
      </c>
      <c r="FH1796" t="s">
        <v>480</v>
      </c>
      <c r="FJ1796" s="1">
        <v>42879</v>
      </c>
      <c r="FK1796">
        <v>2016</v>
      </c>
      <c r="FL1796">
        <v>749.45</v>
      </c>
      <c r="FM1796" t="s">
        <v>17692</v>
      </c>
      <c r="FN1796">
        <v>0.25</v>
      </c>
      <c r="FO1796" t="s">
        <v>424</v>
      </c>
      <c r="FP1796" t="s">
        <v>425</v>
      </c>
      <c r="FR1796">
        <v>22</v>
      </c>
      <c r="FS1796">
        <v>4977214</v>
      </c>
      <c r="FT1796" t="s">
        <v>17693</v>
      </c>
      <c r="FV1796" s="1">
        <v>42515</v>
      </c>
      <c r="FW1796">
        <v>2015</v>
      </c>
      <c r="FX1796">
        <v>836.66</v>
      </c>
      <c r="FY1796" t="s">
        <v>17694</v>
      </c>
      <c r="FZ1796">
        <v>0.25</v>
      </c>
      <c r="GA1796" t="s">
        <v>424</v>
      </c>
      <c r="GB1796" t="s">
        <v>425</v>
      </c>
      <c r="GC1796" s="1">
        <v>42975</v>
      </c>
      <c r="GD1796">
        <v>15</v>
      </c>
      <c r="GE1796">
        <v>2851116</v>
      </c>
      <c r="GF1796" t="s">
        <v>480</v>
      </c>
      <c r="GH1796" s="1">
        <v>42515</v>
      </c>
      <c r="GI1796">
        <v>2015</v>
      </c>
      <c r="GJ1796">
        <v>836.66</v>
      </c>
      <c r="GK1796" t="s">
        <v>17694</v>
      </c>
      <c r="GL1796">
        <v>0.25</v>
      </c>
      <c r="GM1796" t="s">
        <v>424</v>
      </c>
      <c r="GN1796" t="s">
        <v>425</v>
      </c>
      <c r="GP1796">
        <v>22</v>
      </c>
      <c r="GQ1796">
        <v>5720461</v>
      </c>
      <c r="GR1796" t="s">
        <v>17695</v>
      </c>
      <c r="GT1796" s="1">
        <v>42151</v>
      </c>
      <c r="GU1796">
        <v>2014</v>
      </c>
      <c r="GV1796">
        <v>745.03</v>
      </c>
      <c r="GW1796" t="s">
        <v>17696</v>
      </c>
      <c r="GX1796">
        <v>0.25</v>
      </c>
      <c r="GY1796" t="s">
        <v>424</v>
      </c>
      <c r="GZ1796" t="s">
        <v>425</v>
      </c>
      <c r="HA1796" s="1">
        <v>42213</v>
      </c>
      <c r="HB1796">
        <v>2</v>
      </c>
      <c r="HC1796">
        <v>2851116</v>
      </c>
      <c r="HD1796" t="s">
        <v>480</v>
      </c>
      <c r="HF1796" s="1">
        <v>42151</v>
      </c>
      <c r="HG1796">
        <v>2014</v>
      </c>
      <c r="HH1796">
        <v>745.03</v>
      </c>
      <c r="HI1796" t="s">
        <v>17696</v>
      </c>
      <c r="HJ1796">
        <v>0.25</v>
      </c>
      <c r="HK1796" t="s">
        <v>424</v>
      </c>
      <c r="HL1796" t="s">
        <v>425</v>
      </c>
      <c r="HN1796">
        <v>22</v>
      </c>
      <c r="HO1796">
        <v>5014676</v>
      </c>
      <c r="HP1796" t="s">
        <v>17697</v>
      </c>
      <c r="HR1796" s="1">
        <v>41787</v>
      </c>
      <c r="HS1796">
        <v>2013</v>
      </c>
      <c r="HT1796">
        <v>864.37</v>
      </c>
      <c r="HU1796" t="s">
        <v>17698</v>
      </c>
      <c r="HV1796">
        <v>0.25</v>
      </c>
      <c r="HW1796" t="s">
        <v>424</v>
      </c>
      <c r="HX1796" t="s">
        <v>425</v>
      </c>
      <c r="HY1796" s="1">
        <v>42213</v>
      </c>
      <c r="HZ1796">
        <v>14</v>
      </c>
      <c r="IA1796">
        <v>305</v>
      </c>
      <c r="IB1796" t="s">
        <v>1078</v>
      </c>
      <c r="ID1796" s="1">
        <v>41423</v>
      </c>
      <c r="IE1796">
        <v>2012</v>
      </c>
      <c r="IF1796">
        <v>631.29999999999995</v>
      </c>
      <c r="IG1796" t="s">
        <v>17699</v>
      </c>
      <c r="IH1796">
        <v>0.25</v>
      </c>
      <c r="II1796" t="s">
        <v>424</v>
      </c>
      <c r="IJ1796" t="s">
        <v>425</v>
      </c>
      <c r="IK1796" s="1">
        <v>42069</v>
      </c>
      <c r="IL1796">
        <v>22</v>
      </c>
      <c r="IM1796">
        <v>2101385</v>
      </c>
      <c r="IN1796" t="s">
        <v>810</v>
      </c>
    </row>
    <row r="1797" spans="1:296" x14ac:dyDescent="0.25">
      <c r="A1797">
        <v>16486804</v>
      </c>
      <c r="B1797">
        <v>1796</v>
      </c>
      <c r="C1797" t="s">
        <v>393</v>
      </c>
      <c r="D1797" t="s">
        <v>394</v>
      </c>
      <c r="F1797" t="str">
        <f>"42-3N-28-5080-0037-0020"</f>
        <v>42-3N-28-5080-0037-0020</v>
      </c>
      <c r="H1797" t="str">
        <f>"STEWART WILLIAM ELSWORTH"</f>
        <v>STEWART WILLIAM ELSWORTH</v>
      </c>
      <c r="I1797" t="str">
        <f>"PO BOX 1151"</f>
        <v>PO BOX 1151</v>
      </c>
      <c r="J1797" t="str">
        <f>"CALLAHAN FL 32011"</f>
        <v>CALLAHAN FL 32011</v>
      </c>
      <c r="K1797" t="str">
        <f>"PO FOLKS WAY"</f>
        <v>PO FOLKS WAY</v>
      </c>
      <c r="L1797" t="str">
        <f t="shared" si="669"/>
        <v>YULEE FL 32097</v>
      </c>
      <c r="M1797" t="str">
        <f>"PT LOT 37 IN OR 1341/1988 THIGPEN SURVEY DBK 39/356"</f>
        <v>PT LOT 37 IN OR 1341/1988 THIGPEN SURVEY DBK 39/356</v>
      </c>
      <c r="N1797" t="str">
        <f>""</f>
        <v/>
      </c>
      <c r="O1797" t="str">
        <f>"49321"</f>
        <v>49321</v>
      </c>
      <c r="P1797" t="str">
        <f t="shared" si="671"/>
        <v>2017</v>
      </c>
      <c r="Q1797" t="str">
        <f>""</f>
        <v/>
      </c>
      <c r="R1797" t="str">
        <f t="shared" si="670"/>
        <v>N</v>
      </c>
      <c r="S1797" t="str">
        <f>"2.00"</f>
        <v>2.00</v>
      </c>
      <c r="T1797" t="str">
        <f>"302.78"</f>
        <v>302.78</v>
      </c>
      <c r="U1797" t="str">
        <f>"20000.00"</f>
        <v>20000.00</v>
      </c>
      <c r="V1797" t="str">
        <f>"20000.00"</f>
        <v>20000.00</v>
      </c>
      <c r="W1797" t="str">
        <f t="shared" si="672"/>
        <v>2017</v>
      </c>
      <c r="X1797" t="str">
        <f>"17.30"</f>
        <v>17.30</v>
      </c>
      <c r="Y1797" t="str">
        <f>"343.86"</f>
        <v>343.86</v>
      </c>
      <c r="Z1797" t="str">
        <f>""</f>
        <v/>
      </c>
      <c r="AA1797" t="str">
        <f>"20000.00"</f>
        <v>20000.00</v>
      </c>
      <c r="AB1797" t="str">
        <f t="shared" si="673"/>
        <v>Residential</v>
      </c>
      <c r="AC1797" t="str">
        <f t="shared" si="643"/>
        <v>0</v>
      </c>
      <c r="AD1797" t="str">
        <f>""</f>
        <v/>
      </c>
      <c r="AE1797" t="str">
        <f>""</f>
        <v/>
      </c>
      <c r="AF1797" t="str">
        <f>"000"</f>
        <v>000</v>
      </c>
      <c r="AG1797" t="str">
        <f t="shared" si="658"/>
        <v>FL</v>
      </c>
      <c r="AH1797" t="str">
        <f>"87120.00"</f>
        <v>87120.00</v>
      </c>
      <c r="AI1797" t="str">
        <f>"20000.00"</f>
        <v>20000.00</v>
      </c>
      <c r="AJ1797" t="str">
        <f>"C55-000-588-2760-1"</f>
        <v>C55-000-588-2760-1</v>
      </c>
      <c r="AK1797" t="str">
        <f>"31943"</f>
        <v>31943</v>
      </c>
      <c r="AL1797">
        <v>7</v>
      </c>
      <c r="AM1797">
        <v>2047</v>
      </c>
      <c r="AN1797">
        <v>359.45</v>
      </c>
      <c r="AQ1797" t="s">
        <v>17700</v>
      </c>
      <c r="AR1797" t="s">
        <v>17700</v>
      </c>
      <c r="AS1797" t="s">
        <v>17700</v>
      </c>
      <c r="AU1797" t="s">
        <v>396</v>
      </c>
      <c r="AV1797">
        <v>2017</v>
      </c>
      <c r="AW1797" t="str">
        <f>"42-3N-28-5080-0037-0020 "</f>
        <v xml:space="preserve">42-3N-28-5080-0037-0020 </v>
      </c>
      <c r="AZ1797" t="s">
        <v>17701</v>
      </c>
      <c r="BA1797" t="s">
        <v>866</v>
      </c>
      <c r="BD1797" t="s">
        <v>2387</v>
      </c>
      <c r="BE1797" t="s">
        <v>393</v>
      </c>
      <c r="BF1797">
        <v>32097</v>
      </c>
      <c r="BG1797" t="s">
        <v>17702</v>
      </c>
      <c r="BH1797" t="s">
        <v>2388</v>
      </c>
      <c r="BI1797">
        <v>-81.544176429165404</v>
      </c>
      <c r="BJ1797">
        <v>30.672408275974099</v>
      </c>
      <c r="BK1797" t="s">
        <v>17703</v>
      </c>
      <c r="BM1797" t="s">
        <v>2846</v>
      </c>
      <c r="BN1797" t="s">
        <v>928</v>
      </c>
      <c r="BO1797">
        <v>32011</v>
      </c>
      <c r="BP1797" t="s">
        <v>404</v>
      </c>
      <c r="BQ1797">
        <v>0</v>
      </c>
      <c r="BR1797" t="s">
        <v>491</v>
      </c>
      <c r="BS1797">
        <v>8001</v>
      </c>
      <c r="BT1797" t="s">
        <v>492</v>
      </c>
      <c r="BW1797">
        <v>87120</v>
      </c>
      <c r="BX1797" t="s">
        <v>407</v>
      </c>
      <c r="BY1797" t="s">
        <v>408</v>
      </c>
      <c r="CD1797">
        <v>2017</v>
      </c>
      <c r="CE1797">
        <v>20000</v>
      </c>
      <c r="CG1797">
        <v>20000</v>
      </c>
      <c r="CH1797">
        <v>2017</v>
      </c>
      <c r="CI1797">
        <v>20000</v>
      </c>
      <c r="CK1797">
        <v>20000</v>
      </c>
      <c r="CL1797">
        <v>2017</v>
      </c>
      <c r="CM1797">
        <v>302.77999999999997</v>
      </c>
      <c r="CN1797" s="1">
        <v>38579</v>
      </c>
      <c r="CO1797">
        <v>11200</v>
      </c>
      <c r="CZ1797" s="1">
        <v>38579</v>
      </c>
      <c r="DD1797" t="s">
        <v>2387</v>
      </c>
      <c r="DF1797">
        <v>37</v>
      </c>
      <c r="DG1797">
        <v>42</v>
      </c>
      <c r="DJ1797" t="s">
        <v>17669</v>
      </c>
      <c r="DL1797">
        <v>50301</v>
      </c>
      <c r="DM1797" t="s">
        <v>17603</v>
      </c>
      <c r="DO1797" t="s">
        <v>17704</v>
      </c>
      <c r="DP1797">
        <v>0</v>
      </c>
      <c r="DQ1797">
        <v>0</v>
      </c>
      <c r="DR1797" t="s">
        <v>411</v>
      </c>
      <c r="DS1797" t="b">
        <v>1</v>
      </c>
      <c r="DT1797" t="s">
        <v>470</v>
      </c>
      <c r="DU1797" t="s">
        <v>471</v>
      </c>
      <c r="DV1797" t="s">
        <v>472</v>
      </c>
      <c r="DX1797">
        <v>-9999</v>
      </c>
      <c r="DZ1797" t="s">
        <v>447</v>
      </c>
      <c r="EA1797" t="s">
        <v>448</v>
      </c>
      <c r="EB1797" t="s">
        <v>742</v>
      </c>
      <c r="EC1797">
        <v>20101217</v>
      </c>
      <c r="ED1797" t="s">
        <v>474</v>
      </c>
      <c r="EF1797">
        <v>808.8</v>
      </c>
      <c r="EG1797">
        <v>624.6</v>
      </c>
      <c r="EI1797">
        <v>20160407</v>
      </c>
      <c r="EJ1797">
        <v>0</v>
      </c>
      <c r="EK1797">
        <v>0</v>
      </c>
      <c r="EP1797" t="s">
        <v>421</v>
      </c>
      <c r="EQ1797" t="s">
        <v>452</v>
      </c>
      <c r="ER1797">
        <v>1</v>
      </c>
      <c r="ES1797">
        <v>9</v>
      </c>
      <c r="ET1797">
        <v>359.04</v>
      </c>
      <c r="EU1797">
        <v>24.2</v>
      </c>
      <c r="EV1797">
        <v>383.24</v>
      </c>
      <c r="EW1797" s="2">
        <v>43222</v>
      </c>
      <c r="EX1797" s="1">
        <v>42879</v>
      </c>
      <c r="EY1797">
        <v>2016</v>
      </c>
      <c r="EZ1797">
        <v>359.04</v>
      </c>
      <c r="FA1797" t="s">
        <v>17705</v>
      </c>
      <c r="FB1797">
        <v>4.75</v>
      </c>
      <c r="FC1797" t="s">
        <v>424</v>
      </c>
      <c r="FD1797" t="s">
        <v>454</v>
      </c>
      <c r="FF1797">
        <v>12</v>
      </c>
      <c r="FG1797">
        <v>5100525</v>
      </c>
      <c r="FH1797" t="s">
        <v>6804</v>
      </c>
      <c r="FJ1797" s="1">
        <v>42515</v>
      </c>
      <c r="FK1797">
        <v>2015</v>
      </c>
      <c r="FL1797">
        <v>362.11</v>
      </c>
      <c r="FM1797" t="s">
        <v>17706</v>
      </c>
      <c r="FN1797">
        <v>0.25</v>
      </c>
      <c r="FO1797" t="s">
        <v>424</v>
      </c>
      <c r="FP1797" t="s">
        <v>425</v>
      </c>
      <c r="FQ1797" s="1">
        <v>43158</v>
      </c>
      <c r="FR1797">
        <v>21</v>
      </c>
      <c r="FS1797">
        <v>7336671</v>
      </c>
      <c r="FT1797" t="s">
        <v>437</v>
      </c>
      <c r="FV1797" s="1">
        <v>42515</v>
      </c>
      <c r="FW1797">
        <v>2015</v>
      </c>
      <c r="FX1797">
        <v>362.11</v>
      </c>
      <c r="FY1797" t="s">
        <v>17706</v>
      </c>
      <c r="FZ1797">
        <v>0.25</v>
      </c>
      <c r="GA1797" t="s">
        <v>424</v>
      </c>
      <c r="GB1797" t="s">
        <v>425</v>
      </c>
      <c r="GD1797">
        <v>22</v>
      </c>
      <c r="GE1797">
        <v>6739969</v>
      </c>
      <c r="GF1797" t="s">
        <v>17707</v>
      </c>
      <c r="GH1797" s="1">
        <v>42151</v>
      </c>
      <c r="GI1797">
        <v>2014</v>
      </c>
      <c r="GJ1797">
        <v>646.39</v>
      </c>
      <c r="GK1797" t="s">
        <v>17708</v>
      </c>
      <c r="GL1797">
        <v>0.25</v>
      </c>
      <c r="GM1797" t="s">
        <v>424</v>
      </c>
      <c r="GN1797" t="s">
        <v>425</v>
      </c>
      <c r="GO1797" s="1">
        <v>42167</v>
      </c>
      <c r="GP1797">
        <v>1</v>
      </c>
      <c r="GQ1797">
        <v>7045027</v>
      </c>
      <c r="GR1797" t="s">
        <v>16141</v>
      </c>
      <c r="GS1797" t="s">
        <v>458</v>
      </c>
      <c r="GT1797" s="1">
        <v>41787</v>
      </c>
      <c r="GU1797">
        <v>2013</v>
      </c>
      <c r="GV1797">
        <v>538.04</v>
      </c>
      <c r="GW1797" t="s">
        <v>17709</v>
      </c>
      <c r="GX1797">
        <v>0.25</v>
      </c>
      <c r="GY1797" t="s">
        <v>424</v>
      </c>
      <c r="GZ1797" t="s">
        <v>425</v>
      </c>
      <c r="HA1797" s="1">
        <v>42167</v>
      </c>
      <c r="HB1797">
        <v>13</v>
      </c>
      <c r="HC1797">
        <v>10125</v>
      </c>
      <c r="HD1797" t="s">
        <v>440</v>
      </c>
      <c r="HE1797" t="s">
        <v>458</v>
      </c>
      <c r="HF1797" s="1">
        <v>41423</v>
      </c>
      <c r="HG1797">
        <v>2012</v>
      </c>
      <c r="HH1797">
        <v>544.5</v>
      </c>
      <c r="HI1797" t="s">
        <v>17710</v>
      </c>
      <c r="HJ1797">
        <v>3.75</v>
      </c>
      <c r="HK1797" t="s">
        <v>424</v>
      </c>
      <c r="HL1797" t="s">
        <v>425</v>
      </c>
      <c r="HN1797">
        <v>22</v>
      </c>
      <c r="HO1797">
        <v>1625515</v>
      </c>
      <c r="HP1797" t="s">
        <v>487</v>
      </c>
      <c r="HQ1797" t="s">
        <v>458</v>
      </c>
      <c r="HR1797" s="1">
        <v>41052</v>
      </c>
      <c r="HS1797">
        <v>2011</v>
      </c>
      <c r="HT1797">
        <v>813.98</v>
      </c>
      <c r="HU1797" t="s">
        <v>17711</v>
      </c>
      <c r="HV1797">
        <v>4.75</v>
      </c>
      <c r="HW1797" t="s">
        <v>424</v>
      </c>
      <c r="HX1797" t="s">
        <v>425</v>
      </c>
      <c r="HY1797" s="1">
        <v>41725</v>
      </c>
      <c r="HZ1797">
        <v>22</v>
      </c>
      <c r="IA1797">
        <v>1625515</v>
      </c>
      <c r="IB1797" t="s">
        <v>487</v>
      </c>
      <c r="ID1797" s="1">
        <v>41052</v>
      </c>
      <c r="IE1797">
        <v>2011</v>
      </c>
      <c r="IF1797">
        <v>813.98</v>
      </c>
      <c r="IG1797" t="s">
        <v>17711</v>
      </c>
      <c r="IH1797">
        <v>4.75</v>
      </c>
      <c r="II1797" t="s">
        <v>424</v>
      </c>
      <c r="IJ1797" t="s">
        <v>425</v>
      </c>
      <c r="IL1797">
        <v>22</v>
      </c>
      <c r="IM1797">
        <v>10579</v>
      </c>
      <c r="IN1797" t="s">
        <v>488</v>
      </c>
      <c r="IP1797" s="1">
        <v>40688</v>
      </c>
      <c r="IQ1797">
        <v>2010</v>
      </c>
      <c r="IR1797">
        <v>1045.27</v>
      </c>
      <c r="IS1797" t="s">
        <v>17712</v>
      </c>
      <c r="IT1797">
        <v>6</v>
      </c>
      <c r="IU1797" t="s">
        <v>424</v>
      </c>
      <c r="IV1797" t="s">
        <v>425</v>
      </c>
      <c r="IW1797" s="1">
        <v>41313</v>
      </c>
      <c r="IX1797">
        <v>21</v>
      </c>
      <c r="IY1797">
        <v>375</v>
      </c>
      <c r="IZ1797" t="s">
        <v>776</v>
      </c>
      <c r="JB1797" s="1">
        <v>40688</v>
      </c>
      <c r="JC1797">
        <v>2010</v>
      </c>
      <c r="JD1797">
        <v>1045.27</v>
      </c>
      <c r="JE1797" t="s">
        <v>17712</v>
      </c>
      <c r="JF1797">
        <v>6</v>
      </c>
      <c r="JG1797" t="s">
        <v>424</v>
      </c>
      <c r="JH1797" t="s">
        <v>425</v>
      </c>
      <c r="JJ1797">
        <v>22</v>
      </c>
      <c r="JK1797">
        <v>105</v>
      </c>
      <c r="JL1797" t="s">
        <v>946</v>
      </c>
    </row>
    <row r="1798" spans="1:296" x14ac:dyDescent="0.25">
      <c r="A1798">
        <v>16486805</v>
      </c>
      <c r="B1798">
        <v>1797</v>
      </c>
      <c r="C1798" t="s">
        <v>393</v>
      </c>
      <c r="D1798" t="s">
        <v>394</v>
      </c>
      <c r="F1798" t="str">
        <f>"43-3N-28-0000-0012-0000"</f>
        <v>43-3N-28-0000-0012-0000</v>
      </c>
      <c r="H1798" t="str">
        <f>"MITCHELL KENNETH L"</f>
        <v>MITCHELL KENNETH L</v>
      </c>
      <c r="I1798" t="str">
        <f>"96798 CHESTER ROAD"</f>
        <v>96798 CHESTER ROAD</v>
      </c>
      <c r="J1798" t="str">
        <f>"YULEE FL 32097"</f>
        <v>YULEE FL 32097</v>
      </c>
      <c r="K1798" t="str">
        <f>"2142 CHESTER RD"</f>
        <v>2142 CHESTER RD</v>
      </c>
      <c r="L1798" t="str">
        <f t="shared" si="669"/>
        <v>YULEE FL 32097</v>
      </c>
      <c r="M1798" t="str">
        <f>"PT JOHN LOWE GRANT SEC 43-3N-28E IN OR 1819/548"</f>
        <v>PT JOHN LOWE GRANT SEC 43-3N-28E IN OR 1819/548</v>
      </c>
      <c r="N1798" t="str">
        <f>""</f>
        <v/>
      </c>
      <c r="O1798" t="str">
        <f>"50171"</f>
        <v>50171</v>
      </c>
      <c r="P1798" t="str">
        <f t="shared" si="671"/>
        <v>2017</v>
      </c>
      <c r="Q1798" t="str">
        <f>""</f>
        <v/>
      </c>
      <c r="R1798" t="str">
        <f t="shared" si="670"/>
        <v>N</v>
      </c>
      <c r="S1798" t="str">
        <f>""</f>
        <v/>
      </c>
      <c r="T1798" t="str">
        <f>"246.01"</f>
        <v>246.01</v>
      </c>
      <c r="U1798" t="str">
        <f>"16250.00"</f>
        <v>16250.00</v>
      </c>
      <c r="V1798" t="str">
        <f>"16250.00"</f>
        <v>16250.00</v>
      </c>
      <c r="W1798" t="str">
        <f t="shared" si="672"/>
        <v>2017</v>
      </c>
      <c r="X1798" t="str">
        <f>"18.67"</f>
        <v>18.67</v>
      </c>
      <c r="Y1798" t="str">
        <f>"285.39"</f>
        <v>285.39</v>
      </c>
      <c r="Z1798" t="str">
        <f>""</f>
        <v/>
      </c>
      <c r="AA1798" t="str">
        <f>"16250.00"</f>
        <v>16250.00</v>
      </c>
      <c r="AB1798" t="str">
        <f t="shared" si="673"/>
        <v>Residential</v>
      </c>
      <c r="AC1798" t="str">
        <f t="shared" si="643"/>
        <v>0</v>
      </c>
      <c r="AD1798" t="str">
        <f>""</f>
        <v/>
      </c>
      <c r="AE1798" t="str">
        <f>""</f>
        <v/>
      </c>
      <c r="AF1798" t="str">
        <f>"000"</f>
        <v>000</v>
      </c>
      <c r="AG1798" t="str">
        <f t="shared" si="658"/>
        <v>FL</v>
      </c>
      <c r="AH1798" t="str">
        <f>"-"</f>
        <v>-</v>
      </c>
      <c r="AI1798" t="str">
        <f>"16250.00"</f>
        <v>16250.00</v>
      </c>
      <c r="AJ1798" t="str">
        <f>"C55-000-588-3565-3"</f>
        <v>C55-000-588-3565-3</v>
      </c>
      <c r="AK1798" t="str">
        <f>"31978"</f>
        <v>31978</v>
      </c>
      <c r="AL1798">
        <v>7</v>
      </c>
      <c r="AM1798">
        <v>2048</v>
      </c>
      <c r="AN1798">
        <v>298.06</v>
      </c>
      <c r="AQ1798" t="s">
        <v>17713</v>
      </c>
      <c r="AR1798" t="s">
        <v>17713</v>
      </c>
      <c r="AS1798" t="s">
        <v>17713</v>
      </c>
      <c r="AU1798" t="s">
        <v>396</v>
      </c>
      <c r="AV1798">
        <v>2017</v>
      </c>
      <c r="AW1798" t="str">
        <f>"43-3N-28-0000-0012-0000 "</f>
        <v xml:space="preserve">43-3N-28-0000-0012-0000 </v>
      </c>
      <c r="AX1798">
        <v>2142</v>
      </c>
      <c r="AZ1798" t="s">
        <v>17629</v>
      </c>
      <c r="BA1798" t="s">
        <v>496</v>
      </c>
      <c r="BD1798" t="s">
        <v>2387</v>
      </c>
      <c r="BE1798" t="s">
        <v>393</v>
      </c>
      <c r="BF1798">
        <v>32097</v>
      </c>
      <c r="BG1798" t="s">
        <v>17714</v>
      </c>
      <c r="BH1798" t="s">
        <v>2388</v>
      </c>
      <c r="BI1798">
        <v>-81.539279813661807</v>
      </c>
      <c r="BJ1798">
        <v>30.680829383554599</v>
      </c>
      <c r="BK1798" t="s">
        <v>17715</v>
      </c>
      <c r="BM1798" t="s">
        <v>17716</v>
      </c>
      <c r="BN1798" t="s">
        <v>1778</v>
      </c>
      <c r="BO1798">
        <v>32097</v>
      </c>
      <c r="BP1798" t="s">
        <v>404</v>
      </c>
      <c r="BQ1798">
        <v>0</v>
      </c>
      <c r="BR1798" t="s">
        <v>491</v>
      </c>
      <c r="BS1798">
        <v>8001</v>
      </c>
      <c r="BT1798" t="s">
        <v>492</v>
      </c>
      <c r="BW1798">
        <v>24103</v>
      </c>
      <c r="BX1798" t="s">
        <v>407</v>
      </c>
      <c r="BY1798" t="s">
        <v>2729</v>
      </c>
      <c r="CD1798">
        <v>2017</v>
      </c>
      <c r="CE1798">
        <v>16250</v>
      </c>
      <c r="CG1798">
        <v>16250</v>
      </c>
      <c r="CH1798">
        <v>2017</v>
      </c>
      <c r="CI1798">
        <v>16250</v>
      </c>
      <c r="CK1798">
        <v>16250</v>
      </c>
      <c r="CL1798">
        <v>2017</v>
      </c>
      <c r="CM1798">
        <v>246.01</v>
      </c>
      <c r="CN1798" s="1">
        <v>41163</v>
      </c>
      <c r="CZ1798" s="1">
        <v>41163</v>
      </c>
      <c r="DD1798" t="s">
        <v>2387</v>
      </c>
      <c r="DG1798">
        <v>43</v>
      </c>
      <c r="DL1798">
        <v>50301</v>
      </c>
      <c r="DM1798" t="s">
        <v>17717</v>
      </c>
      <c r="DO1798" t="s">
        <v>17718</v>
      </c>
      <c r="DP1798">
        <v>0</v>
      </c>
      <c r="DQ1798">
        <v>0</v>
      </c>
      <c r="DR1798" t="s">
        <v>411</v>
      </c>
      <c r="DS1798" t="b">
        <v>1</v>
      </c>
      <c r="DT1798" t="s">
        <v>470</v>
      </c>
      <c r="DU1798" t="s">
        <v>471</v>
      </c>
      <c r="DV1798" t="s">
        <v>472</v>
      </c>
      <c r="DX1798">
        <v>-9999</v>
      </c>
      <c r="DZ1798" t="s">
        <v>447</v>
      </c>
      <c r="EA1798" t="s">
        <v>448</v>
      </c>
      <c r="EB1798" t="s">
        <v>742</v>
      </c>
      <c r="EC1798">
        <v>20101217</v>
      </c>
      <c r="ED1798" t="s">
        <v>474</v>
      </c>
      <c r="EF1798">
        <v>1285.8</v>
      </c>
      <c r="EG1798">
        <v>764.5</v>
      </c>
      <c r="EI1798">
        <v>20160407</v>
      </c>
      <c r="EJ1798">
        <v>0</v>
      </c>
      <c r="EK1798">
        <v>0</v>
      </c>
      <c r="EP1798" t="s">
        <v>421</v>
      </c>
      <c r="EQ1798" t="s">
        <v>422</v>
      </c>
      <c r="ER1798">
        <v>0</v>
      </c>
      <c r="ES1798">
        <v>3</v>
      </c>
      <c r="ET1798">
        <v>0</v>
      </c>
      <c r="EU1798">
        <v>0</v>
      </c>
      <c r="EV1798">
        <v>0</v>
      </c>
      <c r="EW1798" s="2">
        <v>43222</v>
      </c>
      <c r="EX1798" s="1">
        <v>42879</v>
      </c>
      <c r="EY1798">
        <v>2016</v>
      </c>
      <c r="EZ1798">
        <v>296.67</v>
      </c>
      <c r="FA1798" t="s">
        <v>17719</v>
      </c>
      <c r="FB1798">
        <v>10</v>
      </c>
      <c r="FC1798" t="s">
        <v>424</v>
      </c>
      <c r="FD1798" t="s">
        <v>425</v>
      </c>
      <c r="FE1798" s="1">
        <v>43201</v>
      </c>
      <c r="FF1798">
        <v>11</v>
      </c>
      <c r="FG1798">
        <v>5100525</v>
      </c>
      <c r="FH1798" t="s">
        <v>6804</v>
      </c>
      <c r="FJ1798" s="1">
        <v>42515</v>
      </c>
      <c r="FK1798">
        <v>2015</v>
      </c>
      <c r="FL1798">
        <v>284.52999999999997</v>
      </c>
      <c r="FM1798" t="s">
        <v>17720</v>
      </c>
      <c r="FN1798">
        <v>15.75</v>
      </c>
      <c r="FO1798" t="s">
        <v>424</v>
      </c>
      <c r="FP1798" t="s">
        <v>425</v>
      </c>
      <c r="FQ1798" s="1">
        <v>43201</v>
      </c>
      <c r="FR1798">
        <v>23</v>
      </c>
      <c r="FS1798">
        <v>7336677</v>
      </c>
      <c r="FT1798" t="s">
        <v>5826</v>
      </c>
      <c r="FV1798" s="1">
        <v>42151</v>
      </c>
      <c r="FW1798">
        <v>2014</v>
      </c>
      <c r="FX1798">
        <v>260.76</v>
      </c>
      <c r="FY1798" t="s">
        <v>17721</v>
      </c>
      <c r="FZ1798">
        <v>4.75</v>
      </c>
      <c r="GA1798" t="s">
        <v>424</v>
      </c>
      <c r="GB1798" t="s">
        <v>425</v>
      </c>
      <c r="GC1798" s="1">
        <v>42818</v>
      </c>
      <c r="GD1798">
        <v>22</v>
      </c>
      <c r="GE1798">
        <v>7045027</v>
      </c>
      <c r="GF1798" t="s">
        <v>16141</v>
      </c>
    </row>
    <row r="1799" spans="1:296" x14ac:dyDescent="0.25">
      <c r="A1799">
        <v>16486806</v>
      </c>
      <c r="B1799">
        <v>1798</v>
      </c>
      <c r="C1799" t="s">
        <v>393</v>
      </c>
      <c r="D1799" t="s">
        <v>394</v>
      </c>
      <c r="F1799" t="str">
        <f>"43-3N-28-0000-0016-0060"</f>
        <v>43-3N-28-0000-0016-0060</v>
      </c>
      <c r="H1799" t="str">
        <f>"WILLIAMS VERNON SR"</f>
        <v>WILLIAMS VERNON SR</v>
      </c>
      <c r="I1799" t="str">
        <f>"540 YEW CT"</f>
        <v>540 YEW CT</v>
      </c>
      <c r="J1799" t="str">
        <f>"ALTAMONTE SPRINGS FL 32714"</f>
        <v>ALTAMONTE SPRINGS FL 32714</v>
      </c>
      <c r="K1799" t="str">
        <f>"97059 MITCHELL RD"</f>
        <v>97059 MITCHELL RD</v>
      </c>
      <c r="L1799" t="str">
        <f t="shared" si="669"/>
        <v>YULEE FL 32097</v>
      </c>
      <c r="M1799" t="str">
        <f>"IN OR 879/1272 &amp; ESMT (16-6 &amp; 16-8) R235648 &amp; R235649 &amp; R235650"</f>
        <v>IN OR 879/1272 &amp; ESMT (16-6 &amp; 16-8) R235648 &amp; R235649 &amp; R235650</v>
      </c>
      <c r="N1799" t="str">
        <f>""</f>
        <v/>
      </c>
      <c r="O1799" t="str">
        <f>"50189"</f>
        <v>50189</v>
      </c>
      <c r="P1799" t="str">
        <f t="shared" si="671"/>
        <v>2017</v>
      </c>
      <c r="Q1799" t="str">
        <f>""</f>
        <v/>
      </c>
      <c r="R1799" t="str">
        <f t="shared" si="670"/>
        <v>N</v>
      </c>
      <c r="S1799" t="str">
        <f>"1.77"</f>
        <v>1.77</v>
      </c>
      <c r="T1799" t="str">
        <f>"874.71"</f>
        <v>874.71</v>
      </c>
      <c r="U1799" t="str">
        <f>"57779.00"</f>
        <v>57779.00</v>
      </c>
      <c r="V1799" t="str">
        <f>"57779.00"</f>
        <v>57779.00</v>
      </c>
      <c r="W1799" t="str">
        <f t="shared" si="672"/>
        <v>2017</v>
      </c>
      <c r="X1799" t="str">
        <f>"10.60"</f>
        <v>10.60</v>
      </c>
      <c r="Y1799" t="str">
        <f>"932.95"</f>
        <v>932.95</v>
      </c>
      <c r="Z1799" t="str">
        <f>""</f>
        <v/>
      </c>
      <c r="AA1799" t="str">
        <f>"57779.00"</f>
        <v>57779.00</v>
      </c>
      <c r="AB1799" t="str">
        <f t="shared" si="673"/>
        <v>Residential</v>
      </c>
      <c r="AC1799" t="str">
        <f t="shared" si="643"/>
        <v>0</v>
      </c>
      <c r="AD1799" t="str">
        <f>"4"</f>
        <v>4</v>
      </c>
      <c r="AE1799" t="str">
        <f>"WOOD (INCLUDE STEEL STUDS)"</f>
        <v>WOOD (INCLUDE STEEL STUDS)</v>
      </c>
      <c r="AF1799" t="str">
        <f>"002"</f>
        <v>002</v>
      </c>
      <c r="AG1799" t="str">
        <f t="shared" si="658"/>
        <v>FL</v>
      </c>
      <c r="AH1799" t="str">
        <f>"77101.00"</f>
        <v>77101.00</v>
      </c>
      <c r="AI1799" t="str">
        <f>"39825.00"</f>
        <v>39825.00</v>
      </c>
      <c r="AJ1799" t="str">
        <f>"C55-000-588-3579-4"</f>
        <v>C55-000-588-3579-4</v>
      </c>
      <c r="AK1799" t="str">
        <f>"31991"</f>
        <v>31991</v>
      </c>
      <c r="AL1799">
        <v>7</v>
      </c>
      <c r="AM1799">
        <v>2049</v>
      </c>
      <c r="AN1799">
        <v>978</v>
      </c>
      <c r="AQ1799" t="s">
        <v>17722</v>
      </c>
      <c r="AR1799" t="s">
        <v>17722</v>
      </c>
      <c r="AS1799" t="s">
        <v>17722</v>
      </c>
      <c r="AU1799" t="s">
        <v>396</v>
      </c>
      <c r="AV1799">
        <v>2017</v>
      </c>
      <c r="AW1799" t="str">
        <f>"43-3N-28-0000-0016-0060 "</f>
        <v xml:space="preserve">43-3N-28-0000-0016-0060 </v>
      </c>
      <c r="AX1799">
        <v>97059</v>
      </c>
      <c r="AZ1799" t="s">
        <v>17723</v>
      </c>
      <c r="BA1799" t="s">
        <v>496</v>
      </c>
      <c r="BD1799" t="s">
        <v>2387</v>
      </c>
      <c r="BE1799" t="s">
        <v>393</v>
      </c>
      <c r="BF1799">
        <v>32097</v>
      </c>
      <c r="BG1799" t="s">
        <v>17724</v>
      </c>
      <c r="BH1799" t="s">
        <v>2388</v>
      </c>
      <c r="BI1799">
        <v>-81.536099759174206</v>
      </c>
      <c r="BJ1799">
        <v>30.680806488857002</v>
      </c>
      <c r="BK1799" t="s">
        <v>17725</v>
      </c>
      <c r="BM1799" t="s">
        <v>17726</v>
      </c>
      <c r="BN1799" t="s">
        <v>17727</v>
      </c>
      <c r="BO1799">
        <v>32714</v>
      </c>
      <c r="BP1799" t="s">
        <v>404</v>
      </c>
      <c r="BQ1799">
        <v>200</v>
      </c>
      <c r="BR1799" t="s">
        <v>405</v>
      </c>
      <c r="BS1799">
        <v>1006</v>
      </c>
      <c r="BT1799" t="s">
        <v>406</v>
      </c>
      <c r="BW1799">
        <v>77101</v>
      </c>
      <c r="BX1799" t="s">
        <v>407</v>
      </c>
      <c r="BY1799" t="s">
        <v>2729</v>
      </c>
      <c r="BZ1799">
        <v>4</v>
      </c>
      <c r="CA1799">
        <v>1985</v>
      </c>
      <c r="CB1799">
        <v>1</v>
      </c>
      <c r="CC1799">
        <v>1</v>
      </c>
      <c r="CD1799">
        <v>2017</v>
      </c>
      <c r="CE1799">
        <v>39825</v>
      </c>
      <c r="CF1799">
        <v>17954</v>
      </c>
      <c r="CG1799">
        <v>57779</v>
      </c>
      <c r="CH1799">
        <v>2017</v>
      </c>
      <c r="CI1799">
        <v>39825</v>
      </c>
      <c r="CJ1799">
        <v>17954</v>
      </c>
      <c r="CK1799">
        <v>57779</v>
      </c>
      <c r="CL1799">
        <v>2017</v>
      </c>
      <c r="CM1799">
        <v>874.71</v>
      </c>
      <c r="CN1799" s="1">
        <v>36270</v>
      </c>
      <c r="CO1799">
        <v>32000</v>
      </c>
      <c r="CZ1799" s="1">
        <v>36270</v>
      </c>
      <c r="DD1799" t="s">
        <v>2387</v>
      </c>
      <c r="DG1799">
        <v>43</v>
      </c>
      <c r="DL1799">
        <v>50301</v>
      </c>
      <c r="DM1799" t="s">
        <v>17717</v>
      </c>
      <c r="DO1799" t="s">
        <v>17728</v>
      </c>
      <c r="DP1799">
        <v>0</v>
      </c>
      <c r="DQ1799">
        <v>0</v>
      </c>
      <c r="DR1799" t="s">
        <v>411</v>
      </c>
      <c r="DS1799" t="b">
        <v>1</v>
      </c>
      <c r="DT1799" t="s">
        <v>470</v>
      </c>
      <c r="DU1799" t="s">
        <v>471</v>
      </c>
      <c r="DV1799" t="s">
        <v>472</v>
      </c>
      <c r="DX1799">
        <v>-9999</v>
      </c>
      <c r="DZ1799" t="s">
        <v>447</v>
      </c>
      <c r="EA1799" t="s">
        <v>448</v>
      </c>
      <c r="EB1799" t="s">
        <v>742</v>
      </c>
      <c r="EC1799">
        <v>20101217</v>
      </c>
      <c r="ED1799" t="s">
        <v>474</v>
      </c>
      <c r="EF1799">
        <v>1059.5999999999999</v>
      </c>
      <c r="EG1799">
        <v>737.7</v>
      </c>
      <c r="EI1799">
        <v>20160407</v>
      </c>
      <c r="EJ1799">
        <v>0</v>
      </c>
      <c r="EK1799">
        <v>0</v>
      </c>
      <c r="EP1799" t="s">
        <v>421</v>
      </c>
      <c r="EQ1799" t="s">
        <v>452</v>
      </c>
      <c r="ER1799">
        <v>0</v>
      </c>
      <c r="ES1799">
        <v>6</v>
      </c>
      <c r="ET1799">
        <v>0</v>
      </c>
      <c r="EU1799">
        <v>0</v>
      </c>
      <c r="EV1799">
        <v>0</v>
      </c>
      <c r="EW1799" s="2">
        <v>43222</v>
      </c>
      <c r="EX1799" s="1">
        <v>42515</v>
      </c>
      <c r="EY1799">
        <v>2015</v>
      </c>
      <c r="EZ1799">
        <v>974.3</v>
      </c>
      <c r="FA1799" t="s">
        <v>17729</v>
      </c>
      <c r="FB1799">
        <v>0.25</v>
      </c>
      <c r="FC1799" t="s">
        <v>424</v>
      </c>
      <c r="FD1799" t="s">
        <v>425</v>
      </c>
      <c r="FE1799" s="1">
        <v>42794</v>
      </c>
      <c r="FF1799">
        <v>9</v>
      </c>
      <c r="FG1799">
        <v>2851116</v>
      </c>
      <c r="FH1799" t="s">
        <v>480</v>
      </c>
      <c r="FJ1799" s="1">
        <v>42515</v>
      </c>
      <c r="FK1799">
        <v>2015</v>
      </c>
      <c r="FL1799">
        <v>974.3</v>
      </c>
      <c r="FM1799" t="s">
        <v>17729</v>
      </c>
      <c r="FN1799">
        <v>0.25</v>
      </c>
      <c r="FO1799" t="s">
        <v>424</v>
      </c>
      <c r="FP1799" t="s">
        <v>425</v>
      </c>
      <c r="FR1799">
        <v>22</v>
      </c>
      <c r="FS1799">
        <v>5627124</v>
      </c>
      <c r="FT1799" t="s">
        <v>17730</v>
      </c>
      <c r="FV1799" s="1">
        <v>42151</v>
      </c>
      <c r="FW1799">
        <v>2014</v>
      </c>
      <c r="FX1799">
        <v>845.54</v>
      </c>
      <c r="FY1799" t="s">
        <v>17731</v>
      </c>
      <c r="FZ1799">
        <v>4.75</v>
      </c>
      <c r="GA1799" t="s">
        <v>424</v>
      </c>
      <c r="GB1799" t="s">
        <v>425</v>
      </c>
      <c r="GC1799" s="1">
        <v>42167</v>
      </c>
      <c r="GD1799">
        <v>1</v>
      </c>
      <c r="GE1799">
        <v>1129</v>
      </c>
      <c r="GF1799" t="s">
        <v>14726</v>
      </c>
      <c r="GG1799" t="s">
        <v>458</v>
      </c>
      <c r="GH1799" s="1">
        <v>41787</v>
      </c>
      <c r="GI1799">
        <v>2013</v>
      </c>
      <c r="GJ1799">
        <v>863.82</v>
      </c>
      <c r="GK1799" t="s">
        <v>17732</v>
      </c>
      <c r="GL1799">
        <v>0.25</v>
      </c>
      <c r="GM1799" t="s">
        <v>424</v>
      </c>
      <c r="GN1799" t="s">
        <v>425</v>
      </c>
      <c r="GO1799" s="1">
        <v>42167</v>
      </c>
      <c r="GP1799">
        <v>13</v>
      </c>
      <c r="GQ1799">
        <v>2407503</v>
      </c>
      <c r="GR1799" t="s">
        <v>461</v>
      </c>
      <c r="GS1799" t="s">
        <v>458</v>
      </c>
      <c r="GT1799" s="1">
        <v>41423</v>
      </c>
      <c r="GU1799">
        <v>2012</v>
      </c>
      <c r="GV1799">
        <v>887.87</v>
      </c>
      <c r="GW1799" t="s">
        <v>17733</v>
      </c>
      <c r="GX1799">
        <v>0.25</v>
      </c>
      <c r="GY1799" t="s">
        <v>424</v>
      </c>
      <c r="GZ1799" t="s">
        <v>425</v>
      </c>
      <c r="HB1799">
        <v>22</v>
      </c>
      <c r="HC1799">
        <v>1625515</v>
      </c>
      <c r="HD1799" t="s">
        <v>487</v>
      </c>
      <c r="HE1799" t="s">
        <v>458</v>
      </c>
      <c r="HF1799" s="1">
        <v>41052</v>
      </c>
      <c r="HG1799">
        <v>2011</v>
      </c>
      <c r="HH1799">
        <v>1276.75</v>
      </c>
      <c r="HI1799" t="s">
        <v>17734</v>
      </c>
      <c r="HJ1799">
        <v>5.75</v>
      </c>
      <c r="HK1799" t="s">
        <v>424</v>
      </c>
      <c r="HL1799" t="s">
        <v>425</v>
      </c>
      <c r="HM1799" s="1">
        <v>41183</v>
      </c>
      <c r="HN1799">
        <v>5</v>
      </c>
      <c r="HO1799">
        <v>10579</v>
      </c>
      <c r="HP1799" t="s">
        <v>488</v>
      </c>
    </row>
    <row r="1800" spans="1:296" x14ac:dyDescent="0.25">
      <c r="A1800">
        <v>16486807</v>
      </c>
      <c r="B1800">
        <v>1799</v>
      </c>
      <c r="C1800" t="s">
        <v>393</v>
      </c>
      <c r="D1800" t="s">
        <v>394</v>
      </c>
      <c r="F1800" t="str">
        <f>"43-3N-28-0000-0017-0110"</f>
        <v>43-3N-28-0000-0017-0110</v>
      </c>
      <c r="H1800" t="str">
        <f>"GIORDANO ROBERT &amp; BARBARA"</f>
        <v>GIORDANO ROBERT &amp; BARBARA</v>
      </c>
      <c r="I1800" t="str">
        <f>"76309 LONG LEAF LOOP"</f>
        <v>76309 LONG LEAF LOOP</v>
      </c>
      <c r="J1800" t="str">
        <f>"YULEE FL 32097"</f>
        <v>YULEE FL 32097</v>
      </c>
      <c r="K1800" t="str">
        <f>"BELL LAGOON DR"</f>
        <v>BELL LAGOON DR</v>
      </c>
      <c r="L1800" t="str">
        <f t="shared" si="669"/>
        <v>YULEE FL 32097</v>
      </c>
      <c r="M1800" t="str">
        <f>"PT OR 1262/719"</f>
        <v>PT OR 1262/719</v>
      </c>
      <c r="N1800" t="str">
        <f>""</f>
        <v/>
      </c>
      <c r="O1800" t="str">
        <f>"50199"</f>
        <v>50199</v>
      </c>
      <c r="P1800" t="str">
        <f t="shared" si="671"/>
        <v>2017</v>
      </c>
      <c r="Q1800" t="str">
        <f>""</f>
        <v/>
      </c>
      <c r="R1800" t="str">
        <f t="shared" si="670"/>
        <v>N</v>
      </c>
      <c r="S1800" t="str">
        <f>"2.54"</f>
        <v>2.54</v>
      </c>
      <c r="T1800" t="str">
        <f>"898.83"</f>
        <v>898.83</v>
      </c>
      <c r="U1800" t="str">
        <f>"59372.00"</f>
        <v>59372.00</v>
      </c>
      <c r="V1800" t="str">
        <f>"59372.00"</f>
        <v>59372.00</v>
      </c>
      <c r="W1800" t="str">
        <f t="shared" si="672"/>
        <v>2017</v>
      </c>
      <c r="X1800" t="str">
        <f>"24.00"</f>
        <v>24.00</v>
      </c>
      <c r="Y1800" t="str">
        <f>"957.79"</f>
        <v>957.79</v>
      </c>
      <c r="Z1800" t="str">
        <f>""</f>
        <v/>
      </c>
      <c r="AA1800" t="str">
        <f>"59372.00"</f>
        <v>59372.00</v>
      </c>
      <c r="AB1800" t="str">
        <f t="shared" si="673"/>
        <v>Residential</v>
      </c>
      <c r="AC1800" t="str">
        <f t="shared" si="643"/>
        <v>0</v>
      </c>
      <c r="AD1800" t="str">
        <f>""</f>
        <v/>
      </c>
      <c r="AE1800" t="str">
        <f>""</f>
        <v/>
      </c>
      <c r="AF1800" t="str">
        <f>"000"</f>
        <v>000</v>
      </c>
      <c r="AG1800" t="str">
        <f t="shared" si="658"/>
        <v>FL</v>
      </c>
      <c r="AH1800" t="str">
        <f>"110642.00"</f>
        <v>110642.00</v>
      </c>
      <c r="AI1800" t="str">
        <f>"59372.00"</f>
        <v>59372.00</v>
      </c>
      <c r="AJ1800" t="str">
        <f>"C55-000-589-1053-0"</f>
        <v>C55-000-589-1053-0</v>
      </c>
      <c r="AK1800" t="str">
        <f>"31997"</f>
        <v>31997</v>
      </c>
      <c r="AL1800">
        <v>7</v>
      </c>
      <c r="AM1800">
        <v>2050</v>
      </c>
      <c r="AN1800">
        <v>1004.08</v>
      </c>
      <c r="AQ1800" t="s">
        <v>17735</v>
      </c>
      <c r="AR1800" t="s">
        <v>17735</v>
      </c>
      <c r="AS1800" t="s">
        <v>17735</v>
      </c>
      <c r="AU1800" t="s">
        <v>396</v>
      </c>
      <c r="AV1800">
        <v>2017</v>
      </c>
      <c r="AW1800" t="str">
        <f>"43-3N-28-0000-0017-0110 "</f>
        <v xml:space="preserve">43-3N-28-0000-0017-0110 </v>
      </c>
      <c r="AZ1800" t="s">
        <v>17736</v>
      </c>
      <c r="BA1800" t="s">
        <v>669</v>
      </c>
      <c r="BD1800" t="s">
        <v>2387</v>
      </c>
      <c r="BE1800" t="s">
        <v>393</v>
      </c>
      <c r="BF1800">
        <v>32097</v>
      </c>
      <c r="BG1800" t="s">
        <v>17737</v>
      </c>
      <c r="BH1800" t="s">
        <v>2388</v>
      </c>
      <c r="BI1800">
        <v>-81.533616637341098</v>
      </c>
      <c r="BJ1800">
        <v>30.676678765777002</v>
      </c>
      <c r="BK1800" t="s">
        <v>17738</v>
      </c>
      <c r="BL1800" t="s">
        <v>17739</v>
      </c>
      <c r="BM1800" t="s">
        <v>17740</v>
      </c>
      <c r="BN1800" t="s">
        <v>1778</v>
      </c>
      <c r="BO1800">
        <v>32097</v>
      </c>
      <c r="BP1800" t="s">
        <v>404</v>
      </c>
      <c r="BQ1800">
        <v>0</v>
      </c>
      <c r="BR1800" t="s">
        <v>491</v>
      </c>
      <c r="BS1800">
        <v>8001</v>
      </c>
      <c r="BT1800" t="s">
        <v>492</v>
      </c>
      <c r="BW1800">
        <v>110642</v>
      </c>
      <c r="BX1800" t="s">
        <v>407</v>
      </c>
      <c r="BY1800" t="s">
        <v>2729</v>
      </c>
      <c r="CD1800">
        <v>2017</v>
      </c>
      <c r="CE1800">
        <v>59372</v>
      </c>
      <c r="CG1800">
        <v>59372</v>
      </c>
      <c r="CH1800">
        <v>2017</v>
      </c>
      <c r="CI1800">
        <v>59372</v>
      </c>
      <c r="CK1800">
        <v>59372</v>
      </c>
      <c r="CL1800">
        <v>2017</v>
      </c>
      <c r="CM1800">
        <v>898.83</v>
      </c>
      <c r="CN1800" s="1">
        <v>38259</v>
      </c>
      <c r="CZ1800" s="1">
        <v>38259</v>
      </c>
      <c r="DD1800" t="s">
        <v>2387</v>
      </c>
      <c r="DG1800">
        <v>43</v>
      </c>
      <c r="DL1800">
        <v>50301</v>
      </c>
      <c r="DM1800" t="s">
        <v>17717</v>
      </c>
      <c r="DO1800" t="s">
        <v>17741</v>
      </c>
      <c r="DP1800">
        <v>0</v>
      </c>
      <c r="DQ1800">
        <v>0</v>
      </c>
      <c r="DR1800" t="s">
        <v>411</v>
      </c>
      <c r="DS1800" t="b">
        <v>1</v>
      </c>
      <c r="DT1800" t="s">
        <v>470</v>
      </c>
      <c r="DU1800" t="s">
        <v>471</v>
      </c>
      <c r="DV1800" t="s">
        <v>472</v>
      </c>
      <c r="DX1800">
        <v>-9999</v>
      </c>
      <c r="DZ1800" t="s">
        <v>447</v>
      </c>
      <c r="EA1800" t="s">
        <v>448</v>
      </c>
      <c r="EB1800" t="s">
        <v>742</v>
      </c>
      <c r="EC1800">
        <v>20101217</v>
      </c>
      <c r="ED1800" t="s">
        <v>474</v>
      </c>
      <c r="EF1800">
        <v>1559</v>
      </c>
      <c r="EG1800">
        <v>874</v>
      </c>
      <c r="EI1800">
        <v>20160407</v>
      </c>
      <c r="EJ1800">
        <v>0</v>
      </c>
      <c r="EK1800">
        <v>0</v>
      </c>
      <c r="EP1800" t="s">
        <v>421</v>
      </c>
      <c r="EQ1800" t="s">
        <v>422</v>
      </c>
      <c r="ER1800">
        <v>9</v>
      </c>
      <c r="ES1800">
        <v>0</v>
      </c>
      <c r="ET1800">
        <v>9546.42</v>
      </c>
      <c r="EU1800">
        <v>2761.99</v>
      </c>
      <c r="EV1800">
        <v>12308.41</v>
      </c>
      <c r="EW1800" s="2">
        <v>43222</v>
      </c>
      <c r="EX1800" s="1">
        <v>42879</v>
      </c>
      <c r="EY1800">
        <v>2016</v>
      </c>
      <c r="EZ1800">
        <v>1012.7</v>
      </c>
      <c r="FA1800" t="s">
        <v>17742</v>
      </c>
      <c r="FB1800">
        <v>3.5</v>
      </c>
      <c r="FC1800" t="s">
        <v>424</v>
      </c>
      <c r="FD1800" t="s">
        <v>454</v>
      </c>
      <c r="FF1800">
        <v>12</v>
      </c>
      <c r="FG1800">
        <v>7400230</v>
      </c>
      <c r="FH1800" t="s">
        <v>11796</v>
      </c>
      <c r="FJ1800" s="1">
        <v>42515</v>
      </c>
      <c r="FK1800">
        <v>2015</v>
      </c>
      <c r="FL1800">
        <v>1031.6500000000001</v>
      </c>
      <c r="FM1800" t="s">
        <v>17743</v>
      </c>
      <c r="FN1800">
        <v>18</v>
      </c>
      <c r="FO1800" t="s">
        <v>424</v>
      </c>
      <c r="FP1800" t="s">
        <v>454</v>
      </c>
      <c r="FR1800">
        <v>24</v>
      </c>
      <c r="FS1800">
        <v>10125</v>
      </c>
      <c r="FT1800" t="s">
        <v>440</v>
      </c>
      <c r="FV1800" s="1">
        <v>42151</v>
      </c>
      <c r="FW1800">
        <v>2014</v>
      </c>
      <c r="FX1800">
        <v>1036.76</v>
      </c>
      <c r="FY1800" t="s">
        <v>17744</v>
      </c>
      <c r="FZ1800">
        <v>18</v>
      </c>
      <c r="GA1800" t="s">
        <v>424</v>
      </c>
      <c r="GB1800" t="s">
        <v>454</v>
      </c>
      <c r="GD1800">
        <v>36</v>
      </c>
      <c r="GE1800">
        <v>7045037</v>
      </c>
      <c r="GF1800" t="s">
        <v>17745</v>
      </c>
      <c r="GH1800" s="1">
        <v>41787</v>
      </c>
      <c r="GI1800">
        <v>2013</v>
      </c>
      <c r="GJ1800">
        <v>982.48</v>
      </c>
      <c r="GK1800" t="s">
        <v>17746</v>
      </c>
      <c r="GL1800">
        <v>0.25</v>
      </c>
      <c r="GM1800" t="s">
        <v>424</v>
      </c>
      <c r="GN1800" t="s">
        <v>454</v>
      </c>
      <c r="GP1800">
        <v>48</v>
      </c>
      <c r="GQ1800">
        <v>10125</v>
      </c>
      <c r="GR1800" t="s">
        <v>440</v>
      </c>
      <c r="GT1800" s="1">
        <v>41423</v>
      </c>
      <c r="GU1800">
        <v>2012</v>
      </c>
      <c r="GV1800">
        <v>994.49</v>
      </c>
      <c r="GW1800" t="s">
        <v>17747</v>
      </c>
      <c r="GX1800">
        <v>3.75</v>
      </c>
      <c r="GY1800" t="s">
        <v>424</v>
      </c>
      <c r="GZ1800" t="s">
        <v>454</v>
      </c>
      <c r="HB1800">
        <v>60</v>
      </c>
      <c r="HC1800">
        <v>1625515</v>
      </c>
      <c r="HD1800" t="s">
        <v>487</v>
      </c>
      <c r="HF1800" s="1">
        <v>41423</v>
      </c>
      <c r="HG1800">
        <v>2012</v>
      </c>
      <c r="HH1800">
        <v>994.49</v>
      </c>
      <c r="HI1800" t="s">
        <v>17747</v>
      </c>
      <c r="HJ1800">
        <v>3.75</v>
      </c>
      <c r="HK1800" t="s">
        <v>424</v>
      </c>
      <c r="HL1800" t="s">
        <v>454</v>
      </c>
      <c r="HN1800">
        <v>60</v>
      </c>
      <c r="HO1800">
        <v>1124</v>
      </c>
      <c r="HP1800" t="s">
        <v>3142</v>
      </c>
      <c r="HR1800" s="1">
        <v>41423</v>
      </c>
      <c r="HS1800">
        <v>2012</v>
      </c>
      <c r="HT1800">
        <v>994.49</v>
      </c>
      <c r="HU1800" t="s">
        <v>17747</v>
      </c>
      <c r="HV1800">
        <v>3.75</v>
      </c>
      <c r="HW1800" t="s">
        <v>424</v>
      </c>
      <c r="HX1800" t="s">
        <v>454</v>
      </c>
      <c r="HZ1800">
        <v>60</v>
      </c>
      <c r="IA1800">
        <v>7336730</v>
      </c>
      <c r="IB1800" t="s">
        <v>17748</v>
      </c>
      <c r="ID1800" s="1">
        <v>41052</v>
      </c>
      <c r="IE1800">
        <v>2011</v>
      </c>
      <c r="IF1800">
        <v>1093.46</v>
      </c>
      <c r="IG1800" t="s">
        <v>17749</v>
      </c>
      <c r="IH1800">
        <v>8</v>
      </c>
      <c r="II1800" t="s">
        <v>424</v>
      </c>
      <c r="IJ1800" t="s">
        <v>454</v>
      </c>
      <c r="IL1800">
        <v>72</v>
      </c>
      <c r="IM1800">
        <v>318</v>
      </c>
      <c r="IN1800" t="s">
        <v>1083</v>
      </c>
      <c r="IP1800" s="1">
        <v>40688</v>
      </c>
      <c r="IQ1800">
        <v>2010</v>
      </c>
      <c r="IR1800">
        <v>1405.9</v>
      </c>
      <c r="IS1800" t="s">
        <v>17750</v>
      </c>
      <c r="IT1800">
        <v>6</v>
      </c>
      <c r="IU1800" t="s">
        <v>424</v>
      </c>
      <c r="IV1800" t="s">
        <v>454</v>
      </c>
      <c r="IX1800">
        <v>84</v>
      </c>
      <c r="IY1800">
        <v>375</v>
      </c>
      <c r="IZ1800" t="s">
        <v>776</v>
      </c>
    </row>
    <row r="1801" spans="1:296" x14ac:dyDescent="0.25">
      <c r="A1801">
        <v>16486808</v>
      </c>
      <c r="B1801">
        <v>1800</v>
      </c>
      <c r="C1801" t="s">
        <v>393</v>
      </c>
      <c r="D1801" t="s">
        <v>394</v>
      </c>
      <c r="F1801" t="str">
        <f>"43-3N-28-1510-0014-0000"</f>
        <v>43-3N-28-1510-0014-0000</v>
      </c>
      <c r="H1801" t="str">
        <f>"ADAMS HOMES OF NORTHWEST FLORIDA INC"</f>
        <v>ADAMS HOMES OF NORTHWEST FLORIDA INC</v>
      </c>
      <c r="I1801" t="str">
        <f>"3000 GULF BREEZE PKWY"</f>
        <v>3000 GULF BREEZE PKWY</v>
      </c>
      <c r="J1801" t="str">
        <f>"GULF BREEZE FL 32563"</f>
        <v>GULF BREEZE FL 32563</v>
      </c>
      <c r="K1801" t="str">
        <f>"88101 MAYBOURNE RD"</f>
        <v>88101 MAYBOURNE RD</v>
      </c>
      <c r="L1801" t="str">
        <f t="shared" si="669"/>
        <v>YULEE FL 32097</v>
      </c>
      <c r="M1801" t="str">
        <f>"LOT 14 PT OR 2027/444 OAKS AT BRISTOL PB 8/4"</f>
        <v>LOT 14 PT OR 2027/444 OAKS AT BRISTOL PB 8/4</v>
      </c>
      <c r="N1801" t="str">
        <f>""</f>
        <v/>
      </c>
      <c r="O1801" t="str">
        <f>"50318"</f>
        <v>50318</v>
      </c>
      <c r="P1801" t="str">
        <f t="shared" si="671"/>
        <v>2017</v>
      </c>
      <c r="Q1801" t="str">
        <f>""</f>
        <v/>
      </c>
      <c r="R1801" t="str">
        <f t="shared" si="670"/>
        <v>N</v>
      </c>
      <c r="S1801" t="str">
        <f>""</f>
        <v/>
      </c>
      <c r="T1801" t="str">
        <f>"529.86"</f>
        <v>529.86</v>
      </c>
      <c r="U1801" t="str">
        <f>"35000.00"</f>
        <v>35000.00</v>
      </c>
      <c r="V1801" t="str">
        <f>"35000.00"</f>
        <v>35000.00</v>
      </c>
      <c r="W1801" t="str">
        <f t="shared" si="672"/>
        <v>2017</v>
      </c>
      <c r="X1801" t="str">
        <f>"2.50"</f>
        <v>2.50</v>
      </c>
      <c r="Y1801" t="str">
        <f>"577.76"</f>
        <v>577.76</v>
      </c>
      <c r="Z1801" t="str">
        <f>""</f>
        <v/>
      </c>
      <c r="AA1801" t="str">
        <f>"35000.00"</f>
        <v>35000.00</v>
      </c>
      <c r="AB1801" t="str">
        <f t="shared" si="673"/>
        <v>Residential</v>
      </c>
      <c r="AC1801" t="str">
        <f t="shared" si="643"/>
        <v>0</v>
      </c>
      <c r="AD1801" t="str">
        <f>""</f>
        <v/>
      </c>
      <c r="AE1801" t="str">
        <f>""</f>
        <v/>
      </c>
      <c r="AF1801" t="str">
        <f>"000"</f>
        <v>000</v>
      </c>
      <c r="AG1801" t="str">
        <f t="shared" si="658"/>
        <v>FL</v>
      </c>
      <c r="AH1801" t="str">
        <f t="shared" ref="AH1801:AH1815" si="674">"-"</f>
        <v>-</v>
      </c>
      <c r="AI1801" t="str">
        <f>"35000.00"</f>
        <v>35000.00</v>
      </c>
      <c r="AJ1801" t="str">
        <f>"C55-001-028-2473-7"</f>
        <v>C55-001-028-2473-7</v>
      </c>
      <c r="AK1801" t="str">
        <f>"32113"</f>
        <v>32113</v>
      </c>
      <c r="AL1801">
        <v>7</v>
      </c>
      <c r="AM1801">
        <v>2051</v>
      </c>
      <c r="AN1801">
        <v>605.04999999999995</v>
      </c>
      <c r="AQ1801" t="s">
        <v>17751</v>
      </c>
      <c r="AR1801" t="s">
        <v>17751</v>
      </c>
      <c r="AS1801" t="s">
        <v>17751</v>
      </c>
      <c r="AU1801" t="s">
        <v>396</v>
      </c>
      <c r="AV1801">
        <v>2017</v>
      </c>
      <c r="AW1801" t="str">
        <f>"43-3N-28-1510-0014-0000 "</f>
        <v xml:space="preserve">43-3N-28-1510-0014-0000 </v>
      </c>
      <c r="AX1801">
        <v>88101</v>
      </c>
      <c r="AZ1801" t="s">
        <v>17752</v>
      </c>
      <c r="BA1801" t="s">
        <v>496</v>
      </c>
      <c r="BD1801" t="s">
        <v>2387</v>
      </c>
      <c r="BE1801" t="s">
        <v>393</v>
      </c>
      <c r="BF1801">
        <v>32097</v>
      </c>
      <c r="BG1801" t="s">
        <v>17753</v>
      </c>
      <c r="BH1801" t="s">
        <v>2388</v>
      </c>
      <c r="BI1801">
        <v>-81.537220929525304</v>
      </c>
      <c r="BJ1801">
        <v>30.6724049913507</v>
      </c>
      <c r="BK1801" t="s">
        <v>17754</v>
      </c>
      <c r="BL1801" t="s">
        <v>17755</v>
      </c>
      <c r="BM1801" t="s">
        <v>17753</v>
      </c>
      <c r="BN1801" t="s">
        <v>1778</v>
      </c>
      <c r="BO1801">
        <v>32097</v>
      </c>
      <c r="BP1801" t="s">
        <v>404</v>
      </c>
      <c r="BQ1801">
        <v>0</v>
      </c>
      <c r="BR1801" t="s">
        <v>491</v>
      </c>
      <c r="BS1801">
        <v>8001</v>
      </c>
      <c r="BT1801" t="s">
        <v>492</v>
      </c>
      <c r="BW1801">
        <v>12612</v>
      </c>
      <c r="BX1801" t="s">
        <v>407</v>
      </c>
      <c r="BY1801" t="s">
        <v>2729</v>
      </c>
      <c r="CD1801">
        <v>2017</v>
      </c>
      <c r="CE1801">
        <v>35000</v>
      </c>
      <c r="CG1801">
        <v>35000</v>
      </c>
      <c r="CH1801">
        <v>2017</v>
      </c>
      <c r="CI1801">
        <v>35000</v>
      </c>
      <c r="CK1801">
        <v>35000</v>
      </c>
      <c r="CL1801">
        <v>2017</v>
      </c>
      <c r="CM1801">
        <v>529.86</v>
      </c>
      <c r="CN1801" s="1">
        <v>43025</v>
      </c>
      <c r="CO1801">
        <v>2230000</v>
      </c>
      <c r="CV1801">
        <v>227794</v>
      </c>
      <c r="CX1801" t="s">
        <v>11066</v>
      </c>
      <c r="CZ1801" s="1">
        <v>43025</v>
      </c>
      <c r="DA1801">
        <v>0</v>
      </c>
      <c r="DD1801" t="s">
        <v>2387</v>
      </c>
      <c r="DF1801">
        <v>14</v>
      </c>
      <c r="DG1801">
        <v>43</v>
      </c>
      <c r="DJ1801" t="s">
        <v>17756</v>
      </c>
      <c r="DL1801">
        <v>50301</v>
      </c>
      <c r="DM1801" t="s">
        <v>17717</v>
      </c>
      <c r="DO1801" t="s">
        <v>17757</v>
      </c>
      <c r="DP1801">
        <v>0</v>
      </c>
      <c r="DQ1801">
        <v>0</v>
      </c>
      <c r="DR1801" t="s">
        <v>411</v>
      </c>
      <c r="EP1801" t="s">
        <v>421</v>
      </c>
      <c r="EQ1801" t="s">
        <v>422</v>
      </c>
      <c r="ER1801">
        <v>0</v>
      </c>
      <c r="ES1801">
        <v>1</v>
      </c>
      <c r="ET1801">
        <v>0</v>
      </c>
      <c r="EU1801">
        <v>0</v>
      </c>
      <c r="EV1801">
        <v>0</v>
      </c>
      <c r="EW1801" s="2">
        <v>43222</v>
      </c>
      <c r="EX1801" s="1">
        <v>40688</v>
      </c>
      <c r="EY1801">
        <v>2010</v>
      </c>
      <c r="EZ1801">
        <v>767.09</v>
      </c>
      <c r="FA1801" t="s">
        <v>17758</v>
      </c>
      <c r="FB1801">
        <v>6</v>
      </c>
      <c r="FC1801" t="s">
        <v>424</v>
      </c>
      <c r="FD1801" t="s">
        <v>425</v>
      </c>
      <c r="FE1801" s="1">
        <v>40815</v>
      </c>
      <c r="FF1801">
        <v>4</v>
      </c>
      <c r="FG1801">
        <v>105</v>
      </c>
      <c r="FH1801" t="s">
        <v>946</v>
      </c>
    </row>
    <row r="1802" spans="1:296" x14ac:dyDescent="0.25">
      <c r="A1802">
        <v>16486809</v>
      </c>
      <c r="B1802">
        <v>1801</v>
      </c>
      <c r="C1802" t="s">
        <v>393</v>
      </c>
      <c r="D1802" t="s">
        <v>394</v>
      </c>
      <c r="F1802" t="str">
        <f>"43-3N-28-509B-0012-0000"</f>
        <v>43-3N-28-509B-0012-0000</v>
      </c>
      <c r="H1802" t="str">
        <f>"TAUSCHER LILLIAN G EST C/O JODI A TAUSCHER-ROBINSON"</f>
        <v>TAUSCHER LILLIAN G EST C/O JODI A TAUSCHER-ROBINSON</v>
      </c>
      <c r="I1802" t="str">
        <f>"97081 MORGANS WAY"</f>
        <v>97081 MORGANS WAY</v>
      </c>
      <c r="J1802" t="str">
        <f>"YULEE FL 32097"</f>
        <v>YULEE FL 32097</v>
      </c>
      <c r="K1802" t="str">
        <f>"97081 MORGANS WAY"</f>
        <v>97081 MORGANS WAY</v>
      </c>
      <c r="L1802" t="str">
        <f t="shared" si="669"/>
        <v>YULEE FL 32097</v>
      </c>
      <c r="M1802" t="str">
        <f>"LOTS 12 &amp; 13 IN OR 795/430 PIRATES WOOD 2 UNR"</f>
        <v>LOTS 12 &amp; 13 IN OR 795/430 PIRATES WOOD 2 UNR</v>
      </c>
      <c r="N1802" t="str">
        <f>""</f>
        <v/>
      </c>
      <c r="O1802" t="str">
        <f>"50449"</f>
        <v>50449</v>
      </c>
      <c r="P1802" t="str">
        <f t="shared" si="671"/>
        <v>2017</v>
      </c>
      <c r="Q1802" t="str">
        <f>""</f>
        <v/>
      </c>
      <c r="R1802" t="str">
        <f>"Y"</f>
        <v>Y</v>
      </c>
      <c r="S1802" t="str">
        <f>""</f>
        <v/>
      </c>
      <c r="T1802" t="str">
        <f>"1909.83"</f>
        <v>1909.83</v>
      </c>
      <c r="U1802" t="str">
        <f>"151155.00"</f>
        <v>151155.00</v>
      </c>
      <c r="V1802" t="str">
        <f>"151155.00"</f>
        <v>151155.00</v>
      </c>
      <c r="W1802" t="str">
        <f t="shared" si="672"/>
        <v>2017</v>
      </c>
      <c r="X1802" t="str">
        <f>"2.00"</f>
        <v>2.00</v>
      </c>
      <c r="Y1802" t="str">
        <f>"1999.12"</f>
        <v>1999.12</v>
      </c>
      <c r="Z1802" t="str">
        <f>"25000.00"</f>
        <v>25000.00</v>
      </c>
      <c r="AA1802" t="str">
        <f>"126155.00"</f>
        <v>126155.00</v>
      </c>
      <c r="AB1802" t="str">
        <f t="shared" si="673"/>
        <v>Residential</v>
      </c>
      <c r="AC1802" t="str">
        <f t="shared" si="643"/>
        <v>0</v>
      </c>
      <c r="AD1802" t="str">
        <f>"4"</f>
        <v>4</v>
      </c>
      <c r="AE1802" t="str">
        <f>"WOOD (INCLUDE STEEL STUDS)"</f>
        <v>WOOD (INCLUDE STEEL STUDS)</v>
      </c>
      <c r="AF1802" t="str">
        <f>"001"</f>
        <v>001</v>
      </c>
      <c r="AG1802" t="str">
        <f t="shared" si="658"/>
        <v>FL</v>
      </c>
      <c r="AH1802" t="str">
        <f t="shared" si="674"/>
        <v>-</v>
      </c>
      <c r="AI1802" t="str">
        <f>"47600.00"</f>
        <v>47600.00</v>
      </c>
      <c r="AJ1802" t="str">
        <f>"C55-000-588-3725-3"</f>
        <v>C55-000-588-3725-3</v>
      </c>
      <c r="AK1802" t="str">
        <f>"32225"</f>
        <v>32225</v>
      </c>
      <c r="AL1802">
        <v>7</v>
      </c>
      <c r="AM1802">
        <v>2052</v>
      </c>
      <c r="AN1802">
        <v>2097.48</v>
      </c>
      <c r="AQ1802" t="s">
        <v>17759</v>
      </c>
      <c r="AR1802" t="s">
        <v>17759</v>
      </c>
      <c r="AS1802" t="s">
        <v>17759</v>
      </c>
      <c r="AU1802" t="s">
        <v>396</v>
      </c>
      <c r="AV1802">
        <v>2017</v>
      </c>
      <c r="AW1802" t="str">
        <f>"43-3N-28-509B-0012-0000 "</f>
        <v xml:space="preserve">43-3N-28-509B-0012-0000 </v>
      </c>
      <c r="AX1802">
        <v>97081</v>
      </c>
      <c r="AZ1802" t="s">
        <v>17760</v>
      </c>
      <c r="BA1802" t="s">
        <v>866</v>
      </c>
      <c r="BD1802" t="s">
        <v>2387</v>
      </c>
      <c r="BE1802" t="s">
        <v>393</v>
      </c>
      <c r="BF1802">
        <v>32097</v>
      </c>
      <c r="BG1802" t="s">
        <v>17761</v>
      </c>
      <c r="BH1802" t="s">
        <v>2388</v>
      </c>
      <c r="BI1802">
        <v>-81.530206981961896</v>
      </c>
      <c r="BJ1802">
        <v>30.679806596151298</v>
      </c>
      <c r="BK1802" t="s">
        <v>17762</v>
      </c>
      <c r="BM1802" t="s">
        <v>17761</v>
      </c>
      <c r="BN1802" t="s">
        <v>1778</v>
      </c>
      <c r="BO1802">
        <v>32097</v>
      </c>
      <c r="BP1802" t="s">
        <v>416</v>
      </c>
      <c r="BQ1802">
        <v>100</v>
      </c>
      <c r="BR1802" t="s">
        <v>514</v>
      </c>
      <c r="BS1802">
        <v>1001</v>
      </c>
      <c r="BT1802" t="s">
        <v>515</v>
      </c>
      <c r="BW1802">
        <v>48523</v>
      </c>
      <c r="BX1802" t="s">
        <v>407</v>
      </c>
      <c r="BY1802" t="s">
        <v>2729</v>
      </c>
      <c r="BZ1802">
        <v>4</v>
      </c>
      <c r="CA1802">
        <v>1993</v>
      </c>
      <c r="CB1802">
        <v>1</v>
      </c>
      <c r="CC1802">
        <v>1</v>
      </c>
      <c r="CD1802">
        <v>2017</v>
      </c>
      <c r="CE1802">
        <v>47600</v>
      </c>
      <c r="CF1802">
        <v>103555</v>
      </c>
      <c r="CG1802">
        <v>151155</v>
      </c>
      <c r="CH1802">
        <v>2017</v>
      </c>
      <c r="CI1802">
        <v>47600</v>
      </c>
      <c r="CJ1802">
        <v>103555</v>
      </c>
      <c r="CK1802">
        <v>151155</v>
      </c>
      <c r="CL1802">
        <v>2017</v>
      </c>
      <c r="CM1802">
        <v>1909.83</v>
      </c>
      <c r="CN1802" s="1">
        <v>35584</v>
      </c>
      <c r="CZ1802" s="1">
        <v>35584</v>
      </c>
      <c r="DD1802" t="s">
        <v>2387</v>
      </c>
      <c r="DG1802">
        <v>43</v>
      </c>
      <c r="DJ1802" t="s">
        <v>17763</v>
      </c>
      <c r="DL1802">
        <v>50303</v>
      </c>
      <c r="DM1802" t="s">
        <v>17717</v>
      </c>
      <c r="DO1802" t="s">
        <v>17764</v>
      </c>
      <c r="DP1802">
        <v>0</v>
      </c>
      <c r="DQ1802">
        <v>0</v>
      </c>
      <c r="DR1802" t="s">
        <v>411</v>
      </c>
      <c r="EP1802" t="s">
        <v>421</v>
      </c>
      <c r="EQ1802" t="s">
        <v>422</v>
      </c>
      <c r="ER1802">
        <v>0</v>
      </c>
      <c r="ES1802">
        <v>2</v>
      </c>
      <c r="ET1802">
        <v>0</v>
      </c>
      <c r="EU1802">
        <v>0</v>
      </c>
      <c r="EV1802">
        <v>0</v>
      </c>
      <c r="EW1802" s="2">
        <v>43222</v>
      </c>
      <c r="EX1802" s="1">
        <v>42879</v>
      </c>
      <c r="EY1802">
        <v>2016</v>
      </c>
      <c r="EZ1802">
        <v>2123.12</v>
      </c>
      <c r="FA1802" t="s">
        <v>17765</v>
      </c>
      <c r="FB1802">
        <v>0.25</v>
      </c>
      <c r="FC1802" t="s">
        <v>424</v>
      </c>
      <c r="FD1802" t="s">
        <v>425</v>
      </c>
      <c r="FE1802" s="1">
        <v>42921</v>
      </c>
      <c r="FF1802">
        <v>2</v>
      </c>
      <c r="FG1802">
        <v>5857474</v>
      </c>
      <c r="FH1802" t="s">
        <v>900</v>
      </c>
      <c r="FJ1802" s="1">
        <v>42879</v>
      </c>
      <c r="FK1802">
        <v>2016</v>
      </c>
      <c r="FL1802">
        <v>2123.12</v>
      </c>
      <c r="FM1802" t="s">
        <v>17765</v>
      </c>
      <c r="FN1802">
        <v>0.25</v>
      </c>
      <c r="FO1802" t="s">
        <v>424</v>
      </c>
      <c r="FP1802" t="s">
        <v>425</v>
      </c>
      <c r="FR1802">
        <v>22</v>
      </c>
      <c r="FS1802">
        <v>6619175</v>
      </c>
      <c r="FT1802" t="s">
        <v>17766</v>
      </c>
    </row>
    <row r="1803" spans="1:296" x14ac:dyDescent="0.25">
      <c r="A1803">
        <v>16486810</v>
      </c>
      <c r="B1803">
        <v>1802</v>
      </c>
      <c r="C1803" t="s">
        <v>393</v>
      </c>
      <c r="D1803" t="s">
        <v>394</v>
      </c>
      <c r="F1803" t="str">
        <f>"43-3N-28-509C-0012-0000"</f>
        <v>43-3N-28-509C-0012-0000</v>
      </c>
      <c r="H1803" t="str">
        <f>"MCFADDEN KYLE E"</f>
        <v>MCFADDEN KYLE E</v>
      </c>
      <c r="I1803" t="str">
        <f>"310 COMMONS WY"</f>
        <v>310 COMMONS WY</v>
      </c>
      <c r="J1803" t="str">
        <f>"GOOSE CREEK SC 29445"</f>
        <v>GOOSE CREEK SC 29445</v>
      </c>
      <c r="K1803" t="str">
        <f>"LAFFITES WAY"</f>
        <v>LAFFITES WAY</v>
      </c>
      <c r="L1803" t="str">
        <f t="shared" si="669"/>
        <v>YULEE FL 32097</v>
      </c>
      <c r="M1803" t="str">
        <f>"LOT 12 PIRATES WOOD 3 S/D UNR"</f>
        <v>LOT 12 PIRATES WOOD 3 S/D UNR</v>
      </c>
      <c r="N1803" t="str">
        <f>""</f>
        <v/>
      </c>
      <c r="O1803" t="str">
        <f>"50512"</f>
        <v>50512</v>
      </c>
      <c r="P1803" t="str">
        <f t="shared" si="671"/>
        <v>2017</v>
      </c>
      <c r="Q1803" t="str">
        <f>""</f>
        <v/>
      </c>
      <c r="R1803" t="str">
        <f>"N"</f>
        <v>N</v>
      </c>
      <c r="S1803" t="str">
        <f>""</f>
        <v/>
      </c>
      <c r="T1803" t="str">
        <f>"423.89"</f>
        <v>423.89</v>
      </c>
      <c r="U1803" t="str">
        <f>"28000.00"</f>
        <v>28000.00</v>
      </c>
      <c r="V1803" t="str">
        <f>"28000.00"</f>
        <v>28000.00</v>
      </c>
      <c r="W1803" t="str">
        <f t="shared" si="672"/>
        <v>2017</v>
      </c>
      <c r="X1803" t="str">
        <f>"36.00"</f>
        <v>36.00</v>
      </c>
      <c r="Y1803" t="str">
        <f>"468.61"</f>
        <v>468.61</v>
      </c>
      <c r="Z1803" t="str">
        <f>""</f>
        <v/>
      </c>
      <c r="AA1803" t="str">
        <f>"28000.00"</f>
        <v>28000.00</v>
      </c>
      <c r="AB1803" t="str">
        <f t="shared" si="673"/>
        <v>Residential</v>
      </c>
      <c r="AC1803" t="str">
        <f t="shared" si="643"/>
        <v>0</v>
      </c>
      <c r="AD1803" t="str">
        <f>""</f>
        <v/>
      </c>
      <c r="AE1803" t="str">
        <f>""</f>
        <v/>
      </c>
      <c r="AF1803" t="str">
        <f>"000"</f>
        <v>000</v>
      </c>
      <c r="AG1803" t="str">
        <f>"SC"</f>
        <v>SC</v>
      </c>
      <c r="AH1803" t="str">
        <f t="shared" si="674"/>
        <v>-</v>
      </c>
      <c r="AI1803" t="str">
        <f>"28000.00"</f>
        <v>28000.00</v>
      </c>
      <c r="AJ1803" t="str">
        <f>"C55-000-588-3786-5"</f>
        <v>C55-000-588-3786-5</v>
      </c>
      <c r="AK1803" t="str">
        <f>"32286"</f>
        <v>32286</v>
      </c>
      <c r="AL1803">
        <v>7</v>
      </c>
      <c r="AM1803">
        <v>2053</v>
      </c>
      <c r="AN1803">
        <v>490.44</v>
      </c>
      <c r="AQ1803" t="s">
        <v>17767</v>
      </c>
      <c r="AR1803" t="s">
        <v>17767</v>
      </c>
      <c r="AS1803" t="s">
        <v>17767</v>
      </c>
      <c r="AU1803" t="s">
        <v>396</v>
      </c>
      <c r="AV1803">
        <v>2017</v>
      </c>
      <c r="AW1803" t="str">
        <f>"43-3N-28-509C-0012-0000 "</f>
        <v xml:space="preserve">43-3N-28-509C-0012-0000 </v>
      </c>
      <c r="AZ1803" t="s">
        <v>17768</v>
      </c>
      <c r="BA1803" t="s">
        <v>866</v>
      </c>
      <c r="BD1803" t="s">
        <v>2387</v>
      </c>
      <c r="BE1803" t="s">
        <v>393</v>
      </c>
      <c r="BF1803">
        <v>32097</v>
      </c>
      <c r="BG1803" t="s">
        <v>17769</v>
      </c>
      <c r="BH1803" t="s">
        <v>2388</v>
      </c>
      <c r="BI1803">
        <v>-81.526567541397995</v>
      </c>
      <c r="BJ1803">
        <v>30.677074927470599</v>
      </c>
      <c r="BK1803" t="s">
        <v>17770</v>
      </c>
      <c r="BM1803" t="s">
        <v>17771</v>
      </c>
      <c r="BN1803" t="s">
        <v>17772</v>
      </c>
      <c r="BO1803">
        <v>29445</v>
      </c>
      <c r="BP1803" t="s">
        <v>404</v>
      </c>
      <c r="BQ1803">
        <v>0</v>
      </c>
      <c r="BR1803" t="s">
        <v>491</v>
      </c>
      <c r="BS1803">
        <v>8001</v>
      </c>
      <c r="BT1803" t="s">
        <v>492</v>
      </c>
      <c r="BW1803">
        <v>25000</v>
      </c>
      <c r="BX1803" t="s">
        <v>407</v>
      </c>
      <c r="BY1803" t="s">
        <v>2729</v>
      </c>
      <c r="CD1803">
        <v>2017</v>
      </c>
      <c r="CE1803">
        <v>28000</v>
      </c>
      <c r="CG1803">
        <v>28000</v>
      </c>
      <c r="CH1803">
        <v>2017</v>
      </c>
      <c r="CI1803">
        <v>28000</v>
      </c>
      <c r="CK1803">
        <v>28000</v>
      </c>
      <c r="CL1803">
        <v>2017</v>
      </c>
      <c r="CM1803">
        <v>423.89</v>
      </c>
      <c r="CN1803" s="1">
        <v>42692</v>
      </c>
      <c r="CO1803">
        <v>20500</v>
      </c>
      <c r="CV1803">
        <v>0</v>
      </c>
      <c r="CZ1803" s="1">
        <v>42692</v>
      </c>
      <c r="DA1803">
        <v>0</v>
      </c>
      <c r="DD1803" t="s">
        <v>2387</v>
      </c>
      <c r="DF1803">
        <v>12</v>
      </c>
      <c r="DG1803">
        <v>43</v>
      </c>
      <c r="DJ1803" t="s">
        <v>17763</v>
      </c>
      <c r="DL1803">
        <v>50303</v>
      </c>
      <c r="DM1803" t="s">
        <v>17670</v>
      </c>
      <c r="DO1803" t="s">
        <v>17773</v>
      </c>
      <c r="DP1803">
        <v>0</v>
      </c>
      <c r="DQ1803">
        <v>0</v>
      </c>
      <c r="DR1803" t="s">
        <v>411</v>
      </c>
      <c r="EP1803" t="s">
        <v>421</v>
      </c>
      <c r="EQ1803" t="s">
        <v>452</v>
      </c>
      <c r="ER1803">
        <v>0</v>
      </c>
      <c r="ES1803">
        <v>5</v>
      </c>
      <c r="ET1803">
        <v>0</v>
      </c>
      <c r="EU1803">
        <v>0</v>
      </c>
      <c r="EV1803">
        <v>0</v>
      </c>
      <c r="EW1803" s="2">
        <v>43222</v>
      </c>
      <c r="EX1803" s="1">
        <v>41787</v>
      </c>
      <c r="EY1803">
        <v>2013</v>
      </c>
      <c r="EZ1803">
        <v>426.45</v>
      </c>
      <c r="FA1803" t="s">
        <v>17774</v>
      </c>
      <c r="FB1803">
        <v>0.25</v>
      </c>
      <c r="FC1803" t="s">
        <v>424</v>
      </c>
      <c r="FD1803" t="s">
        <v>425</v>
      </c>
      <c r="FF1803">
        <v>22</v>
      </c>
      <c r="FG1803">
        <v>305</v>
      </c>
      <c r="FH1803" t="s">
        <v>1078</v>
      </c>
      <c r="FI1803" t="s">
        <v>458</v>
      </c>
      <c r="FJ1803" s="1">
        <v>41423</v>
      </c>
      <c r="FK1803">
        <v>2012</v>
      </c>
      <c r="FL1803">
        <v>595.29999999999995</v>
      </c>
      <c r="FM1803" t="s">
        <v>17775</v>
      </c>
      <c r="FN1803">
        <v>3.75</v>
      </c>
      <c r="FO1803" t="s">
        <v>424</v>
      </c>
      <c r="FP1803" t="s">
        <v>425</v>
      </c>
      <c r="FQ1803" s="1">
        <v>42107</v>
      </c>
      <c r="FR1803">
        <v>23</v>
      </c>
      <c r="FS1803">
        <v>10003</v>
      </c>
      <c r="FT1803" t="s">
        <v>4341</v>
      </c>
      <c r="FU1803" t="s">
        <v>458</v>
      </c>
      <c r="FV1803" s="1">
        <v>41052</v>
      </c>
      <c r="FW1803">
        <v>2011</v>
      </c>
      <c r="FX1803">
        <v>680.65</v>
      </c>
      <c r="FY1803" t="s">
        <v>17776</v>
      </c>
      <c r="FZ1803">
        <v>18</v>
      </c>
      <c r="GA1803" t="s">
        <v>424</v>
      </c>
      <c r="GB1803" t="s">
        <v>425</v>
      </c>
      <c r="GD1803">
        <v>22</v>
      </c>
      <c r="GE1803">
        <v>13042</v>
      </c>
      <c r="GF1803" t="s">
        <v>5881</v>
      </c>
      <c r="GG1803" t="s">
        <v>458</v>
      </c>
      <c r="GH1803" s="1">
        <v>41052</v>
      </c>
      <c r="GI1803">
        <v>2011</v>
      </c>
      <c r="GJ1803">
        <v>680.65</v>
      </c>
      <c r="GK1803" t="s">
        <v>17776</v>
      </c>
      <c r="GL1803">
        <v>18</v>
      </c>
      <c r="GM1803" t="s">
        <v>424</v>
      </c>
      <c r="GN1803" t="s">
        <v>425</v>
      </c>
      <c r="GO1803" s="1">
        <v>42107</v>
      </c>
      <c r="GP1803">
        <v>35</v>
      </c>
      <c r="GQ1803">
        <v>14996</v>
      </c>
      <c r="GR1803" t="s">
        <v>3439</v>
      </c>
      <c r="GS1803" t="s">
        <v>458</v>
      </c>
      <c r="GT1803" s="1">
        <v>40688</v>
      </c>
      <c r="GU1803">
        <v>2010</v>
      </c>
      <c r="GV1803">
        <v>767.09</v>
      </c>
      <c r="GW1803" t="s">
        <v>17777</v>
      </c>
      <c r="GX1803">
        <v>11.5</v>
      </c>
      <c r="GY1803" t="s">
        <v>424</v>
      </c>
      <c r="GZ1803" t="s">
        <v>425</v>
      </c>
      <c r="HA1803" s="1">
        <v>42107</v>
      </c>
      <c r="HB1803">
        <v>47</v>
      </c>
      <c r="HC1803">
        <v>10125</v>
      </c>
      <c r="HD1803" t="s">
        <v>440</v>
      </c>
      <c r="HE1803" t="s">
        <v>458</v>
      </c>
    </row>
    <row r="1804" spans="1:296" x14ac:dyDescent="0.25">
      <c r="A1804">
        <v>16486811</v>
      </c>
      <c r="B1804">
        <v>1803</v>
      </c>
      <c r="C1804" t="s">
        <v>393</v>
      </c>
      <c r="D1804" t="s">
        <v>394</v>
      </c>
      <c r="F1804" t="str">
        <f>"43-3N-28-509C-0019-0000"</f>
        <v>43-3N-28-509C-0019-0000</v>
      </c>
      <c r="H1804" t="str">
        <f>"SOUTHWELL DWIGHT L &amp; MARLA D"</f>
        <v>SOUTHWELL DWIGHT L &amp; MARLA D</v>
      </c>
      <c r="I1804" t="str">
        <f>"97441 PIRATES POINT ROAD"</f>
        <v>97441 PIRATES POINT ROAD</v>
      </c>
      <c r="J1804" t="str">
        <f>"YULEE FL 32097"</f>
        <v>YULEE FL 32097</v>
      </c>
      <c r="K1804" t="str">
        <f>"97441 PIRATES POINT RD"</f>
        <v>97441 PIRATES POINT RD</v>
      </c>
      <c r="L1804" t="str">
        <f t="shared" si="669"/>
        <v>YULEE FL 32097</v>
      </c>
      <c r="M1804" t="str">
        <f>"LOT 19 IN OR 928/1456 PIRATES WOOD 3 UNR"</f>
        <v>LOT 19 IN OR 928/1456 PIRATES WOOD 3 UNR</v>
      </c>
      <c r="N1804" t="str">
        <f>""</f>
        <v/>
      </c>
      <c r="O1804" t="str">
        <f>"50519"</f>
        <v>50519</v>
      </c>
      <c r="P1804" t="str">
        <f t="shared" si="671"/>
        <v>2017</v>
      </c>
      <c r="Q1804" t="str">
        <f>""</f>
        <v/>
      </c>
      <c r="R1804" t="str">
        <f>"Y"</f>
        <v>Y</v>
      </c>
      <c r="S1804" t="str">
        <f>""</f>
        <v/>
      </c>
      <c r="T1804" t="str">
        <f>"1138.11"</f>
        <v>1138.11</v>
      </c>
      <c r="U1804" t="str">
        <f>"114282.00"</f>
        <v>114282.00</v>
      </c>
      <c r="V1804" t="str">
        <f>"114282.00"</f>
        <v>114282.00</v>
      </c>
      <c r="W1804" t="str">
        <f t="shared" si="672"/>
        <v>2017</v>
      </c>
      <c r="X1804" t="str">
        <f>""</f>
        <v/>
      </c>
      <c r="Y1804" t="str">
        <f>"1204.25"</f>
        <v>1204.25</v>
      </c>
      <c r="Z1804" t="str">
        <f>"25000.00"</f>
        <v>25000.00</v>
      </c>
      <c r="AA1804" t="str">
        <f>"89282.00"</f>
        <v>89282.00</v>
      </c>
      <c r="AB1804" t="str">
        <f t="shared" si="673"/>
        <v>Residential</v>
      </c>
      <c r="AC1804" t="str">
        <f t="shared" si="643"/>
        <v>0</v>
      </c>
      <c r="AD1804" t="str">
        <f t="shared" ref="AD1804:AD1809" si="675">"4"</f>
        <v>4</v>
      </c>
      <c r="AE1804" t="str">
        <f t="shared" ref="AE1804:AE1809" si="676">"WOOD (INCLUDE STEEL STUDS)"</f>
        <v>WOOD (INCLUDE STEEL STUDS)</v>
      </c>
      <c r="AF1804" t="str">
        <f t="shared" ref="AF1804:AF1809" si="677">"001"</f>
        <v>001</v>
      </c>
      <c r="AG1804" t="str">
        <f>"FL"</f>
        <v>FL</v>
      </c>
      <c r="AH1804" t="str">
        <f t="shared" si="674"/>
        <v>-</v>
      </c>
      <c r="AI1804" t="str">
        <f>"28000.00"</f>
        <v>28000.00</v>
      </c>
      <c r="AJ1804" t="str">
        <f>"C55-000-588-3793-1"</f>
        <v>C55-000-588-3793-1</v>
      </c>
      <c r="AK1804" t="str">
        <f>"32293"</f>
        <v>32293</v>
      </c>
      <c r="AL1804">
        <v>7</v>
      </c>
      <c r="AM1804">
        <v>2055</v>
      </c>
      <c r="AN1804">
        <v>1262.8599999999999</v>
      </c>
      <c r="AQ1804" t="s">
        <v>17778</v>
      </c>
      <c r="AR1804" t="s">
        <v>17778</v>
      </c>
      <c r="AS1804" t="s">
        <v>17778</v>
      </c>
      <c r="AU1804" t="s">
        <v>396</v>
      </c>
      <c r="AV1804">
        <v>2017</v>
      </c>
      <c r="AW1804" t="str">
        <f>"43-3N-28-509C-0019-0000 "</f>
        <v xml:space="preserve">43-3N-28-509C-0019-0000 </v>
      </c>
      <c r="AX1804">
        <v>97441</v>
      </c>
      <c r="AZ1804" t="s">
        <v>17779</v>
      </c>
      <c r="BA1804" t="s">
        <v>496</v>
      </c>
      <c r="BD1804" t="s">
        <v>2387</v>
      </c>
      <c r="BE1804" t="s">
        <v>393</v>
      </c>
      <c r="BF1804">
        <v>32097</v>
      </c>
      <c r="BG1804" t="s">
        <v>17780</v>
      </c>
      <c r="BH1804" t="s">
        <v>2388</v>
      </c>
      <c r="BI1804">
        <v>-81.525131183925595</v>
      </c>
      <c r="BJ1804">
        <v>30.676211202608201</v>
      </c>
      <c r="BK1804" t="s">
        <v>17781</v>
      </c>
      <c r="BL1804" t="s">
        <v>17782</v>
      </c>
      <c r="BM1804" t="s">
        <v>17780</v>
      </c>
      <c r="BN1804" t="s">
        <v>1778</v>
      </c>
      <c r="BO1804">
        <v>32097</v>
      </c>
      <c r="BP1804" t="s">
        <v>416</v>
      </c>
      <c r="BQ1804">
        <v>100</v>
      </c>
      <c r="BR1804" t="s">
        <v>514</v>
      </c>
      <c r="BS1804">
        <v>1001</v>
      </c>
      <c r="BT1804" t="s">
        <v>515</v>
      </c>
      <c r="BW1804">
        <v>29203</v>
      </c>
      <c r="BX1804" t="s">
        <v>407</v>
      </c>
      <c r="BY1804" t="s">
        <v>2729</v>
      </c>
      <c r="BZ1804">
        <v>4</v>
      </c>
      <c r="CA1804">
        <v>2000</v>
      </c>
      <c r="CB1804">
        <v>2</v>
      </c>
      <c r="CC1804">
        <v>1</v>
      </c>
      <c r="CD1804">
        <v>2017</v>
      </c>
      <c r="CG1804">
        <v>114282</v>
      </c>
      <c r="CH1804">
        <v>2017</v>
      </c>
      <c r="CI1804">
        <v>28000</v>
      </c>
      <c r="CJ1804">
        <v>98092</v>
      </c>
      <c r="CK1804">
        <v>126092</v>
      </c>
      <c r="CL1804">
        <v>2017</v>
      </c>
      <c r="CM1804">
        <v>1138.1099999999999</v>
      </c>
      <c r="CN1804" s="1">
        <v>36633</v>
      </c>
      <c r="CO1804">
        <v>20000</v>
      </c>
      <c r="CZ1804" s="1">
        <v>36633</v>
      </c>
      <c r="DD1804" t="s">
        <v>2387</v>
      </c>
      <c r="DF1804">
        <v>19</v>
      </c>
      <c r="DG1804">
        <v>43</v>
      </c>
      <c r="DJ1804" t="s">
        <v>17763</v>
      </c>
      <c r="DL1804">
        <v>50303</v>
      </c>
      <c r="DM1804" t="s">
        <v>17717</v>
      </c>
      <c r="DO1804" t="s">
        <v>17783</v>
      </c>
      <c r="DP1804">
        <v>0</v>
      </c>
      <c r="DQ1804">
        <v>0</v>
      </c>
      <c r="DR1804" t="s">
        <v>411</v>
      </c>
      <c r="DS1804" t="b">
        <v>1</v>
      </c>
      <c r="DT1804" t="s">
        <v>470</v>
      </c>
      <c r="DU1804" t="s">
        <v>471</v>
      </c>
      <c r="DV1804" t="s">
        <v>472</v>
      </c>
      <c r="DX1804">
        <v>-9999</v>
      </c>
      <c r="DZ1804" t="s">
        <v>447</v>
      </c>
      <c r="EA1804" t="s">
        <v>448</v>
      </c>
      <c r="EB1804" t="s">
        <v>17784</v>
      </c>
      <c r="EC1804">
        <v>20101217</v>
      </c>
      <c r="ED1804" t="s">
        <v>474</v>
      </c>
      <c r="EF1804">
        <v>351.8</v>
      </c>
      <c r="EG1804">
        <v>109.1</v>
      </c>
      <c r="EI1804">
        <v>20160407</v>
      </c>
      <c r="EJ1804">
        <v>0</v>
      </c>
      <c r="EK1804">
        <v>0</v>
      </c>
    </row>
    <row r="1805" spans="1:296" x14ac:dyDescent="0.25">
      <c r="A1805">
        <v>16486812</v>
      </c>
      <c r="B1805">
        <v>1804</v>
      </c>
      <c r="C1805" t="s">
        <v>393</v>
      </c>
      <c r="D1805" t="s">
        <v>394</v>
      </c>
      <c r="F1805" t="str">
        <f>"43-3N-28-509C-0031-0000"</f>
        <v>43-3N-28-509C-0031-0000</v>
      </c>
      <c r="H1805" t="str">
        <f>"THOMPSON SHAWN D &amp; LAURA C"</f>
        <v>THOMPSON SHAWN D &amp; LAURA C</v>
      </c>
      <c r="I1805" t="str">
        <f>"97253 PIRATES POINT RD"</f>
        <v>97253 PIRATES POINT RD</v>
      </c>
      <c r="J1805" t="str">
        <f>"YULEE FL 32097"</f>
        <v>YULEE FL 32097</v>
      </c>
      <c r="K1805" t="str">
        <f>"97253 PIRATES POINT RD"</f>
        <v>97253 PIRATES POINT RD</v>
      </c>
      <c r="L1805" t="str">
        <f t="shared" si="669"/>
        <v>YULEE FL 32097</v>
      </c>
      <c r="M1805" t="str">
        <f>"LOT 31 IN OR 1940/553 PIRATES WOOD 3 UNR"</f>
        <v>LOT 31 IN OR 1940/553 PIRATES WOOD 3 UNR</v>
      </c>
      <c r="N1805" t="str">
        <f>""</f>
        <v/>
      </c>
      <c r="O1805" t="str">
        <f>"50530"</f>
        <v>50530</v>
      </c>
      <c r="P1805" t="str">
        <f t="shared" si="671"/>
        <v>2017</v>
      </c>
      <c r="Q1805" t="str">
        <f>""</f>
        <v/>
      </c>
      <c r="R1805" t="str">
        <f>"Y"</f>
        <v>Y</v>
      </c>
      <c r="S1805" t="str">
        <f>""</f>
        <v/>
      </c>
      <c r="T1805" t="str">
        <f>"815.01"</f>
        <v>815.01</v>
      </c>
      <c r="U1805" t="str">
        <f>"92940.00"</f>
        <v>92940.00</v>
      </c>
      <c r="V1805" t="str">
        <f>"92940.00"</f>
        <v>92940.00</v>
      </c>
      <c r="W1805" t="str">
        <f t="shared" si="672"/>
        <v>2017</v>
      </c>
      <c r="X1805" t="str">
        <f>""</f>
        <v/>
      </c>
      <c r="Y1805" t="str">
        <f>"871.46"</f>
        <v>871.46</v>
      </c>
      <c r="Z1805" t="str">
        <f>"25000.00"</f>
        <v>25000.00</v>
      </c>
      <c r="AA1805" t="str">
        <f>"67940.00"</f>
        <v>67940.00</v>
      </c>
      <c r="AB1805" t="str">
        <f t="shared" si="673"/>
        <v>Residential</v>
      </c>
      <c r="AC1805" t="str">
        <f t="shared" si="643"/>
        <v>0</v>
      </c>
      <c r="AD1805" t="str">
        <f t="shared" si="675"/>
        <v>4</v>
      </c>
      <c r="AE1805" t="str">
        <f t="shared" si="676"/>
        <v>WOOD (INCLUDE STEEL STUDS)</v>
      </c>
      <c r="AF1805" t="str">
        <f t="shared" si="677"/>
        <v>001</v>
      </c>
      <c r="AG1805" t="str">
        <f>"FL"</f>
        <v>FL</v>
      </c>
      <c r="AH1805" t="str">
        <f t="shared" si="674"/>
        <v>-</v>
      </c>
      <c r="AI1805" t="str">
        <f>"28000.00"</f>
        <v>28000.00</v>
      </c>
      <c r="AJ1805" t="str">
        <f>"C55-000-588-3803-8"</f>
        <v>C55-000-588-3803-8</v>
      </c>
      <c r="AK1805" t="str">
        <f>"32303"</f>
        <v>32303</v>
      </c>
      <c r="AL1805">
        <v>7</v>
      </c>
      <c r="AM1805">
        <v>2056</v>
      </c>
      <c r="AN1805">
        <v>913.43</v>
      </c>
      <c r="AQ1805" t="s">
        <v>17785</v>
      </c>
      <c r="AR1805" t="s">
        <v>17785</v>
      </c>
      <c r="AS1805" t="s">
        <v>17785</v>
      </c>
      <c r="AU1805" t="s">
        <v>396</v>
      </c>
      <c r="AV1805">
        <v>2017</v>
      </c>
      <c r="AW1805" t="str">
        <f>"43-3N-28-509C-0031-0000 "</f>
        <v xml:space="preserve">43-3N-28-509C-0031-0000 </v>
      </c>
      <c r="AX1805">
        <v>97253</v>
      </c>
      <c r="AZ1805" t="s">
        <v>17779</v>
      </c>
      <c r="BA1805" t="s">
        <v>496</v>
      </c>
      <c r="BD1805" t="s">
        <v>2387</v>
      </c>
      <c r="BE1805" t="s">
        <v>393</v>
      </c>
      <c r="BF1805">
        <v>32097</v>
      </c>
      <c r="BG1805" t="s">
        <v>17786</v>
      </c>
      <c r="BH1805" t="s">
        <v>2388</v>
      </c>
      <c r="BI1805">
        <v>-81.522154154739596</v>
      </c>
      <c r="BJ1805">
        <v>30.674265876542901</v>
      </c>
      <c r="BK1805" t="s">
        <v>17787</v>
      </c>
      <c r="BL1805" t="s">
        <v>17788</v>
      </c>
      <c r="BM1805" t="s">
        <v>17786</v>
      </c>
      <c r="BN1805" t="s">
        <v>1778</v>
      </c>
      <c r="BO1805">
        <v>32097</v>
      </c>
      <c r="BP1805" t="s">
        <v>416</v>
      </c>
      <c r="BQ1805">
        <v>100</v>
      </c>
      <c r="BR1805" t="s">
        <v>514</v>
      </c>
      <c r="BS1805">
        <v>1001</v>
      </c>
      <c r="BT1805" t="s">
        <v>515</v>
      </c>
      <c r="BW1805">
        <v>37012</v>
      </c>
      <c r="BX1805" t="s">
        <v>407</v>
      </c>
      <c r="BY1805" t="s">
        <v>2729</v>
      </c>
      <c r="BZ1805">
        <v>4</v>
      </c>
      <c r="CA1805">
        <v>1983</v>
      </c>
      <c r="CB1805">
        <v>1</v>
      </c>
      <c r="CC1805">
        <v>1</v>
      </c>
      <c r="CD1805">
        <v>2017</v>
      </c>
      <c r="CG1805">
        <v>92940</v>
      </c>
      <c r="CH1805">
        <v>2017</v>
      </c>
      <c r="CI1805">
        <v>28000</v>
      </c>
      <c r="CJ1805">
        <v>69279</v>
      </c>
      <c r="CK1805">
        <v>97279</v>
      </c>
      <c r="CL1805">
        <v>2017</v>
      </c>
      <c r="CM1805">
        <v>815.01</v>
      </c>
      <c r="CN1805" s="1">
        <v>41913</v>
      </c>
      <c r="CO1805">
        <v>82500</v>
      </c>
      <c r="CV1805">
        <v>0</v>
      </c>
      <c r="CZ1805" s="1">
        <v>41913</v>
      </c>
      <c r="DA1805">
        <v>0</v>
      </c>
      <c r="DD1805" t="s">
        <v>2387</v>
      </c>
      <c r="DF1805">
        <v>31</v>
      </c>
      <c r="DG1805">
        <v>43</v>
      </c>
      <c r="DJ1805" t="s">
        <v>17763</v>
      </c>
      <c r="DL1805">
        <v>50303</v>
      </c>
      <c r="DM1805" t="s">
        <v>17717</v>
      </c>
      <c r="DO1805" t="s">
        <v>17789</v>
      </c>
      <c r="DP1805">
        <v>0</v>
      </c>
      <c r="DQ1805">
        <v>0</v>
      </c>
      <c r="DR1805" t="s">
        <v>411</v>
      </c>
      <c r="DS1805" t="b">
        <v>1</v>
      </c>
      <c r="DT1805" t="s">
        <v>470</v>
      </c>
      <c r="DU1805" t="s">
        <v>10249</v>
      </c>
      <c r="DV1805" t="s">
        <v>472</v>
      </c>
      <c r="DX1805">
        <v>-9999</v>
      </c>
      <c r="DZ1805" t="s">
        <v>447</v>
      </c>
      <c r="EA1805" t="s">
        <v>448</v>
      </c>
      <c r="EB1805" t="s">
        <v>17790</v>
      </c>
      <c r="EC1805">
        <v>20101217</v>
      </c>
      <c r="ED1805" t="s">
        <v>10251</v>
      </c>
      <c r="EE1805">
        <v>5</v>
      </c>
      <c r="EF1805">
        <v>136.30000000000001</v>
      </c>
      <c r="EG1805">
        <v>0</v>
      </c>
      <c r="EI1805">
        <v>20160407</v>
      </c>
      <c r="EJ1805">
        <v>0</v>
      </c>
      <c r="EK1805">
        <v>0</v>
      </c>
    </row>
    <row r="1806" spans="1:296" x14ac:dyDescent="0.25">
      <c r="A1806">
        <v>16486813</v>
      </c>
      <c r="B1806">
        <v>1805</v>
      </c>
      <c r="C1806" t="s">
        <v>393</v>
      </c>
      <c r="D1806" t="s">
        <v>394</v>
      </c>
      <c r="F1806" t="str">
        <f>"43-3N-28-509D-0009-0000"</f>
        <v>43-3N-28-509D-0009-0000</v>
      </c>
      <c r="H1806" t="str">
        <f>"WILSON ADAM &amp; HILARY"</f>
        <v>WILSON ADAM &amp; HILARY</v>
      </c>
      <c r="I1806" t="str">
        <f>"96105 DOLPHIN WAY"</f>
        <v>96105 DOLPHIN WAY</v>
      </c>
      <c r="J1806" t="str">
        <f>"YULEE FL 32097"</f>
        <v>YULEE FL 32097</v>
      </c>
      <c r="K1806" t="str">
        <f>"97562 PIRATES POINT RD"</f>
        <v>97562 PIRATES POINT RD</v>
      </c>
      <c r="L1806" t="str">
        <f t="shared" si="669"/>
        <v>YULEE FL 32097</v>
      </c>
      <c r="M1806" t="str">
        <f>"LOT 9 IN OR 2066/313 PIRATES WOOD 4 UNR"</f>
        <v>LOT 9 IN OR 2066/313 PIRATES WOOD 4 UNR</v>
      </c>
      <c r="N1806" t="str">
        <f>""</f>
        <v/>
      </c>
      <c r="O1806" t="str">
        <f>"50608"</f>
        <v>50608</v>
      </c>
      <c r="P1806" t="str">
        <f t="shared" si="671"/>
        <v>2017</v>
      </c>
      <c r="Q1806" t="str">
        <f>""</f>
        <v/>
      </c>
      <c r="R1806" t="str">
        <f>"N"</f>
        <v>N</v>
      </c>
      <c r="S1806" t="str">
        <f>""</f>
        <v/>
      </c>
      <c r="T1806" t="str">
        <f>"3047.61"</f>
        <v>3047.61</v>
      </c>
      <c r="U1806" t="str">
        <f>"201311.00"</f>
        <v>201311.00</v>
      </c>
      <c r="V1806" t="str">
        <f>"201311.00"</f>
        <v>201311.00</v>
      </c>
      <c r="W1806" t="str">
        <f t="shared" si="672"/>
        <v>2017</v>
      </c>
      <c r="X1806" t="str">
        <f>"2.00"</f>
        <v>2.00</v>
      </c>
      <c r="Y1806" t="str">
        <f>"3171.04"</f>
        <v>3171.04</v>
      </c>
      <c r="Z1806" t="str">
        <f>""</f>
        <v/>
      </c>
      <c r="AA1806" t="str">
        <f>"201311.00"</f>
        <v>201311.00</v>
      </c>
      <c r="AB1806" t="str">
        <f t="shared" si="673"/>
        <v>Residential</v>
      </c>
      <c r="AC1806" t="str">
        <f t="shared" si="643"/>
        <v>0</v>
      </c>
      <c r="AD1806" t="str">
        <f t="shared" si="675"/>
        <v>4</v>
      </c>
      <c r="AE1806" t="str">
        <f t="shared" si="676"/>
        <v>WOOD (INCLUDE STEEL STUDS)</v>
      </c>
      <c r="AF1806" t="str">
        <f t="shared" si="677"/>
        <v>001</v>
      </c>
      <c r="AG1806" t="str">
        <f>"FL"</f>
        <v>FL</v>
      </c>
      <c r="AH1806" t="str">
        <f t="shared" si="674"/>
        <v>-</v>
      </c>
      <c r="AI1806" t="str">
        <f>"95000.00"</f>
        <v>95000.00</v>
      </c>
      <c r="AJ1806" t="str">
        <f>"C55-000-588-3878-0"</f>
        <v>C55-000-588-3878-0</v>
      </c>
      <c r="AK1806" t="str">
        <f>"32377"</f>
        <v>32377</v>
      </c>
      <c r="AL1806">
        <v>7</v>
      </c>
      <c r="AM1806">
        <v>2057</v>
      </c>
      <c r="AN1806">
        <v>3327.99</v>
      </c>
      <c r="AQ1806" t="s">
        <v>17791</v>
      </c>
      <c r="AR1806" t="s">
        <v>17791</v>
      </c>
      <c r="AS1806" t="s">
        <v>17791</v>
      </c>
      <c r="AU1806" t="s">
        <v>396</v>
      </c>
      <c r="AV1806">
        <v>2017</v>
      </c>
      <c r="AW1806" t="str">
        <f>"43-3N-28-509D-0009-0000 "</f>
        <v xml:space="preserve">43-3N-28-509D-0009-0000 </v>
      </c>
      <c r="AX1806">
        <v>97562</v>
      </c>
      <c r="AZ1806" t="s">
        <v>17779</v>
      </c>
      <c r="BA1806" t="s">
        <v>496</v>
      </c>
      <c r="BD1806" t="s">
        <v>2387</v>
      </c>
      <c r="BE1806" t="s">
        <v>393</v>
      </c>
      <c r="BF1806">
        <v>32097</v>
      </c>
      <c r="BG1806" t="s">
        <v>17792</v>
      </c>
      <c r="BH1806" t="s">
        <v>2388</v>
      </c>
      <c r="BI1806">
        <v>-81.524205859669706</v>
      </c>
      <c r="BJ1806">
        <v>30.678365472239602</v>
      </c>
      <c r="BK1806" t="s">
        <v>17793</v>
      </c>
      <c r="BL1806" t="s">
        <v>17794</v>
      </c>
      <c r="BM1806" t="s">
        <v>17795</v>
      </c>
      <c r="BN1806" t="s">
        <v>1778</v>
      </c>
      <c r="BO1806">
        <v>32097</v>
      </c>
      <c r="BP1806" t="s">
        <v>404</v>
      </c>
      <c r="BQ1806">
        <v>100</v>
      </c>
      <c r="BR1806" t="s">
        <v>514</v>
      </c>
      <c r="BS1806">
        <v>1001</v>
      </c>
      <c r="BT1806" t="s">
        <v>515</v>
      </c>
      <c r="BW1806">
        <v>37645</v>
      </c>
      <c r="BX1806" t="s">
        <v>407</v>
      </c>
      <c r="BY1806" t="s">
        <v>2729</v>
      </c>
      <c r="BZ1806">
        <v>4</v>
      </c>
      <c r="CA1806">
        <v>1984</v>
      </c>
      <c r="CB1806">
        <v>2</v>
      </c>
      <c r="CC1806">
        <v>1</v>
      </c>
      <c r="CD1806">
        <v>2017</v>
      </c>
      <c r="CE1806">
        <v>95000</v>
      </c>
      <c r="CF1806">
        <v>106311</v>
      </c>
      <c r="CG1806">
        <v>201311</v>
      </c>
      <c r="CH1806">
        <v>2017</v>
      </c>
      <c r="CI1806">
        <v>95000</v>
      </c>
      <c r="CJ1806">
        <v>106311</v>
      </c>
      <c r="CK1806">
        <v>201311</v>
      </c>
      <c r="CL1806">
        <v>2017</v>
      </c>
      <c r="CM1806">
        <v>3047.61</v>
      </c>
      <c r="CN1806" s="1">
        <v>42601</v>
      </c>
      <c r="CO1806">
        <v>158299</v>
      </c>
      <c r="CV1806">
        <v>0</v>
      </c>
      <c r="CZ1806" s="1">
        <v>42601</v>
      </c>
      <c r="DA1806">
        <v>0</v>
      </c>
      <c r="DD1806" t="s">
        <v>2387</v>
      </c>
      <c r="DF1806">
        <v>9</v>
      </c>
      <c r="DG1806">
        <v>43</v>
      </c>
      <c r="DJ1806" t="s">
        <v>17763</v>
      </c>
      <c r="DL1806">
        <v>50303</v>
      </c>
      <c r="DM1806" t="s">
        <v>17717</v>
      </c>
      <c r="DO1806" t="s">
        <v>17796</v>
      </c>
      <c r="DP1806">
        <v>0</v>
      </c>
      <c r="DQ1806">
        <v>0</v>
      </c>
      <c r="DR1806" t="s">
        <v>411</v>
      </c>
      <c r="EP1806" t="s">
        <v>421</v>
      </c>
      <c r="EQ1806" t="s">
        <v>422</v>
      </c>
      <c r="ER1806">
        <v>2</v>
      </c>
      <c r="ES1806">
        <v>2</v>
      </c>
      <c r="ET1806">
        <v>6749.92</v>
      </c>
      <c r="EU1806">
        <v>350</v>
      </c>
      <c r="EV1806">
        <v>7099.92</v>
      </c>
      <c r="EW1806" s="2">
        <v>43222</v>
      </c>
      <c r="EX1806" s="1">
        <v>42879</v>
      </c>
      <c r="EY1806">
        <v>2016</v>
      </c>
      <c r="EZ1806">
        <v>3374.96</v>
      </c>
      <c r="FA1806" t="s">
        <v>17797</v>
      </c>
      <c r="FB1806">
        <v>0.25</v>
      </c>
      <c r="FC1806" t="s">
        <v>424</v>
      </c>
      <c r="FD1806" t="s">
        <v>454</v>
      </c>
      <c r="FF1806">
        <v>12</v>
      </c>
      <c r="FG1806">
        <v>7336671</v>
      </c>
      <c r="FH1806" t="s">
        <v>437</v>
      </c>
      <c r="FJ1806" s="1">
        <v>42879</v>
      </c>
      <c r="FK1806">
        <v>2016</v>
      </c>
      <c r="FL1806">
        <v>3374.96</v>
      </c>
      <c r="FM1806" t="s">
        <v>17797</v>
      </c>
      <c r="FN1806">
        <v>0.25</v>
      </c>
      <c r="FO1806" t="s">
        <v>424</v>
      </c>
      <c r="FP1806" t="s">
        <v>454</v>
      </c>
      <c r="FR1806">
        <v>12</v>
      </c>
      <c r="FS1806">
        <v>6887132</v>
      </c>
      <c r="FT1806" t="s">
        <v>17798</v>
      </c>
      <c r="FV1806" s="1">
        <v>41052</v>
      </c>
      <c r="FW1806">
        <v>2011</v>
      </c>
      <c r="FX1806">
        <v>2666.73</v>
      </c>
      <c r="FY1806" t="s">
        <v>17799</v>
      </c>
      <c r="FZ1806">
        <v>0.25</v>
      </c>
      <c r="GA1806" t="s">
        <v>424</v>
      </c>
      <c r="GB1806" t="s">
        <v>425</v>
      </c>
      <c r="GC1806" s="1">
        <v>41106</v>
      </c>
      <c r="GD1806">
        <v>2</v>
      </c>
      <c r="GE1806">
        <v>13067</v>
      </c>
      <c r="GF1806" t="s">
        <v>429</v>
      </c>
      <c r="GH1806" s="1">
        <v>41052</v>
      </c>
      <c r="GI1806">
        <v>2011</v>
      </c>
      <c r="GJ1806">
        <v>2666.73</v>
      </c>
      <c r="GK1806" t="s">
        <v>17799</v>
      </c>
      <c r="GL1806">
        <v>0.25</v>
      </c>
      <c r="GM1806" t="s">
        <v>424</v>
      </c>
      <c r="GN1806" t="s">
        <v>425</v>
      </c>
      <c r="GP1806">
        <v>22</v>
      </c>
      <c r="GQ1806">
        <v>13439</v>
      </c>
      <c r="GR1806" t="s">
        <v>17800</v>
      </c>
    </row>
    <row r="1807" spans="1:296" x14ac:dyDescent="0.25">
      <c r="A1807">
        <v>16486814</v>
      </c>
      <c r="B1807">
        <v>1806</v>
      </c>
      <c r="C1807" t="s">
        <v>393</v>
      </c>
      <c r="D1807" t="s">
        <v>394</v>
      </c>
      <c r="F1807" t="str">
        <f>"43-3N-28-509D-0010-0000"</f>
        <v>43-3N-28-509D-0010-0000</v>
      </c>
      <c r="H1807" t="str">
        <f>"FRASER DAVID K TRUSTEE OF DAVID K FRASER REV TRUST"</f>
        <v>FRASER DAVID K TRUSTEE OF DAVID K FRASER REV TRUST</v>
      </c>
      <c r="I1807" t="str">
        <f>"97552 PIRATES POINT ROAD"</f>
        <v>97552 PIRATES POINT ROAD</v>
      </c>
      <c r="J1807" t="str">
        <f>"YULEE FL 32097"</f>
        <v>YULEE FL 32097</v>
      </c>
      <c r="K1807" t="str">
        <f>"97552 PIRATES POINT RD"</f>
        <v>97552 PIRATES POINT RD</v>
      </c>
      <c r="L1807" t="str">
        <f t="shared" si="669"/>
        <v>YULEE FL 32097</v>
      </c>
      <c r="M1807" t="str">
        <f>"LOT 10 IN OR 1611/665 PIRATES WOOD 4 UNR"</f>
        <v>LOT 10 IN OR 1611/665 PIRATES WOOD 4 UNR</v>
      </c>
      <c r="N1807" t="str">
        <f>""</f>
        <v/>
      </c>
      <c r="O1807" t="str">
        <f>"50609"</f>
        <v>50609</v>
      </c>
      <c r="P1807" t="str">
        <f t="shared" si="671"/>
        <v>2017</v>
      </c>
      <c r="Q1807" t="str">
        <f>""</f>
        <v/>
      </c>
      <c r="R1807" t="str">
        <f>"N"</f>
        <v>N</v>
      </c>
      <c r="S1807" t="str">
        <f>""</f>
        <v/>
      </c>
      <c r="T1807" t="str">
        <f>"3023.26"</f>
        <v>3023.26</v>
      </c>
      <c r="U1807" t="str">
        <f>"199703.00"</f>
        <v>199703.00</v>
      </c>
      <c r="V1807" t="str">
        <f>"199703.00"</f>
        <v>199703.00</v>
      </c>
      <c r="W1807" t="str">
        <f t="shared" si="672"/>
        <v>2017</v>
      </c>
      <c r="X1807" t="str">
        <f>"10.00"</f>
        <v>10.00</v>
      </c>
      <c r="Y1807" t="str">
        <f>"3145.96"</f>
        <v>3145.96</v>
      </c>
      <c r="Z1807" t="str">
        <f>""</f>
        <v/>
      </c>
      <c r="AA1807" t="str">
        <f>"199703.00"</f>
        <v>199703.00</v>
      </c>
      <c r="AB1807" t="str">
        <f t="shared" si="673"/>
        <v>Residential</v>
      </c>
      <c r="AC1807" t="str">
        <f t="shared" si="643"/>
        <v>0</v>
      </c>
      <c r="AD1807" t="str">
        <f t="shared" si="675"/>
        <v>4</v>
      </c>
      <c r="AE1807" t="str">
        <f t="shared" si="676"/>
        <v>WOOD (INCLUDE STEEL STUDS)</v>
      </c>
      <c r="AF1807" t="str">
        <f t="shared" si="677"/>
        <v>001</v>
      </c>
      <c r="AG1807" t="str">
        <f>"FL"</f>
        <v>FL</v>
      </c>
      <c r="AH1807" t="str">
        <f t="shared" si="674"/>
        <v>-</v>
      </c>
      <c r="AI1807" t="str">
        <f>"95000.00"</f>
        <v>95000.00</v>
      </c>
      <c r="AJ1807" t="str">
        <f>"C55-000-588-3879-8"</f>
        <v>C55-000-588-3879-8</v>
      </c>
      <c r="AK1807" t="str">
        <f>"32378"</f>
        <v>32378</v>
      </c>
      <c r="AL1807">
        <v>7</v>
      </c>
      <c r="AM1807">
        <v>2058</v>
      </c>
      <c r="AN1807">
        <v>3301.66</v>
      </c>
      <c r="AQ1807" t="s">
        <v>17801</v>
      </c>
      <c r="AR1807" t="s">
        <v>17801</v>
      </c>
      <c r="AS1807" t="s">
        <v>17801</v>
      </c>
      <c r="AU1807" t="s">
        <v>396</v>
      </c>
      <c r="AV1807">
        <v>2017</v>
      </c>
      <c r="AW1807" t="str">
        <f>"43-3N-28-509D-0010-0000 "</f>
        <v xml:space="preserve">43-3N-28-509D-0010-0000 </v>
      </c>
      <c r="AX1807">
        <v>97552</v>
      </c>
      <c r="AZ1807" t="s">
        <v>17779</v>
      </c>
      <c r="BA1807" t="s">
        <v>496</v>
      </c>
      <c r="BD1807" t="s">
        <v>2387</v>
      </c>
      <c r="BE1807" t="s">
        <v>393</v>
      </c>
      <c r="BF1807">
        <v>32097</v>
      </c>
      <c r="BG1807" t="s">
        <v>17802</v>
      </c>
      <c r="BH1807" t="s">
        <v>2388</v>
      </c>
      <c r="BI1807">
        <v>-81.524194928688004</v>
      </c>
      <c r="BJ1807">
        <v>30.6780989561944</v>
      </c>
      <c r="BK1807" t="s">
        <v>17803</v>
      </c>
      <c r="BL1807" t="s">
        <v>17804</v>
      </c>
      <c r="BM1807" t="s">
        <v>17802</v>
      </c>
      <c r="BN1807" t="s">
        <v>1778</v>
      </c>
      <c r="BO1807">
        <v>32097</v>
      </c>
      <c r="BP1807" t="s">
        <v>416</v>
      </c>
      <c r="BQ1807">
        <v>100</v>
      </c>
      <c r="BR1807" t="s">
        <v>514</v>
      </c>
      <c r="BS1807">
        <v>1001</v>
      </c>
      <c r="BT1807" t="s">
        <v>515</v>
      </c>
      <c r="BW1807">
        <v>38518</v>
      </c>
      <c r="BX1807" t="s">
        <v>407</v>
      </c>
      <c r="BY1807" t="s">
        <v>2729</v>
      </c>
      <c r="BZ1807">
        <v>4</v>
      </c>
      <c r="CA1807">
        <v>1997</v>
      </c>
      <c r="CB1807">
        <v>1</v>
      </c>
      <c r="CC1807">
        <v>1</v>
      </c>
      <c r="CD1807">
        <v>2017</v>
      </c>
      <c r="CE1807">
        <v>95000</v>
      </c>
      <c r="CF1807">
        <v>104703</v>
      </c>
      <c r="CG1807">
        <v>199703</v>
      </c>
      <c r="CH1807">
        <v>2017</v>
      </c>
      <c r="CI1807">
        <v>95000</v>
      </c>
      <c r="CJ1807">
        <v>104703</v>
      </c>
      <c r="CK1807">
        <v>199703</v>
      </c>
      <c r="CL1807">
        <v>2017</v>
      </c>
      <c r="CM1807">
        <v>3023.26</v>
      </c>
      <c r="CN1807" s="1">
        <v>39891</v>
      </c>
      <c r="CZ1807" s="1">
        <v>39891</v>
      </c>
      <c r="DD1807" t="s">
        <v>2387</v>
      </c>
      <c r="DF1807">
        <v>10</v>
      </c>
      <c r="DG1807">
        <v>43</v>
      </c>
      <c r="DJ1807" t="s">
        <v>17763</v>
      </c>
      <c r="DL1807">
        <v>50303</v>
      </c>
      <c r="DM1807" t="s">
        <v>17717</v>
      </c>
      <c r="DO1807" t="s">
        <v>17805</v>
      </c>
      <c r="DP1807">
        <v>0</v>
      </c>
      <c r="DQ1807">
        <v>0</v>
      </c>
      <c r="DR1807" t="s">
        <v>411</v>
      </c>
      <c r="DS1807" t="b">
        <v>1</v>
      </c>
      <c r="DT1807" t="s">
        <v>15881</v>
      </c>
      <c r="DV1807" t="s">
        <v>446</v>
      </c>
      <c r="DX1807">
        <v>12</v>
      </c>
      <c r="DY1807" t="s">
        <v>11438</v>
      </c>
      <c r="DZ1807" t="s">
        <v>447</v>
      </c>
      <c r="EA1807" t="s">
        <v>448</v>
      </c>
      <c r="EB1807" t="s">
        <v>17806</v>
      </c>
      <c r="EC1807">
        <v>20101217</v>
      </c>
      <c r="ED1807" t="s">
        <v>450</v>
      </c>
      <c r="EE1807">
        <v>5</v>
      </c>
      <c r="EF1807">
        <v>0</v>
      </c>
      <c r="EG1807">
        <v>0</v>
      </c>
      <c r="EI1807">
        <v>20160407</v>
      </c>
      <c r="EJ1807">
        <v>0</v>
      </c>
      <c r="EK1807">
        <v>0</v>
      </c>
      <c r="EP1807" t="s">
        <v>421</v>
      </c>
      <c r="EQ1807" t="s">
        <v>422</v>
      </c>
      <c r="ER1807">
        <v>0</v>
      </c>
      <c r="ES1807">
        <v>9</v>
      </c>
      <c r="ET1807">
        <v>0</v>
      </c>
      <c r="EU1807">
        <v>0</v>
      </c>
      <c r="EV1807">
        <v>0</v>
      </c>
      <c r="EW1807" s="2">
        <v>43222</v>
      </c>
      <c r="EX1807" s="1">
        <v>42879</v>
      </c>
      <c r="EY1807">
        <v>2016</v>
      </c>
      <c r="EZ1807">
        <v>3266.05</v>
      </c>
      <c r="FA1807" t="s">
        <v>17807</v>
      </c>
      <c r="FB1807">
        <v>0.25</v>
      </c>
      <c r="FC1807" t="s">
        <v>424</v>
      </c>
      <c r="FD1807" t="s">
        <v>425</v>
      </c>
      <c r="FE1807" s="1">
        <v>43166</v>
      </c>
      <c r="FF1807">
        <v>10</v>
      </c>
      <c r="FG1807">
        <v>11289</v>
      </c>
      <c r="FH1807" t="s">
        <v>787</v>
      </c>
      <c r="FJ1807" s="1">
        <v>42879</v>
      </c>
      <c r="FK1807">
        <v>2016</v>
      </c>
      <c r="FL1807">
        <v>3266.05</v>
      </c>
      <c r="FM1807" t="s">
        <v>17807</v>
      </c>
      <c r="FN1807">
        <v>0.25</v>
      </c>
      <c r="FO1807" t="s">
        <v>424</v>
      </c>
      <c r="FP1807" t="s">
        <v>425</v>
      </c>
      <c r="FR1807">
        <v>22</v>
      </c>
      <c r="FS1807">
        <v>7080869</v>
      </c>
      <c r="FT1807" t="s">
        <v>17808</v>
      </c>
      <c r="FV1807" s="1">
        <v>42515</v>
      </c>
      <c r="FW1807">
        <v>2015</v>
      </c>
      <c r="FX1807">
        <v>3188.52</v>
      </c>
      <c r="FY1807" t="s">
        <v>17809</v>
      </c>
      <c r="FZ1807">
        <v>0.25</v>
      </c>
      <c r="GA1807" t="s">
        <v>424</v>
      </c>
      <c r="GB1807" t="s">
        <v>425</v>
      </c>
      <c r="GC1807" s="1">
        <v>42814</v>
      </c>
      <c r="GD1807">
        <v>10</v>
      </c>
      <c r="GE1807">
        <v>7045074</v>
      </c>
      <c r="GF1807" t="s">
        <v>580</v>
      </c>
      <c r="GH1807" s="1">
        <v>42515</v>
      </c>
      <c r="GI1807">
        <v>2015</v>
      </c>
      <c r="GJ1807">
        <v>3188.52</v>
      </c>
      <c r="GK1807" t="s">
        <v>17809</v>
      </c>
      <c r="GL1807">
        <v>0.25</v>
      </c>
      <c r="GM1807" t="s">
        <v>424</v>
      </c>
      <c r="GN1807" t="s">
        <v>425</v>
      </c>
      <c r="GP1807">
        <v>22</v>
      </c>
      <c r="GQ1807">
        <v>6372375</v>
      </c>
      <c r="GR1807" t="s">
        <v>17810</v>
      </c>
      <c r="GT1807" s="1">
        <v>42151</v>
      </c>
      <c r="GU1807">
        <v>2014</v>
      </c>
      <c r="GV1807">
        <v>2715.21</v>
      </c>
      <c r="GW1807" t="s">
        <v>17811</v>
      </c>
      <c r="GX1807">
        <v>0.25</v>
      </c>
      <c r="GY1807" t="s">
        <v>424</v>
      </c>
      <c r="GZ1807" t="s">
        <v>425</v>
      </c>
      <c r="HA1807" s="1">
        <v>42460</v>
      </c>
      <c r="HB1807">
        <v>10</v>
      </c>
      <c r="HC1807">
        <v>4975594</v>
      </c>
      <c r="HD1807" t="s">
        <v>457</v>
      </c>
      <c r="HF1807" s="1">
        <v>42151</v>
      </c>
      <c r="HG1807">
        <v>2014</v>
      </c>
      <c r="HH1807">
        <v>2715.21</v>
      </c>
      <c r="HI1807" t="s">
        <v>17811</v>
      </c>
      <c r="HJ1807">
        <v>0.25</v>
      </c>
      <c r="HK1807" t="s">
        <v>424</v>
      </c>
      <c r="HL1807" t="s">
        <v>425</v>
      </c>
      <c r="HN1807">
        <v>22</v>
      </c>
      <c r="HO1807">
        <v>6426389</v>
      </c>
      <c r="HP1807" t="s">
        <v>17812</v>
      </c>
      <c r="HR1807" s="1">
        <v>41787</v>
      </c>
      <c r="HS1807">
        <v>2013</v>
      </c>
      <c r="HT1807">
        <v>2471.7600000000002</v>
      </c>
      <c r="HU1807" t="s">
        <v>17813</v>
      </c>
      <c r="HV1807">
        <v>0.25</v>
      </c>
      <c r="HW1807" t="s">
        <v>424</v>
      </c>
      <c r="HX1807" t="s">
        <v>425</v>
      </c>
      <c r="HY1807" s="1">
        <v>42094</v>
      </c>
      <c r="HZ1807">
        <v>10</v>
      </c>
      <c r="IA1807">
        <v>2101382</v>
      </c>
      <c r="IB1807" t="s">
        <v>993</v>
      </c>
      <c r="ID1807" s="1">
        <v>41423</v>
      </c>
      <c r="IE1807">
        <v>2012</v>
      </c>
      <c r="IF1807">
        <v>3008.03</v>
      </c>
      <c r="IG1807" t="s">
        <v>17814</v>
      </c>
      <c r="IH1807">
        <v>0.25</v>
      </c>
      <c r="II1807" t="s">
        <v>424</v>
      </c>
      <c r="IJ1807" t="s">
        <v>425</v>
      </c>
      <c r="IK1807" s="1">
        <v>41689</v>
      </c>
      <c r="IL1807">
        <v>9</v>
      </c>
      <c r="IM1807">
        <v>15259</v>
      </c>
      <c r="IN1807" t="s">
        <v>891</v>
      </c>
      <c r="IP1807" s="1">
        <v>41052</v>
      </c>
      <c r="IQ1807">
        <v>2011</v>
      </c>
      <c r="IR1807">
        <v>3316.75</v>
      </c>
      <c r="IS1807" t="s">
        <v>17815</v>
      </c>
      <c r="IT1807">
        <v>0.25</v>
      </c>
      <c r="IU1807" t="s">
        <v>424</v>
      </c>
      <c r="IV1807" t="s">
        <v>425</v>
      </c>
      <c r="IW1807" s="1">
        <v>41375</v>
      </c>
      <c r="IX1807">
        <v>11</v>
      </c>
      <c r="IY1807">
        <v>14184</v>
      </c>
      <c r="IZ1807" t="s">
        <v>17816</v>
      </c>
    </row>
    <row r="1808" spans="1:296" x14ac:dyDescent="0.25">
      <c r="A1808">
        <v>16486815</v>
      </c>
      <c r="B1808">
        <v>1807</v>
      </c>
      <c r="C1808" t="s">
        <v>393</v>
      </c>
      <c r="D1808" t="s">
        <v>394</v>
      </c>
      <c r="F1808" t="str">
        <f>"43-3N-28-509D-0012-0000"</f>
        <v>43-3N-28-509D-0012-0000</v>
      </c>
      <c r="H1808" t="str">
        <f>"DOBBINS JOHN"</f>
        <v>DOBBINS JOHN</v>
      </c>
      <c r="I1808" t="str">
        <f>"24 SAPALO DR"</f>
        <v>24 SAPALO DR</v>
      </c>
      <c r="J1808" t="str">
        <f>"ST MARYS GA 31558"</f>
        <v>ST MARYS GA 31558</v>
      </c>
      <c r="K1808" t="str">
        <f>"97524 PIRATES POINT RD"</f>
        <v>97524 PIRATES POINT RD</v>
      </c>
      <c r="L1808" t="str">
        <f t="shared" si="669"/>
        <v>YULEE FL 32097</v>
      </c>
      <c r="M1808" t="str">
        <f>"LOT 12 IN OR 1887/879 PIRATES WOOD 4 UNR"</f>
        <v>LOT 12 IN OR 1887/879 PIRATES WOOD 4 UNR</v>
      </c>
      <c r="N1808" t="str">
        <f>""</f>
        <v/>
      </c>
      <c r="O1808" t="str">
        <f>"50611"</f>
        <v>50611</v>
      </c>
      <c r="P1808" t="str">
        <f t="shared" si="671"/>
        <v>2017</v>
      </c>
      <c r="Q1808" t="str">
        <f>""</f>
        <v/>
      </c>
      <c r="R1808" t="str">
        <f>"N"</f>
        <v>N</v>
      </c>
      <c r="S1808" t="str">
        <f>""</f>
        <v/>
      </c>
      <c r="T1808" t="str">
        <f>"2515.82"</f>
        <v>2515.82</v>
      </c>
      <c r="U1808" t="str">
        <f>"166183.00"</f>
        <v>166183.00</v>
      </c>
      <c r="V1808" t="str">
        <f>"166183.00"</f>
        <v>166183.00</v>
      </c>
      <c r="W1808" t="str">
        <f t="shared" si="672"/>
        <v>2017</v>
      </c>
      <c r="X1808" t="str">
        <f>"8.50"</f>
        <v>8.50</v>
      </c>
      <c r="Y1808" t="str">
        <f>"2623.29"</f>
        <v>2623.29</v>
      </c>
      <c r="Z1808" t="str">
        <f>""</f>
        <v/>
      </c>
      <c r="AA1808" t="str">
        <f>"166183.00"</f>
        <v>166183.00</v>
      </c>
      <c r="AB1808" t="str">
        <f t="shared" si="673"/>
        <v>Residential</v>
      </c>
      <c r="AC1808" t="str">
        <f t="shared" si="643"/>
        <v>0</v>
      </c>
      <c r="AD1808" t="str">
        <f t="shared" si="675"/>
        <v>4</v>
      </c>
      <c r="AE1808" t="str">
        <f t="shared" si="676"/>
        <v>WOOD (INCLUDE STEEL STUDS)</v>
      </c>
      <c r="AF1808" t="str">
        <f t="shared" si="677"/>
        <v>001</v>
      </c>
      <c r="AG1808" t="str">
        <f>"GA"</f>
        <v>GA</v>
      </c>
      <c r="AH1808" t="str">
        <f t="shared" si="674"/>
        <v>-</v>
      </c>
      <c r="AI1808" t="str">
        <f>"95000.00"</f>
        <v>95000.00</v>
      </c>
      <c r="AJ1808" t="str">
        <f>"C55-000-588-3881-4"</f>
        <v>C55-000-588-3881-4</v>
      </c>
      <c r="AK1808" t="str">
        <f>"32380"</f>
        <v>32380</v>
      </c>
      <c r="AL1808">
        <v>7</v>
      </c>
      <c r="AM1808">
        <v>2059</v>
      </c>
      <c r="AN1808">
        <v>2752.85</v>
      </c>
      <c r="AQ1808" t="s">
        <v>17817</v>
      </c>
      <c r="AR1808" t="s">
        <v>17817</v>
      </c>
      <c r="AS1808" t="s">
        <v>17817</v>
      </c>
      <c r="AU1808" t="s">
        <v>396</v>
      </c>
      <c r="AV1808">
        <v>2017</v>
      </c>
      <c r="AW1808" t="str">
        <f>"43-3N-28-509D-0012-0000 "</f>
        <v xml:space="preserve">43-3N-28-509D-0012-0000 </v>
      </c>
      <c r="AX1808">
        <v>97524</v>
      </c>
      <c r="AZ1808" t="s">
        <v>17779</v>
      </c>
      <c r="BA1808" t="s">
        <v>496</v>
      </c>
      <c r="BD1808" t="s">
        <v>2387</v>
      </c>
      <c r="BE1808" t="s">
        <v>393</v>
      </c>
      <c r="BF1808">
        <v>32097</v>
      </c>
      <c r="BG1808" t="s">
        <v>17818</v>
      </c>
      <c r="BH1808" t="s">
        <v>2388</v>
      </c>
      <c r="BI1808">
        <v>-81.524200309757006</v>
      </c>
      <c r="BJ1808">
        <v>30.677590576472902</v>
      </c>
      <c r="BK1808" t="s">
        <v>17819</v>
      </c>
      <c r="BM1808" t="s">
        <v>17820</v>
      </c>
      <c r="BN1808" t="s">
        <v>8960</v>
      </c>
      <c r="BO1808">
        <v>31558</v>
      </c>
      <c r="BP1808" t="s">
        <v>404</v>
      </c>
      <c r="BQ1808">
        <v>100</v>
      </c>
      <c r="BR1808" t="s">
        <v>514</v>
      </c>
      <c r="BS1808">
        <v>1001</v>
      </c>
      <c r="BT1808" t="s">
        <v>515</v>
      </c>
      <c r="BW1808">
        <v>35110</v>
      </c>
      <c r="BX1808" t="s">
        <v>407</v>
      </c>
      <c r="BY1808" t="s">
        <v>2729</v>
      </c>
      <c r="BZ1808">
        <v>4</v>
      </c>
      <c r="CA1808">
        <v>1976</v>
      </c>
      <c r="CB1808">
        <v>2</v>
      </c>
      <c r="CC1808">
        <v>1</v>
      </c>
      <c r="CD1808">
        <v>2017</v>
      </c>
      <c r="CE1808">
        <v>95000</v>
      </c>
      <c r="CF1808">
        <v>71183</v>
      </c>
      <c r="CG1808">
        <v>166183</v>
      </c>
      <c r="CH1808">
        <v>2017</v>
      </c>
      <c r="CI1808">
        <v>95000</v>
      </c>
      <c r="CJ1808">
        <v>71183</v>
      </c>
      <c r="CK1808">
        <v>166183</v>
      </c>
      <c r="CL1808">
        <v>2017</v>
      </c>
      <c r="CM1808">
        <v>2515.8200000000002</v>
      </c>
      <c r="CN1808" s="1">
        <v>41579</v>
      </c>
      <c r="CO1808">
        <v>89100</v>
      </c>
      <c r="CV1808">
        <v>20000</v>
      </c>
      <c r="CX1808" t="s">
        <v>693</v>
      </c>
      <c r="CZ1808" s="1">
        <v>41579</v>
      </c>
      <c r="DA1808">
        <v>0</v>
      </c>
      <c r="DD1808" t="s">
        <v>2387</v>
      </c>
      <c r="DF1808">
        <v>12</v>
      </c>
      <c r="DG1808">
        <v>43</v>
      </c>
      <c r="DJ1808" t="s">
        <v>17763</v>
      </c>
      <c r="DL1808">
        <v>50303</v>
      </c>
      <c r="DM1808" t="s">
        <v>17717</v>
      </c>
      <c r="DO1808" t="s">
        <v>17821</v>
      </c>
      <c r="DP1808">
        <v>0</v>
      </c>
      <c r="DQ1808">
        <v>0</v>
      </c>
      <c r="DR1808" t="s">
        <v>411</v>
      </c>
      <c r="DS1808" t="b">
        <v>1</v>
      </c>
      <c r="DT1808" t="s">
        <v>8902</v>
      </c>
      <c r="DV1808" t="s">
        <v>446</v>
      </c>
      <c r="DX1808">
        <v>11</v>
      </c>
      <c r="DY1808" t="s">
        <v>11438</v>
      </c>
      <c r="DZ1808" t="s">
        <v>447</v>
      </c>
      <c r="EA1808" t="s">
        <v>448</v>
      </c>
      <c r="EB1808" t="s">
        <v>17822</v>
      </c>
      <c r="EC1808">
        <v>20101217</v>
      </c>
      <c r="ED1808" t="s">
        <v>450</v>
      </c>
      <c r="EE1808">
        <v>5</v>
      </c>
      <c r="EF1808">
        <v>0</v>
      </c>
      <c r="EG1808">
        <v>0</v>
      </c>
      <c r="EH1808" t="s">
        <v>451</v>
      </c>
      <c r="EI1808">
        <v>20140731</v>
      </c>
      <c r="EJ1808">
        <v>0</v>
      </c>
      <c r="EK1808">
        <v>0</v>
      </c>
      <c r="EP1808" t="s">
        <v>421</v>
      </c>
      <c r="EQ1808" t="s">
        <v>422</v>
      </c>
      <c r="ER1808">
        <v>0</v>
      </c>
      <c r="ES1808">
        <v>4</v>
      </c>
      <c r="ET1808">
        <v>0</v>
      </c>
      <c r="EU1808">
        <v>0</v>
      </c>
      <c r="EV1808">
        <v>0</v>
      </c>
      <c r="EW1808" s="2">
        <v>43222</v>
      </c>
      <c r="EX1808" s="1">
        <v>42879</v>
      </c>
      <c r="EY1808">
        <v>2016</v>
      </c>
      <c r="EZ1808">
        <v>2654.09</v>
      </c>
      <c r="FA1808" t="s">
        <v>17823</v>
      </c>
      <c r="FB1808">
        <v>0.25</v>
      </c>
      <c r="FC1808" t="s">
        <v>424</v>
      </c>
      <c r="FD1808" t="s">
        <v>425</v>
      </c>
      <c r="FE1808" s="1">
        <v>43047</v>
      </c>
      <c r="FF1808">
        <v>6</v>
      </c>
      <c r="FG1808">
        <v>5856194</v>
      </c>
      <c r="FH1808" t="s">
        <v>2685</v>
      </c>
      <c r="FJ1808" s="1">
        <v>42879</v>
      </c>
      <c r="FK1808">
        <v>2016</v>
      </c>
      <c r="FL1808">
        <v>2654.09</v>
      </c>
      <c r="FM1808" t="s">
        <v>17823</v>
      </c>
      <c r="FN1808">
        <v>0.25</v>
      </c>
      <c r="FO1808" t="s">
        <v>424</v>
      </c>
      <c r="FP1808" t="s">
        <v>425</v>
      </c>
      <c r="FR1808">
        <v>22</v>
      </c>
      <c r="FS1808">
        <v>6023391</v>
      </c>
      <c r="FT1808" t="s">
        <v>17824</v>
      </c>
      <c r="FV1808" s="1">
        <v>42151</v>
      </c>
      <c r="FW1808">
        <v>2014</v>
      </c>
      <c r="FX1808">
        <v>2163.09</v>
      </c>
      <c r="FY1808" t="s">
        <v>17825</v>
      </c>
      <c r="FZ1808">
        <v>0.25</v>
      </c>
      <c r="GA1808" t="s">
        <v>424</v>
      </c>
      <c r="GB1808" t="s">
        <v>425</v>
      </c>
      <c r="GC1808" s="1">
        <v>42478</v>
      </c>
      <c r="GD1808">
        <v>11</v>
      </c>
      <c r="GE1808">
        <v>2101382</v>
      </c>
      <c r="GF1808" t="s">
        <v>993</v>
      </c>
      <c r="GH1808" s="1">
        <v>42151</v>
      </c>
      <c r="GI1808">
        <v>2014</v>
      </c>
      <c r="GJ1808">
        <v>2163.09</v>
      </c>
      <c r="GK1808" t="s">
        <v>17825</v>
      </c>
      <c r="GL1808">
        <v>0.25</v>
      </c>
      <c r="GM1808" t="s">
        <v>424</v>
      </c>
      <c r="GN1808" t="s">
        <v>425</v>
      </c>
      <c r="GP1808">
        <v>22</v>
      </c>
      <c r="GQ1808">
        <v>5588496</v>
      </c>
      <c r="GR1808" t="s">
        <v>17826</v>
      </c>
    </row>
    <row r="1809" spans="1:272" x14ac:dyDescent="0.25">
      <c r="A1809">
        <v>16486816</v>
      </c>
      <c r="B1809">
        <v>1808</v>
      </c>
      <c r="C1809" t="s">
        <v>393</v>
      </c>
      <c r="D1809" t="s">
        <v>394</v>
      </c>
      <c r="F1809" t="str">
        <f>"43-3N-28-509D-0022-0000"</f>
        <v>43-3N-28-509D-0022-0000</v>
      </c>
      <c r="H1809" t="str">
        <f>"HOLDER CRAIG T &amp; MAROLYN K"</f>
        <v>HOLDER CRAIG T &amp; MAROLYN K</v>
      </c>
      <c r="I1809" t="str">
        <f>"97352 PIRATES POINT ROAD"</f>
        <v>97352 PIRATES POINT ROAD</v>
      </c>
      <c r="J1809" t="str">
        <f>"YULEE FL 32097"</f>
        <v>YULEE FL 32097</v>
      </c>
      <c r="K1809" t="str">
        <f>"97352 PIRATES POINT RD"</f>
        <v>97352 PIRATES POINT RD</v>
      </c>
      <c r="L1809" t="str">
        <f t="shared" si="669"/>
        <v>YULEE FL 32097</v>
      </c>
      <c r="M1809" t="str">
        <f>"LOT 22 IN OR 821 PG 1736 PIRATES WOOD 4 UNR"</f>
        <v>LOT 22 IN OR 821 PG 1736 PIRATES WOOD 4 UNR</v>
      </c>
      <c r="N1809" t="str">
        <f>""</f>
        <v/>
      </c>
      <c r="O1809" t="str">
        <f>"50620"</f>
        <v>50620</v>
      </c>
      <c r="P1809" t="str">
        <f t="shared" si="671"/>
        <v>2017</v>
      </c>
      <c r="Q1809" t="str">
        <f>""</f>
        <v/>
      </c>
      <c r="R1809" t="str">
        <f>"Y"</f>
        <v>Y</v>
      </c>
      <c r="S1809" t="str">
        <f>""</f>
        <v/>
      </c>
      <c r="T1809" t="str">
        <f>"1987.51"</f>
        <v>1987.51</v>
      </c>
      <c r="U1809" t="str">
        <f>"170390.00"</f>
        <v>170390.00</v>
      </c>
      <c r="V1809" t="str">
        <f>"170390.00"</f>
        <v>170390.00</v>
      </c>
      <c r="W1809" t="str">
        <f t="shared" si="672"/>
        <v>2017</v>
      </c>
      <c r="X1809" t="str">
        <f>""</f>
        <v/>
      </c>
      <c r="Y1809" t="str">
        <f>"2079.14"</f>
        <v>2079.14</v>
      </c>
      <c r="Z1809" t="str">
        <f>"25000.00"</f>
        <v>25000.00</v>
      </c>
      <c r="AA1809" t="str">
        <f>"145390.00"</f>
        <v>145390.00</v>
      </c>
      <c r="AB1809" t="str">
        <f t="shared" si="673"/>
        <v>Residential</v>
      </c>
      <c r="AC1809" t="str">
        <f t="shared" si="643"/>
        <v>0</v>
      </c>
      <c r="AD1809" t="str">
        <f t="shared" si="675"/>
        <v>4</v>
      </c>
      <c r="AE1809" t="str">
        <f t="shared" si="676"/>
        <v>WOOD (INCLUDE STEEL STUDS)</v>
      </c>
      <c r="AF1809" t="str">
        <f t="shared" si="677"/>
        <v>001</v>
      </c>
      <c r="AG1809" t="str">
        <f>"FL"</f>
        <v>FL</v>
      </c>
      <c r="AH1809" t="str">
        <f t="shared" si="674"/>
        <v>-</v>
      </c>
      <c r="AI1809" t="str">
        <f>"95000.00"</f>
        <v>95000.00</v>
      </c>
      <c r="AJ1809" t="str">
        <f>"C55-000-588-3889-7"</f>
        <v>C55-000-588-3889-7</v>
      </c>
      <c r="AK1809" t="str">
        <f>"32388"</f>
        <v>32388</v>
      </c>
      <c r="AL1809">
        <v>7</v>
      </c>
      <c r="AM1809">
        <v>2060</v>
      </c>
      <c r="AN1809">
        <v>2181.5</v>
      </c>
      <c r="AQ1809" t="s">
        <v>17827</v>
      </c>
      <c r="AR1809" t="s">
        <v>17827</v>
      </c>
      <c r="AS1809" t="s">
        <v>17827</v>
      </c>
      <c r="AU1809" t="s">
        <v>396</v>
      </c>
      <c r="AV1809">
        <v>2017</v>
      </c>
      <c r="AW1809" t="str">
        <f>"43-3N-28-509D-0022-0000 "</f>
        <v xml:space="preserve">43-3N-28-509D-0022-0000 </v>
      </c>
      <c r="AX1809">
        <v>97352</v>
      </c>
      <c r="AZ1809" t="s">
        <v>17779</v>
      </c>
      <c r="BA1809" t="s">
        <v>496</v>
      </c>
      <c r="BD1809" t="s">
        <v>2387</v>
      </c>
      <c r="BE1809" t="s">
        <v>393</v>
      </c>
      <c r="BF1809">
        <v>32097</v>
      </c>
      <c r="BG1809" t="s">
        <v>17828</v>
      </c>
      <c r="BH1809" t="s">
        <v>2388</v>
      </c>
      <c r="BI1809">
        <v>-81.5231079487654</v>
      </c>
      <c r="BJ1809">
        <v>30.675792632406999</v>
      </c>
      <c r="BK1809" t="s">
        <v>17829</v>
      </c>
      <c r="BL1809" t="s">
        <v>17830</v>
      </c>
      <c r="BM1809" t="s">
        <v>17828</v>
      </c>
      <c r="BN1809" t="s">
        <v>1778</v>
      </c>
      <c r="BO1809">
        <v>32097</v>
      </c>
      <c r="BP1809" t="s">
        <v>416</v>
      </c>
      <c r="BQ1809">
        <v>100</v>
      </c>
      <c r="BR1809" t="s">
        <v>514</v>
      </c>
      <c r="BS1809">
        <v>1001</v>
      </c>
      <c r="BT1809" t="s">
        <v>515</v>
      </c>
      <c r="BW1809">
        <v>29820</v>
      </c>
      <c r="BX1809" t="s">
        <v>407</v>
      </c>
      <c r="BY1809" t="s">
        <v>2729</v>
      </c>
      <c r="BZ1809">
        <v>4</v>
      </c>
      <c r="CA1809">
        <v>2000</v>
      </c>
      <c r="CB1809">
        <v>1</v>
      </c>
      <c r="CC1809">
        <v>1</v>
      </c>
      <c r="CD1809">
        <v>2017</v>
      </c>
      <c r="CG1809">
        <v>170390</v>
      </c>
      <c r="CH1809">
        <v>2017</v>
      </c>
      <c r="CI1809">
        <v>95000</v>
      </c>
      <c r="CJ1809">
        <v>111864</v>
      </c>
      <c r="CK1809">
        <v>206864</v>
      </c>
      <c r="CL1809">
        <v>2017</v>
      </c>
      <c r="CM1809">
        <v>1987.51</v>
      </c>
      <c r="CN1809" s="1">
        <v>35831</v>
      </c>
      <c r="CO1809">
        <v>39000</v>
      </c>
      <c r="CZ1809" s="1">
        <v>35831</v>
      </c>
      <c r="DD1809" t="s">
        <v>2387</v>
      </c>
      <c r="DF1809">
        <v>22</v>
      </c>
      <c r="DG1809">
        <v>43</v>
      </c>
      <c r="DJ1809" t="s">
        <v>17763</v>
      </c>
      <c r="DL1809">
        <v>50303</v>
      </c>
      <c r="DM1809" t="s">
        <v>17717</v>
      </c>
      <c r="DO1809" t="s">
        <v>17831</v>
      </c>
      <c r="DP1809">
        <v>0</v>
      </c>
      <c r="DQ1809">
        <v>0</v>
      </c>
      <c r="DR1809" t="s">
        <v>411</v>
      </c>
    </row>
    <row r="1810" spans="1:272" x14ac:dyDescent="0.25">
      <c r="A1810">
        <v>16486817</v>
      </c>
      <c r="B1810">
        <v>1809</v>
      </c>
      <c r="C1810" t="s">
        <v>393</v>
      </c>
      <c r="D1810" t="s">
        <v>394</v>
      </c>
      <c r="F1810" t="str">
        <f>"43-3N-28-509D-0029-0000"</f>
        <v>43-3N-28-509D-0029-0000</v>
      </c>
      <c r="H1810" t="str">
        <f>"BLAKE CHRISTOPHER T &amp; RHONDA L"</f>
        <v>BLAKE CHRISTOPHER T &amp; RHONDA L</v>
      </c>
      <c r="I1810" t="str">
        <f>"97289 PIRATES POINT ROAD"</f>
        <v>97289 PIRATES POINT ROAD</v>
      </c>
      <c r="J1810" t="str">
        <f>"YULEE FL 32097"</f>
        <v>YULEE FL 32097</v>
      </c>
      <c r="K1810" t="str">
        <f>"PIRATES POINT RD"</f>
        <v>PIRATES POINT RD</v>
      </c>
      <c r="L1810" t="str">
        <f t="shared" si="669"/>
        <v>YULEE FL 32097</v>
      </c>
      <c r="M1810" t="str">
        <f>"LOT 29 IN OR 855/612 PIRATES WOOD 4 UNR"</f>
        <v>LOT 29 IN OR 855/612 PIRATES WOOD 4 UNR</v>
      </c>
      <c r="N1810" t="str">
        <f>""</f>
        <v/>
      </c>
      <c r="O1810" t="str">
        <f>"50627"</f>
        <v>50627</v>
      </c>
      <c r="P1810" t="str">
        <f t="shared" si="671"/>
        <v>2017</v>
      </c>
      <c r="Q1810" t="str">
        <f>""</f>
        <v/>
      </c>
      <c r="R1810" t="str">
        <f>"N"</f>
        <v>N</v>
      </c>
      <c r="S1810" t="str">
        <f>""</f>
        <v/>
      </c>
      <c r="T1810" t="str">
        <f>"1308.88"</f>
        <v>1308.88</v>
      </c>
      <c r="U1810" t="str">
        <f>"79860.00"</f>
        <v>79860.00</v>
      </c>
      <c r="V1810" t="str">
        <f>"79860.00"</f>
        <v>79860.00</v>
      </c>
      <c r="W1810" t="str">
        <f t="shared" si="672"/>
        <v>2017</v>
      </c>
      <c r="X1810" t="str">
        <f>"3.63"</f>
        <v>3.63</v>
      </c>
      <c r="Y1810" t="str">
        <f>"1380.15"</f>
        <v>1380.15</v>
      </c>
      <c r="Z1810" t="str">
        <f>""</f>
        <v/>
      </c>
      <c r="AA1810" t="str">
        <f>"95000.00"</f>
        <v>95000.00</v>
      </c>
      <c r="AB1810" t="str">
        <f t="shared" si="673"/>
        <v>Residential</v>
      </c>
      <c r="AC1810" t="str">
        <f t="shared" si="643"/>
        <v>0</v>
      </c>
      <c r="AD1810" t="str">
        <f>""</f>
        <v/>
      </c>
      <c r="AE1810" t="str">
        <f>""</f>
        <v/>
      </c>
      <c r="AF1810" t="str">
        <f>"000"</f>
        <v>000</v>
      </c>
      <c r="AG1810" t="str">
        <f>"FL"</f>
        <v>FL</v>
      </c>
      <c r="AH1810" t="str">
        <f t="shared" si="674"/>
        <v>-</v>
      </c>
      <c r="AI1810" t="str">
        <f>"95000.00"</f>
        <v>95000.00</v>
      </c>
      <c r="AJ1810" t="str">
        <f>"C55-000-588-3896-2"</f>
        <v>C55-000-588-3896-2</v>
      </c>
      <c r="AK1810" t="str">
        <f>"32395"</f>
        <v>32395</v>
      </c>
      <c r="AL1810">
        <v>7</v>
      </c>
      <c r="AM1810">
        <v>2061</v>
      </c>
      <c r="AN1810">
        <v>1447.56</v>
      </c>
      <c r="AQ1810" t="s">
        <v>17832</v>
      </c>
      <c r="AR1810" t="s">
        <v>17832</v>
      </c>
      <c r="AS1810" t="s">
        <v>17832</v>
      </c>
      <c r="AU1810" t="s">
        <v>396</v>
      </c>
      <c r="AV1810">
        <v>2017</v>
      </c>
      <c r="AW1810" t="str">
        <f>"43-3N-28-509D-0029-0000 "</f>
        <v xml:space="preserve">43-3N-28-509D-0029-0000 </v>
      </c>
      <c r="AZ1810" t="s">
        <v>17779</v>
      </c>
      <c r="BA1810" t="s">
        <v>496</v>
      </c>
      <c r="BD1810" t="s">
        <v>2387</v>
      </c>
      <c r="BE1810" t="s">
        <v>393</v>
      </c>
      <c r="BF1810">
        <v>32097</v>
      </c>
      <c r="BG1810" t="s">
        <v>17833</v>
      </c>
      <c r="BH1810" t="s">
        <v>2388</v>
      </c>
      <c r="BI1810">
        <v>-81.521513246134305</v>
      </c>
      <c r="BJ1810">
        <v>30.6752135528005</v>
      </c>
      <c r="BK1810" t="s">
        <v>17834</v>
      </c>
      <c r="BL1810" t="s">
        <v>17835</v>
      </c>
      <c r="BM1810" t="s">
        <v>13466</v>
      </c>
      <c r="BN1810" t="s">
        <v>1778</v>
      </c>
      <c r="BO1810">
        <v>32097</v>
      </c>
      <c r="BP1810" t="s">
        <v>404</v>
      </c>
      <c r="BQ1810">
        <v>0</v>
      </c>
      <c r="BR1810" t="s">
        <v>491</v>
      </c>
      <c r="BS1810">
        <v>8001</v>
      </c>
      <c r="BT1810" t="s">
        <v>492</v>
      </c>
      <c r="BW1810">
        <v>27706</v>
      </c>
      <c r="BX1810" t="s">
        <v>407</v>
      </c>
      <c r="BY1810" t="s">
        <v>2729</v>
      </c>
      <c r="CD1810">
        <v>2017</v>
      </c>
      <c r="CE1810">
        <v>95000</v>
      </c>
      <c r="CG1810">
        <v>95000</v>
      </c>
      <c r="CH1810">
        <v>2017</v>
      </c>
      <c r="CI1810">
        <v>95000</v>
      </c>
      <c r="CK1810">
        <v>95000</v>
      </c>
      <c r="CL1810">
        <v>2017</v>
      </c>
      <c r="CM1810">
        <v>1308.8800000000001</v>
      </c>
      <c r="CN1810" s="1">
        <v>36109</v>
      </c>
      <c r="CZ1810" s="1">
        <v>36109</v>
      </c>
      <c r="DD1810" t="s">
        <v>2387</v>
      </c>
      <c r="DF1810">
        <v>29</v>
      </c>
      <c r="DG1810">
        <v>43</v>
      </c>
      <c r="DJ1810" t="s">
        <v>17763</v>
      </c>
      <c r="DL1810">
        <v>50303</v>
      </c>
      <c r="DM1810" t="s">
        <v>17717</v>
      </c>
      <c r="DO1810" t="s">
        <v>17836</v>
      </c>
      <c r="DP1810">
        <v>0</v>
      </c>
      <c r="DQ1810">
        <v>0</v>
      </c>
      <c r="DR1810" t="s">
        <v>411</v>
      </c>
      <c r="DS1810" t="b">
        <v>1</v>
      </c>
      <c r="DT1810" t="s">
        <v>8902</v>
      </c>
      <c r="DV1810" t="s">
        <v>446</v>
      </c>
      <c r="DX1810">
        <v>11</v>
      </c>
      <c r="DY1810" t="s">
        <v>11438</v>
      </c>
      <c r="DZ1810" t="s">
        <v>447</v>
      </c>
      <c r="EA1810" t="s">
        <v>448</v>
      </c>
      <c r="EB1810" t="s">
        <v>17822</v>
      </c>
      <c r="EC1810">
        <v>20101217</v>
      </c>
      <c r="ED1810" t="s">
        <v>450</v>
      </c>
      <c r="EE1810">
        <v>5</v>
      </c>
      <c r="EF1810">
        <v>0</v>
      </c>
      <c r="EG1810">
        <v>0</v>
      </c>
      <c r="EI1810">
        <v>20160407</v>
      </c>
      <c r="EJ1810">
        <v>0</v>
      </c>
      <c r="EK1810">
        <v>0</v>
      </c>
      <c r="EP1810" t="s">
        <v>421</v>
      </c>
      <c r="EQ1810" t="s">
        <v>422</v>
      </c>
      <c r="ER1810">
        <v>0</v>
      </c>
      <c r="ES1810">
        <v>10</v>
      </c>
      <c r="ET1810">
        <v>0</v>
      </c>
      <c r="EU1810">
        <v>0</v>
      </c>
      <c r="EV1810">
        <v>0</v>
      </c>
      <c r="EW1810" s="2">
        <v>43222</v>
      </c>
      <c r="EX1810" s="1">
        <v>42879</v>
      </c>
      <c r="EY1810">
        <v>2016</v>
      </c>
      <c r="EZ1810">
        <v>1396.89</v>
      </c>
      <c r="FA1810" t="s">
        <v>17837</v>
      </c>
      <c r="FB1810">
        <v>0.25</v>
      </c>
      <c r="FC1810" t="s">
        <v>424</v>
      </c>
      <c r="FD1810" t="s">
        <v>425</v>
      </c>
      <c r="FE1810" s="1">
        <v>42899</v>
      </c>
      <c r="FF1810">
        <v>1</v>
      </c>
      <c r="FG1810">
        <v>7400234</v>
      </c>
      <c r="FH1810" t="s">
        <v>426</v>
      </c>
      <c r="FJ1810" s="1">
        <v>42879</v>
      </c>
      <c r="FK1810">
        <v>2016</v>
      </c>
      <c r="FL1810">
        <v>1396.89</v>
      </c>
      <c r="FM1810" t="s">
        <v>17837</v>
      </c>
      <c r="FN1810">
        <v>0.25</v>
      </c>
      <c r="FO1810" t="s">
        <v>424</v>
      </c>
      <c r="FP1810" t="s">
        <v>425</v>
      </c>
      <c r="FR1810">
        <v>22</v>
      </c>
      <c r="FS1810">
        <v>7441642</v>
      </c>
      <c r="FT1810" t="s">
        <v>17838</v>
      </c>
      <c r="FV1810" s="1">
        <v>42515</v>
      </c>
      <c r="FW1810">
        <v>2015</v>
      </c>
      <c r="FX1810">
        <v>1368.69</v>
      </c>
      <c r="FY1810" t="s">
        <v>17839</v>
      </c>
      <c r="FZ1810">
        <v>0.25</v>
      </c>
      <c r="GA1810" t="s">
        <v>424</v>
      </c>
      <c r="GB1810" t="s">
        <v>425</v>
      </c>
      <c r="GC1810" s="1">
        <v>42661</v>
      </c>
      <c r="GD1810">
        <v>5</v>
      </c>
      <c r="GE1810">
        <v>7045074</v>
      </c>
      <c r="GF1810" t="s">
        <v>580</v>
      </c>
      <c r="GH1810" s="1">
        <v>42515</v>
      </c>
      <c r="GI1810">
        <v>2015</v>
      </c>
      <c r="GJ1810">
        <v>1368.69</v>
      </c>
      <c r="GK1810" t="s">
        <v>17839</v>
      </c>
      <c r="GL1810">
        <v>0.25</v>
      </c>
      <c r="GM1810" t="s">
        <v>424</v>
      </c>
      <c r="GN1810" t="s">
        <v>425</v>
      </c>
      <c r="GP1810">
        <v>22</v>
      </c>
      <c r="GQ1810">
        <v>6542894</v>
      </c>
      <c r="GR1810" t="s">
        <v>17840</v>
      </c>
      <c r="GT1810" s="1">
        <v>42151</v>
      </c>
      <c r="GU1810">
        <v>2014</v>
      </c>
      <c r="GV1810">
        <v>1047.47</v>
      </c>
      <c r="GW1810" t="s">
        <v>17841</v>
      </c>
      <c r="GX1810">
        <v>0.25</v>
      </c>
      <c r="GY1810" t="s">
        <v>424</v>
      </c>
      <c r="GZ1810" t="s">
        <v>425</v>
      </c>
      <c r="HA1810" s="1">
        <v>42215</v>
      </c>
      <c r="HB1810">
        <v>2</v>
      </c>
      <c r="HC1810">
        <v>2101382</v>
      </c>
      <c r="HD1810" t="s">
        <v>993</v>
      </c>
      <c r="HF1810" s="1">
        <v>42151</v>
      </c>
      <c r="HG1810">
        <v>2014</v>
      </c>
      <c r="HH1810">
        <v>1047.47</v>
      </c>
      <c r="HI1810" t="s">
        <v>17841</v>
      </c>
      <c r="HJ1810">
        <v>0.25</v>
      </c>
      <c r="HK1810" t="s">
        <v>424</v>
      </c>
      <c r="HL1810" t="s">
        <v>425</v>
      </c>
      <c r="HN1810">
        <v>22</v>
      </c>
      <c r="HO1810">
        <v>5612149</v>
      </c>
      <c r="HP1810" t="s">
        <v>17842</v>
      </c>
      <c r="HR1810" s="1">
        <v>41787</v>
      </c>
      <c r="HS1810">
        <v>2013</v>
      </c>
      <c r="HT1810">
        <v>992.63</v>
      </c>
      <c r="HU1810" t="s">
        <v>17843</v>
      </c>
      <c r="HV1810">
        <v>0.25</v>
      </c>
      <c r="HW1810" t="s">
        <v>424</v>
      </c>
      <c r="HX1810" t="s">
        <v>425</v>
      </c>
      <c r="HY1810" s="1">
        <v>41920</v>
      </c>
      <c r="HZ1810">
        <v>5</v>
      </c>
      <c r="IA1810">
        <v>305</v>
      </c>
      <c r="IB1810" t="s">
        <v>1078</v>
      </c>
      <c r="ID1810" s="1">
        <v>41423</v>
      </c>
      <c r="IE1810">
        <v>2012</v>
      </c>
      <c r="IF1810">
        <v>1496.17</v>
      </c>
      <c r="IG1810" t="s">
        <v>17844</v>
      </c>
      <c r="IH1810">
        <v>0.25</v>
      </c>
      <c r="II1810" t="s">
        <v>424</v>
      </c>
      <c r="IJ1810" t="s">
        <v>425</v>
      </c>
      <c r="IK1810" s="1">
        <v>41529</v>
      </c>
      <c r="IL1810">
        <v>4</v>
      </c>
      <c r="IM1810">
        <v>2101385</v>
      </c>
      <c r="IN1810" t="s">
        <v>810</v>
      </c>
      <c r="IP1810" s="1">
        <v>41052</v>
      </c>
      <c r="IQ1810">
        <v>2011</v>
      </c>
      <c r="IR1810">
        <v>1763.96</v>
      </c>
      <c r="IS1810" t="s">
        <v>17845</v>
      </c>
      <c r="IT1810">
        <v>5.75</v>
      </c>
      <c r="IU1810" t="s">
        <v>424</v>
      </c>
      <c r="IV1810" t="s">
        <v>425</v>
      </c>
      <c r="IW1810" s="1">
        <v>41212</v>
      </c>
      <c r="IX1810">
        <v>5</v>
      </c>
      <c r="IY1810">
        <v>10579</v>
      </c>
      <c r="IZ1810" t="s">
        <v>488</v>
      </c>
      <c r="JB1810" s="1">
        <v>40688</v>
      </c>
      <c r="JC1810">
        <v>2010</v>
      </c>
      <c r="JD1810">
        <v>2107.71</v>
      </c>
      <c r="JE1810" t="s">
        <v>17846</v>
      </c>
      <c r="JF1810">
        <v>6</v>
      </c>
      <c r="JG1810" t="s">
        <v>424</v>
      </c>
      <c r="JH1810" t="s">
        <v>425</v>
      </c>
      <c r="JI1810" s="1">
        <v>40820</v>
      </c>
      <c r="JJ1810">
        <v>5</v>
      </c>
      <c r="JK1810">
        <v>375</v>
      </c>
      <c r="JL1810" t="s">
        <v>776</v>
      </c>
    </row>
    <row r="1811" spans="1:272" x14ac:dyDescent="0.25">
      <c r="A1811">
        <v>16486818</v>
      </c>
      <c r="B1811">
        <v>1810</v>
      </c>
      <c r="C1811" t="s">
        <v>393</v>
      </c>
      <c r="D1811" t="s">
        <v>394</v>
      </c>
      <c r="F1811" t="str">
        <f>"43-3N-28-509D-0056-0000"</f>
        <v>43-3N-28-509D-0056-0000</v>
      </c>
      <c r="H1811" t="str">
        <f>"BRANAN CHARLES R"</f>
        <v>BRANAN CHARLES R</v>
      </c>
      <c r="I1811" t="str">
        <f>"97528 PIRATES WAY"</f>
        <v>97528 PIRATES WAY</v>
      </c>
      <c r="J1811" t="str">
        <f>"YULEE FL 32097"</f>
        <v>YULEE FL 32097</v>
      </c>
      <c r="K1811" t="str">
        <f>"97528 PIRATES WAY"</f>
        <v>97528 PIRATES WAY</v>
      </c>
      <c r="L1811" t="str">
        <f t="shared" si="669"/>
        <v>YULEE FL 32097</v>
      </c>
      <c r="M1811" t="str">
        <f>"LOT 56 IN OR 599 PG 436 PIRATES WOOD 4 UNR"</f>
        <v>LOT 56 IN OR 599 PG 436 PIRATES WOOD 4 UNR</v>
      </c>
      <c r="N1811" t="str">
        <f>""</f>
        <v/>
      </c>
      <c r="O1811" t="str">
        <f>"50651"</f>
        <v>50651</v>
      </c>
      <c r="P1811" t="str">
        <f t="shared" si="671"/>
        <v>2017</v>
      </c>
      <c r="Q1811" t="str">
        <f>""</f>
        <v/>
      </c>
      <c r="R1811" t="str">
        <f>"Y"</f>
        <v>Y</v>
      </c>
      <c r="S1811" t="str">
        <f>""</f>
        <v/>
      </c>
      <c r="T1811" t="str">
        <f>"1278.29"</f>
        <v>1278.29</v>
      </c>
      <c r="U1811" t="str">
        <f>"123543.00"</f>
        <v>123543.00</v>
      </c>
      <c r="V1811" t="str">
        <f>"123543.00"</f>
        <v>123543.00</v>
      </c>
      <c r="W1811" t="str">
        <f t="shared" si="672"/>
        <v>2017</v>
      </c>
      <c r="X1811" t="str">
        <f>""</f>
        <v/>
      </c>
      <c r="Y1811" t="str">
        <f>"1348.64"</f>
        <v>1348.64</v>
      </c>
      <c r="Z1811" t="str">
        <f>"25000.00"</f>
        <v>25000.00</v>
      </c>
      <c r="AA1811" t="str">
        <f>"98543.00"</f>
        <v>98543.00</v>
      </c>
      <c r="AB1811" t="str">
        <f t="shared" si="673"/>
        <v>Residential</v>
      </c>
      <c r="AC1811" t="str">
        <f t="shared" si="643"/>
        <v>0</v>
      </c>
      <c r="AD1811" t="str">
        <f t="shared" ref="AD1811:AD1820" si="678">"4"</f>
        <v>4</v>
      </c>
      <c r="AE1811" t="str">
        <f t="shared" ref="AE1811:AE1820" si="679">"WOOD (INCLUDE STEEL STUDS)"</f>
        <v>WOOD (INCLUDE STEEL STUDS)</v>
      </c>
      <c r="AF1811" t="str">
        <f t="shared" ref="AF1811:AF1818" si="680">"001"</f>
        <v>001</v>
      </c>
      <c r="AG1811" t="str">
        <f>"FL"</f>
        <v>FL</v>
      </c>
      <c r="AH1811" t="str">
        <f t="shared" si="674"/>
        <v>-</v>
      </c>
      <c r="AI1811" t="str">
        <f>"60000.00"</f>
        <v>60000.00</v>
      </c>
      <c r="AJ1811" t="str">
        <f>"C55-000-588-3920-0"</f>
        <v>C55-000-588-3920-0</v>
      </c>
      <c r="AK1811" t="str">
        <f>"32417"</f>
        <v>32417</v>
      </c>
      <c r="AL1811">
        <v>7</v>
      </c>
      <c r="AM1811">
        <v>2062</v>
      </c>
      <c r="AN1811">
        <v>1414.47</v>
      </c>
      <c r="AQ1811" t="s">
        <v>17847</v>
      </c>
      <c r="AR1811" t="s">
        <v>17847</v>
      </c>
      <c r="AS1811" t="s">
        <v>17847</v>
      </c>
      <c r="AU1811" t="s">
        <v>396</v>
      </c>
      <c r="AV1811">
        <v>2017</v>
      </c>
      <c r="AW1811" t="str">
        <f>"43-3N-28-509D-0056-0000 "</f>
        <v xml:space="preserve">43-3N-28-509D-0056-0000 </v>
      </c>
      <c r="AX1811">
        <v>97528</v>
      </c>
      <c r="AZ1811" t="s">
        <v>17848</v>
      </c>
      <c r="BA1811" t="s">
        <v>866</v>
      </c>
      <c r="BD1811" t="s">
        <v>2387</v>
      </c>
      <c r="BE1811" t="s">
        <v>393</v>
      </c>
      <c r="BF1811">
        <v>32097</v>
      </c>
      <c r="BG1811" t="s">
        <v>17849</v>
      </c>
      <c r="BH1811" t="s">
        <v>2388</v>
      </c>
      <c r="BI1811">
        <v>-81.522607729285994</v>
      </c>
      <c r="BJ1811">
        <v>30.671194081021302</v>
      </c>
      <c r="BK1811" t="s">
        <v>17850</v>
      </c>
      <c r="BM1811" t="s">
        <v>17849</v>
      </c>
      <c r="BN1811" t="s">
        <v>1778</v>
      </c>
      <c r="BO1811">
        <v>32097</v>
      </c>
      <c r="BP1811" t="s">
        <v>416</v>
      </c>
      <c r="BQ1811">
        <v>100</v>
      </c>
      <c r="BR1811" t="s">
        <v>514</v>
      </c>
      <c r="BS1811">
        <v>1001</v>
      </c>
      <c r="BT1811" t="s">
        <v>515</v>
      </c>
      <c r="BW1811">
        <v>29075</v>
      </c>
      <c r="BX1811" t="s">
        <v>407</v>
      </c>
      <c r="BY1811" t="s">
        <v>2729</v>
      </c>
      <c r="BZ1811">
        <v>4</v>
      </c>
      <c r="CA1811">
        <v>1994</v>
      </c>
      <c r="CB1811">
        <v>2</v>
      </c>
      <c r="CC1811">
        <v>1</v>
      </c>
      <c r="CD1811">
        <v>2017</v>
      </c>
      <c r="CG1811">
        <v>123543</v>
      </c>
      <c r="CH1811">
        <v>2017</v>
      </c>
      <c r="CI1811">
        <v>60000</v>
      </c>
      <c r="CJ1811">
        <v>94356</v>
      </c>
      <c r="CK1811">
        <v>154356</v>
      </c>
      <c r="CL1811">
        <v>2017</v>
      </c>
      <c r="CM1811">
        <v>1278.29</v>
      </c>
      <c r="CN1811" s="1">
        <v>33032</v>
      </c>
      <c r="CO1811">
        <v>15000</v>
      </c>
      <c r="CZ1811" s="1">
        <v>33032</v>
      </c>
      <c r="DD1811" t="s">
        <v>2387</v>
      </c>
      <c r="DF1811">
        <v>56</v>
      </c>
      <c r="DG1811">
        <v>43</v>
      </c>
      <c r="DJ1811" t="s">
        <v>17763</v>
      </c>
      <c r="DL1811">
        <v>50303</v>
      </c>
      <c r="DM1811" t="s">
        <v>17717</v>
      </c>
      <c r="DO1811" t="s">
        <v>17851</v>
      </c>
      <c r="DP1811">
        <v>0</v>
      </c>
      <c r="DQ1811">
        <v>0</v>
      </c>
      <c r="DR1811" t="s">
        <v>411</v>
      </c>
    </row>
    <row r="1812" spans="1:272" x14ac:dyDescent="0.25">
      <c r="A1812">
        <v>16486819</v>
      </c>
      <c r="B1812">
        <v>1811</v>
      </c>
      <c r="C1812" t="s">
        <v>393</v>
      </c>
      <c r="D1812" t="s">
        <v>394</v>
      </c>
      <c r="F1812" t="str">
        <f>"43-3N-28-509D-0067-0000"</f>
        <v>43-3N-28-509D-0067-0000</v>
      </c>
      <c r="H1812" t="str">
        <f>"BERRYHILL ALMA F EST &amp; HUGH D &amp; BONNIE B ARNOLD"</f>
        <v>BERRYHILL ALMA F EST &amp; HUGH D &amp; BONNIE B ARNOLD</v>
      </c>
      <c r="I1812" t="str">
        <f>"P O BOX 524"</f>
        <v>P O BOX 524</v>
      </c>
      <c r="J1812" t="str">
        <f>"NAHUNTA GA 31553"</f>
        <v>NAHUNTA GA 31553</v>
      </c>
      <c r="K1812" t="str">
        <f>"97376 PIRATES WAY"</f>
        <v>97376 PIRATES WAY</v>
      </c>
      <c r="L1812" t="str">
        <f t="shared" si="669"/>
        <v>YULEE FL 32097</v>
      </c>
      <c r="M1812" t="str">
        <f>"LOT 67 IN OR 299 PG 358 PIRATES WOOD 4 UNR 1/2 HX INT"</f>
        <v>LOT 67 IN OR 299 PG 358 PIRATES WOOD 4 UNR 1/2 HX INT</v>
      </c>
      <c r="N1812" t="str">
        <f>""</f>
        <v/>
      </c>
      <c r="O1812" t="str">
        <f>"50659"</f>
        <v>50659</v>
      </c>
      <c r="P1812" t="str">
        <f t="shared" si="671"/>
        <v>2017</v>
      </c>
      <c r="Q1812" t="str">
        <f>""</f>
        <v/>
      </c>
      <c r="R1812" t="str">
        <f>"N"</f>
        <v>N</v>
      </c>
      <c r="S1812" t="str">
        <f>""</f>
        <v/>
      </c>
      <c r="T1812" t="str">
        <f>"1949.54"</f>
        <v>1949.54</v>
      </c>
      <c r="U1812" t="str">
        <f>"128778.00"</f>
        <v>128778.00</v>
      </c>
      <c r="V1812" t="str">
        <f>"128778.00"</f>
        <v>128778.00</v>
      </c>
      <c r="W1812" t="str">
        <f t="shared" si="672"/>
        <v>2017</v>
      </c>
      <c r="X1812" t="str">
        <f>"15.50"</f>
        <v>15.50</v>
      </c>
      <c r="Y1812" t="str">
        <f>"2040.03"</f>
        <v>2040.03</v>
      </c>
      <c r="Z1812" t="str">
        <f>""</f>
        <v/>
      </c>
      <c r="AA1812" t="str">
        <f>"128778.00"</f>
        <v>128778.00</v>
      </c>
      <c r="AB1812" t="str">
        <f t="shared" si="673"/>
        <v>Residential</v>
      </c>
      <c r="AC1812" t="str">
        <f t="shared" si="643"/>
        <v>0</v>
      </c>
      <c r="AD1812" t="str">
        <f t="shared" si="678"/>
        <v>4</v>
      </c>
      <c r="AE1812" t="str">
        <f t="shared" si="679"/>
        <v>WOOD (INCLUDE STEEL STUDS)</v>
      </c>
      <c r="AF1812" t="str">
        <f t="shared" si="680"/>
        <v>001</v>
      </c>
      <c r="AG1812" t="str">
        <f>"GA"</f>
        <v>GA</v>
      </c>
      <c r="AH1812" t="str">
        <f t="shared" si="674"/>
        <v>-</v>
      </c>
      <c r="AI1812" t="str">
        <f>"60000.00"</f>
        <v>60000.00</v>
      </c>
      <c r="AJ1812" t="str">
        <f>"C55-000-588-3928-3"</f>
        <v>C55-000-588-3928-3</v>
      </c>
      <c r="AK1812" t="str">
        <f>"32424"</f>
        <v>32424</v>
      </c>
      <c r="AL1812">
        <v>7</v>
      </c>
      <c r="AM1812">
        <v>2063</v>
      </c>
      <c r="AN1812">
        <v>2140.4299999999998</v>
      </c>
      <c r="AQ1812" t="s">
        <v>17852</v>
      </c>
      <c r="AR1812" t="s">
        <v>17852</v>
      </c>
      <c r="AS1812" t="s">
        <v>17852</v>
      </c>
      <c r="AU1812" t="s">
        <v>396</v>
      </c>
      <c r="AV1812">
        <v>2017</v>
      </c>
      <c r="AW1812" t="str">
        <f>"43-3N-28-509D-0067-0000 "</f>
        <v xml:space="preserve">43-3N-28-509D-0067-0000 </v>
      </c>
      <c r="AX1812">
        <v>97376</v>
      </c>
      <c r="AZ1812" t="s">
        <v>17848</v>
      </c>
      <c r="BA1812" t="s">
        <v>866</v>
      </c>
      <c r="BD1812" t="s">
        <v>2387</v>
      </c>
      <c r="BE1812" t="s">
        <v>393</v>
      </c>
      <c r="BF1812">
        <v>32097</v>
      </c>
      <c r="BG1812" t="s">
        <v>17853</v>
      </c>
      <c r="BH1812" t="s">
        <v>2388</v>
      </c>
      <c r="BI1812">
        <v>-81.525213861675098</v>
      </c>
      <c r="BJ1812">
        <v>30.671467079515299</v>
      </c>
      <c r="BK1812" t="s">
        <v>17854</v>
      </c>
      <c r="BM1812" t="s">
        <v>17855</v>
      </c>
      <c r="BN1812" t="s">
        <v>14669</v>
      </c>
      <c r="BO1812">
        <v>31553</v>
      </c>
      <c r="BP1812" t="s">
        <v>404</v>
      </c>
      <c r="BQ1812">
        <v>100</v>
      </c>
      <c r="BR1812" t="s">
        <v>514</v>
      </c>
      <c r="BS1812">
        <v>1001</v>
      </c>
      <c r="BT1812" t="s">
        <v>515</v>
      </c>
      <c r="BW1812">
        <v>27843</v>
      </c>
      <c r="BX1812" t="s">
        <v>407</v>
      </c>
      <c r="BY1812" t="s">
        <v>2729</v>
      </c>
      <c r="BZ1812">
        <v>4</v>
      </c>
      <c r="CA1812">
        <v>1976</v>
      </c>
      <c r="CB1812">
        <v>2</v>
      </c>
      <c r="CC1812">
        <v>1</v>
      </c>
      <c r="CD1812">
        <v>2017</v>
      </c>
      <c r="CE1812">
        <v>60000</v>
      </c>
      <c r="CF1812">
        <v>68778</v>
      </c>
      <c r="CG1812">
        <v>128778</v>
      </c>
      <c r="CH1812">
        <v>2017</v>
      </c>
      <c r="CI1812">
        <v>60000</v>
      </c>
      <c r="CJ1812">
        <v>68778</v>
      </c>
      <c r="CK1812">
        <v>128778</v>
      </c>
      <c r="CL1812">
        <v>2017</v>
      </c>
      <c r="CM1812">
        <v>1949.54</v>
      </c>
      <c r="CN1812" s="1">
        <v>29099</v>
      </c>
      <c r="CO1812">
        <v>56800</v>
      </c>
      <c r="CZ1812" s="1">
        <v>29099</v>
      </c>
      <c r="DD1812" t="s">
        <v>2387</v>
      </c>
      <c r="DF1812">
        <v>67</v>
      </c>
      <c r="DG1812">
        <v>43</v>
      </c>
      <c r="DJ1812" t="s">
        <v>17763</v>
      </c>
      <c r="DL1812">
        <v>50303</v>
      </c>
      <c r="DM1812" t="s">
        <v>17717</v>
      </c>
      <c r="DO1812" t="s">
        <v>17856</v>
      </c>
      <c r="DP1812">
        <v>0</v>
      </c>
      <c r="DQ1812">
        <v>0</v>
      </c>
      <c r="DR1812" t="s">
        <v>411</v>
      </c>
      <c r="DS1812" t="b">
        <v>1</v>
      </c>
      <c r="DT1812" t="s">
        <v>470</v>
      </c>
      <c r="DU1812" t="s">
        <v>10249</v>
      </c>
      <c r="DV1812" t="s">
        <v>472</v>
      </c>
      <c r="DX1812">
        <v>-9999</v>
      </c>
      <c r="DZ1812" t="s">
        <v>447</v>
      </c>
      <c r="EA1812" t="s">
        <v>448</v>
      </c>
      <c r="EB1812" t="s">
        <v>17790</v>
      </c>
      <c r="EC1812">
        <v>20101217</v>
      </c>
      <c r="ED1812" t="s">
        <v>10251</v>
      </c>
      <c r="EE1812">
        <v>5</v>
      </c>
      <c r="EF1812">
        <v>27.2</v>
      </c>
      <c r="EG1812">
        <v>0</v>
      </c>
      <c r="EI1812">
        <v>20160407</v>
      </c>
      <c r="EJ1812">
        <v>0</v>
      </c>
      <c r="EK1812">
        <v>0</v>
      </c>
      <c r="EP1812" t="s">
        <v>421</v>
      </c>
      <c r="EQ1812" t="s">
        <v>422</v>
      </c>
      <c r="ER1812">
        <v>2</v>
      </c>
      <c r="ES1812">
        <v>3</v>
      </c>
      <c r="ET1812">
        <v>4339.32</v>
      </c>
      <c r="EU1812">
        <v>229.47</v>
      </c>
      <c r="EV1812">
        <v>4568.79</v>
      </c>
      <c r="EW1812" s="2">
        <v>43222</v>
      </c>
      <c r="EX1812" s="1">
        <v>42879</v>
      </c>
      <c r="EY1812">
        <v>2016</v>
      </c>
      <c r="EZ1812">
        <v>2169.66</v>
      </c>
      <c r="FA1812" t="s">
        <v>17857</v>
      </c>
      <c r="FB1812">
        <v>0.25</v>
      </c>
      <c r="FC1812" t="s">
        <v>424</v>
      </c>
      <c r="FD1812" t="s">
        <v>454</v>
      </c>
      <c r="FF1812">
        <v>12</v>
      </c>
      <c r="FG1812">
        <v>5856194</v>
      </c>
      <c r="FH1812" t="s">
        <v>2685</v>
      </c>
      <c r="FJ1812" s="1">
        <v>42879</v>
      </c>
      <c r="FK1812">
        <v>2016</v>
      </c>
      <c r="FL1812">
        <v>2169.66</v>
      </c>
      <c r="FM1812" t="s">
        <v>17857</v>
      </c>
      <c r="FN1812">
        <v>0.25</v>
      </c>
      <c r="FO1812" t="s">
        <v>424</v>
      </c>
      <c r="FP1812" t="s">
        <v>454</v>
      </c>
      <c r="FR1812">
        <v>12</v>
      </c>
      <c r="FS1812">
        <v>5877928</v>
      </c>
      <c r="FT1812" t="s">
        <v>17858</v>
      </c>
      <c r="FV1812" s="1">
        <v>42515</v>
      </c>
      <c r="FW1812">
        <v>2015</v>
      </c>
      <c r="FX1812">
        <v>2221.52</v>
      </c>
      <c r="FY1812" t="s">
        <v>17859</v>
      </c>
      <c r="FZ1812">
        <v>0.25</v>
      </c>
      <c r="GA1812" t="s">
        <v>424</v>
      </c>
      <c r="GB1812" t="s">
        <v>425</v>
      </c>
      <c r="GC1812" s="1">
        <v>43140</v>
      </c>
      <c r="GD1812">
        <v>21</v>
      </c>
      <c r="GE1812">
        <v>5894185</v>
      </c>
      <c r="GF1812" t="s">
        <v>7135</v>
      </c>
      <c r="GH1812" s="1">
        <v>42515</v>
      </c>
      <c r="GI1812">
        <v>2015</v>
      </c>
      <c r="GJ1812">
        <v>2221.52</v>
      </c>
      <c r="GK1812" t="s">
        <v>17859</v>
      </c>
      <c r="GL1812">
        <v>0.25</v>
      </c>
      <c r="GM1812" t="s">
        <v>424</v>
      </c>
      <c r="GN1812" t="s">
        <v>425</v>
      </c>
      <c r="GP1812">
        <v>22</v>
      </c>
      <c r="GQ1812">
        <v>6128460</v>
      </c>
      <c r="GR1812" t="s">
        <v>17860</v>
      </c>
      <c r="GT1812" s="1">
        <v>41787</v>
      </c>
      <c r="GU1812">
        <v>2013</v>
      </c>
      <c r="GV1812">
        <v>1939.47</v>
      </c>
      <c r="GW1812" t="s">
        <v>17861</v>
      </c>
      <c r="GX1812">
        <v>0.25</v>
      </c>
      <c r="GY1812" t="s">
        <v>424</v>
      </c>
      <c r="GZ1812" t="s">
        <v>425</v>
      </c>
      <c r="HA1812" s="1">
        <v>42090</v>
      </c>
      <c r="HB1812">
        <v>10</v>
      </c>
      <c r="HC1812">
        <v>2101382</v>
      </c>
      <c r="HD1812" t="s">
        <v>993</v>
      </c>
    </row>
    <row r="1813" spans="1:272" x14ac:dyDescent="0.25">
      <c r="A1813">
        <v>16486820</v>
      </c>
      <c r="B1813">
        <v>1812</v>
      </c>
      <c r="C1813" t="s">
        <v>393</v>
      </c>
      <c r="D1813" t="s">
        <v>394</v>
      </c>
      <c r="F1813" t="str">
        <f>"43-3N-28-509D-0068-0000"</f>
        <v>43-3N-28-509D-0068-0000</v>
      </c>
      <c r="H1813" t="str">
        <f>"POTEAT SHIRLEY A"</f>
        <v>POTEAT SHIRLEY A</v>
      </c>
      <c r="I1813" t="str">
        <f>"97358 PIRATES WAY"</f>
        <v>97358 PIRATES WAY</v>
      </c>
      <c r="J1813" t="str">
        <f>"YULEE FL 32097"</f>
        <v>YULEE FL 32097</v>
      </c>
      <c r="K1813" t="str">
        <f>"97358 PIRATES WAY"</f>
        <v>97358 PIRATES WAY</v>
      </c>
      <c r="L1813" t="str">
        <f t="shared" si="669"/>
        <v>YULEE FL 32097</v>
      </c>
      <c r="M1813" t="str">
        <f>"LOT 68 &amp; E1/2 OF LOT 69 IN OR 802/408 FPL ESMT IN OR 966/425 PIRATES WOOD 4 UNR"</f>
        <v>LOT 68 &amp; E1/2 OF LOT 69 IN OR 802/408 FPL ESMT IN OR 966/425 PIRATES WOOD 4 UNR</v>
      </c>
      <c r="N1813" t="str">
        <f>""</f>
        <v/>
      </c>
      <c r="O1813" t="str">
        <f>"50660"</f>
        <v>50660</v>
      </c>
      <c r="P1813" t="str">
        <f t="shared" si="671"/>
        <v>2017</v>
      </c>
      <c r="Q1813" t="str">
        <f>""</f>
        <v/>
      </c>
      <c r="R1813" t="str">
        <f>"Y"</f>
        <v>Y</v>
      </c>
      <c r="S1813" t="str">
        <f>""</f>
        <v/>
      </c>
      <c r="T1813" t="str">
        <f>"2694.60"</f>
        <v>2694.60</v>
      </c>
      <c r="U1813" t="str">
        <f>"217097.00"</f>
        <v>217097.00</v>
      </c>
      <c r="V1813" t="str">
        <f>"217097.00"</f>
        <v>217097.00</v>
      </c>
      <c r="W1813" t="str">
        <f t="shared" si="672"/>
        <v>2017</v>
      </c>
      <c r="X1813" t="str">
        <f>""</f>
        <v/>
      </c>
      <c r="Y1813" t="str">
        <f>"2807.44"</f>
        <v>2807.44</v>
      </c>
      <c r="Z1813" t="str">
        <f>"25000.00"</f>
        <v>25000.00</v>
      </c>
      <c r="AA1813" t="str">
        <f>"192097.00"</f>
        <v>192097.00</v>
      </c>
      <c r="AB1813" t="str">
        <f t="shared" si="673"/>
        <v>Residential</v>
      </c>
      <c r="AC1813" t="str">
        <f t="shared" si="643"/>
        <v>0</v>
      </c>
      <c r="AD1813" t="str">
        <f t="shared" si="678"/>
        <v>4</v>
      </c>
      <c r="AE1813" t="str">
        <f t="shared" si="679"/>
        <v>WOOD (INCLUDE STEEL STUDS)</v>
      </c>
      <c r="AF1813" t="str">
        <f t="shared" si="680"/>
        <v>001</v>
      </c>
      <c r="AG1813" t="str">
        <f t="shared" ref="AG1813:AG1820" si="681">"FL"</f>
        <v>FL</v>
      </c>
      <c r="AH1813" t="str">
        <f t="shared" si="674"/>
        <v>-</v>
      </c>
      <c r="AI1813" t="str">
        <f>"90000.00"</f>
        <v>90000.00</v>
      </c>
      <c r="AJ1813" t="str">
        <f>"C55-000-588-3929-1"</f>
        <v>C55-000-588-3929-1</v>
      </c>
      <c r="AK1813" t="str">
        <f>"32425"</f>
        <v>32425</v>
      </c>
      <c r="AL1813">
        <v>7</v>
      </c>
      <c r="AM1813">
        <v>2064</v>
      </c>
      <c r="AN1813">
        <v>2946.21</v>
      </c>
      <c r="AQ1813" t="s">
        <v>17862</v>
      </c>
      <c r="AR1813" t="s">
        <v>17862</v>
      </c>
      <c r="AS1813" t="s">
        <v>17862</v>
      </c>
      <c r="AU1813" t="s">
        <v>396</v>
      </c>
      <c r="AV1813">
        <v>2017</v>
      </c>
      <c r="AW1813" t="str">
        <f>"43-3N-28-509D-0068-0000 "</f>
        <v xml:space="preserve">43-3N-28-509D-0068-0000 </v>
      </c>
      <c r="AX1813">
        <v>97358</v>
      </c>
      <c r="AZ1813" t="s">
        <v>17848</v>
      </c>
      <c r="BA1813" t="s">
        <v>866</v>
      </c>
      <c r="BD1813" t="s">
        <v>2387</v>
      </c>
      <c r="BE1813" t="s">
        <v>393</v>
      </c>
      <c r="BF1813">
        <v>32097</v>
      </c>
      <c r="BG1813" t="s">
        <v>17863</v>
      </c>
      <c r="BH1813" t="s">
        <v>2388</v>
      </c>
      <c r="BI1813">
        <v>-81.525552410252999</v>
      </c>
      <c r="BJ1813">
        <v>30.671528854936</v>
      </c>
      <c r="BK1813" t="s">
        <v>17864</v>
      </c>
      <c r="BM1813" t="s">
        <v>17863</v>
      </c>
      <c r="BN1813" t="s">
        <v>1778</v>
      </c>
      <c r="BO1813">
        <v>32097</v>
      </c>
      <c r="BP1813" t="s">
        <v>416</v>
      </c>
      <c r="BQ1813">
        <v>100</v>
      </c>
      <c r="BR1813" t="s">
        <v>514</v>
      </c>
      <c r="BS1813">
        <v>1001</v>
      </c>
      <c r="BT1813" t="s">
        <v>515</v>
      </c>
      <c r="BW1813">
        <v>41223</v>
      </c>
      <c r="BX1813" t="s">
        <v>407</v>
      </c>
      <c r="BY1813" t="s">
        <v>2729</v>
      </c>
      <c r="BZ1813">
        <v>4</v>
      </c>
      <c r="CA1813">
        <v>2001</v>
      </c>
      <c r="CB1813">
        <v>1</v>
      </c>
      <c r="CC1813">
        <v>1</v>
      </c>
      <c r="CD1813">
        <v>2017</v>
      </c>
      <c r="CG1813">
        <v>217097</v>
      </c>
      <c r="CH1813">
        <v>2017</v>
      </c>
      <c r="CI1813">
        <v>90000</v>
      </c>
      <c r="CJ1813">
        <v>131696</v>
      </c>
      <c r="CK1813">
        <v>221696</v>
      </c>
      <c r="CL1813">
        <v>2017</v>
      </c>
      <c r="CM1813">
        <v>2694.6</v>
      </c>
      <c r="CN1813" s="1">
        <v>35648</v>
      </c>
      <c r="CO1813">
        <v>46500</v>
      </c>
      <c r="CZ1813" s="1">
        <v>35648</v>
      </c>
      <c r="DD1813" t="s">
        <v>2387</v>
      </c>
      <c r="DF1813">
        <v>68</v>
      </c>
      <c r="DG1813">
        <v>43</v>
      </c>
      <c r="DL1813">
        <v>50303</v>
      </c>
      <c r="DM1813" t="s">
        <v>17717</v>
      </c>
      <c r="DO1813" t="s">
        <v>17865</v>
      </c>
      <c r="DP1813">
        <v>0</v>
      </c>
      <c r="DQ1813">
        <v>0</v>
      </c>
      <c r="DR1813" t="s">
        <v>411</v>
      </c>
    </row>
    <row r="1814" spans="1:272" x14ac:dyDescent="0.25">
      <c r="A1814">
        <v>16486821</v>
      </c>
      <c r="B1814">
        <v>1813</v>
      </c>
      <c r="C1814" t="s">
        <v>393</v>
      </c>
      <c r="D1814" t="s">
        <v>394</v>
      </c>
      <c r="F1814" t="str">
        <f>"43-3N-28-509E-0009-0000"</f>
        <v>43-3N-28-509E-0009-0000</v>
      </c>
      <c r="H1814" t="str">
        <f>"CARTWRIGHT JAMES E &amp; LINDA K"</f>
        <v>CARTWRIGHT JAMES E &amp; LINDA K</v>
      </c>
      <c r="I1814" t="str">
        <f>"97253 CARAVEL TRAIL"</f>
        <v>97253 CARAVEL TRAIL</v>
      </c>
      <c r="J1814" t="str">
        <f>"YULEE FL 32097"</f>
        <v>YULEE FL 32097</v>
      </c>
      <c r="K1814" t="str">
        <f>"97253 CARAVEL TRL"</f>
        <v>97253 CARAVEL TRL</v>
      </c>
      <c r="L1814" t="str">
        <f t="shared" si="669"/>
        <v>YULEE FL 32097</v>
      </c>
      <c r="M1814" t="str">
        <f>"LOT 9 OR 347/509 &amp; 348/457 PIRATES WOOD 5 UNR"</f>
        <v>LOT 9 OR 347/509 &amp; 348/457 PIRATES WOOD 5 UNR</v>
      </c>
      <c r="N1814" t="str">
        <f>""</f>
        <v/>
      </c>
      <c r="O1814" t="str">
        <f>"50678"</f>
        <v>50678</v>
      </c>
      <c r="P1814" t="str">
        <f t="shared" si="671"/>
        <v>2017</v>
      </c>
      <c r="Q1814" t="str">
        <f>""</f>
        <v/>
      </c>
      <c r="R1814" t="str">
        <f>"Y"</f>
        <v>Y</v>
      </c>
      <c r="S1814" t="str">
        <f>""</f>
        <v/>
      </c>
      <c r="T1814" t="str">
        <f>"676.33"</f>
        <v>676.33</v>
      </c>
      <c r="U1814" t="str">
        <f>"83780.00"</f>
        <v>83780.00</v>
      </c>
      <c r="V1814" t="str">
        <f>"83780.00"</f>
        <v>83780.00</v>
      </c>
      <c r="W1814" t="str">
        <f t="shared" si="672"/>
        <v>2017</v>
      </c>
      <c r="X1814" t="str">
        <f>"14.00"</f>
        <v>14.00</v>
      </c>
      <c r="Y1814" t="str">
        <f>"728.62"</f>
        <v>728.62</v>
      </c>
      <c r="Z1814" t="str">
        <f>"25000.00"</f>
        <v>25000.00</v>
      </c>
      <c r="AA1814" t="str">
        <f>"58780.00"</f>
        <v>58780.00</v>
      </c>
      <c r="AB1814" t="str">
        <f t="shared" si="673"/>
        <v>Residential</v>
      </c>
      <c r="AC1814" t="str">
        <f t="shared" si="643"/>
        <v>0</v>
      </c>
      <c r="AD1814" t="str">
        <f t="shared" si="678"/>
        <v>4</v>
      </c>
      <c r="AE1814" t="str">
        <f t="shared" si="679"/>
        <v>WOOD (INCLUDE STEEL STUDS)</v>
      </c>
      <c r="AF1814" t="str">
        <f t="shared" si="680"/>
        <v>001</v>
      </c>
      <c r="AG1814" t="str">
        <f t="shared" si="681"/>
        <v>FL</v>
      </c>
      <c r="AH1814" t="str">
        <f t="shared" si="674"/>
        <v>-</v>
      </c>
      <c r="AI1814" t="str">
        <f>"28000.00"</f>
        <v>28000.00</v>
      </c>
      <c r="AJ1814" t="str">
        <f>"C55-000-588-3945-7"</f>
        <v>C55-000-588-3945-7</v>
      </c>
      <c r="AK1814" t="str">
        <f>"32439"</f>
        <v>32439</v>
      </c>
      <c r="AL1814">
        <v>7</v>
      </c>
      <c r="AM1814">
        <v>2065</v>
      </c>
      <c r="AN1814">
        <v>763.45</v>
      </c>
      <c r="AQ1814" t="s">
        <v>17866</v>
      </c>
      <c r="AR1814" t="s">
        <v>17866</v>
      </c>
      <c r="AS1814" t="s">
        <v>17866</v>
      </c>
      <c r="AU1814" t="s">
        <v>396</v>
      </c>
      <c r="AV1814">
        <v>2017</v>
      </c>
      <c r="AW1814" t="str">
        <f>"43-3N-28-509E-0009-0000 "</f>
        <v xml:space="preserve">43-3N-28-509E-0009-0000 </v>
      </c>
      <c r="AX1814">
        <v>97253</v>
      </c>
      <c r="AZ1814" t="s">
        <v>17867</v>
      </c>
      <c r="BA1814" t="s">
        <v>2497</v>
      </c>
      <c r="BD1814" t="s">
        <v>2387</v>
      </c>
      <c r="BE1814" t="s">
        <v>393</v>
      </c>
      <c r="BF1814">
        <v>32097</v>
      </c>
      <c r="BG1814" t="s">
        <v>17868</v>
      </c>
      <c r="BH1814" t="s">
        <v>2388</v>
      </c>
      <c r="BI1814">
        <v>-81.530505739402599</v>
      </c>
      <c r="BJ1814">
        <v>30.6760453705058</v>
      </c>
      <c r="BK1814" t="s">
        <v>17869</v>
      </c>
      <c r="BL1814" t="s">
        <v>17870</v>
      </c>
      <c r="BM1814" t="s">
        <v>17868</v>
      </c>
      <c r="BN1814" t="s">
        <v>1778</v>
      </c>
      <c r="BO1814">
        <v>32097</v>
      </c>
      <c r="BP1814" t="s">
        <v>416</v>
      </c>
      <c r="BQ1814">
        <v>100</v>
      </c>
      <c r="BR1814" t="s">
        <v>514</v>
      </c>
      <c r="BS1814">
        <v>1001</v>
      </c>
      <c r="BT1814" t="s">
        <v>515</v>
      </c>
      <c r="BW1814">
        <v>26962</v>
      </c>
      <c r="BX1814" t="s">
        <v>407</v>
      </c>
      <c r="BY1814" t="s">
        <v>2729</v>
      </c>
      <c r="BZ1814">
        <v>4</v>
      </c>
      <c r="CA1814">
        <v>1972</v>
      </c>
      <c r="CB1814">
        <v>1</v>
      </c>
      <c r="CC1814">
        <v>1</v>
      </c>
      <c r="CD1814">
        <v>2017</v>
      </c>
      <c r="CG1814">
        <v>83780</v>
      </c>
      <c r="CH1814">
        <v>2017</v>
      </c>
      <c r="CI1814">
        <v>28000</v>
      </c>
      <c r="CJ1814">
        <v>80258</v>
      </c>
      <c r="CK1814">
        <v>108258</v>
      </c>
      <c r="CL1814">
        <v>2017</v>
      </c>
      <c r="CM1814">
        <v>676.33</v>
      </c>
      <c r="CN1814" s="1">
        <v>29891</v>
      </c>
      <c r="CZ1814" s="1">
        <v>29891</v>
      </c>
      <c r="DD1814" t="s">
        <v>2387</v>
      </c>
      <c r="DF1814">
        <v>9</v>
      </c>
      <c r="DG1814">
        <v>43</v>
      </c>
      <c r="DJ1814" t="s">
        <v>17763</v>
      </c>
      <c r="DL1814">
        <v>50303</v>
      </c>
      <c r="DM1814" t="s">
        <v>17717</v>
      </c>
      <c r="DO1814" t="s">
        <v>17871</v>
      </c>
      <c r="DP1814">
        <v>0</v>
      </c>
      <c r="DQ1814">
        <v>0</v>
      </c>
      <c r="DR1814" t="s">
        <v>411</v>
      </c>
      <c r="DS1814" t="b">
        <v>1</v>
      </c>
      <c r="DT1814" t="s">
        <v>470</v>
      </c>
      <c r="DU1814" t="s">
        <v>471</v>
      </c>
      <c r="DV1814" t="s">
        <v>472</v>
      </c>
      <c r="DX1814">
        <v>-9999</v>
      </c>
      <c r="DZ1814" t="s">
        <v>447</v>
      </c>
      <c r="EA1814" t="s">
        <v>448</v>
      </c>
      <c r="EB1814" t="s">
        <v>742</v>
      </c>
      <c r="EC1814">
        <v>20101217</v>
      </c>
      <c r="ED1814" t="s">
        <v>474</v>
      </c>
      <c r="EF1814">
        <v>1155.7</v>
      </c>
      <c r="EG1814">
        <v>219.9</v>
      </c>
      <c r="EH1814" t="s">
        <v>451</v>
      </c>
      <c r="EI1814">
        <v>20140731</v>
      </c>
      <c r="EJ1814">
        <v>0</v>
      </c>
      <c r="EK1814">
        <v>0</v>
      </c>
      <c r="EP1814" t="s">
        <v>421</v>
      </c>
      <c r="EQ1814" t="s">
        <v>422</v>
      </c>
      <c r="ER1814">
        <v>2</v>
      </c>
      <c r="ES1814">
        <v>7</v>
      </c>
      <c r="ET1814">
        <v>1485.84</v>
      </c>
      <c r="EU1814">
        <v>86.79</v>
      </c>
      <c r="EV1814">
        <v>1572.63</v>
      </c>
      <c r="EW1814" s="2">
        <v>43222</v>
      </c>
      <c r="EX1814" s="1">
        <v>42879</v>
      </c>
      <c r="EY1814">
        <v>2016</v>
      </c>
      <c r="EZ1814">
        <v>742.92</v>
      </c>
      <c r="FA1814" t="s">
        <v>17872</v>
      </c>
      <c r="FB1814">
        <v>0.25</v>
      </c>
      <c r="FC1814" t="s">
        <v>424</v>
      </c>
      <c r="FD1814" t="s">
        <v>454</v>
      </c>
      <c r="FF1814">
        <v>12</v>
      </c>
      <c r="FG1814">
        <v>7336671</v>
      </c>
      <c r="FH1814" t="s">
        <v>437</v>
      </c>
      <c r="FJ1814" s="1">
        <v>42879</v>
      </c>
      <c r="FK1814">
        <v>2016</v>
      </c>
      <c r="FL1814">
        <v>742.92</v>
      </c>
      <c r="FM1814" t="s">
        <v>17872</v>
      </c>
      <c r="FN1814">
        <v>0.25</v>
      </c>
      <c r="FO1814" t="s">
        <v>424</v>
      </c>
      <c r="FP1814" t="s">
        <v>454</v>
      </c>
      <c r="FR1814">
        <v>12</v>
      </c>
      <c r="FS1814">
        <v>6743202</v>
      </c>
      <c r="FT1814" t="s">
        <v>17873</v>
      </c>
      <c r="FV1814" s="1">
        <v>42151</v>
      </c>
      <c r="FW1814">
        <v>2014</v>
      </c>
      <c r="FX1814">
        <v>744.19</v>
      </c>
      <c r="FY1814" t="s">
        <v>17874</v>
      </c>
      <c r="FZ1814">
        <v>0.25</v>
      </c>
      <c r="GA1814" t="s">
        <v>424</v>
      </c>
      <c r="GB1814" t="s">
        <v>425</v>
      </c>
      <c r="GD1814">
        <v>22</v>
      </c>
      <c r="GE1814">
        <v>15259</v>
      </c>
      <c r="GF1814" t="s">
        <v>891</v>
      </c>
      <c r="GH1814" s="1">
        <v>42151</v>
      </c>
      <c r="GI1814">
        <v>2014</v>
      </c>
      <c r="GJ1814">
        <v>744.19</v>
      </c>
      <c r="GK1814" t="s">
        <v>17874</v>
      </c>
      <c r="GL1814">
        <v>0.25</v>
      </c>
      <c r="GM1814" t="s">
        <v>424</v>
      </c>
      <c r="GN1814" t="s">
        <v>425</v>
      </c>
      <c r="GP1814">
        <v>22</v>
      </c>
      <c r="GQ1814">
        <v>6972514</v>
      </c>
      <c r="GR1814" t="s">
        <v>17875</v>
      </c>
      <c r="GT1814" s="1">
        <v>42151</v>
      </c>
      <c r="GU1814">
        <v>2014</v>
      </c>
      <c r="GV1814">
        <v>744.19</v>
      </c>
      <c r="GW1814" t="s">
        <v>17874</v>
      </c>
      <c r="GX1814">
        <v>0.25</v>
      </c>
      <c r="GY1814" t="s">
        <v>424</v>
      </c>
      <c r="GZ1814" t="s">
        <v>425</v>
      </c>
      <c r="HA1814" s="1">
        <v>42412</v>
      </c>
      <c r="HB1814">
        <v>9</v>
      </c>
      <c r="HC1814">
        <v>7045049</v>
      </c>
      <c r="HD1814" t="s">
        <v>1335</v>
      </c>
      <c r="HF1814" s="1">
        <v>41787</v>
      </c>
      <c r="HG1814">
        <v>2013</v>
      </c>
      <c r="HH1814">
        <v>617.66999999999996</v>
      </c>
      <c r="HI1814" t="s">
        <v>17876</v>
      </c>
      <c r="HJ1814">
        <v>0.25</v>
      </c>
      <c r="HK1814" t="s">
        <v>424</v>
      </c>
      <c r="HL1814" t="s">
        <v>425</v>
      </c>
      <c r="HM1814" s="1">
        <v>41816</v>
      </c>
      <c r="HN1814">
        <v>1</v>
      </c>
      <c r="HO1814">
        <v>15259</v>
      </c>
      <c r="HP1814" t="s">
        <v>891</v>
      </c>
      <c r="HR1814" s="1">
        <v>41052</v>
      </c>
      <c r="HS1814">
        <v>2011</v>
      </c>
      <c r="HT1814">
        <v>605.20000000000005</v>
      </c>
      <c r="HU1814" t="s">
        <v>17877</v>
      </c>
      <c r="HV1814">
        <v>0.25</v>
      </c>
      <c r="HW1814" t="s">
        <v>424</v>
      </c>
      <c r="HX1814" t="s">
        <v>425</v>
      </c>
      <c r="HY1814" s="1">
        <v>41393</v>
      </c>
      <c r="HZ1814">
        <v>11</v>
      </c>
      <c r="IA1814">
        <v>13104</v>
      </c>
      <c r="IB1814" t="s">
        <v>888</v>
      </c>
      <c r="ID1814" s="1">
        <v>41052</v>
      </c>
      <c r="IE1814">
        <v>2011</v>
      </c>
      <c r="IF1814">
        <v>605.20000000000005</v>
      </c>
      <c r="IG1814" t="s">
        <v>17877</v>
      </c>
      <c r="IH1814">
        <v>0.25</v>
      </c>
      <c r="II1814" t="s">
        <v>424</v>
      </c>
      <c r="IJ1814" t="s">
        <v>425</v>
      </c>
      <c r="IL1814">
        <v>22</v>
      </c>
      <c r="IM1814">
        <v>13686</v>
      </c>
      <c r="IN1814" t="s">
        <v>17878</v>
      </c>
      <c r="IP1814" s="1">
        <v>40688</v>
      </c>
      <c r="IQ1814">
        <v>2010</v>
      </c>
      <c r="IR1814">
        <v>597.67999999999995</v>
      </c>
      <c r="IS1814" t="s">
        <v>17879</v>
      </c>
      <c r="IT1814">
        <v>4.75</v>
      </c>
      <c r="IU1814" t="s">
        <v>424</v>
      </c>
      <c r="IV1814" t="s">
        <v>425</v>
      </c>
      <c r="IW1814" s="1">
        <v>41327</v>
      </c>
      <c r="IX1814">
        <v>21</v>
      </c>
      <c r="IY1814">
        <v>11177</v>
      </c>
      <c r="IZ1814" t="s">
        <v>650</v>
      </c>
    </row>
    <row r="1815" spans="1:272" x14ac:dyDescent="0.25">
      <c r="A1815">
        <v>16486822</v>
      </c>
      <c r="B1815">
        <v>1814</v>
      </c>
      <c r="C1815" t="s">
        <v>393</v>
      </c>
      <c r="D1815" t="s">
        <v>394</v>
      </c>
      <c r="F1815" t="str">
        <f>"43-3N-28-509F-0008-0000"</f>
        <v>43-3N-28-509F-0008-0000</v>
      </c>
      <c r="H1815" t="str">
        <f>"KIDD KELLEY"</f>
        <v>KIDD KELLEY</v>
      </c>
      <c r="I1815" t="str">
        <f>"P O BOX 7"</f>
        <v>P O BOX 7</v>
      </c>
      <c r="J1815" t="str">
        <f>"YULEE FL 32041"</f>
        <v>YULEE FL 32041</v>
      </c>
      <c r="K1815" t="str">
        <f>"97174 CUTLASS WAY"</f>
        <v>97174 CUTLASS WAY</v>
      </c>
      <c r="L1815" t="str">
        <f t="shared" si="669"/>
        <v>YULEE FL 32097</v>
      </c>
      <c r="M1815" t="str">
        <f>"LOT 8 IN OR 913/1627 PIRATES WOOD 6 UNR"</f>
        <v>LOT 8 IN OR 913/1627 PIRATES WOOD 6 UNR</v>
      </c>
      <c r="N1815" t="str">
        <f>""</f>
        <v/>
      </c>
      <c r="O1815" t="str">
        <f>"50696"</f>
        <v>50696</v>
      </c>
      <c r="P1815" t="str">
        <f t="shared" si="671"/>
        <v>2017</v>
      </c>
      <c r="Q1815" t="str">
        <f>""</f>
        <v/>
      </c>
      <c r="R1815" t="str">
        <f>"Y"</f>
        <v>Y</v>
      </c>
      <c r="S1815" t="str">
        <f>""</f>
        <v/>
      </c>
      <c r="T1815" t="str">
        <f>"1712.66"</f>
        <v>1712.66</v>
      </c>
      <c r="U1815" t="str">
        <f>"152235.00"</f>
        <v>152235.00</v>
      </c>
      <c r="V1815" t="str">
        <f>"152235.00"</f>
        <v>152235.00</v>
      </c>
      <c r="W1815" t="str">
        <f t="shared" si="672"/>
        <v>2017</v>
      </c>
      <c r="X1815" t="str">
        <f>""</f>
        <v/>
      </c>
      <c r="Y1815" t="str">
        <f>"1796.04"</f>
        <v>1796.04</v>
      </c>
      <c r="Z1815" t="str">
        <f>"25000.00"</f>
        <v>25000.00</v>
      </c>
      <c r="AA1815" t="str">
        <f>"127235.00"</f>
        <v>127235.00</v>
      </c>
      <c r="AB1815" t="str">
        <f t="shared" si="673"/>
        <v>Residential</v>
      </c>
      <c r="AC1815" t="str">
        <f t="shared" si="643"/>
        <v>0</v>
      </c>
      <c r="AD1815" t="str">
        <f t="shared" si="678"/>
        <v>4</v>
      </c>
      <c r="AE1815" t="str">
        <f t="shared" si="679"/>
        <v>WOOD (INCLUDE STEEL STUDS)</v>
      </c>
      <c r="AF1815" t="str">
        <f t="shared" si="680"/>
        <v>001</v>
      </c>
      <c r="AG1815" t="str">
        <f t="shared" si="681"/>
        <v>FL</v>
      </c>
      <c r="AH1815" t="str">
        <f t="shared" si="674"/>
        <v>-</v>
      </c>
      <c r="AI1815" t="str">
        <f>"28000.00"</f>
        <v>28000.00</v>
      </c>
      <c r="AJ1815" t="str">
        <f>"C55-000-588-3962-2"</f>
        <v>C55-000-588-3962-2</v>
      </c>
      <c r="AK1815" t="str">
        <f>"32455"</f>
        <v>32455</v>
      </c>
      <c r="AL1815">
        <v>7</v>
      </c>
      <c r="AM1815">
        <v>2066</v>
      </c>
      <c r="AN1815">
        <v>1884.24</v>
      </c>
      <c r="AQ1815" t="s">
        <v>17880</v>
      </c>
      <c r="AR1815" t="s">
        <v>17880</v>
      </c>
      <c r="AS1815" t="s">
        <v>17880</v>
      </c>
      <c r="AU1815" t="s">
        <v>396</v>
      </c>
      <c r="AV1815">
        <v>2017</v>
      </c>
      <c r="AW1815" t="str">
        <f>"43-3N-28-509F-0008-0000 "</f>
        <v xml:space="preserve">43-3N-28-509F-0008-0000 </v>
      </c>
      <c r="AX1815">
        <v>97174</v>
      </c>
      <c r="AZ1815" t="s">
        <v>17881</v>
      </c>
      <c r="BA1815" t="s">
        <v>866</v>
      </c>
      <c r="BD1815" t="s">
        <v>2387</v>
      </c>
      <c r="BE1815" t="s">
        <v>393</v>
      </c>
      <c r="BF1815">
        <v>32097</v>
      </c>
      <c r="BG1815" t="s">
        <v>17882</v>
      </c>
      <c r="BH1815" t="s">
        <v>2388</v>
      </c>
      <c r="BI1815">
        <v>-81.527099018044595</v>
      </c>
      <c r="BJ1815">
        <v>30.675186162113601</v>
      </c>
      <c r="BK1815" t="s">
        <v>17883</v>
      </c>
      <c r="BL1815" t="s">
        <v>17884</v>
      </c>
      <c r="BM1815" t="s">
        <v>17885</v>
      </c>
      <c r="BN1815" t="s">
        <v>1778</v>
      </c>
      <c r="BO1815">
        <v>32041</v>
      </c>
      <c r="BP1815" t="s">
        <v>404</v>
      </c>
      <c r="BQ1815">
        <v>100</v>
      </c>
      <c r="BR1815" t="s">
        <v>514</v>
      </c>
      <c r="BS1815">
        <v>1001</v>
      </c>
      <c r="BT1815" t="s">
        <v>515</v>
      </c>
      <c r="BW1815">
        <v>24788</v>
      </c>
      <c r="BX1815" t="s">
        <v>407</v>
      </c>
      <c r="BY1815" t="s">
        <v>2729</v>
      </c>
      <c r="BZ1815">
        <v>4</v>
      </c>
      <c r="CA1815">
        <v>2000</v>
      </c>
      <c r="CB1815">
        <v>1</v>
      </c>
      <c r="CC1815">
        <v>1</v>
      </c>
      <c r="CD1815">
        <v>2017</v>
      </c>
      <c r="CG1815">
        <v>152235</v>
      </c>
      <c r="CH1815">
        <v>2017</v>
      </c>
      <c r="CI1815">
        <v>28000</v>
      </c>
      <c r="CJ1815">
        <v>136297</v>
      </c>
      <c r="CK1815">
        <v>164297</v>
      </c>
      <c r="CL1815">
        <v>2017</v>
      </c>
      <c r="CM1815">
        <v>1712.66</v>
      </c>
      <c r="CN1815" s="1">
        <v>36524</v>
      </c>
      <c r="CZ1815" s="1">
        <v>36524</v>
      </c>
      <c r="DD1815" t="s">
        <v>2387</v>
      </c>
      <c r="DF1815">
        <v>8</v>
      </c>
      <c r="DG1815">
        <v>43</v>
      </c>
      <c r="DJ1815" t="s">
        <v>17763</v>
      </c>
      <c r="DL1815">
        <v>50303</v>
      </c>
      <c r="DM1815" t="s">
        <v>17717</v>
      </c>
      <c r="DO1815" t="s">
        <v>17886</v>
      </c>
      <c r="DP1815">
        <v>0</v>
      </c>
      <c r="DQ1815">
        <v>0</v>
      </c>
      <c r="DR1815" t="s">
        <v>411</v>
      </c>
    </row>
    <row r="1816" spans="1:272" x14ac:dyDescent="0.25">
      <c r="A1816">
        <v>16486823</v>
      </c>
      <c r="B1816">
        <v>1815</v>
      </c>
      <c r="C1816" t="s">
        <v>393</v>
      </c>
      <c r="D1816" t="s">
        <v>394</v>
      </c>
      <c r="F1816" t="str">
        <f>"43-3N-28-5100-0008-0000"</f>
        <v>43-3N-28-5100-0008-0000</v>
      </c>
      <c r="H1816" t="str">
        <f>"SHEARIN JAMES G EST C/O MARY SHEARIN"</f>
        <v>SHEARIN JAMES G EST C/O MARY SHEARIN</v>
      </c>
      <c r="I1816" t="str">
        <f>"96650 CHESTER RD"</f>
        <v>96650 CHESTER RD</v>
      </c>
      <c r="J1816" t="str">
        <f>"YULEE FL 32097"</f>
        <v>YULEE FL 32097</v>
      </c>
      <c r="K1816" t="str">
        <f>"96650 CHESTER RD"</f>
        <v>96650 CHESTER RD</v>
      </c>
      <c r="L1816" t="str">
        <f t="shared" si="669"/>
        <v>YULEE FL 32097</v>
      </c>
      <c r="M1816" t="str">
        <f>"LOT 8 IN OR 1581/1949 CHESTER MEADOWS UNIT 1 UNR AKA LOT 8-E LOFTON CHESTER TRACT"</f>
        <v>LOT 8 IN OR 1581/1949 CHESTER MEADOWS UNIT 1 UNR AKA LOT 8-E LOFTON CHESTER TRACT</v>
      </c>
      <c r="N1816" t="str">
        <f>""</f>
        <v/>
      </c>
      <c r="O1816" t="str">
        <f>"50735"</f>
        <v>50735</v>
      </c>
      <c r="P1816" t="str">
        <f t="shared" si="671"/>
        <v>2017</v>
      </c>
      <c r="Q1816" t="str">
        <f>""</f>
        <v/>
      </c>
      <c r="R1816" t="str">
        <f>"N"</f>
        <v>N</v>
      </c>
      <c r="S1816" t="str">
        <f>"1.00"</f>
        <v>1.00</v>
      </c>
      <c r="T1816" t="str">
        <f>"1508.08"</f>
        <v>1508.08</v>
      </c>
      <c r="U1816" t="str">
        <f>"99617.00"</f>
        <v>99617.00</v>
      </c>
      <c r="V1816" t="str">
        <f>"99617.00"</f>
        <v>99617.00</v>
      </c>
      <c r="W1816" t="str">
        <f t="shared" si="672"/>
        <v>2017</v>
      </c>
      <c r="X1816" t="str">
        <f>"12.00"</f>
        <v>12.00</v>
      </c>
      <c r="Y1816" t="str">
        <f>"1585.32"</f>
        <v>1585.32</v>
      </c>
      <c r="Z1816" t="str">
        <f>""</f>
        <v/>
      </c>
      <c r="AA1816" t="str">
        <f>"99617.00"</f>
        <v>99617.00</v>
      </c>
      <c r="AB1816" t="str">
        <f t="shared" si="673"/>
        <v>Residential</v>
      </c>
      <c r="AC1816" t="str">
        <f t="shared" si="643"/>
        <v>0</v>
      </c>
      <c r="AD1816" t="str">
        <f t="shared" si="678"/>
        <v>4</v>
      </c>
      <c r="AE1816" t="str">
        <f t="shared" si="679"/>
        <v>WOOD (INCLUDE STEEL STUDS)</v>
      </c>
      <c r="AF1816" t="str">
        <f t="shared" si="680"/>
        <v>001</v>
      </c>
      <c r="AG1816" t="str">
        <f t="shared" si="681"/>
        <v>FL</v>
      </c>
      <c r="AH1816" t="str">
        <f>"43560.00"</f>
        <v>43560.00</v>
      </c>
      <c r="AI1816" t="str">
        <f>"25000.00"</f>
        <v>25000.00</v>
      </c>
      <c r="AJ1816" t="str">
        <f>"C55-000-588-3995-2"</f>
        <v>C55-000-588-3995-2</v>
      </c>
      <c r="AK1816" t="str">
        <f>"32501"</f>
        <v>32501</v>
      </c>
      <c r="AL1816">
        <v>7</v>
      </c>
      <c r="AM1816">
        <v>2067</v>
      </c>
      <c r="AN1816">
        <v>1662.99</v>
      </c>
      <c r="AQ1816" t="s">
        <v>17887</v>
      </c>
      <c r="AR1816" t="s">
        <v>17887</v>
      </c>
      <c r="AS1816" t="s">
        <v>17887</v>
      </c>
      <c r="AU1816" t="s">
        <v>396</v>
      </c>
      <c r="AV1816">
        <v>2017</v>
      </c>
      <c r="AW1816" t="str">
        <f>"43-3N-28-5100-0008-0000 "</f>
        <v xml:space="preserve">43-3N-28-5100-0008-0000 </v>
      </c>
      <c r="AX1816">
        <v>96650</v>
      </c>
      <c r="AZ1816" t="s">
        <v>17629</v>
      </c>
      <c r="BA1816" t="s">
        <v>496</v>
      </c>
      <c r="BD1816" t="s">
        <v>2387</v>
      </c>
      <c r="BE1816" t="s">
        <v>393</v>
      </c>
      <c r="BF1816">
        <v>32097</v>
      </c>
      <c r="BG1816" t="s">
        <v>17888</v>
      </c>
      <c r="BH1816" t="s">
        <v>2388</v>
      </c>
      <c r="BI1816">
        <v>-81.539993274672099</v>
      </c>
      <c r="BJ1816">
        <v>30.670290654467902</v>
      </c>
      <c r="BK1816" t="s">
        <v>17889</v>
      </c>
      <c r="BM1816" t="s">
        <v>17890</v>
      </c>
      <c r="BN1816" t="s">
        <v>3983</v>
      </c>
      <c r="BO1816">
        <v>32034</v>
      </c>
      <c r="BP1816" t="s">
        <v>404</v>
      </c>
      <c r="BQ1816">
        <v>100</v>
      </c>
      <c r="BR1816" t="s">
        <v>514</v>
      </c>
      <c r="BS1816">
        <v>1001</v>
      </c>
      <c r="BT1816" t="s">
        <v>515</v>
      </c>
      <c r="BW1816">
        <v>43560</v>
      </c>
      <c r="BX1816" t="s">
        <v>407</v>
      </c>
      <c r="BY1816" t="s">
        <v>2729</v>
      </c>
      <c r="BZ1816">
        <v>4</v>
      </c>
      <c r="CA1816">
        <v>1974</v>
      </c>
      <c r="CB1816">
        <v>1</v>
      </c>
      <c r="CC1816">
        <v>1</v>
      </c>
      <c r="CD1816">
        <v>2017</v>
      </c>
      <c r="CE1816">
        <v>25000</v>
      </c>
      <c r="CF1816">
        <v>74617</v>
      </c>
      <c r="CG1816">
        <v>99617</v>
      </c>
      <c r="CH1816">
        <v>2017</v>
      </c>
      <c r="CI1816">
        <v>25000</v>
      </c>
      <c r="CJ1816">
        <v>74617</v>
      </c>
      <c r="CK1816">
        <v>99617</v>
      </c>
      <c r="CL1816">
        <v>2017</v>
      </c>
      <c r="CM1816">
        <v>1508.08</v>
      </c>
      <c r="CN1816" s="1">
        <v>43010</v>
      </c>
      <c r="CO1816">
        <v>100000</v>
      </c>
      <c r="CV1816">
        <v>0</v>
      </c>
      <c r="CZ1816" s="1">
        <v>43010</v>
      </c>
      <c r="DA1816">
        <v>0</v>
      </c>
      <c r="DD1816" t="s">
        <v>2387</v>
      </c>
      <c r="DF1816">
        <v>8</v>
      </c>
      <c r="DG1816">
        <v>43</v>
      </c>
      <c r="DI1816">
        <v>1</v>
      </c>
      <c r="DJ1816" t="s">
        <v>17891</v>
      </c>
      <c r="DL1816">
        <v>50301</v>
      </c>
      <c r="DM1816" t="s">
        <v>17717</v>
      </c>
      <c r="DO1816" t="s">
        <v>17892</v>
      </c>
      <c r="DP1816">
        <v>0</v>
      </c>
      <c r="DQ1816">
        <v>0</v>
      </c>
      <c r="DR1816" t="s">
        <v>411</v>
      </c>
      <c r="DS1816" t="b">
        <v>1</v>
      </c>
      <c r="DT1816" t="s">
        <v>470</v>
      </c>
      <c r="DU1816" t="s">
        <v>471</v>
      </c>
      <c r="DV1816" t="s">
        <v>472</v>
      </c>
      <c r="DX1816">
        <v>-9999</v>
      </c>
      <c r="DZ1816" t="s">
        <v>447</v>
      </c>
      <c r="EA1816" t="s">
        <v>448</v>
      </c>
      <c r="EB1816" t="s">
        <v>742</v>
      </c>
      <c r="EC1816">
        <v>20101217</v>
      </c>
      <c r="ED1816" t="s">
        <v>474</v>
      </c>
      <c r="EF1816">
        <v>1880.7</v>
      </c>
      <c r="EG1816">
        <v>1734</v>
      </c>
      <c r="EI1816">
        <v>20160407</v>
      </c>
      <c r="EJ1816">
        <v>0</v>
      </c>
      <c r="EK1816">
        <v>0</v>
      </c>
      <c r="EP1816" t="s">
        <v>421</v>
      </c>
      <c r="EQ1816" t="s">
        <v>422</v>
      </c>
      <c r="ER1816">
        <v>2</v>
      </c>
      <c r="ES1816">
        <v>2</v>
      </c>
      <c r="ET1816">
        <v>1524.38</v>
      </c>
      <c r="EU1816">
        <v>88.72</v>
      </c>
      <c r="EV1816">
        <v>1613.1</v>
      </c>
      <c r="EW1816" s="2">
        <v>43222</v>
      </c>
      <c r="EX1816" s="1">
        <v>42879</v>
      </c>
      <c r="EY1816">
        <v>2016</v>
      </c>
      <c r="EZ1816">
        <v>762.19</v>
      </c>
      <c r="FA1816" t="s">
        <v>17893</v>
      </c>
      <c r="FB1816">
        <v>0.25</v>
      </c>
      <c r="FC1816" t="s">
        <v>424</v>
      </c>
      <c r="FD1816" t="s">
        <v>454</v>
      </c>
      <c r="FF1816">
        <v>12</v>
      </c>
      <c r="FG1816">
        <v>11289</v>
      </c>
      <c r="FH1816" t="s">
        <v>787</v>
      </c>
      <c r="FJ1816" s="1">
        <v>42879</v>
      </c>
      <c r="FK1816">
        <v>2016</v>
      </c>
      <c r="FL1816">
        <v>762.19</v>
      </c>
      <c r="FM1816" t="s">
        <v>17893</v>
      </c>
      <c r="FN1816">
        <v>0.25</v>
      </c>
      <c r="FO1816" t="s">
        <v>424</v>
      </c>
      <c r="FP1816" t="s">
        <v>454</v>
      </c>
      <c r="FR1816">
        <v>12</v>
      </c>
      <c r="FS1816">
        <v>7130209</v>
      </c>
      <c r="FT1816" t="s">
        <v>17894</v>
      </c>
      <c r="FV1816" s="1">
        <v>42515</v>
      </c>
      <c r="FW1816">
        <v>2015</v>
      </c>
      <c r="FX1816">
        <v>770.39</v>
      </c>
      <c r="FY1816" t="s">
        <v>17895</v>
      </c>
      <c r="FZ1816">
        <v>0.25</v>
      </c>
      <c r="GA1816" t="s">
        <v>424</v>
      </c>
      <c r="GB1816" t="s">
        <v>425</v>
      </c>
      <c r="GC1816" s="1">
        <v>42867</v>
      </c>
      <c r="GD1816">
        <v>12</v>
      </c>
      <c r="GE1816">
        <v>2851116</v>
      </c>
      <c r="GF1816" t="s">
        <v>480</v>
      </c>
      <c r="GH1816" s="1">
        <v>42515</v>
      </c>
      <c r="GI1816">
        <v>2015</v>
      </c>
      <c r="GJ1816">
        <v>770.39</v>
      </c>
      <c r="GK1816" t="s">
        <v>17895</v>
      </c>
      <c r="GL1816">
        <v>0.25</v>
      </c>
      <c r="GM1816" t="s">
        <v>424</v>
      </c>
      <c r="GN1816" t="s">
        <v>425</v>
      </c>
      <c r="GP1816">
        <v>22</v>
      </c>
      <c r="GQ1816">
        <v>4880783</v>
      </c>
      <c r="GR1816" t="s">
        <v>17896</v>
      </c>
    </row>
    <row r="1817" spans="1:272" x14ac:dyDescent="0.25">
      <c r="A1817">
        <v>16486824</v>
      </c>
      <c r="B1817">
        <v>1816</v>
      </c>
      <c r="C1817" t="s">
        <v>393</v>
      </c>
      <c r="D1817" t="s">
        <v>394</v>
      </c>
      <c r="F1817" t="str">
        <f>"43-3N-28-5110-0013-0010"</f>
        <v>43-3N-28-5110-0013-0010</v>
      </c>
      <c r="H1817" t="str">
        <f>"MITCHELL JARELL DASHAWN"</f>
        <v>MITCHELL JARELL DASHAWN</v>
      </c>
      <c r="I1817" t="str">
        <f>"96633 CHESTER RD"</f>
        <v>96633 CHESTER RD</v>
      </c>
      <c r="J1817" t="str">
        <f>"YULEE FL 32097"</f>
        <v>YULEE FL 32097</v>
      </c>
      <c r="K1817" t="str">
        <f>"96633 CHESTER RD"</f>
        <v>96633 CHESTER RD</v>
      </c>
      <c r="L1817" t="str">
        <f t="shared" si="669"/>
        <v>YULEE FL 32097</v>
      </c>
      <c r="M1817" t="str">
        <f>"PT OF LOT 11 THIGPEN SURV A/K/A TRACT 13 (S-1) LOFTON CHESTER ROAD IN OR 2082/690 TRUSTY HULSLANDER SUB UNR"</f>
        <v>PT OF LOT 11 THIGPEN SURV A/K/A TRACT 13 (S-1) LOFTON CHESTER ROAD IN OR 2082/690 TRUSTY HULSLANDER SUB UNR</v>
      </c>
      <c r="N1817" t="str">
        <f>""</f>
        <v/>
      </c>
      <c r="O1817" t="str">
        <f>"50779"</f>
        <v>50779</v>
      </c>
      <c r="P1817" t="str">
        <f t="shared" si="671"/>
        <v>2017</v>
      </c>
      <c r="Q1817" t="str">
        <f>""</f>
        <v/>
      </c>
      <c r="R1817" t="str">
        <f>"N"</f>
        <v>N</v>
      </c>
      <c r="S1817" t="str">
        <f>"1.00"</f>
        <v>1.00</v>
      </c>
      <c r="T1817" t="str">
        <f>"1270.41"</f>
        <v>1270.41</v>
      </c>
      <c r="U1817" t="str">
        <f>"83917.00"</f>
        <v>83917.00</v>
      </c>
      <c r="V1817" t="str">
        <f>"83917.00"</f>
        <v>83917.00</v>
      </c>
      <c r="W1817" t="str">
        <f t="shared" si="672"/>
        <v>2017</v>
      </c>
      <c r="X1817" t="str">
        <f>"10.00"</f>
        <v>10.00</v>
      </c>
      <c r="Y1817" t="str">
        <f>"1340.52"</f>
        <v>1340.52</v>
      </c>
      <c r="Z1817" t="str">
        <f>""</f>
        <v/>
      </c>
      <c r="AA1817" t="str">
        <f>"83917.00"</f>
        <v>83917.00</v>
      </c>
      <c r="AB1817" t="str">
        <f t="shared" si="673"/>
        <v>Residential</v>
      </c>
      <c r="AC1817" t="str">
        <f t="shared" si="643"/>
        <v>0</v>
      </c>
      <c r="AD1817" t="str">
        <f t="shared" si="678"/>
        <v>4</v>
      </c>
      <c r="AE1817" t="str">
        <f t="shared" si="679"/>
        <v>WOOD (INCLUDE STEEL STUDS)</v>
      </c>
      <c r="AF1817" t="str">
        <f t="shared" si="680"/>
        <v>001</v>
      </c>
      <c r="AG1817" t="str">
        <f t="shared" si="681"/>
        <v>FL</v>
      </c>
      <c r="AH1817" t="str">
        <f>"43560.00"</f>
        <v>43560.00</v>
      </c>
      <c r="AI1817" t="str">
        <f>"25000.00"</f>
        <v>25000.00</v>
      </c>
      <c r="AJ1817" t="str">
        <f>"C55-000-588-9725-7"</f>
        <v>C55-000-588-9725-7</v>
      </c>
      <c r="AK1817" t="str">
        <f>"32540"</f>
        <v>32540</v>
      </c>
      <c r="AL1817">
        <v>7</v>
      </c>
      <c r="AM1817">
        <v>2068</v>
      </c>
      <c r="AN1817">
        <v>1405.95</v>
      </c>
      <c r="AQ1817" t="s">
        <v>17897</v>
      </c>
      <c r="AR1817" t="s">
        <v>17897</v>
      </c>
      <c r="AS1817" t="s">
        <v>17897</v>
      </c>
      <c r="AU1817" t="s">
        <v>396</v>
      </c>
      <c r="AV1817">
        <v>2017</v>
      </c>
      <c r="AW1817" t="str">
        <f>"43-3N-28-5110-0013-0010 "</f>
        <v xml:space="preserve">43-3N-28-5110-0013-0010 </v>
      </c>
      <c r="AX1817">
        <v>96633</v>
      </c>
      <c r="AZ1817" t="s">
        <v>17629</v>
      </c>
      <c r="BA1817" t="s">
        <v>496</v>
      </c>
      <c r="BD1817" t="s">
        <v>2387</v>
      </c>
      <c r="BE1817" t="s">
        <v>393</v>
      </c>
      <c r="BF1817">
        <v>32097</v>
      </c>
      <c r="BG1817" t="s">
        <v>17898</v>
      </c>
      <c r="BH1817" t="s">
        <v>2388</v>
      </c>
      <c r="BI1817">
        <v>-81.541229441468005</v>
      </c>
      <c r="BJ1817">
        <v>30.6692067409444</v>
      </c>
      <c r="BK1817" t="s">
        <v>17899</v>
      </c>
      <c r="BM1817" t="s">
        <v>17898</v>
      </c>
      <c r="BN1817" t="s">
        <v>1778</v>
      </c>
      <c r="BO1817">
        <v>32097</v>
      </c>
      <c r="BP1817" t="s">
        <v>416</v>
      </c>
      <c r="BQ1817">
        <v>100</v>
      </c>
      <c r="BR1817" t="s">
        <v>514</v>
      </c>
      <c r="BS1817">
        <v>1001</v>
      </c>
      <c r="BT1817" t="s">
        <v>515</v>
      </c>
      <c r="BW1817">
        <v>43560</v>
      </c>
      <c r="BX1817" t="s">
        <v>407</v>
      </c>
      <c r="BY1817" t="s">
        <v>2729</v>
      </c>
      <c r="BZ1817">
        <v>4</v>
      </c>
      <c r="CA1817">
        <v>1973</v>
      </c>
      <c r="CB1817">
        <v>1</v>
      </c>
      <c r="CC1817">
        <v>1</v>
      </c>
      <c r="CD1817">
        <v>2017</v>
      </c>
      <c r="CE1817">
        <v>25000</v>
      </c>
      <c r="CF1817">
        <v>58917</v>
      </c>
      <c r="CG1817">
        <v>83917</v>
      </c>
      <c r="CH1817">
        <v>2017</v>
      </c>
      <c r="CI1817">
        <v>25000</v>
      </c>
      <c r="CJ1817">
        <v>58917</v>
      </c>
      <c r="CK1817">
        <v>83917</v>
      </c>
      <c r="CL1817">
        <v>2017</v>
      </c>
      <c r="CM1817">
        <v>1270.4100000000001</v>
      </c>
      <c r="CN1817" s="1">
        <v>42681</v>
      </c>
      <c r="CO1817">
        <v>55100</v>
      </c>
      <c r="CV1817">
        <v>0</v>
      </c>
      <c r="CZ1817" s="1">
        <v>42681</v>
      </c>
      <c r="DA1817">
        <v>0</v>
      </c>
      <c r="DD1817" t="s">
        <v>2387</v>
      </c>
      <c r="DF1817">
        <v>11</v>
      </c>
      <c r="DG1817">
        <v>43</v>
      </c>
      <c r="DJ1817" t="s">
        <v>17900</v>
      </c>
      <c r="DL1817">
        <v>50301</v>
      </c>
      <c r="DM1817" t="s">
        <v>17717</v>
      </c>
      <c r="DO1817" t="s">
        <v>17901</v>
      </c>
      <c r="DP1817">
        <v>0</v>
      </c>
      <c r="DQ1817">
        <v>0</v>
      </c>
      <c r="DR1817" t="s">
        <v>411</v>
      </c>
      <c r="EP1817" t="s">
        <v>421</v>
      </c>
      <c r="EQ1817" t="s">
        <v>422</v>
      </c>
      <c r="ER1817">
        <v>0</v>
      </c>
      <c r="ES1817">
        <v>2</v>
      </c>
      <c r="ET1817">
        <v>0</v>
      </c>
      <c r="EU1817">
        <v>0</v>
      </c>
      <c r="EV1817">
        <v>0</v>
      </c>
      <c r="EW1817" s="2">
        <v>43222</v>
      </c>
      <c r="EX1817" s="1">
        <v>42879</v>
      </c>
      <c r="EY1817">
        <v>2016</v>
      </c>
      <c r="EZ1817">
        <v>1426.98</v>
      </c>
      <c r="FA1817" t="s">
        <v>17902</v>
      </c>
      <c r="FB1817">
        <v>0.25</v>
      </c>
      <c r="FC1817" t="s">
        <v>424</v>
      </c>
      <c r="FD1817" t="s">
        <v>425</v>
      </c>
      <c r="FE1817" s="1">
        <v>43171</v>
      </c>
      <c r="FF1817">
        <v>10</v>
      </c>
      <c r="FG1817">
        <v>2851116</v>
      </c>
      <c r="FH1817" t="s">
        <v>480</v>
      </c>
      <c r="FJ1817" s="1">
        <v>42879</v>
      </c>
      <c r="FK1817">
        <v>2016</v>
      </c>
      <c r="FL1817">
        <v>1426.98</v>
      </c>
      <c r="FM1817" t="s">
        <v>17902</v>
      </c>
      <c r="FN1817">
        <v>0.25</v>
      </c>
      <c r="FO1817" t="s">
        <v>424</v>
      </c>
      <c r="FP1817" t="s">
        <v>425</v>
      </c>
      <c r="FR1817">
        <v>22</v>
      </c>
      <c r="FS1817">
        <v>5277625</v>
      </c>
      <c r="FT1817" t="s">
        <v>17903</v>
      </c>
    </row>
    <row r="1818" spans="1:272" x14ac:dyDescent="0.25">
      <c r="A1818">
        <v>16486825</v>
      </c>
      <c r="B1818">
        <v>1817</v>
      </c>
      <c r="C1818" t="s">
        <v>393</v>
      </c>
      <c r="D1818" t="s">
        <v>394</v>
      </c>
      <c r="F1818" t="str">
        <f>"44-3N-28-0000-0001-0020"</f>
        <v>44-3N-28-0000-0001-0020</v>
      </c>
      <c r="H1818" t="str">
        <f>"DAVIS RHONDA J"</f>
        <v>DAVIS RHONDA J</v>
      </c>
      <c r="I1818" t="str">
        <f>"145 RICHMOND DR"</f>
        <v>145 RICHMOND DR</v>
      </c>
      <c r="J1818" t="str">
        <f>"ST JOHNS FL 32259"</f>
        <v>ST JOHNS FL 32259</v>
      </c>
      <c r="K1818" t="str">
        <f>"96730 BLACKROCK RD"</f>
        <v>96730 BLACKROCK RD</v>
      </c>
      <c r="L1818" t="str">
        <f t="shared" si="669"/>
        <v>YULEE FL 32097</v>
      </c>
      <c r="M1818" t="str">
        <f>"IN OR 2041/780 A/K/A LOT 2 UNR SUB"</f>
        <v>IN OR 2041/780 A/K/A LOT 2 UNR SUB</v>
      </c>
      <c r="N1818" t="str">
        <f>""</f>
        <v/>
      </c>
      <c r="O1818" t="str">
        <f>"51282"</f>
        <v>51282</v>
      </c>
      <c r="P1818" t="str">
        <f t="shared" si="671"/>
        <v>2017</v>
      </c>
      <c r="Q1818" t="str">
        <f>""</f>
        <v/>
      </c>
      <c r="R1818" t="str">
        <f>"N"</f>
        <v>N</v>
      </c>
      <c r="S1818" t="str">
        <f>""</f>
        <v/>
      </c>
      <c r="T1818" t="str">
        <f>"1371.69"</f>
        <v>1371.69</v>
      </c>
      <c r="U1818" t="str">
        <f>"90608.00"</f>
        <v>90608.00</v>
      </c>
      <c r="V1818" t="str">
        <f>"90608.00"</f>
        <v>90608.00</v>
      </c>
      <c r="W1818" t="str">
        <f t="shared" si="672"/>
        <v>2017</v>
      </c>
      <c r="X1818" t="str">
        <f>"10.00"</f>
        <v>10.00</v>
      </c>
      <c r="Y1818" t="str">
        <f>"1444.84"</f>
        <v>1444.84</v>
      </c>
      <c r="Z1818" t="str">
        <f>""</f>
        <v/>
      </c>
      <c r="AA1818" t="str">
        <f>"90608.00"</f>
        <v>90608.00</v>
      </c>
      <c r="AB1818" t="str">
        <f t="shared" si="673"/>
        <v>Residential</v>
      </c>
      <c r="AC1818" t="str">
        <f t="shared" si="643"/>
        <v>0</v>
      </c>
      <c r="AD1818" t="str">
        <f t="shared" si="678"/>
        <v>4</v>
      </c>
      <c r="AE1818" t="str">
        <f t="shared" si="679"/>
        <v>WOOD (INCLUDE STEEL STUDS)</v>
      </c>
      <c r="AF1818" t="str">
        <f t="shared" si="680"/>
        <v>001</v>
      </c>
      <c r="AG1818" t="str">
        <f t="shared" si="681"/>
        <v>FL</v>
      </c>
      <c r="AH1818" t="str">
        <f>"-"</f>
        <v>-</v>
      </c>
      <c r="AI1818" t="str">
        <f>"20000.00"</f>
        <v>20000.00</v>
      </c>
      <c r="AJ1818" t="str">
        <f>"C55-000-588-4446-5"</f>
        <v>C55-000-588-4446-5</v>
      </c>
      <c r="AK1818" t="str">
        <f>"32551"</f>
        <v>32551</v>
      </c>
      <c r="AL1818">
        <v>7</v>
      </c>
      <c r="AM1818">
        <v>2069</v>
      </c>
      <c r="AN1818">
        <v>1515.48</v>
      </c>
      <c r="AQ1818" t="s">
        <v>17904</v>
      </c>
      <c r="AR1818" t="s">
        <v>17904</v>
      </c>
      <c r="AS1818" t="s">
        <v>17904</v>
      </c>
      <c r="AU1818" t="s">
        <v>396</v>
      </c>
      <c r="AV1818">
        <v>2017</v>
      </c>
      <c r="AW1818" t="str">
        <f>"44-3N-28-0000-0001-0020 "</f>
        <v xml:space="preserve">44-3N-28-0000-0001-0020 </v>
      </c>
      <c r="AX1818">
        <v>96730</v>
      </c>
      <c r="AZ1818" t="s">
        <v>14867</v>
      </c>
      <c r="BA1818" t="s">
        <v>496</v>
      </c>
      <c r="BD1818" t="s">
        <v>2387</v>
      </c>
      <c r="BE1818" t="s">
        <v>393</v>
      </c>
      <c r="BF1818">
        <v>32097</v>
      </c>
      <c r="BG1818" t="s">
        <v>17905</v>
      </c>
      <c r="BH1818" t="s">
        <v>2388</v>
      </c>
      <c r="BI1818">
        <v>-81.534069003588598</v>
      </c>
      <c r="BJ1818">
        <v>30.6651777548593</v>
      </c>
      <c r="BK1818" t="s">
        <v>17906</v>
      </c>
      <c r="BM1818" t="s">
        <v>17907</v>
      </c>
      <c r="BN1818" t="s">
        <v>15357</v>
      </c>
      <c r="BO1818">
        <v>32259</v>
      </c>
      <c r="BP1818" t="s">
        <v>404</v>
      </c>
      <c r="BQ1818">
        <v>100</v>
      </c>
      <c r="BR1818" t="s">
        <v>514</v>
      </c>
      <c r="BS1818">
        <v>1001</v>
      </c>
      <c r="BT1818" t="s">
        <v>515</v>
      </c>
      <c r="BW1818">
        <v>21743</v>
      </c>
      <c r="BX1818" t="s">
        <v>407</v>
      </c>
      <c r="BY1818" t="s">
        <v>2729</v>
      </c>
      <c r="BZ1818">
        <v>4</v>
      </c>
      <c r="CA1818">
        <v>1974</v>
      </c>
      <c r="CB1818">
        <v>1</v>
      </c>
      <c r="CC1818">
        <v>1</v>
      </c>
      <c r="CD1818">
        <v>2017</v>
      </c>
      <c r="CE1818">
        <v>20000</v>
      </c>
      <c r="CF1818">
        <v>70608</v>
      </c>
      <c r="CG1818">
        <v>90608</v>
      </c>
      <c r="CH1818">
        <v>2017</v>
      </c>
      <c r="CI1818">
        <v>20000</v>
      </c>
      <c r="CJ1818">
        <v>70608</v>
      </c>
      <c r="CK1818">
        <v>90608</v>
      </c>
      <c r="CL1818">
        <v>2017</v>
      </c>
      <c r="CM1818">
        <v>1371.69</v>
      </c>
      <c r="CN1818" s="1">
        <v>42481</v>
      </c>
      <c r="CO1818">
        <v>51500</v>
      </c>
      <c r="CV1818">
        <v>0</v>
      </c>
      <c r="CZ1818" s="1">
        <v>42481</v>
      </c>
      <c r="DA1818">
        <v>0</v>
      </c>
      <c r="DD1818" t="s">
        <v>2387</v>
      </c>
      <c r="DF1818">
        <v>2</v>
      </c>
      <c r="DG1818">
        <v>44</v>
      </c>
      <c r="DL1818">
        <v>50303</v>
      </c>
      <c r="DM1818" t="s">
        <v>17106</v>
      </c>
      <c r="DO1818" t="s">
        <v>17908</v>
      </c>
      <c r="DP1818">
        <v>0</v>
      </c>
      <c r="DQ1818">
        <v>0</v>
      </c>
      <c r="DR1818" t="s">
        <v>411</v>
      </c>
    </row>
    <row r="1819" spans="1:272" x14ac:dyDescent="0.25">
      <c r="A1819">
        <v>16486826</v>
      </c>
      <c r="B1819">
        <v>1818</v>
      </c>
      <c r="C1819" t="s">
        <v>393</v>
      </c>
      <c r="D1819" t="s">
        <v>394</v>
      </c>
      <c r="F1819" t="str">
        <f>"44-3N-28-5300-0012-0000"</f>
        <v>44-3N-28-5300-0012-0000</v>
      </c>
      <c r="H1819" t="str">
        <f>"SHRADER RORIE JENNINGS"</f>
        <v>SHRADER RORIE JENNINGS</v>
      </c>
      <c r="I1819" t="str">
        <f>"97343 AMY DR"</f>
        <v>97343 AMY DR</v>
      </c>
      <c r="J1819" t="str">
        <f>"YULEE FL 32097"</f>
        <v>YULEE FL 32097</v>
      </c>
      <c r="K1819" t="str">
        <f>"97343 AMY DR"</f>
        <v>97343 AMY DR</v>
      </c>
      <c r="L1819" t="str">
        <f t="shared" si="669"/>
        <v>YULEE FL 32097</v>
      </c>
      <c r="M1819" t="str">
        <f>"LOT 12 IN OR 1993/552 PINE RIDGE PB 5/143"</f>
        <v>LOT 12 IN OR 1993/552 PINE RIDGE PB 5/143</v>
      </c>
      <c r="N1819" t="str">
        <f>""</f>
        <v/>
      </c>
      <c r="O1819" t="str">
        <f>"51469"</f>
        <v>51469</v>
      </c>
      <c r="P1819" t="str">
        <f t="shared" si="671"/>
        <v>2017</v>
      </c>
      <c r="Q1819" t="str">
        <f>""</f>
        <v/>
      </c>
      <c r="R1819" t="str">
        <f>"Y"</f>
        <v>Y</v>
      </c>
      <c r="S1819" t="str">
        <f>"1.03"</f>
        <v>1.03</v>
      </c>
      <c r="T1819" t="str">
        <f>"563.57"</f>
        <v>563.57</v>
      </c>
      <c r="U1819" t="str">
        <f>"76331.00"</f>
        <v>76331.00</v>
      </c>
      <c r="V1819" t="str">
        <f>"76331.00"</f>
        <v>76331.00</v>
      </c>
      <c r="W1819" t="str">
        <f t="shared" si="672"/>
        <v>2017</v>
      </c>
      <c r="X1819" t="str">
        <f>"6.50"</f>
        <v>6.50</v>
      </c>
      <c r="Y1819" t="str">
        <f>"612.48"</f>
        <v>612.48</v>
      </c>
      <c r="Z1819" t="str">
        <f>"25000.00"</f>
        <v>25000.00</v>
      </c>
      <c r="AA1819" t="str">
        <f>"51331.00"</f>
        <v>51331.00</v>
      </c>
      <c r="AB1819" t="str">
        <f t="shared" si="673"/>
        <v>Residential</v>
      </c>
      <c r="AC1819" t="str">
        <f t="shared" si="643"/>
        <v>0</v>
      </c>
      <c r="AD1819" t="str">
        <f t="shared" si="678"/>
        <v>4</v>
      </c>
      <c r="AE1819" t="str">
        <f t="shared" si="679"/>
        <v>WOOD (INCLUDE STEEL STUDS)</v>
      </c>
      <c r="AF1819" t="str">
        <f>"002"</f>
        <v>002</v>
      </c>
      <c r="AG1819" t="str">
        <f t="shared" si="681"/>
        <v>FL</v>
      </c>
      <c r="AH1819" t="str">
        <f>"44866.00"</f>
        <v>44866.00</v>
      </c>
      <c r="AI1819" t="str">
        <f>"25750.00"</f>
        <v>25750.00</v>
      </c>
      <c r="AJ1819" t="str">
        <f>"C55-000-588-4613-0"</f>
        <v>C55-000-588-4613-0</v>
      </c>
      <c r="AK1819" t="str">
        <f>"32722"</f>
        <v>32722</v>
      </c>
      <c r="AL1819">
        <v>7</v>
      </c>
      <c r="AM1819">
        <v>2071</v>
      </c>
      <c r="AN1819">
        <v>641.5</v>
      </c>
      <c r="AQ1819" t="s">
        <v>17909</v>
      </c>
      <c r="AR1819" t="s">
        <v>17909</v>
      </c>
      <c r="AS1819" t="s">
        <v>17909</v>
      </c>
      <c r="AU1819" t="s">
        <v>396</v>
      </c>
      <c r="AV1819">
        <v>2017</v>
      </c>
      <c r="AW1819" t="str">
        <f>"44-3N-28-5300-0012-0000 "</f>
        <v xml:space="preserve">44-3N-28-5300-0012-0000 </v>
      </c>
      <c r="AX1819">
        <v>97343</v>
      </c>
      <c r="AZ1819" t="s">
        <v>17910</v>
      </c>
      <c r="BA1819" t="s">
        <v>669</v>
      </c>
      <c r="BD1819" t="s">
        <v>2387</v>
      </c>
      <c r="BE1819" t="s">
        <v>393</v>
      </c>
      <c r="BF1819">
        <v>32097</v>
      </c>
      <c r="BG1819" t="s">
        <v>17911</v>
      </c>
      <c r="BH1819" t="s">
        <v>2388</v>
      </c>
      <c r="BI1819">
        <v>-81.537769456440799</v>
      </c>
      <c r="BJ1819">
        <v>30.6630482886079</v>
      </c>
      <c r="BK1819" t="s">
        <v>17912</v>
      </c>
      <c r="BM1819" t="s">
        <v>17911</v>
      </c>
      <c r="BN1819" t="s">
        <v>1778</v>
      </c>
      <c r="BO1819">
        <v>32097</v>
      </c>
      <c r="BP1819" t="s">
        <v>416</v>
      </c>
      <c r="BQ1819">
        <v>200</v>
      </c>
      <c r="BR1819" t="s">
        <v>405</v>
      </c>
      <c r="BS1819">
        <v>1006</v>
      </c>
      <c r="BT1819" t="s">
        <v>406</v>
      </c>
      <c r="BW1819">
        <v>44866</v>
      </c>
      <c r="BX1819" t="s">
        <v>407</v>
      </c>
      <c r="BY1819" t="s">
        <v>408</v>
      </c>
      <c r="BZ1819">
        <v>4</v>
      </c>
      <c r="CA1819">
        <v>1999</v>
      </c>
      <c r="CC1819">
        <v>1</v>
      </c>
      <c r="CD1819">
        <v>2017</v>
      </c>
      <c r="CE1819">
        <v>25750</v>
      </c>
      <c r="CF1819">
        <v>50581</v>
      </c>
      <c r="CG1819">
        <v>76331</v>
      </c>
      <c r="CH1819">
        <v>2017</v>
      </c>
      <c r="CI1819">
        <v>25750</v>
      </c>
      <c r="CJ1819">
        <v>50581</v>
      </c>
      <c r="CK1819">
        <v>76331</v>
      </c>
      <c r="CL1819">
        <v>2017</v>
      </c>
      <c r="CM1819">
        <v>563.57000000000005</v>
      </c>
      <c r="CN1819" s="1">
        <v>42209</v>
      </c>
      <c r="CO1819">
        <v>75000</v>
      </c>
      <c r="CV1819">
        <v>0</v>
      </c>
      <c r="CZ1819" s="1">
        <v>42209</v>
      </c>
      <c r="DA1819">
        <v>0</v>
      </c>
      <c r="DD1819" t="s">
        <v>2387</v>
      </c>
      <c r="DF1819">
        <v>12</v>
      </c>
      <c r="DG1819">
        <v>44</v>
      </c>
      <c r="DL1819">
        <v>50301</v>
      </c>
      <c r="DM1819" t="s">
        <v>17106</v>
      </c>
      <c r="DO1819" t="s">
        <v>17913</v>
      </c>
      <c r="DP1819">
        <v>0</v>
      </c>
      <c r="DQ1819">
        <v>0</v>
      </c>
      <c r="DR1819" t="s">
        <v>411</v>
      </c>
      <c r="EP1819" t="s">
        <v>421</v>
      </c>
      <c r="EQ1819" t="s">
        <v>422</v>
      </c>
      <c r="ER1819">
        <v>2</v>
      </c>
      <c r="ES1819">
        <v>0</v>
      </c>
      <c r="ET1819">
        <v>2369.52</v>
      </c>
      <c r="EU1819">
        <v>130.97999999999999</v>
      </c>
      <c r="EV1819">
        <v>2500.5</v>
      </c>
      <c r="EW1819" s="2">
        <v>43222</v>
      </c>
      <c r="EX1819" s="1">
        <v>42879</v>
      </c>
      <c r="EY1819">
        <v>2016</v>
      </c>
      <c r="EZ1819">
        <v>1184.76</v>
      </c>
      <c r="FA1819" t="s">
        <v>17914</v>
      </c>
      <c r="FB1819">
        <v>0.25</v>
      </c>
      <c r="FC1819" t="s">
        <v>424</v>
      </c>
      <c r="FD1819" t="s">
        <v>454</v>
      </c>
      <c r="FF1819">
        <v>12</v>
      </c>
      <c r="FG1819">
        <v>7336671</v>
      </c>
      <c r="FH1819" t="s">
        <v>437</v>
      </c>
      <c r="FJ1819" s="1">
        <v>42879</v>
      </c>
      <c r="FK1819">
        <v>2016</v>
      </c>
      <c r="FL1819">
        <v>1184.76</v>
      </c>
      <c r="FM1819" t="s">
        <v>17914</v>
      </c>
      <c r="FN1819">
        <v>0.25</v>
      </c>
      <c r="FO1819" t="s">
        <v>424</v>
      </c>
      <c r="FP1819" t="s">
        <v>454</v>
      </c>
      <c r="FR1819">
        <v>12</v>
      </c>
      <c r="FS1819">
        <v>6735246</v>
      </c>
      <c r="FT1819" t="s">
        <v>17915</v>
      </c>
    </row>
    <row r="1820" spans="1:272" x14ac:dyDescent="0.25">
      <c r="A1820">
        <v>16486827</v>
      </c>
      <c r="B1820">
        <v>1819</v>
      </c>
      <c r="C1820" t="s">
        <v>393</v>
      </c>
      <c r="D1820" t="s">
        <v>394</v>
      </c>
      <c r="F1820" t="str">
        <f>"44-3N-28-5300-0020-0000"</f>
        <v>44-3N-28-5300-0020-0000</v>
      </c>
      <c r="H1820" t="str">
        <f>"WYLIE ROBERT M &amp; WYLIE ROBERT F JR (JT/RS)"</f>
        <v>WYLIE ROBERT M &amp; WYLIE ROBERT F JR (JT/RS)</v>
      </c>
      <c r="I1820" t="str">
        <f>"97326 AMY ROAD"</f>
        <v>97326 AMY ROAD</v>
      </c>
      <c r="J1820" t="str">
        <f>"YULEE FL 32097"</f>
        <v>YULEE FL 32097</v>
      </c>
      <c r="K1820" t="str">
        <f>"97326 AMY DR"</f>
        <v>97326 AMY DR</v>
      </c>
      <c r="L1820" t="str">
        <f t="shared" si="669"/>
        <v>YULEE FL 32097</v>
      </c>
      <c r="M1820" t="str">
        <f>"LOT 20 IN OR 1498/996 1995 SKYL DW/MH PINE RIDGE PB 5/143"</f>
        <v>LOT 20 IN OR 1498/996 1995 SKYL DW/MH PINE RIDGE PB 5/143</v>
      </c>
      <c r="N1820" t="str">
        <f>""</f>
        <v/>
      </c>
      <c r="O1820" t="str">
        <f>"51477"</f>
        <v>51477</v>
      </c>
      <c r="P1820" t="str">
        <f t="shared" si="671"/>
        <v>2017</v>
      </c>
      <c r="Q1820" t="str">
        <f>""</f>
        <v/>
      </c>
      <c r="R1820" t="str">
        <f>"Y"</f>
        <v>Y</v>
      </c>
      <c r="S1820" t="str">
        <f>"1.01"</f>
        <v>1.01</v>
      </c>
      <c r="T1820" t="str">
        <f>"379.95"</f>
        <v>379.95</v>
      </c>
      <c r="U1820" t="str">
        <f>"50223.00"</f>
        <v>50223.00</v>
      </c>
      <c r="V1820" t="str">
        <f>"50223.00"</f>
        <v>50223.00</v>
      </c>
      <c r="W1820" t="str">
        <f t="shared" si="672"/>
        <v>2017</v>
      </c>
      <c r="X1820" t="str">
        <f>"17.50"</f>
        <v>17.50</v>
      </c>
      <c r="Y1820" t="str">
        <f>"423.35"</f>
        <v>423.35</v>
      </c>
      <c r="Z1820" t="str">
        <f>"25000.00"</f>
        <v>25000.00</v>
      </c>
      <c r="AA1820" t="str">
        <f>"25223.00"</f>
        <v>25223.00</v>
      </c>
      <c r="AB1820" t="str">
        <f t="shared" si="673"/>
        <v>Residential</v>
      </c>
      <c r="AC1820" t="str">
        <f t="shared" si="643"/>
        <v>0</v>
      </c>
      <c r="AD1820" t="str">
        <f t="shared" si="678"/>
        <v>4</v>
      </c>
      <c r="AE1820" t="str">
        <f t="shared" si="679"/>
        <v>WOOD (INCLUDE STEEL STUDS)</v>
      </c>
      <c r="AF1820" t="str">
        <f>"002"</f>
        <v>002</v>
      </c>
      <c r="AG1820" t="str">
        <f t="shared" si="681"/>
        <v>FL</v>
      </c>
      <c r="AH1820" t="str">
        <f>"43995.00"</f>
        <v>43995.00</v>
      </c>
      <c r="AI1820" t="str">
        <f>"25250.00"</f>
        <v>25250.00</v>
      </c>
      <c r="AJ1820" t="str">
        <f>"C55-000-588-4621-3"</f>
        <v>C55-000-588-4621-3</v>
      </c>
      <c r="AK1820" t="str">
        <f>"32730"</f>
        <v>32730</v>
      </c>
      <c r="AL1820">
        <v>7</v>
      </c>
      <c r="AM1820">
        <v>2073</v>
      </c>
      <c r="AN1820">
        <v>442.92</v>
      </c>
      <c r="AQ1820" t="s">
        <v>17916</v>
      </c>
      <c r="AR1820" t="s">
        <v>17916</v>
      </c>
      <c r="AS1820" t="s">
        <v>17916</v>
      </c>
      <c r="AU1820" t="s">
        <v>396</v>
      </c>
      <c r="AV1820">
        <v>2017</v>
      </c>
      <c r="AW1820" t="str">
        <f>"44-3N-28-5300-0020-0000 "</f>
        <v xml:space="preserve">44-3N-28-5300-0020-0000 </v>
      </c>
      <c r="AX1820">
        <v>97326</v>
      </c>
      <c r="AZ1820" t="s">
        <v>17910</v>
      </c>
      <c r="BA1820" t="s">
        <v>669</v>
      </c>
      <c r="BD1820" t="s">
        <v>2387</v>
      </c>
      <c r="BE1820" t="s">
        <v>393</v>
      </c>
      <c r="BF1820">
        <v>32097</v>
      </c>
      <c r="BG1820" t="s">
        <v>17917</v>
      </c>
      <c r="BH1820" t="s">
        <v>2388</v>
      </c>
      <c r="BI1820">
        <v>-81.539049340337499</v>
      </c>
      <c r="BJ1820">
        <v>30.663472809145102</v>
      </c>
      <c r="BK1820" t="s">
        <v>17918</v>
      </c>
      <c r="BL1820" t="s">
        <v>17919</v>
      </c>
      <c r="BM1820" t="s">
        <v>17917</v>
      </c>
      <c r="BN1820" t="s">
        <v>1778</v>
      </c>
      <c r="BO1820">
        <v>32097</v>
      </c>
      <c r="BP1820" t="s">
        <v>416</v>
      </c>
      <c r="BQ1820">
        <v>200</v>
      </c>
      <c r="BR1820" t="s">
        <v>405</v>
      </c>
      <c r="BS1820">
        <v>1006</v>
      </c>
      <c r="BT1820" t="s">
        <v>406</v>
      </c>
      <c r="BW1820">
        <v>43995</v>
      </c>
      <c r="BX1820" t="s">
        <v>407</v>
      </c>
      <c r="BY1820" t="s">
        <v>408</v>
      </c>
      <c r="BZ1820">
        <v>4</v>
      </c>
      <c r="CA1820">
        <v>1995</v>
      </c>
      <c r="CC1820">
        <v>1</v>
      </c>
      <c r="CD1820">
        <v>2017</v>
      </c>
      <c r="CG1820">
        <v>50223</v>
      </c>
      <c r="CH1820">
        <v>2017</v>
      </c>
      <c r="CI1820">
        <v>25250</v>
      </c>
      <c r="CJ1820">
        <v>30449</v>
      </c>
      <c r="CK1820">
        <v>55699</v>
      </c>
      <c r="CL1820">
        <v>2017</v>
      </c>
      <c r="CM1820">
        <v>379.95</v>
      </c>
      <c r="CN1820" s="1">
        <v>36794</v>
      </c>
      <c r="CO1820">
        <v>35000</v>
      </c>
      <c r="CV1820">
        <v>95675</v>
      </c>
      <c r="CX1820" t="s">
        <v>2501</v>
      </c>
      <c r="CZ1820" s="1">
        <v>36794</v>
      </c>
      <c r="DA1820">
        <v>0</v>
      </c>
      <c r="DD1820" t="s">
        <v>2387</v>
      </c>
      <c r="DF1820">
        <v>20</v>
      </c>
      <c r="DG1820">
        <v>44</v>
      </c>
      <c r="DL1820">
        <v>50301</v>
      </c>
      <c r="DM1820" t="s">
        <v>17106</v>
      </c>
      <c r="DO1820" t="s">
        <v>17920</v>
      </c>
      <c r="DP1820">
        <v>0</v>
      </c>
      <c r="DQ1820">
        <v>0</v>
      </c>
      <c r="DR1820" t="s">
        <v>411</v>
      </c>
      <c r="DS1820" t="b">
        <v>1</v>
      </c>
      <c r="DT1820" t="s">
        <v>470</v>
      </c>
      <c r="DU1820" t="s">
        <v>471</v>
      </c>
      <c r="DV1820" t="s">
        <v>472</v>
      </c>
      <c r="DX1820">
        <v>-9999</v>
      </c>
      <c r="DZ1820" t="s">
        <v>447</v>
      </c>
      <c r="EA1820" t="s">
        <v>448</v>
      </c>
      <c r="EB1820" t="s">
        <v>742</v>
      </c>
      <c r="EC1820">
        <v>20101217</v>
      </c>
      <c r="ED1820" t="s">
        <v>474</v>
      </c>
      <c r="EF1820">
        <v>2090.6999999999998</v>
      </c>
      <c r="EG1820">
        <v>1992.5</v>
      </c>
      <c r="EI1820">
        <v>20160407</v>
      </c>
      <c r="EJ1820">
        <v>0</v>
      </c>
      <c r="EK1820">
        <v>0</v>
      </c>
      <c r="EP1820" t="s">
        <v>421</v>
      </c>
      <c r="EQ1820" t="s">
        <v>452</v>
      </c>
      <c r="ER1820">
        <v>0</v>
      </c>
      <c r="ES1820">
        <v>10</v>
      </c>
      <c r="ET1820">
        <v>0</v>
      </c>
      <c r="EU1820">
        <v>0</v>
      </c>
      <c r="EV1820">
        <v>0</v>
      </c>
      <c r="EW1820" s="2">
        <v>43222</v>
      </c>
      <c r="EX1820" s="1">
        <v>42879</v>
      </c>
      <c r="EY1820">
        <v>2016</v>
      </c>
      <c r="EZ1820">
        <v>428.6</v>
      </c>
      <c r="FA1820" t="s">
        <v>17921</v>
      </c>
      <c r="FB1820">
        <v>0.25</v>
      </c>
      <c r="FC1820" t="s">
        <v>424</v>
      </c>
      <c r="FD1820" t="s">
        <v>425</v>
      </c>
      <c r="FE1820" s="1">
        <v>42946</v>
      </c>
      <c r="FF1820">
        <v>2</v>
      </c>
      <c r="FG1820">
        <v>7400234</v>
      </c>
      <c r="FH1820" t="s">
        <v>426</v>
      </c>
      <c r="FI1820" t="s">
        <v>458</v>
      </c>
      <c r="FJ1820" s="1">
        <v>42879</v>
      </c>
      <c r="FK1820">
        <v>2016</v>
      </c>
      <c r="FL1820">
        <v>428.6</v>
      </c>
      <c r="FM1820" t="s">
        <v>17921</v>
      </c>
      <c r="FN1820">
        <v>0.25</v>
      </c>
      <c r="FO1820" t="s">
        <v>424</v>
      </c>
      <c r="FP1820" t="s">
        <v>425</v>
      </c>
      <c r="FR1820">
        <v>22</v>
      </c>
      <c r="FS1820">
        <v>7514486</v>
      </c>
      <c r="FT1820" t="s">
        <v>17922</v>
      </c>
      <c r="FU1820" t="s">
        <v>458</v>
      </c>
      <c r="FV1820" s="1">
        <v>42515</v>
      </c>
      <c r="FW1820">
        <v>2015</v>
      </c>
      <c r="FX1820">
        <v>427.54</v>
      </c>
      <c r="FY1820" t="s">
        <v>17923</v>
      </c>
      <c r="FZ1820">
        <v>0.25</v>
      </c>
      <c r="GA1820" t="s">
        <v>424</v>
      </c>
      <c r="GB1820" t="s">
        <v>425</v>
      </c>
      <c r="GD1820">
        <v>22</v>
      </c>
      <c r="GE1820">
        <v>2851116</v>
      </c>
      <c r="GF1820" t="s">
        <v>480</v>
      </c>
      <c r="GG1820" t="s">
        <v>458</v>
      </c>
      <c r="GH1820" s="1">
        <v>42515</v>
      </c>
      <c r="GI1820">
        <v>2015</v>
      </c>
      <c r="GJ1820">
        <v>427.54</v>
      </c>
      <c r="GK1820" t="s">
        <v>17923</v>
      </c>
      <c r="GL1820">
        <v>0.25</v>
      </c>
      <c r="GM1820" t="s">
        <v>424</v>
      </c>
      <c r="GN1820" t="s">
        <v>425</v>
      </c>
      <c r="GP1820">
        <v>22</v>
      </c>
      <c r="GQ1820">
        <v>4890752</v>
      </c>
      <c r="GR1820" t="s">
        <v>17924</v>
      </c>
      <c r="GS1820" t="s">
        <v>458</v>
      </c>
      <c r="GT1820" s="1">
        <v>42151</v>
      </c>
      <c r="GU1820">
        <v>2014</v>
      </c>
      <c r="GV1820">
        <v>422.95</v>
      </c>
      <c r="GW1820" t="s">
        <v>17925</v>
      </c>
      <c r="GX1820">
        <v>0.25</v>
      </c>
      <c r="GY1820" t="s">
        <v>424</v>
      </c>
      <c r="GZ1820" t="s">
        <v>425</v>
      </c>
      <c r="HB1820">
        <v>22</v>
      </c>
      <c r="HC1820">
        <v>2851116</v>
      </c>
      <c r="HD1820" t="s">
        <v>480</v>
      </c>
      <c r="HE1820" t="s">
        <v>458</v>
      </c>
      <c r="HF1820" s="1">
        <v>42151</v>
      </c>
      <c r="HG1820">
        <v>2014</v>
      </c>
      <c r="HH1820">
        <v>422.95</v>
      </c>
      <c r="HI1820" t="s">
        <v>17925</v>
      </c>
      <c r="HJ1820">
        <v>0.25</v>
      </c>
      <c r="HK1820" t="s">
        <v>424</v>
      </c>
      <c r="HL1820" t="s">
        <v>425</v>
      </c>
      <c r="HN1820">
        <v>22</v>
      </c>
      <c r="HO1820">
        <v>4930576</v>
      </c>
      <c r="HP1820" t="s">
        <v>17926</v>
      </c>
      <c r="HQ1820" t="s">
        <v>458</v>
      </c>
      <c r="HR1820" s="1">
        <v>41787</v>
      </c>
      <c r="HS1820">
        <v>2013</v>
      </c>
      <c r="HT1820">
        <v>477.43</v>
      </c>
      <c r="HU1820" t="s">
        <v>17927</v>
      </c>
      <c r="HV1820">
        <v>0.25</v>
      </c>
      <c r="HW1820" t="s">
        <v>424</v>
      </c>
      <c r="HX1820" t="s">
        <v>425</v>
      </c>
      <c r="HY1820" s="1">
        <v>41863</v>
      </c>
      <c r="HZ1820">
        <v>3</v>
      </c>
      <c r="IA1820">
        <v>10125</v>
      </c>
      <c r="IB1820" t="s">
        <v>440</v>
      </c>
      <c r="ID1820" s="1">
        <v>41423</v>
      </c>
      <c r="IE1820">
        <v>2012</v>
      </c>
      <c r="IF1820">
        <v>867.27</v>
      </c>
      <c r="IG1820" t="s">
        <v>17928</v>
      </c>
      <c r="IH1820">
        <v>0.25</v>
      </c>
      <c r="II1820" t="s">
        <v>424</v>
      </c>
      <c r="IJ1820" t="s">
        <v>425</v>
      </c>
      <c r="IK1820" s="1">
        <v>41863</v>
      </c>
      <c r="IL1820">
        <v>15</v>
      </c>
      <c r="IM1820">
        <v>1625515</v>
      </c>
      <c r="IN1820" t="s">
        <v>487</v>
      </c>
      <c r="IP1820" s="1">
        <v>41052</v>
      </c>
      <c r="IQ1820">
        <v>2011</v>
      </c>
      <c r="IR1820">
        <v>1032.2</v>
      </c>
      <c r="IS1820" t="s">
        <v>17929</v>
      </c>
      <c r="IT1820">
        <v>6</v>
      </c>
      <c r="IU1820" t="s">
        <v>424</v>
      </c>
      <c r="IV1820" t="s">
        <v>425</v>
      </c>
      <c r="IW1820" s="1">
        <v>41863</v>
      </c>
      <c r="IX1820">
        <v>27</v>
      </c>
      <c r="IY1820">
        <v>375</v>
      </c>
      <c r="IZ1820" t="s">
        <v>776</v>
      </c>
      <c r="JB1820" s="1">
        <v>40688</v>
      </c>
      <c r="JC1820">
        <v>2010</v>
      </c>
      <c r="JD1820">
        <v>1188.57</v>
      </c>
      <c r="JE1820" t="s">
        <v>17930</v>
      </c>
      <c r="JF1820">
        <v>5.75</v>
      </c>
      <c r="JG1820" t="s">
        <v>424</v>
      </c>
      <c r="JH1820" t="s">
        <v>425</v>
      </c>
      <c r="JI1820" s="1">
        <v>41361</v>
      </c>
      <c r="JJ1820">
        <v>22</v>
      </c>
      <c r="JK1820">
        <v>305</v>
      </c>
      <c r="JL1820" t="s">
        <v>1078</v>
      </c>
    </row>
    <row r="1821" spans="1:272" x14ac:dyDescent="0.25">
      <c r="A1821">
        <v>16486828</v>
      </c>
      <c r="B1821">
        <v>1820</v>
      </c>
      <c r="C1821" t="s">
        <v>393</v>
      </c>
      <c r="D1821" t="s">
        <v>394</v>
      </c>
      <c r="F1821" t="str">
        <f>"45-3N-28-0000-0003-0130"</f>
        <v>45-3N-28-0000-0003-0130</v>
      </c>
      <c r="H1821" t="str">
        <f>""</f>
        <v/>
      </c>
      <c r="I1821" t="str">
        <f>""</f>
        <v/>
      </c>
      <c r="J1821" t="str">
        <f>""</f>
        <v/>
      </c>
      <c r="K1821" t="str">
        <f>"OFF OPAL AV"</f>
        <v>OFF OPAL AV</v>
      </c>
      <c r="L1821" t="str">
        <f t="shared" si="669"/>
        <v>YULEE FL 32097</v>
      </c>
      <c r="M1821" t="str">
        <f>"IN OR 1397/134 EX 3-14"</f>
        <v>IN OR 1397/134 EX 3-14</v>
      </c>
      <c r="N1821" t="str">
        <f>""</f>
        <v/>
      </c>
      <c r="O1821" t="str">
        <f>"52103"</f>
        <v>52103</v>
      </c>
      <c r="P1821" t="str">
        <f t="shared" si="671"/>
        <v>2017</v>
      </c>
      <c r="Q1821" t="str">
        <f>""</f>
        <v/>
      </c>
      <c r="R1821" t="str">
        <f>"N"</f>
        <v>N</v>
      </c>
      <c r="S1821" t="str">
        <f>"3.35"</f>
        <v>3.35</v>
      </c>
      <c r="T1821" t="str">
        <f>"1374.65"</f>
        <v>1374.65</v>
      </c>
      <c r="U1821" t="str">
        <f>"90803.00"</f>
        <v>90803.00</v>
      </c>
      <c r="V1821" t="str">
        <f>"90803.00"</f>
        <v>90803.00</v>
      </c>
      <c r="W1821" t="str">
        <f t="shared" si="672"/>
        <v>2017</v>
      </c>
      <c r="X1821" t="str">
        <f>"14.25"</f>
        <v>14.25</v>
      </c>
      <c r="Y1821" t="str">
        <f>"333.17"</f>
        <v>333.17</v>
      </c>
      <c r="Z1821" t="str">
        <f>""</f>
        <v/>
      </c>
      <c r="AA1821" t="str">
        <f>"90803.00"</f>
        <v>90803.00</v>
      </c>
      <c r="AB1821" t="str">
        <f t="shared" si="673"/>
        <v>Residential</v>
      </c>
      <c r="AC1821" t="str">
        <f>"1"</f>
        <v>1</v>
      </c>
      <c r="AD1821" t="str">
        <f>""</f>
        <v/>
      </c>
      <c r="AE1821" t="str">
        <f>""</f>
        <v/>
      </c>
      <c r="AF1821" t="str">
        <f>"000"</f>
        <v>000</v>
      </c>
      <c r="AG1821" t="str">
        <f>""</f>
        <v/>
      </c>
      <c r="AH1821" t="str">
        <f>"145926.00"</f>
        <v>145926.00</v>
      </c>
      <c r="AI1821" t="str">
        <f>"90803.00"</f>
        <v>90803.00</v>
      </c>
      <c r="AJ1821" t="str">
        <f>"C55-000-588-9745-5"</f>
        <v>C55-000-588-9745-5</v>
      </c>
      <c r="AK1821" t="str">
        <f>"32755"</f>
        <v>32755</v>
      </c>
      <c r="AL1821">
        <v>7</v>
      </c>
      <c r="AM1821">
        <v>2074</v>
      </c>
      <c r="AN1821">
        <v>348.23</v>
      </c>
      <c r="AQ1821" t="s">
        <v>17931</v>
      </c>
      <c r="AR1821" t="s">
        <v>17931</v>
      </c>
      <c r="AS1821" t="s">
        <v>17931</v>
      </c>
      <c r="AU1821" t="s">
        <v>396</v>
      </c>
      <c r="AV1821">
        <v>2017</v>
      </c>
      <c r="AW1821" t="str">
        <f>"45-3N-28-0000-0003-0130 "</f>
        <v xml:space="preserve">45-3N-28-0000-0003-0130 </v>
      </c>
      <c r="AZ1821" t="s">
        <v>17932</v>
      </c>
      <c r="BA1821" t="s">
        <v>1122</v>
      </c>
      <c r="BD1821" t="s">
        <v>2387</v>
      </c>
      <c r="BE1821" t="s">
        <v>393</v>
      </c>
      <c r="BF1821">
        <v>32097</v>
      </c>
      <c r="BG1821" t="s">
        <v>17933</v>
      </c>
      <c r="BH1821" t="s">
        <v>2388</v>
      </c>
      <c r="BI1821">
        <v>-81.526290580780199</v>
      </c>
      <c r="BJ1821">
        <v>30.633181463952202</v>
      </c>
      <c r="BK1821" t="s">
        <v>17934</v>
      </c>
      <c r="BM1821" t="s">
        <v>17935</v>
      </c>
      <c r="BN1821" t="s">
        <v>1778</v>
      </c>
      <c r="BO1821">
        <v>32041</v>
      </c>
      <c r="BP1821" t="s">
        <v>404</v>
      </c>
      <c r="BQ1821">
        <v>0</v>
      </c>
      <c r="BR1821" t="s">
        <v>491</v>
      </c>
      <c r="BS1821">
        <v>8001</v>
      </c>
      <c r="BT1821" t="s">
        <v>492</v>
      </c>
      <c r="BW1821">
        <v>145926</v>
      </c>
      <c r="BX1821" t="s">
        <v>407</v>
      </c>
      <c r="BY1821" t="s">
        <v>2729</v>
      </c>
      <c r="CD1821">
        <v>2017</v>
      </c>
      <c r="CE1821">
        <v>90803</v>
      </c>
      <c r="CG1821">
        <v>90803</v>
      </c>
      <c r="CH1821">
        <v>2017</v>
      </c>
      <c r="CI1821">
        <v>90803</v>
      </c>
      <c r="CK1821">
        <v>90803</v>
      </c>
      <c r="CL1821">
        <v>2017</v>
      </c>
      <c r="CM1821">
        <v>1374.65</v>
      </c>
      <c r="CN1821" s="1">
        <v>38793</v>
      </c>
      <c r="CZ1821" s="1">
        <v>38793</v>
      </c>
      <c r="DD1821" t="s">
        <v>2387</v>
      </c>
      <c r="DG1821">
        <v>45</v>
      </c>
      <c r="DM1821" t="s">
        <v>17936</v>
      </c>
      <c r="DO1821" t="s">
        <v>17937</v>
      </c>
      <c r="DP1821">
        <v>0</v>
      </c>
      <c r="DQ1821">
        <v>0</v>
      </c>
      <c r="DR1821" t="s">
        <v>411</v>
      </c>
      <c r="DS1821" t="b">
        <v>1</v>
      </c>
      <c r="DT1821" t="s">
        <v>8902</v>
      </c>
      <c r="DV1821" t="s">
        <v>446</v>
      </c>
      <c r="DX1821">
        <v>11</v>
      </c>
      <c r="DY1821" t="s">
        <v>11438</v>
      </c>
      <c r="DZ1821" t="s">
        <v>447</v>
      </c>
      <c r="EA1821" t="s">
        <v>448</v>
      </c>
      <c r="EB1821" t="s">
        <v>17938</v>
      </c>
      <c r="EC1821">
        <v>20101217</v>
      </c>
      <c r="ED1821" t="s">
        <v>450</v>
      </c>
      <c r="EE1821">
        <v>5</v>
      </c>
      <c r="EF1821">
        <v>0</v>
      </c>
      <c r="EG1821">
        <v>0</v>
      </c>
      <c r="EH1821" t="s">
        <v>14883</v>
      </c>
      <c r="EI1821">
        <v>20160407</v>
      </c>
      <c r="EJ1821">
        <v>0</v>
      </c>
      <c r="EK1821">
        <v>0</v>
      </c>
    </row>
    <row r="1822" spans="1:272" x14ac:dyDescent="0.25">
      <c r="A1822">
        <v>16486829</v>
      </c>
      <c r="B1822">
        <v>1821</v>
      </c>
      <c r="C1822" t="s">
        <v>393</v>
      </c>
      <c r="D1822" t="s">
        <v>394</v>
      </c>
      <c r="F1822" t="str">
        <f>"45-3N-28-0240-0011-0000"</f>
        <v>45-3N-28-0240-0011-0000</v>
      </c>
      <c r="H1822" t="str">
        <f>"CAPITAL MARKETS GROUP"</f>
        <v>CAPITAL MARKETS GROUP</v>
      </c>
      <c r="I1822" t="str">
        <f>"PO BOX 16597"</f>
        <v>PO BOX 16597</v>
      </c>
      <c r="J1822" t="str">
        <f>"FERNANDINA BEACH FL 32034"</f>
        <v>FERNANDINA BEACH FL 32034</v>
      </c>
      <c r="K1822" t="str">
        <f>"96278 CAPTAINS POINTE RD"</f>
        <v>96278 CAPTAINS POINTE RD</v>
      </c>
      <c r="L1822" t="str">
        <f t="shared" si="669"/>
        <v>YULEE FL 32097</v>
      </c>
      <c r="M1822" t="str">
        <f>"LOT 11 &amp; PARCEL 13-7 SEC 38 IN OR 2050/720 CAPTAINS POINTE PB 7/109"</f>
        <v>LOT 11 &amp; PARCEL 13-7 SEC 38 IN OR 2050/720 CAPTAINS POINTE PB 7/109</v>
      </c>
      <c r="N1822" t="str">
        <f>""</f>
        <v/>
      </c>
      <c r="O1822" t="str">
        <f>"52145"</f>
        <v>52145</v>
      </c>
      <c r="P1822" t="str">
        <f t="shared" si="671"/>
        <v>2017</v>
      </c>
      <c r="Q1822" t="str">
        <f>""</f>
        <v/>
      </c>
      <c r="R1822" t="str">
        <f>"N"</f>
        <v>N</v>
      </c>
      <c r="S1822" t="str">
        <f>""</f>
        <v/>
      </c>
      <c r="T1822" t="str">
        <f>"3330.91"</f>
        <v>3330.91</v>
      </c>
      <c r="U1822" t="str">
        <f>"220025.00"</f>
        <v>220025.00</v>
      </c>
      <c r="V1822" t="str">
        <f>"220025.00"</f>
        <v>220025.00</v>
      </c>
      <c r="W1822" t="str">
        <f t="shared" si="672"/>
        <v>2017</v>
      </c>
      <c r="X1822" t="str">
        <f>"11.00"</f>
        <v>11.00</v>
      </c>
      <c r="Y1822" t="str">
        <f>"3462.84"</f>
        <v>3462.84</v>
      </c>
      <c r="Z1822" t="str">
        <f>""</f>
        <v/>
      </c>
      <c r="AA1822" t="str">
        <f>"220025.00"</f>
        <v>220025.00</v>
      </c>
      <c r="AB1822" t="str">
        <f t="shared" si="673"/>
        <v>Residential</v>
      </c>
      <c r="AC1822" t="str">
        <f t="shared" ref="AC1822:AC1885" si="682">"0"</f>
        <v>0</v>
      </c>
      <c r="AD1822" t="str">
        <f>""</f>
        <v/>
      </c>
      <c r="AE1822" t="str">
        <f>""</f>
        <v/>
      </c>
      <c r="AF1822" t="str">
        <f>"000"</f>
        <v>000</v>
      </c>
      <c r="AG1822" t="str">
        <f t="shared" ref="AG1822:AG1846" si="683">"FL"</f>
        <v>FL</v>
      </c>
      <c r="AH1822" t="str">
        <f>"-"</f>
        <v>-</v>
      </c>
      <c r="AI1822" t="str">
        <f>"220025.00"</f>
        <v>220025.00</v>
      </c>
      <c r="AJ1822" t="str">
        <f>"C55-000-589-2943-1"</f>
        <v>C55-000-589-2943-1</v>
      </c>
      <c r="AK1822" t="str">
        <f>"32794"</f>
        <v>32794</v>
      </c>
      <c r="AL1822">
        <v>7</v>
      </c>
      <c r="AM1822">
        <v>2075</v>
      </c>
      <c r="AN1822">
        <v>3634.38</v>
      </c>
      <c r="AQ1822" t="s">
        <v>17939</v>
      </c>
      <c r="AR1822" t="s">
        <v>17939</v>
      </c>
      <c r="AS1822" t="s">
        <v>17939</v>
      </c>
      <c r="AU1822" t="s">
        <v>396</v>
      </c>
      <c r="AV1822">
        <v>2017</v>
      </c>
      <c r="AW1822" t="str">
        <f>"45-3N-28-0240-0011-0000 "</f>
        <v xml:space="preserve">45-3N-28-0240-0011-0000 </v>
      </c>
      <c r="AX1822">
        <v>96278</v>
      </c>
      <c r="AZ1822" t="s">
        <v>17940</v>
      </c>
      <c r="BA1822" t="s">
        <v>496</v>
      </c>
      <c r="BD1822" t="s">
        <v>2387</v>
      </c>
      <c r="BE1822" t="s">
        <v>393</v>
      </c>
      <c r="BF1822">
        <v>32097</v>
      </c>
      <c r="BG1822" t="s">
        <v>17941</v>
      </c>
      <c r="BH1822" t="s">
        <v>2388</v>
      </c>
      <c r="BI1822">
        <v>-81.524528431115399</v>
      </c>
      <c r="BJ1822">
        <v>30.640869228990901</v>
      </c>
      <c r="BK1822" t="s">
        <v>17942</v>
      </c>
      <c r="BM1822" t="s">
        <v>17943</v>
      </c>
      <c r="BN1822" t="s">
        <v>3983</v>
      </c>
      <c r="BO1822">
        <v>32035</v>
      </c>
      <c r="BP1822" t="s">
        <v>404</v>
      </c>
      <c r="BQ1822">
        <v>0</v>
      </c>
      <c r="BR1822" t="s">
        <v>491</v>
      </c>
      <c r="BS1822">
        <v>8001</v>
      </c>
      <c r="BT1822" t="s">
        <v>492</v>
      </c>
      <c r="BW1822">
        <v>37808</v>
      </c>
      <c r="BX1822" t="s">
        <v>407</v>
      </c>
      <c r="BY1822" t="s">
        <v>2729</v>
      </c>
      <c r="CD1822">
        <v>2017</v>
      </c>
      <c r="CE1822">
        <v>220025</v>
      </c>
      <c r="CG1822">
        <v>220025</v>
      </c>
      <c r="CH1822">
        <v>2017</v>
      </c>
      <c r="CI1822">
        <v>220025</v>
      </c>
      <c r="CK1822">
        <v>220025</v>
      </c>
      <c r="CL1822">
        <v>2017</v>
      </c>
      <c r="CM1822">
        <v>3330.91</v>
      </c>
      <c r="CN1822" s="1">
        <v>42524</v>
      </c>
      <c r="CO1822">
        <v>250000</v>
      </c>
      <c r="CV1822">
        <v>170000</v>
      </c>
      <c r="CX1822" t="s">
        <v>707</v>
      </c>
      <c r="CZ1822" s="1">
        <v>42524</v>
      </c>
      <c r="DA1822">
        <v>0</v>
      </c>
      <c r="DD1822" t="s">
        <v>2387</v>
      </c>
      <c r="DF1822">
        <v>11</v>
      </c>
      <c r="DG1822">
        <v>45</v>
      </c>
      <c r="DL1822">
        <v>50303</v>
      </c>
      <c r="DM1822" t="s">
        <v>17936</v>
      </c>
      <c r="DO1822" t="s">
        <v>17944</v>
      </c>
      <c r="DP1822">
        <v>0</v>
      </c>
      <c r="DQ1822">
        <v>0</v>
      </c>
      <c r="DR1822" t="s">
        <v>411</v>
      </c>
      <c r="EP1822" t="s">
        <v>421</v>
      </c>
      <c r="EQ1822" t="s">
        <v>422</v>
      </c>
      <c r="ER1822">
        <v>0</v>
      </c>
      <c r="ES1822">
        <v>2</v>
      </c>
      <c r="ET1822">
        <v>0</v>
      </c>
      <c r="EU1822">
        <v>0</v>
      </c>
      <c r="EV1822">
        <v>0</v>
      </c>
      <c r="EW1822" s="2">
        <v>43222</v>
      </c>
      <c r="EX1822" s="1">
        <v>42879</v>
      </c>
      <c r="EY1822">
        <v>2016</v>
      </c>
      <c r="EZ1822">
        <v>2102.67</v>
      </c>
      <c r="FA1822" t="s">
        <v>17945</v>
      </c>
      <c r="FB1822">
        <v>0.25</v>
      </c>
      <c r="FC1822" t="s">
        <v>424</v>
      </c>
      <c r="FD1822" t="s">
        <v>425</v>
      </c>
      <c r="FE1822" s="1">
        <v>43194</v>
      </c>
      <c r="FF1822">
        <v>11</v>
      </c>
      <c r="FG1822">
        <v>5857474</v>
      </c>
      <c r="FH1822" t="s">
        <v>900</v>
      </c>
      <c r="FJ1822" s="1">
        <v>42879</v>
      </c>
      <c r="FK1822">
        <v>2016</v>
      </c>
      <c r="FL1822">
        <v>2102.67</v>
      </c>
      <c r="FM1822" t="s">
        <v>17945</v>
      </c>
      <c r="FN1822">
        <v>0.25</v>
      </c>
      <c r="FO1822" t="s">
        <v>424</v>
      </c>
      <c r="FP1822" t="s">
        <v>425</v>
      </c>
      <c r="FR1822">
        <v>22</v>
      </c>
      <c r="FS1822">
        <v>6576796</v>
      </c>
      <c r="FT1822" t="s">
        <v>17946</v>
      </c>
    </row>
    <row r="1823" spans="1:272" x14ac:dyDescent="0.25">
      <c r="A1823">
        <v>16486830</v>
      </c>
      <c r="B1823">
        <v>1822</v>
      </c>
      <c r="C1823" t="s">
        <v>393</v>
      </c>
      <c r="D1823" t="s">
        <v>394</v>
      </c>
      <c r="F1823" t="str">
        <f>"46-3N-28-0000-0007-0450"</f>
        <v>46-3N-28-0000-0007-0450</v>
      </c>
      <c r="H1823" t="str">
        <f>"SCOTT STANLEY V (1/2 INT) &amp; SCOTT STANLEY V TRUSTEE OF GLADYS T SCOTT REV TRUST"</f>
        <v>SCOTT STANLEY V (1/2 INT) &amp; SCOTT STANLEY V TRUSTEE OF GLADYS T SCOTT REV TRUST</v>
      </c>
      <c r="I1823" t="str">
        <f>""</f>
        <v/>
      </c>
      <c r="J1823" t="str">
        <f>"OCALA FL 34482"</f>
        <v>OCALA FL 34482</v>
      </c>
      <c r="K1823" t="str">
        <f>"BARNWELL RD"</f>
        <v>BARNWELL RD</v>
      </c>
      <c r="L1823" t="str">
        <f t="shared" ref="L1823:L1835" si="684">"FERNANDINA BEACH FL 32034"</f>
        <v>FERNANDINA BEACH FL 32034</v>
      </c>
      <c r="M1823" t="str">
        <f>"PT OF SECT SOUTH OF LANCEFORD OAKS SUB PB 5/145 PT OR 691/57 &amp; PT OR 1718/1885"</f>
        <v>PT OF SECT SOUTH OF LANCEFORD OAKS SUB PB 5/145 PT OR 691/57 &amp; PT OR 1718/1885</v>
      </c>
      <c r="N1823" t="str">
        <f>""</f>
        <v/>
      </c>
      <c r="O1823" t="str">
        <f>"52792"</f>
        <v>52792</v>
      </c>
      <c r="P1823" t="str">
        <f t="shared" si="671"/>
        <v>2017</v>
      </c>
      <c r="Q1823" t="str">
        <f>""</f>
        <v/>
      </c>
      <c r="R1823" t="str">
        <f>"N"</f>
        <v>N</v>
      </c>
      <c r="S1823" t="str">
        <f>"0.64"</f>
        <v>0.64</v>
      </c>
      <c r="T1823" t="str">
        <f>"203.46"</f>
        <v>203.46</v>
      </c>
      <c r="U1823" t="str">
        <f>"13440.00"</f>
        <v>13440.00</v>
      </c>
      <c r="V1823" t="str">
        <f>"13440.00"</f>
        <v>13440.00</v>
      </c>
      <c r="W1823" t="str">
        <f t="shared" si="672"/>
        <v>2017</v>
      </c>
      <c r="X1823" t="str">
        <f>""</f>
        <v/>
      </c>
      <c r="Y1823" t="str">
        <f>"241.56"</f>
        <v>241.56</v>
      </c>
      <c r="Z1823" t="str">
        <f>""</f>
        <v/>
      </c>
      <c r="AA1823" t="str">
        <f>"13440.00"</f>
        <v>13440.00</v>
      </c>
      <c r="AB1823" t="str">
        <f t="shared" si="673"/>
        <v>Residential</v>
      </c>
      <c r="AC1823" t="str">
        <f t="shared" si="682"/>
        <v>0</v>
      </c>
      <c r="AD1823" t="str">
        <f>""</f>
        <v/>
      </c>
      <c r="AE1823" t="str">
        <f>""</f>
        <v/>
      </c>
      <c r="AF1823" t="str">
        <f>"000"</f>
        <v>000</v>
      </c>
      <c r="AG1823" t="str">
        <f t="shared" si="683"/>
        <v>FL</v>
      </c>
      <c r="AH1823" t="str">
        <f>"27878.00"</f>
        <v>27878.00</v>
      </c>
      <c r="AI1823" t="str">
        <f>"13440.00"</f>
        <v>13440.00</v>
      </c>
      <c r="AJ1823" t="str">
        <f>"C55-000-588-9793-5"</f>
        <v>C55-000-588-9793-5</v>
      </c>
      <c r="AK1823" t="str">
        <f>"32907"</f>
        <v>32907</v>
      </c>
      <c r="AL1823">
        <v>7</v>
      </c>
      <c r="AM1823">
        <v>2076</v>
      </c>
      <c r="AN1823">
        <v>252.04</v>
      </c>
      <c r="AQ1823" t="s">
        <v>17947</v>
      </c>
      <c r="AR1823" t="s">
        <v>17947</v>
      </c>
      <c r="AS1823" t="s">
        <v>17947</v>
      </c>
      <c r="AU1823" t="s">
        <v>396</v>
      </c>
      <c r="AV1823">
        <v>2017</v>
      </c>
      <c r="AW1823" t="str">
        <f>"46-3N-28-0000-0007-0450 "</f>
        <v xml:space="preserve">46-3N-28-0000-0007-0450 </v>
      </c>
      <c r="AZ1823" t="s">
        <v>16146</v>
      </c>
      <c r="BA1823" t="s">
        <v>496</v>
      </c>
      <c r="BD1823" t="s">
        <v>11749</v>
      </c>
      <c r="BE1823" t="s">
        <v>393</v>
      </c>
      <c r="BF1823">
        <v>32034</v>
      </c>
      <c r="BG1823" t="s">
        <v>16147</v>
      </c>
      <c r="BH1823" t="s">
        <v>11751</v>
      </c>
      <c r="BI1823">
        <v>-81.514711539116504</v>
      </c>
      <c r="BJ1823">
        <v>30.641098122757001</v>
      </c>
      <c r="BK1823" t="s">
        <v>17948</v>
      </c>
      <c r="BL1823" t="s">
        <v>17949</v>
      </c>
      <c r="BM1823" t="s">
        <v>17950</v>
      </c>
      <c r="BN1823" t="s">
        <v>3983</v>
      </c>
      <c r="BO1823">
        <v>32034</v>
      </c>
      <c r="BP1823" t="s">
        <v>404</v>
      </c>
      <c r="BQ1823">
        <v>0</v>
      </c>
      <c r="BR1823" t="s">
        <v>491</v>
      </c>
      <c r="BS1823">
        <v>8001</v>
      </c>
      <c r="BT1823" t="s">
        <v>492</v>
      </c>
      <c r="BW1823">
        <v>27878</v>
      </c>
      <c r="BX1823" t="s">
        <v>407</v>
      </c>
      <c r="CD1823">
        <v>2017</v>
      </c>
      <c r="CE1823">
        <v>13440</v>
      </c>
      <c r="CG1823">
        <v>13440</v>
      </c>
      <c r="CH1823">
        <v>2017</v>
      </c>
      <c r="CI1823">
        <v>13440</v>
      </c>
      <c r="CK1823">
        <v>13440</v>
      </c>
      <c r="CL1823">
        <v>2017</v>
      </c>
      <c r="CM1823">
        <v>203.46</v>
      </c>
      <c r="CN1823" s="1">
        <v>40548</v>
      </c>
      <c r="CZ1823" s="1">
        <v>40548</v>
      </c>
      <c r="DD1823" t="s">
        <v>11749</v>
      </c>
      <c r="DG1823">
        <v>46</v>
      </c>
      <c r="DJ1823" t="s">
        <v>17951</v>
      </c>
      <c r="DL1823">
        <v>50303</v>
      </c>
      <c r="DM1823" t="s">
        <v>17952</v>
      </c>
      <c r="DO1823" t="s">
        <v>17953</v>
      </c>
      <c r="DP1823">
        <v>0</v>
      </c>
      <c r="DQ1823">
        <v>0</v>
      </c>
      <c r="DR1823" t="s">
        <v>411</v>
      </c>
    </row>
    <row r="1824" spans="1:272" x14ac:dyDescent="0.25">
      <c r="A1824">
        <v>16486831</v>
      </c>
      <c r="B1824">
        <v>1823</v>
      </c>
      <c r="C1824" t="s">
        <v>393</v>
      </c>
      <c r="D1824" t="s">
        <v>394</v>
      </c>
      <c r="F1824" t="str">
        <f>"46-3N-28-5055-0005-0000"</f>
        <v>46-3N-28-5055-0005-0000</v>
      </c>
      <c r="H1824" t="str">
        <f>"4-Y PROPERTIES LLC"</f>
        <v>4-Y PROPERTIES LLC</v>
      </c>
      <c r="I1824" t="str">
        <f>"96203 MARSH HEN RD"</f>
        <v>96203 MARSH HEN RD</v>
      </c>
      <c r="J1824" t="str">
        <f t="shared" ref="J1824:J1833" si="685">"FERNANDINA BEACH FL 32034"</f>
        <v>FERNANDINA BEACH FL 32034</v>
      </c>
      <c r="K1824" t="str">
        <f>"96203 MARSH HEN RD"</f>
        <v>96203 MARSH HEN RD</v>
      </c>
      <c r="L1824" t="str">
        <f t="shared" si="684"/>
        <v>FERNANDINA BEACH FL 32034</v>
      </c>
      <c r="M1824" t="str">
        <f>"LOTS 5 &amp; 6 IN OR 2033/1048 BARNWELL PLANTATION PB 5/34"</f>
        <v>LOTS 5 &amp; 6 IN OR 2033/1048 BARNWELL PLANTATION PB 5/34</v>
      </c>
      <c r="N1824" t="str">
        <f>""</f>
        <v/>
      </c>
      <c r="O1824" t="str">
        <f>"52804"</f>
        <v>52804</v>
      </c>
      <c r="P1824" t="str">
        <f t="shared" si="671"/>
        <v>2017</v>
      </c>
      <c r="Q1824" t="str">
        <f>""</f>
        <v/>
      </c>
      <c r="R1824" t="str">
        <f>"N"</f>
        <v>N</v>
      </c>
      <c r="S1824" t="str">
        <f>""</f>
        <v/>
      </c>
      <c r="T1824" t="str">
        <f>"7369.57"</f>
        <v>7369.57</v>
      </c>
      <c r="U1824" t="str">
        <f>"486800.00"</f>
        <v>486800.00</v>
      </c>
      <c r="V1824" t="str">
        <f>"486800.00"</f>
        <v>486800.00</v>
      </c>
      <c r="W1824" t="str">
        <f t="shared" si="672"/>
        <v>2017</v>
      </c>
      <c r="X1824" t="str">
        <f>""</f>
        <v/>
      </c>
      <c r="Y1824" t="str">
        <f>"7622.66"</f>
        <v>7622.66</v>
      </c>
      <c r="Z1824" t="str">
        <f>""</f>
        <v/>
      </c>
      <c r="AA1824" t="str">
        <f>"486800.00"</f>
        <v>486800.00</v>
      </c>
      <c r="AB1824" t="str">
        <f t="shared" si="673"/>
        <v>Residential</v>
      </c>
      <c r="AC1824" t="str">
        <f t="shared" si="682"/>
        <v>0</v>
      </c>
      <c r="AD1824" t="str">
        <f>"4"</f>
        <v>4</v>
      </c>
      <c r="AE1824" t="str">
        <f>"WOOD (INCLUDE STEEL STUDS)"</f>
        <v>WOOD (INCLUDE STEEL STUDS)</v>
      </c>
      <c r="AF1824" t="str">
        <f>"001"</f>
        <v>001</v>
      </c>
      <c r="AG1824" t="str">
        <f t="shared" si="683"/>
        <v>FL</v>
      </c>
      <c r="AH1824" t="str">
        <f>"131987.00"</f>
        <v>131987.00</v>
      </c>
      <c r="AI1824" t="str">
        <f>"321000.00"</f>
        <v>321000.00</v>
      </c>
      <c r="AJ1824" t="str">
        <f>"C55-000-588-5593-3"</f>
        <v>C55-000-588-5593-3</v>
      </c>
      <c r="AK1824" t="str">
        <f>"32918"</f>
        <v>32918</v>
      </c>
      <c r="AL1824">
        <v>7</v>
      </c>
      <c r="AM1824">
        <v>2077</v>
      </c>
      <c r="AN1824">
        <v>8002.19</v>
      </c>
      <c r="AQ1824" t="s">
        <v>17954</v>
      </c>
      <c r="AR1824" t="s">
        <v>17954</v>
      </c>
      <c r="AS1824" t="s">
        <v>17954</v>
      </c>
      <c r="AU1824" t="s">
        <v>396</v>
      </c>
      <c r="AV1824">
        <v>2017</v>
      </c>
      <c r="AW1824" t="str">
        <f>"46-3N-28-5055-0005-0000 "</f>
        <v xml:space="preserve">46-3N-28-5055-0005-0000 </v>
      </c>
      <c r="AX1824">
        <v>96203</v>
      </c>
      <c r="AZ1824" t="s">
        <v>17955</v>
      </c>
      <c r="BA1824" t="s">
        <v>496</v>
      </c>
      <c r="BD1824" t="s">
        <v>11749</v>
      </c>
      <c r="BE1824" t="s">
        <v>393</v>
      </c>
      <c r="BF1824">
        <v>32034</v>
      </c>
      <c r="BG1824" t="s">
        <v>17956</v>
      </c>
      <c r="BH1824" t="s">
        <v>11751</v>
      </c>
      <c r="BI1824">
        <v>-81.519238571538494</v>
      </c>
      <c r="BJ1824">
        <v>30.635542272866498</v>
      </c>
      <c r="BK1824" t="s">
        <v>17957</v>
      </c>
      <c r="BM1824" t="s">
        <v>17956</v>
      </c>
      <c r="BN1824" t="s">
        <v>3983</v>
      </c>
      <c r="BO1824">
        <v>32034</v>
      </c>
      <c r="BP1824" t="s">
        <v>416</v>
      </c>
      <c r="BQ1824">
        <v>100</v>
      </c>
      <c r="BR1824" t="s">
        <v>514</v>
      </c>
      <c r="BS1824">
        <v>1001</v>
      </c>
      <c r="BT1824" t="s">
        <v>515</v>
      </c>
      <c r="BU1824">
        <v>3210</v>
      </c>
      <c r="BV1824">
        <v>0</v>
      </c>
      <c r="BW1824">
        <v>131987</v>
      </c>
      <c r="BX1824" t="s">
        <v>407</v>
      </c>
      <c r="BY1824" t="s">
        <v>2729</v>
      </c>
      <c r="BZ1824">
        <v>4</v>
      </c>
      <c r="CA1824">
        <v>1988</v>
      </c>
      <c r="CB1824">
        <v>1</v>
      </c>
      <c r="CC1824">
        <v>1</v>
      </c>
      <c r="CD1824">
        <v>2017</v>
      </c>
      <c r="CE1824">
        <v>321000</v>
      </c>
      <c r="CF1824">
        <v>165800</v>
      </c>
      <c r="CG1824">
        <v>486800</v>
      </c>
      <c r="CH1824">
        <v>2017</v>
      </c>
      <c r="CI1824">
        <v>321000</v>
      </c>
      <c r="CJ1824">
        <v>165800</v>
      </c>
      <c r="CK1824">
        <v>486800</v>
      </c>
      <c r="CL1824">
        <v>2017</v>
      </c>
      <c r="CM1824">
        <v>7369.57</v>
      </c>
      <c r="CN1824" s="1">
        <v>42440</v>
      </c>
      <c r="CO1824">
        <v>610000</v>
      </c>
      <c r="CV1824">
        <v>0</v>
      </c>
      <c r="CZ1824" s="1">
        <v>42440</v>
      </c>
      <c r="DA1824">
        <v>0</v>
      </c>
      <c r="DD1824" t="s">
        <v>11749</v>
      </c>
      <c r="DG1824">
        <v>46</v>
      </c>
      <c r="DJ1824" t="s">
        <v>17958</v>
      </c>
      <c r="DL1824">
        <v>50303</v>
      </c>
      <c r="DM1824" t="s">
        <v>17952</v>
      </c>
      <c r="DO1824" t="s">
        <v>17959</v>
      </c>
      <c r="DP1824">
        <v>0</v>
      </c>
      <c r="DQ1824">
        <v>0</v>
      </c>
      <c r="DR1824" t="s">
        <v>411</v>
      </c>
      <c r="EP1824" t="s">
        <v>421</v>
      </c>
      <c r="EQ1824" t="s">
        <v>422</v>
      </c>
      <c r="ER1824">
        <v>2</v>
      </c>
      <c r="ES1824">
        <v>0</v>
      </c>
      <c r="ET1824">
        <v>17803.88</v>
      </c>
      <c r="EU1824">
        <v>902.69</v>
      </c>
      <c r="EV1824">
        <v>18706.57</v>
      </c>
      <c r="EW1824" s="2">
        <v>43222</v>
      </c>
      <c r="EX1824" s="1">
        <v>42879</v>
      </c>
      <c r="EY1824">
        <v>2016</v>
      </c>
      <c r="EZ1824">
        <v>8901.94</v>
      </c>
      <c r="FA1824" t="s">
        <v>17960</v>
      </c>
      <c r="FB1824">
        <v>0.25</v>
      </c>
      <c r="FC1824" t="s">
        <v>424</v>
      </c>
      <c r="FD1824" t="s">
        <v>454</v>
      </c>
      <c r="FF1824">
        <v>12</v>
      </c>
      <c r="FG1824">
        <v>5856195</v>
      </c>
      <c r="FH1824" t="s">
        <v>1060</v>
      </c>
      <c r="FJ1824" s="1">
        <v>42879</v>
      </c>
      <c r="FK1824">
        <v>2016</v>
      </c>
      <c r="FL1824">
        <v>8901.94</v>
      </c>
      <c r="FM1824" t="s">
        <v>17960</v>
      </c>
      <c r="FN1824">
        <v>0.25</v>
      </c>
      <c r="FO1824" t="s">
        <v>424</v>
      </c>
      <c r="FP1824" t="s">
        <v>454</v>
      </c>
      <c r="FR1824">
        <v>12</v>
      </c>
      <c r="FS1824">
        <v>7624565</v>
      </c>
      <c r="FT1824" t="s">
        <v>17961</v>
      </c>
    </row>
    <row r="1825" spans="1:308" x14ac:dyDescent="0.25">
      <c r="A1825">
        <v>16486832</v>
      </c>
      <c r="B1825">
        <v>1824</v>
      </c>
      <c r="C1825" t="s">
        <v>393</v>
      </c>
      <c r="D1825" t="s">
        <v>394</v>
      </c>
      <c r="F1825" t="str">
        <f>"46-3N-28-5065-0001-0000"</f>
        <v>46-3N-28-5065-0001-0000</v>
      </c>
      <c r="H1825" t="str">
        <f>"GROVE NANCY ANN TRUSTEE OF THE NANCY ANN GROVE LIVING TRUST"</f>
        <v>GROVE NANCY ANN TRUSTEE OF THE NANCY ANN GROVE LIVING TRUST</v>
      </c>
      <c r="I1825" t="str">
        <f>"96082 PARK PLACE"</f>
        <v>96082 PARK PLACE</v>
      </c>
      <c r="J1825" t="str">
        <f t="shared" si="685"/>
        <v>FERNANDINA BEACH FL 32034</v>
      </c>
      <c r="K1825" t="str">
        <f>"96082 PARK PL"</f>
        <v>96082 PARK PL</v>
      </c>
      <c r="L1825" t="str">
        <f t="shared" si="684"/>
        <v>FERNANDINA BEACH FL 32034</v>
      </c>
      <c r="M1825" t="str">
        <f>"LOT 1 IN OR 2045/1856 THE COVE at OYSTER BAY PB 6/79"</f>
        <v>LOT 1 IN OR 2045/1856 THE COVE at OYSTER BAY PB 6/79</v>
      </c>
      <c r="N1825" t="str">
        <f>""</f>
        <v/>
      </c>
      <c r="O1825" t="str">
        <f>"52809"</f>
        <v>52809</v>
      </c>
      <c r="P1825" t="str">
        <f t="shared" si="671"/>
        <v>2017</v>
      </c>
      <c r="Q1825" t="str">
        <f>""</f>
        <v/>
      </c>
      <c r="R1825" t="str">
        <f>"Y"</f>
        <v>Y</v>
      </c>
      <c r="S1825" t="str">
        <f>""</f>
        <v/>
      </c>
      <c r="T1825" t="str">
        <f>"3604.83"</f>
        <v>3604.83</v>
      </c>
      <c r="U1825" t="str">
        <f>"277222.00"</f>
        <v>277222.00</v>
      </c>
      <c r="V1825" t="str">
        <f>"277222.00"</f>
        <v>277222.00</v>
      </c>
      <c r="W1825" t="str">
        <f t="shared" si="672"/>
        <v>2017</v>
      </c>
      <c r="X1825" t="str">
        <f>""</f>
        <v/>
      </c>
      <c r="Y1825" t="str">
        <f>"3744.97"</f>
        <v>3744.97</v>
      </c>
      <c r="Z1825" t="str">
        <f>"25000.00"</f>
        <v>25000.00</v>
      </c>
      <c r="AA1825" t="str">
        <f>"252222.00"</f>
        <v>252222.00</v>
      </c>
      <c r="AB1825" t="str">
        <f t="shared" si="673"/>
        <v>Residential</v>
      </c>
      <c r="AC1825" t="str">
        <f t="shared" si="682"/>
        <v>0</v>
      </c>
      <c r="AD1825" t="str">
        <f>"4"</f>
        <v>4</v>
      </c>
      <c r="AE1825" t="str">
        <f>"WOOD (INCLUDE STEEL STUDS)"</f>
        <v>WOOD (INCLUDE STEEL STUDS)</v>
      </c>
      <c r="AF1825" t="str">
        <f>"001"</f>
        <v>001</v>
      </c>
      <c r="AG1825" t="str">
        <f t="shared" si="683"/>
        <v>FL</v>
      </c>
      <c r="AH1825" t="str">
        <f>"-"</f>
        <v>-</v>
      </c>
      <c r="AI1825" t="str">
        <f>"75000.00"</f>
        <v>75000.00</v>
      </c>
      <c r="AJ1825" t="str">
        <f>"C55-000-588-5596-6"</f>
        <v>C55-000-588-5596-6</v>
      </c>
      <c r="AK1825" t="str">
        <f>"32922"</f>
        <v>32922</v>
      </c>
      <c r="AL1825">
        <v>7</v>
      </c>
      <c r="AM1825">
        <v>2078</v>
      </c>
      <c r="AN1825">
        <v>3930.62</v>
      </c>
      <c r="AQ1825" t="s">
        <v>17962</v>
      </c>
      <c r="AR1825" t="s">
        <v>17962</v>
      </c>
      <c r="AS1825" t="s">
        <v>17962</v>
      </c>
      <c r="AU1825" t="s">
        <v>396</v>
      </c>
      <c r="AV1825">
        <v>2017</v>
      </c>
      <c r="AW1825" t="str">
        <f>"46-3N-28-5065-0001-0000 "</f>
        <v xml:space="preserve">46-3N-28-5065-0001-0000 </v>
      </c>
      <c r="AX1825">
        <v>96082</v>
      </c>
      <c r="AZ1825" t="s">
        <v>17963</v>
      </c>
      <c r="BA1825" t="s">
        <v>641</v>
      </c>
      <c r="BD1825" t="s">
        <v>11749</v>
      </c>
      <c r="BE1825" t="s">
        <v>393</v>
      </c>
      <c r="BF1825">
        <v>32034</v>
      </c>
      <c r="BG1825" t="s">
        <v>13514</v>
      </c>
      <c r="BH1825" t="s">
        <v>11751</v>
      </c>
      <c r="BI1825">
        <v>-81.509938087976096</v>
      </c>
      <c r="BJ1825">
        <v>30.6533923731035</v>
      </c>
      <c r="BK1825" t="s">
        <v>13512</v>
      </c>
      <c r="BL1825" t="s">
        <v>13513</v>
      </c>
      <c r="BM1825" t="s">
        <v>13514</v>
      </c>
      <c r="BN1825" t="s">
        <v>3983</v>
      </c>
      <c r="BO1825">
        <v>32034</v>
      </c>
      <c r="BP1825" t="s">
        <v>416</v>
      </c>
      <c r="BQ1825">
        <v>100</v>
      </c>
      <c r="BR1825" t="s">
        <v>514</v>
      </c>
      <c r="BS1825">
        <v>1001</v>
      </c>
      <c r="BT1825" t="s">
        <v>515</v>
      </c>
      <c r="BW1825">
        <v>19049</v>
      </c>
      <c r="BX1825" t="s">
        <v>407</v>
      </c>
      <c r="BY1825" t="s">
        <v>3019</v>
      </c>
      <c r="BZ1825">
        <v>4</v>
      </c>
      <c r="CA1825">
        <v>1998</v>
      </c>
      <c r="CB1825">
        <v>2</v>
      </c>
      <c r="CC1825">
        <v>1</v>
      </c>
      <c r="CD1825">
        <v>2017</v>
      </c>
      <c r="CG1825">
        <v>277222</v>
      </c>
      <c r="CH1825">
        <v>2017</v>
      </c>
      <c r="CI1825">
        <v>75000</v>
      </c>
      <c r="CJ1825">
        <v>255318</v>
      </c>
      <c r="CK1825">
        <v>330318</v>
      </c>
      <c r="CL1825">
        <v>2017</v>
      </c>
      <c r="CM1825">
        <v>3604.83</v>
      </c>
      <c r="CN1825" s="1">
        <v>37334</v>
      </c>
      <c r="CO1825">
        <v>370000</v>
      </c>
      <c r="CV1825">
        <v>760000</v>
      </c>
      <c r="CZ1825" s="1">
        <v>37334</v>
      </c>
      <c r="DA1825">
        <v>0</v>
      </c>
      <c r="DD1825" t="s">
        <v>11749</v>
      </c>
      <c r="DF1825">
        <v>1</v>
      </c>
      <c r="DG1825">
        <v>46</v>
      </c>
      <c r="DJ1825" t="s">
        <v>17964</v>
      </c>
      <c r="DL1825">
        <v>50303</v>
      </c>
      <c r="DM1825" t="s">
        <v>17952</v>
      </c>
      <c r="DO1825" t="s">
        <v>17965</v>
      </c>
      <c r="DP1825">
        <v>0</v>
      </c>
      <c r="DQ1825">
        <v>0</v>
      </c>
      <c r="DR1825" t="s">
        <v>411</v>
      </c>
    </row>
    <row r="1826" spans="1:308" x14ac:dyDescent="0.25">
      <c r="A1826">
        <v>16486833</v>
      </c>
      <c r="B1826">
        <v>1825</v>
      </c>
      <c r="C1826" t="s">
        <v>393</v>
      </c>
      <c r="D1826" t="s">
        <v>394</v>
      </c>
      <c r="F1826" t="str">
        <f>"46-3N-28-5065-0002-0000"</f>
        <v>46-3N-28-5065-0002-0000</v>
      </c>
      <c r="H1826" t="str">
        <f>"GROVE NANCY ANN TRUSTEE OF THE NANCY ANN GROVE LIVING TRUST"</f>
        <v>GROVE NANCY ANN TRUSTEE OF THE NANCY ANN GROVE LIVING TRUST</v>
      </c>
      <c r="I1826" t="str">
        <f>"96082 PARK PL"</f>
        <v>96082 PARK PL</v>
      </c>
      <c r="J1826" t="str">
        <f t="shared" si="685"/>
        <v>FERNANDINA BEACH FL 32034</v>
      </c>
      <c r="K1826" t="str">
        <f>"96090 PARK PL"</f>
        <v>96090 PARK PL</v>
      </c>
      <c r="L1826" t="str">
        <f t="shared" si="684"/>
        <v>FERNANDINA BEACH FL 32034</v>
      </c>
      <c r="M1826" t="str">
        <f>"LOT 2 IN OR 2045/1841 THE COVE at OYSTER BAY PB 6/79"</f>
        <v>LOT 2 IN OR 2045/1841 THE COVE at OYSTER BAY PB 6/79</v>
      </c>
      <c r="N1826" t="str">
        <f>""</f>
        <v/>
      </c>
      <c r="O1826" t="str">
        <f>"52810"</f>
        <v>52810</v>
      </c>
      <c r="P1826" t="str">
        <f t="shared" si="671"/>
        <v>2017</v>
      </c>
      <c r="Q1826" t="str">
        <f>""</f>
        <v/>
      </c>
      <c r="R1826" t="str">
        <f>"N"</f>
        <v>N</v>
      </c>
      <c r="S1826" t="str">
        <f>""</f>
        <v/>
      </c>
      <c r="T1826" t="str">
        <f>"1063.24"</f>
        <v>1063.24</v>
      </c>
      <c r="U1826" t="str">
        <f>"66550.00"</f>
        <v>66550.00</v>
      </c>
      <c r="V1826" t="str">
        <f>"66550.00"</f>
        <v>66550.00</v>
      </c>
      <c r="W1826" t="str">
        <f t="shared" si="672"/>
        <v>2017</v>
      </c>
      <c r="X1826" t="str">
        <f>""</f>
        <v/>
      </c>
      <c r="Y1826" t="str">
        <f>"1127.14"</f>
        <v>1127.14</v>
      </c>
      <c r="Z1826" t="str">
        <f>""</f>
        <v/>
      </c>
      <c r="AA1826" t="str">
        <f>"75000.00"</f>
        <v>75000.00</v>
      </c>
      <c r="AB1826" t="str">
        <f t="shared" si="673"/>
        <v>Residential</v>
      </c>
      <c r="AC1826" t="str">
        <f t="shared" si="682"/>
        <v>0</v>
      </c>
      <c r="AD1826" t="str">
        <f>""</f>
        <v/>
      </c>
      <c r="AE1826" t="str">
        <f>""</f>
        <v/>
      </c>
      <c r="AF1826" t="str">
        <f>"000"</f>
        <v>000</v>
      </c>
      <c r="AG1826" t="str">
        <f t="shared" si="683"/>
        <v>FL</v>
      </c>
      <c r="AH1826" t="str">
        <f>"-"</f>
        <v>-</v>
      </c>
      <c r="AI1826" t="str">
        <f>"75000.00"</f>
        <v>75000.00</v>
      </c>
      <c r="AJ1826" t="str">
        <f>"C55-000-588-5597-4"</f>
        <v>C55-000-588-5597-4</v>
      </c>
      <c r="AK1826" t="str">
        <f>"32923"</f>
        <v>32923</v>
      </c>
      <c r="AL1826">
        <v>7</v>
      </c>
      <c r="AM1826">
        <v>2079</v>
      </c>
      <c r="AN1826">
        <v>1181.9000000000001</v>
      </c>
      <c r="AQ1826" t="s">
        <v>17966</v>
      </c>
      <c r="AR1826" t="s">
        <v>17966</v>
      </c>
      <c r="AS1826" t="s">
        <v>17966</v>
      </c>
      <c r="AU1826" t="s">
        <v>396</v>
      </c>
      <c r="AV1826">
        <v>2017</v>
      </c>
      <c r="AW1826" t="str">
        <f>"46-3N-28-5065-0002-0000 "</f>
        <v xml:space="preserve">46-3N-28-5065-0002-0000 </v>
      </c>
      <c r="AX1826">
        <v>96090</v>
      </c>
      <c r="AZ1826" t="s">
        <v>17963</v>
      </c>
      <c r="BA1826" t="s">
        <v>641</v>
      </c>
      <c r="BD1826" t="s">
        <v>11749</v>
      </c>
      <c r="BE1826" t="s">
        <v>393</v>
      </c>
      <c r="BF1826">
        <v>32034</v>
      </c>
      <c r="BG1826" t="s">
        <v>17967</v>
      </c>
      <c r="BH1826" t="s">
        <v>11751</v>
      </c>
      <c r="BI1826">
        <v>-81.510175943902098</v>
      </c>
      <c r="BJ1826">
        <v>30.653242378987901</v>
      </c>
      <c r="BK1826" t="s">
        <v>13512</v>
      </c>
      <c r="BL1826" t="s">
        <v>13513</v>
      </c>
      <c r="BM1826" t="s">
        <v>13514</v>
      </c>
      <c r="BN1826" t="s">
        <v>3983</v>
      </c>
      <c r="BO1826">
        <v>32034</v>
      </c>
      <c r="BP1826" t="s">
        <v>404</v>
      </c>
      <c r="BQ1826">
        <v>0</v>
      </c>
      <c r="BR1826" t="s">
        <v>491</v>
      </c>
      <c r="BS1826">
        <v>8001</v>
      </c>
      <c r="BT1826" t="s">
        <v>492</v>
      </c>
      <c r="BW1826">
        <v>17946</v>
      </c>
      <c r="BX1826" t="s">
        <v>407</v>
      </c>
      <c r="BY1826" t="s">
        <v>3019</v>
      </c>
      <c r="CD1826">
        <v>2017</v>
      </c>
      <c r="CE1826">
        <v>75000</v>
      </c>
      <c r="CG1826">
        <v>75000</v>
      </c>
      <c r="CH1826">
        <v>2017</v>
      </c>
      <c r="CI1826">
        <v>75000</v>
      </c>
      <c r="CK1826">
        <v>75000</v>
      </c>
      <c r="CL1826">
        <v>2017</v>
      </c>
      <c r="CM1826">
        <v>1063.24</v>
      </c>
      <c r="CN1826" s="1">
        <v>39617</v>
      </c>
      <c r="CO1826">
        <v>115000</v>
      </c>
      <c r="CV1826">
        <v>0</v>
      </c>
      <c r="CZ1826" s="1">
        <v>39617</v>
      </c>
      <c r="DA1826">
        <v>0</v>
      </c>
      <c r="DD1826" t="s">
        <v>11749</v>
      </c>
      <c r="DF1826">
        <v>2</v>
      </c>
      <c r="DG1826">
        <v>46</v>
      </c>
      <c r="DJ1826" t="s">
        <v>17964</v>
      </c>
      <c r="DL1826">
        <v>50303</v>
      </c>
      <c r="DM1826" t="s">
        <v>17952</v>
      </c>
      <c r="DO1826" t="s">
        <v>17968</v>
      </c>
      <c r="DP1826">
        <v>0</v>
      </c>
      <c r="DQ1826">
        <v>0</v>
      </c>
      <c r="DR1826" t="s">
        <v>411</v>
      </c>
    </row>
    <row r="1827" spans="1:308" x14ac:dyDescent="0.25">
      <c r="A1827">
        <v>16486834</v>
      </c>
      <c r="B1827">
        <v>1826</v>
      </c>
      <c r="C1827" t="s">
        <v>393</v>
      </c>
      <c r="D1827" t="s">
        <v>394</v>
      </c>
      <c r="F1827" t="str">
        <f>"46-3N-28-507F-0001-0000"</f>
        <v>46-3N-28-507F-0001-0000</v>
      </c>
      <c r="H1827" t="str">
        <f>"COX DORIS A"</f>
        <v>COX DORIS A</v>
      </c>
      <c r="I1827" t="str">
        <f>"96033 HIDDEN MARSH LANE"</f>
        <v>96033 HIDDEN MARSH LANE</v>
      </c>
      <c r="J1827" t="str">
        <f t="shared" si="685"/>
        <v>FERNANDINA BEACH FL 32034</v>
      </c>
      <c r="K1827" t="str">
        <f>"96033 HIDDEN MARSH LN"</f>
        <v>96033 HIDDEN MARSH LN</v>
      </c>
      <c r="L1827" t="str">
        <f t="shared" si="684"/>
        <v>FERNANDINA BEACH FL 32034</v>
      </c>
      <c r="M1827" t="str">
        <f>"LOT 1 IN OR 885/644 FIDDLERS WALK PB 5/237"</f>
        <v>LOT 1 IN OR 885/644 FIDDLERS WALK PB 5/237</v>
      </c>
      <c r="N1827" t="str">
        <f>""</f>
        <v/>
      </c>
      <c r="O1827" t="str">
        <f>"52836"</f>
        <v>52836</v>
      </c>
      <c r="P1827" t="str">
        <f t="shared" si="671"/>
        <v>2017</v>
      </c>
      <c r="Q1827" t="str">
        <f>""</f>
        <v/>
      </c>
      <c r="R1827" t="str">
        <f>"Y"</f>
        <v>Y</v>
      </c>
      <c r="S1827" t="str">
        <f>""</f>
        <v/>
      </c>
      <c r="T1827" t="str">
        <f>"1274.34"</f>
        <v>1274.34</v>
      </c>
      <c r="U1827" t="str">
        <f>"123781.00"</f>
        <v>123781.00</v>
      </c>
      <c r="V1827" t="str">
        <f>"123781.00"</f>
        <v>123781.00</v>
      </c>
      <c r="W1827" t="str">
        <f t="shared" si="672"/>
        <v>2017</v>
      </c>
      <c r="X1827" t="str">
        <f>"10.57"</f>
        <v>10.57</v>
      </c>
      <c r="Y1827" t="str">
        <f>"1344.57"</f>
        <v>1344.57</v>
      </c>
      <c r="Z1827" t="str">
        <f>"25500.00"</f>
        <v>25500.00</v>
      </c>
      <c r="AA1827" t="str">
        <f>"98281.00"</f>
        <v>98281.00</v>
      </c>
      <c r="AB1827" t="str">
        <f t="shared" ref="AB1827:AB1858" si="686">"Residential"</f>
        <v>Residential</v>
      </c>
      <c r="AC1827" t="str">
        <f t="shared" si="682"/>
        <v>0</v>
      </c>
      <c r="AD1827" t="str">
        <f>"4"</f>
        <v>4</v>
      </c>
      <c r="AE1827" t="str">
        <f>"WOOD (INCLUDE STEEL STUDS)"</f>
        <v>WOOD (INCLUDE STEEL STUDS)</v>
      </c>
      <c r="AF1827" t="str">
        <f>"001"</f>
        <v>001</v>
      </c>
      <c r="AG1827" t="str">
        <f t="shared" si="683"/>
        <v>FL</v>
      </c>
      <c r="AH1827" t="str">
        <f>"-"</f>
        <v>-</v>
      </c>
      <c r="AI1827" t="str">
        <f>"40000.00"</f>
        <v>40000.00</v>
      </c>
      <c r="AJ1827" t="str">
        <f>"C55-000-588-5621-2"</f>
        <v>C55-000-588-5621-2</v>
      </c>
      <c r="AK1827" t="str">
        <f>"32947"</f>
        <v>32947</v>
      </c>
      <c r="AL1827">
        <v>7</v>
      </c>
      <c r="AM1827">
        <v>2080</v>
      </c>
      <c r="AN1827">
        <v>1410.2</v>
      </c>
      <c r="AQ1827" t="s">
        <v>17969</v>
      </c>
      <c r="AR1827" t="s">
        <v>17969</v>
      </c>
      <c r="AS1827" t="s">
        <v>17969</v>
      </c>
      <c r="AU1827" t="s">
        <v>396</v>
      </c>
      <c r="AV1827">
        <v>2017</v>
      </c>
      <c r="AW1827" t="str">
        <f>"46-3N-28-507F-0001-0000 "</f>
        <v xml:space="preserve">46-3N-28-507F-0001-0000 </v>
      </c>
      <c r="AX1827">
        <v>96033</v>
      </c>
      <c r="AZ1827" t="s">
        <v>17970</v>
      </c>
      <c r="BA1827" t="s">
        <v>653</v>
      </c>
      <c r="BD1827" t="s">
        <v>11749</v>
      </c>
      <c r="BE1827" t="s">
        <v>393</v>
      </c>
      <c r="BF1827">
        <v>32034</v>
      </c>
      <c r="BG1827" t="s">
        <v>17971</v>
      </c>
      <c r="BH1827" t="s">
        <v>11751</v>
      </c>
      <c r="BI1827">
        <v>-81.512198353919104</v>
      </c>
      <c r="BJ1827">
        <v>30.6453370397697</v>
      </c>
      <c r="BK1827" t="s">
        <v>17972</v>
      </c>
      <c r="BM1827" t="s">
        <v>17971</v>
      </c>
      <c r="BN1827" t="s">
        <v>3983</v>
      </c>
      <c r="BO1827">
        <v>32034</v>
      </c>
      <c r="BP1827" t="s">
        <v>416</v>
      </c>
      <c r="BQ1827">
        <v>100</v>
      </c>
      <c r="BR1827" t="s">
        <v>514</v>
      </c>
      <c r="BS1827">
        <v>1001</v>
      </c>
      <c r="BT1827" t="s">
        <v>515</v>
      </c>
      <c r="BW1827">
        <v>21823</v>
      </c>
      <c r="BX1827" t="s">
        <v>407</v>
      </c>
      <c r="BY1827" t="s">
        <v>2729</v>
      </c>
      <c r="BZ1827">
        <v>4</v>
      </c>
      <c r="CA1827">
        <v>1998</v>
      </c>
      <c r="CB1827">
        <v>1</v>
      </c>
      <c r="CC1827">
        <v>1</v>
      </c>
      <c r="CD1827">
        <v>2017</v>
      </c>
      <c r="CG1827">
        <v>123781</v>
      </c>
      <c r="CH1827">
        <v>2017</v>
      </c>
      <c r="CI1827">
        <v>40000</v>
      </c>
      <c r="CJ1827">
        <v>137601</v>
      </c>
      <c r="CK1827">
        <v>177601</v>
      </c>
      <c r="CL1827">
        <v>2017</v>
      </c>
      <c r="CM1827">
        <v>1274.3399999999999</v>
      </c>
      <c r="CN1827" s="1">
        <v>36312</v>
      </c>
      <c r="CO1827">
        <v>129900</v>
      </c>
      <c r="CZ1827" s="1">
        <v>36312</v>
      </c>
      <c r="DD1827" t="s">
        <v>11749</v>
      </c>
      <c r="DF1827">
        <v>1</v>
      </c>
      <c r="DG1827">
        <v>46</v>
      </c>
      <c r="DJ1827" t="s">
        <v>17973</v>
      </c>
      <c r="DL1827">
        <v>50303</v>
      </c>
      <c r="DM1827" t="s">
        <v>17952</v>
      </c>
      <c r="DO1827" t="s">
        <v>17974</v>
      </c>
      <c r="DP1827">
        <v>0</v>
      </c>
      <c r="DQ1827">
        <v>0</v>
      </c>
      <c r="DR1827" t="s">
        <v>411</v>
      </c>
      <c r="DS1827" t="b">
        <v>1</v>
      </c>
      <c r="DT1827" t="s">
        <v>8902</v>
      </c>
      <c r="DV1827" t="s">
        <v>446</v>
      </c>
      <c r="DX1827">
        <v>10</v>
      </c>
      <c r="DY1827" t="s">
        <v>11438</v>
      </c>
      <c r="DZ1827" t="s">
        <v>447</v>
      </c>
      <c r="EA1827" t="s">
        <v>448</v>
      </c>
      <c r="EB1827" t="s">
        <v>14882</v>
      </c>
      <c r="EC1827">
        <v>20101217</v>
      </c>
      <c r="ED1827" t="s">
        <v>450</v>
      </c>
      <c r="EE1827">
        <v>5</v>
      </c>
      <c r="EF1827">
        <v>0</v>
      </c>
      <c r="EG1827">
        <v>0</v>
      </c>
      <c r="EH1827" t="s">
        <v>14883</v>
      </c>
      <c r="EI1827">
        <v>20160407</v>
      </c>
      <c r="EJ1827">
        <v>0</v>
      </c>
      <c r="EK1827">
        <v>0</v>
      </c>
      <c r="EP1827" t="s">
        <v>421</v>
      </c>
      <c r="EQ1827" t="s">
        <v>452</v>
      </c>
      <c r="ER1827">
        <v>0</v>
      </c>
      <c r="ES1827">
        <v>8</v>
      </c>
      <c r="ET1827">
        <v>0</v>
      </c>
      <c r="EU1827">
        <v>0</v>
      </c>
      <c r="EV1827">
        <v>0</v>
      </c>
      <c r="EW1827" s="2">
        <v>43222</v>
      </c>
      <c r="EX1827" s="1">
        <v>42879</v>
      </c>
      <c r="EY1827">
        <v>2016</v>
      </c>
      <c r="EZ1827">
        <v>1385.04</v>
      </c>
      <c r="FA1827" t="s">
        <v>17975</v>
      </c>
      <c r="FB1827">
        <v>0.25</v>
      </c>
      <c r="FC1827" t="s">
        <v>424</v>
      </c>
      <c r="FD1827" t="s">
        <v>425</v>
      </c>
      <c r="FE1827" s="1">
        <v>42958</v>
      </c>
      <c r="FF1827">
        <v>3</v>
      </c>
      <c r="FG1827">
        <v>5857474</v>
      </c>
      <c r="FH1827" t="s">
        <v>900</v>
      </c>
      <c r="FJ1827" s="1">
        <v>42879</v>
      </c>
      <c r="FK1827">
        <v>2016</v>
      </c>
      <c r="FL1827">
        <v>1385.04</v>
      </c>
      <c r="FM1827" t="s">
        <v>17975</v>
      </c>
      <c r="FN1827">
        <v>0.25</v>
      </c>
      <c r="FO1827" t="s">
        <v>424</v>
      </c>
      <c r="FP1827" t="s">
        <v>425</v>
      </c>
      <c r="FR1827">
        <v>22</v>
      </c>
      <c r="FS1827">
        <v>6239495</v>
      </c>
      <c r="FT1827" t="s">
        <v>17976</v>
      </c>
      <c r="FV1827" s="1">
        <v>42515</v>
      </c>
      <c r="FW1827">
        <v>2015</v>
      </c>
      <c r="FX1827">
        <v>1403.93</v>
      </c>
      <c r="FY1827" t="s">
        <v>17977</v>
      </c>
      <c r="FZ1827">
        <v>0.25</v>
      </c>
      <c r="GA1827" t="s">
        <v>424</v>
      </c>
      <c r="GB1827" t="s">
        <v>425</v>
      </c>
      <c r="GC1827" s="1">
        <v>42852</v>
      </c>
      <c r="GD1827">
        <v>11</v>
      </c>
      <c r="GE1827">
        <v>2851116</v>
      </c>
      <c r="GF1827" t="s">
        <v>480</v>
      </c>
      <c r="GH1827" s="1">
        <v>42515</v>
      </c>
      <c r="GI1827">
        <v>2015</v>
      </c>
      <c r="GJ1827">
        <v>1403.93</v>
      </c>
      <c r="GK1827" t="s">
        <v>17977</v>
      </c>
      <c r="GL1827">
        <v>0.25</v>
      </c>
      <c r="GM1827" t="s">
        <v>424</v>
      </c>
      <c r="GN1827" t="s">
        <v>425</v>
      </c>
      <c r="GP1827">
        <v>22</v>
      </c>
      <c r="GQ1827">
        <v>5333769</v>
      </c>
      <c r="GR1827" t="s">
        <v>17978</v>
      </c>
      <c r="GT1827" s="1">
        <v>41787</v>
      </c>
      <c r="GU1827">
        <v>2013</v>
      </c>
      <c r="GV1827">
        <v>1307.6400000000001</v>
      </c>
      <c r="GW1827" t="s">
        <v>17979</v>
      </c>
      <c r="GX1827">
        <v>0.25</v>
      </c>
      <c r="GY1827" t="s">
        <v>424</v>
      </c>
      <c r="GZ1827" t="s">
        <v>425</v>
      </c>
      <c r="HA1827" s="1">
        <v>42115</v>
      </c>
      <c r="HB1827">
        <v>11</v>
      </c>
      <c r="HC1827">
        <v>2757457</v>
      </c>
      <c r="HD1827" t="s">
        <v>648</v>
      </c>
      <c r="HE1827" t="s">
        <v>458</v>
      </c>
      <c r="HF1827" s="1">
        <v>41423</v>
      </c>
      <c r="HG1827">
        <v>2012</v>
      </c>
      <c r="HH1827">
        <v>1649.88</v>
      </c>
      <c r="HI1827" t="s">
        <v>17980</v>
      </c>
      <c r="HJ1827">
        <v>0.25</v>
      </c>
      <c r="HK1827" t="s">
        <v>424</v>
      </c>
      <c r="HL1827" t="s">
        <v>425</v>
      </c>
      <c r="HN1827">
        <v>22</v>
      </c>
      <c r="HO1827">
        <v>15398</v>
      </c>
      <c r="HP1827" t="s">
        <v>1180</v>
      </c>
      <c r="HQ1827" t="s">
        <v>458</v>
      </c>
      <c r="HR1827" s="1">
        <v>41052</v>
      </c>
      <c r="HS1827">
        <v>2011</v>
      </c>
      <c r="HT1827">
        <v>441.32</v>
      </c>
      <c r="HU1827" t="s">
        <v>17981</v>
      </c>
      <c r="HV1827">
        <v>0.25</v>
      </c>
      <c r="HW1827" t="s">
        <v>424</v>
      </c>
      <c r="HX1827" t="s">
        <v>425</v>
      </c>
      <c r="HY1827" s="1">
        <v>41676</v>
      </c>
      <c r="HZ1827">
        <v>21</v>
      </c>
      <c r="IA1827">
        <v>14245</v>
      </c>
      <c r="IB1827" t="s">
        <v>4088</v>
      </c>
      <c r="ID1827" s="1">
        <v>40688</v>
      </c>
      <c r="IE1827">
        <v>2010</v>
      </c>
      <c r="IF1827">
        <v>396.16</v>
      </c>
      <c r="IG1827" t="s">
        <v>17982</v>
      </c>
      <c r="IH1827">
        <v>0.25</v>
      </c>
      <c r="II1827" t="s">
        <v>424</v>
      </c>
      <c r="IJ1827" t="s">
        <v>425</v>
      </c>
      <c r="IK1827" s="1">
        <v>40715</v>
      </c>
      <c r="IL1827">
        <v>1</v>
      </c>
      <c r="IM1827">
        <v>11177</v>
      </c>
      <c r="IN1827" t="s">
        <v>650</v>
      </c>
    </row>
    <row r="1828" spans="1:308" x14ac:dyDescent="0.25">
      <c r="A1828">
        <v>16486835</v>
      </c>
      <c r="B1828">
        <v>1827</v>
      </c>
      <c r="C1828" t="s">
        <v>393</v>
      </c>
      <c r="D1828" t="s">
        <v>394</v>
      </c>
      <c r="F1828" t="str">
        <f>"46-3N-28-507F-0016-0000"</f>
        <v>46-3N-28-507F-0016-0000</v>
      </c>
      <c r="H1828" t="str">
        <f>"STECKLER EDWARD H TRUSTEE OF EDWARD H STECKLER REV TRUST"</f>
        <v>STECKLER EDWARD H TRUSTEE OF EDWARD H STECKLER REV TRUST</v>
      </c>
      <c r="I1828" t="str">
        <f>"95008 SEA HAWK PL"</f>
        <v>95008 SEA HAWK PL</v>
      </c>
      <c r="J1828" t="str">
        <f t="shared" si="685"/>
        <v>FERNANDINA BEACH FL 32034</v>
      </c>
      <c r="K1828" t="str">
        <f>"95008 SEA HAWK PL"</f>
        <v>95008 SEA HAWK PL</v>
      </c>
      <c r="L1828" t="str">
        <f t="shared" si="684"/>
        <v>FERNANDINA BEACH FL 32034</v>
      </c>
      <c r="M1828" t="str">
        <f>"LOT 16 IN OR 1799/434 FIDDLERS WALK PB 5/237"</f>
        <v>LOT 16 IN OR 1799/434 FIDDLERS WALK PB 5/237</v>
      </c>
      <c r="N1828" t="str">
        <f>""</f>
        <v/>
      </c>
      <c r="O1828" t="str">
        <f>"52852"</f>
        <v>52852</v>
      </c>
      <c r="P1828" t="str">
        <f t="shared" si="671"/>
        <v>2017</v>
      </c>
      <c r="Q1828" t="str">
        <f>""</f>
        <v/>
      </c>
      <c r="R1828" t="str">
        <f>"Y"</f>
        <v>Y</v>
      </c>
      <c r="S1828" t="str">
        <f>""</f>
        <v/>
      </c>
      <c r="T1828" t="str">
        <f>"1903.41"</f>
        <v>1903.41</v>
      </c>
      <c r="U1828" t="str">
        <f>"164835.00"</f>
        <v>164835.00</v>
      </c>
      <c r="V1828" t="str">
        <f>"164835.00"</f>
        <v>164835.00</v>
      </c>
      <c r="W1828" t="str">
        <f t="shared" si="672"/>
        <v>2017</v>
      </c>
      <c r="X1828" t="str">
        <f>"9.50"</f>
        <v>9.50</v>
      </c>
      <c r="Y1828" t="str">
        <f>"1992.51"</f>
        <v>1992.51</v>
      </c>
      <c r="Z1828" t="str">
        <f>"25000.00"</f>
        <v>25000.00</v>
      </c>
      <c r="AA1828" t="str">
        <f>"139835.00"</f>
        <v>139835.00</v>
      </c>
      <c r="AB1828" t="str">
        <f t="shared" si="686"/>
        <v>Residential</v>
      </c>
      <c r="AC1828" t="str">
        <f t="shared" si="682"/>
        <v>0</v>
      </c>
      <c r="AD1828" t="str">
        <f>"4"</f>
        <v>4</v>
      </c>
      <c r="AE1828" t="str">
        <f>"WOOD (INCLUDE STEEL STUDS)"</f>
        <v>WOOD (INCLUDE STEEL STUDS)</v>
      </c>
      <c r="AF1828" t="str">
        <f>"001"</f>
        <v>001</v>
      </c>
      <c r="AG1828" t="str">
        <f t="shared" si="683"/>
        <v>FL</v>
      </c>
      <c r="AH1828" t="str">
        <f>"-"</f>
        <v>-</v>
      </c>
      <c r="AI1828" t="str">
        <f>"80000.00"</f>
        <v>80000.00</v>
      </c>
      <c r="AJ1828" t="str">
        <f>"C55-000-588-5636-0"</f>
        <v>C55-000-588-5636-0</v>
      </c>
      <c r="AK1828" t="str">
        <f>"32961"</f>
        <v>32961</v>
      </c>
      <c r="AL1828">
        <v>7</v>
      </c>
      <c r="AM1828">
        <v>2081</v>
      </c>
      <c r="AN1828">
        <v>2090.54</v>
      </c>
      <c r="AQ1828" t="s">
        <v>17983</v>
      </c>
      <c r="AR1828" t="s">
        <v>17983</v>
      </c>
      <c r="AS1828" t="s">
        <v>17983</v>
      </c>
      <c r="AU1828" t="s">
        <v>396</v>
      </c>
      <c r="AV1828">
        <v>2017</v>
      </c>
      <c r="AW1828" t="str">
        <f>"46-3N-28-507F-0016-0000 "</f>
        <v xml:space="preserve">46-3N-28-507F-0016-0000 </v>
      </c>
      <c r="AX1828">
        <v>95008</v>
      </c>
      <c r="AZ1828" t="s">
        <v>17984</v>
      </c>
      <c r="BA1828" t="s">
        <v>641</v>
      </c>
      <c r="BD1828" t="s">
        <v>11749</v>
      </c>
      <c r="BE1828" t="s">
        <v>393</v>
      </c>
      <c r="BF1828">
        <v>32034</v>
      </c>
      <c r="BG1828" t="s">
        <v>17985</v>
      </c>
      <c r="BH1828" t="s">
        <v>11751</v>
      </c>
      <c r="BI1828">
        <v>-81.5090727644629</v>
      </c>
      <c r="BJ1828">
        <v>30.644494099049599</v>
      </c>
      <c r="BK1828" t="s">
        <v>17986</v>
      </c>
      <c r="BL1828" t="s">
        <v>17987</v>
      </c>
      <c r="BM1828" t="s">
        <v>17985</v>
      </c>
      <c r="BN1828" t="s">
        <v>3983</v>
      </c>
      <c r="BO1828">
        <v>32034</v>
      </c>
      <c r="BP1828" t="s">
        <v>416</v>
      </c>
      <c r="BQ1828">
        <v>100</v>
      </c>
      <c r="BR1828" t="s">
        <v>514</v>
      </c>
      <c r="BS1828">
        <v>1001</v>
      </c>
      <c r="BT1828" t="s">
        <v>515</v>
      </c>
      <c r="BW1828">
        <v>72277</v>
      </c>
      <c r="BX1828" t="s">
        <v>407</v>
      </c>
      <c r="BY1828" t="s">
        <v>2729</v>
      </c>
      <c r="BZ1828">
        <v>4</v>
      </c>
      <c r="CA1828">
        <v>2000</v>
      </c>
      <c r="CB1828">
        <v>1</v>
      </c>
      <c r="CC1828">
        <v>1</v>
      </c>
      <c r="CD1828">
        <v>2017</v>
      </c>
      <c r="CG1828">
        <v>164835</v>
      </c>
      <c r="CH1828">
        <v>2017</v>
      </c>
      <c r="CI1828">
        <v>80000</v>
      </c>
      <c r="CJ1828">
        <v>166524</v>
      </c>
      <c r="CK1828">
        <v>246524</v>
      </c>
      <c r="CL1828">
        <v>2017</v>
      </c>
      <c r="CM1828">
        <v>1903.41</v>
      </c>
      <c r="CN1828" s="1">
        <v>38260</v>
      </c>
      <c r="CO1828">
        <v>295000</v>
      </c>
      <c r="CV1828">
        <v>0</v>
      </c>
      <c r="CZ1828" s="1">
        <v>38260</v>
      </c>
      <c r="DA1828">
        <v>0</v>
      </c>
      <c r="DD1828" t="s">
        <v>11749</v>
      </c>
      <c r="DF1828">
        <v>16</v>
      </c>
      <c r="DG1828">
        <v>46</v>
      </c>
      <c r="DJ1828" t="s">
        <v>17973</v>
      </c>
      <c r="DL1828">
        <v>50303</v>
      </c>
      <c r="DM1828" t="s">
        <v>17952</v>
      </c>
      <c r="DO1828" t="s">
        <v>17988</v>
      </c>
      <c r="DP1828">
        <v>0</v>
      </c>
      <c r="DQ1828">
        <v>0</v>
      </c>
      <c r="DR1828" t="s">
        <v>411</v>
      </c>
      <c r="DS1828" t="b">
        <v>1</v>
      </c>
      <c r="DT1828" t="s">
        <v>470</v>
      </c>
      <c r="DU1828" t="s">
        <v>10249</v>
      </c>
      <c r="DV1828" t="s">
        <v>472</v>
      </c>
      <c r="DX1828">
        <v>-9999</v>
      </c>
      <c r="DZ1828" t="s">
        <v>447</v>
      </c>
      <c r="EA1828" t="s">
        <v>448</v>
      </c>
      <c r="EB1828" t="s">
        <v>15609</v>
      </c>
      <c r="EC1828">
        <v>20101217</v>
      </c>
      <c r="ED1828" t="s">
        <v>10251</v>
      </c>
      <c r="EE1828">
        <v>5</v>
      </c>
      <c r="EF1828">
        <v>1.1000000000000001</v>
      </c>
      <c r="EG1828">
        <v>0</v>
      </c>
      <c r="EH1828" t="s">
        <v>451</v>
      </c>
      <c r="EI1828">
        <v>20140731</v>
      </c>
      <c r="EJ1828">
        <v>0</v>
      </c>
      <c r="EK1828">
        <v>0</v>
      </c>
      <c r="EP1828" t="s">
        <v>421</v>
      </c>
      <c r="EQ1828" t="s">
        <v>452</v>
      </c>
      <c r="ER1828">
        <v>0</v>
      </c>
      <c r="ES1828">
        <v>5</v>
      </c>
      <c r="ET1828">
        <v>0</v>
      </c>
      <c r="EU1828">
        <v>0</v>
      </c>
      <c r="EV1828">
        <v>0</v>
      </c>
      <c r="EW1828" s="2">
        <v>43222</v>
      </c>
      <c r="EX1828" s="1">
        <v>42151</v>
      </c>
      <c r="EY1828">
        <v>2014</v>
      </c>
      <c r="EZ1828">
        <v>2080.91</v>
      </c>
      <c r="FA1828" t="s">
        <v>17989</v>
      </c>
      <c r="FB1828">
        <v>0.25</v>
      </c>
      <c r="FC1828" t="s">
        <v>424</v>
      </c>
      <c r="FD1828" t="s">
        <v>425</v>
      </c>
      <c r="FE1828" s="1">
        <v>42391</v>
      </c>
      <c r="FF1828">
        <v>8</v>
      </c>
      <c r="FG1828">
        <v>2851116</v>
      </c>
      <c r="FH1828" t="s">
        <v>480</v>
      </c>
      <c r="FJ1828" s="1">
        <v>42151</v>
      </c>
      <c r="FK1828">
        <v>2014</v>
      </c>
      <c r="FL1828">
        <v>2080.91</v>
      </c>
      <c r="FM1828" t="s">
        <v>17989</v>
      </c>
      <c r="FN1828">
        <v>0.25</v>
      </c>
      <c r="FO1828" t="s">
        <v>424</v>
      </c>
      <c r="FP1828" t="s">
        <v>425</v>
      </c>
      <c r="FR1828">
        <v>22</v>
      </c>
      <c r="FS1828">
        <v>5008540</v>
      </c>
      <c r="FT1828" t="s">
        <v>17990</v>
      </c>
      <c r="FV1828" s="1">
        <v>41423</v>
      </c>
      <c r="FW1828">
        <v>2012</v>
      </c>
      <c r="FX1828">
        <v>2723.82</v>
      </c>
      <c r="FY1828" t="s">
        <v>17991</v>
      </c>
      <c r="FZ1828">
        <v>0.25</v>
      </c>
      <c r="GA1828" t="s">
        <v>424</v>
      </c>
      <c r="GB1828" t="s">
        <v>425</v>
      </c>
      <c r="GC1828" s="1">
        <v>41759</v>
      </c>
      <c r="GD1828">
        <v>11</v>
      </c>
      <c r="GE1828">
        <v>11303</v>
      </c>
      <c r="GF1828" t="s">
        <v>918</v>
      </c>
      <c r="GG1828" t="s">
        <v>458</v>
      </c>
      <c r="GH1828" s="1">
        <v>41052</v>
      </c>
      <c r="GI1828">
        <v>2011</v>
      </c>
      <c r="GJ1828">
        <v>3361.73</v>
      </c>
      <c r="GK1828" t="s">
        <v>17992</v>
      </c>
      <c r="GL1828">
        <v>0.25</v>
      </c>
      <c r="GM1828" t="s">
        <v>424</v>
      </c>
      <c r="GN1828" t="s">
        <v>425</v>
      </c>
      <c r="GP1828">
        <v>22</v>
      </c>
      <c r="GQ1828">
        <v>13067</v>
      </c>
      <c r="GR1828" t="s">
        <v>429</v>
      </c>
      <c r="GS1828" t="s">
        <v>458</v>
      </c>
      <c r="GT1828" s="1">
        <v>41052</v>
      </c>
      <c r="GU1828">
        <v>2011</v>
      </c>
      <c r="GV1828">
        <v>3361.73</v>
      </c>
      <c r="GW1828" t="s">
        <v>17992</v>
      </c>
      <c r="GX1828">
        <v>0.25</v>
      </c>
      <c r="GY1828" t="s">
        <v>424</v>
      </c>
      <c r="GZ1828" t="s">
        <v>425</v>
      </c>
      <c r="HB1828">
        <v>22</v>
      </c>
      <c r="HC1828">
        <v>13367</v>
      </c>
      <c r="HD1828" t="s">
        <v>17993</v>
      </c>
      <c r="HE1828" t="s">
        <v>458</v>
      </c>
    </row>
    <row r="1829" spans="1:308" x14ac:dyDescent="0.25">
      <c r="A1829">
        <v>16486836</v>
      </c>
      <c r="B1829">
        <v>1828</v>
      </c>
      <c r="C1829" t="s">
        <v>393</v>
      </c>
      <c r="D1829" t="s">
        <v>394</v>
      </c>
      <c r="F1829" t="str">
        <f>"46-3N-28-509H-0008-0000"</f>
        <v>46-3N-28-509H-0008-0000</v>
      </c>
      <c r="H1829" t="str">
        <f>"MOORE DAVID &amp; PENNY"</f>
        <v>MOORE DAVID &amp; PENNY</v>
      </c>
      <c r="I1829" t="str">
        <f>"96205 HIGH POINTE DR"</f>
        <v>96205 HIGH POINTE DR</v>
      </c>
      <c r="J1829" t="str">
        <f t="shared" si="685"/>
        <v>FERNANDINA BEACH FL 32034</v>
      </c>
      <c r="K1829" t="str">
        <f>"96205 HIGH POINTE DR"</f>
        <v>96205 HIGH POINTE DR</v>
      </c>
      <c r="L1829" t="str">
        <f t="shared" si="684"/>
        <v>FERNANDINA BEACH FL 32034</v>
      </c>
      <c r="M1829" t="str">
        <f>"LOT 8 IN OR 1647/362 HIGH POINTE PB 6/273"</f>
        <v>LOT 8 IN OR 1647/362 HIGH POINTE PB 6/273</v>
      </c>
      <c r="N1829" t="str">
        <f>""</f>
        <v/>
      </c>
      <c r="O1829" t="str">
        <f>"52881"</f>
        <v>52881</v>
      </c>
      <c r="P1829" t="str">
        <f t="shared" si="671"/>
        <v>2017</v>
      </c>
      <c r="Q1829" t="str">
        <f>""</f>
        <v/>
      </c>
      <c r="R1829" t="str">
        <f>"Y"</f>
        <v>Y</v>
      </c>
      <c r="S1829" t="str">
        <f>""</f>
        <v/>
      </c>
      <c r="T1829" t="str">
        <f>"4017.31"</f>
        <v>4017.31</v>
      </c>
      <c r="U1829" t="str">
        <f>"304470.00"</f>
        <v>304470.00</v>
      </c>
      <c r="V1829" t="str">
        <f>"304470.00"</f>
        <v>304470.00</v>
      </c>
      <c r="W1829" t="str">
        <f t="shared" si="672"/>
        <v>2017</v>
      </c>
      <c r="X1829" t="str">
        <f>"9.00"</f>
        <v>9.00</v>
      </c>
      <c r="Y1829" t="str">
        <f>"4169.83"</f>
        <v>4169.83</v>
      </c>
      <c r="Z1829" t="str">
        <f>"25000.00"</f>
        <v>25000.00</v>
      </c>
      <c r="AA1829" t="str">
        <f>"279470.00"</f>
        <v>279470.00</v>
      </c>
      <c r="AB1829" t="str">
        <f t="shared" si="686"/>
        <v>Residential</v>
      </c>
      <c r="AC1829" t="str">
        <f t="shared" si="682"/>
        <v>0</v>
      </c>
      <c r="AD1829" t="str">
        <f>"4"</f>
        <v>4</v>
      </c>
      <c r="AE1829" t="str">
        <f>"WOOD (INCLUDE STEEL STUDS)"</f>
        <v>WOOD (INCLUDE STEEL STUDS)</v>
      </c>
      <c r="AF1829" t="str">
        <f>"001"</f>
        <v>001</v>
      </c>
      <c r="AG1829" t="str">
        <f t="shared" si="683"/>
        <v>FL</v>
      </c>
      <c r="AH1829" t="str">
        <f>"-"</f>
        <v>-</v>
      </c>
      <c r="AI1829" t="str">
        <f>"70000.00"</f>
        <v>70000.00</v>
      </c>
      <c r="AJ1829" t="str">
        <f>"C55-000-588-5664-2"</f>
        <v>C55-000-588-5664-2</v>
      </c>
      <c r="AK1829" t="str">
        <f>"32989"</f>
        <v>32989</v>
      </c>
      <c r="AL1829">
        <v>7</v>
      </c>
      <c r="AM1829">
        <v>2082</v>
      </c>
      <c r="AN1829">
        <v>4376.72</v>
      </c>
      <c r="AQ1829" t="s">
        <v>17994</v>
      </c>
      <c r="AR1829" t="s">
        <v>17994</v>
      </c>
      <c r="AS1829" t="s">
        <v>17994</v>
      </c>
      <c r="AU1829" t="s">
        <v>396</v>
      </c>
      <c r="AV1829">
        <v>2017</v>
      </c>
      <c r="AW1829" t="str">
        <f>"46-3N-28-509H-0008-0000 "</f>
        <v xml:space="preserve">46-3N-28-509H-0008-0000 </v>
      </c>
      <c r="AX1829">
        <v>96205</v>
      </c>
      <c r="AZ1829" t="s">
        <v>17995</v>
      </c>
      <c r="BA1829" t="s">
        <v>669</v>
      </c>
      <c r="BD1829" t="s">
        <v>11749</v>
      </c>
      <c r="BE1829" t="s">
        <v>393</v>
      </c>
      <c r="BF1829">
        <v>32034</v>
      </c>
      <c r="BG1829" t="s">
        <v>17996</v>
      </c>
      <c r="BH1829" t="s">
        <v>11751</v>
      </c>
      <c r="BI1829">
        <v>-81.5112738848063</v>
      </c>
      <c r="BJ1829">
        <v>30.6378326806926</v>
      </c>
      <c r="BK1829" t="s">
        <v>17997</v>
      </c>
      <c r="BL1829" t="s">
        <v>17998</v>
      </c>
      <c r="BM1829" t="s">
        <v>17996</v>
      </c>
      <c r="BN1829" t="s">
        <v>3983</v>
      </c>
      <c r="BO1829">
        <v>32034</v>
      </c>
      <c r="BP1829" t="s">
        <v>416</v>
      </c>
      <c r="BQ1829">
        <v>100</v>
      </c>
      <c r="BR1829" t="s">
        <v>514</v>
      </c>
      <c r="BS1829">
        <v>1001</v>
      </c>
      <c r="BT1829" t="s">
        <v>515</v>
      </c>
      <c r="BW1829">
        <v>31372</v>
      </c>
      <c r="BX1829" t="s">
        <v>407</v>
      </c>
      <c r="BZ1829">
        <v>4</v>
      </c>
      <c r="CA1829">
        <v>2005</v>
      </c>
      <c r="CB1829">
        <v>2</v>
      </c>
      <c r="CC1829">
        <v>1</v>
      </c>
      <c r="CD1829">
        <v>2017</v>
      </c>
      <c r="CG1829">
        <v>304470</v>
      </c>
      <c r="CH1829">
        <v>2017</v>
      </c>
      <c r="CI1829">
        <v>70000</v>
      </c>
      <c r="CJ1829">
        <v>302775</v>
      </c>
      <c r="CK1829">
        <v>372775</v>
      </c>
      <c r="CL1829">
        <v>2017</v>
      </c>
      <c r="CM1829">
        <v>4017.31</v>
      </c>
      <c r="CN1829" s="1">
        <v>40121</v>
      </c>
      <c r="CO1829">
        <v>415000</v>
      </c>
      <c r="CV1829">
        <v>373500</v>
      </c>
      <c r="CX1829" t="s">
        <v>707</v>
      </c>
      <c r="CZ1829" s="1">
        <v>40121</v>
      </c>
      <c r="DA1829">
        <v>0</v>
      </c>
      <c r="DD1829" t="s">
        <v>11749</v>
      </c>
      <c r="DF1829">
        <v>8</v>
      </c>
      <c r="DG1829">
        <v>46</v>
      </c>
      <c r="DJ1829" t="s">
        <v>17995</v>
      </c>
      <c r="DL1829">
        <v>50303</v>
      </c>
      <c r="DM1829" t="s">
        <v>17952</v>
      </c>
      <c r="DO1829" t="s">
        <v>17999</v>
      </c>
      <c r="DP1829">
        <v>0</v>
      </c>
      <c r="DQ1829">
        <v>0</v>
      </c>
      <c r="DR1829" t="s">
        <v>411</v>
      </c>
      <c r="DS1829" t="b">
        <v>1</v>
      </c>
      <c r="DT1829" t="s">
        <v>8902</v>
      </c>
      <c r="DV1829" t="s">
        <v>446</v>
      </c>
      <c r="DX1829">
        <v>10</v>
      </c>
      <c r="DY1829" t="s">
        <v>11438</v>
      </c>
      <c r="DZ1829" t="s">
        <v>447</v>
      </c>
      <c r="EA1829" t="s">
        <v>448</v>
      </c>
      <c r="EB1829" t="s">
        <v>14882</v>
      </c>
      <c r="EC1829">
        <v>20101217</v>
      </c>
      <c r="ED1829" t="s">
        <v>450</v>
      </c>
      <c r="EE1829">
        <v>5</v>
      </c>
      <c r="EF1829">
        <v>0</v>
      </c>
      <c r="EG1829">
        <v>0</v>
      </c>
      <c r="EH1829" t="s">
        <v>14883</v>
      </c>
      <c r="EI1829">
        <v>20160407</v>
      </c>
      <c r="EJ1829">
        <v>0</v>
      </c>
      <c r="EK1829">
        <v>0</v>
      </c>
      <c r="EP1829" t="s">
        <v>421</v>
      </c>
      <c r="EQ1829" t="s">
        <v>422</v>
      </c>
      <c r="ER1829">
        <v>0</v>
      </c>
      <c r="ES1829">
        <v>5</v>
      </c>
      <c r="ET1829">
        <v>0</v>
      </c>
      <c r="EU1829">
        <v>0</v>
      </c>
      <c r="EV1829">
        <v>0</v>
      </c>
      <c r="EW1829" s="2">
        <v>43222</v>
      </c>
      <c r="EX1829" s="1">
        <v>42879</v>
      </c>
      <c r="EY1829">
        <v>2016</v>
      </c>
      <c r="EZ1829">
        <v>4331.43</v>
      </c>
      <c r="FA1829" t="s">
        <v>18000</v>
      </c>
      <c r="FB1829">
        <v>0.25</v>
      </c>
      <c r="FC1829" t="s">
        <v>424</v>
      </c>
      <c r="FD1829" t="s">
        <v>425</v>
      </c>
      <c r="FE1829" s="1">
        <v>42947</v>
      </c>
      <c r="FF1829">
        <v>2</v>
      </c>
      <c r="FG1829">
        <v>7336671</v>
      </c>
      <c r="FH1829" t="s">
        <v>437</v>
      </c>
      <c r="FJ1829" s="1">
        <v>42879</v>
      </c>
      <c r="FK1829">
        <v>2016</v>
      </c>
      <c r="FL1829">
        <v>4331.43</v>
      </c>
      <c r="FM1829" t="s">
        <v>18000</v>
      </c>
      <c r="FN1829">
        <v>0.25</v>
      </c>
      <c r="FO1829" t="s">
        <v>424</v>
      </c>
      <c r="FP1829" t="s">
        <v>425</v>
      </c>
      <c r="FR1829">
        <v>22</v>
      </c>
      <c r="FS1829">
        <v>6919153</v>
      </c>
      <c r="FT1829" t="s">
        <v>18001</v>
      </c>
      <c r="FV1829" s="1">
        <v>42515</v>
      </c>
      <c r="FW1829">
        <v>2015</v>
      </c>
      <c r="FX1829">
        <v>4400.9799999999996</v>
      </c>
      <c r="FY1829" t="s">
        <v>18002</v>
      </c>
      <c r="FZ1829">
        <v>0.25</v>
      </c>
      <c r="GA1829" t="s">
        <v>424</v>
      </c>
      <c r="GB1829" t="s">
        <v>425</v>
      </c>
      <c r="GC1829" s="1">
        <v>42947</v>
      </c>
      <c r="GD1829">
        <v>14</v>
      </c>
      <c r="GE1829">
        <v>2851116</v>
      </c>
      <c r="GF1829" t="s">
        <v>480</v>
      </c>
      <c r="GH1829" s="1">
        <v>42515</v>
      </c>
      <c r="GI1829">
        <v>2015</v>
      </c>
      <c r="GJ1829">
        <v>4400.9799999999996</v>
      </c>
      <c r="GK1829" t="s">
        <v>18002</v>
      </c>
      <c r="GL1829">
        <v>0.25</v>
      </c>
      <c r="GM1829" t="s">
        <v>424</v>
      </c>
      <c r="GN1829" t="s">
        <v>425</v>
      </c>
      <c r="GP1829">
        <v>22</v>
      </c>
      <c r="GQ1829">
        <v>5067528</v>
      </c>
      <c r="GR1829" t="s">
        <v>18003</v>
      </c>
      <c r="GT1829" s="1">
        <v>41423</v>
      </c>
      <c r="GU1829">
        <v>2012</v>
      </c>
      <c r="GV1829">
        <v>4169.1000000000004</v>
      </c>
      <c r="GW1829" t="s">
        <v>18004</v>
      </c>
      <c r="GX1829">
        <v>0.25</v>
      </c>
      <c r="GY1829" t="s">
        <v>424</v>
      </c>
      <c r="GZ1829" t="s">
        <v>425</v>
      </c>
      <c r="HA1829" s="1">
        <v>41750</v>
      </c>
      <c r="HB1829">
        <v>11</v>
      </c>
      <c r="HC1829">
        <v>606981</v>
      </c>
      <c r="HD1829" t="s">
        <v>792</v>
      </c>
    </row>
    <row r="1830" spans="1:308" x14ac:dyDescent="0.25">
      <c r="A1830">
        <v>16486837</v>
      </c>
      <c r="B1830">
        <v>1829</v>
      </c>
      <c r="C1830" t="s">
        <v>393</v>
      </c>
      <c r="D1830" t="s">
        <v>394</v>
      </c>
      <c r="F1830" t="str">
        <f>"46-3N-28-510O-0001-0000"</f>
        <v>46-3N-28-510O-0001-0000</v>
      </c>
      <c r="H1830" t="str">
        <f>"LEE CARL EDWARD &amp; LELA MAE L/E CARL E &amp; LELA M LEE TRUSTEES OF LEE FAMILY REVOCABLE TRUST"</f>
        <v>LEE CARL EDWARD &amp; LELA MAE L/E CARL E &amp; LELA M LEE TRUSTEES OF LEE FAMILY REVOCABLE TRUST</v>
      </c>
      <c r="I1830" t="str">
        <f>""</f>
        <v/>
      </c>
      <c r="J1830" t="str">
        <f t="shared" si="685"/>
        <v>FERNANDINA BEACH FL 32034</v>
      </c>
      <c r="K1830" t="str">
        <f>"95345 BARNWELL RD"</f>
        <v>95345 BARNWELL RD</v>
      </c>
      <c r="L1830" t="str">
        <f t="shared" si="684"/>
        <v>FERNANDINA BEACH FL 32034</v>
      </c>
      <c r="M1830" t="str">
        <f>"LOT 1 L/E OR 1677/110 LANCEFORD OAKS PB 5/145"</f>
        <v>LOT 1 L/E OR 1677/110 LANCEFORD OAKS PB 5/145</v>
      </c>
      <c r="N1830" t="str">
        <f>""</f>
        <v/>
      </c>
      <c r="O1830" t="str">
        <f>"52982"</f>
        <v>52982</v>
      </c>
      <c r="P1830" t="str">
        <f t="shared" si="671"/>
        <v>2017</v>
      </c>
      <c r="Q1830" t="str">
        <f>""</f>
        <v/>
      </c>
      <c r="R1830" t="str">
        <f>"Y"</f>
        <v>Y</v>
      </c>
      <c r="S1830" t="str">
        <f>"1.28"</f>
        <v>1.28</v>
      </c>
      <c r="T1830" t="str">
        <f>"1963.55"</f>
        <v>1963.55</v>
      </c>
      <c r="U1830" t="str">
        <f>"168807.00"</f>
        <v>168807.00</v>
      </c>
      <c r="V1830" t="str">
        <f>"168807.00"</f>
        <v>168807.00</v>
      </c>
      <c r="W1830" t="str">
        <f t="shared" si="672"/>
        <v>2017</v>
      </c>
      <c r="X1830" t="str">
        <f>"10.50"</f>
        <v>10.50</v>
      </c>
      <c r="Y1830" t="str">
        <f>"2054.46"</f>
        <v>2054.46</v>
      </c>
      <c r="Z1830" t="str">
        <f>"25000.00"</f>
        <v>25000.00</v>
      </c>
      <c r="AA1830" t="str">
        <f>"143807.00"</f>
        <v>143807.00</v>
      </c>
      <c r="AB1830" t="str">
        <f t="shared" si="686"/>
        <v>Residential</v>
      </c>
      <c r="AC1830" t="str">
        <f t="shared" si="682"/>
        <v>0</v>
      </c>
      <c r="AD1830" t="str">
        <f>"4"</f>
        <v>4</v>
      </c>
      <c r="AE1830" t="str">
        <f>"WOOD (INCLUDE STEEL STUDS)"</f>
        <v>WOOD (INCLUDE STEEL STUDS)</v>
      </c>
      <c r="AF1830" t="str">
        <f>"001"</f>
        <v>001</v>
      </c>
      <c r="AG1830" t="str">
        <f t="shared" si="683"/>
        <v>FL</v>
      </c>
      <c r="AH1830" t="str">
        <f>"55756.00"</f>
        <v>55756.00</v>
      </c>
      <c r="AI1830" t="str">
        <f>"53760.00"</f>
        <v>53760.00</v>
      </c>
      <c r="AJ1830" t="str">
        <f>"C55-000-588-5756-6"</f>
        <v>C55-000-588-5756-6</v>
      </c>
      <c r="AK1830" t="str">
        <f>"33013"</f>
        <v>33013</v>
      </c>
      <c r="AL1830">
        <v>7</v>
      </c>
      <c r="AM1830">
        <v>2083</v>
      </c>
      <c r="AN1830">
        <v>2155.58</v>
      </c>
      <c r="AQ1830" t="s">
        <v>18005</v>
      </c>
      <c r="AR1830" t="s">
        <v>18005</v>
      </c>
      <c r="AS1830" t="s">
        <v>18005</v>
      </c>
      <c r="AU1830" t="s">
        <v>396</v>
      </c>
      <c r="AV1830">
        <v>2017</v>
      </c>
      <c r="AW1830" t="str">
        <f>"46-3N-28-510O-0001-0000 "</f>
        <v xml:space="preserve">46-3N-28-510O-0001-0000 </v>
      </c>
      <c r="AX1830">
        <v>95345</v>
      </c>
      <c r="AZ1830" t="s">
        <v>16146</v>
      </c>
      <c r="BA1830" t="s">
        <v>496</v>
      </c>
      <c r="BD1830" t="s">
        <v>11749</v>
      </c>
      <c r="BE1830" t="s">
        <v>393</v>
      </c>
      <c r="BF1830">
        <v>32034</v>
      </c>
      <c r="BG1830" t="s">
        <v>18006</v>
      </c>
      <c r="BH1830" t="s">
        <v>11751</v>
      </c>
      <c r="BI1830">
        <v>-81.513846001950498</v>
      </c>
      <c r="BJ1830">
        <v>30.641564763114602</v>
      </c>
      <c r="BK1830" t="s">
        <v>18007</v>
      </c>
      <c r="BL1830" t="s">
        <v>18008</v>
      </c>
      <c r="BM1830" t="s">
        <v>18006</v>
      </c>
      <c r="BN1830" t="s">
        <v>3983</v>
      </c>
      <c r="BO1830">
        <v>32034</v>
      </c>
      <c r="BP1830" t="s">
        <v>416</v>
      </c>
      <c r="BQ1830">
        <v>100</v>
      </c>
      <c r="BR1830" t="s">
        <v>514</v>
      </c>
      <c r="BS1830">
        <v>1001</v>
      </c>
      <c r="BT1830" t="s">
        <v>515</v>
      </c>
      <c r="BW1830">
        <v>55756</v>
      </c>
      <c r="BX1830" t="s">
        <v>407</v>
      </c>
      <c r="BY1830" t="s">
        <v>2729</v>
      </c>
      <c r="BZ1830">
        <v>4</v>
      </c>
      <c r="CA1830">
        <v>1990</v>
      </c>
      <c r="CB1830">
        <v>1</v>
      </c>
      <c r="CC1830">
        <v>2</v>
      </c>
      <c r="CD1830">
        <v>2017</v>
      </c>
      <c r="CG1830">
        <v>168807</v>
      </c>
      <c r="CH1830">
        <v>2017</v>
      </c>
      <c r="CI1830">
        <v>53760</v>
      </c>
      <c r="CJ1830">
        <v>125236</v>
      </c>
      <c r="CK1830">
        <v>178996</v>
      </c>
      <c r="CL1830">
        <v>2017</v>
      </c>
      <c r="CM1830">
        <v>1963.55</v>
      </c>
      <c r="CN1830" s="1">
        <v>40305</v>
      </c>
      <c r="CZ1830" s="1">
        <v>40305</v>
      </c>
      <c r="DD1830" t="s">
        <v>11749</v>
      </c>
      <c r="DF1830">
        <v>1</v>
      </c>
      <c r="DG1830">
        <v>46</v>
      </c>
      <c r="DJ1830" t="s">
        <v>17951</v>
      </c>
      <c r="DL1830">
        <v>50303</v>
      </c>
      <c r="DM1830" t="s">
        <v>17952</v>
      </c>
      <c r="DO1830" t="s">
        <v>18009</v>
      </c>
      <c r="DP1830">
        <v>0</v>
      </c>
      <c r="DQ1830">
        <v>0</v>
      </c>
      <c r="DR1830" t="s">
        <v>411</v>
      </c>
      <c r="DS1830" t="b">
        <v>1</v>
      </c>
      <c r="DT1830" t="s">
        <v>470</v>
      </c>
      <c r="DU1830" t="s">
        <v>10249</v>
      </c>
      <c r="DV1830" t="s">
        <v>472</v>
      </c>
      <c r="DX1830">
        <v>-9999</v>
      </c>
      <c r="DZ1830" t="s">
        <v>447</v>
      </c>
      <c r="EA1830" t="s">
        <v>448</v>
      </c>
      <c r="EB1830" t="s">
        <v>14895</v>
      </c>
      <c r="EC1830">
        <v>20101217</v>
      </c>
      <c r="ED1830" t="s">
        <v>10251</v>
      </c>
      <c r="EE1830">
        <v>5</v>
      </c>
      <c r="EF1830">
        <v>218.8</v>
      </c>
      <c r="EG1830">
        <v>0</v>
      </c>
      <c r="EI1830">
        <v>20160407</v>
      </c>
      <c r="EJ1830">
        <v>0</v>
      </c>
      <c r="EK1830">
        <v>0</v>
      </c>
      <c r="EP1830" t="s">
        <v>421</v>
      </c>
      <c r="EQ1830" t="s">
        <v>422</v>
      </c>
      <c r="ER1830">
        <v>0</v>
      </c>
      <c r="ES1830">
        <v>4</v>
      </c>
      <c r="ET1830">
        <v>0</v>
      </c>
      <c r="EU1830">
        <v>0</v>
      </c>
      <c r="EV1830">
        <v>0</v>
      </c>
      <c r="EW1830" s="2">
        <v>43222</v>
      </c>
      <c r="EX1830" s="1">
        <v>42879</v>
      </c>
      <c r="EY1830">
        <v>2016</v>
      </c>
      <c r="EZ1830">
        <v>2125.48</v>
      </c>
      <c r="FA1830" t="s">
        <v>18010</v>
      </c>
      <c r="FB1830">
        <v>0.25</v>
      </c>
      <c r="FC1830" t="s">
        <v>424</v>
      </c>
      <c r="FD1830" t="s">
        <v>425</v>
      </c>
      <c r="FE1830" s="1">
        <v>43187</v>
      </c>
      <c r="FF1830">
        <v>10</v>
      </c>
      <c r="FG1830">
        <v>2851116</v>
      </c>
      <c r="FH1830" t="s">
        <v>480</v>
      </c>
      <c r="FJ1830" s="1">
        <v>42879</v>
      </c>
      <c r="FK1830">
        <v>2016</v>
      </c>
      <c r="FL1830">
        <v>2125.48</v>
      </c>
      <c r="FM1830" t="s">
        <v>18010</v>
      </c>
      <c r="FN1830">
        <v>0.25</v>
      </c>
      <c r="FO1830" t="s">
        <v>424</v>
      </c>
      <c r="FP1830" t="s">
        <v>425</v>
      </c>
      <c r="FR1830">
        <v>22</v>
      </c>
      <c r="FS1830">
        <v>5348130</v>
      </c>
      <c r="FT1830" t="s">
        <v>18011</v>
      </c>
      <c r="FV1830" s="1">
        <v>42515</v>
      </c>
      <c r="FW1830">
        <v>2015</v>
      </c>
      <c r="FX1830">
        <v>2157.15</v>
      </c>
      <c r="FY1830" t="s">
        <v>18012</v>
      </c>
      <c r="FZ1830">
        <v>0.25</v>
      </c>
      <c r="GA1830" t="s">
        <v>424</v>
      </c>
      <c r="GB1830" t="s">
        <v>425</v>
      </c>
      <c r="GC1830" s="1">
        <v>42829</v>
      </c>
      <c r="GD1830">
        <v>11</v>
      </c>
      <c r="GE1830">
        <v>7336671</v>
      </c>
      <c r="GF1830" t="s">
        <v>437</v>
      </c>
      <c r="GH1830" s="1">
        <v>42515</v>
      </c>
      <c r="GI1830">
        <v>2015</v>
      </c>
      <c r="GJ1830">
        <v>2157.15</v>
      </c>
      <c r="GK1830" t="s">
        <v>18012</v>
      </c>
      <c r="GL1830">
        <v>0.25</v>
      </c>
      <c r="GM1830" t="s">
        <v>424</v>
      </c>
      <c r="GN1830" t="s">
        <v>425</v>
      </c>
      <c r="GP1830">
        <v>22</v>
      </c>
      <c r="GQ1830">
        <v>7041045</v>
      </c>
      <c r="GR1830" t="s">
        <v>18013</v>
      </c>
    </row>
    <row r="1831" spans="1:308" x14ac:dyDescent="0.25">
      <c r="A1831">
        <v>16486838</v>
      </c>
      <c r="B1831">
        <v>1830</v>
      </c>
      <c r="C1831" t="s">
        <v>393</v>
      </c>
      <c r="D1831" t="s">
        <v>394</v>
      </c>
      <c r="F1831" t="str">
        <f>"46-3N-28-5482-0002-0000"</f>
        <v>46-3N-28-5482-0002-0000</v>
      </c>
      <c r="H1831" t="str">
        <f>"PEACOCK JAMES C JR"</f>
        <v>PEACOCK JAMES C JR</v>
      </c>
      <c r="I1831" t="str">
        <f>"34 NORTH 14TH STREET"</f>
        <v>34 NORTH 14TH STREET</v>
      </c>
      <c r="J1831" t="str">
        <f t="shared" si="685"/>
        <v>FERNANDINA BEACH FL 32034</v>
      </c>
      <c r="K1831" t="str">
        <f>"BAY VIEW DR"</f>
        <v>BAY VIEW DR</v>
      </c>
      <c r="L1831" t="str">
        <f t="shared" si="684"/>
        <v>FERNANDINA BEACH FL 32034</v>
      </c>
      <c r="M1831" t="str">
        <f>"LOT 2 PT OR 1916/1497 OYSTER BAY 3 PB 5/397"</f>
        <v>LOT 2 PT OR 1916/1497 OYSTER BAY 3 PB 5/397</v>
      </c>
      <c r="N1831" t="str">
        <f>""</f>
        <v/>
      </c>
      <c r="O1831" t="str">
        <f>"53073"</f>
        <v>53073</v>
      </c>
      <c r="P1831" t="str">
        <f t="shared" si="671"/>
        <v>2017</v>
      </c>
      <c r="Q1831" t="str">
        <f>""</f>
        <v/>
      </c>
      <c r="R1831" t="str">
        <f>"N"</f>
        <v>N</v>
      </c>
      <c r="S1831" t="str">
        <f>""</f>
        <v/>
      </c>
      <c r="T1831" t="str">
        <f>"1114.91"</f>
        <v>1114.91</v>
      </c>
      <c r="U1831" t="str">
        <f>"72600.00"</f>
        <v>72600.00</v>
      </c>
      <c r="V1831" t="str">
        <f>"72600.00"</f>
        <v>72600.00</v>
      </c>
      <c r="W1831" t="str">
        <f t="shared" si="672"/>
        <v>2017</v>
      </c>
      <c r="X1831" t="str">
        <f>"11.80"</f>
        <v>11.80</v>
      </c>
      <c r="Y1831" t="str">
        <f>"1180.36"</f>
        <v>1180.36</v>
      </c>
      <c r="Z1831" t="str">
        <f>""</f>
        <v/>
      </c>
      <c r="AA1831" t="str">
        <f>"75000.00"</f>
        <v>75000.00</v>
      </c>
      <c r="AB1831" t="str">
        <f t="shared" si="686"/>
        <v>Residential</v>
      </c>
      <c r="AC1831" t="str">
        <f t="shared" si="682"/>
        <v>0</v>
      </c>
      <c r="AD1831" t="str">
        <f>""</f>
        <v/>
      </c>
      <c r="AE1831" t="str">
        <f>""</f>
        <v/>
      </c>
      <c r="AF1831" t="str">
        <f>"000"</f>
        <v>000</v>
      </c>
      <c r="AG1831" t="str">
        <f t="shared" si="683"/>
        <v>FL</v>
      </c>
      <c r="AH1831" t="str">
        <f t="shared" ref="AH1831:AH1836" si="687">"-"</f>
        <v>-</v>
      </c>
      <c r="AI1831" t="str">
        <f>"75000.00"</f>
        <v>75000.00</v>
      </c>
      <c r="AJ1831" t="str">
        <f>"C55-000-589-0381-6"</f>
        <v>C55-000-589-0381-6</v>
      </c>
      <c r="AK1831" t="str">
        <f>"33165"</f>
        <v>33165</v>
      </c>
      <c r="AL1831">
        <v>7</v>
      </c>
      <c r="AM1831">
        <v>2084</v>
      </c>
      <c r="AN1831">
        <v>1237.78</v>
      </c>
      <c r="AQ1831" t="s">
        <v>18014</v>
      </c>
      <c r="AR1831" t="s">
        <v>18014</v>
      </c>
      <c r="AS1831" t="s">
        <v>18014</v>
      </c>
      <c r="AU1831" t="s">
        <v>396</v>
      </c>
      <c r="AV1831">
        <v>2017</v>
      </c>
      <c r="AW1831" t="str">
        <f>"46-3N-28-5482-0002-0000 "</f>
        <v xml:space="preserve">46-3N-28-5482-0002-0000 </v>
      </c>
      <c r="AZ1831" t="s">
        <v>18015</v>
      </c>
      <c r="BA1831" t="s">
        <v>669</v>
      </c>
      <c r="BD1831" t="s">
        <v>11749</v>
      </c>
      <c r="BE1831" t="s">
        <v>393</v>
      </c>
      <c r="BF1831">
        <v>32034</v>
      </c>
      <c r="BG1831" t="s">
        <v>18016</v>
      </c>
      <c r="BH1831" t="s">
        <v>11751</v>
      </c>
      <c r="BI1831">
        <v>-81.511032935824105</v>
      </c>
      <c r="BJ1831">
        <v>30.654097690634099</v>
      </c>
      <c r="BK1831" t="s">
        <v>18017</v>
      </c>
      <c r="BM1831" t="s">
        <v>18018</v>
      </c>
      <c r="BN1831" t="s">
        <v>3983</v>
      </c>
      <c r="BO1831">
        <v>32034</v>
      </c>
      <c r="BP1831" t="s">
        <v>404</v>
      </c>
      <c r="BQ1831">
        <v>0</v>
      </c>
      <c r="BR1831" t="s">
        <v>491</v>
      </c>
      <c r="BS1831">
        <v>8001</v>
      </c>
      <c r="BT1831" t="s">
        <v>492</v>
      </c>
      <c r="BW1831">
        <v>24312</v>
      </c>
      <c r="BX1831" t="s">
        <v>407</v>
      </c>
      <c r="BY1831" t="s">
        <v>2729</v>
      </c>
      <c r="CD1831">
        <v>2017</v>
      </c>
      <c r="CE1831">
        <v>75000</v>
      </c>
      <c r="CG1831">
        <v>75000</v>
      </c>
      <c r="CH1831">
        <v>2017</v>
      </c>
      <c r="CI1831">
        <v>75000</v>
      </c>
      <c r="CK1831">
        <v>75000</v>
      </c>
      <c r="CL1831">
        <v>2017</v>
      </c>
      <c r="CM1831">
        <v>1114.9100000000001</v>
      </c>
      <c r="CN1831" s="1">
        <v>41772</v>
      </c>
      <c r="CZ1831" s="1">
        <v>41772</v>
      </c>
      <c r="DD1831" t="s">
        <v>11749</v>
      </c>
      <c r="DF1831">
        <v>2</v>
      </c>
      <c r="DG1831">
        <v>46</v>
      </c>
      <c r="DJ1831" t="s">
        <v>17964</v>
      </c>
      <c r="DL1831">
        <v>50303</v>
      </c>
      <c r="DM1831" t="s">
        <v>17952</v>
      </c>
      <c r="DO1831" t="s">
        <v>18019</v>
      </c>
      <c r="DP1831">
        <v>0</v>
      </c>
      <c r="DQ1831">
        <v>0</v>
      </c>
      <c r="DR1831" t="s">
        <v>411</v>
      </c>
      <c r="DS1831" t="b">
        <v>1</v>
      </c>
      <c r="DT1831" t="s">
        <v>8902</v>
      </c>
      <c r="DV1831" t="s">
        <v>446</v>
      </c>
      <c r="DX1831">
        <v>10</v>
      </c>
      <c r="DY1831" t="s">
        <v>11438</v>
      </c>
      <c r="DZ1831" t="s">
        <v>447</v>
      </c>
      <c r="EA1831" t="s">
        <v>448</v>
      </c>
      <c r="EB1831" t="s">
        <v>14882</v>
      </c>
      <c r="EC1831">
        <v>20101217</v>
      </c>
      <c r="ED1831" t="s">
        <v>450</v>
      </c>
      <c r="EE1831">
        <v>5</v>
      </c>
      <c r="EF1831">
        <v>0</v>
      </c>
      <c r="EG1831">
        <v>0</v>
      </c>
      <c r="EH1831" t="s">
        <v>14883</v>
      </c>
      <c r="EI1831">
        <v>20160407</v>
      </c>
      <c r="EJ1831">
        <v>0</v>
      </c>
      <c r="EK1831">
        <v>0</v>
      </c>
      <c r="EP1831" t="s">
        <v>421</v>
      </c>
      <c r="EQ1831" t="s">
        <v>422</v>
      </c>
      <c r="ER1831">
        <v>2</v>
      </c>
      <c r="ES1831">
        <v>9</v>
      </c>
      <c r="ET1831">
        <v>2377.7199999999998</v>
      </c>
      <c r="EU1831">
        <v>131.38999999999999</v>
      </c>
      <c r="EV1831">
        <v>2509.11</v>
      </c>
      <c r="EW1831" s="2">
        <v>43222</v>
      </c>
      <c r="EX1831" s="1">
        <v>42879</v>
      </c>
      <c r="EY1831">
        <v>2016</v>
      </c>
      <c r="EZ1831">
        <v>1188.8599999999999</v>
      </c>
      <c r="FA1831" t="s">
        <v>18020</v>
      </c>
      <c r="FB1831">
        <v>0.25</v>
      </c>
      <c r="FC1831" t="s">
        <v>424</v>
      </c>
      <c r="FD1831" t="s">
        <v>454</v>
      </c>
      <c r="FF1831">
        <v>12</v>
      </c>
      <c r="FG1831">
        <v>7400234</v>
      </c>
      <c r="FH1831" t="s">
        <v>426</v>
      </c>
      <c r="FJ1831" s="1">
        <v>42879</v>
      </c>
      <c r="FK1831">
        <v>2016</v>
      </c>
      <c r="FL1831">
        <v>1188.8599999999999</v>
      </c>
      <c r="FM1831" t="s">
        <v>18020</v>
      </c>
      <c r="FN1831">
        <v>0.25</v>
      </c>
      <c r="FO1831" t="s">
        <v>424</v>
      </c>
      <c r="FP1831" t="s">
        <v>454</v>
      </c>
      <c r="FR1831">
        <v>12</v>
      </c>
      <c r="FS1831">
        <v>7555112</v>
      </c>
      <c r="FT1831" t="s">
        <v>18021</v>
      </c>
      <c r="FV1831" s="1">
        <v>42515</v>
      </c>
      <c r="FW1831">
        <v>2015</v>
      </c>
      <c r="FX1831">
        <v>1042.31</v>
      </c>
      <c r="FY1831" t="s">
        <v>18022</v>
      </c>
      <c r="FZ1831">
        <v>4.75</v>
      </c>
      <c r="GA1831" t="s">
        <v>424</v>
      </c>
      <c r="GB1831" t="s">
        <v>425</v>
      </c>
      <c r="GC1831" s="1">
        <v>43140</v>
      </c>
      <c r="GD1831">
        <v>21</v>
      </c>
      <c r="GE1831">
        <v>2035919</v>
      </c>
      <c r="GF1831" t="s">
        <v>507</v>
      </c>
      <c r="GH1831" s="1">
        <v>42151</v>
      </c>
      <c r="GI1831">
        <v>2014</v>
      </c>
      <c r="GJ1831">
        <v>1047.47</v>
      </c>
      <c r="GK1831" t="s">
        <v>18023</v>
      </c>
      <c r="GL1831">
        <v>0.25</v>
      </c>
      <c r="GM1831" t="s">
        <v>424</v>
      </c>
      <c r="GN1831" t="s">
        <v>425</v>
      </c>
      <c r="GO1831" s="1">
        <v>42794</v>
      </c>
      <c r="GP1831">
        <v>21</v>
      </c>
      <c r="GQ1831">
        <v>2101382</v>
      </c>
      <c r="GR1831" t="s">
        <v>993</v>
      </c>
      <c r="GT1831" s="1">
        <v>42151</v>
      </c>
      <c r="GU1831">
        <v>2014</v>
      </c>
      <c r="GV1831">
        <v>1047.47</v>
      </c>
      <c r="GW1831" t="s">
        <v>18023</v>
      </c>
      <c r="GX1831">
        <v>0.25</v>
      </c>
      <c r="GY1831" t="s">
        <v>424</v>
      </c>
      <c r="GZ1831" t="s">
        <v>425</v>
      </c>
      <c r="HB1831">
        <v>22</v>
      </c>
      <c r="HC1831">
        <v>5456060</v>
      </c>
      <c r="HD1831" t="s">
        <v>18024</v>
      </c>
      <c r="HF1831" s="1">
        <v>41787</v>
      </c>
      <c r="HG1831">
        <v>2013</v>
      </c>
      <c r="HH1831">
        <v>1267.6600000000001</v>
      </c>
      <c r="HI1831" t="s">
        <v>18025</v>
      </c>
      <c r="HJ1831">
        <v>0.25</v>
      </c>
      <c r="HK1831" t="s">
        <v>424</v>
      </c>
      <c r="HL1831" t="s">
        <v>425</v>
      </c>
      <c r="HM1831" s="1">
        <v>42459</v>
      </c>
      <c r="HN1831">
        <v>22</v>
      </c>
      <c r="HO1831">
        <v>2101385</v>
      </c>
      <c r="HP1831" t="s">
        <v>810</v>
      </c>
      <c r="HR1831" s="1">
        <v>41423</v>
      </c>
      <c r="HS1831">
        <v>2012</v>
      </c>
      <c r="HT1831">
        <v>1283.23</v>
      </c>
      <c r="HU1831" t="s">
        <v>18026</v>
      </c>
      <c r="HV1831">
        <v>2.5</v>
      </c>
      <c r="HW1831" t="s">
        <v>424</v>
      </c>
      <c r="HX1831" t="s">
        <v>425</v>
      </c>
      <c r="HY1831" s="1">
        <v>41666</v>
      </c>
      <c r="HZ1831">
        <v>8</v>
      </c>
      <c r="IA1831">
        <v>1625515</v>
      </c>
      <c r="IB1831" t="s">
        <v>487</v>
      </c>
      <c r="ID1831" s="1">
        <v>41052</v>
      </c>
      <c r="IE1831">
        <v>2011</v>
      </c>
      <c r="IF1831">
        <v>1847.27</v>
      </c>
      <c r="IG1831" t="s">
        <v>18027</v>
      </c>
      <c r="IH1831">
        <v>4.75</v>
      </c>
      <c r="II1831" t="s">
        <v>424</v>
      </c>
      <c r="IJ1831" t="s">
        <v>425</v>
      </c>
      <c r="IK1831" s="1">
        <v>41527</v>
      </c>
      <c r="IL1831">
        <v>16</v>
      </c>
      <c r="IM1831">
        <v>1625515</v>
      </c>
      <c r="IN1831" t="s">
        <v>487</v>
      </c>
      <c r="IP1831" s="1">
        <v>41052</v>
      </c>
      <c r="IQ1831">
        <v>2011</v>
      </c>
      <c r="IR1831">
        <v>1847.27</v>
      </c>
      <c r="IS1831" t="s">
        <v>18027</v>
      </c>
      <c r="IT1831">
        <v>4.75</v>
      </c>
      <c r="IU1831" t="s">
        <v>424</v>
      </c>
      <c r="IV1831" t="s">
        <v>425</v>
      </c>
      <c r="IX1831">
        <v>22</v>
      </c>
      <c r="IY1831">
        <v>10579</v>
      </c>
      <c r="IZ1831" t="s">
        <v>488</v>
      </c>
      <c r="JB1831" s="1">
        <v>40688</v>
      </c>
      <c r="JC1831">
        <v>2010</v>
      </c>
      <c r="JD1831">
        <v>1856.33</v>
      </c>
      <c r="JE1831" t="s">
        <v>18028</v>
      </c>
      <c r="JF1831">
        <v>6</v>
      </c>
      <c r="JG1831" t="s">
        <v>424</v>
      </c>
      <c r="JH1831" t="s">
        <v>425</v>
      </c>
      <c r="JI1831" s="1">
        <v>40876</v>
      </c>
      <c r="JJ1831">
        <v>6</v>
      </c>
      <c r="JK1831">
        <v>375</v>
      </c>
      <c r="JL1831" t="s">
        <v>776</v>
      </c>
      <c r="JN1831" s="1">
        <v>40688</v>
      </c>
      <c r="JO1831">
        <v>2010</v>
      </c>
      <c r="JP1831">
        <v>1856.33</v>
      </c>
      <c r="JQ1831" t="s">
        <v>18028</v>
      </c>
      <c r="JR1831">
        <v>6</v>
      </c>
      <c r="JS1831" t="s">
        <v>424</v>
      </c>
      <c r="JT1831" t="s">
        <v>425</v>
      </c>
      <c r="JV1831">
        <v>22</v>
      </c>
      <c r="JW1831">
        <v>105</v>
      </c>
      <c r="JX1831" t="s">
        <v>946</v>
      </c>
    </row>
    <row r="1832" spans="1:308" x14ac:dyDescent="0.25">
      <c r="A1832">
        <v>16486839</v>
      </c>
      <c r="B1832">
        <v>1831</v>
      </c>
      <c r="C1832" t="s">
        <v>393</v>
      </c>
      <c r="D1832" t="s">
        <v>394</v>
      </c>
      <c r="F1832" t="str">
        <f>"46-3N-28-5482-0003-0000"</f>
        <v>46-3N-28-5482-0003-0000</v>
      </c>
      <c r="H1832" t="str">
        <f>"PEACOCK JAMES C JR"</f>
        <v>PEACOCK JAMES C JR</v>
      </c>
      <c r="I1832" t="str">
        <f>"34 NORTH 14TH ST"</f>
        <v>34 NORTH 14TH ST</v>
      </c>
      <c r="J1832" t="str">
        <f t="shared" si="685"/>
        <v>FERNANDINA BEACH FL 32034</v>
      </c>
      <c r="K1832" t="str">
        <f>"96001 BAY VIEW DR"</f>
        <v>96001 BAY VIEW DR</v>
      </c>
      <c r="L1832" t="str">
        <f t="shared" si="684"/>
        <v>FERNANDINA BEACH FL 32034</v>
      </c>
      <c r="M1832" t="str">
        <f>"LOT 3 (F/K/A 1-4) PT OR 1916/1497 OYSTER BAY 3 PB 5/397"</f>
        <v>LOT 3 (F/K/A 1-4) PT OR 1916/1497 OYSTER BAY 3 PB 5/397</v>
      </c>
      <c r="N1832" t="str">
        <f>""</f>
        <v/>
      </c>
      <c r="O1832" t="str">
        <f>"53074"</f>
        <v>53074</v>
      </c>
      <c r="P1832" t="str">
        <f t="shared" si="671"/>
        <v>2017</v>
      </c>
      <c r="Q1832" t="str">
        <f>""</f>
        <v/>
      </c>
      <c r="R1832" t="str">
        <f>"Y"</f>
        <v>Y</v>
      </c>
      <c r="S1832" t="str">
        <f>""</f>
        <v/>
      </c>
      <c r="T1832" t="str">
        <f>"6858.50"</f>
        <v>6858.50</v>
      </c>
      <c r="U1832" t="str">
        <f>"492145.00"</f>
        <v>492145.00</v>
      </c>
      <c r="V1832" t="str">
        <f>"492145.00"</f>
        <v>492145.00</v>
      </c>
      <c r="W1832" t="str">
        <f t="shared" si="672"/>
        <v>2017</v>
      </c>
      <c r="X1832" t="str">
        <f>"20.75"</f>
        <v>20.75</v>
      </c>
      <c r="Y1832" t="str">
        <f>"7096.26"</f>
        <v>7096.26</v>
      </c>
      <c r="Z1832" t="str">
        <f>"25000.00"</f>
        <v>25000.00</v>
      </c>
      <c r="AA1832" t="str">
        <f>"467145.00"</f>
        <v>467145.00</v>
      </c>
      <c r="AB1832" t="str">
        <f t="shared" si="686"/>
        <v>Residential</v>
      </c>
      <c r="AC1832" t="str">
        <f t="shared" si="682"/>
        <v>0</v>
      </c>
      <c r="AD1832" t="str">
        <f>"4"</f>
        <v>4</v>
      </c>
      <c r="AE1832" t="str">
        <f>"WOOD (INCLUDE STEEL STUDS)"</f>
        <v>WOOD (INCLUDE STEEL STUDS)</v>
      </c>
      <c r="AF1832" t="str">
        <f>"001"</f>
        <v>001</v>
      </c>
      <c r="AG1832" t="str">
        <f t="shared" si="683"/>
        <v>FL</v>
      </c>
      <c r="AH1832" t="str">
        <f t="shared" si="687"/>
        <v>-</v>
      </c>
      <c r="AI1832" t="str">
        <f>"220000.00"</f>
        <v>220000.00</v>
      </c>
      <c r="AJ1832" t="str">
        <f>"C55-000-588-5837-4"</f>
        <v>C55-000-588-5837-4</v>
      </c>
      <c r="AK1832" t="str">
        <f>"33166"</f>
        <v>33166</v>
      </c>
      <c r="AL1832">
        <v>7</v>
      </c>
      <c r="AM1832">
        <v>2085</v>
      </c>
      <c r="AN1832">
        <v>7449.47</v>
      </c>
      <c r="AQ1832" t="s">
        <v>18029</v>
      </c>
      <c r="AR1832" t="s">
        <v>18029</v>
      </c>
      <c r="AS1832" t="s">
        <v>18029</v>
      </c>
      <c r="AU1832" t="s">
        <v>396</v>
      </c>
      <c r="AV1832">
        <v>2017</v>
      </c>
      <c r="AW1832" t="str">
        <f>"46-3N-28-5482-0003-0000 "</f>
        <v xml:space="preserve">46-3N-28-5482-0003-0000 </v>
      </c>
      <c r="AX1832">
        <v>96001</v>
      </c>
      <c r="AZ1832" t="s">
        <v>18015</v>
      </c>
      <c r="BA1832" t="s">
        <v>669</v>
      </c>
      <c r="BD1832" t="s">
        <v>11749</v>
      </c>
      <c r="BE1832" t="s">
        <v>393</v>
      </c>
      <c r="BF1832">
        <v>32034</v>
      </c>
      <c r="BG1832" t="s">
        <v>18030</v>
      </c>
      <c r="BH1832" t="s">
        <v>11751</v>
      </c>
      <c r="BI1832">
        <v>-81.511309671520095</v>
      </c>
      <c r="BJ1832">
        <v>30.6547268256022</v>
      </c>
      <c r="BK1832" t="s">
        <v>18017</v>
      </c>
      <c r="BM1832" t="s">
        <v>18018</v>
      </c>
      <c r="BN1832" t="s">
        <v>3983</v>
      </c>
      <c r="BO1832">
        <v>32034</v>
      </c>
      <c r="BP1832" t="s">
        <v>404</v>
      </c>
      <c r="BQ1832">
        <v>100</v>
      </c>
      <c r="BR1832" t="s">
        <v>514</v>
      </c>
      <c r="BS1832">
        <v>1001</v>
      </c>
      <c r="BT1832" t="s">
        <v>515</v>
      </c>
      <c r="BW1832">
        <v>64821</v>
      </c>
      <c r="BX1832" t="s">
        <v>407</v>
      </c>
      <c r="BY1832" t="s">
        <v>2729</v>
      </c>
      <c r="BZ1832">
        <v>4</v>
      </c>
      <c r="CA1832">
        <v>1997</v>
      </c>
      <c r="CB1832">
        <v>1</v>
      </c>
      <c r="CC1832">
        <v>1</v>
      </c>
      <c r="CD1832">
        <v>2017</v>
      </c>
      <c r="CG1832">
        <v>492145</v>
      </c>
      <c r="CH1832">
        <v>2017</v>
      </c>
      <c r="CI1832">
        <v>220000</v>
      </c>
      <c r="CJ1832">
        <v>364544</v>
      </c>
      <c r="CK1832">
        <v>584544</v>
      </c>
      <c r="CL1832">
        <v>2017</v>
      </c>
      <c r="CM1832">
        <v>6858.5</v>
      </c>
      <c r="CN1832" s="1">
        <v>41772</v>
      </c>
      <c r="CZ1832" s="1">
        <v>41772</v>
      </c>
      <c r="DD1832" t="s">
        <v>11749</v>
      </c>
      <c r="DF1832">
        <v>3</v>
      </c>
      <c r="DG1832">
        <v>46</v>
      </c>
      <c r="DJ1832" t="s">
        <v>17964</v>
      </c>
      <c r="DL1832">
        <v>50303</v>
      </c>
      <c r="DM1832" t="s">
        <v>17952</v>
      </c>
      <c r="DO1832" t="s">
        <v>18031</v>
      </c>
      <c r="DP1832">
        <v>0</v>
      </c>
      <c r="DQ1832">
        <v>0</v>
      </c>
      <c r="DR1832" t="s">
        <v>411</v>
      </c>
      <c r="DS1832" t="b">
        <v>1</v>
      </c>
      <c r="DT1832" t="s">
        <v>8902</v>
      </c>
      <c r="DV1832" t="s">
        <v>446</v>
      </c>
      <c r="DX1832">
        <v>10</v>
      </c>
      <c r="DY1832" t="s">
        <v>11438</v>
      </c>
      <c r="DZ1832" t="s">
        <v>447</v>
      </c>
      <c r="EA1832" t="s">
        <v>448</v>
      </c>
      <c r="EB1832" t="s">
        <v>14882</v>
      </c>
      <c r="EC1832">
        <v>20101217</v>
      </c>
      <c r="ED1832" t="s">
        <v>450</v>
      </c>
      <c r="EE1832">
        <v>5</v>
      </c>
      <c r="EF1832">
        <v>0</v>
      </c>
      <c r="EG1832">
        <v>0</v>
      </c>
      <c r="EH1832" t="s">
        <v>14883</v>
      </c>
      <c r="EI1832">
        <v>20160407</v>
      </c>
      <c r="EJ1832">
        <v>0</v>
      </c>
      <c r="EK1832">
        <v>0</v>
      </c>
      <c r="EP1832" t="s">
        <v>421</v>
      </c>
      <c r="EQ1832" t="s">
        <v>422</v>
      </c>
      <c r="ER1832">
        <v>2</v>
      </c>
      <c r="ES1832">
        <v>11</v>
      </c>
      <c r="ET1832">
        <v>14766.28</v>
      </c>
      <c r="EU1832">
        <v>750.81</v>
      </c>
      <c r="EV1832">
        <v>15517.09</v>
      </c>
      <c r="EW1832" s="2">
        <v>43222</v>
      </c>
      <c r="EX1832" s="1">
        <v>42879</v>
      </c>
      <c r="EY1832">
        <v>2016</v>
      </c>
      <c r="EZ1832">
        <v>7383.14</v>
      </c>
      <c r="FA1832" t="s">
        <v>18032</v>
      </c>
      <c r="FB1832">
        <v>0.25</v>
      </c>
      <c r="FC1832" t="s">
        <v>424</v>
      </c>
      <c r="FD1832" t="s">
        <v>454</v>
      </c>
      <c r="FF1832">
        <v>12</v>
      </c>
      <c r="FG1832">
        <v>7336671</v>
      </c>
      <c r="FH1832" t="s">
        <v>437</v>
      </c>
      <c r="FJ1832" s="1">
        <v>42879</v>
      </c>
      <c r="FK1832">
        <v>2016</v>
      </c>
      <c r="FL1832">
        <v>7383.14</v>
      </c>
      <c r="FM1832" t="s">
        <v>18032</v>
      </c>
      <c r="FN1832">
        <v>0.25</v>
      </c>
      <c r="FO1832" t="s">
        <v>424</v>
      </c>
      <c r="FP1832" t="s">
        <v>454</v>
      </c>
      <c r="FR1832">
        <v>12</v>
      </c>
      <c r="FS1832">
        <v>6790640</v>
      </c>
      <c r="FT1832" t="s">
        <v>18033</v>
      </c>
      <c r="FV1832" s="1">
        <v>42515</v>
      </c>
      <c r="FW1832">
        <v>2015</v>
      </c>
      <c r="FX1832">
        <v>7505.06</v>
      </c>
      <c r="FY1832" t="s">
        <v>18034</v>
      </c>
      <c r="FZ1832">
        <v>0.25</v>
      </c>
      <c r="GA1832" t="s">
        <v>424</v>
      </c>
      <c r="GB1832" t="s">
        <v>425</v>
      </c>
      <c r="GC1832" s="1">
        <v>43187</v>
      </c>
      <c r="GD1832">
        <v>22</v>
      </c>
      <c r="GE1832">
        <v>5916895</v>
      </c>
      <c r="GF1832" t="s">
        <v>1390</v>
      </c>
      <c r="GH1832" s="1">
        <v>42515</v>
      </c>
      <c r="GI1832">
        <v>2015</v>
      </c>
      <c r="GJ1832">
        <v>7505.06</v>
      </c>
      <c r="GK1832" t="s">
        <v>18034</v>
      </c>
      <c r="GL1832">
        <v>0.25</v>
      </c>
      <c r="GM1832" t="s">
        <v>424</v>
      </c>
      <c r="GN1832" t="s">
        <v>425</v>
      </c>
      <c r="GP1832">
        <v>22</v>
      </c>
      <c r="GQ1832">
        <v>5883326</v>
      </c>
      <c r="GR1832" t="s">
        <v>18035</v>
      </c>
      <c r="GT1832" s="1">
        <v>42151</v>
      </c>
      <c r="GU1832">
        <v>2014</v>
      </c>
      <c r="GV1832">
        <v>7478.72</v>
      </c>
      <c r="GW1832" t="s">
        <v>18036</v>
      </c>
      <c r="GX1832">
        <v>0.25</v>
      </c>
      <c r="GY1832" t="s">
        <v>424</v>
      </c>
      <c r="GZ1832" t="s">
        <v>425</v>
      </c>
      <c r="HA1832" s="1">
        <v>42794</v>
      </c>
      <c r="HB1832">
        <v>21</v>
      </c>
      <c r="HC1832">
        <v>4844983</v>
      </c>
      <c r="HD1832" t="s">
        <v>3901</v>
      </c>
      <c r="HF1832" s="1">
        <v>42151</v>
      </c>
      <c r="HG1832">
        <v>2014</v>
      </c>
      <c r="HH1832">
        <v>7478.72</v>
      </c>
      <c r="HI1832" t="s">
        <v>18036</v>
      </c>
      <c r="HJ1832">
        <v>0.25</v>
      </c>
      <c r="HK1832" t="s">
        <v>424</v>
      </c>
      <c r="HL1832" t="s">
        <v>425</v>
      </c>
      <c r="HN1832">
        <v>22</v>
      </c>
      <c r="HO1832">
        <v>5999333</v>
      </c>
      <c r="HP1832" t="s">
        <v>18037</v>
      </c>
      <c r="HR1832" s="1">
        <v>41787</v>
      </c>
      <c r="HS1832">
        <v>2013</v>
      </c>
      <c r="HT1832">
        <v>6980.74</v>
      </c>
      <c r="HU1832" t="s">
        <v>18038</v>
      </c>
      <c r="HV1832">
        <v>0.25</v>
      </c>
      <c r="HW1832" t="s">
        <v>424</v>
      </c>
      <c r="HX1832" t="s">
        <v>425</v>
      </c>
      <c r="HZ1832">
        <v>22</v>
      </c>
      <c r="IA1832">
        <v>15259</v>
      </c>
      <c r="IB1832" t="s">
        <v>891</v>
      </c>
      <c r="ID1832" s="1">
        <v>41787</v>
      </c>
      <c r="IE1832">
        <v>2013</v>
      </c>
      <c r="IF1832">
        <v>6980.74</v>
      </c>
      <c r="IG1832" t="s">
        <v>18038</v>
      </c>
      <c r="IH1832">
        <v>0.25</v>
      </c>
      <c r="II1832" t="s">
        <v>424</v>
      </c>
      <c r="IJ1832" t="s">
        <v>425</v>
      </c>
      <c r="IK1832" s="1">
        <v>42459</v>
      </c>
      <c r="IL1832">
        <v>22</v>
      </c>
      <c r="IM1832">
        <v>7045049</v>
      </c>
      <c r="IN1832" t="s">
        <v>1335</v>
      </c>
      <c r="IP1832" s="1">
        <v>41423</v>
      </c>
      <c r="IQ1832">
        <v>2012</v>
      </c>
      <c r="IR1832">
        <v>6942.12</v>
      </c>
      <c r="IS1832" t="s">
        <v>18039</v>
      </c>
      <c r="IT1832">
        <v>0.25</v>
      </c>
      <c r="IU1832" t="s">
        <v>424</v>
      </c>
      <c r="IV1832" t="s">
        <v>425</v>
      </c>
      <c r="IX1832">
        <v>22</v>
      </c>
      <c r="IY1832">
        <v>11303</v>
      </c>
      <c r="IZ1832" t="s">
        <v>918</v>
      </c>
      <c r="JB1832" s="1">
        <v>41423</v>
      </c>
      <c r="JC1832">
        <v>2012</v>
      </c>
      <c r="JD1832">
        <v>6942.12</v>
      </c>
      <c r="JE1832" t="s">
        <v>18039</v>
      </c>
      <c r="JF1832">
        <v>0.25</v>
      </c>
      <c r="JG1832" t="s">
        <v>424</v>
      </c>
      <c r="JH1832" t="s">
        <v>425</v>
      </c>
      <c r="JI1832" s="1">
        <v>42068</v>
      </c>
      <c r="JJ1832">
        <v>22</v>
      </c>
      <c r="JK1832">
        <v>4844956</v>
      </c>
      <c r="JL1832" t="s">
        <v>919</v>
      </c>
      <c r="JN1832" s="1">
        <v>41052</v>
      </c>
      <c r="JO1832">
        <v>2011</v>
      </c>
      <c r="JP1832">
        <v>6835.48</v>
      </c>
      <c r="JQ1832" t="s">
        <v>18040</v>
      </c>
      <c r="JR1832">
        <v>0.25</v>
      </c>
      <c r="JS1832" t="s">
        <v>424</v>
      </c>
      <c r="JT1832" t="s">
        <v>425</v>
      </c>
      <c r="JU1832" s="1">
        <v>41725</v>
      </c>
      <c r="JV1832">
        <v>22</v>
      </c>
      <c r="JW1832">
        <v>13104</v>
      </c>
      <c r="JX1832" t="s">
        <v>888</v>
      </c>
      <c r="JZ1832" s="1">
        <v>41052</v>
      </c>
      <c r="KA1832">
        <v>2011</v>
      </c>
      <c r="KB1832">
        <v>6835.48</v>
      </c>
      <c r="KC1832" t="s">
        <v>18040</v>
      </c>
      <c r="KD1832">
        <v>0.25</v>
      </c>
      <c r="KE1832" t="s">
        <v>424</v>
      </c>
      <c r="KF1832" t="s">
        <v>425</v>
      </c>
      <c r="KH1832">
        <v>22</v>
      </c>
      <c r="KI1832">
        <v>13733</v>
      </c>
      <c r="KJ1832" t="s">
        <v>18041</v>
      </c>
      <c r="KL1832" s="1">
        <v>40688</v>
      </c>
      <c r="KM1832">
        <v>2010</v>
      </c>
      <c r="KN1832">
        <v>6760.12</v>
      </c>
      <c r="KO1832" t="s">
        <v>18042</v>
      </c>
      <c r="KP1832">
        <v>0.25</v>
      </c>
      <c r="KQ1832" t="s">
        <v>424</v>
      </c>
      <c r="KR1832" t="s">
        <v>425</v>
      </c>
      <c r="KS1832" s="1">
        <v>41361</v>
      </c>
      <c r="KT1832">
        <v>22</v>
      </c>
      <c r="KU1832">
        <v>11287</v>
      </c>
      <c r="KV1832" t="s">
        <v>511</v>
      </c>
    </row>
    <row r="1833" spans="1:308" x14ac:dyDescent="0.25">
      <c r="A1833">
        <v>16486840</v>
      </c>
      <c r="B1833">
        <v>1832</v>
      </c>
      <c r="C1833" t="s">
        <v>393</v>
      </c>
      <c r="D1833" t="s">
        <v>394</v>
      </c>
      <c r="F1833" t="str">
        <f>"46-3N-28-576A-0006-0000"</f>
        <v>46-3N-28-576A-0006-0000</v>
      </c>
      <c r="H1833" t="str">
        <f>"SABO JOHN"</f>
        <v>SABO JOHN</v>
      </c>
      <c r="I1833" t="str">
        <f>"97096 MILL POND LN"</f>
        <v>97096 MILL POND LN</v>
      </c>
      <c r="J1833" t="str">
        <f t="shared" si="685"/>
        <v>FERNANDINA BEACH FL 32034</v>
      </c>
      <c r="K1833" t="str">
        <f>"97096 MILL POND LN"</f>
        <v>97096 MILL POND LN</v>
      </c>
      <c r="L1833" t="str">
        <f t="shared" si="684"/>
        <v>FERNANDINA BEACH FL 32034</v>
      </c>
      <c r="M1833" t="str">
        <f>"LOT 6 IN OR 2111/176 SPANISH OAKS UNIT 1-A PB 6/99"</f>
        <v>LOT 6 IN OR 2111/176 SPANISH OAKS UNIT 1-A PB 6/99</v>
      </c>
      <c r="N1833" t="str">
        <f>""</f>
        <v/>
      </c>
      <c r="O1833" t="str">
        <f>"53208"</f>
        <v>53208</v>
      </c>
      <c r="P1833" t="str">
        <f t="shared" si="671"/>
        <v>2017</v>
      </c>
      <c r="Q1833" t="str">
        <f>""</f>
        <v/>
      </c>
      <c r="R1833" t="str">
        <f>"Y"</f>
        <v>Y</v>
      </c>
      <c r="S1833" t="str">
        <f>""</f>
        <v/>
      </c>
      <c r="T1833" t="str">
        <f>"2182.07"</f>
        <v>2182.07</v>
      </c>
      <c r="U1833" t="str">
        <f>"183242.00"</f>
        <v>183242.00</v>
      </c>
      <c r="V1833" t="str">
        <f>"183242.00"</f>
        <v>183242.00</v>
      </c>
      <c r="W1833" t="str">
        <f t="shared" si="672"/>
        <v>2017</v>
      </c>
      <c r="X1833" t="str">
        <f>"2.00"</f>
        <v>2.00</v>
      </c>
      <c r="Y1833" t="str">
        <f>"2279.53"</f>
        <v>2279.53</v>
      </c>
      <c r="Z1833" t="str">
        <f>"25000.00"</f>
        <v>25000.00</v>
      </c>
      <c r="AA1833" t="str">
        <f>"158242.00"</f>
        <v>158242.00</v>
      </c>
      <c r="AB1833" t="str">
        <f t="shared" si="686"/>
        <v>Residential</v>
      </c>
      <c r="AC1833" t="str">
        <f t="shared" si="682"/>
        <v>0</v>
      </c>
      <c r="AD1833" t="str">
        <f>"4"</f>
        <v>4</v>
      </c>
      <c r="AE1833" t="str">
        <f>"WOOD (INCLUDE STEEL STUDS)"</f>
        <v>WOOD (INCLUDE STEEL STUDS)</v>
      </c>
      <c r="AF1833" t="str">
        <f>"001"</f>
        <v>001</v>
      </c>
      <c r="AG1833" t="str">
        <f t="shared" si="683"/>
        <v>FL</v>
      </c>
      <c r="AH1833" t="str">
        <f t="shared" si="687"/>
        <v>-</v>
      </c>
      <c r="AI1833" t="str">
        <f>"47250.00"</f>
        <v>47250.00</v>
      </c>
      <c r="AJ1833" t="str">
        <f>"C55-000-588-5964-6"</f>
        <v>C55-000-588-5964-6</v>
      </c>
      <c r="AK1833" t="str">
        <f>"33292"</f>
        <v>33292</v>
      </c>
      <c r="AL1833">
        <v>7</v>
      </c>
      <c r="AM1833">
        <v>2088</v>
      </c>
      <c r="AN1833">
        <v>2391.91</v>
      </c>
      <c r="AQ1833" t="s">
        <v>18043</v>
      </c>
      <c r="AR1833" t="s">
        <v>18043</v>
      </c>
      <c r="AS1833" t="s">
        <v>18043</v>
      </c>
      <c r="AU1833" t="s">
        <v>396</v>
      </c>
      <c r="AV1833">
        <v>2017</v>
      </c>
      <c r="AW1833" t="str">
        <f>"46-3N-28-576A-0006-0000 "</f>
        <v xml:space="preserve">46-3N-28-576A-0006-0000 </v>
      </c>
      <c r="AX1833">
        <v>97096</v>
      </c>
      <c r="AZ1833" t="s">
        <v>18044</v>
      </c>
      <c r="BA1833" t="s">
        <v>653</v>
      </c>
      <c r="BD1833" t="s">
        <v>11749</v>
      </c>
      <c r="BE1833" t="s">
        <v>393</v>
      </c>
      <c r="BF1833">
        <v>32034</v>
      </c>
      <c r="BG1833" t="s">
        <v>18045</v>
      </c>
      <c r="BH1833" t="s">
        <v>11751</v>
      </c>
      <c r="BI1833">
        <v>-81.512413112883294</v>
      </c>
      <c r="BJ1833">
        <v>30.633814690202598</v>
      </c>
      <c r="BK1833" t="s">
        <v>18046</v>
      </c>
      <c r="BM1833" t="s">
        <v>18045</v>
      </c>
      <c r="BN1833" t="s">
        <v>3983</v>
      </c>
      <c r="BO1833">
        <v>32034</v>
      </c>
      <c r="BP1833" t="s">
        <v>404</v>
      </c>
      <c r="BQ1833">
        <v>100</v>
      </c>
      <c r="BR1833" t="s">
        <v>514</v>
      </c>
      <c r="BS1833">
        <v>1001</v>
      </c>
      <c r="BT1833" t="s">
        <v>515</v>
      </c>
      <c r="BW1833">
        <v>19985</v>
      </c>
      <c r="BX1833" t="s">
        <v>407</v>
      </c>
      <c r="BZ1833">
        <v>4</v>
      </c>
      <c r="CA1833">
        <v>1999</v>
      </c>
      <c r="CB1833">
        <v>1</v>
      </c>
      <c r="CC1833">
        <v>1</v>
      </c>
      <c r="CD1833">
        <v>2017</v>
      </c>
      <c r="CE1833">
        <v>47250</v>
      </c>
      <c r="CF1833">
        <v>135992</v>
      </c>
      <c r="CG1833">
        <v>183242</v>
      </c>
      <c r="CH1833">
        <v>2017</v>
      </c>
      <c r="CI1833">
        <v>47250</v>
      </c>
      <c r="CJ1833">
        <v>135992</v>
      </c>
      <c r="CK1833">
        <v>183242</v>
      </c>
      <c r="CL1833">
        <v>2017</v>
      </c>
      <c r="CM1833">
        <v>2182.0700000000002</v>
      </c>
      <c r="CN1833" s="1">
        <v>42829</v>
      </c>
      <c r="CO1833">
        <v>252000</v>
      </c>
      <c r="CV1833">
        <v>0</v>
      </c>
      <c r="CZ1833" s="1">
        <v>42829</v>
      </c>
      <c r="DA1833">
        <v>0</v>
      </c>
      <c r="DD1833" t="s">
        <v>11749</v>
      </c>
      <c r="DF1833">
        <v>6</v>
      </c>
      <c r="DG1833">
        <v>46</v>
      </c>
      <c r="DI1833" t="s">
        <v>18047</v>
      </c>
      <c r="DJ1833" t="s">
        <v>18048</v>
      </c>
      <c r="DL1833">
        <v>50303</v>
      </c>
      <c r="DM1833" t="s">
        <v>17952</v>
      </c>
      <c r="DO1833" t="s">
        <v>18049</v>
      </c>
      <c r="DP1833">
        <v>0</v>
      </c>
      <c r="DQ1833">
        <v>0</v>
      </c>
      <c r="DR1833" t="s">
        <v>411</v>
      </c>
      <c r="EP1833" t="s">
        <v>421</v>
      </c>
      <c r="EQ1833" t="s">
        <v>422</v>
      </c>
      <c r="ER1833">
        <v>0</v>
      </c>
      <c r="ES1833">
        <v>2</v>
      </c>
      <c r="ET1833">
        <v>0</v>
      </c>
      <c r="EU1833">
        <v>0</v>
      </c>
      <c r="EV1833">
        <v>0</v>
      </c>
      <c r="EW1833" s="2">
        <v>43222</v>
      </c>
      <c r="EX1833" s="1">
        <v>41423</v>
      </c>
      <c r="EY1833">
        <v>2012</v>
      </c>
      <c r="EZ1833">
        <v>448.5</v>
      </c>
      <c r="FA1833" t="s">
        <v>18050</v>
      </c>
      <c r="FB1833">
        <v>0.25</v>
      </c>
      <c r="FC1833" t="s">
        <v>424</v>
      </c>
      <c r="FD1833" t="s">
        <v>425</v>
      </c>
      <c r="FE1833" s="1">
        <v>41471</v>
      </c>
      <c r="FF1833">
        <v>2</v>
      </c>
      <c r="FG1833">
        <v>15398</v>
      </c>
      <c r="FH1833" t="s">
        <v>1180</v>
      </c>
      <c r="FJ1833" s="1">
        <v>41052</v>
      </c>
      <c r="FK1833">
        <v>2011</v>
      </c>
      <c r="FL1833">
        <v>1073.3699999999999</v>
      </c>
      <c r="FM1833" t="s">
        <v>18051</v>
      </c>
      <c r="FN1833">
        <v>0.25</v>
      </c>
      <c r="FO1833" t="s">
        <v>424</v>
      </c>
      <c r="FP1833" t="s">
        <v>425</v>
      </c>
      <c r="FQ1833" s="1">
        <v>41102</v>
      </c>
      <c r="FR1833">
        <v>2</v>
      </c>
      <c r="FS1833">
        <v>14058</v>
      </c>
      <c r="FT1833" t="s">
        <v>18052</v>
      </c>
    </row>
    <row r="1834" spans="1:308" x14ac:dyDescent="0.25">
      <c r="A1834">
        <v>16486841</v>
      </c>
      <c r="B1834">
        <v>1833</v>
      </c>
      <c r="C1834" t="s">
        <v>393</v>
      </c>
      <c r="D1834" t="s">
        <v>394</v>
      </c>
      <c r="F1834" t="str">
        <f>"46-3N-28-5800-0003-0000"</f>
        <v>46-3N-28-5800-0003-0000</v>
      </c>
      <c r="H1834" t="str">
        <f>"SCOTT STANLEY V HAYLO FARMS"</f>
        <v>SCOTT STANLEY V HAYLO FARMS</v>
      </c>
      <c r="I1834" t="str">
        <f>"10624 NW HIGHWAY 225A"</f>
        <v>10624 NW HIGHWAY 225A</v>
      </c>
      <c r="J1834" t="str">
        <f>"OCALA FL 34482"</f>
        <v>OCALA FL 34482</v>
      </c>
      <c r="K1834" t="str">
        <f>"96412 MARSH HEN RD"</f>
        <v>96412 MARSH HEN RD</v>
      </c>
      <c r="L1834" t="str">
        <f t="shared" si="684"/>
        <v>FERNANDINA BEACH FL 32034</v>
      </c>
      <c r="M1834" t="str">
        <f>"LOT 3 PT OR 711/1622 SUMMER ESTATES PB 6/245"</f>
        <v>LOT 3 PT OR 711/1622 SUMMER ESTATES PB 6/245</v>
      </c>
      <c r="N1834" t="str">
        <f>""</f>
        <v/>
      </c>
      <c r="O1834" t="str">
        <f>"53297"</f>
        <v>53297</v>
      </c>
      <c r="P1834" t="str">
        <f t="shared" si="671"/>
        <v>2017</v>
      </c>
      <c r="Q1834" t="str">
        <f>""</f>
        <v/>
      </c>
      <c r="R1834" t="str">
        <f>"N"</f>
        <v>N</v>
      </c>
      <c r="S1834" t="str">
        <f>""</f>
        <v/>
      </c>
      <c r="T1834" t="str">
        <f>"635.82"</f>
        <v>635.82</v>
      </c>
      <c r="U1834" t="str">
        <f>"42000.00"</f>
        <v>42000.00</v>
      </c>
      <c r="V1834" t="str">
        <f>"42000.00"</f>
        <v>42000.00</v>
      </c>
      <c r="W1834" t="str">
        <f t="shared" si="672"/>
        <v>2017</v>
      </c>
      <c r="X1834" t="str">
        <f>""</f>
        <v/>
      </c>
      <c r="Y1834" t="str">
        <f>"686.89"</f>
        <v>686.89</v>
      </c>
      <c r="Z1834" t="str">
        <f>""</f>
        <v/>
      </c>
      <c r="AA1834" t="str">
        <f>"42000.00"</f>
        <v>42000.00</v>
      </c>
      <c r="AB1834" t="str">
        <f t="shared" si="686"/>
        <v>Residential</v>
      </c>
      <c r="AC1834" t="str">
        <f t="shared" si="682"/>
        <v>0</v>
      </c>
      <c r="AD1834" t="str">
        <f>""</f>
        <v/>
      </c>
      <c r="AE1834" t="str">
        <f>""</f>
        <v/>
      </c>
      <c r="AF1834" t="str">
        <f>"000"</f>
        <v>000</v>
      </c>
      <c r="AG1834" t="str">
        <f t="shared" si="683"/>
        <v>FL</v>
      </c>
      <c r="AH1834" t="str">
        <f t="shared" si="687"/>
        <v>-</v>
      </c>
      <c r="AI1834" t="str">
        <f>"42000.00"</f>
        <v>42000.00</v>
      </c>
      <c r="AJ1834" t="str">
        <f>"C55-000-588-6047-9"</f>
        <v>C55-000-588-6047-9</v>
      </c>
      <c r="AK1834" t="str">
        <f>"33377"</f>
        <v>33377</v>
      </c>
      <c r="AL1834">
        <v>7</v>
      </c>
      <c r="AM1834">
        <v>2089</v>
      </c>
      <c r="AN1834">
        <v>719.63</v>
      </c>
      <c r="AQ1834" t="s">
        <v>18053</v>
      </c>
      <c r="AR1834" t="s">
        <v>18053</v>
      </c>
      <c r="AS1834" t="s">
        <v>18053</v>
      </c>
      <c r="AU1834" t="s">
        <v>396</v>
      </c>
      <c r="AV1834">
        <v>2017</v>
      </c>
      <c r="AW1834" t="str">
        <f>"46-3N-28-5800-0003-0000 "</f>
        <v xml:space="preserve">46-3N-28-5800-0003-0000 </v>
      </c>
      <c r="AX1834">
        <v>96412</v>
      </c>
      <c r="AZ1834" t="s">
        <v>17955</v>
      </c>
      <c r="BA1834" t="s">
        <v>496</v>
      </c>
      <c r="BD1834" t="s">
        <v>11749</v>
      </c>
      <c r="BE1834" t="s">
        <v>393</v>
      </c>
      <c r="BF1834">
        <v>32034</v>
      </c>
      <c r="BG1834" t="s">
        <v>18054</v>
      </c>
      <c r="BH1834" t="s">
        <v>11751</v>
      </c>
      <c r="BI1834">
        <v>-81.516718949475802</v>
      </c>
      <c r="BJ1834">
        <v>30.6370531102048</v>
      </c>
      <c r="BK1834" t="s">
        <v>18055</v>
      </c>
      <c r="BL1834" t="s">
        <v>18056</v>
      </c>
      <c r="BM1834" t="s">
        <v>18054</v>
      </c>
      <c r="BN1834" t="s">
        <v>3983</v>
      </c>
      <c r="BO1834">
        <v>32034</v>
      </c>
      <c r="BP1834" t="s">
        <v>404</v>
      </c>
      <c r="BQ1834">
        <v>0</v>
      </c>
      <c r="BR1834" t="s">
        <v>491</v>
      </c>
      <c r="BS1834">
        <v>8001</v>
      </c>
      <c r="BT1834" t="s">
        <v>492</v>
      </c>
      <c r="BW1834">
        <v>36951</v>
      </c>
      <c r="BX1834" t="s">
        <v>407</v>
      </c>
      <c r="BY1834" t="s">
        <v>2729</v>
      </c>
      <c r="CD1834">
        <v>2017</v>
      </c>
      <c r="CE1834">
        <v>42000</v>
      </c>
      <c r="CG1834">
        <v>42000</v>
      </c>
      <c r="CH1834">
        <v>2017</v>
      </c>
      <c r="CI1834">
        <v>42000</v>
      </c>
      <c r="CK1834">
        <v>42000</v>
      </c>
      <c r="CL1834">
        <v>2017</v>
      </c>
      <c r="CM1834">
        <v>635.82000000000005</v>
      </c>
      <c r="CN1834" s="1">
        <v>43014</v>
      </c>
      <c r="CO1834">
        <v>75000</v>
      </c>
      <c r="CV1834">
        <v>60000</v>
      </c>
      <c r="CX1834" t="s">
        <v>5513</v>
      </c>
      <c r="CZ1834" s="1">
        <v>43014</v>
      </c>
      <c r="DA1834">
        <v>0</v>
      </c>
      <c r="DD1834" t="s">
        <v>11749</v>
      </c>
      <c r="DF1834">
        <v>3</v>
      </c>
      <c r="DG1834">
        <v>46</v>
      </c>
      <c r="DJ1834" t="s">
        <v>18057</v>
      </c>
      <c r="DL1834">
        <v>50303</v>
      </c>
      <c r="DM1834" t="s">
        <v>17952</v>
      </c>
      <c r="DO1834" t="s">
        <v>18058</v>
      </c>
      <c r="DP1834">
        <v>0</v>
      </c>
      <c r="DQ1834">
        <v>0</v>
      </c>
      <c r="DR1834" t="s">
        <v>411</v>
      </c>
    </row>
    <row r="1835" spans="1:308" x14ac:dyDescent="0.25">
      <c r="A1835">
        <v>16486842</v>
      </c>
      <c r="B1835">
        <v>1834</v>
      </c>
      <c r="C1835" t="s">
        <v>393</v>
      </c>
      <c r="D1835" t="s">
        <v>394</v>
      </c>
      <c r="F1835" t="str">
        <f>"46-3N-28-6205-0034-0000"</f>
        <v>46-3N-28-6205-0034-0000</v>
      </c>
      <c r="H1835" t="str">
        <f>"KATO JOHN H"</f>
        <v>KATO JOHN H</v>
      </c>
      <c r="I1835" t="str">
        <f>"473951 MIDDLE RD"</f>
        <v>473951 MIDDLE RD</v>
      </c>
      <c r="J1835" t="str">
        <f>"JACKSONVILLE FL 32224"</f>
        <v>JACKSONVILLE FL 32224</v>
      </c>
      <c r="K1835" t="str">
        <f>"96618 SOAP CREEK DR"</f>
        <v>96618 SOAP CREEK DR</v>
      </c>
      <c r="L1835" t="str">
        <f t="shared" si="684"/>
        <v>FERNANDINA BEACH FL 32034</v>
      </c>
      <c r="M1835" t="str">
        <f>"LOT 34 IN OR 2115/1971 WATERWAY OAKS AT OYSTER BAY HARBOUR REPLAT PB 7/289"</f>
        <v>LOT 34 IN OR 2115/1971 WATERWAY OAKS AT OYSTER BAY HARBOUR REPLAT PB 7/289</v>
      </c>
      <c r="N1835" t="str">
        <f>""</f>
        <v/>
      </c>
      <c r="O1835" t="str">
        <f>"53355"</f>
        <v>53355</v>
      </c>
      <c r="P1835" t="str">
        <f t="shared" si="671"/>
        <v>2017</v>
      </c>
      <c r="Q1835" t="str">
        <f>""</f>
        <v/>
      </c>
      <c r="R1835" t="str">
        <f>"N"</f>
        <v>N</v>
      </c>
      <c r="S1835" t="str">
        <f>""</f>
        <v/>
      </c>
      <c r="T1835" t="str">
        <f>"2385.33"</f>
        <v>2385.33</v>
      </c>
      <c r="U1835" t="str">
        <f>"124782.00"</f>
        <v>124782.00</v>
      </c>
      <c r="V1835" t="str">
        <f>"124782.00"</f>
        <v>124782.00</v>
      </c>
      <c r="W1835" t="str">
        <f t="shared" si="672"/>
        <v>2017</v>
      </c>
      <c r="X1835" t="str">
        <f>""</f>
        <v/>
      </c>
      <c r="Y1835" t="str">
        <f>"2488.89"</f>
        <v>2488.89</v>
      </c>
      <c r="Z1835" t="str">
        <f>""</f>
        <v/>
      </c>
      <c r="AA1835" t="str">
        <f>"200000.00"</f>
        <v>200000.00</v>
      </c>
      <c r="AB1835" t="str">
        <f t="shared" si="686"/>
        <v>Residential</v>
      </c>
      <c r="AC1835" t="str">
        <f t="shared" si="682"/>
        <v>0</v>
      </c>
      <c r="AD1835" t="str">
        <f>""</f>
        <v/>
      </c>
      <c r="AE1835" t="str">
        <f>""</f>
        <v/>
      </c>
      <c r="AF1835" t="str">
        <f>"000"</f>
        <v>000</v>
      </c>
      <c r="AG1835" t="str">
        <f t="shared" si="683"/>
        <v>FL</v>
      </c>
      <c r="AH1835" t="str">
        <f t="shared" si="687"/>
        <v>-</v>
      </c>
      <c r="AI1835" t="str">
        <f>"200000.00"</f>
        <v>200000.00</v>
      </c>
      <c r="AJ1835" t="str">
        <f>"C55-000-969-8158-4"</f>
        <v>C55-000-969-8158-4</v>
      </c>
      <c r="AK1835" t="str">
        <f>"33430"</f>
        <v>33430</v>
      </c>
      <c r="AL1835">
        <v>7</v>
      </c>
      <c r="AM1835">
        <v>2090</v>
      </c>
      <c r="AN1835">
        <v>2611.73</v>
      </c>
      <c r="AQ1835" t="s">
        <v>18059</v>
      </c>
      <c r="AR1835" t="s">
        <v>18059</v>
      </c>
      <c r="AS1835" t="s">
        <v>18059</v>
      </c>
      <c r="AU1835" t="s">
        <v>396</v>
      </c>
      <c r="AV1835">
        <v>2017</v>
      </c>
      <c r="AW1835" t="str">
        <f>"46-3N-28-6205-0034-0000 "</f>
        <v xml:space="preserve">46-3N-28-6205-0034-0000 </v>
      </c>
      <c r="AX1835">
        <v>96618</v>
      </c>
      <c r="AZ1835" t="s">
        <v>18060</v>
      </c>
      <c r="BA1835" t="s">
        <v>669</v>
      </c>
      <c r="BD1835" t="s">
        <v>11749</v>
      </c>
      <c r="BE1835" t="s">
        <v>393</v>
      </c>
      <c r="BF1835">
        <v>32034</v>
      </c>
      <c r="BG1835" t="s">
        <v>18061</v>
      </c>
      <c r="BH1835" t="s">
        <v>11751</v>
      </c>
      <c r="BI1835">
        <v>-81.505111248324795</v>
      </c>
      <c r="BJ1835">
        <v>30.655186003466401</v>
      </c>
      <c r="BK1835" t="s">
        <v>18062</v>
      </c>
      <c r="BM1835" t="s">
        <v>18063</v>
      </c>
      <c r="BN1835" t="s">
        <v>548</v>
      </c>
      <c r="BO1835">
        <v>32224</v>
      </c>
      <c r="BP1835" t="s">
        <v>404</v>
      </c>
      <c r="BQ1835">
        <v>0</v>
      </c>
      <c r="BR1835" t="s">
        <v>491</v>
      </c>
      <c r="BS1835">
        <v>8001</v>
      </c>
      <c r="BT1835" t="s">
        <v>492</v>
      </c>
      <c r="BW1835">
        <v>45046</v>
      </c>
      <c r="BX1835" t="s">
        <v>407</v>
      </c>
      <c r="BY1835" t="s">
        <v>3019</v>
      </c>
      <c r="CD1835">
        <v>2017</v>
      </c>
      <c r="CE1835">
        <v>200000</v>
      </c>
      <c r="CG1835">
        <v>200000</v>
      </c>
      <c r="CH1835">
        <v>2017</v>
      </c>
      <c r="CI1835">
        <v>200000</v>
      </c>
      <c r="CK1835">
        <v>200000</v>
      </c>
      <c r="CL1835">
        <v>2017</v>
      </c>
      <c r="CM1835">
        <v>2385.33</v>
      </c>
      <c r="CN1835" s="1">
        <v>42850</v>
      </c>
      <c r="CO1835">
        <v>199900</v>
      </c>
      <c r="CV1835">
        <v>69965</v>
      </c>
      <c r="CX1835" t="s">
        <v>707</v>
      </c>
      <c r="CZ1835" s="1">
        <v>42850</v>
      </c>
      <c r="DA1835">
        <v>0</v>
      </c>
      <c r="DD1835" t="s">
        <v>11749</v>
      </c>
      <c r="DF1835">
        <v>34</v>
      </c>
      <c r="DG1835">
        <v>46</v>
      </c>
      <c r="DJ1835" t="s">
        <v>17964</v>
      </c>
      <c r="DL1835">
        <v>50303</v>
      </c>
      <c r="DM1835" t="s">
        <v>17952</v>
      </c>
      <c r="DO1835" t="s">
        <v>18064</v>
      </c>
      <c r="DP1835">
        <v>0</v>
      </c>
      <c r="DQ1835">
        <v>0</v>
      </c>
      <c r="DR1835" t="s">
        <v>411</v>
      </c>
    </row>
    <row r="1836" spans="1:308" x14ac:dyDescent="0.25">
      <c r="A1836">
        <v>16486843</v>
      </c>
      <c r="B1836">
        <v>1835</v>
      </c>
      <c r="C1836" t="s">
        <v>393</v>
      </c>
      <c r="D1836" t="s">
        <v>394</v>
      </c>
      <c r="F1836" t="str">
        <f>"48-3N-28-0130-0049-0000"</f>
        <v>48-3N-28-0130-0049-0000</v>
      </c>
      <c r="H1836" t="str">
        <f>"STEPHENS MICHAEL E"</f>
        <v>STEPHENS MICHAEL E</v>
      </c>
      <c r="I1836" t="str">
        <f>"97160 GLEN STREET"</f>
        <v>97160 GLEN STREET</v>
      </c>
      <c r="J1836" t="str">
        <f t="shared" ref="J1836:J1844" si="688">"YULEE FL 32097"</f>
        <v>YULEE FL 32097</v>
      </c>
      <c r="K1836" t="str">
        <f>"97160 GLEN ST"</f>
        <v>97160 GLEN ST</v>
      </c>
      <c r="L1836" t="str">
        <f t="shared" ref="L1836:L1858" si="689">"YULEE FL 32097"</f>
        <v>YULEE FL 32097</v>
      </c>
      <c r="M1836" t="str">
        <f>"LOT 49 IN OR 1596/1548 2002 CHNC TW/MH CONSERVATION ESMT OR 942/1471 BENCHMARK GLEN REPLAT PB 6/168"</f>
        <v>LOT 49 IN OR 1596/1548 2002 CHNC TW/MH CONSERVATION ESMT OR 942/1471 BENCHMARK GLEN REPLAT PB 6/168</v>
      </c>
      <c r="N1836" t="str">
        <f>""</f>
        <v/>
      </c>
      <c r="O1836" t="str">
        <f>"53818"</f>
        <v>53818</v>
      </c>
      <c r="P1836" t="str">
        <f t="shared" si="671"/>
        <v>2017</v>
      </c>
      <c r="Q1836" t="str">
        <f>""</f>
        <v/>
      </c>
      <c r="R1836" t="str">
        <f>"Y"</f>
        <v>Y</v>
      </c>
      <c r="S1836" t="str">
        <f>""</f>
        <v/>
      </c>
      <c r="T1836" t="str">
        <f>"535.64"</f>
        <v>535.64</v>
      </c>
      <c r="U1836" t="str">
        <f>"73819.00"</f>
        <v>73819.00</v>
      </c>
      <c r="V1836" t="str">
        <f>"73819.00"</f>
        <v>73819.00</v>
      </c>
      <c r="W1836" t="str">
        <f t="shared" si="672"/>
        <v>2017</v>
      </c>
      <c r="X1836" t="str">
        <f>"3.00"</f>
        <v>3.00</v>
      </c>
      <c r="Y1836" t="str">
        <f>"583.71"</f>
        <v>583.71</v>
      </c>
      <c r="Z1836" t="str">
        <f>"25000.00"</f>
        <v>25000.00</v>
      </c>
      <c r="AA1836" t="str">
        <f>"48819.00"</f>
        <v>48819.00</v>
      </c>
      <c r="AB1836" t="str">
        <f t="shared" si="686"/>
        <v>Residential</v>
      </c>
      <c r="AC1836" t="str">
        <f t="shared" si="682"/>
        <v>0</v>
      </c>
      <c r="AD1836" t="str">
        <f>"4"</f>
        <v>4</v>
      </c>
      <c r="AE1836" t="str">
        <f>"WOOD (INCLUDE STEEL STUDS)"</f>
        <v>WOOD (INCLUDE STEEL STUDS)</v>
      </c>
      <c r="AF1836" t="str">
        <f>"002"</f>
        <v>002</v>
      </c>
      <c r="AG1836" t="str">
        <f t="shared" si="683"/>
        <v>FL</v>
      </c>
      <c r="AH1836" t="str">
        <f t="shared" si="687"/>
        <v>-</v>
      </c>
      <c r="AI1836" t="str">
        <f>"20000.00"</f>
        <v>20000.00</v>
      </c>
      <c r="AJ1836" t="str">
        <f>"C55-000-588-6421-6"</f>
        <v>C55-000-588-6421-6</v>
      </c>
      <c r="AK1836" t="str">
        <f>"33612"</f>
        <v>33612</v>
      </c>
      <c r="AL1836">
        <v>7</v>
      </c>
      <c r="AM1836">
        <v>2093</v>
      </c>
      <c r="AN1836">
        <v>611.29999999999995</v>
      </c>
      <c r="AQ1836" t="s">
        <v>18065</v>
      </c>
      <c r="AR1836" t="s">
        <v>18065</v>
      </c>
      <c r="AS1836" t="s">
        <v>18065</v>
      </c>
      <c r="AU1836" t="s">
        <v>396</v>
      </c>
      <c r="AV1836">
        <v>2017</v>
      </c>
      <c r="AW1836" t="str">
        <f>"48-3N-28-0130-0049-0000 "</f>
        <v xml:space="preserve">48-3N-28-0130-0049-0000 </v>
      </c>
      <c r="AX1836">
        <v>97160</v>
      </c>
      <c r="AZ1836" t="s">
        <v>18066</v>
      </c>
      <c r="BA1836" t="s">
        <v>1942</v>
      </c>
      <c r="BD1836" t="s">
        <v>2387</v>
      </c>
      <c r="BE1836" t="s">
        <v>393</v>
      </c>
      <c r="BF1836">
        <v>32097</v>
      </c>
      <c r="BG1836" t="s">
        <v>18067</v>
      </c>
      <c r="BH1836" t="s">
        <v>2388</v>
      </c>
      <c r="BI1836">
        <v>-81.536280189312805</v>
      </c>
      <c r="BJ1836">
        <v>30.671050614704399</v>
      </c>
      <c r="BK1836" t="s">
        <v>18068</v>
      </c>
      <c r="BM1836" t="s">
        <v>18067</v>
      </c>
      <c r="BN1836" t="s">
        <v>1778</v>
      </c>
      <c r="BO1836">
        <v>32097</v>
      </c>
      <c r="BP1836" t="s">
        <v>416</v>
      </c>
      <c r="BQ1836">
        <v>200</v>
      </c>
      <c r="BR1836" t="s">
        <v>405</v>
      </c>
      <c r="BS1836">
        <v>1006</v>
      </c>
      <c r="BT1836" t="s">
        <v>406</v>
      </c>
      <c r="BW1836">
        <v>23069</v>
      </c>
      <c r="BX1836" t="s">
        <v>407</v>
      </c>
      <c r="BY1836" t="s">
        <v>3019</v>
      </c>
      <c r="BZ1836">
        <v>4</v>
      </c>
      <c r="CA1836">
        <v>2001</v>
      </c>
      <c r="CB1836">
        <v>1</v>
      </c>
      <c r="CC1836">
        <v>1</v>
      </c>
      <c r="CD1836">
        <v>2017</v>
      </c>
      <c r="CG1836">
        <v>73819</v>
      </c>
      <c r="CH1836">
        <v>2017</v>
      </c>
      <c r="CI1836">
        <v>20000</v>
      </c>
      <c r="CJ1836">
        <v>75377</v>
      </c>
      <c r="CK1836">
        <v>95377</v>
      </c>
      <c r="CL1836">
        <v>2017</v>
      </c>
      <c r="CM1836">
        <v>535.64</v>
      </c>
      <c r="CN1836" s="1">
        <v>39792</v>
      </c>
      <c r="CO1836">
        <v>95000</v>
      </c>
      <c r="CV1836">
        <v>0</v>
      </c>
      <c r="CZ1836" s="1">
        <v>39792</v>
      </c>
      <c r="DA1836">
        <v>0</v>
      </c>
      <c r="DD1836" t="s">
        <v>2387</v>
      </c>
      <c r="DF1836">
        <v>49</v>
      </c>
      <c r="DG1836">
        <v>48</v>
      </c>
      <c r="DL1836">
        <v>50301</v>
      </c>
      <c r="DM1836" t="s">
        <v>17670</v>
      </c>
      <c r="DO1836" t="s">
        <v>18069</v>
      </c>
      <c r="DP1836">
        <v>0</v>
      </c>
      <c r="DQ1836">
        <v>0</v>
      </c>
      <c r="DR1836" t="s">
        <v>411</v>
      </c>
      <c r="EP1836" t="s">
        <v>421</v>
      </c>
      <c r="EQ1836" t="s">
        <v>422</v>
      </c>
      <c r="ER1836">
        <v>0</v>
      </c>
      <c r="ES1836">
        <v>2</v>
      </c>
      <c r="ET1836">
        <v>0</v>
      </c>
      <c r="EU1836">
        <v>0</v>
      </c>
      <c r="EV1836">
        <v>0</v>
      </c>
      <c r="EW1836" s="2">
        <v>43222</v>
      </c>
      <c r="EX1836" s="1">
        <v>42879</v>
      </c>
      <c r="EY1836">
        <v>2016</v>
      </c>
      <c r="EZ1836">
        <v>605.91999999999996</v>
      </c>
      <c r="FA1836" t="s">
        <v>18070</v>
      </c>
      <c r="FB1836">
        <v>0.25</v>
      </c>
      <c r="FC1836" t="s">
        <v>424</v>
      </c>
      <c r="FD1836" t="s">
        <v>425</v>
      </c>
      <c r="FE1836" s="1">
        <v>42977</v>
      </c>
      <c r="FF1836">
        <v>3</v>
      </c>
      <c r="FG1836">
        <v>7336671</v>
      </c>
      <c r="FH1836" t="s">
        <v>437</v>
      </c>
      <c r="FJ1836" s="1">
        <v>42879</v>
      </c>
      <c r="FK1836">
        <v>2016</v>
      </c>
      <c r="FL1836">
        <v>605.91999999999996</v>
      </c>
      <c r="FM1836" t="s">
        <v>18070</v>
      </c>
      <c r="FN1836">
        <v>0.25</v>
      </c>
      <c r="FO1836" t="s">
        <v>424</v>
      </c>
      <c r="FP1836" t="s">
        <v>425</v>
      </c>
      <c r="FR1836">
        <v>22</v>
      </c>
      <c r="FS1836">
        <v>7000897</v>
      </c>
      <c r="FT1836" t="s">
        <v>18071</v>
      </c>
    </row>
    <row r="1837" spans="1:308" x14ac:dyDescent="0.25">
      <c r="A1837">
        <v>16486844</v>
      </c>
      <c r="B1837">
        <v>1836</v>
      </c>
      <c r="C1837" t="s">
        <v>393</v>
      </c>
      <c r="D1837" t="s">
        <v>394</v>
      </c>
      <c r="F1837" t="str">
        <f>"50-3N-28-0000-0002-0010"</f>
        <v>50-3N-28-0000-0002-0010</v>
      </c>
      <c r="H1837" t="str">
        <f>"TODD DEBRA B"</f>
        <v>TODD DEBRA B</v>
      </c>
      <c r="I1837" t="str">
        <f>"98234 SWAMP FEVER LN"</f>
        <v>98234 SWAMP FEVER LN</v>
      </c>
      <c r="J1837" t="str">
        <f t="shared" si="688"/>
        <v>YULEE FL 32097</v>
      </c>
      <c r="K1837" t="str">
        <f>"SWAMP FEVER LN"</f>
        <v>SWAMP FEVER LN</v>
      </c>
      <c r="L1837" t="str">
        <f t="shared" si="689"/>
        <v>YULEE FL 32097</v>
      </c>
      <c r="M1837" t="str">
        <f>"PT WM G CHRISTOPHER GRANT SEC 50-3N-28E IN OR 1857/939 (EX UTIL ESMT IN OR 1260/1500)"</f>
        <v>PT WM G CHRISTOPHER GRANT SEC 50-3N-28E IN OR 1857/939 (EX UTIL ESMT IN OR 1260/1500)</v>
      </c>
      <c r="N1837" t="str">
        <f>""</f>
        <v/>
      </c>
      <c r="O1837" t="str">
        <f>"54268"</f>
        <v>54268</v>
      </c>
      <c r="P1837" t="str">
        <f t="shared" si="671"/>
        <v>2017</v>
      </c>
      <c r="Q1837" t="str">
        <f>""</f>
        <v/>
      </c>
      <c r="R1837" t="str">
        <f>"N"</f>
        <v>N</v>
      </c>
      <c r="S1837" t="str">
        <f>"2.00"</f>
        <v>2.00</v>
      </c>
      <c r="T1837" t="str">
        <f>"688.82"</f>
        <v>688.82</v>
      </c>
      <c r="U1837" t="str">
        <f>"45500.00"</f>
        <v>45500.00</v>
      </c>
      <c r="V1837" t="str">
        <f>"45500.00"</f>
        <v>45500.00</v>
      </c>
      <c r="W1837" t="str">
        <f t="shared" si="672"/>
        <v>2017</v>
      </c>
      <c r="X1837" t="str">
        <f>"17.43"</f>
        <v>17.43</v>
      </c>
      <c r="Y1837" t="str">
        <f>"741.48"</f>
        <v>741.48</v>
      </c>
      <c r="Z1837" t="str">
        <f>""</f>
        <v/>
      </c>
      <c r="AA1837" t="str">
        <f>"45500.00"</f>
        <v>45500.00</v>
      </c>
      <c r="AB1837" t="str">
        <f t="shared" si="686"/>
        <v>Residential</v>
      </c>
      <c r="AC1837" t="str">
        <f t="shared" si="682"/>
        <v>0</v>
      </c>
      <c r="AD1837" t="str">
        <f>""</f>
        <v/>
      </c>
      <c r="AE1837" t="str">
        <f>""</f>
        <v/>
      </c>
      <c r="AF1837" t="str">
        <f>"000"</f>
        <v>000</v>
      </c>
      <c r="AG1837" t="str">
        <f t="shared" si="683"/>
        <v>FL</v>
      </c>
      <c r="AH1837" t="str">
        <f>"87120.00"</f>
        <v>87120.00</v>
      </c>
      <c r="AI1837" t="str">
        <f>"42500.00"</f>
        <v>42500.00</v>
      </c>
      <c r="AJ1837" t="str">
        <f>"C55-000-588-9805-7"</f>
        <v>C55-000-588-9805-7</v>
      </c>
      <c r="AK1837" t="str">
        <f>"33619"</f>
        <v>33619</v>
      </c>
      <c r="AL1837">
        <v>7</v>
      </c>
      <c r="AM1837">
        <v>2095</v>
      </c>
      <c r="AN1837">
        <v>776.95</v>
      </c>
      <c r="AQ1837" t="s">
        <v>18072</v>
      </c>
      <c r="AR1837" t="s">
        <v>18072</v>
      </c>
      <c r="AS1837" t="s">
        <v>18072</v>
      </c>
      <c r="AU1837" t="s">
        <v>396</v>
      </c>
      <c r="AV1837">
        <v>2017</v>
      </c>
      <c r="AW1837" t="str">
        <f>"50-3N-28-0000-0002-0010 "</f>
        <v xml:space="preserve">50-3N-28-0000-0002-0010 </v>
      </c>
      <c r="AZ1837" t="s">
        <v>18073</v>
      </c>
      <c r="BA1837" t="s">
        <v>653</v>
      </c>
      <c r="BD1837" t="s">
        <v>2387</v>
      </c>
      <c r="BE1837" t="s">
        <v>393</v>
      </c>
      <c r="BF1837">
        <v>32097</v>
      </c>
      <c r="BG1837" t="s">
        <v>18074</v>
      </c>
      <c r="BH1837" t="s">
        <v>2388</v>
      </c>
      <c r="BI1837">
        <v>-81.530831827881102</v>
      </c>
      <c r="BJ1837">
        <v>30.663732457206301</v>
      </c>
      <c r="BK1837" t="s">
        <v>18075</v>
      </c>
      <c r="BM1837" t="s">
        <v>18076</v>
      </c>
      <c r="BN1837" t="s">
        <v>1778</v>
      </c>
      <c r="BO1837">
        <v>32097</v>
      </c>
      <c r="BP1837" t="s">
        <v>404</v>
      </c>
      <c r="BQ1837">
        <v>1</v>
      </c>
      <c r="BR1837" t="s">
        <v>491</v>
      </c>
      <c r="BS1837">
        <v>8001</v>
      </c>
      <c r="BT1837" t="s">
        <v>492</v>
      </c>
      <c r="BW1837">
        <v>87120</v>
      </c>
      <c r="BX1837" t="s">
        <v>407</v>
      </c>
      <c r="BY1837" t="s">
        <v>2729</v>
      </c>
      <c r="CD1837">
        <v>2017</v>
      </c>
      <c r="CE1837">
        <v>42500</v>
      </c>
      <c r="CF1837">
        <v>3000</v>
      </c>
      <c r="CG1837">
        <v>45500</v>
      </c>
      <c r="CH1837">
        <v>2017</v>
      </c>
      <c r="CI1837">
        <v>42500</v>
      </c>
      <c r="CJ1837">
        <v>3000</v>
      </c>
      <c r="CK1837">
        <v>45500</v>
      </c>
      <c r="CL1837">
        <v>2017</v>
      </c>
      <c r="CM1837">
        <v>688.82</v>
      </c>
      <c r="CN1837" s="1">
        <v>41415</v>
      </c>
      <c r="CZ1837" s="1">
        <v>41415</v>
      </c>
      <c r="DD1837" t="s">
        <v>2387</v>
      </c>
      <c r="DG1837">
        <v>50</v>
      </c>
      <c r="DL1837">
        <v>50303</v>
      </c>
      <c r="DM1837" t="s">
        <v>18077</v>
      </c>
      <c r="DO1837" t="s">
        <v>18078</v>
      </c>
      <c r="DP1837">
        <v>0</v>
      </c>
      <c r="DQ1837">
        <v>0</v>
      </c>
      <c r="DR1837" t="s">
        <v>411</v>
      </c>
      <c r="DS1837" t="b">
        <v>1</v>
      </c>
      <c r="DT1837" t="s">
        <v>470</v>
      </c>
      <c r="DU1837" t="s">
        <v>471</v>
      </c>
      <c r="DV1837" t="s">
        <v>472</v>
      </c>
      <c r="DX1837">
        <v>-9999</v>
      </c>
      <c r="DZ1837" t="s">
        <v>447</v>
      </c>
      <c r="EA1837" t="s">
        <v>448</v>
      </c>
      <c r="EB1837" t="s">
        <v>742</v>
      </c>
      <c r="EC1837">
        <v>20101217</v>
      </c>
      <c r="ED1837" t="s">
        <v>474</v>
      </c>
      <c r="EF1837">
        <v>308.8</v>
      </c>
      <c r="EG1837">
        <v>41.6</v>
      </c>
      <c r="EI1837">
        <v>20160407</v>
      </c>
      <c r="EJ1837">
        <v>0</v>
      </c>
      <c r="EK1837">
        <v>0</v>
      </c>
      <c r="EP1837" t="s">
        <v>421</v>
      </c>
      <c r="EQ1837" t="s">
        <v>422</v>
      </c>
      <c r="ER1837">
        <v>1</v>
      </c>
      <c r="ES1837">
        <v>5</v>
      </c>
      <c r="ET1837">
        <v>757.47</v>
      </c>
      <c r="EU1837">
        <v>44.12</v>
      </c>
      <c r="EV1837">
        <v>801.59</v>
      </c>
      <c r="EW1837" s="2">
        <v>43222</v>
      </c>
      <c r="EX1837" s="1">
        <v>42879</v>
      </c>
      <c r="EY1837">
        <v>2016</v>
      </c>
      <c r="EZ1837">
        <v>757.47</v>
      </c>
      <c r="FA1837" t="s">
        <v>18079</v>
      </c>
      <c r="FB1837">
        <v>4.75</v>
      </c>
      <c r="FC1837" t="s">
        <v>424</v>
      </c>
      <c r="FD1837" t="s">
        <v>454</v>
      </c>
      <c r="FF1837">
        <v>12</v>
      </c>
      <c r="FG1837">
        <v>5100525</v>
      </c>
      <c r="FH1837" t="s">
        <v>6804</v>
      </c>
      <c r="FJ1837" s="1">
        <v>42515</v>
      </c>
      <c r="FK1837">
        <v>2015</v>
      </c>
      <c r="FL1837">
        <v>770.23</v>
      </c>
      <c r="FM1837" t="s">
        <v>18080</v>
      </c>
      <c r="FN1837">
        <v>4.75</v>
      </c>
      <c r="FO1837" t="s">
        <v>424</v>
      </c>
      <c r="FP1837" t="s">
        <v>425</v>
      </c>
      <c r="FQ1837" s="1">
        <v>43154</v>
      </c>
      <c r="FR1837">
        <v>21</v>
      </c>
      <c r="FS1837">
        <v>2035919</v>
      </c>
      <c r="FT1837" t="s">
        <v>507</v>
      </c>
      <c r="FV1837" s="1">
        <v>42151</v>
      </c>
      <c r="FW1837">
        <v>2014</v>
      </c>
      <c r="FX1837">
        <v>774.01</v>
      </c>
      <c r="FY1837" t="s">
        <v>18081</v>
      </c>
      <c r="FZ1837">
        <v>14</v>
      </c>
      <c r="GA1837" t="s">
        <v>424</v>
      </c>
      <c r="GB1837" t="s">
        <v>425</v>
      </c>
      <c r="GC1837" s="1">
        <v>42818</v>
      </c>
      <c r="GD1837">
        <v>22</v>
      </c>
      <c r="GE1837">
        <v>10125</v>
      </c>
      <c r="GF1837" t="s">
        <v>440</v>
      </c>
      <c r="GH1837" s="1">
        <v>42151</v>
      </c>
      <c r="GI1837">
        <v>2013</v>
      </c>
      <c r="GJ1837">
        <v>858.19</v>
      </c>
      <c r="GK1837" t="s">
        <v>18082</v>
      </c>
      <c r="GL1837">
        <v>16.75</v>
      </c>
      <c r="GM1837" t="s">
        <v>424</v>
      </c>
      <c r="GN1837" t="s">
        <v>425</v>
      </c>
      <c r="GO1837" s="1">
        <v>42423</v>
      </c>
      <c r="GP1837">
        <v>9</v>
      </c>
      <c r="GQ1837">
        <v>7045027</v>
      </c>
      <c r="GR1837" t="s">
        <v>16141</v>
      </c>
      <c r="GT1837" s="1">
        <v>40688</v>
      </c>
      <c r="GU1837">
        <v>2010</v>
      </c>
      <c r="GV1837">
        <v>1134.9100000000001</v>
      </c>
      <c r="GW1837" t="s">
        <v>18083</v>
      </c>
      <c r="GX1837">
        <v>6</v>
      </c>
      <c r="GY1837" t="s">
        <v>424</v>
      </c>
      <c r="GZ1837" t="s">
        <v>425</v>
      </c>
      <c r="HA1837" s="1">
        <v>41337</v>
      </c>
      <c r="HB1837">
        <v>22</v>
      </c>
      <c r="HC1837">
        <v>375</v>
      </c>
      <c r="HD1837" t="s">
        <v>776</v>
      </c>
      <c r="HF1837" s="1">
        <v>40688</v>
      </c>
      <c r="HG1837">
        <v>2010</v>
      </c>
      <c r="HH1837">
        <v>1134.9100000000001</v>
      </c>
      <c r="HI1837" t="s">
        <v>18083</v>
      </c>
      <c r="HJ1837">
        <v>6</v>
      </c>
      <c r="HK1837" t="s">
        <v>424</v>
      </c>
      <c r="HL1837" t="s">
        <v>425</v>
      </c>
      <c r="HN1837">
        <v>22</v>
      </c>
      <c r="HO1837">
        <v>105</v>
      </c>
      <c r="HP1837" t="s">
        <v>946</v>
      </c>
    </row>
    <row r="1838" spans="1:308" x14ac:dyDescent="0.25">
      <c r="A1838">
        <v>16486845</v>
      </c>
      <c r="B1838">
        <v>1837</v>
      </c>
      <c r="C1838" t="s">
        <v>393</v>
      </c>
      <c r="D1838" t="s">
        <v>394</v>
      </c>
      <c r="F1838" t="str">
        <f>"50-3N-28-0000-0002-0020"</f>
        <v>50-3N-28-0000-0002-0020</v>
      </c>
      <c r="H1838" t="str">
        <f>"THRIFT DEBRA BROOK"</f>
        <v>THRIFT DEBRA BROOK</v>
      </c>
      <c r="I1838" t="str">
        <f>"98234 SWAMP FEVER LN"</f>
        <v>98234 SWAMP FEVER LN</v>
      </c>
      <c r="J1838" t="str">
        <f t="shared" si="688"/>
        <v>YULEE FL 32097</v>
      </c>
      <c r="K1838" t="str">
        <f>"98234 SWAMP FEVER LN"</f>
        <v>98234 SWAMP FEVER LN</v>
      </c>
      <c r="L1838" t="str">
        <f t="shared" si="689"/>
        <v>YULEE FL 32097</v>
      </c>
      <c r="M1838" t="str">
        <f>"PT WM G CHRISTOPHER GRANT SEC 50-3N-28E IN OR 1244/894 (EX UTIL ESMT IN OR 1260/1499)"</f>
        <v>PT WM G CHRISTOPHER GRANT SEC 50-3N-28E IN OR 1244/894 (EX UTIL ESMT IN OR 1260/1499)</v>
      </c>
      <c r="N1838" t="str">
        <f>""</f>
        <v/>
      </c>
      <c r="O1838" t="str">
        <f>"54269"</f>
        <v>54269</v>
      </c>
      <c r="P1838" t="str">
        <f t="shared" si="671"/>
        <v>2017</v>
      </c>
      <c r="Q1838" t="str">
        <f>""</f>
        <v/>
      </c>
      <c r="R1838" t="str">
        <f>"Y"</f>
        <v>Y</v>
      </c>
      <c r="S1838" t="str">
        <f>"2.00"</f>
        <v>2.00</v>
      </c>
      <c r="T1838" t="str">
        <f>"1660.35"</f>
        <v>1660.35</v>
      </c>
      <c r="U1838" t="str">
        <f>"148779.00"</f>
        <v>148779.00</v>
      </c>
      <c r="V1838" t="str">
        <f>"148779.00"</f>
        <v>148779.00</v>
      </c>
      <c r="W1838" t="str">
        <f t="shared" si="672"/>
        <v>2017</v>
      </c>
      <c r="X1838" t="str">
        <f>"17.43"</f>
        <v>17.43</v>
      </c>
      <c r="Y1838" t="str">
        <f>"1742.16"</f>
        <v>1742.16</v>
      </c>
      <c r="Z1838" t="str">
        <f>"25000.00"</f>
        <v>25000.00</v>
      </c>
      <c r="AA1838" t="str">
        <f>"123779.00"</f>
        <v>123779.00</v>
      </c>
      <c r="AB1838" t="str">
        <f t="shared" si="686"/>
        <v>Residential</v>
      </c>
      <c r="AC1838" t="str">
        <f t="shared" si="682"/>
        <v>0</v>
      </c>
      <c r="AD1838" t="str">
        <f>"4"</f>
        <v>4</v>
      </c>
      <c r="AE1838" t="str">
        <f>"WOOD (INCLUDE STEEL STUDS)"</f>
        <v>WOOD (INCLUDE STEEL STUDS)</v>
      </c>
      <c r="AF1838" t="str">
        <f>"001"</f>
        <v>001</v>
      </c>
      <c r="AG1838" t="str">
        <f t="shared" si="683"/>
        <v>FL</v>
      </c>
      <c r="AH1838" t="str">
        <f>"87120.00"</f>
        <v>87120.00</v>
      </c>
      <c r="AI1838" t="str">
        <f>"40000.00"</f>
        <v>40000.00</v>
      </c>
      <c r="AJ1838" t="str">
        <f>"C55-000-589-0382-4"</f>
        <v>C55-000-589-0382-4</v>
      </c>
      <c r="AK1838" t="str">
        <f>"33620"</f>
        <v>33620</v>
      </c>
      <c r="AL1838">
        <v>7</v>
      </c>
      <c r="AM1838">
        <v>2096</v>
      </c>
      <c r="AN1838">
        <v>1827.67</v>
      </c>
      <c r="AQ1838" t="s">
        <v>18084</v>
      </c>
      <c r="AR1838" t="s">
        <v>18084</v>
      </c>
      <c r="AS1838" t="s">
        <v>18084</v>
      </c>
      <c r="AU1838" t="s">
        <v>396</v>
      </c>
      <c r="AV1838">
        <v>2017</v>
      </c>
      <c r="AW1838" t="str">
        <f>"50-3N-28-0000-0002-0020 "</f>
        <v xml:space="preserve">50-3N-28-0000-0002-0020 </v>
      </c>
      <c r="AX1838">
        <v>98234</v>
      </c>
      <c r="AZ1838" t="s">
        <v>18073</v>
      </c>
      <c r="BA1838" t="s">
        <v>653</v>
      </c>
      <c r="BD1838" t="s">
        <v>2387</v>
      </c>
      <c r="BE1838" t="s">
        <v>393</v>
      </c>
      <c r="BF1838">
        <v>32097</v>
      </c>
      <c r="BG1838" t="s">
        <v>18076</v>
      </c>
      <c r="BH1838" t="s">
        <v>2388</v>
      </c>
      <c r="BI1838">
        <v>-81.529883231082707</v>
      </c>
      <c r="BJ1838">
        <v>30.663637812178798</v>
      </c>
      <c r="BK1838" t="s">
        <v>18085</v>
      </c>
      <c r="BM1838" t="s">
        <v>18076</v>
      </c>
      <c r="BN1838" t="s">
        <v>1778</v>
      </c>
      <c r="BO1838">
        <v>32097</v>
      </c>
      <c r="BP1838" t="s">
        <v>416</v>
      </c>
      <c r="BQ1838">
        <v>100</v>
      </c>
      <c r="BR1838" t="s">
        <v>514</v>
      </c>
      <c r="BS1838">
        <v>1001</v>
      </c>
      <c r="BT1838" t="s">
        <v>515</v>
      </c>
      <c r="BW1838">
        <v>87120</v>
      </c>
      <c r="BX1838" t="s">
        <v>407</v>
      </c>
      <c r="BY1838" t="s">
        <v>2729</v>
      </c>
      <c r="BZ1838">
        <v>4</v>
      </c>
      <c r="CA1838">
        <v>2008</v>
      </c>
      <c r="CB1838">
        <v>1</v>
      </c>
      <c r="CC1838">
        <v>1</v>
      </c>
      <c r="CD1838">
        <v>2017</v>
      </c>
      <c r="CG1838">
        <v>148779</v>
      </c>
      <c r="CH1838">
        <v>2017</v>
      </c>
      <c r="CI1838">
        <v>40000</v>
      </c>
      <c r="CJ1838">
        <v>127439</v>
      </c>
      <c r="CK1838">
        <v>167439</v>
      </c>
      <c r="CL1838">
        <v>2017</v>
      </c>
      <c r="CM1838">
        <v>1660.35</v>
      </c>
      <c r="CN1838" s="1">
        <v>38177</v>
      </c>
      <c r="CZ1838" s="1">
        <v>38177</v>
      </c>
      <c r="DD1838" t="s">
        <v>2387</v>
      </c>
      <c r="DG1838">
        <v>50</v>
      </c>
      <c r="DL1838">
        <v>50303</v>
      </c>
      <c r="DM1838" t="s">
        <v>18077</v>
      </c>
      <c r="DO1838" t="s">
        <v>18086</v>
      </c>
      <c r="DP1838">
        <v>0</v>
      </c>
      <c r="DQ1838">
        <v>0</v>
      </c>
      <c r="DR1838" t="s">
        <v>411</v>
      </c>
      <c r="DS1838" t="b">
        <v>1</v>
      </c>
      <c r="DT1838" t="s">
        <v>470</v>
      </c>
      <c r="DU1838" t="s">
        <v>10249</v>
      </c>
      <c r="DV1838" t="s">
        <v>472</v>
      </c>
      <c r="DX1838">
        <v>-9999</v>
      </c>
      <c r="DZ1838" t="s">
        <v>447</v>
      </c>
      <c r="EA1838" t="s">
        <v>448</v>
      </c>
      <c r="EB1838" t="s">
        <v>17790</v>
      </c>
      <c r="EC1838">
        <v>20101217</v>
      </c>
      <c r="ED1838" t="s">
        <v>10251</v>
      </c>
      <c r="EE1838">
        <v>5</v>
      </c>
      <c r="EF1838">
        <v>38.9</v>
      </c>
      <c r="EG1838">
        <v>0</v>
      </c>
      <c r="EI1838">
        <v>20160407</v>
      </c>
      <c r="EJ1838">
        <v>0</v>
      </c>
      <c r="EK1838">
        <v>0</v>
      </c>
      <c r="EP1838" t="s">
        <v>421</v>
      </c>
      <c r="EQ1838" t="s">
        <v>422</v>
      </c>
      <c r="ER1838">
        <v>2</v>
      </c>
      <c r="ES1838">
        <v>8</v>
      </c>
      <c r="ET1838">
        <v>3599.62</v>
      </c>
      <c r="EU1838">
        <v>192.48</v>
      </c>
      <c r="EV1838">
        <v>3792.1</v>
      </c>
      <c r="EW1838" s="2">
        <v>43222</v>
      </c>
      <c r="EX1838" s="1">
        <v>42879</v>
      </c>
      <c r="EY1838">
        <v>2016</v>
      </c>
      <c r="EZ1838">
        <v>1799.81</v>
      </c>
      <c r="FA1838" t="s">
        <v>18087</v>
      </c>
      <c r="FB1838">
        <v>0.25</v>
      </c>
      <c r="FC1838" t="s">
        <v>424</v>
      </c>
      <c r="FD1838" t="s">
        <v>454</v>
      </c>
      <c r="FF1838">
        <v>12</v>
      </c>
      <c r="FG1838">
        <v>7336671</v>
      </c>
      <c r="FH1838" t="s">
        <v>437</v>
      </c>
      <c r="FJ1838" s="1">
        <v>42879</v>
      </c>
      <c r="FK1838">
        <v>2016</v>
      </c>
      <c r="FL1838">
        <v>1799.81</v>
      </c>
      <c r="FM1838" t="s">
        <v>18087</v>
      </c>
      <c r="FN1838">
        <v>0.25</v>
      </c>
      <c r="FO1838" t="s">
        <v>424</v>
      </c>
      <c r="FP1838" t="s">
        <v>454</v>
      </c>
      <c r="FR1838">
        <v>12</v>
      </c>
      <c r="FS1838">
        <v>6901761</v>
      </c>
      <c r="FT1838" t="s">
        <v>18088</v>
      </c>
      <c r="FV1838" s="1">
        <v>42515</v>
      </c>
      <c r="FW1838">
        <v>2015</v>
      </c>
      <c r="FX1838">
        <v>1825.89</v>
      </c>
      <c r="FY1838" t="s">
        <v>18089</v>
      </c>
      <c r="FZ1838">
        <v>0.25</v>
      </c>
      <c r="GA1838" t="s">
        <v>424</v>
      </c>
      <c r="GB1838" t="s">
        <v>425</v>
      </c>
      <c r="GC1838" s="1">
        <v>43159</v>
      </c>
      <c r="GD1838">
        <v>21</v>
      </c>
      <c r="GE1838">
        <v>5916895</v>
      </c>
      <c r="GF1838" t="s">
        <v>1390</v>
      </c>
      <c r="GH1838" s="1">
        <v>42515</v>
      </c>
      <c r="GI1838">
        <v>2015</v>
      </c>
      <c r="GJ1838">
        <v>1825.89</v>
      </c>
      <c r="GK1838" t="s">
        <v>18089</v>
      </c>
      <c r="GL1838">
        <v>0.25</v>
      </c>
      <c r="GM1838" t="s">
        <v>424</v>
      </c>
      <c r="GN1838" t="s">
        <v>425</v>
      </c>
      <c r="GP1838">
        <v>22</v>
      </c>
      <c r="GQ1838">
        <v>5977728</v>
      </c>
      <c r="GR1838" t="s">
        <v>18090</v>
      </c>
      <c r="GT1838" s="1">
        <v>42151</v>
      </c>
      <c r="GU1838">
        <v>2014</v>
      </c>
      <c r="GV1838">
        <v>1626.18</v>
      </c>
      <c r="GW1838" t="s">
        <v>18091</v>
      </c>
      <c r="GX1838">
        <v>0.25</v>
      </c>
      <c r="GY1838" t="s">
        <v>424</v>
      </c>
      <c r="GZ1838" t="s">
        <v>425</v>
      </c>
      <c r="HB1838">
        <v>22</v>
      </c>
      <c r="HC1838">
        <v>15259</v>
      </c>
      <c r="HD1838" t="s">
        <v>891</v>
      </c>
      <c r="HF1838" s="1">
        <v>42151</v>
      </c>
      <c r="HG1838">
        <v>2014</v>
      </c>
      <c r="HH1838">
        <v>1626.18</v>
      </c>
      <c r="HI1838" t="s">
        <v>18091</v>
      </c>
      <c r="HJ1838">
        <v>0.25</v>
      </c>
      <c r="HK1838" t="s">
        <v>424</v>
      </c>
      <c r="HL1838" t="s">
        <v>425</v>
      </c>
      <c r="HN1838">
        <v>22</v>
      </c>
      <c r="HO1838">
        <v>6913026</v>
      </c>
      <c r="HP1838" t="s">
        <v>18092</v>
      </c>
      <c r="HR1838" s="1">
        <v>42151</v>
      </c>
      <c r="HS1838">
        <v>2014</v>
      </c>
      <c r="HT1838">
        <v>1626.18</v>
      </c>
      <c r="HU1838" t="s">
        <v>18091</v>
      </c>
      <c r="HV1838">
        <v>0.25</v>
      </c>
      <c r="HW1838" t="s">
        <v>424</v>
      </c>
      <c r="HX1838" t="s">
        <v>425</v>
      </c>
      <c r="HY1838" s="1">
        <v>42818</v>
      </c>
      <c r="HZ1838">
        <v>22</v>
      </c>
      <c r="IA1838">
        <v>7045049</v>
      </c>
      <c r="IB1838" t="s">
        <v>1335</v>
      </c>
      <c r="ID1838" s="1">
        <v>42151</v>
      </c>
      <c r="IE1838">
        <v>2013</v>
      </c>
      <c r="IF1838">
        <v>1785.34</v>
      </c>
      <c r="IG1838" t="s">
        <v>18093</v>
      </c>
      <c r="IH1838">
        <v>0.25</v>
      </c>
      <c r="II1838" t="s">
        <v>424</v>
      </c>
      <c r="IJ1838" t="s">
        <v>425</v>
      </c>
      <c r="IK1838" s="1">
        <v>42423</v>
      </c>
      <c r="IL1838">
        <v>9</v>
      </c>
      <c r="IM1838">
        <v>11289</v>
      </c>
      <c r="IN1838" t="s">
        <v>787</v>
      </c>
      <c r="IP1838" s="1">
        <v>42151</v>
      </c>
      <c r="IQ1838">
        <v>2013</v>
      </c>
      <c r="IR1838">
        <v>1785.34</v>
      </c>
      <c r="IS1838" t="s">
        <v>18093</v>
      </c>
      <c r="IT1838">
        <v>0.25</v>
      </c>
      <c r="IU1838" t="s">
        <v>424</v>
      </c>
      <c r="IV1838" t="s">
        <v>425</v>
      </c>
      <c r="IX1838">
        <v>22</v>
      </c>
      <c r="IY1838">
        <v>5127427</v>
      </c>
      <c r="IZ1838" t="s">
        <v>18094</v>
      </c>
      <c r="JB1838" s="1">
        <v>40688</v>
      </c>
      <c r="JC1838">
        <v>2010</v>
      </c>
      <c r="JD1838">
        <v>2584.81</v>
      </c>
      <c r="JE1838" t="s">
        <v>18095</v>
      </c>
      <c r="JF1838">
        <v>3.75</v>
      </c>
      <c r="JG1838" t="s">
        <v>424</v>
      </c>
      <c r="JH1838" t="s">
        <v>425</v>
      </c>
      <c r="JI1838" s="1">
        <v>41337</v>
      </c>
      <c r="JJ1838">
        <v>22</v>
      </c>
      <c r="JK1838">
        <v>11141</v>
      </c>
      <c r="JL1838" t="s">
        <v>1723</v>
      </c>
    </row>
    <row r="1839" spans="1:308" x14ac:dyDescent="0.25">
      <c r="A1839">
        <v>16486846</v>
      </c>
      <c r="B1839">
        <v>1838</v>
      </c>
      <c r="C1839" t="s">
        <v>393</v>
      </c>
      <c r="D1839" t="s">
        <v>394</v>
      </c>
      <c r="F1839" t="str">
        <f>"50-3N-28-0000-0016-0090"</f>
        <v>50-3N-28-0000-0016-0090</v>
      </c>
      <c r="H1839" t="str">
        <f>"WALTON DAVID"</f>
        <v>WALTON DAVID</v>
      </c>
      <c r="I1839" t="str">
        <f>"96045 CONNER LN"</f>
        <v>96045 CONNER LN</v>
      </c>
      <c r="J1839" t="str">
        <f t="shared" si="688"/>
        <v>YULEE FL 32097</v>
      </c>
      <c r="K1839" t="str">
        <f>"95996 CONNER LN"</f>
        <v>95996 CONNER LN</v>
      </c>
      <c r="L1839" t="str">
        <f t="shared" si="689"/>
        <v>YULEE FL 32097</v>
      </c>
      <c r="M1839" t="str">
        <f>"IN OR 1933/1757 R497800 PARCELS 16-9 &amp; 17"</f>
        <v>IN OR 1933/1757 R497800 PARCELS 16-9 &amp; 17</v>
      </c>
      <c r="N1839" t="str">
        <f>""</f>
        <v/>
      </c>
      <c r="O1839" t="str">
        <f>"54306"</f>
        <v>54306</v>
      </c>
      <c r="P1839" t="str">
        <f t="shared" si="671"/>
        <v>2017</v>
      </c>
      <c r="Q1839" t="str">
        <f>""</f>
        <v/>
      </c>
      <c r="R1839" t="str">
        <f>"N"</f>
        <v>N</v>
      </c>
      <c r="S1839" t="str">
        <f>"0.98"</f>
        <v>0.98</v>
      </c>
      <c r="T1839" t="str">
        <f>"483.15"</f>
        <v>483.15</v>
      </c>
      <c r="U1839" t="str">
        <f>"31915.00"</f>
        <v>31915.00</v>
      </c>
      <c r="V1839" t="str">
        <f>"31915.00"</f>
        <v>31915.00</v>
      </c>
      <c r="W1839" t="str">
        <f t="shared" si="672"/>
        <v>2017</v>
      </c>
      <c r="X1839" t="str">
        <f>"12.20"</f>
        <v>12.20</v>
      </c>
      <c r="Y1839" t="str">
        <f>"529.64"</f>
        <v>529.64</v>
      </c>
      <c r="Z1839" t="str">
        <f>""</f>
        <v/>
      </c>
      <c r="AA1839" t="str">
        <f>"31915.00"</f>
        <v>31915.00</v>
      </c>
      <c r="AB1839" t="str">
        <f t="shared" si="686"/>
        <v>Residential</v>
      </c>
      <c r="AC1839" t="str">
        <f t="shared" si="682"/>
        <v>0</v>
      </c>
      <c r="AD1839" t="str">
        <f>"4"</f>
        <v>4</v>
      </c>
      <c r="AE1839" t="str">
        <f>"WOOD (INCLUDE STEEL STUDS)"</f>
        <v>WOOD (INCLUDE STEEL STUDS)</v>
      </c>
      <c r="AF1839" t="str">
        <f>"002"</f>
        <v>002</v>
      </c>
      <c r="AG1839" t="str">
        <f t="shared" si="683"/>
        <v>FL</v>
      </c>
      <c r="AH1839" t="str">
        <f>"42688.00"</f>
        <v>42688.00</v>
      </c>
      <c r="AI1839" t="str">
        <f>"15925.00"</f>
        <v>15925.00</v>
      </c>
      <c r="AJ1839" t="str">
        <f>"C55-000-588-6846-4"</f>
        <v>C55-000-588-6846-4</v>
      </c>
      <c r="AK1839" t="str">
        <f>"33654"</f>
        <v>33654</v>
      </c>
      <c r="AL1839">
        <v>7</v>
      </c>
      <c r="AM1839">
        <v>2097</v>
      </c>
      <c r="AN1839">
        <v>554.52</v>
      </c>
      <c r="AQ1839" t="s">
        <v>18096</v>
      </c>
      <c r="AR1839" t="s">
        <v>18096</v>
      </c>
      <c r="AS1839" t="s">
        <v>18096</v>
      </c>
      <c r="AU1839" t="s">
        <v>396</v>
      </c>
      <c r="AV1839">
        <v>2017</v>
      </c>
      <c r="AW1839" t="str">
        <f>"50-3N-28-0000-0016-0090 "</f>
        <v xml:space="preserve">50-3N-28-0000-0016-0090 </v>
      </c>
      <c r="AX1839">
        <v>95996</v>
      </c>
      <c r="AZ1839" t="s">
        <v>1759</v>
      </c>
      <c r="BA1839" t="s">
        <v>653</v>
      </c>
      <c r="BD1839" t="s">
        <v>2387</v>
      </c>
      <c r="BE1839" t="s">
        <v>393</v>
      </c>
      <c r="BF1839">
        <v>32097</v>
      </c>
      <c r="BG1839" t="s">
        <v>18097</v>
      </c>
      <c r="BH1839" t="s">
        <v>2388</v>
      </c>
      <c r="BI1839">
        <v>-81.528623911725902</v>
      </c>
      <c r="BJ1839">
        <v>30.656611790383501</v>
      </c>
      <c r="BK1839" t="s">
        <v>18098</v>
      </c>
      <c r="BL1839" t="s">
        <v>18099</v>
      </c>
      <c r="BM1839" t="s">
        <v>18100</v>
      </c>
      <c r="BN1839" t="s">
        <v>1778</v>
      </c>
      <c r="BO1839">
        <v>32097</v>
      </c>
      <c r="BP1839" t="s">
        <v>404</v>
      </c>
      <c r="BQ1839">
        <v>200</v>
      </c>
      <c r="BR1839" t="s">
        <v>405</v>
      </c>
      <c r="BS1839">
        <v>1006</v>
      </c>
      <c r="BT1839" t="s">
        <v>406</v>
      </c>
      <c r="BW1839">
        <v>42688</v>
      </c>
      <c r="BX1839" t="s">
        <v>407</v>
      </c>
      <c r="BY1839" t="s">
        <v>2729</v>
      </c>
      <c r="BZ1839">
        <v>4</v>
      </c>
      <c r="CA1839">
        <v>1972</v>
      </c>
      <c r="CB1839">
        <v>1</v>
      </c>
      <c r="CC1839">
        <v>1</v>
      </c>
      <c r="CD1839">
        <v>2017</v>
      </c>
      <c r="CE1839">
        <v>15925</v>
      </c>
      <c r="CF1839">
        <v>15990</v>
      </c>
      <c r="CG1839">
        <v>31915</v>
      </c>
      <c r="CH1839">
        <v>2017</v>
      </c>
      <c r="CI1839">
        <v>15925</v>
      </c>
      <c r="CJ1839">
        <v>15990</v>
      </c>
      <c r="CK1839">
        <v>31915</v>
      </c>
      <c r="CL1839">
        <v>2017</v>
      </c>
      <c r="CM1839">
        <v>483.15</v>
      </c>
      <c r="CN1839" s="1">
        <v>39548</v>
      </c>
      <c r="CO1839">
        <v>63100</v>
      </c>
      <c r="CV1839">
        <v>0</v>
      </c>
      <c r="CZ1839" s="1">
        <v>39548</v>
      </c>
      <c r="DA1839">
        <v>0</v>
      </c>
      <c r="DD1839" t="s">
        <v>2387</v>
      </c>
      <c r="DG1839">
        <v>50</v>
      </c>
      <c r="DL1839">
        <v>50301</v>
      </c>
      <c r="DM1839" t="s">
        <v>18077</v>
      </c>
      <c r="DO1839" t="s">
        <v>18101</v>
      </c>
      <c r="DP1839">
        <v>0</v>
      </c>
      <c r="DQ1839">
        <v>0</v>
      </c>
      <c r="DR1839" t="s">
        <v>411</v>
      </c>
      <c r="EP1839" t="s">
        <v>421</v>
      </c>
      <c r="EQ1839" t="s">
        <v>422</v>
      </c>
      <c r="ER1839">
        <v>0</v>
      </c>
      <c r="ES1839">
        <v>3</v>
      </c>
      <c r="ET1839">
        <v>0</v>
      </c>
      <c r="EU1839">
        <v>0</v>
      </c>
      <c r="EV1839">
        <v>0</v>
      </c>
      <c r="EW1839" s="2">
        <v>43222</v>
      </c>
      <c r="EX1839" s="1">
        <v>42879</v>
      </c>
      <c r="EY1839">
        <v>2016</v>
      </c>
      <c r="EZ1839">
        <v>583.11</v>
      </c>
      <c r="FA1839" t="s">
        <v>18102</v>
      </c>
      <c r="FB1839">
        <v>0.25</v>
      </c>
      <c r="FC1839" t="s">
        <v>424</v>
      </c>
      <c r="FD1839" t="s">
        <v>425</v>
      </c>
      <c r="FE1839" s="1">
        <v>42894</v>
      </c>
      <c r="FF1839">
        <v>1</v>
      </c>
      <c r="FG1839">
        <v>2851116</v>
      </c>
      <c r="FH1839" t="s">
        <v>480</v>
      </c>
      <c r="FJ1839" s="1">
        <v>42879</v>
      </c>
      <c r="FK1839">
        <v>2016</v>
      </c>
      <c r="FL1839">
        <v>583.11</v>
      </c>
      <c r="FM1839" t="s">
        <v>18102</v>
      </c>
      <c r="FN1839">
        <v>0.25</v>
      </c>
      <c r="FO1839" t="s">
        <v>424</v>
      </c>
      <c r="FP1839" t="s">
        <v>425</v>
      </c>
      <c r="FR1839">
        <v>22</v>
      </c>
      <c r="FS1839">
        <v>4886747</v>
      </c>
      <c r="FT1839" t="s">
        <v>18103</v>
      </c>
      <c r="FV1839" s="1">
        <v>40688</v>
      </c>
      <c r="FW1839">
        <v>2010</v>
      </c>
      <c r="FX1839">
        <v>753.09</v>
      </c>
      <c r="FY1839" t="s">
        <v>18104</v>
      </c>
      <c r="FZ1839">
        <v>6</v>
      </c>
      <c r="GA1839" t="s">
        <v>424</v>
      </c>
      <c r="GB1839" t="s">
        <v>425</v>
      </c>
      <c r="GC1839" s="1">
        <v>40970</v>
      </c>
      <c r="GD1839">
        <v>10</v>
      </c>
      <c r="GE1839">
        <v>10579</v>
      </c>
      <c r="GF1839" t="s">
        <v>488</v>
      </c>
    </row>
    <row r="1840" spans="1:308" x14ac:dyDescent="0.25">
      <c r="A1840">
        <v>16486847</v>
      </c>
      <c r="B1840">
        <v>1839</v>
      </c>
      <c r="C1840" t="s">
        <v>393</v>
      </c>
      <c r="D1840" t="s">
        <v>394</v>
      </c>
      <c r="F1840" t="str">
        <f>"50-3N-28-0000-0016-0160"</f>
        <v>50-3N-28-0000-0016-0160</v>
      </c>
      <c r="H1840" t="str">
        <f>"POTEAT SHIRLEY A"</f>
        <v>POTEAT SHIRLEY A</v>
      </c>
      <c r="I1840" t="str">
        <f>"97358 PIRATES WAY"</f>
        <v>97358 PIRATES WAY</v>
      </c>
      <c r="J1840" t="str">
        <f t="shared" si="688"/>
        <v>YULEE FL 32097</v>
      </c>
      <c r="K1840" t="str">
        <f>"BLACKROCK RD"</f>
        <v>BLACKROCK RD</v>
      </c>
      <c r="L1840" t="str">
        <f t="shared" si="689"/>
        <v>YULEE FL 32097</v>
      </c>
      <c r="M1840" t="str">
        <f>"IN OR 1257/1787"</f>
        <v>IN OR 1257/1787</v>
      </c>
      <c r="N1840" t="str">
        <f>""</f>
        <v/>
      </c>
      <c r="O1840" t="str">
        <f>"54312"</f>
        <v>54312</v>
      </c>
      <c r="P1840" t="str">
        <f t="shared" si="671"/>
        <v>2017</v>
      </c>
      <c r="Q1840" t="str">
        <f>""</f>
        <v/>
      </c>
      <c r="R1840" t="str">
        <f>"N"</f>
        <v>N</v>
      </c>
      <c r="S1840" t="str">
        <f>""</f>
        <v/>
      </c>
      <c r="T1840" t="str">
        <f>"492.02"</f>
        <v>492.02</v>
      </c>
      <c r="U1840" t="str">
        <f>"32500.00"</f>
        <v>32500.00</v>
      </c>
      <c r="V1840" t="str">
        <f>"32500.00"</f>
        <v>32500.00</v>
      </c>
      <c r="W1840" t="str">
        <f t="shared" si="672"/>
        <v>2017</v>
      </c>
      <c r="X1840" t="str">
        <f>"10.00"</f>
        <v>10.00</v>
      </c>
      <c r="Y1840" t="str">
        <f>"538.78"</f>
        <v>538.78</v>
      </c>
      <c r="Z1840" t="str">
        <f>""</f>
        <v/>
      </c>
      <c r="AA1840" t="str">
        <f>"32500.00"</f>
        <v>32500.00</v>
      </c>
      <c r="AB1840" t="str">
        <f t="shared" si="686"/>
        <v>Residential</v>
      </c>
      <c r="AC1840" t="str">
        <f t="shared" si="682"/>
        <v>0</v>
      </c>
      <c r="AD1840" t="str">
        <f>""</f>
        <v/>
      </c>
      <c r="AE1840" t="str">
        <f>""</f>
        <v/>
      </c>
      <c r="AF1840" t="str">
        <f>"000"</f>
        <v>000</v>
      </c>
      <c r="AG1840" t="str">
        <f t="shared" si="683"/>
        <v>FL</v>
      </c>
      <c r="AH1840" t="str">
        <f>"-"</f>
        <v>-</v>
      </c>
      <c r="AI1840" t="str">
        <f>"25000.00"</f>
        <v>25000.00</v>
      </c>
      <c r="AJ1840" t="str">
        <f>"C55-000-588-6852-2"</f>
        <v>C55-000-588-6852-2</v>
      </c>
      <c r="AK1840" t="str">
        <f>"33660"</f>
        <v>33660</v>
      </c>
      <c r="AL1840">
        <v>7</v>
      </c>
      <c r="AM1840">
        <v>2098</v>
      </c>
      <c r="AN1840">
        <v>564.12</v>
      </c>
      <c r="AQ1840" t="s">
        <v>18105</v>
      </c>
      <c r="AR1840" t="s">
        <v>18105</v>
      </c>
      <c r="AS1840" t="s">
        <v>18105</v>
      </c>
      <c r="AU1840" t="s">
        <v>396</v>
      </c>
      <c r="AV1840">
        <v>2017</v>
      </c>
      <c r="AW1840" t="str">
        <f>"50-3N-28-0000-0016-0160 "</f>
        <v xml:space="preserve">50-3N-28-0000-0016-0160 </v>
      </c>
      <c r="AZ1840" t="s">
        <v>14867</v>
      </c>
      <c r="BA1840" t="s">
        <v>496</v>
      </c>
      <c r="BD1840" t="s">
        <v>2387</v>
      </c>
      <c r="BE1840" t="s">
        <v>393</v>
      </c>
      <c r="BF1840">
        <v>32097</v>
      </c>
      <c r="BG1840" t="s">
        <v>15032</v>
      </c>
      <c r="BH1840" t="s">
        <v>2388</v>
      </c>
      <c r="BI1840">
        <v>-81.529145313168002</v>
      </c>
      <c r="BJ1840">
        <v>30.6534458581046</v>
      </c>
      <c r="BK1840" t="s">
        <v>17864</v>
      </c>
      <c r="BM1840" t="s">
        <v>17863</v>
      </c>
      <c r="BN1840" t="s">
        <v>1778</v>
      </c>
      <c r="BO1840">
        <v>32097</v>
      </c>
      <c r="BP1840" t="s">
        <v>404</v>
      </c>
      <c r="BQ1840">
        <v>1</v>
      </c>
      <c r="BR1840" t="s">
        <v>491</v>
      </c>
      <c r="BS1840">
        <v>8001</v>
      </c>
      <c r="BT1840" t="s">
        <v>492</v>
      </c>
      <c r="BW1840">
        <v>26453</v>
      </c>
      <c r="BX1840" t="s">
        <v>407</v>
      </c>
      <c r="BY1840" t="s">
        <v>2729</v>
      </c>
      <c r="CD1840">
        <v>2017</v>
      </c>
      <c r="CE1840">
        <v>25000</v>
      </c>
      <c r="CF1840">
        <v>7500</v>
      </c>
      <c r="CG1840">
        <v>32500</v>
      </c>
      <c r="CH1840">
        <v>2017</v>
      </c>
      <c r="CI1840">
        <v>25000</v>
      </c>
      <c r="CJ1840">
        <v>7500</v>
      </c>
      <c r="CK1840">
        <v>32500</v>
      </c>
      <c r="CL1840">
        <v>2017</v>
      </c>
      <c r="CM1840">
        <v>492.02</v>
      </c>
      <c r="CN1840" s="1">
        <v>38239</v>
      </c>
      <c r="CZ1840" s="1">
        <v>38239</v>
      </c>
      <c r="DD1840" t="s">
        <v>2387</v>
      </c>
      <c r="DG1840">
        <v>50</v>
      </c>
      <c r="DL1840">
        <v>50301</v>
      </c>
      <c r="DM1840" t="s">
        <v>18077</v>
      </c>
      <c r="DO1840" t="s">
        <v>18106</v>
      </c>
      <c r="DP1840">
        <v>0</v>
      </c>
      <c r="DQ1840">
        <v>0</v>
      </c>
      <c r="DR1840" t="s">
        <v>411</v>
      </c>
      <c r="DS1840" t="b">
        <v>1</v>
      </c>
      <c r="DT1840" t="s">
        <v>470</v>
      </c>
      <c r="DU1840" t="s">
        <v>471</v>
      </c>
      <c r="DV1840" t="s">
        <v>472</v>
      </c>
      <c r="DX1840">
        <v>-9999</v>
      </c>
      <c r="DZ1840" t="s">
        <v>447</v>
      </c>
      <c r="EA1840" t="s">
        <v>448</v>
      </c>
      <c r="EB1840" t="s">
        <v>742</v>
      </c>
      <c r="EC1840">
        <v>20101217</v>
      </c>
      <c r="ED1840" t="s">
        <v>474</v>
      </c>
      <c r="EF1840">
        <v>716</v>
      </c>
      <c r="EG1840">
        <v>531.5</v>
      </c>
      <c r="EI1840">
        <v>20160407</v>
      </c>
      <c r="EJ1840">
        <v>0</v>
      </c>
      <c r="EK1840">
        <v>0</v>
      </c>
      <c r="EP1840" t="s">
        <v>421</v>
      </c>
      <c r="EQ1840" t="s">
        <v>422</v>
      </c>
      <c r="ER1840">
        <v>0</v>
      </c>
      <c r="ES1840">
        <v>2</v>
      </c>
      <c r="ET1840">
        <v>0</v>
      </c>
      <c r="EU1840">
        <v>0</v>
      </c>
      <c r="EV1840">
        <v>0</v>
      </c>
      <c r="EW1840" s="2">
        <v>43222</v>
      </c>
      <c r="EX1840" s="1">
        <v>42879</v>
      </c>
      <c r="EY1840">
        <v>2016</v>
      </c>
      <c r="EZ1840">
        <v>525.07000000000005</v>
      </c>
      <c r="FA1840" t="s">
        <v>18107</v>
      </c>
      <c r="FB1840">
        <v>10</v>
      </c>
      <c r="FC1840" t="s">
        <v>424</v>
      </c>
      <c r="FD1840" t="s">
        <v>425</v>
      </c>
      <c r="FE1840" s="1">
        <v>42993</v>
      </c>
      <c r="FF1840">
        <v>4</v>
      </c>
      <c r="FG1840">
        <v>5100525</v>
      </c>
      <c r="FH1840" t="s">
        <v>6804</v>
      </c>
      <c r="FJ1840" s="1">
        <v>42515</v>
      </c>
      <c r="FK1840">
        <v>2015</v>
      </c>
      <c r="FL1840">
        <v>532.15</v>
      </c>
      <c r="FM1840" t="s">
        <v>18108</v>
      </c>
      <c r="FN1840">
        <v>6.75</v>
      </c>
      <c r="FO1840" t="s">
        <v>424</v>
      </c>
      <c r="FP1840" t="s">
        <v>425</v>
      </c>
      <c r="FQ1840" s="1">
        <v>42993</v>
      </c>
      <c r="FR1840">
        <v>16</v>
      </c>
      <c r="FS1840">
        <v>2035919</v>
      </c>
      <c r="FT1840" t="s">
        <v>507</v>
      </c>
    </row>
    <row r="1841" spans="1:273" x14ac:dyDescent="0.25">
      <c r="A1841">
        <v>16486848</v>
      </c>
      <c r="B1841">
        <v>1840</v>
      </c>
      <c r="C1841" t="s">
        <v>393</v>
      </c>
      <c r="D1841" t="s">
        <v>394</v>
      </c>
      <c r="F1841" t="str">
        <f>"50-3N-28-0000-0016-0170"</f>
        <v>50-3N-28-0000-0016-0170</v>
      </c>
      <c r="H1841" t="str">
        <f>"ISLAND MISSION"</f>
        <v>ISLAND MISSION</v>
      </c>
      <c r="I1841" t="str">
        <f>"86730 PAGES DAIRY RD"</f>
        <v>86730 PAGES DAIRY RD</v>
      </c>
      <c r="J1841" t="str">
        <f t="shared" si="688"/>
        <v>YULEE FL 32097</v>
      </c>
      <c r="K1841" t="str">
        <f>"96080 CONNER LN"</f>
        <v>96080 CONNER LN</v>
      </c>
      <c r="L1841" t="str">
        <f t="shared" si="689"/>
        <v>YULEE FL 32097</v>
      </c>
      <c r="M1841" t="str">
        <f>"IN OR 2042/532"</f>
        <v>IN OR 2042/532</v>
      </c>
      <c r="N1841" t="str">
        <f>""</f>
        <v/>
      </c>
      <c r="O1841" t="str">
        <f>"54313"</f>
        <v>54313</v>
      </c>
      <c r="P1841" t="str">
        <f t="shared" si="671"/>
        <v>2017</v>
      </c>
      <c r="Q1841" t="str">
        <f>""</f>
        <v/>
      </c>
      <c r="R1841" t="str">
        <f>"N"</f>
        <v>N</v>
      </c>
      <c r="S1841" t="str">
        <f>"1.01"</f>
        <v>1.01</v>
      </c>
      <c r="T1841" t="str">
        <f>"488.09"</f>
        <v>488.09</v>
      </c>
      <c r="U1841" t="str">
        <f>"32241.00"</f>
        <v>32241.00</v>
      </c>
      <c r="V1841" t="str">
        <f>"32241.00"</f>
        <v>32241.00</v>
      </c>
      <c r="W1841" t="str">
        <f t="shared" si="672"/>
        <v>2017</v>
      </c>
      <c r="X1841" t="str">
        <f>"30.30"</f>
        <v>30.30</v>
      </c>
      <c r="Y1841" t="str">
        <f>"534.73"</f>
        <v>534.73</v>
      </c>
      <c r="Z1841" t="str">
        <f>""</f>
        <v/>
      </c>
      <c r="AA1841" t="str">
        <f>"32241.00"</f>
        <v>32241.00</v>
      </c>
      <c r="AB1841" t="str">
        <f t="shared" si="686"/>
        <v>Residential</v>
      </c>
      <c r="AC1841" t="str">
        <f t="shared" si="682"/>
        <v>0</v>
      </c>
      <c r="AD1841" t="str">
        <f>"4"</f>
        <v>4</v>
      </c>
      <c r="AE1841" t="str">
        <f>"WOOD (INCLUDE STEEL STUDS)"</f>
        <v>WOOD (INCLUDE STEEL STUDS)</v>
      </c>
      <c r="AF1841" t="str">
        <f>"001"</f>
        <v>001</v>
      </c>
      <c r="AG1841" t="str">
        <f t="shared" si="683"/>
        <v>FL</v>
      </c>
      <c r="AH1841" t="str">
        <f>"43995.00"</f>
        <v>43995.00</v>
      </c>
      <c r="AI1841" t="str">
        <f>"25250.00"</f>
        <v>25250.00</v>
      </c>
      <c r="AJ1841" t="str">
        <f>"C55-000-588-6853-0"</f>
        <v>C55-000-588-6853-0</v>
      </c>
      <c r="AK1841" t="str">
        <f>"33661"</f>
        <v>33661</v>
      </c>
      <c r="AL1841">
        <v>7</v>
      </c>
      <c r="AM1841">
        <v>2099</v>
      </c>
      <c r="AN1841">
        <v>559.87</v>
      </c>
      <c r="AQ1841" t="s">
        <v>18109</v>
      </c>
      <c r="AR1841" t="s">
        <v>18109</v>
      </c>
      <c r="AS1841" t="s">
        <v>18109</v>
      </c>
      <c r="AU1841" t="s">
        <v>396</v>
      </c>
      <c r="AV1841">
        <v>2017</v>
      </c>
      <c r="AW1841" t="str">
        <f>"50-3N-28-0000-0016-0170 "</f>
        <v xml:space="preserve">50-3N-28-0000-0016-0170 </v>
      </c>
      <c r="AX1841">
        <v>96080</v>
      </c>
      <c r="AZ1841" t="s">
        <v>1759</v>
      </c>
      <c r="BA1841" t="s">
        <v>653</v>
      </c>
      <c r="BD1841" t="s">
        <v>2387</v>
      </c>
      <c r="BE1841" t="s">
        <v>393</v>
      </c>
      <c r="BF1841">
        <v>32097</v>
      </c>
      <c r="BG1841" t="s">
        <v>18110</v>
      </c>
      <c r="BH1841" t="s">
        <v>2388</v>
      </c>
      <c r="BI1841">
        <v>-81.528503342106006</v>
      </c>
      <c r="BJ1841">
        <v>30.657156109499802</v>
      </c>
      <c r="BK1841" t="s">
        <v>18111</v>
      </c>
      <c r="BM1841" t="s">
        <v>18112</v>
      </c>
      <c r="BN1841" t="s">
        <v>1778</v>
      </c>
      <c r="BO1841">
        <v>32097</v>
      </c>
      <c r="BP1841" t="s">
        <v>404</v>
      </c>
      <c r="BQ1841">
        <v>100</v>
      </c>
      <c r="BR1841" t="s">
        <v>514</v>
      </c>
      <c r="BS1841">
        <v>1001</v>
      </c>
      <c r="BT1841" t="s">
        <v>515</v>
      </c>
      <c r="BW1841">
        <v>43995</v>
      </c>
      <c r="BX1841" t="s">
        <v>407</v>
      </c>
      <c r="BY1841" t="s">
        <v>2729</v>
      </c>
      <c r="BZ1841">
        <v>4</v>
      </c>
      <c r="CA1841">
        <v>1974</v>
      </c>
      <c r="CB1841">
        <v>1</v>
      </c>
      <c r="CC1841">
        <v>1</v>
      </c>
      <c r="CD1841">
        <v>2017</v>
      </c>
      <c r="CE1841">
        <v>25250</v>
      </c>
      <c r="CF1841">
        <v>6991</v>
      </c>
      <c r="CG1841">
        <v>32241</v>
      </c>
      <c r="CH1841">
        <v>2017</v>
      </c>
      <c r="CI1841">
        <v>25250</v>
      </c>
      <c r="CJ1841">
        <v>6991</v>
      </c>
      <c r="CK1841">
        <v>32241</v>
      </c>
      <c r="CL1841">
        <v>2017</v>
      </c>
      <c r="CM1841">
        <v>488.09</v>
      </c>
      <c r="CN1841" s="1">
        <v>42486</v>
      </c>
      <c r="CO1841">
        <v>12200</v>
      </c>
      <c r="CZ1841" s="1">
        <v>42486</v>
      </c>
      <c r="DD1841" t="s">
        <v>2387</v>
      </c>
      <c r="DG1841">
        <v>50</v>
      </c>
      <c r="DL1841">
        <v>50301</v>
      </c>
      <c r="DM1841" t="s">
        <v>18077</v>
      </c>
      <c r="DO1841" t="s">
        <v>18113</v>
      </c>
      <c r="DP1841">
        <v>0</v>
      </c>
      <c r="DQ1841">
        <v>0</v>
      </c>
      <c r="DR1841" t="s">
        <v>411</v>
      </c>
      <c r="DS1841" t="b">
        <v>1</v>
      </c>
      <c r="DT1841" t="s">
        <v>470</v>
      </c>
      <c r="DU1841" t="s">
        <v>471</v>
      </c>
      <c r="DV1841" t="s">
        <v>472</v>
      </c>
      <c r="DX1841">
        <v>-9999</v>
      </c>
      <c r="DZ1841" t="s">
        <v>447</v>
      </c>
      <c r="EA1841" t="s">
        <v>448</v>
      </c>
      <c r="EB1841" t="s">
        <v>742</v>
      </c>
      <c r="EC1841">
        <v>20101217</v>
      </c>
      <c r="ED1841" t="s">
        <v>474</v>
      </c>
      <c r="EF1841">
        <v>485.8</v>
      </c>
      <c r="EG1841">
        <v>344.2</v>
      </c>
      <c r="EI1841">
        <v>20160407</v>
      </c>
      <c r="EJ1841">
        <v>0</v>
      </c>
      <c r="EK1841">
        <v>0</v>
      </c>
      <c r="EP1841" t="s">
        <v>595</v>
      </c>
      <c r="EQ1841" t="s">
        <v>452</v>
      </c>
      <c r="ER1841">
        <v>0</v>
      </c>
      <c r="ES1841">
        <v>10</v>
      </c>
      <c r="ET1841">
        <v>0</v>
      </c>
      <c r="EU1841">
        <v>0</v>
      </c>
      <c r="EV1841">
        <v>0</v>
      </c>
      <c r="EW1841" s="2">
        <v>43222</v>
      </c>
      <c r="EX1841" s="1">
        <v>42879</v>
      </c>
      <c r="EY1841">
        <v>2016</v>
      </c>
      <c r="EZ1841">
        <v>674.57</v>
      </c>
      <c r="FA1841" t="s">
        <v>18114</v>
      </c>
      <c r="FB1841">
        <v>3.5</v>
      </c>
      <c r="FC1841" t="s">
        <v>424</v>
      </c>
      <c r="FD1841" t="s">
        <v>425</v>
      </c>
      <c r="FE1841" s="1">
        <v>43014</v>
      </c>
      <c r="FF1841">
        <v>5</v>
      </c>
      <c r="FG1841">
        <v>2035919</v>
      </c>
      <c r="FH1841" t="s">
        <v>507</v>
      </c>
      <c r="FJ1841" s="1">
        <v>42515</v>
      </c>
      <c r="FK1841">
        <v>2015</v>
      </c>
      <c r="FL1841">
        <v>661.77</v>
      </c>
      <c r="FM1841" t="s">
        <v>18115</v>
      </c>
      <c r="FN1841">
        <v>0.25</v>
      </c>
      <c r="FO1841" t="s">
        <v>424</v>
      </c>
      <c r="FP1841" t="s">
        <v>425</v>
      </c>
      <c r="FQ1841" s="1">
        <v>42894</v>
      </c>
      <c r="FR1841">
        <v>13</v>
      </c>
      <c r="FS1841">
        <v>2851116</v>
      </c>
      <c r="FT1841" t="s">
        <v>480</v>
      </c>
      <c r="FV1841" s="1">
        <v>42515</v>
      </c>
      <c r="FW1841">
        <v>2015</v>
      </c>
      <c r="FX1841">
        <v>661.77</v>
      </c>
      <c r="FY1841" t="s">
        <v>18115</v>
      </c>
      <c r="FZ1841">
        <v>0.25</v>
      </c>
      <c r="GA1841" t="s">
        <v>424</v>
      </c>
      <c r="GB1841" t="s">
        <v>425</v>
      </c>
      <c r="GD1841">
        <v>22</v>
      </c>
      <c r="GE1841">
        <v>5544377</v>
      </c>
      <c r="GF1841" t="s">
        <v>18116</v>
      </c>
      <c r="GH1841" s="1">
        <v>42151</v>
      </c>
      <c r="GI1841">
        <v>2014</v>
      </c>
      <c r="GJ1841">
        <v>614.49</v>
      </c>
      <c r="GK1841" t="s">
        <v>18117</v>
      </c>
      <c r="GL1841">
        <v>7.75</v>
      </c>
      <c r="GM1841" t="s">
        <v>424</v>
      </c>
      <c r="GN1841" t="s">
        <v>425</v>
      </c>
      <c r="GO1841" s="1">
        <v>42299</v>
      </c>
      <c r="GP1841">
        <v>5</v>
      </c>
      <c r="GQ1841">
        <v>10125</v>
      </c>
      <c r="GR1841" t="s">
        <v>440</v>
      </c>
      <c r="GS1841" t="s">
        <v>458</v>
      </c>
      <c r="GT1841" s="1">
        <v>42151</v>
      </c>
      <c r="GU1841">
        <v>2013</v>
      </c>
      <c r="GV1841">
        <v>594.52</v>
      </c>
      <c r="GW1841" t="s">
        <v>18118</v>
      </c>
      <c r="GX1841">
        <v>18</v>
      </c>
      <c r="GY1841" t="s">
        <v>603</v>
      </c>
      <c r="GZ1841" t="s">
        <v>425</v>
      </c>
      <c r="HB1841">
        <v>22</v>
      </c>
      <c r="HC1841">
        <v>9999999</v>
      </c>
      <c r="HD1841" t="s">
        <v>604</v>
      </c>
      <c r="HE1841" t="s">
        <v>458</v>
      </c>
      <c r="HF1841" s="1">
        <v>42151</v>
      </c>
      <c r="HG1841">
        <v>2013</v>
      </c>
      <c r="HH1841">
        <v>627.52</v>
      </c>
      <c r="HI1841" t="s">
        <v>18118</v>
      </c>
      <c r="HJ1841">
        <v>18</v>
      </c>
      <c r="HK1841" t="s">
        <v>424</v>
      </c>
      <c r="HL1841" t="s">
        <v>425</v>
      </c>
      <c r="HM1841" s="1">
        <v>42299</v>
      </c>
      <c r="HN1841">
        <v>5</v>
      </c>
      <c r="HO1841">
        <v>14851</v>
      </c>
      <c r="HP1841" t="s">
        <v>4401</v>
      </c>
      <c r="HQ1841" t="s">
        <v>458</v>
      </c>
      <c r="HR1841" s="1">
        <v>41423</v>
      </c>
      <c r="HS1841">
        <v>2012</v>
      </c>
      <c r="HT1841">
        <v>515.69000000000005</v>
      </c>
      <c r="HU1841" t="s">
        <v>18119</v>
      </c>
      <c r="HV1841">
        <v>3.75</v>
      </c>
      <c r="HW1841" t="s">
        <v>424</v>
      </c>
      <c r="HX1841" t="s">
        <v>425</v>
      </c>
      <c r="HZ1841">
        <v>22</v>
      </c>
      <c r="IA1841">
        <v>15407</v>
      </c>
      <c r="IB1841" t="s">
        <v>1134</v>
      </c>
      <c r="IC1841" t="s">
        <v>458</v>
      </c>
      <c r="ID1841" s="1">
        <v>41052</v>
      </c>
      <c r="IE1841">
        <v>2011</v>
      </c>
      <c r="IF1841">
        <v>968.7</v>
      </c>
      <c r="IG1841" t="s">
        <v>18120</v>
      </c>
      <c r="IH1841">
        <v>9</v>
      </c>
      <c r="II1841" t="s">
        <v>424</v>
      </c>
      <c r="IJ1841" t="s">
        <v>425</v>
      </c>
      <c r="IK1841" s="1">
        <v>42299</v>
      </c>
      <c r="IL1841">
        <v>41</v>
      </c>
      <c r="IM1841">
        <v>1130</v>
      </c>
      <c r="IN1841" t="s">
        <v>6717</v>
      </c>
      <c r="IO1841" t="s">
        <v>458</v>
      </c>
      <c r="IP1841" s="1">
        <v>41052</v>
      </c>
      <c r="IQ1841">
        <v>2011</v>
      </c>
      <c r="IR1841">
        <v>968.7</v>
      </c>
      <c r="IS1841" t="s">
        <v>18120</v>
      </c>
      <c r="IT1841">
        <v>9</v>
      </c>
      <c r="IU1841" t="s">
        <v>424</v>
      </c>
      <c r="IV1841" t="s">
        <v>425</v>
      </c>
      <c r="IX1841">
        <v>22</v>
      </c>
      <c r="IY1841">
        <v>12259</v>
      </c>
      <c r="IZ1841" t="s">
        <v>1032</v>
      </c>
      <c r="JA1841" t="s">
        <v>458</v>
      </c>
      <c r="JB1841" s="1">
        <v>40688</v>
      </c>
      <c r="JC1841">
        <v>2010</v>
      </c>
      <c r="JD1841">
        <v>1005.36</v>
      </c>
      <c r="JE1841" t="s">
        <v>18121</v>
      </c>
      <c r="JF1841">
        <v>6.5</v>
      </c>
      <c r="JG1841" t="s">
        <v>424</v>
      </c>
      <c r="JH1841" t="s">
        <v>425</v>
      </c>
      <c r="JI1841" s="1">
        <v>42299</v>
      </c>
      <c r="JJ1841">
        <v>53</v>
      </c>
      <c r="JK1841">
        <v>11346</v>
      </c>
      <c r="JL1841" t="s">
        <v>18122</v>
      </c>
      <c r="JM1841" t="s">
        <v>458</v>
      </c>
    </row>
    <row r="1842" spans="1:273" x14ac:dyDescent="0.25">
      <c r="A1842">
        <v>16486849</v>
      </c>
      <c r="B1842">
        <v>1841</v>
      </c>
      <c r="C1842" t="s">
        <v>393</v>
      </c>
      <c r="D1842" t="s">
        <v>394</v>
      </c>
      <c r="F1842" t="str">
        <f>"50-3N-28-0000-0017-0020"</f>
        <v>50-3N-28-0000-0017-0020</v>
      </c>
      <c r="H1842" t="str">
        <f>"ISLAND MISSION"</f>
        <v>ISLAND MISSION</v>
      </c>
      <c r="I1842" t="str">
        <f>"86730 PAGES DAIRY RD"</f>
        <v>86730 PAGES DAIRY RD</v>
      </c>
      <c r="J1842" t="str">
        <f t="shared" si="688"/>
        <v>YULEE FL 32097</v>
      </c>
      <c r="K1842" t="str">
        <f>"95988 CONNER LN"</f>
        <v>95988 CONNER LN</v>
      </c>
      <c r="L1842" t="str">
        <f t="shared" si="689"/>
        <v>YULEE FL 32097</v>
      </c>
      <c r="M1842" t="str">
        <f>"PT WM G CHRISTOPHER DONATION SEC 50-3N-28E IN OR 1940/768"</f>
        <v>PT WM G CHRISTOPHER DONATION SEC 50-3N-28E IN OR 1940/768</v>
      </c>
      <c r="N1842" t="str">
        <f>""</f>
        <v/>
      </c>
      <c r="O1842" t="str">
        <f>"54318"</f>
        <v>54318</v>
      </c>
      <c r="P1842" t="str">
        <f t="shared" si="671"/>
        <v>2017</v>
      </c>
      <c r="Q1842" t="str">
        <f>""</f>
        <v/>
      </c>
      <c r="R1842" t="str">
        <f>"N"</f>
        <v>N</v>
      </c>
      <c r="S1842" t="str">
        <f>""</f>
        <v/>
      </c>
      <c r="T1842" t="str">
        <f>"310.58"</f>
        <v>310.58</v>
      </c>
      <c r="U1842" t="str">
        <f>"20514.00"</f>
        <v>20514.00</v>
      </c>
      <c r="V1842" t="str">
        <f>"20514.00"</f>
        <v>20514.00</v>
      </c>
      <c r="W1842" t="str">
        <f t="shared" si="672"/>
        <v>2017</v>
      </c>
      <c r="X1842" t="str">
        <f>"16.40"</f>
        <v>16.40</v>
      </c>
      <c r="Y1842" t="str">
        <f>"351.90"</f>
        <v>351.90</v>
      </c>
      <c r="Z1842" t="str">
        <f>""</f>
        <v/>
      </c>
      <c r="AA1842" t="str">
        <f>"20514.00"</f>
        <v>20514.00</v>
      </c>
      <c r="AB1842" t="str">
        <f t="shared" si="686"/>
        <v>Residential</v>
      </c>
      <c r="AC1842" t="str">
        <f t="shared" si="682"/>
        <v>0</v>
      </c>
      <c r="AD1842" t="str">
        <f>""</f>
        <v/>
      </c>
      <c r="AE1842" t="str">
        <f>""</f>
        <v/>
      </c>
      <c r="AF1842" t="str">
        <f>"000"</f>
        <v>000</v>
      </c>
      <c r="AG1842" t="str">
        <f t="shared" si="683"/>
        <v>FL</v>
      </c>
      <c r="AH1842" t="str">
        <f>"27007.00"</f>
        <v>27007.00</v>
      </c>
      <c r="AI1842" t="str">
        <f>"16500.00"</f>
        <v>16500.00</v>
      </c>
      <c r="AJ1842" t="str">
        <f>"C55-000-588-6858-9"</f>
        <v>C55-000-588-6858-9</v>
      </c>
      <c r="AK1842" t="str">
        <f>"33666"</f>
        <v>33666</v>
      </c>
      <c r="AL1842">
        <v>7</v>
      </c>
      <c r="AM1842">
        <v>2100</v>
      </c>
      <c r="AN1842">
        <v>367.9</v>
      </c>
      <c r="AQ1842" t="s">
        <v>18123</v>
      </c>
      <c r="AR1842" t="s">
        <v>18123</v>
      </c>
      <c r="AS1842" t="s">
        <v>18123</v>
      </c>
      <c r="AU1842" t="s">
        <v>396</v>
      </c>
      <c r="AV1842">
        <v>2017</v>
      </c>
      <c r="AW1842" t="str">
        <f>"50-3N-28-0000-0017-0020 "</f>
        <v xml:space="preserve">50-3N-28-0000-0017-0020 </v>
      </c>
      <c r="AX1842">
        <v>95988</v>
      </c>
      <c r="AZ1842" t="s">
        <v>1759</v>
      </c>
      <c r="BA1842" t="s">
        <v>653</v>
      </c>
      <c r="BD1842" t="s">
        <v>2387</v>
      </c>
      <c r="BE1842" t="s">
        <v>393</v>
      </c>
      <c r="BF1842">
        <v>32097</v>
      </c>
      <c r="BG1842" t="s">
        <v>18124</v>
      </c>
      <c r="BH1842" t="s">
        <v>2388</v>
      </c>
      <c r="BI1842">
        <v>-81.528011808423997</v>
      </c>
      <c r="BJ1842">
        <v>30.656965444261498</v>
      </c>
      <c r="BK1842" t="s">
        <v>18111</v>
      </c>
      <c r="BM1842" t="s">
        <v>18112</v>
      </c>
      <c r="BN1842" t="s">
        <v>1778</v>
      </c>
      <c r="BO1842">
        <v>32097</v>
      </c>
      <c r="BP1842" t="s">
        <v>404</v>
      </c>
      <c r="BQ1842">
        <v>1</v>
      </c>
      <c r="BR1842" t="s">
        <v>491</v>
      </c>
      <c r="BS1842">
        <v>8001</v>
      </c>
      <c r="BT1842" t="s">
        <v>492</v>
      </c>
      <c r="BW1842">
        <v>27007</v>
      </c>
      <c r="BX1842" t="s">
        <v>407</v>
      </c>
      <c r="CD1842">
        <v>2017</v>
      </c>
      <c r="CE1842">
        <v>16500</v>
      </c>
      <c r="CF1842">
        <v>4014</v>
      </c>
      <c r="CG1842">
        <v>20514</v>
      </c>
      <c r="CH1842">
        <v>2017</v>
      </c>
      <c r="CI1842">
        <v>16500</v>
      </c>
      <c r="CJ1842">
        <v>4014</v>
      </c>
      <c r="CK1842">
        <v>20514</v>
      </c>
      <c r="CL1842">
        <v>2017</v>
      </c>
      <c r="CM1842">
        <v>310.58</v>
      </c>
      <c r="CN1842" s="1">
        <v>41914</v>
      </c>
      <c r="CZ1842" s="1">
        <v>41914</v>
      </c>
      <c r="DD1842" t="s">
        <v>2387</v>
      </c>
      <c r="DG1842">
        <v>50</v>
      </c>
      <c r="DL1842">
        <v>50301</v>
      </c>
      <c r="DM1842" t="s">
        <v>18077</v>
      </c>
      <c r="DO1842" t="s">
        <v>18125</v>
      </c>
      <c r="DP1842">
        <v>0</v>
      </c>
      <c r="DQ1842">
        <v>0</v>
      </c>
      <c r="DR1842" t="s">
        <v>411</v>
      </c>
      <c r="DS1842" t="b">
        <v>1</v>
      </c>
      <c r="DT1842" t="s">
        <v>470</v>
      </c>
      <c r="DU1842" t="s">
        <v>471</v>
      </c>
      <c r="DV1842" t="s">
        <v>472</v>
      </c>
      <c r="DX1842">
        <v>-9999</v>
      </c>
      <c r="DZ1842" t="s">
        <v>447</v>
      </c>
      <c r="EA1842" t="s">
        <v>448</v>
      </c>
      <c r="EB1842" t="s">
        <v>742</v>
      </c>
      <c r="EC1842">
        <v>20101217</v>
      </c>
      <c r="ED1842" t="s">
        <v>474</v>
      </c>
      <c r="EF1842">
        <v>771.1</v>
      </c>
      <c r="EG1842">
        <v>522.1</v>
      </c>
      <c r="EH1842" t="s">
        <v>451</v>
      </c>
      <c r="EI1842">
        <v>20140731</v>
      </c>
      <c r="EJ1842">
        <v>0</v>
      </c>
      <c r="EK1842">
        <v>0</v>
      </c>
      <c r="EP1842" t="s">
        <v>421</v>
      </c>
      <c r="EQ1842" t="s">
        <v>422</v>
      </c>
      <c r="ER1842">
        <v>0</v>
      </c>
      <c r="ES1842">
        <v>6</v>
      </c>
      <c r="ET1842">
        <v>0</v>
      </c>
      <c r="EU1842">
        <v>0</v>
      </c>
      <c r="EV1842">
        <v>0</v>
      </c>
      <c r="EW1842" s="2">
        <v>43222</v>
      </c>
      <c r="EX1842" s="1">
        <v>42879</v>
      </c>
      <c r="EY1842">
        <v>2016</v>
      </c>
      <c r="EZ1842">
        <v>356.39</v>
      </c>
      <c r="FA1842" t="s">
        <v>18126</v>
      </c>
      <c r="FB1842">
        <v>4.5</v>
      </c>
      <c r="FC1842" t="s">
        <v>424</v>
      </c>
      <c r="FD1842" t="s">
        <v>425</v>
      </c>
      <c r="FE1842" s="1">
        <v>43014</v>
      </c>
      <c r="FF1842">
        <v>5</v>
      </c>
      <c r="FG1842">
        <v>5100525</v>
      </c>
      <c r="FH1842" t="s">
        <v>6804</v>
      </c>
      <c r="FJ1842" s="1">
        <v>42151</v>
      </c>
      <c r="FK1842">
        <v>2014</v>
      </c>
      <c r="FL1842">
        <v>446.66</v>
      </c>
      <c r="FM1842" t="s">
        <v>18127</v>
      </c>
      <c r="FN1842">
        <v>14</v>
      </c>
      <c r="FO1842" t="s">
        <v>424</v>
      </c>
      <c r="FP1842" t="s">
        <v>425</v>
      </c>
      <c r="FQ1842" s="1">
        <v>42425</v>
      </c>
      <c r="FR1842">
        <v>9</v>
      </c>
      <c r="FS1842">
        <v>10125</v>
      </c>
      <c r="FT1842" t="s">
        <v>440</v>
      </c>
      <c r="FV1842" s="1">
        <v>41787</v>
      </c>
      <c r="FW1842">
        <v>2013</v>
      </c>
      <c r="FX1842">
        <v>426.03</v>
      </c>
      <c r="FY1842" t="s">
        <v>18128</v>
      </c>
      <c r="FZ1842">
        <v>0.25</v>
      </c>
      <c r="GA1842" t="s">
        <v>424</v>
      </c>
      <c r="GB1842" t="s">
        <v>425</v>
      </c>
      <c r="GC1842" s="1">
        <v>41940</v>
      </c>
      <c r="GD1842">
        <v>5</v>
      </c>
      <c r="GE1842">
        <v>305</v>
      </c>
      <c r="GF1842" t="s">
        <v>1078</v>
      </c>
      <c r="GH1842" s="1">
        <v>41423</v>
      </c>
      <c r="GI1842">
        <v>2012</v>
      </c>
      <c r="GJ1842">
        <v>433.2</v>
      </c>
      <c r="GK1842" t="s">
        <v>18129</v>
      </c>
      <c r="GL1842">
        <v>3.75</v>
      </c>
      <c r="GM1842" t="s">
        <v>424</v>
      </c>
      <c r="GN1842" t="s">
        <v>425</v>
      </c>
      <c r="GO1842" s="1">
        <v>41940</v>
      </c>
      <c r="GP1842">
        <v>17</v>
      </c>
      <c r="GQ1842">
        <v>1625515</v>
      </c>
      <c r="GR1842" t="s">
        <v>487</v>
      </c>
      <c r="GT1842" s="1">
        <v>41052</v>
      </c>
      <c r="GU1842">
        <v>2011</v>
      </c>
      <c r="GV1842">
        <v>788.69</v>
      </c>
      <c r="GW1842" t="s">
        <v>18130</v>
      </c>
      <c r="GX1842">
        <v>5.75</v>
      </c>
      <c r="GY1842" t="s">
        <v>424</v>
      </c>
      <c r="GZ1842" t="s">
        <v>425</v>
      </c>
      <c r="HA1842" s="1">
        <v>41940</v>
      </c>
      <c r="HB1842">
        <v>29</v>
      </c>
      <c r="HC1842">
        <v>62</v>
      </c>
      <c r="HD1842" t="s">
        <v>463</v>
      </c>
      <c r="HF1842" s="1">
        <v>40688</v>
      </c>
      <c r="HG1842">
        <v>2010</v>
      </c>
      <c r="HH1842">
        <v>793.37</v>
      </c>
      <c r="HI1842" t="s">
        <v>18131</v>
      </c>
      <c r="HJ1842">
        <v>6</v>
      </c>
      <c r="HK1842" t="s">
        <v>424</v>
      </c>
      <c r="HL1842" t="s">
        <v>425</v>
      </c>
      <c r="HM1842" s="1">
        <v>41339</v>
      </c>
      <c r="HN1842">
        <v>22</v>
      </c>
      <c r="HO1842">
        <v>375</v>
      </c>
      <c r="HP1842" t="s">
        <v>776</v>
      </c>
    </row>
    <row r="1843" spans="1:273" x14ac:dyDescent="0.25">
      <c r="A1843">
        <v>16486850</v>
      </c>
      <c r="B1843">
        <v>1842</v>
      </c>
      <c r="C1843" t="s">
        <v>393</v>
      </c>
      <c r="D1843" t="s">
        <v>394</v>
      </c>
      <c r="F1843" t="str">
        <f>"50-3N-28-0000-0029-0370"</f>
        <v>50-3N-28-0000-0029-0370</v>
      </c>
      <c r="H1843" t="str">
        <f>"ROWLAND HEATHER D"</f>
        <v>ROWLAND HEATHER D</v>
      </c>
      <c r="I1843" t="str">
        <f>"96215 MARANATHA RD"</f>
        <v>96215 MARANATHA RD</v>
      </c>
      <c r="J1843" t="str">
        <f t="shared" si="688"/>
        <v>YULEE FL 32097</v>
      </c>
      <c r="K1843" t="str">
        <f>"96215 MARANATHA RD"</f>
        <v>96215 MARANATHA RD</v>
      </c>
      <c r="L1843" t="str">
        <f t="shared" si="689"/>
        <v>YULEE FL 32097</v>
      </c>
      <c r="M1843" t="str">
        <f>"IN OR 2025/1814 2002 SKYL TW"</f>
        <v>IN OR 2025/1814 2002 SKYL TW</v>
      </c>
      <c r="N1843" t="str">
        <f>""</f>
        <v/>
      </c>
      <c r="O1843" t="str">
        <f>"54393"</f>
        <v>54393</v>
      </c>
      <c r="P1843" t="str">
        <f t="shared" si="671"/>
        <v>2017</v>
      </c>
      <c r="Q1843" t="str">
        <f>""</f>
        <v/>
      </c>
      <c r="R1843" t="str">
        <f>"N"</f>
        <v>N</v>
      </c>
      <c r="S1843" t="str">
        <f>""</f>
        <v/>
      </c>
      <c r="T1843" t="str">
        <f>"842.65"</f>
        <v>842.65</v>
      </c>
      <c r="U1843" t="str">
        <f>"54039.00"</f>
        <v>54039.00</v>
      </c>
      <c r="V1843" t="str">
        <f>"54039.00"</f>
        <v>54039.00</v>
      </c>
      <c r="W1843" t="str">
        <f t="shared" si="672"/>
        <v>2017</v>
      </c>
      <c r="X1843" t="str">
        <f>"14.67"</f>
        <v>14.67</v>
      </c>
      <c r="Y1843" t="str">
        <f>"899.93"</f>
        <v>899.93</v>
      </c>
      <c r="Z1843" t="str">
        <f>""</f>
        <v/>
      </c>
      <c r="AA1843" t="str">
        <f>"57763.00"</f>
        <v>57763.00</v>
      </c>
      <c r="AB1843" t="str">
        <f t="shared" si="686"/>
        <v>Residential</v>
      </c>
      <c r="AC1843" t="str">
        <f t="shared" si="682"/>
        <v>0</v>
      </c>
      <c r="AD1843" t="str">
        <f>"4"</f>
        <v>4</v>
      </c>
      <c r="AE1843" t="str">
        <f>"WOOD (INCLUDE STEEL STUDS)"</f>
        <v>WOOD (INCLUDE STEEL STUDS)</v>
      </c>
      <c r="AF1843" t="str">
        <f>"002"</f>
        <v>002</v>
      </c>
      <c r="AG1843" t="str">
        <f t="shared" si="683"/>
        <v>FL</v>
      </c>
      <c r="AH1843" t="str">
        <f>"-"</f>
        <v>-</v>
      </c>
      <c r="AI1843" t="str">
        <f>"21250.00"</f>
        <v>21250.00</v>
      </c>
      <c r="AJ1843" t="str">
        <f>"C55-000-588-6920-7"</f>
        <v>C55-000-588-6920-7</v>
      </c>
      <c r="AK1843" t="str">
        <f>"33725"</f>
        <v>33725</v>
      </c>
      <c r="AL1843">
        <v>7</v>
      </c>
      <c r="AM1843">
        <v>2102</v>
      </c>
      <c r="AN1843">
        <v>943.33</v>
      </c>
      <c r="AQ1843" t="s">
        <v>18132</v>
      </c>
      <c r="AR1843" t="s">
        <v>18132</v>
      </c>
      <c r="AS1843" t="s">
        <v>18132</v>
      </c>
      <c r="AU1843" t="s">
        <v>396</v>
      </c>
      <c r="AV1843">
        <v>2017</v>
      </c>
      <c r="AW1843" t="str">
        <f>"50-3N-28-0000-0029-0370 "</f>
        <v xml:space="preserve">50-3N-28-0000-0029-0370 </v>
      </c>
      <c r="AX1843">
        <v>96215</v>
      </c>
      <c r="AZ1843" t="s">
        <v>18133</v>
      </c>
      <c r="BA1843" t="s">
        <v>496</v>
      </c>
      <c r="BD1843" t="s">
        <v>2387</v>
      </c>
      <c r="BE1843" t="s">
        <v>393</v>
      </c>
      <c r="BF1843">
        <v>32097</v>
      </c>
      <c r="BG1843" t="s">
        <v>18134</v>
      </c>
      <c r="BH1843" t="s">
        <v>2388</v>
      </c>
      <c r="BI1843">
        <v>-81.526505914792907</v>
      </c>
      <c r="BJ1843">
        <v>30.6499265550143</v>
      </c>
      <c r="BK1843" t="s">
        <v>18135</v>
      </c>
      <c r="BM1843" t="s">
        <v>18134</v>
      </c>
      <c r="BN1843" t="s">
        <v>1778</v>
      </c>
      <c r="BO1843">
        <v>32097</v>
      </c>
      <c r="BP1843" t="s">
        <v>416</v>
      </c>
      <c r="BQ1843">
        <v>200</v>
      </c>
      <c r="BR1843" t="s">
        <v>405</v>
      </c>
      <c r="BS1843">
        <v>1006</v>
      </c>
      <c r="BT1843" t="s">
        <v>406</v>
      </c>
      <c r="BW1843">
        <v>21793</v>
      </c>
      <c r="BX1843" t="s">
        <v>407</v>
      </c>
      <c r="BZ1843">
        <v>4</v>
      </c>
      <c r="CA1843">
        <v>2002</v>
      </c>
      <c r="CB1843">
        <v>1</v>
      </c>
      <c r="CC1843">
        <v>1</v>
      </c>
      <c r="CD1843">
        <v>2017</v>
      </c>
      <c r="CE1843">
        <v>21250</v>
      </c>
      <c r="CF1843">
        <v>36513</v>
      </c>
      <c r="CG1843">
        <v>57763</v>
      </c>
      <c r="CH1843">
        <v>2017</v>
      </c>
      <c r="CI1843">
        <v>21250</v>
      </c>
      <c r="CJ1843">
        <v>36513</v>
      </c>
      <c r="CK1843">
        <v>57763</v>
      </c>
      <c r="CL1843">
        <v>2017</v>
      </c>
      <c r="CM1843">
        <v>842.65</v>
      </c>
      <c r="CN1843" s="1">
        <v>42398</v>
      </c>
      <c r="CV1843">
        <v>0</v>
      </c>
      <c r="CZ1843" s="1">
        <v>42398</v>
      </c>
      <c r="DA1843">
        <v>0</v>
      </c>
      <c r="DD1843" t="s">
        <v>2387</v>
      </c>
      <c r="DG1843">
        <v>50</v>
      </c>
      <c r="DL1843">
        <v>50303</v>
      </c>
      <c r="DM1843" t="s">
        <v>18077</v>
      </c>
      <c r="DO1843" t="s">
        <v>18136</v>
      </c>
      <c r="DP1843">
        <v>0</v>
      </c>
      <c r="DQ1843">
        <v>0</v>
      </c>
      <c r="DR1843" t="s">
        <v>411</v>
      </c>
      <c r="DS1843" t="b">
        <v>1</v>
      </c>
      <c r="DT1843" t="s">
        <v>470</v>
      </c>
      <c r="DU1843" t="s">
        <v>471</v>
      </c>
      <c r="DV1843" t="s">
        <v>472</v>
      </c>
      <c r="DX1843">
        <v>-9999</v>
      </c>
      <c r="DZ1843" t="s">
        <v>447</v>
      </c>
      <c r="EA1843" t="s">
        <v>448</v>
      </c>
      <c r="EB1843" t="s">
        <v>742</v>
      </c>
      <c r="EC1843">
        <v>20101217</v>
      </c>
      <c r="ED1843" t="s">
        <v>474</v>
      </c>
      <c r="EF1843">
        <v>707.2</v>
      </c>
      <c r="EG1843">
        <v>263.7</v>
      </c>
      <c r="EH1843" t="s">
        <v>451</v>
      </c>
      <c r="EI1843">
        <v>20140731</v>
      </c>
      <c r="EJ1843">
        <v>0</v>
      </c>
      <c r="EK1843">
        <v>0</v>
      </c>
      <c r="EP1843" t="s">
        <v>421</v>
      </c>
      <c r="EQ1843" t="s">
        <v>422</v>
      </c>
      <c r="ER1843">
        <v>0</v>
      </c>
      <c r="ES1843">
        <v>7</v>
      </c>
      <c r="ET1843">
        <v>0</v>
      </c>
      <c r="EU1843">
        <v>0</v>
      </c>
      <c r="EV1843">
        <v>0</v>
      </c>
      <c r="EW1843" s="2">
        <v>43222</v>
      </c>
      <c r="EX1843" s="1">
        <v>42879</v>
      </c>
      <c r="EY1843">
        <v>2016</v>
      </c>
      <c r="EZ1843">
        <v>842.58</v>
      </c>
      <c r="FA1843" t="s">
        <v>18137</v>
      </c>
      <c r="FB1843">
        <v>0.25</v>
      </c>
      <c r="FC1843" t="s">
        <v>424</v>
      </c>
      <c r="FD1843" t="s">
        <v>425</v>
      </c>
      <c r="FE1843" s="1">
        <v>42893</v>
      </c>
      <c r="FF1843">
        <v>1</v>
      </c>
      <c r="FG1843">
        <v>2851116</v>
      </c>
      <c r="FH1843" t="s">
        <v>480</v>
      </c>
      <c r="FJ1843" s="1">
        <v>42879</v>
      </c>
      <c r="FK1843">
        <v>2016</v>
      </c>
      <c r="FL1843">
        <v>842.58</v>
      </c>
      <c r="FM1843" t="s">
        <v>18137</v>
      </c>
      <c r="FN1843">
        <v>0.25</v>
      </c>
      <c r="FO1843" t="s">
        <v>424</v>
      </c>
      <c r="FP1843" t="s">
        <v>425</v>
      </c>
      <c r="FR1843">
        <v>22</v>
      </c>
      <c r="FS1843">
        <v>5729674</v>
      </c>
      <c r="FT1843" t="s">
        <v>18138</v>
      </c>
      <c r="FV1843" s="1">
        <v>42151</v>
      </c>
      <c r="FW1843">
        <v>2014</v>
      </c>
      <c r="FX1843">
        <v>959.69</v>
      </c>
      <c r="FY1843" t="s">
        <v>18139</v>
      </c>
      <c r="FZ1843">
        <v>0.25</v>
      </c>
      <c r="GA1843" t="s">
        <v>424</v>
      </c>
      <c r="GB1843" t="s">
        <v>425</v>
      </c>
      <c r="GD1843">
        <v>22</v>
      </c>
      <c r="GE1843">
        <v>5249507</v>
      </c>
      <c r="GF1843" t="s">
        <v>18140</v>
      </c>
      <c r="GH1843" s="1">
        <v>42151</v>
      </c>
      <c r="GI1843">
        <v>2014</v>
      </c>
      <c r="GJ1843">
        <v>959.69</v>
      </c>
      <c r="GK1843" t="s">
        <v>18139</v>
      </c>
      <c r="GL1843">
        <v>0.25</v>
      </c>
      <c r="GM1843" t="s">
        <v>424</v>
      </c>
      <c r="GN1843" t="s">
        <v>425</v>
      </c>
      <c r="GO1843" s="1">
        <v>42205</v>
      </c>
      <c r="GP1843">
        <v>2</v>
      </c>
      <c r="GQ1843">
        <v>2851116</v>
      </c>
      <c r="GR1843" t="s">
        <v>480</v>
      </c>
      <c r="GT1843" s="1">
        <v>41423</v>
      </c>
      <c r="GU1843">
        <v>2012</v>
      </c>
      <c r="GV1843">
        <v>939.57</v>
      </c>
      <c r="GW1843" t="s">
        <v>18141</v>
      </c>
      <c r="GX1843">
        <v>0.25</v>
      </c>
      <c r="GY1843" t="s">
        <v>424</v>
      </c>
      <c r="GZ1843" t="s">
        <v>425</v>
      </c>
      <c r="HA1843" s="1">
        <v>41712</v>
      </c>
      <c r="HB1843">
        <v>10</v>
      </c>
      <c r="HC1843">
        <v>1625515</v>
      </c>
      <c r="HD1843" t="s">
        <v>487</v>
      </c>
      <c r="HF1843" s="1">
        <v>41052</v>
      </c>
      <c r="HG1843">
        <v>2011</v>
      </c>
      <c r="HH1843">
        <v>1393.23</v>
      </c>
      <c r="HI1843" t="s">
        <v>18142</v>
      </c>
      <c r="HJ1843">
        <v>5.75</v>
      </c>
      <c r="HK1843" t="s">
        <v>424</v>
      </c>
      <c r="HL1843" t="s">
        <v>425</v>
      </c>
      <c r="HM1843" s="1">
        <v>41498</v>
      </c>
      <c r="HN1843">
        <v>15</v>
      </c>
      <c r="HO1843">
        <v>62</v>
      </c>
      <c r="HP1843" t="s">
        <v>463</v>
      </c>
      <c r="HR1843" s="1">
        <v>40688</v>
      </c>
      <c r="HS1843">
        <v>2010</v>
      </c>
      <c r="HT1843">
        <v>1433</v>
      </c>
      <c r="HU1843" t="s">
        <v>18143</v>
      </c>
      <c r="HV1843">
        <v>6</v>
      </c>
      <c r="HW1843" t="s">
        <v>424</v>
      </c>
      <c r="HX1843" t="s">
        <v>425</v>
      </c>
      <c r="HY1843" s="1">
        <v>41334</v>
      </c>
      <c r="HZ1843">
        <v>22</v>
      </c>
      <c r="IA1843">
        <v>719</v>
      </c>
      <c r="IB1843" t="s">
        <v>18144</v>
      </c>
    </row>
    <row r="1844" spans="1:273" x14ac:dyDescent="0.25">
      <c r="A1844">
        <v>16486851</v>
      </c>
      <c r="B1844">
        <v>1843</v>
      </c>
      <c r="C1844" t="s">
        <v>393</v>
      </c>
      <c r="D1844" t="s">
        <v>394</v>
      </c>
      <c r="F1844" t="str">
        <f>"50-3N-28-0000-0035-0000"</f>
        <v>50-3N-28-0000-0035-0000</v>
      </c>
      <c r="H1844" t="str">
        <f>"VANZANT OSCAR D"</f>
        <v>VANZANT OSCAR D</v>
      </c>
      <c r="I1844" t="str">
        <f>"96245 CONFEDERATE OAKS DRIVE"</f>
        <v>96245 CONFEDERATE OAKS DRIVE</v>
      </c>
      <c r="J1844" t="str">
        <f t="shared" si="688"/>
        <v>YULEE FL 32097</v>
      </c>
      <c r="K1844" t="str">
        <f>"96245 CONFEDERATE OAKS DR"</f>
        <v>96245 CONFEDERATE OAKS DR</v>
      </c>
      <c r="L1844" t="str">
        <f t="shared" si="689"/>
        <v>YULEE FL 32097</v>
      </c>
      <c r="M1844" t="str">
        <f>"OR 756/1217 &amp; OR 763/412 RP 262 PARCELS 35 &amp; 35-4"</f>
        <v>OR 756/1217 &amp; OR 763/412 RP 262 PARCELS 35 &amp; 35-4</v>
      </c>
      <c r="N1844" t="str">
        <f>""</f>
        <v/>
      </c>
      <c r="O1844" t="str">
        <f>"54405"</f>
        <v>54405</v>
      </c>
      <c r="P1844" t="str">
        <f t="shared" si="671"/>
        <v>2017</v>
      </c>
      <c r="Q1844" t="str">
        <f>""</f>
        <v/>
      </c>
      <c r="R1844" t="str">
        <f>"Y"</f>
        <v>Y</v>
      </c>
      <c r="S1844" t="str">
        <f>"1.00"</f>
        <v>1.00</v>
      </c>
      <c r="T1844" t="str">
        <f>"847.42"</f>
        <v>847.42</v>
      </c>
      <c r="U1844" t="str">
        <f>"96081.00"</f>
        <v>96081.00</v>
      </c>
      <c r="V1844" t="str">
        <f>"96081.00"</f>
        <v>96081.00</v>
      </c>
      <c r="W1844" t="str">
        <f t="shared" si="672"/>
        <v>2017</v>
      </c>
      <c r="X1844" t="str">
        <f>"11.50"</f>
        <v>11.50</v>
      </c>
      <c r="Y1844" t="str">
        <f>"904.84"</f>
        <v>904.84</v>
      </c>
      <c r="Z1844" t="str">
        <f>"26000.00"</f>
        <v>26000.00</v>
      </c>
      <c r="AA1844" t="str">
        <f>"70081.00"</f>
        <v>70081.00</v>
      </c>
      <c r="AB1844" t="str">
        <f t="shared" si="686"/>
        <v>Residential</v>
      </c>
      <c r="AC1844" t="str">
        <f t="shared" si="682"/>
        <v>0</v>
      </c>
      <c r="AD1844" t="str">
        <f>"4"</f>
        <v>4</v>
      </c>
      <c r="AE1844" t="str">
        <f>"WOOD (INCLUDE STEEL STUDS)"</f>
        <v>WOOD (INCLUDE STEEL STUDS)</v>
      </c>
      <c r="AF1844" t="str">
        <f>"002"</f>
        <v>002</v>
      </c>
      <c r="AG1844" t="str">
        <f t="shared" si="683"/>
        <v>FL</v>
      </c>
      <c r="AH1844" t="str">
        <f>"43560.00"</f>
        <v>43560.00</v>
      </c>
      <c r="AI1844" t="str">
        <f>"210050.00"</f>
        <v>210050.00</v>
      </c>
      <c r="AJ1844" t="str">
        <f>"C55-000-588-6929-8"</f>
        <v>C55-000-588-6929-8</v>
      </c>
      <c r="AK1844" t="str">
        <f>"33736"</f>
        <v>33736</v>
      </c>
      <c r="AL1844">
        <v>7</v>
      </c>
      <c r="AM1844">
        <v>2103</v>
      </c>
      <c r="AN1844">
        <v>948.48</v>
      </c>
      <c r="AQ1844" t="s">
        <v>18145</v>
      </c>
      <c r="AR1844" t="s">
        <v>18145</v>
      </c>
      <c r="AS1844" t="s">
        <v>18145</v>
      </c>
      <c r="AU1844" t="s">
        <v>396</v>
      </c>
      <c r="AV1844">
        <v>2017</v>
      </c>
      <c r="AW1844" t="str">
        <f>"50-3N-28-0000-0035-0000 "</f>
        <v xml:space="preserve">50-3N-28-0000-0035-0000 </v>
      </c>
      <c r="AX1844">
        <v>96245</v>
      </c>
      <c r="AZ1844" t="s">
        <v>18146</v>
      </c>
      <c r="BA1844" t="s">
        <v>669</v>
      </c>
      <c r="BD1844" t="s">
        <v>2387</v>
      </c>
      <c r="BE1844" t="s">
        <v>393</v>
      </c>
      <c r="BF1844">
        <v>32097</v>
      </c>
      <c r="BG1844" t="s">
        <v>18147</v>
      </c>
      <c r="BH1844" t="s">
        <v>2388</v>
      </c>
      <c r="BI1844">
        <v>-81.524725574082595</v>
      </c>
      <c r="BJ1844">
        <v>30.6511535511403</v>
      </c>
      <c r="BK1844" t="s">
        <v>18148</v>
      </c>
      <c r="BL1844" t="s">
        <v>18149</v>
      </c>
      <c r="BM1844" t="s">
        <v>18147</v>
      </c>
      <c r="BN1844" t="s">
        <v>1778</v>
      </c>
      <c r="BO1844">
        <v>32097</v>
      </c>
      <c r="BP1844" t="s">
        <v>416</v>
      </c>
      <c r="BQ1844">
        <v>200</v>
      </c>
      <c r="BR1844" t="s">
        <v>405</v>
      </c>
      <c r="BS1844">
        <v>1006</v>
      </c>
      <c r="BT1844" t="s">
        <v>406</v>
      </c>
      <c r="BU1844">
        <v>1140</v>
      </c>
      <c r="BW1844">
        <v>43560</v>
      </c>
      <c r="BX1844" t="s">
        <v>407</v>
      </c>
      <c r="BY1844" t="s">
        <v>12744</v>
      </c>
      <c r="BZ1844">
        <v>4</v>
      </c>
      <c r="CA1844">
        <v>1967</v>
      </c>
      <c r="CB1844">
        <v>1</v>
      </c>
      <c r="CC1844">
        <v>1</v>
      </c>
      <c r="CD1844">
        <v>2017</v>
      </c>
      <c r="CG1844">
        <v>96081</v>
      </c>
      <c r="CH1844">
        <v>2017</v>
      </c>
      <c r="CI1844">
        <v>210050</v>
      </c>
      <c r="CJ1844">
        <v>18885</v>
      </c>
      <c r="CK1844">
        <v>228935</v>
      </c>
      <c r="CL1844">
        <v>2017</v>
      </c>
      <c r="CM1844">
        <v>847.42</v>
      </c>
      <c r="CN1844" s="1">
        <v>35166</v>
      </c>
      <c r="CO1844">
        <v>4500</v>
      </c>
      <c r="CZ1844" s="1">
        <v>35166</v>
      </c>
      <c r="DD1844" t="s">
        <v>2387</v>
      </c>
      <c r="DG1844">
        <v>50</v>
      </c>
      <c r="DL1844">
        <v>50303</v>
      </c>
      <c r="DM1844" t="s">
        <v>18077</v>
      </c>
      <c r="DO1844" t="s">
        <v>18150</v>
      </c>
      <c r="DP1844">
        <v>0</v>
      </c>
      <c r="DQ1844">
        <v>0</v>
      </c>
      <c r="DR1844" t="s">
        <v>411</v>
      </c>
      <c r="DS1844" t="b">
        <v>1</v>
      </c>
      <c r="DT1844" t="s">
        <v>470</v>
      </c>
      <c r="DU1844" t="s">
        <v>10249</v>
      </c>
      <c r="DV1844" t="s">
        <v>472</v>
      </c>
      <c r="DX1844">
        <v>-9999</v>
      </c>
      <c r="DZ1844" t="s">
        <v>447</v>
      </c>
      <c r="EA1844" t="s">
        <v>448</v>
      </c>
      <c r="EB1844" t="s">
        <v>14895</v>
      </c>
      <c r="EC1844">
        <v>20101217</v>
      </c>
      <c r="ED1844" t="s">
        <v>10251</v>
      </c>
      <c r="EE1844">
        <v>5</v>
      </c>
      <c r="EF1844">
        <v>176.9</v>
      </c>
      <c r="EG1844">
        <v>0</v>
      </c>
      <c r="EI1844">
        <v>20160407</v>
      </c>
      <c r="EJ1844">
        <v>0</v>
      </c>
      <c r="EK1844">
        <v>0</v>
      </c>
      <c r="EP1844" t="s">
        <v>421</v>
      </c>
      <c r="EQ1844" t="s">
        <v>422</v>
      </c>
      <c r="ER1844">
        <v>0</v>
      </c>
      <c r="ES1844">
        <v>9</v>
      </c>
      <c r="ET1844">
        <v>0</v>
      </c>
      <c r="EU1844">
        <v>0</v>
      </c>
      <c r="EV1844">
        <v>0</v>
      </c>
      <c r="EW1844" s="2">
        <v>43222</v>
      </c>
      <c r="EX1844" s="1">
        <v>42879</v>
      </c>
      <c r="EY1844">
        <v>2016</v>
      </c>
      <c r="EZ1844">
        <v>926.34</v>
      </c>
      <c r="FA1844" t="s">
        <v>18151</v>
      </c>
      <c r="FB1844">
        <v>0.25</v>
      </c>
      <c r="FC1844" t="s">
        <v>424</v>
      </c>
      <c r="FD1844" t="s">
        <v>425</v>
      </c>
      <c r="FE1844" s="1">
        <v>42975</v>
      </c>
      <c r="FF1844">
        <v>3</v>
      </c>
      <c r="FG1844">
        <v>2851116</v>
      </c>
      <c r="FH1844" t="s">
        <v>480</v>
      </c>
      <c r="FJ1844" s="1">
        <v>42879</v>
      </c>
      <c r="FK1844">
        <v>2016</v>
      </c>
      <c r="FL1844">
        <v>926.34</v>
      </c>
      <c r="FM1844" t="s">
        <v>18151</v>
      </c>
      <c r="FN1844">
        <v>0.25</v>
      </c>
      <c r="FO1844" t="s">
        <v>424</v>
      </c>
      <c r="FP1844" t="s">
        <v>425</v>
      </c>
      <c r="FR1844">
        <v>22</v>
      </c>
      <c r="FS1844">
        <v>5283576</v>
      </c>
      <c r="FT1844" t="s">
        <v>18152</v>
      </c>
      <c r="FV1844" s="1">
        <v>42515</v>
      </c>
      <c r="FW1844">
        <v>2015</v>
      </c>
      <c r="FX1844">
        <v>937.29</v>
      </c>
      <c r="FY1844" t="s">
        <v>18153</v>
      </c>
      <c r="FZ1844">
        <v>0.25</v>
      </c>
      <c r="GA1844" t="s">
        <v>424</v>
      </c>
      <c r="GB1844" t="s">
        <v>425</v>
      </c>
      <c r="GC1844" s="1">
        <v>42975</v>
      </c>
      <c r="GD1844">
        <v>15</v>
      </c>
      <c r="GE1844">
        <v>2851116</v>
      </c>
      <c r="GF1844" t="s">
        <v>480</v>
      </c>
      <c r="GH1844" s="1">
        <v>42515</v>
      </c>
      <c r="GI1844">
        <v>2015</v>
      </c>
      <c r="GJ1844">
        <v>937.29</v>
      </c>
      <c r="GK1844" t="s">
        <v>18153</v>
      </c>
      <c r="GL1844">
        <v>0.25</v>
      </c>
      <c r="GM1844" t="s">
        <v>424</v>
      </c>
      <c r="GN1844" t="s">
        <v>425</v>
      </c>
      <c r="GP1844">
        <v>22</v>
      </c>
      <c r="GQ1844">
        <v>5656545</v>
      </c>
      <c r="GR1844" t="s">
        <v>18154</v>
      </c>
      <c r="GT1844" s="1">
        <v>42151</v>
      </c>
      <c r="GU1844">
        <v>2014</v>
      </c>
      <c r="GV1844">
        <v>558.42999999999995</v>
      </c>
      <c r="GW1844" t="s">
        <v>18155</v>
      </c>
      <c r="GX1844">
        <v>0.25</v>
      </c>
      <c r="GY1844" t="s">
        <v>424</v>
      </c>
      <c r="GZ1844" t="s">
        <v>425</v>
      </c>
      <c r="HA1844" s="1">
        <v>42621</v>
      </c>
      <c r="HB1844">
        <v>16</v>
      </c>
      <c r="HC1844">
        <v>2851116</v>
      </c>
      <c r="HD1844" t="s">
        <v>480</v>
      </c>
      <c r="HF1844" s="1">
        <v>42151</v>
      </c>
      <c r="HG1844">
        <v>2014</v>
      </c>
      <c r="HH1844">
        <v>558.42999999999995</v>
      </c>
      <c r="HI1844" t="s">
        <v>18155</v>
      </c>
      <c r="HJ1844">
        <v>0.25</v>
      </c>
      <c r="HK1844" t="s">
        <v>424</v>
      </c>
      <c r="HL1844" t="s">
        <v>425</v>
      </c>
      <c r="HN1844">
        <v>22</v>
      </c>
      <c r="HO1844">
        <v>5040797</v>
      </c>
      <c r="HP1844" t="s">
        <v>18156</v>
      </c>
      <c r="HR1844" s="1">
        <v>41787</v>
      </c>
      <c r="HS1844">
        <v>2013</v>
      </c>
      <c r="HT1844">
        <v>557.84</v>
      </c>
      <c r="HU1844" t="s">
        <v>18157</v>
      </c>
      <c r="HV1844">
        <v>0.25</v>
      </c>
      <c r="HW1844" t="s">
        <v>424</v>
      </c>
      <c r="HX1844" t="s">
        <v>425</v>
      </c>
      <c r="HY1844" s="1">
        <v>41974</v>
      </c>
      <c r="HZ1844">
        <v>7</v>
      </c>
      <c r="IA1844">
        <v>305</v>
      </c>
      <c r="IB1844" t="s">
        <v>1078</v>
      </c>
      <c r="ID1844" s="1">
        <v>41423</v>
      </c>
      <c r="IE1844">
        <v>2012</v>
      </c>
      <c r="IF1844">
        <v>861.66</v>
      </c>
      <c r="IG1844" t="s">
        <v>18158</v>
      </c>
      <c r="IH1844">
        <v>0.25</v>
      </c>
      <c r="II1844" t="s">
        <v>424</v>
      </c>
      <c r="IJ1844" t="s">
        <v>425</v>
      </c>
      <c r="IK1844" s="1">
        <v>41974</v>
      </c>
      <c r="IL1844">
        <v>19</v>
      </c>
      <c r="IM1844">
        <v>62</v>
      </c>
      <c r="IN1844" t="s">
        <v>463</v>
      </c>
      <c r="IP1844" s="1">
        <v>40688</v>
      </c>
      <c r="IQ1844">
        <v>2010</v>
      </c>
      <c r="IR1844">
        <v>819.59</v>
      </c>
      <c r="IS1844" t="s">
        <v>18159</v>
      </c>
      <c r="IT1844">
        <v>5.75</v>
      </c>
      <c r="IU1844" t="s">
        <v>424</v>
      </c>
      <c r="IV1844" t="s">
        <v>425</v>
      </c>
      <c r="IW1844" s="1">
        <v>40960</v>
      </c>
      <c r="IX1844">
        <v>9</v>
      </c>
      <c r="IY1844">
        <v>305</v>
      </c>
      <c r="IZ1844" t="s">
        <v>1078</v>
      </c>
    </row>
    <row r="1845" spans="1:273" x14ac:dyDescent="0.25">
      <c r="A1845">
        <v>16486852</v>
      </c>
      <c r="B1845">
        <v>1844</v>
      </c>
      <c r="C1845" t="s">
        <v>393</v>
      </c>
      <c r="D1845" t="s">
        <v>394</v>
      </c>
      <c r="F1845" t="str">
        <f>"50-3N-28-0000-0039-0010"</f>
        <v>50-3N-28-0000-0039-0010</v>
      </c>
      <c r="H1845" t="str">
        <f>"PARKER MICHAEL W"</f>
        <v>PARKER MICHAEL W</v>
      </c>
      <c r="I1845" t="str">
        <f>"2900 PARK SQUARE PL"</f>
        <v>2900 PARK SQUARE PL</v>
      </c>
      <c r="J1845" t="str">
        <f>"FERNANDINA BEACH FL 32034"</f>
        <v>FERNANDINA BEACH FL 32034</v>
      </c>
      <c r="K1845" t="str">
        <f>"FREEMAN RD"</f>
        <v>FREEMAN RD</v>
      </c>
      <c r="L1845" t="str">
        <f t="shared" si="689"/>
        <v>YULEE FL 32097</v>
      </c>
      <c r="M1845" t="str">
        <f>"IN OR 2105/659"</f>
        <v>IN OR 2105/659</v>
      </c>
      <c r="N1845" t="str">
        <f>""</f>
        <v/>
      </c>
      <c r="O1845" t="str">
        <f>"54413"</f>
        <v>54413</v>
      </c>
      <c r="P1845" t="str">
        <f t="shared" si="671"/>
        <v>2017</v>
      </c>
      <c r="Q1845" t="str">
        <f>""</f>
        <v/>
      </c>
      <c r="R1845" t="str">
        <f>"N"</f>
        <v>N</v>
      </c>
      <c r="S1845" t="str">
        <f>"1.71"</f>
        <v>1.71</v>
      </c>
      <c r="T1845" t="str">
        <f>"647.19"</f>
        <v>647.19</v>
      </c>
      <c r="U1845" t="str">
        <f>"42750.00"</f>
        <v>42750.00</v>
      </c>
      <c r="V1845" t="str">
        <f>"42750.00"</f>
        <v>42750.00</v>
      </c>
      <c r="W1845" t="str">
        <f t="shared" si="672"/>
        <v>2017</v>
      </c>
      <c r="X1845" t="str">
        <f>"14.80"</f>
        <v>14.80</v>
      </c>
      <c r="Y1845" t="str">
        <f>"698.61"</f>
        <v>698.61</v>
      </c>
      <c r="Z1845" t="str">
        <f>""</f>
        <v/>
      </c>
      <c r="AA1845" t="str">
        <f>"42750.00"</f>
        <v>42750.00</v>
      </c>
      <c r="AB1845" t="str">
        <f t="shared" si="686"/>
        <v>Residential</v>
      </c>
      <c r="AC1845" t="str">
        <f t="shared" si="682"/>
        <v>0</v>
      </c>
      <c r="AD1845" t="str">
        <f>""</f>
        <v/>
      </c>
      <c r="AE1845" t="str">
        <f>""</f>
        <v/>
      </c>
      <c r="AF1845" t="str">
        <f>"000"</f>
        <v>000</v>
      </c>
      <c r="AG1845" t="str">
        <f t="shared" si="683"/>
        <v>FL</v>
      </c>
      <c r="AH1845" t="str">
        <f>"74487.00"</f>
        <v>74487.00</v>
      </c>
      <c r="AI1845" t="str">
        <f>"42750.00"</f>
        <v>42750.00</v>
      </c>
      <c r="AJ1845" t="str">
        <f>"C55-000-588-6937-1"</f>
        <v>C55-000-588-6937-1</v>
      </c>
      <c r="AK1845" t="str">
        <f>"33742"</f>
        <v>33742</v>
      </c>
      <c r="AL1845">
        <v>7</v>
      </c>
      <c r="AM1845">
        <v>2104</v>
      </c>
      <c r="AN1845">
        <v>731.94</v>
      </c>
      <c r="AQ1845" t="s">
        <v>18160</v>
      </c>
      <c r="AR1845" t="s">
        <v>18160</v>
      </c>
      <c r="AS1845" t="s">
        <v>18160</v>
      </c>
      <c r="AU1845" t="s">
        <v>396</v>
      </c>
      <c r="AV1845">
        <v>2017</v>
      </c>
      <c r="AW1845" t="str">
        <f>"50-3N-28-0000-0039-0010 "</f>
        <v xml:space="preserve">50-3N-28-0000-0039-0010 </v>
      </c>
      <c r="AZ1845" t="s">
        <v>18161</v>
      </c>
      <c r="BA1845" t="s">
        <v>496</v>
      </c>
      <c r="BD1845" t="s">
        <v>2387</v>
      </c>
      <c r="BE1845" t="s">
        <v>393</v>
      </c>
      <c r="BF1845">
        <v>32097</v>
      </c>
      <c r="BG1845" t="s">
        <v>18162</v>
      </c>
      <c r="BH1845" t="s">
        <v>2388</v>
      </c>
      <c r="BI1845">
        <v>-81.528389574776099</v>
      </c>
      <c r="BJ1845">
        <v>30.651542289183102</v>
      </c>
      <c r="BK1845" t="s">
        <v>18163</v>
      </c>
      <c r="BM1845" t="s">
        <v>18164</v>
      </c>
      <c r="BN1845" t="s">
        <v>3983</v>
      </c>
      <c r="BO1845">
        <v>32034</v>
      </c>
      <c r="BP1845" t="s">
        <v>404</v>
      </c>
      <c r="BQ1845">
        <v>0</v>
      </c>
      <c r="BR1845" t="s">
        <v>491</v>
      </c>
      <c r="BS1845">
        <v>8001</v>
      </c>
      <c r="BT1845" t="s">
        <v>492</v>
      </c>
      <c r="BW1845">
        <v>74487</v>
      </c>
      <c r="BX1845" t="s">
        <v>407</v>
      </c>
      <c r="BY1845" t="s">
        <v>12744</v>
      </c>
      <c r="CD1845">
        <v>2017</v>
      </c>
      <c r="CE1845">
        <v>42750</v>
      </c>
      <c r="CG1845">
        <v>42750</v>
      </c>
      <c r="CH1845">
        <v>2017</v>
      </c>
      <c r="CI1845">
        <v>42750</v>
      </c>
      <c r="CK1845">
        <v>42750</v>
      </c>
      <c r="CL1845">
        <v>2017</v>
      </c>
      <c r="CM1845">
        <v>647.19000000000005</v>
      </c>
      <c r="CN1845" s="1">
        <v>42802</v>
      </c>
      <c r="CO1845">
        <v>32500</v>
      </c>
      <c r="CV1845">
        <v>0</v>
      </c>
      <c r="CZ1845" s="1">
        <v>42802</v>
      </c>
      <c r="DA1845">
        <v>0</v>
      </c>
      <c r="DD1845" t="s">
        <v>2387</v>
      </c>
      <c r="DG1845">
        <v>50</v>
      </c>
      <c r="DL1845">
        <v>50303</v>
      </c>
      <c r="DM1845" t="s">
        <v>18077</v>
      </c>
      <c r="DO1845" t="s">
        <v>18165</v>
      </c>
      <c r="DP1845">
        <v>0</v>
      </c>
      <c r="DQ1845">
        <v>0</v>
      </c>
      <c r="DR1845" t="s">
        <v>411</v>
      </c>
      <c r="DS1845" t="b">
        <v>1</v>
      </c>
      <c r="DT1845" t="s">
        <v>470</v>
      </c>
      <c r="DU1845" t="s">
        <v>471</v>
      </c>
      <c r="DV1845" t="s">
        <v>472</v>
      </c>
      <c r="DX1845">
        <v>-9999</v>
      </c>
      <c r="DZ1845" t="s">
        <v>447</v>
      </c>
      <c r="EA1845" t="s">
        <v>448</v>
      </c>
      <c r="EB1845" t="s">
        <v>742</v>
      </c>
      <c r="EC1845">
        <v>20101217</v>
      </c>
      <c r="ED1845" t="s">
        <v>474</v>
      </c>
      <c r="EF1845">
        <v>1181.3</v>
      </c>
      <c r="EG1845">
        <v>718.1</v>
      </c>
      <c r="EI1845">
        <v>20160407</v>
      </c>
      <c r="EJ1845">
        <v>0</v>
      </c>
      <c r="EK1845">
        <v>0</v>
      </c>
      <c r="EP1845" t="s">
        <v>421</v>
      </c>
      <c r="EQ1845" t="s">
        <v>422</v>
      </c>
      <c r="ER1845">
        <v>0</v>
      </c>
      <c r="ES1845">
        <v>4</v>
      </c>
      <c r="ET1845">
        <v>0</v>
      </c>
      <c r="EU1845">
        <v>0</v>
      </c>
      <c r="EV1845">
        <v>0</v>
      </c>
      <c r="EW1845" s="2">
        <v>43222</v>
      </c>
      <c r="EX1845" s="1">
        <v>42515</v>
      </c>
      <c r="EY1845">
        <v>2015</v>
      </c>
      <c r="EZ1845">
        <v>748.98</v>
      </c>
      <c r="FA1845" t="s">
        <v>18166</v>
      </c>
      <c r="FB1845">
        <v>4.75</v>
      </c>
      <c r="FC1845" t="s">
        <v>424</v>
      </c>
      <c r="FD1845" t="s">
        <v>425</v>
      </c>
      <c r="FE1845" s="1">
        <v>42802</v>
      </c>
      <c r="FF1845">
        <v>10</v>
      </c>
      <c r="FG1845">
        <v>2035919</v>
      </c>
      <c r="FH1845" t="s">
        <v>507</v>
      </c>
      <c r="FJ1845" s="1">
        <v>42151</v>
      </c>
      <c r="FK1845">
        <v>2014</v>
      </c>
      <c r="FL1845">
        <v>752.66</v>
      </c>
      <c r="FM1845" t="s">
        <v>18167</v>
      </c>
      <c r="FN1845">
        <v>0.25</v>
      </c>
      <c r="FO1845" t="s">
        <v>424</v>
      </c>
      <c r="FP1845" t="s">
        <v>425</v>
      </c>
      <c r="FQ1845" s="1">
        <v>42802</v>
      </c>
      <c r="FR1845">
        <v>22</v>
      </c>
      <c r="FS1845">
        <v>2101382</v>
      </c>
      <c r="FT1845" t="s">
        <v>993</v>
      </c>
      <c r="FV1845" s="1">
        <v>42151</v>
      </c>
      <c r="FW1845">
        <v>2014</v>
      </c>
      <c r="FX1845">
        <v>752.66</v>
      </c>
      <c r="FY1845" t="s">
        <v>18167</v>
      </c>
      <c r="FZ1845">
        <v>0.25</v>
      </c>
      <c r="GA1845" t="s">
        <v>424</v>
      </c>
      <c r="GB1845" t="s">
        <v>425</v>
      </c>
      <c r="GD1845">
        <v>22</v>
      </c>
      <c r="GE1845">
        <v>5467486</v>
      </c>
      <c r="GF1845" t="s">
        <v>18168</v>
      </c>
      <c r="GH1845" s="1">
        <v>41423</v>
      </c>
      <c r="GI1845">
        <v>2012</v>
      </c>
      <c r="GJ1845">
        <v>722.22</v>
      </c>
      <c r="GK1845" t="s">
        <v>18169</v>
      </c>
      <c r="GL1845">
        <v>0.25</v>
      </c>
      <c r="GM1845" t="s">
        <v>424</v>
      </c>
      <c r="GN1845" t="s">
        <v>425</v>
      </c>
      <c r="GO1845" s="1">
        <v>41858</v>
      </c>
      <c r="GP1845">
        <v>15</v>
      </c>
      <c r="GQ1845">
        <v>2101385</v>
      </c>
      <c r="GR1845" t="s">
        <v>810</v>
      </c>
    </row>
    <row r="1846" spans="1:273" x14ac:dyDescent="0.25">
      <c r="A1846">
        <v>16486853</v>
      </c>
      <c r="B1846">
        <v>1845</v>
      </c>
      <c r="C1846" t="s">
        <v>393</v>
      </c>
      <c r="D1846" t="s">
        <v>394</v>
      </c>
      <c r="F1846" t="str">
        <f>"50-3N-28-0000-0042-0030"</f>
        <v>50-3N-28-0000-0042-0030</v>
      </c>
      <c r="H1846" t="str">
        <f>"SCARBORO JOHN P JR &amp; FRANCES E"</f>
        <v>SCARBORO JOHN P JR &amp; FRANCES E</v>
      </c>
      <c r="I1846" t="str">
        <f>"96510 BLACKROCK ROAD"</f>
        <v>96510 BLACKROCK ROAD</v>
      </c>
      <c r="J1846" t="str">
        <f>"YULEE FL 32097"</f>
        <v>YULEE FL 32097</v>
      </c>
      <c r="K1846" t="str">
        <f>"96510 BLACKROCK RD"</f>
        <v>96510 BLACKROCK RD</v>
      </c>
      <c r="L1846" t="str">
        <f t="shared" si="689"/>
        <v>YULEE FL 32097</v>
      </c>
      <c r="M1846" t="str">
        <f>"IN OR 1035/683 &amp; OR 1038/1902 PARCELS 42-3 &amp; 43-1"</f>
        <v>IN OR 1035/683 &amp; OR 1038/1902 PARCELS 42-3 &amp; 43-1</v>
      </c>
      <c r="N1846" t="str">
        <f>""</f>
        <v/>
      </c>
      <c r="O1846" t="str">
        <f>"54438"</f>
        <v>54438</v>
      </c>
      <c r="P1846" t="str">
        <f t="shared" si="671"/>
        <v>2017</v>
      </c>
      <c r="Q1846" t="str">
        <f>""</f>
        <v/>
      </c>
      <c r="R1846" t="str">
        <f>"Y"</f>
        <v>Y</v>
      </c>
      <c r="S1846" t="str">
        <f>""</f>
        <v/>
      </c>
      <c r="T1846" t="str">
        <f>"12081.84"</f>
        <v>12081.84</v>
      </c>
      <c r="U1846" t="str">
        <f>"837175.00"</f>
        <v>837175.00</v>
      </c>
      <c r="V1846" t="str">
        <f>"837175.00"</f>
        <v>837175.00</v>
      </c>
      <c r="W1846" t="str">
        <f t="shared" si="672"/>
        <v>2017</v>
      </c>
      <c r="X1846" t="str">
        <f>""</f>
        <v/>
      </c>
      <c r="Y1846" t="str">
        <f>"12476.30"</f>
        <v>12476.30</v>
      </c>
      <c r="Z1846" t="str">
        <f>"25000.00"</f>
        <v>25000.00</v>
      </c>
      <c r="AA1846" t="str">
        <f>"812175.00"</f>
        <v>812175.00</v>
      </c>
      <c r="AB1846" t="str">
        <f t="shared" si="686"/>
        <v>Residential</v>
      </c>
      <c r="AC1846" t="str">
        <f t="shared" si="682"/>
        <v>0</v>
      </c>
      <c r="AD1846" t="str">
        <f>"4"</f>
        <v>4</v>
      </c>
      <c r="AE1846" t="str">
        <f>"WOOD (INCLUDE STEEL STUDS)"</f>
        <v>WOOD (INCLUDE STEEL STUDS)</v>
      </c>
      <c r="AF1846" t="str">
        <f>"001"</f>
        <v>001</v>
      </c>
      <c r="AG1846" t="str">
        <f t="shared" si="683"/>
        <v>FL</v>
      </c>
      <c r="AH1846" t="str">
        <f>"80000.00"</f>
        <v>80000.00</v>
      </c>
      <c r="AI1846" t="str">
        <f>"240000.00"</f>
        <v>240000.00</v>
      </c>
      <c r="AJ1846" t="str">
        <f>"C55-000-588-6961-1"</f>
        <v>C55-000-588-6961-1</v>
      </c>
      <c r="AK1846" t="str">
        <f>"33766"</f>
        <v>33766</v>
      </c>
      <c r="AL1846">
        <v>7</v>
      </c>
      <c r="AM1846">
        <v>2105</v>
      </c>
      <c r="AN1846">
        <v>13098.52</v>
      </c>
      <c r="AQ1846" t="s">
        <v>18170</v>
      </c>
      <c r="AR1846" t="s">
        <v>18170</v>
      </c>
      <c r="AS1846" t="s">
        <v>18170</v>
      </c>
      <c r="AU1846" t="s">
        <v>396</v>
      </c>
      <c r="AV1846">
        <v>2017</v>
      </c>
      <c r="AW1846" t="str">
        <f>"50-3N-28-0000-0042-0030 "</f>
        <v xml:space="preserve">50-3N-28-0000-0042-0030 </v>
      </c>
      <c r="AX1846">
        <v>96510</v>
      </c>
      <c r="AZ1846" t="s">
        <v>14867</v>
      </c>
      <c r="BA1846" t="s">
        <v>496</v>
      </c>
      <c r="BD1846" t="s">
        <v>2387</v>
      </c>
      <c r="BE1846" t="s">
        <v>393</v>
      </c>
      <c r="BF1846">
        <v>32097</v>
      </c>
      <c r="BG1846" t="s">
        <v>18171</v>
      </c>
      <c r="BH1846" t="s">
        <v>2388</v>
      </c>
      <c r="BI1846">
        <v>-81.525581356916007</v>
      </c>
      <c r="BJ1846">
        <v>30.658249152377898</v>
      </c>
      <c r="BK1846" t="s">
        <v>18172</v>
      </c>
      <c r="BL1846" t="s">
        <v>18173</v>
      </c>
      <c r="BM1846" t="s">
        <v>18171</v>
      </c>
      <c r="BN1846" t="s">
        <v>1778</v>
      </c>
      <c r="BO1846">
        <v>32097</v>
      </c>
      <c r="BP1846" t="s">
        <v>416</v>
      </c>
      <c r="BQ1846">
        <v>100</v>
      </c>
      <c r="BR1846" t="s">
        <v>514</v>
      </c>
      <c r="BS1846">
        <v>1001</v>
      </c>
      <c r="BT1846" t="s">
        <v>515</v>
      </c>
      <c r="BU1846">
        <v>2000</v>
      </c>
      <c r="BV1846">
        <v>0</v>
      </c>
      <c r="BW1846">
        <v>84899</v>
      </c>
      <c r="BX1846" t="s">
        <v>407</v>
      </c>
      <c r="BZ1846">
        <v>4</v>
      </c>
      <c r="CA1846">
        <v>1981</v>
      </c>
      <c r="CB1846">
        <v>2</v>
      </c>
      <c r="CC1846">
        <v>2</v>
      </c>
      <c r="CD1846">
        <v>2017</v>
      </c>
      <c r="CG1846">
        <v>837175</v>
      </c>
      <c r="CH1846">
        <v>2017</v>
      </c>
      <c r="CI1846">
        <v>240000</v>
      </c>
      <c r="CJ1846">
        <v>603085</v>
      </c>
      <c r="CK1846">
        <v>843085</v>
      </c>
      <c r="CL1846">
        <v>2017</v>
      </c>
      <c r="CM1846">
        <v>12081.84</v>
      </c>
      <c r="CN1846" s="1">
        <v>37278</v>
      </c>
      <c r="CO1846">
        <v>297000</v>
      </c>
      <c r="CV1846">
        <v>0</v>
      </c>
      <c r="CZ1846" s="1">
        <v>37278</v>
      </c>
      <c r="DA1846">
        <v>0</v>
      </c>
      <c r="DD1846" t="s">
        <v>2387</v>
      </c>
      <c r="DG1846">
        <v>50</v>
      </c>
      <c r="DL1846">
        <v>50303</v>
      </c>
      <c r="DM1846" t="s">
        <v>18077</v>
      </c>
      <c r="DO1846" t="s">
        <v>18174</v>
      </c>
      <c r="DP1846">
        <v>0</v>
      </c>
      <c r="DQ1846">
        <v>0</v>
      </c>
      <c r="DR1846" t="s">
        <v>411</v>
      </c>
    </row>
    <row r="1847" spans="1:273" x14ac:dyDescent="0.25">
      <c r="A1847">
        <v>16486854</v>
      </c>
      <c r="B1847">
        <v>1846</v>
      </c>
      <c r="C1847" t="s">
        <v>393</v>
      </c>
      <c r="D1847" t="s">
        <v>394</v>
      </c>
      <c r="F1847" t="str">
        <f>"50-3N-28-016B-0017-0000"</f>
        <v>50-3N-28-016B-0017-0000</v>
      </c>
      <c r="H1847" t="str">
        <f>"NORTON DEAN"</f>
        <v>NORTON DEAN</v>
      </c>
      <c r="I1847" t="str">
        <f>"622 CR 662 23"</f>
        <v>622 CR 662 23</v>
      </c>
      <c r="J1847" t="str">
        <f>"CEDAR BLUFF AL 35959"</f>
        <v>CEDAR BLUFF AL 35959</v>
      </c>
      <c r="K1847" t="str">
        <f>"96349 SOUTHERN LILY DR"</f>
        <v>96349 SOUTHERN LILY DR</v>
      </c>
      <c r="L1847" t="str">
        <f t="shared" si="689"/>
        <v>YULEE FL 32097</v>
      </c>
      <c r="M1847" t="str">
        <f>"LOT 17 IN OR 2099/1404 BLACKROCK HAMMOCK PB 6/286"</f>
        <v>LOT 17 IN OR 2099/1404 BLACKROCK HAMMOCK PB 6/286</v>
      </c>
      <c r="N1847" t="str">
        <f>""</f>
        <v/>
      </c>
      <c r="O1847" t="str">
        <f>"54474"</f>
        <v>54474</v>
      </c>
      <c r="P1847" t="str">
        <f t="shared" si="671"/>
        <v>2017</v>
      </c>
      <c r="Q1847" t="str">
        <f>""</f>
        <v/>
      </c>
      <c r="R1847" t="str">
        <f t="shared" ref="R1847:R1857" si="690">"N"</f>
        <v>N</v>
      </c>
      <c r="S1847" t="str">
        <f>""</f>
        <v/>
      </c>
      <c r="T1847" t="str">
        <f>"705.70"</f>
        <v>705.70</v>
      </c>
      <c r="U1847" t="str">
        <f>"44000.00"</f>
        <v>44000.00</v>
      </c>
      <c r="V1847" t="str">
        <f>"44000.00"</f>
        <v>44000.00</v>
      </c>
      <c r="W1847" t="str">
        <f t="shared" si="672"/>
        <v>2017</v>
      </c>
      <c r="X1847" t="str">
        <f>"2.00"</f>
        <v>2.00</v>
      </c>
      <c r="Y1847" t="str">
        <f>"758.87"</f>
        <v>758.87</v>
      </c>
      <c r="Z1847" t="str">
        <f>""</f>
        <v/>
      </c>
      <c r="AA1847" t="str">
        <f>"50000.00"</f>
        <v>50000.00</v>
      </c>
      <c r="AB1847" t="str">
        <f t="shared" si="686"/>
        <v>Residential</v>
      </c>
      <c r="AC1847" t="str">
        <f t="shared" si="682"/>
        <v>0</v>
      </c>
      <c r="AD1847" t="str">
        <f>""</f>
        <v/>
      </c>
      <c r="AE1847" t="str">
        <f>""</f>
        <v/>
      </c>
      <c r="AF1847" t="str">
        <f t="shared" ref="AF1847:AF1857" si="691">"000"</f>
        <v>000</v>
      </c>
      <c r="AG1847" t="str">
        <f>"AL"</f>
        <v>AL</v>
      </c>
      <c r="AH1847" t="str">
        <f>"-"</f>
        <v>-</v>
      </c>
      <c r="AI1847" t="str">
        <f>"50000.00"</f>
        <v>50000.00</v>
      </c>
      <c r="AJ1847" t="str">
        <f>"C55-000-588-6991-8"</f>
        <v>C55-000-588-6991-8</v>
      </c>
      <c r="AK1847" t="str">
        <f>"33796"</f>
        <v>33796</v>
      </c>
      <c r="AL1847">
        <v>7</v>
      </c>
      <c r="AM1847">
        <v>2106</v>
      </c>
      <c r="AN1847">
        <v>795.21</v>
      </c>
      <c r="AQ1847" t="s">
        <v>18175</v>
      </c>
      <c r="AR1847" t="s">
        <v>18175</v>
      </c>
      <c r="AS1847" t="s">
        <v>18175</v>
      </c>
      <c r="AU1847" t="s">
        <v>396</v>
      </c>
      <c r="AV1847">
        <v>2017</v>
      </c>
      <c r="AW1847" t="str">
        <f>"50-3N-28-016B-0017-0000 "</f>
        <v xml:space="preserve">50-3N-28-016B-0017-0000 </v>
      </c>
      <c r="AX1847">
        <v>96349</v>
      </c>
      <c r="AZ1847" t="s">
        <v>18176</v>
      </c>
      <c r="BA1847" t="s">
        <v>669</v>
      </c>
      <c r="BD1847" t="s">
        <v>2387</v>
      </c>
      <c r="BE1847" t="s">
        <v>393</v>
      </c>
      <c r="BF1847">
        <v>32097</v>
      </c>
      <c r="BG1847" t="s">
        <v>18177</v>
      </c>
      <c r="BH1847" t="s">
        <v>2388</v>
      </c>
      <c r="BI1847">
        <v>-81.534614295152707</v>
      </c>
      <c r="BJ1847">
        <v>30.655514226681699</v>
      </c>
      <c r="BK1847" t="s">
        <v>18178</v>
      </c>
      <c r="BM1847" t="s">
        <v>18179</v>
      </c>
      <c r="BN1847" t="s">
        <v>18180</v>
      </c>
      <c r="BO1847">
        <v>35959</v>
      </c>
      <c r="BP1847" t="s">
        <v>404</v>
      </c>
      <c r="BQ1847">
        <v>0</v>
      </c>
      <c r="BR1847" t="s">
        <v>491</v>
      </c>
      <c r="BS1847">
        <v>8001</v>
      </c>
      <c r="BT1847" t="s">
        <v>492</v>
      </c>
      <c r="BW1847">
        <v>53264</v>
      </c>
      <c r="BX1847" t="s">
        <v>407</v>
      </c>
      <c r="BY1847" t="s">
        <v>2729</v>
      </c>
      <c r="CD1847">
        <v>2017</v>
      </c>
      <c r="CE1847">
        <v>50000</v>
      </c>
      <c r="CG1847">
        <v>50000</v>
      </c>
      <c r="CH1847">
        <v>2017</v>
      </c>
      <c r="CI1847">
        <v>50000</v>
      </c>
      <c r="CK1847">
        <v>50000</v>
      </c>
      <c r="CL1847">
        <v>2017</v>
      </c>
      <c r="CM1847">
        <v>705.7</v>
      </c>
      <c r="CN1847" s="1">
        <v>42774</v>
      </c>
      <c r="CO1847">
        <v>80000</v>
      </c>
      <c r="CV1847">
        <v>0</v>
      </c>
      <c r="CZ1847" s="1">
        <v>42774</v>
      </c>
      <c r="DA1847">
        <v>0</v>
      </c>
      <c r="DD1847" t="s">
        <v>2387</v>
      </c>
      <c r="DF1847">
        <v>17</v>
      </c>
      <c r="DG1847">
        <v>50</v>
      </c>
      <c r="DJ1847" t="s">
        <v>18181</v>
      </c>
      <c r="DL1847">
        <v>50301</v>
      </c>
      <c r="DM1847" t="s">
        <v>18077</v>
      </c>
      <c r="DO1847" t="s">
        <v>18182</v>
      </c>
      <c r="DP1847">
        <v>0</v>
      </c>
      <c r="DQ1847">
        <v>0</v>
      </c>
      <c r="DR1847" t="s">
        <v>411</v>
      </c>
      <c r="EP1847" t="s">
        <v>421</v>
      </c>
      <c r="EQ1847" t="s">
        <v>422</v>
      </c>
      <c r="ER1847">
        <v>0</v>
      </c>
      <c r="ES1847">
        <v>1</v>
      </c>
      <c r="ET1847">
        <v>0</v>
      </c>
      <c r="EU1847">
        <v>0</v>
      </c>
      <c r="EV1847">
        <v>0</v>
      </c>
      <c r="EW1847" s="2">
        <v>43222</v>
      </c>
      <c r="EX1847" s="1">
        <v>41787</v>
      </c>
      <c r="EY1847">
        <v>2013</v>
      </c>
      <c r="EZ1847">
        <v>426.45</v>
      </c>
      <c r="FA1847" t="s">
        <v>18183</v>
      </c>
      <c r="FB1847">
        <v>0.25</v>
      </c>
      <c r="FC1847" t="s">
        <v>424</v>
      </c>
      <c r="FD1847" t="s">
        <v>425</v>
      </c>
      <c r="FE1847" s="1">
        <v>41832</v>
      </c>
      <c r="FF1847">
        <v>2</v>
      </c>
      <c r="FG1847">
        <v>305</v>
      </c>
      <c r="FH1847" t="s">
        <v>1078</v>
      </c>
    </row>
    <row r="1848" spans="1:273" x14ac:dyDescent="0.25">
      <c r="A1848">
        <v>16486855</v>
      </c>
      <c r="B1848">
        <v>1847</v>
      </c>
      <c r="C1848" t="s">
        <v>393</v>
      </c>
      <c r="D1848" t="s">
        <v>394</v>
      </c>
      <c r="F1848" t="str">
        <f>"50-3N-28-0305-0001-0000"</f>
        <v>50-3N-28-0305-0001-0000</v>
      </c>
      <c r="H1848" t="str">
        <f>"ADVANTAGE HOME BUILDERS INC"</f>
        <v>ADVANTAGE HOME BUILDERS INC</v>
      </c>
      <c r="I1848" t="str">
        <f>"305 KINGSLEY LAKE DR SUITE 704"</f>
        <v>305 KINGSLEY LAKE DR SUITE 704</v>
      </c>
      <c r="J1848" t="str">
        <f>"SAINT AUGUSTINE FL 32092"</f>
        <v>SAINT AUGUSTINE FL 32092</v>
      </c>
      <c r="K1848" t="str">
        <f>"96413 GRANITE TR"</f>
        <v>96413 GRANITE TR</v>
      </c>
      <c r="L1848" t="str">
        <f t="shared" si="689"/>
        <v>YULEE FL 32097</v>
      </c>
      <c r="M1848" t="str">
        <f>"LOT 1 IN OR 2106/422 BLACKROCK PARK PBK 8/175"</f>
        <v>LOT 1 IN OR 2106/422 BLACKROCK PARK PBK 8/175</v>
      </c>
      <c r="N1848" t="str">
        <f>""</f>
        <v/>
      </c>
      <c r="O1848" t="str">
        <f>"57890"</f>
        <v>57890</v>
      </c>
      <c r="P1848" t="str">
        <f t="shared" si="671"/>
        <v>2017</v>
      </c>
      <c r="Q1848" t="str">
        <f>""</f>
        <v/>
      </c>
      <c r="R1848" t="str">
        <f t="shared" si="690"/>
        <v>N</v>
      </c>
      <c r="S1848" t="str">
        <f>""</f>
        <v/>
      </c>
      <c r="T1848" t="str">
        <f t="shared" ref="T1848:T1857" si="692">"133.22"</f>
        <v>133.22</v>
      </c>
      <c r="U1848" t="str">
        <f t="shared" ref="U1848:V1857" si="693">"8800.00"</f>
        <v>8800.00</v>
      </c>
      <c r="V1848" t="str">
        <f t="shared" si="693"/>
        <v>8800.00</v>
      </c>
      <c r="W1848" t="str">
        <f t="shared" si="672"/>
        <v>2017</v>
      </c>
      <c r="X1848" t="str">
        <f>""</f>
        <v/>
      </c>
      <c r="Y1848" t="str">
        <f t="shared" ref="Y1848:Y1857" si="694">"169.22"</f>
        <v>169.22</v>
      </c>
      <c r="Z1848" t="str">
        <f>""</f>
        <v/>
      </c>
      <c r="AA1848" t="str">
        <f t="shared" ref="AA1848:AA1857" si="695">"8800.00"</f>
        <v>8800.00</v>
      </c>
      <c r="AB1848" t="str">
        <f t="shared" si="686"/>
        <v>Residential</v>
      </c>
      <c r="AC1848" t="str">
        <f t="shared" si="682"/>
        <v>0</v>
      </c>
      <c r="AD1848" t="str">
        <f>""</f>
        <v/>
      </c>
      <c r="AE1848" t="str">
        <f>""</f>
        <v/>
      </c>
      <c r="AF1848" t="str">
        <f t="shared" si="691"/>
        <v>000</v>
      </c>
      <c r="AG1848" t="str">
        <f t="shared" ref="AG1848:AG1859" si="696">"FL"</f>
        <v>FL</v>
      </c>
      <c r="AH1848" t="str">
        <f>"9647.00"</f>
        <v>9647.00</v>
      </c>
      <c r="AI1848" t="str">
        <f t="shared" ref="AI1848:AI1857" si="697">"8800.00"</f>
        <v>8800.00</v>
      </c>
      <c r="AJ1848" t="str">
        <f>"C55-001-092-8430-7"</f>
        <v>C55-001-092-8430-7</v>
      </c>
      <c r="AK1848" t="str">
        <f>"33835"</f>
        <v>33835</v>
      </c>
      <c r="AL1848">
        <v>7</v>
      </c>
      <c r="AM1848">
        <v>2107</v>
      </c>
      <c r="AN1848">
        <v>176.08</v>
      </c>
      <c r="AQ1848" t="s">
        <v>18184</v>
      </c>
      <c r="AR1848" t="s">
        <v>18184</v>
      </c>
      <c r="AS1848" t="s">
        <v>18184</v>
      </c>
      <c r="AU1848" t="s">
        <v>396</v>
      </c>
      <c r="AV1848">
        <v>2017</v>
      </c>
      <c r="AW1848" t="str">
        <f>"50-3N-28-0305-0001-0000 "</f>
        <v xml:space="preserve">50-3N-28-0305-0001-0000 </v>
      </c>
      <c r="AX1848">
        <v>96413</v>
      </c>
      <c r="AZ1848" t="s">
        <v>18185</v>
      </c>
      <c r="BD1848" t="s">
        <v>2387</v>
      </c>
      <c r="BE1848" t="s">
        <v>393</v>
      </c>
      <c r="BF1848">
        <v>32097</v>
      </c>
      <c r="BG1848" t="s">
        <v>18186</v>
      </c>
      <c r="BH1848" t="s">
        <v>2388</v>
      </c>
      <c r="BK1848" t="s">
        <v>15203</v>
      </c>
      <c r="BM1848" t="s">
        <v>18187</v>
      </c>
      <c r="BN1848" t="s">
        <v>2756</v>
      </c>
      <c r="BO1848">
        <v>32092</v>
      </c>
      <c r="BQ1848">
        <v>0</v>
      </c>
      <c r="BR1848" t="s">
        <v>491</v>
      </c>
      <c r="BS1848">
        <v>8001</v>
      </c>
      <c r="BT1848" t="s">
        <v>492</v>
      </c>
      <c r="BW1848">
        <v>9647</v>
      </c>
      <c r="BX1848" t="s">
        <v>407</v>
      </c>
      <c r="CD1848">
        <v>2017</v>
      </c>
      <c r="CE1848">
        <v>8800</v>
      </c>
      <c r="CG1848">
        <v>8800</v>
      </c>
      <c r="CH1848">
        <v>2017</v>
      </c>
      <c r="CI1848">
        <v>8800</v>
      </c>
      <c r="CK1848">
        <v>8800</v>
      </c>
      <c r="CL1848">
        <v>2017</v>
      </c>
      <c r="CM1848">
        <v>133.22</v>
      </c>
      <c r="DD1848" t="s">
        <v>2387</v>
      </c>
      <c r="DM1848" t="s">
        <v>18077</v>
      </c>
      <c r="DO1848" t="s">
        <v>18188</v>
      </c>
    </row>
    <row r="1849" spans="1:273" x14ac:dyDescent="0.25">
      <c r="A1849">
        <v>16486856</v>
      </c>
      <c r="B1849">
        <v>1848</v>
      </c>
      <c r="C1849" t="s">
        <v>393</v>
      </c>
      <c r="D1849" t="s">
        <v>394</v>
      </c>
      <c r="F1849" t="str">
        <f>"50-3N-28-0305-0005-0000"</f>
        <v>50-3N-28-0305-0005-0000</v>
      </c>
      <c r="H1849" t="str">
        <f>"ADVANTAGE HOME BUILDERS INC 305 KINGSLEY LAKE DRIVE SUITE 704"</f>
        <v>ADVANTAGE HOME BUILDERS INC 305 KINGSLEY LAKE DRIVE SUITE 704</v>
      </c>
      <c r="I1849" t="str">
        <f>""</f>
        <v/>
      </c>
      <c r="J1849" t="str">
        <f>"ST AUGUSTINE FL 32092"</f>
        <v>ST AUGUSTINE FL 32092</v>
      </c>
      <c r="K1849" t="str">
        <f>"96381 GRANITE TR"</f>
        <v>96381 GRANITE TR</v>
      </c>
      <c r="L1849" t="str">
        <f t="shared" si="689"/>
        <v>YULEE FL 32097</v>
      </c>
      <c r="M1849" t="str">
        <f>"LOT 5 IN OR 2143/1324 BLACKROCK PARK PBK 8/175"</f>
        <v>LOT 5 IN OR 2143/1324 BLACKROCK PARK PBK 8/175</v>
      </c>
      <c r="N1849" t="str">
        <f>""</f>
        <v/>
      </c>
      <c r="O1849" t="str">
        <f>"57894"</f>
        <v>57894</v>
      </c>
      <c r="P1849" t="str">
        <f t="shared" si="671"/>
        <v>2017</v>
      </c>
      <c r="Q1849" t="str">
        <f>""</f>
        <v/>
      </c>
      <c r="R1849" t="str">
        <f t="shared" si="690"/>
        <v>N</v>
      </c>
      <c r="S1849" t="str">
        <f>""</f>
        <v/>
      </c>
      <c r="T1849" t="str">
        <f t="shared" si="692"/>
        <v>133.22</v>
      </c>
      <c r="U1849" t="str">
        <f t="shared" si="693"/>
        <v>8800.00</v>
      </c>
      <c r="V1849" t="str">
        <f t="shared" si="693"/>
        <v>8800.00</v>
      </c>
      <c r="W1849" t="str">
        <f t="shared" si="672"/>
        <v>2017</v>
      </c>
      <c r="X1849" t="str">
        <f>""</f>
        <v/>
      </c>
      <c r="Y1849" t="str">
        <f t="shared" si="694"/>
        <v>169.22</v>
      </c>
      <c r="Z1849" t="str">
        <f>""</f>
        <v/>
      </c>
      <c r="AA1849" t="str">
        <f t="shared" si="695"/>
        <v>8800.00</v>
      </c>
      <c r="AB1849" t="str">
        <f t="shared" si="686"/>
        <v>Residential</v>
      </c>
      <c r="AC1849" t="str">
        <f t="shared" si="682"/>
        <v>0</v>
      </c>
      <c r="AD1849" t="str">
        <f>""</f>
        <v/>
      </c>
      <c r="AE1849" t="str">
        <f>""</f>
        <v/>
      </c>
      <c r="AF1849" t="str">
        <f t="shared" si="691"/>
        <v>000</v>
      </c>
      <c r="AG1849" t="str">
        <f t="shared" si="696"/>
        <v>FL</v>
      </c>
      <c r="AH1849" t="str">
        <f>"17177.00"</f>
        <v>17177.00</v>
      </c>
      <c r="AI1849" t="str">
        <f t="shared" si="697"/>
        <v>8800.00</v>
      </c>
      <c r="AJ1849" t="str">
        <f>"C55-001-092-8434-9"</f>
        <v>C55-001-092-8434-9</v>
      </c>
      <c r="AK1849" t="str">
        <f>"33839"</f>
        <v>33839</v>
      </c>
      <c r="AL1849">
        <v>7</v>
      </c>
      <c r="AM1849">
        <v>2108</v>
      </c>
      <c r="AN1849">
        <v>176.08</v>
      </c>
      <c r="AQ1849" t="s">
        <v>18189</v>
      </c>
      <c r="AR1849" t="s">
        <v>18189</v>
      </c>
      <c r="AS1849" t="s">
        <v>18189</v>
      </c>
      <c r="AU1849" t="s">
        <v>396</v>
      </c>
      <c r="AV1849">
        <v>2017</v>
      </c>
      <c r="AW1849" t="str">
        <f>"50-3N-28-0305-0005-0000 "</f>
        <v xml:space="preserve">50-3N-28-0305-0005-0000 </v>
      </c>
      <c r="AX1849">
        <v>96381</v>
      </c>
      <c r="AZ1849" t="s">
        <v>18185</v>
      </c>
      <c r="BD1849" t="s">
        <v>2387</v>
      </c>
      <c r="BE1849" t="s">
        <v>393</v>
      </c>
      <c r="BF1849">
        <v>32097</v>
      </c>
      <c r="BG1849" t="s">
        <v>18190</v>
      </c>
      <c r="BH1849" t="s">
        <v>2388</v>
      </c>
      <c r="BK1849" t="s">
        <v>15203</v>
      </c>
      <c r="BM1849" t="s">
        <v>18191</v>
      </c>
      <c r="BN1849" t="s">
        <v>18192</v>
      </c>
      <c r="BO1849">
        <v>32092</v>
      </c>
      <c r="BQ1849">
        <v>0</v>
      </c>
      <c r="BR1849" t="s">
        <v>491</v>
      </c>
      <c r="BS1849">
        <v>8001</v>
      </c>
      <c r="BT1849" t="s">
        <v>492</v>
      </c>
      <c r="BW1849">
        <v>17177</v>
      </c>
      <c r="BX1849" t="s">
        <v>407</v>
      </c>
      <c r="CD1849">
        <v>2017</v>
      </c>
      <c r="CE1849">
        <v>8800</v>
      </c>
      <c r="CG1849">
        <v>8800</v>
      </c>
      <c r="CH1849">
        <v>2017</v>
      </c>
      <c r="CI1849">
        <v>8800</v>
      </c>
      <c r="CK1849">
        <v>8800</v>
      </c>
      <c r="CL1849">
        <v>2017</v>
      </c>
      <c r="CM1849">
        <v>133.22</v>
      </c>
      <c r="DD1849" t="s">
        <v>2387</v>
      </c>
      <c r="DM1849" t="s">
        <v>18077</v>
      </c>
      <c r="DO1849" t="s">
        <v>18193</v>
      </c>
    </row>
    <row r="1850" spans="1:273" x14ac:dyDescent="0.25">
      <c r="A1850">
        <v>16486857</v>
      </c>
      <c r="B1850">
        <v>1849</v>
      </c>
      <c r="C1850" t="s">
        <v>393</v>
      </c>
      <c r="D1850" t="s">
        <v>394</v>
      </c>
      <c r="F1850" t="str">
        <f>"50-3N-28-0305-0007-0000"</f>
        <v>50-3N-28-0305-0007-0000</v>
      </c>
      <c r="H1850" t="str">
        <f>"ADVANTAGE HOME BUILDERS INC"</f>
        <v>ADVANTAGE HOME BUILDERS INC</v>
      </c>
      <c r="I1850" t="str">
        <f>"305 KINGSLEY LAKE DR SUITE 704"</f>
        <v>305 KINGSLEY LAKE DR SUITE 704</v>
      </c>
      <c r="J1850" t="str">
        <f>"SAINT AUGUSTINE FL 32092"</f>
        <v>SAINT AUGUSTINE FL 32092</v>
      </c>
      <c r="K1850" t="str">
        <f>"96365 GRANITE TR"</f>
        <v>96365 GRANITE TR</v>
      </c>
      <c r="L1850" t="str">
        <f t="shared" si="689"/>
        <v>YULEE FL 32097</v>
      </c>
      <c r="M1850" t="str">
        <f>"LOT 7 IN OR 2102/1441 BLACKROCK PARK PBK 8/175"</f>
        <v>LOT 7 IN OR 2102/1441 BLACKROCK PARK PBK 8/175</v>
      </c>
      <c r="N1850" t="str">
        <f>""</f>
        <v/>
      </c>
      <c r="O1850" t="str">
        <f>"57896"</f>
        <v>57896</v>
      </c>
      <c r="P1850" t="str">
        <f t="shared" si="671"/>
        <v>2017</v>
      </c>
      <c r="Q1850" t="str">
        <f>""</f>
        <v/>
      </c>
      <c r="R1850" t="str">
        <f t="shared" si="690"/>
        <v>N</v>
      </c>
      <c r="S1850" t="str">
        <f>""</f>
        <v/>
      </c>
      <c r="T1850" t="str">
        <f t="shared" si="692"/>
        <v>133.22</v>
      </c>
      <c r="U1850" t="str">
        <f t="shared" si="693"/>
        <v>8800.00</v>
      </c>
      <c r="V1850" t="str">
        <f t="shared" si="693"/>
        <v>8800.00</v>
      </c>
      <c r="W1850" t="str">
        <f t="shared" si="672"/>
        <v>2017</v>
      </c>
      <c r="X1850" t="str">
        <f>""</f>
        <v/>
      </c>
      <c r="Y1850" t="str">
        <f t="shared" si="694"/>
        <v>169.22</v>
      </c>
      <c r="Z1850" t="str">
        <f>""</f>
        <v/>
      </c>
      <c r="AA1850" t="str">
        <f t="shared" si="695"/>
        <v>8800.00</v>
      </c>
      <c r="AB1850" t="str">
        <f t="shared" si="686"/>
        <v>Residential</v>
      </c>
      <c r="AC1850" t="str">
        <f t="shared" si="682"/>
        <v>0</v>
      </c>
      <c r="AD1850" t="str">
        <f>""</f>
        <v/>
      </c>
      <c r="AE1850" t="str">
        <f>""</f>
        <v/>
      </c>
      <c r="AF1850" t="str">
        <f t="shared" si="691"/>
        <v>000</v>
      </c>
      <c r="AG1850" t="str">
        <f t="shared" si="696"/>
        <v>FL</v>
      </c>
      <c r="AH1850" t="str">
        <f>"12197.00"</f>
        <v>12197.00</v>
      </c>
      <c r="AI1850" t="str">
        <f t="shared" si="697"/>
        <v>8800.00</v>
      </c>
      <c r="AJ1850" t="str">
        <f>"C55-001-092-8436-4"</f>
        <v>C55-001-092-8436-4</v>
      </c>
      <c r="AK1850" t="str">
        <f>"33841"</f>
        <v>33841</v>
      </c>
      <c r="AL1850">
        <v>7</v>
      </c>
      <c r="AM1850">
        <v>2109</v>
      </c>
      <c r="AN1850">
        <v>176.08</v>
      </c>
      <c r="AQ1850" t="s">
        <v>18194</v>
      </c>
      <c r="AR1850" t="s">
        <v>18194</v>
      </c>
      <c r="AS1850" t="s">
        <v>18194</v>
      </c>
      <c r="AU1850" t="s">
        <v>396</v>
      </c>
      <c r="AV1850">
        <v>2017</v>
      </c>
      <c r="AW1850" t="str">
        <f>"50-3N-28-0305-0007-0000 "</f>
        <v xml:space="preserve">50-3N-28-0305-0007-0000 </v>
      </c>
      <c r="AX1850">
        <v>96365</v>
      </c>
      <c r="AZ1850" t="s">
        <v>18185</v>
      </c>
      <c r="BD1850" t="s">
        <v>2387</v>
      </c>
      <c r="BE1850" t="s">
        <v>393</v>
      </c>
      <c r="BF1850">
        <v>32097</v>
      </c>
      <c r="BG1850" t="s">
        <v>18195</v>
      </c>
      <c r="BH1850" t="s">
        <v>2388</v>
      </c>
      <c r="BK1850" t="s">
        <v>15203</v>
      </c>
      <c r="BM1850" t="s">
        <v>18187</v>
      </c>
      <c r="BN1850" t="s">
        <v>2756</v>
      </c>
      <c r="BO1850">
        <v>32092</v>
      </c>
      <c r="BQ1850">
        <v>0</v>
      </c>
      <c r="BR1850" t="s">
        <v>491</v>
      </c>
      <c r="BS1850">
        <v>8001</v>
      </c>
      <c r="BT1850" t="s">
        <v>492</v>
      </c>
      <c r="BW1850">
        <v>12197</v>
      </c>
      <c r="BX1850" t="s">
        <v>407</v>
      </c>
      <c r="CD1850">
        <v>2017</v>
      </c>
      <c r="CE1850">
        <v>8800</v>
      </c>
      <c r="CG1850">
        <v>8800</v>
      </c>
      <c r="CH1850">
        <v>2017</v>
      </c>
      <c r="CI1850">
        <v>8800</v>
      </c>
      <c r="CK1850">
        <v>8800</v>
      </c>
      <c r="CL1850">
        <v>2017</v>
      </c>
      <c r="CM1850">
        <v>133.22</v>
      </c>
      <c r="DD1850" t="s">
        <v>2387</v>
      </c>
      <c r="DM1850" t="s">
        <v>18077</v>
      </c>
      <c r="DO1850" t="s">
        <v>18196</v>
      </c>
    </row>
    <row r="1851" spans="1:273" x14ac:dyDescent="0.25">
      <c r="A1851">
        <v>16486858</v>
      </c>
      <c r="B1851">
        <v>1850</v>
      </c>
      <c r="C1851" t="s">
        <v>393</v>
      </c>
      <c r="D1851" t="s">
        <v>394</v>
      </c>
      <c r="F1851" t="str">
        <f>"50-3N-28-0305-0008-0000"</f>
        <v>50-3N-28-0305-0008-0000</v>
      </c>
      <c r="H1851" t="str">
        <f>"CHEAVERS EVERETT ET AL"</f>
        <v>CHEAVERS EVERETT ET AL</v>
      </c>
      <c r="I1851" t="str">
        <f>"10 MANOR DR"</f>
        <v>10 MANOR DR</v>
      </c>
      <c r="J1851" t="str">
        <f>"ST AUGUSTINE FL 32092"</f>
        <v>ST AUGUSTINE FL 32092</v>
      </c>
      <c r="K1851" t="str">
        <f>"96357 GRANITE TR"</f>
        <v>96357 GRANITE TR</v>
      </c>
      <c r="L1851" t="str">
        <f t="shared" si="689"/>
        <v>YULEE FL 32097</v>
      </c>
      <c r="M1851" t="str">
        <f>"LOT 8 IN OR 2138/1620 BLACKROCK PARK PBK 8/175"</f>
        <v>LOT 8 IN OR 2138/1620 BLACKROCK PARK PBK 8/175</v>
      </c>
      <c r="N1851" t="str">
        <f>""</f>
        <v/>
      </c>
      <c r="O1851" t="str">
        <f>"57897"</f>
        <v>57897</v>
      </c>
      <c r="P1851" t="str">
        <f t="shared" si="671"/>
        <v>2017</v>
      </c>
      <c r="Q1851" t="str">
        <f>""</f>
        <v/>
      </c>
      <c r="R1851" t="str">
        <f t="shared" si="690"/>
        <v>N</v>
      </c>
      <c r="S1851" t="str">
        <f>""</f>
        <v/>
      </c>
      <c r="T1851" t="str">
        <f t="shared" si="692"/>
        <v>133.22</v>
      </c>
      <c r="U1851" t="str">
        <f t="shared" si="693"/>
        <v>8800.00</v>
      </c>
      <c r="V1851" t="str">
        <f t="shared" si="693"/>
        <v>8800.00</v>
      </c>
      <c r="W1851" t="str">
        <f t="shared" si="672"/>
        <v>2017</v>
      </c>
      <c r="X1851" t="str">
        <f>""</f>
        <v/>
      </c>
      <c r="Y1851" t="str">
        <f t="shared" si="694"/>
        <v>169.22</v>
      </c>
      <c r="Z1851" t="str">
        <f>""</f>
        <v/>
      </c>
      <c r="AA1851" t="str">
        <f t="shared" si="695"/>
        <v>8800.00</v>
      </c>
      <c r="AB1851" t="str">
        <f t="shared" si="686"/>
        <v>Residential</v>
      </c>
      <c r="AC1851" t="str">
        <f t="shared" si="682"/>
        <v>0</v>
      </c>
      <c r="AD1851" t="str">
        <f>""</f>
        <v/>
      </c>
      <c r="AE1851" t="str">
        <f>""</f>
        <v/>
      </c>
      <c r="AF1851" t="str">
        <f t="shared" si="691"/>
        <v>000</v>
      </c>
      <c r="AG1851" t="str">
        <f t="shared" si="696"/>
        <v>FL</v>
      </c>
      <c r="AH1851" t="str">
        <f>"9167.00"</f>
        <v>9167.00</v>
      </c>
      <c r="AI1851" t="str">
        <f t="shared" si="697"/>
        <v>8800.00</v>
      </c>
      <c r="AJ1851" t="str">
        <f>"C55-001-092-8437-2"</f>
        <v>C55-001-092-8437-2</v>
      </c>
      <c r="AK1851" t="str">
        <f>"33842"</f>
        <v>33842</v>
      </c>
      <c r="AL1851">
        <v>7</v>
      </c>
      <c r="AM1851">
        <v>2110</v>
      </c>
      <c r="AN1851">
        <v>176.08</v>
      </c>
      <c r="AQ1851" t="s">
        <v>18197</v>
      </c>
      <c r="AR1851" t="s">
        <v>18197</v>
      </c>
      <c r="AS1851" t="s">
        <v>18197</v>
      </c>
      <c r="AU1851" t="s">
        <v>396</v>
      </c>
      <c r="AV1851">
        <v>2017</v>
      </c>
      <c r="AW1851" t="str">
        <f>"50-3N-28-0305-0008-0000 "</f>
        <v xml:space="preserve">50-3N-28-0305-0008-0000 </v>
      </c>
      <c r="AX1851">
        <v>96357</v>
      </c>
      <c r="AZ1851" t="s">
        <v>18185</v>
      </c>
      <c r="BD1851" t="s">
        <v>2387</v>
      </c>
      <c r="BE1851" t="s">
        <v>393</v>
      </c>
      <c r="BF1851">
        <v>32097</v>
      </c>
      <c r="BG1851" t="s">
        <v>18198</v>
      </c>
      <c r="BH1851" t="s">
        <v>2388</v>
      </c>
      <c r="BK1851" t="s">
        <v>15203</v>
      </c>
      <c r="BM1851" t="s">
        <v>18199</v>
      </c>
      <c r="BN1851" t="s">
        <v>18192</v>
      </c>
      <c r="BO1851">
        <v>32092</v>
      </c>
      <c r="BQ1851">
        <v>0</v>
      </c>
      <c r="BR1851" t="s">
        <v>491</v>
      </c>
      <c r="BS1851">
        <v>8001</v>
      </c>
      <c r="BT1851" t="s">
        <v>492</v>
      </c>
      <c r="BW1851">
        <v>9167</v>
      </c>
      <c r="BX1851" t="s">
        <v>407</v>
      </c>
      <c r="CD1851">
        <v>2017</v>
      </c>
      <c r="CE1851">
        <v>8800</v>
      </c>
      <c r="CG1851">
        <v>8800</v>
      </c>
      <c r="CH1851">
        <v>2017</v>
      </c>
      <c r="CI1851">
        <v>8800</v>
      </c>
      <c r="CK1851">
        <v>8800</v>
      </c>
      <c r="CL1851">
        <v>2017</v>
      </c>
      <c r="CM1851">
        <v>133.22</v>
      </c>
      <c r="DD1851" t="s">
        <v>2387</v>
      </c>
      <c r="DM1851" t="s">
        <v>18077</v>
      </c>
      <c r="DO1851" t="s">
        <v>18200</v>
      </c>
    </row>
    <row r="1852" spans="1:273" x14ac:dyDescent="0.25">
      <c r="A1852">
        <v>16486859</v>
      </c>
      <c r="B1852">
        <v>1851</v>
      </c>
      <c r="C1852" t="s">
        <v>393</v>
      </c>
      <c r="D1852" t="s">
        <v>394</v>
      </c>
      <c r="F1852" t="str">
        <f>"50-3N-28-0305-0015-0000"</f>
        <v>50-3N-28-0305-0015-0000</v>
      </c>
      <c r="H1852" t="str">
        <f>"LAST FRANK JAMES III &amp; MARY J"</f>
        <v>LAST FRANK JAMES III &amp; MARY J</v>
      </c>
      <c r="I1852" t="str">
        <f>"2019 ALACHUA ST"</f>
        <v>2019 ALACHUA ST</v>
      </c>
      <c r="J1852" t="str">
        <f>"ST AUGUSTINE FL 32092"</f>
        <v>ST AUGUSTINE FL 32092</v>
      </c>
      <c r="K1852" t="str">
        <f>"96301 GRANITE TR"</f>
        <v>96301 GRANITE TR</v>
      </c>
      <c r="L1852" t="str">
        <f t="shared" si="689"/>
        <v>YULEE FL 32097</v>
      </c>
      <c r="M1852" t="str">
        <f>"LOT 15 IN OR 2146/1058 BLACKROCK PARK PBK 8/175"</f>
        <v>LOT 15 IN OR 2146/1058 BLACKROCK PARK PBK 8/175</v>
      </c>
      <c r="N1852" t="str">
        <f>""</f>
        <v/>
      </c>
      <c r="O1852" t="str">
        <f>"57904"</f>
        <v>57904</v>
      </c>
      <c r="P1852" t="str">
        <f t="shared" si="671"/>
        <v>2017</v>
      </c>
      <c r="Q1852" t="str">
        <f>""</f>
        <v/>
      </c>
      <c r="R1852" t="str">
        <f t="shared" si="690"/>
        <v>N</v>
      </c>
      <c r="S1852" t="str">
        <f>""</f>
        <v/>
      </c>
      <c r="T1852" t="str">
        <f t="shared" si="692"/>
        <v>133.22</v>
      </c>
      <c r="U1852" t="str">
        <f t="shared" si="693"/>
        <v>8800.00</v>
      </c>
      <c r="V1852" t="str">
        <f t="shared" si="693"/>
        <v>8800.00</v>
      </c>
      <c r="W1852" t="str">
        <f t="shared" si="672"/>
        <v>2017</v>
      </c>
      <c r="X1852" t="str">
        <f>""</f>
        <v/>
      </c>
      <c r="Y1852" t="str">
        <f t="shared" si="694"/>
        <v>169.22</v>
      </c>
      <c r="Z1852" t="str">
        <f>""</f>
        <v/>
      </c>
      <c r="AA1852" t="str">
        <f t="shared" si="695"/>
        <v>8800.00</v>
      </c>
      <c r="AB1852" t="str">
        <f t="shared" si="686"/>
        <v>Residential</v>
      </c>
      <c r="AC1852" t="str">
        <f t="shared" si="682"/>
        <v>0</v>
      </c>
      <c r="AD1852" t="str">
        <f>""</f>
        <v/>
      </c>
      <c r="AE1852" t="str">
        <f>""</f>
        <v/>
      </c>
      <c r="AF1852" t="str">
        <f t="shared" si="691"/>
        <v>000</v>
      </c>
      <c r="AG1852" t="str">
        <f t="shared" si="696"/>
        <v>FL</v>
      </c>
      <c r="AH1852" t="str">
        <f>"9656.00"</f>
        <v>9656.00</v>
      </c>
      <c r="AI1852" t="str">
        <f t="shared" si="697"/>
        <v>8800.00</v>
      </c>
      <c r="AJ1852" t="str">
        <f>"C55-001-092-8444-8"</f>
        <v>C55-001-092-8444-8</v>
      </c>
      <c r="AK1852" t="str">
        <f>"33849"</f>
        <v>33849</v>
      </c>
      <c r="AL1852">
        <v>7</v>
      </c>
      <c r="AM1852">
        <v>2111</v>
      </c>
      <c r="AN1852">
        <v>176.08</v>
      </c>
      <c r="AQ1852" t="s">
        <v>18201</v>
      </c>
      <c r="AR1852" t="s">
        <v>18201</v>
      </c>
      <c r="AS1852" t="s">
        <v>18201</v>
      </c>
      <c r="AU1852" t="s">
        <v>396</v>
      </c>
      <c r="AV1852">
        <v>2017</v>
      </c>
      <c r="AW1852" t="str">
        <f>"50-3N-28-0305-0015-0000 "</f>
        <v xml:space="preserve">50-3N-28-0305-0015-0000 </v>
      </c>
      <c r="AX1852">
        <v>96301</v>
      </c>
      <c r="AZ1852" t="s">
        <v>18185</v>
      </c>
      <c r="BD1852" t="s">
        <v>2387</v>
      </c>
      <c r="BE1852" t="s">
        <v>393</v>
      </c>
      <c r="BF1852">
        <v>32097</v>
      </c>
      <c r="BG1852" t="s">
        <v>18202</v>
      </c>
      <c r="BH1852" t="s">
        <v>2388</v>
      </c>
      <c r="BK1852" t="s">
        <v>15203</v>
      </c>
      <c r="BM1852" t="s">
        <v>18199</v>
      </c>
      <c r="BN1852" t="s">
        <v>18192</v>
      </c>
      <c r="BO1852">
        <v>32092</v>
      </c>
      <c r="BQ1852">
        <v>0</v>
      </c>
      <c r="BR1852" t="s">
        <v>491</v>
      </c>
      <c r="BS1852">
        <v>8001</v>
      </c>
      <c r="BT1852" t="s">
        <v>492</v>
      </c>
      <c r="BW1852">
        <v>9656</v>
      </c>
      <c r="BX1852" t="s">
        <v>407</v>
      </c>
      <c r="CD1852">
        <v>2017</v>
      </c>
      <c r="CE1852">
        <v>8800</v>
      </c>
      <c r="CG1852">
        <v>8800</v>
      </c>
      <c r="CH1852">
        <v>2017</v>
      </c>
      <c r="CI1852">
        <v>8800</v>
      </c>
      <c r="CK1852">
        <v>8800</v>
      </c>
      <c r="CL1852">
        <v>2017</v>
      </c>
      <c r="CM1852">
        <v>133.22</v>
      </c>
      <c r="DD1852" t="s">
        <v>2387</v>
      </c>
      <c r="DM1852" t="s">
        <v>18077</v>
      </c>
      <c r="DO1852" t="s">
        <v>18203</v>
      </c>
    </row>
    <row r="1853" spans="1:273" x14ac:dyDescent="0.25">
      <c r="A1853">
        <v>16486860</v>
      </c>
      <c r="B1853">
        <v>1852</v>
      </c>
      <c r="C1853" t="s">
        <v>393</v>
      </c>
      <c r="D1853" t="s">
        <v>394</v>
      </c>
      <c r="F1853" t="str">
        <f>"50-3N-28-0305-0016-0000"</f>
        <v>50-3N-28-0305-0016-0000</v>
      </c>
      <c r="H1853" t="str">
        <f>"BREAKER MARY LOUISE"</f>
        <v>BREAKER MARY LOUISE</v>
      </c>
      <c r="I1853" t="str">
        <f>"1235 W 12TH STREET"</f>
        <v>1235 W 12TH STREET</v>
      </c>
      <c r="J1853" t="str">
        <f>"ST AUGUSTINE FL 32092"</f>
        <v>ST AUGUSTINE FL 32092</v>
      </c>
      <c r="K1853" t="str">
        <f>"96304 GRANITE TR"</f>
        <v>96304 GRANITE TR</v>
      </c>
      <c r="L1853" t="str">
        <f t="shared" si="689"/>
        <v>YULEE FL 32097</v>
      </c>
      <c r="M1853" t="str">
        <f>"LOT 16 IN OR 2114/466 BLACKROCK PARK PBK 8/175"</f>
        <v>LOT 16 IN OR 2114/466 BLACKROCK PARK PBK 8/175</v>
      </c>
      <c r="N1853" t="str">
        <f>""</f>
        <v/>
      </c>
      <c r="O1853" t="str">
        <f>"57905"</f>
        <v>57905</v>
      </c>
      <c r="P1853" t="str">
        <f t="shared" si="671"/>
        <v>2017</v>
      </c>
      <c r="Q1853" t="str">
        <f>""</f>
        <v/>
      </c>
      <c r="R1853" t="str">
        <f t="shared" si="690"/>
        <v>N</v>
      </c>
      <c r="S1853" t="str">
        <f>""</f>
        <v/>
      </c>
      <c r="T1853" t="str">
        <f t="shared" si="692"/>
        <v>133.22</v>
      </c>
      <c r="U1853" t="str">
        <f t="shared" si="693"/>
        <v>8800.00</v>
      </c>
      <c r="V1853" t="str">
        <f t="shared" si="693"/>
        <v>8800.00</v>
      </c>
      <c r="W1853" t="str">
        <f t="shared" si="672"/>
        <v>2017</v>
      </c>
      <c r="X1853" t="str">
        <f>""</f>
        <v/>
      </c>
      <c r="Y1853" t="str">
        <f t="shared" si="694"/>
        <v>169.22</v>
      </c>
      <c r="Z1853" t="str">
        <f>""</f>
        <v/>
      </c>
      <c r="AA1853" t="str">
        <f t="shared" si="695"/>
        <v>8800.00</v>
      </c>
      <c r="AB1853" t="str">
        <f t="shared" si="686"/>
        <v>Residential</v>
      </c>
      <c r="AC1853" t="str">
        <f t="shared" si="682"/>
        <v>0</v>
      </c>
      <c r="AD1853" t="str">
        <f>""</f>
        <v/>
      </c>
      <c r="AE1853" t="str">
        <f>""</f>
        <v/>
      </c>
      <c r="AF1853" t="str">
        <f t="shared" si="691"/>
        <v>000</v>
      </c>
      <c r="AG1853" t="str">
        <f t="shared" si="696"/>
        <v>FL</v>
      </c>
      <c r="AH1853" t="str">
        <f>"9326.00"</f>
        <v>9326.00</v>
      </c>
      <c r="AI1853" t="str">
        <f t="shared" si="697"/>
        <v>8800.00</v>
      </c>
      <c r="AJ1853" t="str">
        <f>"C55-001-092-8445-5"</f>
        <v>C55-001-092-8445-5</v>
      </c>
      <c r="AK1853" t="str">
        <f>"33850"</f>
        <v>33850</v>
      </c>
      <c r="AL1853">
        <v>7</v>
      </c>
      <c r="AM1853">
        <v>2112</v>
      </c>
      <c r="AN1853">
        <v>176.08</v>
      </c>
      <c r="AQ1853" t="s">
        <v>18204</v>
      </c>
      <c r="AR1853" t="s">
        <v>18204</v>
      </c>
      <c r="AS1853" t="s">
        <v>18204</v>
      </c>
      <c r="AU1853" t="s">
        <v>396</v>
      </c>
      <c r="AV1853">
        <v>2017</v>
      </c>
      <c r="AW1853" t="str">
        <f>"50-3N-28-0305-0016-0000 "</f>
        <v xml:space="preserve">50-3N-28-0305-0016-0000 </v>
      </c>
      <c r="AX1853">
        <v>96304</v>
      </c>
      <c r="AZ1853" t="s">
        <v>18185</v>
      </c>
      <c r="BD1853" t="s">
        <v>2387</v>
      </c>
      <c r="BE1853" t="s">
        <v>393</v>
      </c>
      <c r="BF1853">
        <v>32097</v>
      </c>
      <c r="BG1853" t="s">
        <v>18205</v>
      </c>
      <c r="BH1853" t="s">
        <v>2388</v>
      </c>
      <c r="BK1853" t="s">
        <v>15203</v>
      </c>
      <c r="BM1853" t="s">
        <v>18206</v>
      </c>
      <c r="BN1853" t="s">
        <v>18192</v>
      </c>
      <c r="BO1853">
        <v>32092</v>
      </c>
      <c r="BQ1853">
        <v>0</v>
      </c>
      <c r="BR1853" t="s">
        <v>491</v>
      </c>
      <c r="BS1853">
        <v>8001</v>
      </c>
      <c r="BT1853" t="s">
        <v>492</v>
      </c>
      <c r="BW1853">
        <v>9326</v>
      </c>
      <c r="BX1853" t="s">
        <v>407</v>
      </c>
      <c r="CD1853">
        <v>2017</v>
      </c>
      <c r="CE1853">
        <v>8800</v>
      </c>
      <c r="CG1853">
        <v>8800</v>
      </c>
      <c r="CH1853">
        <v>2017</v>
      </c>
      <c r="CI1853">
        <v>8800</v>
      </c>
      <c r="CK1853">
        <v>8800</v>
      </c>
      <c r="CL1853">
        <v>2017</v>
      </c>
      <c r="CM1853">
        <v>133.22</v>
      </c>
      <c r="DD1853" t="s">
        <v>2387</v>
      </c>
      <c r="DM1853" t="s">
        <v>18077</v>
      </c>
      <c r="DO1853" t="s">
        <v>18207</v>
      </c>
    </row>
    <row r="1854" spans="1:273" x14ac:dyDescent="0.25">
      <c r="A1854">
        <v>16486861</v>
      </c>
      <c r="B1854">
        <v>1853</v>
      </c>
      <c r="C1854" t="s">
        <v>393</v>
      </c>
      <c r="D1854" t="s">
        <v>394</v>
      </c>
      <c r="F1854" t="str">
        <f>"50-3N-28-0305-0017-0000"</f>
        <v>50-3N-28-0305-0017-0000</v>
      </c>
      <c r="H1854" t="str">
        <f>"ADVANTAGE HOME BUILDERS INC 305 KINGSLEY LAKE DRIVE SUITE 704"</f>
        <v>ADVANTAGE HOME BUILDERS INC 305 KINGSLEY LAKE DRIVE SUITE 704</v>
      </c>
      <c r="I1854" t="str">
        <f>""</f>
        <v/>
      </c>
      <c r="J1854" t="str">
        <f>"ST. AUGUSTINE FL 32092"</f>
        <v>ST. AUGUSTINE FL 32092</v>
      </c>
      <c r="K1854" t="str">
        <f>"96312 GRANITE TR"</f>
        <v>96312 GRANITE TR</v>
      </c>
      <c r="L1854" t="str">
        <f t="shared" si="689"/>
        <v>YULEE FL 32097</v>
      </c>
      <c r="M1854" t="str">
        <f>"LOT 17 IN OR 2138/1648 BLACKROCK PARK PBK 8/175"</f>
        <v>LOT 17 IN OR 2138/1648 BLACKROCK PARK PBK 8/175</v>
      </c>
      <c r="N1854" t="str">
        <f>""</f>
        <v/>
      </c>
      <c r="O1854" t="str">
        <f>"57906"</f>
        <v>57906</v>
      </c>
      <c r="P1854" t="str">
        <f t="shared" si="671"/>
        <v>2017</v>
      </c>
      <c r="Q1854" t="str">
        <f>""</f>
        <v/>
      </c>
      <c r="R1854" t="str">
        <f t="shared" si="690"/>
        <v>N</v>
      </c>
      <c r="S1854" t="str">
        <f>""</f>
        <v/>
      </c>
      <c r="T1854" t="str">
        <f t="shared" si="692"/>
        <v>133.22</v>
      </c>
      <c r="U1854" t="str">
        <f t="shared" si="693"/>
        <v>8800.00</v>
      </c>
      <c r="V1854" t="str">
        <f t="shared" si="693"/>
        <v>8800.00</v>
      </c>
      <c r="W1854" t="str">
        <f t="shared" si="672"/>
        <v>2017</v>
      </c>
      <c r="X1854" t="str">
        <f>""</f>
        <v/>
      </c>
      <c r="Y1854" t="str">
        <f t="shared" si="694"/>
        <v>169.22</v>
      </c>
      <c r="Z1854" t="str">
        <f>""</f>
        <v/>
      </c>
      <c r="AA1854" t="str">
        <f t="shared" si="695"/>
        <v>8800.00</v>
      </c>
      <c r="AB1854" t="str">
        <f t="shared" si="686"/>
        <v>Residential</v>
      </c>
      <c r="AC1854" t="str">
        <f t="shared" si="682"/>
        <v>0</v>
      </c>
      <c r="AD1854" t="str">
        <f>""</f>
        <v/>
      </c>
      <c r="AE1854" t="str">
        <f>""</f>
        <v/>
      </c>
      <c r="AF1854" t="str">
        <f t="shared" si="691"/>
        <v>000</v>
      </c>
      <c r="AG1854" t="str">
        <f t="shared" si="696"/>
        <v>FL</v>
      </c>
      <c r="AH1854" t="str">
        <f>"9204.00"</f>
        <v>9204.00</v>
      </c>
      <c r="AI1854" t="str">
        <f t="shared" si="697"/>
        <v>8800.00</v>
      </c>
      <c r="AJ1854" t="str">
        <f>"C55-001-092-8446-3"</f>
        <v>C55-001-092-8446-3</v>
      </c>
      <c r="AK1854" t="str">
        <f>"33851"</f>
        <v>33851</v>
      </c>
      <c r="AL1854">
        <v>7</v>
      </c>
      <c r="AM1854">
        <v>2113</v>
      </c>
      <c r="AN1854">
        <v>176.08</v>
      </c>
      <c r="AQ1854" t="s">
        <v>18208</v>
      </c>
      <c r="AR1854" t="s">
        <v>18208</v>
      </c>
      <c r="AS1854" t="s">
        <v>18208</v>
      </c>
      <c r="AU1854" t="s">
        <v>396</v>
      </c>
      <c r="AV1854">
        <v>2017</v>
      </c>
      <c r="AW1854" t="str">
        <f>"50-3N-28-0305-0017-0000 "</f>
        <v xml:space="preserve">50-3N-28-0305-0017-0000 </v>
      </c>
      <c r="AX1854">
        <v>96312</v>
      </c>
      <c r="AZ1854" t="s">
        <v>18185</v>
      </c>
      <c r="BD1854" t="s">
        <v>2387</v>
      </c>
      <c r="BE1854" t="s">
        <v>393</v>
      </c>
      <c r="BF1854">
        <v>32097</v>
      </c>
      <c r="BG1854" t="s">
        <v>18209</v>
      </c>
      <c r="BH1854" t="s">
        <v>2388</v>
      </c>
      <c r="BK1854" t="s">
        <v>15203</v>
      </c>
      <c r="BM1854" t="s">
        <v>18199</v>
      </c>
      <c r="BN1854" t="s">
        <v>18210</v>
      </c>
      <c r="BO1854">
        <v>32092</v>
      </c>
      <c r="BQ1854">
        <v>0</v>
      </c>
      <c r="BR1854" t="s">
        <v>491</v>
      </c>
      <c r="BS1854">
        <v>8001</v>
      </c>
      <c r="BT1854" t="s">
        <v>492</v>
      </c>
      <c r="BW1854">
        <v>9204</v>
      </c>
      <c r="BX1854" t="s">
        <v>407</v>
      </c>
      <c r="CD1854">
        <v>2017</v>
      </c>
      <c r="CE1854">
        <v>8800</v>
      </c>
      <c r="CG1854">
        <v>8800</v>
      </c>
      <c r="CH1854">
        <v>2017</v>
      </c>
      <c r="CI1854">
        <v>8800</v>
      </c>
      <c r="CK1854">
        <v>8800</v>
      </c>
      <c r="CL1854">
        <v>2017</v>
      </c>
      <c r="CM1854">
        <v>133.22</v>
      </c>
      <c r="DD1854" t="s">
        <v>2387</v>
      </c>
      <c r="DM1854" t="s">
        <v>18077</v>
      </c>
      <c r="DO1854" t="s">
        <v>9645</v>
      </c>
    </row>
    <row r="1855" spans="1:273" x14ac:dyDescent="0.25">
      <c r="A1855">
        <v>16486862</v>
      </c>
      <c r="B1855">
        <v>1854</v>
      </c>
      <c r="C1855" t="s">
        <v>393</v>
      </c>
      <c r="D1855" t="s">
        <v>394</v>
      </c>
      <c r="F1855" t="str">
        <f>"50-3N-28-0305-0018-0000"</f>
        <v>50-3N-28-0305-0018-0000</v>
      </c>
      <c r="H1855" t="str">
        <f>"BLACKROCK PARK LLP"</f>
        <v>BLACKROCK PARK LLP</v>
      </c>
      <c r="I1855" t="str">
        <f>"2955 HARTLEY ROAD STE 108"</f>
        <v>2955 HARTLEY ROAD STE 108</v>
      </c>
      <c r="J1855" t="str">
        <f>"JACKSONVILLE FL 32257"</f>
        <v>JACKSONVILLE FL 32257</v>
      </c>
      <c r="K1855" t="str">
        <f>"96320 GRANITE TR"</f>
        <v>96320 GRANITE TR</v>
      </c>
      <c r="L1855" t="str">
        <f t="shared" si="689"/>
        <v>YULEE FL 32097</v>
      </c>
      <c r="M1855" t="str">
        <f>"LOT 18 BLACKROCK PARK PBK 8/175"</f>
        <v>LOT 18 BLACKROCK PARK PBK 8/175</v>
      </c>
      <c r="N1855" t="str">
        <f>""</f>
        <v/>
      </c>
      <c r="O1855" t="str">
        <f>"57907"</f>
        <v>57907</v>
      </c>
      <c r="P1855" t="str">
        <f t="shared" si="671"/>
        <v>2017</v>
      </c>
      <c r="Q1855" t="str">
        <f>""</f>
        <v/>
      </c>
      <c r="R1855" t="str">
        <f t="shared" si="690"/>
        <v>N</v>
      </c>
      <c r="S1855" t="str">
        <f>""</f>
        <v/>
      </c>
      <c r="T1855" t="str">
        <f t="shared" si="692"/>
        <v>133.22</v>
      </c>
      <c r="U1855" t="str">
        <f t="shared" si="693"/>
        <v>8800.00</v>
      </c>
      <c r="V1855" t="str">
        <f t="shared" si="693"/>
        <v>8800.00</v>
      </c>
      <c r="W1855" t="str">
        <f t="shared" si="672"/>
        <v>2017</v>
      </c>
      <c r="X1855" t="str">
        <f>""</f>
        <v/>
      </c>
      <c r="Y1855" t="str">
        <f t="shared" si="694"/>
        <v>169.22</v>
      </c>
      <c r="Z1855" t="str">
        <f>""</f>
        <v/>
      </c>
      <c r="AA1855" t="str">
        <f t="shared" si="695"/>
        <v>8800.00</v>
      </c>
      <c r="AB1855" t="str">
        <f t="shared" si="686"/>
        <v>Residential</v>
      </c>
      <c r="AC1855" t="str">
        <f t="shared" si="682"/>
        <v>0</v>
      </c>
      <c r="AD1855" t="str">
        <f>""</f>
        <v/>
      </c>
      <c r="AE1855" t="str">
        <f>""</f>
        <v/>
      </c>
      <c r="AF1855" t="str">
        <f t="shared" si="691"/>
        <v>000</v>
      </c>
      <c r="AG1855" t="str">
        <f t="shared" si="696"/>
        <v>FL</v>
      </c>
      <c r="AH1855" t="str">
        <f>"9000.00"</f>
        <v>9000.00</v>
      </c>
      <c r="AI1855" t="str">
        <f t="shared" si="697"/>
        <v>8800.00</v>
      </c>
      <c r="AJ1855" t="str">
        <f>"C55-001-092-8447-1"</f>
        <v>C55-001-092-8447-1</v>
      </c>
      <c r="AK1855" t="str">
        <f>"33852"</f>
        <v>33852</v>
      </c>
      <c r="AL1855">
        <v>7</v>
      </c>
      <c r="AM1855">
        <v>2114</v>
      </c>
      <c r="AN1855">
        <v>176.08</v>
      </c>
      <c r="AQ1855" t="s">
        <v>18211</v>
      </c>
      <c r="AR1855" t="s">
        <v>18211</v>
      </c>
      <c r="AS1855" t="s">
        <v>18211</v>
      </c>
      <c r="AU1855" t="s">
        <v>396</v>
      </c>
      <c r="AV1855">
        <v>2017</v>
      </c>
      <c r="AW1855" t="str">
        <f>"50-3N-28-0305-0018-0000 "</f>
        <v xml:space="preserve">50-3N-28-0305-0018-0000 </v>
      </c>
      <c r="AX1855">
        <v>96320</v>
      </c>
      <c r="AZ1855" t="s">
        <v>18185</v>
      </c>
      <c r="BD1855" t="s">
        <v>2387</v>
      </c>
      <c r="BE1855" t="s">
        <v>393</v>
      </c>
      <c r="BF1855">
        <v>32097</v>
      </c>
      <c r="BG1855" t="s">
        <v>18212</v>
      </c>
      <c r="BH1855" t="s">
        <v>2388</v>
      </c>
      <c r="BK1855" t="s">
        <v>18213</v>
      </c>
      <c r="BM1855" t="s">
        <v>18214</v>
      </c>
      <c r="BN1855" t="s">
        <v>548</v>
      </c>
      <c r="BO1855">
        <v>32257</v>
      </c>
      <c r="BQ1855">
        <v>0</v>
      </c>
      <c r="BR1855" t="s">
        <v>491</v>
      </c>
      <c r="BS1855">
        <v>8001</v>
      </c>
      <c r="BT1855" t="s">
        <v>492</v>
      </c>
      <c r="BW1855">
        <v>9000</v>
      </c>
      <c r="BX1855" t="s">
        <v>407</v>
      </c>
      <c r="CD1855">
        <v>2017</v>
      </c>
      <c r="CE1855">
        <v>8800</v>
      </c>
      <c r="CG1855">
        <v>8800</v>
      </c>
      <c r="CH1855">
        <v>2017</v>
      </c>
      <c r="CI1855">
        <v>8800</v>
      </c>
      <c r="CK1855">
        <v>8800</v>
      </c>
      <c r="CL1855">
        <v>2017</v>
      </c>
      <c r="CM1855">
        <v>133.22</v>
      </c>
      <c r="DD1855" t="s">
        <v>2387</v>
      </c>
      <c r="DM1855" t="s">
        <v>18077</v>
      </c>
      <c r="DO1855" t="s">
        <v>16757</v>
      </c>
    </row>
    <row r="1856" spans="1:273" x14ac:dyDescent="0.25">
      <c r="A1856">
        <v>16486863</v>
      </c>
      <c r="B1856">
        <v>1855</v>
      </c>
      <c r="C1856" t="s">
        <v>393</v>
      </c>
      <c r="D1856" t="s">
        <v>394</v>
      </c>
      <c r="F1856" t="str">
        <f>"50-3N-28-0305-0019-0000"</f>
        <v>50-3N-28-0305-0019-0000</v>
      </c>
      <c r="H1856" t="str">
        <f>"HOOVER WILLIAM L"</f>
        <v>HOOVER WILLIAM L</v>
      </c>
      <c r="I1856" t="str">
        <f>"481572 HADDOCK ROAD"</f>
        <v>481572 HADDOCK ROAD</v>
      </c>
      <c r="J1856" t="str">
        <f>"ST AUGUSTINE FL 32092"</f>
        <v>ST AUGUSTINE FL 32092</v>
      </c>
      <c r="K1856" t="str">
        <f>"96328 GRANITE TR"</f>
        <v>96328 GRANITE TR</v>
      </c>
      <c r="L1856" t="str">
        <f t="shared" si="689"/>
        <v>YULEE FL 32097</v>
      </c>
      <c r="M1856" t="str">
        <f>"LOT 19 IN OR 2146/1013 BLACKROCK PARK PBK 8/175"</f>
        <v>LOT 19 IN OR 2146/1013 BLACKROCK PARK PBK 8/175</v>
      </c>
      <c r="N1856" t="str">
        <f>""</f>
        <v/>
      </c>
      <c r="O1856" t="str">
        <f>"57908"</f>
        <v>57908</v>
      </c>
      <c r="P1856" t="str">
        <f t="shared" si="671"/>
        <v>2017</v>
      </c>
      <c r="Q1856" t="str">
        <f>""</f>
        <v/>
      </c>
      <c r="R1856" t="str">
        <f t="shared" si="690"/>
        <v>N</v>
      </c>
      <c r="S1856" t="str">
        <f>""</f>
        <v/>
      </c>
      <c r="T1856" t="str">
        <f t="shared" si="692"/>
        <v>133.22</v>
      </c>
      <c r="U1856" t="str">
        <f t="shared" si="693"/>
        <v>8800.00</v>
      </c>
      <c r="V1856" t="str">
        <f t="shared" si="693"/>
        <v>8800.00</v>
      </c>
      <c r="W1856" t="str">
        <f t="shared" si="672"/>
        <v>2017</v>
      </c>
      <c r="X1856" t="str">
        <f>""</f>
        <v/>
      </c>
      <c r="Y1856" t="str">
        <f t="shared" si="694"/>
        <v>169.22</v>
      </c>
      <c r="Z1856" t="str">
        <f>""</f>
        <v/>
      </c>
      <c r="AA1856" t="str">
        <f t="shared" si="695"/>
        <v>8800.00</v>
      </c>
      <c r="AB1856" t="str">
        <f t="shared" si="686"/>
        <v>Residential</v>
      </c>
      <c r="AC1856" t="str">
        <f t="shared" si="682"/>
        <v>0</v>
      </c>
      <c r="AD1856" t="str">
        <f>""</f>
        <v/>
      </c>
      <c r="AE1856" t="str">
        <f>""</f>
        <v/>
      </c>
      <c r="AF1856" t="str">
        <f t="shared" si="691"/>
        <v>000</v>
      </c>
      <c r="AG1856" t="str">
        <f t="shared" si="696"/>
        <v>FL</v>
      </c>
      <c r="AH1856" t="str">
        <f>"9000.00"</f>
        <v>9000.00</v>
      </c>
      <c r="AI1856" t="str">
        <f t="shared" si="697"/>
        <v>8800.00</v>
      </c>
      <c r="AJ1856" t="str">
        <f>"C55-001-092-8448-9"</f>
        <v>C55-001-092-8448-9</v>
      </c>
      <c r="AK1856" t="str">
        <f>"33853"</f>
        <v>33853</v>
      </c>
      <c r="AL1856">
        <v>7</v>
      </c>
      <c r="AM1856">
        <v>2115</v>
      </c>
      <c r="AN1856">
        <v>176.08</v>
      </c>
      <c r="AQ1856" t="s">
        <v>18215</v>
      </c>
      <c r="AR1856" t="s">
        <v>18215</v>
      </c>
      <c r="AS1856" t="s">
        <v>18215</v>
      </c>
      <c r="AU1856" t="s">
        <v>396</v>
      </c>
      <c r="AV1856">
        <v>2017</v>
      </c>
      <c r="AW1856" t="str">
        <f>"50-3N-28-0305-0019-0000 "</f>
        <v xml:space="preserve">50-3N-28-0305-0019-0000 </v>
      </c>
      <c r="AX1856">
        <v>96328</v>
      </c>
      <c r="AZ1856" t="s">
        <v>18185</v>
      </c>
      <c r="BD1856" t="s">
        <v>2387</v>
      </c>
      <c r="BE1856" t="s">
        <v>393</v>
      </c>
      <c r="BF1856">
        <v>32097</v>
      </c>
      <c r="BG1856" t="s">
        <v>18216</v>
      </c>
      <c r="BH1856" t="s">
        <v>2388</v>
      </c>
      <c r="BK1856" t="s">
        <v>15203</v>
      </c>
      <c r="BM1856" t="s">
        <v>18199</v>
      </c>
      <c r="BN1856" t="s">
        <v>18192</v>
      </c>
      <c r="BO1856">
        <v>32092</v>
      </c>
      <c r="BQ1856">
        <v>0</v>
      </c>
      <c r="BR1856" t="s">
        <v>491</v>
      </c>
      <c r="BS1856">
        <v>8001</v>
      </c>
      <c r="BT1856" t="s">
        <v>492</v>
      </c>
      <c r="BW1856">
        <v>9000</v>
      </c>
      <c r="BX1856" t="s">
        <v>407</v>
      </c>
      <c r="CD1856">
        <v>2017</v>
      </c>
      <c r="CE1856">
        <v>8800</v>
      </c>
      <c r="CG1856">
        <v>8800</v>
      </c>
      <c r="CH1856">
        <v>2017</v>
      </c>
      <c r="CI1856">
        <v>8800</v>
      </c>
      <c r="CK1856">
        <v>8800</v>
      </c>
      <c r="CL1856">
        <v>2017</v>
      </c>
      <c r="CM1856">
        <v>133.22</v>
      </c>
      <c r="DD1856" t="s">
        <v>2387</v>
      </c>
      <c r="DM1856" t="s">
        <v>18077</v>
      </c>
      <c r="DO1856" t="s">
        <v>18217</v>
      </c>
    </row>
    <row r="1857" spans="1:237" x14ac:dyDescent="0.25">
      <c r="A1857">
        <v>16486864</v>
      </c>
      <c r="B1857">
        <v>1856</v>
      </c>
      <c r="C1857" t="s">
        <v>393</v>
      </c>
      <c r="D1857" t="s">
        <v>394</v>
      </c>
      <c r="F1857" t="str">
        <f>"50-3N-28-0305-0020-0000"</f>
        <v>50-3N-28-0305-0020-0000</v>
      </c>
      <c r="H1857" t="str">
        <f>"BLACKROCK PARK LLP"</f>
        <v>BLACKROCK PARK LLP</v>
      </c>
      <c r="I1857" t="str">
        <f>"2955 HARTLEY ROAD STE 108"</f>
        <v>2955 HARTLEY ROAD STE 108</v>
      </c>
      <c r="J1857" t="str">
        <f>"JACKSONVILLE FL 32257"</f>
        <v>JACKSONVILLE FL 32257</v>
      </c>
      <c r="K1857" t="str">
        <f>"96336 GRANITE TR"</f>
        <v>96336 GRANITE TR</v>
      </c>
      <c r="L1857" t="str">
        <f t="shared" si="689"/>
        <v>YULEE FL 32097</v>
      </c>
      <c r="M1857" t="str">
        <f>"LOT 20 BLACKROCK PARK PBK 8/175"</f>
        <v>LOT 20 BLACKROCK PARK PBK 8/175</v>
      </c>
      <c r="N1857" t="str">
        <f>""</f>
        <v/>
      </c>
      <c r="O1857" t="str">
        <f>"57909"</f>
        <v>57909</v>
      </c>
      <c r="P1857" t="str">
        <f t="shared" si="671"/>
        <v>2017</v>
      </c>
      <c r="Q1857" t="str">
        <f>""</f>
        <v/>
      </c>
      <c r="R1857" t="str">
        <f t="shared" si="690"/>
        <v>N</v>
      </c>
      <c r="S1857" t="str">
        <f>""</f>
        <v/>
      </c>
      <c r="T1857" t="str">
        <f t="shared" si="692"/>
        <v>133.22</v>
      </c>
      <c r="U1857" t="str">
        <f t="shared" si="693"/>
        <v>8800.00</v>
      </c>
      <c r="V1857" t="str">
        <f t="shared" si="693"/>
        <v>8800.00</v>
      </c>
      <c r="W1857" t="str">
        <f t="shared" si="672"/>
        <v>2017</v>
      </c>
      <c r="X1857" t="str">
        <f>""</f>
        <v/>
      </c>
      <c r="Y1857" t="str">
        <f t="shared" si="694"/>
        <v>169.22</v>
      </c>
      <c r="Z1857" t="str">
        <f>""</f>
        <v/>
      </c>
      <c r="AA1857" t="str">
        <f t="shared" si="695"/>
        <v>8800.00</v>
      </c>
      <c r="AB1857" t="str">
        <f t="shared" si="686"/>
        <v>Residential</v>
      </c>
      <c r="AC1857" t="str">
        <f t="shared" si="682"/>
        <v>0</v>
      </c>
      <c r="AD1857" t="str">
        <f>""</f>
        <v/>
      </c>
      <c r="AE1857" t="str">
        <f>""</f>
        <v/>
      </c>
      <c r="AF1857" t="str">
        <f t="shared" si="691"/>
        <v>000</v>
      </c>
      <c r="AG1857" t="str">
        <f t="shared" si="696"/>
        <v>FL</v>
      </c>
      <c r="AH1857" t="str">
        <f>"9000.00"</f>
        <v>9000.00</v>
      </c>
      <c r="AI1857" t="str">
        <f t="shared" si="697"/>
        <v>8800.00</v>
      </c>
      <c r="AJ1857" t="str">
        <f>"C55-001-092-8449-7"</f>
        <v>C55-001-092-8449-7</v>
      </c>
      <c r="AK1857" t="str">
        <f>"33854"</f>
        <v>33854</v>
      </c>
      <c r="AL1857">
        <v>7</v>
      </c>
      <c r="AM1857">
        <v>2116</v>
      </c>
      <c r="AN1857">
        <v>176.08</v>
      </c>
      <c r="AQ1857" t="s">
        <v>18218</v>
      </c>
      <c r="AR1857" t="s">
        <v>18218</v>
      </c>
      <c r="AS1857" t="s">
        <v>18218</v>
      </c>
      <c r="AU1857" t="s">
        <v>396</v>
      </c>
      <c r="AV1857">
        <v>2017</v>
      </c>
      <c r="AW1857" t="str">
        <f>"50-3N-28-0305-0020-0000 "</f>
        <v xml:space="preserve">50-3N-28-0305-0020-0000 </v>
      </c>
      <c r="AX1857">
        <v>96336</v>
      </c>
      <c r="AZ1857" t="s">
        <v>18185</v>
      </c>
      <c r="BD1857" t="s">
        <v>2387</v>
      </c>
      <c r="BE1857" t="s">
        <v>393</v>
      </c>
      <c r="BF1857">
        <v>32097</v>
      </c>
      <c r="BG1857" t="s">
        <v>18219</v>
      </c>
      <c r="BH1857" t="s">
        <v>2388</v>
      </c>
      <c r="BK1857" t="s">
        <v>18213</v>
      </c>
      <c r="BM1857" t="s">
        <v>18214</v>
      </c>
      <c r="BN1857" t="s">
        <v>548</v>
      </c>
      <c r="BO1857">
        <v>32257</v>
      </c>
      <c r="BQ1857">
        <v>0</v>
      </c>
      <c r="BR1857" t="s">
        <v>491</v>
      </c>
      <c r="BS1857">
        <v>8001</v>
      </c>
      <c r="BT1857" t="s">
        <v>492</v>
      </c>
      <c r="BW1857">
        <v>9000</v>
      </c>
      <c r="BX1857" t="s">
        <v>407</v>
      </c>
      <c r="CD1857">
        <v>2017</v>
      </c>
      <c r="CE1857">
        <v>8800</v>
      </c>
      <c r="CG1857">
        <v>8800</v>
      </c>
      <c r="CH1857">
        <v>2017</v>
      </c>
      <c r="CI1857">
        <v>8800</v>
      </c>
      <c r="CK1857">
        <v>8800</v>
      </c>
      <c r="CL1857">
        <v>2017</v>
      </c>
      <c r="CM1857">
        <v>133.22</v>
      </c>
      <c r="DD1857" t="s">
        <v>2387</v>
      </c>
      <c r="DM1857" t="s">
        <v>18077</v>
      </c>
      <c r="DO1857" t="s">
        <v>18220</v>
      </c>
    </row>
    <row r="1858" spans="1:237" x14ac:dyDescent="0.25">
      <c r="A1858">
        <v>16486865</v>
      </c>
      <c r="B1858">
        <v>1857</v>
      </c>
      <c r="C1858" t="s">
        <v>393</v>
      </c>
      <c r="D1858" t="s">
        <v>394</v>
      </c>
      <c r="F1858" t="str">
        <f>"50-3N-28-5280-0008-0000"</f>
        <v>50-3N-28-5280-0008-0000</v>
      </c>
      <c r="H1858" t="str">
        <f>"BRASWELL STEVEN W &amp; BELINDA A"</f>
        <v>BRASWELL STEVEN W &amp; BELINDA A</v>
      </c>
      <c r="I1858" t="str">
        <f>"P O BOX 735"</f>
        <v>P O BOX 735</v>
      </c>
      <c r="J1858" t="str">
        <f>"FERNANDINA BEACH FL 32035"</f>
        <v>FERNANDINA BEACH FL 32035</v>
      </c>
      <c r="K1858" t="str">
        <f>"96182 GLENWOOD RD"</f>
        <v>96182 GLENWOOD RD</v>
      </c>
      <c r="L1858" t="str">
        <f t="shared" si="689"/>
        <v>YULEE FL 32097</v>
      </c>
      <c r="M1858" t="str">
        <f>"LOT 8 IN OR 639/290 GLENWOOD S/D R/P DBK 199/409"</f>
        <v>LOT 8 IN OR 639/290 GLENWOOD S/D R/P DBK 199/409</v>
      </c>
      <c r="N1858" t="str">
        <f>""</f>
        <v/>
      </c>
      <c r="O1858" t="str">
        <f>"54559"</f>
        <v>54559</v>
      </c>
      <c r="P1858" t="str">
        <f t="shared" ref="P1858:P1921" si="698">"2017"</f>
        <v>2017</v>
      </c>
      <c r="Q1858" t="str">
        <f>""</f>
        <v/>
      </c>
      <c r="R1858" t="str">
        <f>"Y"</f>
        <v>Y</v>
      </c>
      <c r="S1858" t="str">
        <f>"0.87"</f>
        <v>0.87</v>
      </c>
      <c r="T1858" t="str">
        <f>"1047.06"</f>
        <v>1047.06</v>
      </c>
      <c r="U1858" t="str">
        <f>"108268.00"</f>
        <v>108268.00</v>
      </c>
      <c r="V1858" t="str">
        <f>"108268.00"</f>
        <v>108268.00</v>
      </c>
      <c r="W1858" t="str">
        <f t="shared" ref="W1858:W1921" si="699">"2017"</f>
        <v>2017</v>
      </c>
      <c r="X1858" t="str">
        <f>""</f>
        <v/>
      </c>
      <c r="Y1858" t="str">
        <f>"1110.47"</f>
        <v>1110.47</v>
      </c>
      <c r="Z1858" t="str">
        <f>"25000.00"</f>
        <v>25000.00</v>
      </c>
      <c r="AA1858" t="str">
        <f>"83268.00"</f>
        <v>83268.00</v>
      </c>
      <c r="AB1858" t="str">
        <f t="shared" si="686"/>
        <v>Residential</v>
      </c>
      <c r="AC1858" t="str">
        <f t="shared" si="682"/>
        <v>0</v>
      </c>
      <c r="AD1858" t="str">
        <f>"4"</f>
        <v>4</v>
      </c>
      <c r="AE1858" t="str">
        <f>"WOOD (INCLUDE STEEL STUDS)"</f>
        <v>WOOD (INCLUDE STEEL STUDS)</v>
      </c>
      <c r="AF1858" t="str">
        <f>"001"</f>
        <v>001</v>
      </c>
      <c r="AG1858" t="str">
        <f t="shared" si="696"/>
        <v>FL</v>
      </c>
      <c r="AH1858" t="str">
        <f>"37743.00"</f>
        <v>37743.00</v>
      </c>
      <c r="AI1858" t="str">
        <f>"30450.00"</f>
        <v>30450.00</v>
      </c>
      <c r="AJ1858" t="str">
        <f>"C55-000-588-7053-6"</f>
        <v>C55-000-588-7053-6</v>
      </c>
      <c r="AK1858" t="str">
        <f>"33900"</f>
        <v>33900</v>
      </c>
      <c r="AL1858">
        <v>7</v>
      </c>
      <c r="AM1858">
        <v>2117</v>
      </c>
      <c r="AN1858">
        <v>1164.3900000000001</v>
      </c>
      <c r="AQ1858" t="s">
        <v>18221</v>
      </c>
      <c r="AR1858" t="s">
        <v>18221</v>
      </c>
      <c r="AS1858" t="s">
        <v>18221</v>
      </c>
      <c r="AU1858" t="s">
        <v>396</v>
      </c>
      <c r="AV1858">
        <v>2017</v>
      </c>
      <c r="AW1858" t="str">
        <f>"50-3N-28-5280-0008-0000 "</f>
        <v xml:space="preserve">50-3N-28-5280-0008-0000 </v>
      </c>
      <c r="AX1858">
        <v>96182</v>
      </c>
      <c r="AZ1858" t="s">
        <v>18222</v>
      </c>
      <c r="BA1858" t="s">
        <v>496</v>
      </c>
      <c r="BD1858" t="s">
        <v>2387</v>
      </c>
      <c r="BE1858" t="s">
        <v>393</v>
      </c>
      <c r="BF1858">
        <v>32097</v>
      </c>
      <c r="BG1858" t="s">
        <v>18223</v>
      </c>
      <c r="BH1858" t="s">
        <v>2388</v>
      </c>
      <c r="BI1858">
        <v>-81.525413699781296</v>
      </c>
      <c r="BJ1858">
        <v>30.664289387903199</v>
      </c>
      <c r="BK1858" t="s">
        <v>18224</v>
      </c>
      <c r="BL1858" t="s">
        <v>18225</v>
      </c>
      <c r="BM1858" t="s">
        <v>9322</v>
      </c>
      <c r="BN1858" t="s">
        <v>3983</v>
      </c>
      <c r="BO1858">
        <v>32035</v>
      </c>
      <c r="BP1858" t="s">
        <v>404</v>
      </c>
      <c r="BQ1858">
        <v>100</v>
      </c>
      <c r="BR1858" t="s">
        <v>514</v>
      </c>
      <c r="BS1858">
        <v>1001</v>
      </c>
      <c r="BT1858" t="s">
        <v>515</v>
      </c>
      <c r="BW1858">
        <v>37743</v>
      </c>
      <c r="BX1858" t="s">
        <v>407</v>
      </c>
      <c r="BY1858" t="s">
        <v>2729</v>
      </c>
      <c r="BZ1858">
        <v>4</v>
      </c>
      <c r="CA1858">
        <v>1990</v>
      </c>
      <c r="CB1858">
        <v>1</v>
      </c>
      <c r="CC1858">
        <v>1</v>
      </c>
      <c r="CD1858">
        <v>2017</v>
      </c>
      <c r="CG1858">
        <v>108268</v>
      </c>
      <c r="CH1858">
        <v>2017</v>
      </c>
      <c r="CI1858">
        <v>30450</v>
      </c>
      <c r="CJ1858">
        <v>104395</v>
      </c>
      <c r="CK1858">
        <v>134845</v>
      </c>
      <c r="CL1858">
        <v>2017</v>
      </c>
      <c r="CM1858">
        <v>1047.06</v>
      </c>
      <c r="CN1858" s="1">
        <v>33532</v>
      </c>
      <c r="CO1858">
        <v>65000</v>
      </c>
      <c r="CZ1858" s="1">
        <v>33532</v>
      </c>
      <c r="DD1858" t="s">
        <v>2387</v>
      </c>
      <c r="DF1858">
        <v>8</v>
      </c>
      <c r="DG1858">
        <v>50</v>
      </c>
      <c r="DJ1858" t="s">
        <v>18222</v>
      </c>
      <c r="DL1858">
        <v>50303</v>
      </c>
      <c r="DM1858" t="s">
        <v>18077</v>
      </c>
      <c r="DO1858" t="s">
        <v>18226</v>
      </c>
      <c r="DP1858">
        <v>0</v>
      </c>
      <c r="DQ1858">
        <v>0</v>
      </c>
      <c r="DR1858" t="s">
        <v>411</v>
      </c>
      <c r="EP1858" t="s">
        <v>421</v>
      </c>
      <c r="EQ1858" t="s">
        <v>422</v>
      </c>
      <c r="ER1858">
        <v>2</v>
      </c>
      <c r="ES1858">
        <v>0</v>
      </c>
      <c r="ET1858">
        <v>2282.16</v>
      </c>
      <c r="EU1858">
        <v>126.61</v>
      </c>
      <c r="EV1858">
        <v>2408.77</v>
      </c>
      <c r="EW1858" s="2">
        <v>43222</v>
      </c>
      <c r="EX1858" s="1">
        <v>42879</v>
      </c>
      <c r="EY1858">
        <v>2016</v>
      </c>
      <c r="EZ1858">
        <v>1141.08</v>
      </c>
      <c r="FA1858" t="s">
        <v>18227</v>
      </c>
      <c r="FB1858">
        <v>0.25</v>
      </c>
      <c r="FC1858" t="s">
        <v>424</v>
      </c>
      <c r="FD1858" t="s">
        <v>454</v>
      </c>
      <c r="FF1858">
        <v>12</v>
      </c>
      <c r="FG1858">
        <v>5857474</v>
      </c>
      <c r="FH1858" t="s">
        <v>900</v>
      </c>
      <c r="FJ1858" s="1">
        <v>42879</v>
      </c>
      <c r="FK1858">
        <v>2016</v>
      </c>
      <c r="FL1858">
        <v>1141.08</v>
      </c>
      <c r="FM1858" t="s">
        <v>18227</v>
      </c>
      <c r="FN1858">
        <v>0.25</v>
      </c>
      <c r="FO1858" t="s">
        <v>424</v>
      </c>
      <c r="FP1858" t="s">
        <v>454</v>
      </c>
      <c r="FR1858">
        <v>12</v>
      </c>
      <c r="FS1858">
        <v>6398115</v>
      </c>
      <c r="FT1858" t="s">
        <v>18228</v>
      </c>
    </row>
    <row r="1859" spans="1:237" x14ac:dyDescent="0.25">
      <c r="A1859">
        <v>16486866</v>
      </c>
      <c r="B1859">
        <v>1858</v>
      </c>
      <c r="C1859" t="s">
        <v>393</v>
      </c>
      <c r="D1859" t="s">
        <v>394</v>
      </c>
      <c r="F1859" t="str">
        <f>"63-3N-28-0000-0004-0000"</f>
        <v>63-3N-28-0000-0004-0000</v>
      </c>
      <c r="H1859" t="str">
        <f>"PINEY ISLAND PARTNERSHIP 437 E MONROE STREET SUITE 100"</f>
        <v>PINEY ISLAND PARTNERSHIP 437 E MONROE STREET SUITE 100</v>
      </c>
      <c r="I1859" t="str">
        <f>""</f>
        <v/>
      </c>
      <c r="J1859" t="str">
        <f>"JACKSONVILLE FL 32202"</f>
        <v>JACKSONVILLE FL 32202</v>
      </c>
      <c r="K1859" t="str">
        <f>"PINEY ISLAND DR"</f>
        <v>PINEY ISLAND DR</v>
      </c>
      <c r="L1859" t="str">
        <f t="shared" ref="L1859:L1890" si="700">"FERNANDINA BEACH FL 32034"</f>
        <v>FERNANDINA BEACH FL 32034</v>
      </c>
      <c r="M1859" t="str">
        <f>"LOT 3 S OF CREEK S1/2 OF LOT 4 &amp; ALL LOT 5 MARSH LAND IN OR 177/299 PT OR 1253/1846 &amp; OR 236/535 &amp; PT OR 1201/1678 &amp; OR 1429/1157 EX PARCEL 4-1"</f>
        <v>LOT 3 S OF CREEK S1/2 OF LOT 4 &amp; ALL LOT 5 MARSH LAND IN OR 177/299 PT OR 1253/1846 &amp; OR 236/535 &amp; PT OR 1201/1678 &amp; OR 1429/1157 EX PARCEL 4-1</v>
      </c>
      <c r="N1859" t="str">
        <f>""</f>
        <v/>
      </c>
      <c r="O1859" t="str">
        <f>"55904"</f>
        <v>55904</v>
      </c>
      <c r="P1859" t="str">
        <f t="shared" si="698"/>
        <v>2017</v>
      </c>
      <c r="Q1859" t="str">
        <f>""</f>
        <v/>
      </c>
      <c r="R1859" t="str">
        <f t="shared" ref="R1859:R1873" si="701">"N"</f>
        <v>N</v>
      </c>
      <c r="S1859" t="str">
        <f>"45.50"</f>
        <v>45.50</v>
      </c>
      <c r="T1859" t="str">
        <f>"68.89"</f>
        <v>68.89</v>
      </c>
      <c r="U1859" t="str">
        <f>"4550.00"</f>
        <v>4550.00</v>
      </c>
      <c r="V1859" t="str">
        <f>"4550.00"</f>
        <v>4550.00</v>
      </c>
      <c r="W1859" t="str">
        <f t="shared" si="699"/>
        <v>2017</v>
      </c>
      <c r="X1859" t="str">
        <f>"43.25"</f>
        <v>43.25</v>
      </c>
      <c r="Y1859" t="str">
        <f>"102.96"</f>
        <v>102.96</v>
      </c>
      <c r="Z1859" t="str">
        <f>""</f>
        <v/>
      </c>
      <c r="AA1859" t="str">
        <f>"4550.00"</f>
        <v>4550.00</v>
      </c>
      <c r="AB1859" t="str">
        <f>"Miscellaneous"</f>
        <v>Miscellaneous</v>
      </c>
      <c r="AC1859" t="str">
        <f t="shared" si="682"/>
        <v>0</v>
      </c>
      <c r="AD1859" t="str">
        <f>""</f>
        <v/>
      </c>
      <c r="AE1859" t="str">
        <f>""</f>
        <v/>
      </c>
      <c r="AF1859" t="str">
        <f>"096"</f>
        <v>096</v>
      </c>
      <c r="AG1859" t="str">
        <f t="shared" si="696"/>
        <v>FL</v>
      </c>
      <c r="AH1859" t="str">
        <f>"1981980.00"</f>
        <v>1981980.00</v>
      </c>
      <c r="AI1859" t="str">
        <f>"4550.00"</f>
        <v>4550.00</v>
      </c>
      <c r="AJ1859" t="str">
        <f>"C55-000-588-7931-3"</f>
        <v>C55-000-588-7931-3</v>
      </c>
      <c r="AK1859" t="str">
        <f>"33935"</f>
        <v>33935</v>
      </c>
      <c r="AL1859">
        <v>7</v>
      </c>
      <c r="AM1859">
        <v>2118</v>
      </c>
      <c r="AN1859">
        <v>106.51</v>
      </c>
      <c r="AQ1859" t="s">
        <v>18229</v>
      </c>
      <c r="AR1859" t="s">
        <v>18229</v>
      </c>
      <c r="AS1859" t="s">
        <v>18229</v>
      </c>
      <c r="AU1859" t="s">
        <v>396</v>
      </c>
      <c r="AV1859">
        <v>2017</v>
      </c>
      <c r="AW1859" t="str">
        <f>"63-3N-28-0000-0004-0000 "</f>
        <v xml:space="preserve">63-3N-28-0000-0004-0000 </v>
      </c>
      <c r="AZ1859" t="s">
        <v>16041</v>
      </c>
      <c r="BA1859" t="s">
        <v>669</v>
      </c>
      <c r="BD1859" t="s">
        <v>11749</v>
      </c>
      <c r="BE1859" t="s">
        <v>393</v>
      </c>
      <c r="BF1859">
        <v>32034</v>
      </c>
      <c r="BG1859" t="s">
        <v>16044</v>
      </c>
      <c r="BH1859" t="s">
        <v>11751</v>
      </c>
      <c r="BI1859">
        <v>-81.499129029532199</v>
      </c>
      <c r="BJ1859">
        <v>30.634391079677901</v>
      </c>
      <c r="BK1859" t="s">
        <v>15862</v>
      </c>
      <c r="BM1859" t="s">
        <v>15863</v>
      </c>
      <c r="BN1859" t="s">
        <v>548</v>
      </c>
      <c r="BO1859">
        <v>32202</v>
      </c>
      <c r="BP1859" t="s">
        <v>404</v>
      </c>
      <c r="BQ1859">
        <v>9600</v>
      </c>
      <c r="BR1859" t="s">
        <v>12330</v>
      </c>
      <c r="BS1859">
        <v>6013</v>
      </c>
      <c r="BT1859" t="s">
        <v>12331</v>
      </c>
      <c r="BW1859">
        <v>1981980</v>
      </c>
      <c r="BX1859" t="s">
        <v>407</v>
      </c>
      <c r="BY1859" t="s">
        <v>408</v>
      </c>
      <c r="CD1859">
        <v>2017</v>
      </c>
      <c r="CE1859">
        <v>4550</v>
      </c>
      <c r="CG1859">
        <v>4550</v>
      </c>
      <c r="CH1859">
        <v>2017</v>
      </c>
      <c r="CI1859">
        <v>4550</v>
      </c>
      <c r="CK1859">
        <v>4550</v>
      </c>
      <c r="CL1859">
        <v>2017</v>
      </c>
      <c r="CM1859">
        <v>68.89</v>
      </c>
      <c r="CN1859" s="1">
        <v>38918</v>
      </c>
      <c r="CO1859">
        <v>20800</v>
      </c>
      <c r="CV1859">
        <v>0</v>
      </c>
      <c r="CZ1859" s="1">
        <v>38918</v>
      </c>
      <c r="DA1859">
        <v>0</v>
      </c>
      <c r="DD1859" t="s">
        <v>11749</v>
      </c>
      <c r="DF1859">
        <v>3</v>
      </c>
      <c r="DG1859">
        <v>63</v>
      </c>
      <c r="DM1859" t="s">
        <v>18230</v>
      </c>
      <c r="DO1859" t="s">
        <v>18231</v>
      </c>
      <c r="DP1859">
        <v>0</v>
      </c>
      <c r="DQ1859">
        <v>1</v>
      </c>
      <c r="DR1859" t="s">
        <v>411</v>
      </c>
      <c r="DS1859" t="b">
        <v>1</v>
      </c>
      <c r="DT1859" t="s">
        <v>8902</v>
      </c>
      <c r="DV1859" t="s">
        <v>446</v>
      </c>
      <c r="DX1859">
        <v>12</v>
      </c>
      <c r="DY1859" t="s">
        <v>11438</v>
      </c>
      <c r="DZ1859" t="s">
        <v>447</v>
      </c>
      <c r="EA1859" t="s">
        <v>448</v>
      </c>
      <c r="EB1859" t="s">
        <v>18232</v>
      </c>
      <c r="EC1859">
        <v>20101217</v>
      </c>
      <c r="ED1859" t="s">
        <v>450</v>
      </c>
      <c r="EE1859">
        <v>5</v>
      </c>
      <c r="EF1859">
        <v>0</v>
      </c>
      <c r="EG1859">
        <v>0</v>
      </c>
      <c r="EH1859" t="s">
        <v>14883</v>
      </c>
      <c r="EI1859">
        <v>20160407</v>
      </c>
      <c r="EJ1859">
        <v>0</v>
      </c>
      <c r="EK1859">
        <v>0</v>
      </c>
      <c r="EP1859" t="s">
        <v>595</v>
      </c>
      <c r="EQ1859" t="s">
        <v>452</v>
      </c>
      <c r="ER1859">
        <v>1</v>
      </c>
      <c r="ES1859">
        <v>6</v>
      </c>
      <c r="ET1859">
        <v>102.55</v>
      </c>
      <c r="EU1859">
        <v>16.25</v>
      </c>
      <c r="EV1859">
        <v>118.8</v>
      </c>
      <c r="EW1859" s="2">
        <v>43222</v>
      </c>
      <c r="EX1859" s="1">
        <v>42879</v>
      </c>
      <c r="EY1859">
        <v>2016</v>
      </c>
      <c r="EZ1859">
        <v>102.55</v>
      </c>
      <c r="FA1859" t="s">
        <v>18233</v>
      </c>
      <c r="FB1859">
        <v>9.75</v>
      </c>
      <c r="FC1859" t="s">
        <v>424</v>
      </c>
      <c r="FD1859" t="s">
        <v>454</v>
      </c>
      <c r="FF1859">
        <v>12</v>
      </c>
      <c r="FG1859">
        <v>5100525</v>
      </c>
      <c r="FH1859" t="s">
        <v>6804</v>
      </c>
      <c r="FJ1859" s="1">
        <v>42151</v>
      </c>
      <c r="FK1859">
        <v>2014</v>
      </c>
      <c r="FL1859">
        <v>99.77</v>
      </c>
      <c r="FM1859" t="s">
        <v>18234</v>
      </c>
      <c r="FN1859">
        <v>18</v>
      </c>
      <c r="FO1859" t="s">
        <v>603</v>
      </c>
      <c r="FP1859" t="s">
        <v>425</v>
      </c>
      <c r="FQ1859" s="1">
        <v>42507</v>
      </c>
      <c r="FR1859">
        <v>12</v>
      </c>
      <c r="FS1859">
        <v>9999999</v>
      </c>
      <c r="FT1859" t="s">
        <v>604</v>
      </c>
      <c r="FU1859" t="s">
        <v>458</v>
      </c>
      <c r="FV1859" s="1">
        <v>42151</v>
      </c>
      <c r="FW1859">
        <v>2013</v>
      </c>
      <c r="FX1859">
        <v>108.47</v>
      </c>
      <c r="FY1859" t="s">
        <v>18235</v>
      </c>
      <c r="FZ1859">
        <v>3.5</v>
      </c>
      <c r="GA1859" t="s">
        <v>424</v>
      </c>
      <c r="GB1859" t="s">
        <v>425</v>
      </c>
      <c r="GC1859" s="1">
        <v>42507</v>
      </c>
      <c r="GD1859">
        <v>12</v>
      </c>
      <c r="GE1859">
        <v>4844942</v>
      </c>
      <c r="GF1859" t="s">
        <v>2472</v>
      </c>
      <c r="GG1859" t="s">
        <v>458</v>
      </c>
      <c r="GH1859" s="1">
        <v>41423</v>
      </c>
      <c r="GI1859">
        <v>2012</v>
      </c>
      <c r="GJ1859">
        <v>96.54</v>
      </c>
      <c r="GK1859" t="s">
        <v>18236</v>
      </c>
      <c r="GL1859">
        <v>16.75</v>
      </c>
      <c r="GM1859" t="s">
        <v>424</v>
      </c>
      <c r="GN1859" t="s">
        <v>425</v>
      </c>
      <c r="GO1859" s="1">
        <v>42507</v>
      </c>
      <c r="GP1859">
        <v>36</v>
      </c>
      <c r="GQ1859">
        <v>10125</v>
      </c>
      <c r="GR1859" t="s">
        <v>440</v>
      </c>
      <c r="GS1859" t="s">
        <v>458</v>
      </c>
      <c r="GT1859" s="1">
        <v>41052</v>
      </c>
      <c r="GU1859">
        <v>2011</v>
      </c>
      <c r="GV1859">
        <v>98.79</v>
      </c>
      <c r="GW1859" t="s">
        <v>18237</v>
      </c>
      <c r="GX1859">
        <v>18</v>
      </c>
      <c r="GY1859" t="s">
        <v>424</v>
      </c>
      <c r="GZ1859" t="s">
        <v>425</v>
      </c>
      <c r="HA1859" s="1">
        <v>42507</v>
      </c>
      <c r="HB1859">
        <v>48</v>
      </c>
      <c r="HC1859">
        <v>14876</v>
      </c>
      <c r="HD1859" t="s">
        <v>18238</v>
      </c>
      <c r="HE1859" t="s">
        <v>458</v>
      </c>
      <c r="HF1859" s="1">
        <v>41052</v>
      </c>
      <c r="HG1859">
        <v>2011</v>
      </c>
      <c r="HH1859">
        <v>89.84</v>
      </c>
      <c r="HI1859" t="s">
        <v>18237</v>
      </c>
      <c r="HJ1859">
        <v>18</v>
      </c>
      <c r="HK1859" t="s">
        <v>603</v>
      </c>
      <c r="HL1859" t="s">
        <v>425</v>
      </c>
      <c r="HN1859">
        <v>22</v>
      </c>
      <c r="HO1859">
        <v>9999999</v>
      </c>
      <c r="HP1859" t="s">
        <v>604</v>
      </c>
      <c r="HQ1859" t="s">
        <v>458</v>
      </c>
      <c r="HR1859" s="1">
        <v>40688</v>
      </c>
      <c r="HS1859">
        <v>2010</v>
      </c>
      <c r="HT1859">
        <v>88.86</v>
      </c>
      <c r="HU1859" t="s">
        <v>18239</v>
      </c>
      <c r="HV1859">
        <v>0.25</v>
      </c>
      <c r="HW1859" t="s">
        <v>424</v>
      </c>
      <c r="HX1859" t="s">
        <v>425</v>
      </c>
      <c r="HZ1859">
        <v>22</v>
      </c>
      <c r="IA1859">
        <v>389</v>
      </c>
      <c r="IB1859" t="s">
        <v>609</v>
      </c>
      <c r="IC1859" t="s">
        <v>458</v>
      </c>
    </row>
    <row r="1860" spans="1:237" x14ac:dyDescent="0.25">
      <c r="A1860">
        <v>16486867</v>
      </c>
      <c r="B1860">
        <v>1859</v>
      </c>
      <c r="C1860" t="s">
        <v>393</v>
      </c>
      <c r="D1860" t="s">
        <v>394</v>
      </c>
      <c r="F1860" t="str">
        <f>"64-3N-28-0000-0002-0000"</f>
        <v>64-3N-28-0000-0002-0000</v>
      </c>
      <c r="H1860" t="str">
        <f>"SWANN S A EST C/O MRS E C OCONNER"</f>
        <v>SWANN S A EST C/O MRS E C OCONNER</v>
      </c>
      <c r="I1860" t="str">
        <f>"36 LYMAN RD"</f>
        <v>36 LYMAN RD</v>
      </c>
      <c r="J1860" t="str">
        <f>"NORTHAMPTON MA 01060"</f>
        <v>NORTHAMPTON MA 01060</v>
      </c>
      <c r="K1860" t="str">
        <f>"-"</f>
        <v>-</v>
      </c>
      <c r="L1860" t="str">
        <f t="shared" si="700"/>
        <v>FERNANDINA BEACH FL 32034</v>
      </c>
      <c r="M1860" t="str">
        <f>"N1/2 N &amp; W OF RIVER FRAC W1/2 OF 1 MARSH LAND"</f>
        <v>N1/2 N &amp; W OF RIVER FRAC W1/2 OF 1 MARSH LAND</v>
      </c>
      <c r="N1860" t="str">
        <f>""</f>
        <v/>
      </c>
      <c r="O1860" t="str">
        <f>"55907"</f>
        <v>55907</v>
      </c>
      <c r="P1860" t="str">
        <f t="shared" si="698"/>
        <v>2017</v>
      </c>
      <c r="Q1860" t="str">
        <f>""</f>
        <v/>
      </c>
      <c r="R1860" t="str">
        <f t="shared" si="701"/>
        <v>N</v>
      </c>
      <c r="S1860" t="str">
        <f>"143.00"</f>
        <v>143.00</v>
      </c>
      <c r="T1860" t="str">
        <f>"216.50"</f>
        <v>216.50</v>
      </c>
      <c r="U1860" t="str">
        <f>"14300.00"</f>
        <v>14300.00</v>
      </c>
      <c r="V1860" t="str">
        <f>"14300.00"</f>
        <v>14300.00</v>
      </c>
      <c r="W1860" t="str">
        <f t="shared" si="699"/>
        <v>2017</v>
      </c>
      <c r="X1860" t="str">
        <f>""</f>
        <v/>
      </c>
      <c r="Y1860" t="str">
        <f>"255.00"</f>
        <v>255.00</v>
      </c>
      <c r="Z1860" t="str">
        <f>""</f>
        <v/>
      </c>
      <c r="AA1860" t="str">
        <f>"14300.00"</f>
        <v>14300.00</v>
      </c>
      <c r="AB1860" t="str">
        <f>"Miscellaneous"</f>
        <v>Miscellaneous</v>
      </c>
      <c r="AC1860" t="str">
        <f t="shared" si="682"/>
        <v>0</v>
      </c>
      <c r="AD1860" t="str">
        <f>""</f>
        <v/>
      </c>
      <c r="AE1860" t="str">
        <f>""</f>
        <v/>
      </c>
      <c r="AF1860" t="str">
        <f>"096"</f>
        <v>096</v>
      </c>
      <c r="AG1860" t="str">
        <f>"MA"</f>
        <v>MA</v>
      </c>
      <c r="AH1860" t="str">
        <f>"6229080.00"</f>
        <v>6229080.00</v>
      </c>
      <c r="AI1860" t="str">
        <f>"14300.00"</f>
        <v>14300.00</v>
      </c>
      <c r="AJ1860" t="str">
        <f>"C55-000-588-7934-7"</f>
        <v>C55-000-588-7934-7</v>
      </c>
      <c r="AK1860" t="str">
        <f>"33938"</f>
        <v>33938</v>
      </c>
      <c r="AL1860">
        <v>7</v>
      </c>
      <c r="AM1860">
        <v>2119</v>
      </c>
      <c r="AN1860">
        <v>266.14999999999998</v>
      </c>
      <c r="AQ1860" t="s">
        <v>18240</v>
      </c>
      <c r="AR1860" t="s">
        <v>18240</v>
      </c>
      <c r="AS1860" t="s">
        <v>18240</v>
      </c>
      <c r="AU1860" t="s">
        <v>396</v>
      </c>
      <c r="AV1860">
        <v>2017</v>
      </c>
      <c r="AW1860" t="str">
        <f>"64-3N-28-0000-0002-0000 "</f>
        <v xml:space="preserve">64-3N-28-0000-0002-0000 </v>
      </c>
      <c r="BD1860" t="s">
        <v>11749</v>
      </c>
      <c r="BE1860" t="s">
        <v>393</v>
      </c>
      <c r="BF1860">
        <v>32034</v>
      </c>
      <c r="BH1860" t="s">
        <v>11751</v>
      </c>
      <c r="BI1860">
        <v>-81.491781705803106</v>
      </c>
      <c r="BJ1860">
        <v>30.6442491749754</v>
      </c>
      <c r="BK1860" t="s">
        <v>18241</v>
      </c>
      <c r="BM1860" t="s">
        <v>18242</v>
      </c>
      <c r="BN1860" t="s">
        <v>18243</v>
      </c>
      <c r="BO1860">
        <v>1060</v>
      </c>
      <c r="BP1860" t="s">
        <v>404</v>
      </c>
      <c r="BQ1860">
        <v>9600</v>
      </c>
      <c r="BR1860" t="s">
        <v>12330</v>
      </c>
      <c r="BS1860">
        <v>6013</v>
      </c>
      <c r="BT1860" t="s">
        <v>12331</v>
      </c>
      <c r="BW1860">
        <v>6229080</v>
      </c>
      <c r="BX1860" t="s">
        <v>407</v>
      </c>
      <c r="BY1860" t="s">
        <v>408</v>
      </c>
      <c r="CD1860">
        <v>2017</v>
      </c>
      <c r="CE1860">
        <v>14300</v>
      </c>
      <c r="CG1860">
        <v>14300</v>
      </c>
      <c r="CH1860">
        <v>2017</v>
      </c>
      <c r="CI1860">
        <v>14300</v>
      </c>
      <c r="CK1860">
        <v>14300</v>
      </c>
      <c r="CL1860">
        <v>2017</v>
      </c>
      <c r="CM1860">
        <v>216.5</v>
      </c>
      <c r="DD1860" t="s">
        <v>11749</v>
      </c>
      <c r="DG1860">
        <v>64</v>
      </c>
      <c r="DM1860" t="s">
        <v>18244</v>
      </c>
      <c r="DO1860" t="s">
        <v>18245</v>
      </c>
      <c r="DP1860">
        <v>0</v>
      </c>
      <c r="DQ1860">
        <v>0</v>
      </c>
      <c r="DR1860" t="s">
        <v>411</v>
      </c>
      <c r="EP1860" t="s">
        <v>421</v>
      </c>
      <c r="EQ1860" t="s">
        <v>422</v>
      </c>
      <c r="ER1860">
        <v>1</v>
      </c>
      <c r="ES1860">
        <v>0</v>
      </c>
      <c r="ET1860">
        <v>264.43</v>
      </c>
      <c r="EU1860">
        <v>19.47</v>
      </c>
      <c r="EV1860">
        <v>283.89999999999998</v>
      </c>
      <c r="EW1860" s="2">
        <v>43222</v>
      </c>
      <c r="EX1860" s="1">
        <v>42879</v>
      </c>
      <c r="EY1860">
        <v>2016</v>
      </c>
      <c r="EZ1860">
        <v>264.43</v>
      </c>
      <c r="FA1860" t="s">
        <v>18246</v>
      </c>
      <c r="FB1860">
        <v>3.5</v>
      </c>
      <c r="FC1860" t="s">
        <v>424</v>
      </c>
      <c r="FD1860" t="s">
        <v>454</v>
      </c>
      <c r="FF1860">
        <v>12</v>
      </c>
      <c r="FG1860">
        <v>10628</v>
      </c>
      <c r="FH1860" t="s">
        <v>943</v>
      </c>
    </row>
    <row r="1861" spans="1:237" x14ac:dyDescent="0.25">
      <c r="A1861">
        <v>16486868</v>
      </c>
      <c r="B1861">
        <v>1860</v>
      </c>
      <c r="C1861" t="s">
        <v>393</v>
      </c>
      <c r="D1861" t="s">
        <v>394</v>
      </c>
      <c r="F1861" t="str">
        <f>"09-3N-29-0000-0003-0040"</f>
        <v>09-3N-29-0000-0003-0040</v>
      </c>
      <c r="H1861" t="str">
        <f>"SORRELLS LEA M CO-TRUSTEES OF BILLY J &amp; LEA M SORRELLS JOINT REVOCABLE TRUST"</f>
        <v>SORRELLS LEA M CO-TRUSTEES OF BILLY J &amp; LEA M SORRELLS JOINT REVOCABLE TRUST</v>
      </c>
      <c r="I1861" t="str">
        <f>""</f>
        <v/>
      </c>
      <c r="J1861" t="str">
        <f>"YULEE FL 32097"</f>
        <v>YULEE FL 32097</v>
      </c>
      <c r="K1861" t="str">
        <f>"1021 FLETCHER AVE N"</f>
        <v>1021 FLETCHER AVE N</v>
      </c>
      <c r="L1861" t="str">
        <f t="shared" si="700"/>
        <v>FERNANDINA BEACH FL 32034</v>
      </c>
      <c r="M1861" t="str">
        <f>"IN OR 1530/1774 3-4 3-9 &amp; N1/2 OF A FERREIRA REPLAT"</f>
        <v>IN OR 1530/1774 3-4 3-9 &amp; N1/2 OF A FERREIRA REPLAT</v>
      </c>
      <c r="N1861" t="str">
        <f>""</f>
        <v/>
      </c>
      <c r="O1861" t="str">
        <f>"25280"</f>
        <v>25280</v>
      </c>
      <c r="P1861" t="str">
        <f t="shared" si="698"/>
        <v>2017</v>
      </c>
      <c r="Q1861" t="str">
        <f>""</f>
        <v/>
      </c>
      <c r="R1861" t="str">
        <f t="shared" si="701"/>
        <v>N</v>
      </c>
      <c r="S1861" t="str">
        <f>""</f>
        <v/>
      </c>
      <c r="T1861" t="str">
        <f>"4107.08"</f>
        <v>4107.08</v>
      </c>
      <c r="U1861" t="str">
        <f>"206068.00"</f>
        <v>206068.00</v>
      </c>
      <c r="V1861" t="str">
        <f>"206068.00"</f>
        <v>206068.00</v>
      </c>
      <c r="W1861" t="str">
        <f t="shared" si="699"/>
        <v>2017</v>
      </c>
      <c r="X1861" t="str">
        <f>"18.00"</f>
        <v>18.00</v>
      </c>
      <c r="Y1861" t="str">
        <f>"4262.29"</f>
        <v>4262.29</v>
      </c>
      <c r="Z1861" t="str">
        <f>""</f>
        <v/>
      </c>
      <c r="AA1861" t="str">
        <f>"206068.00"</f>
        <v>206068.00</v>
      </c>
      <c r="AB1861" t="str">
        <f t="shared" ref="AB1861:AB1878" si="702">"Residential"</f>
        <v>Residential</v>
      </c>
      <c r="AC1861" t="str">
        <f t="shared" si="682"/>
        <v>0</v>
      </c>
      <c r="AD1861" t="str">
        <f>"3"</f>
        <v>3</v>
      </c>
      <c r="AE1861" t="str">
        <f>"MASONRY"</f>
        <v>MASONRY</v>
      </c>
      <c r="AF1861" t="str">
        <f>"008"</f>
        <v>008</v>
      </c>
      <c r="AG1861" t="str">
        <f>"FL"</f>
        <v>FL</v>
      </c>
      <c r="AH1861" t="str">
        <f>"11000.00"</f>
        <v>11000.00</v>
      </c>
      <c r="AI1861" t="str">
        <f>"92450.00"</f>
        <v>92450.00</v>
      </c>
      <c r="AJ1861" t="str">
        <f>"C55-000-586-8548-8"</f>
        <v>C55-000-586-8548-8</v>
      </c>
      <c r="AK1861" t="str">
        <f>"33954"</f>
        <v>33954</v>
      </c>
      <c r="AL1861">
        <v>7</v>
      </c>
      <c r="AM1861">
        <v>2120</v>
      </c>
      <c r="AN1861">
        <v>4473.8</v>
      </c>
      <c r="AQ1861" t="s">
        <v>18247</v>
      </c>
      <c r="AR1861" t="s">
        <v>18247</v>
      </c>
      <c r="AS1861" t="s">
        <v>18247</v>
      </c>
      <c r="AU1861" t="s">
        <v>396</v>
      </c>
      <c r="AV1861">
        <v>2017</v>
      </c>
      <c r="AW1861" t="str">
        <f>"09-3N-29-0000-0003-0040 "</f>
        <v xml:space="preserve">09-3N-29-0000-0003-0040 </v>
      </c>
      <c r="AX1861">
        <v>1021</v>
      </c>
      <c r="AZ1861" t="s">
        <v>18248</v>
      </c>
      <c r="BA1861" t="s">
        <v>1112</v>
      </c>
      <c r="BB1861" t="s">
        <v>404</v>
      </c>
      <c r="BD1861" t="s">
        <v>11749</v>
      </c>
      <c r="BE1861" t="s">
        <v>393</v>
      </c>
      <c r="BF1861">
        <v>32034</v>
      </c>
      <c r="BG1861" t="s">
        <v>18249</v>
      </c>
      <c r="BH1861" t="s">
        <v>11751</v>
      </c>
      <c r="BI1861">
        <v>-81.430466986879694</v>
      </c>
      <c r="BJ1861">
        <v>30.679874883989601</v>
      </c>
      <c r="BK1861" t="s">
        <v>18250</v>
      </c>
      <c r="BL1861" t="s">
        <v>18251</v>
      </c>
      <c r="BM1861" t="s">
        <v>18252</v>
      </c>
      <c r="BN1861" t="s">
        <v>3983</v>
      </c>
      <c r="BO1861">
        <v>32035</v>
      </c>
      <c r="BP1861" t="s">
        <v>404</v>
      </c>
      <c r="BQ1861">
        <v>800</v>
      </c>
      <c r="BR1861" t="s">
        <v>5126</v>
      </c>
      <c r="BS1861">
        <v>1110</v>
      </c>
      <c r="BT1861" t="s">
        <v>5127</v>
      </c>
      <c r="BW1861">
        <v>11000</v>
      </c>
      <c r="BX1861" t="s">
        <v>407</v>
      </c>
      <c r="BY1861" t="s">
        <v>18253</v>
      </c>
      <c r="BZ1861">
        <v>3</v>
      </c>
      <c r="CA1861">
        <v>1973</v>
      </c>
      <c r="CB1861">
        <v>2</v>
      </c>
      <c r="CC1861">
        <v>1</v>
      </c>
      <c r="CD1861">
        <v>2017</v>
      </c>
      <c r="CE1861">
        <v>92450</v>
      </c>
      <c r="CF1861">
        <v>113618</v>
      </c>
      <c r="CG1861">
        <v>206068</v>
      </c>
      <c r="CH1861">
        <v>2017</v>
      </c>
      <c r="CI1861">
        <v>92450</v>
      </c>
      <c r="CJ1861">
        <v>113618</v>
      </c>
      <c r="CK1861">
        <v>206068</v>
      </c>
      <c r="CL1861">
        <v>2017</v>
      </c>
      <c r="CM1861">
        <v>4107.08</v>
      </c>
      <c r="CN1861" s="1">
        <v>37651</v>
      </c>
      <c r="CO1861">
        <v>120000</v>
      </c>
      <c r="CV1861">
        <v>37509</v>
      </c>
      <c r="CX1861" t="s">
        <v>707</v>
      </c>
      <c r="CZ1861" s="1">
        <v>37651</v>
      </c>
      <c r="DA1861">
        <v>0</v>
      </c>
      <c r="DD1861" t="s">
        <v>11749</v>
      </c>
      <c r="DG1861">
        <v>9</v>
      </c>
      <c r="DL1861">
        <v>50102</v>
      </c>
      <c r="DM1861" t="s">
        <v>18254</v>
      </c>
      <c r="DO1861" t="s">
        <v>18255</v>
      </c>
      <c r="DP1861">
        <v>0</v>
      </c>
      <c r="DQ1861">
        <v>2</v>
      </c>
      <c r="DR1861" t="s">
        <v>1479</v>
      </c>
      <c r="EP1861" t="s">
        <v>421</v>
      </c>
      <c r="EQ1861" t="s">
        <v>422</v>
      </c>
      <c r="ER1861">
        <v>0</v>
      </c>
      <c r="ES1861">
        <v>4</v>
      </c>
      <c r="ET1861">
        <v>0</v>
      </c>
      <c r="EU1861">
        <v>0</v>
      </c>
      <c r="EV1861">
        <v>0</v>
      </c>
      <c r="EW1861" s="2">
        <v>43222</v>
      </c>
      <c r="EX1861" s="1">
        <v>41423</v>
      </c>
      <c r="EY1861">
        <v>2012</v>
      </c>
      <c r="EZ1861">
        <v>3647.84</v>
      </c>
      <c r="FA1861" t="s">
        <v>18256</v>
      </c>
      <c r="FB1861">
        <v>0.25</v>
      </c>
      <c r="FC1861" t="s">
        <v>424</v>
      </c>
      <c r="FD1861" t="s">
        <v>425</v>
      </c>
      <c r="FE1861" s="1">
        <v>41778</v>
      </c>
      <c r="FF1861">
        <v>12</v>
      </c>
      <c r="FG1861">
        <v>15398</v>
      </c>
      <c r="FH1861" t="s">
        <v>1180</v>
      </c>
      <c r="FJ1861" s="1">
        <v>41052</v>
      </c>
      <c r="FK1861">
        <v>2011</v>
      </c>
      <c r="FL1861">
        <v>3537.46</v>
      </c>
      <c r="FM1861" t="s">
        <v>18257</v>
      </c>
      <c r="FN1861">
        <v>0.25</v>
      </c>
      <c r="FO1861" t="s">
        <v>424</v>
      </c>
      <c r="FP1861" t="s">
        <v>425</v>
      </c>
      <c r="FQ1861" s="1">
        <v>41694</v>
      </c>
      <c r="FR1861">
        <v>21</v>
      </c>
      <c r="FS1861">
        <v>13104</v>
      </c>
      <c r="FT1861" t="s">
        <v>888</v>
      </c>
      <c r="FV1861" s="1">
        <v>41052</v>
      </c>
      <c r="FW1861">
        <v>2011</v>
      </c>
      <c r="FX1861">
        <v>3537.46</v>
      </c>
      <c r="FY1861" t="s">
        <v>18257</v>
      </c>
      <c r="FZ1861">
        <v>0.25</v>
      </c>
      <c r="GA1861" t="s">
        <v>424</v>
      </c>
      <c r="GB1861" t="s">
        <v>425</v>
      </c>
      <c r="GD1861">
        <v>22</v>
      </c>
      <c r="GE1861">
        <v>13700</v>
      </c>
      <c r="GF1861" t="s">
        <v>3614</v>
      </c>
      <c r="GH1861" s="1">
        <v>40688</v>
      </c>
      <c r="GI1861">
        <v>2010</v>
      </c>
      <c r="GJ1861">
        <v>3758.71</v>
      </c>
      <c r="GK1861" t="s">
        <v>18258</v>
      </c>
      <c r="GL1861">
        <v>0.25</v>
      </c>
      <c r="GM1861" t="s">
        <v>424</v>
      </c>
      <c r="GN1861" t="s">
        <v>425</v>
      </c>
      <c r="GO1861" s="1">
        <v>41311</v>
      </c>
      <c r="GP1861">
        <v>21</v>
      </c>
      <c r="GQ1861">
        <v>11177</v>
      </c>
      <c r="GR1861" t="s">
        <v>650</v>
      </c>
    </row>
    <row r="1862" spans="1:237" x14ac:dyDescent="0.25">
      <c r="A1862">
        <v>16486869</v>
      </c>
      <c r="B1862">
        <v>1861</v>
      </c>
      <c r="C1862" t="s">
        <v>393</v>
      </c>
      <c r="D1862" t="s">
        <v>394</v>
      </c>
      <c r="F1862" t="str">
        <f>"01-6N-29-1300-0061-0000"</f>
        <v>01-6N-29-1300-0061-0000</v>
      </c>
      <c r="H1862" t="str">
        <f>"WHTV AMELIA PARTNERS LLC"</f>
        <v>WHTV AMELIA PARTNERS LLC</v>
      </c>
      <c r="I1862" t="str">
        <f>"1258 OLDE TOWNE RD"</f>
        <v>1258 OLDE TOWNE RD</v>
      </c>
      <c r="J1862" t="str">
        <f>"ALEXANDRIA VA 22307"</f>
        <v>ALEXANDRIA VA 22307</v>
      </c>
      <c r="K1862" t="str">
        <f>"115 MARSH CREEK RD"</f>
        <v>115 MARSH CREEK RD</v>
      </c>
      <c r="L1862" t="str">
        <f t="shared" si="700"/>
        <v>FERNANDINA BEACH FL 32034</v>
      </c>
      <c r="M1862" t="str">
        <f>"LOT 61 IN OR 2039/407 MARSH CREEK VILLAGE 1 PB 4/18"</f>
        <v>LOT 61 IN OR 2039/407 MARSH CREEK VILLAGE 1 PB 4/18</v>
      </c>
      <c r="N1862" t="str">
        <f>""</f>
        <v/>
      </c>
      <c r="O1862" t="str">
        <f>"15985"</f>
        <v>15985</v>
      </c>
      <c r="P1862" t="str">
        <f t="shared" si="698"/>
        <v>2017</v>
      </c>
      <c r="Q1862" t="str">
        <f>""</f>
        <v/>
      </c>
      <c r="R1862" t="str">
        <f t="shared" si="701"/>
        <v>N</v>
      </c>
      <c r="S1862" t="str">
        <f>""</f>
        <v/>
      </c>
      <c r="T1862" t="str">
        <f>"6752.35"</f>
        <v>6752.35</v>
      </c>
      <c r="U1862" t="str">
        <f>"426095.00"</f>
        <v>426095.00</v>
      </c>
      <c r="V1862" t="str">
        <f>"426095.00"</f>
        <v>426095.00</v>
      </c>
      <c r="W1862" t="str">
        <f t="shared" si="699"/>
        <v>2017</v>
      </c>
      <c r="X1862" t="str">
        <f>""</f>
        <v/>
      </c>
      <c r="Y1862" t="str">
        <f>"6986.92"</f>
        <v>6986.92</v>
      </c>
      <c r="Z1862" t="str">
        <f>""</f>
        <v/>
      </c>
      <c r="AA1862" t="str">
        <f>"426095.00"</f>
        <v>426095.00</v>
      </c>
      <c r="AB1862" t="str">
        <f t="shared" si="702"/>
        <v>Residential</v>
      </c>
      <c r="AC1862" t="str">
        <f t="shared" si="682"/>
        <v>0</v>
      </c>
      <c r="AD1862" t="str">
        <f>"4"</f>
        <v>4</v>
      </c>
      <c r="AE1862" t="str">
        <f>"WOOD (INCLUDE STEEL STUDS)"</f>
        <v>WOOD (INCLUDE STEEL STUDS)</v>
      </c>
      <c r="AF1862" t="str">
        <f>"001"</f>
        <v>001</v>
      </c>
      <c r="AG1862" t="str">
        <f>"VA"</f>
        <v>VA</v>
      </c>
      <c r="AH1862" t="str">
        <f t="shared" ref="AH1862:AH1871" si="703">"-"</f>
        <v>-</v>
      </c>
      <c r="AI1862" t="str">
        <f>"225000.00"</f>
        <v>225000.00</v>
      </c>
      <c r="AJ1862" t="str">
        <f>"C55-000-586-2322-4"</f>
        <v>C55-000-586-2322-4</v>
      </c>
      <c r="AK1862" t="str">
        <f>"35446"</f>
        <v>35446</v>
      </c>
      <c r="AL1862">
        <v>7</v>
      </c>
      <c r="AM1862">
        <v>2121</v>
      </c>
      <c r="AN1862">
        <v>7334.67</v>
      </c>
      <c r="AQ1862" t="s">
        <v>18259</v>
      </c>
      <c r="AR1862" t="s">
        <v>18259</v>
      </c>
      <c r="AS1862" t="s">
        <v>18259</v>
      </c>
      <c r="AU1862" t="s">
        <v>396</v>
      </c>
      <c r="AV1862">
        <v>2017</v>
      </c>
      <c r="AW1862" t="str">
        <f>"01-6N-29-1300-0061-0000 "</f>
        <v xml:space="preserve">01-6N-29-1300-0061-0000 </v>
      </c>
      <c r="AX1862">
        <v>115</v>
      </c>
      <c r="AZ1862" t="s">
        <v>18260</v>
      </c>
      <c r="BA1862" t="s">
        <v>496</v>
      </c>
      <c r="BD1862" t="s">
        <v>11749</v>
      </c>
      <c r="BE1862" t="s">
        <v>393</v>
      </c>
      <c r="BF1862">
        <v>32034</v>
      </c>
      <c r="BG1862" t="s">
        <v>18261</v>
      </c>
      <c r="BH1862" t="s">
        <v>11751</v>
      </c>
      <c r="BI1862">
        <v>-81.452912142141898</v>
      </c>
      <c r="BJ1862">
        <v>30.550406905530998</v>
      </c>
      <c r="BK1862" t="s">
        <v>18262</v>
      </c>
      <c r="BM1862" t="s">
        <v>18263</v>
      </c>
      <c r="BN1862" t="s">
        <v>18264</v>
      </c>
      <c r="BO1862">
        <v>22307</v>
      </c>
      <c r="BP1862" t="s">
        <v>404</v>
      </c>
      <c r="BQ1862">
        <v>100</v>
      </c>
      <c r="BR1862" t="s">
        <v>514</v>
      </c>
      <c r="BS1862">
        <v>1001</v>
      </c>
      <c r="BT1862" t="s">
        <v>515</v>
      </c>
      <c r="BW1862">
        <v>17189</v>
      </c>
      <c r="BX1862" t="s">
        <v>407</v>
      </c>
      <c r="BY1862" t="s">
        <v>2729</v>
      </c>
      <c r="BZ1862">
        <v>4</v>
      </c>
      <c r="CA1862">
        <v>1991</v>
      </c>
      <c r="CB1862">
        <v>1</v>
      </c>
      <c r="CC1862">
        <v>1</v>
      </c>
      <c r="CD1862">
        <v>2017</v>
      </c>
      <c r="CE1862">
        <v>225000</v>
      </c>
      <c r="CF1862">
        <v>201095</v>
      </c>
      <c r="CG1862">
        <v>426095</v>
      </c>
      <c r="CH1862">
        <v>2017</v>
      </c>
      <c r="CI1862">
        <v>225000</v>
      </c>
      <c r="CJ1862">
        <v>201095</v>
      </c>
      <c r="CK1862">
        <v>426095</v>
      </c>
      <c r="CL1862">
        <v>2017</v>
      </c>
      <c r="CM1862">
        <v>6752.35</v>
      </c>
      <c r="CN1862" s="1">
        <v>42472</v>
      </c>
      <c r="CO1862">
        <v>450000</v>
      </c>
      <c r="CV1862">
        <v>0</v>
      </c>
      <c r="CZ1862" s="1">
        <v>42472</v>
      </c>
      <c r="DA1862">
        <v>0</v>
      </c>
      <c r="DD1862" t="s">
        <v>11749</v>
      </c>
      <c r="DF1862">
        <v>61</v>
      </c>
      <c r="DG1862">
        <v>23</v>
      </c>
      <c r="DJ1862" t="s">
        <v>18265</v>
      </c>
      <c r="DL1862">
        <v>50201</v>
      </c>
      <c r="DM1862" t="s">
        <v>18266</v>
      </c>
      <c r="DO1862" t="s">
        <v>18267</v>
      </c>
      <c r="DP1862">
        <v>0</v>
      </c>
      <c r="DQ1862">
        <v>0</v>
      </c>
      <c r="DR1862" t="s">
        <v>411</v>
      </c>
    </row>
    <row r="1863" spans="1:237" x14ac:dyDescent="0.25">
      <c r="A1863">
        <v>16486870</v>
      </c>
      <c r="B1863">
        <v>1862</v>
      </c>
      <c r="C1863" t="s">
        <v>393</v>
      </c>
      <c r="D1863" t="s">
        <v>394</v>
      </c>
      <c r="F1863" t="str">
        <f>"01-6N-29-V020-0403-0000"</f>
        <v>01-6N-29-V020-0403-0000</v>
      </c>
      <c r="H1863" t="str">
        <f>"RAY STUART N &amp; MICHELE R"</f>
        <v>RAY STUART N &amp; MICHELE R</v>
      </c>
      <c r="I1863" t="str">
        <f>"12203 LUCAS LANE"</f>
        <v>12203 LUCAS LANE</v>
      </c>
      <c r="J1863" t="str">
        <f>"ANCHORAGEE KY 40223"</f>
        <v>ANCHORAGEE KY 40223</v>
      </c>
      <c r="K1863" t="str">
        <f>"403 BEACHSIDE PL"</f>
        <v>403 BEACHSIDE PL</v>
      </c>
      <c r="L1863" t="str">
        <f t="shared" si="700"/>
        <v>FERNANDINA BEACH FL 32034</v>
      </c>
      <c r="M1863" t="str">
        <f>"UNIT 403 IN OR 1277/875 BEACHSIDE VILLAS CONDO OR 805/64"</f>
        <v>UNIT 403 IN OR 1277/875 BEACHSIDE VILLAS CONDO OR 805/64</v>
      </c>
      <c r="N1863" t="str">
        <f>""</f>
        <v/>
      </c>
      <c r="O1863" t="str">
        <f>"16578"</f>
        <v>16578</v>
      </c>
      <c r="P1863" t="str">
        <f t="shared" si="698"/>
        <v>2017</v>
      </c>
      <c r="Q1863" t="str">
        <f>""</f>
        <v/>
      </c>
      <c r="R1863" t="str">
        <f t="shared" si="701"/>
        <v>N</v>
      </c>
      <c r="S1863" t="str">
        <f>""</f>
        <v/>
      </c>
      <c r="T1863" t="str">
        <f>"11145.61"</f>
        <v>11145.61</v>
      </c>
      <c r="U1863" t="str">
        <f>"706000.00"</f>
        <v>706000.00</v>
      </c>
      <c r="V1863" t="str">
        <f>"706000.00"</f>
        <v>706000.00</v>
      </c>
      <c r="W1863" t="str">
        <f t="shared" si="699"/>
        <v>2017</v>
      </c>
      <c r="X1863" t="str">
        <f>""</f>
        <v/>
      </c>
      <c r="Y1863" t="str">
        <f>"11511.98"</f>
        <v>11511.98</v>
      </c>
      <c r="Z1863" t="str">
        <f>""</f>
        <v/>
      </c>
      <c r="AA1863" t="str">
        <f>"706000.00"</f>
        <v>706000.00</v>
      </c>
      <c r="AB1863" t="str">
        <f t="shared" si="702"/>
        <v>Residential</v>
      </c>
      <c r="AC1863" t="str">
        <f t="shared" si="682"/>
        <v>0</v>
      </c>
      <c r="AD1863" t="str">
        <f>""</f>
        <v/>
      </c>
      <c r="AE1863" t="str">
        <f>""</f>
        <v/>
      </c>
      <c r="AF1863" t="str">
        <f t="shared" ref="AF1863:AF1871" si="704">"004"</f>
        <v>004</v>
      </c>
      <c r="AG1863" t="str">
        <f>"KY"</f>
        <v>KY</v>
      </c>
      <c r="AH1863" t="str">
        <f t="shared" si="703"/>
        <v>-</v>
      </c>
      <c r="AI1863" t="str">
        <f t="shared" ref="AI1863:AI1871" si="705">"-"</f>
        <v>-</v>
      </c>
      <c r="AJ1863" t="str">
        <f>"C55-000-586-2788-6"</f>
        <v>C55-000-586-2788-6</v>
      </c>
      <c r="AK1863" t="str">
        <f>"34141"</f>
        <v>34141</v>
      </c>
      <c r="AL1863">
        <v>7</v>
      </c>
      <c r="AM1863">
        <v>2122</v>
      </c>
      <c r="AN1863">
        <v>12085.98</v>
      </c>
      <c r="AQ1863" t="s">
        <v>18268</v>
      </c>
      <c r="AR1863" t="s">
        <v>18268</v>
      </c>
      <c r="AS1863" t="s">
        <v>18268</v>
      </c>
      <c r="AU1863" t="s">
        <v>396</v>
      </c>
      <c r="AV1863">
        <v>2017</v>
      </c>
      <c r="AW1863" t="str">
        <f>"01-6N-29-V020-0403-0000 "</f>
        <v xml:space="preserve">01-6N-29-V020-0403-0000 </v>
      </c>
      <c r="AX1863">
        <v>403</v>
      </c>
      <c r="AZ1863" t="s">
        <v>18269</v>
      </c>
      <c r="BA1863" t="s">
        <v>641</v>
      </c>
      <c r="BD1863" t="s">
        <v>11749</v>
      </c>
      <c r="BE1863" t="s">
        <v>393</v>
      </c>
      <c r="BF1863">
        <v>32034</v>
      </c>
      <c r="BG1863" t="s">
        <v>18270</v>
      </c>
      <c r="BH1863" t="s">
        <v>11751</v>
      </c>
      <c r="BI1863">
        <v>-81.444100832602501</v>
      </c>
      <c r="BJ1863">
        <v>30.5592504855925</v>
      </c>
      <c r="BK1863" t="s">
        <v>18271</v>
      </c>
      <c r="BL1863" t="s">
        <v>18272</v>
      </c>
      <c r="BM1863" t="s">
        <v>18273</v>
      </c>
      <c r="BN1863" t="s">
        <v>18274</v>
      </c>
      <c r="BO1863">
        <v>40223</v>
      </c>
      <c r="BP1863" t="s">
        <v>404</v>
      </c>
      <c r="BQ1863">
        <v>400</v>
      </c>
      <c r="BR1863" t="s">
        <v>15097</v>
      </c>
      <c r="BS1863">
        <v>1004</v>
      </c>
      <c r="BT1863" t="s">
        <v>15098</v>
      </c>
      <c r="BW1863">
        <v>219333</v>
      </c>
      <c r="BX1863" t="s">
        <v>407</v>
      </c>
      <c r="CA1863">
        <v>1998</v>
      </c>
      <c r="CC1863">
        <v>1</v>
      </c>
      <c r="CD1863">
        <v>2017</v>
      </c>
      <c r="CF1863">
        <v>706000</v>
      </c>
      <c r="CG1863">
        <v>706000</v>
      </c>
      <c r="CH1863">
        <v>2017</v>
      </c>
      <c r="CJ1863">
        <v>706000</v>
      </c>
      <c r="CK1863">
        <v>706000</v>
      </c>
      <c r="CL1863">
        <v>2017</v>
      </c>
      <c r="CM1863">
        <v>11145.61</v>
      </c>
      <c r="CN1863" s="1">
        <v>38191</v>
      </c>
      <c r="CO1863">
        <v>970000</v>
      </c>
      <c r="CV1863">
        <v>770000</v>
      </c>
      <c r="CX1863" t="s">
        <v>675</v>
      </c>
      <c r="CZ1863" s="1">
        <v>38191</v>
      </c>
      <c r="DA1863">
        <v>0</v>
      </c>
      <c r="DD1863" t="s">
        <v>11749</v>
      </c>
      <c r="DG1863">
        <v>14</v>
      </c>
      <c r="DJ1863" t="s">
        <v>15276</v>
      </c>
      <c r="DL1863">
        <v>50201</v>
      </c>
      <c r="DM1863" t="s">
        <v>14802</v>
      </c>
      <c r="DO1863" t="s">
        <v>18275</v>
      </c>
      <c r="DP1863">
        <v>0</v>
      </c>
      <c r="DQ1863">
        <v>0</v>
      </c>
      <c r="DR1863" t="s">
        <v>411</v>
      </c>
      <c r="DS1863" t="b">
        <v>1</v>
      </c>
      <c r="DT1863" t="s">
        <v>470</v>
      </c>
      <c r="DU1863" t="s">
        <v>471</v>
      </c>
      <c r="DV1863" t="s">
        <v>472</v>
      </c>
      <c r="DX1863">
        <v>-9999</v>
      </c>
      <c r="DZ1863" t="s">
        <v>447</v>
      </c>
      <c r="EA1863" t="s">
        <v>448</v>
      </c>
      <c r="EB1863" t="s">
        <v>14787</v>
      </c>
      <c r="EC1863">
        <v>20101217</v>
      </c>
      <c r="ED1863" t="s">
        <v>474</v>
      </c>
      <c r="EF1863">
        <v>317.2</v>
      </c>
      <c r="EG1863">
        <v>317.2</v>
      </c>
      <c r="EI1863">
        <v>20160407</v>
      </c>
      <c r="EJ1863">
        <v>0</v>
      </c>
      <c r="EK1863">
        <v>0</v>
      </c>
    </row>
    <row r="1864" spans="1:237" x14ac:dyDescent="0.25">
      <c r="A1864">
        <v>16486871</v>
      </c>
      <c r="B1864">
        <v>1863</v>
      </c>
      <c r="C1864" t="s">
        <v>393</v>
      </c>
      <c r="D1864" t="s">
        <v>394</v>
      </c>
      <c r="F1864" t="str">
        <f>"01-6N-29-V020-0421-0000"</f>
        <v>01-6N-29-V020-0421-0000</v>
      </c>
      <c r="H1864" t="str">
        <f>"COLE ALICE WIGHT &amp; WIGHT ROBERT B"</f>
        <v>COLE ALICE WIGHT &amp; WIGHT ROBERT B</v>
      </c>
      <c r="I1864" t="str">
        <f>"3333 WISCONSIN AVE NW APT 504"</f>
        <v>3333 WISCONSIN AVE NW APT 504</v>
      </c>
      <c r="J1864" t="str">
        <f>"WASHINGTON DC 20016"</f>
        <v>WASHINGTON DC 20016</v>
      </c>
      <c r="K1864" t="str">
        <f>"421 BEACHSIDE PL"</f>
        <v>421 BEACHSIDE PL</v>
      </c>
      <c r="L1864" t="str">
        <f t="shared" si="700"/>
        <v>FERNANDINA BEACH FL 32034</v>
      </c>
      <c r="M1864" t="str">
        <f>"UNIT 421 IN OR 2010/1681 BEACHSIDE VILLAS CONDO OR 805/64"</f>
        <v>UNIT 421 IN OR 2010/1681 BEACHSIDE VILLAS CONDO OR 805/64</v>
      </c>
      <c r="N1864" t="str">
        <f>""</f>
        <v/>
      </c>
      <c r="O1864" t="str">
        <f>"16596"</f>
        <v>16596</v>
      </c>
      <c r="P1864" t="str">
        <f t="shared" si="698"/>
        <v>2017</v>
      </c>
      <c r="Q1864" t="str">
        <f>""</f>
        <v/>
      </c>
      <c r="R1864" t="str">
        <f t="shared" si="701"/>
        <v>N</v>
      </c>
      <c r="S1864" t="str">
        <f>""</f>
        <v/>
      </c>
      <c r="T1864" t="str">
        <f>"14426.44"</f>
        <v>14426.44</v>
      </c>
      <c r="U1864" t="str">
        <f>"917800.00"</f>
        <v>917800.00</v>
      </c>
      <c r="V1864" t="str">
        <f>"917800.00"</f>
        <v>917800.00</v>
      </c>
      <c r="W1864" t="str">
        <f t="shared" si="699"/>
        <v>2017</v>
      </c>
      <c r="X1864" t="str">
        <f>""</f>
        <v/>
      </c>
      <c r="Y1864" t="str">
        <f>"14891.23"</f>
        <v>14891.23</v>
      </c>
      <c r="Z1864" t="str">
        <f>""</f>
        <v/>
      </c>
      <c r="AA1864" t="str">
        <f>"917800.00"</f>
        <v>917800.00</v>
      </c>
      <c r="AB1864" t="str">
        <f t="shared" si="702"/>
        <v>Residential</v>
      </c>
      <c r="AC1864" t="str">
        <f t="shared" si="682"/>
        <v>0</v>
      </c>
      <c r="AD1864" t="str">
        <f>""</f>
        <v/>
      </c>
      <c r="AE1864" t="str">
        <f>""</f>
        <v/>
      </c>
      <c r="AF1864" t="str">
        <f t="shared" si="704"/>
        <v>004</v>
      </c>
      <c r="AG1864" t="str">
        <f>"DC"</f>
        <v>DC</v>
      </c>
      <c r="AH1864" t="str">
        <f t="shared" si="703"/>
        <v>-</v>
      </c>
      <c r="AI1864" t="str">
        <f t="shared" si="705"/>
        <v>-</v>
      </c>
      <c r="AJ1864" t="str">
        <f>"C55-000-586-2806-6"</f>
        <v>C55-000-586-2806-6</v>
      </c>
      <c r="AK1864" t="str">
        <f>"34159"</f>
        <v>34159</v>
      </c>
      <c r="AL1864">
        <v>7</v>
      </c>
      <c r="AM1864">
        <v>2123</v>
      </c>
      <c r="AN1864">
        <v>15634.19</v>
      </c>
      <c r="AQ1864" t="s">
        <v>18276</v>
      </c>
      <c r="AR1864" t="s">
        <v>18276</v>
      </c>
      <c r="AS1864" t="s">
        <v>18276</v>
      </c>
      <c r="AU1864" t="s">
        <v>396</v>
      </c>
      <c r="AV1864">
        <v>2017</v>
      </c>
      <c r="AW1864" t="str">
        <f>"01-6N-29-V020-0421-0000 "</f>
        <v xml:space="preserve">01-6N-29-V020-0421-0000 </v>
      </c>
      <c r="AX1864">
        <v>421</v>
      </c>
      <c r="AZ1864" t="s">
        <v>18269</v>
      </c>
      <c r="BA1864" t="s">
        <v>641</v>
      </c>
      <c r="BD1864" t="s">
        <v>11749</v>
      </c>
      <c r="BE1864" t="s">
        <v>393</v>
      </c>
      <c r="BF1864">
        <v>32034</v>
      </c>
      <c r="BG1864" t="s">
        <v>18277</v>
      </c>
      <c r="BH1864" t="s">
        <v>11751</v>
      </c>
      <c r="BI1864">
        <v>-81.444100832602501</v>
      </c>
      <c r="BJ1864">
        <v>30.5592504855925</v>
      </c>
      <c r="BK1864" t="s">
        <v>18278</v>
      </c>
      <c r="BL1864" t="s">
        <v>18279</v>
      </c>
      <c r="BM1864" t="s">
        <v>18280</v>
      </c>
      <c r="BN1864" t="s">
        <v>7362</v>
      </c>
      <c r="BO1864">
        <v>20016</v>
      </c>
      <c r="BP1864" t="s">
        <v>404</v>
      </c>
      <c r="BQ1864">
        <v>400</v>
      </c>
      <c r="BR1864" t="s">
        <v>15097</v>
      </c>
      <c r="BS1864">
        <v>1004</v>
      </c>
      <c r="BT1864" t="s">
        <v>15098</v>
      </c>
      <c r="BW1864">
        <v>219333</v>
      </c>
      <c r="BX1864" t="s">
        <v>407</v>
      </c>
      <c r="CA1864">
        <v>1998</v>
      </c>
      <c r="CC1864">
        <v>1</v>
      </c>
      <c r="CD1864">
        <v>2017</v>
      </c>
      <c r="CF1864">
        <v>917800</v>
      </c>
      <c r="CG1864">
        <v>917800</v>
      </c>
      <c r="CH1864">
        <v>2017</v>
      </c>
      <c r="CJ1864">
        <v>917800</v>
      </c>
      <c r="CK1864">
        <v>917800</v>
      </c>
      <c r="CL1864">
        <v>2017</v>
      </c>
      <c r="CM1864">
        <v>14426.44</v>
      </c>
      <c r="CN1864" s="1">
        <v>42282</v>
      </c>
      <c r="CZ1864" s="1">
        <v>42282</v>
      </c>
      <c r="DD1864" t="s">
        <v>11749</v>
      </c>
      <c r="DG1864">
        <v>14</v>
      </c>
      <c r="DJ1864" t="s">
        <v>15276</v>
      </c>
      <c r="DL1864">
        <v>50201</v>
      </c>
      <c r="DM1864" t="s">
        <v>14802</v>
      </c>
      <c r="DO1864" t="s">
        <v>18281</v>
      </c>
      <c r="DP1864">
        <v>0</v>
      </c>
      <c r="DQ1864">
        <v>0</v>
      </c>
      <c r="DR1864" t="s">
        <v>411</v>
      </c>
    </row>
    <row r="1865" spans="1:237" x14ac:dyDescent="0.25">
      <c r="A1865">
        <v>16486872</v>
      </c>
      <c r="B1865">
        <v>1864</v>
      </c>
      <c r="C1865" t="s">
        <v>393</v>
      </c>
      <c r="D1865" t="s">
        <v>394</v>
      </c>
      <c r="F1865" t="str">
        <f>"01-6N-29-V040-3030-0000"</f>
        <v>01-6N-29-V040-3030-0000</v>
      </c>
      <c r="H1865" t="str">
        <f>"STAFFORD LAURA C"</f>
        <v>STAFFORD LAURA C</v>
      </c>
      <c r="I1865" t="str">
        <f>"829 FOREST STREET"</f>
        <v>829 FOREST STREET</v>
      </c>
      <c r="J1865" t="str">
        <f>"HINESVILLE GA 31313"</f>
        <v>HINESVILLE GA 31313</v>
      </c>
      <c r="K1865" t="str">
        <f>"3030 SEA MARSH RD"</f>
        <v>3030 SEA MARSH RD</v>
      </c>
      <c r="L1865" t="str">
        <f t="shared" si="700"/>
        <v>FERNANDINA BEACH FL 32034</v>
      </c>
      <c r="M1865" t="str">
        <f>"VILLA UNIT 3030 IN OR 1347/1873 CLUB VILLAS"</f>
        <v>VILLA UNIT 3030 IN OR 1347/1873 CLUB VILLAS</v>
      </c>
      <c r="N1865" t="str">
        <f>""</f>
        <v/>
      </c>
      <c r="O1865" t="str">
        <f>"16669"</f>
        <v>16669</v>
      </c>
      <c r="P1865" t="str">
        <f t="shared" si="698"/>
        <v>2017</v>
      </c>
      <c r="Q1865" t="str">
        <f>""</f>
        <v/>
      </c>
      <c r="R1865" t="str">
        <f t="shared" si="701"/>
        <v>N</v>
      </c>
      <c r="S1865" t="str">
        <f>""</f>
        <v/>
      </c>
      <c r="T1865" t="str">
        <f>"3049.72"</f>
        <v>3049.72</v>
      </c>
      <c r="U1865" t="str">
        <f>"182875.00"</f>
        <v>182875.00</v>
      </c>
      <c r="V1865" t="str">
        <f>"182875.00"</f>
        <v>182875.00</v>
      </c>
      <c r="W1865" t="str">
        <f t="shared" si="699"/>
        <v>2017</v>
      </c>
      <c r="X1865" t="str">
        <f>""</f>
        <v/>
      </c>
      <c r="Y1865" t="str">
        <f>"3173.21"</f>
        <v>3173.21</v>
      </c>
      <c r="Z1865" t="str">
        <f>""</f>
        <v/>
      </c>
      <c r="AA1865" t="str">
        <f>"190000.00"</f>
        <v>190000.00</v>
      </c>
      <c r="AB1865" t="str">
        <f t="shared" si="702"/>
        <v>Residential</v>
      </c>
      <c r="AC1865" t="str">
        <f t="shared" si="682"/>
        <v>0</v>
      </c>
      <c r="AD1865" t="str">
        <f>""</f>
        <v/>
      </c>
      <c r="AE1865" t="str">
        <f>""</f>
        <v/>
      </c>
      <c r="AF1865" t="str">
        <f t="shared" si="704"/>
        <v>004</v>
      </c>
      <c r="AG1865" t="str">
        <f>"GA"</f>
        <v>GA</v>
      </c>
      <c r="AH1865" t="str">
        <f t="shared" si="703"/>
        <v>-</v>
      </c>
      <c r="AI1865" t="str">
        <f t="shared" si="705"/>
        <v>-</v>
      </c>
      <c r="AJ1865" t="str">
        <f>"C55-000-586-2878-5"</f>
        <v>C55-000-586-2878-5</v>
      </c>
      <c r="AK1865" t="str">
        <f>"34230"</f>
        <v>34230</v>
      </c>
      <c r="AL1865">
        <v>7</v>
      </c>
      <c r="AM1865">
        <v>2124</v>
      </c>
      <c r="AN1865">
        <v>3330.27</v>
      </c>
      <c r="AQ1865" t="s">
        <v>18282</v>
      </c>
      <c r="AR1865" t="s">
        <v>18282</v>
      </c>
      <c r="AS1865" t="s">
        <v>18282</v>
      </c>
      <c r="AU1865" t="s">
        <v>396</v>
      </c>
      <c r="AV1865">
        <v>2017</v>
      </c>
      <c r="AW1865" t="str">
        <f>"01-6N-29-V040-3030-0000 "</f>
        <v xml:space="preserve">01-6N-29-V040-3030-0000 </v>
      </c>
      <c r="AX1865">
        <v>3030</v>
      </c>
      <c r="AZ1865" t="s">
        <v>18283</v>
      </c>
      <c r="BA1865" t="s">
        <v>496</v>
      </c>
      <c r="BD1865" t="s">
        <v>11749</v>
      </c>
      <c r="BE1865" t="s">
        <v>393</v>
      </c>
      <c r="BF1865">
        <v>32034</v>
      </c>
      <c r="BG1865" t="s">
        <v>18284</v>
      </c>
      <c r="BH1865" t="s">
        <v>11751</v>
      </c>
      <c r="BI1865">
        <v>-81.453478718537298</v>
      </c>
      <c r="BJ1865">
        <v>30.5565877401609</v>
      </c>
      <c r="BK1865" t="s">
        <v>18285</v>
      </c>
      <c r="BM1865" t="s">
        <v>18286</v>
      </c>
      <c r="BN1865" t="s">
        <v>3158</v>
      </c>
      <c r="BO1865">
        <v>31313</v>
      </c>
      <c r="BP1865" t="s">
        <v>404</v>
      </c>
      <c r="BQ1865">
        <v>400</v>
      </c>
      <c r="BR1865" t="s">
        <v>15097</v>
      </c>
      <c r="BS1865">
        <v>1004</v>
      </c>
      <c r="BT1865" t="s">
        <v>15098</v>
      </c>
      <c r="BW1865">
        <v>390664</v>
      </c>
      <c r="BX1865" t="s">
        <v>407</v>
      </c>
      <c r="CA1865">
        <v>1974</v>
      </c>
      <c r="CC1865">
        <v>1</v>
      </c>
      <c r="CD1865">
        <v>2017</v>
      </c>
      <c r="CF1865">
        <v>190000</v>
      </c>
      <c r="CG1865">
        <v>190000</v>
      </c>
      <c r="CH1865">
        <v>2017</v>
      </c>
      <c r="CJ1865">
        <v>190000</v>
      </c>
      <c r="CK1865">
        <v>190000</v>
      </c>
      <c r="CL1865">
        <v>2017</v>
      </c>
      <c r="CM1865">
        <v>3049.72</v>
      </c>
      <c r="CN1865" s="1">
        <v>38602</v>
      </c>
      <c r="CO1865">
        <v>455000</v>
      </c>
      <c r="CV1865">
        <v>400000</v>
      </c>
      <c r="CX1865" t="s">
        <v>675</v>
      </c>
      <c r="CZ1865" s="1">
        <v>38602</v>
      </c>
      <c r="DA1865">
        <v>0</v>
      </c>
      <c r="DD1865" t="s">
        <v>11749</v>
      </c>
      <c r="DG1865">
        <v>22</v>
      </c>
      <c r="DI1865">
        <v>3030</v>
      </c>
      <c r="DJ1865" t="s">
        <v>18287</v>
      </c>
      <c r="DL1865">
        <v>50201</v>
      </c>
      <c r="DM1865" t="s">
        <v>18288</v>
      </c>
      <c r="DO1865" t="s">
        <v>18289</v>
      </c>
      <c r="DP1865">
        <v>0</v>
      </c>
      <c r="DQ1865">
        <v>5</v>
      </c>
      <c r="DR1865" t="s">
        <v>411</v>
      </c>
    </row>
    <row r="1866" spans="1:237" x14ac:dyDescent="0.25">
      <c r="A1866">
        <v>16486873</v>
      </c>
      <c r="B1866">
        <v>1865</v>
      </c>
      <c r="C1866" t="s">
        <v>393</v>
      </c>
      <c r="D1866" t="s">
        <v>394</v>
      </c>
      <c r="F1866" t="str">
        <f>"01-6N-29-V040-3060-0000"</f>
        <v>01-6N-29-V040-3060-0000</v>
      </c>
      <c r="H1866" t="str">
        <f>"COLLINS SUSAN L &amp; CROSBY BARBARA D ET AL"</f>
        <v>COLLINS SUSAN L &amp; CROSBY BARBARA D ET AL</v>
      </c>
      <c r="I1866" t="str">
        <f>"225 WEST 83RD ST APT 10C"</f>
        <v>225 WEST 83RD ST APT 10C</v>
      </c>
      <c r="J1866" t="str">
        <f>"NEW YORK NY 10024"</f>
        <v>NEW YORK NY 10024</v>
      </c>
      <c r="K1866" t="str">
        <f>"3060 SEA MARSH RD"</f>
        <v>3060 SEA MARSH RD</v>
      </c>
      <c r="L1866" t="str">
        <f t="shared" si="700"/>
        <v>FERNANDINA BEACH FL 32034</v>
      </c>
      <c r="M1866" t="str">
        <f>"VILLA UNIT 3060 IN OR 2054/1413 CLUB VILLAS"</f>
        <v>VILLA UNIT 3060 IN OR 2054/1413 CLUB VILLAS</v>
      </c>
      <c r="N1866" t="str">
        <f>""</f>
        <v/>
      </c>
      <c r="O1866" t="str">
        <f>"16699"</f>
        <v>16699</v>
      </c>
      <c r="P1866" t="str">
        <f t="shared" si="698"/>
        <v>2017</v>
      </c>
      <c r="Q1866" t="str">
        <f>""</f>
        <v/>
      </c>
      <c r="R1866" t="str">
        <f t="shared" si="701"/>
        <v>N</v>
      </c>
      <c r="S1866" t="str">
        <f>""</f>
        <v/>
      </c>
      <c r="T1866" t="str">
        <f>"3265.84"</f>
        <v>3265.84</v>
      </c>
      <c r="U1866" t="str">
        <f>"200000.00"</f>
        <v>200000.00</v>
      </c>
      <c r="V1866" t="str">
        <f>"200000.00"</f>
        <v>200000.00</v>
      </c>
      <c r="W1866" t="str">
        <f t="shared" si="699"/>
        <v>2017</v>
      </c>
      <c r="X1866" t="str">
        <f>"1.00"</f>
        <v>1.00</v>
      </c>
      <c r="Y1866" t="str">
        <f>"3395.82"</f>
        <v>3395.82</v>
      </c>
      <c r="Z1866" t="str">
        <f>""</f>
        <v/>
      </c>
      <c r="AA1866" t="str">
        <f>"200000.00"</f>
        <v>200000.00</v>
      </c>
      <c r="AB1866" t="str">
        <f t="shared" si="702"/>
        <v>Residential</v>
      </c>
      <c r="AC1866" t="str">
        <f t="shared" si="682"/>
        <v>0</v>
      </c>
      <c r="AD1866" t="str">
        <f>""</f>
        <v/>
      </c>
      <c r="AE1866" t="str">
        <f>""</f>
        <v/>
      </c>
      <c r="AF1866" t="str">
        <f t="shared" si="704"/>
        <v>004</v>
      </c>
      <c r="AG1866" t="str">
        <f>"NY"</f>
        <v>NY</v>
      </c>
      <c r="AH1866" t="str">
        <f t="shared" si="703"/>
        <v>-</v>
      </c>
      <c r="AI1866" t="str">
        <f t="shared" si="705"/>
        <v>-</v>
      </c>
      <c r="AJ1866" t="str">
        <f>"C55-000-586-2908-0"</f>
        <v>C55-000-586-2908-0</v>
      </c>
      <c r="AK1866" t="str">
        <f>"34260"</f>
        <v>34260</v>
      </c>
      <c r="AL1866">
        <v>7</v>
      </c>
      <c r="AM1866">
        <v>2125</v>
      </c>
      <c r="AN1866">
        <v>3564.01</v>
      </c>
      <c r="AQ1866" t="s">
        <v>18290</v>
      </c>
      <c r="AR1866" t="s">
        <v>18290</v>
      </c>
      <c r="AS1866" t="s">
        <v>18290</v>
      </c>
      <c r="AU1866" t="s">
        <v>396</v>
      </c>
      <c r="AV1866">
        <v>2017</v>
      </c>
      <c r="AW1866" t="str">
        <f>"01-6N-29-V040-3060-0000 "</f>
        <v xml:space="preserve">01-6N-29-V040-3060-0000 </v>
      </c>
      <c r="AX1866">
        <v>3060</v>
      </c>
      <c r="AZ1866" t="s">
        <v>18283</v>
      </c>
      <c r="BA1866" t="s">
        <v>496</v>
      </c>
      <c r="BD1866" t="s">
        <v>11749</v>
      </c>
      <c r="BE1866" t="s">
        <v>393</v>
      </c>
      <c r="BF1866">
        <v>32034</v>
      </c>
      <c r="BG1866" t="s">
        <v>18291</v>
      </c>
      <c r="BH1866" t="s">
        <v>11751</v>
      </c>
      <c r="BI1866">
        <v>-81.453478718537298</v>
      </c>
      <c r="BJ1866">
        <v>30.5565877401609</v>
      </c>
      <c r="BK1866" t="s">
        <v>18292</v>
      </c>
      <c r="BM1866" t="s">
        <v>18293</v>
      </c>
      <c r="BN1866" t="s">
        <v>18294</v>
      </c>
      <c r="BO1866">
        <v>7945</v>
      </c>
      <c r="BP1866" t="s">
        <v>404</v>
      </c>
      <c r="BQ1866">
        <v>400</v>
      </c>
      <c r="BR1866" t="s">
        <v>15097</v>
      </c>
      <c r="BS1866">
        <v>1004</v>
      </c>
      <c r="BT1866" t="s">
        <v>15098</v>
      </c>
      <c r="BW1866">
        <v>390664</v>
      </c>
      <c r="BX1866" t="s">
        <v>407</v>
      </c>
      <c r="CA1866">
        <v>1974</v>
      </c>
      <c r="CC1866">
        <v>1</v>
      </c>
      <c r="CD1866">
        <v>2017</v>
      </c>
      <c r="CF1866">
        <v>200000</v>
      </c>
      <c r="CG1866">
        <v>200000</v>
      </c>
      <c r="CH1866">
        <v>2017</v>
      </c>
      <c r="CJ1866">
        <v>200000</v>
      </c>
      <c r="CK1866">
        <v>200000</v>
      </c>
      <c r="CL1866">
        <v>2017</v>
      </c>
      <c r="CM1866">
        <v>3265.84</v>
      </c>
      <c r="CN1866" s="1">
        <v>42543</v>
      </c>
      <c r="CZ1866" s="1">
        <v>42543</v>
      </c>
      <c r="DD1866" t="s">
        <v>11749</v>
      </c>
      <c r="DG1866">
        <v>22</v>
      </c>
      <c r="DI1866">
        <v>3060</v>
      </c>
      <c r="DJ1866" t="s">
        <v>18287</v>
      </c>
      <c r="DL1866">
        <v>50201</v>
      </c>
      <c r="DM1866" t="s">
        <v>18288</v>
      </c>
      <c r="DO1866" t="s">
        <v>18295</v>
      </c>
      <c r="DP1866">
        <v>0</v>
      </c>
      <c r="DQ1866">
        <v>5</v>
      </c>
      <c r="DR1866" t="s">
        <v>411</v>
      </c>
      <c r="DS1866" t="b">
        <v>1</v>
      </c>
      <c r="DT1866" t="s">
        <v>8902</v>
      </c>
      <c r="DV1866" t="s">
        <v>446</v>
      </c>
      <c r="DX1866">
        <v>9</v>
      </c>
      <c r="DY1866" t="s">
        <v>11438</v>
      </c>
      <c r="DZ1866" t="s">
        <v>447</v>
      </c>
      <c r="EA1866" t="s">
        <v>448</v>
      </c>
      <c r="EB1866" t="s">
        <v>18296</v>
      </c>
      <c r="EC1866">
        <v>20101217</v>
      </c>
      <c r="ED1866" t="s">
        <v>450</v>
      </c>
      <c r="EE1866">
        <v>5</v>
      </c>
      <c r="EF1866">
        <v>0</v>
      </c>
      <c r="EG1866">
        <v>0</v>
      </c>
      <c r="EI1866">
        <v>20160407</v>
      </c>
      <c r="EJ1866">
        <v>0</v>
      </c>
      <c r="EK1866">
        <v>0</v>
      </c>
      <c r="EP1866" t="s">
        <v>421</v>
      </c>
      <c r="EQ1866" t="s">
        <v>422</v>
      </c>
      <c r="ER1866">
        <v>2</v>
      </c>
      <c r="ES1866">
        <v>2</v>
      </c>
      <c r="ET1866">
        <v>6260.9</v>
      </c>
      <c r="EU1866">
        <v>325.54000000000002</v>
      </c>
      <c r="EV1866">
        <v>6586.44</v>
      </c>
      <c r="EW1866" s="2">
        <v>43222</v>
      </c>
      <c r="EX1866" s="1">
        <v>42879</v>
      </c>
      <c r="EY1866">
        <v>2016</v>
      </c>
      <c r="EZ1866">
        <v>3130.45</v>
      </c>
      <c r="FA1866" t="s">
        <v>18297</v>
      </c>
      <c r="FB1866">
        <v>0.25</v>
      </c>
      <c r="FC1866" t="s">
        <v>424</v>
      </c>
      <c r="FD1866" t="s">
        <v>454</v>
      </c>
      <c r="FF1866">
        <v>12</v>
      </c>
      <c r="FG1866">
        <v>2851116</v>
      </c>
      <c r="FH1866" t="s">
        <v>480</v>
      </c>
      <c r="FJ1866" s="1">
        <v>42879</v>
      </c>
      <c r="FK1866">
        <v>2016</v>
      </c>
      <c r="FL1866">
        <v>3130.45</v>
      </c>
      <c r="FM1866" t="s">
        <v>18297</v>
      </c>
      <c r="FN1866">
        <v>0.25</v>
      </c>
      <c r="FO1866" t="s">
        <v>424</v>
      </c>
      <c r="FP1866" t="s">
        <v>454</v>
      </c>
      <c r="FR1866">
        <v>12</v>
      </c>
      <c r="FS1866">
        <v>5425969</v>
      </c>
      <c r="FT1866" t="s">
        <v>18298</v>
      </c>
      <c r="FV1866" s="1">
        <v>42515</v>
      </c>
      <c r="FW1866">
        <v>2015</v>
      </c>
      <c r="FX1866">
        <v>3425.81</v>
      </c>
      <c r="FY1866" t="s">
        <v>18299</v>
      </c>
      <c r="FZ1866">
        <v>0.25</v>
      </c>
      <c r="GA1866" t="s">
        <v>424</v>
      </c>
      <c r="GB1866" t="s">
        <v>425</v>
      </c>
      <c r="GC1866" s="1">
        <v>42542</v>
      </c>
      <c r="GD1866">
        <v>1</v>
      </c>
      <c r="GE1866">
        <v>7045074</v>
      </c>
      <c r="GF1866" t="s">
        <v>580</v>
      </c>
      <c r="GH1866" s="1">
        <v>42515</v>
      </c>
      <c r="GI1866">
        <v>2015</v>
      </c>
      <c r="GJ1866">
        <v>3425.81</v>
      </c>
      <c r="GK1866" t="s">
        <v>18299</v>
      </c>
      <c r="GL1866">
        <v>0.25</v>
      </c>
      <c r="GM1866" t="s">
        <v>424</v>
      </c>
      <c r="GN1866" t="s">
        <v>425</v>
      </c>
      <c r="GP1866">
        <v>22</v>
      </c>
      <c r="GQ1866">
        <v>6250504</v>
      </c>
      <c r="GR1866" t="s">
        <v>18300</v>
      </c>
    </row>
    <row r="1867" spans="1:237" x14ac:dyDescent="0.25">
      <c r="A1867">
        <v>16486874</v>
      </c>
      <c r="B1867">
        <v>1866</v>
      </c>
      <c r="C1867" t="s">
        <v>393</v>
      </c>
      <c r="D1867" t="s">
        <v>394</v>
      </c>
      <c r="F1867" t="str">
        <f>"01-6N-29-V090-3211-0000"</f>
        <v>01-6N-29-V090-3211-0000</v>
      </c>
      <c r="H1867" t="str">
        <f>"STANWICH MORTGAGE LOAN TRUST CHRISTIANA TRUST TRUSTEE"</f>
        <v>STANWICH MORTGAGE LOAN TRUST CHRISTIANA TRUST TRUSTEE</v>
      </c>
      <c r="I1867" t="str">
        <f>"3801 KENNETT PIKE STE C200"</f>
        <v>3801 KENNETT PIKE STE C200</v>
      </c>
      <c r="J1867" t="str">
        <f>"GREENVILLE DE 19807"</f>
        <v>GREENVILLE DE 19807</v>
      </c>
      <c r="K1867" t="str">
        <f>"3211 SEA MARSH RD"</f>
        <v>3211 SEA MARSH RD</v>
      </c>
      <c r="L1867" t="str">
        <f t="shared" si="700"/>
        <v>FERNANDINA BEACH FL 32034</v>
      </c>
      <c r="M1867" t="str">
        <f>"VILLA UNIT 3211 IN OR 1968/1882 FAIRWAY OAKS VILLAS PARCEL 9"</f>
        <v>VILLA UNIT 3211 IN OR 1968/1882 FAIRWAY OAKS VILLAS PARCEL 9</v>
      </c>
      <c r="N1867" t="str">
        <f>""</f>
        <v/>
      </c>
      <c r="O1867" t="str">
        <f>"16755"</f>
        <v>16755</v>
      </c>
      <c r="P1867" t="str">
        <f t="shared" si="698"/>
        <v>2017</v>
      </c>
      <c r="Q1867" t="str">
        <f>""</f>
        <v/>
      </c>
      <c r="R1867" t="str">
        <f t="shared" si="701"/>
        <v>N</v>
      </c>
      <c r="S1867" t="str">
        <f>""</f>
        <v/>
      </c>
      <c r="T1867" t="str">
        <f>"3204.15"</f>
        <v>3204.15</v>
      </c>
      <c r="U1867" t="str">
        <f>"196000.00"</f>
        <v>196000.00</v>
      </c>
      <c r="V1867" t="str">
        <f>"196000.00"</f>
        <v>196000.00</v>
      </c>
      <c r="W1867" t="str">
        <f t="shared" si="699"/>
        <v>2017</v>
      </c>
      <c r="X1867" t="str">
        <f>"7.00"</f>
        <v>7.00</v>
      </c>
      <c r="Y1867" t="str">
        <f>"3332.27"</f>
        <v>3332.27</v>
      </c>
      <c r="Z1867" t="str">
        <f>""</f>
        <v/>
      </c>
      <c r="AA1867" t="str">
        <f>"196000.00"</f>
        <v>196000.00</v>
      </c>
      <c r="AB1867" t="str">
        <f t="shared" si="702"/>
        <v>Residential</v>
      </c>
      <c r="AC1867" t="str">
        <f t="shared" si="682"/>
        <v>0</v>
      </c>
      <c r="AD1867" t="str">
        <f>""</f>
        <v/>
      </c>
      <c r="AE1867" t="str">
        <f>""</f>
        <v/>
      </c>
      <c r="AF1867" t="str">
        <f t="shared" si="704"/>
        <v>004</v>
      </c>
      <c r="AG1867" t="str">
        <f>"DE"</f>
        <v>DE</v>
      </c>
      <c r="AH1867" t="str">
        <f t="shared" si="703"/>
        <v>-</v>
      </c>
      <c r="AI1867" t="str">
        <f t="shared" si="705"/>
        <v>-</v>
      </c>
      <c r="AJ1867" t="str">
        <f>"C55-000-586-2962-7"</f>
        <v>C55-000-586-2962-7</v>
      </c>
      <c r="AK1867" t="str">
        <f>"34314"</f>
        <v>34314</v>
      </c>
      <c r="AL1867">
        <v>7</v>
      </c>
      <c r="AM1867">
        <v>2126</v>
      </c>
      <c r="AN1867">
        <v>3497.28</v>
      </c>
      <c r="AQ1867" t="s">
        <v>18301</v>
      </c>
      <c r="AR1867" t="s">
        <v>18301</v>
      </c>
      <c r="AS1867" t="s">
        <v>18301</v>
      </c>
      <c r="AU1867" t="s">
        <v>396</v>
      </c>
      <c r="AV1867">
        <v>2017</v>
      </c>
      <c r="AW1867" t="str">
        <f>"01-6N-29-V090-3211-0000 "</f>
        <v xml:space="preserve">01-6N-29-V090-3211-0000 </v>
      </c>
      <c r="AX1867">
        <v>3211</v>
      </c>
      <c r="AZ1867" t="s">
        <v>18283</v>
      </c>
      <c r="BA1867" t="s">
        <v>496</v>
      </c>
      <c r="BD1867" t="s">
        <v>11749</v>
      </c>
      <c r="BE1867" t="s">
        <v>393</v>
      </c>
      <c r="BF1867">
        <v>32034</v>
      </c>
      <c r="BG1867" t="s">
        <v>18302</v>
      </c>
      <c r="BH1867" t="s">
        <v>11751</v>
      </c>
      <c r="BI1867">
        <v>-81.453945255881806</v>
      </c>
      <c r="BJ1867">
        <v>30.5601655966524</v>
      </c>
      <c r="BK1867" t="s">
        <v>18303</v>
      </c>
      <c r="BM1867" t="s">
        <v>18304</v>
      </c>
      <c r="BN1867" t="s">
        <v>18305</v>
      </c>
      <c r="BO1867">
        <v>19807</v>
      </c>
      <c r="BP1867" t="s">
        <v>404</v>
      </c>
      <c r="BQ1867">
        <v>400</v>
      </c>
      <c r="BR1867" t="s">
        <v>15097</v>
      </c>
      <c r="BS1867">
        <v>1004</v>
      </c>
      <c r="BT1867" t="s">
        <v>15098</v>
      </c>
      <c r="BW1867">
        <v>117072</v>
      </c>
      <c r="BX1867" t="s">
        <v>407</v>
      </c>
      <c r="CA1867">
        <v>1974</v>
      </c>
      <c r="CC1867">
        <v>1</v>
      </c>
      <c r="CD1867">
        <v>2017</v>
      </c>
      <c r="CF1867">
        <v>196000</v>
      </c>
      <c r="CG1867">
        <v>196000</v>
      </c>
      <c r="CH1867">
        <v>2017</v>
      </c>
      <c r="CJ1867">
        <v>196000</v>
      </c>
      <c r="CK1867">
        <v>196000</v>
      </c>
      <c r="CL1867">
        <v>2017</v>
      </c>
      <c r="CM1867">
        <v>3204.15</v>
      </c>
      <c r="CN1867" s="1">
        <v>39239</v>
      </c>
      <c r="CO1867">
        <v>410000</v>
      </c>
      <c r="CV1867">
        <v>410000</v>
      </c>
      <c r="CX1867" t="s">
        <v>675</v>
      </c>
      <c r="CZ1867" s="1">
        <v>39239</v>
      </c>
      <c r="DA1867">
        <v>0</v>
      </c>
      <c r="DD1867" t="s">
        <v>11749</v>
      </c>
      <c r="DG1867">
        <v>20</v>
      </c>
      <c r="DI1867">
        <v>3211</v>
      </c>
      <c r="DJ1867" t="s">
        <v>18306</v>
      </c>
      <c r="DL1867">
        <v>50201</v>
      </c>
      <c r="DM1867" t="s">
        <v>18307</v>
      </c>
      <c r="DO1867" t="s">
        <v>18308</v>
      </c>
      <c r="DP1867">
        <v>0</v>
      </c>
      <c r="DQ1867">
        <v>0</v>
      </c>
      <c r="DR1867" t="s">
        <v>411</v>
      </c>
      <c r="DS1867" t="b">
        <v>1</v>
      </c>
      <c r="DT1867" t="s">
        <v>470</v>
      </c>
      <c r="DU1867" t="s">
        <v>10249</v>
      </c>
      <c r="DV1867" t="s">
        <v>472</v>
      </c>
      <c r="DX1867">
        <v>-9999</v>
      </c>
      <c r="DZ1867" t="s">
        <v>447</v>
      </c>
      <c r="EA1867" t="s">
        <v>448</v>
      </c>
      <c r="EB1867" t="s">
        <v>18309</v>
      </c>
      <c r="EC1867">
        <v>20101217</v>
      </c>
      <c r="ED1867" t="s">
        <v>10251</v>
      </c>
      <c r="EE1867">
        <v>5</v>
      </c>
      <c r="EF1867">
        <v>85.7</v>
      </c>
      <c r="EG1867">
        <v>0</v>
      </c>
      <c r="EH1867" t="s">
        <v>451</v>
      </c>
      <c r="EI1867">
        <v>20140731</v>
      </c>
      <c r="EJ1867">
        <v>0</v>
      </c>
      <c r="EK1867">
        <v>0</v>
      </c>
      <c r="EP1867" t="s">
        <v>421</v>
      </c>
      <c r="EQ1867" t="s">
        <v>422</v>
      </c>
      <c r="ER1867">
        <v>0</v>
      </c>
      <c r="ES1867">
        <v>1</v>
      </c>
      <c r="ET1867">
        <v>0</v>
      </c>
      <c r="EU1867">
        <v>0</v>
      </c>
      <c r="EV1867">
        <v>0</v>
      </c>
      <c r="EW1867" s="2">
        <v>43222</v>
      </c>
      <c r="EX1867" s="1">
        <v>41787</v>
      </c>
      <c r="EY1867">
        <v>2013</v>
      </c>
      <c r="EZ1867">
        <v>3223.83</v>
      </c>
      <c r="FA1867" t="s">
        <v>18310</v>
      </c>
      <c r="FB1867">
        <v>0.25</v>
      </c>
      <c r="FC1867" t="s">
        <v>424</v>
      </c>
      <c r="FD1867" t="s">
        <v>425</v>
      </c>
      <c r="FE1867" s="1">
        <v>42136</v>
      </c>
      <c r="FF1867">
        <v>12</v>
      </c>
      <c r="FG1867">
        <v>2757457</v>
      </c>
      <c r="FH1867" t="s">
        <v>648</v>
      </c>
    </row>
    <row r="1868" spans="1:237" x14ac:dyDescent="0.25">
      <c r="A1868">
        <v>16486875</v>
      </c>
      <c r="B1868">
        <v>1867</v>
      </c>
      <c r="C1868" t="s">
        <v>393</v>
      </c>
      <c r="D1868" t="s">
        <v>394</v>
      </c>
      <c r="F1868" t="str">
        <f>"01-6N-29-V14A-1016-0000"</f>
        <v>01-6N-29-V14A-1016-0000</v>
      </c>
      <c r="H1868" t="str">
        <f>"MURRAY KEVIN E 81 SANDPIPER CT"</f>
        <v>MURRAY KEVIN E 81 SANDPIPER CT</v>
      </c>
      <c r="I1868" t="str">
        <f>"8 THOMAS MO"</f>
        <v>8 THOMAS MO</v>
      </c>
      <c r="J1868" t="str">
        <f>"LONDON UK"</f>
        <v>LONDON UK</v>
      </c>
      <c r="K1868" t="str">
        <f>"1016 CAPTAINS COURT DR"</f>
        <v>1016 CAPTAINS COURT DR</v>
      </c>
      <c r="L1868" t="str">
        <f t="shared" si="700"/>
        <v>FERNANDINA BEACH FL 32034</v>
      </c>
      <c r="M1868" t="str">
        <f>"VILLA UNIT 1016 IN OR 1452/333 CAPTAINS COURT VILLAS"</f>
        <v>VILLA UNIT 1016 IN OR 1452/333 CAPTAINS COURT VILLAS</v>
      </c>
      <c r="N1868" t="str">
        <f>""</f>
        <v/>
      </c>
      <c r="O1868" t="str">
        <f>"16903"</f>
        <v>16903</v>
      </c>
      <c r="P1868" t="str">
        <f t="shared" si="698"/>
        <v>2017</v>
      </c>
      <c r="Q1868" t="str">
        <f>""</f>
        <v/>
      </c>
      <c r="R1868" t="str">
        <f t="shared" si="701"/>
        <v>N</v>
      </c>
      <c r="S1868" t="str">
        <f>""</f>
        <v/>
      </c>
      <c r="T1868" t="str">
        <f>"8127.54"</f>
        <v>8127.54</v>
      </c>
      <c r="U1868" t="str">
        <f>"441650.00"</f>
        <v>441650.00</v>
      </c>
      <c r="V1868" t="str">
        <f>"441650.00"</f>
        <v>441650.00</v>
      </c>
      <c r="W1868" t="str">
        <f t="shared" si="699"/>
        <v>2017</v>
      </c>
      <c r="X1868" t="str">
        <f>""</f>
        <v/>
      </c>
      <c r="Y1868" t="str">
        <f>"8403.37"</f>
        <v>8403.37</v>
      </c>
      <c r="Z1868" t="str">
        <f>""</f>
        <v/>
      </c>
      <c r="AA1868" t="str">
        <f>"600000.00"</f>
        <v>600000.00</v>
      </c>
      <c r="AB1868" t="str">
        <f t="shared" si="702"/>
        <v>Residential</v>
      </c>
      <c r="AC1868" t="str">
        <f t="shared" si="682"/>
        <v>0</v>
      </c>
      <c r="AD1868" t="str">
        <f>""</f>
        <v/>
      </c>
      <c r="AE1868" t="str">
        <f>""</f>
        <v/>
      </c>
      <c r="AF1868" t="str">
        <f t="shared" si="704"/>
        <v>004</v>
      </c>
      <c r="AG1868" t="str">
        <f>"FC"</f>
        <v>FC</v>
      </c>
      <c r="AH1868" t="str">
        <f t="shared" si="703"/>
        <v>-</v>
      </c>
      <c r="AI1868" t="str">
        <f t="shared" si="705"/>
        <v>-</v>
      </c>
      <c r="AJ1868" t="str">
        <f>"C55-000-586-3107-8"</f>
        <v>C55-000-586-3107-8</v>
      </c>
      <c r="AK1868" t="str">
        <f>"34459"</f>
        <v>34459</v>
      </c>
      <c r="AL1868">
        <v>7</v>
      </c>
      <c r="AM1868">
        <v>2128</v>
      </c>
      <c r="AN1868">
        <v>8821.94</v>
      </c>
      <c r="AQ1868" t="s">
        <v>18311</v>
      </c>
      <c r="AR1868" t="s">
        <v>18311</v>
      </c>
      <c r="AS1868" t="s">
        <v>18311</v>
      </c>
      <c r="AU1868" t="s">
        <v>396</v>
      </c>
      <c r="AV1868">
        <v>2017</v>
      </c>
      <c r="AW1868" t="str">
        <f>"01-6N-29-V14A-1016-0000 "</f>
        <v xml:space="preserve">01-6N-29-V14A-1016-0000 </v>
      </c>
      <c r="AX1868">
        <v>1016</v>
      </c>
      <c r="AZ1868" t="s">
        <v>18312</v>
      </c>
      <c r="BA1868" t="s">
        <v>669</v>
      </c>
      <c r="BD1868" t="s">
        <v>11749</v>
      </c>
      <c r="BE1868" t="s">
        <v>393</v>
      </c>
      <c r="BF1868">
        <v>32034</v>
      </c>
      <c r="BG1868" t="s">
        <v>18313</v>
      </c>
      <c r="BH1868" t="s">
        <v>11751</v>
      </c>
      <c r="BI1868">
        <v>-81.443786874051298</v>
      </c>
      <c r="BJ1868">
        <v>30.5525675053402</v>
      </c>
      <c r="BK1868" t="s">
        <v>18314</v>
      </c>
      <c r="BM1868" t="s">
        <v>18315</v>
      </c>
      <c r="BN1868" t="s">
        <v>3181</v>
      </c>
      <c r="BP1868" t="s">
        <v>404</v>
      </c>
      <c r="BQ1868">
        <v>400</v>
      </c>
      <c r="BR1868" t="s">
        <v>15097</v>
      </c>
      <c r="BS1868">
        <v>1004</v>
      </c>
      <c r="BT1868" t="s">
        <v>15098</v>
      </c>
      <c r="BW1868">
        <v>152617</v>
      </c>
      <c r="BX1868" t="s">
        <v>407</v>
      </c>
      <c r="CA1868">
        <v>1974</v>
      </c>
      <c r="CC1868">
        <v>1</v>
      </c>
      <c r="CD1868">
        <v>2017</v>
      </c>
      <c r="CF1868">
        <v>600000</v>
      </c>
      <c r="CG1868">
        <v>600000</v>
      </c>
      <c r="CH1868">
        <v>2017</v>
      </c>
      <c r="CJ1868">
        <v>600000</v>
      </c>
      <c r="CK1868">
        <v>600000</v>
      </c>
      <c r="CL1868">
        <v>2017</v>
      </c>
      <c r="CM1868">
        <v>8127.54</v>
      </c>
      <c r="CN1868" s="1">
        <v>39003</v>
      </c>
      <c r="CO1868">
        <v>270000</v>
      </c>
      <c r="CZ1868" s="1">
        <v>39003</v>
      </c>
      <c r="DD1868" t="s">
        <v>11749</v>
      </c>
      <c r="DG1868">
        <v>22</v>
      </c>
      <c r="DI1868">
        <v>1016</v>
      </c>
      <c r="DJ1868" t="s">
        <v>18312</v>
      </c>
      <c r="DL1868">
        <v>50201</v>
      </c>
      <c r="DM1868" t="s">
        <v>18288</v>
      </c>
      <c r="DO1868" t="s">
        <v>18316</v>
      </c>
      <c r="DP1868">
        <v>0</v>
      </c>
      <c r="DQ1868">
        <v>0</v>
      </c>
      <c r="DR1868" t="s">
        <v>411</v>
      </c>
    </row>
    <row r="1869" spans="1:237" x14ac:dyDescent="0.25">
      <c r="A1869">
        <v>16486876</v>
      </c>
      <c r="B1869">
        <v>1868</v>
      </c>
      <c r="C1869" t="s">
        <v>393</v>
      </c>
      <c r="D1869" t="s">
        <v>394</v>
      </c>
      <c r="F1869" t="str">
        <f>"01-6N-29-V14A-1022-0000"</f>
        <v>01-6N-29-V14A-1022-0000</v>
      </c>
      <c r="H1869" t="str">
        <f>"BARNES W M KEN"</f>
        <v>BARNES W M KEN</v>
      </c>
      <c r="I1869" t="str">
        <f>"PO BOX 305"</f>
        <v>PO BOX 305</v>
      </c>
      <c r="J1869" t="str">
        <f>"WOODBURY GA 30293"</f>
        <v>WOODBURY GA 30293</v>
      </c>
      <c r="K1869" t="str">
        <f>"1022 CAPTAINS COURT DR"</f>
        <v>1022 CAPTAINS COURT DR</v>
      </c>
      <c r="L1869" t="str">
        <f t="shared" si="700"/>
        <v>FERNANDINA BEACH FL 32034</v>
      </c>
      <c r="M1869" t="str">
        <f>"VILLA UNIT 1022 IN OR 984/465 CAPTAINS COURT VILLAS"</f>
        <v>VILLA UNIT 1022 IN OR 984/465 CAPTAINS COURT VILLAS</v>
      </c>
      <c r="N1869" t="str">
        <f>""</f>
        <v/>
      </c>
      <c r="O1869" t="str">
        <f>"16909"</f>
        <v>16909</v>
      </c>
      <c r="P1869" t="str">
        <f t="shared" si="698"/>
        <v>2017</v>
      </c>
      <c r="Q1869" t="str">
        <f>""</f>
        <v/>
      </c>
      <c r="R1869" t="str">
        <f t="shared" si="701"/>
        <v>N</v>
      </c>
      <c r="S1869" t="str">
        <f>""</f>
        <v/>
      </c>
      <c r="T1869" t="str">
        <f>"8127.54"</f>
        <v>8127.54</v>
      </c>
      <c r="U1869" t="str">
        <f>"441650.00"</f>
        <v>441650.00</v>
      </c>
      <c r="V1869" t="str">
        <f>"441650.00"</f>
        <v>441650.00</v>
      </c>
      <c r="W1869" t="str">
        <f t="shared" si="699"/>
        <v>2017</v>
      </c>
      <c r="X1869" t="str">
        <f>"22.00"</f>
        <v>22.00</v>
      </c>
      <c r="Y1869" t="str">
        <f>"8403.37"</f>
        <v>8403.37</v>
      </c>
      <c r="Z1869" t="str">
        <f>""</f>
        <v/>
      </c>
      <c r="AA1869" t="str">
        <f>"600000.00"</f>
        <v>600000.00</v>
      </c>
      <c r="AB1869" t="str">
        <f t="shared" si="702"/>
        <v>Residential</v>
      </c>
      <c r="AC1869" t="str">
        <f t="shared" si="682"/>
        <v>0</v>
      </c>
      <c r="AD1869" t="str">
        <f>""</f>
        <v/>
      </c>
      <c r="AE1869" t="str">
        <f>""</f>
        <v/>
      </c>
      <c r="AF1869" t="str">
        <f t="shared" si="704"/>
        <v>004</v>
      </c>
      <c r="AG1869" t="str">
        <f>"GA"</f>
        <v>GA</v>
      </c>
      <c r="AH1869" t="str">
        <f t="shared" si="703"/>
        <v>-</v>
      </c>
      <c r="AI1869" t="str">
        <f t="shared" si="705"/>
        <v>-</v>
      </c>
      <c r="AJ1869" t="str">
        <f>"C55-000-586-3113-6"</f>
        <v>C55-000-586-3113-6</v>
      </c>
      <c r="AK1869" t="str">
        <f>"34465"</f>
        <v>34465</v>
      </c>
      <c r="AL1869">
        <v>7</v>
      </c>
      <c r="AM1869">
        <v>2129</v>
      </c>
      <c r="AN1869">
        <v>8821.94</v>
      </c>
      <c r="AQ1869" t="s">
        <v>18317</v>
      </c>
      <c r="AR1869" t="s">
        <v>18317</v>
      </c>
      <c r="AS1869" t="s">
        <v>18317</v>
      </c>
      <c r="AU1869" t="s">
        <v>396</v>
      </c>
      <c r="AV1869">
        <v>2017</v>
      </c>
      <c r="AW1869" t="str">
        <f>"01-6N-29-V14A-1022-0000 "</f>
        <v xml:space="preserve">01-6N-29-V14A-1022-0000 </v>
      </c>
      <c r="AX1869">
        <v>1022</v>
      </c>
      <c r="AZ1869" t="s">
        <v>18312</v>
      </c>
      <c r="BA1869" t="s">
        <v>669</v>
      </c>
      <c r="BD1869" t="s">
        <v>11749</v>
      </c>
      <c r="BE1869" t="s">
        <v>393</v>
      </c>
      <c r="BF1869">
        <v>32034</v>
      </c>
      <c r="BG1869" t="s">
        <v>18318</v>
      </c>
      <c r="BH1869" t="s">
        <v>11751</v>
      </c>
      <c r="BI1869">
        <v>-81.443786874051298</v>
      </c>
      <c r="BJ1869">
        <v>30.5525675053402</v>
      </c>
      <c r="BK1869" t="s">
        <v>18319</v>
      </c>
      <c r="BM1869" t="s">
        <v>18320</v>
      </c>
      <c r="BN1869" t="s">
        <v>3983</v>
      </c>
      <c r="BO1869">
        <v>32034</v>
      </c>
      <c r="BP1869" t="s">
        <v>404</v>
      </c>
      <c r="BQ1869">
        <v>400</v>
      </c>
      <c r="BR1869" t="s">
        <v>15097</v>
      </c>
      <c r="BS1869">
        <v>1004</v>
      </c>
      <c r="BT1869" t="s">
        <v>15098</v>
      </c>
      <c r="BW1869">
        <v>152617</v>
      </c>
      <c r="BX1869" t="s">
        <v>407</v>
      </c>
      <c r="CA1869">
        <v>1974</v>
      </c>
      <c r="CC1869">
        <v>1</v>
      </c>
      <c r="CD1869">
        <v>2017</v>
      </c>
      <c r="CF1869">
        <v>600000</v>
      </c>
      <c r="CG1869">
        <v>600000</v>
      </c>
      <c r="CH1869">
        <v>2017</v>
      </c>
      <c r="CJ1869">
        <v>600000</v>
      </c>
      <c r="CK1869">
        <v>600000</v>
      </c>
      <c r="CL1869">
        <v>2017</v>
      </c>
      <c r="CM1869">
        <v>8127.54</v>
      </c>
      <c r="CN1869" s="1">
        <v>43080</v>
      </c>
      <c r="CO1869">
        <v>110100</v>
      </c>
      <c r="CV1869">
        <v>0</v>
      </c>
      <c r="CZ1869" s="1">
        <v>43080</v>
      </c>
      <c r="DA1869">
        <v>0</v>
      </c>
      <c r="DD1869" t="s">
        <v>11749</v>
      </c>
      <c r="DG1869">
        <v>22</v>
      </c>
      <c r="DI1869">
        <v>1022</v>
      </c>
      <c r="DJ1869" t="s">
        <v>18312</v>
      </c>
      <c r="DL1869">
        <v>50201</v>
      </c>
      <c r="DM1869" t="s">
        <v>18288</v>
      </c>
      <c r="DO1869" t="s">
        <v>18321</v>
      </c>
      <c r="DP1869">
        <v>0</v>
      </c>
      <c r="DQ1869">
        <v>0</v>
      </c>
      <c r="DR1869" t="s">
        <v>411</v>
      </c>
      <c r="DS1869" t="b">
        <v>1</v>
      </c>
      <c r="DT1869" t="s">
        <v>470</v>
      </c>
      <c r="DU1869" t="s">
        <v>471</v>
      </c>
      <c r="DV1869" t="s">
        <v>472</v>
      </c>
      <c r="DX1869">
        <v>-9999</v>
      </c>
      <c r="DZ1869" t="s">
        <v>447</v>
      </c>
      <c r="EA1869" t="s">
        <v>448</v>
      </c>
      <c r="EB1869" t="s">
        <v>14787</v>
      </c>
      <c r="EC1869">
        <v>20101217</v>
      </c>
      <c r="ED1869" t="s">
        <v>474</v>
      </c>
      <c r="EF1869">
        <v>473.5</v>
      </c>
      <c r="EG1869">
        <v>375.8</v>
      </c>
      <c r="EI1869">
        <v>20160407</v>
      </c>
      <c r="EJ1869">
        <v>0</v>
      </c>
      <c r="EK1869">
        <v>0</v>
      </c>
      <c r="EP1869" t="s">
        <v>421</v>
      </c>
      <c r="EQ1869" t="s">
        <v>422</v>
      </c>
      <c r="ER1869">
        <v>2</v>
      </c>
      <c r="ES1869">
        <v>2</v>
      </c>
      <c r="ET1869">
        <v>16378.18</v>
      </c>
      <c r="EU1869">
        <v>831.41</v>
      </c>
      <c r="EV1869">
        <v>17209.59</v>
      </c>
      <c r="EW1869" s="2">
        <v>43222</v>
      </c>
      <c r="EX1869" s="1">
        <v>42879</v>
      </c>
      <c r="EY1869">
        <v>2016</v>
      </c>
      <c r="EZ1869">
        <v>8189.09</v>
      </c>
      <c r="FA1869" t="s">
        <v>18322</v>
      </c>
      <c r="FB1869">
        <v>0.25</v>
      </c>
      <c r="FC1869" t="s">
        <v>424</v>
      </c>
      <c r="FD1869" t="s">
        <v>454</v>
      </c>
      <c r="FF1869">
        <v>12</v>
      </c>
      <c r="FG1869">
        <v>5857474</v>
      </c>
      <c r="FH1869" t="s">
        <v>900</v>
      </c>
      <c r="FJ1869" s="1">
        <v>42879</v>
      </c>
      <c r="FK1869">
        <v>2016</v>
      </c>
      <c r="FL1869">
        <v>8189.09</v>
      </c>
      <c r="FM1869" t="s">
        <v>18322</v>
      </c>
      <c r="FN1869">
        <v>0.25</v>
      </c>
      <c r="FO1869" t="s">
        <v>424</v>
      </c>
      <c r="FP1869" t="s">
        <v>454</v>
      </c>
      <c r="FR1869">
        <v>12</v>
      </c>
      <c r="FS1869">
        <v>6623051</v>
      </c>
      <c r="FT1869" t="s">
        <v>18323</v>
      </c>
      <c r="FV1869" s="1">
        <v>42515</v>
      </c>
      <c r="FW1869">
        <v>2015</v>
      </c>
      <c r="FX1869">
        <v>6973.83</v>
      </c>
      <c r="FY1869" t="s">
        <v>18324</v>
      </c>
      <c r="FZ1869">
        <v>0.25</v>
      </c>
      <c r="GA1869" t="s">
        <v>424</v>
      </c>
      <c r="GB1869" t="s">
        <v>425</v>
      </c>
      <c r="GC1869" s="1">
        <v>43182</v>
      </c>
      <c r="GD1869">
        <v>22</v>
      </c>
      <c r="GE1869">
        <v>2851116</v>
      </c>
      <c r="GF1869" t="s">
        <v>480</v>
      </c>
      <c r="GH1869" s="1">
        <v>42515</v>
      </c>
      <c r="GI1869">
        <v>2015</v>
      </c>
      <c r="GJ1869">
        <v>6973.83</v>
      </c>
      <c r="GK1869" t="s">
        <v>18324</v>
      </c>
      <c r="GL1869">
        <v>0.25</v>
      </c>
      <c r="GM1869" t="s">
        <v>424</v>
      </c>
      <c r="GN1869" t="s">
        <v>425</v>
      </c>
      <c r="GP1869">
        <v>22</v>
      </c>
      <c r="GQ1869">
        <v>5432149</v>
      </c>
      <c r="GR1869" t="s">
        <v>18325</v>
      </c>
    </row>
    <row r="1870" spans="1:237" x14ac:dyDescent="0.25">
      <c r="A1870">
        <v>16486877</v>
      </c>
      <c r="B1870">
        <v>1869</v>
      </c>
      <c r="C1870" t="s">
        <v>393</v>
      </c>
      <c r="D1870" t="s">
        <v>394</v>
      </c>
      <c r="F1870" t="str">
        <f>"01-6N-29-V160-2109-0000"</f>
        <v>01-6N-29-V160-2109-0000</v>
      </c>
      <c r="H1870" t="str">
        <f>"JARDINE WALTER B"</f>
        <v>JARDINE WALTER B</v>
      </c>
      <c r="I1870" t="str">
        <f>"PO BOX 930"</f>
        <v>PO BOX 930</v>
      </c>
      <c r="J1870" t="str">
        <f>"DOUGLAS GA 31534"</f>
        <v>DOUGLAS GA 31534</v>
      </c>
      <c r="K1870" t="str">
        <f>"2109 BEACH WOOD RD"</f>
        <v>2109 BEACH WOOD RD</v>
      </c>
      <c r="L1870" t="str">
        <f t="shared" si="700"/>
        <v>FERNANDINA BEACH FL 32034</v>
      </c>
      <c r="M1870" t="str">
        <f>"VILLA UNIT 2109 IN OR 1340/507 BEACH WOOD VILLAS"</f>
        <v>VILLA UNIT 2109 IN OR 1340/507 BEACH WOOD VILLAS</v>
      </c>
      <c r="N1870" t="str">
        <f>""</f>
        <v/>
      </c>
      <c r="O1870" t="str">
        <f>"17126"</f>
        <v>17126</v>
      </c>
      <c r="P1870" t="str">
        <f t="shared" si="698"/>
        <v>2017</v>
      </c>
      <c r="Q1870" t="str">
        <f>""</f>
        <v/>
      </c>
      <c r="R1870" t="str">
        <f t="shared" si="701"/>
        <v>N</v>
      </c>
      <c r="S1870" t="str">
        <f>""</f>
        <v/>
      </c>
      <c r="T1870" t="str">
        <f>"2816.52"</f>
        <v>2816.52</v>
      </c>
      <c r="U1870" t="str">
        <f>"170000.00"</f>
        <v>170000.00</v>
      </c>
      <c r="V1870" t="str">
        <f>"170000.00"</f>
        <v>170000.00</v>
      </c>
      <c r="W1870" t="str">
        <f t="shared" si="699"/>
        <v>2017</v>
      </c>
      <c r="X1870" t="str">
        <f>""</f>
        <v/>
      </c>
      <c r="Y1870" t="str">
        <f>"2933.02"</f>
        <v>2933.02</v>
      </c>
      <c r="Z1870" t="str">
        <f>""</f>
        <v/>
      </c>
      <c r="AA1870" t="str">
        <f>"170000.00"</f>
        <v>170000.00</v>
      </c>
      <c r="AB1870" t="str">
        <f t="shared" si="702"/>
        <v>Residential</v>
      </c>
      <c r="AC1870" t="str">
        <f t="shared" si="682"/>
        <v>0</v>
      </c>
      <c r="AD1870" t="str">
        <f>""</f>
        <v/>
      </c>
      <c r="AE1870" t="str">
        <f>""</f>
        <v/>
      </c>
      <c r="AF1870" t="str">
        <f t="shared" si="704"/>
        <v>004</v>
      </c>
      <c r="AG1870" t="str">
        <f>"GA"</f>
        <v>GA</v>
      </c>
      <c r="AH1870" t="str">
        <f t="shared" si="703"/>
        <v>-</v>
      </c>
      <c r="AI1870" t="str">
        <f t="shared" si="705"/>
        <v>-</v>
      </c>
      <c r="AJ1870" t="str">
        <f>"C55-000-586-3329-8"</f>
        <v>C55-000-586-3329-8</v>
      </c>
      <c r="AK1870" t="str">
        <f>"34680"</f>
        <v>34680</v>
      </c>
      <c r="AL1870">
        <v>7</v>
      </c>
      <c r="AM1870">
        <v>2131</v>
      </c>
      <c r="AN1870">
        <v>3078.07</v>
      </c>
      <c r="AQ1870" t="s">
        <v>18326</v>
      </c>
      <c r="AR1870" t="s">
        <v>18326</v>
      </c>
      <c r="AS1870" t="s">
        <v>18326</v>
      </c>
      <c r="AU1870" t="s">
        <v>396</v>
      </c>
      <c r="AV1870">
        <v>2017</v>
      </c>
      <c r="AW1870" t="str">
        <f>"01-6N-29-V160-2109-0000 "</f>
        <v xml:space="preserve">01-6N-29-V160-2109-0000 </v>
      </c>
      <c r="AX1870">
        <v>2109</v>
      </c>
      <c r="AZ1870" t="s">
        <v>18327</v>
      </c>
      <c r="BA1870" t="s">
        <v>496</v>
      </c>
      <c r="BD1870" t="s">
        <v>11749</v>
      </c>
      <c r="BE1870" t="s">
        <v>393</v>
      </c>
      <c r="BF1870">
        <v>32034</v>
      </c>
      <c r="BG1870" t="s">
        <v>18328</v>
      </c>
      <c r="BH1870" t="s">
        <v>11751</v>
      </c>
      <c r="BI1870">
        <v>-81.445505828679103</v>
      </c>
      <c r="BJ1870">
        <v>30.558871480923099</v>
      </c>
      <c r="BK1870" t="s">
        <v>18329</v>
      </c>
      <c r="BM1870" t="s">
        <v>18330</v>
      </c>
      <c r="BN1870" t="s">
        <v>18331</v>
      </c>
      <c r="BO1870">
        <v>31534</v>
      </c>
      <c r="BP1870" t="s">
        <v>404</v>
      </c>
      <c r="BQ1870">
        <v>400</v>
      </c>
      <c r="BR1870" t="s">
        <v>15097</v>
      </c>
      <c r="BS1870">
        <v>1004</v>
      </c>
      <c r="BT1870" t="s">
        <v>15098</v>
      </c>
      <c r="BW1870">
        <v>832654</v>
      </c>
      <c r="BX1870" t="s">
        <v>407</v>
      </c>
      <c r="CA1870">
        <v>1975</v>
      </c>
      <c r="CC1870">
        <v>1</v>
      </c>
      <c r="CD1870">
        <v>2017</v>
      </c>
      <c r="CF1870">
        <v>170000</v>
      </c>
      <c r="CG1870">
        <v>170000</v>
      </c>
      <c r="CH1870">
        <v>2017</v>
      </c>
      <c r="CJ1870">
        <v>170000</v>
      </c>
      <c r="CK1870">
        <v>170000</v>
      </c>
      <c r="CL1870">
        <v>2017</v>
      </c>
      <c r="CM1870">
        <v>2816.52</v>
      </c>
      <c r="CN1870" s="1">
        <v>38573</v>
      </c>
      <c r="CO1870">
        <v>44000</v>
      </c>
      <c r="CZ1870" s="1">
        <v>38573</v>
      </c>
      <c r="DD1870" t="s">
        <v>11749</v>
      </c>
      <c r="DG1870">
        <v>20</v>
      </c>
      <c r="DI1870">
        <v>2109</v>
      </c>
      <c r="DJ1870" t="s">
        <v>18332</v>
      </c>
      <c r="DL1870">
        <v>50201</v>
      </c>
      <c r="DM1870" t="s">
        <v>18307</v>
      </c>
      <c r="DO1870" t="s">
        <v>18333</v>
      </c>
      <c r="DP1870">
        <v>0</v>
      </c>
      <c r="DQ1870">
        <v>0</v>
      </c>
      <c r="DR1870" t="s">
        <v>411</v>
      </c>
    </row>
    <row r="1871" spans="1:237" x14ac:dyDescent="0.25">
      <c r="A1871">
        <v>16486878</v>
      </c>
      <c r="B1871">
        <v>1870</v>
      </c>
      <c r="C1871" t="s">
        <v>393</v>
      </c>
      <c r="D1871" t="s">
        <v>394</v>
      </c>
      <c r="F1871" t="str">
        <f>"01-6N-29-V17A-0277-0000"</f>
        <v>01-6N-29-V17A-0277-0000</v>
      </c>
      <c r="H1871" t="str">
        <f>"CHOW WILLIAM H &amp; MARGARET M &amp; CARTER MICHAEL &amp; C D (JT/RS)"</f>
        <v>CHOW WILLIAM H &amp; MARGARET M &amp; CARTER MICHAEL &amp; C D (JT/RS)</v>
      </c>
      <c r="I1871" t="str">
        <f>"10116 HIGH HILL COURT"</f>
        <v>10116 HIGH HILL COURT</v>
      </c>
      <c r="J1871" t="str">
        <f>"GREAT FALLS VA 22066"</f>
        <v>GREAT FALLS VA 22066</v>
      </c>
      <c r="K1871" t="str">
        <f>"317 SANDCASTLES CT"</f>
        <v>317 SANDCASTLES CT</v>
      </c>
      <c r="L1871" t="str">
        <f t="shared" si="700"/>
        <v>FERNANDINA BEACH FL 32034</v>
      </c>
      <c r="M1871" t="str">
        <f>"UNIT 277 IN OR 1237/1591 &amp; OR 1312/966 IN OR 1624/899 &amp; OR 1624/900 SANDCASTLES OR 359/238"</f>
        <v>UNIT 277 IN OR 1237/1591 &amp; OR 1312/966 IN OR 1624/899 &amp; OR 1624/900 SANDCASTLES OR 359/238</v>
      </c>
      <c r="N1871" t="str">
        <f>""</f>
        <v/>
      </c>
      <c r="O1871" t="str">
        <f>"17197"</f>
        <v>17197</v>
      </c>
      <c r="P1871" t="str">
        <f t="shared" si="698"/>
        <v>2017</v>
      </c>
      <c r="Q1871" t="str">
        <f>""</f>
        <v/>
      </c>
      <c r="R1871" t="str">
        <f t="shared" si="701"/>
        <v>N</v>
      </c>
      <c r="S1871" t="str">
        <f>""</f>
        <v/>
      </c>
      <c r="T1871" t="str">
        <f>"3896.94"</f>
        <v>3896.94</v>
      </c>
      <c r="U1871" t="str">
        <f>"238050.00"</f>
        <v>238050.00</v>
      </c>
      <c r="V1871" t="str">
        <f>"238050.00"</f>
        <v>238050.00</v>
      </c>
      <c r="W1871" t="str">
        <f t="shared" si="699"/>
        <v>2017</v>
      </c>
      <c r="X1871" t="str">
        <f>"4.00"</f>
        <v>4.00</v>
      </c>
      <c r="Y1871" t="str">
        <f>"2045.32"</f>
        <v>2045.32</v>
      </c>
      <c r="Z1871" t="str">
        <f>""</f>
        <v/>
      </c>
      <c r="AA1871" t="str">
        <f>"238050.00"</f>
        <v>238050.00</v>
      </c>
      <c r="AB1871" t="str">
        <f t="shared" si="702"/>
        <v>Residential</v>
      </c>
      <c r="AC1871" t="str">
        <f t="shared" si="682"/>
        <v>0</v>
      </c>
      <c r="AD1871" t="str">
        <f>""</f>
        <v/>
      </c>
      <c r="AE1871" t="str">
        <f>""</f>
        <v/>
      </c>
      <c r="AF1871" t="str">
        <f t="shared" si="704"/>
        <v>004</v>
      </c>
      <c r="AG1871" t="str">
        <f>"VA"</f>
        <v>VA</v>
      </c>
      <c r="AH1871" t="str">
        <f t="shared" si="703"/>
        <v>-</v>
      </c>
      <c r="AI1871" t="str">
        <f t="shared" si="705"/>
        <v>-</v>
      </c>
      <c r="AJ1871" t="str">
        <f>"C55-000-586-3398-3"</f>
        <v>C55-000-586-3398-3</v>
      </c>
      <c r="AK1871" t="str">
        <f>"34749"</f>
        <v>34749</v>
      </c>
      <c r="AL1871">
        <v>7</v>
      </c>
      <c r="AM1871">
        <v>2132</v>
      </c>
      <c r="AN1871">
        <v>2145.9899999999998</v>
      </c>
      <c r="AQ1871" t="s">
        <v>18334</v>
      </c>
      <c r="AR1871" t="s">
        <v>18334</v>
      </c>
      <c r="AS1871" t="s">
        <v>18334</v>
      </c>
      <c r="AU1871" t="s">
        <v>396</v>
      </c>
      <c r="AV1871">
        <v>2017</v>
      </c>
      <c r="AW1871" t="str">
        <f>"01-6N-29-V17A-0277-0000 "</f>
        <v xml:space="preserve">01-6N-29-V17A-0277-0000 </v>
      </c>
      <c r="AX1871">
        <v>317</v>
      </c>
      <c r="AZ1871" t="s">
        <v>18335</v>
      </c>
      <c r="BA1871" t="s">
        <v>3181</v>
      </c>
      <c r="BD1871" t="s">
        <v>11749</v>
      </c>
      <c r="BE1871" t="s">
        <v>393</v>
      </c>
      <c r="BF1871">
        <v>32034</v>
      </c>
      <c r="BG1871" t="s">
        <v>18336</v>
      </c>
      <c r="BH1871" t="s">
        <v>11751</v>
      </c>
      <c r="BI1871">
        <v>-81.443547659379604</v>
      </c>
      <c r="BJ1871">
        <v>30.557924482425701</v>
      </c>
      <c r="BK1871" t="s">
        <v>18337</v>
      </c>
      <c r="BL1871" t="s">
        <v>18338</v>
      </c>
      <c r="BM1871" t="s">
        <v>18339</v>
      </c>
      <c r="BN1871" t="s">
        <v>18340</v>
      </c>
      <c r="BO1871">
        <v>22066</v>
      </c>
      <c r="BP1871" t="s">
        <v>404</v>
      </c>
      <c r="BQ1871">
        <v>400</v>
      </c>
      <c r="BR1871" t="s">
        <v>15097</v>
      </c>
      <c r="BS1871">
        <v>1004</v>
      </c>
      <c r="BT1871" t="s">
        <v>15098</v>
      </c>
      <c r="BW1871">
        <v>221999</v>
      </c>
      <c r="BX1871" t="s">
        <v>407</v>
      </c>
      <c r="CA1871">
        <v>1982</v>
      </c>
      <c r="CC1871">
        <v>1</v>
      </c>
      <c r="CD1871">
        <v>2017</v>
      </c>
      <c r="CF1871">
        <v>238050</v>
      </c>
      <c r="CG1871">
        <v>238050</v>
      </c>
      <c r="CH1871">
        <v>2017</v>
      </c>
      <c r="CJ1871">
        <v>238050</v>
      </c>
      <c r="CK1871">
        <v>238050</v>
      </c>
      <c r="CL1871">
        <v>2017</v>
      </c>
      <c r="CM1871">
        <v>3896.94</v>
      </c>
      <c r="CN1871" s="1">
        <v>39976</v>
      </c>
      <c r="CO1871">
        <v>3400</v>
      </c>
      <c r="CV1871">
        <v>0</v>
      </c>
      <c r="CZ1871" s="1">
        <v>39976</v>
      </c>
      <c r="DA1871">
        <v>0</v>
      </c>
      <c r="DD1871" t="s">
        <v>11749</v>
      </c>
      <c r="DG1871">
        <v>22</v>
      </c>
      <c r="DL1871">
        <v>50201</v>
      </c>
      <c r="DM1871" t="s">
        <v>18288</v>
      </c>
      <c r="DO1871" t="s">
        <v>18341</v>
      </c>
      <c r="DP1871">
        <v>0</v>
      </c>
      <c r="DQ1871">
        <v>0</v>
      </c>
      <c r="DR1871" t="s">
        <v>411</v>
      </c>
      <c r="DS1871" t="b">
        <v>1</v>
      </c>
      <c r="DT1871" t="s">
        <v>470</v>
      </c>
      <c r="DU1871" t="s">
        <v>471</v>
      </c>
      <c r="DV1871" t="s">
        <v>472</v>
      </c>
      <c r="DX1871">
        <v>-9999</v>
      </c>
      <c r="DZ1871" t="s">
        <v>447</v>
      </c>
      <c r="EA1871" t="s">
        <v>448</v>
      </c>
      <c r="EB1871" t="s">
        <v>14787</v>
      </c>
      <c r="EC1871">
        <v>20101217</v>
      </c>
      <c r="ED1871" t="s">
        <v>474</v>
      </c>
      <c r="EF1871">
        <v>186.6</v>
      </c>
      <c r="EG1871">
        <v>186.6</v>
      </c>
      <c r="EI1871">
        <v>20160407</v>
      </c>
      <c r="EJ1871">
        <v>0</v>
      </c>
      <c r="EK1871">
        <v>0</v>
      </c>
      <c r="EP1871" t="s">
        <v>421</v>
      </c>
      <c r="EQ1871" t="s">
        <v>422</v>
      </c>
      <c r="ER1871">
        <v>0</v>
      </c>
      <c r="ES1871">
        <v>2</v>
      </c>
      <c r="ET1871">
        <v>0</v>
      </c>
      <c r="EU1871">
        <v>0</v>
      </c>
      <c r="EV1871">
        <v>0</v>
      </c>
      <c r="EW1871" s="2">
        <v>43222</v>
      </c>
      <c r="EX1871" s="1">
        <v>42515</v>
      </c>
      <c r="EY1871">
        <v>2015</v>
      </c>
      <c r="EZ1871">
        <v>1186.92</v>
      </c>
      <c r="FA1871" t="s">
        <v>18342</v>
      </c>
      <c r="FB1871">
        <v>0.25</v>
      </c>
      <c r="FC1871" t="s">
        <v>424</v>
      </c>
      <c r="FD1871" t="s">
        <v>425</v>
      </c>
      <c r="FE1871" s="1">
        <v>42625</v>
      </c>
      <c r="FF1871">
        <v>4</v>
      </c>
      <c r="FG1871">
        <v>11289</v>
      </c>
      <c r="FH1871" t="s">
        <v>787</v>
      </c>
      <c r="FJ1871" s="1">
        <v>42515</v>
      </c>
      <c r="FK1871">
        <v>2015</v>
      </c>
      <c r="FL1871">
        <v>1186.92</v>
      </c>
      <c r="FM1871" t="s">
        <v>18342</v>
      </c>
      <c r="FN1871">
        <v>0.25</v>
      </c>
      <c r="FO1871" t="s">
        <v>424</v>
      </c>
      <c r="FP1871" t="s">
        <v>425</v>
      </c>
      <c r="FR1871">
        <v>22</v>
      </c>
      <c r="FS1871">
        <v>7089790</v>
      </c>
      <c r="FT1871" t="s">
        <v>18343</v>
      </c>
    </row>
    <row r="1872" spans="1:237" x14ac:dyDescent="0.25">
      <c r="A1872">
        <v>16486879</v>
      </c>
      <c r="B1872">
        <v>1871</v>
      </c>
      <c r="C1872" t="s">
        <v>393</v>
      </c>
      <c r="D1872" t="s">
        <v>394</v>
      </c>
      <c r="F1872" t="str">
        <f>"02-6N-29-DCCO-0001-0210"</f>
        <v>02-6N-29-DCCO-0001-0210</v>
      </c>
      <c r="H1872" t="str">
        <f>"AMELIA ISLAND HOLDING COMPANY ATTN JAMES O HARDWICK"</f>
        <v>AMELIA ISLAND HOLDING COMPANY ATTN JAMES O HARDWICK</v>
      </c>
      <c r="I1872" t="str">
        <f>"4115 ORTEGA BLVD"</f>
        <v>4115 ORTEGA BLVD</v>
      </c>
      <c r="J1872" t="str">
        <f>"JACKSONVILLE FL 32210"</f>
        <v>JACKSONVILLE FL 32210</v>
      </c>
      <c r="K1872" t="str">
        <f>"BEACH WALKER RD"</f>
        <v>BEACH WALKER RD</v>
      </c>
      <c r="L1872" t="str">
        <f t="shared" si="700"/>
        <v>FERNANDINA BEACH FL 32034</v>
      </c>
      <c r="M1872" t="str">
        <f>"PT FRAC SEC 6-1N-29E PAR 1-21 PT OR 463/443 BEING EXHIBIT G &amp; BEING ONLY PT IN SEC 6 LYING NORTH OF PHASE 4 OF DUNES CLB VILLAS CONDO OR 1497/247 (EX PT OR 821/421 OR 1700/1211 SEA DUNES CONDO OR 424/36) {HB 1721 SEC 4}"</f>
        <v>PT FRAC SEC 6-1N-29E PAR 1-21 PT OR 463/443 BEING EXHIBIT G &amp; BEING ONLY PT IN SEC 6 LYING NORTH OF PHASE 4 OF DUNES CLB VILLAS CONDO OR 1497/247 (EX PT OR 821/421 OR 1700/1211 SEA DUNES CONDO OR 424/36) {HB 1721 SEC 4}</v>
      </c>
      <c r="N1872" t="str">
        <f>""</f>
        <v/>
      </c>
      <c r="O1872" t="str">
        <f>"18084"</f>
        <v>18084</v>
      </c>
      <c r="P1872" t="str">
        <f t="shared" si="698"/>
        <v>2017</v>
      </c>
      <c r="Q1872" t="str">
        <f>""</f>
        <v/>
      </c>
      <c r="R1872" t="str">
        <f t="shared" si="701"/>
        <v>N</v>
      </c>
      <c r="S1872" t="str">
        <f>"0.16"</f>
        <v>0.16</v>
      </c>
      <c r="T1872" t="str">
        <f>"52.39"</f>
        <v>52.39</v>
      </c>
      <c r="U1872" t="str">
        <f>"3200.00"</f>
        <v>3200.00</v>
      </c>
      <c r="V1872" t="str">
        <f>"3200.00"</f>
        <v>3200.00</v>
      </c>
      <c r="W1872" t="str">
        <f t="shared" si="699"/>
        <v>2017</v>
      </c>
      <c r="X1872" t="str">
        <f>""</f>
        <v/>
      </c>
      <c r="Y1872" t="str">
        <f>"85.96"</f>
        <v>85.96</v>
      </c>
      <c r="Z1872" t="str">
        <f>""</f>
        <v/>
      </c>
      <c r="AA1872" t="str">
        <f>"3200.00"</f>
        <v>3200.00</v>
      </c>
      <c r="AB1872" t="str">
        <f t="shared" si="702"/>
        <v>Residential</v>
      </c>
      <c r="AC1872" t="str">
        <f t="shared" si="682"/>
        <v>0</v>
      </c>
      <c r="AD1872" t="str">
        <f>""</f>
        <v/>
      </c>
      <c r="AE1872" t="str">
        <f>""</f>
        <v/>
      </c>
      <c r="AF1872" t="str">
        <f>"000"</f>
        <v>000</v>
      </c>
      <c r="AG1872" t="str">
        <f>"FL"</f>
        <v>FL</v>
      </c>
      <c r="AH1872" t="str">
        <f>"6969.00"</f>
        <v>6969.00</v>
      </c>
      <c r="AI1872" t="str">
        <f>"3200.00"</f>
        <v>3200.00</v>
      </c>
      <c r="AJ1872" t="str">
        <f>"C55-001-053-4273-7"</f>
        <v>C55-001-053-4273-7</v>
      </c>
      <c r="AK1872" t="str">
        <f>"35933"</f>
        <v>35933</v>
      </c>
      <c r="AL1872">
        <v>7</v>
      </c>
      <c r="AM1872">
        <v>2133</v>
      </c>
      <c r="AN1872">
        <v>88.66</v>
      </c>
      <c r="AQ1872" t="s">
        <v>18344</v>
      </c>
      <c r="AR1872" t="s">
        <v>18344</v>
      </c>
      <c r="AS1872" t="s">
        <v>18344</v>
      </c>
      <c r="AU1872" t="s">
        <v>396</v>
      </c>
      <c r="AV1872">
        <v>2017</v>
      </c>
      <c r="AW1872" t="str">
        <f>"02-6N-29-DCCO-0001-0210 "</f>
        <v xml:space="preserve">02-6N-29-DCCO-0001-0210 </v>
      </c>
      <c r="AZ1872" t="s">
        <v>18345</v>
      </c>
      <c r="BA1872" t="s">
        <v>496</v>
      </c>
      <c r="BD1872" t="s">
        <v>11749</v>
      </c>
      <c r="BE1872" t="s">
        <v>393</v>
      </c>
      <c r="BF1872">
        <v>32034</v>
      </c>
      <c r="BG1872" t="s">
        <v>18346</v>
      </c>
      <c r="BH1872" t="s">
        <v>11751</v>
      </c>
      <c r="BI1872">
        <v>-81.441035138110806</v>
      </c>
      <c r="BJ1872">
        <v>30.542865956037801</v>
      </c>
      <c r="BK1872" t="s">
        <v>18347</v>
      </c>
      <c r="BM1872" t="s">
        <v>18348</v>
      </c>
      <c r="BN1872" t="s">
        <v>548</v>
      </c>
      <c r="BO1872">
        <v>32210</v>
      </c>
      <c r="BP1872" t="s">
        <v>404</v>
      </c>
      <c r="BQ1872">
        <v>0</v>
      </c>
      <c r="BR1872" t="s">
        <v>491</v>
      </c>
      <c r="BS1872">
        <v>8001</v>
      </c>
      <c r="BT1872" t="s">
        <v>492</v>
      </c>
      <c r="BW1872">
        <v>6969</v>
      </c>
      <c r="BX1872" t="s">
        <v>407</v>
      </c>
      <c r="BY1872" t="s">
        <v>3019</v>
      </c>
      <c r="CD1872">
        <v>2017</v>
      </c>
      <c r="CE1872">
        <v>3200</v>
      </c>
      <c r="CG1872">
        <v>3200</v>
      </c>
      <c r="CH1872">
        <v>2017</v>
      </c>
      <c r="CI1872">
        <v>3200</v>
      </c>
      <c r="CK1872">
        <v>3200</v>
      </c>
      <c r="CL1872">
        <v>2017</v>
      </c>
      <c r="CM1872">
        <v>52.39</v>
      </c>
      <c r="CN1872" s="1">
        <v>31244</v>
      </c>
      <c r="CO1872">
        <v>4452600</v>
      </c>
      <c r="CZ1872" s="1">
        <v>31244</v>
      </c>
      <c r="DD1872" t="s">
        <v>11749</v>
      </c>
      <c r="DG1872">
        <v>6</v>
      </c>
      <c r="DM1872" t="s">
        <v>18349</v>
      </c>
      <c r="DO1872" t="s">
        <v>18350</v>
      </c>
      <c r="DP1872">
        <v>0</v>
      </c>
      <c r="DQ1872">
        <v>0</v>
      </c>
      <c r="DR1872" t="s">
        <v>411</v>
      </c>
      <c r="DS1872" t="b">
        <v>1</v>
      </c>
      <c r="DT1872" t="s">
        <v>470</v>
      </c>
      <c r="DU1872" t="s">
        <v>471</v>
      </c>
      <c r="DV1872" t="s">
        <v>472</v>
      </c>
      <c r="DX1872">
        <v>-9999</v>
      </c>
      <c r="DZ1872" t="s">
        <v>447</v>
      </c>
      <c r="EA1872" t="s">
        <v>448</v>
      </c>
      <c r="EB1872" t="s">
        <v>14787</v>
      </c>
      <c r="EC1872">
        <v>20101217</v>
      </c>
      <c r="ED1872" t="s">
        <v>474</v>
      </c>
      <c r="EF1872">
        <v>519.6</v>
      </c>
      <c r="EG1872">
        <v>421.1</v>
      </c>
      <c r="EI1872">
        <v>20160407</v>
      </c>
      <c r="EJ1872">
        <v>0</v>
      </c>
      <c r="EK1872">
        <v>0</v>
      </c>
      <c r="EP1872" t="s">
        <v>421</v>
      </c>
      <c r="EQ1872" t="s">
        <v>422</v>
      </c>
      <c r="ER1872">
        <v>3</v>
      </c>
      <c r="ES1872">
        <v>0</v>
      </c>
      <c r="ET1872">
        <v>255.9</v>
      </c>
      <c r="EU1872">
        <v>111.18</v>
      </c>
      <c r="EV1872">
        <v>367.08</v>
      </c>
      <c r="EW1872" s="2">
        <v>43222</v>
      </c>
      <c r="EX1872" s="1">
        <v>42879</v>
      </c>
      <c r="EY1872">
        <v>2016</v>
      </c>
      <c r="EZ1872">
        <v>83.63</v>
      </c>
      <c r="FA1872" t="s">
        <v>18351</v>
      </c>
      <c r="FB1872">
        <v>17.75</v>
      </c>
      <c r="FC1872" t="s">
        <v>424</v>
      </c>
      <c r="FD1872" t="s">
        <v>454</v>
      </c>
      <c r="FF1872">
        <v>12</v>
      </c>
      <c r="FG1872">
        <v>5100525</v>
      </c>
      <c r="FH1872" t="s">
        <v>6804</v>
      </c>
      <c r="FJ1872" s="1">
        <v>42515</v>
      </c>
      <c r="FK1872">
        <v>2015</v>
      </c>
      <c r="FL1872">
        <v>85.78</v>
      </c>
      <c r="FM1872" t="s">
        <v>18352</v>
      </c>
      <c r="FN1872">
        <v>18</v>
      </c>
      <c r="FO1872" t="s">
        <v>424</v>
      </c>
      <c r="FP1872" t="s">
        <v>454</v>
      </c>
      <c r="FR1872">
        <v>24</v>
      </c>
      <c r="FS1872">
        <v>3039821</v>
      </c>
      <c r="FT1872" t="s">
        <v>721</v>
      </c>
      <c r="FV1872" s="1">
        <v>42151</v>
      </c>
      <c r="FW1872">
        <v>2014</v>
      </c>
      <c r="FX1872">
        <v>86.49</v>
      </c>
      <c r="FY1872" t="s">
        <v>18353</v>
      </c>
      <c r="FZ1872">
        <v>18</v>
      </c>
      <c r="GA1872" t="s">
        <v>424</v>
      </c>
      <c r="GB1872" t="s">
        <v>454</v>
      </c>
      <c r="GD1872">
        <v>36</v>
      </c>
      <c r="GE1872">
        <v>3039821</v>
      </c>
      <c r="GF1872" t="s">
        <v>721</v>
      </c>
    </row>
    <row r="1873" spans="1:284" x14ac:dyDescent="0.25">
      <c r="A1873">
        <v>16486880</v>
      </c>
      <c r="B1873">
        <v>1872</v>
      </c>
      <c r="C1873" t="s">
        <v>393</v>
      </c>
      <c r="D1873" t="s">
        <v>394</v>
      </c>
      <c r="F1873" t="str">
        <f>"02-6N-29-V003-1602-0000"</f>
        <v>02-6N-29-V003-1602-0000</v>
      </c>
      <c r="H1873" t="str">
        <f>"LEARSY FLORENCE LEE TRUST FLORENCE LEE LEARSY TRUSTEE"</f>
        <v>LEARSY FLORENCE LEE TRUST FLORENCE LEE LEARSY TRUSTEE</v>
      </c>
      <c r="I1873" t="str">
        <f>"4615 N PARK AVE  APT 1101"</f>
        <v>4615 N PARK AVE  APT 1101</v>
      </c>
      <c r="J1873" t="str">
        <f>"CHEVY CHASE MD 20815"</f>
        <v>CHEVY CHASE MD 20815</v>
      </c>
      <c r="K1873" t="str">
        <f>"1602 SEA DUNES PL"</f>
        <v>1602 SEA DUNES PL</v>
      </c>
      <c r="L1873" t="str">
        <f t="shared" si="700"/>
        <v>FERNANDINA BEACH FL 32034</v>
      </c>
      <c r="M1873" t="str">
        <f>"UNIT 1602 IN OR 2021/188 SEA DUNES OR 424/1"</f>
        <v>UNIT 1602 IN OR 2021/188 SEA DUNES OR 424/1</v>
      </c>
      <c r="N1873" t="str">
        <f>""</f>
        <v/>
      </c>
      <c r="O1873" t="str">
        <f>"18204"</f>
        <v>18204</v>
      </c>
      <c r="P1873" t="str">
        <f t="shared" si="698"/>
        <v>2017</v>
      </c>
      <c r="Q1873" t="str">
        <f>""</f>
        <v/>
      </c>
      <c r="R1873" t="str">
        <f t="shared" si="701"/>
        <v>N</v>
      </c>
      <c r="S1873" t="str">
        <f>""</f>
        <v/>
      </c>
      <c r="T1873" t="str">
        <f>"6188.73"</f>
        <v>6188.73</v>
      </c>
      <c r="U1873" t="str">
        <f>"386000.00"</f>
        <v>386000.00</v>
      </c>
      <c r="V1873" t="str">
        <f>"386000.00"</f>
        <v>386000.00</v>
      </c>
      <c r="W1873" t="str">
        <f t="shared" si="699"/>
        <v>2017</v>
      </c>
      <c r="X1873" t="str">
        <f>""</f>
        <v/>
      </c>
      <c r="Y1873" t="str">
        <f>"6406.39"</f>
        <v>6406.39</v>
      </c>
      <c r="Z1873" t="str">
        <f>""</f>
        <v/>
      </c>
      <c r="AA1873" t="str">
        <f>"386000.00"</f>
        <v>386000.00</v>
      </c>
      <c r="AB1873" t="str">
        <f t="shared" si="702"/>
        <v>Residential</v>
      </c>
      <c r="AC1873" t="str">
        <f t="shared" si="682"/>
        <v>0</v>
      </c>
      <c r="AD1873" t="str">
        <f>""</f>
        <v/>
      </c>
      <c r="AE1873" t="str">
        <f>""</f>
        <v/>
      </c>
      <c r="AF1873" t="str">
        <f>"004"</f>
        <v>004</v>
      </c>
      <c r="AG1873" t="str">
        <f>"MD"</f>
        <v>MD</v>
      </c>
      <c r="AH1873" t="str">
        <f>"-"</f>
        <v>-</v>
      </c>
      <c r="AI1873" t="str">
        <f>"-"</f>
        <v>-</v>
      </c>
      <c r="AJ1873" t="str">
        <f>"C55-000-586-4029-3"</f>
        <v>C55-000-586-4029-3</v>
      </c>
      <c r="AK1873" t="str">
        <f>"36095"</f>
        <v>36095</v>
      </c>
      <c r="AL1873">
        <v>7</v>
      </c>
      <c r="AM1873">
        <v>2134</v>
      </c>
      <c r="AN1873">
        <v>6725.11</v>
      </c>
      <c r="AQ1873" t="s">
        <v>18354</v>
      </c>
      <c r="AR1873" t="s">
        <v>18354</v>
      </c>
      <c r="AS1873" t="s">
        <v>18354</v>
      </c>
      <c r="AU1873" t="s">
        <v>396</v>
      </c>
      <c r="AV1873">
        <v>2017</v>
      </c>
      <c r="AW1873" t="str">
        <f>"02-6N-29-V003-1602-0000 "</f>
        <v xml:space="preserve">02-6N-29-V003-1602-0000 </v>
      </c>
      <c r="AX1873">
        <v>1602</v>
      </c>
      <c r="AZ1873" t="s">
        <v>18355</v>
      </c>
      <c r="BA1873" t="s">
        <v>641</v>
      </c>
      <c r="BD1873" t="s">
        <v>11749</v>
      </c>
      <c r="BE1873" t="s">
        <v>393</v>
      </c>
      <c r="BF1873">
        <v>32034</v>
      </c>
      <c r="BG1873" t="s">
        <v>18356</v>
      </c>
      <c r="BH1873" t="s">
        <v>11751</v>
      </c>
      <c r="BI1873">
        <v>-81.441671901925005</v>
      </c>
      <c r="BJ1873">
        <v>30.543129496442599</v>
      </c>
      <c r="BK1873" t="s">
        <v>18357</v>
      </c>
      <c r="BL1873" t="s">
        <v>18358</v>
      </c>
      <c r="BM1873" t="s">
        <v>18359</v>
      </c>
      <c r="BN1873" t="s">
        <v>18360</v>
      </c>
      <c r="BO1873">
        <v>20815</v>
      </c>
      <c r="BP1873" t="s">
        <v>404</v>
      </c>
      <c r="BQ1873">
        <v>400</v>
      </c>
      <c r="BR1873" t="s">
        <v>15097</v>
      </c>
      <c r="BS1873">
        <v>1004</v>
      </c>
      <c r="BT1873" t="s">
        <v>15098</v>
      </c>
      <c r="BW1873">
        <v>84088</v>
      </c>
      <c r="BX1873" t="s">
        <v>407</v>
      </c>
      <c r="CA1873">
        <v>1984</v>
      </c>
      <c r="CC1873">
        <v>1</v>
      </c>
      <c r="CD1873">
        <v>2017</v>
      </c>
      <c r="CF1873">
        <v>386000</v>
      </c>
      <c r="CG1873">
        <v>386000</v>
      </c>
      <c r="CH1873">
        <v>2017</v>
      </c>
      <c r="CJ1873">
        <v>386000</v>
      </c>
      <c r="CK1873">
        <v>386000</v>
      </c>
      <c r="CL1873">
        <v>2017</v>
      </c>
      <c r="CM1873">
        <v>6188.73</v>
      </c>
      <c r="CN1873" s="1">
        <v>42325</v>
      </c>
      <c r="CZ1873" s="1">
        <v>42325</v>
      </c>
      <c r="DD1873" t="s">
        <v>11749</v>
      </c>
      <c r="DG1873">
        <v>1</v>
      </c>
      <c r="DJ1873" t="s">
        <v>18355</v>
      </c>
      <c r="DL1873">
        <v>50201</v>
      </c>
      <c r="DM1873" t="s">
        <v>18361</v>
      </c>
      <c r="DO1873" t="s">
        <v>18362</v>
      </c>
      <c r="DP1873">
        <v>0</v>
      </c>
      <c r="DQ1873">
        <v>0</v>
      </c>
      <c r="DR1873" t="s">
        <v>411</v>
      </c>
    </row>
    <row r="1874" spans="1:284" x14ac:dyDescent="0.25">
      <c r="A1874">
        <v>16486881</v>
      </c>
      <c r="B1874">
        <v>1873</v>
      </c>
      <c r="C1874" t="s">
        <v>393</v>
      </c>
      <c r="D1874" t="s">
        <v>394</v>
      </c>
      <c r="F1874" t="str">
        <f>"00-00-30-0080-0001-0000"</f>
        <v>00-00-30-0080-0001-0000</v>
      </c>
      <c r="H1874" t="str">
        <f>"METTS DIANA"</f>
        <v>METTS DIANA</v>
      </c>
      <c r="I1874" t="str">
        <f>"116 BONNIEVIEW ROAD"</f>
        <v>116 BONNIEVIEW ROAD</v>
      </c>
      <c r="J1874" t="str">
        <f>"FERNANDINA BEACH FL 32034"</f>
        <v>FERNANDINA BEACH FL 32034</v>
      </c>
      <c r="K1874" t="str">
        <f>"116 BONNIEVIEW RD"</f>
        <v>116 BONNIEVIEW RD</v>
      </c>
      <c r="L1874" t="str">
        <f t="shared" si="700"/>
        <v>FERNANDINA BEACH FL 32034</v>
      </c>
      <c r="M1874" t="str">
        <f>"LOT 1 R787901 &amp; R787902 IN OR 624 PG 773 AMELIA MARSH SUB PB 4/104"</f>
        <v>LOT 1 R787901 &amp; R787902 IN OR 624 PG 773 AMELIA MARSH SUB PB 4/104</v>
      </c>
      <c r="N1874" t="str">
        <f>""</f>
        <v/>
      </c>
      <c r="O1874" t="str">
        <f>"66"</f>
        <v>66</v>
      </c>
      <c r="P1874" t="str">
        <f t="shared" si="698"/>
        <v>2017</v>
      </c>
      <c r="Q1874" t="str">
        <f>""</f>
        <v/>
      </c>
      <c r="R1874" t="str">
        <f>"Y"</f>
        <v>Y</v>
      </c>
      <c r="S1874" t="str">
        <f>""</f>
        <v/>
      </c>
      <c r="T1874" t="str">
        <f>"542.30"</f>
        <v>542.30</v>
      </c>
      <c r="U1874" t="str">
        <f>"73876.00"</f>
        <v>73876.00</v>
      </c>
      <c r="V1874" t="str">
        <f>"73876.00"</f>
        <v>73876.00</v>
      </c>
      <c r="W1874" t="str">
        <f t="shared" si="699"/>
        <v>2017</v>
      </c>
      <c r="X1874" t="str">
        <f>"9.00"</f>
        <v>9.00</v>
      </c>
      <c r="Y1874" t="str">
        <f>"590.57"</f>
        <v>590.57</v>
      </c>
      <c r="Z1874" t="str">
        <f>"25000.00"</f>
        <v>25000.00</v>
      </c>
      <c r="AA1874" t="str">
        <f>"48876.00"</f>
        <v>48876.00</v>
      </c>
      <c r="AB1874" t="str">
        <f t="shared" si="702"/>
        <v>Residential</v>
      </c>
      <c r="AC1874" t="str">
        <f t="shared" si="682"/>
        <v>0</v>
      </c>
      <c r="AD1874" t="str">
        <f>"4"</f>
        <v>4</v>
      </c>
      <c r="AE1874" t="str">
        <f>"WOOD (INCLUDE STEEL STUDS)"</f>
        <v>WOOD (INCLUDE STEEL STUDS)</v>
      </c>
      <c r="AF1874" t="str">
        <f>"002"</f>
        <v>002</v>
      </c>
      <c r="AG1874" t="str">
        <f>"FL"</f>
        <v>FL</v>
      </c>
      <c r="AH1874" t="str">
        <f>"21780.00"</f>
        <v>21780.00</v>
      </c>
      <c r="AI1874" t="str">
        <f>"54450.00"</f>
        <v>54450.00</v>
      </c>
      <c r="AJ1874" t="str">
        <f>"C55-000-584-9982-3"</f>
        <v>C55-000-584-9982-3</v>
      </c>
      <c r="AK1874" t="str">
        <f>"37725"</f>
        <v>37725</v>
      </c>
      <c r="AL1874">
        <v>7</v>
      </c>
      <c r="AM1874">
        <v>2135</v>
      </c>
      <c r="AN1874">
        <v>618.5</v>
      </c>
      <c r="AQ1874" t="s">
        <v>18363</v>
      </c>
      <c r="AR1874" t="s">
        <v>18363</v>
      </c>
      <c r="AS1874" t="s">
        <v>18363</v>
      </c>
      <c r="AU1874" t="s">
        <v>396</v>
      </c>
      <c r="AV1874">
        <v>2017</v>
      </c>
      <c r="AW1874" t="str">
        <f>"00-00-30-0080-0001-0000 "</f>
        <v xml:space="preserve">00-00-30-0080-0001-0000 </v>
      </c>
      <c r="AX1874">
        <v>116</v>
      </c>
      <c r="AZ1874" t="s">
        <v>18364</v>
      </c>
      <c r="BA1874" t="s">
        <v>496</v>
      </c>
      <c r="BD1874" t="s">
        <v>11749</v>
      </c>
      <c r="BE1874" t="s">
        <v>393</v>
      </c>
      <c r="BF1874">
        <v>32034</v>
      </c>
      <c r="BG1874" t="s">
        <v>18365</v>
      </c>
      <c r="BH1874" t="s">
        <v>11751</v>
      </c>
      <c r="BI1874">
        <v>-81.4698056962782</v>
      </c>
      <c r="BJ1874">
        <v>30.635839850939799</v>
      </c>
      <c r="BK1874" t="s">
        <v>18366</v>
      </c>
      <c r="BM1874" t="s">
        <v>18365</v>
      </c>
      <c r="BN1874" t="s">
        <v>3983</v>
      </c>
      <c r="BO1874">
        <v>32034</v>
      </c>
      <c r="BP1874" t="s">
        <v>416</v>
      </c>
      <c r="BQ1874">
        <v>200</v>
      </c>
      <c r="BR1874" t="s">
        <v>405</v>
      </c>
      <c r="BS1874">
        <v>1006</v>
      </c>
      <c r="BT1874" t="s">
        <v>406</v>
      </c>
      <c r="BU1874">
        <v>1210</v>
      </c>
      <c r="BV1874">
        <v>1800</v>
      </c>
      <c r="BW1874">
        <v>21882</v>
      </c>
      <c r="BX1874" t="s">
        <v>407</v>
      </c>
      <c r="BY1874" t="s">
        <v>7351</v>
      </c>
      <c r="BZ1874">
        <v>4</v>
      </c>
      <c r="CA1874">
        <v>1998</v>
      </c>
      <c r="CB1874">
        <v>1</v>
      </c>
      <c r="CC1874">
        <v>1</v>
      </c>
      <c r="CD1874">
        <v>2017</v>
      </c>
      <c r="CG1874">
        <v>73876</v>
      </c>
      <c r="CH1874">
        <v>2017</v>
      </c>
      <c r="CI1874">
        <v>54450</v>
      </c>
      <c r="CJ1874">
        <v>37135</v>
      </c>
      <c r="CK1874">
        <v>91585</v>
      </c>
      <c r="CL1874">
        <v>2017</v>
      </c>
      <c r="CM1874">
        <v>542.29999999999995</v>
      </c>
      <c r="CN1874" s="1">
        <v>33350</v>
      </c>
      <c r="CO1874">
        <v>12000</v>
      </c>
      <c r="CZ1874" s="1">
        <v>33350</v>
      </c>
      <c r="DD1874" t="s">
        <v>11749</v>
      </c>
      <c r="DF1874">
        <v>1</v>
      </c>
      <c r="DG1874">
        <v>31</v>
      </c>
      <c r="DJ1874" t="s">
        <v>18367</v>
      </c>
      <c r="DL1874">
        <v>50202</v>
      </c>
      <c r="DM1874" t="s">
        <v>18368</v>
      </c>
      <c r="DO1874" t="s">
        <v>18369</v>
      </c>
      <c r="DP1874">
        <v>0</v>
      </c>
      <c r="DQ1874">
        <v>0</v>
      </c>
      <c r="DR1874" t="s">
        <v>411</v>
      </c>
      <c r="DS1874" t="b">
        <v>1</v>
      </c>
      <c r="DT1874" t="s">
        <v>8902</v>
      </c>
      <c r="DV1874" t="s">
        <v>446</v>
      </c>
      <c r="DX1874">
        <v>10</v>
      </c>
      <c r="DY1874" t="s">
        <v>11438</v>
      </c>
      <c r="DZ1874" t="s">
        <v>447</v>
      </c>
      <c r="EA1874" t="s">
        <v>448</v>
      </c>
      <c r="EB1874" t="s">
        <v>18370</v>
      </c>
      <c r="EC1874">
        <v>20101217</v>
      </c>
      <c r="ED1874" t="s">
        <v>450</v>
      </c>
      <c r="EE1874">
        <v>5</v>
      </c>
      <c r="EF1874">
        <v>0</v>
      </c>
      <c r="EG1874">
        <v>0</v>
      </c>
      <c r="EI1874">
        <v>20160407</v>
      </c>
      <c r="EJ1874">
        <v>0</v>
      </c>
      <c r="EK1874">
        <v>0</v>
      </c>
      <c r="EP1874" t="s">
        <v>421</v>
      </c>
      <c r="EQ1874" t="s">
        <v>422</v>
      </c>
      <c r="ER1874">
        <v>0</v>
      </c>
      <c r="ES1874">
        <v>9</v>
      </c>
      <c r="ET1874">
        <v>0</v>
      </c>
      <c r="EU1874">
        <v>0</v>
      </c>
      <c r="EV1874">
        <v>0</v>
      </c>
      <c r="EW1874" s="2">
        <v>43222</v>
      </c>
      <c r="EX1874" s="1">
        <v>42879</v>
      </c>
      <c r="EY1874">
        <v>2016</v>
      </c>
      <c r="EZ1874">
        <v>613.38</v>
      </c>
      <c r="FA1874" t="s">
        <v>18371</v>
      </c>
      <c r="FB1874">
        <v>0.25</v>
      </c>
      <c r="FC1874" t="s">
        <v>424</v>
      </c>
      <c r="FD1874" t="s">
        <v>425</v>
      </c>
      <c r="FE1874" s="1">
        <v>42908</v>
      </c>
      <c r="FF1874">
        <v>1</v>
      </c>
      <c r="FG1874">
        <v>11289</v>
      </c>
      <c r="FH1874" t="s">
        <v>787</v>
      </c>
      <c r="FJ1874" s="1">
        <v>42879</v>
      </c>
      <c r="FK1874">
        <v>2016</v>
      </c>
      <c r="FL1874">
        <v>613.38</v>
      </c>
      <c r="FM1874" t="s">
        <v>18371</v>
      </c>
      <c r="FN1874">
        <v>0.25</v>
      </c>
      <c r="FO1874" t="s">
        <v>424</v>
      </c>
      <c r="FP1874" t="s">
        <v>425</v>
      </c>
      <c r="FR1874">
        <v>22</v>
      </c>
      <c r="FS1874">
        <v>7299523</v>
      </c>
      <c r="FT1874" t="s">
        <v>18372</v>
      </c>
      <c r="FV1874" s="1">
        <v>42515</v>
      </c>
      <c r="FW1874">
        <v>2015</v>
      </c>
      <c r="FX1874">
        <v>626.95000000000005</v>
      </c>
      <c r="FY1874" t="s">
        <v>18373</v>
      </c>
      <c r="FZ1874">
        <v>0.25</v>
      </c>
      <c r="GA1874" t="s">
        <v>424</v>
      </c>
      <c r="GB1874" t="s">
        <v>425</v>
      </c>
      <c r="GC1874" s="1">
        <v>42908</v>
      </c>
      <c r="GD1874">
        <v>13</v>
      </c>
      <c r="GE1874">
        <v>2851116</v>
      </c>
      <c r="GF1874" t="s">
        <v>480</v>
      </c>
      <c r="GH1874" s="1">
        <v>42515</v>
      </c>
      <c r="GI1874">
        <v>2015</v>
      </c>
      <c r="GJ1874">
        <v>626.95000000000005</v>
      </c>
      <c r="GK1874" t="s">
        <v>18373</v>
      </c>
      <c r="GL1874">
        <v>0.25</v>
      </c>
      <c r="GM1874" t="s">
        <v>424</v>
      </c>
      <c r="GN1874" t="s">
        <v>425</v>
      </c>
      <c r="GP1874">
        <v>22</v>
      </c>
      <c r="GQ1874">
        <v>5758125</v>
      </c>
      <c r="GR1874" t="s">
        <v>18374</v>
      </c>
      <c r="GT1874" s="1">
        <v>42151</v>
      </c>
      <c r="GU1874">
        <v>2014</v>
      </c>
      <c r="GV1874">
        <v>626.29</v>
      </c>
      <c r="GW1874" t="s">
        <v>18375</v>
      </c>
      <c r="GX1874">
        <v>0.25</v>
      </c>
      <c r="GY1874" t="s">
        <v>424</v>
      </c>
      <c r="GZ1874" t="s">
        <v>425</v>
      </c>
      <c r="HA1874" s="1">
        <v>42237</v>
      </c>
      <c r="HB1874">
        <v>3</v>
      </c>
      <c r="HC1874">
        <v>2851116</v>
      </c>
      <c r="HD1874" t="s">
        <v>480</v>
      </c>
      <c r="HF1874" s="1">
        <v>42151</v>
      </c>
      <c r="HG1874">
        <v>2014</v>
      </c>
      <c r="HH1874">
        <v>626.29</v>
      </c>
      <c r="HI1874" t="s">
        <v>18375</v>
      </c>
      <c r="HJ1874">
        <v>0.25</v>
      </c>
      <c r="HK1874" t="s">
        <v>424</v>
      </c>
      <c r="HL1874" t="s">
        <v>425</v>
      </c>
      <c r="HN1874">
        <v>22</v>
      </c>
      <c r="HO1874">
        <v>5040647</v>
      </c>
      <c r="HP1874" t="s">
        <v>18376</v>
      </c>
      <c r="HR1874" s="1">
        <v>41787</v>
      </c>
      <c r="HS1874">
        <v>2013</v>
      </c>
      <c r="HT1874">
        <v>598.24</v>
      </c>
      <c r="HU1874" t="s">
        <v>18377</v>
      </c>
      <c r="HV1874">
        <v>0.25</v>
      </c>
      <c r="HW1874" t="s">
        <v>424</v>
      </c>
      <c r="HX1874" t="s">
        <v>425</v>
      </c>
      <c r="HY1874" s="1">
        <v>42237</v>
      </c>
      <c r="HZ1874">
        <v>15</v>
      </c>
      <c r="IA1874">
        <v>2407503</v>
      </c>
      <c r="IB1874" t="s">
        <v>461</v>
      </c>
      <c r="ID1874" s="1">
        <v>41052</v>
      </c>
      <c r="IE1874">
        <v>2011</v>
      </c>
      <c r="IF1874">
        <v>585.20000000000005</v>
      </c>
      <c r="IG1874" t="s">
        <v>18378</v>
      </c>
      <c r="IH1874">
        <v>4.75</v>
      </c>
      <c r="II1874" t="s">
        <v>424</v>
      </c>
      <c r="IJ1874" t="s">
        <v>425</v>
      </c>
      <c r="IK1874" s="1">
        <v>41563</v>
      </c>
      <c r="IL1874">
        <v>17</v>
      </c>
      <c r="IM1874">
        <v>13139</v>
      </c>
      <c r="IN1874" t="s">
        <v>955</v>
      </c>
      <c r="IP1874" s="1">
        <v>40688</v>
      </c>
      <c r="IQ1874">
        <v>2010</v>
      </c>
      <c r="IR1874">
        <v>577.83000000000004</v>
      </c>
      <c r="IS1874" t="s">
        <v>18379</v>
      </c>
      <c r="IT1874">
        <v>6</v>
      </c>
      <c r="IU1874" t="s">
        <v>424</v>
      </c>
      <c r="IV1874" t="s">
        <v>425</v>
      </c>
      <c r="IW1874" s="1">
        <v>40906</v>
      </c>
      <c r="IX1874">
        <v>7</v>
      </c>
      <c r="IY1874">
        <v>375</v>
      </c>
      <c r="IZ1874" t="s">
        <v>776</v>
      </c>
    </row>
    <row r="1875" spans="1:284" x14ac:dyDescent="0.25">
      <c r="A1875">
        <v>16486882</v>
      </c>
      <c r="B1875">
        <v>1874</v>
      </c>
      <c r="C1875" t="s">
        <v>393</v>
      </c>
      <c r="D1875" t="s">
        <v>394</v>
      </c>
      <c r="F1875" t="str">
        <f>"00-00-30-0087-0001-00C0"</f>
        <v>00-00-30-0087-0001-00C0</v>
      </c>
      <c r="H1875" t="str">
        <f>"MARTIN ROBERT B &amp; NANCY J 8030 FIRST COAST HWY BUCCANEER TRAIL UNIT 1C"</f>
        <v>MARTIN ROBERT B &amp; NANCY J 8030 FIRST COAST HWY BUCCANEER TRAIL UNIT 1C</v>
      </c>
      <c r="I1875" t="str">
        <f>""</f>
        <v/>
      </c>
      <c r="J1875" t="str">
        <f>"FERNANDINA BEACH FL 32034"</f>
        <v>FERNANDINA BEACH FL 32034</v>
      </c>
      <c r="K1875" t="str">
        <f>"8030 FIRST COAST HWY 1-C"</f>
        <v>8030 FIRST COAST HWY 1-C</v>
      </c>
      <c r="L1875" t="str">
        <f t="shared" si="700"/>
        <v>FERNANDINA BEACH FL 32034</v>
      </c>
      <c r="M1875" t="str">
        <f>"UNIT 1-C IN OR 506 PG 1024 AMELIA RETREAT II"</f>
        <v>UNIT 1-C IN OR 506 PG 1024 AMELIA RETREAT II</v>
      </c>
      <c r="N1875" t="str">
        <f>""</f>
        <v/>
      </c>
      <c r="O1875" t="str">
        <f>"77"</f>
        <v>77</v>
      </c>
      <c r="P1875" t="str">
        <f t="shared" si="698"/>
        <v>2017</v>
      </c>
      <c r="Q1875" t="str">
        <f>""</f>
        <v/>
      </c>
      <c r="R1875" t="str">
        <f>"Y"</f>
        <v>Y</v>
      </c>
      <c r="S1875" t="str">
        <f>""</f>
        <v/>
      </c>
      <c r="T1875" t="str">
        <f>"4084.40"</f>
        <v>4084.40</v>
      </c>
      <c r="U1875" t="str">
        <f>"284344.00"</f>
        <v>284344.00</v>
      </c>
      <c r="V1875" t="str">
        <f>"284344.00"</f>
        <v>284344.00</v>
      </c>
      <c r="W1875" t="str">
        <f t="shared" si="699"/>
        <v>2017</v>
      </c>
      <c r="X1875" t="str">
        <f>""</f>
        <v/>
      </c>
      <c r="Y1875" t="str">
        <f>"4238.93"</f>
        <v>4238.93</v>
      </c>
      <c r="Z1875" t="str">
        <f>"25000.00"</f>
        <v>25000.00</v>
      </c>
      <c r="AA1875" t="str">
        <f>"259344.00"</f>
        <v>259344.00</v>
      </c>
      <c r="AB1875" t="str">
        <f t="shared" si="702"/>
        <v>Residential</v>
      </c>
      <c r="AC1875" t="str">
        <f t="shared" si="682"/>
        <v>0</v>
      </c>
      <c r="AD1875" t="str">
        <f>""</f>
        <v/>
      </c>
      <c r="AE1875" t="str">
        <f>""</f>
        <v/>
      </c>
      <c r="AF1875" t="str">
        <f>"004"</f>
        <v>004</v>
      </c>
      <c r="AG1875" t="str">
        <f>"FL"</f>
        <v>FL</v>
      </c>
      <c r="AH1875" t="str">
        <f t="shared" ref="AH1875:AI1877" si="706">"-"</f>
        <v>-</v>
      </c>
      <c r="AI1875" t="str">
        <f t="shared" si="706"/>
        <v>-</v>
      </c>
      <c r="AJ1875" t="str">
        <f>"C55-000-584-9992-2"</f>
        <v>C55-000-584-9992-2</v>
      </c>
      <c r="AK1875" t="str">
        <f>"37733"</f>
        <v>37733</v>
      </c>
      <c r="AL1875">
        <v>7</v>
      </c>
      <c r="AM1875">
        <v>2136</v>
      </c>
      <c r="AN1875">
        <v>4449.28</v>
      </c>
      <c r="AQ1875" t="s">
        <v>18380</v>
      </c>
      <c r="AR1875" t="s">
        <v>18380</v>
      </c>
      <c r="AS1875" t="s">
        <v>18380</v>
      </c>
      <c r="AU1875" t="s">
        <v>396</v>
      </c>
      <c r="AV1875">
        <v>2017</v>
      </c>
      <c r="AW1875" t="str">
        <f>"00-00-30-0087-0001-00C0 "</f>
        <v xml:space="preserve">00-00-30-0087-0001-00C0 </v>
      </c>
      <c r="AX1875">
        <v>8030</v>
      </c>
      <c r="AZ1875" t="s">
        <v>18381</v>
      </c>
      <c r="BD1875" t="s">
        <v>11749</v>
      </c>
      <c r="BE1875" t="s">
        <v>393</v>
      </c>
      <c r="BF1875">
        <v>32034</v>
      </c>
      <c r="BG1875" t="s">
        <v>18382</v>
      </c>
      <c r="BH1875" t="s">
        <v>11751</v>
      </c>
      <c r="BI1875">
        <v>-81.440057870738201</v>
      </c>
      <c r="BJ1875">
        <v>30.5382299799973</v>
      </c>
      <c r="BK1875" t="s">
        <v>18383</v>
      </c>
      <c r="BL1875" t="s">
        <v>18384</v>
      </c>
      <c r="BM1875" t="s">
        <v>18385</v>
      </c>
      <c r="BN1875" t="s">
        <v>3983</v>
      </c>
      <c r="BO1875">
        <v>32034</v>
      </c>
      <c r="BP1875" t="s">
        <v>404</v>
      </c>
      <c r="BQ1875">
        <v>400</v>
      </c>
      <c r="BR1875" t="s">
        <v>15097</v>
      </c>
      <c r="BS1875">
        <v>1004</v>
      </c>
      <c r="BT1875" t="s">
        <v>15098</v>
      </c>
      <c r="BW1875">
        <v>320406</v>
      </c>
      <c r="BX1875" t="s">
        <v>407</v>
      </c>
      <c r="CA1875">
        <v>1984</v>
      </c>
      <c r="CC1875">
        <v>1</v>
      </c>
      <c r="CD1875">
        <v>2017</v>
      </c>
      <c r="CG1875">
        <v>284344</v>
      </c>
      <c r="CH1875">
        <v>2017</v>
      </c>
      <c r="CJ1875">
        <v>630000</v>
      </c>
      <c r="CK1875">
        <v>630000</v>
      </c>
      <c r="CL1875">
        <v>2017</v>
      </c>
      <c r="CM1875">
        <v>4084.4</v>
      </c>
      <c r="CN1875" s="1">
        <v>31747</v>
      </c>
      <c r="CO1875">
        <v>280000</v>
      </c>
      <c r="CZ1875" s="1">
        <v>31747</v>
      </c>
      <c r="DD1875" t="s">
        <v>11749</v>
      </c>
      <c r="DG1875">
        <v>6</v>
      </c>
      <c r="DI1875" t="s">
        <v>18386</v>
      </c>
      <c r="DJ1875" t="s">
        <v>18387</v>
      </c>
      <c r="DL1875">
        <v>50201</v>
      </c>
      <c r="DM1875" t="s">
        <v>18349</v>
      </c>
      <c r="DO1875" t="s">
        <v>18388</v>
      </c>
      <c r="DP1875">
        <v>0</v>
      </c>
      <c r="DQ1875">
        <v>0</v>
      </c>
      <c r="DR1875" t="s">
        <v>411</v>
      </c>
    </row>
    <row r="1876" spans="1:284" x14ac:dyDescent="0.25">
      <c r="A1876">
        <v>16486883</v>
      </c>
      <c r="B1876">
        <v>1875</v>
      </c>
      <c r="C1876" t="s">
        <v>393</v>
      </c>
      <c r="D1876" t="s">
        <v>394</v>
      </c>
      <c r="F1876" t="str">
        <f>"00-00-30-0090-000A-1130"</f>
        <v>00-00-30-0090-000A-1130</v>
      </c>
      <c r="H1876" t="str">
        <f>"COOK KATHLEEN HATCHER"</f>
        <v>COOK KATHLEEN HATCHER</v>
      </c>
      <c r="I1876" t="str">
        <f>"5045 HOPEWELL ROAD"</f>
        <v>5045 HOPEWELL ROAD</v>
      </c>
      <c r="J1876" t="str">
        <f>"MUSELLA GA 30166"</f>
        <v>MUSELLA GA 30166</v>
      </c>
      <c r="K1876" t="str">
        <f>"4800 AMELIA ISLAND PKWY A-113"</f>
        <v>4800 AMELIA ISLAND PKWY A-113</v>
      </c>
      <c r="L1876" t="str">
        <f t="shared" si="700"/>
        <v>FERNANDINA BEACH FL 32034</v>
      </c>
      <c r="M1876" t="str">
        <f>"UNIT A-113 IN OR 1738/976 &amp; OR 1846/493 AMELIA SURF &amp; RACQUET CLUB 2 OR 358 PG 675"</f>
        <v>UNIT A-113 IN OR 1738/976 &amp; OR 1846/493 AMELIA SURF &amp; RACQUET CLUB 2 OR 358 PG 675</v>
      </c>
      <c r="N1876" t="str">
        <f>""</f>
        <v/>
      </c>
      <c r="O1876" t="str">
        <f>"115"</f>
        <v>115</v>
      </c>
      <c r="P1876" t="str">
        <f t="shared" si="698"/>
        <v>2017</v>
      </c>
      <c r="Q1876" t="str">
        <f>""</f>
        <v/>
      </c>
      <c r="R1876" t="str">
        <f t="shared" ref="R1876:R1890" si="707">"N"</f>
        <v>N</v>
      </c>
      <c r="S1876" t="str">
        <f>""</f>
        <v/>
      </c>
      <c r="T1876" t="str">
        <f>"4278.53"</f>
        <v>4278.53</v>
      </c>
      <c r="U1876" t="str">
        <f>"278000.00"</f>
        <v>278000.00</v>
      </c>
      <c r="V1876" t="str">
        <f>"278000.00"</f>
        <v>278000.00</v>
      </c>
      <c r="W1876" t="str">
        <f t="shared" si="699"/>
        <v>2017</v>
      </c>
      <c r="X1876" t="str">
        <f>"2.00"</f>
        <v>2.00</v>
      </c>
      <c r="Y1876" t="str">
        <f>"4438.89"</f>
        <v>4438.89</v>
      </c>
      <c r="Z1876" t="str">
        <f>""</f>
        <v/>
      </c>
      <c r="AA1876" t="str">
        <f>"278000.00"</f>
        <v>278000.00</v>
      </c>
      <c r="AB1876" t="str">
        <f t="shared" si="702"/>
        <v>Residential</v>
      </c>
      <c r="AC1876" t="str">
        <f t="shared" si="682"/>
        <v>0</v>
      </c>
      <c r="AD1876" t="str">
        <f>""</f>
        <v/>
      </c>
      <c r="AE1876" t="str">
        <f>""</f>
        <v/>
      </c>
      <c r="AF1876" t="str">
        <f>"004"</f>
        <v>004</v>
      </c>
      <c r="AG1876" t="str">
        <f>"GA"</f>
        <v>GA</v>
      </c>
      <c r="AH1876" t="str">
        <f t="shared" si="706"/>
        <v>-</v>
      </c>
      <c r="AI1876" t="str">
        <f t="shared" si="706"/>
        <v>-</v>
      </c>
      <c r="AJ1876" t="str">
        <f>"C55-000-585-0027-3"</f>
        <v>C55-000-585-0027-3</v>
      </c>
      <c r="AK1876" t="str">
        <f>"37769"</f>
        <v>37769</v>
      </c>
      <c r="AL1876">
        <v>7</v>
      </c>
      <c r="AM1876">
        <v>2137</v>
      </c>
      <c r="AN1876">
        <v>4659.2299999999996</v>
      </c>
      <c r="AQ1876" t="s">
        <v>18389</v>
      </c>
      <c r="AR1876" t="s">
        <v>18389</v>
      </c>
      <c r="AS1876" t="s">
        <v>18389</v>
      </c>
      <c r="AU1876" t="s">
        <v>396</v>
      </c>
      <c r="AV1876">
        <v>2017</v>
      </c>
      <c r="AW1876" t="str">
        <f>"00-00-30-0090-000A-1130 "</f>
        <v xml:space="preserve">00-00-30-0090-000A-1130 </v>
      </c>
      <c r="AX1876">
        <v>4800</v>
      </c>
      <c r="AZ1876" t="s">
        <v>14782</v>
      </c>
      <c r="BA1876" t="s">
        <v>11138</v>
      </c>
      <c r="BC1876" t="s">
        <v>18390</v>
      </c>
      <c r="BD1876" t="s">
        <v>11749</v>
      </c>
      <c r="BE1876" t="s">
        <v>393</v>
      </c>
      <c r="BF1876">
        <v>32034</v>
      </c>
      <c r="BG1876" t="s">
        <v>18391</v>
      </c>
      <c r="BH1876" t="s">
        <v>11751</v>
      </c>
      <c r="BI1876">
        <v>-81.444595562272298</v>
      </c>
      <c r="BJ1876">
        <v>30.590057059175301</v>
      </c>
      <c r="BK1876" t="s">
        <v>18392</v>
      </c>
      <c r="BM1876" t="s">
        <v>18393</v>
      </c>
      <c r="BN1876" t="s">
        <v>18394</v>
      </c>
      <c r="BO1876">
        <v>31066</v>
      </c>
      <c r="BP1876" t="s">
        <v>404</v>
      </c>
      <c r="BQ1876">
        <v>400</v>
      </c>
      <c r="BR1876" t="s">
        <v>15097</v>
      </c>
      <c r="BS1876">
        <v>1004</v>
      </c>
      <c r="BT1876" t="s">
        <v>15098</v>
      </c>
      <c r="BW1876">
        <v>222661</v>
      </c>
      <c r="BX1876" t="s">
        <v>407</v>
      </c>
      <c r="CA1876">
        <v>1982</v>
      </c>
      <c r="CC1876">
        <v>1</v>
      </c>
      <c r="CD1876">
        <v>2017</v>
      </c>
      <c r="CF1876">
        <v>278000</v>
      </c>
      <c r="CG1876">
        <v>278000</v>
      </c>
      <c r="CH1876">
        <v>2017</v>
      </c>
      <c r="CJ1876">
        <v>278000</v>
      </c>
      <c r="CK1876">
        <v>278000</v>
      </c>
      <c r="CL1876">
        <v>2017</v>
      </c>
      <c r="CM1876">
        <v>4278.53</v>
      </c>
      <c r="CN1876" s="1">
        <v>40669</v>
      </c>
      <c r="CZ1876" s="1">
        <v>40669</v>
      </c>
      <c r="DD1876" t="s">
        <v>11749</v>
      </c>
      <c r="DG1876">
        <v>14</v>
      </c>
      <c r="DI1876" t="s">
        <v>18395</v>
      </c>
      <c r="DJ1876" t="s">
        <v>18396</v>
      </c>
      <c r="DL1876">
        <v>50203</v>
      </c>
      <c r="DM1876" t="s">
        <v>14802</v>
      </c>
      <c r="DO1876" t="s">
        <v>18397</v>
      </c>
      <c r="DP1876">
        <v>0</v>
      </c>
      <c r="DQ1876">
        <v>0</v>
      </c>
      <c r="DR1876" t="s">
        <v>411</v>
      </c>
      <c r="EP1876" t="s">
        <v>421</v>
      </c>
      <c r="EQ1876" t="s">
        <v>422</v>
      </c>
      <c r="ER1876">
        <v>0</v>
      </c>
      <c r="ES1876">
        <v>1</v>
      </c>
      <c r="ET1876">
        <v>0</v>
      </c>
      <c r="EU1876">
        <v>0</v>
      </c>
      <c r="EV1876">
        <v>0</v>
      </c>
      <c r="EW1876" s="2">
        <v>43222</v>
      </c>
      <c r="EX1876" s="1">
        <v>41787</v>
      </c>
      <c r="EY1876">
        <v>2013</v>
      </c>
      <c r="EZ1876">
        <v>4024.5</v>
      </c>
      <c r="FA1876" t="s">
        <v>18398</v>
      </c>
      <c r="FB1876">
        <v>0.25</v>
      </c>
      <c r="FC1876" t="s">
        <v>424</v>
      </c>
      <c r="FD1876" t="s">
        <v>425</v>
      </c>
      <c r="FE1876" s="1">
        <v>41834</v>
      </c>
      <c r="FF1876">
        <v>2</v>
      </c>
      <c r="FG1876">
        <v>15259</v>
      </c>
      <c r="FH1876" t="s">
        <v>891</v>
      </c>
    </row>
    <row r="1877" spans="1:284" x14ac:dyDescent="0.25">
      <c r="A1877">
        <v>16486884</v>
      </c>
      <c r="B1877">
        <v>1876</v>
      </c>
      <c r="C1877" t="s">
        <v>393</v>
      </c>
      <c r="D1877" t="s">
        <v>394</v>
      </c>
      <c r="F1877" t="str">
        <f>"00-00-30-0090-000A-1140"</f>
        <v>00-00-30-0090-000A-1140</v>
      </c>
      <c r="H1877" t="str">
        <f>"COOK KATHLEEN H TRUSTEE OF KATHLEEN H COOK REVOC TRUST"</f>
        <v>COOK KATHLEEN H TRUSTEE OF KATHLEEN H COOK REVOC TRUST</v>
      </c>
      <c r="I1877" t="str">
        <f>"5045 HOPEWELL ROAD EAST"</f>
        <v>5045 HOPEWELL ROAD EAST</v>
      </c>
      <c r="J1877" t="str">
        <f>"MUSELLA GA 31066"</f>
        <v>MUSELLA GA 31066</v>
      </c>
      <c r="K1877" t="str">
        <f>"4800 AMELIA ISLAND PKWY A-114"</f>
        <v>4800 AMELIA ISLAND PKWY A-114</v>
      </c>
      <c r="L1877" t="str">
        <f t="shared" si="700"/>
        <v>FERNANDINA BEACH FL 32034</v>
      </c>
      <c r="M1877" t="str">
        <f>"UNIT A-114 IN OR 1750/1420 AMELIA SURF &amp; RACQUET CLUB 2 OR 358 PG 675"</f>
        <v>UNIT A-114 IN OR 1750/1420 AMELIA SURF &amp; RACQUET CLUB 2 OR 358 PG 675</v>
      </c>
      <c r="N1877" t="str">
        <f>""</f>
        <v/>
      </c>
      <c r="O1877" t="str">
        <f>"116"</f>
        <v>116</v>
      </c>
      <c r="P1877" t="str">
        <f t="shared" si="698"/>
        <v>2017</v>
      </c>
      <c r="Q1877" t="str">
        <f>""</f>
        <v/>
      </c>
      <c r="R1877" t="str">
        <f t="shared" si="707"/>
        <v>N</v>
      </c>
      <c r="S1877" t="str">
        <f>""</f>
        <v/>
      </c>
      <c r="T1877" t="str">
        <f>"3403.51"</f>
        <v>3403.51</v>
      </c>
      <c r="U1877" t="str">
        <f>"214500.00"</f>
        <v>214500.00</v>
      </c>
      <c r="V1877" t="str">
        <f>"214500.00"</f>
        <v>214500.00</v>
      </c>
      <c r="W1877" t="str">
        <f t="shared" si="699"/>
        <v>2017</v>
      </c>
      <c r="X1877" t="str">
        <f>"13.00"</f>
        <v>13.00</v>
      </c>
      <c r="Y1877" t="str">
        <f>"3537.62"</f>
        <v>3537.62</v>
      </c>
      <c r="Z1877" t="str">
        <f>""</f>
        <v/>
      </c>
      <c r="AA1877" t="str">
        <f>"230000.00"</f>
        <v>230000.00</v>
      </c>
      <c r="AB1877" t="str">
        <f t="shared" si="702"/>
        <v>Residential</v>
      </c>
      <c r="AC1877" t="str">
        <f t="shared" si="682"/>
        <v>0</v>
      </c>
      <c r="AD1877" t="str">
        <f>""</f>
        <v/>
      </c>
      <c r="AE1877" t="str">
        <f>""</f>
        <v/>
      </c>
      <c r="AF1877" t="str">
        <f>"004"</f>
        <v>004</v>
      </c>
      <c r="AG1877" t="str">
        <f>"GA"</f>
        <v>GA</v>
      </c>
      <c r="AH1877" t="str">
        <f t="shared" si="706"/>
        <v>-</v>
      </c>
      <c r="AI1877" t="str">
        <f t="shared" si="706"/>
        <v>-</v>
      </c>
      <c r="AJ1877" t="str">
        <f>"C55-000-585-0028-1"</f>
        <v>C55-000-585-0028-1</v>
      </c>
      <c r="AK1877" t="str">
        <f>"37770"</f>
        <v>37770</v>
      </c>
      <c r="AL1877">
        <v>7</v>
      </c>
      <c r="AM1877">
        <v>2138</v>
      </c>
      <c r="AN1877">
        <v>3712.9</v>
      </c>
      <c r="AQ1877" t="s">
        <v>18399</v>
      </c>
      <c r="AR1877" t="s">
        <v>18399</v>
      </c>
      <c r="AS1877" t="s">
        <v>18399</v>
      </c>
      <c r="AU1877" t="s">
        <v>396</v>
      </c>
      <c r="AV1877">
        <v>2017</v>
      </c>
      <c r="AW1877" t="str">
        <f>"00-00-30-0090-000A-1140 "</f>
        <v xml:space="preserve">00-00-30-0090-000A-1140 </v>
      </c>
      <c r="AX1877">
        <v>4800</v>
      </c>
      <c r="AZ1877" t="s">
        <v>14782</v>
      </c>
      <c r="BA1877" t="s">
        <v>11138</v>
      </c>
      <c r="BC1877" t="s">
        <v>18400</v>
      </c>
      <c r="BD1877" t="s">
        <v>11749</v>
      </c>
      <c r="BE1877" t="s">
        <v>393</v>
      </c>
      <c r="BF1877">
        <v>32034</v>
      </c>
      <c r="BG1877" t="s">
        <v>18401</v>
      </c>
      <c r="BH1877" t="s">
        <v>11751</v>
      </c>
      <c r="BI1877">
        <v>-81.444595562272298</v>
      </c>
      <c r="BJ1877">
        <v>30.590057059175301</v>
      </c>
      <c r="BK1877" t="s">
        <v>18392</v>
      </c>
      <c r="BL1877" t="s">
        <v>18402</v>
      </c>
      <c r="BM1877" t="s">
        <v>18393</v>
      </c>
      <c r="BN1877" t="s">
        <v>18394</v>
      </c>
      <c r="BO1877">
        <v>31066</v>
      </c>
      <c r="BP1877" t="s">
        <v>404</v>
      </c>
      <c r="BQ1877">
        <v>400</v>
      </c>
      <c r="BR1877" t="s">
        <v>15097</v>
      </c>
      <c r="BS1877">
        <v>1004</v>
      </c>
      <c r="BT1877" t="s">
        <v>15098</v>
      </c>
      <c r="BW1877">
        <v>222661</v>
      </c>
      <c r="BX1877" t="s">
        <v>407</v>
      </c>
      <c r="CA1877">
        <v>1982</v>
      </c>
      <c r="CC1877">
        <v>1</v>
      </c>
      <c r="CD1877">
        <v>2017</v>
      </c>
      <c r="CF1877">
        <v>230000</v>
      </c>
      <c r="CG1877">
        <v>230000</v>
      </c>
      <c r="CH1877">
        <v>2017</v>
      </c>
      <c r="CJ1877">
        <v>230000</v>
      </c>
      <c r="CK1877">
        <v>230000</v>
      </c>
      <c r="CL1877">
        <v>2017</v>
      </c>
      <c r="CM1877">
        <v>3403.51</v>
      </c>
      <c r="CN1877" s="1">
        <v>40766</v>
      </c>
      <c r="CO1877">
        <v>230000</v>
      </c>
      <c r="CV1877">
        <v>0</v>
      </c>
      <c r="CZ1877" s="1">
        <v>40766</v>
      </c>
      <c r="DA1877">
        <v>0</v>
      </c>
      <c r="DD1877" t="s">
        <v>11749</v>
      </c>
      <c r="DG1877">
        <v>14</v>
      </c>
      <c r="DI1877" t="s">
        <v>18403</v>
      </c>
      <c r="DJ1877" t="s">
        <v>18396</v>
      </c>
      <c r="DL1877">
        <v>50203</v>
      </c>
      <c r="DM1877" t="s">
        <v>14802</v>
      </c>
      <c r="DO1877" t="s">
        <v>18404</v>
      </c>
      <c r="DP1877">
        <v>0</v>
      </c>
      <c r="DQ1877">
        <v>0</v>
      </c>
      <c r="DR1877" t="s">
        <v>411</v>
      </c>
      <c r="EP1877" t="s">
        <v>421</v>
      </c>
      <c r="EQ1877" t="s">
        <v>422</v>
      </c>
      <c r="ER1877">
        <v>0</v>
      </c>
      <c r="ES1877">
        <v>2</v>
      </c>
      <c r="ET1877">
        <v>0</v>
      </c>
      <c r="EU1877">
        <v>0</v>
      </c>
      <c r="EV1877">
        <v>0</v>
      </c>
      <c r="EW1877" s="2">
        <v>43222</v>
      </c>
      <c r="EX1877" s="1">
        <v>41787</v>
      </c>
      <c r="EY1877">
        <v>2013</v>
      </c>
      <c r="EZ1877">
        <v>3014.97</v>
      </c>
      <c r="FA1877" t="s">
        <v>18405</v>
      </c>
      <c r="FB1877">
        <v>0.25</v>
      </c>
      <c r="FC1877" t="s">
        <v>424</v>
      </c>
      <c r="FD1877" t="s">
        <v>425</v>
      </c>
      <c r="FE1877" s="1">
        <v>42160</v>
      </c>
      <c r="FF1877">
        <v>13</v>
      </c>
      <c r="FG1877">
        <v>15259</v>
      </c>
      <c r="FH1877" t="s">
        <v>891</v>
      </c>
      <c r="FJ1877" s="1">
        <v>41052</v>
      </c>
      <c r="FK1877">
        <v>2011</v>
      </c>
      <c r="FL1877">
        <v>2788.4</v>
      </c>
      <c r="FM1877" t="s">
        <v>18406</v>
      </c>
      <c r="FN1877">
        <v>0.25</v>
      </c>
      <c r="FO1877" t="s">
        <v>424</v>
      </c>
      <c r="FP1877" t="s">
        <v>425</v>
      </c>
      <c r="FQ1877" s="1">
        <v>41431</v>
      </c>
      <c r="FR1877">
        <v>13</v>
      </c>
      <c r="FS1877">
        <v>13852</v>
      </c>
      <c r="FT1877" t="s">
        <v>18407</v>
      </c>
    </row>
    <row r="1878" spans="1:284" x14ac:dyDescent="0.25">
      <c r="A1878">
        <v>16486885</v>
      </c>
      <c r="B1878">
        <v>1877</v>
      </c>
      <c r="C1878" t="s">
        <v>393</v>
      </c>
      <c r="D1878" t="s">
        <v>394</v>
      </c>
      <c r="F1878" t="str">
        <f>"00-00-30-010A-0002-0130"</f>
        <v>00-00-30-010A-0002-0130</v>
      </c>
      <c r="H1878" t="str">
        <f>"FLUKER N E SR &amp; JOHNNIE M C/O NICHOLAS E FLUKER JR"</f>
        <v>FLUKER N E SR &amp; JOHNNIE M C/O NICHOLAS E FLUKER JR</v>
      </c>
      <c r="I1878" t="str">
        <f>"905 STATE STREET"</f>
        <v>905 STATE STREET</v>
      </c>
      <c r="J1878" t="str">
        <f>"WAYCROSS GA 31501"</f>
        <v>WAYCROSS GA 31501</v>
      </c>
      <c r="K1878" t="str">
        <f>"5472 GREGG ST"</f>
        <v>5472 GREGG ST</v>
      </c>
      <c r="L1878" t="str">
        <f t="shared" si="700"/>
        <v>FERNANDINA BEACH FL 32034</v>
      </c>
      <c r="M1878" t="str">
        <f>"BLOCK 2 LOT 13 OR 84 PG 689 AMERICAN BEACH SUB 1 PB 2/42"</f>
        <v>BLOCK 2 LOT 13 OR 84 PG 689 AMERICAN BEACH SUB 1 PB 2/42</v>
      </c>
      <c r="N1878" t="str">
        <f>""</f>
        <v/>
      </c>
      <c r="O1878" t="str">
        <f>"272"</f>
        <v>272</v>
      </c>
      <c r="P1878" t="str">
        <f t="shared" si="698"/>
        <v>2017</v>
      </c>
      <c r="Q1878" t="str">
        <f>""</f>
        <v/>
      </c>
      <c r="R1878" t="str">
        <f t="shared" si="707"/>
        <v>N</v>
      </c>
      <c r="S1878" t="str">
        <f>""</f>
        <v/>
      </c>
      <c r="T1878" t="str">
        <f>"5593.65"</f>
        <v>5593.65</v>
      </c>
      <c r="U1878" t="str">
        <f>"336178.00"</f>
        <v>336178.00</v>
      </c>
      <c r="V1878" t="str">
        <f>"336178.00"</f>
        <v>336178.00</v>
      </c>
      <c r="W1878" t="str">
        <f t="shared" si="699"/>
        <v>2017</v>
      </c>
      <c r="X1878" t="str">
        <f>"5.00"</f>
        <v>5.00</v>
      </c>
      <c r="Y1878" t="str">
        <f>"5793.46"</f>
        <v>5793.46</v>
      </c>
      <c r="Z1878" t="str">
        <f>""</f>
        <v/>
      </c>
      <c r="AA1878" t="str">
        <f>"399794.00"</f>
        <v>399794.00</v>
      </c>
      <c r="AB1878" t="str">
        <f t="shared" si="702"/>
        <v>Residential</v>
      </c>
      <c r="AC1878" t="str">
        <f t="shared" si="682"/>
        <v>0</v>
      </c>
      <c r="AD1878" t="str">
        <f>"4"</f>
        <v>4</v>
      </c>
      <c r="AE1878" t="str">
        <f>"WOOD (INCLUDE STEEL STUDS)"</f>
        <v>WOOD (INCLUDE STEEL STUDS)</v>
      </c>
      <c r="AF1878" t="str">
        <f>"001"</f>
        <v>001</v>
      </c>
      <c r="AG1878" t="str">
        <f>"GA"</f>
        <v>GA</v>
      </c>
      <c r="AH1878" t="str">
        <f>"5000.00"</f>
        <v>5000.00</v>
      </c>
      <c r="AI1878" t="str">
        <f>"325000.00"</f>
        <v>325000.00</v>
      </c>
      <c r="AJ1878" t="str">
        <f>"C55-000-585-0183-4"</f>
        <v>C55-000-585-0183-4</v>
      </c>
      <c r="AK1878" t="str">
        <f>"37925"</f>
        <v>37925</v>
      </c>
      <c r="AL1878">
        <v>7</v>
      </c>
      <c r="AM1878">
        <v>2139</v>
      </c>
      <c r="AN1878">
        <v>6081.53</v>
      </c>
      <c r="AQ1878" t="s">
        <v>18408</v>
      </c>
      <c r="AR1878" t="s">
        <v>18408</v>
      </c>
      <c r="AS1878" t="s">
        <v>18408</v>
      </c>
      <c r="AU1878" t="s">
        <v>396</v>
      </c>
      <c r="AV1878">
        <v>2017</v>
      </c>
      <c r="AW1878" t="str">
        <f>"00-00-30-010A-0002-0130 "</f>
        <v xml:space="preserve">00-00-30-010A-0002-0130 </v>
      </c>
      <c r="AX1878">
        <v>5472</v>
      </c>
      <c r="AZ1878" t="s">
        <v>18409</v>
      </c>
      <c r="BA1878" t="s">
        <v>1942</v>
      </c>
      <c r="BD1878" t="s">
        <v>11749</v>
      </c>
      <c r="BE1878" t="s">
        <v>393</v>
      </c>
      <c r="BF1878">
        <v>32034</v>
      </c>
      <c r="BG1878" t="s">
        <v>18410</v>
      </c>
      <c r="BH1878" t="s">
        <v>11751</v>
      </c>
      <c r="BI1878">
        <v>-81.444007757455296</v>
      </c>
      <c r="BJ1878">
        <v>30.574436151399201</v>
      </c>
      <c r="BK1878" t="s">
        <v>18411</v>
      </c>
      <c r="BL1878" t="s">
        <v>18412</v>
      </c>
      <c r="BM1878" t="s">
        <v>18413</v>
      </c>
      <c r="BN1878" t="s">
        <v>12454</v>
      </c>
      <c r="BO1878">
        <v>31501</v>
      </c>
      <c r="BP1878" t="s">
        <v>404</v>
      </c>
      <c r="BQ1878">
        <v>100</v>
      </c>
      <c r="BR1878" t="s">
        <v>514</v>
      </c>
      <c r="BS1878">
        <v>1001</v>
      </c>
      <c r="BT1878" t="s">
        <v>515</v>
      </c>
      <c r="BU1878">
        <v>500</v>
      </c>
      <c r="BV1878">
        <v>1000</v>
      </c>
      <c r="BW1878">
        <v>7500</v>
      </c>
      <c r="BX1878" t="s">
        <v>407</v>
      </c>
      <c r="BY1878" t="s">
        <v>7351</v>
      </c>
      <c r="BZ1878">
        <v>4</v>
      </c>
      <c r="CA1878">
        <v>1948</v>
      </c>
      <c r="CB1878">
        <v>1</v>
      </c>
      <c r="CC1878">
        <v>1</v>
      </c>
      <c r="CD1878">
        <v>2017</v>
      </c>
      <c r="CE1878">
        <v>325000</v>
      </c>
      <c r="CF1878">
        <v>74794</v>
      </c>
      <c r="CG1878">
        <v>399794</v>
      </c>
      <c r="CH1878">
        <v>2017</v>
      </c>
      <c r="CI1878">
        <v>325000</v>
      </c>
      <c r="CJ1878">
        <v>74794</v>
      </c>
      <c r="CK1878">
        <v>399794</v>
      </c>
      <c r="CL1878">
        <v>2017</v>
      </c>
      <c r="CM1878">
        <v>5593.65</v>
      </c>
      <c r="CN1878" s="1">
        <v>40525</v>
      </c>
      <c r="CZ1878" s="1">
        <v>40525</v>
      </c>
      <c r="DD1878" t="s">
        <v>11749</v>
      </c>
      <c r="DF1878">
        <v>13</v>
      </c>
      <c r="DG1878">
        <v>18</v>
      </c>
      <c r="DJ1878" t="s">
        <v>18414</v>
      </c>
      <c r="DL1878">
        <v>50203</v>
      </c>
      <c r="DM1878" t="s">
        <v>18415</v>
      </c>
      <c r="DO1878" t="s">
        <v>18416</v>
      </c>
      <c r="DP1878">
        <v>0</v>
      </c>
      <c r="DQ1878">
        <v>0</v>
      </c>
      <c r="DR1878" t="s">
        <v>411</v>
      </c>
      <c r="DS1878" t="b">
        <v>1</v>
      </c>
      <c r="DT1878" t="s">
        <v>470</v>
      </c>
      <c r="DU1878" t="s">
        <v>471</v>
      </c>
      <c r="DV1878" t="s">
        <v>472</v>
      </c>
      <c r="DX1878">
        <v>-9999</v>
      </c>
      <c r="DZ1878" t="s">
        <v>447</v>
      </c>
      <c r="EA1878" t="s">
        <v>448</v>
      </c>
      <c r="EB1878" t="s">
        <v>14787</v>
      </c>
      <c r="EC1878">
        <v>20101217</v>
      </c>
      <c r="ED1878" t="s">
        <v>474</v>
      </c>
      <c r="EF1878">
        <v>63.2</v>
      </c>
      <c r="EG1878">
        <v>63.2</v>
      </c>
      <c r="EI1878">
        <v>20160407</v>
      </c>
      <c r="EJ1878">
        <v>0</v>
      </c>
      <c r="EK1878">
        <v>0</v>
      </c>
      <c r="EP1878" t="s">
        <v>421</v>
      </c>
      <c r="EQ1878" t="s">
        <v>422</v>
      </c>
      <c r="ER1878">
        <v>0</v>
      </c>
      <c r="ES1878">
        <v>2</v>
      </c>
      <c r="ET1878">
        <v>0</v>
      </c>
      <c r="EU1878">
        <v>0</v>
      </c>
      <c r="EV1878">
        <v>0</v>
      </c>
      <c r="EW1878" s="2">
        <v>43222</v>
      </c>
      <c r="EX1878" s="1">
        <v>42515</v>
      </c>
      <c r="EY1878">
        <v>2015</v>
      </c>
      <c r="EZ1878">
        <v>5328.91</v>
      </c>
      <c r="FA1878" t="s">
        <v>18417</v>
      </c>
      <c r="FB1878">
        <v>0.25</v>
      </c>
      <c r="FC1878" t="s">
        <v>424</v>
      </c>
      <c r="FD1878" t="s">
        <v>425</v>
      </c>
      <c r="FE1878" s="1">
        <v>42664</v>
      </c>
      <c r="FF1878">
        <v>5</v>
      </c>
      <c r="FG1878">
        <v>2851116</v>
      </c>
      <c r="FH1878" t="s">
        <v>480</v>
      </c>
      <c r="FJ1878" s="1">
        <v>42515</v>
      </c>
      <c r="FK1878">
        <v>2015</v>
      </c>
      <c r="FL1878">
        <v>5328.91</v>
      </c>
      <c r="FM1878" t="s">
        <v>18417</v>
      </c>
      <c r="FN1878">
        <v>0.25</v>
      </c>
      <c r="FO1878" t="s">
        <v>424</v>
      </c>
      <c r="FP1878" t="s">
        <v>425</v>
      </c>
      <c r="FR1878">
        <v>22</v>
      </c>
      <c r="FS1878">
        <v>5647282</v>
      </c>
      <c r="FT1878" t="s">
        <v>18418</v>
      </c>
    </row>
    <row r="1879" spans="1:284" x14ac:dyDescent="0.25">
      <c r="A1879">
        <v>16486886</v>
      </c>
      <c r="B1879">
        <v>1878</v>
      </c>
      <c r="C1879" t="s">
        <v>393</v>
      </c>
      <c r="D1879" t="s">
        <v>394</v>
      </c>
      <c r="F1879" t="str">
        <f>"00-00-30-010A-0003-0182"</f>
        <v>00-00-30-010A-0003-0182</v>
      </c>
      <c r="H1879" t="str">
        <f>"WILLIAMS PEARL &amp; WILLIAMS LINCOLN C JR"</f>
        <v>WILLIAMS PEARL &amp; WILLIAMS LINCOLN C JR</v>
      </c>
      <c r="I1879" t="str">
        <f>"756 SUNKEN MEADOW"</f>
        <v>756 SUNKEN MEADOW</v>
      </c>
      <c r="J1879" t="str">
        <f>"JACKSONVILLE FL 32218"</f>
        <v>JACKSONVILLE FL 32218</v>
      </c>
      <c r="K1879" t="str">
        <f>"5487 GREGG ST"</f>
        <v>5487 GREGG ST</v>
      </c>
      <c r="L1879" t="str">
        <f t="shared" si="700"/>
        <v>FERNANDINA BEACH FL 32034</v>
      </c>
      <c r="M1879" t="str">
        <f>"BLOCK 3 S25 FT OF E75 FT OF 18 IN OR 403 PG 60 AMERICAN BEACH SUB 1 PB 2/42"</f>
        <v>BLOCK 3 S25 FT OF E75 FT OF 18 IN OR 403 PG 60 AMERICAN BEACH SUB 1 PB 2/42</v>
      </c>
      <c r="N1879" t="str">
        <f>""</f>
        <v/>
      </c>
      <c r="O1879" t="str">
        <f>"279"</f>
        <v>279</v>
      </c>
      <c r="P1879" t="str">
        <f t="shared" si="698"/>
        <v>2017</v>
      </c>
      <c r="Q1879" t="str">
        <f>""</f>
        <v/>
      </c>
      <c r="R1879" t="str">
        <f t="shared" si="707"/>
        <v>N</v>
      </c>
      <c r="S1879" t="str">
        <f>""</f>
        <v/>
      </c>
      <c r="T1879" t="str">
        <f>"1267.31"</f>
        <v>1267.31</v>
      </c>
      <c r="U1879" t="str">
        <f>"76233.00"</f>
        <v>76233.00</v>
      </c>
      <c r="V1879" t="str">
        <f>"76233.00"</f>
        <v>76233.00</v>
      </c>
      <c r="W1879" t="str">
        <f t="shared" si="699"/>
        <v>2017</v>
      </c>
      <c r="X1879" t="str">
        <f>"19.13"</f>
        <v>19.13</v>
      </c>
      <c r="Y1879" t="str">
        <f>"1337.33"</f>
        <v>1337.33</v>
      </c>
      <c r="Z1879" t="str">
        <f>""</f>
        <v/>
      </c>
      <c r="AA1879" t="str">
        <f>"90488.00"</f>
        <v>90488.00</v>
      </c>
      <c r="AB1879" t="str">
        <f>"Commercial"</f>
        <v>Commercial</v>
      </c>
      <c r="AC1879" t="str">
        <f t="shared" si="682"/>
        <v>0</v>
      </c>
      <c r="AD1879" t="str">
        <f>"3"</f>
        <v>3</v>
      </c>
      <c r="AE1879" t="str">
        <f>"MASONRY"</f>
        <v>MASONRY</v>
      </c>
      <c r="AF1879" t="str">
        <f>"011"</f>
        <v>011</v>
      </c>
      <c r="AG1879" t="str">
        <f>"FL"</f>
        <v>FL</v>
      </c>
      <c r="AH1879" t="str">
        <f>"1250.00"</f>
        <v>1250.00</v>
      </c>
      <c r="AI1879" t="str">
        <f>"80000.00"</f>
        <v>80000.00</v>
      </c>
      <c r="AJ1879" t="str">
        <f>"C55-000-585-0190-9"</f>
        <v>C55-000-585-0190-9</v>
      </c>
      <c r="AK1879" t="str">
        <f>"37932"</f>
        <v>37932</v>
      </c>
      <c r="AL1879">
        <v>7</v>
      </c>
      <c r="AM1879">
        <v>2140</v>
      </c>
      <c r="AN1879">
        <v>1402.6</v>
      </c>
      <c r="AQ1879" t="s">
        <v>18419</v>
      </c>
      <c r="AR1879" t="s">
        <v>18419</v>
      </c>
      <c r="AS1879" t="s">
        <v>18419</v>
      </c>
      <c r="AU1879" t="s">
        <v>396</v>
      </c>
      <c r="AV1879">
        <v>2017</v>
      </c>
      <c r="AW1879" t="str">
        <f>"00-00-30-010A-0003-0182 "</f>
        <v xml:space="preserve">00-00-30-010A-0003-0182 </v>
      </c>
      <c r="AX1879">
        <v>5487</v>
      </c>
      <c r="AZ1879" t="s">
        <v>18409</v>
      </c>
      <c r="BA1879" t="s">
        <v>1942</v>
      </c>
      <c r="BD1879" t="s">
        <v>11749</v>
      </c>
      <c r="BE1879" t="s">
        <v>393</v>
      </c>
      <c r="BF1879">
        <v>32034</v>
      </c>
      <c r="BG1879" t="s">
        <v>18420</v>
      </c>
      <c r="BH1879" t="s">
        <v>11751</v>
      </c>
      <c r="BI1879">
        <v>-81.444455919864396</v>
      </c>
      <c r="BJ1879">
        <v>30.574117552364299</v>
      </c>
      <c r="BK1879" t="s">
        <v>18421</v>
      </c>
      <c r="BL1879" t="s">
        <v>18422</v>
      </c>
      <c r="BM1879" t="s">
        <v>18423</v>
      </c>
      <c r="BN1879" t="s">
        <v>548</v>
      </c>
      <c r="BO1879">
        <v>32218</v>
      </c>
      <c r="BP1879" t="s">
        <v>404</v>
      </c>
      <c r="BQ1879">
        <v>1100</v>
      </c>
      <c r="BR1879" t="s">
        <v>4474</v>
      </c>
      <c r="BS1879">
        <v>2000</v>
      </c>
      <c r="BT1879" t="s">
        <v>4475</v>
      </c>
      <c r="BU1879">
        <v>250</v>
      </c>
      <c r="BV1879">
        <v>0</v>
      </c>
      <c r="BW1879">
        <v>1875</v>
      </c>
      <c r="BX1879" t="s">
        <v>407</v>
      </c>
      <c r="BY1879" t="s">
        <v>2221</v>
      </c>
      <c r="BZ1879">
        <v>3</v>
      </c>
      <c r="CA1879">
        <v>1953</v>
      </c>
      <c r="CB1879">
        <v>1</v>
      </c>
      <c r="CD1879">
        <v>2017</v>
      </c>
      <c r="CE1879">
        <v>80000</v>
      </c>
      <c r="CF1879">
        <v>10488</v>
      </c>
      <c r="CG1879">
        <v>90488</v>
      </c>
      <c r="CH1879">
        <v>2017</v>
      </c>
      <c r="CI1879">
        <v>80000</v>
      </c>
      <c r="CJ1879">
        <v>10488</v>
      </c>
      <c r="CK1879">
        <v>90488</v>
      </c>
      <c r="CL1879">
        <v>2017</v>
      </c>
      <c r="CM1879">
        <v>1267.31</v>
      </c>
      <c r="CN1879" s="1">
        <v>29312</v>
      </c>
      <c r="CZ1879" s="1">
        <v>29312</v>
      </c>
      <c r="DD1879" t="s">
        <v>11749</v>
      </c>
      <c r="DG1879">
        <v>18</v>
      </c>
      <c r="DJ1879" t="s">
        <v>18414</v>
      </c>
      <c r="DL1879">
        <v>50203</v>
      </c>
      <c r="DM1879" t="s">
        <v>18415</v>
      </c>
      <c r="DO1879" t="s">
        <v>18424</v>
      </c>
      <c r="DP1879">
        <v>0</v>
      </c>
      <c r="DQ1879">
        <v>0</v>
      </c>
      <c r="DR1879" t="s">
        <v>411</v>
      </c>
      <c r="DS1879" t="b">
        <v>1</v>
      </c>
      <c r="DT1879" t="s">
        <v>470</v>
      </c>
      <c r="DU1879" t="s">
        <v>471</v>
      </c>
      <c r="DV1879" t="s">
        <v>472</v>
      </c>
      <c r="DX1879">
        <v>-9999</v>
      </c>
      <c r="DZ1879" t="s">
        <v>447</v>
      </c>
      <c r="EA1879" t="s">
        <v>448</v>
      </c>
      <c r="EB1879" t="s">
        <v>14787</v>
      </c>
      <c r="EC1879">
        <v>20101217</v>
      </c>
      <c r="ED1879" t="s">
        <v>474</v>
      </c>
      <c r="EF1879">
        <v>189.6</v>
      </c>
      <c r="EG1879">
        <v>189.6</v>
      </c>
      <c r="EI1879">
        <v>20160407</v>
      </c>
      <c r="EJ1879">
        <v>0</v>
      </c>
      <c r="EK1879">
        <v>0</v>
      </c>
      <c r="EP1879" t="s">
        <v>421</v>
      </c>
      <c r="EQ1879" t="s">
        <v>422</v>
      </c>
      <c r="ER1879">
        <v>2</v>
      </c>
      <c r="ES1879">
        <v>7</v>
      </c>
      <c r="ET1879">
        <v>2624.7</v>
      </c>
      <c r="EU1879">
        <v>143.74</v>
      </c>
      <c r="EV1879">
        <v>2768.44</v>
      </c>
      <c r="EW1879" s="2">
        <v>43222</v>
      </c>
      <c r="EX1879" s="1">
        <v>42879</v>
      </c>
      <c r="EY1879">
        <v>2016</v>
      </c>
      <c r="EZ1879">
        <v>1312.35</v>
      </c>
      <c r="FA1879" t="s">
        <v>18425</v>
      </c>
      <c r="FB1879">
        <v>0.25</v>
      </c>
      <c r="FC1879" t="s">
        <v>424</v>
      </c>
      <c r="FD1879" t="s">
        <v>454</v>
      </c>
      <c r="FF1879">
        <v>12</v>
      </c>
      <c r="FG1879">
        <v>7400234</v>
      </c>
      <c r="FH1879" t="s">
        <v>426</v>
      </c>
      <c r="FJ1879" s="1">
        <v>42879</v>
      </c>
      <c r="FK1879">
        <v>2016</v>
      </c>
      <c r="FL1879">
        <v>1312.35</v>
      </c>
      <c r="FM1879" t="s">
        <v>18425</v>
      </c>
      <c r="FN1879">
        <v>0.25</v>
      </c>
      <c r="FO1879" t="s">
        <v>424</v>
      </c>
      <c r="FP1879" t="s">
        <v>454</v>
      </c>
      <c r="FR1879">
        <v>12</v>
      </c>
      <c r="FS1879">
        <v>7476449</v>
      </c>
      <c r="FT1879" t="s">
        <v>18426</v>
      </c>
      <c r="FV1879" s="1">
        <v>42515</v>
      </c>
      <c r="FW1879">
        <v>2015</v>
      </c>
      <c r="FX1879">
        <v>1103.42</v>
      </c>
      <c r="FY1879" t="s">
        <v>18427</v>
      </c>
      <c r="FZ1879">
        <v>0.25</v>
      </c>
      <c r="GA1879" t="s">
        <v>424</v>
      </c>
      <c r="GB1879" t="s">
        <v>425</v>
      </c>
      <c r="GC1879" s="1">
        <v>43189</v>
      </c>
      <c r="GD1879">
        <v>22</v>
      </c>
      <c r="GE1879">
        <v>2851116</v>
      </c>
      <c r="GF1879" t="s">
        <v>480</v>
      </c>
      <c r="GH1879" s="1">
        <v>42515</v>
      </c>
      <c r="GI1879">
        <v>2015</v>
      </c>
      <c r="GJ1879">
        <v>1103.42</v>
      </c>
      <c r="GK1879" t="s">
        <v>18427</v>
      </c>
      <c r="GL1879">
        <v>0.25</v>
      </c>
      <c r="GM1879" t="s">
        <v>424</v>
      </c>
      <c r="GN1879" t="s">
        <v>425</v>
      </c>
      <c r="GP1879">
        <v>22</v>
      </c>
      <c r="GQ1879">
        <v>4888567</v>
      </c>
      <c r="GR1879" t="s">
        <v>18428</v>
      </c>
      <c r="GT1879" s="1">
        <v>42151</v>
      </c>
      <c r="GU1879">
        <v>2014</v>
      </c>
      <c r="GV1879">
        <v>1108.8699999999999</v>
      </c>
      <c r="GW1879" t="s">
        <v>18429</v>
      </c>
      <c r="GX1879">
        <v>0.25</v>
      </c>
      <c r="GY1879" t="s">
        <v>424</v>
      </c>
      <c r="GZ1879" t="s">
        <v>425</v>
      </c>
      <c r="HA1879" s="1">
        <v>42783</v>
      </c>
      <c r="HB1879">
        <v>21</v>
      </c>
      <c r="HC1879">
        <v>2851116</v>
      </c>
      <c r="HD1879" t="s">
        <v>480</v>
      </c>
      <c r="HF1879" s="1">
        <v>42151</v>
      </c>
      <c r="HG1879">
        <v>2014</v>
      </c>
      <c r="HH1879">
        <v>1108.8699999999999</v>
      </c>
      <c r="HI1879" t="s">
        <v>18429</v>
      </c>
      <c r="HJ1879">
        <v>0.25</v>
      </c>
      <c r="HK1879" t="s">
        <v>424</v>
      </c>
      <c r="HL1879" t="s">
        <v>425</v>
      </c>
      <c r="HN1879">
        <v>22</v>
      </c>
      <c r="HO1879">
        <v>4929692</v>
      </c>
      <c r="HP1879" t="s">
        <v>18430</v>
      </c>
      <c r="HR1879" s="1">
        <v>41423</v>
      </c>
      <c r="HS1879">
        <v>2012</v>
      </c>
      <c r="HT1879">
        <v>1030.8499999999999</v>
      </c>
      <c r="HU1879" t="s">
        <v>18431</v>
      </c>
      <c r="HV1879">
        <v>3.25</v>
      </c>
      <c r="HW1879" t="s">
        <v>424</v>
      </c>
      <c r="HX1879" t="s">
        <v>425</v>
      </c>
      <c r="HY1879" s="1">
        <v>41740</v>
      </c>
      <c r="HZ1879">
        <v>11</v>
      </c>
      <c r="IA1879">
        <v>1625515</v>
      </c>
      <c r="IB1879" t="s">
        <v>487</v>
      </c>
      <c r="ID1879" s="1">
        <v>41052</v>
      </c>
      <c r="IE1879">
        <v>2011</v>
      </c>
      <c r="IF1879">
        <v>1244.03</v>
      </c>
      <c r="IG1879" t="s">
        <v>18432</v>
      </c>
      <c r="IH1879">
        <v>5.25</v>
      </c>
      <c r="II1879" t="s">
        <v>424</v>
      </c>
      <c r="IJ1879" t="s">
        <v>425</v>
      </c>
      <c r="IK1879" s="1">
        <v>41740</v>
      </c>
      <c r="IL1879">
        <v>23</v>
      </c>
      <c r="IM1879">
        <v>13027</v>
      </c>
      <c r="IN1879" t="s">
        <v>826</v>
      </c>
      <c r="IP1879" s="1">
        <v>41052</v>
      </c>
      <c r="IQ1879">
        <v>2010</v>
      </c>
      <c r="IR1879">
        <v>1801.15</v>
      </c>
      <c r="IS1879" t="s">
        <v>18433</v>
      </c>
      <c r="IT1879">
        <v>5.75</v>
      </c>
      <c r="IU1879" t="s">
        <v>424</v>
      </c>
      <c r="IV1879" t="s">
        <v>425</v>
      </c>
      <c r="IW1879" s="1">
        <v>41740</v>
      </c>
      <c r="IX1879">
        <v>23</v>
      </c>
      <c r="IY1879">
        <v>62</v>
      </c>
      <c r="IZ1879" t="s">
        <v>463</v>
      </c>
    </row>
    <row r="1880" spans="1:284" x14ac:dyDescent="0.25">
      <c r="A1880">
        <v>16486887</v>
      </c>
      <c r="B1880">
        <v>1879</v>
      </c>
      <c r="C1880" t="s">
        <v>393</v>
      </c>
      <c r="D1880" t="s">
        <v>394</v>
      </c>
      <c r="F1880" t="str">
        <f>"00-00-30-010A-0004-0250"</f>
        <v>00-00-30-010A-0004-0250</v>
      </c>
      <c r="H1880" t="str">
        <f>"WILLIAMS PEARL H &amp; LINCOLN C TRUSTEES OF PEARL H WILLIAMS LIVING TRUST"</f>
        <v>WILLIAMS PEARL H &amp; LINCOLN C TRUSTEES OF PEARL H WILLIAMS LIVING TRUST</v>
      </c>
      <c r="I1880" t="str">
        <f>""</f>
        <v/>
      </c>
      <c r="J1880" t="str">
        <f>"JACKSONVILLE FL 32218"</f>
        <v>JACKSONVILLE FL 32218</v>
      </c>
      <c r="K1880" t="str">
        <f>"5443 GREGG ST"</f>
        <v>5443 GREGG ST</v>
      </c>
      <c r="L1880" t="str">
        <f t="shared" si="700"/>
        <v>FERNANDINA BEACH FL 32034</v>
      </c>
      <c r="M1880" t="str">
        <f>"BLOCK 4 LOT 25 IN OR 1591/1949 AMERICAN BEACH SUB 1 PB 2/42"</f>
        <v>BLOCK 4 LOT 25 IN OR 1591/1949 AMERICAN BEACH SUB 1 PB 2/42</v>
      </c>
      <c r="N1880" t="str">
        <f>""</f>
        <v/>
      </c>
      <c r="O1880" t="str">
        <f>"286"</f>
        <v>286</v>
      </c>
      <c r="P1880" t="str">
        <f t="shared" si="698"/>
        <v>2017</v>
      </c>
      <c r="Q1880" t="str">
        <f>""</f>
        <v/>
      </c>
      <c r="R1880" t="str">
        <f t="shared" si="707"/>
        <v>N</v>
      </c>
      <c r="S1880" t="str">
        <f>""</f>
        <v/>
      </c>
      <c r="T1880" t="str">
        <f>"2862.40"</f>
        <v>2862.40</v>
      </c>
      <c r="U1880" t="str">
        <f>"185986.00"</f>
        <v>185986.00</v>
      </c>
      <c r="V1880" t="str">
        <f>"185986.00"</f>
        <v>185986.00</v>
      </c>
      <c r="W1880" t="str">
        <f t="shared" si="699"/>
        <v>2017</v>
      </c>
      <c r="X1880" t="str">
        <f>"20.67"</f>
        <v>20.67</v>
      </c>
      <c r="Y1880" t="str">
        <f>"2980.27"</f>
        <v>2980.27</v>
      </c>
      <c r="Z1880" t="str">
        <f>""</f>
        <v/>
      </c>
      <c r="AA1880" t="str">
        <f>"185986.00"</f>
        <v>185986.00</v>
      </c>
      <c r="AB1880" t="str">
        <f t="shared" ref="AB1880:AB1907" si="708">"Residential"</f>
        <v>Residential</v>
      </c>
      <c r="AC1880" t="str">
        <f t="shared" si="682"/>
        <v>0</v>
      </c>
      <c r="AD1880" t="str">
        <f>"4"</f>
        <v>4</v>
      </c>
      <c r="AE1880" t="str">
        <f>"WOOD (INCLUDE STEEL STUDS)"</f>
        <v>WOOD (INCLUDE STEEL STUDS)</v>
      </c>
      <c r="AF1880" t="str">
        <f>"001"</f>
        <v>001</v>
      </c>
      <c r="AG1880" t="str">
        <f>"FL"</f>
        <v>FL</v>
      </c>
      <c r="AH1880" t="str">
        <f>"6250.00"</f>
        <v>6250.00</v>
      </c>
      <c r="AI1880" t="str">
        <f>"174400.00"</f>
        <v>174400.00</v>
      </c>
      <c r="AJ1880" t="str">
        <f>"C55-000-585-0197-4"</f>
        <v>C55-000-585-0197-4</v>
      </c>
      <c r="AK1880" t="str">
        <f>"37939"</f>
        <v>37939</v>
      </c>
      <c r="AL1880">
        <v>7</v>
      </c>
      <c r="AM1880">
        <v>2141</v>
      </c>
      <c r="AN1880">
        <v>3127.68</v>
      </c>
      <c r="AQ1880" t="s">
        <v>18434</v>
      </c>
      <c r="AR1880" t="s">
        <v>18434</v>
      </c>
      <c r="AS1880" t="s">
        <v>18434</v>
      </c>
      <c r="AU1880" t="s">
        <v>396</v>
      </c>
      <c r="AV1880">
        <v>2017</v>
      </c>
      <c r="AW1880" t="str">
        <f>"00-00-30-010A-0004-0250 "</f>
        <v xml:space="preserve">00-00-30-010A-0004-0250 </v>
      </c>
      <c r="AX1880">
        <v>5443</v>
      </c>
      <c r="AZ1880" t="s">
        <v>18409</v>
      </c>
      <c r="BA1880" t="s">
        <v>1942</v>
      </c>
      <c r="BD1880" t="s">
        <v>11749</v>
      </c>
      <c r="BE1880" t="s">
        <v>393</v>
      </c>
      <c r="BF1880">
        <v>32034</v>
      </c>
      <c r="BG1880" t="s">
        <v>18435</v>
      </c>
      <c r="BH1880" t="s">
        <v>11751</v>
      </c>
      <c r="BI1880">
        <v>-81.444553483795801</v>
      </c>
      <c r="BJ1880">
        <v>30.5752225060691</v>
      </c>
      <c r="BK1880" t="s">
        <v>18436</v>
      </c>
      <c r="BL1880" t="s">
        <v>18422</v>
      </c>
      <c r="BM1880" t="s">
        <v>18437</v>
      </c>
      <c r="BN1880" t="s">
        <v>548</v>
      </c>
      <c r="BO1880">
        <v>32218</v>
      </c>
      <c r="BP1880" t="s">
        <v>404</v>
      </c>
      <c r="BQ1880">
        <v>100</v>
      </c>
      <c r="BR1880" t="s">
        <v>514</v>
      </c>
      <c r="BS1880">
        <v>1001</v>
      </c>
      <c r="BT1880" t="s">
        <v>515</v>
      </c>
      <c r="BU1880">
        <v>500</v>
      </c>
      <c r="BV1880">
        <v>1250</v>
      </c>
      <c r="BW1880">
        <v>6250</v>
      </c>
      <c r="BX1880" t="s">
        <v>407</v>
      </c>
      <c r="BY1880" t="s">
        <v>7351</v>
      </c>
      <c r="BZ1880">
        <v>4</v>
      </c>
      <c r="CA1880">
        <v>1948</v>
      </c>
      <c r="CB1880">
        <v>2</v>
      </c>
      <c r="CC1880">
        <v>1</v>
      </c>
      <c r="CD1880">
        <v>2017</v>
      </c>
      <c r="CE1880">
        <v>174400</v>
      </c>
      <c r="CF1880">
        <v>11586</v>
      </c>
      <c r="CG1880">
        <v>185986</v>
      </c>
      <c r="CH1880">
        <v>2017</v>
      </c>
      <c r="CI1880">
        <v>174400</v>
      </c>
      <c r="CJ1880">
        <v>11586</v>
      </c>
      <c r="CK1880">
        <v>185986</v>
      </c>
      <c r="CL1880">
        <v>2017</v>
      </c>
      <c r="CM1880">
        <v>2862.4</v>
      </c>
      <c r="CN1880" s="1">
        <v>39756</v>
      </c>
      <c r="CZ1880" s="1">
        <v>39756</v>
      </c>
      <c r="DD1880" t="s">
        <v>11749</v>
      </c>
      <c r="DF1880">
        <v>25</v>
      </c>
      <c r="DG1880">
        <v>18</v>
      </c>
      <c r="DJ1880" t="s">
        <v>18414</v>
      </c>
      <c r="DL1880">
        <v>50203</v>
      </c>
      <c r="DM1880" t="s">
        <v>18415</v>
      </c>
      <c r="DO1880" t="s">
        <v>18438</v>
      </c>
      <c r="DP1880">
        <v>0</v>
      </c>
      <c r="DQ1880">
        <v>0</v>
      </c>
      <c r="DR1880" t="s">
        <v>411</v>
      </c>
      <c r="DS1880" t="b">
        <v>1</v>
      </c>
      <c r="DT1880" t="s">
        <v>470</v>
      </c>
      <c r="DU1880" t="s">
        <v>471</v>
      </c>
      <c r="DV1880" t="s">
        <v>472</v>
      </c>
      <c r="DX1880">
        <v>-9999</v>
      </c>
      <c r="DZ1880" t="s">
        <v>447</v>
      </c>
      <c r="EA1880" t="s">
        <v>448</v>
      </c>
      <c r="EB1880" t="s">
        <v>14787</v>
      </c>
      <c r="EC1880">
        <v>20101217</v>
      </c>
      <c r="ED1880" t="s">
        <v>474</v>
      </c>
      <c r="EF1880">
        <v>223.7</v>
      </c>
      <c r="EG1880">
        <v>223.7</v>
      </c>
      <c r="EI1880">
        <v>20160407</v>
      </c>
      <c r="EJ1880">
        <v>0</v>
      </c>
      <c r="EK1880">
        <v>0</v>
      </c>
      <c r="EP1880" t="s">
        <v>421</v>
      </c>
      <c r="EQ1880" t="s">
        <v>422</v>
      </c>
      <c r="ER1880">
        <v>2</v>
      </c>
      <c r="ES1880">
        <v>9</v>
      </c>
      <c r="ET1880">
        <v>5947.68</v>
      </c>
      <c r="EU1880">
        <v>309.88</v>
      </c>
      <c r="EV1880">
        <v>6257.56</v>
      </c>
      <c r="EW1880" s="2">
        <v>43222</v>
      </c>
      <c r="EX1880" s="1">
        <v>42879</v>
      </c>
      <c r="EY1880">
        <v>2016</v>
      </c>
      <c r="EZ1880">
        <v>2973.84</v>
      </c>
      <c r="FA1880" t="s">
        <v>18439</v>
      </c>
      <c r="FB1880">
        <v>0.25</v>
      </c>
      <c r="FC1880" t="s">
        <v>424</v>
      </c>
      <c r="FD1880" t="s">
        <v>454</v>
      </c>
      <c r="FF1880">
        <v>12</v>
      </c>
      <c r="FG1880">
        <v>2851116</v>
      </c>
      <c r="FH1880" t="s">
        <v>480</v>
      </c>
      <c r="FJ1880" s="1">
        <v>42879</v>
      </c>
      <c r="FK1880">
        <v>2016</v>
      </c>
      <c r="FL1880">
        <v>2973.84</v>
      </c>
      <c r="FM1880" t="s">
        <v>18439</v>
      </c>
      <c r="FN1880">
        <v>0.25</v>
      </c>
      <c r="FO1880" t="s">
        <v>424</v>
      </c>
      <c r="FP1880" t="s">
        <v>454</v>
      </c>
      <c r="FR1880">
        <v>12</v>
      </c>
      <c r="FS1880">
        <v>5073416</v>
      </c>
      <c r="FT1880" t="s">
        <v>18440</v>
      </c>
      <c r="FV1880" s="1">
        <v>42515</v>
      </c>
      <c r="FW1880">
        <v>2015</v>
      </c>
      <c r="FX1880">
        <v>3017.77</v>
      </c>
      <c r="FY1880" t="s">
        <v>18441</v>
      </c>
      <c r="FZ1880">
        <v>0.25</v>
      </c>
      <c r="GA1880" t="s">
        <v>424</v>
      </c>
      <c r="GB1880" t="s">
        <v>425</v>
      </c>
      <c r="GC1880" s="1">
        <v>43137</v>
      </c>
      <c r="GD1880">
        <v>21</v>
      </c>
      <c r="GE1880">
        <v>7045074</v>
      </c>
      <c r="GF1880" t="s">
        <v>580</v>
      </c>
      <c r="GH1880" s="1">
        <v>42515</v>
      </c>
      <c r="GI1880">
        <v>2015</v>
      </c>
      <c r="GJ1880">
        <v>3017.77</v>
      </c>
      <c r="GK1880" t="s">
        <v>18441</v>
      </c>
      <c r="GL1880">
        <v>0.25</v>
      </c>
      <c r="GM1880" t="s">
        <v>424</v>
      </c>
      <c r="GN1880" t="s">
        <v>425</v>
      </c>
      <c r="GP1880">
        <v>22</v>
      </c>
      <c r="GQ1880">
        <v>6640584</v>
      </c>
      <c r="GR1880" t="s">
        <v>18442</v>
      </c>
      <c r="GT1880" s="1">
        <v>42151</v>
      </c>
      <c r="GU1880">
        <v>2014</v>
      </c>
      <c r="GV1880">
        <v>3014.71</v>
      </c>
      <c r="GW1880" t="s">
        <v>18443</v>
      </c>
      <c r="GX1880">
        <v>0.25</v>
      </c>
      <c r="GY1880" t="s">
        <v>424</v>
      </c>
      <c r="GZ1880" t="s">
        <v>425</v>
      </c>
      <c r="HB1880">
        <v>22</v>
      </c>
      <c r="HC1880">
        <v>15259</v>
      </c>
      <c r="HD1880" t="s">
        <v>891</v>
      </c>
      <c r="HF1880" s="1">
        <v>42151</v>
      </c>
      <c r="HG1880">
        <v>2014</v>
      </c>
      <c r="HH1880">
        <v>3014.71</v>
      </c>
      <c r="HI1880" t="s">
        <v>18443</v>
      </c>
      <c r="HJ1880">
        <v>0.25</v>
      </c>
      <c r="HK1880" t="s">
        <v>424</v>
      </c>
      <c r="HL1880" t="s">
        <v>425</v>
      </c>
      <c r="HN1880">
        <v>22</v>
      </c>
      <c r="HO1880">
        <v>6954549</v>
      </c>
      <c r="HP1880" t="s">
        <v>18444</v>
      </c>
      <c r="HR1880" s="1">
        <v>42151</v>
      </c>
      <c r="HS1880">
        <v>2014</v>
      </c>
      <c r="HT1880">
        <v>3014.71</v>
      </c>
      <c r="HU1880" t="s">
        <v>18443</v>
      </c>
      <c r="HV1880">
        <v>0.25</v>
      </c>
      <c r="HW1880" t="s">
        <v>424</v>
      </c>
      <c r="HX1880" t="s">
        <v>425</v>
      </c>
      <c r="HY1880" s="1">
        <v>42783</v>
      </c>
      <c r="HZ1880">
        <v>21</v>
      </c>
      <c r="IA1880">
        <v>7045049</v>
      </c>
      <c r="IB1880" t="s">
        <v>1335</v>
      </c>
      <c r="ID1880" s="1">
        <v>41423</v>
      </c>
      <c r="IE1880">
        <v>2012</v>
      </c>
      <c r="IF1880">
        <v>2851.95</v>
      </c>
      <c r="IG1880" t="s">
        <v>18445</v>
      </c>
      <c r="IH1880">
        <v>0.25</v>
      </c>
      <c r="II1880" t="s">
        <v>424</v>
      </c>
      <c r="IJ1880" t="s">
        <v>425</v>
      </c>
      <c r="IK1880" s="1">
        <v>41750</v>
      </c>
      <c r="IL1880">
        <v>11</v>
      </c>
      <c r="IM1880">
        <v>15407</v>
      </c>
      <c r="IN1880" t="s">
        <v>1134</v>
      </c>
      <c r="IP1880" s="1">
        <v>41052</v>
      </c>
      <c r="IQ1880">
        <v>2011</v>
      </c>
      <c r="IR1880">
        <v>3523.81</v>
      </c>
      <c r="IS1880" t="s">
        <v>18446</v>
      </c>
      <c r="IT1880">
        <v>0.25</v>
      </c>
      <c r="IU1880" t="s">
        <v>424</v>
      </c>
      <c r="IV1880" t="s">
        <v>425</v>
      </c>
      <c r="IW1880" s="1">
        <v>41750</v>
      </c>
      <c r="IX1880">
        <v>23</v>
      </c>
      <c r="IY1880">
        <v>12092</v>
      </c>
      <c r="IZ1880" t="s">
        <v>483</v>
      </c>
      <c r="JB1880" s="1">
        <v>41052</v>
      </c>
      <c r="JC1880">
        <v>2011</v>
      </c>
      <c r="JD1880">
        <v>3523.81</v>
      </c>
      <c r="JE1880" t="s">
        <v>18446</v>
      </c>
      <c r="JF1880">
        <v>0.25</v>
      </c>
      <c r="JG1880" t="s">
        <v>424</v>
      </c>
      <c r="JH1880" t="s">
        <v>425</v>
      </c>
      <c r="JJ1880">
        <v>22</v>
      </c>
      <c r="JK1880">
        <v>13242</v>
      </c>
      <c r="JL1880" t="s">
        <v>18447</v>
      </c>
      <c r="JN1880" s="1">
        <v>41052</v>
      </c>
      <c r="JO1880">
        <v>2010</v>
      </c>
      <c r="JP1880">
        <v>4601.0600000000004</v>
      </c>
      <c r="JQ1880" t="s">
        <v>18448</v>
      </c>
      <c r="JR1880">
        <v>0.25</v>
      </c>
      <c r="JS1880" t="s">
        <v>424</v>
      </c>
      <c r="JT1880" t="s">
        <v>425</v>
      </c>
      <c r="JU1880" s="1">
        <v>41750</v>
      </c>
      <c r="JV1880">
        <v>23</v>
      </c>
      <c r="JW1880">
        <v>13259</v>
      </c>
      <c r="JX1880" t="s">
        <v>18449</v>
      </c>
    </row>
    <row r="1881" spans="1:284" x14ac:dyDescent="0.25">
      <c r="A1881">
        <v>16486888</v>
      </c>
      <c r="B1881">
        <v>1880</v>
      </c>
      <c r="C1881" t="s">
        <v>393</v>
      </c>
      <c r="D1881" t="s">
        <v>394</v>
      </c>
      <c r="F1881" t="str">
        <f>"00-00-30-010A-0007-0500"</f>
        <v>00-00-30-010A-0007-0500</v>
      </c>
      <c r="H1881" t="str">
        <f>"C M BROOKS LLC"</f>
        <v>C M BROOKS LLC</v>
      </c>
      <c r="I1881" t="str">
        <f>"809 SHIPWATCH DR"</f>
        <v>809 SHIPWATCH DR</v>
      </c>
      <c r="J1881" t="str">
        <f>"JACKSONVILLE FL 32225"</f>
        <v>JACKSONVILLE FL 32225</v>
      </c>
      <c r="K1881" t="str">
        <f>"1827 LEWIS ST"</f>
        <v>1827 LEWIS ST</v>
      </c>
      <c r="L1881" t="str">
        <f t="shared" si="700"/>
        <v>FERNANDINA BEACH FL 32034</v>
      </c>
      <c r="M1881" t="str">
        <f>"BLOCK 7 LOT 50 IN OR 2113/832 AMERICAN BEACH SUB 1 PB 2/42"</f>
        <v>BLOCK 7 LOT 50 IN OR 2113/832 AMERICAN BEACH SUB 1 PB 2/42</v>
      </c>
      <c r="N1881" t="str">
        <f>""</f>
        <v/>
      </c>
      <c r="O1881" t="str">
        <f>"311"</f>
        <v>311</v>
      </c>
      <c r="P1881" t="str">
        <f t="shared" si="698"/>
        <v>2017</v>
      </c>
      <c r="Q1881" t="str">
        <f>""</f>
        <v/>
      </c>
      <c r="R1881" t="str">
        <f t="shared" si="707"/>
        <v>N</v>
      </c>
      <c r="S1881" t="str">
        <f>""</f>
        <v/>
      </c>
      <c r="T1881" t="str">
        <f>"2529.12"</f>
        <v>2529.12</v>
      </c>
      <c r="U1881" t="str">
        <f>"160271.00"</f>
        <v>160271.00</v>
      </c>
      <c r="V1881" t="str">
        <f>"160271.00"</f>
        <v>160271.00</v>
      </c>
      <c r="W1881" t="str">
        <f t="shared" si="699"/>
        <v>2017</v>
      </c>
      <c r="X1881" t="str">
        <f>"11.00"</f>
        <v>11.00</v>
      </c>
      <c r="Y1881" t="str">
        <f>"2636.99"</f>
        <v>2636.99</v>
      </c>
      <c r="Z1881" t="str">
        <f>""</f>
        <v/>
      </c>
      <c r="AA1881" t="str">
        <f>"169740.00"</f>
        <v>169740.00</v>
      </c>
      <c r="AB1881" t="str">
        <f t="shared" si="708"/>
        <v>Residential</v>
      </c>
      <c r="AC1881" t="str">
        <f t="shared" si="682"/>
        <v>0</v>
      </c>
      <c r="AD1881" t="str">
        <f>"4"</f>
        <v>4</v>
      </c>
      <c r="AE1881" t="str">
        <f>"WOOD (INCLUDE STEEL STUDS)"</f>
        <v>WOOD (INCLUDE STEEL STUDS)</v>
      </c>
      <c r="AF1881" t="str">
        <f>"001"</f>
        <v>001</v>
      </c>
      <c r="AG1881" t="str">
        <f>"FL"</f>
        <v>FL</v>
      </c>
      <c r="AH1881" t="str">
        <f>"4250.00"</f>
        <v>4250.00</v>
      </c>
      <c r="AI1881" t="str">
        <f>"110000.00"</f>
        <v>110000.00</v>
      </c>
      <c r="AJ1881" t="str">
        <f>"C55-000-585-0222-0"</f>
        <v>C55-000-585-0222-0</v>
      </c>
      <c r="AK1881" t="str">
        <f>"37963"</f>
        <v>37963</v>
      </c>
      <c r="AL1881">
        <v>7</v>
      </c>
      <c r="AM1881">
        <v>2142</v>
      </c>
      <c r="AN1881">
        <v>2767.24</v>
      </c>
      <c r="AQ1881" t="s">
        <v>18450</v>
      </c>
      <c r="AR1881" t="s">
        <v>18450</v>
      </c>
      <c r="AS1881" t="s">
        <v>18450</v>
      </c>
      <c r="AU1881" t="s">
        <v>396</v>
      </c>
      <c r="AV1881">
        <v>2017</v>
      </c>
      <c r="AW1881" t="str">
        <f>"00-00-30-010A-0007-0500 "</f>
        <v xml:space="preserve">00-00-30-010A-0007-0500 </v>
      </c>
      <c r="AX1881">
        <v>1827</v>
      </c>
      <c r="AZ1881" t="s">
        <v>18451</v>
      </c>
      <c r="BA1881" t="s">
        <v>1942</v>
      </c>
      <c r="BD1881" t="s">
        <v>11749</v>
      </c>
      <c r="BE1881" t="s">
        <v>393</v>
      </c>
      <c r="BF1881">
        <v>32034</v>
      </c>
      <c r="BG1881" t="s">
        <v>18452</v>
      </c>
      <c r="BH1881" t="s">
        <v>11751</v>
      </c>
      <c r="BI1881">
        <v>-81.4455664133433</v>
      </c>
      <c r="BJ1881">
        <v>30.573936501772799</v>
      </c>
      <c r="BK1881" t="s">
        <v>18453</v>
      </c>
      <c r="BM1881" t="s">
        <v>18454</v>
      </c>
      <c r="BN1881" t="s">
        <v>548</v>
      </c>
      <c r="BO1881">
        <v>32225</v>
      </c>
      <c r="BP1881" t="s">
        <v>404</v>
      </c>
      <c r="BQ1881">
        <v>100</v>
      </c>
      <c r="BR1881" t="s">
        <v>514</v>
      </c>
      <c r="BS1881">
        <v>1001</v>
      </c>
      <c r="BT1881" t="s">
        <v>515</v>
      </c>
      <c r="BU1881">
        <v>500</v>
      </c>
      <c r="BV1881">
        <v>0</v>
      </c>
      <c r="BW1881">
        <v>4503</v>
      </c>
      <c r="BX1881" t="s">
        <v>407</v>
      </c>
      <c r="BY1881" t="s">
        <v>7351</v>
      </c>
      <c r="BZ1881">
        <v>4</v>
      </c>
      <c r="CA1881">
        <v>2005</v>
      </c>
      <c r="CB1881">
        <v>1</v>
      </c>
      <c r="CC1881">
        <v>1</v>
      </c>
      <c r="CD1881">
        <v>2017</v>
      </c>
      <c r="CE1881">
        <v>110000</v>
      </c>
      <c r="CF1881">
        <v>59740</v>
      </c>
      <c r="CG1881">
        <v>169740</v>
      </c>
      <c r="CH1881">
        <v>2017</v>
      </c>
      <c r="CI1881">
        <v>110000</v>
      </c>
      <c r="CJ1881">
        <v>59740</v>
      </c>
      <c r="CK1881">
        <v>169740</v>
      </c>
      <c r="CL1881">
        <v>2017</v>
      </c>
      <c r="CM1881">
        <v>2529.12</v>
      </c>
      <c r="CN1881" s="1">
        <v>42837</v>
      </c>
      <c r="CO1881">
        <v>275000</v>
      </c>
      <c r="CV1881">
        <v>0</v>
      </c>
      <c r="CZ1881" s="1">
        <v>42837</v>
      </c>
      <c r="DA1881">
        <v>0</v>
      </c>
      <c r="DD1881" t="s">
        <v>11749</v>
      </c>
      <c r="DF1881">
        <v>50</v>
      </c>
      <c r="DG1881">
        <v>20</v>
      </c>
      <c r="DJ1881" t="s">
        <v>18414</v>
      </c>
      <c r="DL1881">
        <v>50203</v>
      </c>
      <c r="DM1881" t="s">
        <v>18307</v>
      </c>
      <c r="DO1881" t="s">
        <v>18455</v>
      </c>
      <c r="DP1881">
        <v>0</v>
      </c>
      <c r="DQ1881">
        <v>0</v>
      </c>
      <c r="DR1881" t="s">
        <v>411</v>
      </c>
    </row>
    <row r="1882" spans="1:284" x14ac:dyDescent="0.25">
      <c r="A1882">
        <v>16486889</v>
      </c>
      <c r="B1882">
        <v>1881</v>
      </c>
      <c r="C1882" t="s">
        <v>393</v>
      </c>
      <c r="D1882" t="s">
        <v>394</v>
      </c>
      <c r="F1882" t="str">
        <f>"00-00-30-010A-0007-0550"</f>
        <v>00-00-30-010A-0007-0550</v>
      </c>
      <c r="H1882" t="str">
        <f>"EMORY EUGENE K"</f>
        <v>EMORY EUGENE K</v>
      </c>
      <c r="I1882" t="str">
        <f>"5576 GREEG ST"</f>
        <v>5576 GREEG ST</v>
      </c>
      <c r="J1882" t="str">
        <f>"FERNANDINA BEACH FL 32034"</f>
        <v>FERNANDINA BEACH FL 32034</v>
      </c>
      <c r="K1882" t="str">
        <f>"WALDRON ST"</f>
        <v>WALDRON ST</v>
      </c>
      <c r="L1882" t="str">
        <f t="shared" si="700"/>
        <v>FERNANDINA BEACH FL 32034</v>
      </c>
      <c r="M1882" t="str">
        <f>"BLOCK 7 LOT 55 IN OR 1062/1690 AMERICAN BEACH SUB 1 PB 2/42"</f>
        <v>BLOCK 7 LOT 55 IN OR 1062/1690 AMERICAN BEACH SUB 1 PB 2/42</v>
      </c>
      <c r="N1882" t="str">
        <f>""</f>
        <v/>
      </c>
      <c r="O1882" t="str">
        <f>"316"</f>
        <v>316</v>
      </c>
      <c r="P1882" t="str">
        <f t="shared" si="698"/>
        <v>2017</v>
      </c>
      <c r="Q1882" t="str">
        <f>""</f>
        <v/>
      </c>
      <c r="R1882" t="str">
        <f t="shared" si="707"/>
        <v>N</v>
      </c>
      <c r="S1882" t="str">
        <f>""</f>
        <v/>
      </c>
      <c r="T1882" t="str">
        <f>"1692.94"</f>
        <v>1692.94</v>
      </c>
      <c r="U1882" t="str">
        <f>"110000.00"</f>
        <v>110000.00</v>
      </c>
      <c r="V1882" t="str">
        <f>"110000.00"</f>
        <v>110000.00</v>
      </c>
      <c r="W1882" t="str">
        <f t="shared" si="699"/>
        <v>2017</v>
      </c>
      <c r="X1882" t="str">
        <f>"15.75"</f>
        <v>15.75</v>
      </c>
      <c r="Y1882" t="str">
        <f>"1775.73"</f>
        <v>1775.73</v>
      </c>
      <c r="Z1882" t="str">
        <f>""</f>
        <v/>
      </c>
      <c r="AA1882" t="str">
        <f>"110000.00"</f>
        <v>110000.00</v>
      </c>
      <c r="AB1882" t="str">
        <f t="shared" si="708"/>
        <v>Residential</v>
      </c>
      <c r="AC1882" t="str">
        <f t="shared" si="682"/>
        <v>0</v>
      </c>
      <c r="AD1882" t="str">
        <f>""</f>
        <v/>
      </c>
      <c r="AE1882" t="str">
        <f>""</f>
        <v/>
      </c>
      <c r="AF1882" t="str">
        <f>"000"</f>
        <v>000</v>
      </c>
      <c r="AG1882" t="str">
        <f>"FL"</f>
        <v>FL</v>
      </c>
      <c r="AH1882" t="str">
        <f>"5000.00"</f>
        <v>5000.00</v>
      </c>
      <c r="AI1882" t="str">
        <f>"110000.00"</f>
        <v>110000.00</v>
      </c>
      <c r="AJ1882" t="str">
        <f>"C55-000-585-0227-9"</f>
        <v>C55-000-585-0227-9</v>
      </c>
      <c r="AK1882" t="str">
        <f>"37968"</f>
        <v>37968</v>
      </c>
      <c r="AL1882">
        <v>7</v>
      </c>
      <c r="AM1882">
        <v>2143</v>
      </c>
      <c r="AN1882">
        <v>1862.92</v>
      </c>
      <c r="AQ1882" t="s">
        <v>18456</v>
      </c>
      <c r="AR1882" t="s">
        <v>18456</v>
      </c>
      <c r="AS1882" t="s">
        <v>18456</v>
      </c>
      <c r="AU1882" t="s">
        <v>396</v>
      </c>
      <c r="AV1882">
        <v>2017</v>
      </c>
      <c r="AW1882" t="str">
        <f>"00-00-30-010A-0007-0550 "</f>
        <v xml:space="preserve">00-00-30-010A-0007-0550 </v>
      </c>
      <c r="AZ1882" t="s">
        <v>18457</v>
      </c>
      <c r="BA1882" t="s">
        <v>1942</v>
      </c>
      <c r="BD1882" t="s">
        <v>11749</v>
      </c>
      <c r="BE1882" t="s">
        <v>393</v>
      </c>
      <c r="BF1882">
        <v>32034</v>
      </c>
      <c r="BG1882" t="s">
        <v>18458</v>
      </c>
      <c r="BH1882" t="s">
        <v>11751</v>
      </c>
      <c r="BI1882">
        <v>-81.445502888172797</v>
      </c>
      <c r="BJ1882">
        <v>30.574680463815501</v>
      </c>
      <c r="BK1882" t="s">
        <v>14827</v>
      </c>
      <c r="BM1882" t="s">
        <v>14828</v>
      </c>
      <c r="BN1882" t="s">
        <v>3983</v>
      </c>
      <c r="BO1882">
        <v>32034</v>
      </c>
      <c r="BP1882" t="s">
        <v>404</v>
      </c>
      <c r="BQ1882">
        <v>0</v>
      </c>
      <c r="BR1882" t="s">
        <v>491</v>
      </c>
      <c r="BS1882">
        <v>8001</v>
      </c>
      <c r="BT1882" t="s">
        <v>492</v>
      </c>
      <c r="BU1882">
        <v>500</v>
      </c>
      <c r="BV1882">
        <v>1000</v>
      </c>
      <c r="BW1882">
        <v>5000</v>
      </c>
      <c r="BX1882" t="s">
        <v>407</v>
      </c>
      <c r="BY1882" t="s">
        <v>7351</v>
      </c>
      <c r="CD1882">
        <v>2017</v>
      </c>
      <c r="CE1882">
        <v>110000</v>
      </c>
      <c r="CG1882">
        <v>110000</v>
      </c>
      <c r="CH1882">
        <v>2017</v>
      </c>
      <c r="CI1882">
        <v>110000</v>
      </c>
      <c r="CK1882">
        <v>110000</v>
      </c>
      <c r="CL1882">
        <v>2017</v>
      </c>
      <c r="CM1882">
        <v>1692.94</v>
      </c>
      <c r="CN1882" s="1">
        <v>37421</v>
      </c>
      <c r="CO1882">
        <v>70000</v>
      </c>
      <c r="CV1882">
        <v>0</v>
      </c>
      <c r="CZ1882" s="1">
        <v>37421</v>
      </c>
      <c r="DA1882">
        <v>0</v>
      </c>
      <c r="DD1882" t="s">
        <v>11749</v>
      </c>
      <c r="DF1882">
        <v>55</v>
      </c>
      <c r="DG1882">
        <v>20</v>
      </c>
      <c r="DJ1882" t="s">
        <v>18414</v>
      </c>
      <c r="DL1882">
        <v>50203</v>
      </c>
      <c r="DM1882" t="s">
        <v>18307</v>
      </c>
      <c r="DO1882" t="s">
        <v>18459</v>
      </c>
      <c r="DP1882">
        <v>0</v>
      </c>
      <c r="DQ1882">
        <v>0</v>
      </c>
      <c r="DR1882" t="s">
        <v>411</v>
      </c>
      <c r="DS1882" t="s">
        <v>695</v>
      </c>
      <c r="EJ1882">
        <v>6</v>
      </c>
      <c r="EK1882">
        <v>0</v>
      </c>
      <c r="EP1882" t="s">
        <v>421</v>
      </c>
      <c r="EQ1882" t="s">
        <v>452</v>
      </c>
      <c r="ER1882">
        <v>2</v>
      </c>
      <c r="ES1882">
        <v>5</v>
      </c>
      <c r="ET1882">
        <v>3430.82</v>
      </c>
      <c r="EU1882">
        <v>184.04</v>
      </c>
      <c r="EV1882">
        <v>3614.86</v>
      </c>
      <c r="EW1882" s="2">
        <v>43222</v>
      </c>
      <c r="EX1882" s="1">
        <v>42879</v>
      </c>
      <c r="EY1882">
        <v>2016</v>
      </c>
      <c r="EZ1882">
        <v>1715.41</v>
      </c>
      <c r="FA1882" t="s">
        <v>18460</v>
      </c>
      <c r="FB1882">
        <v>0.25</v>
      </c>
      <c r="FC1882" t="s">
        <v>424</v>
      </c>
      <c r="FD1882" t="s">
        <v>454</v>
      </c>
      <c r="FF1882">
        <v>12</v>
      </c>
      <c r="FG1882">
        <v>7400234</v>
      </c>
      <c r="FH1882" t="s">
        <v>426</v>
      </c>
      <c r="FJ1882" s="1">
        <v>42879</v>
      </c>
      <c r="FK1882">
        <v>2016</v>
      </c>
      <c r="FL1882">
        <v>1715.41</v>
      </c>
      <c r="FM1882" t="s">
        <v>18460</v>
      </c>
      <c r="FN1882">
        <v>0.25</v>
      </c>
      <c r="FO1882" t="s">
        <v>424</v>
      </c>
      <c r="FP1882" t="s">
        <v>454</v>
      </c>
      <c r="FR1882">
        <v>12</v>
      </c>
      <c r="FS1882">
        <v>7444063</v>
      </c>
      <c r="FT1882" t="s">
        <v>18461</v>
      </c>
      <c r="FV1882" s="1">
        <v>42151</v>
      </c>
      <c r="FW1882">
        <v>2014</v>
      </c>
      <c r="FX1882">
        <v>1747.59</v>
      </c>
      <c r="FY1882" t="s">
        <v>18462</v>
      </c>
      <c r="FZ1882">
        <v>0.25</v>
      </c>
      <c r="GA1882" t="s">
        <v>424</v>
      </c>
      <c r="GB1882" t="s">
        <v>425</v>
      </c>
      <c r="GC1882" s="1">
        <v>42475</v>
      </c>
      <c r="GD1882">
        <v>11</v>
      </c>
      <c r="GE1882">
        <v>2101382</v>
      </c>
      <c r="GF1882" t="s">
        <v>993</v>
      </c>
      <c r="GG1882" t="s">
        <v>458</v>
      </c>
      <c r="GH1882" s="1">
        <v>42151</v>
      </c>
      <c r="GI1882">
        <v>2014</v>
      </c>
      <c r="GJ1882">
        <v>1747.59</v>
      </c>
      <c r="GK1882" t="s">
        <v>18462</v>
      </c>
      <c r="GL1882">
        <v>0.25</v>
      </c>
      <c r="GM1882" t="s">
        <v>424</v>
      </c>
      <c r="GN1882" t="s">
        <v>425</v>
      </c>
      <c r="GP1882">
        <v>22</v>
      </c>
      <c r="GQ1882">
        <v>5656099</v>
      </c>
      <c r="GR1882" t="s">
        <v>18463</v>
      </c>
      <c r="GS1882" t="s">
        <v>458</v>
      </c>
      <c r="GT1882" s="1">
        <v>41787</v>
      </c>
      <c r="GU1882">
        <v>2013</v>
      </c>
      <c r="GV1882">
        <v>1655.67</v>
      </c>
      <c r="GW1882" t="s">
        <v>18464</v>
      </c>
      <c r="GX1882">
        <v>0.25</v>
      </c>
      <c r="GY1882" t="s">
        <v>424</v>
      </c>
      <c r="GZ1882" t="s">
        <v>425</v>
      </c>
      <c r="HB1882">
        <v>22</v>
      </c>
      <c r="HC1882">
        <v>2407503</v>
      </c>
      <c r="HD1882" t="s">
        <v>461</v>
      </c>
      <c r="HE1882" t="s">
        <v>458</v>
      </c>
      <c r="HF1882" s="1">
        <v>41423</v>
      </c>
      <c r="HG1882">
        <v>2012</v>
      </c>
      <c r="HH1882">
        <v>1675.67</v>
      </c>
      <c r="HI1882" t="s">
        <v>18465</v>
      </c>
      <c r="HJ1882">
        <v>0.75</v>
      </c>
      <c r="HK1882" t="s">
        <v>424</v>
      </c>
      <c r="HL1882" t="s">
        <v>425</v>
      </c>
      <c r="HM1882" s="1">
        <v>42019</v>
      </c>
      <c r="HN1882">
        <v>20</v>
      </c>
      <c r="HO1882">
        <v>12422</v>
      </c>
      <c r="HP1882" t="s">
        <v>18466</v>
      </c>
      <c r="HR1882" s="1">
        <v>40688</v>
      </c>
      <c r="HS1882">
        <v>2010</v>
      </c>
      <c r="HT1882">
        <v>1647.86</v>
      </c>
      <c r="HU1882" t="s">
        <v>18467</v>
      </c>
      <c r="HV1882">
        <v>6.75</v>
      </c>
      <c r="HW1882" t="s">
        <v>424</v>
      </c>
      <c r="HX1882" t="s">
        <v>425</v>
      </c>
      <c r="HY1882" s="1">
        <v>41036</v>
      </c>
      <c r="HZ1882">
        <v>12</v>
      </c>
      <c r="IA1882">
        <v>10579</v>
      </c>
      <c r="IB1882" t="s">
        <v>488</v>
      </c>
    </row>
    <row r="1883" spans="1:284" x14ac:dyDescent="0.25">
      <c r="A1883">
        <v>16486890</v>
      </c>
      <c r="B1883">
        <v>1882</v>
      </c>
      <c r="C1883" t="s">
        <v>393</v>
      </c>
      <c r="D1883" t="s">
        <v>394</v>
      </c>
      <c r="F1883" t="str">
        <f>"00-00-30-010B-0011-0080"</f>
        <v>00-00-30-010B-0011-0080</v>
      </c>
      <c r="H1883" t="str">
        <f>"CHATMAN JACOB L &amp; ETTY ANN"</f>
        <v>CHATMAN JACOB L &amp; ETTY ANN</v>
      </c>
      <c r="I1883" t="str">
        <f>"1136 LAFAYETTE STREET"</f>
        <v>1136 LAFAYETTE STREET</v>
      </c>
      <c r="J1883" t="str">
        <f>"WAYNE PA 19087"</f>
        <v>WAYNE PA 19087</v>
      </c>
      <c r="K1883" t="str">
        <f>"5445 JAMES ST"</f>
        <v>5445 JAMES ST</v>
      </c>
      <c r="L1883" t="str">
        <f t="shared" si="700"/>
        <v>FERNANDINA BEACH FL 32034</v>
      </c>
      <c r="M1883" t="str">
        <f>"BLOCK 11 LOT 8 IN OR 1589/1490 AMERICAN BEACH SUB 2 PB 3/6"</f>
        <v>BLOCK 11 LOT 8 IN OR 1589/1490 AMERICAN BEACH SUB 2 PB 3/6</v>
      </c>
      <c r="N1883" t="str">
        <f>""</f>
        <v/>
      </c>
      <c r="O1883" t="str">
        <f>"350"</f>
        <v>350</v>
      </c>
      <c r="P1883" t="str">
        <f t="shared" si="698"/>
        <v>2017</v>
      </c>
      <c r="Q1883" t="str">
        <f>""</f>
        <v/>
      </c>
      <c r="R1883" t="str">
        <f t="shared" si="707"/>
        <v>N</v>
      </c>
      <c r="S1883" t="str">
        <f>""</f>
        <v/>
      </c>
      <c r="T1883" t="str">
        <f>"2334.80"</f>
        <v>2334.80</v>
      </c>
      <c r="U1883" t="str">
        <f>"151502.00"</f>
        <v>151502.00</v>
      </c>
      <c r="V1883" t="str">
        <f>"151502.00"</f>
        <v>151502.00</v>
      </c>
      <c r="W1883" t="str">
        <f t="shared" si="699"/>
        <v>2017</v>
      </c>
      <c r="X1883" t="str">
        <f>"10.14"</f>
        <v>10.14</v>
      </c>
      <c r="Y1883" t="str">
        <f>"2436.84"</f>
        <v>2436.84</v>
      </c>
      <c r="Z1883" t="str">
        <f>""</f>
        <v/>
      </c>
      <c r="AA1883" t="str">
        <f>"151975.00"</f>
        <v>151975.00</v>
      </c>
      <c r="AB1883" t="str">
        <f t="shared" si="708"/>
        <v>Residential</v>
      </c>
      <c r="AC1883" t="str">
        <f t="shared" si="682"/>
        <v>0</v>
      </c>
      <c r="AD1883" t="str">
        <f>"4"</f>
        <v>4</v>
      </c>
      <c r="AE1883" t="str">
        <f>"WOOD (INCLUDE STEEL STUDS)"</f>
        <v>WOOD (INCLUDE STEEL STUDS)</v>
      </c>
      <c r="AF1883" t="str">
        <f>"001"</f>
        <v>001</v>
      </c>
      <c r="AG1883" t="str">
        <f>"PA"</f>
        <v>PA</v>
      </c>
      <c r="AH1883" t="str">
        <f>"5000.00"</f>
        <v>5000.00</v>
      </c>
      <c r="AI1883" t="str">
        <f>"50000.00"</f>
        <v>50000.00</v>
      </c>
      <c r="AJ1883" t="str">
        <f>"C55-000-585-0260-0"</f>
        <v>C55-000-585-0260-0</v>
      </c>
      <c r="AK1883" t="str">
        <f>"38001"</f>
        <v>38001</v>
      </c>
      <c r="AL1883">
        <v>7</v>
      </c>
      <c r="AM1883">
        <v>2146</v>
      </c>
      <c r="AN1883">
        <v>2557.08</v>
      </c>
      <c r="AQ1883" t="s">
        <v>18468</v>
      </c>
      <c r="AR1883" t="s">
        <v>18468</v>
      </c>
      <c r="AS1883" t="s">
        <v>18468</v>
      </c>
      <c r="AU1883" t="s">
        <v>396</v>
      </c>
      <c r="AV1883">
        <v>2017</v>
      </c>
      <c r="AW1883" t="str">
        <f>"00-00-30-010B-0011-0080 "</f>
        <v xml:space="preserve">00-00-30-010B-0011-0080 </v>
      </c>
      <c r="AX1883">
        <v>5445</v>
      </c>
      <c r="AZ1883" t="s">
        <v>9947</v>
      </c>
      <c r="BA1883" t="s">
        <v>1942</v>
      </c>
      <c r="BD1883" t="s">
        <v>11749</v>
      </c>
      <c r="BE1883" t="s">
        <v>393</v>
      </c>
      <c r="BF1883">
        <v>32034</v>
      </c>
      <c r="BG1883" t="s">
        <v>18469</v>
      </c>
      <c r="BH1883" t="s">
        <v>11751</v>
      </c>
      <c r="BI1883">
        <v>-81.446349939066494</v>
      </c>
      <c r="BJ1883">
        <v>30.575185597756899</v>
      </c>
      <c r="BK1883" t="s">
        <v>18470</v>
      </c>
      <c r="BL1883" t="s">
        <v>18471</v>
      </c>
      <c r="BM1883" t="s">
        <v>18472</v>
      </c>
      <c r="BN1883" t="s">
        <v>18473</v>
      </c>
      <c r="BO1883">
        <v>19087</v>
      </c>
      <c r="BP1883" t="s">
        <v>404</v>
      </c>
      <c r="BQ1883">
        <v>100</v>
      </c>
      <c r="BR1883" t="s">
        <v>514</v>
      </c>
      <c r="BS1883">
        <v>1001</v>
      </c>
      <c r="BT1883" t="s">
        <v>515</v>
      </c>
      <c r="BU1883">
        <v>500</v>
      </c>
      <c r="BV1883">
        <v>1000</v>
      </c>
      <c r="BW1883">
        <v>5001</v>
      </c>
      <c r="BX1883" t="s">
        <v>407</v>
      </c>
      <c r="BY1883" t="s">
        <v>7351</v>
      </c>
      <c r="BZ1883">
        <v>4</v>
      </c>
      <c r="CA1883">
        <v>2009</v>
      </c>
      <c r="CC1883">
        <v>1</v>
      </c>
      <c r="CD1883">
        <v>2017</v>
      </c>
      <c r="CE1883">
        <v>50000</v>
      </c>
      <c r="CF1883">
        <v>101975</v>
      </c>
      <c r="CG1883">
        <v>151975</v>
      </c>
      <c r="CH1883">
        <v>2017</v>
      </c>
      <c r="CI1883">
        <v>50000</v>
      </c>
      <c r="CJ1883">
        <v>101975</v>
      </c>
      <c r="CK1883">
        <v>151975</v>
      </c>
      <c r="CL1883">
        <v>2017</v>
      </c>
      <c r="CM1883">
        <v>2334.8000000000002</v>
      </c>
      <c r="CN1883" s="1">
        <v>39741</v>
      </c>
      <c r="CZ1883" s="1">
        <v>39741</v>
      </c>
      <c r="DD1883" t="s">
        <v>11749</v>
      </c>
      <c r="DF1883">
        <v>8</v>
      </c>
      <c r="DG1883">
        <v>20</v>
      </c>
      <c r="DJ1883" t="s">
        <v>18414</v>
      </c>
      <c r="DL1883">
        <v>50203</v>
      </c>
      <c r="DM1883" t="s">
        <v>18307</v>
      </c>
      <c r="DO1883" t="s">
        <v>18474</v>
      </c>
      <c r="DP1883">
        <v>0</v>
      </c>
      <c r="DQ1883">
        <v>0</v>
      </c>
      <c r="DR1883" t="s">
        <v>411</v>
      </c>
      <c r="DS1883" t="b">
        <v>1</v>
      </c>
      <c r="DT1883" t="s">
        <v>470</v>
      </c>
      <c r="DU1883" t="s">
        <v>471</v>
      </c>
      <c r="DV1883" t="s">
        <v>472</v>
      </c>
      <c r="DX1883">
        <v>-9999</v>
      </c>
      <c r="DZ1883" t="s">
        <v>447</v>
      </c>
      <c r="EA1883" t="s">
        <v>448</v>
      </c>
      <c r="EB1883" t="s">
        <v>14787</v>
      </c>
      <c r="EC1883">
        <v>20101217</v>
      </c>
      <c r="ED1883" t="s">
        <v>474</v>
      </c>
      <c r="EF1883">
        <v>788.8</v>
      </c>
      <c r="EG1883">
        <v>663</v>
      </c>
      <c r="EI1883">
        <v>20160407</v>
      </c>
      <c r="EJ1883">
        <v>0</v>
      </c>
      <c r="EK1883">
        <v>0</v>
      </c>
      <c r="EP1883" t="s">
        <v>421</v>
      </c>
      <c r="EQ1883" t="s">
        <v>422</v>
      </c>
      <c r="ER1883">
        <v>0</v>
      </c>
      <c r="ES1883">
        <v>10</v>
      </c>
      <c r="ET1883">
        <v>0</v>
      </c>
      <c r="EU1883">
        <v>0</v>
      </c>
      <c r="EV1883">
        <v>0</v>
      </c>
      <c r="EW1883" s="2">
        <v>43222</v>
      </c>
      <c r="EX1883" s="1">
        <v>42879</v>
      </c>
      <c r="EY1883">
        <v>2016</v>
      </c>
      <c r="EZ1883">
        <v>2352.42</v>
      </c>
      <c r="FA1883" t="s">
        <v>18475</v>
      </c>
      <c r="FB1883">
        <v>0.25</v>
      </c>
      <c r="FC1883" t="s">
        <v>424</v>
      </c>
      <c r="FD1883" t="s">
        <v>425</v>
      </c>
      <c r="FE1883" s="1">
        <v>43052</v>
      </c>
      <c r="FF1883">
        <v>6</v>
      </c>
      <c r="FG1883">
        <v>5857474</v>
      </c>
      <c r="FH1883" t="s">
        <v>900</v>
      </c>
      <c r="FJ1883" s="1">
        <v>42879</v>
      </c>
      <c r="FK1883">
        <v>2016</v>
      </c>
      <c r="FL1883">
        <v>2352.42</v>
      </c>
      <c r="FM1883" t="s">
        <v>18475</v>
      </c>
      <c r="FN1883">
        <v>0.25</v>
      </c>
      <c r="FO1883" t="s">
        <v>424</v>
      </c>
      <c r="FP1883" t="s">
        <v>425</v>
      </c>
      <c r="FR1883">
        <v>22</v>
      </c>
      <c r="FS1883">
        <v>6625377</v>
      </c>
      <c r="FT1883" t="s">
        <v>18476</v>
      </c>
      <c r="FV1883" s="1">
        <v>42515</v>
      </c>
      <c r="FW1883">
        <v>2015</v>
      </c>
      <c r="FX1883">
        <v>2396.0300000000002</v>
      </c>
      <c r="FY1883" t="s">
        <v>18477</v>
      </c>
      <c r="FZ1883">
        <v>0.25</v>
      </c>
      <c r="GA1883" t="s">
        <v>424</v>
      </c>
      <c r="GB1883" t="s">
        <v>425</v>
      </c>
      <c r="GC1883" s="1">
        <v>43040</v>
      </c>
      <c r="GD1883">
        <v>18</v>
      </c>
      <c r="GE1883">
        <v>11289</v>
      </c>
      <c r="GF1883" t="s">
        <v>787</v>
      </c>
      <c r="GH1883" s="1">
        <v>42515</v>
      </c>
      <c r="GI1883">
        <v>2015</v>
      </c>
      <c r="GJ1883">
        <v>2396.0300000000002</v>
      </c>
      <c r="GK1883" t="s">
        <v>18477</v>
      </c>
      <c r="GL1883">
        <v>0.25</v>
      </c>
      <c r="GM1883" t="s">
        <v>424</v>
      </c>
      <c r="GN1883" t="s">
        <v>425</v>
      </c>
      <c r="GP1883">
        <v>22</v>
      </c>
      <c r="GQ1883">
        <v>7048273</v>
      </c>
      <c r="GR1883" t="s">
        <v>18478</v>
      </c>
      <c r="GT1883" s="1">
        <v>42151</v>
      </c>
      <c r="GU1883">
        <v>2014</v>
      </c>
      <c r="GV1883">
        <v>2255.63</v>
      </c>
      <c r="GW1883" t="s">
        <v>18479</v>
      </c>
      <c r="GX1883">
        <v>0.25</v>
      </c>
      <c r="GY1883" t="s">
        <v>424</v>
      </c>
      <c r="GZ1883" t="s">
        <v>425</v>
      </c>
      <c r="HA1883" s="1">
        <v>42639</v>
      </c>
      <c r="HB1883">
        <v>16</v>
      </c>
      <c r="HC1883">
        <v>4975594</v>
      </c>
      <c r="HD1883" t="s">
        <v>457</v>
      </c>
      <c r="HF1883" s="1">
        <v>42151</v>
      </c>
      <c r="HG1883">
        <v>2014</v>
      </c>
      <c r="HH1883">
        <v>2255.63</v>
      </c>
      <c r="HI1883" t="s">
        <v>18479</v>
      </c>
      <c r="HJ1883">
        <v>0.25</v>
      </c>
      <c r="HK1883" t="s">
        <v>424</v>
      </c>
      <c r="HL1883" t="s">
        <v>425</v>
      </c>
      <c r="HN1883">
        <v>22</v>
      </c>
      <c r="HO1883">
        <v>6478911</v>
      </c>
      <c r="HP1883" t="s">
        <v>18480</v>
      </c>
      <c r="HR1883" s="1">
        <v>41787</v>
      </c>
      <c r="HS1883">
        <v>2013</v>
      </c>
      <c r="HT1883">
        <v>2254.86</v>
      </c>
      <c r="HU1883" t="s">
        <v>18481</v>
      </c>
      <c r="HV1883">
        <v>0.25</v>
      </c>
      <c r="HW1883" t="s">
        <v>424</v>
      </c>
      <c r="HX1883" t="s">
        <v>425</v>
      </c>
      <c r="HY1883" s="1">
        <v>41880</v>
      </c>
      <c r="HZ1883">
        <v>3</v>
      </c>
      <c r="IA1883">
        <v>2407503</v>
      </c>
      <c r="IB1883" t="s">
        <v>461</v>
      </c>
      <c r="ID1883" s="1">
        <v>41423</v>
      </c>
      <c r="IE1883">
        <v>2012</v>
      </c>
      <c r="IF1883">
        <v>2292.13</v>
      </c>
      <c r="IG1883" t="s">
        <v>18482</v>
      </c>
      <c r="IH1883">
        <v>0.25</v>
      </c>
      <c r="II1883" t="s">
        <v>424</v>
      </c>
      <c r="IJ1883" t="s">
        <v>425</v>
      </c>
      <c r="IK1883" s="1">
        <v>41880</v>
      </c>
      <c r="IL1883">
        <v>15</v>
      </c>
      <c r="IM1883">
        <v>606981</v>
      </c>
      <c r="IN1883" t="s">
        <v>792</v>
      </c>
      <c r="IP1883" s="1">
        <v>41052</v>
      </c>
      <c r="IQ1883">
        <v>2011</v>
      </c>
      <c r="IR1883">
        <v>2703.47</v>
      </c>
      <c r="IS1883" t="s">
        <v>18483</v>
      </c>
      <c r="IT1883">
        <v>0.25</v>
      </c>
      <c r="IU1883" t="s">
        <v>424</v>
      </c>
      <c r="IV1883" t="s">
        <v>425</v>
      </c>
      <c r="IW1883" s="1">
        <v>41297</v>
      </c>
      <c r="IX1883">
        <v>8</v>
      </c>
      <c r="IY1883">
        <v>11289</v>
      </c>
      <c r="IZ1883" t="s">
        <v>787</v>
      </c>
      <c r="JB1883" s="1">
        <v>41052</v>
      </c>
      <c r="JC1883">
        <v>2011</v>
      </c>
      <c r="JD1883">
        <v>2703.47</v>
      </c>
      <c r="JE1883" t="s">
        <v>18483</v>
      </c>
      <c r="JF1883">
        <v>0.25</v>
      </c>
      <c r="JG1883" t="s">
        <v>424</v>
      </c>
      <c r="JH1883" t="s">
        <v>425</v>
      </c>
      <c r="JJ1883">
        <v>22</v>
      </c>
      <c r="JK1883">
        <v>13128</v>
      </c>
      <c r="JL1883" t="s">
        <v>8778</v>
      </c>
    </row>
    <row r="1884" spans="1:284" x14ac:dyDescent="0.25">
      <c r="A1884">
        <v>16486891</v>
      </c>
      <c r="B1884">
        <v>1883</v>
      </c>
      <c r="C1884" t="s">
        <v>393</v>
      </c>
      <c r="D1884" t="s">
        <v>394</v>
      </c>
      <c r="F1884" t="str">
        <f>"00-00-30-010B-0011-0100"</f>
        <v>00-00-30-010B-0011-0100</v>
      </c>
      <c r="H1884" t="str">
        <f>"KING FRANCINA C (2/3INT) &amp; KING ALONZO D (1/6INT) &amp; KING PILAR B (1/6INT)"</f>
        <v>KING FRANCINA C (2/3INT) &amp; KING ALONZO D (1/6INT) &amp; KING PILAR B (1/6INT)</v>
      </c>
      <c r="I1884" t="str">
        <f>""</f>
        <v/>
      </c>
      <c r="J1884" t="str">
        <f>"ST SIMONS GA 31522"</f>
        <v>ST SIMONS GA 31522</v>
      </c>
      <c r="K1884" t="str">
        <f>"ERVIN ST"</f>
        <v>ERVIN ST</v>
      </c>
      <c r="L1884" t="str">
        <f t="shared" si="700"/>
        <v>FERNANDINA BEACH FL 32034</v>
      </c>
      <c r="M1884" t="str">
        <f>"BLOCK 11 LOT 10 OR 460/296 &amp; OR 875/1135 AMERICAN BEACH SUB 2 PB 3/6"</f>
        <v>BLOCK 11 LOT 10 OR 460/296 &amp; OR 875/1135 AMERICAN BEACH SUB 2 PB 3/6</v>
      </c>
      <c r="N1884" t="str">
        <f>""</f>
        <v/>
      </c>
      <c r="O1884" t="str">
        <f>"352"</f>
        <v>352</v>
      </c>
      <c r="P1884" t="str">
        <f t="shared" si="698"/>
        <v>2017</v>
      </c>
      <c r="Q1884" t="str">
        <f>""</f>
        <v/>
      </c>
      <c r="R1884" t="str">
        <f t="shared" si="707"/>
        <v>N</v>
      </c>
      <c r="S1884" t="str">
        <f>""</f>
        <v/>
      </c>
      <c r="T1884" t="str">
        <f>"716.77"</f>
        <v>716.77</v>
      </c>
      <c r="U1884" t="str">
        <f>"44000.00"</f>
        <v>44000.00</v>
      </c>
      <c r="V1884" t="str">
        <f>"44000.00"</f>
        <v>44000.00</v>
      </c>
      <c r="W1884" t="str">
        <f t="shared" si="699"/>
        <v>2017</v>
      </c>
      <c r="X1884" t="str">
        <f>"12.44"</f>
        <v>12.44</v>
      </c>
      <c r="Y1884" t="str">
        <f>"770.27"</f>
        <v>770.27</v>
      </c>
      <c r="Z1884" t="str">
        <f>""</f>
        <v/>
      </c>
      <c r="AA1884" t="str">
        <f>"50000.00"</f>
        <v>50000.00</v>
      </c>
      <c r="AB1884" t="str">
        <f t="shared" si="708"/>
        <v>Residential</v>
      </c>
      <c r="AC1884" t="str">
        <f t="shared" si="682"/>
        <v>0</v>
      </c>
      <c r="AD1884" t="str">
        <f>""</f>
        <v/>
      </c>
      <c r="AE1884" t="str">
        <f>""</f>
        <v/>
      </c>
      <c r="AF1884" t="str">
        <f>"000"</f>
        <v>000</v>
      </c>
      <c r="AG1884" t="str">
        <f>"GA"</f>
        <v>GA</v>
      </c>
      <c r="AH1884" t="str">
        <f>"5000.00"</f>
        <v>5000.00</v>
      </c>
      <c r="AI1884" t="str">
        <f>"50000.00"</f>
        <v>50000.00</v>
      </c>
      <c r="AJ1884" t="str">
        <f>"C55-000-585-0262-6"</f>
        <v>C55-000-585-0262-6</v>
      </c>
      <c r="AK1884" t="str">
        <f>"38003"</f>
        <v>38003</v>
      </c>
      <c r="AL1884">
        <v>7</v>
      </c>
      <c r="AM1884">
        <v>2147</v>
      </c>
      <c r="AN1884">
        <v>807.18</v>
      </c>
      <c r="AQ1884" t="s">
        <v>18484</v>
      </c>
      <c r="AR1884" t="s">
        <v>18484</v>
      </c>
      <c r="AS1884" t="s">
        <v>18484</v>
      </c>
      <c r="AU1884" t="s">
        <v>396</v>
      </c>
      <c r="AV1884">
        <v>2017</v>
      </c>
      <c r="AW1884" t="str">
        <f>"00-00-30-010B-0011-0100 "</f>
        <v xml:space="preserve">00-00-30-010B-0011-0100 </v>
      </c>
      <c r="AZ1884" t="s">
        <v>18485</v>
      </c>
      <c r="BA1884" t="s">
        <v>1942</v>
      </c>
      <c r="BD1884" t="s">
        <v>11749</v>
      </c>
      <c r="BE1884" t="s">
        <v>393</v>
      </c>
      <c r="BF1884">
        <v>32034</v>
      </c>
      <c r="BG1884" t="s">
        <v>18486</v>
      </c>
      <c r="BH1884" t="s">
        <v>11751</v>
      </c>
      <c r="BI1884">
        <v>-81.4466645629591</v>
      </c>
      <c r="BJ1884">
        <v>30.575041614382499</v>
      </c>
      <c r="BK1884" t="s">
        <v>18487</v>
      </c>
      <c r="BM1884" t="s">
        <v>18488</v>
      </c>
      <c r="BN1884" t="s">
        <v>18489</v>
      </c>
      <c r="BO1884">
        <v>31522</v>
      </c>
      <c r="BP1884" t="s">
        <v>404</v>
      </c>
      <c r="BQ1884">
        <v>0</v>
      </c>
      <c r="BR1884" t="s">
        <v>491</v>
      </c>
      <c r="BS1884">
        <v>8001</v>
      </c>
      <c r="BT1884" t="s">
        <v>492</v>
      </c>
      <c r="BU1884">
        <v>500</v>
      </c>
      <c r="BV1884">
        <v>1000</v>
      </c>
      <c r="BW1884">
        <v>4999</v>
      </c>
      <c r="BX1884" t="s">
        <v>407</v>
      </c>
      <c r="BY1884" t="s">
        <v>7351</v>
      </c>
      <c r="CD1884">
        <v>2017</v>
      </c>
      <c r="CE1884">
        <v>50000</v>
      </c>
      <c r="CG1884">
        <v>50000</v>
      </c>
      <c r="CH1884">
        <v>2017</v>
      </c>
      <c r="CI1884">
        <v>50000</v>
      </c>
      <c r="CK1884">
        <v>50000</v>
      </c>
      <c r="CL1884">
        <v>2017</v>
      </c>
      <c r="CM1884">
        <v>716.77</v>
      </c>
      <c r="CN1884" s="1">
        <v>31229</v>
      </c>
      <c r="CZ1884" s="1">
        <v>31229</v>
      </c>
      <c r="DD1884" t="s">
        <v>11749</v>
      </c>
      <c r="DF1884">
        <v>10</v>
      </c>
      <c r="DG1884">
        <v>20</v>
      </c>
      <c r="DJ1884" t="s">
        <v>18414</v>
      </c>
      <c r="DL1884">
        <v>50203</v>
      </c>
      <c r="DM1884" t="s">
        <v>18307</v>
      </c>
      <c r="DO1884" t="s">
        <v>18490</v>
      </c>
      <c r="DP1884">
        <v>0</v>
      </c>
      <c r="DQ1884">
        <v>0</v>
      </c>
      <c r="DR1884" t="s">
        <v>411</v>
      </c>
      <c r="DS1884" t="b">
        <v>1</v>
      </c>
      <c r="DT1884" t="s">
        <v>470</v>
      </c>
      <c r="DU1884" t="s">
        <v>471</v>
      </c>
      <c r="DV1884" t="s">
        <v>472</v>
      </c>
      <c r="DX1884">
        <v>-9999</v>
      </c>
      <c r="DZ1884" t="s">
        <v>447</v>
      </c>
      <c r="EA1884" t="s">
        <v>448</v>
      </c>
      <c r="EB1884" t="s">
        <v>14787</v>
      </c>
      <c r="EC1884">
        <v>20101217</v>
      </c>
      <c r="ED1884" t="s">
        <v>474</v>
      </c>
      <c r="EF1884">
        <v>867.2</v>
      </c>
      <c r="EG1884">
        <v>552.29999999999995</v>
      </c>
      <c r="EI1884">
        <v>20160407</v>
      </c>
      <c r="EJ1884">
        <v>0</v>
      </c>
      <c r="EK1884">
        <v>0</v>
      </c>
      <c r="EP1884" t="s">
        <v>421</v>
      </c>
      <c r="EQ1884" t="s">
        <v>452</v>
      </c>
      <c r="ER1884">
        <v>0</v>
      </c>
      <c r="ES1884">
        <v>8</v>
      </c>
      <c r="ET1884">
        <v>0</v>
      </c>
      <c r="EU1884">
        <v>0</v>
      </c>
      <c r="EV1884">
        <v>0</v>
      </c>
      <c r="EW1884" s="2">
        <v>43222</v>
      </c>
      <c r="EX1884" s="1">
        <v>42879</v>
      </c>
      <c r="EY1884">
        <v>2016</v>
      </c>
      <c r="EZ1884">
        <v>702.36</v>
      </c>
      <c r="FA1884" t="s">
        <v>18491</v>
      </c>
      <c r="FB1884">
        <v>0.25</v>
      </c>
      <c r="FC1884" t="s">
        <v>424</v>
      </c>
      <c r="FD1884" t="s">
        <v>425</v>
      </c>
      <c r="FE1884" s="1">
        <v>43023</v>
      </c>
      <c r="FF1884">
        <v>5</v>
      </c>
      <c r="FG1884">
        <v>62</v>
      </c>
      <c r="FH1884" t="s">
        <v>463</v>
      </c>
      <c r="FJ1884" s="1">
        <v>42515</v>
      </c>
      <c r="FK1884">
        <v>2015</v>
      </c>
      <c r="FL1884">
        <v>708.58</v>
      </c>
      <c r="FM1884" t="s">
        <v>18492</v>
      </c>
      <c r="FN1884">
        <v>0.25</v>
      </c>
      <c r="FO1884" t="s">
        <v>424</v>
      </c>
      <c r="FP1884" t="s">
        <v>425</v>
      </c>
      <c r="FQ1884" s="1">
        <v>42781</v>
      </c>
      <c r="FR1884">
        <v>9</v>
      </c>
      <c r="FS1884">
        <v>7336671</v>
      </c>
      <c r="FT1884" t="s">
        <v>437</v>
      </c>
      <c r="FV1884" s="1">
        <v>42515</v>
      </c>
      <c r="FW1884">
        <v>2015</v>
      </c>
      <c r="FX1884">
        <v>708.58</v>
      </c>
      <c r="FY1884" t="s">
        <v>18492</v>
      </c>
      <c r="FZ1884">
        <v>0.25</v>
      </c>
      <c r="GA1884" t="s">
        <v>424</v>
      </c>
      <c r="GB1884" t="s">
        <v>425</v>
      </c>
      <c r="GD1884">
        <v>22</v>
      </c>
      <c r="GE1884">
        <v>7010430</v>
      </c>
      <c r="GF1884" t="s">
        <v>18493</v>
      </c>
      <c r="GH1884" s="1">
        <v>42151</v>
      </c>
      <c r="GI1884">
        <v>2014</v>
      </c>
      <c r="GJ1884">
        <v>712.25</v>
      </c>
      <c r="GK1884" t="s">
        <v>18494</v>
      </c>
      <c r="GL1884">
        <v>9.5</v>
      </c>
      <c r="GM1884" t="s">
        <v>424</v>
      </c>
      <c r="GN1884" t="s">
        <v>425</v>
      </c>
      <c r="GO1884" s="1">
        <v>42471</v>
      </c>
      <c r="GP1884">
        <v>11</v>
      </c>
      <c r="GQ1884">
        <v>10125</v>
      </c>
      <c r="GR1884" t="s">
        <v>440</v>
      </c>
      <c r="GT1884" s="1">
        <v>41423</v>
      </c>
      <c r="GU1884">
        <v>2012</v>
      </c>
      <c r="GV1884">
        <v>848.85</v>
      </c>
      <c r="GW1884" t="s">
        <v>18495</v>
      </c>
      <c r="GX1884">
        <v>0.25</v>
      </c>
      <c r="GY1884" t="s">
        <v>424</v>
      </c>
      <c r="GZ1884" t="s">
        <v>425</v>
      </c>
      <c r="HA1884" s="1">
        <v>41786</v>
      </c>
      <c r="HB1884">
        <v>12</v>
      </c>
      <c r="HC1884">
        <v>1625549</v>
      </c>
      <c r="HD1884" t="s">
        <v>7607</v>
      </c>
      <c r="HE1884" t="s">
        <v>458</v>
      </c>
      <c r="HF1884" s="1">
        <v>41052</v>
      </c>
      <c r="HG1884">
        <v>2011</v>
      </c>
      <c r="HH1884">
        <v>1224.6300000000001</v>
      </c>
      <c r="HI1884" t="s">
        <v>18496</v>
      </c>
      <c r="HJ1884">
        <v>7.5</v>
      </c>
      <c r="HK1884" t="s">
        <v>424</v>
      </c>
      <c r="HL1884" t="s">
        <v>425</v>
      </c>
      <c r="HN1884">
        <v>22</v>
      </c>
      <c r="HO1884">
        <v>1129</v>
      </c>
      <c r="HP1884" t="s">
        <v>14726</v>
      </c>
      <c r="HQ1884" t="s">
        <v>458</v>
      </c>
      <c r="HR1884" s="1">
        <v>41052</v>
      </c>
      <c r="HS1884">
        <v>2011</v>
      </c>
      <c r="HT1884">
        <v>1224.6300000000001</v>
      </c>
      <c r="HU1884" t="s">
        <v>18496</v>
      </c>
      <c r="HV1884">
        <v>7.5</v>
      </c>
      <c r="HW1884" t="s">
        <v>424</v>
      </c>
      <c r="HX1884" t="s">
        <v>425</v>
      </c>
      <c r="HZ1884">
        <v>22</v>
      </c>
      <c r="IA1884">
        <v>10579</v>
      </c>
      <c r="IB1884" t="s">
        <v>488</v>
      </c>
      <c r="IC1884" t="s">
        <v>458</v>
      </c>
      <c r="ID1884" s="1">
        <v>40688</v>
      </c>
      <c r="IE1884">
        <v>2010</v>
      </c>
      <c r="IF1884">
        <v>1364.79</v>
      </c>
      <c r="IG1884" t="s">
        <v>18497</v>
      </c>
      <c r="IH1884">
        <v>6.75</v>
      </c>
      <c r="II1884" t="s">
        <v>424</v>
      </c>
      <c r="IJ1884" t="s">
        <v>425</v>
      </c>
      <c r="IK1884" s="1">
        <v>41442</v>
      </c>
      <c r="IL1884">
        <v>25</v>
      </c>
      <c r="IM1884">
        <v>10579</v>
      </c>
      <c r="IN1884" t="s">
        <v>488</v>
      </c>
    </row>
    <row r="1885" spans="1:284" x14ac:dyDescent="0.25">
      <c r="A1885">
        <v>16486892</v>
      </c>
      <c r="B1885">
        <v>1884</v>
      </c>
      <c r="C1885" t="s">
        <v>393</v>
      </c>
      <c r="D1885" t="s">
        <v>394</v>
      </c>
      <c r="F1885" t="str">
        <f>"00-00-30-010B-0011-0110"</f>
        <v>00-00-30-010B-0011-0110</v>
      </c>
      <c r="H1885" t="str">
        <f>"BAUGH RUBYE E ESTATE C/O ALTAMEASE E AISTON"</f>
        <v>BAUGH RUBYE E ESTATE C/O ALTAMEASE E AISTON</v>
      </c>
      <c r="I1885" t="str">
        <f>"1453 W 14TH ST"</f>
        <v>1453 W 14TH ST</v>
      </c>
      <c r="J1885" t="str">
        <f>"JACKSONVILLE FL 32209"</f>
        <v>JACKSONVILLE FL 32209</v>
      </c>
      <c r="K1885" t="str">
        <f>"5442 ERVIN ST"</f>
        <v>5442 ERVIN ST</v>
      </c>
      <c r="L1885" t="str">
        <f t="shared" si="700"/>
        <v>FERNANDINA BEACH FL 32034</v>
      </c>
      <c r="M1885" t="str">
        <f>"BLOCK 11 LOT 11 AMERICAN BEACH SUB 2 PB 3/6"</f>
        <v>BLOCK 11 LOT 11 AMERICAN BEACH SUB 2 PB 3/6</v>
      </c>
      <c r="N1885" t="str">
        <f>""</f>
        <v/>
      </c>
      <c r="O1885" t="str">
        <f>"353"</f>
        <v>353</v>
      </c>
      <c r="P1885" t="str">
        <f t="shared" si="698"/>
        <v>2017</v>
      </c>
      <c r="Q1885" t="str">
        <f>""</f>
        <v/>
      </c>
      <c r="R1885" t="str">
        <f t="shared" si="707"/>
        <v>N</v>
      </c>
      <c r="S1885" t="str">
        <f>""</f>
        <v/>
      </c>
      <c r="T1885" t="str">
        <f>"716.77"</f>
        <v>716.77</v>
      </c>
      <c r="U1885" t="str">
        <f>"44000.00"</f>
        <v>44000.00</v>
      </c>
      <c r="V1885" t="str">
        <f>"44000.00"</f>
        <v>44000.00</v>
      </c>
      <c r="W1885" t="str">
        <f t="shared" si="699"/>
        <v>2017</v>
      </c>
      <c r="X1885" t="str">
        <f>"28.17"</f>
        <v>28.17</v>
      </c>
      <c r="Y1885" t="str">
        <f>"770.27"</f>
        <v>770.27</v>
      </c>
      <c r="Z1885" t="str">
        <f>""</f>
        <v/>
      </c>
      <c r="AA1885" t="str">
        <f>"50000.00"</f>
        <v>50000.00</v>
      </c>
      <c r="AB1885" t="str">
        <f t="shared" si="708"/>
        <v>Residential</v>
      </c>
      <c r="AC1885" t="str">
        <f t="shared" si="682"/>
        <v>0</v>
      </c>
      <c r="AD1885" t="str">
        <f>""</f>
        <v/>
      </c>
      <c r="AE1885" t="str">
        <f>""</f>
        <v/>
      </c>
      <c r="AF1885" t="str">
        <f>"000"</f>
        <v>000</v>
      </c>
      <c r="AG1885" t="str">
        <f t="shared" ref="AG1885:AG1892" si="709">"FL"</f>
        <v>FL</v>
      </c>
      <c r="AH1885" t="str">
        <f>"5000.00"</f>
        <v>5000.00</v>
      </c>
      <c r="AI1885" t="str">
        <f>"50000.00"</f>
        <v>50000.00</v>
      </c>
      <c r="AJ1885" t="str">
        <f>"C55-000-585-0263-4"</f>
        <v>C55-000-585-0263-4</v>
      </c>
      <c r="AK1885" t="str">
        <f>"38004"</f>
        <v>38004</v>
      </c>
      <c r="AL1885">
        <v>7</v>
      </c>
      <c r="AM1885">
        <v>2148</v>
      </c>
      <c r="AN1885">
        <v>807.18</v>
      </c>
      <c r="AQ1885" t="s">
        <v>18498</v>
      </c>
      <c r="AR1885" t="s">
        <v>18498</v>
      </c>
      <c r="AS1885" t="s">
        <v>18498</v>
      </c>
      <c r="AU1885" t="s">
        <v>396</v>
      </c>
      <c r="AV1885">
        <v>2017</v>
      </c>
      <c r="AW1885" t="str">
        <f>"00-00-30-010B-0011-0110 "</f>
        <v xml:space="preserve">00-00-30-010B-0011-0110 </v>
      </c>
      <c r="AX1885">
        <v>5442</v>
      </c>
      <c r="AZ1885" t="s">
        <v>18485</v>
      </c>
      <c r="BA1885" t="s">
        <v>1942</v>
      </c>
      <c r="BD1885" t="s">
        <v>11749</v>
      </c>
      <c r="BE1885" t="s">
        <v>393</v>
      </c>
      <c r="BF1885">
        <v>32034</v>
      </c>
      <c r="BG1885" t="s">
        <v>18499</v>
      </c>
      <c r="BH1885" t="s">
        <v>11751</v>
      </c>
      <c r="BI1885">
        <v>-81.446667607734298</v>
      </c>
      <c r="BJ1885">
        <v>30.575179063753598</v>
      </c>
      <c r="BK1885" t="s">
        <v>18500</v>
      </c>
      <c r="BM1885" t="s">
        <v>18501</v>
      </c>
      <c r="BN1885" t="s">
        <v>548</v>
      </c>
      <c r="BO1885">
        <v>32209</v>
      </c>
      <c r="BP1885" t="s">
        <v>404</v>
      </c>
      <c r="BQ1885">
        <v>0</v>
      </c>
      <c r="BR1885" t="s">
        <v>491</v>
      </c>
      <c r="BS1885">
        <v>8001</v>
      </c>
      <c r="BT1885" t="s">
        <v>492</v>
      </c>
      <c r="BU1885">
        <v>500</v>
      </c>
      <c r="BV1885">
        <v>1000</v>
      </c>
      <c r="BW1885">
        <v>5000</v>
      </c>
      <c r="BX1885" t="s">
        <v>407</v>
      </c>
      <c r="BY1885" t="s">
        <v>7351</v>
      </c>
      <c r="CD1885">
        <v>2017</v>
      </c>
      <c r="CE1885">
        <v>50000</v>
      </c>
      <c r="CG1885">
        <v>50000</v>
      </c>
      <c r="CH1885">
        <v>2017</v>
      </c>
      <c r="CI1885">
        <v>50000</v>
      </c>
      <c r="CK1885">
        <v>50000</v>
      </c>
      <c r="CL1885">
        <v>2017</v>
      </c>
      <c r="CM1885">
        <v>716.77</v>
      </c>
      <c r="CN1885" s="1">
        <v>41472</v>
      </c>
      <c r="CZ1885" s="1">
        <v>41472</v>
      </c>
      <c r="DD1885" t="s">
        <v>11749</v>
      </c>
      <c r="DF1885">
        <v>11</v>
      </c>
      <c r="DG1885">
        <v>20</v>
      </c>
      <c r="DJ1885" t="s">
        <v>18414</v>
      </c>
      <c r="DL1885">
        <v>50203</v>
      </c>
      <c r="DM1885" t="s">
        <v>18307</v>
      </c>
      <c r="DO1885" t="s">
        <v>18502</v>
      </c>
      <c r="DP1885">
        <v>0</v>
      </c>
      <c r="DQ1885">
        <v>0</v>
      </c>
      <c r="DR1885" t="s">
        <v>411</v>
      </c>
      <c r="DS1885" t="b">
        <v>1</v>
      </c>
      <c r="DT1885" t="s">
        <v>470</v>
      </c>
      <c r="DU1885" t="s">
        <v>471</v>
      </c>
      <c r="DV1885" t="s">
        <v>472</v>
      </c>
      <c r="DX1885">
        <v>-9999</v>
      </c>
      <c r="DZ1885" t="s">
        <v>447</v>
      </c>
      <c r="EA1885" t="s">
        <v>448</v>
      </c>
      <c r="EB1885" t="s">
        <v>14787</v>
      </c>
      <c r="EC1885">
        <v>20101217</v>
      </c>
      <c r="ED1885" t="s">
        <v>474</v>
      </c>
      <c r="EF1885">
        <v>888.8</v>
      </c>
      <c r="EG1885">
        <v>583.4</v>
      </c>
      <c r="EI1885">
        <v>20160407</v>
      </c>
      <c r="EJ1885">
        <v>0</v>
      </c>
      <c r="EK1885">
        <v>0</v>
      </c>
      <c r="EP1885" t="s">
        <v>421</v>
      </c>
      <c r="EQ1885" t="s">
        <v>422</v>
      </c>
      <c r="ER1885">
        <v>0</v>
      </c>
      <c r="ES1885">
        <v>3</v>
      </c>
      <c r="ET1885">
        <v>0</v>
      </c>
      <c r="EU1885">
        <v>0</v>
      </c>
      <c r="EV1885">
        <v>0</v>
      </c>
      <c r="EW1885" s="2">
        <v>43222</v>
      </c>
      <c r="EX1885" s="1">
        <v>42515</v>
      </c>
      <c r="EY1885">
        <v>2015</v>
      </c>
      <c r="EZ1885">
        <v>708.58</v>
      </c>
      <c r="FA1885" t="s">
        <v>18503</v>
      </c>
      <c r="FB1885">
        <v>14.75</v>
      </c>
      <c r="FC1885" t="s">
        <v>424</v>
      </c>
      <c r="FD1885" t="s">
        <v>425</v>
      </c>
      <c r="FE1885" s="1">
        <v>42886</v>
      </c>
      <c r="FF1885">
        <v>12</v>
      </c>
      <c r="FG1885">
        <v>2035919</v>
      </c>
      <c r="FH1885" t="s">
        <v>507</v>
      </c>
      <c r="FJ1885" s="1">
        <v>41052</v>
      </c>
      <c r="FK1885">
        <v>2011</v>
      </c>
      <c r="FL1885">
        <v>1224.6300000000001</v>
      </c>
      <c r="FM1885" t="s">
        <v>18504</v>
      </c>
      <c r="FN1885">
        <v>7.5</v>
      </c>
      <c r="FO1885" t="s">
        <v>424</v>
      </c>
      <c r="FP1885" t="s">
        <v>425</v>
      </c>
      <c r="FQ1885" s="1">
        <v>41422</v>
      </c>
      <c r="FR1885">
        <v>12</v>
      </c>
      <c r="FS1885">
        <v>10579</v>
      </c>
      <c r="FT1885" t="s">
        <v>488</v>
      </c>
      <c r="FV1885" s="1">
        <v>40688</v>
      </c>
      <c r="FW1885">
        <v>2010</v>
      </c>
      <c r="FX1885">
        <v>1364.79</v>
      </c>
      <c r="FY1885" t="s">
        <v>18505</v>
      </c>
      <c r="FZ1885">
        <v>6.75</v>
      </c>
      <c r="GA1885" t="s">
        <v>424</v>
      </c>
      <c r="GB1885" t="s">
        <v>425</v>
      </c>
      <c r="GC1885" s="1">
        <v>41274</v>
      </c>
      <c r="GD1885">
        <v>19</v>
      </c>
      <c r="GE1885">
        <v>10579</v>
      </c>
      <c r="GF1885" t="s">
        <v>488</v>
      </c>
    </row>
    <row r="1886" spans="1:284" x14ac:dyDescent="0.25">
      <c r="A1886">
        <v>16486893</v>
      </c>
      <c r="B1886">
        <v>1885</v>
      </c>
      <c r="C1886" t="s">
        <v>393</v>
      </c>
      <c r="D1886" t="s">
        <v>394</v>
      </c>
      <c r="F1886" t="str">
        <f>"00-00-30-010B-0012-0070"</f>
        <v>00-00-30-010B-0012-0070</v>
      </c>
      <c r="H1886" t="str">
        <f>"TRUE BLUE VENTURES LLC"</f>
        <v>TRUE BLUE VENTURES LLC</v>
      </c>
      <c r="I1886" t="str">
        <f>"2344 FORBES ST"</f>
        <v>2344 FORBES ST</v>
      </c>
      <c r="J1886" t="str">
        <f>"JACKSONVILLE FL 32204"</f>
        <v>JACKSONVILLE FL 32204</v>
      </c>
      <c r="K1886" t="str">
        <f>"1815 LEWIS ST"</f>
        <v>1815 LEWIS ST</v>
      </c>
      <c r="L1886" t="str">
        <f t="shared" si="700"/>
        <v>FERNANDINA BEACH FL 32034</v>
      </c>
      <c r="M1886" t="str">
        <f>"BLOCK 12 LOT 7 IN OR 1884/438 AMERICAN BEACH SUB 2 PB3/6"</f>
        <v>BLOCK 12 LOT 7 IN OR 1884/438 AMERICAN BEACH SUB 2 PB3/6</v>
      </c>
      <c r="N1886" t="str">
        <f>""</f>
        <v/>
      </c>
      <c r="O1886" t="str">
        <f>"362"</f>
        <v>362</v>
      </c>
      <c r="P1886" t="str">
        <f t="shared" si="698"/>
        <v>2017</v>
      </c>
      <c r="Q1886" t="str">
        <f>""</f>
        <v/>
      </c>
      <c r="R1886" t="str">
        <f t="shared" si="707"/>
        <v>N</v>
      </c>
      <c r="S1886" t="str">
        <f>""</f>
        <v/>
      </c>
      <c r="T1886" t="str">
        <f>"1075.39"</f>
        <v>1075.39</v>
      </c>
      <c r="U1886" t="str">
        <f>"69874.00"</f>
        <v>69874.00</v>
      </c>
      <c r="V1886" t="str">
        <f>"69874.00"</f>
        <v>69874.00</v>
      </c>
      <c r="W1886" t="str">
        <f t="shared" si="699"/>
        <v>2017</v>
      </c>
      <c r="X1886" t="str">
        <f>""</f>
        <v/>
      </c>
      <c r="Y1886" t="str">
        <f>"1139.65"</f>
        <v>1139.65</v>
      </c>
      <c r="Z1886" t="str">
        <f>""</f>
        <v/>
      </c>
      <c r="AA1886" t="str">
        <f>"69874.00"</f>
        <v>69874.00</v>
      </c>
      <c r="AB1886" t="str">
        <f t="shared" si="708"/>
        <v>Residential</v>
      </c>
      <c r="AC1886" t="str">
        <f t="shared" ref="AC1886:AC1949" si="710">"0"</f>
        <v>0</v>
      </c>
      <c r="AD1886" t="str">
        <f>"3"</f>
        <v>3</v>
      </c>
      <c r="AE1886" t="str">
        <f>"MASONRY"</f>
        <v>MASONRY</v>
      </c>
      <c r="AF1886" t="str">
        <f>"008"</f>
        <v>008</v>
      </c>
      <c r="AG1886" t="str">
        <f t="shared" si="709"/>
        <v>FL</v>
      </c>
      <c r="AH1886" t="str">
        <f>"5250.00"</f>
        <v>5250.00</v>
      </c>
      <c r="AI1886" t="str">
        <f>"50000.00"</f>
        <v>50000.00</v>
      </c>
      <c r="AJ1886" t="str">
        <f>"C55-000-585-0272-5"</f>
        <v>C55-000-585-0272-5</v>
      </c>
      <c r="AK1886" t="str">
        <f>"38013"</f>
        <v>38013</v>
      </c>
      <c r="AL1886">
        <v>7</v>
      </c>
      <c r="AM1886">
        <v>2149</v>
      </c>
      <c r="AN1886">
        <v>1195.03</v>
      </c>
      <c r="AQ1886" t="s">
        <v>18506</v>
      </c>
      <c r="AR1886" t="s">
        <v>18506</v>
      </c>
      <c r="AS1886" t="s">
        <v>18506</v>
      </c>
      <c r="AU1886" t="s">
        <v>396</v>
      </c>
      <c r="AV1886">
        <v>2017</v>
      </c>
      <c r="AW1886" t="str">
        <f>"00-00-30-010B-0012-0070 "</f>
        <v xml:space="preserve">00-00-30-010B-0012-0070 </v>
      </c>
      <c r="AX1886">
        <v>1815</v>
      </c>
      <c r="AZ1886" t="s">
        <v>18451</v>
      </c>
      <c r="BA1886" t="s">
        <v>1942</v>
      </c>
      <c r="BD1886" t="s">
        <v>11749</v>
      </c>
      <c r="BE1886" t="s">
        <v>393</v>
      </c>
      <c r="BF1886">
        <v>32034</v>
      </c>
      <c r="BG1886" t="s">
        <v>18507</v>
      </c>
      <c r="BH1886" t="s">
        <v>11751</v>
      </c>
      <c r="BI1886">
        <v>-81.446242522270495</v>
      </c>
      <c r="BJ1886">
        <v>30.573902119096001</v>
      </c>
      <c r="BK1886" t="s">
        <v>18508</v>
      </c>
      <c r="BM1886" t="s">
        <v>18509</v>
      </c>
      <c r="BN1886" t="s">
        <v>548</v>
      </c>
      <c r="BO1886">
        <v>32204</v>
      </c>
      <c r="BP1886" t="s">
        <v>404</v>
      </c>
      <c r="BQ1886">
        <v>800</v>
      </c>
      <c r="BR1886" t="s">
        <v>5126</v>
      </c>
      <c r="BS1886">
        <v>1110</v>
      </c>
      <c r="BT1886" t="s">
        <v>5127</v>
      </c>
      <c r="BU1886">
        <v>500</v>
      </c>
      <c r="BV1886">
        <v>1050</v>
      </c>
      <c r="BW1886">
        <v>5247</v>
      </c>
      <c r="BX1886" t="s">
        <v>407</v>
      </c>
      <c r="BY1886" t="s">
        <v>7351</v>
      </c>
      <c r="BZ1886">
        <v>3</v>
      </c>
      <c r="CA1886">
        <v>1960</v>
      </c>
      <c r="CB1886">
        <v>2</v>
      </c>
      <c r="CC1886">
        <v>1</v>
      </c>
      <c r="CD1886">
        <v>2017</v>
      </c>
      <c r="CE1886">
        <v>50000</v>
      </c>
      <c r="CF1886">
        <v>19874</v>
      </c>
      <c r="CG1886">
        <v>69874</v>
      </c>
      <c r="CH1886">
        <v>2017</v>
      </c>
      <c r="CI1886">
        <v>50000</v>
      </c>
      <c r="CJ1886">
        <v>19874</v>
      </c>
      <c r="CK1886">
        <v>69874</v>
      </c>
      <c r="CL1886">
        <v>2017</v>
      </c>
      <c r="CM1886">
        <v>1075.3900000000001</v>
      </c>
      <c r="CN1886" s="1">
        <v>41556</v>
      </c>
      <c r="CO1886">
        <v>115000</v>
      </c>
      <c r="CV1886">
        <v>45000</v>
      </c>
      <c r="CX1886" t="s">
        <v>707</v>
      </c>
      <c r="CZ1886" s="1">
        <v>41556</v>
      </c>
      <c r="DA1886">
        <v>0</v>
      </c>
      <c r="DD1886" t="s">
        <v>11749</v>
      </c>
      <c r="DF1886">
        <v>7</v>
      </c>
      <c r="DG1886">
        <v>20</v>
      </c>
      <c r="DJ1886" t="s">
        <v>18414</v>
      </c>
      <c r="DL1886">
        <v>50203</v>
      </c>
      <c r="DM1886" t="s">
        <v>18307</v>
      </c>
      <c r="DO1886" t="s">
        <v>18510</v>
      </c>
      <c r="DP1886">
        <v>0</v>
      </c>
      <c r="DQ1886">
        <v>0</v>
      </c>
      <c r="DR1886" t="s">
        <v>411</v>
      </c>
    </row>
    <row r="1887" spans="1:284" x14ac:dyDescent="0.25">
      <c r="A1887">
        <v>16486894</v>
      </c>
      <c r="B1887">
        <v>1886</v>
      </c>
      <c r="C1887" t="s">
        <v>393</v>
      </c>
      <c r="D1887" t="s">
        <v>394</v>
      </c>
      <c r="F1887" t="str">
        <f>"00-00-30-010B-0012-0080"</f>
        <v>00-00-30-010B-0012-0080</v>
      </c>
      <c r="H1887" t="str">
        <f>"FREDERICK NICKOLE E &amp; PERSON CASSANDRA J"</f>
        <v>FREDERICK NICKOLE E &amp; PERSON CASSANDRA J</v>
      </c>
      <c r="I1887" t="str">
        <f>"PO BOX 2486"</f>
        <v>PO BOX 2486</v>
      </c>
      <c r="J1887" t="str">
        <f>"ORLANDO FL 32802"</f>
        <v>ORLANDO FL 32802</v>
      </c>
      <c r="K1887" t="str">
        <f>"LEWIS ST"</f>
        <v>LEWIS ST</v>
      </c>
      <c r="L1887" t="str">
        <f t="shared" si="700"/>
        <v>FERNANDINA BEACH FL 32034</v>
      </c>
      <c r="M1887" t="str">
        <f>"BLOCK 12 LOT 8 IN OR 1388/849 AMERICAN BEACH SUB 2 PB 3/6"</f>
        <v>BLOCK 12 LOT 8 IN OR 1388/849 AMERICAN BEACH SUB 2 PB 3/6</v>
      </c>
      <c r="N1887" t="str">
        <f>""</f>
        <v/>
      </c>
      <c r="O1887" t="str">
        <f>"363"</f>
        <v>363</v>
      </c>
      <c r="P1887" t="str">
        <f t="shared" si="698"/>
        <v>2017</v>
      </c>
      <c r="Q1887" t="str">
        <f>""</f>
        <v/>
      </c>
      <c r="R1887" t="str">
        <f t="shared" si="707"/>
        <v>N</v>
      </c>
      <c r="S1887" t="str">
        <f>""</f>
        <v/>
      </c>
      <c r="T1887" t="str">
        <f>"765.12"</f>
        <v>765.12</v>
      </c>
      <c r="U1887" t="str">
        <f>"49500.00"</f>
        <v>49500.00</v>
      </c>
      <c r="V1887" t="str">
        <f>"49500.00"</f>
        <v>49500.00</v>
      </c>
      <c r="W1887" t="str">
        <f t="shared" si="699"/>
        <v>2017</v>
      </c>
      <c r="X1887" t="str">
        <f>"22.00"</f>
        <v>22.00</v>
      </c>
      <c r="Y1887" t="str">
        <f>"820.07"</f>
        <v>820.07</v>
      </c>
      <c r="Z1887" t="str">
        <f>""</f>
        <v/>
      </c>
      <c r="AA1887" t="str">
        <f>"50000.00"</f>
        <v>50000.00</v>
      </c>
      <c r="AB1887" t="str">
        <f t="shared" si="708"/>
        <v>Residential</v>
      </c>
      <c r="AC1887" t="str">
        <f t="shared" si="710"/>
        <v>0</v>
      </c>
      <c r="AD1887" t="str">
        <f>""</f>
        <v/>
      </c>
      <c r="AE1887" t="str">
        <f>""</f>
        <v/>
      </c>
      <c r="AF1887" t="str">
        <f>"000"</f>
        <v>000</v>
      </c>
      <c r="AG1887" t="str">
        <f t="shared" si="709"/>
        <v>FL</v>
      </c>
      <c r="AH1887" t="str">
        <f>"5400.00"</f>
        <v>5400.00</v>
      </c>
      <c r="AI1887" t="str">
        <f>"50000.00"</f>
        <v>50000.00</v>
      </c>
      <c r="AJ1887" t="str">
        <f>"C55-000-585-0273-3"</f>
        <v>C55-000-585-0273-3</v>
      </c>
      <c r="AK1887" t="str">
        <f>"38014"</f>
        <v>38014</v>
      </c>
      <c r="AL1887">
        <v>7</v>
      </c>
      <c r="AM1887">
        <v>2150</v>
      </c>
      <c r="AN1887">
        <v>859.47</v>
      </c>
      <c r="AQ1887" t="s">
        <v>18511</v>
      </c>
      <c r="AR1887" t="s">
        <v>18511</v>
      </c>
      <c r="AS1887" t="s">
        <v>18511</v>
      </c>
      <c r="AU1887" t="s">
        <v>396</v>
      </c>
      <c r="AV1887">
        <v>2017</v>
      </c>
      <c r="AW1887" t="str">
        <f>"00-00-30-010B-0012-0080 "</f>
        <v xml:space="preserve">00-00-30-010B-0012-0080 </v>
      </c>
      <c r="AZ1887" t="s">
        <v>18451</v>
      </c>
      <c r="BA1887" t="s">
        <v>1942</v>
      </c>
      <c r="BD1887" t="s">
        <v>11749</v>
      </c>
      <c r="BE1887" t="s">
        <v>393</v>
      </c>
      <c r="BF1887">
        <v>32034</v>
      </c>
      <c r="BG1887" t="s">
        <v>18512</v>
      </c>
      <c r="BH1887" t="s">
        <v>11751</v>
      </c>
      <c r="BI1887">
        <v>-81.446401241409006</v>
      </c>
      <c r="BJ1887">
        <v>30.573894050210001</v>
      </c>
      <c r="BK1887" t="s">
        <v>18513</v>
      </c>
      <c r="BL1887" t="s">
        <v>18514</v>
      </c>
      <c r="BM1887" t="s">
        <v>18515</v>
      </c>
      <c r="BN1887" t="s">
        <v>2536</v>
      </c>
      <c r="BO1887">
        <v>32802</v>
      </c>
      <c r="BP1887" t="s">
        <v>404</v>
      </c>
      <c r="BQ1887">
        <v>0</v>
      </c>
      <c r="BR1887" t="s">
        <v>491</v>
      </c>
      <c r="BS1887">
        <v>8001</v>
      </c>
      <c r="BT1887" t="s">
        <v>492</v>
      </c>
      <c r="BU1887">
        <v>500</v>
      </c>
      <c r="BV1887">
        <v>1080</v>
      </c>
      <c r="BW1887">
        <v>5422</v>
      </c>
      <c r="BX1887" t="s">
        <v>407</v>
      </c>
      <c r="BY1887" t="s">
        <v>7351</v>
      </c>
      <c r="CD1887">
        <v>2017</v>
      </c>
      <c r="CE1887">
        <v>50000</v>
      </c>
      <c r="CG1887">
        <v>50000</v>
      </c>
      <c r="CH1887">
        <v>2017</v>
      </c>
      <c r="CI1887">
        <v>50000</v>
      </c>
      <c r="CK1887">
        <v>50000</v>
      </c>
      <c r="CL1887">
        <v>2017</v>
      </c>
      <c r="CM1887">
        <v>765.12</v>
      </c>
      <c r="CN1887" s="1">
        <v>38758</v>
      </c>
      <c r="CZ1887" s="1">
        <v>38758</v>
      </c>
      <c r="DD1887" t="s">
        <v>11749</v>
      </c>
      <c r="DF1887">
        <v>8</v>
      </c>
      <c r="DG1887">
        <v>20</v>
      </c>
      <c r="DJ1887" t="s">
        <v>18414</v>
      </c>
      <c r="DL1887">
        <v>50203</v>
      </c>
      <c r="DM1887" t="s">
        <v>18307</v>
      </c>
      <c r="DO1887" t="s">
        <v>18516</v>
      </c>
      <c r="DP1887">
        <v>0</v>
      </c>
      <c r="DQ1887">
        <v>0</v>
      </c>
      <c r="DR1887" t="s">
        <v>411</v>
      </c>
      <c r="DS1887" t="b">
        <v>1</v>
      </c>
      <c r="DT1887" t="s">
        <v>470</v>
      </c>
      <c r="DU1887" t="s">
        <v>471</v>
      </c>
      <c r="DV1887" t="s">
        <v>472</v>
      </c>
      <c r="DX1887">
        <v>-9999</v>
      </c>
      <c r="DZ1887" t="s">
        <v>447</v>
      </c>
      <c r="EA1887" t="s">
        <v>448</v>
      </c>
      <c r="EB1887" t="s">
        <v>14787</v>
      </c>
      <c r="EC1887">
        <v>20101217</v>
      </c>
      <c r="ED1887" t="s">
        <v>474</v>
      </c>
      <c r="EF1887">
        <v>564</v>
      </c>
      <c r="EG1887">
        <v>489.2</v>
      </c>
      <c r="EI1887">
        <v>20160407</v>
      </c>
      <c r="EJ1887">
        <v>0</v>
      </c>
      <c r="EK1887">
        <v>0</v>
      </c>
      <c r="EP1887" t="s">
        <v>421</v>
      </c>
      <c r="EQ1887" t="s">
        <v>422</v>
      </c>
      <c r="ER1887">
        <v>2</v>
      </c>
      <c r="ES1887">
        <v>8</v>
      </c>
      <c r="ET1887">
        <v>1573.56</v>
      </c>
      <c r="EU1887">
        <v>91.18</v>
      </c>
      <c r="EV1887">
        <v>1664.74</v>
      </c>
      <c r="EW1887" s="2">
        <v>43222</v>
      </c>
      <c r="EX1887" s="1">
        <v>42879</v>
      </c>
      <c r="EY1887">
        <v>2016</v>
      </c>
      <c r="EZ1887">
        <v>786.78</v>
      </c>
      <c r="FA1887" t="s">
        <v>18517</v>
      </c>
      <c r="FB1887">
        <v>0.25</v>
      </c>
      <c r="FC1887" t="s">
        <v>424</v>
      </c>
      <c r="FD1887" t="s">
        <v>454</v>
      </c>
      <c r="FF1887">
        <v>12</v>
      </c>
      <c r="FG1887">
        <v>11289</v>
      </c>
      <c r="FH1887" t="s">
        <v>787</v>
      </c>
      <c r="FJ1887" s="1">
        <v>42879</v>
      </c>
      <c r="FK1887">
        <v>2016</v>
      </c>
      <c r="FL1887">
        <v>786.78</v>
      </c>
      <c r="FM1887" t="s">
        <v>18517</v>
      </c>
      <c r="FN1887">
        <v>0.25</v>
      </c>
      <c r="FO1887" t="s">
        <v>424</v>
      </c>
      <c r="FP1887" t="s">
        <v>454</v>
      </c>
      <c r="FR1887">
        <v>12</v>
      </c>
      <c r="FS1887">
        <v>7266611</v>
      </c>
      <c r="FT1887" t="s">
        <v>18518</v>
      </c>
      <c r="FV1887" s="1">
        <v>42515</v>
      </c>
      <c r="FW1887">
        <v>2015</v>
      </c>
      <c r="FX1887">
        <v>794.4</v>
      </c>
      <c r="FY1887" t="s">
        <v>18519</v>
      </c>
      <c r="FZ1887">
        <v>14.75</v>
      </c>
      <c r="GA1887" t="s">
        <v>424</v>
      </c>
      <c r="GB1887" t="s">
        <v>425</v>
      </c>
      <c r="GC1887" s="1">
        <v>43181</v>
      </c>
      <c r="GD1887">
        <v>22</v>
      </c>
      <c r="GE1887">
        <v>2035919</v>
      </c>
      <c r="GF1887" t="s">
        <v>507</v>
      </c>
      <c r="GH1887" s="1">
        <v>42151</v>
      </c>
      <c r="GI1887">
        <v>2014</v>
      </c>
      <c r="GJ1887">
        <v>1445.62</v>
      </c>
      <c r="GK1887" t="s">
        <v>18520</v>
      </c>
      <c r="GL1887">
        <v>0.25</v>
      </c>
      <c r="GM1887" t="s">
        <v>424</v>
      </c>
      <c r="GN1887" t="s">
        <v>425</v>
      </c>
      <c r="GO1887" s="1">
        <v>42879</v>
      </c>
      <c r="GP1887">
        <v>24</v>
      </c>
      <c r="GQ1887">
        <v>2101382</v>
      </c>
      <c r="GR1887" t="s">
        <v>993</v>
      </c>
      <c r="GT1887" s="1">
        <v>42151</v>
      </c>
      <c r="GU1887">
        <v>2014</v>
      </c>
      <c r="GV1887">
        <v>1445.62</v>
      </c>
      <c r="GW1887" t="s">
        <v>18520</v>
      </c>
      <c r="GX1887">
        <v>0.25</v>
      </c>
      <c r="GY1887" t="s">
        <v>424</v>
      </c>
      <c r="GZ1887" t="s">
        <v>425</v>
      </c>
      <c r="HB1887">
        <v>22</v>
      </c>
      <c r="HC1887">
        <v>5645118</v>
      </c>
      <c r="HD1887" t="s">
        <v>18521</v>
      </c>
      <c r="HF1887" s="1">
        <v>41787</v>
      </c>
      <c r="HG1887">
        <v>2013</v>
      </c>
      <c r="HH1887">
        <v>1423.69</v>
      </c>
      <c r="HI1887" t="s">
        <v>18522</v>
      </c>
      <c r="HJ1887">
        <v>0.25</v>
      </c>
      <c r="HK1887" t="s">
        <v>424</v>
      </c>
      <c r="HL1887" t="s">
        <v>425</v>
      </c>
      <c r="HM1887" s="1">
        <v>42458</v>
      </c>
      <c r="HN1887">
        <v>22</v>
      </c>
      <c r="HO1887">
        <v>2407503</v>
      </c>
      <c r="HP1887" t="s">
        <v>461</v>
      </c>
      <c r="HR1887" s="1">
        <v>41423</v>
      </c>
      <c r="HS1887">
        <v>2012</v>
      </c>
      <c r="HT1887">
        <v>1440.85</v>
      </c>
      <c r="HU1887" t="s">
        <v>18523</v>
      </c>
      <c r="HV1887">
        <v>3.75</v>
      </c>
      <c r="HW1887" t="s">
        <v>424</v>
      </c>
      <c r="HX1887" t="s">
        <v>425</v>
      </c>
      <c r="HY1887" s="1">
        <v>42090</v>
      </c>
      <c r="HZ1887">
        <v>22</v>
      </c>
      <c r="IA1887">
        <v>1625515</v>
      </c>
      <c r="IB1887" t="s">
        <v>487</v>
      </c>
      <c r="ID1887" s="1">
        <v>41052</v>
      </c>
      <c r="IE1887">
        <v>2011</v>
      </c>
      <c r="IF1887">
        <v>1666.52</v>
      </c>
      <c r="IG1887" t="s">
        <v>18524</v>
      </c>
      <c r="IH1887">
        <v>7.5</v>
      </c>
      <c r="II1887" t="s">
        <v>424</v>
      </c>
      <c r="IJ1887" t="s">
        <v>425</v>
      </c>
      <c r="IK1887" s="1">
        <v>41726</v>
      </c>
      <c r="IL1887">
        <v>22</v>
      </c>
      <c r="IM1887">
        <v>1625515</v>
      </c>
      <c r="IN1887" t="s">
        <v>487</v>
      </c>
      <c r="IP1887" s="1">
        <v>41052</v>
      </c>
      <c r="IQ1887">
        <v>2011</v>
      </c>
      <c r="IR1887">
        <v>1666.52</v>
      </c>
      <c r="IS1887" t="s">
        <v>18524</v>
      </c>
      <c r="IT1887">
        <v>7.5</v>
      </c>
      <c r="IU1887" t="s">
        <v>424</v>
      </c>
      <c r="IV1887" t="s">
        <v>425</v>
      </c>
      <c r="IX1887">
        <v>22</v>
      </c>
      <c r="IY1887">
        <v>10579</v>
      </c>
      <c r="IZ1887" t="s">
        <v>488</v>
      </c>
      <c r="JB1887" s="1">
        <v>40688</v>
      </c>
      <c r="JC1887">
        <v>2010</v>
      </c>
      <c r="JD1887">
        <v>1858.21</v>
      </c>
      <c r="JE1887" t="s">
        <v>18525</v>
      </c>
      <c r="JF1887">
        <v>6.75</v>
      </c>
      <c r="JG1887" t="s">
        <v>424</v>
      </c>
      <c r="JH1887" t="s">
        <v>425</v>
      </c>
      <c r="JI1887" s="1">
        <v>41352</v>
      </c>
      <c r="JJ1887">
        <v>22</v>
      </c>
      <c r="JK1887">
        <v>10579</v>
      </c>
      <c r="JL1887" t="s">
        <v>488</v>
      </c>
    </row>
    <row r="1888" spans="1:284" x14ac:dyDescent="0.25">
      <c r="A1888">
        <v>16486895</v>
      </c>
      <c r="B1888">
        <v>1887</v>
      </c>
      <c r="C1888" t="s">
        <v>393</v>
      </c>
      <c r="D1888" t="s">
        <v>394</v>
      </c>
      <c r="F1888" t="str">
        <f>"00-00-30-010B-0015-0070"</f>
        <v>00-00-30-010B-0015-0070</v>
      </c>
      <c r="H1888" t="str">
        <f>"JONES-JACKSON CYNTHIA DEBORAH"</f>
        <v>JONES-JACKSON CYNTHIA DEBORAH</v>
      </c>
      <c r="I1888" t="str">
        <f>"5381 HALA CT"</f>
        <v>5381 HALA CT</v>
      </c>
      <c r="J1888" t="str">
        <f>"JACKSONVILLE FL 32224"</f>
        <v>JACKSONVILLE FL 32224</v>
      </c>
      <c r="K1888" t="str">
        <f>"LEE ST"</f>
        <v>LEE ST</v>
      </c>
      <c r="L1888" t="str">
        <f t="shared" si="700"/>
        <v>FERNANDINA BEACH FL 32034</v>
      </c>
      <c r="M1888" t="str">
        <f>"BLOCK 15 LOTS 7 &amp; 8 IN OR 2049/1307 AMERICAN BEACH SUB 2 PB 3/6"</f>
        <v>BLOCK 15 LOTS 7 &amp; 8 IN OR 2049/1307 AMERICAN BEACH SUB 2 PB 3/6</v>
      </c>
      <c r="N1888" t="str">
        <f>""</f>
        <v/>
      </c>
      <c r="O1888" t="str">
        <f>"410"</f>
        <v>410</v>
      </c>
      <c r="P1888" t="str">
        <f t="shared" si="698"/>
        <v>2017</v>
      </c>
      <c r="Q1888" t="str">
        <f>""</f>
        <v/>
      </c>
      <c r="R1888" t="str">
        <f t="shared" si="707"/>
        <v>N</v>
      </c>
      <c r="S1888" t="str">
        <f>""</f>
        <v/>
      </c>
      <c r="T1888" t="str">
        <f>"1077.34"</f>
        <v>1077.34</v>
      </c>
      <c r="U1888" t="str">
        <f>"70000.00"</f>
        <v>70000.00</v>
      </c>
      <c r="V1888" t="str">
        <f>"70000.00"</f>
        <v>70000.00</v>
      </c>
      <c r="W1888" t="str">
        <f t="shared" si="699"/>
        <v>2017</v>
      </c>
      <c r="X1888" t="str">
        <f>"7.20"</f>
        <v>7.20</v>
      </c>
      <c r="Y1888" t="str">
        <f>"1141.66"</f>
        <v>1141.66</v>
      </c>
      <c r="Z1888" t="str">
        <f>""</f>
        <v/>
      </c>
      <c r="AA1888" t="str">
        <f>"70000.00"</f>
        <v>70000.00</v>
      </c>
      <c r="AB1888" t="str">
        <f t="shared" si="708"/>
        <v>Residential</v>
      </c>
      <c r="AC1888" t="str">
        <f t="shared" si="710"/>
        <v>0</v>
      </c>
      <c r="AD1888" t="str">
        <f>""</f>
        <v/>
      </c>
      <c r="AE1888" t="str">
        <f>""</f>
        <v/>
      </c>
      <c r="AF1888" t="str">
        <f>"000"</f>
        <v>000</v>
      </c>
      <c r="AG1888" t="str">
        <f t="shared" si="709"/>
        <v>FL</v>
      </c>
      <c r="AH1888" t="str">
        <f>"20000.00"</f>
        <v>20000.00</v>
      </c>
      <c r="AI1888" t="str">
        <f>"70000.00"</f>
        <v>70000.00</v>
      </c>
      <c r="AJ1888" t="str">
        <f>"C55-000-585-0322-8"</f>
        <v>C55-000-585-0322-8</v>
      </c>
      <c r="AK1888" t="str">
        <f>"38058"</f>
        <v>38058</v>
      </c>
      <c r="AL1888">
        <v>7</v>
      </c>
      <c r="AM1888">
        <v>2151</v>
      </c>
      <c r="AN1888">
        <v>1197.1400000000001</v>
      </c>
      <c r="AQ1888" t="s">
        <v>18526</v>
      </c>
      <c r="AR1888" t="s">
        <v>18526</v>
      </c>
      <c r="AS1888" t="s">
        <v>18526</v>
      </c>
      <c r="AU1888" t="s">
        <v>396</v>
      </c>
      <c r="AV1888">
        <v>2017</v>
      </c>
      <c r="AW1888" t="str">
        <f>"00-00-30-010B-0015-0070 "</f>
        <v xml:space="preserve">00-00-30-010B-0015-0070 </v>
      </c>
      <c r="AZ1888" t="s">
        <v>6662</v>
      </c>
      <c r="BA1888" t="s">
        <v>1942</v>
      </c>
      <c r="BD1888" t="s">
        <v>11749</v>
      </c>
      <c r="BE1888" t="s">
        <v>393</v>
      </c>
      <c r="BF1888">
        <v>32034</v>
      </c>
      <c r="BG1888" t="s">
        <v>18527</v>
      </c>
      <c r="BH1888" t="s">
        <v>11751</v>
      </c>
      <c r="BI1888">
        <v>-81.447838164883905</v>
      </c>
      <c r="BJ1888">
        <v>30.575223750681001</v>
      </c>
      <c r="BK1888" t="s">
        <v>18528</v>
      </c>
      <c r="BM1888" t="s">
        <v>18529</v>
      </c>
      <c r="BN1888" t="s">
        <v>548</v>
      </c>
      <c r="BO1888">
        <v>32224</v>
      </c>
      <c r="BP1888" t="s">
        <v>404</v>
      </c>
      <c r="BQ1888">
        <v>0</v>
      </c>
      <c r="BR1888" t="s">
        <v>491</v>
      </c>
      <c r="BS1888">
        <v>8001</v>
      </c>
      <c r="BT1888" t="s">
        <v>492</v>
      </c>
      <c r="BU1888">
        <v>1000</v>
      </c>
      <c r="BV1888">
        <v>1000</v>
      </c>
      <c r="BW1888">
        <v>10000</v>
      </c>
      <c r="BX1888" t="s">
        <v>407</v>
      </c>
      <c r="BY1888" t="s">
        <v>7351</v>
      </c>
      <c r="CD1888">
        <v>2017</v>
      </c>
      <c r="CE1888">
        <v>70000</v>
      </c>
      <c r="CG1888">
        <v>70000</v>
      </c>
      <c r="CH1888">
        <v>2017</v>
      </c>
      <c r="CI1888">
        <v>70000</v>
      </c>
      <c r="CK1888">
        <v>70000</v>
      </c>
      <c r="CL1888">
        <v>2017</v>
      </c>
      <c r="CM1888">
        <v>1077.3399999999999</v>
      </c>
      <c r="CN1888" s="1">
        <v>42522</v>
      </c>
      <c r="CO1888">
        <v>200000</v>
      </c>
      <c r="CV1888">
        <v>0</v>
      </c>
      <c r="CZ1888" s="1">
        <v>42522</v>
      </c>
      <c r="DA1888">
        <v>0</v>
      </c>
      <c r="DD1888" t="s">
        <v>11749</v>
      </c>
      <c r="DG1888">
        <v>20</v>
      </c>
      <c r="DJ1888" t="s">
        <v>18414</v>
      </c>
      <c r="DL1888">
        <v>50203</v>
      </c>
      <c r="DM1888" t="s">
        <v>18307</v>
      </c>
      <c r="DO1888" t="s">
        <v>18530</v>
      </c>
      <c r="DP1888">
        <v>0</v>
      </c>
      <c r="DQ1888">
        <v>0</v>
      </c>
      <c r="DR1888" t="s">
        <v>411</v>
      </c>
      <c r="DS1888" t="b">
        <v>1</v>
      </c>
      <c r="DT1888" t="s">
        <v>470</v>
      </c>
      <c r="DU1888" t="s">
        <v>471</v>
      </c>
      <c r="DV1888" t="s">
        <v>472</v>
      </c>
      <c r="DX1888">
        <v>-9999</v>
      </c>
      <c r="DZ1888" t="s">
        <v>447</v>
      </c>
      <c r="EA1888" t="s">
        <v>448</v>
      </c>
      <c r="EB1888" t="s">
        <v>14787</v>
      </c>
      <c r="EC1888">
        <v>20101217</v>
      </c>
      <c r="ED1888" t="s">
        <v>474</v>
      </c>
      <c r="EF1888">
        <v>826</v>
      </c>
      <c r="EG1888">
        <v>247.6</v>
      </c>
      <c r="EI1888">
        <v>20160407</v>
      </c>
      <c r="EJ1888">
        <v>0</v>
      </c>
      <c r="EK1888">
        <v>0</v>
      </c>
      <c r="EP1888" t="s">
        <v>421</v>
      </c>
      <c r="EQ1888" t="s">
        <v>422</v>
      </c>
      <c r="ER1888">
        <v>0</v>
      </c>
      <c r="ES1888">
        <v>7</v>
      </c>
      <c r="ET1888">
        <v>0</v>
      </c>
      <c r="EU1888">
        <v>0</v>
      </c>
      <c r="EV1888">
        <v>0</v>
      </c>
      <c r="EW1888" s="2">
        <v>43222</v>
      </c>
      <c r="EX1888" s="1">
        <v>42151</v>
      </c>
      <c r="EY1888">
        <v>2014</v>
      </c>
      <c r="EZ1888">
        <v>953.82</v>
      </c>
      <c r="FA1888" t="s">
        <v>18531</v>
      </c>
      <c r="FB1888">
        <v>0.25</v>
      </c>
      <c r="FC1888" t="s">
        <v>424</v>
      </c>
      <c r="FD1888" t="s">
        <v>425</v>
      </c>
      <c r="FE1888" s="1">
        <v>42179</v>
      </c>
      <c r="FF1888">
        <v>1</v>
      </c>
      <c r="FG1888">
        <v>2101382</v>
      </c>
      <c r="FH1888" t="s">
        <v>993</v>
      </c>
      <c r="FJ1888" s="1">
        <v>42151</v>
      </c>
      <c r="FK1888">
        <v>2014</v>
      </c>
      <c r="FL1888">
        <v>953.82</v>
      </c>
      <c r="FM1888" t="s">
        <v>18531</v>
      </c>
      <c r="FN1888">
        <v>0.25</v>
      </c>
      <c r="FO1888" t="s">
        <v>424</v>
      </c>
      <c r="FP1888" t="s">
        <v>425</v>
      </c>
      <c r="FR1888">
        <v>22</v>
      </c>
      <c r="FS1888">
        <v>5478978</v>
      </c>
      <c r="FT1888" t="s">
        <v>18532</v>
      </c>
      <c r="FV1888" s="1">
        <v>41787</v>
      </c>
      <c r="FW1888">
        <v>2013</v>
      </c>
      <c r="FX1888">
        <v>1002.2</v>
      </c>
      <c r="FY1888" t="s">
        <v>18533</v>
      </c>
      <c r="FZ1888">
        <v>0.25</v>
      </c>
      <c r="GA1888" t="s">
        <v>424</v>
      </c>
      <c r="GB1888" t="s">
        <v>425</v>
      </c>
      <c r="GC1888" s="1">
        <v>42121</v>
      </c>
      <c r="GD1888">
        <v>11</v>
      </c>
      <c r="GE1888">
        <v>15259</v>
      </c>
      <c r="GF1888" t="s">
        <v>891</v>
      </c>
      <c r="GH1888" s="1">
        <v>41423</v>
      </c>
      <c r="GI1888">
        <v>2012</v>
      </c>
      <c r="GJ1888">
        <v>1344.93</v>
      </c>
      <c r="GK1888" t="s">
        <v>18534</v>
      </c>
      <c r="GL1888">
        <v>0.25</v>
      </c>
      <c r="GM1888" t="s">
        <v>424</v>
      </c>
      <c r="GN1888" t="s">
        <v>425</v>
      </c>
      <c r="GO1888" s="1">
        <v>41788</v>
      </c>
      <c r="GP1888">
        <v>12</v>
      </c>
      <c r="GQ1888">
        <v>2101385</v>
      </c>
      <c r="GR1888" t="s">
        <v>810</v>
      </c>
      <c r="GT1888" s="1">
        <v>41052</v>
      </c>
      <c r="GU1888">
        <v>2011</v>
      </c>
      <c r="GV1888">
        <v>1951.03</v>
      </c>
      <c r="GW1888" t="s">
        <v>18535</v>
      </c>
      <c r="GX1888">
        <v>5.75</v>
      </c>
      <c r="GY1888" t="s">
        <v>424</v>
      </c>
      <c r="GZ1888" t="s">
        <v>425</v>
      </c>
      <c r="HA1888" s="1">
        <v>41208</v>
      </c>
      <c r="HB1888">
        <v>5</v>
      </c>
      <c r="HC1888">
        <v>13368</v>
      </c>
      <c r="HD1888" t="s">
        <v>1740</v>
      </c>
      <c r="HF1888" s="1">
        <v>41052</v>
      </c>
      <c r="HG1888">
        <v>2011</v>
      </c>
      <c r="HH1888">
        <v>1951.03</v>
      </c>
      <c r="HI1888" t="s">
        <v>18535</v>
      </c>
      <c r="HJ1888">
        <v>5.75</v>
      </c>
      <c r="HK1888" t="s">
        <v>424</v>
      </c>
      <c r="HL1888" t="s">
        <v>425</v>
      </c>
      <c r="HN1888">
        <v>22</v>
      </c>
      <c r="HO1888">
        <v>14345</v>
      </c>
      <c r="HP1888" t="s">
        <v>1909</v>
      </c>
      <c r="HR1888" s="1">
        <v>40688</v>
      </c>
      <c r="HS1888">
        <v>2010</v>
      </c>
      <c r="HT1888">
        <v>2175.88</v>
      </c>
      <c r="HU1888" t="s">
        <v>18536</v>
      </c>
      <c r="HV1888">
        <v>6.75</v>
      </c>
      <c r="HW1888" t="s">
        <v>424</v>
      </c>
      <c r="HX1888" t="s">
        <v>425</v>
      </c>
      <c r="HY1888" s="1">
        <v>40889</v>
      </c>
      <c r="HZ1888">
        <v>7</v>
      </c>
      <c r="IA1888">
        <v>10579</v>
      </c>
      <c r="IB1888" t="s">
        <v>488</v>
      </c>
    </row>
    <row r="1889" spans="1:248" x14ac:dyDescent="0.25">
      <c r="A1889">
        <v>16486896</v>
      </c>
      <c r="B1889">
        <v>1888</v>
      </c>
      <c r="C1889" t="s">
        <v>393</v>
      </c>
      <c r="D1889" t="s">
        <v>394</v>
      </c>
      <c r="F1889" t="str">
        <f>"00-00-30-010B-0015-0110"</f>
        <v>00-00-30-010B-0015-0110</v>
      </c>
      <c r="H1889" t="str">
        <f>"JONES-JACKSON CYNTHIA DEBORAH"</f>
        <v>JONES-JACKSON CYNTHIA DEBORAH</v>
      </c>
      <c r="I1889" t="str">
        <f>"5381 HALA COURT"</f>
        <v>5381 HALA COURT</v>
      </c>
      <c r="J1889" t="str">
        <f>"JACKSONVILLE FL 32224"</f>
        <v>JACKSONVILLE FL 32224</v>
      </c>
      <c r="K1889" t="str">
        <f>"LEONARD ST"</f>
        <v>LEONARD ST</v>
      </c>
      <c r="L1889" t="str">
        <f t="shared" si="700"/>
        <v>FERNANDINA BEACH FL 32034</v>
      </c>
      <c r="M1889" t="str">
        <f>"BLOCK 15 LOT 11 IN OR 2049/1307 AMERICAN BEACH SUB 2 PB 3/6"</f>
        <v>BLOCK 15 LOT 11 IN OR 2049/1307 AMERICAN BEACH SUB 2 PB 3/6</v>
      </c>
      <c r="N1889" t="str">
        <f>""</f>
        <v/>
      </c>
      <c r="O1889" t="str">
        <f>"413"</f>
        <v>413</v>
      </c>
      <c r="P1889" t="str">
        <f t="shared" si="698"/>
        <v>2017</v>
      </c>
      <c r="Q1889" t="str">
        <f>""</f>
        <v/>
      </c>
      <c r="R1889" t="str">
        <f t="shared" si="707"/>
        <v>N</v>
      </c>
      <c r="S1889" t="str">
        <f>""</f>
        <v/>
      </c>
      <c r="T1889" t="str">
        <f>"538.66"</f>
        <v>538.66</v>
      </c>
      <c r="U1889" t="str">
        <f>"35000.00"</f>
        <v>35000.00</v>
      </c>
      <c r="V1889" t="str">
        <f>"35000.00"</f>
        <v>35000.00</v>
      </c>
      <c r="W1889" t="str">
        <f t="shared" si="699"/>
        <v>2017</v>
      </c>
      <c r="X1889" t="str">
        <f>"9.20"</f>
        <v>9.20</v>
      </c>
      <c r="Y1889" t="str">
        <f>"586.82"</f>
        <v>586.82</v>
      </c>
      <c r="Z1889" t="str">
        <f>""</f>
        <v/>
      </c>
      <c r="AA1889" t="str">
        <f>"35000.00"</f>
        <v>35000.00</v>
      </c>
      <c r="AB1889" t="str">
        <f t="shared" si="708"/>
        <v>Residential</v>
      </c>
      <c r="AC1889" t="str">
        <f t="shared" si="710"/>
        <v>0</v>
      </c>
      <c r="AD1889" t="str">
        <f>""</f>
        <v/>
      </c>
      <c r="AE1889" t="str">
        <f>""</f>
        <v/>
      </c>
      <c r="AF1889" t="str">
        <f>"000"</f>
        <v>000</v>
      </c>
      <c r="AG1889" t="str">
        <f t="shared" si="709"/>
        <v>FL</v>
      </c>
      <c r="AH1889" t="str">
        <f>"-"</f>
        <v>-</v>
      </c>
      <c r="AI1889" t="str">
        <f>"35000.00"</f>
        <v>35000.00</v>
      </c>
      <c r="AJ1889" t="str">
        <f>"C55-000-588-7939-6"</f>
        <v>C55-000-588-7939-6</v>
      </c>
      <c r="AK1889" t="str">
        <f>"38061"</f>
        <v>38061</v>
      </c>
      <c r="AL1889">
        <v>7</v>
      </c>
      <c r="AM1889">
        <v>2152</v>
      </c>
      <c r="AN1889">
        <v>614.55999999999995</v>
      </c>
      <c r="AQ1889" t="s">
        <v>18537</v>
      </c>
      <c r="AR1889" t="s">
        <v>18537</v>
      </c>
      <c r="AS1889" t="s">
        <v>18537</v>
      </c>
      <c r="AU1889" t="s">
        <v>396</v>
      </c>
      <c r="AV1889">
        <v>2017</v>
      </c>
      <c r="AW1889" t="str">
        <f>"00-00-30-010B-0015-0110 "</f>
        <v xml:space="preserve">00-00-30-010B-0015-0110 </v>
      </c>
      <c r="AZ1889" t="s">
        <v>18538</v>
      </c>
      <c r="BA1889" t="s">
        <v>1942</v>
      </c>
      <c r="BD1889" t="s">
        <v>11749</v>
      </c>
      <c r="BE1889" t="s">
        <v>393</v>
      </c>
      <c r="BF1889">
        <v>32034</v>
      </c>
      <c r="BG1889" t="s">
        <v>18539</v>
      </c>
      <c r="BH1889" t="s">
        <v>11751</v>
      </c>
      <c r="BI1889">
        <v>-81.448154311141195</v>
      </c>
      <c r="BJ1889">
        <v>30.5751484932727</v>
      </c>
      <c r="BK1889" t="s">
        <v>18540</v>
      </c>
      <c r="BM1889" t="s">
        <v>18529</v>
      </c>
      <c r="BN1889" t="s">
        <v>548</v>
      </c>
      <c r="BO1889">
        <v>32224</v>
      </c>
      <c r="BP1889" t="s">
        <v>404</v>
      </c>
      <c r="BQ1889">
        <v>0</v>
      </c>
      <c r="BR1889" t="s">
        <v>491</v>
      </c>
      <c r="BS1889">
        <v>8001</v>
      </c>
      <c r="BT1889" t="s">
        <v>492</v>
      </c>
      <c r="BU1889">
        <v>500</v>
      </c>
      <c r="BW1889">
        <v>5001</v>
      </c>
      <c r="BX1889" t="s">
        <v>407</v>
      </c>
      <c r="CD1889">
        <v>2017</v>
      </c>
      <c r="CE1889">
        <v>35000</v>
      </c>
      <c r="CG1889">
        <v>35000</v>
      </c>
      <c r="CH1889">
        <v>2017</v>
      </c>
      <c r="CI1889">
        <v>35000</v>
      </c>
      <c r="CK1889">
        <v>35000</v>
      </c>
      <c r="CL1889">
        <v>2017</v>
      </c>
      <c r="CM1889">
        <v>538.66</v>
      </c>
      <c r="CN1889" s="1">
        <v>39126</v>
      </c>
      <c r="CO1889">
        <v>159900</v>
      </c>
      <c r="CV1889">
        <v>141500</v>
      </c>
      <c r="CX1889" t="s">
        <v>675</v>
      </c>
      <c r="CZ1889" s="1">
        <v>39126</v>
      </c>
      <c r="DA1889">
        <v>0</v>
      </c>
      <c r="DD1889" t="s">
        <v>11749</v>
      </c>
      <c r="DF1889">
        <v>11</v>
      </c>
      <c r="DG1889">
        <v>20</v>
      </c>
      <c r="DJ1889" t="s">
        <v>18414</v>
      </c>
      <c r="DL1889">
        <v>50203</v>
      </c>
      <c r="DM1889" t="s">
        <v>18307</v>
      </c>
      <c r="DO1889" t="s">
        <v>18541</v>
      </c>
      <c r="DP1889">
        <v>0</v>
      </c>
      <c r="DQ1889">
        <v>0</v>
      </c>
      <c r="DR1889" t="s">
        <v>411</v>
      </c>
      <c r="DS1889" t="b">
        <v>1</v>
      </c>
      <c r="DT1889" t="s">
        <v>470</v>
      </c>
      <c r="DU1889" t="s">
        <v>471</v>
      </c>
      <c r="DV1889" t="s">
        <v>472</v>
      </c>
      <c r="DX1889">
        <v>-9999</v>
      </c>
      <c r="DZ1889" t="s">
        <v>447</v>
      </c>
      <c r="EA1889" t="s">
        <v>448</v>
      </c>
      <c r="EB1889" t="s">
        <v>14787</v>
      </c>
      <c r="EC1889">
        <v>20101217</v>
      </c>
      <c r="ED1889" t="s">
        <v>474</v>
      </c>
      <c r="EF1889">
        <v>761</v>
      </c>
      <c r="EG1889">
        <v>153.5</v>
      </c>
      <c r="EI1889">
        <v>20160407</v>
      </c>
      <c r="EJ1889">
        <v>0</v>
      </c>
      <c r="EK1889">
        <v>0</v>
      </c>
      <c r="EP1889" t="s">
        <v>421</v>
      </c>
      <c r="EQ1889" t="s">
        <v>422</v>
      </c>
      <c r="ER1889">
        <v>0</v>
      </c>
      <c r="ES1889">
        <v>5</v>
      </c>
      <c r="ET1889">
        <v>0</v>
      </c>
      <c r="EU1889">
        <v>0</v>
      </c>
      <c r="EV1889">
        <v>0</v>
      </c>
      <c r="EW1889" s="2">
        <v>43222</v>
      </c>
      <c r="EX1889" s="1">
        <v>42151</v>
      </c>
      <c r="EY1889">
        <v>2014</v>
      </c>
      <c r="EZ1889">
        <v>487.91</v>
      </c>
      <c r="FA1889" t="s">
        <v>18542</v>
      </c>
      <c r="FB1889">
        <v>14</v>
      </c>
      <c r="FC1889" t="s">
        <v>424</v>
      </c>
      <c r="FD1889" t="s">
        <v>425</v>
      </c>
      <c r="FE1889" s="1">
        <v>42179</v>
      </c>
      <c r="FF1889">
        <v>1</v>
      </c>
      <c r="FG1889">
        <v>10125</v>
      </c>
      <c r="FH1889" t="s">
        <v>440</v>
      </c>
      <c r="FJ1889" s="1">
        <v>41787</v>
      </c>
      <c r="FK1889">
        <v>2013</v>
      </c>
      <c r="FL1889">
        <v>675.48</v>
      </c>
      <c r="FM1889" t="s">
        <v>18543</v>
      </c>
      <c r="FN1889">
        <v>0.25</v>
      </c>
      <c r="FO1889" t="s">
        <v>424</v>
      </c>
      <c r="FP1889" t="s">
        <v>425</v>
      </c>
      <c r="FQ1889" s="1">
        <v>42121</v>
      </c>
      <c r="FR1889">
        <v>11</v>
      </c>
      <c r="FS1889">
        <v>2407503</v>
      </c>
      <c r="FT1889" t="s">
        <v>461</v>
      </c>
      <c r="FV1889" s="1">
        <v>41423</v>
      </c>
      <c r="FW1889">
        <v>2012</v>
      </c>
      <c r="FX1889">
        <v>848.85</v>
      </c>
      <c r="FY1889" t="s">
        <v>18544</v>
      </c>
      <c r="FZ1889">
        <v>3.25</v>
      </c>
      <c r="GA1889" t="s">
        <v>424</v>
      </c>
      <c r="GB1889" t="s">
        <v>425</v>
      </c>
      <c r="GC1889" s="1">
        <v>41788</v>
      </c>
      <c r="GD1889">
        <v>12</v>
      </c>
      <c r="GE1889">
        <v>1625515</v>
      </c>
      <c r="GF1889" t="s">
        <v>487</v>
      </c>
      <c r="GH1889" s="1">
        <v>41052</v>
      </c>
      <c r="GI1889">
        <v>2011</v>
      </c>
      <c r="GJ1889">
        <v>1224.6300000000001</v>
      </c>
      <c r="GK1889" t="s">
        <v>18545</v>
      </c>
      <c r="GL1889">
        <v>7.25</v>
      </c>
      <c r="GM1889" t="s">
        <v>424</v>
      </c>
      <c r="GN1889" t="s">
        <v>425</v>
      </c>
      <c r="GO1889" s="1">
        <v>41208</v>
      </c>
      <c r="GP1889">
        <v>5</v>
      </c>
      <c r="GQ1889">
        <v>318</v>
      </c>
      <c r="GR1889" t="s">
        <v>1083</v>
      </c>
      <c r="GT1889" s="1">
        <v>40688</v>
      </c>
      <c r="GU1889">
        <v>2010</v>
      </c>
      <c r="GV1889">
        <v>1364.79</v>
      </c>
      <c r="GW1889" t="s">
        <v>18546</v>
      </c>
      <c r="GX1889">
        <v>5.75</v>
      </c>
      <c r="GY1889" t="s">
        <v>424</v>
      </c>
      <c r="GZ1889" t="s">
        <v>425</v>
      </c>
      <c r="HA1889" s="1">
        <v>41208</v>
      </c>
      <c r="HB1889">
        <v>17</v>
      </c>
      <c r="HC1889">
        <v>62</v>
      </c>
      <c r="HD1889" t="s">
        <v>463</v>
      </c>
    </row>
    <row r="1890" spans="1:248" x14ac:dyDescent="0.25">
      <c r="A1890">
        <v>16486897</v>
      </c>
      <c r="B1890">
        <v>1889</v>
      </c>
      <c r="C1890" t="s">
        <v>393</v>
      </c>
      <c r="D1890" t="s">
        <v>394</v>
      </c>
      <c r="F1890" t="str">
        <f>"00-00-30-010B-0015-0120"</f>
        <v>00-00-30-010B-0015-0120</v>
      </c>
      <c r="H1890" t="str">
        <f>"JONES CARLTON D &amp; BARBARA A"</f>
        <v>JONES CARLTON D &amp; BARBARA A</v>
      </c>
      <c r="I1890" t="str">
        <f>"5381 HALA COURT"</f>
        <v>5381 HALA COURT</v>
      </c>
      <c r="J1890" t="str">
        <f>"JACKSONVILLE FL 32224"</f>
        <v>JACKSONVILLE FL 32224</v>
      </c>
      <c r="K1890" t="str">
        <f>"LEONARD ST"</f>
        <v>LEONARD ST</v>
      </c>
      <c r="L1890" t="str">
        <f t="shared" si="700"/>
        <v>FERNANDINA BEACH FL 32034</v>
      </c>
      <c r="M1890" t="str">
        <f>"BLOCK 15 LOT 12 IN OR 1414/1584 AMERICAN BEACH SUB 2 PB 3/6"</f>
        <v>BLOCK 15 LOT 12 IN OR 1414/1584 AMERICAN BEACH SUB 2 PB 3/6</v>
      </c>
      <c r="N1890" t="str">
        <f>""</f>
        <v/>
      </c>
      <c r="O1890" t="str">
        <f>"414"</f>
        <v>414</v>
      </c>
      <c r="P1890" t="str">
        <f t="shared" si="698"/>
        <v>2017</v>
      </c>
      <c r="Q1890" t="str">
        <f>""</f>
        <v/>
      </c>
      <c r="R1890" t="str">
        <f t="shared" si="707"/>
        <v>N</v>
      </c>
      <c r="S1890" t="str">
        <f>""</f>
        <v/>
      </c>
      <c r="T1890" t="str">
        <f>"538.66"</f>
        <v>538.66</v>
      </c>
      <c r="U1890" t="str">
        <f>"35000.00"</f>
        <v>35000.00</v>
      </c>
      <c r="V1890" t="str">
        <f>"35000.00"</f>
        <v>35000.00</v>
      </c>
      <c r="W1890" t="str">
        <f t="shared" si="699"/>
        <v>2017</v>
      </c>
      <c r="X1890" t="str">
        <f>"9.20"</f>
        <v>9.20</v>
      </c>
      <c r="Y1890" t="str">
        <f>"586.82"</f>
        <v>586.82</v>
      </c>
      <c r="Z1890" t="str">
        <f>""</f>
        <v/>
      </c>
      <c r="AA1890" t="str">
        <f>"35000.00"</f>
        <v>35000.00</v>
      </c>
      <c r="AB1890" t="str">
        <f t="shared" si="708"/>
        <v>Residential</v>
      </c>
      <c r="AC1890" t="str">
        <f t="shared" si="710"/>
        <v>0</v>
      </c>
      <c r="AD1890" t="str">
        <f>""</f>
        <v/>
      </c>
      <c r="AE1890" t="str">
        <f>""</f>
        <v/>
      </c>
      <c r="AF1890" t="str">
        <f>"000"</f>
        <v>000</v>
      </c>
      <c r="AG1890" t="str">
        <f t="shared" si="709"/>
        <v>FL</v>
      </c>
      <c r="AH1890" t="str">
        <f>"5000.00"</f>
        <v>5000.00</v>
      </c>
      <c r="AI1890" t="str">
        <f>"35000.00"</f>
        <v>35000.00</v>
      </c>
      <c r="AJ1890" t="str">
        <f>"C55-000-976-7945-0"</f>
        <v>C55-000-976-7945-0</v>
      </c>
      <c r="AK1890" t="str">
        <f>"38062"</f>
        <v>38062</v>
      </c>
      <c r="AL1890">
        <v>7</v>
      </c>
      <c r="AM1890">
        <v>2153</v>
      </c>
      <c r="AN1890">
        <v>614.55999999999995</v>
      </c>
      <c r="AQ1890" t="s">
        <v>18547</v>
      </c>
      <c r="AR1890" t="s">
        <v>18547</v>
      </c>
      <c r="AS1890" t="s">
        <v>18547</v>
      </c>
      <c r="AU1890" t="s">
        <v>396</v>
      </c>
      <c r="AV1890">
        <v>2017</v>
      </c>
      <c r="AW1890" t="str">
        <f>"00-00-30-010B-0015-0120 "</f>
        <v xml:space="preserve">00-00-30-010B-0015-0120 </v>
      </c>
      <c r="AZ1890" t="s">
        <v>18538</v>
      </c>
      <c r="BA1890" t="s">
        <v>1942</v>
      </c>
      <c r="BD1890" t="s">
        <v>11749</v>
      </c>
      <c r="BE1890" t="s">
        <v>393</v>
      </c>
      <c r="BF1890">
        <v>32034</v>
      </c>
      <c r="BG1890" t="s">
        <v>18539</v>
      </c>
      <c r="BH1890" t="s">
        <v>11751</v>
      </c>
      <c r="BI1890">
        <v>-81.448157355516997</v>
      </c>
      <c r="BJ1890">
        <v>30.575285944492801</v>
      </c>
      <c r="BK1890" t="s">
        <v>18548</v>
      </c>
      <c r="BL1890" t="s">
        <v>18549</v>
      </c>
      <c r="BM1890" t="s">
        <v>18529</v>
      </c>
      <c r="BN1890" t="s">
        <v>548</v>
      </c>
      <c r="BO1890">
        <v>32224</v>
      </c>
      <c r="BP1890" t="s">
        <v>404</v>
      </c>
      <c r="BQ1890">
        <v>0</v>
      </c>
      <c r="BR1890" t="s">
        <v>491</v>
      </c>
      <c r="BS1890">
        <v>8001</v>
      </c>
      <c r="BT1890" t="s">
        <v>492</v>
      </c>
      <c r="BU1890">
        <v>500</v>
      </c>
      <c r="BV1890">
        <v>1000</v>
      </c>
      <c r="BW1890">
        <v>5000</v>
      </c>
      <c r="BX1890" t="s">
        <v>407</v>
      </c>
      <c r="BY1890" t="s">
        <v>7351</v>
      </c>
      <c r="CD1890">
        <v>2017</v>
      </c>
      <c r="CE1890">
        <v>35000</v>
      </c>
      <c r="CG1890">
        <v>35000</v>
      </c>
      <c r="CH1890">
        <v>2017</v>
      </c>
      <c r="CI1890">
        <v>35000</v>
      </c>
      <c r="CK1890">
        <v>35000</v>
      </c>
      <c r="CL1890">
        <v>2017</v>
      </c>
      <c r="CM1890">
        <v>538.66</v>
      </c>
      <c r="CN1890" s="1">
        <v>38861</v>
      </c>
      <c r="CO1890">
        <v>150000</v>
      </c>
      <c r="CZ1890" s="1">
        <v>38861</v>
      </c>
      <c r="DD1890" t="s">
        <v>11749</v>
      </c>
      <c r="DF1890">
        <v>12</v>
      </c>
      <c r="DG1890">
        <v>20</v>
      </c>
      <c r="DJ1890" t="s">
        <v>18414</v>
      </c>
      <c r="DL1890">
        <v>50203</v>
      </c>
      <c r="DM1890" t="s">
        <v>18307</v>
      </c>
      <c r="DO1890" t="s">
        <v>18550</v>
      </c>
      <c r="DP1890">
        <v>0</v>
      </c>
      <c r="DQ1890">
        <v>0</v>
      </c>
      <c r="DR1890" t="s">
        <v>411</v>
      </c>
      <c r="DS1890" t="b">
        <v>1</v>
      </c>
      <c r="DT1890" t="s">
        <v>470</v>
      </c>
      <c r="DU1890" t="s">
        <v>471</v>
      </c>
      <c r="DV1890" t="s">
        <v>472</v>
      </c>
      <c r="DX1890">
        <v>-9999</v>
      </c>
      <c r="DZ1890" t="s">
        <v>447</v>
      </c>
      <c r="EA1890" t="s">
        <v>448</v>
      </c>
      <c r="EB1890" t="s">
        <v>14787</v>
      </c>
      <c r="EC1890">
        <v>20101217</v>
      </c>
      <c r="ED1890" t="s">
        <v>474</v>
      </c>
      <c r="EF1890">
        <v>807.7</v>
      </c>
      <c r="EG1890">
        <v>192.3</v>
      </c>
      <c r="EI1890">
        <v>20160407</v>
      </c>
      <c r="EJ1890">
        <v>0</v>
      </c>
      <c r="EK1890">
        <v>0</v>
      </c>
      <c r="EP1890" t="s">
        <v>421</v>
      </c>
      <c r="EQ1890" t="s">
        <v>422</v>
      </c>
      <c r="ER1890">
        <v>0</v>
      </c>
      <c r="ES1890">
        <v>5</v>
      </c>
      <c r="ET1890">
        <v>0</v>
      </c>
      <c r="EU1890">
        <v>0</v>
      </c>
      <c r="EV1890">
        <v>0</v>
      </c>
      <c r="EW1890" s="2">
        <v>43222</v>
      </c>
      <c r="EX1890" s="1">
        <v>42151</v>
      </c>
      <c r="EY1890">
        <v>2014</v>
      </c>
      <c r="EZ1890">
        <v>487.91</v>
      </c>
      <c r="FA1890" t="s">
        <v>18551</v>
      </c>
      <c r="FB1890">
        <v>14</v>
      </c>
      <c r="FC1890" t="s">
        <v>424</v>
      </c>
      <c r="FD1890" t="s">
        <v>425</v>
      </c>
      <c r="FE1890" s="1">
        <v>42179</v>
      </c>
      <c r="FF1890">
        <v>1</v>
      </c>
      <c r="FG1890">
        <v>10125</v>
      </c>
      <c r="FH1890" t="s">
        <v>440</v>
      </c>
      <c r="FJ1890" s="1">
        <v>41787</v>
      </c>
      <c r="FK1890">
        <v>2013</v>
      </c>
      <c r="FL1890">
        <v>675.48</v>
      </c>
      <c r="FM1890" t="s">
        <v>18552</v>
      </c>
      <c r="FN1890">
        <v>0.25</v>
      </c>
      <c r="FO1890" t="s">
        <v>424</v>
      </c>
      <c r="FP1890" t="s">
        <v>425</v>
      </c>
      <c r="FQ1890" s="1">
        <v>42121</v>
      </c>
      <c r="FR1890">
        <v>11</v>
      </c>
      <c r="FS1890">
        <v>2407503</v>
      </c>
      <c r="FT1890" t="s">
        <v>461</v>
      </c>
      <c r="FV1890" s="1">
        <v>41423</v>
      </c>
      <c r="FW1890">
        <v>2012</v>
      </c>
      <c r="FX1890">
        <v>848.85</v>
      </c>
      <c r="FY1890" t="s">
        <v>18553</v>
      </c>
      <c r="FZ1890">
        <v>3.25</v>
      </c>
      <c r="GA1890" t="s">
        <v>424</v>
      </c>
      <c r="GB1890" t="s">
        <v>425</v>
      </c>
      <c r="GC1890" s="1">
        <v>41788</v>
      </c>
      <c r="GD1890">
        <v>12</v>
      </c>
      <c r="GE1890">
        <v>1625515</v>
      </c>
      <c r="GF1890" t="s">
        <v>487</v>
      </c>
      <c r="GH1890" s="1">
        <v>41052</v>
      </c>
      <c r="GI1890">
        <v>2011</v>
      </c>
      <c r="GJ1890">
        <v>1224.6300000000001</v>
      </c>
      <c r="GK1890" t="s">
        <v>18554</v>
      </c>
      <c r="GL1890">
        <v>7.25</v>
      </c>
      <c r="GM1890" t="s">
        <v>424</v>
      </c>
      <c r="GN1890" t="s">
        <v>425</v>
      </c>
      <c r="GO1890" s="1">
        <v>41208</v>
      </c>
      <c r="GP1890">
        <v>5</v>
      </c>
      <c r="GQ1890">
        <v>318</v>
      </c>
      <c r="GR1890" t="s">
        <v>1083</v>
      </c>
      <c r="GT1890" s="1">
        <v>40688</v>
      </c>
      <c r="GU1890">
        <v>2010</v>
      </c>
      <c r="GV1890">
        <v>1364.79</v>
      </c>
      <c r="GW1890" t="s">
        <v>18555</v>
      </c>
      <c r="GX1890">
        <v>6.75</v>
      </c>
      <c r="GY1890" t="s">
        <v>424</v>
      </c>
      <c r="GZ1890" t="s">
        <v>425</v>
      </c>
      <c r="HA1890" s="1">
        <v>41208</v>
      </c>
      <c r="HB1890">
        <v>17</v>
      </c>
      <c r="HC1890">
        <v>10579</v>
      </c>
      <c r="HD1890" t="s">
        <v>488</v>
      </c>
    </row>
    <row r="1891" spans="1:248" x14ac:dyDescent="0.25">
      <c r="A1891">
        <v>16486898</v>
      </c>
      <c r="B1891">
        <v>1890</v>
      </c>
      <c r="C1891" t="s">
        <v>393</v>
      </c>
      <c r="D1891" t="s">
        <v>394</v>
      </c>
      <c r="F1891" t="str">
        <f>"00-00-30-010B-0017-0100"</f>
        <v>00-00-30-010B-0017-0100</v>
      </c>
      <c r="H1891" t="str">
        <f>"HOLMES JOHN T"</f>
        <v>HOLMES JOHN T</v>
      </c>
      <c r="I1891" t="str">
        <f>"1705 LEWIS STREET"</f>
        <v>1705 LEWIS STREET</v>
      </c>
      <c r="J1891" t="str">
        <f>"FERNANDINA BEACH FL 32034"</f>
        <v>FERNANDINA BEACH FL 32034</v>
      </c>
      <c r="K1891" t="str">
        <f>"1705 LEWIS ST"</f>
        <v>1705 LEWIS ST</v>
      </c>
      <c r="L1891" t="str">
        <f t="shared" ref="L1891:L1922" si="711">"FERNANDINA BEACH FL 32034"</f>
        <v>FERNANDINA BEACH FL 32034</v>
      </c>
      <c r="M1891" t="str">
        <f>"BLOCK 17 LOTS 10 &amp; 11 IN OR 523 PG 357 AMERICAN BEACH SUB 2 PB 3/6"</f>
        <v>BLOCK 17 LOTS 10 &amp; 11 IN OR 523 PG 357 AMERICAN BEACH SUB 2 PB 3/6</v>
      </c>
      <c r="N1891" t="str">
        <f>""</f>
        <v/>
      </c>
      <c r="O1891" t="str">
        <f>"445"</f>
        <v>445</v>
      </c>
      <c r="P1891" t="str">
        <f t="shared" si="698"/>
        <v>2017</v>
      </c>
      <c r="Q1891" t="str">
        <f>""</f>
        <v/>
      </c>
      <c r="R1891" t="str">
        <f>"Y"</f>
        <v>Y</v>
      </c>
      <c r="S1891" t="str">
        <f>""</f>
        <v/>
      </c>
      <c r="T1891" t="str">
        <f>"1509.49"</f>
        <v>1509.49</v>
      </c>
      <c r="U1891" t="str">
        <f>"137362.00"</f>
        <v>137362.00</v>
      </c>
      <c r="V1891" t="str">
        <f>"137362.00"</f>
        <v>137362.00</v>
      </c>
      <c r="W1891" t="str">
        <f t="shared" si="699"/>
        <v>2017</v>
      </c>
      <c r="X1891" t="str">
        <f>"7.00"</f>
        <v>7.00</v>
      </c>
      <c r="Y1891" t="str">
        <f>"1586.77"</f>
        <v>1586.77</v>
      </c>
      <c r="Z1891" t="str">
        <f>"25000.00"</f>
        <v>25000.00</v>
      </c>
      <c r="AA1891" t="str">
        <f>"112362.00"</f>
        <v>112362.00</v>
      </c>
      <c r="AB1891" t="str">
        <f t="shared" si="708"/>
        <v>Residential</v>
      </c>
      <c r="AC1891" t="str">
        <f t="shared" si="710"/>
        <v>0</v>
      </c>
      <c r="AD1891" t="str">
        <f>"4"</f>
        <v>4</v>
      </c>
      <c r="AE1891" t="str">
        <f>"WOOD (INCLUDE STEEL STUDS)"</f>
        <v>WOOD (INCLUDE STEEL STUDS)</v>
      </c>
      <c r="AF1891" t="str">
        <f>"001"</f>
        <v>001</v>
      </c>
      <c r="AG1891" t="str">
        <f t="shared" si="709"/>
        <v>FL</v>
      </c>
      <c r="AH1891" t="str">
        <f>"14800.00"</f>
        <v>14800.00</v>
      </c>
      <c r="AI1891" t="str">
        <f>"90000.00"</f>
        <v>90000.00</v>
      </c>
      <c r="AJ1891" t="str">
        <f>"C55-000-585-0354-1"</f>
        <v>C55-000-585-0354-1</v>
      </c>
      <c r="AK1891" t="str">
        <f>"38092"</f>
        <v>38092</v>
      </c>
      <c r="AL1891">
        <v>7</v>
      </c>
      <c r="AM1891">
        <v>2155</v>
      </c>
      <c r="AN1891">
        <v>1664.51</v>
      </c>
      <c r="AQ1891" t="s">
        <v>18556</v>
      </c>
      <c r="AR1891" t="s">
        <v>18556</v>
      </c>
      <c r="AS1891" t="s">
        <v>18556</v>
      </c>
      <c r="AU1891" t="s">
        <v>396</v>
      </c>
      <c r="AV1891">
        <v>2017</v>
      </c>
      <c r="AW1891" t="str">
        <f>"00-00-30-010B-0017-0100 "</f>
        <v xml:space="preserve">00-00-30-010B-0017-0100 </v>
      </c>
      <c r="AX1891">
        <v>1705</v>
      </c>
      <c r="AZ1891" t="s">
        <v>18451</v>
      </c>
      <c r="BA1891" t="s">
        <v>1942</v>
      </c>
      <c r="BD1891" t="s">
        <v>11749</v>
      </c>
      <c r="BE1891" t="s">
        <v>393</v>
      </c>
      <c r="BF1891">
        <v>32034</v>
      </c>
      <c r="BG1891" t="s">
        <v>18557</v>
      </c>
      <c r="BH1891" t="s">
        <v>11751</v>
      </c>
      <c r="BI1891">
        <v>-81.448862738594102</v>
      </c>
      <c r="BJ1891">
        <v>30.5736458711458</v>
      </c>
      <c r="BK1891" t="s">
        <v>18558</v>
      </c>
      <c r="BM1891" t="s">
        <v>18557</v>
      </c>
      <c r="BN1891" t="s">
        <v>3983</v>
      </c>
      <c r="BO1891">
        <v>32034</v>
      </c>
      <c r="BP1891" t="s">
        <v>416</v>
      </c>
      <c r="BQ1891">
        <v>100</v>
      </c>
      <c r="BR1891" t="s">
        <v>514</v>
      </c>
      <c r="BS1891">
        <v>1001</v>
      </c>
      <c r="BT1891" t="s">
        <v>515</v>
      </c>
      <c r="BU1891">
        <v>1000</v>
      </c>
      <c r="BV1891">
        <v>1480</v>
      </c>
      <c r="BW1891">
        <v>15210</v>
      </c>
      <c r="BX1891" t="s">
        <v>407</v>
      </c>
      <c r="BY1891" t="s">
        <v>7351</v>
      </c>
      <c r="BZ1891">
        <v>4</v>
      </c>
      <c r="CA1891">
        <v>1985</v>
      </c>
      <c r="CB1891">
        <v>2</v>
      </c>
      <c r="CC1891">
        <v>1</v>
      </c>
      <c r="CD1891">
        <v>2017</v>
      </c>
      <c r="CE1891">
        <v>90000</v>
      </c>
      <c r="CF1891">
        <v>47362</v>
      </c>
      <c r="CG1891">
        <v>137362</v>
      </c>
      <c r="CH1891">
        <v>2017</v>
      </c>
      <c r="CI1891">
        <v>90000</v>
      </c>
      <c r="CJ1891">
        <v>47362</v>
      </c>
      <c r="CK1891">
        <v>137362</v>
      </c>
      <c r="CL1891">
        <v>2017</v>
      </c>
      <c r="CM1891">
        <v>1509.49</v>
      </c>
      <c r="CN1891" s="1">
        <v>30895</v>
      </c>
      <c r="CO1891">
        <v>8000</v>
      </c>
      <c r="CZ1891" s="1">
        <v>30895</v>
      </c>
      <c r="DD1891" t="s">
        <v>11749</v>
      </c>
      <c r="DG1891">
        <v>20</v>
      </c>
      <c r="DJ1891" t="s">
        <v>18414</v>
      </c>
      <c r="DL1891">
        <v>50203</v>
      </c>
      <c r="DM1891" t="s">
        <v>18307</v>
      </c>
      <c r="DO1891" t="s">
        <v>18559</v>
      </c>
      <c r="DP1891">
        <v>0</v>
      </c>
      <c r="DQ1891">
        <v>0</v>
      </c>
      <c r="DR1891" t="s">
        <v>411</v>
      </c>
      <c r="DS1891" t="b">
        <v>1</v>
      </c>
      <c r="DT1891" t="s">
        <v>470</v>
      </c>
      <c r="DU1891" t="s">
        <v>10249</v>
      </c>
      <c r="DV1891" t="s">
        <v>472</v>
      </c>
      <c r="DX1891">
        <v>-9999</v>
      </c>
      <c r="DZ1891" t="s">
        <v>447</v>
      </c>
      <c r="EA1891" t="s">
        <v>448</v>
      </c>
      <c r="EB1891" t="s">
        <v>18309</v>
      </c>
      <c r="EC1891">
        <v>20101217</v>
      </c>
      <c r="ED1891" t="s">
        <v>10251</v>
      </c>
      <c r="EE1891">
        <v>5</v>
      </c>
      <c r="EF1891">
        <v>171.7</v>
      </c>
      <c r="EG1891">
        <v>0</v>
      </c>
      <c r="EI1891">
        <v>20160407</v>
      </c>
      <c r="EJ1891">
        <v>0</v>
      </c>
      <c r="EK1891">
        <v>0</v>
      </c>
      <c r="EP1891" t="s">
        <v>421</v>
      </c>
      <c r="EQ1891" t="s">
        <v>422</v>
      </c>
      <c r="ER1891">
        <v>2</v>
      </c>
      <c r="ES1891">
        <v>2</v>
      </c>
      <c r="ET1891">
        <v>3370.62</v>
      </c>
      <c r="EU1891">
        <v>181.03</v>
      </c>
      <c r="EV1891">
        <v>3551.65</v>
      </c>
      <c r="EW1891" s="2">
        <v>43222</v>
      </c>
      <c r="EX1891" s="1">
        <v>42879</v>
      </c>
      <c r="EY1891">
        <v>2016</v>
      </c>
      <c r="EZ1891">
        <v>1685.31</v>
      </c>
      <c r="FA1891" t="s">
        <v>18560</v>
      </c>
      <c r="FB1891">
        <v>0.25</v>
      </c>
      <c r="FC1891" t="s">
        <v>424</v>
      </c>
      <c r="FD1891" t="s">
        <v>454</v>
      </c>
      <c r="FF1891">
        <v>12</v>
      </c>
      <c r="FG1891">
        <v>7400231</v>
      </c>
      <c r="FH1891" t="s">
        <v>7423</v>
      </c>
      <c r="FJ1891" s="1">
        <v>42879</v>
      </c>
      <c r="FK1891">
        <v>2016</v>
      </c>
      <c r="FL1891">
        <v>1685.31</v>
      </c>
      <c r="FM1891" t="s">
        <v>18560</v>
      </c>
      <c r="FN1891">
        <v>0.25</v>
      </c>
      <c r="FO1891" t="s">
        <v>424</v>
      </c>
      <c r="FP1891" t="s">
        <v>454</v>
      </c>
      <c r="FR1891">
        <v>12</v>
      </c>
      <c r="FS1891">
        <v>5676190</v>
      </c>
      <c r="FT1891" t="s">
        <v>18561</v>
      </c>
      <c r="FV1891" s="1">
        <v>42151</v>
      </c>
      <c r="FW1891">
        <v>2014</v>
      </c>
      <c r="FX1891">
        <v>1855.62</v>
      </c>
      <c r="FY1891" t="s">
        <v>18562</v>
      </c>
      <c r="FZ1891">
        <v>0.25</v>
      </c>
      <c r="GA1891" t="s">
        <v>424</v>
      </c>
      <c r="GB1891" t="s">
        <v>425</v>
      </c>
      <c r="GC1891" s="1">
        <v>42514</v>
      </c>
      <c r="GD1891">
        <v>12</v>
      </c>
      <c r="GE1891">
        <v>2851116</v>
      </c>
      <c r="GF1891" t="s">
        <v>480</v>
      </c>
      <c r="GH1891" s="1">
        <v>42151</v>
      </c>
      <c r="GI1891">
        <v>2014</v>
      </c>
      <c r="GJ1891">
        <v>1855.62</v>
      </c>
      <c r="GK1891" t="s">
        <v>18562</v>
      </c>
      <c r="GL1891">
        <v>0.25</v>
      </c>
      <c r="GM1891" t="s">
        <v>424</v>
      </c>
      <c r="GN1891" t="s">
        <v>425</v>
      </c>
      <c r="GP1891">
        <v>22</v>
      </c>
      <c r="GQ1891">
        <v>5099492</v>
      </c>
      <c r="GR1891" t="s">
        <v>18563</v>
      </c>
    </row>
    <row r="1892" spans="1:248" x14ac:dyDescent="0.25">
      <c r="A1892">
        <v>16486899</v>
      </c>
      <c r="B1892">
        <v>1891</v>
      </c>
      <c r="C1892" t="s">
        <v>393</v>
      </c>
      <c r="D1892" t="s">
        <v>394</v>
      </c>
      <c r="F1892" t="str">
        <f>"00-00-30-010B-0017-0120"</f>
        <v>00-00-30-010B-0017-0120</v>
      </c>
      <c r="H1892" t="str">
        <f>"HOLMES JOHN T"</f>
        <v>HOLMES JOHN T</v>
      </c>
      <c r="I1892" t="str">
        <f>"1705 LEWIS STREET"</f>
        <v>1705 LEWIS STREET</v>
      </c>
      <c r="J1892" t="str">
        <f>"FERNANDINA BEACH FL 32034"</f>
        <v>FERNANDINA BEACH FL 32034</v>
      </c>
      <c r="K1892" t="str">
        <f>"MARY AV"</f>
        <v>MARY AV</v>
      </c>
      <c r="L1892" t="str">
        <f t="shared" si="711"/>
        <v>FERNANDINA BEACH FL 32034</v>
      </c>
      <c r="M1892" t="str">
        <f>"BLOCK 17 LOT 12 IN OR 689 PG 625 AMERICAN BEACH SUB 2 PB 3/6"</f>
        <v>BLOCK 17 LOT 12 IN OR 689 PG 625 AMERICAN BEACH SUB 2 PB 3/6</v>
      </c>
      <c r="N1892" t="str">
        <f>""</f>
        <v/>
      </c>
      <c r="O1892" t="str">
        <f>"446"</f>
        <v>446</v>
      </c>
      <c r="P1892" t="str">
        <f t="shared" si="698"/>
        <v>2017</v>
      </c>
      <c r="Q1892" t="str">
        <f>""</f>
        <v/>
      </c>
      <c r="R1892" t="str">
        <f t="shared" ref="R1892:R1900" si="712">"N"</f>
        <v>N</v>
      </c>
      <c r="S1892" t="str">
        <f>""</f>
        <v/>
      </c>
      <c r="T1892" t="str">
        <f>"461.71"</f>
        <v>461.71</v>
      </c>
      <c r="U1892" t="str">
        <f>"30000.00"</f>
        <v>30000.00</v>
      </c>
      <c r="V1892" t="str">
        <f>"30000.00"</f>
        <v>30000.00</v>
      </c>
      <c r="W1892" t="str">
        <f t="shared" si="699"/>
        <v>2017</v>
      </c>
      <c r="X1892" t="str">
        <f>"16.67"</f>
        <v>16.67</v>
      </c>
      <c r="Y1892" t="str">
        <f>"507.56"</f>
        <v>507.56</v>
      </c>
      <c r="Z1892" t="str">
        <f>""</f>
        <v/>
      </c>
      <c r="AA1892" t="str">
        <f>"30000.00"</f>
        <v>30000.00</v>
      </c>
      <c r="AB1892" t="str">
        <f t="shared" si="708"/>
        <v>Residential</v>
      </c>
      <c r="AC1892" t="str">
        <f t="shared" si="710"/>
        <v>0</v>
      </c>
      <c r="AD1892" t="str">
        <f>""</f>
        <v/>
      </c>
      <c r="AE1892" t="str">
        <f>""</f>
        <v/>
      </c>
      <c r="AF1892" t="str">
        <f>"000"</f>
        <v>000</v>
      </c>
      <c r="AG1892" t="str">
        <f t="shared" si="709"/>
        <v>FL</v>
      </c>
      <c r="AH1892" t="str">
        <f t="shared" ref="AH1892:AH1898" si="713">"5000.00"</f>
        <v>5000.00</v>
      </c>
      <c r="AI1892" t="str">
        <f>"30000.00"</f>
        <v>30000.00</v>
      </c>
      <c r="AJ1892" t="str">
        <f>"C55-000-585-0355-8"</f>
        <v>C55-000-585-0355-8</v>
      </c>
      <c r="AK1892" t="str">
        <f>"38093"</f>
        <v>38093</v>
      </c>
      <c r="AL1892">
        <v>7</v>
      </c>
      <c r="AM1892">
        <v>2156</v>
      </c>
      <c r="AN1892">
        <v>531.34</v>
      </c>
      <c r="AQ1892" t="s">
        <v>18564</v>
      </c>
      <c r="AR1892" t="s">
        <v>18564</v>
      </c>
      <c r="AS1892" t="s">
        <v>18564</v>
      </c>
      <c r="AU1892" t="s">
        <v>396</v>
      </c>
      <c r="AV1892">
        <v>2017</v>
      </c>
      <c r="AW1892" t="str">
        <f>"00-00-30-010B-0017-0120 "</f>
        <v xml:space="preserve">00-00-30-010B-0017-0120 </v>
      </c>
      <c r="AZ1892" t="s">
        <v>4029</v>
      </c>
      <c r="BA1892" t="s">
        <v>1122</v>
      </c>
      <c r="BD1892" t="s">
        <v>11749</v>
      </c>
      <c r="BE1892" t="s">
        <v>393</v>
      </c>
      <c r="BF1892">
        <v>32034</v>
      </c>
      <c r="BG1892" t="s">
        <v>18565</v>
      </c>
      <c r="BH1892" t="s">
        <v>11751</v>
      </c>
      <c r="BI1892">
        <v>-81.448867703924904</v>
      </c>
      <c r="BJ1892">
        <v>30.573923712168099</v>
      </c>
      <c r="BK1892" t="s">
        <v>18558</v>
      </c>
      <c r="BM1892" t="s">
        <v>18557</v>
      </c>
      <c r="BN1892" t="s">
        <v>3983</v>
      </c>
      <c r="BO1892">
        <v>32034</v>
      </c>
      <c r="BP1892" t="s">
        <v>404</v>
      </c>
      <c r="BQ1892">
        <v>0</v>
      </c>
      <c r="BR1892" t="s">
        <v>491</v>
      </c>
      <c r="BS1892">
        <v>8001</v>
      </c>
      <c r="BT1892" t="s">
        <v>492</v>
      </c>
      <c r="BU1892">
        <v>500</v>
      </c>
      <c r="BV1892">
        <v>1000</v>
      </c>
      <c r="BW1892">
        <v>5000</v>
      </c>
      <c r="BX1892" t="s">
        <v>407</v>
      </c>
      <c r="BY1892" t="s">
        <v>7351</v>
      </c>
      <c r="CD1892">
        <v>2017</v>
      </c>
      <c r="CE1892">
        <v>30000</v>
      </c>
      <c r="CG1892">
        <v>30000</v>
      </c>
      <c r="CH1892">
        <v>2017</v>
      </c>
      <c r="CI1892">
        <v>30000</v>
      </c>
      <c r="CK1892">
        <v>30000</v>
      </c>
      <c r="CL1892">
        <v>2017</v>
      </c>
      <c r="CM1892">
        <v>461.71</v>
      </c>
      <c r="CN1892" s="1">
        <v>34240</v>
      </c>
      <c r="CO1892">
        <v>9800</v>
      </c>
      <c r="CZ1892" s="1">
        <v>34240</v>
      </c>
      <c r="DD1892" t="s">
        <v>11749</v>
      </c>
      <c r="DF1892">
        <v>12</v>
      </c>
      <c r="DG1892">
        <v>20</v>
      </c>
      <c r="DJ1892" t="s">
        <v>18414</v>
      </c>
      <c r="DL1892">
        <v>50203</v>
      </c>
      <c r="DM1892" t="s">
        <v>18307</v>
      </c>
      <c r="DO1892" t="s">
        <v>18566</v>
      </c>
      <c r="DP1892">
        <v>0</v>
      </c>
      <c r="DQ1892">
        <v>0</v>
      </c>
      <c r="DR1892" t="s">
        <v>411</v>
      </c>
      <c r="DS1892" t="b">
        <v>1</v>
      </c>
      <c r="DT1892" t="s">
        <v>470</v>
      </c>
      <c r="DU1892" t="s">
        <v>10249</v>
      </c>
      <c r="DV1892" t="s">
        <v>472</v>
      </c>
      <c r="DX1892">
        <v>-9999</v>
      </c>
      <c r="DZ1892" t="s">
        <v>447</v>
      </c>
      <c r="EA1892" t="s">
        <v>448</v>
      </c>
      <c r="EB1892" t="s">
        <v>18309</v>
      </c>
      <c r="EC1892">
        <v>20101217</v>
      </c>
      <c r="ED1892" t="s">
        <v>10251</v>
      </c>
      <c r="EE1892">
        <v>5</v>
      </c>
      <c r="EF1892">
        <v>269.8</v>
      </c>
      <c r="EG1892">
        <v>0</v>
      </c>
      <c r="EI1892">
        <v>20160407</v>
      </c>
      <c r="EJ1892">
        <v>0</v>
      </c>
      <c r="EK1892">
        <v>0</v>
      </c>
      <c r="EP1892" t="s">
        <v>421</v>
      </c>
      <c r="EQ1892" t="s">
        <v>422</v>
      </c>
      <c r="ER1892">
        <v>0</v>
      </c>
      <c r="ES1892">
        <v>2</v>
      </c>
      <c r="ET1892">
        <v>0</v>
      </c>
      <c r="EU1892">
        <v>0</v>
      </c>
      <c r="EV1892">
        <v>0</v>
      </c>
      <c r="EW1892" s="2">
        <v>43222</v>
      </c>
      <c r="EX1892" s="1">
        <v>42515</v>
      </c>
      <c r="EY1892">
        <v>2015</v>
      </c>
      <c r="EZ1892">
        <v>536.92999999999995</v>
      </c>
      <c r="FA1892" t="s">
        <v>18567</v>
      </c>
      <c r="FB1892">
        <v>0.25</v>
      </c>
      <c r="FC1892" t="s">
        <v>424</v>
      </c>
      <c r="FD1892" t="s">
        <v>425</v>
      </c>
      <c r="FE1892" s="1">
        <v>43136</v>
      </c>
      <c r="FF1892">
        <v>21</v>
      </c>
      <c r="FG1892">
        <v>305</v>
      </c>
      <c r="FH1892" t="s">
        <v>1078</v>
      </c>
      <c r="FJ1892" s="1">
        <v>42151</v>
      </c>
      <c r="FK1892">
        <v>2014</v>
      </c>
      <c r="FL1892">
        <v>539.67999999999995</v>
      </c>
      <c r="FM1892" t="s">
        <v>18568</v>
      </c>
      <c r="FN1892">
        <v>6</v>
      </c>
      <c r="FO1892" t="s">
        <v>424</v>
      </c>
      <c r="FP1892" t="s">
        <v>425</v>
      </c>
      <c r="FQ1892" s="1">
        <v>42669</v>
      </c>
      <c r="FR1892">
        <v>17</v>
      </c>
      <c r="FS1892">
        <v>10125</v>
      </c>
      <c r="FT1892" t="s">
        <v>440</v>
      </c>
    </row>
    <row r="1893" spans="1:248" x14ac:dyDescent="0.25">
      <c r="A1893">
        <v>16486900</v>
      </c>
      <c r="B1893">
        <v>1892</v>
      </c>
      <c r="C1893" t="s">
        <v>393</v>
      </c>
      <c r="D1893" t="s">
        <v>394</v>
      </c>
      <c r="F1893" t="str">
        <f>"00-00-30-010B-0018-0070"</f>
        <v>00-00-30-010B-0018-0070</v>
      </c>
      <c r="H1893" t="str">
        <f>"SMITH KEVIN B &amp; SMITH CHERYL R &amp; SMITH ROBERT L"</f>
        <v>SMITH KEVIN B &amp; SMITH CHERYL R &amp; SMITH ROBERT L</v>
      </c>
      <c r="I1893" t="str">
        <f>""</f>
        <v/>
      </c>
      <c r="J1893" t="str">
        <f>"ST MARYS GA 31558"</f>
        <v>ST MARYS GA 31558</v>
      </c>
      <c r="K1893" t="str">
        <f>"5437 LEONARD ST"</f>
        <v>5437 LEONARD ST</v>
      </c>
      <c r="L1893" t="str">
        <f t="shared" si="711"/>
        <v>FERNANDINA BEACH FL 32034</v>
      </c>
      <c r="M1893" t="str">
        <f>"BLOCK 18 LOT 7 PT OR 1318/926 AMERICAN BEACH 2 PB 3/6"</f>
        <v>BLOCK 18 LOT 7 PT OR 1318/926 AMERICAN BEACH 2 PB 3/6</v>
      </c>
      <c r="N1893" t="str">
        <f>""</f>
        <v/>
      </c>
      <c r="O1893" t="str">
        <f>"459"</f>
        <v>459</v>
      </c>
      <c r="P1893" t="str">
        <f t="shared" si="698"/>
        <v>2017</v>
      </c>
      <c r="Q1893" t="str">
        <f>""</f>
        <v/>
      </c>
      <c r="R1893" t="str">
        <f t="shared" si="712"/>
        <v>N</v>
      </c>
      <c r="S1893" t="str">
        <f>""</f>
        <v/>
      </c>
      <c r="T1893" t="str">
        <f>"1649.69"</f>
        <v>1649.69</v>
      </c>
      <c r="U1893" t="str">
        <f>"107190.00"</f>
        <v>107190.00</v>
      </c>
      <c r="V1893" t="str">
        <f>"107190.00"</f>
        <v>107190.00</v>
      </c>
      <c r="W1893" t="str">
        <f t="shared" si="699"/>
        <v>2017</v>
      </c>
      <c r="X1893" t="str">
        <f>""</f>
        <v/>
      </c>
      <c r="Y1893" t="str">
        <f>"1731.18"</f>
        <v>1731.18</v>
      </c>
      <c r="Z1893" t="str">
        <f>""</f>
        <v/>
      </c>
      <c r="AA1893" t="str">
        <f>"107190.00"</f>
        <v>107190.00</v>
      </c>
      <c r="AB1893" t="str">
        <f t="shared" si="708"/>
        <v>Residential</v>
      </c>
      <c r="AC1893" t="str">
        <f t="shared" si="710"/>
        <v>0</v>
      </c>
      <c r="AD1893" t="str">
        <f>"4"</f>
        <v>4</v>
      </c>
      <c r="AE1893" t="str">
        <f>"WOOD (INCLUDE STEEL STUDS)"</f>
        <v>WOOD (INCLUDE STEEL STUDS)</v>
      </c>
      <c r="AF1893" t="str">
        <f>"001"</f>
        <v>001</v>
      </c>
      <c r="AG1893" t="str">
        <f>"GA"</f>
        <v>GA</v>
      </c>
      <c r="AH1893" t="str">
        <f t="shared" si="713"/>
        <v>5000.00</v>
      </c>
      <c r="AI1893" t="str">
        <f t="shared" ref="AI1893:AI1898" si="714">"35000.00"</f>
        <v>35000.00</v>
      </c>
      <c r="AJ1893" t="str">
        <f>"C55-000-585-0368-1"</f>
        <v>C55-000-585-0368-1</v>
      </c>
      <c r="AK1893" t="str">
        <f>"38105"</f>
        <v>38105</v>
      </c>
      <c r="AL1893">
        <v>7</v>
      </c>
      <c r="AM1893">
        <v>2157</v>
      </c>
      <c r="AN1893">
        <v>1816.14</v>
      </c>
      <c r="AQ1893" t="s">
        <v>18569</v>
      </c>
      <c r="AR1893" t="s">
        <v>18569</v>
      </c>
      <c r="AS1893" t="s">
        <v>18569</v>
      </c>
      <c r="AU1893" t="s">
        <v>396</v>
      </c>
      <c r="AV1893">
        <v>2017</v>
      </c>
      <c r="AW1893" t="str">
        <f>"00-00-30-010B-0018-0070 "</f>
        <v xml:space="preserve">00-00-30-010B-0018-0070 </v>
      </c>
      <c r="AX1893">
        <v>5437</v>
      </c>
      <c r="AZ1893" t="s">
        <v>18538</v>
      </c>
      <c r="BA1893" t="s">
        <v>1942</v>
      </c>
      <c r="BD1893" t="s">
        <v>11749</v>
      </c>
      <c r="BE1893" t="s">
        <v>393</v>
      </c>
      <c r="BF1893">
        <v>32034</v>
      </c>
      <c r="BG1893" t="s">
        <v>18570</v>
      </c>
      <c r="BH1893" t="s">
        <v>11751</v>
      </c>
      <c r="BI1893">
        <v>-81.448579870532299</v>
      </c>
      <c r="BJ1893">
        <v>30.575277259749399</v>
      </c>
      <c r="BK1893" t="s">
        <v>18571</v>
      </c>
      <c r="BL1893" t="s">
        <v>18572</v>
      </c>
      <c r="BM1893" t="s">
        <v>18573</v>
      </c>
      <c r="BN1893" t="s">
        <v>8960</v>
      </c>
      <c r="BO1893">
        <v>31558</v>
      </c>
      <c r="BP1893" t="s">
        <v>404</v>
      </c>
      <c r="BQ1893">
        <v>100</v>
      </c>
      <c r="BR1893" t="s">
        <v>514</v>
      </c>
      <c r="BS1893">
        <v>1001</v>
      </c>
      <c r="BT1893" t="s">
        <v>515</v>
      </c>
      <c r="BU1893">
        <v>500</v>
      </c>
      <c r="BV1893">
        <v>1000</v>
      </c>
      <c r="BW1893">
        <v>5000</v>
      </c>
      <c r="BX1893" t="s">
        <v>407</v>
      </c>
      <c r="BY1893" t="s">
        <v>7351</v>
      </c>
      <c r="BZ1893">
        <v>4</v>
      </c>
      <c r="CA1893">
        <v>1986</v>
      </c>
      <c r="CB1893">
        <v>1</v>
      </c>
      <c r="CC1893">
        <v>1</v>
      </c>
      <c r="CD1893">
        <v>2017</v>
      </c>
      <c r="CE1893">
        <v>35000</v>
      </c>
      <c r="CF1893">
        <v>72190</v>
      </c>
      <c r="CG1893">
        <v>107190</v>
      </c>
      <c r="CH1893">
        <v>2017</v>
      </c>
      <c r="CI1893">
        <v>35000</v>
      </c>
      <c r="CJ1893">
        <v>72190</v>
      </c>
      <c r="CK1893">
        <v>107190</v>
      </c>
      <c r="CL1893">
        <v>2017</v>
      </c>
      <c r="CM1893">
        <v>1649.69</v>
      </c>
      <c r="CN1893" s="1">
        <v>38491</v>
      </c>
      <c r="CZ1893" s="1">
        <v>38491</v>
      </c>
      <c r="DD1893" t="s">
        <v>11749</v>
      </c>
      <c r="DF1893">
        <v>7</v>
      </c>
      <c r="DG1893">
        <v>20</v>
      </c>
      <c r="DJ1893" t="s">
        <v>18414</v>
      </c>
      <c r="DL1893">
        <v>50203</v>
      </c>
      <c r="DM1893" t="s">
        <v>18307</v>
      </c>
      <c r="DO1893" t="s">
        <v>18574</v>
      </c>
      <c r="DP1893">
        <v>0</v>
      </c>
      <c r="DQ1893">
        <v>0</v>
      </c>
      <c r="DR1893" t="s">
        <v>411</v>
      </c>
    </row>
    <row r="1894" spans="1:248" x14ac:dyDescent="0.25">
      <c r="A1894">
        <v>16486901</v>
      </c>
      <c r="B1894">
        <v>1893</v>
      </c>
      <c r="C1894" t="s">
        <v>393</v>
      </c>
      <c r="D1894" t="s">
        <v>394</v>
      </c>
      <c r="F1894" t="str">
        <f>"00-00-30-010B-0018-0090"</f>
        <v>00-00-30-010B-0018-0090</v>
      </c>
      <c r="H1894" t="str">
        <f>"GADSON ROSELLA EST"</f>
        <v>GADSON ROSELLA EST</v>
      </c>
      <c r="I1894" t="str">
        <f>"1713 LEONARD ST"</f>
        <v>1713 LEONARD ST</v>
      </c>
      <c r="J1894" t="str">
        <f>"FERNANDINA BEACH FL 32034"</f>
        <v>FERNANDINA BEACH FL 32034</v>
      </c>
      <c r="K1894" t="str">
        <f>"1713 LEONARD ST"</f>
        <v>1713 LEONARD ST</v>
      </c>
      <c r="L1894" t="str">
        <f t="shared" si="711"/>
        <v>FERNANDINA BEACH FL 32034</v>
      </c>
      <c r="M1894" t="str">
        <f>"BLOCK 18 LOT 9 IN OR 2003/1801 AMERICAN BEACH SUB 2 PB 3/6"</f>
        <v>BLOCK 18 LOT 9 IN OR 2003/1801 AMERICAN BEACH SUB 2 PB 3/6</v>
      </c>
      <c r="N1894" t="str">
        <f>""</f>
        <v/>
      </c>
      <c r="O1894" t="str">
        <f>"461"</f>
        <v>461</v>
      </c>
      <c r="P1894" t="str">
        <f t="shared" si="698"/>
        <v>2017</v>
      </c>
      <c r="Q1894" t="str">
        <f>""</f>
        <v/>
      </c>
      <c r="R1894" t="str">
        <f t="shared" si="712"/>
        <v>N</v>
      </c>
      <c r="S1894" t="str">
        <f>""</f>
        <v/>
      </c>
      <c r="T1894" t="str">
        <f>"1155.81"</f>
        <v>1155.81</v>
      </c>
      <c r="U1894" t="str">
        <f>"75099.00"</f>
        <v>75099.00</v>
      </c>
      <c r="V1894" t="str">
        <f>"75099.00"</f>
        <v>75099.00</v>
      </c>
      <c r="W1894" t="str">
        <f t="shared" si="699"/>
        <v>2017</v>
      </c>
      <c r="X1894" t="str">
        <f>""</f>
        <v/>
      </c>
      <c r="Y1894" t="str">
        <f>"1089.43"</f>
        <v>1089.43</v>
      </c>
      <c r="Z1894" t="str">
        <f>""</f>
        <v/>
      </c>
      <c r="AA1894" t="str">
        <f>"75099.00"</f>
        <v>75099.00</v>
      </c>
      <c r="AB1894" t="str">
        <f t="shared" si="708"/>
        <v>Residential</v>
      </c>
      <c r="AC1894" t="str">
        <f t="shared" si="710"/>
        <v>0</v>
      </c>
      <c r="AD1894" t="str">
        <f>"4"</f>
        <v>4</v>
      </c>
      <c r="AE1894" t="str">
        <f>"WOOD (INCLUDE STEEL STUDS)"</f>
        <v>WOOD (INCLUDE STEEL STUDS)</v>
      </c>
      <c r="AF1894" t="str">
        <f>"001"</f>
        <v>001</v>
      </c>
      <c r="AG1894" t="str">
        <f t="shared" ref="AG1894:AG1901" si="715">"FL"</f>
        <v>FL</v>
      </c>
      <c r="AH1894" t="str">
        <f t="shared" si="713"/>
        <v>5000.00</v>
      </c>
      <c r="AI1894" t="str">
        <f t="shared" si="714"/>
        <v>35000.00</v>
      </c>
      <c r="AJ1894" t="str">
        <f>"C55-000-585-0370-7"</f>
        <v>C55-000-585-0370-7</v>
      </c>
      <c r="AK1894" t="str">
        <f>"38107"</f>
        <v>38107</v>
      </c>
      <c r="AL1894">
        <v>7</v>
      </c>
      <c r="AM1894">
        <v>2158</v>
      </c>
      <c r="AN1894">
        <v>1142.3</v>
      </c>
      <c r="AQ1894" t="s">
        <v>18575</v>
      </c>
      <c r="AR1894" t="s">
        <v>18575</v>
      </c>
      <c r="AS1894" t="s">
        <v>18575</v>
      </c>
      <c r="AU1894" t="s">
        <v>396</v>
      </c>
      <c r="AV1894">
        <v>2017</v>
      </c>
      <c r="AW1894" t="str">
        <f>"00-00-30-010B-0018-0090 "</f>
        <v xml:space="preserve">00-00-30-010B-0018-0090 </v>
      </c>
      <c r="AX1894">
        <v>1713</v>
      </c>
      <c r="AZ1894" t="s">
        <v>18538</v>
      </c>
      <c r="BA1894" t="s">
        <v>1942</v>
      </c>
      <c r="BD1894" t="s">
        <v>11749</v>
      </c>
      <c r="BE1894" t="s">
        <v>393</v>
      </c>
      <c r="BF1894">
        <v>32034</v>
      </c>
      <c r="BG1894" t="s">
        <v>18576</v>
      </c>
      <c r="BH1894" t="s">
        <v>11751</v>
      </c>
      <c r="BI1894">
        <v>-81.448573884286304</v>
      </c>
      <c r="BJ1894">
        <v>30.575002485513899</v>
      </c>
      <c r="BK1894" t="s">
        <v>18577</v>
      </c>
      <c r="BM1894" t="s">
        <v>18576</v>
      </c>
      <c r="BN1894" t="s">
        <v>3983</v>
      </c>
      <c r="BO1894">
        <v>32034</v>
      </c>
      <c r="BP1894" t="s">
        <v>416</v>
      </c>
      <c r="BQ1894">
        <v>100</v>
      </c>
      <c r="BR1894" t="s">
        <v>514</v>
      </c>
      <c r="BS1894">
        <v>1001</v>
      </c>
      <c r="BT1894" t="s">
        <v>515</v>
      </c>
      <c r="BU1894">
        <v>500</v>
      </c>
      <c r="BV1894">
        <v>1000</v>
      </c>
      <c r="BW1894">
        <v>4990</v>
      </c>
      <c r="BX1894" t="s">
        <v>407</v>
      </c>
      <c r="BY1894" t="s">
        <v>7351</v>
      </c>
      <c r="BZ1894">
        <v>4</v>
      </c>
      <c r="CA1894">
        <v>1955</v>
      </c>
      <c r="CB1894">
        <v>1</v>
      </c>
      <c r="CC1894">
        <v>1</v>
      </c>
      <c r="CD1894">
        <v>2017</v>
      </c>
      <c r="CE1894">
        <v>35000</v>
      </c>
      <c r="CF1894">
        <v>40099</v>
      </c>
      <c r="CG1894">
        <v>75099</v>
      </c>
      <c r="CH1894">
        <v>2017</v>
      </c>
      <c r="CI1894">
        <v>35000</v>
      </c>
      <c r="CJ1894">
        <v>40099</v>
      </c>
      <c r="CK1894">
        <v>75099</v>
      </c>
      <c r="CL1894">
        <v>2017</v>
      </c>
      <c r="CM1894">
        <v>1155.81</v>
      </c>
      <c r="CN1894" s="1">
        <v>42243</v>
      </c>
      <c r="CZ1894" s="1">
        <v>42243</v>
      </c>
      <c r="DD1894" t="s">
        <v>11749</v>
      </c>
      <c r="DF1894">
        <v>9</v>
      </c>
      <c r="DG1894">
        <v>20</v>
      </c>
      <c r="DJ1894" t="s">
        <v>18414</v>
      </c>
      <c r="DL1894">
        <v>50203</v>
      </c>
      <c r="DM1894" t="s">
        <v>18307</v>
      </c>
      <c r="DO1894" t="s">
        <v>18578</v>
      </c>
      <c r="DP1894">
        <v>0</v>
      </c>
      <c r="DQ1894">
        <v>0</v>
      </c>
      <c r="DR1894" t="s">
        <v>411</v>
      </c>
    </row>
    <row r="1895" spans="1:248" x14ac:dyDescent="0.25">
      <c r="A1895">
        <v>16486902</v>
      </c>
      <c r="B1895">
        <v>1894</v>
      </c>
      <c r="C1895" t="s">
        <v>393</v>
      </c>
      <c r="D1895" t="s">
        <v>394</v>
      </c>
      <c r="F1895" t="str">
        <f>"00-00-30-010B-0018-0130"</f>
        <v>00-00-30-010B-0018-0130</v>
      </c>
      <c r="H1895" t="str">
        <f>"NISSEN NATHANIEL P"</f>
        <v>NISSEN NATHANIEL P</v>
      </c>
      <c r="I1895" t="str">
        <f>"5304 SHORE DR"</f>
        <v>5304 SHORE DR</v>
      </c>
      <c r="J1895" t="str">
        <f>"ST AUGUSTINE FL 32086"</f>
        <v>ST AUGUSTINE FL 32086</v>
      </c>
      <c r="K1895" t="str">
        <f>"MARY AV"</f>
        <v>MARY AV</v>
      </c>
      <c r="L1895" t="str">
        <f t="shared" si="711"/>
        <v>FERNANDINA BEACH FL 32034</v>
      </c>
      <c r="M1895" t="str">
        <f>"BLOCK 18 LOT 13 IN OR 1973/889 AMERICAN BEACH 2 PB 3/6"</f>
        <v>BLOCK 18 LOT 13 IN OR 1973/889 AMERICAN BEACH 2 PB 3/6</v>
      </c>
      <c r="N1895" t="str">
        <f>""</f>
        <v/>
      </c>
      <c r="O1895" t="str">
        <f>"464"</f>
        <v>464</v>
      </c>
      <c r="P1895" t="str">
        <f t="shared" si="698"/>
        <v>2017</v>
      </c>
      <c r="Q1895" t="str">
        <f>""</f>
        <v/>
      </c>
      <c r="R1895" t="str">
        <f t="shared" si="712"/>
        <v>N</v>
      </c>
      <c r="S1895" t="str">
        <f>""</f>
        <v/>
      </c>
      <c r="T1895" t="str">
        <f>"538.66"</f>
        <v>538.66</v>
      </c>
      <c r="U1895" t="str">
        <f>"35000.00"</f>
        <v>35000.00</v>
      </c>
      <c r="V1895" t="str">
        <f>"35000.00"</f>
        <v>35000.00</v>
      </c>
      <c r="W1895" t="str">
        <f t="shared" si="699"/>
        <v>2017</v>
      </c>
      <c r="X1895" t="str">
        <f>"22.20"</f>
        <v>22.20</v>
      </c>
      <c r="Y1895" t="str">
        <f>"586.82"</f>
        <v>586.82</v>
      </c>
      <c r="Z1895" t="str">
        <f>""</f>
        <v/>
      </c>
      <c r="AA1895" t="str">
        <f>"35000.00"</f>
        <v>35000.00</v>
      </c>
      <c r="AB1895" t="str">
        <f t="shared" si="708"/>
        <v>Residential</v>
      </c>
      <c r="AC1895" t="str">
        <f t="shared" si="710"/>
        <v>0</v>
      </c>
      <c r="AD1895" t="str">
        <f>""</f>
        <v/>
      </c>
      <c r="AE1895" t="str">
        <f>""</f>
        <v/>
      </c>
      <c r="AF1895" t="str">
        <f t="shared" ref="AF1895:AF1900" si="716">"000"</f>
        <v>000</v>
      </c>
      <c r="AG1895" t="str">
        <f t="shared" si="715"/>
        <v>FL</v>
      </c>
      <c r="AH1895" t="str">
        <f t="shared" si="713"/>
        <v>5000.00</v>
      </c>
      <c r="AI1895" t="str">
        <f t="shared" si="714"/>
        <v>35000.00</v>
      </c>
      <c r="AJ1895" t="str">
        <f>"C55-000-585-0373-1"</f>
        <v>C55-000-585-0373-1</v>
      </c>
      <c r="AK1895" t="str">
        <f>"38110"</f>
        <v>38110</v>
      </c>
      <c r="AL1895">
        <v>7</v>
      </c>
      <c r="AM1895">
        <v>2159</v>
      </c>
      <c r="AN1895">
        <v>614.55999999999995</v>
      </c>
      <c r="AQ1895" t="s">
        <v>18579</v>
      </c>
      <c r="AR1895" t="s">
        <v>18579</v>
      </c>
      <c r="AS1895" t="s">
        <v>18579</v>
      </c>
      <c r="AU1895" t="s">
        <v>396</v>
      </c>
      <c r="AV1895">
        <v>2017</v>
      </c>
      <c r="AW1895" t="str">
        <f>"00-00-30-010B-0018-0130 "</f>
        <v xml:space="preserve">00-00-30-010B-0018-0130 </v>
      </c>
      <c r="AZ1895" t="s">
        <v>4029</v>
      </c>
      <c r="BA1895" t="s">
        <v>1122</v>
      </c>
      <c r="BD1895" t="s">
        <v>11749</v>
      </c>
      <c r="BE1895" t="s">
        <v>393</v>
      </c>
      <c r="BF1895">
        <v>32034</v>
      </c>
      <c r="BG1895" t="s">
        <v>18565</v>
      </c>
      <c r="BH1895" t="s">
        <v>11751</v>
      </c>
      <c r="BI1895">
        <v>-81.4489005895812</v>
      </c>
      <c r="BJ1895">
        <v>30.575408170194901</v>
      </c>
      <c r="BK1895" t="s">
        <v>18580</v>
      </c>
      <c r="BM1895" t="s">
        <v>18581</v>
      </c>
      <c r="BN1895" t="s">
        <v>2756</v>
      </c>
      <c r="BO1895">
        <v>32086</v>
      </c>
      <c r="BP1895" t="s">
        <v>404</v>
      </c>
      <c r="BQ1895">
        <v>0</v>
      </c>
      <c r="BR1895" t="s">
        <v>491</v>
      </c>
      <c r="BS1895">
        <v>8001</v>
      </c>
      <c r="BT1895" t="s">
        <v>492</v>
      </c>
      <c r="BU1895">
        <v>500</v>
      </c>
      <c r="BV1895">
        <v>1000</v>
      </c>
      <c r="BW1895">
        <v>5001</v>
      </c>
      <c r="BX1895" t="s">
        <v>407</v>
      </c>
      <c r="BY1895" t="s">
        <v>7351</v>
      </c>
      <c r="CD1895">
        <v>2017</v>
      </c>
      <c r="CE1895">
        <v>35000</v>
      </c>
      <c r="CG1895">
        <v>35000</v>
      </c>
      <c r="CH1895">
        <v>2017</v>
      </c>
      <c r="CI1895">
        <v>35000</v>
      </c>
      <c r="CK1895">
        <v>35000</v>
      </c>
      <c r="CL1895">
        <v>2017</v>
      </c>
      <c r="CM1895">
        <v>538.66</v>
      </c>
      <c r="CN1895" s="1">
        <v>42107</v>
      </c>
      <c r="CO1895">
        <v>49500</v>
      </c>
      <c r="CV1895">
        <v>0</v>
      </c>
      <c r="CZ1895" s="1">
        <v>42107</v>
      </c>
      <c r="DA1895">
        <v>0</v>
      </c>
      <c r="DD1895" t="s">
        <v>11749</v>
      </c>
      <c r="DF1895">
        <v>13</v>
      </c>
      <c r="DG1895">
        <v>20</v>
      </c>
      <c r="DJ1895" t="s">
        <v>18414</v>
      </c>
      <c r="DL1895">
        <v>50203</v>
      </c>
      <c r="DM1895" t="s">
        <v>18307</v>
      </c>
      <c r="DO1895" t="s">
        <v>18582</v>
      </c>
      <c r="DP1895">
        <v>0</v>
      </c>
      <c r="DQ1895">
        <v>0</v>
      </c>
      <c r="DR1895" t="s">
        <v>411</v>
      </c>
      <c r="EP1895" t="s">
        <v>421</v>
      </c>
      <c r="EQ1895" t="s">
        <v>422</v>
      </c>
      <c r="ER1895">
        <v>2</v>
      </c>
      <c r="ES1895">
        <v>5</v>
      </c>
      <c r="ET1895">
        <v>1235.8800000000001</v>
      </c>
      <c r="EU1895">
        <v>74.290000000000006</v>
      </c>
      <c r="EV1895">
        <v>1310.17</v>
      </c>
      <c r="EW1895" s="2">
        <v>43222</v>
      </c>
      <c r="EX1895" s="1">
        <v>42879</v>
      </c>
      <c r="EY1895">
        <v>2016</v>
      </c>
      <c r="EZ1895">
        <v>617.94000000000005</v>
      </c>
      <c r="FA1895" t="s">
        <v>18583</v>
      </c>
      <c r="FB1895">
        <v>0.25</v>
      </c>
      <c r="FC1895" t="s">
        <v>424</v>
      </c>
      <c r="FD1895" t="s">
        <v>454</v>
      </c>
      <c r="FF1895">
        <v>12</v>
      </c>
      <c r="FG1895">
        <v>2851116</v>
      </c>
      <c r="FH1895" t="s">
        <v>480</v>
      </c>
      <c r="FJ1895" s="1">
        <v>42879</v>
      </c>
      <c r="FK1895">
        <v>2016</v>
      </c>
      <c r="FL1895">
        <v>617.94000000000005</v>
      </c>
      <c r="FM1895" t="s">
        <v>18583</v>
      </c>
      <c r="FN1895">
        <v>0.25</v>
      </c>
      <c r="FO1895" t="s">
        <v>424</v>
      </c>
      <c r="FP1895" t="s">
        <v>454</v>
      </c>
      <c r="FR1895">
        <v>12</v>
      </c>
      <c r="FS1895">
        <v>5073274</v>
      </c>
      <c r="FT1895" t="s">
        <v>18584</v>
      </c>
      <c r="FV1895" s="1">
        <v>41787</v>
      </c>
      <c r="FW1895">
        <v>2013</v>
      </c>
      <c r="FX1895">
        <v>838.85</v>
      </c>
      <c r="FY1895" t="s">
        <v>18585</v>
      </c>
      <c r="FZ1895">
        <v>0.25</v>
      </c>
      <c r="GA1895" t="s">
        <v>424</v>
      </c>
      <c r="GB1895" t="s">
        <v>425</v>
      </c>
      <c r="GC1895" s="1">
        <v>42104</v>
      </c>
      <c r="GD1895">
        <v>11</v>
      </c>
      <c r="GE1895">
        <v>2407503</v>
      </c>
      <c r="GF1895" t="s">
        <v>461</v>
      </c>
      <c r="GH1895" s="1">
        <v>41423</v>
      </c>
      <c r="GI1895">
        <v>2012</v>
      </c>
      <c r="GJ1895">
        <v>848.85</v>
      </c>
      <c r="GK1895" t="s">
        <v>18586</v>
      </c>
      <c r="GL1895">
        <v>3.75</v>
      </c>
      <c r="GM1895" t="s">
        <v>424</v>
      </c>
      <c r="GN1895" t="s">
        <v>425</v>
      </c>
      <c r="GO1895" s="1">
        <v>42060</v>
      </c>
      <c r="GP1895">
        <v>21</v>
      </c>
      <c r="GQ1895">
        <v>1625515</v>
      </c>
      <c r="GR1895" t="s">
        <v>487</v>
      </c>
      <c r="GT1895" s="1">
        <v>41052</v>
      </c>
      <c r="GU1895">
        <v>2011</v>
      </c>
      <c r="GV1895">
        <v>1224.6300000000001</v>
      </c>
      <c r="GW1895" t="s">
        <v>18587</v>
      </c>
      <c r="GX1895">
        <v>7.5</v>
      </c>
      <c r="GY1895" t="s">
        <v>424</v>
      </c>
      <c r="GZ1895" t="s">
        <v>425</v>
      </c>
      <c r="HA1895" s="1">
        <v>41698</v>
      </c>
      <c r="HB1895">
        <v>21</v>
      </c>
      <c r="HC1895">
        <v>1625515</v>
      </c>
      <c r="HD1895" t="s">
        <v>487</v>
      </c>
      <c r="HF1895" s="1">
        <v>41052</v>
      </c>
      <c r="HG1895">
        <v>2011</v>
      </c>
      <c r="HH1895">
        <v>1224.6300000000001</v>
      </c>
      <c r="HI1895" t="s">
        <v>18587</v>
      </c>
      <c r="HJ1895">
        <v>7.5</v>
      </c>
      <c r="HK1895" t="s">
        <v>424</v>
      </c>
      <c r="HL1895" t="s">
        <v>425</v>
      </c>
      <c r="HN1895">
        <v>22</v>
      </c>
      <c r="HO1895">
        <v>10579</v>
      </c>
      <c r="HP1895" t="s">
        <v>488</v>
      </c>
      <c r="HR1895" s="1">
        <v>40688</v>
      </c>
      <c r="HS1895">
        <v>2010</v>
      </c>
      <c r="HT1895">
        <v>1364.79</v>
      </c>
      <c r="HU1895" t="s">
        <v>18588</v>
      </c>
      <c r="HV1895">
        <v>6.75</v>
      </c>
      <c r="HW1895" t="s">
        <v>424</v>
      </c>
      <c r="HX1895" t="s">
        <v>425</v>
      </c>
      <c r="HY1895" s="1">
        <v>41030</v>
      </c>
      <c r="HZ1895">
        <v>12</v>
      </c>
      <c r="IA1895">
        <v>10579</v>
      </c>
      <c r="IB1895" t="s">
        <v>488</v>
      </c>
    </row>
    <row r="1896" spans="1:248" x14ac:dyDescent="0.25">
      <c r="A1896">
        <v>16486903</v>
      </c>
      <c r="B1896">
        <v>1895</v>
      </c>
      <c r="C1896" t="s">
        <v>393</v>
      </c>
      <c r="D1896" t="s">
        <v>394</v>
      </c>
      <c r="F1896" t="str">
        <f>"00-00-30-010B-0018-0140"</f>
        <v>00-00-30-010B-0018-0140</v>
      </c>
      <c r="H1896" t="str">
        <f>"TRUE BLUE VENTURES LLC"</f>
        <v>TRUE BLUE VENTURES LLC</v>
      </c>
      <c r="I1896" t="str">
        <f>"2344 FORBES ST"</f>
        <v>2344 FORBES ST</v>
      </c>
      <c r="J1896" t="str">
        <f>"JACKSONVILLE FL 32204"</f>
        <v>JACKSONVILLE FL 32204</v>
      </c>
      <c r="K1896" t="str">
        <f>"MARY AV"</f>
        <v>MARY AV</v>
      </c>
      <c r="L1896" t="str">
        <f t="shared" si="711"/>
        <v>FERNANDINA BEACH FL 32034</v>
      </c>
      <c r="M1896" t="str">
        <f>"BLOCK 18 LOT 14 PT OR 1863/1036 AMERICAN BEACH SUB 2 PB 3/6"</f>
        <v>BLOCK 18 LOT 14 PT OR 1863/1036 AMERICAN BEACH SUB 2 PB 3/6</v>
      </c>
      <c r="N1896" t="str">
        <f>""</f>
        <v/>
      </c>
      <c r="O1896" t="str">
        <f>"465"</f>
        <v>465</v>
      </c>
      <c r="P1896" t="str">
        <f t="shared" si="698"/>
        <v>2017</v>
      </c>
      <c r="Q1896" t="str">
        <f>""</f>
        <v/>
      </c>
      <c r="R1896" t="str">
        <f t="shared" si="712"/>
        <v>N</v>
      </c>
      <c r="S1896" t="str">
        <f>""</f>
        <v/>
      </c>
      <c r="T1896" t="str">
        <f>"494.26"</f>
        <v>494.26</v>
      </c>
      <c r="U1896" t="str">
        <f t="shared" ref="U1896:V1898" si="717">"29948.00"</f>
        <v>29948.00</v>
      </c>
      <c r="V1896" t="str">
        <f t="shared" si="717"/>
        <v>29948.00</v>
      </c>
      <c r="W1896" t="str">
        <f t="shared" si="699"/>
        <v>2017</v>
      </c>
      <c r="X1896" t="str">
        <f>"17.00"</f>
        <v>17.00</v>
      </c>
      <c r="Y1896" t="str">
        <f>"541.09"</f>
        <v>541.09</v>
      </c>
      <c r="Z1896" t="str">
        <f>""</f>
        <v/>
      </c>
      <c r="AA1896" t="str">
        <f>"35000.00"</f>
        <v>35000.00</v>
      </c>
      <c r="AB1896" t="str">
        <f t="shared" si="708"/>
        <v>Residential</v>
      </c>
      <c r="AC1896" t="str">
        <f t="shared" si="710"/>
        <v>0</v>
      </c>
      <c r="AD1896" t="str">
        <f>""</f>
        <v/>
      </c>
      <c r="AE1896" t="str">
        <f>""</f>
        <v/>
      </c>
      <c r="AF1896" t="str">
        <f t="shared" si="716"/>
        <v>000</v>
      </c>
      <c r="AG1896" t="str">
        <f t="shared" si="715"/>
        <v>FL</v>
      </c>
      <c r="AH1896" t="str">
        <f t="shared" si="713"/>
        <v>5000.00</v>
      </c>
      <c r="AI1896" t="str">
        <f t="shared" si="714"/>
        <v>35000.00</v>
      </c>
      <c r="AJ1896" t="str">
        <f>"C55-000-585-0374-9"</f>
        <v>C55-000-585-0374-9</v>
      </c>
      <c r="AK1896" t="str">
        <f>"38111"</f>
        <v>38111</v>
      </c>
      <c r="AL1896">
        <v>7</v>
      </c>
      <c r="AM1896">
        <v>2160</v>
      </c>
      <c r="AN1896">
        <v>566.54</v>
      </c>
      <c r="AQ1896" t="s">
        <v>18589</v>
      </c>
      <c r="AR1896" t="s">
        <v>18589</v>
      </c>
      <c r="AS1896" t="s">
        <v>18589</v>
      </c>
      <c r="AU1896" t="s">
        <v>396</v>
      </c>
      <c r="AV1896">
        <v>2017</v>
      </c>
      <c r="AW1896" t="str">
        <f>"00-00-30-010B-0018-0140 "</f>
        <v xml:space="preserve">00-00-30-010B-0018-0140 </v>
      </c>
      <c r="AZ1896" t="s">
        <v>4029</v>
      </c>
      <c r="BA1896" t="s">
        <v>1122</v>
      </c>
      <c r="BD1896" t="s">
        <v>11749</v>
      </c>
      <c r="BE1896" t="s">
        <v>393</v>
      </c>
      <c r="BF1896">
        <v>32034</v>
      </c>
      <c r="BG1896" t="s">
        <v>18565</v>
      </c>
      <c r="BH1896" t="s">
        <v>11751</v>
      </c>
      <c r="BI1896">
        <v>-81.448903621617404</v>
      </c>
      <c r="BJ1896">
        <v>30.575545617343199</v>
      </c>
      <c r="BK1896" t="s">
        <v>18508</v>
      </c>
      <c r="BM1896" t="s">
        <v>18509</v>
      </c>
      <c r="BN1896" t="s">
        <v>548</v>
      </c>
      <c r="BO1896">
        <v>32204</v>
      </c>
      <c r="BP1896" t="s">
        <v>404</v>
      </c>
      <c r="BQ1896">
        <v>0</v>
      </c>
      <c r="BR1896" t="s">
        <v>491</v>
      </c>
      <c r="BS1896">
        <v>8001</v>
      </c>
      <c r="BT1896" t="s">
        <v>492</v>
      </c>
      <c r="BU1896">
        <v>500</v>
      </c>
      <c r="BV1896">
        <v>1000</v>
      </c>
      <c r="BW1896">
        <v>5000</v>
      </c>
      <c r="BX1896" t="s">
        <v>407</v>
      </c>
      <c r="BY1896" t="s">
        <v>7351</v>
      </c>
      <c r="CD1896">
        <v>2017</v>
      </c>
      <c r="CE1896">
        <v>35000</v>
      </c>
      <c r="CG1896">
        <v>35000</v>
      </c>
      <c r="CH1896">
        <v>2017</v>
      </c>
      <c r="CI1896">
        <v>35000</v>
      </c>
      <c r="CK1896">
        <v>35000</v>
      </c>
      <c r="CL1896">
        <v>2017</v>
      </c>
      <c r="CM1896">
        <v>494.26</v>
      </c>
      <c r="CN1896" s="1">
        <v>41446</v>
      </c>
      <c r="CO1896">
        <v>51000</v>
      </c>
      <c r="CZ1896" s="1">
        <v>41446</v>
      </c>
      <c r="DD1896" t="s">
        <v>11749</v>
      </c>
      <c r="DF1896">
        <v>14</v>
      </c>
      <c r="DG1896">
        <v>20</v>
      </c>
      <c r="DJ1896" t="s">
        <v>18414</v>
      </c>
      <c r="DL1896">
        <v>50203</v>
      </c>
      <c r="DM1896" t="s">
        <v>18307</v>
      </c>
      <c r="DO1896" t="s">
        <v>18590</v>
      </c>
      <c r="DP1896">
        <v>0</v>
      </c>
      <c r="DQ1896">
        <v>0</v>
      </c>
      <c r="DR1896" t="s">
        <v>411</v>
      </c>
      <c r="EP1896" t="s">
        <v>421</v>
      </c>
      <c r="EQ1896" t="s">
        <v>422</v>
      </c>
      <c r="ER1896">
        <v>0</v>
      </c>
      <c r="ES1896">
        <v>2</v>
      </c>
      <c r="ET1896">
        <v>0</v>
      </c>
      <c r="EU1896">
        <v>0</v>
      </c>
      <c r="EV1896">
        <v>0</v>
      </c>
      <c r="EW1896" s="2">
        <v>43222</v>
      </c>
      <c r="EX1896" s="1">
        <v>41052</v>
      </c>
      <c r="EY1896">
        <v>2011</v>
      </c>
      <c r="EZ1896">
        <v>921.99</v>
      </c>
      <c r="FA1896" t="s">
        <v>18591</v>
      </c>
      <c r="FB1896">
        <v>7.25</v>
      </c>
      <c r="FC1896" t="s">
        <v>424</v>
      </c>
      <c r="FD1896" t="s">
        <v>425</v>
      </c>
      <c r="FE1896" s="1">
        <v>41386</v>
      </c>
      <c r="FF1896">
        <v>11</v>
      </c>
      <c r="FG1896">
        <v>318</v>
      </c>
      <c r="FH1896" t="s">
        <v>1083</v>
      </c>
      <c r="FJ1896" s="1">
        <v>40688</v>
      </c>
      <c r="FK1896">
        <v>2010</v>
      </c>
      <c r="FL1896">
        <v>1026.8399999999999</v>
      </c>
      <c r="FM1896" t="s">
        <v>18592</v>
      </c>
      <c r="FN1896">
        <v>6.75</v>
      </c>
      <c r="FO1896" t="s">
        <v>424</v>
      </c>
      <c r="FP1896" t="s">
        <v>425</v>
      </c>
      <c r="FQ1896" s="1">
        <v>41386</v>
      </c>
      <c r="FR1896">
        <v>23</v>
      </c>
      <c r="FS1896">
        <v>10579</v>
      </c>
      <c r="FT1896" t="s">
        <v>488</v>
      </c>
    </row>
    <row r="1897" spans="1:248" x14ac:dyDescent="0.25">
      <c r="A1897">
        <v>16486904</v>
      </c>
      <c r="B1897">
        <v>1896</v>
      </c>
      <c r="C1897" t="s">
        <v>393</v>
      </c>
      <c r="D1897" t="s">
        <v>394</v>
      </c>
      <c r="F1897" t="str">
        <f>"00-00-30-010B-0018-0150"</f>
        <v>00-00-30-010B-0018-0150</v>
      </c>
      <c r="H1897" t="str">
        <f>"TRUE BLUE VENTURES LLC"</f>
        <v>TRUE BLUE VENTURES LLC</v>
      </c>
      <c r="I1897" t="str">
        <f>"2344 FORBES ST"</f>
        <v>2344 FORBES ST</v>
      </c>
      <c r="J1897" t="str">
        <f>"JACKSONVILLE FL 32204"</f>
        <v>JACKSONVILLE FL 32204</v>
      </c>
      <c r="K1897" t="str">
        <f>"MARY AV"</f>
        <v>MARY AV</v>
      </c>
      <c r="L1897" t="str">
        <f t="shared" si="711"/>
        <v>FERNANDINA BEACH FL 32034</v>
      </c>
      <c r="M1897" t="str">
        <f>"BLOCK 18 LOT 15 PT OR 1863/1036 AMERICAN BEACH SUB 2 PB 3/6"</f>
        <v>BLOCK 18 LOT 15 PT OR 1863/1036 AMERICAN BEACH SUB 2 PB 3/6</v>
      </c>
      <c r="N1897" t="str">
        <f>""</f>
        <v/>
      </c>
      <c r="O1897" t="str">
        <f>"466"</f>
        <v>466</v>
      </c>
      <c r="P1897" t="str">
        <f t="shared" si="698"/>
        <v>2017</v>
      </c>
      <c r="Q1897" t="str">
        <f>""</f>
        <v/>
      </c>
      <c r="R1897" t="str">
        <f t="shared" si="712"/>
        <v>N</v>
      </c>
      <c r="S1897" t="str">
        <f>""</f>
        <v/>
      </c>
      <c r="T1897" t="str">
        <f>"494.26"</f>
        <v>494.26</v>
      </c>
      <c r="U1897" t="str">
        <f t="shared" si="717"/>
        <v>29948.00</v>
      </c>
      <c r="V1897" t="str">
        <f t="shared" si="717"/>
        <v>29948.00</v>
      </c>
      <c r="W1897" t="str">
        <f t="shared" si="699"/>
        <v>2017</v>
      </c>
      <c r="X1897" t="str">
        <f>"17.00"</f>
        <v>17.00</v>
      </c>
      <c r="Y1897" t="str">
        <f>"541.09"</f>
        <v>541.09</v>
      </c>
      <c r="Z1897" t="str">
        <f>""</f>
        <v/>
      </c>
      <c r="AA1897" t="str">
        <f>"35000.00"</f>
        <v>35000.00</v>
      </c>
      <c r="AB1897" t="str">
        <f t="shared" si="708"/>
        <v>Residential</v>
      </c>
      <c r="AC1897" t="str">
        <f t="shared" si="710"/>
        <v>0</v>
      </c>
      <c r="AD1897" t="str">
        <f>""</f>
        <v/>
      </c>
      <c r="AE1897" t="str">
        <f>""</f>
        <v/>
      </c>
      <c r="AF1897" t="str">
        <f t="shared" si="716"/>
        <v>000</v>
      </c>
      <c r="AG1897" t="str">
        <f t="shared" si="715"/>
        <v>FL</v>
      </c>
      <c r="AH1897" t="str">
        <f t="shared" si="713"/>
        <v>5000.00</v>
      </c>
      <c r="AI1897" t="str">
        <f t="shared" si="714"/>
        <v>35000.00</v>
      </c>
      <c r="AJ1897" t="str">
        <f>"C55-000-585-0375-6"</f>
        <v>C55-000-585-0375-6</v>
      </c>
      <c r="AK1897" t="str">
        <f>"38112"</f>
        <v>38112</v>
      </c>
      <c r="AL1897">
        <v>7</v>
      </c>
      <c r="AM1897">
        <v>2161</v>
      </c>
      <c r="AN1897">
        <v>566.54</v>
      </c>
      <c r="AQ1897" t="s">
        <v>18593</v>
      </c>
      <c r="AR1897" t="s">
        <v>18593</v>
      </c>
      <c r="AS1897" t="s">
        <v>18593</v>
      </c>
      <c r="AU1897" t="s">
        <v>396</v>
      </c>
      <c r="AV1897">
        <v>2017</v>
      </c>
      <c r="AW1897" t="str">
        <f>"00-00-30-010B-0018-0150 "</f>
        <v xml:space="preserve">00-00-30-010B-0018-0150 </v>
      </c>
      <c r="AZ1897" t="s">
        <v>4029</v>
      </c>
      <c r="BA1897" t="s">
        <v>1122</v>
      </c>
      <c r="BD1897" t="s">
        <v>11749</v>
      </c>
      <c r="BE1897" t="s">
        <v>393</v>
      </c>
      <c r="BF1897">
        <v>32034</v>
      </c>
      <c r="BG1897" t="s">
        <v>18565</v>
      </c>
      <c r="BH1897" t="s">
        <v>11751</v>
      </c>
      <c r="BI1897">
        <v>-81.448906662938697</v>
      </c>
      <c r="BJ1897">
        <v>30.575683068723901</v>
      </c>
      <c r="BK1897" t="s">
        <v>18508</v>
      </c>
      <c r="BM1897" t="s">
        <v>18509</v>
      </c>
      <c r="BN1897" t="s">
        <v>548</v>
      </c>
      <c r="BO1897">
        <v>32204</v>
      </c>
      <c r="BP1897" t="s">
        <v>404</v>
      </c>
      <c r="BQ1897">
        <v>0</v>
      </c>
      <c r="BR1897" t="s">
        <v>491</v>
      </c>
      <c r="BS1897">
        <v>8001</v>
      </c>
      <c r="BT1897" t="s">
        <v>492</v>
      </c>
      <c r="BU1897">
        <v>500</v>
      </c>
      <c r="BV1897">
        <v>1000</v>
      </c>
      <c r="BW1897">
        <v>5001</v>
      </c>
      <c r="BX1897" t="s">
        <v>407</v>
      </c>
      <c r="BY1897" t="s">
        <v>7351</v>
      </c>
      <c r="CD1897">
        <v>2017</v>
      </c>
      <c r="CE1897">
        <v>35000</v>
      </c>
      <c r="CG1897">
        <v>35000</v>
      </c>
      <c r="CH1897">
        <v>2017</v>
      </c>
      <c r="CI1897">
        <v>35000</v>
      </c>
      <c r="CK1897">
        <v>35000</v>
      </c>
      <c r="CL1897">
        <v>2017</v>
      </c>
      <c r="CM1897">
        <v>494.26</v>
      </c>
      <c r="CN1897" s="1">
        <v>41446</v>
      </c>
      <c r="CO1897">
        <v>51000</v>
      </c>
      <c r="CZ1897" s="1">
        <v>41446</v>
      </c>
      <c r="DD1897" t="s">
        <v>11749</v>
      </c>
      <c r="DF1897">
        <v>15</v>
      </c>
      <c r="DG1897">
        <v>20</v>
      </c>
      <c r="DJ1897" t="s">
        <v>18414</v>
      </c>
      <c r="DL1897">
        <v>50203</v>
      </c>
      <c r="DM1897" t="s">
        <v>18307</v>
      </c>
      <c r="DO1897" t="s">
        <v>18594</v>
      </c>
      <c r="DP1897">
        <v>0</v>
      </c>
      <c r="DQ1897">
        <v>0</v>
      </c>
      <c r="DR1897" t="s">
        <v>411</v>
      </c>
      <c r="EP1897" t="s">
        <v>421</v>
      </c>
      <c r="EQ1897" t="s">
        <v>422</v>
      </c>
      <c r="ER1897">
        <v>0</v>
      </c>
      <c r="ES1897">
        <v>2</v>
      </c>
      <c r="ET1897">
        <v>0</v>
      </c>
      <c r="EU1897">
        <v>0</v>
      </c>
      <c r="EV1897">
        <v>0</v>
      </c>
      <c r="EW1897" s="2">
        <v>43222</v>
      </c>
      <c r="EX1897" s="1">
        <v>41052</v>
      </c>
      <c r="EY1897">
        <v>2011</v>
      </c>
      <c r="EZ1897">
        <v>921.99</v>
      </c>
      <c r="FA1897" t="s">
        <v>18595</v>
      </c>
      <c r="FB1897">
        <v>7.25</v>
      </c>
      <c r="FC1897" t="s">
        <v>424</v>
      </c>
      <c r="FD1897" t="s">
        <v>425</v>
      </c>
      <c r="FE1897" s="1">
        <v>41386</v>
      </c>
      <c r="FF1897">
        <v>11</v>
      </c>
      <c r="FG1897">
        <v>318</v>
      </c>
      <c r="FH1897" t="s">
        <v>1083</v>
      </c>
      <c r="FJ1897" s="1">
        <v>40688</v>
      </c>
      <c r="FK1897">
        <v>2010</v>
      </c>
      <c r="FL1897">
        <v>1026.8399999999999</v>
      </c>
      <c r="FM1897" t="s">
        <v>18596</v>
      </c>
      <c r="FN1897">
        <v>6.75</v>
      </c>
      <c r="FO1897" t="s">
        <v>424</v>
      </c>
      <c r="FP1897" t="s">
        <v>425</v>
      </c>
      <c r="FQ1897" s="1">
        <v>41386</v>
      </c>
      <c r="FR1897">
        <v>23</v>
      </c>
      <c r="FS1897">
        <v>10579</v>
      </c>
      <c r="FT1897" t="s">
        <v>488</v>
      </c>
    </row>
    <row r="1898" spans="1:248" x14ac:dyDescent="0.25">
      <c r="A1898">
        <v>16486905</v>
      </c>
      <c r="B1898">
        <v>1897</v>
      </c>
      <c r="C1898" t="s">
        <v>393</v>
      </c>
      <c r="D1898" t="s">
        <v>394</v>
      </c>
      <c r="F1898" t="str">
        <f>"00-00-30-010B-0018-0160"</f>
        <v>00-00-30-010B-0018-0160</v>
      </c>
      <c r="H1898" t="str">
        <f>"GREEN THERESA"</f>
        <v>GREEN THERESA</v>
      </c>
      <c r="I1898" t="str">
        <f>"1097 REIMAN ST"</f>
        <v>1097 REIMAN ST</v>
      </c>
      <c r="J1898" t="str">
        <f>"JACKSONVILLE FL 32209"</f>
        <v>JACKSONVILLE FL 32209</v>
      </c>
      <c r="K1898" t="str">
        <f>"MARY AV"</f>
        <v>MARY AV</v>
      </c>
      <c r="L1898" t="str">
        <f t="shared" si="711"/>
        <v>FERNANDINA BEACH FL 32034</v>
      </c>
      <c r="M1898" t="str">
        <f>"BLOCK 18 LOT 16 IN OR 2053/1373 AMERICAN BEACH SUB 2 PB 3/6"</f>
        <v>BLOCK 18 LOT 16 IN OR 2053/1373 AMERICAN BEACH SUB 2 PB 3/6</v>
      </c>
      <c r="N1898" t="str">
        <f>""</f>
        <v/>
      </c>
      <c r="O1898" t="str">
        <f>"467"</f>
        <v>467</v>
      </c>
      <c r="P1898" t="str">
        <f t="shared" si="698"/>
        <v>2017</v>
      </c>
      <c r="Q1898" t="str">
        <f>""</f>
        <v/>
      </c>
      <c r="R1898" t="str">
        <f t="shared" si="712"/>
        <v>N</v>
      </c>
      <c r="S1898" t="str">
        <f>""</f>
        <v/>
      </c>
      <c r="T1898" t="str">
        <f>"494.26"</f>
        <v>494.26</v>
      </c>
      <c r="U1898" t="str">
        <f t="shared" si="717"/>
        <v>29948.00</v>
      </c>
      <c r="V1898" t="str">
        <f t="shared" si="717"/>
        <v>29948.00</v>
      </c>
      <c r="W1898" t="str">
        <f t="shared" si="699"/>
        <v>2017</v>
      </c>
      <c r="X1898" t="str">
        <f>""</f>
        <v/>
      </c>
      <c r="Y1898" t="str">
        <f>"541.09"</f>
        <v>541.09</v>
      </c>
      <c r="Z1898" t="str">
        <f>""</f>
        <v/>
      </c>
      <c r="AA1898" t="str">
        <f>"35000.00"</f>
        <v>35000.00</v>
      </c>
      <c r="AB1898" t="str">
        <f t="shared" si="708"/>
        <v>Residential</v>
      </c>
      <c r="AC1898" t="str">
        <f t="shared" si="710"/>
        <v>0</v>
      </c>
      <c r="AD1898" t="str">
        <f>""</f>
        <v/>
      </c>
      <c r="AE1898" t="str">
        <f>""</f>
        <v/>
      </c>
      <c r="AF1898" t="str">
        <f t="shared" si="716"/>
        <v>000</v>
      </c>
      <c r="AG1898" t="str">
        <f t="shared" si="715"/>
        <v>FL</v>
      </c>
      <c r="AH1898" t="str">
        <f t="shared" si="713"/>
        <v>5000.00</v>
      </c>
      <c r="AI1898" t="str">
        <f t="shared" si="714"/>
        <v>35000.00</v>
      </c>
      <c r="AJ1898" t="str">
        <f>"C55-000-585-0376-4"</f>
        <v>C55-000-585-0376-4</v>
      </c>
      <c r="AK1898" t="str">
        <f>"38113"</f>
        <v>38113</v>
      </c>
      <c r="AL1898">
        <v>7</v>
      </c>
      <c r="AM1898">
        <v>2162</v>
      </c>
      <c r="AN1898">
        <v>566.54</v>
      </c>
      <c r="AQ1898" t="s">
        <v>18597</v>
      </c>
      <c r="AR1898" t="s">
        <v>18597</v>
      </c>
      <c r="AS1898" t="s">
        <v>18597</v>
      </c>
      <c r="AU1898" t="s">
        <v>396</v>
      </c>
      <c r="AV1898">
        <v>2017</v>
      </c>
      <c r="AW1898" t="str">
        <f>"00-00-30-010B-0018-0160 "</f>
        <v xml:space="preserve">00-00-30-010B-0018-0160 </v>
      </c>
      <c r="AZ1898" t="s">
        <v>4029</v>
      </c>
      <c r="BA1898" t="s">
        <v>1122</v>
      </c>
      <c r="BD1898" t="s">
        <v>11749</v>
      </c>
      <c r="BE1898" t="s">
        <v>393</v>
      </c>
      <c r="BF1898">
        <v>32034</v>
      </c>
      <c r="BG1898" t="s">
        <v>18565</v>
      </c>
      <c r="BH1898" t="s">
        <v>11751</v>
      </c>
      <c r="BI1898">
        <v>-81.448909709618803</v>
      </c>
      <c r="BJ1898">
        <v>30.575820520101001</v>
      </c>
      <c r="BK1898" t="s">
        <v>18598</v>
      </c>
      <c r="BM1898" t="s">
        <v>18599</v>
      </c>
      <c r="BN1898" t="s">
        <v>548</v>
      </c>
      <c r="BO1898">
        <v>32209</v>
      </c>
      <c r="BP1898" t="s">
        <v>404</v>
      </c>
      <c r="BQ1898">
        <v>0</v>
      </c>
      <c r="BR1898" t="s">
        <v>491</v>
      </c>
      <c r="BS1898">
        <v>8001</v>
      </c>
      <c r="BT1898" t="s">
        <v>492</v>
      </c>
      <c r="BU1898">
        <v>500</v>
      </c>
      <c r="BV1898">
        <v>1000</v>
      </c>
      <c r="BW1898">
        <v>5000</v>
      </c>
      <c r="BX1898" t="s">
        <v>407</v>
      </c>
      <c r="BY1898" t="s">
        <v>7351</v>
      </c>
      <c r="CD1898">
        <v>2017</v>
      </c>
      <c r="CE1898">
        <v>35000</v>
      </c>
      <c r="CG1898">
        <v>35000</v>
      </c>
      <c r="CH1898">
        <v>2017</v>
      </c>
      <c r="CI1898">
        <v>35000</v>
      </c>
      <c r="CK1898">
        <v>35000</v>
      </c>
      <c r="CL1898">
        <v>2017</v>
      </c>
      <c r="CM1898">
        <v>494.26</v>
      </c>
      <c r="CN1898" s="1">
        <v>42536</v>
      </c>
      <c r="CZ1898" s="1">
        <v>42536</v>
      </c>
      <c r="DD1898" t="s">
        <v>11749</v>
      </c>
      <c r="DF1898">
        <v>16</v>
      </c>
      <c r="DG1898">
        <v>20</v>
      </c>
      <c r="DJ1898" t="s">
        <v>18414</v>
      </c>
      <c r="DL1898">
        <v>50203</v>
      </c>
      <c r="DM1898" t="s">
        <v>18307</v>
      </c>
      <c r="DO1898" t="s">
        <v>18600</v>
      </c>
      <c r="DP1898">
        <v>0</v>
      </c>
      <c r="DQ1898">
        <v>0</v>
      </c>
      <c r="DR1898" t="s">
        <v>411</v>
      </c>
    </row>
    <row r="1899" spans="1:248" x14ac:dyDescent="0.25">
      <c r="A1899">
        <v>16486906</v>
      </c>
      <c r="B1899">
        <v>1898</v>
      </c>
      <c r="C1899" t="s">
        <v>393</v>
      </c>
      <c r="D1899" t="s">
        <v>394</v>
      </c>
      <c r="F1899" t="str">
        <f>"00-00-30-010C-0001-0270"</f>
        <v>00-00-30-010C-0001-0270</v>
      </c>
      <c r="H1899" t="str">
        <f>"DOLLISON BOBBY"</f>
        <v>DOLLISON BOBBY</v>
      </c>
      <c r="I1899" t="str">
        <f>"5553 GREGG STREET"</f>
        <v>5553 GREGG STREET</v>
      </c>
      <c r="J1899" t="str">
        <f>"FERNANDINA BEACH FL 32034"</f>
        <v>FERNANDINA BEACH FL 32034</v>
      </c>
      <c r="K1899" t="str">
        <f>"GREGG ST"</f>
        <v>GREGG ST</v>
      </c>
      <c r="L1899" t="str">
        <f t="shared" si="711"/>
        <v>FERNANDINA BEACH FL 32034</v>
      </c>
      <c r="M1899" t="str">
        <f>"BLOCK 1 LOT 27 IN OR 293 PG 275 AMERICAN BEACH 3 UNIT 1 PB 3/19"</f>
        <v>BLOCK 1 LOT 27 IN OR 293 PG 275 AMERICAN BEACH 3 UNIT 1 PB 3/19</v>
      </c>
      <c r="N1899" t="str">
        <f>""</f>
        <v/>
      </c>
      <c r="O1899" t="str">
        <f>"495"</f>
        <v>495</v>
      </c>
      <c r="P1899" t="str">
        <f t="shared" si="698"/>
        <v>2017</v>
      </c>
      <c r="Q1899" t="str">
        <f>""</f>
        <v/>
      </c>
      <c r="R1899" t="str">
        <f t="shared" si="712"/>
        <v>N</v>
      </c>
      <c r="S1899" t="str">
        <f>""</f>
        <v/>
      </c>
      <c r="T1899" t="str">
        <f>"5001.89"</f>
        <v>5001.89</v>
      </c>
      <c r="U1899" t="str">
        <f>"325000.00"</f>
        <v>325000.00</v>
      </c>
      <c r="V1899" t="str">
        <f>"325000.00"</f>
        <v>325000.00</v>
      </c>
      <c r="W1899" t="str">
        <f t="shared" si="699"/>
        <v>2017</v>
      </c>
      <c r="X1899" t="str">
        <f>"18.88"</f>
        <v>18.88</v>
      </c>
      <c r="Y1899" t="str">
        <f>"5183.95"</f>
        <v>5183.95</v>
      </c>
      <c r="Z1899" t="str">
        <f>""</f>
        <v/>
      </c>
      <c r="AA1899" t="str">
        <f>"325000.00"</f>
        <v>325000.00</v>
      </c>
      <c r="AB1899" t="str">
        <f t="shared" si="708"/>
        <v>Residential</v>
      </c>
      <c r="AC1899" t="str">
        <f t="shared" si="710"/>
        <v>0</v>
      </c>
      <c r="AD1899" t="str">
        <f>""</f>
        <v/>
      </c>
      <c r="AE1899" t="str">
        <f>""</f>
        <v/>
      </c>
      <c r="AF1899" t="str">
        <f t="shared" si="716"/>
        <v>000</v>
      </c>
      <c r="AG1899" t="str">
        <f t="shared" si="715"/>
        <v>FL</v>
      </c>
      <c r="AH1899" t="str">
        <f>"7750.00"</f>
        <v>7750.00</v>
      </c>
      <c r="AI1899" t="str">
        <f>"325000.00"</f>
        <v>325000.00</v>
      </c>
      <c r="AJ1899" t="str">
        <f>"C55-000-585-0399-6"</f>
        <v>C55-000-585-0399-6</v>
      </c>
      <c r="AK1899" t="str">
        <f>"38136"</f>
        <v>38136</v>
      </c>
      <c r="AL1899">
        <v>7</v>
      </c>
      <c r="AM1899">
        <v>2163</v>
      </c>
      <c r="AN1899">
        <v>5441.55</v>
      </c>
      <c r="AQ1899" t="s">
        <v>18601</v>
      </c>
      <c r="AR1899" t="s">
        <v>18601</v>
      </c>
      <c r="AS1899" t="s">
        <v>18601</v>
      </c>
      <c r="AU1899" t="s">
        <v>396</v>
      </c>
      <c r="AV1899">
        <v>2017</v>
      </c>
      <c r="AW1899" t="str">
        <f>"00-00-30-010C-0001-0270 "</f>
        <v xml:space="preserve">00-00-30-010C-0001-0270 </v>
      </c>
      <c r="AZ1899" t="s">
        <v>18409</v>
      </c>
      <c r="BA1899" t="s">
        <v>1942</v>
      </c>
      <c r="BD1899" t="s">
        <v>11749</v>
      </c>
      <c r="BE1899" t="s">
        <v>393</v>
      </c>
      <c r="BF1899">
        <v>32034</v>
      </c>
      <c r="BG1899" t="s">
        <v>18602</v>
      </c>
      <c r="BH1899" t="s">
        <v>11751</v>
      </c>
      <c r="BI1899">
        <v>-81.443856017512203</v>
      </c>
      <c r="BJ1899">
        <v>30.569750276751201</v>
      </c>
      <c r="BK1899" t="s">
        <v>18603</v>
      </c>
      <c r="BM1899" t="s">
        <v>18604</v>
      </c>
      <c r="BN1899" t="s">
        <v>3983</v>
      </c>
      <c r="BO1899">
        <v>32034</v>
      </c>
      <c r="BP1899" t="s">
        <v>404</v>
      </c>
      <c r="BQ1899">
        <v>0</v>
      </c>
      <c r="BR1899" t="s">
        <v>491</v>
      </c>
      <c r="BS1899">
        <v>8001</v>
      </c>
      <c r="BT1899" t="s">
        <v>492</v>
      </c>
      <c r="BU1899">
        <v>500</v>
      </c>
      <c r="BV1899">
        <v>1550</v>
      </c>
      <c r="BW1899">
        <v>7304</v>
      </c>
      <c r="BX1899" t="s">
        <v>407</v>
      </c>
      <c r="BY1899" t="s">
        <v>7351</v>
      </c>
      <c r="CD1899">
        <v>2017</v>
      </c>
      <c r="CE1899">
        <v>325000</v>
      </c>
      <c r="CG1899">
        <v>325000</v>
      </c>
      <c r="CH1899">
        <v>2017</v>
      </c>
      <c r="CI1899">
        <v>325000</v>
      </c>
      <c r="CK1899">
        <v>325000</v>
      </c>
      <c r="CL1899">
        <v>2017</v>
      </c>
      <c r="CM1899">
        <v>5001.8900000000003</v>
      </c>
      <c r="CN1899" s="1">
        <v>29007</v>
      </c>
      <c r="CO1899">
        <v>15000</v>
      </c>
      <c r="CZ1899" s="1">
        <v>29007</v>
      </c>
      <c r="DD1899" t="s">
        <v>11749</v>
      </c>
      <c r="DF1899">
        <v>27</v>
      </c>
      <c r="DG1899">
        <v>20</v>
      </c>
      <c r="DJ1899" t="s">
        <v>18414</v>
      </c>
      <c r="DL1899">
        <v>50201</v>
      </c>
      <c r="DM1899" t="s">
        <v>18307</v>
      </c>
      <c r="DO1899" t="s">
        <v>18605</v>
      </c>
      <c r="DP1899">
        <v>0</v>
      </c>
      <c r="DQ1899">
        <v>0</v>
      </c>
      <c r="DR1899" t="s">
        <v>411</v>
      </c>
      <c r="DS1899" t="b">
        <v>1</v>
      </c>
      <c r="DT1899" t="s">
        <v>470</v>
      </c>
      <c r="DU1899" t="s">
        <v>471</v>
      </c>
      <c r="DV1899" t="s">
        <v>472</v>
      </c>
      <c r="DX1899">
        <v>-9999</v>
      </c>
      <c r="DZ1899" t="s">
        <v>447</v>
      </c>
      <c r="EA1899" t="s">
        <v>448</v>
      </c>
      <c r="EB1899" t="s">
        <v>14787</v>
      </c>
      <c r="EC1899">
        <v>20101217</v>
      </c>
      <c r="ED1899" t="s">
        <v>474</v>
      </c>
      <c r="EF1899">
        <v>47.3</v>
      </c>
      <c r="EG1899">
        <v>47.3</v>
      </c>
      <c r="EI1899">
        <v>20160407</v>
      </c>
      <c r="EJ1899">
        <v>0</v>
      </c>
      <c r="EK1899">
        <v>0</v>
      </c>
      <c r="EP1899" t="s">
        <v>421</v>
      </c>
      <c r="EQ1899" t="s">
        <v>422</v>
      </c>
      <c r="ER1899">
        <v>2</v>
      </c>
      <c r="ES1899">
        <v>6</v>
      </c>
      <c r="ET1899">
        <v>10184.44</v>
      </c>
      <c r="EU1899">
        <v>521.72</v>
      </c>
      <c r="EV1899">
        <v>10706.16</v>
      </c>
      <c r="EW1899" s="2">
        <v>43222</v>
      </c>
      <c r="EX1899" s="1">
        <v>42879</v>
      </c>
      <c r="EY1899">
        <v>2016</v>
      </c>
      <c r="EZ1899">
        <v>5092.22</v>
      </c>
      <c r="FA1899" t="s">
        <v>18606</v>
      </c>
      <c r="FB1899">
        <v>0.25</v>
      </c>
      <c r="FC1899" t="s">
        <v>424</v>
      </c>
      <c r="FD1899" t="s">
        <v>454</v>
      </c>
      <c r="FF1899">
        <v>12</v>
      </c>
      <c r="FG1899">
        <v>7400234</v>
      </c>
      <c r="FH1899" t="s">
        <v>426</v>
      </c>
      <c r="FJ1899" s="1">
        <v>42879</v>
      </c>
      <c r="FK1899">
        <v>2016</v>
      </c>
      <c r="FL1899">
        <v>5092.22</v>
      </c>
      <c r="FM1899" t="s">
        <v>18606</v>
      </c>
      <c r="FN1899">
        <v>0.25</v>
      </c>
      <c r="FO1899" t="s">
        <v>424</v>
      </c>
      <c r="FP1899" t="s">
        <v>454</v>
      </c>
      <c r="FR1899">
        <v>12</v>
      </c>
      <c r="FS1899">
        <v>7445541</v>
      </c>
      <c r="FT1899" t="s">
        <v>18607</v>
      </c>
      <c r="FV1899" s="1">
        <v>42515</v>
      </c>
      <c r="FW1899">
        <v>2015</v>
      </c>
      <c r="FX1899">
        <v>4742.22</v>
      </c>
      <c r="FY1899" t="s">
        <v>18608</v>
      </c>
      <c r="FZ1899">
        <v>0.25</v>
      </c>
      <c r="GA1899" t="s">
        <v>424</v>
      </c>
      <c r="GB1899" t="s">
        <v>425</v>
      </c>
      <c r="GC1899" s="1">
        <v>43158</v>
      </c>
      <c r="GD1899">
        <v>21</v>
      </c>
      <c r="GE1899">
        <v>7045074</v>
      </c>
      <c r="GF1899" t="s">
        <v>580</v>
      </c>
      <c r="GH1899" s="1">
        <v>42515</v>
      </c>
      <c r="GI1899">
        <v>2015</v>
      </c>
      <c r="GJ1899">
        <v>4742.22</v>
      </c>
      <c r="GK1899" t="s">
        <v>18608</v>
      </c>
      <c r="GL1899">
        <v>0.25</v>
      </c>
      <c r="GM1899" t="s">
        <v>424</v>
      </c>
      <c r="GN1899" t="s">
        <v>425</v>
      </c>
      <c r="GP1899">
        <v>22</v>
      </c>
      <c r="GQ1899">
        <v>6585998</v>
      </c>
      <c r="GR1899" t="s">
        <v>18609</v>
      </c>
      <c r="GT1899" s="1">
        <v>42151</v>
      </c>
      <c r="GU1899">
        <v>2014</v>
      </c>
      <c r="GV1899">
        <v>4767.38</v>
      </c>
      <c r="GW1899" t="s">
        <v>18610</v>
      </c>
      <c r="GX1899">
        <v>0.25</v>
      </c>
      <c r="GY1899" t="s">
        <v>424</v>
      </c>
      <c r="GZ1899" t="s">
        <v>425</v>
      </c>
      <c r="HA1899" s="1">
        <v>42783</v>
      </c>
      <c r="HB1899">
        <v>21</v>
      </c>
      <c r="HC1899">
        <v>4975594</v>
      </c>
      <c r="HD1899" t="s">
        <v>457</v>
      </c>
      <c r="HF1899" s="1">
        <v>42151</v>
      </c>
      <c r="HG1899">
        <v>2014</v>
      </c>
      <c r="HH1899">
        <v>4767.38</v>
      </c>
      <c r="HI1899" t="s">
        <v>18610</v>
      </c>
      <c r="HJ1899">
        <v>0.25</v>
      </c>
      <c r="HK1899" t="s">
        <v>424</v>
      </c>
      <c r="HL1899" t="s">
        <v>425</v>
      </c>
      <c r="HN1899">
        <v>22</v>
      </c>
      <c r="HO1899">
        <v>6376189</v>
      </c>
      <c r="HP1899" t="s">
        <v>18611</v>
      </c>
      <c r="HR1899" s="1">
        <v>41787</v>
      </c>
      <c r="HS1899">
        <v>2013</v>
      </c>
      <c r="HT1899">
        <v>4514.6099999999997</v>
      </c>
      <c r="HU1899" t="s">
        <v>18612</v>
      </c>
      <c r="HV1899">
        <v>0.25</v>
      </c>
      <c r="HW1899" t="s">
        <v>424</v>
      </c>
      <c r="HX1899" t="s">
        <v>425</v>
      </c>
      <c r="HY1899" s="1">
        <v>42411</v>
      </c>
      <c r="HZ1899">
        <v>21</v>
      </c>
      <c r="IA1899">
        <v>2407503</v>
      </c>
      <c r="IB1899" t="s">
        <v>461</v>
      </c>
      <c r="ID1899" s="1">
        <v>41423</v>
      </c>
      <c r="IE1899">
        <v>2012</v>
      </c>
      <c r="IF1899">
        <v>4197.51</v>
      </c>
      <c r="IG1899" t="s">
        <v>18613</v>
      </c>
      <c r="IH1899">
        <v>0.25</v>
      </c>
      <c r="II1899" t="s">
        <v>424</v>
      </c>
      <c r="IJ1899" t="s">
        <v>425</v>
      </c>
      <c r="IK1899" s="1">
        <v>41927</v>
      </c>
      <c r="IL1899">
        <v>17</v>
      </c>
      <c r="IM1899">
        <v>1625515</v>
      </c>
      <c r="IN1899" t="s">
        <v>487</v>
      </c>
    </row>
    <row r="1900" spans="1:248" x14ac:dyDescent="0.25">
      <c r="A1900">
        <v>16486907</v>
      </c>
      <c r="B1900">
        <v>1899</v>
      </c>
      <c r="C1900" t="s">
        <v>393</v>
      </c>
      <c r="D1900" t="s">
        <v>394</v>
      </c>
      <c r="F1900" t="str">
        <f>"00-00-30-010C-0002-0100"</f>
        <v>00-00-30-010C-0002-0100</v>
      </c>
      <c r="H1900" t="str">
        <f>"HOOKER WILLIE F SR C/O W F HOOKER JR"</f>
        <v>HOOKER WILLIE F SR C/O W F HOOKER JR</v>
      </c>
      <c r="I1900" t="str">
        <f>"8125 BAHIA BLANCA 8"</f>
        <v>8125 BAHIA BLANCA 8</v>
      </c>
      <c r="J1900" t="str">
        <f>"JACKSONVILLE FL 32256"</f>
        <v>JACKSONVILLE FL 32256</v>
      </c>
      <c r="K1900" t="str">
        <f>"5537 GREGG ST"</f>
        <v>5537 GREGG ST</v>
      </c>
      <c r="L1900" t="str">
        <f t="shared" si="711"/>
        <v>FERNANDINA BEACH FL 32034</v>
      </c>
      <c r="M1900" t="str">
        <f>"BLOCK 2 LOT 10 AMERICAN BEACH 3 UNIT 1 PB3/19"</f>
        <v>BLOCK 2 LOT 10 AMERICAN BEACH 3 UNIT 1 PB3/19</v>
      </c>
      <c r="N1900" t="str">
        <f>""</f>
        <v/>
      </c>
      <c r="O1900" t="str">
        <f>"507"</f>
        <v>507</v>
      </c>
      <c r="P1900" t="str">
        <f t="shared" si="698"/>
        <v>2017</v>
      </c>
      <c r="Q1900" t="str">
        <f>""</f>
        <v/>
      </c>
      <c r="R1900" t="str">
        <f t="shared" si="712"/>
        <v>N</v>
      </c>
      <c r="S1900" t="str">
        <f>""</f>
        <v/>
      </c>
      <c r="T1900" t="str">
        <f>"2708.70"</f>
        <v>2708.70</v>
      </c>
      <c r="U1900" t="str">
        <f>"176000.00"</f>
        <v>176000.00</v>
      </c>
      <c r="V1900" t="str">
        <f>"176000.00"</f>
        <v>176000.00</v>
      </c>
      <c r="W1900" t="str">
        <f t="shared" si="699"/>
        <v>2017</v>
      </c>
      <c r="X1900" t="str">
        <f>"11.33"</f>
        <v>11.33</v>
      </c>
      <c r="Y1900" t="str">
        <f>"2821.96"</f>
        <v>2821.96</v>
      </c>
      <c r="Z1900" t="str">
        <f>""</f>
        <v/>
      </c>
      <c r="AA1900" t="str">
        <f>"176000.00"</f>
        <v>176000.00</v>
      </c>
      <c r="AB1900" t="str">
        <f t="shared" si="708"/>
        <v>Residential</v>
      </c>
      <c r="AC1900" t="str">
        <f t="shared" si="710"/>
        <v>0</v>
      </c>
      <c r="AD1900" t="str">
        <f>""</f>
        <v/>
      </c>
      <c r="AE1900" t="str">
        <f>""</f>
        <v/>
      </c>
      <c r="AF1900" t="str">
        <f t="shared" si="716"/>
        <v>000</v>
      </c>
      <c r="AG1900" t="str">
        <f t="shared" si="715"/>
        <v>FL</v>
      </c>
      <c r="AH1900" t="str">
        <f>"5500.00"</f>
        <v>5500.00</v>
      </c>
      <c r="AI1900" t="str">
        <f>"176000.00"</f>
        <v>176000.00</v>
      </c>
      <c r="AJ1900" t="str">
        <f>"C55-000-585-0411-9"</f>
        <v>C55-000-585-0411-9</v>
      </c>
      <c r="AK1900" t="str">
        <f>"38148"</f>
        <v>38148</v>
      </c>
      <c r="AL1900">
        <v>7</v>
      </c>
      <c r="AM1900">
        <v>2165</v>
      </c>
      <c r="AN1900">
        <v>2961.46</v>
      </c>
      <c r="AQ1900" t="s">
        <v>18614</v>
      </c>
      <c r="AR1900" t="s">
        <v>18614</v>
      </c>
      <c r="AS1900" t="s">
        <v>18614</v>
      </c>
      <c r="AU1900" t="s">
        <v>396</v>
      </c>
      <c r="AV1900">
        <v>2017</v>
      </c>
      <c r="AW1900" t="str">
        <f>"00-00-30-010C-0002-0100 "</f>
        <v xml:space="preserve">00-00-30-010C-0002-0100 </v>
      </c>
      <c r="AX1900">
        <v>5537</v>
      </c>
      <c r="AZ1900" t="s">
        <v>18409</v>
      </c>
      <c r="BA1900" t="s">
        <v>1942</v>
      </c>
      <c r="BD1900" t="s">
        <v>11749</v>
      </c>
      <c r="BE1900" t="s">
        <v>393</v>
      </c>
      <c r="BF1900">
        <v>32034</v>
      </c>
      <c r="BG1900" t="s">
        <v>18615</v>
      </c>
      <c r="BH1900" t="s">
        <v>11751</v>
      </c>
      <c r="BI1900">
        <v>-81.444531796833402</v>
      </c>
      <c r="BJ1900">
        <v>30.5724018056424</v>
      </c>
      <c r="BK1900" t="s">
        <v>18616</v>
      </c>
      <c r="BM1900" t="s">
        <v>18617</v>
      </c>
      <c r="BN1900" t="s">
        <v>548</v>
      </c>
      <c r="BO1900">
        <v>32256</v>
      </c>
      <c r="BP1900" t="s">
        <v>404</v>
      </c>
      <c r="BQ1900">
        <v>0</v>
      </c>
      <c r="BR1900" t="s">
        <v>491</v>
      </c>
      <c r="BS1900">
        <v>8001</v>
      </c>
      <c r="BT1900" t="s">
        <v>492</v>
      </c>
      <c r="BU1900">
        <v>550</v>
      </c>
      <c r="BV1900">
        <v>1000</v>
      </c>
      <c r="BW1900">
        <v>5477</v>
      </c>
      <c r="BX1900" t="s">
        <v>407</v>
      </c>
      <c r="BY1900" t="s">
        <v>7351</v>
      </c>
      <c r="CD1900">
        <v>2017</v>
      </c>
      <c r="CE1900">
        <v>176000</v>
      </c>
      <c r="CG1900">
        <v>176000</v>
      </c>
      <c r="CH1900">
        <v>2017</v>
      </c>
      <c r="CI1900">
        <v>176000</v>
      </c>
      <c r="CK1900">
        <v>176000</v>
      </c>
      <c r="CL1900">
        <v>2017</v>
      </c>
      <c r="CM1900">
        <v>2708.7</v>
      </c>
      <c r="DD1900" t="s">
        <v>11749</v>
      </c>
      <c r="DF1900">
        <v>10</v>
      </c>
      <c r="DG1900">
        <v>20</v>
      </c>
      <c r="DI1900">
        <v>1</v>
      </c>
      <c r="DJ1900" t="s">
        <v>18414</v>
      </c>
      <c r="DL1900">
        <v>50201</v>
      </c>
      <c r="DM1900" t="s">
        <v>18307</v>
      </c>
      <c r="DO1900" t="s">
        <v>18618</v>
      </c>
      <c r="DP1900">
        <v>0</v>
      </c>
      <c r="DQ1900">
        <v>0</v>
      </c>
      <c r="DR1900" t="s">
        <v>411</v>
      </c>
      <c r="EP1900" t="s">
        <v>421</v>
      </c>
      <c r="EQ1900" t="s">
        <v>422</v>
      </c>
      <c r="ER1900">
        <v>0</v>
      </c>
      <c r="ES1900">
        <v>4</v>
      </c>
      <c r="ET1900">
        <v>0</v>
      </c>
      <c r="EU1900">
        <v>0</v>
      </c>
      <c r="EV1900">
        <v>0</v>
      </c>
      <c r="EW1900" s="2">
        <v>43222</v>
      </c>
      <c r="EX1900" s="1">
        <v>41787</v>
      </c>
      <c r="EY1900">
        <v>2013</v>
      </c>
      <c r="EZ1900">
        <v>2717.56</v>
      </c>
      <c r="FA1900" t="s">
        <v>18619</v>
      </c>
      <c r="FB1900">
        <v>0.25</v>
      </c>
      <c r="FC1900" t="s">
        <v>424</v>
      </c>
      <c r="FD1900" t="s">
        <v>425</v>
      </c>
      <c r="FE1900" s="1">
        <v>42122</v>
      </c>
      <c r="FF1900">
        <v>11</v>
      </c>
      <c r="FG1900">
        <v>2407503</v>
      </c>
      <c r="FH1900" t="s">
        <v>461</v>
      </c>
      <c r="FJ1900" s="1">
        <v>41423</v>
      </c>
      <c r="FK1900">
        <v>2012</v>
      </c>
      <c r="FL1900">
        <v>2502.52</v>
      </c>
      <c r="FM1900" t="s">
        <v>18620</v>
      </c>
      <c r="FN1900">
        <v>0.25</v>
      </c>
      <c r="FO1900" t="s">
        <v>424</v>
      </c>
      <c r="FP1900" t="s">
        <v>425</v>
      </c>
      <c r="FQ1900" s="1">
        <v>41898</v>
      </c>
      <c r="FR1900">
        <v>16</v>
      </c>
      <c r="FS1900">
        <v>15259</v>
      </c>
      <c r="FT1900" t="s">
        <v>891</v>
      </c>
      <c r="FV1900" s="1">
        <v>41052</v>
      </c>
      <c r="FW1900">
        <v>2011</v>
      </c>
      <c r="FX1900">
        <v>3650.47</v>
      </c>
      <c r="FY1900" t="s">
        <v>18621</v>
      </c>
      <c r="FZ1900">
        <v>0.25</v>
      </c>
      <c r="GA1900" t="s">
        <v>424</v>
      </c>
      <c r="GB1900" t="s">
        <v>425</v>
      </c>
      <c r="GC1900" s="1">
        <v>41256</v>
      </c>
      <c r="GD1900">
        <v>7</v>
      </c>
      <c r="GE1900">
        <v>13067</v>
      </c>
      <c r="GF1900" t="s">
        <v>429</v>
      </c>
      <c r="GH1900" s="1">
        <v>41052</v>
      </c>
      <c r="GI1900">
        <v>2011</v>
      </c>
      <c r="GJ1900">
        <v>3650.47</v>
      </c>
      <c r="GK1900" t="s">
        <v>18621</v>
      </c>
      <c r="GL1900">
        <v>0.25</v>
      </c>
      <c r="GM1900" t="s">
        <v>424</v>
      </c>
      <c r="GN1900" t="s">
        <v>425</v>
      </c>
      <c r="GP1900">
        <v>22</v>
      </c>
      <c r="GQ1900">
        <v>13426</v>
      </c>
      <c r="GR1900" t="s">
        <v>430</v>
      </c>
    </row>
    <row r="1901" spans="1:248" x14ac:dyDescent="0.25">
      <c r="A1901">
        <v>16486908</v>
      </c>
      <c r="B1901">
        <v>1900</v>
      </c>
      <c r="C1901" t="s">
        <v>393</v>
      </c>
      <c r="D1901" t="s">
        <v>394</v>
      </c>
      <c r="F1901" t="str">
        <f>"00-00-30-010C-0002-0110"</f>
        <v>00-00-30-010C-0002-0110</v>
      </c>
      <c r="H1901" t="str">
        <f>"DOLLISON BOBBY"</f>
        <v>DOLLISON BOBBY</v>
      </c>
      <c r="I1901" t="str">
        <f>"5553 GREGG STREET"</f>
        <v>5553 GREGG STREET</v>
      </c>
      <c r="J1901" t="str">
        <f>"FERNANDINA BEACH FL 32034"</f>
        <v>FERNANDINA BEACH FL 32034</v>
      </c>
      <c r="K1901" t="str">
        <f>"5553 GREGG ST"</f>
        <v>5553 GREGG ST</v>
      </c>
      <c r="L1901" t="str">
        <f t="shared" si="711"/>
        <v>FERNANDINA BEACH FL 32034</v>
      </c>
      <c r="M1901" t="str">
        <f>"BLK 2 LOT 11 IN OR 664/1092 AMERICAN BEACH 3 UNIT 1 PBK 3/19"</f>
        <v>BLK 2 LOT 11 IN OR 664/1092 AMERICAN BEACH 3 UNIT 1 PBK 3/19</v>
      </c>
      <c r="N1901" t="str">
        <f>""</f>
        <v/>
      </c>
      <c r="O1901" t="str">
        <f>"508"</f>
        <v>508</v>
      </c>
      <c r="P1901" t="str">
        <f t="shared" si="698"/>
        <v>2017</v>
      </c>
      <c r="Q1901" t="str">
        <f>""</f>
        <v/>
      </c>
      <c r="R1901" t="str">
        <f>"Y"</f>
        <v>Y</v>
      </c>
      <c r="S1901" t="str">
        <f>""</f>
        <v/>
      </c>
      <c r="T1901" t="str">
        <f>"6220.13"</f>
        <v>6220.13</v>
      </c>
      <c r="U1901" t="str">
        <f>"443438.00"</f>
        <v>443438.00</v>
      </c>
      <c r="V1901" t="str">
        <f>"443438.00"</f>
        <v>443438.00</v>
      </c>
      <c r="W1901" t="str">
        <f t="shared" si="699"/>
        <v>2017</v>
      </c>
      <c r="X1901" t="str">
        <f>"12.75"</f>
        <v>12.75</v>
      </c>
      <c r="Y1901" t="str">
        <f>"6438.73"</f>
        <v>6438.73</v>
      </c>
      <c r="Z1901" t="str">
        <f>"25000.00"</f>
        <v>25000.00</v>
      </c>
      <c r="AA1901" t="str">
        <f>"418438.00"</f>
        <v>418438.00</v>
      </c>
      <c r="AB1901" t="str">
        <f t="shared" si="708"/>
        <v>Residential</v>
      </c>
      <c r="AC1901" t="str">
        <f t="shared" si="710"/>
        <v>0</v>
      </c>
      <c r="AD1901" t="str">
        <f>"3"</f>
        <v>3</v>
      </c>
      <c r="AE1901" t="str">
        <f>"MASONRY"</f>
        <v>MASONRY</v>
      </c>
      <c r="AF1901" t="str">
        <f>"003"</f>
        <v>003</v>
      </c>
      <c r="AG1901" t="str">
        <f t="shared" si="715"/>
        <v>FL</v>
      </c>
      <c r="AH1901" t="str">
        <f>"130000.00"</f>
        <v>130000.00</v>
      </c>
      <c r="AI1901" t="str">
        <f>"896000.00"</f>
        <v>896000.00</v>
      </c>
      <c r="AJ1901" t="str">
        <f>"C55-000-585-0412-7"</f>
        <v>C55-000-585-0412-7</v>
      </c>
      <c r="AK1901" t="str">
        <f>"38149"</f>
        <v>38149</v>
      </c>
      <c r="AL1901">
        <v>7</v>
      </c>
      <c r="AM1901">
        <v>2166</v>
      </c>
      <c r="AN1901">
        <v>6759.07</v>
      </c>
      <c r="AQ1901" t="s">
        <v>18622</v>
      </c>
      <c r="AR1901" t="s">
        <v>18622</v>
      </c>
      <c r="AS1901" t="s">
        <v>18622</v>
      </c>
      <c r="AU1901" t="s">
        <v>396</v>
      </c>
      <c r="AV1901">
        <v>2017</v>
      </c>
      <c r="AW1901" t="str">
        <f>"00-00-30-010C-0002-0110 "</f>
        <v xml:space="preserve">00-00-30-010C-0002-0110 </v>
      </c>
      <c r="AX1901">
        <v>5553</v>
      </c>
      <c r="AZ1901" t="s">
        <v>18409</v>
      </c>
      <c r="BA1901" t="s">
        <v>1942</v>
      </c>
      <c r="BD1901" t="s">
        <v>11749</v>
      </c>
      <c r="BE1901" t="s">
        <v>393</v>
      </c>
      <c r="BF1901">
        <v>32034</v>
      </c>
      <c r="BG1901" t="s">
        <v>18604</v>
      </c>
      <c r="BH1901" t="s">
        <v>11751</v>
      </c>
      <c r="BI1901">
        <v>-81.444654748059605</v>
      </c>
      <c r="BJ1901">
        <v>30.571800871297999</v>
      </c>
      <c r="BK1901" t="s">
        <v>18603</v>
      </c>
      <c r="BM1901" t="s">
        <v>18604</v>
      </c>
      <c r="BN1901" t="s">
        <v>3983</v>
      </c>
      <c r="BO1901">
        <v>32034</v>
      </c>
      <c r="BP1901" t="s">
        <v>404</v>
      </c>
      <c r="BQ1901">
        <v>300</v>
      </c>
      <c r="BR1901" t="s">
        <v>5401</v>
      </c>
      <c r="BS1901">
        <v>1110</v>
      </c>
      <c r="BT1901" t="s">
        <v>5127</v>
      </c>
      <c r="BU1901">
        <v>3500</v>
      </c>
      <c r="BV1901">
        <v>2000</v>
      </c>
      <c r="BW1901">
        <v>68191</v>
      </c>
      <c r="BX1901" t="s">
        <v>407</v>
      </c>
      <c r="BY1901" t="s">
        <v>7351</v>
      </c>
      <c r="BZ1901">
        <v>3</v>
      </c>
      <c r="CA1901">
        <v>1950</v>
      </c>
      <c r="CB1901">
        <v>1</v>
      </c>
      <c r="CC1901">
        <v>18</v>
      </c>
      <c r="CD1901">
        <v>2017</v>
      </c>
      <c r="CG1901">
        <v>443438</v>
      </c>
      <c r="CH1901">
        <v>2017</v>
      </c>
      <c r="CI1901">
        <v>896000</v>
      </c>
      <c r="CJ1901">
        <v>183412</v>
      </c>
      <c r="CK1901">
        <v>1079412</v>
      </c>
      <c r="CL1901">
        <v>2017</v>
      </c>
      <c r="CM1901">
        <v>6220.13</v>
      </c>
      <c r="CN1901" s="1">
        <v>33822</v>
      </c>
      <c r="CZ1901" s="1">
        <v>33822</v>
      </c>
      <c r="DD1901" t="s">
        <v>11749</v>
      </c>
      <c r="DF1901">
        <v>11</v>
      </c>
      <c r="DG1901">
        <v>20</v>
      </c>
      <c r="DI1901">
        <v>1</v>
      </c>
      <c r="DJ1901" t="s">
        <v>18414</v>
      </c>
      <c r="DL1901">
        <v>50201</v>
      </c>
      <c r="DM1901" t="s">
        <v>18307</v>
      </c>
      <c r="DO1901" t="s">
        <v>18623</v>
      </c>
      <c r="DP1901">
        <v>0</v>
      </c>
      <c r="DQ1901">
        <v>0</v>
      </c>
      <c r="DR1901" t="s">
        <v>411</v>
      </c>
      <c r="DS1901" t="b">
        <v>1</v>
      </c>
      <c r="DT1901" t="s">
        <v>470</v>
      </c>
      <c r="DU1901" t="s">
        <v>471</v>
      </c>
      <c r="DV1901" t="s">
        <v>472</v>
      </c>
      <c r="DX1901">
        <v>-9999</v>
      </c>
      <c r="DZ1901" t="s">
        <v>447</v>
      </c>
      <c r="EA1901" t="s">
        <v>448</v>
      </c>
      <c r="EB1901" t="s">
        <v>14787</v>
      </c>
      <c r="EC1901">
        <v>20101217</v>
      </c>
      <c r="ED1901" t="s">
        <v>474</v>
      </c>
      <c r="EF1901">
        <v>264.5</v>
      </c>
      <c r="EG1901">
        <v>264.5</v>
      </c>
      <c r="EI1901">
        <v>20160407</v>
      </c>
      <c r="EJ1901">
        <v>0</v>
      </c>
      <c r="EK1901">
        <v>0</v>
      </c>
      <c r="EP1901" t="s">
        <v>421</v>
      </c>
      <c r="EQ1901" t="s">
        <v>422</v>
      </c>
      <c r="ER1901">
        <v>2</v>
      </c>
      <c r="ES1901">
        <v>6</v>
      </c>
      <c r="ET1901">
        <v>13332.72</v>
      </c>
      <c r="EU1901">
        <v>679.14</v>
      </c>
      <c r="EV1901">
        <v>14011.86</v>
      </c>
      <c r="EW1901" s="2">
        <v>43222</v>
      </c>
      <c r="EX1901" s="1">
        <v>42879</v>
      </c>
      <c r="EY1901">
        <v>2016</v>
      </c>
      <c r="EZ1901">
        <v>6666.36</v>
      </c>
      <c r="FA1901" t="s">
        <v>18624</v>
      </c>
      <c r="FB1901">
        <v>0.25</v>
      </c>
      <c r="FC1901" t="s">
        <v>424</v>
      </c>
      <c r="FD1901" t="s">
        <v>454</v>
      </c>
      <c r="FF1901">
        <v>12</v>
      </c>
      <c r="FG1901">
        <v>5857474</v>
      </c>
      <c r="FH1901" t="s">
        <v>900</v>
      </c>
      <c r="FJ1901" s="1">
        <v>42879</v>
      </c>
      <c r="FK1901">
        <v>2016</v>
      </c>
      <c r="FL1901">
        <v>6666.36</v>
      </c>
      <c r="FM1901" t="s">
        <v>18624</v>
      </c>
      <c r="FN1901">
        <v>0.25</v>
      </c>
      <c r="FO1901" t="s">
        <v>424</v>
      </c>
      <c r="FP1901" t="s">
        <v>454</v>
      </c>
      <c r="FR1901">
        <v>12</v>
      </c>
      <c r="FS1901">
        <v>6230155</v>
      </c>
      <c r="FT1901" t="s">
        <v>18625</v>
      </c>
      <c r="FV1901" s="1">
        <v>42515</v>
      </c>
      <c r="FW1901">
        <v>2015</v>
      </c>
      <c r="FX1901">
        <v>6747.11</v>
      </c>
      <c r="FY1901" t="s">
        <v>18626</v>
      </c>
      <c r="FZ1901">
        <v>0.25</v>
      </c>
      <c r="GA1901" t="s">
        <v>424</v>
      </c>
      <c r="GB1901" t="s">
        <v>425</v>
      </c>
      <c r="GC1901" s="1">
        <v>43157</v>
      </c>
      <c r="GD1901">
        <v>21</v>
      </c>
      <c r="GE1901">
        <v>2851116</v>
      </c>
      <c r="GF1901" t="s">
        <v>480</v>
      </c>
      <c r="GH1901" s="1">
        <v>42515</v>
      </c>
      <c r="GI1901">
        <v>2015</v>
      </c>
      <c r="GJ1901">
        <v>6747.11</v>
      </c>
      <c r="GK1901" t="s">
        <v>18626</v>
      </c>
      <c r="GL1901">
        <v>0.25</v>
      </c>
      <c r="GM1901" t="s">
        <v>424</v>
      </c>
      <c r="GN1901" t="s">
        <v>425</v>
      </c>
      <c r="GP1901">
        <v>22</v>
      </c>
      <c r="GQ1901">
        <v>5545341</v>
      </c>
      <c r="GR1901" t="s">
        <v>18627</v>
      </c>
      <c r="GT1901" s="1">
        <v>42151</v>
      </c>
      <c r="GU1901">
        <v>2014</v>
      </c>
      <c r="GV1901">
        <v>7192.22</v>
      </c>
      <c r="GW1901" t="s">
        <v>18628</v>
      </c>
      <c r="GX1901">
        <v>0.25</v>
      </c>
      <c r="GY1901" t="s">
        <v>424</v>
      </c>
      <c r="GZ1901" t="s">
        <v>425</v>
      </c>
      <c r="HA1901" s="1">
        <v>42496</v>
      </c>
      <c r="HB1901">
        <v>12</v>
      </c>
      <c r="HC1901">
        <v>2101382</v>
      </c>
      <c r="HD1901" t="s">
        <v>993</v>
      </c>
      <c r="HF1901" s="1">
        <v>42151</v>
      </c>
      <c r="HG1901">
        <v>2014</v>
      </c>
      <c r="HH1901">
        <v>7192.22</v>
      </c>
      <c r="HI1901" t="s">
        <v>18628</v>
      </c>
      <c r="HJ1901">
        <v>0.25</v>
      </c>
      <c r="HK1901" t="s">
        <v>424</v>
      </c>
      <c r="HL1901" t="s">
        <v>425</v>
      </c>
      <c r="HN1901">
        <v>22</v>
      </c>
      <c r="HO1901">
        <v>5627755</v>
      </c>
      <c r="HP1901" t="s">
        <v>18629</v>
      </c>
      <c r="HR1901" s="1">
        <v>41787</v>
      </c>
      <c r="HS1901">
        <v>2013</v>
      </c>
      <c r="HT1901">
        <v>6770.58</v>
      </c>
      <c r="HU1901" t="s">
        <v>18630</v>
      </c>
      <c r="HV1901">
        <v>0.25</v>
      </c>
      <c r="HW1901" t="s">
        <v>424</v>
      </c>
      <c r="HX1901" t="s">
        <v>425</v>
      </c>
      <c r="HY1901" s="1">
        <v>42079</v>
      </c>
      <c r="HZ1901">
        <v>10</v>
      </c>
      <c r="IA1901">
        <v>2757457</v>
      </c>
      <c r="IB1901" t="s">
        <v>648</v>
      </c>
      <c r="ID1901" s="1">
        <v>41423</v>
      </c>
      <c r="IE1901">
        <v>2012</v>
      </c>
      <c r="IF1901">
        <v>6776.58</v>
      </c>
      <c r="IG1901" t="s">
        <v>18631</v>
      </c>
      <c r="IH1901">
        <v>0.25</v>
      </c>
      <c r="II1901" t="s">
        <v>424</v>
      </c>
      <c r="IJ1901" t="s">
        <v>425</v>
      </c>
      <c r="IK1901" s="1">
        <v>41648</v>
      </c>
      <c r="IL1901">
        <v>8</v>
      </c>
      <c r="IM1901">
        <v>606981</v>
      </c>
      <c r="IN1901" t="s">
        <v>792</v>
      </c>
    </row>
    <row r="1902" spans="1:248" x14ac:dyDescent="0.25">
      <c r="A1902">
        <v>16486909</v>
      </c>
      <c r="B1902">
        <v>1901</v>
      </c>
      <c r="C1902" t="s">
        <v>393</v>
      </c>
      <c r="D1902" t="s">
        <v>394</v>
      </c>
      <c r="F1902" t="str">
        <f>"00-00-30-010C-0002-0180"</f>
        <v>00-00-30-010C-0002-0180</v>
      </c>
      <c r="H1902" t="str">
        <f>"ROBINSON W RUSSELL"</f>
        <v>ROBINSON W RUSSELL</v>
      </c>
      <c r="I1902" t="str">
        <f>"208 CHAPEL VALLEY LANE"</f>
        <v>208 CHAPEL VALLEY LANE</v>
      </c>
      <c r="J1902" t="str">
        <f>"APEX NC 27502"</f>
        <v>APEX NC 27502</v>
      </c>
      <c r="K1902" t="str">
        <f>"GREGG ST"</f>
        <v>GREGG ST</v>
      </c>
      <c r="L1902" t="str">
        <f t="shared" si="711"/>
        <v>FERNANDINA BEACH FL 32034</v>
      </c>
      <c r="M1902" t="str">
        <f>"BLOCK 2 LOT 18 IN OR 1214/905 AMERICAN BEACH 3 UNIT 1 PB 3/19"</f>
        <v>BLOCK 2 LOT 18 IN OR 1214/905 AMERICAN BEACH 3 UNIT 1 PB 3/19</v>
      </c>
      <c r="N1902" t="str">
        <f>""</f>
        <v/>
      </c>
      <c r="O1902" t="str">
        <f>"515"</f>
        <v>515</v>
      </c>
      <c r="P1902" t="str">
        <f t="shared" si="698"/>
        <v>2017</v>
      </c>
      <c r="Q1902" t="str">
        <f>""</f>
        <v/>
      </c>
      <c r="R1902" t="str">
        <f>"N"</f>
        <v>N</v>
      </c>
      <c r="S1902" t="str">
        <f>""</f>
        <v/>
      </c>
      <c r="T1902" t="str">
        <f>"2462.46"</f>
        <v>2462.46</v>
      </c>
      <c r="U1902" t="str">
        <f>"160000.00"</f>
        <v>160000.00</v>
      </c>
      <c r="V1902" t="str">
        <f>"160000.00"</f>
        <v>160000.00</v>
      </c>
      <c r="W1902" t="str">
        <f t="shared" si="699"/>
        <v>2017</v>
      </c>
      <c r="X1902" t="str">
        <f>"17.29"</f>
        <v>17.29</v>
      </c>
      <c r="Y1902" t="str">
        <f>"2568.33"</f>
        <v>2568.33</v>
      </c>
      <c r="Z1902" t="str">
        <f>""</f>
        <v/>
      </c>
      <c r="AA1902" t="str">
        <f>"160000.00"</f>
        <v>160000.00</v>
      </c>
      <c r="AB1902" t="str">
        <f t="shared" si="708"/>
        <v>Residential</v>
      </c>
      <c r="AC1902" t="str">
        <f t="shared" si="710"/>
        <v>0</v>
      </c>
      <c r="AD1902" t="str">
        <f>""</f>
        <v/>
      </c>
      <c r="AE1902" t="str">
        <f>""</f>
        <v/>
      </c>
      <c r="AF1902" t="str">
        <f>"000"</f>
        <v>000</v>
      </c>
      <c r="AG1902" t="str">
        <f>"NC"</f>
        <v>NC</v>
      </c>
      <c r="AH1902" t="str">
        <f>"5000.00"</f>
        <v>5000.00</v>
      </c>
      <c r="AI1902" t="str">
        <f>"160000.00"</f>
        <v>160000.00</v>
      </c>
      <c r="AJ1902" t="str">
        <f>"C55-000-585-0419-2"</f>
        <v>C55-000-585-0419-2</v>
      </c>
      <c r="AK1902" t="str">
        <f>"38156"</f>
        <v>38156</v>
      </c>
      <c r="AL1902">
        <v>7</v>
      </c>
      <c r="AM1902">
        <v>2167</v>
      </c>
      <c r="AN1902">
        <v>2695.15</v>
      </c>
      <c r="AQ1902" t="s">
        <v>18632</v>
      </c>
      <c r="AR1902" t="s">
        <v>18632</v>
      </c>
      <c r="AS1902" t="s">
        <v>18632</v>
      </c>
      <c r="AU1902" t="s">
        <v>396</v>
      </c>
      <c r="AV1902">
        <v>2017</v>
      </c>
      <c r="AW1902" t="str">
        <f>"00-00-30-010C-0002-0180 "</f>
        <v xml:space="preserve">00-00-30-010C-0002-0180 </v>
      </c>
      <c r="AZ1902" t="s">
        <v>18409</v>
      </c>
      <c r="BA1902" t="s">
        <v>1942</v>
      </c>
      <c r="BD1902" t="s">
        <v>11749</v>
      </c>
      <c r="BE1902" t="s">
        <v>393</v>
      </c>
      <c r="BF1902">
        <v>32034</v>
      </c>
      <c r="BG1902" t="s">
        <v>18602</v>
      </c>
      <c r="BH1902" t="s">
        <v>11751</v>
      </c>
      <c r="BI1902">
        <v>-81.444436541159803</v>
      </c>
      <c r="BJ1902">
        <v>30.570389195964001</v>
      </c>
      <c r="BK1902" t="s">
        <v>18633</v>
      </c>
      <c r="BM1902" t="s">
        <v>18634</v>
      </c>
      <c r="BN1902" t="s">
        <v>18635</v>
      </c>
      <c r="BO1902">
        <v>27502</v>
      </c>
      <c r="BP1902" t="s">
        <v>404</v>
      </c>
      <c r="BQ1902">
        <v>0</v>
      </c>
      <c r="BR1902" t="s">
        <v>491</v>
      </c>
      <c r="BS1902">
        <v>8001</v>
      </c>
      <c r="BT1902" t="s">
        <v>492</v>
      </c>
      <c r="BU1902">
        <v>500</v>
      </c>
      <c r="BV1902">
        <v>1000</v>
      </c>
      <c r="BW1902">
        <v>5000</v>
      </c>
      <c r="BX1902" t="s">
        <v>407</v>
      </c>
      <c r="BY1902" t="s">
        <v>7351</v>
      </c>
      <c r="CD1902">
        <v>2017</v>
      </c>
      <c r="CE1902">
        <v>160000</v>
      </c>
      <c r="CG1902">
        <v>160000</v>
      </c>
      <c r="CH1902">
        <v>2017</v>
      </c>
      <c r="CI1902">
        <v>160000</v>
      </c>
      <c r="CK1902">
        <v>160000</v>
      </c>
      <c r="CL1902">
        <v>2017</v>
      </c>
      <c r="CM1902">
        <v>2462.46</v>
      </c>
      <c r="CN1902" s="1">
        <v>38056</v>
      </c>
      <c r="CZ1902" s="1">
        <v>38056</v>
      </c>
      <c r="DD1902" t="s">
        <v>11749</v>
      </c>
      <c r="DF1902">
        <v>18</v>
      </c>
      <c r="DG1902">
        <v>20</v>
      </c>
      <c r="DI1902">
        <v>1</v>
      </c>
      <c r="DJ1902" t="s">
        <v>18414</v>
      </c>
      <c r="DL1902">
        <v>50201</v>
      </c>
      <c r="DM1902" t="s">
        <v>18307</v>
      </c>
      <c r="DO1902" t="s">
        <v>18636</v>
      </c>
      <c r="DP1902">
        <v>0</v>
      </c>
      <c r="DQ1902">
        <v>0</v>
      </c>
      <c r="DR1902" t="s">
        <v>411</v>
      </c>
      <c r="DS1902" t="b">
        <v>1</v>
      </c>
      <c r="DT1902" t="s">
        <v>470</v>
      </c>
      <c r="DU1902" t="s">
        <v>471</v>
      </c>
      <c r="DV1902" t="s">
        <v>472</v>
      </c>
      <c r="DX1902">
        <v>-9999</v>
      </c>
      <c r="DZ1902" t="s">
        <v>447</v>
      </c>
      <c r="EA1902" t="s">
        <v>448</v>
      </c>
      <c r="EB1902" t="s">
        <v>14787</v>
      </c>
      <c r="EC1902">
        <v>20101217</v>
      </c>
      <c r="ED1902" t="s">
        <v>474</v>
      </c>
      <c r="EF1902">
        <v>222.8</v>
      </c>
      <c r="EG1902">
        <v>222.8</v>
      </c>
      <c r="EI1902">
        <v>20160407</v>
      </c>
      <c r="EJ1902">
        <v>0</v>
      </c>
      <c r="EK1902">
        <v>0</v>
      </c>
      <c r="EP1902" t="s">
        <v>421</v>
      </c>
      <c r="EQ1902" t="s">
        <v>452</v>
      </c>
      <c r="ER1902">
        <v>0</v>
      </c>
      <c r="ES1902">
        <v>8</v>
      </c>
      <c r="ET1902">
        <v>0</v>
      </c>
      <c r="EU1902">
        <v>0</v>
      </c>
      <c r="EV1902">
        <v>0</v>
      </c>
      <c r="EW1902" s="2">
        <v>43222</v>
      </c>
      <c r="EX1902" s="1">
        <v>42515</v>
      </c>
      <c r="EY1902">
        <v>2015</v>
      </c>
      <c r="EZ1902">
        <v>2596.66</v>
      </c>
      <c r="FA1902" t="s">
        <v>18637</v>
      </c>
      <c r="FB1902">
        <v>0.25</v>
      </c>
      <c r="FC1902" t="s">
        <v>424</v>
      </c>
      <c r="FD1902" t="s">
        <v>425</v>
      </c>
      <c r="FE1902" s="1">
        <v>42843</v>
      </c>
      <c r="FF1902">
        <v>11</v>
      </c>
      <c r="FG1902">
        <v>7336671</v>
      </c>
      <c r="FH1902" t="s">
        <v>437</v>
      </c>
      <c r="FI1902" t="s">
        <v>458</v>
      </c>
      <c r="FJ1902" s="1">
        <v>42515</v>
      </c>
      <c r="FK1902">
        <v>2015</v>
      </c>
      <c r="FL1902">
        <v>2596.66</v>
      </c>
      <c r="FM1902" t="s">
        <v>18637</v>
      </c>
      <c r="FN1902">
        <v>0.25</v>
      </c>
      <c r="FO1902" t="s">
        <v>424</v>
      </c>
      <c r="FP1902" t="s">
        <v>425</v>
      </c>
      <c r="FR1902">
        <v>22</v>
      </c>
      <c r="FS1902">
        <v>6944511</v>
      </c>
      <c r="FT1902" t="s">
        <v>18638</v>
      </c>
      <c r="FU1902" t="s">
        <v>458</v>
      </c>
      <c r="FV1902" s="1">
        <v>42151</v>
      </c>
      <c r="FW1902">
        <v>2014</v>
      </c>
      <c r="FX1902">
        <v>2610.39</v>
      </c>
      <c r="FY1902" t="s">
        <v>18639</v>
      </c>
      <c r="FZ1902">
        <v>0.25</v>
      </c>
      <c r="GA1902" t="s">
        <v>424</v>
      </c>
      <c r="GB1902" t="s">
        <v>425</v>
      </c>
      <c r="GD1902">
        <v>22</v>
      </c>
      <c r="GE1902">
        <v>11289</v>
      </c>
      <c r="GF1902" t="s">
        <v>787</v>
      </c>
      <c r="GG1902" t="s">
        <v>458</v>
      </c>
      <c r="GH1902" s="1">
        <v>42151</v>
      </c>
      <c r="GI1902">
        <v>2014</v>
      </c>
      <c r="GJ1902">
        <v>2610.39</v>
      </c>
      <c r="GK1902" t="s">
        <v>18639</v>
      </c>
      <c r="GL1902">
        <v>0.25</v>
      </c>
      <c r="GM1902" t="s">
        <v>424</v>
      </c>
      <c r="GN1902" t="s">
        <v>425</v>
      </c>
      <c r="GP1902">
        <v>22</v>
      </c>
      <c r="GQ1902">
        <v>5217318</v>
      </c>
      <c r="GR1902" t="s">
        <v>18640</v>
      </c>
      <c r="GS1902" t="s">
        <v>458</v>
      </c>
      <c r="GT1902" s="1">
        <v>42151</v>
      </c>
      <c r="GU1902">
        <v>2014</v>
      </c>
      <c r="GV1902">
        <v>2610.39</v>
      </c>
      <c r="GW1902" t="s">
        <v>18639</v>
      </c>
      <c r="GX1902">
        <v>0.25</v>
      </c>
      <c r="GY1902" t="s">
        <v>424</v>
      </c>
      <c r="GZ1902" t="s">
        <v>425</v>
      </c>
      <c r="HB1902">
        <v>22</v>
      </c>
      <c r="HC1902">
        <v>7045059</v>
      </c>
      <c r="HD1902" t="s">
        <v>5073</v>
      </c>
      <c r="HE1902" t="s">
        <v>458</v>
      </c>
      <c r="HF1902" s="1">
        <v>41423</v>
      </c>
      <c r="HG1902">
        <v>2012</v>
      </c>
      <c r="HH1902">
        <v>2502.52</v>
      </c>
      <c r="HI1902" t="s">
        <v>18641</v>
      </c>
      <c r="HJ1902">
        <v>0.25</v>
      </c>
      <c r="HK1902" t="s">
        <v>424</v>
      </c>
      <c r="HL1902" t="s">
        <v>425</v>
      </c>
      <c r="HM1902" s="1">
        <v>41638</v>
      </c>
      <c r="HN1902">
        <v>7</v>
      </c>
      <c r="HO1902">
        <v>12422</v>
      </c>
      <c r="HP1902" t="s">
        <v>18466</v>
      </c>
      <c r="HR1902" s="1">
        <v>41052</v>
      </c>
      <c r="HS1902">
        <v>2011</v>
      </c>
      <c r="HT1902">
        <v>3116.27</v>
      </c>
      <c r="HU1902" t="s">
        <v>18642</v>
      </c>
      <c r="HV1902">
        <v>5.75</v>
      </c>
      <c r="HW1902" t="s">
        <v>424</v>
      </c>
      <c r="HX1902" t="s">
        <v>425</v>
      </c>
      <c r="HY1902" s="1">
        <v>41638</v>
      </c>
      <c r="HZ1902">
        <v>19</v>
      </c>
      <c r="IA1902">
        <v>11287</v>
      </c>
      <c r="IB1902" t="s">
        <v>511</v>
      </c>
      <c r="ID1902" s="1">
        <v>40688</v>
      </c>
      <c r="IE1902">
        <v>2010</v>
      </c>
      <c r="IF1902">
        <v>3476.99</v>
      </c>
      <c r="IG1902" t="s">
        <v>18643</v>
      </c>
      <c r="IH1902">
        <v>5.75</v>
      </c>
      <c r="II1902" t="s">
        <v>424</v>
      </c>
      <c r="IJ1902" t="s">
        <v>425</v>
      </c>
      <c r="IK1902" s="1">
        <v>41638</v>
      </c>
      <c r="IL1902">
        <v>31</v>
      </c>
      <c r="IM1902">
        <v>62</v>
      </c>
      <c r="IN1902" t="s">
        <v>463</v>
      </c>
    </row>
    <row r="1903" spans="1:248" x14ac:dyDescent="0.25">
      <c r="A1903">
        <v>16486910</v>
      </c>
      <c r="B1903">
        <v>1902</v>
      </c>
      <c r="C1903" t="s">
        <v>393</v>
      </c>
      <c r="D1903" t="s">
        <v>394</v>
      </c>
      <c r="F1903" t="str">
        <f>"00-00-30-010D-0005-0010"</f>
        <v>00-00-30-010D-0005-0010</v>
      </c>
      <c r="H1903" t="str">
        <f>"DOBSON ERIN C"</f>
        <v>DOBSON ERIN C</v>
      </c>
      <c r="I1903" t="str">
        <f>"6538 KINLOCK DR W"</f>
        <v>6538 KINLOCK DR W</v>
      </c>
      <c r="J1903" t="str">
        <f>"JACKSONVILLE FL 32219"</f>
        <v>JACKSONVILLE FL 32219</v>
      </c>
      <c r="K1903" t="str">
        <f>"1736 LEWIS ST"</f>
        <v>1736 LEWIS ST</v>
      </c>
      <c r="L1903" t="str">
        <f t="shared" si="711"/>
        <v>FERNANDINA BEACH FL 32034</v>
      </c>
      <c r="M1903" t="str">
        <f>"BLOCK 5 LOTS 1 &amp; 2 &amp; ABND R/W RESOLUTION 97-200 PT OR 1915/980 AMERICAN BEACH 3 UNIT 2 PB 4/1"</f>
        <v>BLOCK 5 LOTS 1 &amp; 2 &amp; ABND R/W RESOLUTION 97-200 PT OR 1915/980 AMERICAN BEACH 3 UNIT 2 PB 4/1</v>
      </c>
      <c r="N1903" t="str">
        <f>""</f>
        <v/>
      </c>
      <c r="O1903" t="str">
        <f>"526"</f>
        <v>526</v>
      </c>
      <c r="P1903" t="str">
        <f t="shared" si="698"/>
        <v>2017</v>
      </c>
      <c r="Q1903" t="str">
        <f>""</f>
        <v/>
      </c>
      <c r="R1903" t="str">
        <f>"N"</f>
        <v>N</v>
      </c>
      <c r="S1903" t="str">
        <f>""</f>
        <v/>
      </c>
      <c r="T1903" t="str">
        <f>"4891.52"</f>
        <v>4891.52</v>
      </c>
      <c r="U1903" t="str">
        <f>"317829.00"</f>
        <v>317829.00</v>
      </c>
      <c r="V1903" t="str">
        <f>"317829.00"</f>
        <v>317829.00</v>
      </c>
      <c r="W1903" t="str">
        <f t="shared" si="699"/>
        <v>2017</v>
      </c>
      <c r="X1903" t="str">
        <f>""</f>
        <v/>
      </c>
      <c r="Y1903" t="str">
        <f>"5070.27"</f>
        <v>5070.27</v>
      </c>
      <c r="Z1903" t="str">
        <f>""</f>
        <v/>
      </c>
      <c r="AA1903" t="str">
        <f>"317829.00"</f>
        <v>317829.00</v>
      </c>
      <c r="AB1903" t="str">
        <f t="shared" si="708"/>
        <v>Residential</v>
      </c>
      <c r="AC1903" t="str">
        <f t="shared" si="710"/>
        <v>0</v>
      </c>
      <c r="AD1903" t="str">
        <f>"3"</f>
        <v>3</v>
      </c>
      <c r="AE1903" t="str">
        <f>"MASONRY"</f>
        <v>MASONRY</v>
      </c>
      <c r="AF1903" t="str">
        <f>"001"</f>
        <v>001</v>
      </c>
      <c r="AG1903" t="str">
        <f t="shared" ref="AG1903:AG1908" si="718">"FL"</f>
        <v>FL</v>
      </c>
      <c r="AH1903" t="str">
        <f>"12750.00"</f>
        <v>12750.00</v>
      </c>
      <c r="AI1903" t="str">
        <f>"112500.00"</f>
        <v>112500.00</v>
      </c>
      <c r="AJ1903" t="str">
        <f>"C55-000-585-0429-1"</f>
        <v>C55-000-585-0429-1</v>
      </c>
      <c r="AK1903" t="str">
        <f>"38166"</f>
        <v>38166</v>
      </c>
      <c r="AL1903">
        <v>7</v>
      </c>
      <c r="AM1903">
        <v>2168</v>
      </c>
      <c r="AN1903">
        <v>5322.18</v>
      </c>
      <c r="AQ1903" t="s">
        <v>18644</v>
      </c>
      <c r="AR1903" t="s">
        <v>18644</v>
      </c>
      <c r="AS1903" t="s">
        <v>18644</v>
      </c>
      <c r="AU1903" t="s">
        <v>396</v>
      </c>
      <c r="AV1903">
        <v>2017</v>
      </c>
      <c r="AW1903" t="str">
        <f>"00-00-30-010D-0005-0010 "</f>
        <v xml:space="preserve">00-00-30-010D-0005-0010 </v>
      </c>
      <c r="AX1903">
        <v>1736</v>
      </c>
      <c r="AZ1903" t="s">
        <v>18451</v>
      </c>
      <c r="BA1903" t="s">
        <v>1942</v>
      </c>
      <c r="BD1903" t="s">
        <v>11749</v>
      </c>
      <c r="BE1903" t="s">
        <v>393</v>
      </c>
      <c r="BF1903">
        <v>32034</v>
      </c>
      <c r="BG1903" t="s">
        <v>18645</v>
      </c>
      <c r="BH1903" t="s">
        <v>11751</v>
      </c>
      <c r="BI1903">
        <v>-81.447441713526899</v>
      </c>
      <c r="BJ1903">
        <v>30.573243217961998</v>
      </c>
      <c r="BK1903" t="s">
        <v>18646</v>
      </c>
      <c r="BM1903" t="s">
        <v>18647</v>
      </c>
      <c r="BN1903" t="s">
        <v>548</v>
      </c>
      <c r="BO1903">
        <v>32219</v>
      </c>
      <c r="BP1903" t="s">
        <v>404</v>
      </c>
      <c r="BQ1903">
        <v>100</v>
      </c>
      <c r="BR1903" t="s">
        <v>514</v>
      </c>
      <c r="BS1903">
        <v>1001</v>
      </c>
      <c r="BT1903" t="s">
        <v>515</v>
      </c>
      <c r="BW1903">
        <v>12802</v>
      </c>
      <c r="BX1903" t="s">
        <v>407</v>
      </c>
      <c r="BY1903" t="s">
        <v>7351</v>
      </c>
      <c r="BZ1903">
        <v>3</v>
      </c>
      <c r="CA1903">
        <v>1955</v>
      </c>
      <c r="CB1903">
        <v>2</v>
      </c>
      <c r="CC1903">
        <v>1</v>
      </c>
      <c r="CD1903">
        <v>2017</v>
      </c>
      <c r="CE1903">
        <v>112500</v>
      </c>
      <c r="CF1903">
        <v>205329</v>
      </c>
      <c r="CG1903">
        <v>317829</v>
      </c>
      <c r="CH1903">
        <v>2017</v>
      </c>
      <c r="CI1903">
        <v>112500</v>
      </c>
      <c r="CJ1903">
        <v>205329</v>
      </c>
      <c r="CK1903">
        <v>317829</v>
      </c>
      <c r="CL1903">
        <v>2017</v>
      </c>
      <c r="CM1903">
        <v>4891.5200000000004</v>
      </c>
      <c r="CN1903" s="1">
        <v>41761</v>
      </c>
      <c r="CO1903">
        <v>250000</v>
      </c>
      <c r="CV1903">
        <v>0</v>
      </c>
      <c r="CZ1903" s="1">
        <v>41761</v>
      </c>
      <c r="DA1903">
        <v>0</v>
      </c>
      <c r="DD1903" t="s">
        <v>11749</v>
      </c>
      <c r="DG1903">
        <v>20</v>
      </c>
      <c r="DL1903">
        <v>50201</v>
      </c>
      <c r="DM1903" t="s">
        <v>18307</v>
      </c>
      <c r="DO1903" t="s">
        <v>18648</v>
      </c>
      <c r="DP1903">
        <v>0</v>
      </c>
      <c r="DQ1903">
        <v>0</v>
      </c>
      <c r="DR1903" t="s">
        <v>411</v>
      </c>
    </row>
    <row r="1904" spans="1:248" x14ac:dyDescent="0.25">
      <c r="A1904">
        <v>16486911</v>
      </c>
      <c r="B1904">
        <v>1903</v>
      </c>
      <c r="C1904" t="s">
        <v>393</v>
      </c>
      <c r="D1904" t="s">
        <v>394</v>
      </c>
      <c r="F1904" t="str">
        <f>"00-00-30-010D-0005-0030"</f>
        <v>00-00-30-010D-0005-0030</v>
      </c>
      <c r="H1904" t="str">
        <f>"GAFFNEY JOHNNY"</f>
        <v>GAFFNEY JOHNNY</v>
      </c>
      <c r="I1904" t="str">
        <f>"1748 LEWIS ST"</f>
        <v>1748 LEWIS ST</v>
      </c>
      <c r="J1904" t="str">
        <f>"FERNANDINA BEACH FL 32034"</f>
        <v>FERNANDINA BEACH FL 32034</v>
      </c>
      <c r="K1904" t="str">
        <f>"1748 LEWIS ST"</f>
        <v>1748 LEWIS ST</v>
      </c>
      <c r="L1904" t="str">
        <f t="shared" si="711"/>
        <v>FERNANDINA BEACH FL 32034</v>
      </c>
      <c r="M1904" t="str">
        <f>"BLOCK 5 LOT 3 IN OR 1153/227 &amp; OR 1910/488 AMERICAN BEACH 3 SECT 2 PB4/1"</f>
        <v>BLOCK 5 LOT 3 IN OR 1153/227 &amp; OR 1910/488 AMERICAN BEACH 3 SECT 2 PB4/1</v>
      </c>
      <c r="N1904" t="str">
        <f>""</f>
        <v/>
      </c>
      <c r="O1904" t="str">
        <f>"527"</f>
        <v>527</v>
      </c>
      <c r="P1904" t="str">
        <f t="shared" si="698"/>
        <v>2017</v>
      </c>
      <c r="Q1904" t="str">
        <f>""</f>
        <v/>
      </c>
      <c r="R1904" t="str">
        <f>"Y"</f>
        <v>Y</v>
      </c>
      <c r="S1904" t="str">
        <f>""</f>
        <v/>
      </c>
      <c r="T1904" t="str">
        <f>"1771.01"</f>
        <v>1771.01</v>
      </c>
      <c r="U1904" t="str">
        <f>"154355.00"</f>
        <v>154355.00</v>
      </c>
      <c r="V1904" t="str">
        <f>"154355.00"</f>
        <v>154355.00</v>
      </c>
      <c r="W1904" t="str">
        <f t="shared" si="699"/>
        <v>2017</v>
      </c>
      <c r="X1904" t="str">
        <f>"10.60"</f>
        <v>10.60</v>
      </c>
      <c r="Y1904" t="str">
        <f>"1856.14"</f>
        <v>1856.14</v>
      </c>
      <c r="Z1904" t="str">
        <f>"25000.00"</f>
        <v>25000.00</v>
      </c>
      <c r="AA1904" t="str">
        <f>"129355.00"</f>
        <v>129355.00</v>
      </c>
      <c r="AB1904" t="str">
        <f t="shared" si="708"/>
        <v>Residential</v>
      </c>
      <c r="AC1904" t="str">
        <f t="shared" si="710"/>
        <v>0</v>
      </c>
      <c r="AD1904" t="str">
        <f>"4"</f>
        <v>4</v>
      </c>
      <c r="AE1904" t="str">
        <f>"WOOD (INCLUDE STEEL STUDS)"</f>
        <v>WOOD (INCLUDE STEEL STUDS)</v>
      </c>
      <c r="AF1904" t="str">
        <f>"001"</f>
        <v>001</v>
      </c>
      <c r="AG1904" t="str">
        <f t="shared" si="718"/>
        <v>FL</v>
      </c>
      <c r="AH1904" t="str">
        <f>"5300.00"</f>
        <v>5300.00</v>
      </c>
      <c r="AI1904" t="str">
        <f>"84975.00"</f>
        <v>84975.00</v>
      </c>
      <c r="AJ1904" t="str">
        <f>"C55-000-585-0430-9"</f>
        <v>C55-000-585-0430-9</v>
      </c>
      <c r="AK1904" t="str">
        <f>"38167"</f>
        <v>38167</v>
      </c>
      <c r="AL1904">
        <v>7</v>
      </c>
      <c r="AM1904">
        <v>2169</v>
      </c>
      <c r="AN1904">
        <v>1947.35</v>
      </c>
      <c r="AQ1904" t="s">
        <v>18649</v>
      </c>
      <c r="AR1904" t="s">
        <v>18649</v>
      </c>
      <c r="AS1904" t="s">
        <v>18649</v>
      </c>
      <c r="AU1904" t="s">
        <v>396</v>
      </c>
      <c r="AV1904">
        <v>2017</v>
      </c>
      <c r="AW1904" t="str">
        <f>"00-00-30-010D-0005-0030 "</f>
        <v xml:space="preserve">00-00-30-010D-0005-0030 </v>
      </c>
      <c r="AX1904">
        <v>1748</v>
      </c>
      <c r="AZ1904" t="s">
        <v>18451</v>
      </c>
      <c r="BA1904" t="s">
        <v>1942</v>
      </c>
      <c r="BD1904" t="s">
        <v>11749</v>
      </c>
      <c r="BE1904" t="s">
        <v>393</v>
      </c>
      <c r="BF1904">
        <v>32034</v>
      </c>
      <c r="BG1904" t="s">
        <v>18650</v>
      </c>
      <c r="BH1904" t="s">
        <v>11751</v>
      </c>
      <c r="BI1904">
        <v>-81.447166224078202</v>
      </c>
      <c r="BJ1904">
        <v>30.573257565030499</v>
      </c>
      <c r="BK1904" t="s">
        <v>18651</v>
      </c>
      <c r="BM1904" t="s">
        <v>18650</v>
      </c>
      <c r="BN1904" t="s">
        <v>3983</v>
      </c>
      <c r="BO1904">
        <v>32034</v>
      </c>
      <c r="BP1904" t="s">
        <v>416</v>
      </c>
      <c r="BQ1904">
        <v>100</v>
      </c>
      <c r="BR1904" t="s">
        <v>514</v>
      </c>
      <c r="BS1904">
        <v>1001</v>
      </c>
      <c r="BT1904" t="s">
        <v>515</v>
      </c>
      <c r="BU1904">
        <v>500</v>
      </c>
      <c r="BV1904">
        <v>1060</v>
      </c>
      <c r="BW1904">
        <v>5401</v>
      </c>
      <c r="BX1904" t="s">
        <v>407</v>
      </c>
      <c r="BY1904" t="s">
        <v>7351</v>
      </c>
      <c r="BZ1904">
        <v>4</v>
      </c>
      <c r="CA1904">
        <v>1972</v>
      </c>
      <c r="CB1904">
        <v>1</v>
      </c>
      <c r="CC1904">
        <v>2</v>
      </c>
      <c r="CD1904">
        <v>2017</v>
      </c>
      <c r="CE1904">
        <v>84975</v>
      </c>
      <c r="CF1904">
        <v>69380</v>
      </c>
      <c r="CG1904">
        <v>154355</v>
      </c>
      <c r="CH1904">
        <v>2017</v>
      </c>
      <c r="CI1904">
        <v>84975</v>
      </c>
      <c r="CJ1904">
        <v>69380</v>
      </c>
      <c r="CK1904">
        <v>154355</v>
      </c>
      <c r="CL1904">
        <v>2017</v>
      </c>
      <c r="CM1904">
        <v>1771.01</v>
      </c>
      <c r="CN1904" s="1">
        <v>37816</v>
      </c>
      <c r="CO1904">
        <v>67000</v>
      </c>
      <c r="CV1904">
        <v>0</v>
      </c>
      <c r="CZ1904" s="1">
        <v>37816</v>
      </c>
      <c r="DA1904">
        <v>0</v>
      </c>
      <c r="DD1904" t="s">
        <v>11749</v>
      </c>
      <c r="DF1904">
        <v>3</v>
      </c>
      <c r="DG1904">
        <v>20</v>
      </c>
      <c r="DJ1904" t="s">
        <v>18414</v>
      </c>
      <c r="DL1904">
        <v>50201</v>
      </c>
      <c r="DM1904" t="s">
        <v>18307</v>
      </c>
      <c r="DO1904" t="s">
        <v>18652</v>
      </c>
      <c r="DP1904">
        <v>0</v>
      </c>
      <c r="DQ1904">
        <v>0</v>
      </c>
      <c r="DR1904" t="s">
        <v>411</v>
      </c>
      <c r="DS1904" t="b">
        <v>1</v>
      </c>
      <c r="DT1904" t="s">
        <v>470</v>
      </c>
      <c r="DU1904" t="s">
        <v>471</v>
      </c>
      <c r="DV1904" t="s">
        <v>472</v>
      </c>
      <c r="DX1904">
        <v>-9999</v>
      </c>
      <c r="DZ1904" t="s">
        <v>447</v>
      </c>
      <c r="EA1904" t="s">
        <v>448</v>
      </c>
      <c r="EB1904" t="s">
        <v>14787</v>
      </c>
      <c r="EC1904">
        <v>20101217</v>
      </c>
      <c r="ED1904" t="s">
        <v>474</v>
      </c>
      <c r="EF1904">
        <v>230</v>
      </c>
      <c r="EG1904">
        <v>215.9</v>
      </c>
      <c r="EI1904">
        <v>20160407</v>
      </c>
      <c r="EJ1904">
        <v>0</v>
      </c>
      <c r="EK1904">
        <v>0</v>
      </c>
      <c r="EP1904" t="s">
        <v>421</v>
      </c>
      <c r="EQ1904" t="s">
        <v>422</v>
      </c>
      <c r="ER1904">
        <v>0</v>
      </c>
      <c r="ES1904">
        <v>2</v>
      </c>
      <c r="ET1904">
        <v>0</v>
      </c>
      <c r="EU1904">
        <v>0</v>
      </c>
      <c r="EV1904">
        <v>0</v>
      </c>
      <c r="EW1904" s="2">
        <v>43222</v>
      </c>
      <c r="EX1904" s="1">
        <v>42515</v>
      </c>
      <c r="EY1904">
        <v>2015</v>
      </c>
      <c r="EZ1904">
        <v>2632.49</v>
      </c>
      <c r="FA1904" t="s">
        <v>18653</v>
      </c>
      <c r="FB1904">
        <v>0.25</v>
      </c>
      <c r="FC1904" t="s">
        <v>424</v>
      </c>
      <c r="FD1904" t="s">
        <v>425</v>
      </c>
      <c r="FE1904" s="1">
        <v>42534</v>
      </c>
      <c r="FF1904">
        <v>1</v>
      </c>
      <c r="FG1904">
        <v>7336671</v>
      </c>
      <c r="FH1904" t="s">
        <v>437</v>
      </c>
      <c r="FJ1904" s="1">
        <v>42515</v>
      </c>
      <c r="FK1904">
        <v>2015</v>
      </c>
      <c r="FL1904">
        <v>2632.49</v>
      </c>
      <c r="FM1904" t="s">
        <v>18653</v>
      </c>
      <c r="FN1904">
        <v>0.25</v>
      </c>
      <c r="FO1904" t="s">
        <v>424</v>
      </c>
      <c r="FP1904" t="s">
        <v>425</v>
      </c>
      <c r="FR1904">
        <v>22</v>
      </c>
      <c r="FS1904">
        <v>6798423</v>
      </c>
      <c r="FT1904" t="s">
        <v>18654</v>
      </c>
    </row>
    <row r="1905" spans="1:284" x14ac:dyDescent="0.25">
      <c r="A1905">
        <v>16486912</v>
      </c>
      <c r="B1905">
        <v>1904</v>
      </c>
      <c r="C1905" t="s">
        <v>393</v>
      </c>
      <c r="D1905" t="s">
        <v>394</v>
      </c>
      <c r="F1905" t="str">
        <f>"00-00-30-010D-0006-0020"</f>
        <v>00-00-30-010D-0006-0020</v>
      </c>
      <c r="H1905" t="str">
        <f>"CINTRON EDWIN &amp; SHEA"</f>
        <v>CINTRON EDWIN &amp; SHEA</v>
      </c>
      <c r="I1905" t="str">
        <f>"684 TIMBERMILL LN"</f>
        <v>684 TIMBERMILL LN</v>
      </c>
      <c r="J1905" t="str">
        <f>"ORANGE PARK FL 32065"</f>
        <v>ORANGE PARK FL 32065</v>
      </c>
      <c r="K1905" t="str">
        <f>"1720 LEWIS ST"</f>
        <v>1720 LEWIS ST</v>
      </c>
      <c r="L1905" t="str">
        <f t="shared" si="711"/>
        <v>FERNANDINA BEACH FL 32034</v>
      </c>
      <c r="M1905" t="str">
        <f>"BLOCK 6 LOT 2 IN OR 2040/244 AMERICAN BEACH 3 SEC 2 PB 4/1"</f>
        <v>BLOCK 6 LOT 2 IN OR 2040/244 AMERICAN BEACH 3 SEC 2 PB 4/1</v>
      </c>
      <c r="N1905" t="str">
        <f>""</f>
        <v/>
      </c>
      <c r="O1905" t="str">
        <f>"530"</f>
        <v>530</v>
      </c>
      <c r="P1905" t="str">
        <f t="shared" si="698"/>
        <v>2017</v>
      </c>
      <c r="Q1905" t="str">
        <f>""</f>
        <v/>
      </c>
      <c r="R1905" t="str">
        <f t="shared" ref="R1905:R1911" si="719">"N"</f>
        <v>N</v>
      </c>
      <c r="S1905" t="str">
        <f>""</f>
        <v/>
      </c>
      <c r="T1905" t="str">
        <f>"1465.17"</f>
        <v>1465.17</v>
      </c>
      <c r="U1905" t="str">
        <f>"95201.00"</f>
        <v>95201.00</v>
      </c>
      <c r="V1905" t="str">
        <f>"95201.00"</f>
        <v>95201.00</v>
      </c>
      <c r="W1905" t="str">
        <f t="shared" si="699"/>
        <v>2017</v>
      </c>
      <c r="X1905" t="str">
        <f>""</f>
        <v/>
      </c>
      <c r="Y1905" t="str">
        <f>"1541.13"</f>
        <v>1541.13</v>
      </c>
      <c r="Z1905" t="str">
        <f>""</f>
        <v/>
      </c>
      <c r="AA1905" t="str">
        <f>"95201.00"</f>
        <v>95201.00</v>
      </c>
      <c r="AB1905" t="str">
        <f t="shared" si="708"/>
        <v>Residential</v>
      </c>
      <c r="AC1905" t="str">
        <f t="shared" si="710"/>
        <v>0</v>
      </c>
      <c r="AD1905" t="str">
        <f>"4"</f>
        <v>4</v>
      </c>
      <c r="AE1905" t="str">
        <f>"WOOD (INCLUDE STEEL STUDS)"</f>
        <v>WOOD (INCLUDE STEEL STUDS)</v>
      </c>
      <c r="AF1905" t="str">
        <f>"001"</f>
        <v>001</v>
      </c>
      <c r="AG1905" t="str">
        <f t="shared" si="718"/>
        <v>FL</v>
      </c>
      <c r="AH1905" t="str">
        <f>"5200.00"</f>
        <v>5200.00</v>
      </c>
      <c r="AI1905" t="str">
        <f>"45000.00"</f>
        <v>45000.00</v>
      </c>
      <c r="AJ1905" t="str">
        <f>"C55-000-585-0433-3"</f>
        <v>C55-000-585-0433-3</v>
      </c>
      <c r="AK1905" t="str">
        <f>"38170"</f>
        <v>38170</v>
      </c>
      <c r="AL1905">
        <v>7</v>
      </c>
      <c r="AM1905">
        <v>2170</v>
      </c>
      <c r="AN1905">
        <v>1616.59</v>
      </c>
      <c r="AQ1905" t="s">
        <v>18655</v>
      </c>
      <c r="AR1905" t="s">
        <v>18655</v>
      </c>
      <c r="AS1905" t="s">
        <v>18655</v>
      </c>
      <c r="AU1905" t="s">
        <v>396</v>
      </c>
      <c r="AV1905">
        <v>2017</v>
      </c>
      <c r="AW1905" t="str">
        <f>"00-00-30-010D-0006-0020 "</f>
        <v xml:space="preserve">00-00-30-010D-0006-0020 </v>
      </c>
      <c r="AX1905">
        <v>1720</v>
      </c>
      <c r="AZ1905" t="s">
        <v>18451</v>
      </c>
      <c r="BA1905" t="s">
        <v>1942</v>
      </c>
      <c r="BD1905" t="s">
        <v>11749</v>
      </c>
      <c r="BE1905" t="s">
        <v>393</v>
      </c>
      <c r="BF1905">
        <v>32034</v>
      </c>
      <c r="BG1905" t="s">
        <v>18656</v>
      </c>
      <c r="BH1905" t="s">
        <v>11751</v>
      </c>
      <c r="BI1905">
        <v>-81.4481175147519</v>
      </c>
      <c r="BJ1905">
        <v>30.573185917606299</v>
      </c>
      <c r="BK1905" t="s">
        <v>18657</v>
      </c>
      <c r="BL1905" t="s">
        <v>18658</v>
      </c>
      <c r="BM1905" t="s">
        <v>18659</v>
      </c>
      <c r="BN1905" t="s">
        <v>878</v>
      </c>
      <c r="BO1905">
        <v>32065</v>
      </c>
      <c r="BP1905" t="s">
        <v>404</v>
      </c>
      <c r="BQ1905">
        <v>100</v>
      </c>
      <c r="BR1905" t="s">
        <v>514</v>
      </c>
      <c r="BS1905">
        <v>1001</v>
      </c>
      <c r="BT1905" t="s">
        <v>515</v>
      </c>
      <c r="BU1905">
        <v>500</v>
      </c>
      <c r="BV1905">
        <v>1040</v>
      </c>
      <c r="BW1905">
        <v>5241</v>
      </c>
      <c r="BX1905" t="s">
        <v>407</v>
      </c>
      <c r="BY1905" t="s">
        <v>7351</v>
      </c>
      <c r="BZ1905">
        <v>4</v>
      </c>
      <c r="CA1905">
        <v>1961</v>
      </c>
      <c r="CB1905">
        <v>1</v>
      </c>
      <c r="CC1905">
        <v>1</v>
      </c>
      <c r="CD1905">
        <v>2017</v>
      </c>
      <c r="CE1905">
        <v>45000</v>
      </c>
      <c r="CF1905">
        <v>50201</v>
      </c>
      <c r="CG1905">
        <v>95201</v>
      </c>
      <c r="CH1905">
        <v>2017</v>
      </c>
      <c r="CI1905">
        <v>45000</v>
      </c>
      <c r="CJ1905">
        <v>50201</v>
      </c>
      <c r="CK1905">
        <v>95201</v>
      </c>
      <c r="CL1905">
        <v>2017</v>
      </c>
      <c r="CM1905">
        <v>1465.17</v>
      </c>
      <c r="CN1905" s="1">
        <v>42474</v>
      </c>
      <c r="CO1905">
        <v>95000</v>
      </c>
      <c r="CV1905">
        <v>0</v>
      </c>
      <c r="CZ1905" s="1">
        <v>42474</v>
      </c>
      <c r="DA1905">
        <v>0</v>
      </c>
      <c r="DD1905" t="s">
        <v>11749</v>
      </c>
      <c r="DF1905">
        <v>2</v>
      </c>
      <c r="DG1905">
        <v>20</v>
      </c>
      <c r="DJ1905" t="s">
        <v>18414</v>
      </c>
      <c r="DL1905">
        <v>50201</v>
      </c>
      <c r="DM1905" t="s">
        <v>18307</v>
      </c>
      <c r="DO1905" t="s">
        <v>18660</v>
      </c>
      <c r="DP1905">
        <v>0</v>
      </c>
      <c r="DQ1905">
        <v>0</v>
      </c>
      <c r="DR1905" t="s">
        <v>411</v>
      </c>
    </row>
    <row r="1906" spans="1:284" x14ac:dyDescent="0.25">
      <c r="A1906">
        <v>16486913</v>
      </c>
      <c r="B1906">
        <v>1905</v>
      </c>
      <c r="C1906" t="s">
        <v>393</v>
      </c>
      <c r="D1906" t="s">
        <v>394</v>
      </c>
      <c r="F1906" t="str">
        <f>"00-00-30-010D-0006-0040"</f>
        <v>00-00-30-010D-0006-0040</v>
      </c>
      <c r="H1906" t="str">
        <f>"DOBSEN ERIN C"</f>
        <v>DOBSEN ERIN C</v>
      </c>
      <c r="I1906" t="str">
        <f>"6538 KINLOCK DR W"</f>
        <v>6538 KINLOCK DR W</v>
      </c>
      <c r="J1906" t="str">
        <f>"JACKSONVILLE FL 32219"</f>
        <v>JACKSONVILLE FL 32219</v>
      </c>
      <c r="K1906" t="str">
        <f>"LEWIS ST"</f>
        <v>LEWIS ST</v>
      </c>
      <c r="L1906" t="str">
        <f t="shared" si="711"/>
        <v>FERNANDINA BEACH FL 32034</v>
      </c>
      <c r="M1906" t="str">
        <f>"BLOCK 6 LOT 4 &amp; ABND R/W RESOLUTION 97-200 PT OR 1915/980 AMERICAN BEACH 3 UNIT 2 PB 4/1"</f>
        <v>BLOCK 6 LOT 4 &amp; ABND R/W RESOLUTION 97-200 PT OR 1915/980 AMERICAN BEACH 3 UNIT 2 PB 4/1</v>
      </c>
      <c r="N1906" t="str">
        <f>""</f>
        <v/>
      </c>
      <c r="O1906" t="str">
        <f>"532"</f>
        <v>532</v>
      </c>
      <c r="P1906" t="str">
        <f t="shared" si="698"/>
        <v>2017</v>
      </c>
      <c r="Q1906" t="str">
        <f>""</f>
        <v/>
      </c>
      <c r="R1906" t="str">
        <f t="shared" si="719"/>
        <v>N</v>
      </c>
      <c r="S1906" t="str">
        <f>""</f>
        <v/>
      </c>
      <c r="T1906" t="str">
        <f>"1038.85"</f>
        <v>1038.85</v>
      </c>
      <c r="U1906" t="str">
        <f>"67500.00"</f>
        <v>67500.00</v>
      </c>
      <c r="V1906" t="str">
        <f>"67500.00"</f>
        <v>67500.00</v>
      </c>
      <c r="W1906" t="str">
        <f t="shared" si="699"/>
        <v>2017</v>
      </c>
      <c r="X1906" t="str">
        <f>""</f>
        <v/>
      </c>
      <c r="Y1906" t="str">
        <f>"1102.02"</f>
        <v>1102.02</v>
      </c>
      <c r="Z1906" t="str">
        <f>""</f>
        <v/>
      </c>
      <c r="AA1906" t="str">
        <f>"67500.00"</f>
        <v>67500.00</v>
      </c>
      <c r="AB1906" t="str">
        <f t="shared" si="708"/>
        <v>Residential</v>
      </c>
      <c r="AC1906" t="str">
        <f t="shared" si="710"/>
        <v>0</v>
      </c>
      <c r="AD1906" t="str">
        <f>""</f>
        <v/>
      </c>
      <c r="AE1906" t="str">
        <f>""</f>
        <v/>
      </c>
      <c r="AF1906" t="str">
        <f>"000"</f>
        <v>000</v>
      </c>
      <c r="AG1906" t="str">
        <f t="shared" si="718"/>
        <v>FL</v>
      </c>
      <c r="AH1906" t="str">
        <f>"-"</f>
        <v>-</v>
      </c>
      <c r="AI1906" t="str">
        <f>"67500.00"</f>
        <v>67500.00</v>
      </c>
      <c r="AJ1906" t="str">
        <f>"C55-000-585-0435-8"</f>
        <v>C55-000-585-0435-8</v>
      </c>
      <c r="AK1906" t="str">
        <f>"38172"</f>
        <v>38172</v>
      </c>
      <c r="AL1906">
        <v>7</v>
      </c>
      <c r="AM1906">
        <v>2171</v>
      </c>
      <c r="AN1906">
        <v>1155.52</v>
      </c>
      <c r="AQ1906" t="s">
        <v>18661</v>
      </c>
      <c r="AR1906" t="s">
        <v>18661</v>
      </c>
      <c r="AS1906" t="s">
        <v>18661</v>
      </c>
      <c r="AU1906" t="s">
        <v>396</v>
      </c>
      <c r="AV1906">
        <v>2017</v>
      </c>
      <c r="AW1906" t="str">
        <f>"00-00-30-010D-0006-0040 "</f>
        <v xml:space="preserve">00-00-30-010D-0006-0040 </v>
      </c>
      <c r="AZ1906" t="s">
        <v>18451</v>
      </c>
      <c r="BA1906" t="s">
        <v>1942</v>
      </c>
      <c r="BD1906" t="s">
        <v>11749</v>
      </c>
      <c r="BE1906" t="s">
        <v>393</v>
      </c>
      <c r="BF1906">
        <v>32034</v>
      </c>
      <c r="BG1906" t="s">
        <v>18512</v>
      </c>
      <c r="BH1906" t="s">
        <v>11751</v>
      </c>
      <c r="BI1906">
        <v>-81.447764227967298</v>
      </c>
      <c r="BJ1906">
        <v>30.5732110728534</v>
      </c>
      <c r="BK1906" t="s">
        <v>18662</v>
      </c>
      <c r="BM1906" t="s">
        <v>18647</v>
      </c>
      <c r="BN1906" t="s">
        <v>548</v>
      </c>
      <c r="BO1906">
        <v>32219</v>
      </c>
      <c r="BP1906" t="s">
        <v>404</v>
      </c>
      <c r="BQ1906">
        <v>0</v>
      </c>
      <c r="BR1906" t="s">
        <v>491</v>
      </c>
      <c r="BS1906">
        <v>8001</v>
      </c>
      <c r="BT1906" t="s">
        <v>492</v>
      </c>
      <c r="BU1906">
        <v>750</v>
      </c>
      <c r="BW1906">
        <v>8001</v>
      </c>
      <c r="BX1906" t="s">
        <v>407</v>
      </c>
      <c r="BY1906" t="s">
        <v>7351</v>
      </c>
      <c r="CD1906">
        <v>2017</v>
      </c>
      <c r="CE1906">
        <v>67500</v>
      </c>
      <c r="CG1906">
        <v>67500</v>
      </c>
      <c r="CH1906">
        <v>2017</v>
      </c>
      <c r="CI1906">
        <v>67500</v>
      </c>
      <c r="CK1906">
        <v>67500</v>
      </c>
      <c r="CL1906">
        <v>2017</v>
      </c>
      <c r="CM1906">
        <v>1038.8499999999999</v>
      </c>
      <c r="CN1906" s="1">
        <v>41761</v>
      </c>
      <c r="CO1906">
        <v>250000</v>
      </c>
      <c r="CV1906">
        <v>0</v>
      </c>
      <c r="CZ1906" s="1">
        <v>41761</v>
      </c>
      <c r="DA1906">
        <v>0</v>
      </c>
      <c r="DD1906" t="s">
        <v>11749</v>
      </c>
      <c r="DF1906">
        <v>4</v>
      </c>
      <c r="DG1906">
        <v>20</v>
      </c>
      <c r="DL1906">
        <v>50201</v>
      </c>
      <c r="DM1906" t="s">
        <v>18307</v>
      </c>
      <c r="DO1906" t="s">
        <v>18663</v>
      </c>
      <c r="DP1906">
        <v>0</v>
      </c>
      <c r="DQ1906">
        <v>0</v>
      </c>
      <c r="DR1906" t="s">
        <v>411</v>
      </c>
    </row>
    <row r="1907" spans="1:284" x14ac:dyDescent="0.25">
      <c r="A1907">
        <v>16486914</v>
      </c>
      <c r="B1907">
        <v>1906</v>
      </c>
      <c r="C1907" t="s">
        <v>393</v>
      </c>
      <c r="D1907" t="s">
        <v>394</v>
      </c>
      <c r="F1907" t="str">
        <f>"00-00-30-010D-0011-0020"</f>
        <v>00-00-30-010D-0011-0020</v>
      </c>
      <c r="H1907" t="str">
        <f>"JONES-JACKSON CYNTHIA DEBORAH"</f>
        <v>JONES-JACKSON CYNTHIA DEBORAH</v>
      </c>
      <c r="I1907" t="str">
        <f>"5381 HALA COURT"</f>
        <v>5381 HALA COURT</v>
      </c>
      <c r="J1907" t="str">
        <f>"JACKSONVILLE FL 32224"</f>
        <v>JACKSONVILLE FL 32224</v>
      </c>
      <c r="K1907" t="str">
        <f>"LEWIS ST"</f>
        <v>LEWIS ST</v>
      </c>
      <c r="L1907" t="str">
        <f t="shared" si="711"/>
        <v>FERNANDINA BEACH FL 32034</v>
      </c>
      <c r="M1907" t="str">
        <f>"BLOCK 11 LOT 2 IN OR 2049/1307 AMERICAN BEACH 3 SEC 2 PB 4/1"</f>
        <v>BLOCK 11 LOT 2 IN OR 2049/1307 AMERICAN BEACH 3 SEC 2 PB 4/1</v>
      </c>
      <c r="N1907" t="str">
        <f>""</f>
        <v/>
      </c>
      <c r="O1907" t="str">
        <f>"546"</f>
        <v>546</v>
      </c>
      <c r="P1907" t="str">
        <f t="shared" si="698"/>
        <v>2017</v>
      </c>
      <c r="Q1907" t="str">
        <f>""</f>
        <v/>
      </c>
      <c r="R1907" t="str">
        <f t="shared" si="719"/>
        <v>N</v>
      </c>
      <c r="S1907" t="str">
        <f>""</f>
        <v/>
      </c>
      <c r="T1907" t="str">
        <f>"761.83"</f>
        <v>761.83</v>
      </c>
      <c r="U1907" t="str">
        <f>"49500.00"</f>
        <v>49500.00</v>
      </c>
      <c r="V1907" t="str">
        <f>"49500.00"</f>
        <v>49500.00</v>
      </c>
      <c r="W1907" t="str">
        <f t="shared" si="699"/>
        <v>2017</v>
      </c>
      <c r="X1907" t="str">
        <f>"9.20"</f>
        <v>9.20</v>
      </c>
      <c r="Y1907" t="str">
        <f>"816.68"</f>
        <v>816.68</v>
      </c>
      <c r="Z1907" t="str">
        <f>""</f>
        <v/>
      </c>
      <c r="AA1907" t="str">
        <f>"49500.00"</f>
        <v>49500.00</v>
      </c>
      <c r="AB1907" t="str">
        <f t="shared" si="708"/>
        <v>Residential</v>
      </c>
      <c r="AC1907" t="str">
        <f t="shared" si="710"/>
        <v>0</v>
      </c>
      <c r="AD1907" t="str">
        <f>""</f>
        <v/>
      </c>
      <c r="AE1907" t="str">
        <f>""</f>
        <v/>
      </c>
      <c r="AF1907" t="str">
        <f>"000"</f>
        <v>000</v>
      </c>
      <c r="AG1907" t="str">
        <f t="shared" si="718"/>
        <v>FL</v>
      </c>
      <c r="AH1907" t="str">
        <f>"5200.00"</f>
        <v>5200.00</v>
      </c>
      <c r="AI1907" t="str">
        <f>"49500.00"</f>
        <v>49500.00</v>
      </c>
      <c r="AJ1907" t="str">
        <f>"C55-000-585-0449-9"</f>
        <v>C55-000-585-0449-9</v>
      </c>
      <c r="AK1907" t="str">
        <f>"38186"</f>
        <v>38186</v>
      </c>
      <c r="AL1907">
        <v>7</v>
      </c>
      <c r="AM1907">
        <v>2172</v>
      </c>
      <c r="AN1907">
        <v>855.91</v>
      </c>
      <c r="AQ1907" t="s">
        <v>18664</v>
      </c>
      <c r="AR1907" t="s">
        <v>18664</v>
      </c>
      <c r="AS1907" t="s">
        <v>18664</v>
      </c>
      <c r="AU1907" t="s">
        <v>396</v>
      </c>
      <c r="AV1907">
        <v>2017</v>
      </c>
      <c r="AW1907" t="str">
        <f>"00-00-30-010D-0011-0020 "</f>
        <v xml:space="preserve">00-00-30-010D-0011-0020 </v>
      </c>
      <c r="AZ1907" t="s">
        <v>18451</v>
      </c>
      <c r="BA1907" t="s">
        <v>1942</v>
      </c>
      <c r="BD1907" t="s">
        <v>11749</v>
      </c>
      <c r="BE1907" t="s">
        <v>393</v>
      </c>
      <c r="BF1907">
        <v>32034</v>
      </c>
      <c r="BG1907" t="s">
        <v>18512</v>
      </c>
      <c r="BH1907" t="s">
        <v>11751</v>
      </c>
      <c r="BI1907">
        <v>-81.452080625776205</v>
      </c>
      <c r="BJ1907">
        <v>30.572868891754201</v>
      </c>
      <c r="BK1907" t="s">
        <v>18548</v>
      </c>
      <c r="BL1907" t="s">
        <v>18549</v>
      </c>
      <c r="BM1907" t="s">
        <v>18529</v>
      </c>
      <c r="BN1907" t="s">
        <v>548</v>
      </c>
      <c r="BO1907">
        <v>32224</v>
      </c>
      <c r="BP1907" t="s">
        <v>404</v>
      </c>
      <c r="BQ1907">
        <v>0</v>
      </c>
      <c r="BR1907" t="s">
        <v>491</v>
      </c>
      <c r="BS1907">
        <v>8001</v>
      </c>
      <c r="BT1907" t="s">
        <v>492</v>
      </c>
      <c r="BU1907">
        <v>500</v>
      </c>
      <c r="BV1907">
        <v>1040</v>
      </c>
      <c r="BW1907">
        <v>5241</v>
      </c>
      <c r="BX1907" t="s">
        <v>407</v>
      </c>
      <c r="BY1907" t="s">
        <v>7351</v>
      </c>
      <c r="CD1907">
        <v>2017</v>
      </c>
      <c r="CE1907">
        <v>49500</v>
      </c>
      <c r="CG1907">
        <v>49500</v>
      </c>
      <c r="CH1907">
        <v>2017</v>
      </c>
      <c r="CI1907">
        <v>49500</v>
      </c>
      <c r="CK1907">
        <v>49500</v>
      </c>
      <c r="CL1907">
        <v>2017</v>
      </c>
      <c r="CM1907">
        <v>761.83</v>
      </c>
      <c r="CN1907" s="1">
        <v>39064</v>
      </c>
      <c r="CO1907">
        <v>196000</v>
      </c>
      <c r="CV1907">
        <v>177000</v>
      </c>
      <c r="CX1907" t="s">
        <v>675</v>
      </c>
      <c r="CZ1907" s="1">
        <v>39064</v>
      </c>
      <c r="DA1907">
        <v>0</v>
      </c>
      <c r="DD1907" t="s">
        <v>11749</v>
      </c>
      <c r="DF1907">
        <v>2</v>
      </c>
      <c r="DG1907">
        <v>20</v>
      </c>
      <c r="DJ1907" t="s">
        <v>18414</v>
      </c>
      <c r="DL1907">
        <v>50201</v>
      </c>
      <c r="DM1907" t="s">
        <v>18307</v>
      </c>
      <c r="DO1907" t="s">
        <v>18665</v>
      </c>
      <c r="DP1907">
        <v>0</v>
      </c>
      <c r="DQ1907">
        <v>2</v>
      </c>
      <c r="DR1907" t="s">
        <v>1479</v>
      </c>
      <c r="DS1907" t="b">
        <v>1</v>
      </c>
      <c r="DT1907" t="s">
        <v>470</v>
      </c>
      <c r="DU1907" t="s">
        <v>471</v>
      </c>
      <c r="DV1907" t="s">
        <v>472</v>
      </c>
      <c r="DX1907">
        <v>-9999</v>
      </c>
      <c r="DZ1907" t="s">
        <v>447</v>
      </c>
      <c r="EA1907" t="s">
        <v>448</v>
      </c>
      <c r="EB1907" t="s">
        <v>14787</v>
      </c>
      <c r="EC1907">
        <v>20101217</v>
      </c>
      <c r="ED1907" t="s">
        <v>474</v>
      </c>
      <c r="EF1907">
        <v>807.7</v>
      </c>
      <c r="EG1907">
        <v>705.1</v>
      </c>
      <c r="EI1907">
        <v>20160407</v>
      </c>
      <c r="EJ1907">
        <v>0</v>
      </c>
      <c r="EK1907">
        <v>0</v>
      </c>
      <c r="EP1907" t="s">
        <v>421</v>
      </c>
      <c r="EQ1907" t="s">
        <v>422</v>
      </c>
      <c r="ER1907">
        <v>0</v>
      </c>
      <c r="ES1907">
        <v>6</v>
      </c>
      <c r="ET1907">
        <v>0</v>
      </c>
      <c r="EU1907">
        <v>0</v>
      </c>
      <c r="EV1907">
        <v>0</v>
      </c>
      <c r="EW1907" s="2">
        <v>43222</v>
      </c>
      <c r="EX1907" s="1">
        <v>42151</v>
      </c>
      <c r="EY1907">
        <v>2014</v>
      </c>
      <c r="EZ1907">
        <v>876.18</v>
      </c>
      <c r="FA1907" t="s">
        <v>18666</v>
      </c>
      <c r="FB1907">
        <v>0.25</v>
      </c>
      <c r="FC1907" t="s">
        <v>424</v>
      </c>
      <c r="FD1907" t="s">
        <v>425</v>
      </c>
      <c r="FE1907" s="1">
        <v>42179</v>
      </c>
      <c r="FF1907">
        <v>1</v>
      </c>
      <c r="FG1907">
        <v>2101382</v>
      </c>
      <c r="FH1907" t="s">
        <v>993</v>
      </c>
      <c r="FJ1907" s="1">
        <v>42151</v>
      </c>
      <c r="FK1907">
        <v>2014</v>
      </c>
      <c r="FL1907">
        <v>876.18</v>
      </c>
      <c r="FM1907" t="s">
        <v>18666</v>
      </c>
      <c r="FN1907">
        <v>0.25</v>
      </c>
      <c r="FO1907" t="s">
        <v>424</v>
      </c>
      <c r="FP1907" t="s">
        <v>425</v>
      </c>
      <c r="FR1907">
        <v>22</v>
      </c>
      <c r="FS1907">
        <v>5644047</v>
      </c>
      <c r="FT1907" t="s">
        <v>18667</v>
      </c>
      <c r="FV1907" s="1">
        <v>41787</v>
      </c>
      <c r="FW1907">
        <v>2013</v>
      </c>
      <c r="FX1907">
        <v>1410.23</v>
      </c>
      <c r="FY1907" t="s">
        <v>18668</v>
      </c>
      <c r="FZ1907">
        <v>0.25</v>
      </c>
      <c r="GA1907" t="s">
        <v>424</v>
      </c>
      <c r="GB1907" t="s">
        <v>425</v>
      </c>
      <c r="GC1907" s="1">
        <v>42121</v>
      </c>
      <c r="GD1907">
        <v>11</v>
      </c>
      <c r="GE1907">
        <v>2407503</v>
      </c>
      <c r="GF1907" t="s">
        <v>461</v>
      </c>
      <c r="GH1907" s="1">
        <v>41423</v>
      </c>
      <c r="GI1907">
        <v>2012</v>
      </c>
      <c r="GJ1907">
        <v>1427.2</v>
      </c>
      <c r="GK1907" t="s">
        <v>18669</v>
      </c>
      <c r="GL1907">
        <v>3</v>
      </c>
      <c r="GM1907" t="s">
        <v>424</v>
      </c>
      <c r="GN1907" t="s">
        <v>425</v>
      </c>
      <c r="GO1907" s="1">
        <v>41788</v>
      </c>
      <c r="GP1907">
        <v>12</v>
      </c>
      <c r="GQ1907">
        <v>1625515</v>
      </c>
      <c r="GR1907" t="s">
        <v>487</v>
      </c>
      <c r="GT1907" s="1">
        <v>41052</v>
      </c>
      <c r="GU1907">
        <v>2011</v>
      </c>
      <c r="GV1907">
        <v>1650.64</v>
      </c>
      <c r="GW1907" t="s">
        <v>18670</v>
      </c>
      <c r="GX1907">
        <v>7.25</v>
      </c>
      <c r="GY1907" t="s">
        <v>424</v>
      </c>
      <c r="GZ1907" t="s">
        <v>425</v>
      </c>
      <c r="HA1907" s="1">
        <v>41208</v>
      </c>
      <c r="HB1907">
        <v>5</v>
      </c>
      <c r="HC1907">
        <v>318</v>
      </c>
      <c r="HD1907" t="s">
        <v>1083</v>
      </c>
      <c r="HF1907" s="1">
        <v>40688</v>
      </c>
      <c r="HG1907">
        <v>2010</v>
      </c>
      <c r="HH1907">
        <v>1840.46</v>
      </c>
      <c r="HI1907" t="s">
        <v>18671</v>
      </c>
      <c r="HJ1907">
        <v>5.75</v>
      </c>
      <c r="HK1907" t="s">
        <v>424</v>
      </c>
      <c r="HL1907" t="s">
        <v>425</v>
      </c>
      <c r="HM1907" s="1">
        <v>41208</v>
      </c>
      <c r="HN1907">
        <v>17</v>
      </c>
      <c r="HO1907">
        <v>62</v>
      </c>
      <c r="HP1907" t="s">
        <v>463</v>
      </c>
    </row>
    <row r="1908" spans="1:284" x14ac:dyDescent="0.25">
      <c r="A1908">
        <v>16486915</v>
      </c>
      <c r="B1908">
        <v>1907</v>
      </c>
      <c r="C1908" t="s">
        <v>393</v>
      </c>
      <c r="D1908" t="s">
        <v>394</v>
      </c>
      <c r="F1908" t="str">
        <f>"00-00-30-0120-0024-0000"</f>
        <v>00-00-30-0120-0024-0000</v>
      </c>
      <c r="H1908" t="str">
        <f>"ROWE CAROLYN G TRUSTEE OF KENNETH &amp; CAROLYN ROWE FAMILY TRUSTS"</f>
        <v>ROWE CAROLYN G TRUSTEE OF KENNETH &amp; CAROLYN ROWE FAMILY TRUSTS</v>
      </c>
      <c r="I1908" t="str">
        <f>""</f>
        <v/>
      </c>
      <c r="J1908" t="str">
        <f>"FERNANDINA BEACH FL 32034"</f>
        <v>FERNANDINA BEACH FL 32034</v>
      </c>
      <c r="K1908" t="str">
        <f>"1827 8TH ST S"</f>
        <v>1827 8TH ST S</v>
      </c>
      <c r="L1908" t="str">
        <f t="shared" si="711"/>
        <v>FERNANDINA BEACH FL 32034</v>
      </c>
      <c r="M1908" t="str">
        <f>"LOT 24 IN OR 1426/844 ASKINS FIVE POINTS PB 0/58"</f>
        <v>LOT 24 IN OR 1426/844 ASKINS FIVE POINTS PB 0/58</v>
      </c>
      <c r="N1908" t="str">
        <f>""</f>
        <v/>
      </c>
      <c r="O1908" t="str">
        <f>"571"</f>
        <v>571</v>
      </c>
      <c r="P1908" t="str">
        <f t="shared" si="698"/>
        <v>2017</v>
      </c>
      <c r="Q1908" t="str">
        <f>""</f>
        <v/>
      </c>
      <c r="R1908" t="str">
        <f t="shared" si="719"/>
        <v>N</v>
      </c>
      <c r="S1908" t="str">
        <f>""</f>
        <v/>
      </c>
      <c r="T1908" t="str">
        <f>"1331.74"</f>
        <v>1331.74</v>
      </c>
      <c r="U1908" t="str">
        <f>"86531.00"</f>
        <v>86531.00</v>
      </c>
      <c r="V1908" t="str">
        <f>"86531.00"</f>
        <v>86531.00</v>
      </c>
      <c r="W1908" t="str">
        <f t="shared" si="699"/>
        <v>2017</v>
      </c>
      <c r="X1908" t="str">
        <f>"9.60"</f>
        <v>9.60</v>
      </c>
      <c r="Y1908" t="str">
        <f>"1403.69"</f>
        <v>1403.69</v>
      </c>
      <c r="Z1908" t="str">
        <f>""</f>
        <v/>
      </c>
      <c r="AA1908" t="str">
        <f>"86531.00"</f>
        <v>86531.00</v>
      </c>
      <c r="AB1908" t="str">
        <f>"Commercial"</f>
        <v>Commercial</v>
      </c>
      <c r="AC1908" t="str">
        <f t="shared" si="710"/>
        <v>0</v>
      </c>
      <c r="AD1908" t="str">
        <f>""</f>
        <v/>
      </c>
      <c r="AE1908" t="str">
        <f>""</f>
        <v/>
      </c>
      <c r="AF1908" t="str">
        <f>"010"</f>
        <v>010</v>
      </c>
      <c r="AG1908" t="str">
        <f t="shared" si="718"/>
        <v>FL</v>
      </c>
      <c r="AH1908" t="str">
        <f>"12207.00"</f>
        <v>12207.00</v>
      </c>
      <c r="AI1908" t="str">
        <f>"85449.00"</f>
        <v>85449.00</v>
      </c>
      <c r="AJ1908" t="str">
        <f>"C55-000-585-0474-7"</f>
        <v>C55-000-585-0474-7</v>
      </c>
      <c r="AK1908" t="str">
        <f>"38209"</f>
        <v>38209</v>
      </c>
      <c r="AL1908">
        <v>7</v>
      </c>
      <c r="AM1908">
        <v>2173</v>
      </c>
      <c r="AN1908">
        <v>1472.27</v>
      </c>
      <c r="AQ1908" t="s">
        <v>18672</v>
      </c>
      <c r="AR1908" t="s">
        <v>18672</v>
      </c>
      <c r="AS1908" t="s">
        <v>18672</v>
      </c>
      <c r="AU1908" t="s">
        <v>396</v>
      </c>
      <c r="AV1908">
        <v>2017</v>
      </c>
      <c r="AW1908" t="str">
        <f>"00-00-30-0120-0024-0000 "</f>
        <v xml:space="preserve">00-00-30-0120-0024-0000 </v>
      </c>
      <c r="AX1908">
        <v>1827</v>
      </c>
      <c r="AZ1908" t="s">
        <v>18673</v>
      </c>
      <c r="BA1908" t="s">
        <v>1942</v>
      </c>
      <c r="BB1908" t="s">
        <v>18674</v>
      </c>
      <c r="BD1908" t="s">
        <v>11749</v>
      </c>
      <c r="BE1908" t="s">
        <v>393</v>
      </c>
      <c r="BF1908">
        <v>32034</v>
      </c>
      <c r="BG1908" t="s">
        <v>18675</v>
      </c>
      <c r="BH1908" t="s">
        <v>11751</v>
      </c>
      <c r="BI1908">
        <v>-81.459564716819898</v>
      </c>
      <c r="BJ1908">
        <v>30.644843912241701</v>
      </c>
      <c r="BK1908" t="s">
        <v>18676</v>
      </c>
      <c r="BL1908" t="s">
        <v>16007</v>
      </c>
      <c r="BM1908" t="s">
        <v>16008</v>
      </c>
      <c r="BN1908" t="s">
        <v>3983</v>
      </c>
      <c r="BO1908">
        <v>32034</v>
      </c>
      <c r="BP1908" t="s">
        <v>404</v>
      </c>
      <c r="BQ1908">
        <v>1001</v>
      </c>
      <c r="BR1908" t="s">
        <v>2391</v>
      </c>
      <c r="BS1908">
        <v>8002</v>
      </c>
      <c r="BT1908" t="s">
        <v>2392</v>
      </c>
      <c r="BW1908">
        <v>12210</v>
      </c>
      <c r="BX1908" t="s">
        <v>407</v>
      </c>
      <c r="BY1908" t="s">
        <v>4413</v>
      </c>
      <c r="CD1908">
        <v>2017</v>
      </c>
      <c r="CE1908">
        <v>85449</v>
      </c>
      <c r="CF1908">
        <v>1082</v>
      </c>
      <c r="CG1908">
        <v>86531</v>
      </c>
      <c r="CH1908">
        <v>2017</v>
      </c>
      <c r="CI1908">
        <v>85449</v>
      </c>
      <c r="CJ1908">
        <v>1082</v>
      </c>
      <c r="CK1908">
        <v>86531</v>
      </c>
      <c r="CL1908">
        <v>2017</v>
      </c>
      <c r="CM1908">
        <v>1331.74</v>
      </c>
      <c r="CN1908" s="1">
        <v>37708</v>
      </c>
      <c r="CO1908">
        <v>144000</v>
      </c>
      <c r="CV1908">
        <v>0</v>
      </c>
      <c r="CZ1908" s="1">
        <v>37708</v>
      </c>
      <c r="DA1908">
        <v>0</v>
      </c>
      <c r="DD1908" t="s">
        <v>11749</v>
      </c>
      <c r="DF1908">
        <v>24</v>
      </c>
      <c r="DG1908">
        <v>30</v>
      </c>
      <c r="DJ1908" t="s">
        <v>18677</v>
      </c>
      <c r="DL1908">
        <v>50202</v>
      </c>
      <c r="DM1908" t="s">
        <v>18678</v>
      </c>
      <c r="DO1908" t="s">
        <v>18679</v>
      </c>
      <c r="DP1908">
        <v>0</v>
      </c>
      <c r="DQ1908">
        <v>1</v>
      </c>
      <c r="DR1908" t="s">
        <v>1479</v>
      </c>
      <c r="EP1908" t="s">
        <v>421</v>
      </c>
      <c r="EQ1908" t="s">
        <v>422</v>
      </c>
      <c r="ER1908">
        <v>0</v>
      </c>
      <c r="ES1908">
        <v>4</v>
      </c>
      <c r="ET1908">
        <v>0</v>
      </c>
      <c r="EU1908">
        <v>0</v>
      </c>
      <c r="EV1908">
        <v>0</v>
      </c>
      <c r="EW1908" s="2">
        <v>43222</v>
      </c>
      <c r="EX1908" s="1">
        <v>42879</v>
      </c>
      <c r="EY1908">
        <v>2016</v>
      </c>
      <c r="EZ1908">
        <v>1488.48</v>
      </c>
      <c r="FA1908" t="s">
        <v>18680</v>
      </c>
      <c r="FB1908">
        <v>0.25</v>
      </c>
      <c r="FC1908" t="s">
        <v>424</v>
      </c>
      <c r="FD1908" t="s">
        <v>425</v>
      </c>
      <c r="FE1908" s="1">
        <v>43098</v>
      </c>
      <c r="FF1908">
        <v>7</v>
      </c>
      <c r="FG1908">
        <v>11289</v>
      </c>
      <c r="FH1908" t="s">
        <v>787</v>
      </c>
      <c r="FJ1908" s="1">
        <v>42879</v>
      </c>
      <c r="FK1908">
        <v>2016</v>
      </c>
      <c r="FL1908">
        <v>1488.48</v>
      </c>
      <c r="FM1908" t="s">
        <v>18680</v>
      </c>
      <c r="FN1908">
        <v>0.25</v>
      </c>
      <c r="FO1908" t="s">
        <v>424</v>
      </c>
      <c r="FP1908" t="s">
        <v>425</v>
      </c>
      <c r="FR1908">
        <v>22</v>
      </c>
      <c r="FS1908">
        <v>7291717</v>
      </c>
      <c r="FT1908" t="s">
        <v>18681</v>
      </c>
      <c r="FV1908" s="1">
        <v>41787</v>
      </c>
      <c r="FW1908">
        <v>2013</v>
      </c>
      <c r="FX1908">
        <v>1238.06</v>
      </c>
      <c r="FY1908" t="s">
        <v>18682</v>
      </c>
      <c r="FZ1908">
        <v>0.25</v>
      </c>
      <c r="GA1908" t="s">
        <v>424</v>
      </c>
      <c r="GB1908" t="s">
        <v>425</v>
      </c>
      <c r="GC1908" s="1">
        <v>41850</v>
      </c>
      <c r="GD1908">
        <v>2</v>
      </c>
      <c r="GE1908">
        <v>2407503</v>
      </c>
      <c r="GF1908" t="s">
        <v>461</v>
      </c>
      <c r="GH1908" s="1">
        <v>40688</v>
      </c>
      <c r="GI1908">
        <v>2010</v>
      </c>
      <c r="GJ1908">
        <v>1663.17</v>
      </c>
      <c r="GK1908" t="s">
        <v>18683</v>
      </c>
      <c r="GL1908">
        <v>6.75</v>
      </c>
      <c r="GM1908" t="s">
        <v>424</v>
      </c>
      <c r="GN1908" t="s">
        <v>425</v>
      </c>
      <c r="GO1908" s="1">
        <v>41340</v>
      </c>
      <c r="GP1908">
        <v>22</v>
      </c>
      <c r="GQ1908">
        <v>10579</v>
      </c>
      <c r="GR1908" t="s">
        <v>488</v>
      </c>
    </row>
    <row r="1909" spans="1:284" x14ac:dyDescent="0.25">
      <c r="A1909">
        <v>16486916</v>
      </c>
      <c r="B1909">
        <v>1908</v>
      </c>
      <c r="C1909" t="s">
        <v>393</v>
      </c>
      <c r="D1909" t="s">
        <v>394</v>
      </c>
      <c r="F1909" t="str">
        <f>"00-00-30-0131-0010-0000"</f>
        <v>00-00-30-0131-0010-0000</v>
      </c>
      <c r="H1909" t="str">
        <f>"LOGAN-AMELIA ISLAND LLC"</f>
        <v>LOGAN-AMELIA ISLAND LLC</v>
      </c>
      <c r="I1909" t="str">
        <f>"PO BOX 285"</f>
        <v>PO BOX 285</v>
      </c>
      <c r="J1909" t="str">
        <f>"WHEELERSBURG OH 45694"</f>
        <v>WHEELERSBURG OH 45694</v>
      </c>
      <c r="K1909" t="str">
        <f>"9574 HILDRETH LN"</f>
        <v>9574 HILDRETH LN</v>
      </c>
      <c r="L1909" t="str">
        <f t="shared" si="711"/>
        <v>FERNANDINA BEACH FL 32034</v>
      </c>
      <c r="M1909" t="str">
        <f>"LOT 10 IN OR 1908/707 AZALEA POINTE PB 6/164-165"</f>
        <v>LOT 10 IN OR 1908/707 AZALEA POINTE PB 6/164-165</v>
      </c>
      <c r="N1909" t="str">
        <f>""</f>
        <v/>
      </c>
      <c r="O1909" t="str">
        <f>"598"</f>
        <v>598</v>
      </c>
      <c r="P1909" t="str">
        <f t="shared" si="698"/>
        <v>2017</v>
      </c>
      <c r="Q1909" t="str">
        <f>""</f>
        <v/>
      </c>
      <c r="R1909" t="str">
        <f t="shared" si="719"/>
        <v>N</v>
      </c>
      <c r="S1909" t="str">
        <f>""</f>
        <v/>
      </c>
      <c r="T1909" t="str">
        <f>"5636.18"</f>
        <v>5636.18</v>
      </c>
      <c r="U1909" t="str">
        <f>"366213.00"</f>
        <v>366213.00</v>
      </c>
      <c r="V1909" t="str">
        <f>"366213.00"</f>
        <v>366213.00</v>
      </c>
      <c r="W1909" t="str">
        <f t="shared" si="699"/>
        <v>2017</v>
      </c>
      <c r="X1909" t="str">
        <f>"10.33"</f>
        <v>10.33</v>
      </c>
      <c r="Y1909" t="str">
        <f>"5837.27"</f>
        <v>5837.27</v>
      </c>
      <c r="Z1909" t="str">
        <f>""</f>
        <v/>
      </c>
      <c r="AA1909" t="str">
        <f>"366213.00"</f>
        <v>366213.00</v>
      </c>
      <c r="AB1909" t="str">
        <f t="shared" ref="AB1909:AB1940" si="720">"Residential"</f>
        <v>Residential</v>
      </c>
      <c r="AC1909" t="str">
        <f t="shared" si="710"/>
        <v>0</v>
      </c>
      <c r="AD1909" t="str">
        <f t="shared" ref="AD1909:AD1914" si="721">"4"</f>
        <v>4</v>
      </c>
      <c r="AE1909" t="str">
        <f t="shared" ref="AE1909:AE1914" si="722">"WOOD (INCLUDE STEEL STUDS)"</f>
        <v>WOOD (INCLUDE STEEL STUDS)</v>
      </c>
      <c r="AF1909" t="str">
        <f>"001"</f>
        <v>001</v>
      </c>
      <c r="AG1909" t="str">
        <f>"OH"</f>
        <v>OH</v>
      </c>
      <c r="AH1909" t="str">
        <f>"-"</f>
        <v>-</v>
      </c>
      <c r="AI1909" t="str">
        <f>"98000.00"</f>
        <v>98000.00</v>
      </c>
      <c r="AJ1909" t="str">
        <f>"C55-000-585-0497-8"</f>
        <v>C55-000-585-0497-8</v>
      </c>
      <c r="AK1909" t="str">
        <f>"38233"</f>
        <v>38233</v>
      </c>
      <c r="AL1909">
        <v>7</v>
      </c>
      <c r="AM1909">
        <v>2174</v>
      </c>
      <c r="AN1909">
        <v>6127.53</v>
      </c>
      <c r="AQ1909" t="s">
        <v>18684</v>
      </c>
      <c r="AR1909" t="s">
        <v>18684</v>
      </c>
      <c r="AS1909" t="s">
        <v>18684</v>
      </c>
      <c r="AU1909" t="s">
        <v>396</v>
      </c>
      <c r="AV1909">
        <v>2017</v>
      </c>
      <c r="AW1909" t="str">
        <f>"00-00-30-0131-0010-0000 "</f>
        <v xml:space="preserve">00-00-30-0131-0010-0000 </v>
      </c>
      <c r="AX1909">
        <v>9574</v>
      </c>
      <c r="AZ1909" t="s">
        <v>18685</v>
      </c>
      <c r="BA1909" t="s">
        <v>653</v>
      </c>
      <c r="BD1909" t="s">
        <v>11749</v>
      </c>
      <c r="BE1909" t="s">
        <v>393</v>
      </c>
      <c r="BF1909">
        <v>32034</v>
      </c>
      <c r="BG1909" t="s">
        <v>18686</v>
      </c>
      <c r="BH1909" t="s">
        <v>11751</v>
      </c>
      <c r="BI1909">
        <v>-81.459852318054502</v>
      </c>
      <c r="BJ1909">
        <v>30.589167289147301</v>
      </c>
      <c r="BK1909" t="s">
        <v>18687</v>
      </c>
      <c r="BL1909" t="s">
        <v>18688</v>
      </c>
      <c r="BM1909" t="s">
        <v>18689</v>
      </c>
      <c r="BN1909" t="s">
        <v>18690</v>
      </c>
      <c r="BO1909">
        <v>45694</v>
      </c>
      <c r="BP1909" t="s">
        <v>404</v>
      </c>
      <c r="BQ1909">
        <v>100</v>
      </c>
      <c r="BR1909" t="s">
        <v>514</v>
      </c>
      <c r="BS1909">
        <v>1001</v>
      </c>
      <c r="BT1909" t="s">
        <v>515</v>
      </c>
      <c r="BW1909">
        <v>11556</v>
      </c>
      <c r="BX1909" t="s">
        <v>407</v>
      </c>
      <c r="BZ1909">
        <v>4</v>
      </c>
      <c r="CA1909">
        <v>2002</v>
      </c>
      <c r="CB1909">
        <v>2</v>
      </c>
      <c r="CC1909">
        <v>1</v>
      </c>
      <c r="CD1909">
        <v>2017</v>
      </c>
      <c r="CE1909">
        <v>98000</v>
      </c>
      <c r="CF1909">
        <v>268213</v>
      </c>
      <c r="CG1909">
        <v>366213</v>
      </c>
      <c r="CH1909">
        <v>2017</v>
      </c>
      <c r="CI1909">
        <v>98000</v>
      </c>
      <c r="CJ1909">
        <v>268213</v>
      </c>
      <c r="CK1909">
        <v>366213</v>
      </c>
      <c r="CL1909">
        <v>2017</v>
      </c>
      <c r="CM1909">
        <v>5636.18</v>
      </c>
      <c r="CN1909" s="1">
        <v>37896</v>
      </c>
      <c r="CO1909">
        <v>419000</v>
      </c>
      <c r="CV1909">
        <v>322700</v>
      </c>
      <c r="CX1909" t="s">
        <v>675</v>
      </c>
      <c r="CZ1909" s="1">
        <v>37896</v>
      </c>
      <c r="DA1909">
        <v>0</v>
      </c>
      <c r="DD1909" t="s">
        <v>11749</v>
      </c>
      <c r="DF1909">
        <v>10</v>
      </c>
      <c r="DG1909">
        <v>12</v>
      </c>
      <c r="DJ1909" t="s">
        <v>18691</v>
      </c>
      <c r="DL1909">
        <v>50203</v>
      </c>
      <c r="DM1909" t="s">
        <v>18692</v>
      </c>
      <c r="DO1909" t="s">
        <v>18693</v>
      </c>
      <c r="DP1909">
        <v>0</v>
      </c>
      <c r="DQ1909">
        <v>0</v>
      </c>
      <c r="DR1909" t="s">
        <v>411</v>
      </c>
      <c r="DS1909" t="b">
        <v>1</v>
      </c>
      <c r="DT1909" t="s">
        <v>470</v>
      </c>
      <c r="DU1909" t="s">
        <v>471</v>
      </c>
      <c r="DV1909" t="s">
        <v>472</v>
      </c>
      <c r="DX1909">
        <v>-9999</v>
      </c>
      <c r="DZ1909" t="s">
        <v>447</v>
      </c>
      <c r="EA1909" t="s">
        <v>448</v>
      </c>
      <c r="EB1909" t="s">
        <v>14787</v>
      </c>
      <c r="EC1909">
        <v>20101217</v>
      </c>
      <c r="ED1909" t="s">
        <v>474</v>
      </c>
      <c r="EF1909">
        <v>1288.4000000000001</v>
      </c>
      <c r="EG1909">
        <v>663.5</v>
      </c>
      <c r="EI1909">
        <v>20160407</v>
      </c>
      <c r="EJ1909">
        <v>0</v>
      </c>
      <c r="EK1909">
        <v>0</v>
      </c>
      <c r="EP1909" t="s">
        <v>421</v>
      </c>
      <c r="EQ1909" t="s">
        <v>422</v>
      </c>
      <c r="ER1909">
        <v>2</v>
      </c>
      <c r="ES1909">
        <v>4</v>
      </c>
      <c r="ET1909">
        <v>14252.96</v>
      </c>
      <c r="EU1909">
        <v>725.15</v>
      </c>
      <c r="EV1909">
        <v>14978.11</v>
      </c>
      <c r="EW1909" s="2">
        <v>43222</v>
      </c>
      <c r="EX1909" s="1">
        <v>42879</v>
      </c>
      <c r="EY1909">
        <v>2016</v>
      </c>
      <c r="EZ1909">
        <v>7126.48</v>
      </c>
      <c r="FA1909" t="s">
        <v>18694</v>
      </c>
      <c r="FB1909">
        <v>0.25</v>
      </c>
      <c r="FC1909" t="s">
        <v>424</v>
      </c>
      <c r="FD1909" t="s">
        <v>454</v>
      </c>
      <c r="FF1909">
        <v>12</v>
      </c>
      <c r="FG1909">
        <v>5857474</v>
      </c>
      <c r="FH1909" t="s">
        <v>900</v>
      </c>
      <c r="FJ1909" s="1">
        <v>42879</v>
      </c>
      <c r="FK1909">
        <v>2016</v>
      </c>
      <c r="FL1909">
        <v>7126.48</v>
      </c>
      <c r="FM1909" t="s">
        <v>18694</v>
      </c>
      <c r="FN1909">
        <v>0.25</v>
      </c>
      <c r="FO1909" t="s">
        <v>424</v>
      </c>
      <c r="FP1909" t="s">
        <v>454</v>
      </c>
      <c r="FR1909">
        <v>12</v>
      </c>
      <c r="FS1909">
        <v>6219010</v>
      </c>
      <c r="FT1909" t="s">
        <v>18695</v>
      </c>
      <c r="FV1909" s="1">
        <v>42515</v>
      </c>
      <c r="FW1909">
        <v>2015</v>
      </c>
      <c r="FX1909">
        <v>7143.9</v>
      </c>
      <c r="FY1909" t="s">
        <v>18696</v>
      </c>
      <c r="FZ1909">
        <v>0.25</v>
      </c>
      <c r="GA1909" t="s">
        <v>424</v>
      </c>
      <c r="GB1909" t="s">
        <v>425</v>
      </c>
      <c r="GC1909" s="1">
        <v>43194</v>
      </c>
      <c r="GD1909">
        <v>23</v>
      </c>
      <c r="GE1909">
        <v>2851116</v>
      </c>
      <c r="GF1909" t="s">
        <v>480</v>
      </c>
      <c r="GH1909" s="1">
        <v>42515</v>
      </c>
      <c r="GI1909">
        <v>2015</v>
      </c>
      <c r="GJ1909">
        <v>7143.9</v>
      </c>
      <c r="GK1909" t="s">
        <v>18696</v>
      </c>
      <c r="GL1909">
        <v>0.25</v>
      </c>
      <c r="GM1909" t="s">
        <v>424</v>
      </c>
      <c r="GN1909" t="s">
        <v>425</v>
      </c>
      <c r="GP1909">
        <v>22</v>
      </c>
      <c r="GQ1909">
        <v>5685347</v>
      </c>
      <c r="GR1909" t="s">
        <v>18697</v>
      </c>
      <c r="GT1909" s="1">
        <v>41787</v>
      </c>
      <c r="GU1909">
        <v>2013</v>
      </c>
      <c r="GV1909">
        <v>4645.1099999999997</v>
      </c>
      <c r="GW1909" t="s">
        <v>18698</v>
      </c>
      <c r="GX1909">
        <v>0.25</v>
      </c>
      <c r="GY1909" t="s">
        <v>424</v>
      </c>
      <c r="GZ1909" t="s">
        <v>425</v>
      </c>
      <c r="HA1909" s="1">
        <v>41837</v>
      </c>
      <c r="HB1909">
        <v>2</v>
      </c>
      <c r="HC1909">
        <v>2101382</v>
      </c>
      <c r="HD1909" t="s">
        <v>993</v>
      </c>
      <c r="HF1909" s="1">
        <v>41423</v>
      </c>
      <c r="HG1909">
        <v>2012</v>
      </c>
      <c r="HH1909">
        <v>4728.1899999999996</v>
      </c>
      <c r="HI1909" t="s">
        <v>18699</v>
      </c>
      <c r="HJ1909">
        <v>0.25</v>
      </c>
      <c r="HK1909" t="s">
        <v>424</v>
      </c>
      <c r="HL1909" t="s">
        <v>425</v>
      </c>
      <c r="HM1909" s="1">
        <v>41591</v>
      </c>
      <c r="HN1909">
        <v>6</v>
      </c>
      <c r="HO1909">
        <v>15970</v>
      </c>
      <c r="HP1909" t="s">
        <v>1435</v>
      </c>
    </row>
    <row r="1910" spans="1:284" x14ac:dyDescent="0.25">
      <c r="A1910">
        <v>16486917</v>
      </c>
      <c r="B1910">
        <v>1909</v>
      </c>
      <c r="C1910" t="s">
        <v>393</v>
      </c>
      <c r="D1910" t="s">
        <v>394</v>
      </c>
      <c r="F1910" t="str">
        <f>"00-00-30-0140-0011-0000"</f>
        <v>00-00-30-0140-0011-0000</v>
      </c>
      <c r="H1910" t="str">
        <f>"EMBRICK MARK C &amp; STEPHANIE L"</f>
        <v>EMBRICK MARK C &amp; STEPHANIE L</v>
      </c>
      <c r="I1910" t="str">
        <f>"382 ASHBOURNE TRAIL"</f>
        <v>382 ASHBOURNE TRAIL</v>
      </c>
      <c r="J1910" t="str">
        <f>"LAWRENCEVILLE GA 30043"</f>
        <v>LAWRENCEVILLE GA 30043</v>
      </c>
      <c r="K1910" t="str">
        <f>"5021 KAREN ST"</f>
        <v>5021 KAREN ST</v>
      </c>
      <c r="L1910" t="str">
        <f t="shared" si="711"/>
        <v>FERNANDINA BEACH FL 32034</v>
      </c>
      <c r="M1910" t="str">
        <f>"LOTS 11 &amp; 12 IN OR 1965/48 1966 BILT SW/MH BELLE GLADE SUB PB 3/55"</f>
        <v>LOTS 11 &amp; 12 IN OR 1965/48 1966 BILT SW/MH BELLE GLADE SUB PB 3/55</v>
      </c>
      <c r="N1910" t="str">
        <f>""</f>
        <v/>
      </c>
      <c r="O1910" t="str">
        <f>"630"</f>
        <v>630</v>
      </c>
      <c r="P1910" t="str">
        <f t="shared" si="698"/>
        <v>2017</v>
      </c>
      <c r="Q1910" t="str">
        <f>""</f>
        <v/>
      </c>
      <c r="R1910" t="str">
        <f t="shared" si="719"/>
        <v>N</v>
      </c>
      <c r="S1910" t="str">
        <f>""</f>
        <v/>
      </c>
      <c r="T1910" t="str">
        <f>"1919.81"</f>
        <v>1919.81</v>
      </c>
      <c r="U1910" t="str">
        <f>"124741.00"</f>
        <v>124741.00</v>
      </c>
      <c r="V1910" t="str">
        <f>"124741.00"</f>
        <v>124741.00</v>
      </c>
      <c r="W1910" t="str">
        <f t="shared" si="699"/>
        <v>2017</v>
      </c>
      <c r="X1910" t="str">
        <f>"8.50"</f>
        <v>8.50</v>
      </c>
      <c r="Y1910" t="str">
        <f>"2009.40"</f>
        <v>2009.40</v>
      </c>
      <c r="Z1910" t="str">
        <f>""</f>
        <v/>
      </c>
      <c r="AA1910" t="str">
        <f>"124741.00"</f>
        <v>124741.00</v>
      </c>
      <c r="AB1910" t="str">
        <f t="shared" si="720"/>
        <v>Residential</v>
      </c>
      <c r="AC1910" t="str">
        <f t="shared" si="710"/>
        <v>0</v>
      </c>
      <c r="AD1910" t="str">
        <f t="shared" si="721"/>
        <v>4</v>
      </c>
      <c r="AE1910" t="str">
        <f t="shared" si="722"/>
        <v>WOOD (INCLUDE STEEL STUDS)</v>
      </c>
      <c r="AF1910" t="str">
        <f>"002"</f>
        <v>002</v>
      </c>
      <c r="AG1910" t="str">
        <f>"GA"</f>
        <v>GA</v>
      </c>
      <c r="AH1910" t="str">
        <f>"-"</f>
        <v>-</v>
      </c>
      <c r="AI1910" t="str">
        <f>"120000.00"</f>
        <v>120000.00</v>
      </c>
      <c r="AJ1910" t="str">
        <f>"C55-000-585-0527-2"</f>
        <v>C55-000-585-0527-2</v>
      </c>
      <c r="AK1910" t="str">
        <f>"38264"</f>
        <v>38264</v>
      </c>
      <c r="AL1910">
        <v>7</v>
      </c>
      <c r="AM1910">
        <v>2176</v>
      </c>
      <c r="AN1910">
        <v>2108.27</v>
      </c>
      <c r="AQ1910" t="s">
        <v>18700</v>
      </c>
      <c r="AR1910" t="s">
        <v>18700</v>
      </c>
      <c r="AS1910" t="s">
        <v>18700</v>
      </c>
      <c r="AU1910" t="s">
        <v>396</v>
      </c>
      <c r="AV1910">
        <v>2017</v>
      </c>
      <c r="AW1910" t="str">
        <f>"00-00-30-0140-0011-0000 "</f>
        <v xml:space="preserve">00-00-30-0140-0011-0000 </v>
      </c>
      <c r="AX1910">
        <v>5021</v>
      </c>
      <c r="AZ1910" t="s">
        <v>18701</v>
      </c>
      <c r="BA1910" t="s">
        <v>1942</v>
      </c>
      <c r="BD1910" t="s">
        <v>11749</v>
      </c>
      <c r="BE1910" t="s">
        <v>393</v>
      </c>
      <c r="BF1910">
        <v>32034</v>
      </c>
      <c r="BG1910" t="s">
        <v>18702</v>
      </c>
      <c r="BH1910" t="s">
        <v>11751</v>
      </c>
      <c r="BI1910">
        <v>-81.452809858649303</v>
      </c>
      <c r="BJ1910">
        <v>30.5837084759291</v>
      </c>
      <c r="BK1910" t="s">
        <v>18703</v>
      </c>
      <c r="BL1910" t="s">
        <v>18704</v>
      </c>
      <c r="BM1910" t="s">
        <v>18705</v>
      </c>
      <c r="BN1910" t="s">
        <v>16040</v>
      </c>
      <c r="BO1910">
        <v>30043</v>
      </c>
      <c r="BP1910" t="s">
        <v>404</v>
      </c>
      <c r="BQ1910">
        <v>200</v>
      </c>
      <c r="BR1910" t="s">
        <v>405</v>
      </c>
      <c r="BS1910">
        <v>1006</v>
      </c>
      <c r="BT1910" t="s">
        <v>406</v>
      </c>
      <c r="BW1910">
        <v>26095</v>
      </c>
      <c r="BX1910" t="s">
        <v>407</v>
      </c>
      <c r="BY1910" t="s">
        <v>2729</v>
      </c>
      <c r="BZ1910">
        <v>4</v>
      </c>
      <c r="CA1910">
        <v>1966</v>
      </c>
      <c r="CB1910">
        <v>1</v>
      </c>
      <c r="CC1910">
        <v>1</v>
      </c>
      <c r="CD1910">
        <v>2017</v>
      </c>
      <c r="CE1910">
        <v>120000</v>
      </c>
      <c r="CF1910">
        <v>4741</v>
      </c>
      <c r="CG1910">
        <v>124741</v>
      </c>
      <c r="CH1910">
        <v>2017</v>
      </c>
      <c r="CI1910">
        <v>120000</v>
      </c>
      <c r="CJ1910">
        <v>4741</v>
      </c>
      <c r="CK1910">
        <v>124741</v>
      </c>
      <c r="CL1910">
        <v>2017</v>
      </c>
      <c r="CM1910">
        <v>1919.81</v>
      </c>
      <c r="CN1910" s="1">
        <v>42062</v>
      </c>
      <c r="CO1910">
        <v>150000</v>
      </c>
      <c r="CV1910">
        <v>0</v>
      </c>
      <c r="CZ1910" s="1">
        <v>42062</v>
      </c>
      <c r="DA1910">
        <v>0</v>
      </c>
      <c r="DD1910" t="s">
        <v>11749</v>
      </c>
      <c r="DG1910">
        <v>15</v>
      </c>
      <c r="DL1910">
        <v>50203</v>
      </c>
      <c r="DM1910" t="s">
        <v>18706</v>
      </c>
      <c r="DO1910" t="s">
        <v>18707</v>
      </c>
      <c r="DP1910">
        <v>0</v>
      </c>
      <c r="DQ1910">
        <v>0</v>
      </c>
      <c r="DR1910" t="s">
        <v>411</v>
      </c>
      <c r="DS1910" t="b">
        <v>1</v>
      </c>
      <c r="DT1910" t="s">
        <v>470</v>
      </c>
      <c r="DU1910" t="s">
        <v>471</v>
      </c>
      <c r="DV1910" t="s">
        <v>472</v>
      </c>
      <c r="DX1910">
        <v>-9999</v>
      </c>
      <c r="DZ1910" t="s">
        <v>447</v>
      </c>
      <c r="EA1910" t="s">
        <v>448</v>
      </c>
      <c r="EB1910" t="s">
        <v>14787</v>
      </c>
      <c r="EC1910">
        <v>20101217</v>
      </c>
      <c r="ED1910" t="s">
        <v>474</v>
      </c>
      <c r="EF1910">
        <v>926.3</v>
      </c>
      <c r="EG1910">
        <v>926.3</v>
      </c>
      <c r="EI1910">
        <v>20160407</v>
      </c>
      <c r="EJ1910">
        <v>0</v>
      </c>
      <c r="EK1910">
        <v>0</v>
      </c>
      <c r="EP1910" t="s">
        <v>421</v>
      </c>
      <c r="EQ1910" t="s">
        <v>422</v>
      </c>
      <c r="ER1910">
        <v>0</v>
      </c>
      <c r="ES1910">
        <v>4</v>
      </c>
      <c r="ET1910">
        <v>0</v>
      </c>
      <c r="EU1910">
        <v>0</v>
      </c>
      <c r="EV1910">
        <v>0</v>
      </c>
      <c r="EW1910" s="2">
        <v>43222</v>
      </c>
      <c r="EX1910" s="1">
        <v>42879</v>
      </c>
      <c r="EY1910">
        <v>2016</v>
      </c>
      <c r="EZ1910">
        <v>2133.13</v>
      </c>
      <c r="FA1910" t="s">
        <v>18708</v>
      </c>
      <c r="FB1910">
        <v>0.25</v>
      </c>
      <c r="FC1910" t="s">
        <v>424</v>
      </c>
      <c r="FD1910" t="s">
        <v>425</v>
      </c>
      <c r="FE1910" s="1">
        <v>43041</v>
      </c>
      <c r="FF1910">
        <v>6</v>
      </c>
      <c r="FG1910">
        <v>2851116</v>
      </c>
      <c r="FH1910" t="s">
        <v>480</v>
      </c>
      <c r="FJ1910" s="1">
        <v>42879</v>
      </c>
      <c r="FK1910">
        <v>2016</v>
      </c>
      <c r="FL1910">
        <v>2133.13</v>
      </c>
      <c r="FM1910" t="s">
        <v>18708</v>
      </c>
      <c r="FN1910">
        <v>0.25</v>
      </c>
      <c r="FO1910" t="s">
        <v>424</v>
      </c>
      <c r="FP1910" t="s">
        <v>425</v>
      </c>
      <c r="FR1910">
        <v>22</v>
      </c>
      <c r="FS1910">
        <v>4892582</v>
      </c>
      <c r="FT1910" t="s">
        <v>18709</v>
      </c>
      <c r="FV1910" s="1">
        <v>42515</v>
      </c>
      <c r="FW1910">
        <v>2015</v>
      </c>
      <c r="FX1910">
        <v>2060.13</v>
      </c>
      <c r="FY1910" t="s">
        <v>18710</v>
      </c>
      <c r="FZ1910">
        <v>0.25</v>
      </c>
      <c r="GA1910" t="s">
        <v>424</v>
      </c>
      <c r="GB1910" t="s">
        <v>425</v>
      </c>
      <c r="GC1910" s="1">
        <v>42849</v>
      </c>
      <c r="GD1910">
        <v>11</v>
      </c>
      <c r="GE1910">
        <v>2851116</v>
      </c>
      <c r="GF1910" t="s">
        <v>480</v>
      </c>
      <c r="GH1910" s="1">
        <v>42515</v>
      </c>
      <c r="GI1910">
        <v>2015</v>
      </c>
      <c r="GJ1910">
        <v>2060.13</v>
      </c>
      <c r="GK1910" t="s">
        <v>18710</v>
      </c>
      <c r="GL1910">
        <v>0.25</v>
      </c>
      <c r="GM1910" t="s">
        <v>424</v>
      </c>
      <c r="GN1910" t="s">
        <v>425</v>
      </c>
      <c r="GP1910">
        <v>22</v>
      </c>
      <c r="GQ1910">
        <v>4887230</v>
      </c>
      <c r="GR1910" t="s">
        <v>18711</v>
      </c>
    </row>
    <row r="1911" spans="1:284" x14ac:dyDescent="0.25">
      <c r="A1911">
        <v>16486918</v>
      </c>
      <c r="B1911">
        <v>1910</v>
      </c>
      <c r="C1911" t="s">
        <v>393</v>
      </c>
      <c r="D1911" t="s">
        <v>394</v>
      </c>
      <c r="F1911" t="str">
        <f>"00-00-30-0150-0005-0000"</f>
        <v>00-00-30-0150-0005-0000</v>
      </c>
      <c r="H1911" t="str">
        <f>"STURGES C MITCHELL EST &amp; MERRITT TEREASA M"</f>
        <v>STURGES C MITCHELL EST &amp; MERRITT TEREASA M</v>
      </c>
      <c r="I1911" t="str">
        <f>"517 EMANUEL CHURCH RD"</f>
        <v>517 EMANUEL CHURCH RD</v>
      </c>
      <c r="J1911" t="str">
        <f>"BRUNSWICK GA 31523"</f>
        <v>BRUNSWICK GA 31523</v>
      </c>
      <c r="K1911" t="str">
        <f>"779 ADAMS RD"</f>
        <v>779 ADAMS RD</v>
      </c>
      <c r="L1911" t="str">
        <f t="shared" si="711"/>
        <v>FERNANDINA BEACH FL 32034</v>
      </c>
      <c r="M1911" t="str">
        <f>"LOT 5 IN OR 1578/636 &amp; OR 2053/868 BUENA VISTA PB 5/19 1/3 HX INT"</f>
        <v>LOT 5 IN OR 1578/636 &amp; OR 2053/868 BUENA VISTA PB 5/19 1/3 HX INT</v>
      </c>
      <c r="N1911" t="str">
        <f>""</f>
        <v/>
      </c>
      <c r="O1911" t="str">
        <f>"655"</f>
        <v>655</v>
      </c>
      <c r="P1911" t="str">
        <f t="shared" si="698"/>
        <v>2017</v>
      </c>
      <c r="Q1911" t="str">
        <f>""</f>
        <v/>
      </c>
      <c r="R1911" t="str">
        <f t="shared" si="719"/>
        <v>N</v>
      </c>
      <c r="S1911" t="str">
        <f>""</f>
        <v/>
      </c>
      <c r="T1911" t="str">
        <f>"2093.48"</f>
        <v>2093.48</v>
      </c>
      <c r="U1911" t="str">
        <f>"136025.00"</f>
        <v>136025.00</v>
      </c>
      <c r="V1911" t="str">
        <f>"136025.00"</f>
        <v>136025.00</v>
      </c>
      <c r="W1911" t="str">
        <f t="shared" si="699"/>
        <v>2017</v>
      </c>
      <c r="X1911" t="str">
        <f>"10.00"</f>
        <v>10.00</v>
      </c>
      <c r="Y1911" t="str">
        <f>"2188.28"</f>
        <v>2188.28</v>
      </c>
      <c r="Z1911" t="str">
        <f>""</f>
        <v/>
      </c>
      <c r="AA1911" t="str">
        <f>"136025.00"</f>
        <v>136025.00</v>
      </c>
      <c r="AB1911" t="str">
        <f t="shared" si="720"/>
        <v>Residential</v>
      </c>
      <c r="AC1911" t="str">
        <f t="shared" si="710"/>
        <v>0</v>
      </c>
      <c r="AD1911" t="str">
        <f t="shared" si="721"/>
        <v>4</v>
      </c>
      <c r="AE1911" t="str">
        <f t="shared" si="722"/>
        <v>WOOD (INCLUDE STEEL STUDS)</v>
      </c>
      <c r="AF1911" t="str">
        <f>"001"</f>
        <v>001</v>
      </c>
      <c r="AG1911" t="str">
        <f>"GA"</f>
        <v>GA</v>
      </c>
      <c r="AH1911" t="str">
        <f>"14140.00"</f>
        <v>14140.00</v>
      </c>
      <c r="AI1911" t="str">
        <f>"50500.00"</f>
        <v>50500.00</v>
      </c>
      <c r="AJ1911" t="str">
        <f>"C55-000-585-0551-2"</f>
        <v>C55-000-585-0551-2</v>
      </c>
      <c r="AK1911" t="str">
        <f>"38288"</f>
        <v>38288</v>
      </c>
      <c r="AL1911">
        <v>7</v>
      </c>
      <c r="AM1911">
        <v>2177</v>
      </c>
      <c r="AN1911">
        <v>2296.09</v>
      </c>
      <c r="AQ1911" t="s">
        <v>18712</v>
      </c>
      <c r="AR1911" t="s">
        <v>18712</v>
      </c>
      <c r="AS1911" t="s">
        <v>18712</v>
      </c>
      <c r="AU1911" t="s">
        <v>396</v>
      </c>
      <c r="AV1911">
        <v>2017</v>
      </c>
      <c r="AW1911" t="str">
        <f>"00-00-30-0150-0005-0000 "</f>
        <v xml:space="preserve">00-00-30-0150-0005-0000 </v>
      </c>
      <c r="AX1911">
        <v>779</v>
      </c>
      <c r="AZ1911" t="s">
        <v>18713</v>
      </c>
      <c r="BA1911" t="s">
        <v>496</v>
      </c>
      <c r="BD1911" t="s">
        <v>11749</v>
      </c>
      <c r="BE1911" t="s">
        <v>393</v>
      </c>
      <c r="BF1911">
        <v>32034</v>
      </c>
      <c r="BG1911" t="s">
        <v>18714</v>
      </c>
      <c r="BH1911" t="s">
        <v>11751</v>
      </c>
      <c r="BI1911">
        <v>-81.458994145320005</v>
      </c>
      <c r="BJ1911">
        <v>30.634443961250501</v>
      </c>
      <c r="BK1911" t="s">
        <v>18715</v>
      </c>
      <c r="BM1911" t="s">
        <v>18716</v>
      </c>
      <c r="BN1911" t="s">
        <v>18717</v>
      </c>
      <c r="BO1911">
        <v>31523</v>
      </c>
      <c r="BP1911" t="s">
        <v>404</v>
      </c>
      <c r="BQ1911">
        <v>100</v>
      </c>
      <c r="BR1911" t="s">
        <v>514</v>
      </c>
      <c r="BS1911">
        <v>1001</v>
      </c>
      <c r="BT1911" t="s">
        <v>515</v>
      </c>
      <c r="BU1911">
        <v>1010</v>
      </c>
      <c r="BV1911">
        <v>1400</v>
      </c>
      <c r="BW1911">
        <v>14186</v>
      </c>
      <c r="BX1911" t="s">
        <v>407</v>
      </c>
      <c r="BY1911" t="s">
        <v>7351</v>
      </c>
      <c r="BZ1911">
        <v>4</v>
      </c>
      <c r="CA1911">
        <v>1968</v>
      </c>
      <c r="CB1911">
        <v>2</v>
      </c>
      <c r="CC1911">
        <v>1</v>
      </c>
      <c r="CD1911">
        <v>2017</v>
      </c>
      <c r="CE1911">
        <v>50500</v>
      </c>
      <c r="CF1911">
        <v>85525</v>
      </c>
      <c r="CG1911">
        <v>136025</v>
      </c>
      <c r="CH1911">
        <v>2017</v>
      </c>
      <c r="CI1911">
        <v>50500</v>
      </c>
      <c r="CJ1911">
        <v>85525</v>
      </c>
      <c r="CK1911">
        <v>136025</v>
      </c>
      <c r="CL1911">
        <v>2017</v>
      </c>
      <c r="CM1911">
        <v>2093.48</v>
      </c>
      <c r="CN1911" s="1">
        <v>42538</v>
      </c>
      <c r="CZ1911" s="1">
        <v>42538</v>
      </c>
      <c r="DD1911" t="s">
        <v>11749</v>
      </c>
      <c r="DF1911">
        <v>5</v>
      </c>
      <c r="DG1911">
        <v>30</v>
      </c>
      <c r="DJ1911" t="s">
        <v>18718</v>
      </c>
      <c r="DL1911">
        <v>50202</v>
      </c>
      <c r="DM1911" t="s">
        <v>18678</v>
      </c>
      <c r="DO1911" t="s">
        <v>18719</v>
      </c>
      <c r="DP1911">
        <v>0</v>
      </c>
      <c r="DQ1911">
        <v>0</v>
      </c>
      <c r="DR1911" t="s">
        <v>411</v>
      </c>
      <c r="DS1911" t="b">
        <v>1</v>
      </c>
      <c r="DT1911" t="s">
        <v>470</v>
      </c>
      <c r="DU1911" t="s">
        <v>471</v>
      </c>
      <c r="DV1911" t="s">
        <v>472</v>
      </c>
      <c r="DX1911">
        <v>-9999</v>
      </c>
      <c r="DZ1911" t="s">
        <v>447</v>
      </c>
      <c r="EA1911" t="s">
        <v>448</v>
      </c>
      <c r="EB1911" t="s">
        <v>14787</v>
      </c>
      <c r="EC1911">
        <v>20101217</v>
      </c>
      <c r="ED1911" t="s">
        <v>474</v>
      </c>
      <c r="EF1911">
        <v>787.3</v>
      </c>
      <c r="EG1911">
        <v>208.6</v>
      </c>
      <c r="EI1911">
        <v>20160407</v>
      </c>
      <c r="EJ1911">
        <v>0</v>
      </c>
      <c r="EK1911">
        <v>0</v>
      </c>
      <c r="EP1911" t="s">
        <v>421</v>
      </c>
      <c r="EQ1911" t="s">
        <v>422</v>
      </c>
      <c r="ER1911">
        <v>0</v>
      </c>
      <c r="ES1911">
        <v>2</v>
      </c>
      <c r="ET1911">
        <v>0</v>
      </c>
      <c r="EU1911">
        <v>0</v>
      </c>
      <c r="EV1911">
        <v>0</v>
      </c>
      <c r="EW1911" s="2">
        <v>43222</v>
      </c>
      <c r="EX1911" s="1">
        <v>42879</v>
      </c>
      <c r="EY1911">
        <v>2016</v>
      </c>
      <c r="EZ1911">
        <v>1652.91</v>
      </c>
      <c r="FA1911" t="s">
        <v>18720</v>
      </c>
      <c r="FB1911">
        <v>0.25</v>
      </c>
      <c r="FC1911" t="s">
        <v>424</v>
      </c>
      <c r="FD1911" t="s">
        <v>425</v>
      </c>
      <c r="FE1911" s="1">
        <v>43174</v>
      </c>
      <c r="FF1911">
        <v>10</v>
      </c>
      <c r="FG1911">
        <v>5856194</v>
      </c>
      <c r="FH1911" t="s">
        <v>2685</v>
      </c>
      <c r="FJ1911" s="1">
        <v>42879</v>
      </c>
      <c r="FK1911">
        <v>2016</v>
      </c>
      <c r="FL1911">
        <v>1652.91</v>
      </c>
      <c r="FM1911" t="s">
        <v>18720</v>
      </c>
      <c r="FN1911">
        <v>0.25</v>
      </c>
      <c r="FO1911" t="s">
        <v>424</v>
      </c>
      <c r="FP1911" t="s">
        <v>425</v>
      </c>
      <c r="FR1911">
        <v>22</v>
      </c>
      <c r="FS1911">
        <v>6062173</v>
      </c>
      <c r="FT1911" t="s">
        <v>18721</v>
      </c>
    </row>
    <row r="1912" spans="1:284" x14ac:dyDescent="0.25">
      <c r="A1912">
        <v>16486919</v>
      </c>
      <c r="B1912">
        <v>1911</v>
      </c>
      <c r="C1912" t="s">
        <v>393</v>
      </c>
      <c r="D1912" t="s">
        <v>394</v>
      </c>
      <c r="F1912" t="str">
        <f>"00-00-30-0170-0009-0000"</f>
        <v>00-00-30-0170-0009-0000</v>
      </c>
      <c r="H1912" t="str">
        <f>"ALEXANDER TERRY &amp; PEAVY KRISTI A &amp; JERETT ROY"</f>
        <v>ALEXANDER TERRY &amp; PEAVY KRISTI A &amp; JERETT ROY</v>
      </c>
      <c r="I1912" t="str">
        <f>"847 CASHEN DR"</f>
        <v>847 CASHEN DR</v>
      </c>
      <c r="J1912" t="str">
        <f>"FERNANDINA BEACH FL 32034"</f>
        <v>FERNANDINA BEACH FL 32034</v>
      </c>
      <c r="K1912" t="str">
        <f>"847 CASHEN DR"</f>
        <v>847 CASHEN DR</v>
      </c>
      <c r="L1912" t="str">
        <f t="shared" si="711"/>
        <v>FERNANDINA BEACH FL 32034</v>
      </c>
      <c r="M1912" t="str">
        <f>"LOT 9 L/E OR 571/1033 &amp; OR 1347/1950 IN OR 1593/1351 CASHEN PARK SUB PB 2/49"</f>
        <v>LOT 9 L/E OR 571/1033 &amp; OR 1347/1950 IN OR 1593/1351 CASHEN PARK SUB PB 2/49</v>
      </c>
      <c r="N1912" t="str">
        <f>""</f>
        <v/>
      </c>
      <c r="O1912" t="str">
        <f>"672"</f>
        <v>672</v>
      </c>
      <c r="P1912" t="str">
        <f t="shared" si="698"/>
        <v>2017</v>
      </c>
      <c r="Q1912" t="str">
        <f>""</f>
        <v/>
      </c>
      <c r="R1912" t="str">
        <f>"Y"</f>
        <v>Y</v>
      </c>
      <c r="S1912" t="str">
        <f>""</f>
        <v/>
      </c>
      <c r="T1912" t="str">
        <f>"933.68"</f>
        <v>933.68</v>
      </c>
      <c r="U1912" t="str">
        <f>"85666.00"</f>
        <v>85666.00</v>
      </c>
      <c r="V1912" t="str">
        <f>"85666.00"</f>
        <v>85666.00</v>
      </c>
      <c r="W1912" t="str">
        <f t="shared" si="699"/>
        <v>2017</v>
      </c>
      <c r="X1912" t="str">
        <f>"12.20"</f>
        <v>12.20</v>
      </c>
      <c r="Y1912" t="str">
        <f>"993.69"</f>
        <v>993.69</v>
      </c>
      <c r="Z1912" t="str">
        <f>"25000.00"</f>
        <v>25000.00</v>
      </c>
      <c r="AA1912" t="str">
        <f>"60666.00"</f>
        <v>60666.00</v>
      </c>
      <c r="AB1912" t="str">
        <f t="shared" si="720"/>
        <v>Residential</v>
      </c>
      <c r="AC1912" t="str">
        <f t="shared" si="710"/>
        <v>0</v>
      </c>
      <c r="AD1912" t="str">
        <f t="shared" si="721"/>
        <v>4</v>
      </c>
      <c r="AE1912" t="str">
        <f t="shared" si="722"/>
        <v>WOOD (INCLUDE STEEL STUDS)</v>
      </c>
      <c r="AF1912" t="str">
        <f>"001"</f>
        <v>001</v>
      </c>
      <c r="AG1912" t="str">
        <f t="shared" ref="AG1912:AG1917" si="723">"FL"</f>
        <v>FL</v>
      </c>
      <c r="AH1912" t="str">
        <f>"25000.00"</f>
        <v>25000.00</v>
      </c>
      <c r="AI1912" t="str">
        <f>"62500.00"</f>
        <v>62500.00</v>
      </c>
      <c r="AJ1912" t="str">
        <f>"C55-000-585-0567-8"</f>
        <v>C55-000-585-0567-8</v>
      </c>
      <c r="AK1912" t="str">
        <f>"38303"</f>
        <v>38303</v>
      </c>
      <c r="AL1912">
        <v>7</v>
      </c>
      <c r="AM1912">
        <v>2178</v>
      </c>
      <c r="AN1912">
        <v>1041.77</v>
      </c>
      <c r="AQ1912" t="s">
        <v>18722</v>
      </c>
      <c r="AR1912" t="s">
        <v>18722</v>
      </c>
      <c r="AS1912" t="s">
        <v>18722</v>
      </c>
      <c r="AU1912" t="s">
        <v>396</v>
      </c>
      <c r="AV1912">
        <v>2017</v>
      </c>
      <c r="AW1912" t="str">
        <f>"00-00-30-0170-0009-0000 "</f>
        <v xml:space="preserve">00-00-30-0170-0009-0000 </v>
      </c>
      <c r="AX1912">
        <v>847</v>
      </c>
      <c r="AZ1912" t="s">
        <v>18723</v>
      </c>
      <c r="BA1912" t="s">
        <v>669</v>
      </c>
      <c r="BD1912" t="s">
        <v>11749</v>
      </c>
      <c r="BE1912" t="s">
        <v>393</v>
      </c>
      <c r="BF1912">
        <v>32034</v>
      </c>
      <c r="BG1912" t="s">
        <v>18724</v>
      </c>
      <c r="BH1912" t="s">
        <v>11751</v>
      </c>
      <c r="BI1912">
        <v>-81.456936874552099</v>
      </c>
      <c r="BJ1912">
        <v>30.6377597502931</v>
      </c>
      <c r="BK1912" t="s">
        <v>18725</v>
      </c>
      <c r="BM1912" t="s">
        <v>18726</v>
      </c>
      <c r="BN1912" t="s">
        <v>3983</v>
      </c>
      <c r="BO1912">
        <v>32034</v>
      </c>
      <c r="BP1912" t="s">
        <v>404</v>
      </c>
      <c r="BQ1912">
        <v>100</v>
      </c>
      <c r="BR1912" t="s">
        <v>514</v>
      </c>
      <c r="BS1912">
        <v>1001</v>
      </c>
      <c r="BT1912" t="s">
        <v>515</v>
      </c>
      <c r="BU1912">
        <v>1000</v>
      </c>
      <c r="BV1912">
        <v>0</v>
      </c>
      <c r="BW1912">
        <v>25051</v>
      </c>
      <c r="BX1912" t="s">
        <v>407</v>
      </c>
      <c r="BY1912" t="s">
        <v>4360</v>
      </c>
      <c r="BZ1912">
        <v>4</v>
      </c>
      <c r="CA1912">
        <v>1940</v>
      </c>
      <c r="CB1912">
        <v>1</v>
      </c>
      <c r="CC1912">
        <v>1</v>
      </c>
      <c r="CD1912">
        <v>2017</v>
      </c>
      <c r="CE1912">
        <v>62500</v>
      </c>
      <c r="CF1912">
        <v>23166</v>
      </c>
      <c r="CG1912">
        <v>85666</v>
      </c>
      <c r="CH1912">
        <v>2017</v>
      </c>
      <c r="CI1912">
        <v>62500</v>
      </c>
      <c r="CJ1912">
        <v>23166</v>
      </c>
      <c r="CK1912">
        <v>85666</v>
      </c>
      <c r="CL1912">
        <v>2017</v>
      </c>
      <c r="CM1912">
        <v>933.68</v>
      </c>
      <c r="CN1912" s="1">
        <v>39770</v>
      </c>
      <c r="CZ1912" s="1">
        <v>39770</v>
      </c>
      <c r="DD1912" t="s">
        <v>11749</v>
      </c>
      <c r="DF1912">
        <v>9</v>
      </c>
      <c r="DG1912">
        <v>30</v>
      </c>
      <c r="DL1912">
        <v>50202</v>
      </c>
      <c r="DM1912" t="s">
        <v>18678</v>
      </c>
      <c r="DO1912" t="s">
        <v>18727</v>
      </c>
      <c r="DP1912">
        <v>0</v>
      </c>
      <c r="DQ1912">
        <v>2</v>
      </c>
      <c r="DR1912" t="s">
        <v>411</v>
      </c>
      <c r="DS1912" t="b">
        <v>1</v>
      </c>
      <c r="DT1912" t="s">
        <v>470</v>
      </c>
      <c r="DU1912" t="s">
        <v>471</v>
      </c>
      <c r="DV1912" t="s">
        <v>472</v>
      </c>
      <c r="DX1912">
        <v>-9999</v>
      </c>
      <c r="DZ1912" t="s">
        <v>447</v>
      </c>
      <c r="EA1912" t="s">
        <v>448</v>
      </c>
      <c r="EB1912" t="s">
        <v>14787</v>
      </c>
      <c r="EC1912">
        <v>20101217</v>
      </c>
      <c r="ED1912" t="s">
        <v>474</v>
      </c>
      <c r="EF1912">
        <v>1624.6</v>
      </c>
      <c r="EG1912">
        <v>590.1</v>
      </c>
      <c r="EI1912">
        <v>20160407</v>
      </c>
      <c r="EJ1912">
        <v>0</v>
      </c>
      <c r="EK1912">
        <v>0</v>
      </c>
      <c r="EP1912" t="s">
        <v>421</v>
      </c>
      <c r="EQ1912" t="s">
        <v>422</v>
      </c>
      <c r="ER1912">
        <v>0</v>
      </c>
      <c r="ES1912">
        <v>7</v>
      </c>
      <c r="ET1912">
        <v>0</v>
      </c>
      <c r="EU1912">
        <v>0</v>
      </c>
      <c r="EV1912">
        <v>0</v>
      </c>
      <c r="EW1912" s="2">
        <v>43222</v>
      </c>
      <c r="EX1912" s="1">
        <v>42515</v>
      </c>
      <c r="EY1912">
        <v>2015</v>
      </c>
      <c r="EZ1912">
        <v>1104.6600000000001</v>
      </c>
      <c r="FA1912" t="s">
        <v>18728</v>
      </c>
      <c r="FB1912">
        <v>0.25</v>
      </c>
      <c r="FC1912" t="s">
        <v>424</v>
      </c>
      <c r="FD1912" t="s">
        <v>425</v>
      </c>
      <c r="FE1912" s="1">
        <v>42789</v>
      </c>
      <c r="FF1912">
        <v>9</v>
      </c>
      <c r="FG1912">
        <v>2851116</v>
      </c>
      <c r="FH1912" t="s">
        <v>480</v>
      </c>
      <c r="FJ1912" s="1">
        <v>42515</v>
      </c>
      <c r="FK1912">
        <v>2015</v>
      </c>
      <c r="FL1912">
        <v>1104.6600000000001</v>
      </c>
      <c r="FM1912" t="s">
        <v>18728</v>
      </c>
      <c r="FN1912">
        <v>0.25</v>
      </c>
      <c r="FO1912" t="s">
        <v>424</v>
      </c>
      <c r="FP1912" t="s">
        <v>425</v>
      </c>
      <c r="FR1912">
        <v>22</v>
      </c>
      <c r="FS1912">
        <v>5535197</v>
      </c>
      <c r="FT1912" t="s">
        <v>18729</v>
      </c>
      <c r="FV1912" s="1">
        <v>42151</v>
      </c>
      <c r="FW1912">
        <v>2014</v>
      </c>
      <c r="FX1912">
        <v>817.12</v>
      </c>
      <c r="FY1912" t="s">
        <v>18730</v>
      </c>
      <c r="FZ1912">
        <v>0.25</v>
      </c>
      <c r="GA1912" t="s">
        <v>424</v>
      </c>
      <c r="GB1912" t="s">
        <v>425</v>
      </c>
      <c r="GC1912" s="1">
        <v>42776</v>
      </c>
      <c r="GD1912">
        <v>21</v>
      </c>
      <c r="GE1912">
        <v>2851116</v>
      </c>
      <c r="GF1912" t="s">
        <v>480</v>
      </c>
      <c r="GH1912" s="1">
        <v>42151</v>
      </c>
      <c r="GI1912">
        <v>2014</v>
      </c>
      <c r="GJ1912">
        <v>817.12</v>
      </c>
      <c r="GK1912" t="s">
        <v>18730</v>
      </c>
      <c r="GL1912">
        <v>0.25</v>
      </c>
      <c r="GM1912" t="s">
        <v>424</v>
      </c>
      <c r="GN1912" t="s">
        <v>425</v>
      </c>
      <c r="GP1912">
        <v>22</v>
      </c>
      <c r="GQ1912">
        <v>5329567</v>
      </c>
      <c r="GR1912" t="s">
        <v>18731</v>
      </c>
      <c r="GT1912" s="1">
        <v>41787</v>
      </c>
      <c r="GU1912">
        <v>2013</v>
      </c>
      <c r="GV1912">
        <v>692.59</v>
      </c>
      <c r="GW1912" t="s">
        <v>18732</v>
      </c>
      <c r="GX1912">
        <v>0.25</v>
      </c>
      <c r="GY1912" t="s">
        <v>424</v>
      </c>
      <c r="GZ1912" t="s">
        <v>425</v>
      </c>
      <c r="HA1912" s="1">
        <v>42416</v>
      </c>
      <c r="HB1912">
        <v>21</v>
      </c>
      <c r="HC1912">
        <v>2101382</v>
      </c>
      <c r="HD1912" t="s">
        <v>993</v>
      </c>
      <c r="HF1912" s="1">
        <v>41423</v>
      </c>
      <c r="HG1912">
        <v>2012</v>
      </c>
      <c r="HH1912">
        <v>702.69</v>
      </c>
      <c r="HI1912" t="s">
        <v>18733</v>
      </c>
      <c r="HJ1912">
        <v>0.25</v>
      </c>
      <c r="HK1912" t="s">
        <v>424</v>
      </c>
      <c r="HL1912" t="s">
        <v>425</v>
      </c>
      <c r="HM1912" s="1">
        <v>41446</v>
      </c>
      <c r="HN1912">
        <v>1</v>
      </c>
      <c r="HO1912">
        <v>1625515</v>
      </c>
      <c r="HP1912" t="s">
        <v>487</v>
      </c>
      <c r="HR1912" s="1">
        <v>40688</v>
      </c>
      <c r="HS1912">
        <v>2010</v>
      </c>
      <c r="HT1912">
        <v>216.06</v>
      </c>
      <c r="HU1912" t="s">
        <v>18734</v>
      </c>
      <c r="HV1912">
        <v>5.75</v>
      </c>
      <c r="HW1912" t="s">
        <v>424</v>
      </c>
      <c r="HX1912" t="s">
        <v>425</v>
      </c>
      <c r="HY1912" s="1">
        <v>40949</v>
      </c>
      <c r="HZ1912">
        <v>9</v>
      </c>
      <c r="IA1912">
        <v>62</v>
      </c>
      <c r="IB1912" t="s">
        <v>463</v>
      </c>
    </row>
    <row r="1913" spans="1:284" x14ac:dyDescent="0.25">
      <c r="A1913">
        <v>16486920</v>
      </c>
      <c r="B1913">
        <v>1912</v>
      </c>
      <c r="C1913" t="s">
        <v>393</v>
      </c>
      <c r="D1913" t="s">
        <v>394</v>
      </c>
      <c r="F1913" t="str">
        <f>"00-00-30-0174-0036-0000"</f>
        <v>00-00-30-0174-0036-0000</v>
      </c>
      <c r="H1913" t="str">
        <f>"QUINN TAMMY B"</f>
        <v>QUINN TAMMY B</v>
      </c>
      <c r="I1913" t="str">
        <f>"2018 CASHENWOOD DR"</f>
        <v>2018 CASHENWOOD DR</v>
      </c>
      <c r="J1913" t="str">
        <f>"FERNANDINA BEACH FL 32034"</f>
        <v>FERNANDINA BEACH FL 32034</v>
      </c>
      <c r="K1913" t="str">
        <f>"2018 CASHEN WOOD DR"</f>
        <v>2018 CASHEN WOOD DR</v>
      </c>
      <c r="L1913" t="str">
        <f t="shared" si="711"/>
        <v>FERNANDINA BEACH FL 32034</v>
      </c>
      <c r="M1913" t="str">
        <f>"LOT 36 OR 575/1005 PROBATE FILE 96-90-CP CASHEN WOOD SUB PB5/221"</f>
        <v>LOT 36 OR 575/1005 PROBATE FILE 96-90-CP CASHEN WOOD SUB PB5/221</v>
      </c>
      <c r="N1913" t="str">
        <f>""</f>
        <v/>
      </c>
      <c r="O1913" t="str">
        <f>"715"</f>
        <v>715</v>
      </c>
      <c r="P1913" t="str">
        <f t="shared" si="698"/>
        <v>2017</v>
      </c>
      <c r="Q1913" t="str">
        <f>""</f>
        <v/>
      </c>
      <c r="R1913" t="str">
        <f>"Y"</f>
        <v>Y</v>
      </c>
      <c r="S1913" t="str">
        <f>""</f>
        <v/>
      </c>
      <c r="T1913" t="str">
        <f>"1551.75"</f>
        <v>1551.75</v>
      </c>
      <c r="U1913" t="str">
        <f>"140608.00"</f>
        <v>140608.00</v>
      </c>
      <c r="V1913" t="str">
        <f>"140608.00"</f>
        <v>140608.00</v>
      </c>
      <c r="W1913" t="str">
        <f t="shared" si="699"/>
        <v>2017</v>
      </c>
      <c r="X1913" t="str">
        <f>"33.00"</f>
        <v>33.00</v>
      </c>
      <c r="Y1913" t="str">
        <f>"1630.30"</f>
        <v>1630.30</v>
      </c>
      <c r="Z1913" t="str">
        <f>"25500.00"</f>
        <v>25500.00</v>
      </c>
      <c r="AA1913" t="str">
        <f>"115108.00"</f>
        <v>115108.00</v>
      </c>
      <c r="AB1913" t="str">
        <f t="shared" si="720"/>
        <v>Residential</v>
      </c>
      <c r="AC1913" t="str">
        <f t="shared" si="710"/>
        <v>0</v>
      </c>
      <c r="AD1913" t="str">
        <f t="shared" si="721"/>
        <v>4</v>
      </c>
      <c r="AE1913" t="str">
        <f t="shared" si="722"/>
        <v>WOOD (INCLUDE STEEL STUDS)</v>
      </c>
      <c r="AF1913" t="str">
        <f>"001"</f>
        <v>001</v>
      </c>
      <c r="AG1913" t="str">
        <f t="shared" si="723"/>
        <v>FL</v>
      </c>
      <c r="AH1913" t="str">
        <f>"-"</f>
        <v>-</v>
      </c>
      <c r="AI1913" t="str">
        <f>"50000.00"</f>
        <v>50000.00</v>
      </c>
      <c r="AJ1913" t="str">
        <f>"C55-000-585-0609-8"</f>
        <v>C55-000-585-0609-8</v>
      </c>
      <c r="AK1913" t="str">
        <f>"38345"</f>
        <v>38345</v>
      </c>
      <c r="AL1913">
        <v>7</v>
      </c>
      <c r="AM1913">
        <v>2179</v>
      </c>
      <c r="AN1913">
        <v>1710.22</v>
      </c>
      <c r="AQ1913" t="s">
        <v>18735</v>
      </c>
      <c r="AR1913" t="s">
        <v>18735</v>
      </c>
      <c r="AS1913" t="s">
        <v>18735</v>
      </c>
      <c r="AU1913" t="s">
        <v>396</v>
      </c>
      <c r="AV1913">
        <v>2017</v>
      </c>
      <c r="AW1913" t="str">
        <f>"00-00-30-0174-0036-0000 "</f>
        <v xml:space="preserve">00-00-30-0174-0036-0000 </v>
      </c>
      <c r="AX1913">
        <v>2018</v>
      </c>
      <c r="AZ1913" t="s">
        <v>18736</v>
      </c>
      <c r="BA1913" t="s">
        <v>669</v>
      </c>
      <c r="BD1913" t="s">
        <v>11749</v>
      </c>
      <c r="BE1913" t="s">
        <v>393</v>
      </c>
      <c r="BF1913">
        <v>32034</v>
      </c>
      <c r="BG1913" t="s">
        <v>18737</v>
      </c>
      <c r="BH1913" t="s">
        <v>11751</v>
      </c>
      <c r="BI1913">
        <v>-81.464119512235698</v>
      </c>
      <c r="BJ1913">
        <v>30.636578578361402</v>
      </c>
      <c r="BK1913" t="s">
        <v>18738</v>
      </c>
      <c r="BM1913" t="s">
        <v>18737</v>
      </c>
      <c r="BN1913" t="s">
        <v>3983</v>
      </c>
      <c r="BO1913">
        <v>32034</v>
      </c>
      <c r="BP1913" t="s">
        <v>416</v>
      </c>
      <c r="BQ1913">
        <v>100</v>
      </c>
      <c r="BR1913" t="s">
        <v>514</v>
      </c>
      <c r="BS1913">
        <v>1001</v>
      </c>
      <c r="BT1913" t="s">
        <v>515</v>
      </c>
      <c r="BW1913">
        <v>25419</v>
      </c>
      <c r="BX1913" t="s">
        <v>407</v>
      </c>
      <c r="BY1913" t="s">
        <v>7351</v>
      </c>
      <c r="BZ1913">
        <v>4</v>
      </c>
      <c r="CA1913">
        <v>1992</v>
      </c>
      <c r="CB1913">
        <v>1</v>
      </c>
      <c r="CC1913">
        <v>1</v>
      </c>
      <c r="CD1913">
        <v>2017</v>
      </c>
      <c r="CG1913">
        <v>140608</v>
      </c>
      <c r="CH1913">
        <v>2017</v>
      </c>
      <c r="CI1913">
        <v>50000</v>
      </c>
      <c r="CJ1913">
        <v>122174</v>
      </c>
      <c r="CK1913">
        <v>172174</v>
      </c>
      <c r="CL1913">
        <v>2017</v>
      </c>
      <c r="CM1913">
        <v>1551.75</v>
      </c>
      <c r="CN1913" s="1">
        <v>32720</v>
      </c>
      <c r="CO1913">
        <v>27000</v>
      </c>
      <c r="CZ1913" s="1">
        <v>32720</v>
      </c>
      <c r="DD1913" t="s">
        <v>11749</v>
      </c>
      <c r="DF1913">
        <v>36</v>
      </c>
      <c r="DG1913">
        <v>31</v>
      </c>
      <c r="DJ1913" t="s">
        <v>18736</v>
      </c>
      <c r="DL1913">
        <v>50202</v>
      </c>
      <c r="DM1913" t="s">
        <v>18368</v>
      </c>
      <c r="DO1913" t="s">
        <v>18739</v>
      </c>
      <c r="DP1913">
        <v>0</v>
      </c>
      <c r="DQ1913">
        <v>0</v>
      </c>
      <c r="DR1913" t="s">
        <v>411</v>
      </c>
      <c r="DS1913" t="b">
        <v>1</v>
      </c>
      <c r="DT1913" t="s">
        <v>8902</v>
      </c>
      <c r="DV1913" t="s">
        <v>446</v>
      </c>
      <c r="DX1913">
        <v>10</v>
      </c>
      <c r="DY1913" t="s">
        <v>11438</v>
      </c>
      <c r="DZ1913" t="s">
        <v>447</v>
      </c>
      <c r="EA1913" t="s">
        <v>448</v>
      </c>
      <c r="EB1913" t="s">
        <v>18370</v>
      </c>
      <c r="EC1913">
        <v>20101217</v>
      </c>
      <c r="ED1913" t="s">
        <v>450</v>
      </c>
      <c r="EE1913">
        <v>5</v>
      </c>
      <c r="EF1913">
        <v>0</v>
      </c>
      <c r="EG1913">
        <v>0</v>
      </c>
      <c r="EI1913">
        <v>20160407</v>
      </c>
      <c r="EJ1913">
        <v>0</v>
      </c>
      <c r="EK1913">
        <v>0</v>
      </c>
      <c r="EP1913" t="s">
        <v>421</v>
      </c>
      <c r="EQ1913" t="s">
        <v>452</v>
      </c>
      <c r="ER1913">
        <v>0</v>
      </c>
      <c r="ES1913">
        <v>11</v>
      </c>
      <c r="ET1913">
        <v>0</v>
      </c>
      <c r="EU1913">
        <v>0</v>
      </c>
      <c r="EV1913">
        <v>0</v>
      </c>
      <c r="EW1913" s="2">
        <v>43222</v>
      </c>
      <c r="EX1913" s="1">
        <v>42879</v>
      </c>
      <c r="EY1913">
        <v>2016</v>
      </c>
      <c r="EZ1913">
        <v>1683.25</v>
      </c>
      <c r="FA1913" t="s">
        <v>18740</v>
      </c>
      <c r="FB1913">
        <v>0.25</v>
      </c>
      <c r="FC1913" t="s">
        <v>424</v>
      </c>
      <c r="FD1913" t="s">
        <v>425</v>
      </c>
      <c r="FE1913" s="1">
        <v>42914</v>
      </c>
      <c r="FF1913">
        <v>1</v>
      </c>
      <c r="FG1913">
        <v>7400234</v>
      </c>
      <c r="FH1913" t="s">
        <v>426</v>
      </c>
      <c r="FI1913" t="s">
        <v>458</v>
      </c>
      <c r="FJ1913" s="1">
        <v>42879</v>
      </c>
      <c r="FK1913">
        <v>2016</v>
      </c>
      <c r="FL1913">
        <v>1683.25</v>
      </c>
      <c r="FM1913" t="s">
        <v>18740</v>
      </c>
      <c r="FN1913">
        <v>0.25</v>
      </c>
      <c r="FO1913" t="s">
        <v>424</v>
      </c>
      <c r="FP1913" t="s">
        <v>425</v>
      </c>
      <c r="FR1913">
        <v>22</v>
      </c>
      <c r="FS1913">
        <v>7448884</v>
      </c>
      <c r="FT1913" t="s">
        <v>18741</v>
      </c>
      <c r="FU1913" t="s">
        <v>458</v>
      </c>
      <c r="FV1913" s="1">
        <v>42515</v>
      </c>
      <c r="FW1913">
        <v>2015</v>
      </c>
      <c r="FX1913">
        <v>1695.97</v>
      </c>
      <c r="FY1913" t="s">
        <v>18742</v>
      </c>
      <c r="FZ1913">
        <v>0.25</v>
      </c>
      <c r="GA1913" t="s">
        <v>424</v>
      </c>
      <c r="GB1913" t="s">
        <v>425</v>
      </c>
      <c r="GC1913" s="1">
        <v>42914</v>
      </c>
      <c r="GD1913">
        <v>13</v>
      </c>
      <c r="GE1913">
        <v>7045074</v>
      </c>
      <c r="GF1913" t="s">
        <v>580</v>
      </c>
      <c r="GG1913" t="s">
        <v>458</v>
      </c>
      <c r="GH1913" s="1">
        <v>42515</v>
      </c>
      <c r="GI1913">
        <v>2015</v>
      </c>
      <c r="GJ1913">
        <v>1695.97</v>
      </c>
      <c r="GK1913" t="s">
        <v>18742</v>
      </c>
      <c r="GL1913">
        <v>0.25</v>
      </c>
      <c r="GM1913" t="s">
        <v>424</v>
      </c>
      <c r="GN1913" t="s">
        <v>425</v>
      </c>
      <c r="GP1913">
        <v>22</v>
      </c>
      <c r="GQ1913">
        <v>6438265</v>
      </c>
      <c r="GR1913" t="s">
        <v>18743</v>
      </c>
      <c r="GS1913" t="s">
        <v>458</v>
      </c>
      <c r="GT1913" s="1">
        <v>42151</v>
      </c>
      <c r="GU1913">
        <v>2014</v>
      </c>
      <c r="GV1913">
        <v>1686.85</v>
      </c>
      <c r="GW1913" t="s">
        <v>18744</v>
      </c>
      <c r="GX1913">
        <v>0.25</v>
      </c>
      <c r="GY1913" t="s">
        <v>424</v>
      </c>
      <c r="GZ1913" t="s">
        <v>425</v>
      </c>
      <c r="HB1913">
        <v>22</v>
      </c>
      <c r="HC1913">
        <v>4975594</v>
      </c>
      <c r="HD1913" t="s">
        <v>457</v>
      </c>
      <c r="HE1913" t="s">
        <v>458</v>
      </c>
      <c r="HF1913" s="1">
        <v>42151</v>
      </c>
      <c r="HG1913">
        <v>2014</v>
      </c>
      <c r="HH1913">
        <v>1686.85</v>
      </c>
      <c r="HI1913" t="s">
        <v>18744</v>
      </c>
      <c r="HJ1913">
        <v>0.25</v>
      </c>
      <c r="HK1913" t="s">
        <v>424</v>
      </c>
      <c r="HL1913" t="s">
        <v>425</v>
      </c>
      <c r="HN1913">
        <v>22</v>
      </c>
      <c r="HO1913">
        <v>6247451</v>
      </c>
      <c r="HP1913" t="s">
        <v>18745</v>
      </c>
      <c r="HQ1913" t="s">
        <v>458</v>
      </c>
      <c r="HR1913" s="1">
        <v>41787</v>
      </c>
      <c r="HS1913">
        <v>2013</v>
      </c>
      <c r="HT1913">
        <v>1579.68</v>
      </c>
      <c r="HU1913" t="s">
        <v>18746</v>
      </c>
      <c r="HV1913">
        <v>0.25</v>
      </c>
      <c r="HW1913" t="s">
        <v>424</v>
      </c>
      <c r="HX1913" t="s">
        <v>425</v>
      </c>
      <c r="HZ1913">
        <v>22</v>
      </c>
      <c r="IA1913">
        <v>15259</v>
      </c>
      <c r="IB1913" t="s">
        <v>891</v>
      </c>
      <c r="ID1913" s="1">
        <v>41787</v>
      </c>
      <c r="IE1913">
        <v>2013</v>
      </c>
      <c r="IF1913">
        <v>1579.68</v>
      </c>
      <c r="IG1913" t="s">
        <v>18746</v>
      </c>
      <c r="IH1913">
        <v>0.25</v>
      </c>
      <c r="II1913" t="s">
        <v>424</v>
      </c>
      <c r="IJ1913" t="s">
        <v>425</v>
      </c>
      <c r="IK1913" s="1">
        <v>42366</v>
      </c>
      <c r="IL1913">
        <v>19</v>
      </c>
      <c r="IM1913">
        <v>7045049</v>
      </c>
      <c r="IN1913" t="s">
        <v>1335</v>
      </c>
      <c r="IP1913" s="1">
        <v>41423</v>
      </c>
      <c r="IQ1913">
        <v>2012</v>
      </c>
      <c r="IR1913">
        <v>1564.33</v>
      </c>
      <c r="IS1913" t="s">
        <v>18747</v>
      </c>
      <c r="IT1913">
        <v>0.25</v>
      </c>
      <c r="IU1913" t="s">
        <v>424</v>
      </c>
      <c r="IV1913" t="s">
        <v>425</v>
      </c>
      <c r="IW1913" s="1">
        <v>42103</v>
      </c>
      <c r="IX1913">
        <v>23</v>
      </c>
      <c r="IY1913">
        <v>15259</v>
      </c>
      <c r="IZ1913" t="s">
        <v>891</v>
      </c>
      <c r="JB1913" s="1">
        <v>41052</v>
      </c>
      <c r="JC1913">
        <v>2011</v>
      </c>
      <c r="JD1913">
        <v>1521.63</v>
      </c>
      <c r="JE1913" t="s">
        <v>18748</v>
      </c>
      <c r="JF1913">
        <v>0.25</v>
      </c>
      <c r="JG1913" t="s">
        <v>424</v>
      </c>
      <c r="JH1913" t="s">
        <v>425</v>
      </c>
      <c r="JI1913" s="1">
        <v>41722</v>
      </c>
      <c r="JJ1913">
        <v>22</v>
      </c>
      <c r="JK1913">
        <v>11289</v>
      </c>
      <c r="JL1913" t="s">
        <v>787</v>
      </c>
      <c r="JN1913" s="1">
        <v>41052</v>
      </c>
      <c r="JO1913">
        <v>2011</v>
      </c>
      <c r="JP1913">
        <v>1521.63</v>
      </c>
      <c r="JQ1913" t="s">
        <v>18748</v>
      </c>
      <c r="JR1913">
        <v>0.25</v>
      </c>
      <c r="JS1913" t="s">
        <v>424</v>
      </c>
      <c r="JT1913" t="s">
        <v>425</v>
      </c>
      <c r="JV1913">
        <v>22</v>
      </c>
      <c r="JW1913">
        <v>13131</v>
      </c>
      <c r="JX1913" t="s">
        <v>8778</v>
      </c>
    </row>
    <row r="1914" spans="1:284" x14ac:dyDescent="0.25">
      <c r="A1914">
        <v>16486921</v>
      </c>
      <c r="B1914">
        <v>1913</v>
      </c>
      <c r="C1914" t="s">
        <v>393</v>
      </c>
      <c r="D1914" t="s">
        <v>394</v>
      </c>
      <c r="F1914" t="str">
        <f>"00-00-30-0174-0051-0000"</f>
        <v>00-00-30-0174-0051-0000</v>
      </c>
      <c r="H1914" t="str">
        <f>"LEYENDECKER RONALD N"</f>
        <v>LEYENDECKER RONALD N</v>
      </c>
      <c r="I1914" t="str">
        <f>"2361 CASHENWOOD DRIVE"</f>
        <v>2361 CASHENWOOD DRIVE</v>
      </c>
      <c r="J1914" t="str">
        <f>"FERNANDINA BEACH FL 32034"</f>
        <v>FERNANDINA BEACH FL 32034</v>
      </c>
      <c r="K1914" t="str">
        <f>"2361 CASHEN WOOD DR"</f>
        <v>2361 CASHEN WOOD DR</v>
      </c>
      <c r="L1914" t="str">
        <f t="shared" si="711"/>
        <v>FERNANDINA BEACH FL 32034</v>
      </c>
      <c r="M1914" t="str">
        <f>"LOT 51 IN OR 766 PG 1951 CASHEN WOOD SUB PB 5/221"</f>
        <v>LOT 51 IN OR 766 PG 1951 CASHEN WOOD SUB PB 5/221</v>
      </c>
      <c r="N1914" t="str">
        <f>""</f>
        <v/>
      </c>
      <c r="O1914" t="str">
        <f>"730"</f>
        <v>730</v>
      </c>
      <c r="P1914" t="str">
        <f t="shared" si="698"/>
        <v>2017</v>
      </c>
      <c r="Q1914" t="str">
        <f>""</f>
        <v/>
      </c>
      <c r="R1914" t="str">
        <f>"Y"</f>
        <v>Y</v>
      </c>
      <c r="S1914" t="str">
        <f>""</f>
        <v/>
      </c>
      <c r="T1914" t="str">
        <f>"1166.49"</f>
        <v>1166.49</v>
      </c>
      <c r="U1914" t="str">
        <f>"115576.00"</f>
        <v>115576.00</v>
      </c>
      <c r="V1914" t="str">
        <f>"115576.00"</f>
        <v>115576.00</v>
      </c>
      <c r="W1914" t="str">
        <f t="shared" si="699"/>
        <v>2017</v>
      </c>
      <c r="X1914" t="str">
        <f>""</f>
        <v/>
      </c>
      <c r="Y1914" t="str">
        <f>"1233.48"</f>
        <v>1233.48</v>
      </c>
      <c r="Z1914" t="str">
        <f>"25500.00"</f>
        <v>25500.00</v>
      </c>
      <c r="AA1914" t="str">
        <f>"90076.00"</f>
        <v>90076.00</v>
      </c>
      <c r="AB1914" t="str">
        <f t="shared" si="720"/>
        <v>Residential</v>
      </c>
      <c r="AC1914" t="str">
        <f t="shared" si="710"/>
        <v>0</v>
      </c>
      <c r="AD1914" t="str">
        <f t="shared" si="721"/>
        <v>4</v>
      </c>
      <c r="AE1914" t="str">
        <f t="shared" si="722"/>
        <v>WOOD (INCLUDE STEEL STUDS)</v>
      </c>
      <c r="AF1914" t="str">
        <f>"001"</f>
        <v>001</v>
      </c>
      <c r="AG1914" t="str">
        <f t="shared" si="723"/>
        <v>FL</v>
      </c>
      <c r="AH1914" t="str">
        <f>"-"</f>
        <v>-</v>
      </c>
      <c r="AI1914" t="str">
        <f>"55000.00"</f>
        <v>55000.00</v>
      </c>
      <c r="AJ1914" t="str">
        <f>"C55-000-585-0624-7"</f>
        <v>C55-000-585-0624-7</v>
      </c>
      <c r="AK1914" t="str">
        <f>"38360"</f>
        <v>38360</v>
      </c>
      <c r="AL1914">
        <v>7</v>
      </c>
      <c r="AM1914">
        <v>2180</v>
      </c>
      <c r="AN1914">
        <v>1293.55</v>
      </c>
      <c r="AQ1914" t="s">
        <v>18749</v>
      </c>
      <c r="AR1914" t="s">
        <v>18749</v>
      </c>
      <c r="AS1914" t="s">
        <v>18749</v>
      </c>
      <c r="AU1914" t="s">
        <v>396</v>
      </c>
      <c r="AV1914">
        <v>2017</v>
      </c>
      <c r="AW1914" t="str">
        <f>"00-00-30-0174-0051-0000 "</f>
        <v xml:space="preserve">00-00-30-0174-0051-0000 </v>
      </c>
      <c r="AX1914">
        <v>2361</v>
      </c>
      <c r="AZ1914" t="s">
        <v>18736</v>
      </c>
      <c r="BA1914" t="s">
        <v>669</v>
      </c>
      <c r="BD1914" t="s">
        <v>11749</v>
      </c>
      <c r="BE1914" t="s">
        <v>393</v>
      </c>
      <c r="BF1914">
        <v>32034</v>
      </c>
      <c r="BG1914" t="s">
        <v>18750</v>
      </c>
      <c r="BH1914" t="s">
        <v>11751</v>
      </c>
      <c r="BI1914">
        <v>-81.463739301961397</v>
      </c>
      <c r="BJ1914">
        <v>30.633853031672501</v>
      </c>
      <c r="BK1914" t="s">
        <v>18751</v>
      </c>
      <c r="BL1914" t="s">
        <v>18752</v>
      </c>
      <c r="BM1914" t="s">
        <v>18750</v>
      </c>
      <c r="BN1914" t="s">
        <v>3983</v>
      </c>
      <c r="BO1914">
        <v>32034</v>
      </c>
      <c r="BP1914" t="s">
        <v>416</v>
      </c>
      <c r="BQ1914">
        <v>100</v>
      </c>
      <c r="BR1914" t="s">
        <v>514</v>
      </c>
      <c r="BS1914">
        <v>1001</v>
      </c>
      <c r="BT1914" t="s">
        <v>515</v>
      </c>
      <c r="BW1914">
        <v>14669</v>
      </c>
      <c r="BX1914" t="s">
        <v>407</v>
      </c>
      <c r="BY1914" t="s">
        <v>7351</v>
      </c>
      <c r="BZ1914">
        <v>4</v>
      </c>
      <c r="CA1914">
        <v>1991</v>
      </c>
      <c r="CB1914">
        <v>1</v>
      </c>
      <c r="CC1914">
        <v>1</v>
      </c>
      <c r="CD1914">
        <v>2017</v>
      </c>
      <c r="CG1914">
        <v>115576</v>
      </c>
      <c r="CH1914">
        <v>2017</v>
      </c>
      <c r="CI1914">
        <v>55000</v>
      </c>
      <c r="CJ1914">
        <v>103980</v>
      </c>
      <c r="CK1914">
        <v>158980</v>
      </c>
      <c r="CL1914">
        <v>2017</v>
      </c>
      <c r="CM1914">
        <v>1166.49</v>
      </c>
      <c r="CN1914" s="1">
        <v>35277</v>
      </c>
      <c r="CO1914">
        <v>93900</v>
      </c>
      <c r="CZ1914" s="1">
        <v>35277</v>
      </c>
      <c r="DD1914" t="s">
        <v>11749</v>
      </c>
      <c r="DF1914">
        <v>51</v>
      </c>
      <c r="DG1914">
        <v>31</v>
      </c>
      <c r="DJ1914" t="s">
        <v>18736</v>
      </c>
      <c r="DL1914">
        <v>50202</v>
      </c>
      <c r="DM1914" t="s">
        <v>18368</v>
      </c>
      <c r="DO1914" t="s">
        <v>18753</v>
      </c>
      <c r="DP1914">
        <v>0</v>
      </c>
      <c r="DQ1914">
        <v>1</v>
      </c>
      <c r="DR1914" t="s">
        <v>1479</v>
      </c>
    </row>
    <row r="1915" spans="1:284" x14ac:dyDescent="0.25">
      <c r="A1915">
        <v>16486922</v>
      </c>
      <c r="B1915">
        <v>1914</v>
      </c>
      <c r="C1915" t="s">
        <v>393</v>
      </c>
      <c r="D1915" t="s">
        <v>394</v>
      </c>
      <c r="F1915" t="str">
        <f>"00-00-30-019C-0021-0000"</f>
        <v>00-00-30-019C-0021-0000</v>
      </c>
      <c r="H1915" t="str">
        <f>"NABORS ANDREW"</f>
        <v>NABORS ANDREW</v>
      </c>
      <c r="I1915" t="str">
        <f>"4749 ST MARC CT UNIT 21"</f>
        <v>4749 ST MARC CT UNIT 21</v>
      </c>
      <c r="J1915" t="str">
        <f>"FERNANDINA BEACH FL 32034"</f>
        <v>FERNANDINA BEACH FL 32034</v>
      </c>
      <c r="K1915" t="str">
        <f>"4749 ST MARC CT"</f>
        <v>4749 ST MARC CT</v>
      </c>
      <c r="L1915" t="str">
        <f t="shared" si="711"/>
        <v>FERNANDINA BEACH FL 32034</v>
      </c>
      <c r="M1915" t="str">
        <f>"UNIT 21 IN OR 2121/1502 THE COLONY CONDO OR 653/712"</f>
        <v>UNIT 21 IN OR 2121/1502 THE COLONY CONDO OR 653/712</v>
      </c>
      <c r="N1915" t="str">
        <f>""</f>
        <v/>
      </c>
      <c r="O1915" t="str">
        <f>"787"</f>
        <v>787</v>
      </c>
      <c r="P1915" t="str">
        <f t="shared" si="698"/>
        <v>2017</v>
      </c>
      <c r="Q1915" t="str">
        <f>""</f>
        <v/>
      </c>
      <c r="R1915" t="str">
        <f>"Y"</f>
        <v>Y</v>
      </c>
      <c r="S1915" t="str">
        <f>""</f>
        <v/>
      </c>
      <c r="T1915" t="str">
        <f>"1136.02"</f>
        <v>1136.02</v>
      </c>
      <c r="U1915" t="str">
        <f>"113096.00"</f>
        <v>113096.00</v>
      </c>
      <c r="V1915" t="str">
        <f>"113096.00"</f>
        <v>113096.00</v>
      </c>
      <c r="W1915" t="str">
        <f t="shared" si="699"/>
        <v>2017</v>
      </c>
      <c r="X1915" t="str">
        <f>""</f>
        <v/>
      </c>
      <c r="Y1915" t="str">
        <f>"1202.10"</f>
        <v>1202.10</v>
      </c>
      <c r="Z1915" t="str">
        <f>"25000.00"</f>
        <v>25000.00</v>
      </c>
      <c r="AA1915" t="str">
        <f>"88096.00"</f>
        <v>88096.00</v>
      </c>
      <c r="AB1915" t="str">
        <f t="shared" si="720"/>
        <v>Residential</v>
      </c>
      <c r="AC1915" t="str">
        <f t="shared" si="710"/>
        <v>0</v>
      </c>
      <c r="AD1915" t="str">
        <f>""</f>
        <v/>
      </c>
      <c r="AE1915" t="str">
        <f>""</f>
        <v/>
      </c>
      <c r="AF1915" t="str">
        <f>"004"</f>
        <v>004</v>
      </c>
      <c r="AG1915" t="str">
        <f t="shared" si="723"/>
        <v>FL</v>
      </c>
      <c r="AH1915" t="str">
        <f>"-"</f>
        <v>-</v>
      </c>
      <c r="AI1915" t="str">
        <f>"-"</f>
        <v>-</v>
      </c>
      <c r="AJ1915" t="str">
        <f>"C55-000-585-0676-7"</f>
        <v>C55-000-585-0676-7</v>
      </c>
      <c r="AK1915" t="str">
        <f>"38399"</f>
        <v>38399</v>
      </c>
      <c r="AL1915">
        <v>7</v>
      </c>
      <c r="AM1915">
        <v>2181</v>
      </c>
      <c r="AN1915">
        <v>1260.6099999999999</v>
      </c>
      <c r="AQ1915" t="s">
        <v>18754</v>
      </c>
      <c r="AR1915" t="s">
        <v>18754</v>
      </c>
      <c r="AS1915" t="s">
        <v>18754</v>
      </c>
      <c r="AU1915" t="s">
        <v>396</v>
      </c>
      <c r="AV1915">
        <v>2017</v>
      </c>
      <c r="AW1915" t="str">
        <f>"00-00-30-019C-0021-0000 "</f>
        <v xml:space="preserve">00-00-30-019C-0021-0000 </v>
      </c>
      <c r="AX1915">
        <v>4749</v>
      </c>
      <c r="AZ1915" t="s">
        <v>18755</v>
      </c>
      <c r="BA1915" t="s">
        <v>3181</v>
      </c>
      <c r="BD1915" t="s">
        <v>11749</v>
      </c>
      <c r="BE1915" t="s">
        <v>393</v>
      </c>
      <c r="BF1915">
        <v>32034</v>
      </c>
      <c r="BG1915" t="s">
        <v>18756</v>
      </c>
      <c r="BH1915" t="s">
        <v>11751</v>
      </c>
      <c r="BI1915">
        <v>-81.455838040269199</v>
      </c>
      <c r="BJ1915">
        <v>30.590910350133399</v>
      </c>
      <c r="BK1915" t="s">
        <v>18757</v>
      </c>
      <c r="BM1915" t="s">
        <v>18758</v>
      </c>
      <c r="BN1915" t="s">
        <v>3983</v>
      </c>
      <c r="BO1915">
        <v>32034</v>
      </c>
      <c r="BP1915" t="s">
        <v>404</v>
      </c>
      <c r="BQ1915">
        <v>400</v>
      </c>
      <c r="BR1915" t="s">
        <v>15097</v>
      </c>
      <c r="BS1915">
        <v>1004</v>
      </c>
      <c r="BT1915" t="s">
        <v>15098</v>
      </c>
      <c r="BW1915">
        <v>262850</v>
      </c>
      <c r="BX1915" t="s">
        <v>407</v>
      </c>
      <c r="CA1915">
        <v>1991</v>
      </c>
      <c r="CC1915">
        <v>1</v>
      </c>
      <c r="CD1915">
        <v>2017</v>
      </c>
      <c r="CG1915">
        <v>113096</v>
      </c>
      <c r="CH1915">
        <v>2017</v>
      </c>
      <c r="CJ1915">
        <v>141000</v>
      </c>
      <c r="CK1915">
        <v>141000</v>
      </c>
      <c r="CL1915">
        <v>2017</v>
      </c>
      <c r="CM1915">
        <v>1136.02</v>
      </c>
      <c r="CN1915" s="1">
        <v>42878</v>
      </c>
      <c r="CO1915">
        <v>205000</v>
      </c>
      <c r="CV1915">
        <v>0</v>
      </c>
      <c r="CZ1915" s="1">
        <v>42878</v>
      </c>
      <c r="DA1915">
        <v>0</v>
      </c>
      <c r="DD1915" t="s">
        <v>11749</v>
      </c>
      <c r="DG1915">
        <v>12</v>
      </c>
      <c r="DJ1915" t="s">
        <v>18759</v>
      </c>
      <c r="DL1915">
        <v>50203</v>
      </c>
      <c r="DM1915" t="s">
        <v>18692</v>
      </c>
      <c r="DO1915" t="s">
        <v>18760</v>
      </c>
      <c r="DP1915">
        <v>0</v>
      </c>
      <c r="DQ1915">
        <v>4</v>
      </c>
      <c r="DR1915" t="s">
        <v>411</v>
      </c>
    </row>
    <row r="1916" spans="1:284" x14ac:dyDescent="0.25">
      <c r="A1916">
        <v>16486923</v>
      </c>
      <c r="B1916">
        <v>1915</v>
      </c>
      <c r="C1916" t="s">
        <v>393</v>
      </c>
      <c r="D1916" t="s">
        <v>394</v>
      </c>
      <c r="F1916" t="str">
        <f>"00-00-30-019C-0030-0000"</f>
        <v>00-00-30-019C-0030-0000</v>
      </c>
      <c r="H1916" t="str">
        <f>"4762 ST MARC CT LAND TRUST HIGHLINK LLC TRUSTEE"</f>
        <v>4762 ST MARC CT LAND TRUST HIGHLINK LLC TRUSTEE</v>
      </c>
      <c r="I1916" t="str">
        <f>"4745 SUTTON PARK CT 601"</f>
        <v>4745 SUTTON PARK CT 601</v>
      </c>
      <c r="J1916" t="str">
        <f>"JACKSONVILLE FL 32224"</f>
        <v>JACKSONVILLE FL 32224</v>
      </c>
      <c r="K1916" t="str">
        <f>"4762 ST MARC CT"</f>
        <v>4762 ST MARC CT</v>
      </c>
      <c r="L1916" t="str">
        <f t="shared" si="711"/>
        <v>FERNANDINA BEACH FL 32034</v>
      </c>
      <c r="M1916" t="str">
        <f>"UNIT 30 IN OR 2133/1428 THE COLONY CONDO OR 653/712"</f>
        <v>UNIT 30 IN OR 2133/1428 THE COLONY CONDO OR 653/712</v>
      </c>
      <c r="N1916" t="str">
        <f>""</f>
        <v/>
      </c>
      <c r="O1916" t="str">
        <f>"796"</f>
        <v>796</v>
      </c>
      <c r="P1916" t="str">
        <f t="shared" si="698"/>
        <v>2017</v>
      </c>
      <c r="Q1916" t="str">
        <f>""</f>
        <v/>
      </c>
      <c r="R1916" t="str">
        <f>"N"</f>
        <v>N</v>
      </c>
      <c r="S1916" t="str">
        <f>""</f>
        <v/>
      </c>
      <c r="T1916" t="str">
        <f>"2170.06"</f>
        <v>2170.06</v>
      </c>
      <c r="U1916" t="str">
        <f>"141000.00"</f>
        <v>141000.00</v>
      </c>
      <c r="V1916" t="str">
        <f>"141000.00"</f>
        <v>141000.00</v>
      </c>
      <c r="W1916" t="str">
        <f t="shared" si="699"/>
        <v>2017</v>
      </c>
      <c r="X1916" t="str">
        <f>""</f>
        <v/>
      </c>
      <c r="Y1916" t="str">
        <f>"2267.16"</f>
        <v>2267.16</v>
      </c>
      <c r="Z1916" t="str">
        <f>""</f>
        <v/>
      </c>
      <c r="AA1916" t="str">
        <f>"141000.00"</f>
        <v>141000.00</v>
      </c>
      <c r="AB1916" t="str">
        <f t="shared" si="720"/>
        <v>Residential</v>
      </c>
      <c r="AC1916" t="str">
        <f t="shared" si="710"/>
        <v>0</v>
      </c>
      <c r="AD1916" t="str">
        <f>""</f>
        <v/>
      </c>
      <c r="AE1916" t="str">
        <f>""</f>
        <v/>
      </c>
      <c r="AF1916" t="str">
        <f>"004"</f>
        <v>004</v>
      </c>
      <c r="AG1916" t="str">
        <f t="shared" si="723"/>
        <v>FL</v>
      </c>
      <c r="AH1916" t="str">
        <f>"-"</f>
        <v>-</v>
      </c>
      <c r="AI1916" t="str">
        <f>"-"</f>
        <v>-</v>
      </c>
      <c r="AJ1916" t="str">
        <f>"C55-000-585-0685-8"</f>
        <v>C55-000-585-0685-8</v>
      </c>
      <c r="AK1916" t="str">
        <f>"38408"</f>
        <v>38408</v>
      </c>
      <c r="AL1916">
        <v>7</v>
      </c>
      <c r="AM1916">
        <v>2182</v>
      </c>
      <c r="AN1916">
        <v>2378.92</v>
      </c>
      <c r="AQ1916" t="s">
        <v>18761</v>
      </c>
      <c r="AR1916" t="s">
        <v>18761</v>
      </c>
      <c r="AS1916" t="s">
        <v>18761</v>
      </c>
      <c r="AU1916" t="s">
        <v>396</v>
      </c>
      <c r="AV1916">
        <v>2017</v>
      </c>
      <c r="AW1916" t="str">
        <f>"00-00-30-019C-0030-0000 "</f>
        <v xml:space="preserve">00-00-30-019C-0030-0000 </v>
      </c>
      <c r="AX1916">
        <v>4762</v>
      </c>
      <c r="AZ1916" t="s">
        <v>18755</v>
      </c>
      <c r="BA1916" t="s">
        <v>3181</v>
      </c>
      <c r="BD1916" t="s">
        <v>11749</v>
      </c>
      <c r="BE1916" t="s">
        <v>393</v>
      </c>
      <c r="BF1916">
        <v>32034</v>
      </c>
      <c r="BG1916" t="s">
        <v>18762</v>
      </c>
      <c r="BH1916" t="s">
        <v>11751</v>
      </c>
      <c r="BI1916">
        <v>-81.455838040269199</v>
      </c>
      <c r="BJ1916">
        <v>30.590910350133399</v>
      </c>
      <c r="BK1916" t="s">
        <v>9475</v>
      </c>
      <c r="BL1916" t="s">
        <v>18763</v>
      </c>
      <c r="BM1916" t="s">
        <v>9477</v>
      </c>
      <c r="BN1916" t="s">
        <v>548</v>
      </c>
      <c r="BO1916">
        <v>32224</v>
      </c>
      <c r="BP1916" t="s">
        <v>404</v>
      </c>
      <c r="BQ1916">
        <v>400</v>
      </c>
      <c r="BR1916" t="s">
        <v>15097</v>
      </c>
      <c r="BS1916">
        <v>1004</v>
      </c>
      <c r="BT1916" t="s">
        <v>15098</v>
      </c>
      <c r="BW1916">
        <v>262850</v>
      </c>
      <c r="BX1916" t="s">
        <v>407</v>
      </c>
      <c r="CA1916">
        <v>1991</v>
      </c>
      <c r="CC1916">
        <v>1</v>
      </c>
      <c r="CD1916">
        <v>2017</v>
      </c>
      <c r="CF1916">
        <v>141000</v>
      </c>
      <c r="CG1916">
        <v>141000</v>
      </c>
      <c r="CH1916">
        <v>2017</v>
      </c>
      <c r="CJ1916">
        <v>141000</v>
      </c>
      <c r="CK1916">
        <v>141000</v>
      </c>
      <c r="CL1916">
        <v>2017</v>
      </c>
      <c r="CM1916">
        <v>2170.06</v>
      </c>
      <c r="CN1916" s="1">
        <v>42563</v>
      </c>
      <c r="CO1916">
        <v>38400</v>
      </c>
      <c r="CZ1916" s="1">
        <v>42563</v>
      </c>
      <c r="DD1916" t="s">
        <v>11749</v>
      </c>
      <c r="DG1916">
        <v>12</v>
      </c>
      <c r="DJ1916" t="s">
        <v>18759</v>
      </c>
      <c r="DL1916">
        <v>50203</v>
      </c>
      <c r="DM1916" t="s">
        <v>18692</v>
      </c>
      <c r="DO1916" t="s">
        <v>18764</v>
      </c>
      <c r="DP1916">
        <v>0</v>
      </c>
      <c r="DQ1916">
        <v>4</v>
      </c>
      <c r="DR1916" t="s">
        <v>411</v>
      </c>
    </row>
    <row r="1917" spans="1:284" x14ac:dyDescent="0.25">
      <c r="A1917">
        <v>16486924</v>
      </c>
      <c r="B1917">
        <v>1916</v>
      </c>
      <c r="C1917" t="s">
        <v>393</v>
      </c>
      <c r="D1917" t="s">
        <v>394</v>
      </c>
      <c r="F1917" t="str">
        <f>"00-00-30-019C-0050-0000"</f>
        <v>00-00-30-019C-0050-0000</v>
      </c>
      <c r="H1917" t="str">
        <f>"THARIN RUSSELL JR &amp; JANET"</f>
        <v>THARIN RUSSELL JR &amp; JANET</v>
      </c>
      <c r="I1917" t="str">
        <f>"4814 WESTWIND CT"</f>
        <v>4814 WESTWIND CT</v>
      </c>
      <c r="J1917" t="str">
        <f>"FERNANDINA BEACH FL 32034"</f>
        <v>FERNANDINA BEACH FL 32034</v>
      </c>
      <c r="K1917" t="str">
        <f>"4814 WESTWIND CT"</f>
        <v>4814 WESTWIND CT</v>
      </c>
      <c r="L1917" t="str">
        <f t="shared" si="711"/>
        <v>FERNANDINA BEACH FL 32034</v>
      </c>
      <c r="M1917" t="str">
        <f>"UNIT 50 IN OR 1116/1603 THE COLONY CONDO OR 653/712"</f>
        <v>UNIT 50 IN OR 1116/1603 THE COLONY CONDO OR 653/712</v>
      </c>
      <c r="N1917" t="str">
        <f>""</f>
        <v/>
      </c>
      <c r="O1917" t="str">
        <f>"816"</f>
        <v>816</v>
      </c>
      <c r="P1917" t="str">
        <f t="shared" si="698"/>
        <v>2017</v>
      </c>
      <c r="Q1917" t="str">
        <f>""</f>
        <v/>
      </c>
      <c r="R1917" t="str">
        <f>"Y"</f>
        <v>Y</v>
      </c>
      <c r="S1917" t="str">
        <f>""</f>
        <v/>
      </c>
      <c r="T1917" t="str">
        <f>"990.47"</f>
        <v>990.47</v>
      </c>
      <c r="U1917" t="str">
        <f>"103638.00"</f>
        <v>103638.00</v>
      </c>
      <c r="V1917" t="str">
        <f>"103638.00"</f>
        <v>103638.00</v>
      </c>
      <c r="W1917" t="str">
        <f t="shared" si="699"/>
        <v>2017</v>
      </c>
      <c r="X1917" t="str">
        <f>"8.00"</f>
        <v>8.00</v>
      </c>
      <c r="Y1917" t="str">
        <f>"1052.18"</f>
        <v>1052.18</v>
      </c>
      <c r="Z1917" t="str">
        <f>"25000.00"</f>
        <v>25000.00</v>
      </c>
      <c r="AA1917" t="str">
        <f>"78638.00"</f>
        <v>78638.00</v>
      </c>
      <c r="AB1917" t="str">
        <f t="shared" si="720"/>
        <v>Residential</v>
      </c>
      <c r="AC1917" t="str">
        <f t="shared" si="710"/>
        <v>0</v>
      </c>
      <c r="AD1917" t="str">
        <f>""</f>
        <v/>
      </c>
      <c r="AE1917" t="str">
        <f>""</f>
        <v/>
      </c>
      <c r="AF1917" t="str">
        <f>"004"</f>
        <v>004</v>
      </c>
      <c r="AG1917" t="str">
        <f t="shared" si="723"/>
        <v>FL</v>
      </c>
      <c r="AH1917" t="str">
        <f>"-"</f>
        <v>-</v>
      </c>
      <c r="AI1917" t="str">
        <f>"-"</f>
        <v>-</v>
      </c>
      <c r="AJ1917" t="str">
        <f>"C55-000-585-0705-4"</f>
        <v>C55-000-585-0705-4</v>
      </c>
      <c r="AK1917" t="str">
        <f>"38428"</f>
        <v>38428</v>
      </c>
      <c r="AL1917">
        <v>7</v>
      </c>
      <c r="AM1917">
        <v>2184</v>
      </c>
      <c r="AN1917">
        <v>1103.19</v>
      </c>
      <c r="AQ1917" t="s">
        <v>18765</v>
      </c>
      <c r="AR1917" t="s">
        <v>18765</v>
      </c>
      <c r="AS1917" t="s">
        <v>18765</v>
      </c>
      <c r="AU1917" t="s">
        <v>396</v>
      </c>
      <c r="AV1917">
        <v>2017</v>
      </c>
      <c r="AW1917" t="str">
        <f>"00-00-30-019C-0050-0000 "</f>
        <v xml:space="preserve">00-00-30-019C-0050-0000 </v>
      </c>
      <c r="AX1917">
        <v>4814</v>
      </c>
      <c r="AZ1917" t="s">
        <v>18766</v>
      </c>
      <c r="BA1917" t="s">
        <v>3181</v>
      </c>
      <c r="BD1917" t="s">
        <v>11749</v>
      </c>
      <c r="BE1917" t="s">
        <v>393</v>
      </c>
      <c r="BF1917">
        <v>32034</v>
      </c>
      <c r="BG1917" t="s">
        <v>18767</v>
      </c>
      <c r="BH1917" t="s">
        <v>11751</v>
      </c>
      <c r="BI1917">
        <v>-81.455838040269199</v>
      </c>
      <c r="BJ1917">
        <v>30.590910350133399</v>
      </c>
      <c r="BK1917" t="s">
        <v>18768</v>
      </c>
      <c r="BL1917" t="s">
        <v>18769</v>
      </c>
      <c r="BM1917" t="s">
        <v>18767</v>
      </c>
      <c r="BN1917" t="s">
        <v>3983</v>
      </c>
      <c r="BO1917">
        <v>32034</v>
      </c>
      <c r="BP1917" t="s">
        <v>416</v>
      </c>
      <c r="BQ1917">
        <v>400</v>
      </c>
      <c r="BR1917" t="s">
        <v>15097</v>
      </c>
      <c r="BS1917">
        <v>1004</v>
      </c>
      <c r="BT1917" t="s">
        <v>15098</v>
      </c>
      <c r="BW1917">
        <v>262850</v>
      </c>
      <c r="BX1917" t="s">
        <v>407</v>
      </c>
      <c r="CA1917">
        <v>1991</v>
      </c>
      <c r="CC1917">
        <v>1</v>
      </c>
      <c r="CD1917">
        <v>2017</v>
      </c>
      <c r="CG1917">
        <v>103638</v>
      </c>
      <c r="CH1917">
        <v>2017</v>
      </c>
      <c r="CJ1917">
        <v>141000</v>
      </c>
      <c r="CK1917">
        <v>141000</v>
      </c>
      <c r="CL1917">
        <v>2017</v>
      </c>
      <c r="CM1917">
        <v>990.47</v>
      </c>
      <c r="CN1917" s="1">
        <v>37679</v>
      </c>
      <c r="CO1917">
        <v>140000</v>
      </c>
      <c r="CV1917">
        <v>80000</v>
      </c>
      <c r="CZ1917" s="1">
        <v>37679</v>
      </c>
      <c r="DA1917">
        <v>0</v>
      </c>
      <c r="DD1917" t="s">
        <v>11749</v>
      </c>
      <c r="DG1917">
        <v>12</v>
      </c>
      <c r="DJ1917" t="s">
        <v>18759</v>
      </c>
      <c r="DL1917">
        <v>50203</v>
      </c>
      <c r="DM1917" t="s">
        <v>18692</v>
      </c>
      <c r="DO1917" t="s">
        <v>18770</v>
      </c>
      <c r="DP1917">
        <v>0</v>
      </c>
      <c r="DQ1917">
        <v>4</v>
      </c>
      <c r="DR1917" t="s">
        <v>411</v>
      </c>
      <c r="DS1917" t="b">
        <v>1</v>
      </c>
      <c r="DT1917" t="s">
        <v>470</v>
      </c>
      <c r="DU1917" t="s">
        <v>471</v>
      </c>
      <c r="DV1917" t="s">
        <v>472</v>
      </c>
      <c r="DX1917">
        <v>-9999</v>
      </c>
      <c r="DZ1917" t="s">
        <v>447</v>
      </c>
      <c r="EA1917" t="s">
        <v>448</v>
      </c>
      <c r="EB1917" t="s">
        <v>14787</v>
      </c>
      <c r="EC1917">
        <v>20101217</v>
      </c>
      <c r="ED1917" t="s">
        <v>474</v>
      </c>
      <c r="EF1917">
        <v>2078.1999999999998</v>
      </c>
      <c r="EG1917">
        <v>1906</v>
      </c>
      <c r="EI1917">
        <v>20160407</v>
      </c>
      <c r="EJ1917">
        <v>0</v>
      </c>
      <c r="EK1917">
        <v>0</v>
      </c>
      <c r="EP1917" t="s">
        <v>421</v>
      </c>
      <c r="EQ1917" t="s">
        <v>422</v>
      </c>
      <c r="ER1917">
        <v>0</v>
      </c>
      <c r="ES1917">
        <v>1</v>
      </c>
      <c r="ET1917">
        <v>0</v>
      </c>
      <c r="EU1917">
        <v>0</v>
      </c>
      <c r="EV1917">
        <v>0</v>
      </c>
      <c r="EW1917" s="2">
        <v>43222</v>
      </c>
      <c r="EX1917" s="1">
        <v>41423</v>
      </c>
      <c r="EY1917">
        <v>2012</v>
      </c>
      <c r="EZ1917">
        <v>1052.8</v>
      </c>
      <c r="FA1917" t="s">
        <v>18771</v>
      </c>
      <c r="FB1917">
        <v>0.25</v>
      </c>
      <c r="FC1917" t="s">
        <v>424</v>
      </c>
      <c r="FD1917" t="s">
        <v>425</v>
      </c>
      <c r="FE1917" s="1">
        <v>41660</v>
      </c>
      <c r="FF1917">
        <v>8</v>
      </c>
      <c r="FG1917">
        <v>15398</v>
      </c>
      <c r="FH1917" t="s">
        <v>1180</v>
      </c>
    </row>
    <row r="1918" spans="1:284" x14ac:dyDescent="0.25">
      <c r="A1918">
        <v>16486925</v>
      </c>
      <c r="B1918">
        <v>1917</v>
      </c>
      <c r="C1918" t="s">
        <v>393</v>
      </c>
      <c r="D1918" t="s">
        <v>394</v>
      </c>
      <c r="F1918" t="str">
        <f>"00-00-30-0200-0002-0000"</f>
        <v>00-00-30-0200-0002-0000</v>
      </c>
      <c r="H1918" t="str">
        <f>"DRURY LINDA DARLENE"</f>
        <v>DRURY LINDA DARLENE</v>
      </c>
      <c r="I1918" t="str">
        <f>"2732 EASTWOOD DR"</f>
        <v>2732 EASTWOOD DR</v>
      </c>
      <c r="J1918" t="str">
        <f>"DECATUR GA 30032"</f>
        <v>DECATUR GA 30032</v>
      </c>
      <c r="K1918" t="str">
        <f>"105 DRURY RD"</f>
        <v>105 DRURY RD</v>
      </c>
      <c r="L1918" t="str">
        <f t="shared" si="711"/>
        <v>FERNANDINA BEACH FL 32034</v>
      </c>
      <c r="M1918" t="str">
        <f>"LOT 2 &amp; BLOCK 1 LOT N 10 OF W1/2 OF 23 &amp; N 10 OF 24 SADLER ESTATES PB 2/68 IN OR 1295/1160 DRURY HOMES PB 5/3"</f>
        <v>LOT 2 &amp; BLOCK 1 LOT N 10 OF W1/2 OF 23 &amp; N 10 OF 24 SADLER ESTATES PB 2/68 IN OR 1295/1160 DRURY HOMES PB 5/3</v>
      </c>
      <c r="N1918" t="str">
        <f>""</f>
        <v/>
      </c>
      <c r="O1918" t="str">
        <f>"829"</f>
        <v>829</v>
      </c>
      <c r="P1918" t="str">
        <f t="shared" si="698"/>
        <v>2017</v>
      </c>
      <c r="Q1918" t="str">
        <f>""</f>
        <v/>
      </c>
      <c r="R1918" t="str">
        <f>"N"</f>
        <v>N</v>
      </c>
      <c r="S1918" t="str">
        <f>""</f>
        <v/>
      </c>
      <c r="T1918" t="str">
        <f>"630.47"</f>
        <v>630.47</v>
      </c>
      <c r="U1918" t="str">
        <f>"40965.00"</f>
        <v>40965.00</v>
      </c>
      <c r="V1918" t="str">
        <f>"40965.00"</f>
        <v>40965.00</v>
      </c>
      <c r="W1918" t="str">
        <f t="shared" si="699"/>
        <v>2017</v>
      </c>
      <c r="X1918" t="str">
        <f>""</f>
        <v/>
      </c>
      <c r="Y1918" t="str">
        <f>"681.38"</f>
        <v>681.38</v>
      </c>
      <c r="Z1918" t="str">
        <f>""</f>
        <v/>
      </c>
      <c r="AA1918" t="str">
        <f>"40965.00"</f>
        <v>40965.00</v>
      </c>
      <c r="AB1918" t="str">
        <f t="shared" si="720"/>
        <v>Residential</v>
      </c>
      <c r="AC1918" t="str">
        <f t="shared" si="710"/>
        <v>0</v>
      </c>
      <c r="AD1918" t="str">
        <f>""</f>
        <v/>
      </c>
      <c r="AE1918" t="str">
        <f>""</f>
        <v/>
      </c>
      <c r="AF1918" t="str">
        <f>"000"</f>
        <v>000</v>
      </c>
      <c r="AG1918" t="str">
        <f>"GA"</f>
        <v>GA</v>
      </c>
      <c r="AH1918" t="str">
        <f>"22050.00"</f>
        <v>22050.00</v>
      </c>
      <c r="AI1918" t="str">
        <f>"40965.00"</f>
        <v>40965.00</v>
      </c>
      <c r="AJ1918" t="str">
        <f>"C55-000-585-0717-9"</f>
        <v>C55-000-585-0717-9</v>
      </c>
      <c r="AK1918" t="str">
        <f>"38454"</f>
        <v>38454</v>
      </c>
      <c r="AL1918">
        <v>7</v>
      </c>
      <c r="AM1918">
        <v>2185</v>
      </c>
      <c r="AN1918">
        <v>713.85</v>
      </c>
      <c r="AQ1918" t="s">
        <v>18772</v>
      </c>
      <c r="AR1918" t="s">
        <v>18772</v>
      </c>
      <c r="AS1918" t="s">
        <v>18772</v>
      </c>
      <c r="AU1918" t="s">
        <v>396</v>
      </c>
      <c r="AV1918">
        <v>2017</v>
      </c>
      <c r="AW1918" t="str">
        <f>"00-00-30-0200-0002-0000 "</f>
        <v xml:space="preserve">00-00-30-0200-0002-0000 </v>
      </c>
      <c r="AX1918">
        <v>105</v>
      </c>
      <c r="AZ1918" t="s">
        <v>18773</v>
      </c>
      <c r="BA1918" t="s">
        <v>496</v>
      </c>
      <c r="BD1918" t="s">
        <v>11749</v>
      </c>
      <c r="BE1918" t="s">
        <v>393</v>
      </c>
      <c r="BF1918">
        <v>32034</v>
      </c>
      <c r="BG1918" t="s">
        <v>18774</v>
      </c>
      <c r="BH1918" t="s">
        <v>11751</v>
      </c>
      <c r="BI1918">
        <v>-81.444838808822695</v>
      </c>
      <c r="BJ1918">
        <v>30.641266328005599</v>
      </c>
      <c r="BK1918" t="s">
        <v>18775</v>
      </c>
      <c r="BM1918" t="s">
        <v>18776</v>
      </c>
      <c r="BN1918" t="s">
        <v>18777</v>
      </c>
      <c r="BO1918">
        <v>30032</v>
      </c>
      <c r="BP1918" t="s">
        <v>404</v>
      </c>
      <c r="BQ1918">
        <v>0</v>
      </c>
      <c r="BR1918" t="s">
        <v>491</v>
      </c>
      <c r="BS1918">
        <v>8001</v>
      </c>
      <c r="BT1918" t="s">
        <v>492</v>
      </c>
      <c r="BU1918">
        <v>1050</v>
      </c>
      <c r="BV1918">
        <v>2100</v>
      </c>
      <c r="BW1918">
        <v>23003</v>
      </c>
      <c r="BX1918" t="s">
        <v>407</v>
      </c>
      <c r="BY1918" t="s">
        <v>7351</v>
      </c>
      <c r="CD1918">
        <v>2017</v>
      </c>
      <c r="CE1918">
        <v>40965</v>
      </c>
      <c r="CG1918">
        <v>40965</v>
      </c>
      <c r="CH1918">
        <v>2017</v>
      </c>
      <c r="CI1918">
        <v>40965</v>
      </c>
      <c r="CK1918">
        <v>40965</v>
      </c>
      <c r="CL1918">
        <v>2017</v>
      </c>
      <c r="CM1918">
        <v>630.47</v>
      </c>
      <c r="CN1918" s="1">
        <v>38398</v>
      </c>
      <c r="CZ1918" s="1">
        <v>38398</v>
      </c>
      <c r="DD1918" t="s">
        <v>11749</v>
      </c>
      <c r="DE1918">
        <v>1</v>
      </c>
      <c r="DF1918">
        <v>2</v>
      </c>
      <c r="DG1918">
        <v>29</v>
      </c>
      <c r="DL1918">
        <v>50101</v>
      </c>
      <c r="DM1918" t="s">
        <v>18778</v>
      </c>
      <c r="DO1918" t="s">
        <v>18779</v>
      </c>
      <c r="DP1918">
        <v>0</v>
      </c>
      <c r="DQ1918">
        <v>0</v>
      </c>
      <c r="DR1918" t="s">
        <v>411</v>
      </c>
    </row>
    <row r="1919" spans="1:284" x14ac:dyDescent="0.25">
      <c r="A1919">
        <v>16486926</v>
      </c>
      <c r="B1919">
        <v>1918</v>
      </c>
      <c r="C1919" t="s">
        <v>393</v>
      </c>
      <c r="D1919" t="s">
        <v>394</v>
      </c>
      <c r="F1919" t="str">
        <f>"00-00-30-0200-0004-0000"</f>
        <v>00-00-30-0200-0004-0000</v>
      </c>
      <c r="H1919" t="str">
        <f>"KIMBALL BEVERLY ANN EST C/O JEFFREY B KIMBALL"</f>
        <v>KIMBALL BEVERLY ANN EST C/O JEFFREY B KIMBALL</v>
      </c>
      <c r="I1919" t="str">
        <f>"1889 DRURY RD"</f>
        <v>1889 DRURY RD</v>
      </c>
      <c r="J1919" t="str">
        <f>"FERNANDINA BEACH FL 32034"</f>
        <v>FERNANDINA BEACH FL 32034</v>
      </c>
      <c r="K1919" t="str">
        <f>"1889 DRURY RD"</f>
        <v>1889 DRURY RD</v>
      </c>
      <c r="L1919" t="str">
        <f t="shared" si="711"/>
        <v>FERNANDINA BEACH FL 32034</v>
      </c>
      <c r="M1919" t="str">
        <f>"LOT 4 IN OR 1676/1851 DRURY HOMES PB 5/3"</f>
        <v>LOT 4 IN OR 1676/1851 DRURY HOMES PB 5/3</v>
      </c>
      <c r="N1919" t="str">
        <f>""</f>
        <v/>
      </c>
      <c r="O1919" t="str">
        <f>"831"</f>
        <v>831</v>
      </c>
      <c r="P1919" t="str">
        <f t="shared" si="698"/>
        <v>2017</v>
      </c>
      <c r="Q1919" t="str">
        <f>""</f>
        <v/>
      </c>
      <c r="R1919" t="str">
        <f>"Y"</f>
        <v>Y</v>
      </c>
      <c r="S1919" t="str">
        <f>""</f>
        <v/>
      </c>
      <c r="T1919" t="str">
        <f>"768.04"</f>
        <v>768.04</v>
      </c>
      <c r="U1919" t="str">
        <f>"89187.00"</f>
        <v>89187.00</v>
      </c>
      <c r="V1919" t="str">
        <f>"89187.00"</f>
        <v>89187.00</v>
      </c>
      <c r="W1919" t="str">
        <f t="shared" si="699"/>
        <v>2017</v>
      </c>
      <c r="X1919" t="str">
        <f>"10.00"</f>
        <v>10.00</v>
      </c>
      <c r="Y1919" t="str">
        <f>"823.08"</f>
        <v>823.08</v>
      </c>
      <c r="Z1919" t="str">
        <f>"25000.00"</f>
        <v>25000.00</v>
      </c>
      <c r="AA1919" t="str">
        <f>"64187.00"</f>
        <v>64187.00</v>
      </c>
      <c r="AB1919" t="str">
        <f t="shared" si="720"/>
        <v>Residential</v>
      </c>
      <c r="AC1919" t="str">
        <f t="shared" si="710"/>
        <v>0</v>
      </c>
      <c r="AD1919" t="str">
        <f>"3"</f>
        <v>3</v>
      </c>
      <c r="AE1919" t="str">
        <f>"MASONRY"</f>
        <v>MASONRY</v>
      </c>
      <c r="AF1919" t="str">
        <f>"001"</f>
        <v>001</v>
      </c>
      <c r="AG1919" t="str">
        <f>"FL"</f>
        <v>FL</v>
      </c>
      <c r="AH1919" t="str">
        <f>"21500.00"</f>
        <v>21500.00</v>
      </c>
      <c r="AI1919" t="str">
        <f>"39015.00"</f>
        <v>39015.00</v>
      </c>
      <c r="AJ1919" t="str">
        <f>"C55-000-585-0719-5"</f>
        <v>C55-000-585-0719-5</v>
      </c>
      <c r="AK1919" t="str">
        <f>"38456"</f>
        <v>38456</v>
      </c>
      <c r="AL1919">
        <v>7</v>
      </c>
      <c r="AM1919">
        <v>2186</v>
      </c>
      <c r="AN1919">
        <v>862.63</v>
      </c>
      <c r="AQ1919" t="s">
        <v>18780</v>
      </c>
      <c r="AR1919" t="s">
        <v>18780</v>
      </c>
      <c r="AS1919" t="s">
        <v>18780</v>
      </c>
      <c r="AU1919" t="s">
        <v>396</v>
      </c>
      <c r="AV1919">
        <v>2017</v>
      </c>
      <c r="AW1919" t="str">
        <f>"00-00-30-0200-0004-0000 "</f>
        <v xml:space="preserve">00-00-30-0200-0004-0000 </v>
      </c>
      <c r="AX1919">
        <v>1889</v>
      </c>
      <c r="AZ1919" t="s">
        <v>18773</v>
      </c>
      <c r="BA1919" t="s">
        <v>496</v>
      </c>
      <c r="BD1919" t="s">
        <v>11749</v>
      </c>
      <c r="BE1919" t="s">
        <v>393</v>
      </c>
      <c r="BF1919">
        <v>32034</v>
      </c>
      <c r="BG1919" t="s">
        <v>18781</v>
      </c>
      <c r="BH1919" t="s">
        <v>11751</v>
      </c>
      <c r="BI1919">
        <v>-81.444738784105397</v>
      </c>
      <c r="BJ1919">
        <v>30.641707542614601</v>
      </c>
      <c r="BK1919" t="s">
        <v>18782</v>
      </c>
      <c r="BM1919" t="s">
        <v>18781</v>
      </c>
      <c r="BN1919" t="s">
        <v>3983</v>
      </c>
      <c r="BO1919">
        <v>32034</v>
      </c>
      <c r="BP1919" t="s">
        <v>416</v>
      </c>
      <c r="BQ1919">
        <v>100</v>
      </c>
      <c r="BR1919" t="s">
        <v>514</v>
      </c>
      <c r="BS1919">
        <v>1001</v>
      </c>
      <c r="BT1919" t="s">
        <v>515</v>
      </c>
      <c r="BU1919">
        <v>1000</v>
      </c>
      <c r="BV1919">
        <v>0</v>
      </c>
      <c r="BW1919">
        <v>21471</v>
      </c>
      <c r="BX1919" t="s">
        <v>407</v>
      </c>
      <c r="BY1919" t="s">
        <v>7351</v>
      </c>
      <c r="BZ1919">
        <v>3</v>
      </c>
      <c r="CA1919">
        <v>1965</v>
      </c>
      <c r="CB1919">
        <v>1</v>
      </c>
      <c r="CC1919">
        <v>1</v>
      </c>
      <c r="CD1919">
        <v>2017</v>
      </c>
      <c r="CE1919">
        <v>39015</v>
      </c>
      <c r="CF1919">
        <v>50172</v>
      </c>
      <c r="CG1919">
        <v>89187</v>
      </c>
      <c r="CH1919">
        <v>2017</v>
      </c>
      <c r="CI1919">
        <v>39015</v>
      </c>
      <c r="CJ1919">
        <v>50172</v>
      </c>
      <c r="CK1919">
        <v>89187</v>
      </c>
      <c r="CL1919">
        <v>2017</v>
      </c>
      <c r="CM1919">
        <v>768.04</v>
      </c>
      <c r="CN1919" s="1">
        <v>40304</v>
      </c>
      <c r="CZ1919" s="1">
        <v>40304</v>
      </c>
      <c r="DD1919" t="s">
        <v>11749</v>
      </c>
      <c r="DF1919">
        <v>4</v>
      </c>
      <c r="DG1919">
        <v>29</v>
      </c>
      <c r="DJ1919" t="s">
        <v>18783</v>
      </c>
      <c r="DL1919">
        <v>50101</v>
      </c>
      <c r="DM1919" t="s">
        <v>18778</v>
      </c>
      <c r="DO1919" t="s">
        <v>18784</v>
      </c>
      <c r="DP1919">
        <v>0</v>
      </c>
      <c r="DQ1919">
        <v>0</v>
      </c>
      <c r="DR1919" t="s">
        <v>411</v>
      </c>
      <c r="DS1919" t="b">
        <v>1</v>
      </c>
      <c r="DT1919" t="s">
        <v>470</v>
      </c>
      <c r="DU1919" t="s">
        <v>471</v>
      </c>
      <c r="DV1919" t="s">
        <v>472</v>
      </c>
      <c r="DX1919">
        <v>-9999</v>
      </c>
      <c r="DZ1919" t="s">
        <v>447</v>
      </c>
      <c r="EA1919" t="s">
        <v>448</v>
      </c>
      <c r="EB1919" t="s">
        <v>14787</v>
      </c>
      <c r="EC1919">
        <v>20101217</v>
      </c>
      <c r="ED1919" t="s">
        <v>474</v>
      </c>
      <c r="EF1919">
        <v>357.6</v>
      </c>
      <c r="EG1919">
        <v>96</v>
      </c>
      <c r="EI1919">
        <v>20160407</v>
      </c>
      <c r="EJ1919">
        <v>0</v>
      </c>
      <c r="EK1919">
        <v>0</v>
      </c>
      <c r="EP1919" t="s">
        <v>421</v>
      </c>
      <c r="EQ1919" t="s">
        <v>422</v>
      </c>
      <c r="ER1919">
        <v>0</v>
      </c>
      <c r="ES1919">
        <v>4</v>
      </c>
      <c r="ET1919">
        <v>0</v>
      </c>
      <c r="EU1919">
        <v>0</v>
      </c>
      <c r="EV1919">
        <v>0</v>
      </c>
      <c r="EW1919" s="2">
        <v>43222</v>
      </c>
      <c r="EX1919" s="1">
        <v>42879</v>
      </c>
      <c r="EY1919">
        <v>2016</v>
      </c>
      <c r="EZ1919">
        <v>876.73</v>
      </c>
      <c r="FA1919" t="s">
        <v>18785</v>
      </c>
      <c r="FB1919">
        <v>0.25</v>
      </c>
      <c r="FC1919" t="s">
        <v>424</v>
      </c>
      <c r="FD1919" t="s">
        <v>425</v>
      </c>
      <c r="FE1919" s="1">
        <v>43164</v>
      </c>
      <c r="FF1919">
        <v>10</v>
      </c>
      <c r="FG1919">
        <v>11289</v>
      </c>
      <c r="FH1919" t="s">
        <v>787</v>
      </c>
      <c r="FJ1919" s="1">
        <v>42879</v>
      </c>
      <c r="FK1919">
        <v>2016</v>
      </c>
      <c r="FL1919">
        <v>876.73</v>
      </c>
      <c r="FM1919" t="s">
        <v>18785</v>
      </c>
      <c r="FN1919">
        <v>0.25</v>
      </c>
      <c r="FO1919" t="s">
        <v>424</v>
      </c>
      <c r="FP1919" t="s">
        <v>425</v>
      </c>
      <c r="FR1919">
        <v>22</v>
      </c>
      <c r="FS1919">
        <v>7143481</v>
      </c>
      <c r="FT1919" t="s">
        <v>18786</v>
      </c>
      <c r="FV1919" s="1">
        <v>42515</v>
      </c>
      <c r="FW1919">
        <v>2015</v>
      </c>
      <c r="FX1919">
        <v>896.98</v>
      </c>
      <c r="FY1919" t="s">
        <v>18787</v>
      </c>
      <c r="FZ1919">
        <v>0.25</v>
      </c>
      <c r="GA1919" t="s">
        <v>424</v>
      </c>
      <c r="GB1919" t="s">
        <v>425</v>
      </c>
      <c r="GC1919" s="1">
        <v>42797</v>
      </c>
      <c r="GD1919">
        <v>10</v>
      </c>
      <c r="GE1919">
        <v>7045074</v>
      </c>
      <c r="GF1919" t="s">
        <v>580</v>
      </c>
      <c r="GH1919" s="1">
        <v>42515</v>
      </c>
      <c r="GI1919">
        <v>2015</v>
      </c>
      <c r="GJ1919">
        <v>896.98</v>
      </c>
      <c r="GK1919" t="s">
        <v>18787</v>
      </c>
      <c r="GL1919">
        <v>0.25</v>
      </c>
      <c r="GM1919" t="s">
        <v>424</v>
      </c>
      <c r="GN1919" t="s">
        <v>425</v>
      </c>
      <c r="GP1919">
        <v>22</v>
      </c>
      <c r="GQ1919">
        <v>6341689</v>
      </c>
      <c r="GR1919" t="s">
        <v>18788</v>
      </c>
    </row>
    <row r="1920" spans="1:284" x14ac:dyDescent="0.25">
      <c r="A1920">
        <v>16486927</v>
      </c>
      <c r="B1920">
        <v>1919</v>
      </c>
      <c r="C1920" t="s">
        <v>393</v>
      </c>
      <c r="D1920" t="s">
        <v>394</v>
      </c>
      <c r="F1920" t="str">
        <f>"00-00-30-0220-0002-0000"</f>
        <v>00-00-30-0220-0002-0000</v>
      </c>
      <c r="H1920" t="str">
        <f>"HOWE GLYNOVA J"</f>
        <v>HOWE GLYNOVA J</v>
      </c>
      <c r="I1920" t="str">
        <f>"300 WOODLAKE DR"</f>
        <v>300 WOODLAKE DR</v>
      </c>
      <c r="J1920" t="str">
        <f>"NEWNAN GA 30265"</f>
        <v>NEWNAN GA 30265</v>
      </c>
      <c r="K1920" t="str">
        <f>"IAN DR"</f>
        <v>IAN DR</v>
      </c>
      <c r="L1920" t="str">
        <f t="shared" si="711"/>
        <v>FERNANDINA BEACH FL 32034</v>
      </c>
      <c r="M1920" t="str">
        <f>"LOT 2 PT OR 277 PG 135 EVERETT ACRES PB 5/11"</f>
        <v>LOT 2 PT OR 277 PG 135 EVERETT ACRES PB 5/11</v>
      </c>
      <c r="N1920" t="str">
        <f>""</f>
        <v/>
      </c>
      <c r="O1920" t="str">
        <f>"1285"</f>
        <v>1285</v>
      </c>
      <c r="P1920" t="str">
        <f t="shared" si="698"/>
        <v>2017</v>
      </c>
      <c r="Q1920" t="str">
        <f>""</f>
        <v/>
      </c>
      <c r="R1920" t="str">
        <f>"N"</f>
        <v>N</v>
      </c>
      <c r="S1920" t="str">
        <f>""</f>
        <v/>
      </c>
      <c r="T1920" t="str">
        <f>"253.95"</f>
        <v>253.95</v>
      </c>
      <c r="U1920" t="str">
        <f>"16500.00"</f>
        <v>16500.00</v>
      </c>
      <c r="V1920" t="str">
        <f>"16500.00"</f>
        <v>16500.00</v>
      </c>
      <c r="W1920" t="str">
        <f t="shared" si="699"/>
        <v>2017</v>
      </c>
      <c r="X1920" t="str">
        <f>"9.33"</f>
        <v>9.33</v>
      </c>
      <c r="Y1920" t="str">
        <f>"293.57"</f>
        <v>293.57</v>
      </c>
      <c r="Z1920" t="str">
        <f>""</f>
        <v/>
      </c>
      <c r="AA1920" t="str">
        <f>"16500.00"</f>
        <v>16500.00</v>
      </c>
      <c r="AB1920" t="str">
        <f t="shared" si="720"/>
        <v>Residential</v>
      </c>
      <c r="AC1920" t="str">
        <f t="shared" si="710"/>
        <v>0</v>
      </c>
      <c r="AD1920" t="str">
        <f>""</f>
        <v/>
      </c>
      <c r="AE1920" t="str">
        <f>""</f>
        <v/>
      </c>
      <c r="AF1920" t="str">
        <f>"000"</f>
        <v>000</v>
      </c>
      <c r="AG1920" t="str">
        <f>"GA"</f>
        <v>GA</v>
      </c>
      <c r="AH1920" t="str">
        <f>"5800.00"</f>
        <v>5800.00</v>
      </c>
      <c r="AI1920" t="str">
        <f>"16500.00"</f>
        <v>16500.00</v>
      </c>
      <c r="AJ1920" t="str">
        <f>"C55-000-585-1164-3"</f>
        <v>C55-000-585-1164-3</v>
      </c>
      <c r="AK1920" t="str">
        <f>"38901"</f>
        <v>38901</v>
      </c>
      <c r="AL1920">
        <v>7</v>
      </c>
      <c r="AM1920">
        <v>2189</v>
      </c>
      <c r="AN1920">
        <v>306.64999999999998</v>
      </c>
      <c r="AQ1920" t="s">
        <v>18789</v>
      </c>
      <c r="AR1920" t="s">
        <v>18789</v>
      </c>
      <c r="AS1920" t="s">
        <v>18789</v>
      </c>
      <c r="AU1920" t="s">
        <v>396</v>
      </c>
      <c r="AV1920">
        <v>2017</v>
      </c>
      <c r="AW1920" t="str">
        <f>"00-00-30-0220-0002-0000 "</f>
        <v xml:space="preserve">00-00-30-0220-0002-0000 </v>
      </c>
      <c r="AZ1920" t="s">
        <v>18790</v>
      </c>
      <c r="BA1920" t="s">
        <v>669</v>
      </c>
      <c r="BD1920" t="s">
        <v>11749</v>
      </c>
      <c r="BE1920" t="s">
        <v>393</v>
      </c>
      <c r="BF1920">
        <v>32034</v>
      </c>
      <c r="BG1920" t="s">
        <v>18791</v>
      </c>
      <c r="BH1920" t="s">
        <v>11751</v>
      </c>
      <c r="BI1920">
        <v>-81.449572472296893</v>
      </c>
      <c r="BJ1920">
        <v>30.578169629238701</v>
      </c>
      <c r="BK1920" t="s">
        <v>18792</v>
      </c>
      <c r="BM1920" t="s">
        <v>18793</v>
      </c>
      <c r="BN1920" t="s">
        <v>18794</v>
      </c>
      <c r="BO1920">
        <v>30265</v>
      </c>
      <c r="BP1920" t="s">
        <v>404</v>
      </c>
      <c r="BQ1920">
        <v>0</v>
      </c>
      <c r="BR1920" t="s">
        <v>491</v>
      </c>
      <c r="BS1920">
        <v>8001</v>
      </c>
      <c r="BT1920" t="s">
        <v>492</v>
      </c>
      <c r="BW1920">
        <v>5735</v>
      </c>
      <c r="BX1920" t="s">
        <v>407</v>
      </c>
      <c r="BY1920" t="s">
        <v>7351</v>
      </c>
      <c r="CD1920">
        <v>2017</v>
      </c>
      <c r="CE1920">
        <v>16500</v>
      </c>
      <c r="CG1920">
        <v>16500</v>
      </c>
      <c r="CH1920">
        <v>2017</v>
      </c>
      <c r="CI1920">
        <v>16500</v>
      </c>
      <c r="CK1920">
        <v>16500</v>
      </c>
      <c r="CL1920">
        <v>2017</v>
      </c>
      <c r="CM1920">
        <v>253.95</v>
      </c>
      <c r="DD1920" t="s">
        <v>11749</v>
      </c>
      <c r="DF1920">
        <v>2</v>
      </c>
      <c r="DG1920">
        <v>14</v>
      </c>
      <c r="DJ1920" t="s">
        <v>18795</v>
      </c>
      <c r="DM1920" t="s">
        <v>14802</v>
      </c>
      <c r="DO1920" t="s">
        <v>18796</v>
      </c>
      <c r="DP1920">
        <v>0</v>
      </c>
      <c r="DQ1920">
        <v>0</v>
      </c>
      <c r="DR1920" t="s">
        <v>411</v>
      </c>
      <c r="DS1920" t="s">
        <v>695</v>
      </c>
      <c r="EJ1920">
        <v>0</v>
      </c>
      <c r="EK1920">
        <v>0</v>
      </c>
      <c r="EP1920" t="s">
        <v>421</v>
      </c>
      <c r="EQ1920" t="s">
        <v>422</v>
      </c>
      <c r="ER1920">
        <v>0</v>
      </c>
      <c r="ES1920">
        <v>4</v>
      </c>
      <c r="ET1920">
        <v>0</v>
      </c>
      <c r="EU1920">
        <v>0</v>
      </c>
      <c r="EV1920">
        <v>0</v>
      </c>
      <c r="EW1920" s="2">
        <v>43222</v>
      </c>
      <c r="EX1920" s="1">
        <v>42151</v>
      </c>
      <c r="EY1920">
        <v>2014</v>
      </c>
      <c r="EZ1920">
        <v>306.73</v>
      </c>
      <c r="FA1920" t="s">
        <v>18797</v>
      </c>
      <c r="FB1920">
        <v>0.25</v>
      </c>
      <c r="FC1920" t="s">
        <v>424</v>
      </c>
      <c r="FD1920" t="s">
        <v>425</v>
      </c>
      <c r="FE1920" s="1">
        <v>42521</v>
      </c>
      <c r="FF1920">
        <v>12</v>
      </c>
      <c r="FG1920">
        <v>13026</v>
      </c>
      <c r="FH1920" t="s">
        <v>2129</v>
      </c>
      <c r="FJ1920" s="1">
        <v>42151</v>
      </c>
      <c r="FK1920">
        <v>2014</v>
      </c>
      <c r="FL1920">
        <v>306.73</v>
      </c>
      <c r="FM1920" t="s">
        <v>18797</v>
      </c>
      <c r="FN1920">
        <v>0.25</v>
      </c>
      <c r="FO1920" t="s">
        <v>424</v>
      </c>
      <c r="FP1920" t="s">
        <v>425</v>
      </c>
      <c r="FR1920">
        <v>22</v>
      </c>
      <c r="FS1920">
        <v>4699266</v>
      </c>
      <c r="FT1920" t="s">
        <v>11109</v>
      </c>
      <c r="FV1920" s="1">
        <v>41787</v>
      </c>
      <c r="FW1920">
        <v>2013</v>
      </c>
      <c r="FX1920">
        <v>291.57</v>
      </c>
      <c r="FY1920" t="s">
        <v>18798</v>
      </c>
      <c r="FZ1920">
        <v>0.25</v>
      </c>
      <c r="GA1920" t="s">
        <v>424</v>
      </c>
      <c r="GB1920" t="s">
        <v>425</v>
      </c>
      <c r="GC1920" s="1">
        <v>41838</v>
      </c>
      <c r="GD1920">
        <v>2</v>
      </c>
      <c r="GE1920">
        <v>10125</v>
      </c>
      <c r="GF1920" t="s">
        <v>440</v>
      </c>
      <c r="GH1920" s="1">
        <v>41423</v>
      </c>
      <c r="GI1920">
        <v>2012</v>
      </c>
      <c r="GJ1920">
        <v>294.87</v>
      </c>
      <c r="GK1920" t="s">
        <v>18799</v>
      </c>
      <c r="GL1920">
        <v>5.75</v>
      </c>
      <c r="GM1920" t="s">
        <v>424</v>
      </c>
      <c r="GN1920" t="s">
        <v>425</v>
      </c>
      <c r="GO1920" s="1">
        <v>41838</v>
      </c>
      <c r="GP1920">
        <v>14</v>
      </c>
      <c r="GQ1920">
        <v>2101381</v>
      </c>
      <c r="GR1920" t="s">
        <v>605</v>
      </c>
    </row>
    <row r="1921" spans="1:284" x14ac:dyDescent="0.25">
      <c r="A1921">
        <v>16486928</v>
      </c>
      <c r="B1921">
        <v>1920</v>
      </c>
      <c r="C1921" t="s">
        <v>393</v>
      </c>
      <c r="D1921" t="s">
        <v>394</v>
      </c>
      <c r="F1921" t="str">
        <f>"00-00-30-0220-0004-0000"</f>
        <v>00-00-30-0220-0004-0000</v>
      </c>
      <c r="H1921" t="str">
        <f>"HOWE GLYNOVA J"</f>
        <v>HOWE GLYNOVA J</v>
      </c>
      <c r="I1921" t="str">
        <f>"300 WOODLAKE DR"</f>
        <v>300 WOODLAKE DR</v>
      </c>
      <c r="J1921" t="str">
        <f>"NEWNAN GA 30265"</f>
        <v>NEWNAN GA 30265</v>
      </c>
      <c r="K1921" t="str">
        <f>"IAN DR"</f>
        <v>IAN DR</v>
      </c>
      <c r="L1921" t="str">
        <f t="shared" si="711"/>
        <v>FERNANDINA BEACH FL 32034</v>
      </c>
      <c r="M1921" t="str">
        <f>"LOT 4 PT OR 277 PG 135 EVERETT ACRES PB 5/11"</f>
        <v>LOT 4 PT OR 277 PG 135 EVERETT ACRES PB 5/11</v>
      </c>
      <c r="N1921" t="str">
        <f>""</f>
        <v/>
      </c>
      <c r="O1921" t="str">
        <f>"1287"</f>
        <v>1287</v>
      </c>
      <c r="P1921" t="str">
        <f t="shared" si="698"/>
        <v>2017</v>
      </c>
      <c r="Q1921" t="str">
        <f>""</f>
        <v/>
      </c>
      <c r="R1921" t="str">
        <f>"N"</f>
        <v>N</v>
      </c>
      <c r="S1921" t="str">
        <f>""</f>
        <v/>
      </c>
      <c r="T1921" t="str">
        <f>"253.95"</f>
        <v>253.95</v>
      </c>
      <c r="U1921" t="str">
        <f>"16500.00"</f>
        <v>16500.00</v>
      </c>
      <c r="V1921" t="str">
        <f>"16500.00"</f>
        <v>16500.00</v>
      </c>
      <c r="W1921" t="str">
        <f t="shared" si="699"/>
        <v>2017</v>
      </c>
      <c r="X1921" t="str">
        <f>"9.33"</f>
        <v>9.33</v>
      </c>
      <c r="Y1921" t="str">
        <f>"293.57"</f>
        <v>293.57</v>
      </c>
      <c r="Z1921" t="str">
        <f>""</f>
        <v/>
      </c>
      <c r="AA1921" t="str">
        <f>"16500.00"</f>
        <v>16500.00</v>
      </c>
      <c r="AB1921" t="str">
        <f t="shared" si="720"/>
        <v>Residential</v>
      </c>
      <c r="AC1921" t="str">
        <f t="shared" si="710"/>
        <v>0</v>
      </c>
      <c r="AD1921" t="str">
        <f>""</f>
        <v/>
      </c>
      <c r="AE1921" t="str">
        <f>""</f>
        <v/>
      </c>
      <c r="AF1921" t="str">
        <f>"000"</f>
        <v>000</v>
      </c>
      <c r="AG1921" t="str">
        <f>"GA"</f>
        <v>GA</v>
      </c>
      <c r="AH1921" t="str">
        <f>"5700.00"</f>
        <v>5700.00</v>
      </c>
      <c r="AI1921" t="str">
        <f>"16500.00"</f>
        <v>16500.00</v>
      </c>
      <c r="AJ1921" t="str">
        <f>"C55-000-585-1166-8"</f>
        <v>C55-000-585-1166-8</v>
      </c>
      <c r="AK1921" t="str">
        <f>"38903"</f>
        <v>38903</v>
      </c>
      <c r="AL1921">
        <v>7</v>
      </c>
      <c r="AM1921">
        <v>2190</v>
      </c>
      <c r="AN1921">
        <v>306.64999999999998</v>
      </c>
      <c r="AQ1921" t="s">
        <v>18800</v>
      </c>
      <c r="AR1921" t="s">
        <v>18800</v>
      </c>
      <c r="AS1921" t="s">
        <v>18800</v>
      </c>
      <c r="AU1921" t="s">
        <v>396</v>
      </c>
      <c r="AV1921">
        <v>2017</v>
      </c>
      <c r="AW1921" t="str">
        <f>"00-00-30-0220-0004-0000 "</f>
        <v xml:space="preserve">00-00-30-0220-0004-0000 </v>
      </c>
      <c r="AZ1921" t="s">
        <v>18790</v>
      </c>
      <c r="BA1921" t="s">
        <v>669</v>
      </c>
      <c r="BD1921" t="s">
        <v>11749</v>
      </c>
      <c r="BE1921" t="s">
        <v>393</v>
      </c>
      <c r="BF1921">
        <v>32034</v>
      </c>
      <c r="BG1921" t="s">
        <v>18791</v>
      </c>
      <c r="BH1921" t="s">
        <v>11751</v>
      </c>
      <c r="BI1921">
        <v>-81.449889745631097</v>
      </c>
      <c r="BJ1921">
        <v>30.578153063815801</v>
      </c>
      <c r="BK1921" t="s">
        <v>18792</v>
      </c>
      <c r="BM1921" t="s">
        <v>18793</v>
      </c>
      <c r="BN1921" t="s">
        <v>18794</v>
      </c>
      <c r="BO1921">
        <v>30265</v>
      </c>
      <c r="BP1921" t="s">
        <v>404</v>
      </c>
      <c r="BQ1921">
        <v>0</v>
      </c>
      <c r="BR1921" t="s">
        <v>491</v>
      </c>
      <c r="BS1921">
        <v>8001</v>
      </c>
      <c r="BT1921" t="s">
        <v>492</v>
      </c>
      <c r="BW1921">
        <v>5668</v>
      </c>
      <c r="BX1921" t="s">
        <v>407</v>
      </c>
      <c r="BY1921" t="s">
        <v>7351</v>
      </c>
      <c r="CD1921">
        <v>2017</v>
      </c>
      <c r="CE1921">
        <v>16500</v>
      </c>
      <c r="CG1921">
        <v>16500</v>
      </c>
      <c r="CH1921">
        <v>2017</v>
      </c>
      <c r="CI1921">
        <v>16500</v>
      </c>
      <c r="CK1921">
        <v>16500</v>
      </c>
      <c r="CL1921">
        <v>2017</v>
      </c>
      <c r="CM1921">
        <v>253.95</v>
      </c>
      <c r="CN1921" s="1">
        <v>42087</v>
      </c>
      <c r="CO1921">
        <v>90000</v>
      </c>
      <c r="CV1921">
        <v>0</v>
      </c>
      <c r="CZ1921" s="1">
        <v>42087</v>
      </c>
      <c r="DA1921">
        <v>0</v>
      </c>
      <c r="DD1921" t="s">
        <v>11749</v>
      </c>
      <c r="DF1921">
        <v>4</v>
      </c>
      <c r="DG1921">
        <v>14</v>
      </c>
      <c r="DJ1921" t="s">
        <v>18795</v>
      </c>
      <c r="DL1921">
        <v>50203</v>
      </c>
      <c r="DM1921" t="s">
        <v>14802</v>
      </c>
      <c r="DO1921" t="s">
        <v>18801</v>
      </c>
      <c r="DP1921">
        <v>0</v>
      </c>
      <c r="DQ1921">
        <v>0</v>
      </c>
      <c r="DR1921" t="s">
        <v>411</v>
      </c>
      <c r="DS1921" t="s">
        <v>695</v>
      </c>
      <c r="EJ1921">
        <v>0</v>
      </c>
      <c r="EK1921">
        <v>0</v>
      </c>
      <c r="EP1921" t="s">
        <v>421</v>
      </c>
      <c r="EQ1921" t="s">
        <v>422</v>
      </c>
      <c r="ER1921">
        <v>0</v>
      </c>
      <c r="ES1921">
        <v>4</v>
      </c>
      <c r="ET1921">
        <v>0</v>
      </c>
      <c r="EU1921">
        <v>0</v>
      </c>
      <c r="EV1921">
        <v>0</v>
      </c>
      <c r="EW1921" s="2">
        <v>43222</v>
      </c>
      <c r="EX1921" s="1">
        <v>42151</v>
      </c>
      <c r="EY1921">
        <v>2014</v>
      </c>
      <c r="EZ1921">
        <v>306.73</v>
      </c>
      <c r="FA1921" t="s">
        <v>18802</v>
      </c>
      <c r="FB1921">
        <v>0.25</v>
      </c>
      <c r="FC1921" t="s">
        <v>424</v>
      </c>
      <c r="FD1921" t="s">
        <v>425</v>
      </c>
      <c r="FE1921" s="1">
        <v>42521</v>
      </c>
      <c r="FF1921">
        <v>12</v>
      </c>
      <c r="FG1921">
        <v>13026</v>
      </c>
      <c r="FH1921" t="s">
        <v>2129</v>
      </c>
      <c r="FJ1921" s="1">
        <v>42151</v>
      </c>
      <c r="FK1921">
        <v>2014</v>
      </c>
      <c r="FL1921">
        <v>306.73</v>
      </c>
      <c r="FM1921" t="s">
        <v>18802</v>
      </c>
      <c r="FN1921">
        <v>0.25</v>
      </c>
      <c r="FO1921" t="s">
        <v>424</v>
      </c>
      <c r="FP1921" t="s">
        <v>425</v>
      </c>
      <c r="FR1921">
        <v>22</v>
      </c>
      <c r="FS1921">
        <v>4699069</v>
      </c>
      <c r="FT1921" t="s">
        <v>18803</v>
      </c>
      <c r="FV1921" s="1">
        <v>41787</v>
      </c>
      <c r="FW1921">
        <v>2013</v>
      </c>
      <c r="FX1921">
        <v>291.57</v>
      </c>
      <c r="FY1921" t="s">
        <v>18804</v>
      </c>
      <c r="FZ1921">
        <v>0.25</v>
      </c>
      <c r="GA1921" t="s">
        <v>424</v>
      </c>
      <c r="GB1921" t="s">
        <v>425</v>
      </c>
      <c r="GC1921" s="1">
        <v>41838</v>
      </c>
      <c r="GD1921">
        <v>2</v>
      </c>
      <c r="GE1921">
        <v>305</v>
      </c>
      <c r="GF1921" t="s">
        <v>1078</v>
      </c>
      <c r="GH1921" s="1">
        <v>41423</v>
      </c>
      <c r="GI1921">
        <v>2012</v>
      </c>
      <c r="GJ1921">
        <v>294.87</v>
      </c>
      <c r="GK1921" t="s">
        <v>18805</v>
      </c>
      <c r="GL1921">
        <v>5.75</v>
      </c>
      <c r="GM1921" t="s">
        <v>424</v>
      </c>
      <c r="GN1921" t="s">
        <v>425</v>
      </c>
      <c r="GO1921" s="1">
        <v>41838</v>
      </c>
      <c r="GP1921">
        <v>14</v>
      </c>
      <c r="GQ1921">
        <v>2101381</v>
      </c>
      <c r="GR1921" t="s">
        <v>605</v>
      </c>
    </row>
    <row r="1922" spans="1:284" x14ac:dyDescent="0.25">
      <c r="A1922">
        <v>16486929</v>
      </c>
      <c r="B1922">
        <v>1921</v>
      </c>
      <c r="C1922" t="s">
        <v>393</v>
      </c>
      <c r="D1922" t="s">
        <v>394</v>
      </c>
      <c r="F1922" t="str">
        <f>"00-00-30-0220-0015-0000"</f>
        <v>00-00-30-0220-0015-0000</v>
      </c>
      <c r="H1922" t="str">
        <f>"SALARY HENRY M &amp; MARVA J"</f>
        <v>SALARY HENRY M &amp; MARVA J</v>
      </c>
      <c r="I1922" t="str">
        <f>"6825 RHODE ISLAND DR E"</f>
        <v>6825 RHODE ISLAND DR E</v>
      </c>
      <c r="J1922" t="str">
        <f>"JACKSONVILLE FL 32209"</f>
        <v>JACKSONVILLE FL 32209</v>
      </c>
      <c r="K1922" t="str">
        <f>"1521 IAN DR"</f>
        <v>1521 IAN DR</v>
      </c>
      <c r="L1922" t="str">
        <f t="shared" si="711"/>
        <v>FERNANDINA BEACH FL 32034</v>
      </c>
      <c r="M1922" t="str">
        <f>"LOTS 15 &amp; 17 IN OR 366 PG 36 EVERETT ACRES PB 5/11"</f>
        <v>LOTS 15 &amp; 17 IN OR 366 PG 36 EVERETT ACRES PB 5/11</v>
      </c>
      <c r="N1922" t="str">
        <f>""</f>
        <v/>
      </c>
      <c r="O1922" t="str">
        <f>"1299"</f>
        <v>1299</v>
      </c>
      <c r="P1922" t="str">
        <f t="shared" ref="P1922:P1985" si="724">"2017"</f>
        <v>2017</v>
      </c>
      <c r="Q1922" t="str">
        <f>""</f>
        <v/>
      </c>
      <c r="R1922" t="str">
        <f>"N"</f>
        <v>N</v>
      </c>
      <c r="S1922" t="str">
        <f>""</f>
        <v/>
      </c>
      <c r="T1922" t="str">
        <f>"507.88"</f>
        <v>507.88</v>
      </c>
      <c r="U1922" t="str">
        <f>"33000.00"</f>
        <v>33000.00</v>
      </c>
      <c r="V1922" t="str">
        <f>"33000.00"</f>
        <v>33000.00</v>
      </c>
      <c r="W1922" t="str">
        <f t="shared" ref="W1922:W1985" si="725">"2017"</f>
        <v>2017</v>
      </c>
      <c r="X1922" t="str">
        <f>""</f>
        <v/>
      </c>
      <c r="Y1922" t="str">
        <f>"555.12"</f>
        <v>555.12</v>
      </c>
      <c r="Z1922" t="str">
        <f>""</f>
        <v/>
      </c>
      <c r="AA1922" t="str">
        <f>"33000.00"</f>
        <v>33000.00</v>
      </c>
      <c r="AB1922" t="str">
        <f t="shared" si="720"/>
        <v>Residential</v>
      </c>
      <c r="AC1922" t="str">
        <f t="shared" si="710"/>
        <v>0</v>
      </c>
      <c r="AD1922" t="str">
        <f>""</f>
        <v/>
      </c>
      <c r="AE1922" t="str">
        <f>""</f>
        <v/>
      </c>
      <c r="AF1922" t="str">
        <f>"000"</f>
        <v>000</v>
      </c>
      <c r="AG1922" t="str">
        <f>"FL"</f>
        <v>FL</v>
      </c>
      <c r="AH1922" t="str">
        <f>"10600.00"</f>
        <v>10600.00</v>
      </c>
      <c r="AI1922" t="str">
        <f>"33000.00"</f>
        <v>33000.00</v>
      </c>
      <c r="AJ1922" t="str">
        <f>"C55-000-585-1178-3"</f>
        <v>C55-000-585-1178-3</v>
      </c>
      <c r="AK1922" t="str">
        <f>"38914"</f>
        <v>38914</v>
      </c>
      <c r="AL1922">
        <v>7</v>
      </c>
      <c r="AM1922">
        <v>2192</v>
      </c>
      <c r="AN1922">
        <v>581.28</v>
      </c>
      <c r="AQ1922" t="s">
        <v>18806</v>
      </c>
      <c r="AR1922" t="s">
        <v>18806</v>
      </c>
      <c r="AS1922" t="s">
        <v>18806</v>
      </c>
      <c r="AU1922" t="s">
        <v>396</v>
      </c>
      <c r="AV1922">
        <v>2017</v>
      </c>
      <c r="AW1922" t="str">
        <f>"00-00-30-0220-0015-0000 "</f>
        <v xml:space="preserve">00-00-30-0220-0015-0000 </v>
      </c>
      <c r="AX1922">
        <v>1521</v>
      </c>
      <c r="AZ1922" t="s">
        <v>18790</v>
      </c>
      <c r="BA1922" t="s">
        <v>669</v>
      </c>
      <c r="BD1922" t="s">
        <v>11749</v>
      </c>
      <c r="BE1922" t="s">
        <v>393</v>
      </c>
      <c r="BF1922">
        <v>32034</v>
      </c>
      <c r="BG1922" t="s">
        <v>18807</v>
      </c>
      <c r="BH1922" t="s">
        <v>11751</v>
      </c>
      <c r="BI1922">
        <v>-81.451958270644496</v>
      </c>
      <c r="BJ1922">
        <v>30.5783548269055</v>
      </c>
      <c r="BK1922" t="s">
        <v>18808</v>
      </c>
      <c r="BL1922" t="s">
        <v>18809</v>
      </c>
      <c r="BM1922" t="s">
        <v>18810</v>
      </c>
      <c r="BN1922" t="s">
        <v>548</v>
      </c>
      <c r="BO1922">
        <v>32209</v>
      </c>
      <c r="BP1922" t="s">
        <v>404</v>
      </c>
      <c r="BQ1922">
        <v>0</v>
      </c>
      <c r="BR1922" t="s">
        <v>491</v>
      </c>
      <c r="BS1922">
        <v>8001</v>
      </c>
      <c r="BT1922" t="s">
        <v>492</v>
      </c>
      <c r="BW1922">
        <v>10501</v>
      </c>
      <c r="BX1922" t="s">
        <v>407</v>
      </c>
      <c r="BY1922" t="s">
        <v>7351</v>
      </c>
      <c r="CD1922">
        <v>2017</v>
      </c>
      <c r="CE1922">
        <v>33000</v>
      </c>
      <c r="CG1922">
        <v>33000</v>
      </c>
      <c r="CH1922">
        <v>2017</v>
      </c>
      <c r="CI1922">
        <v>33000</v>
      </c>
      <c r="CK1922">
        <v>33000</v>
      </c>
      <c r="CL1922">
        <v>2017</v>
      </c>
      <c r="CM1922">
        <v>507.88</v>
      </c>
      <c r="CN1922" s="1">
        <v>30164</v>
      </c>
      <c r="CZ1922" s="1">
        <v>30164</v>
      </c>
      <c r="DD1922" t="s">
        <v>11749</v>
      </c>
      <c r="DG1922">
        <v>14</v>
      </c>
      <c r="DJ1922" t="s">
        <v>18795</v>
      </c>
      <c r="DL1922">
        <v>50203</v>
      </c>
      <c r="DM1922" t="s">
        <v>14802</v>
      </c>
      <c r="DO1922" t="s">
        <v>18811</v>
      </c>
      <c r="DP1922">
        <v>0</v>
      </c>
      <c r="DQ1922">
        <v>5</v>
      </c>
      <c r="DR1922" t="s">
        <v>1479</v>
      </c>
    </row>
    <row r="1923" spans="1:284" x14ac:dyDescent="0.25">
      <c r="A1923">
        <v>16486930</v>
      </c>
      <c r="B1923">
        <v>1922</v>
      </c>
      <c r="C1923" t="s">
        <v>393</v>
      </c>
      <c r="D1923" t="s">
        <v>394</v>
      </c>
      <c r="F1923" t="str">
        <f>"00-00-30-024B-0045-0000"</f>
        <v>00-00-30-024B-0045-0000</v>
      </c>
      <c r="H1923" t="str">
        <f>"HENDERSON FRANCES E EST C/O DWIGHT DAVID TURNER"</f>
        <v>HENDERSON FRANCES E EST C/O DWIGHT DAVID TURNER</v>
      </c>
      <c r="I1923" t="str">
        <f>"1447 HOLLY DR"</f>
        <v>1447 HOLLY DR</v>
      </c>
      <c r="J1923" t="str">
        <f>"FERNANDINA BEACH FL 32034"</f>
        <v>FERNANDINA BEACH FL 32034</v>
      </c>
      <c r="K1923" t="str">
        <f>"1447 HOLLY DR"</f>
        <v>1447 HOLLY DR</v>
      </c>
      <c r="L1923" t="str">
        <f t="shared" ref="L1923:L1954" si="726">"FERNANDINA BEACH FL 32034"</f>
        <v>FERNANDINA BEACH FL 32034</v>
      </c>
      <c r="M1923" t="str">
        <f>"LOT 45 FIVE POINTS 2 PB 3/35"</f>
        <v>LOT 45 FIVE POINTS 2 PB 3/35</v>
      </c>
      <c r="N1923" t="str">
        <f>""</f>
        <v/>
      </c>
      <c r="O1923" t="str">
        <f>"1349"</f>
        <v>1349</v>
      </c>
      <c r="P1923" t="str">
        <f t="shared" si="724"/>
        <v>2017</v>
      </c>
      <c r="Q1923" t="str">
        <f>""</f>
        <v/>
      </c>
      <c r="R1923" t="str">
        <f>"Y"</f>
        <v>Y</v>
      </c>
      <c r="S1923" t="str">
        <f>""</f>
        <v/>
      </c>
      <c r="T1923" t="str">
        <f>"1118.01"</f>
        <v>1118.01</v>
      </c>
      <c r="U1923" t="str">
        <f>"97643.00"</f>
        <v>97643.00</v>
      </c>
      <c r="V1923" t="str">
        <f>"97643.00"</f>
        <v>97643.00</v>
      </c>
      <c r="W1923" t="str">
        <f t="shared" si="725"/>
        <v>2017</v>
      </c>
      <c r="X1923" t="str">
        <f>"21.75"</f>
        <v>21.75</v>
      </c>
      <c r="Y1923" t="str">
        <f>"1183.55"</f>
        <v>1183.55</v>
      </c>
      <c r="Z1923" t="str">
        <f>"25000.00"</f>
        <v>25000.00</v>
      </c>
      <c r="AA1923" t="str">
        <f>"72643.00"</f>
        <v>72643.00</v>
      </c>
      <c r="AB1923" t="str">
        <f t="shared" si="720"/>
        <v>Residential</v>
      </c>
      <c r="AC1923" t="str">
        <f t="shared" si="710"/>
        <v>0</v>
      </c>
      <c r="AD1923" t="str">
        <f>"4"</f>
        <v>4</v>
      </c>
      <c r="AE1923" t="str">
        <f>"WOOD (INCLUDE STEEL STUDS)"</f>
        <v>WOOD (INCLUDE STEEL STUDS)</v>
      </c>
      <c r="AF1923" t="str">
        <f>"001"</f>
        <v>001</v>
      </c>
      <c r="AG1923" t="str">
        <f>"FL"</f>
        <v>FL</v>
      </c>
      <c r="AH1923" t="str">
        <f>"14700.00"</f>
        <v>14700.00</v>
      </c>
      <c r="AI1923" t="str">
        <f>"50000.00"</f>
        <v>50000.00</v>
      </c>
      <c r="AJ1923" t="str">
        <f>"C55-000-585-1225-2"</f>
        <v>C55-000-585-1225-2</v>
      </c>
      <c r="AK1923" t="str">
        <f>"38955"</f>
        <v>38955</v>
      </c>
      <c r="AL1923">
        <v>7</v>
      </c>
      <c r="AM1923">
        <v>2194</v>
      </c>
      <c r="AN1923">
        <v>1241.1300000000001</v>
      </c>
      <c r="AQ1923" t="s">
        <v>18812</v>
      </c>
      <c r="AR1923" t="s">
        <v>18812</v>
      </c>
      <c r="AS1923" t="s">
        <v>18812</v>
      </c>
      <c r="AU1923" t="s">
        <v>396</v>
      </c>
      <c r="AV1923">
        <v>2017</v>
      </c>
      <c r="AW1923" t="str">
        <f>"00-00-30-024B-0045-0000 "</f>
        <v xml:space="preserve">00-00-30-024B-0045-0000 </v>
      </c>
      <c r="AX1923">
        <v>1447</v>
      </c>
      <c r="AZ1923" t="s">
        <v>18813</v>
      </c>
      <c r="BA1923" t="s">
        <v>669</v>
      </c>
      <c r="BD1923" t="s">
        <v>11749</v>
      </c>
      <c r="BE1923" t="s">
        <v>393</v>
      </c>
      <c r="BF1923">
        <v>32034</v>
      </c>
      <c r="BG1923" t="s">
        <v>18814</v>
      </c>
      <c r="BH1923" t="s">
        <v>11751</v>
      </c>
      <c r="BI1923">
        <v>-81.454603227502503</v>
      </c>
      <c r="BJ1923">
        <v>30.636870315232201</v>
      </c>
      <c r="BK1923" t="s">
        <v>18815</v>
      </c>
      <c r="BM1923" t="s">
        <v>18814</v>
      </c>
      <c r="BN1923" t="s">
        <v>3983</v>
      </c>
      <c r="BO1923">
        <v>32034</v>
      </c>
      <c r="BP1923" t="s">
        <v>416</v>
      </c>
      <c r="BQ1923">
        <v>100</v>
      </c>
      <c r="BR1923" t="s">
        <v>514</v>
      </c>
      <c r="BS1923">
        <v>1001</v>
      </c>
      <c r="BT1923" t="s">
        <v>515</v>
      </c>
      <c r="BU1923">
        <v>1000</v>
      </c>
      <c r="BV1923">
        <v>1470</v>
      </c>
      <c r="BW1923">
        <v>14700</v>
      </c>
      <c r="BX1923" t="s">
        <v>407</v>
      </c>
      <c r="BY1923" t="s">
        <v>4360</v>
      </c>
      <c r="BZ1923">
        <v>4</v>
      </c>
      <c r="CA1923">
        <v>1958</v>
      </c>
      <c r="CB1923">
        <v>1</v>
      </c>
      <c r="CC1923">
        <v>1</v>
      </c>
      <c r="CD1923">
        <v>2017</v>
      </c>
      <c r="CG1923">
        <v>97643</v>
      </c>
      <c r="CH1923">
        <v>2017</v>
      </c>
      <c r="CI1923">
        <v>50000</v>
      </c>
      <c r="CJ1923">
        <v>61073</v>
      </c>
      <c r="CK1923">
        <v>111073</v>
      </c>
      <c r="CL1923">
        <v>2017</v>
      </c>
      <c r="CM1923">
        <v>1118.01</v>
      </c>
      <c r="DD1923" t="s">
        <v>11749</v>
      </c>
      <c r="DF1923">
        <v>45</v>
      </c>
      <c r="DG1923">
        <v>30</v>
      </c>
      <c r="DL1923">
        <v>50202</v>
      </c>
      <c r="DM1923" t="s">
        <v>18678</v>
      </c>
      <c r="DO1923" t="s">
        <v>18816</v>
      </c>
      <c r="DP1923">
        <v>0</v>
      </c>
      <c r="DQ1923">
        <v>0</v>
      </c>
      <c r="DR1923" t="s">
        <v>411</v>
      </c>
      <c r="DS1923" t="b">
        <v>1</v>
      </c>
      <c r="DT1923" t="s">
        <v>470</v>
      </c>
      <c r="DU1923" t="s">
        <v>471</v>
      </c>
      <c r="DV1923" t="s">
        <v>472</v>
      </c>
      <c r="DX1923">
        <v>-9999</v>
      </c>
      <c r="DZ1923" t="s">
        <v>447</v>
      </c>
      <c r="EA1923" t="s">
        <v>448</v>
      </c>
      <c r="EB1923" t="s">
        <v>14787</v>
      </c>
      <c r="EC1923">
        <v>20101217</v>
      </c>
      <c r="ED1923" t="s">
        <v>474</v>
      </c>
      <c r="EF1923">
        <v>2172.1999999999998</v>
      </c>
      <c r="EG1923">
        <v>965.7</v>
      </c>
      <c r="EI1923">
        <v>20160407</v>
      </c>
      <c r="EJ1923">
        <v>0</v>
      </c>
      <c r="EK1923">
        <v>0</v>
      </c>
      <c r="EP1923" t="s">
        <v>421</v>
      </c>
      <c r="EQ1923" t="s">
        <v>422</v>
      </c>
      <c r="ER1923">
        <v>2</v>
      </c>
      <c r="ES1923">
        <v>8</v>
      </c>
      <c r="ET1923">
        <v>2359.6</v>
      </c>
      <c r="EU1923">
        <v>130.47999999999999</v>
      </c>
      <c r="EV1923">
        <v>2490.08</v>
      </c>
      <c r="EW1923" s="2">
        <v>43222</v>
      </c>
      <c r="EX1923" s="1">
        <v>42879</v>
      </c>
      <c r="EY1923">
        <v>2016</v>
      </c>
      <c r="EZ1923">
        <v>1179.8</v>
      </c>
      <c r="FA1923" t="s">
        <v>18817</v>
      </c>
      <c r="FB1923">
        <v>0.25</v>
      </c>
      <c r="FC1923" t="s">
        <v>424</v>
      </c>
      <c r="FD1923" t="s">
        <v>454</v>
      </c>
      <c r="FF1923">
        <v>12</v>
      </c>
      <c r="FG1923">
        <v>7400234</v>
      </c>
      <c r="FH1923" t="s">
        <v>426</v>
      </c>
      <c r="FJ1923" s="1">
        <v>42879</v>
      </c>
      <c r="FK1923">
        <v>2016</v>
      </c>
      <c r="FL1923">
        <v>1179.8</v>
      </c>
      <c r="FM1923" t="s">
        <v>18817</v>
      </c>
      <c r="FN1923">
        <v>0.25</v>
      </c>
      <c r="FO1923" t="s">
        <v>424</v>
      </c>
      <c r="FP1923" t="s">
        <v>454</v>
      </c>
      <c r="FR1923">
        <v>12</v>
      </c>
      <c r="FS1923">
        <v>7426083</v>
      </c>
      <c r="FT1923" t="s">
        <v>18818</v>
      </c>
      <c r="FV1923" s="1">
        <v>42515</v>
      </c>
      <c r="FW1923">
        <v>2015</v>
      </c>
      <c r="FX1923">
        <v>1147.06</v>
      </c>
      <c r="FY1923" t="s">
        <v>18819</v>
      </c>
      <c r="FZ1923">
        <v>0.25</v>
      </c>
      <c r="GA1923" t="s">
        <v>424</v>
      </c>
      <c r="GB1923" t="s">
        <v>425</v>
      </c>
      <c r="GC1923" s="1">
        <v>43178</v>
      </c>
      <c r="GD1923">
        <v>22</v>
      </c>
      <c r="GE1923">
        <v>2851116</v>
      </c>
      <c r="GF1923" t="s">
        <v>480</v>
      </c>
      <c r="GH1923" s="1">
        <v>42515</v>
      </c>
      <c r="GI1923">
        <v>2015</v>
      </c>
      <c r="GJ1923">
        <v>1147.06</v>
      </c>
      <c r="GK1923" t="s">
        <v>18819</v>
      </c>
      <c r="GL1923">
        <v>0.25</v>
      </c>
      <c r="GM1923" t="s">
        <v>424</v>
      </c>
      <c r="GN1923" t="s">
        <v>425</v>
      </c>
      <c r="GP1923">
        <v>22</v>
      </c>
      <c r="GQ1923">
        <v>5646474</v>
      </c>
      <c r="GR1923" t="s">
        <v>18820</v>
      </c>
      <c r="GT1923" s="1">
        <v>42151</v>
      </c>
      <c r="GU1923">
        <v>2014</v>
      </c>
      <c r="GV1923">
        <v>1020.82</v>
      </c>
      <c r="GW1923" t="s">
        <v>18821</v>
      </c>
      <c r="GX1923">
        <v>0.25</v>
      </c>
      <c r="GY1923" t="s">
        <v>424</v>
      </c>
      <c r="GZ1923" t="s">
        <v>425</v>
      </c>
      <c r="HA1923" s="1">
        <v>42793</v>
      </c>
      <c r="HB1923">
        <v>21</v>
      </c>
      <c r="HC1923">
        <v>4844983</v>
      </c>
      <c r="HD1923" t="s">
        <v>3901</v>
      </c>
      <c r="HF1923" s="1">
        <v>42151</v>
      </c>
      <c r="HG1923">
        <v>2014</v>
      </c>
      <c r="HH1923">
        <v>1020.82</v>
      </c>
      <c r="HI1923" t="s">
        <v>18821</v>
      </c>
      <c r="HJ1923">
        <v>0.25</v>
      </c>
      <c r="HK1923" t="s">
        <v>424</v>
      </c>
      <c r="HL1923" t="s">
        <v>425</v>
      </c>
      <c r="HN1923">
        <v>22</v>
      </c>
      <c r="HO1923">
        <v>6183859</v>
      </c>
      <c r="HP1923" t="s">
        <v>18822</v>
      </c>
      <c r="HR1923" s="1">
        <v>41787</v>
      </c>
      <c r="HS1923">
        <v>2013</v>
      </c>
      <c r="HT1923">
        <v>921.51</v>
      </c>
      <c r="HU1923" t="s">
        <v>18823</v>
      </c>
      <c r="HV1923">
        <v>0.25</v>
      </c>
      <c r="HW1923" t="s">
        <v>424</v>
      </c>
      <c r="HX1923" t="s">
        <v>425</v>
      </c>
      <c r="HZ1923">
        <v>22</v>
      </c>
      <c r="IA1923">
        <v>15259</v>
      </c>
      <c r="IB1923" t="s">
        <v>891</v>
      </c>
      <c r="ID1923" s="1">
        <v>41787</v>
      </c>
      <c r="IE1923">
        <v>2013</v>
      </c>
      <c r="IF1923">
        <v>921.51</v>
      </c>
      <c r="IG1923" t="s">
        <v>18823</v>
      </c>
      <c r="IH1923">
        <v>0.25</v>
      </c>
      <c r="II1923" t="s">
        <v>424</v>
      </c>
      <c r="IJ1923" t="s">
        <v>425</v>
      </c>
      <c r="IK1923" s="1">
        <v>42457</v>
      </c>
      <c r="IL1923">
        <v>22</v>
      </c>
      <c r="IM1923">
        <v>7045049</v>
      </c>
      <c r="IN1923" t="s">
        <v>1335</v>
      </c>
      <c r="IP1923" s="1">
        <v>41423</v>
      </c>
      <c r="IQ1923">
        <v>2012</v>
      </c>
      <c r="IR1923">
        <v>702.77</v>
      </c>
      <c r="IS1923" t="s">
        <v>18824</v>
      </c>
      <c r="IT1923">
        <v>0.25</v>
      </c>
      <c r="IU1923" t="s">
        <v>424</v>
      </c>
      <c r="IV1923" t="s">
        <v>425</v>
      </c>
      <c r="IX1923">
        <v>22</v>
      </c>
      <c r="IY1923">
        <v>11303</v>
      </c>
      <c r="IZ1923" t="s">
        <v>918</v>
      </c>
      <c r="JB1923" s="1">
        <v>41423</v>
      </c>
      <c r="JC1923">
        <v>2012</v>
      </c>
      <c r="JD1923">
        <v>702.77</v>
      </c>
      <c r="JE1923" t="s">
        <v>18824</v>
      </c>
      <c r="JF1923">
        <v>0.25</v>
      </c>
      <c r="JG1923" t="s">
        <v>424</v>
      </c>
      <c r="JH1923" t="s">
        <v>425</v>
      </c>
      <c r="JI1923" s="1">
        <v>42093</v>
      </c>
      <c r="JJ1923">
        <v>22</v>
      </c>
      <c r="JK1923">
        <v>4844956</v>
      </c>
      <c r="JL1923" t="s">
        <v>919</v>
      </c>
    </row>
    <row r="1924" spans="1:284" x14ac:dyDescent="0.25">
      <c r="A1924">
        <v>16486931</v>
      </c>
      <c r="B1924">
        <v>1923</v>
      </c>
      <c r="C1924" t="s">
        <v>393</v>
      </c>
      <c r="D1924" t="s">
        <v>394</v>
      </c>
      <c r="F1924" t="str">
        <f>"00-00-30-0250-0055-0000"</f>
        <v>00-00-30-0250-0055-0000</v>
      </c>
      <c r="H1924" t="str">
        <f>"EDMONDSON JOHN STEPHEN"</f>
        <v>EDMONDSON JOHN STEPHEN</v>
      </c>
      <c r="I1924" t="str">
        <f>"6539 FAIRLAWN DRIVE"</f>
        <v>6539 FAIRLAWN DRIVE</v>
      </c>
      <c r="J1924" t="str">
        <f>"MCLEAN VA 22101"</f>
        <v>MCLEAN VA 22101</v>
      </c>
      <c r="K1924" t="str">
        <f>"5332 FLORENCE POINT DR"</f>
        <v>5332 FLORENCE POINT DR</v>
      </c>
      <c r="L1924" t="str">
        <f t="shared" si="726"/>
        <v>FERNANDINA BEACH FL 32034</v>
      </c>
      <c r="M1924" t="str">
        <f>"LOT 55 IN OR 1728/893 FLORENCE POINT PB 4/109 &amp; 110"</f>
        <v>LOT 55 IN OR 1728/893 FLORENCE POINT PB 4/109 &amp; 110</v>
      </c>
      <c r="N1924" t="str">
        <f>""</f>
        <v/>
      </c>
      <c r="O1924" t="str">
        <f>"1415"</f>
        <v>1415</v>
      </c>
      <c r="P1924" t="str">
        <f t="shared" si="724"/>
        <v>2017</v>
      </c>
      <c r="Q1924" t="str">
        <f>""</f>
        <v/>
      </c>
      <c r="R1924" t="str">
        <f t="shared" ref="R1924:R1930" si="727">"N"</f>
        <v>N</v>
      </c>
      <c r="S1924" t="str">
        <f>""</f>
        <v/>
      </c>
      <c r="T1924" t="str">
        <f>"3320.57"</f>
        <v>3320.57</v>
      </c>
      <c r="U1924" t="str">
        <f>"215756.00"</f>
        <v>215756.00</v>
      </c>
      <c r="V1924" t="str">
        <f>"215756.00"</f>
        <v>215756.00</v>
      </c>
      <c r="W1924" t="str">
        <f t="shared" si="725"/>
        <v>2017</v>
      </c>
      <c r="X1924" t="str">
        <f>"16.00"</f>
        <v>16.00</v>
      </c>
      <c r="Y1924" t="str">
        <f>"3452.19"</f>
        <v>3452.19</v>
      </c>
      <c r="Z1924" t="str">
        <f>""</f>
        <v/>
      </c>
      <c r="AA1924" t="str">
        <f>"215756.00"</f>
        <v>215756.00</v>
      </c>
      <c r="AB1924" t="str">
        <f t="shared" si="720"/>
        <v>Residential</v>
      </c>
      <c r="AC1924" t="str">
        <f t="shared" si="710"/>
        <v>0</v>
      </c>
      <c r="AD1924" t="str">
        <f>"4"</f>
        <v>4</v>
      </c>
      <c r="AE1924" t="str">
        <f>"WOOD (INCLUDE STEEL STUDS)"</f>
        <v>WOOD (INCLUDE STEEL STUDS)</v>
      </c>
      <c r="AF1924" t="str">
        <f>"001"</f>
        <v>001</v>
      </c>
      <c r="AG1924" t="str">
        <f>"VA"</f>
        <v>VA</v>
      </c>
      <c r="AH1924" t="str">
        <f>"-"</f>
        <v>-</v>
      </c>
      <c r="AI1924" t="str">
        <f>"100000.00"</f>
        <v>100000.00</v>
      </c>
      <c r="AJ1924" t="str">
        <f>"C55-000-585-1288-0"</f>
        <v>C55-000-585-1288-0</v>
      </c>
      <c r="AK1924" t="str">
        <f>"39020"</f>
        <v>39020</v>
      </c>
      <c r="AL1924">
        <v>7</v>
      </c>
      <c r="AM1924">
        <v>2196</v>
      </c>
      <c r="AN1924">
        <v>3623.2</v>
      </c>
      <c r="AQ1924" t="s">
        <v>18825</v>
      </c>
      <c r="AR1924" t="s">
        <v>18825</v>
      </c>
      <c r="AS1924" t="s">
        <v>18825</v>
      </c>
      <c r="AU1924" t="s">
        <v>396</v>
      </c>
      <c r="AV1924">
        <v>2017</v>
      </c>
      <c r="AW1924" t="str">
        <f>"00-00-30-0250-0055-0000 "</f>
        <v xml:space="preserve">00-00-30-0250-0055-0000 </v>
      </c>
      <c r="AX1924">
        <v>5332</v>
      </c>
      <c r="AZ1924" t="s">
        <v>18826</v>
      </c>
      <c r="BA1924" t="s">
        <v>669</v>
      </c>
      <c r="BD1924" t="s">
        <v>11749</v>
      </c>
      <c r="BE1924" t="s">
        <v>393</v>
      </c>
      <c r="BF1924">
        <v>32034</v>
      </c>
      <c r="BG1924" t="s">
        <v>18827</v>
      </c>
      <c r="BH1924" t="s">
        <v>11751</v>
      </c>
      <c r="BI1924">
        <v>-81.454603753875105</v>
      </c>
      <c r="BJ1924">
        <v>30.576312464171401</v>
      </c>
      <c r="BK1924" t="s">
        <v>18828</v>
      </c>
      <c r="BM1924" t="s">
        <v>18829</v>
      </c>
      <c r="BN1924" t="s">
        <v>18830</v>
      </c>
      <c r="BO1924">
        <v>22101</v>
      </c>
      <c r="BP1924" t="s">
        <v>404</v>
      </c>
      <c r="BQ1924">
        <v>100</v>
      </c>
      <c r="BR1924" t="s">
        <v>514</v>
      </c>
      <c r="BS1924">
        <v>1001</v>
      </c>
      <c r="BT1924" t="s">
        <v>515</v>
      </c>
      <c r="BW1924">
        <v>13926</v>
      </c>
      <c r="BX1924" t="s">
        <v>407</v>
      </c>
      <c r="BY1924" t="s">
        <v>2729</v>
      </c>
      <c r="BZ1924">
        <v>4</v>
      </c>
      <c r="CA1924">
        <v>1983</v>
      </c>
      <c r="CB1924">
        <v>1</v>
      </c>
      <c r="CC1924">
        <v>1</v>
      </c>
      <c r="CD1924">
        <v>2017</v>
      </c>
      <c r="CE1924">
        <v>100000</v>
      </c>
      <c r="CF1924">
        <v>115756</v>
      </c>
      <c r="CG1924">
        <v>215756</v>
      </c>
      <c r="CH1924">
        <v>2017</v>
      </c>
      <c r="CI1924">
        <v>100000</v>
      </c>
      <c r="CJ1924">
        <v>115756</v>
      </c>
      <c r="CK1924">
        <v>215756</v>
      </c>
      <c r="CL1924">
        <v>2017</v>
      </c>
      <c r="CM1924">
        <v>3320.57</v>
      </c>
      <c r="CN1924" s="1">
        <v>40613</v>
      </c>
      <c r="CO1924">
        <v>210000</v>
      </c>
      <c r="CV1924">
        <v>0</v>
      </c>
      <c r="CZ1924" s="1">
        <v>40613</v>
      </c>
      <c r="DA1924">
        <v>0</v>
      </c>
      <c r="DD1924" t="s">
        <v>11749</v>
      </c>
      <c r="DF1924">
        <v>55</v>
      </c>
      <c r="DG1924">
        <v>14</v>
      </c>
      <c r="DJ1924" t="s">
        <v>18826</v>
      </c>
      <c r="DL1924">
        <v>50203</v>
      </c>
      <c r="DM1924" t="s">
        <v>14802</v>
      </c>
      <c r="DO1924" t="s">
        <v>18831</v>
      </c>
      <c r="DP1924">
        <v>0</v>
      </c>
      <c r="DQ1924">
        <v>0</v>
      </c>
      <c r="DR1924" t="s">
        <v>411</v>
      </c>
      <c r="DS1924" t="b">
        <v>1</v>
      </c>
      <c r="DT1924" t="s">
        <v>470</v>
      </c>
      <c r="DU1924" t="s">
        <v>10249</v>
      </c>
      <c r="DV1924" t="s">
        <v>472</v>
      </c>
      <c r="DX1924">
        <v>-9999</v>
      </c>
      <c r="DZ1924" t="s">
        <v>447</v>
      </c>
      <c r="EA1924" t="s">
        <v>448</v>
      </c>
      <c r="EB1924" t="s">
        <v>18309</v>
      </c>
      <c r="EC1924">
        <v>20101217</v>
      </c>
      <c r="ED1924" t="s">
        <v>10251</v>
      </c>
      <c r="EE1924">
        <v>5</v>
      </c>
      <c r="EF1924">
        <v>566.20000000000005</v>
      </c>
      <c r="EG1924">
        <v>0</v>
      </c>
      <c r="EH1924" t="s">
        <v>451</v>
      </c>
      <c r="EI1924">
        <v>20140731</v>
      </c>
      <c r="EJ1924">
        <v>0</v>
      </c>
      <c r="EK1924">
        <v>0</v>
      </c>
      <c r="EP1924" t="s">
        <v>421</v>
      </c>
      <c r="EQ1924" t="s">
        <v>422</v>
      </c>
      <c r="ER1924">
        <v>0</v>
      </c>
      <c r="ES1924">
        <v>3</v>
      </c>
      <c r="ET1924">
        <v>0</v>
      </c>
      <c r="EU1924">
        <v>0</v>
      </c>
      <c r="EV1924">
        <v>0</v>
      </c>
      <c r="EW1924" s="2">
        <v>43222</v>
      </c>
      <c r="EX1924" s="1">
        <v>42151</v>
      </c>
      <c r="EY1924">
        <v>2014</v>
      </c>
      <c r="EZ1924">
        <v>3415.96</v>
      </c>
      <c r="FA1924" t="s">
        <v>18832</v>
      </c>
      <c r="FB1924">
        <v>0.25</v>
      </c>
      <c r="FC1924" t="s">
        <v>424</v>
      </c>
      <c r="FD1924" t="s">
        <v>425</v>
      </c>
      <c r="FE1924" s="1">
        <v>42460</v>
      </c>
      <c r="FF1924">
        <v>10</v>
      </c>
      <c r="FG1924">
        <v>2851116</v>
      </c>
      <c r="FH1924" t="s">
        <v>480</v>
      </c>
      <c r="FJ1924" s="1">
        <v>42151</v>
      </c>
      <c r="FK1924">
        <v>2014</v>
      </c>
      <c r="FL1924">
        <v>3415.96</v>
      </c>
      <c r="FM1924" t="s">
        <v>18832</v>
      </c>
      <c r="FN1924">
        <v>0.25</v>
      </c>
      <c r="FO1924" t="s">
        <v>424</v>
      </c>
      <c r="FP1924" t="s">
        <v>425</v>
      </c>
      <c r="FR1924">
        <v>22</v>
      </c>
      <c r="FS1924">
        <v>4907507</v>
      </c>
      <c r="FT1924" t="s">
        <v>18833</v>
      </c>
      <c r="FV1924" s="1">
        <v>41787</v>
      </c>
      <c r="FW1924">
        <v>2013</v>
      </c>
      <c r="FX1924">
        <v>3043.31</v>
      </c>
      <c r="FY1924" t="s">
        <v>18834</v>
      </c>
      <c r="FZ1924">
        <v>0.25</v>
      </c>
      <c r="GA1924" t="s">
        <v>424</v>
      </c>
      <c r="GB1924" t="s">
        <v>425</v>
      </c>
      <c r="GC1924" s="1">
        <v>42460</v>
      </c>
      <c r="GD1924">
        <v>22</v>
      </c>
      <c r="GE1924">
        <v>2757457</v>
      </c>
      <c r="GF1924" t="s">
        <v>648</v>
      </c>
    </row>
    <row r="1925" spans="1:284" x14ac:dyDescent="0.25">
      <c r="A1925">
        <v>16486932</v>
      </c>
      <c r="B1925">
        <v>1924</v>
      </c>
      <c r="C1925" t="s">
        <v>393</v>
      </c>
      <c r="D1925" t="s">
        <v>394</v>
      </c>
      <c r="F1925" t="str">
        <f>"00-00-30-026G-201A-0000"</f>
        <v>00-00-30-026G-201A-0000</v>
      </c>
      <c r="H1925" t="str">
        <f>"SHACKLEFORD ROBERT"</f>
        <v>SHACKLEFORD ROBERT</v>
      </c>
      <c r="I1925" t="str">
        <f>"31255 PARADISE COMMONS 913"</f>
        <v>31255 PARADISE COMMONS 913</v>
      </c>
      <c r="J1925" t="str">
        <f>"FERNANDINA BEACH FL 32034"</f>
        <v>FERNANDINA BEACH FL 32034</v>
      </c>
      <c r="K1925" t="str">
        <f>"961687 GATEWAY BLVD 201A"</f>
        <v>961687 GATEWAY BLVD 201A</v>
      </c>
      <c r="L1925" t="str">
        <f t="shared" si="726"/>
        <v>FERNANDINA BEACH FL 32034</v>
      </c>
      <c r="M1925" t="str">
        <f>"UNIT 201A IN OR 1919/279 VILLAGE CENTER at GATEWAY TO AMELIA CONDO"</f>
        <v>UNIT 201A IN OR 1919/279 VILLAGE CENTER at GATEWAY TO AMELIA CONDO</v>
      </c>
      <c r="N1925" t="str">
        <f>""</f>
        <v/>
      </c>
      <c r="O1925" t="str">
        <f>"1555"</f>
        <v>1555</v>
      </c>
      <c r="P1925" t="str">
        <f t="shared" si="724"/>
        <v>2017</v>
      </c>
      <c r="Q1925" t="str">
        <f>""</f>
        <v/>
      </c>
      <c r="R1925" t="str">
        <f t="shared" si="727"/>
        <v>N</v>
      </c>
      <c r="S1925" t="str">
        <f>""</f>
        <v/>
      </c>
      <c r="T1925" t="str">
        <f>"1843.98"</f>
        <v>1843.98</v>
      </c>
      <c r="U1925" t="str">
        <f>"92520.00"</f>
        <v>92520.00</v>
      </c>
      <c r="V1925" t="str">
        <f>"92520.00"</f>
        <v>92520.00</v>
      </c>
      <c r="W1925" t="str">
        <f t="shared" si="725"/>
        <v>2017</v>
      </c>
      <c r="X1925" t="str">
        <f>"1.00"</f>
        <v>1.00</v>
      </c>
      <c r="Y1925" t="str">
        <f>"1931.30"</f>
        <v>1931.30</v>
      </c>
      <c r="Z1925" t="str">
        <f>""</f>
        <v/>
      </c>
      <c r="AA1925" t="str">
        <f>"92520.00"</f>
        <v>92520.00</v>
      </c>
      <c r="AB1925" t="str">
        <f t="shared" si="720"/>
        <v>Residential</v>
      </c>
      <c r="AC1925" t="str">
        <f t="shared" si="710"/>
        <v>0</v>
      </c>
      <c r="AD1925" t="str">
        <f>""</f>
        <v/>
      </c>
      <c r="AE1925" t="str">
        <f>""</f>
        <v/>
      </c>
      <c r="AF1925" t="str">
        <f>"004"</f>
        <v>004</v>
      </c>
      <c r="AG1925" t="str">
        <f t="shared" ref="AG1925:AG1941" si="728">"FL"</f>
        <v>FL</v>
      </c>
      <c r="AH1925" t="str">
        <f>"-"</f>
        <v>-</v>
      </c>
      <c r="AI1925" t="str">
        <f>"-"</f>
        <v>-</v>
      </c>
      <c r="AJ1925" t="str">
        <f>"C55-000-588-7954-5"</f>
        <v>C55-000-588-7954-5</v>
      </c>
      <c r="AK1925" t="str">
        <f>"39089"</f>
        <v>39089</v>
      </c>
      <c r="AL1925">
        <v>7</v>
      </c>
      <c r="AM1925">
        <v>2198</v>
      </c>
      <c r="AN1925">
        <v>2026.27</v>
      </c>
      <c r="AQ1925" t="s">
        <v>18835</v>
      </c>
      <c r="AR1925" t="s">
        <v>18835</v>
      </c>
      <c r="AS1925" t="s">
        <v>18835</v>
      </c>
      <c r="AU1925" t="s">
        <v>396</v>
      </c>
      <c r="AV1925">
        <v>2017</v>
      </c>
      <c r="AW1925" t="str">
        <f>"00-00-30-026G-201A-0000 "</f>
        <v xml:space="preserve">00-00-30-026G-201A-0000 </v>
      </c>
      <c r="AX1925">
        <v>961687</v>
      </c>
      <c r="AZ1925" t="s">
        <v>18836</v>
      </c>
      <c r="BA1925" t="s">
        <v>6622</v>
      </c>
      <c r="BC1925" t="s">
        <v>18837</v>
      </c>
      <c r="BD1925" t="s">
        <v>11749</v>
      </c>
      <c r="BE1925" t="s">
        <v>393</v>
      </c>
      <c r="BF1925">
        <v>32034</v>
      </c>
      <c r="BG1925" t="s">
        <v>18838</v>
      </c>
      <c r="BH1925" t="s">
        <v>11751</v>
      </c>
      <c r="BI1925">
        <v>-81.4718002180865</v>
      </c>
      <c r="BJ1925">
        <v>30.630461586362799</v>
      </c>
      <c r="BK1925" t="s">
        <v>18839</v>
      </c>
      <c r="BM1925" t="s">
        <v>18840</v>
      </c>
      <c r="BN1925" t="s">
        <v>3983</v>
      </c>
      <c r="BO1925">
        <v>32034</v>
      </c>
      <c r="BP1925" t="s">
        <v>404</v>
      </c>
      <c r="BQ1925">
        <v>417</v>
      </c>
      <c r="BR1925" t="s">
        <v>15097</v>
      </c>
      <c r="BS1925">
        <v>1004</v>
      </c>
      <c r="BT1925" t="s">
        <v>15098</v>
      </c>
      <c r="BW1925">
        <v>113626</v>
      </c>
      <c r="BX1925" t="s">
        <v>407</v>
      </c>
      <c r="CA1925">
        <v>2003</v>
      </c>
      <c r="CC1925">
        <v>1</v>
      </c>
      <c r="CD1925">
        <v>2017</v>
      </c>
      <c r="CF1925">
        <v>92520</v>
      </c>
      <c r="CG1925">
        <v>92520</v>
      </c>
      <c r="CH1925">
        <v>2017</v>
      </c>
      <c r="CJ1925">
        <v>92520</v>
      </c>
      <c r="CK1925">
        <v>92520</v>
      </c>
      <c r="CL1925">
        <v>2017</v>
      </c>
      <c r="CM1925">
        <v>1843.98</v>
      </c>
      <c r="CN1925" s="1">
        <v>41786</v>
      </c>
      <c r="CO1925">
        <v>94000</v>
      </c>
      <c r="CV1925">
        <v>0</v>
      </c>
      <c r="CZ1925" s="1">
        <v>41786</v>
      </c>
      <c r="DA1925">
        <v>0</v>
      </c>
      <c r="DD1925" t="s">
        <v>11749</v>
      </c>
      <c r="DG1925">
        <v>5</v>
      </c>
      <c r="DI1925" t="s">
        <v>18837</v>
      </c>
      <c r="DJ1925" t="s">
        <v>18841</v>
      </c>
      <c r="DL1925">
        <v>50203</v>
      </c>
      <c r="DM1925" t="s">
        <v>18842</v>
      </c>
      <c r="DO1925" t="s">
        <v>18843</v>
      </c>
      <c r="DP1925">
        <v>0</v>
      </c>
      <c r="DQ1925">
        <v>4</v>
      </c>
      <c r="DR1925" t="s">
        <v>1174</v>
      </c>
      <c r="DS1925" t="b">
        <v>1</v>
      </c>
      <c r="DT1925" t="s">
        <v>8902</v>
      </c>
      <c r="DV1925" t="s">
        <v>446</v>
      </c>
      <c r="DX1925">
        <v>10</v>
      </c>
      <c r="DY1925" t="s">
        <v>11438</v>
      </c>
      <c r="DZ1925" t="s">
        <v>447</v>
      </c>
      <c r="EA1925" t="s">
        <v>448</v>
      </c>
      <c r="EB1925" t="s">
        <v>18370</v>
      </c>
      <c r="EC1925">
        <v>20101217</v>
      </c>
      <c r="ED1925" t="s">
        <v>450</v>
      </c>
      <c r="EE1925">
        <v>5</v>
      </c>
      <c r="EF1925">
        <v>0</v>
      </c>
      <c r="EG1925">
        <v>0</v>
      </c>
      <c r="EH1925" t="s">
        <v>451</v>
      </c>
      <c r="EI1925">
        <v>20140731</v>
      </c>
      <c r="EJ1925">
        <v>0</v>
      </c>
      <c r="EK1925">
        <v>0</v>
      </c>
      <c r="EP1925" t="s">
        <v>421</v>
      </c>
      <c r="EQ1925" t="s">
        <v>422</v>
      </c>
      <c r="ER1925">
        <v>2</v>
      </c>
      <c r="ES1925">
        <v>2</v>
      </c>
      <c r="ET1925">
        <v>4105.78</v>
      </c>
      <c r="EU1925">
        <v>217.79</v>
      </c>
      <c r="EV1925">
        <v>4323.57</v>
      </c>
      <c r="EW1925" s="2">
        <v>43222</v>
      </c>
      <c r="EX1925" s="1">
        <v>42879</v>
      </c>
      <c r="EY1925">
        <v>2016</v>
      </c>
      <c r="EZ1925">
        <v>2052.89</v>
      </c>
      <c r="FA1925" t="s">
        <v>18844</v>
      </c>
      <c r="FB1925">
        <v>0.25</v>
      </c>
      <c r="FC1925" t="s">
        <v>424</v>
      </c>
      <c r="FD1925" t="s">
        <v>454</v>
      </c>
      <c r="FF1925">
        <v>12</v>
      </c>
      <c r="FG1925">
        <v>7336671</v>
      </c>
      <c r="FH1925" t="s">
        <v>437</v>
      </c>
      <c r="FJ1925" s="1">
        <v>42879</v>
      </c>
      <c r="FK1925">
        <v>2016</v>
      </c>
      <c r="FL1925">
        <v>2052.89</v>
      </c>
      <c r="FM1925" t="s">
        <v>18844</v>
      </c>
      <c r="FN1925">
        <v>0.25</v>
      </c>
      <c r="FO1925" t="s">
        <v>424</v>
      </c>
      <c r="FP1925" t="s">
        <v>454</v>
      </c>
      <c r="FR1925">
        <v>12</v>
      </c>
      <c r="FS1925">
        <v>5207571</v>
      </c>
      <c r="FT1925" t="s">
        <v>18845</v>
      </c>
      <c r="FV1925" s="1">
        <v>42151</v>
      </c>
      <c r="FW1925">
        <v>2014</v>
      </c>
      <c r="FX1925">
        <v>1624.43</v>
      </c>
      <c r="FY1925" t="s">
        <v>18846</v>
      </c>
      <c r="FZ1925">
        <v>0.25</v>
      </c>
      <c r="GA1925" t="s">
        <v>424</v>
      </c>
      <c r="GB1925" t="s">
        <v>425</v>
      </c>
      <c r="GC1925" s="1">
        <v>42165</v>
      </c>
      <c r="GD1925">
        <v>1</v>
      </c>
      <c r="GE1925">
        <v>15259</v>
      </c>
      <c r="GF1925" t="s">
        <v>891</v>
      </c>
      <c r="GH1925" s="1">
        <v>42151</v>
      </c>
      <c r="GI1925">
        <v>2014</v>
      </c>
      <c r="GJ1925">
        <v>1624.43</v>
      </c>
      <c r="GK1925" t="s">
        <v>18846</v>
      </c>
      <c r="GL1925">
        <v>0.25</v>
      </c>
      <c r="GM1925" t="s">
        <v>424</v>
      </c>
      <c r="GN1925" t="s">
        <v>425</v>
      </c>
      <c r="GP1925">
        <v>22</v>
      </c>
      <c r="GQ1925">
        <v>6817634</v>
      </c>
      <c r="GR1925" t="s">
        <v>18847</v>
      </c>
    </row>
    <row r="1926" spans="1:284" x14ac:dyDescent="0.25">
      <c r="A1926">
        <v>16486933</v>
      </c>
      <c r="B1926">
        <v>1925</v>
      </c>
      <c r="C1926" t="s">
        <v>393</v>
      </c>
      <c r="D1926" t="s">
        <v>394</v>
      </c>
      <c r="F1926" t="str">
        <f>"00-00-30-026G-201H-0000"</f>
        <v>00-00-30-026G-201H-0000</v>
      </c>
      <c r="H1926" t="str">
        <f>"WIDE SKY PROPERTIES LLC"</f>
        <v>WIDE SKY PROPERTIES LLC</v>
      </c>
      <c r="I1926" t="str">
        <f>"961687 GATEWAY BLVD  STE 201-H"</f>
        <v>961687 GATEWAY BLVD  STE 201-H</v>
      </c>
      <c r="J1926" t="str">
        <f>"FERNANDINA BEACH FL 32034"</f>
        <v>FERNANDINA BEACH FL 32034</v>
      </c>
      <c r="K1926" t="str">
        <f>"961687 GATEWAY BLVD 201H"</f>
        <v>961687 GATEWAY BLVD 201H</v>
      </c>
      <c r="L1926" t="str">
        <f t="shared" si="726"/>
        <v>FERNANDINA BEACH FL 32034</v>
      </c>
      <c r="M1926" t="str">
        <f>"UNIT 201H IN OR 1314/19 VILLAGE CENTER at GATEWAY TO AMELIA CONDO"</f>
        <v>UNIT 201H IN OR 1314/19 VILLAGE CENTER at GATEWAY TO AMELIA CONDO</v>
      </c>
      <c r="N1926" t="str">
        <f>""</f>
        <v/>
      </c>
      <c r="O1926" t="str">
        <f>"1562"</f>
        <v>1562</v>
      </c>
      <c r="P1926" t="str">
        <f t="shared" si="724"/>
        <v>2017</v>
      </c>
      <c r="Q1926" t="str">
        <f>""</f>
        <v/>
      </c>
      <c r="R1926" t="str">
        <f t="shared" si="727"/>
        <v>N</v>
      </c>
      <c r="S1926" t="str">
        <f>""</f>
        <v/>
      </c>
      <c r="T1926" t="str">
        <f>"2724.13"</f>
        <v>2724.13</v>
      </c>
      <c r="U1926" t="str">
        <f>"136680.00"</f>
        <v>136680.00</v>
      </c>
      <c r="V1926" t="str">
        <f>"136680.00"</f>
        <v>136680.00</v>
      </c>
      <c r="W1926" t="str">
        <f t="shared" si="725"/>
        <v>2017</v>
      </c>
      <c r="X1926" t="str">
        <f>"21.10"</f>
        <v>21.10</v>
      </c>
      <c r="Y1926" t="str">
        <f>"2837.85"</f>
        <v>2837.85</v>
      </c>
      <c r="Z1926" t="str">
        <f>""</f>
        <v/>
      </c>
      <c r="AA1926" t="str">
        <f>"136680.00"</f>
        <v>136680.00</v>
      </c>
      <c r="AB1926" t="str">
        <f t="shared" si="720"/>
        <v>Residential</v>
      </c>
      <c r="AC1926" t="str">
        <f t="shared" si="710"/>
        <v>0</v>
      </c>
      <c r="AD1926" t="str">
        <f>""</f>
        <v/>
      </c>
      <c r="AE1926" t="str">
        <f>""</f>
        <v/>
      </c>
      <c r="AF1926" t="str">
        <f>"004"</f>
        <v>004</v>
      </c>
      <c r="AG1926" t="str">
        <f t="shared" si="728"/>
        <v>FL</v>
      </c>
      <c r="AH1926" t="str">
        <f>"-"</f>
        <v>-</v>
      </c>
      <c r="AI1926" t="str">
        <f>"-"</f>
        <v>-</v>
      </c>
      <c r="AJ1926" t="str">
        <f>"C55-000-588-7961-0"</f>
        <v>C55-000-588-7961-0</v>
      </c>
      <c r="AK1926" t="str">
        <f>"39096"</f>
        <v>39096</v>
      </c>
      <c r="AL1926">
        <v>7</v>
      </c>
      <c r="AM1926">
        <v>2199</v>
      </c>
      <c r="AN1926">
        <v>2978.14</v>
      </c>
      <c r="AQ1926" t="s">
        <v>18848</v>
      </c>
      <c r="AR1926" t="s">
        <v>18848</v>
      </c>
      <c r="AS1926" t="s">
        <v>18848</v>
      </c>
      <c r="AU1926" t="s">
        <v>396</v>
      </c>
      <c r="AV1926">
        <v>2017</v>
      </c>
      <c r="AW1926" t="str">
        <f>"00-00-30-026G-201H-0000 "</f>
        <v xml:space="preserve">00-00-30-026G-201H-0000 </v>
      </c>
      <c r="AX1926">
        <v>961687</v>
      </c>
      <c r="AZ1926" t="s">
        <v>18836</v>
      </c>
      <c r="BA1926" t="s">
        <v>6622</v>
      </c>
      <c r="BC1926" t="s">
        <v>18849</v>
      </c>
      <c r="BD1926" t="s">
        <v>11749</v>
      </c>
      <c r="BE1926" t="s">
        <v>393</v>
      </c>
      <c r="BF1926">
        <v>32034</v>
      </c>
      <c r="BG1926" t="s">
        <v>18850</v>
      </c>
      <c r="BH1926" t="s">
        <v>11751</v>
      </c>
      <c r="BI1926">
        <v>-81.4718002180865</v>
      </c>
      <c r="BJ1926">
        <v>30.630461586362799</v>
      </c>
      <c r="BK1926" t="s">
        <v>18851</v>
      </c>
      <c r="BM1926" t="s">
        <v>18852</v>
      </c>
      <c r="BN1926" t="s">
        <v>3983</v>
      </c>
      <c r="BO1926">
        <v>32034</v>
      </c>
      <c r="BP1926" t="s">
        <v>416</v>
      </c>
      <c r="BQ1926">
        <v>417</v>
      </c>
      <c r="BR1926" t="s">
        <v>15097</v>
      </c>
      <c r="BS1926">
        <v>1004</v>
      </c>
      <c r="BT1926" t="s">
        <v>15098</v>
      </c>
      <c r="BW1926">
        <v>113626</v>
      </c>
      <c r="BX1926" t="s">
        <v>407</v>
      </c>
      <c r="CA1926">
        <v>2003</v>
      </c>
      <c r="CC1926">
        <v>1</v>
      </c>
      <c r="CD1926">
        <v>2017</v>
      </c>
      <c r="CF1926">
        <v>136680</v>
      </c>
      <c r="CG1926">
        <v>136680</v>
      </c>
      <c r="CH1926">
        <v>2017</v>
      </c>
      <c r="CJ1926">
        <v>136680</v>
      </c>
      <c r="CK1926">
        <v>136680</v>
      </c>
      <c r="CL1926">
        <v>2017</v>
      </c>
      <c r="CM1926">
        <v>2724.13</v>
      </c>
      <c r="CN1926" s="1">
        <v>38474</v>
      </c>
      <c r="CO1926">
        <v>387500</v>
      </c>
      <c r="CV1926">
        <v>0</v>
      </c>
      <c r="CZ1926" s="1">
        <v>38474</v>
      </c>
      <c r="DA1926">
        <v>0</v>
      </c>
      <c r="DD1926" t="s">
        <v>11749</v>
      </c>
      <c r="DG1926">
        <v>5</v>
      </c>
      <c r="DI1926" t="s">
        <v>18849</v>
      </c>
      <c r="DJ1926" t="s">
        <v>18841</v>
      </c>
      <c r="DL1926">
        <v>50203</v>
      </c>
      <c r="DM1926" t="s">
        <v>18842</v>
      </c>
      <c r="DO1926" t="s">
        <v>18853</v>
      </c>
      <c r="DP1926">
        <v>0</v>
      </c>
      <c r="DQ1926">
        <v>4</v>
      </c>
      <c r="DR1926" t="s">
        <v>1174</v>
      </c>
      <c r="DS1926" t="b">
        <v>1</v>
      </c>
      <c r="DT1926" t="s">
        <v>8902</v>
      </c>
      <c r="DV1926" t="s">
        <v>446</v>
      </c>
      <c r="DX1926">
        <v>10</v>
      </c>
      <c r="DY1926" t="s">
        <v>11438</v>
      </c>
      <c r="DZ1926" t="s">
        <v>447</v>
      </c>
      <c r="EA1926" t="s">
        <v>448</v>
      </c>
      <c r="EB1926" t="s">
        <v>18370</v>
      </c>
      <c r="EC1926">
        <v>20101217</v>
      </c>
      <c r="ED1926" t="s">
        <v>450</v>
      </c>
      <c r="EE1926">
        <v>5</v>
      </c>
      <c r="EF1926">
        <v>0</v>
      </c>
      <c r="EG1926">
        <v>0</v>
      </c>
      <c r="EI1926">
        <v>20160407</v>
      </c>
      <c r="EJ1926">
        <v>0</v>
      </c>
      <c r="EK1926">
        <v>0</v>
      </c>
      <c r="EP1926" t="s">
        <v>421</v>
      </c>
      <c r="EQ1926" t="s">
        <v>422</v>
      </c>
      <c r="ER1926">
        <v>0</v>
      </c>
      <c r="ES1926">
        <v>8</v>
      </c>
      <c r="ET1926">
        <v>0</v>
      </c>
      <c r="EU1926">
        <v>0</v>
      </c>
      <c r="EV1926">
        <v>0</v>
      </c>
      <c r="EW1926" s="2">
        <v>43222</v>
      </c>
      <c r="EX1926" s="1">
        <v>42515</v>
      </c>
      <c r="EY1926">
        <v>2015</v>
      </c>
      <c r="EZ1926">
        <v>3053.17</v>
      </c>
      <c r="FA1926" t="s">
        <v>18854</v>
      </c>
      <c r="FB1926">
        <v>0.25</v>
      </c>
      <c r="FC1926" t="s">
        <v>424</v>
      </c>
      <c r="FD1926" t="s">
        <v>425</v>
      </c>
      <c r="FE1926" s="1">
        <v>43158</v>
      </c>
      <c r="FF1926">
        <v>21</v>
      </c>
      <c r="FG1926">
        <v>7045074</v>
      </c>
      <c r="FH1926" t="s">
        <v>580</v>
      </c>
      <c r="FJ1926" s="1">
        <v>42515</v>
      </c>
      <c r="FK1926">
        <v>2015</v>
      </c>
      <c r="FL1926">
        <v>3053.17</v>
      </c>
      <c r="FM1926" t="s">
        <v>18854</v>
      </c>
      <c r="FN1926">
        <v>0.25</v>
      </c>
      <c r="FO1926" t="s">
        <v>424</v>
      </c>
      <c r="FP1926" t="s">
        <v>425</v>
      </c>
      <c r="FR1926">
        <v>22</v>
      </c>
      <c r="FS1926">
        <v>6261483</v>
      </c>
      <c r="FT1926" t="s">
        <v>18855</v>
      </c>
      <c r="FV1926" s="1">
        <v>42151</v>
      </c>
      <c r="FW1926">
        <v>2014</v>
      </c>
      <c r="FX1926">
        <v>2695.14</v>
      </c>
      <c r="FY1926" t="s">
        <v>18856</v>
      </c>
      <c r="FZ1926">
        <v>0.25</v>
      </c>
      <c r="GA1926" t="s">
        <v>424</v>
      </c>
      <c r="GB1926" t="s">
        <v>425</v>
      </c>
      <c r="GC1926" s="1">
        <v>42790</v>
      </c>
      <c r="GD1926">
        <v>21</v>
      </c>
      <c r="GE1926">
        <v>4844984</v>
      </c>
      <c r="GF1926" t="s">
        <v>1323</v>
      </c>
      <c r="GH1926" s="1">
        <v>42151</v>
      </c>
      <c r="GI1926">
        <v>2014</v>
      </c>
      <c r="GJ1926">
        <v>2695.14</v>
      </c>
      <c r="GK1926" t="s">
        <v>18856</v>
      </c>
      <c r="GL1926">
        <v>0.25</v>
      </c>
      <c r="GM1926" t="s">
        <v>424</v>
      </c>
      <c r="GN1926" t="s">
        <v>425</v>
      </c>
      <c r="GP1926">
        <v>22</v>
      </c>
      <c r="GQ1926">
        <v>5803162</v>
      </c>
      <c r="GR1926" t="s">
        <v>18857</v>
      </c>
      <c r="GT1926" s="1">
        <v>41787</v>
      </c>
      <c r="GU1926">
        <v>2013</v>
      </c>
      <c r="GV1926">
        <v>2365.31</v>
      </c>
      <c r="GW1926" t="s">
        <v>18858</v>
      </c>
      <c r="GX1926">
        <v>0.25</v>
      </c>
      <c r="GY1926" t="s">
        <v>424</v>
      </c>
      <c r="GZ1926" t="s">
        <v>425</v>
      </c>
      <c r="HA1926" s="1">
        <v>42416</v>
      </c>
      <c r="HB1926">
        <v>21</v>
      </c>
      <c r="HC1926">
        <v>2662137</v>
      </c>
      <c r="HD1926" t="s">
        <v>916</v>
      </c>
      <c r="HF1926" s="1">
        <v>41423</v>
      </c>
      <c r="HG1926">
        <v>2012</v>
      </c>
      <c r="HH1926">
        <v>2393.9899999999998</v>
      </c>
      <c r="HI1926" t="s">
        <v>18859</v>
      </c>
      <c r="HJ1926">
        <v>0.25</v>
      </c>
      <c r="HK1926" t="s">
        <v>424</v>
      </c>
      <c r="HL1926" t="s">
        <v>425</v>
      </c>
      <c r="HM1926" s="1">
        <v>42059</v>
      </c>
      <c r="HN1926">
        <v>21</v>
      </c>
      <c r="HO1926">
        <v>15259</v>
      </c>
      <c r="HP1926" t="s">
        <v>891</v>
      </c>
      <c r="HR1926" s="1">
        <v>41052</v>
      </c>
      <c r="HS1926">
        <v>2011</v>
      </c>
      <c r="HT1926">
        <v>2425.85</v>
      </c>
      <c r="HU1926" t="s">
        <v>18860</v>
      </c>
      <c r="HV1926">
        <v>0.25</v>
      </c>
      <c r="HW1926" t="s">
        <v>424</v>
      </c>
      <c r="HX1926" t="s">
        <v>425</v>
      </c>
      <c r="HY1926" s="1">
        <v>41697</v>
      </c>
      <c r="HZ1926">
        <v>21</v>
      </c>
      <c r="IA1926">
        <v>13240</v>
      </c>
      <c r="IB1926" t="s">
        <v>18861</v>
      </c>
      <c r="ID1926" s="1">
        <v>40688</v>
      </c>
      <c r="IE1926">
        <v>2010</v>
      </c>
      <c r="IF1926">
        <v>2864.45</v>
      </c>
      <c r="IG1926" t="s">
        <v>18862</v>
      </c>
      <c r="IH1926">
        <v>5</v>
      </c>
      <c r="II1926" t="s">
        <v>424</v>
      </c>
      <c r="IJ1926" t="s">
        <v>425</v>
      </c>
      <c r="IK1926" s="1">
        <v>41330</v>
      </c>
      <c r="IL1926">
        <v>21</v>
      </c>
      <c r="IM1926">
        <v>11302</v>
      </c>
      <c r="IN1926" t="s">
        <v>3940</v>
      </c>
    </row>
    <row r="1927" spans="1:284" x14ac:dyDescent="0.25">
      <c r="A1927">
        <v>16486934</v>
      </c>
      <c r="B1927">
        <v>1926</v>
      </c>
      <c r="C1927" t="s">
        <v>393</v>
      </c>
      <c r="D1927" t="s">
        <v>394</v>
      </c>
      <c r="F1927" t="str">
        <f>"00-00-30-0280-0016-0000"</f>
        <v>00-00-30-0280-0016-0000</v>
      </c>
      <c r="H1927" t="str">
        <f>"BROWN MERLIN A &amp; BUGGS LISA J (JTROS)"</f>
        <v>BROWN MERLIN A &amp; BUGGS LISA J (JTROS)</v>
      </c>
      <c r="I1927" t="str">
        <f>"5018 LINCOLN CIRCLE SOUTH"</f>
        <v>5018 LINCOLN CIRCLE SOUTH</v>
      </c>
      <c r="J1927" t="str">
        <f>"JACKSONVILLE FL 32209"</f>
        <v>JACKSONVILLE FL 32209</v>
      </c>
      <c r="K1927" t="str">
        <f>"AVERY RD"</f>
        <v>AVERY RD</v>
      </c>
      <c r="L1927" t="str">
        <f t="shared" si="726"/>
        <v>FERNANDINA BEACH FL 32034</v>
      </c>
      <c r="M1927" t="str">
        <f>"LOT 16 IN OR 953/1544 GURNIE OAKS SUB PB5/2"</f>
        <v>LOT 16 IN OR 953/1544 GURNIE OAKS SUB PB5/2</v>
      </c>
      <c r="N1927" t="str">
        <f>""</f>
        <v/>
      </c>
      <c r="O1927" t="str">
        <f>"1619"</f>
        <v>1619</v>
      </c>
      <c r="P1927" t="str">
        <f t="shared" si="724"/>
        <v>2017</v>
      </c>
      <c r="Q1927" t="str">
        <f>""</f>
        <v/>
      </c>
      <c r="R1927" t="str">
        <f t="shared" si="727"/>
        <v>N</v>
      </c>
      <c r="S1927" t="str">
        <f>""</f>
        <v/>
      </c>
      <c r="T1927" t="str">
        <f>"253.95"</f>
        <v>253.95</v>
      </c>
      <c r="U1927" t="str">
        <f>"16500.00"</f>
        <v>16500.00</v>
      </c>
      <c r="V1927" t="str">
        <f>"16500.00"</f>
        <v>16500.00</v>
      </c>
      <c r="W1927" t="str">
        <f t="shared" si="725"/>
        <v>2017</v>
      </c>
      <c r="X1927" t="str">
        <f>"18.00"</f>
        <v>18.00</v>
      </c>
      <c r="Y1927" t="str">
        <f>"293.57"</f>
        <v>293.57</v>
      </c>
      <c r="Z1927" t="str">
        <f>""</f>
        <v/>
      </c>
      <c r="AA1927" t="str">
        <f>"16500.00"</f>
        <v>16500.00</v>
      </c>
      <c r="AB1927" t="str">
        <f t="shared" si="720"/>
        <v>Residential</v>
      </c>
      <c r="AC1927" t="str">
        <f t="shared" si="710"/>
        <v>0</v>
      </c>
      <c r="AD1927" t="str">
        <f>""</f>
        <v/>
      </c>
      <c r="AE1927" t="str">
        <f>""</f>
        <v/>
      </c>
      <c r="AF1927" t="str">
        <f>"000"</f>
        <v>000</v>
      </c>
      <c r="AG1927" t="str">
        <f t="shared" si="728"/>
        <v>FL</v>
      </c>
      <c r="AH1927" t="str">
        <f>"5900.00"</f>
        <v>5900.00</v>
      </c>
      <c r="AI1927" t="str">
        <f>"16500.00"</f>
        <v>16500.00</v>
      </c>
      <c r="AJ1927" t="str">
        <f>"C55-000-585-1418-3"</f>
        <v>C55-000-585-1418-3</v>
      </c>
      <c r="AK1927" t="str">
        <f>"39240"</f>
        <v>39240</v>
      </c>
      <c r="AL1927">
        <v>7</v>
      </c>
      <c r="AM1927">
        <v>2201</v>
      </c>
      <c r="AN1927">
        <v>306.64999999999998</v>
      </c>
      <c r="AQ1927" t="s">
        <v>18863</v>
      </c>
      <c r="AR1927" t="s">
        <v>18863</v>
      </c>
      <c r="AS1927" t="s">
        <v>18863</v>
      </c>
      <c r="AU1927" t="s">
        <v>396</v>
      </c>
      <c r="AV1927">
        <v>2017</v>
      </c>
      <c r="AW1927" t="str">
        <f>"00-00-30-0280-0016-0000 "</f>
        <v xml:space="preserve">00-00-30-0280-0016-0000 </v>
      </c>
      <c r="AZ1927" t="s">
        <v>18864</v>
      </c>
      <c r="BA1927" t="s">
        <v>496</v>
      </c>
      <c r="BD1927" t="s">
        <v>11749</v>
      </c>
      <c r="BE1927" t="s">
        <v>393</v>
      </c>
      <c r="BF1927">
        <v>32034</v>
      </c>
      <c r="BG1927" t="s">
        <v>18865</v>
      </c>
      <c r="BH1927" t="s">
        <v>11751</v>
      </c>
      <c r="BI1927">
        <v>-81.451803850329995</v>
      </c>
      <c r="BJ1927">
        <v>30.578515296761999</v>
      </c>
      <c r="BK1927" t="s">
        <v>18866</v>
      </c>
      <c r="BL1927" t="s">
        <v>18867</v>
      </c>
      <c r="BM1927" t="s">
        <v>18868</v>
      </c>
      <c r="BN1927" t="s">
        <v>548</v>
      </c>
      <c r="BO1927">
        <v>32209</v>
      </c>
      <c r="BP1927" t="s">
        <v>404</v>
      </c>
      <c r="BQ1927">
        <v>0</v>
      </c>
      <c r="BR1927" t="s">
        <v>491</v>
      </c>
      <c r="BS1927">
        <v>8001</v>
      </c>
      <c r="BT1927" t="s">
        <v>492</v>
      </c>
      <c r="BW1927">
        <v>5779</v>
      </c>
      <c r="BX1927" t="s">
        <v>407</v>
      </c>
      <c r="BY1927" t="s">
        <v>7351</v>
      </c>
      <c r="CD1927">
        <v>2017</v>
      </c>
      <c r="CE1927">
        <v>16500</v>
      </c>
      <c r="CG1927">
        <v>16500</v>
      </c>
      <c r="CH1927">
        <v>2017</v>
      </c>
      <c r="CI1927">
        <v>16500</v>
      </c>
      <c r="CK1927">
        <v>16500</v>
      </c>
      <c r="CL1927">
        <v>2017</v>
      </c>
      <c r="CM1927">
        <v>253.95</v>
      </c>
      <c r="CN1927" s="1">
        <v>36812</v>
      </c>
      <c r="CZ1927" s="1">
        <v>36812</v>
      </c>
      <c r="DD1927" t="s">
        <v>11749</v>
      </c>
      <c r="DF1927">
        <v>16</v>
      </c>
      <c r="DG1927">
        <v>14</v>
      </c>
      <c r="DJ1927" t="s">
        <v>18869</v>
      </c>
      <c r="DL1927">
        <v>50203</v>
      </c>
      <c r="DM1927" t="s">
        <v>14802</v>
      </c>
      <c r="DO1927" t="s">
        <v>18870</v>
      </c>
      <c r="DP1927">
        <v>0</v>
      </c>
      <c r="DQ1927">
        <v>0</v>
      </c>
      <c r="DR1927" t="s">
        <v>411</v>
      </c>
      <c r="EP1927" t="s">
        <v>421</v>
      </c>
      <c r="EQ1927" t="s">
        <v>422</v>
      </c>
      <c r="ER1927">
        <v>0</v>
      </c>
      <c r="ES1927">
        <v>2</v>
      </c>
      <c r="ET1927">
        <v>0</v>
      </c>
      <c r="EU1927">
        <v>0</v>
      </c>
      <c r="EV1927">
        <v>0</v>
      </c>
      <c r="EW1927" s="2">
        <v>43222</v>
      </c>
      <c r="EX1927" s="1">
        <v>40688</v>
      </c>
      <c r="EY1927">
        <v>2010</v>
      </c>
      <c r="EZ1927">
        <v>350.95</v>
      </c>
      <c r="FA1927" t="s">
        <v>18871</v>
      </c>
      <c r="FB1927">
        <v>8.25</v>
      </c>
      <c r="FC1927" t="s">
        <v>424</v>
      </c>
      <c r="FD1927" t="s">
        <v>425</v>
      </c>
      <c r="FE1927" s="1">
        <v>41324</v>
      </c>
      <c r="FF1927">
        <v>21</v>
      </c>
      <c r="FG1927">
        <v>15175</v>
      </c>
      <c r="FH1927" t="s">
        <v>588</v>
      </c>
      <c r="FJ1927" s="1">
        <v>40688</v>
      </c>
      <c r="FK1927">
        <v>2010</v>
      </c>
      <c r="FL1927">
        <v>350.95</v>
      </c>
      <c r="FM1927" t="s">
        <v>18871</v>
      </c>
      <c r="FN1927">
        <v>8.25</v>
      </c>
      <c r="FO1927" t="s">
        <v>424</v>
      </c>
      <c r="FP1927" t="s">
        <v>425</v>
      </c>
      <c r="FR1927">
        <v>22</v>
      </c>
      <c r="FS1927">
        <v>10548</v>
      </c>
      <c r="FT1927" t="s">
        <v>589</v>
      </c>
    </row>
    <row r="1928" spans="1:284" x14ac:dyDescent="0.25">
      <c r="A1928">
        <v>16486935</v>
      </c>
      <c r="B1928">
        <v>1927</v>
      </c>
      <c r="C1928" t="s">
        <v>393</v>
      </c>
      <c r="D1928" t="s">
        <v>394</v>
      </c>
      <c r="F1928" t="str">
        <f>"00-00-30-0280-0017-0000"</f>
        <v>00-00-30-0280-0017-0000</v>
      </c>
      <c r="H1928" t="str">
        <f>"SAUNDERS MONICA L &amp; RONNIE L"</f>
        <v>SAUNDERS MONICA L &amp; RONNIE L</v>
      </c>
      <c r="I1928" t="str">
        <f>"342 GOODWIN STREET"</f>
        <v>342 GOODWIN STREET</v>
      </c>
      <c r="J1928" t="str">
        <f>"JACKSONVILLE FL 32204"</f>
        <v>JACKSONVILLE FL 32204</v>
      </c>
      <c r="K1928" t="str">
        <f>"1477 AVERY RD"</f>
        <v>1477 AVERY RD</v>
      </c>
      <c r="L1928" t="str">
        <f t="shared" si="726"/>
        <v>FERNANDINA BEACH FL 32034</v>
      </c>
      <c r="M1928" t="str">
        <f>"LOT 17 IN OR 698 PG 911 GURNIE OAKS SUB PB 5/2"</f>
        <v>LOT 17 IN OR 698 PG 911 GURNIE OAKS SUB PB 5/2</v>
      </c>
      <c r="N1928" t="str">
        <f>""</f>
        <v/>
      </c>
      <c r="O1928" t="str">
        <f>"1620"</f>
        <v>1620</v>
      </c>
      <c r="P1928" t="str">
        <f t="shared" si="724"/>
        <v>2017</v>
      </c>
      <c r="Q1928" t="str">
        <f>""</f>
        <v/>
      </c>
      <c r="R1928" t="str">
        <f t="shared" si="727"/>
        <v>N</v>
      </c>
      <c r="S1928" t="str">
        <f>""</f>
        <v/>
      </c>
      <c r="T1928" t="str">
        <f>"253.95"</f>
        <v>253.95</v>
      </c>
      <c r="U1928" t="str">
        <f>"16500.00"</f>
        <v>16500.00</v>
      </c>
      <c r="V1928" t="str">
        <f>"16500.00"</f>
        <v>16500.00</v>
      </c>
      <c r="W1928" t="str">
        <f t="shared" si="725"/>
        <v>2017</v>
      </c>
      <c r="X1928" t="str">
        <f>"17.45"</f>
        <v>17.45</v>
      </c>
      <c r="Y1928" t="str">
        <f>"293.57"</f>
        <v>293.57</v>
      </c>
      <c r="Z1928" t="str">
        <f>""</f>
        <v/>
      </c>
      <c r="AA1928" t="str">
        <f>"16500.00"</f>
        <v>16500.00</v>
      </c>
      <c r="AB1928" t="str">
        <f t="shared" si="720"/>
        <v>Residential</v>
      </c>
      <c r="AC1928" t="str">
        <f t="shared" si="710"/>
        <v>0</v>
      </c>
      <c r="AD1928" t="str">
        <f>""</f>
        <v/>
      </c>
      <c r="AE1928" t="str">
        <f>""</f>
        <v/>
      </c>
      <c r="AF1928" t="str">
        <f>"000"</f>
        <v>000</v>
      </c>
      <c r="AG1928" t="str">
        <f t="shared" si="728"/>
        <v>FL</v>
      </c>
      <c r="AH1928" t="str">
        <f>"5800.00"</f>
        <v>5800.00</v>
      </c>
      <c r="AI1928" t="str">
        <f>"16500.00"</f>
        <v>16500.00</v>
      </c>
      <c r="AJ1928" t="str">
        <f>"C55-000-585-1419-1"</f>
        <v>C55-000-585-1419-1</v>
      </c>
      <c r="AK1928" t="str">
        <f>"39241"</f>
        <v>39241</v>
      </c>
      <c r="AL1928">
        <v>7</v>
      </c>
      <c r="AM1928">
        <v>2202</v>
      </c>
      <c r="AN1928">
        <v>306.64999999999998</v>
      </c>
      <c r="AQ1928" t="s">
        <v>18872</v>
      </c>
      <c r="AR1928" t="s">
        <v>18872</v>
      </c>
      <c r="AS1928" t="s">
        <v>18872</v>
      </c>
      <c r="AU1928" t="s">
        <v>396</v>
      </c>
      <c r="AV1928">
        <v>2017</v>
      </c>
      <c r="AW1928" t="str">
        <f>"00-00-30-0280-0017-0000 "</f>
        <v xml:space="preserve">00-00-30-0280-0017-0000 </v>
      </c>
      <c r="AX1928">
        <v>1477</v>
      </c>
      <c r="AZ1928" t="s">
        <v>18864</v>
      </c>
      <c r="BA1928" t="s">
        <v>496</v>
      </c>
      <c r="BD1928" t="s">
        <v>11749</v>
      </c>
      <c r="BE1928" t="s">
        <v>393</v>
      </c>
      <c r="BF1928">
        <v>32034</v>
      </c>
      <c r="BG1928" t="s">
        <v>18873</v>
      </c>
      <c r="BH1928" t="s">
        <v>11751</v>
      </c>
      <c r="BI1928">
        <v>-81.452127656244699</v>
      </c>
      <c r="BJ1928">
        <v>30.578798445787601</v>
      </c>
      <c r="BK1928" t="s">
        <v>18874</v>
      </c>
      <c r="BL1928" t="s">
        <v>18875</v>
      </c>
      <c r="BM1928" t="s">
        <v>18876</v>
      </c>
      <c r="BN1928" t="s">
        <v>548</v>
      </c>
      <c r="BO1928">
        <v>32204</v>
      </c>
      <c r="BP1928" t="s">
        <v>404</v>
      </c>
      <c r="BQ1928">
        <v>0</v>
      </c>
      <c r="BR1928" t="s">
        <v>491</v>
      </c>
      <c r="BS1928">
        <v>8001</v>
      </c>
      <c r="BT1928" t="s">
        <v>492</v>
      </c>
      <c r="BW1928">
        <v>5705</v>
      </c>
      <c r="BX1928" t="s">
        <v>407</v>
      </c>
      <c r="BY1928" t="s">
        <v>7351</v>
      </c>
      <c r="CD1928">
        <v>2017</v>
      </c>
      <c r="CE1928">
        <v>16500</v>
      </c>
      <c r="CG1928">
        <v>16500</v>
      </c>
      <c r="CH1928">
        <v>2017</v>
      </c>
      <c r="CI1928">
        <v>16500</v>
      </c>
      <c r="CK1928">
        <v>16500</v>
      </c>
      <c r="CL1928">
        <v>2017</v>
      </c>
      <c r="CM1928">
        <v>253.95</v>
      </c>
      <c r="CN1928" s="1">
        <v>34380</v>
      </c>
      <c r="CO1928">
        <v>10000</v>
      </c>
      <c r="CZ1928" s="1">
        <v>34380</v>
      </c>
      <c r="DD1928" t="s">
        <v>11749</v>
      </c>
      <c r="DF1928">
        <v>17</v>
      </c>
      <c r="DG1928">
        <v>14</v>
      </c>
      <c r="DJ1928" t="s">
        <v>18869</v>
      </c>
      <c r="DL1928">
        <v>50203</v>
      </c>
      <c r="DM1928" t="s">
        <v>14802</v>
      </c>
      <c r="DO1928" t="s">
        <v>18877</v>
      </c>
      <c r="DP1928">
        <v>0</v>
      </c>
      <c r="DQ1928">
        <v>3</v>
      </c>
      <c r="DR1928" t="s">
        <v>1174</v>
      </c>
      <c r="DS1928" t="b">
        <v>1</v>
      </c>
      <c r="DT1928" t="s">
        <v>470</v>
      </c>
      <c r="DU1928" t="s">
        <v>471</v>
      </c>
      <c r="DV1928" t="s">
        <v>472</v>
      </c>
      <c r="DX1928">
        <v>-9999</v>
      </c>
      <c r="DZ1928" t="s">
        <v>447</v>
      </c>
      <c r="EA1928" t="s">
        <v>448</v>
      </c>
      <c r="EB1928" t="s">
        <v>14787</v>
      </c>
      <c r="EC1928">
        <v>20101217</v>
      </c>
      <c r="ED1928" t="s">
        <v>474</v>
      </c>
      <c r="EF1928">
        <v>916.9</v>
      </c>
      <c r="EG1928">
        <v>777.5</v>
      </c>
      <c r="EI1928">
        <v>20160407</v>
      </c>
      <c r="EJ1928">
        <v>0</v>
      </c>
      <c r="EK1928">
        <v>0</v>
      </c>
      <c r="EP1928" t="s">
        <v>421</v>
      </c>
      <c r="EQ1928" t="s">
        <v>422</v>
      </c>
      <c r="ER1928">
        <v>0</v>
      </c>
      <c r="ES1928">
        <v>9</v>
      </c>
      <c r="ET1928">
        <v>0</v>
      </c>
      <c r="EU1928">
        <v>0</v>
      </c>
      <c r="EV1928">
        <v>0</v>
      </c>
      <c r="EW1928" s="2">
        <v>43222</v>
      </c>
      <c r="EX1928" s="1">
        <v>42879</v>
      </c>
      <c r="EY1928">
        <v>2016</v>
      </c>
      <c r="EZ1928">
        <v>305.60000000000002</v>
      </c>
      <c r="FA1928" t="s">
        <v>18878</v>
      </c>
      <c r="FB1928">
        <v>10</v>
      </c>
      <c r="FC1928" t="s">
        <v>424</v>
      </c>
      <c r="FD1928" t="s">
        <v>425</v>
      </c>
      <c r="FE1928" s="1">
        <v>43173</v>
      </c>
      <c r="FF1928">
        <v>10</v>
      </c>
      <c r="FG1928">
        <v>5100525</v>
      </c>
      <c r="FH1928" t="s">
        <v>6804</v>
      </c>
      <c r="FJ1928" s="1">
        <v>42515</v>
      </c>
      <c r="FK1928">
        <v>2015</v>
      </c>
      <c r="FL1928">
        <v>305.23</v>
      </c>
      <c r="FM1928" t="s">
        <v>18879</v>
      </c>
      <c r="FN1928">
        <v>0.25</v>
      </c>
      <c r="FO1928" t="s">
        <v>424</v>
      </c>
      <c r="FP1928" t="s">
        <v>425</v>
      </c>
      <c r="FQ1928" s="1">
        <v>42899</v>
      </c>
      <c r="FR1928">
        <v>13</v>
      </c>
      <c r="FS1928">
        <v>7336671</v>
      </c>
      <c r="FT1928" t="s">
        <v>437</v>
      </c>
      <c r="FV1928" s="1">
        <v>42515</v>
      </c>
      <c r="FW1928">
        <v>2015</v>
      </c>
      <c r="FX1928">
        <v>305.23</v>
      </c>
      <c r="FY1928" t="s">
        <v>18879</v>
      </c>
      <c r="FZ1928">
        <v>0.25</v>
      </c>
      <c r="GA1928" t="s">
        <v>424</v>
      </c>
      <c r="GB1928" t="s">
        <v>425</v>
      </c>
      <c r="GD1928">
        <v>22</v>
      </c>
      <c r="GE1928">
        <v>7009944</v>
      </c>
      <c r="GF1928" t="s">
        <v>18880</v>
      </c>
      <c r="GH1928" s="1">
        <v>42151</v>
      </c>
      <c r="GI1928">
        <v>2014</v>
      </c>
      <c r="GJ1928">
        <v>306.73</v>
      </c>
      <c r="GK1928" t="s">
        <v>18881</v>
      </c>
      <c r="GL1928">
        <v>4.75</v>
      </c>
      <c r="GM1928" t="s">
        <v>424</v>
      </c>
      <c r="GN1928" t="s">
        <v>425</v>
      </c>
      <c r="GO1928" s="1">
        <v>42454</v>
      </c>
      <c r="GP1928">
        <v>10</v>
      </c>
      <c r="GQ1928">
        <v>7045026</v>
      </c>
      <c r="GR1928" t="s">
        <v>18882</v>
      </c>
      <c r="GT1928" s="1">
        <v>41787</v>
      </c>
      <c r="GU1928">
        <v>2013</v>
      </c>
      <c r="GV1928">
        <v>291.57</v>
      </c>
      <c r="GW1928" t="s">
        <v>18883</v>
      </c>
      <c r="GX1928">
        <v>0.25</v>
      </c>
      <c r="GY1928" t="s">
        <v>424</v>
      </c>
      <c r="GZ1928" t="s">
        <v>425</v>
      </c>
      <c r="HA1928" s="1">
        <v>42151</v>
      </c>
      <c r="HB1928">
        <v>12</v>
      </c>
      <c r="HC1928">
        <v>10125</v>
      </c>
      <c r="HD1928" t="s">
        <v>440</v>
      </c>
      <c r="HF1928" s="1">
        <v>41423</v>
      </c>
      <c r="HG1928">
        <v>2012</v>
      </c>
      <c r="HH1928">
        <v>294.87</v>
      </c>
      <c r="HI1928" t="s">
        <v>18884</v>
      </c>
      <c r="HJ1928">
        <v>5.75</v>
      </c>
      <c r="HK1928" t="s">
        <v>424</v>
      </c>
      <c r="HL1928" t="s">
        <v>425</v>
      </c>
      <c r="HM1928" s="1">
        <v>41730</v>
      </c>
      <c r="HN1928">
        <v>11</v>
      </c>
      <c r="HO1928">
        <v>2101381</v>
      </c>
      <c r="HP1928" t="s">
        <v>605</v>
      </c>
      <c r="HR1928" s="1">
        <v>41052</v>
      </c>
      <c r="HS1928">
        <v>2011</v>
      </c>
      <c r="HT1928">
        <v>350.29</v>
      </c>
      <c r="HU1928" t="s">
        <v>18885</v>
      </c>
      <c r="HV1928">
        <v>9.75</v>
      </c>
      <c r="HW1928" t="s">
        <v>424</v>
      </c>
      <c r="HX1928" t="s">
        <v>425</v>
      </c>
      <c r="HY1928" s="1">
        <v>41730</v>
      </c>
      <c r="HZ1928">
        <v>23</v>
      </c>
      <c r="IA1928">
        <v>13027</v>
      </c>
      <c r="IB1928" t="s">
        <v>826</v>
      </c>
      <c r="ID1928" s="1">
        <v>40688</v>
      </c>
      <c r="IE1928">
        <v>2010</v>
      </c>
      <c r="IF1928">
        <v>350.95</v>
      </c>
      <c r="IG1928" t="s">
        <v>18886</v>
      </c>
      <c r="IH1928">
        <v>8.5</v>
      </c>
      <c r="II1928" t="s">
        <v>424</v>
      </c>
      <c r="IJ1928" t="s">
        <v>425</v>
      </c>
      <c r="IK1928" s="1">
        <v>41365</v>
      </c>
      <c r="IL1928">
        <v>23</v>
      </c>
      <c r="IM1928">
        <v>15175</v>
      </c>
      <c r="IN1928" t="s">
        <v>588</v>
      </c>
      <c r="IP1928" s="1">
        <v>40688</v>
      </c>
      <c r="IQ1928">
        <v>2010</v>
      </c>
      <c r="IR1928">
        <v>350.95</v>
      </c>
      <c r="IS1928" t="s">
        <v>18886</v>
      </c>
      <c r="IT1928">
        <v>8.5</v>
      </c>
      <c r="IU1928" t="s">
        <v>424</v>
      </c>
      <c r="IV1928" t="s">
        <v>425</v>
      </c>
      <c r="IX1928">
        <v>22</v>
      </c>
      <c r="IY1928">
        <v>10548</v>
      </c>
      <c r="IZ1928" t="s">
        <v>589</v>
      </c>
    </row>
    <row r="1929" spans="1:284" x14ac:dyDescent="0.25">
      <c r="A1929">
        <v>16486936</v>
      </c>
      <c r="B1929">
        <v>1928</v>
      </c>
      <c r="C1929" t="s">
        <v>393</v>
      </c>
      <c r="D1929" t="s">
        <v>394</v>
      </c>
      <c r="F1929" t="str">
        <f>"00-00-30-0280-0018-0000"</f>
        <v>00-00-30-0280-0018-0000</v>
      </c>
      <c r="H1929" t="str">
        <f>"HARRIS IAN C &amp; BACON CEDRIC G &amp; RODRIC L"</f>
        <v>HARRIS IAN C &amp; BACON CEDRIC G &amp; RODRIC L</v>
      </c>
      <c r="I1929" t="str">
        <f>"1280 NW 58TH TR"</f>
        <v>1280 NW 58TH TR</v>
      </c>
      <c r="J1929" t="str">
        <f>"SUNRISE FL 33313"</f>
        <v>SUNRISE FL 33313</v>
      </c>
      <c r="K1929" t="str">
        <f>"1450 AVERY RD"</f>
        <v>1450 AVERY RD</v>
      </c>
      <c r="L1929" t="str">
        <f t="shared" si="726"/>
        <v>FERNANDINA BEACH FL 32034</v>
      </c>
      <c r="M1929" t="str">
        <f>"LOT 18 L/E OR 620/854 &amp; OR 758/1690 OR 1749/1651 CASE 11-CP-160 GURNIE OAKS SUB PB 5/2"</f>
        <v>LOT 18 L/E OR 620/854 &amp; OR 758/1690 OR 1749/1651 CASE 11-CP-160 GURNIE OAKS SUB PB 5/2</v>
      </c>
      <c r="N1929" t="str">
        <f>""</f>
        <v/>
      </c>
      <c r="O1929" t="str">
        <f>"1621"</f>
        <v>1621</v>
      </c>
      <c r="P1929" t="str">
        <f t="shared" si="724"/>
        <v>2017</v>
      </c>
      <c r="Q1929" t="str">
        <f>""</f>
        <v/>
      </c>
      <c r="R1929" t="str">
        <f t="shared" si="727"/>
        <v>N</v>
      </c>
      <c r="S1929" t="str">
        <f>""</f>
        <v/>
      </c>
      <c r="T1929" t="str">
        <f>"1093.89"</f>
        <v>1093.89</v>
      </c>
      <c r="U1929" t="str">
        <f>"71076.00"</f>
        <v>71076.00</v>
      </c>
      <c r="V1929" t="str">
        <f>"71076.00"</f>
        <v>71076.00</v>
      </c>
      <c r="W1929" t="str">
        <f t="shared" si="725"/>
        <v>2017</v>
      </c>
      <c r="X1929" t="str">
        <f>"22.06"</f>
        <v>22.06</v>
      </c>
      <c r="Y1929" t="str">
        <f>"1158.71"</f>
        <v>1158.71</v>
      </c>
      <c r="Z1929" t="str">
        <f>""</f>
        <v/>
      </c>
      <c r="AA1929" t="str">
        <f>"71076.00"</f>
        <v>71076.00</v>
      </c>
      <c r="AB1929" t="str">
        <f t="shared" si="720"/>
        <v>Residential</v>
      </c>
      <c r="AC1929" t="str">
        <f t="shared" si="710"/>
        <v>0</v>
      </c>
      <c r="AD1929" t="str">
        <f>"4"</f>
        <v>4</v>
      </c>
      <c r="AE1929" t="str">
        <f>"WOOD (INCLUDE STEEL STUDS)"</f>
        <v>WOOD (INCLUDE STEEL STUDS)</v>
      </c>
      <c r="AF1929" t="str">
        <f>"001"</f>
        <v>001</v>
      </c>
      <c r="AG1929" t="str">
        <f t="shared" si="728"/>
        <v>FL</v>
      </c>
      <c r="AH1929" t="str">
        <f>"5800.00"</f>
        <v>5800.00</v>
      </c>
      <c r="AI1929" t="str">
        <f>"16500.00"</f>
        <v>16500.00</v>
      </c>
      <c r="AJ1929" t="str">
        <f>"C55-000-585-1420-9"</f>
        <v>C55-000-585-1420-9</v>
      </c>
      <c r="AK1929" t="str">
        <f>"39242"</f>
        <v>39242</v>
      </c>
      <c r="AL1929">
        <v>7</v>
      </c>
      <c r="AM1929">
        <v>2203</v>
      </c>
      <c r="AN1929">
        <v>1215.05</v>
      </c>
      <c r="AQ1929" t="s">
        <v>18887</v>
      </c>
      <c r="AR1929" t="s">
        <v>18887</v>
      </c>
      <c r="AS1929" t="s">
        <v>18887</v>
      </c>
      <c r="AU1929" t="s">
        <v>396</v>
      </c>
      <c r="AV1929">
        <v>2017</v>
      </c>
      <c r="AW1929" t="str">
        <f>"00-00-30-0280-0018-0000 "</f>
        <v xml:space="preserve">00-00-30-0280-0018-0000 </v>
      </c>
      <c r="AX1929">
        <v>1450</v>
      </c>
      <c r="AZ1929" t="s">
        <v>18864</v>
      </c>
      <c r="BA1929" t="s">
        <v>496</v>
      </c>
      <c r="BD1929" t="s">
        <v>11749</v>
      </c>
      <c r="BE1929" t="s">
        <v>393</v>
      </c>
      <c r="BF1929">
        <v>32034</v>
      </c>
      <c r="BG1929" t="s">
        <v>18888</v>
      </c>
      <c r="BH1929" t="s">
        <v>11751</v>
      </c>
      <c r="BI1929">
        <v>-81.452120910222504</v>
      </c>
      <c r="BJ1929">
        <v>30.578495227498099</v>
      </c>
      <c r="BK1929" t="s">
        <v>18889</v>
      </c>
      <c r="BM1929" t="s">
        <v>18890</v>
      </c>
      <c r="BN1929" t="s">
        <v>18891</v>
      </c>
      <c r="BO1929">
        <v>33313</v>
      </c>
      <c r="BP1929" t="s">
        <v>404</v>
      </c>
      <c r="BQ1929">
        <v>100</v>
      </c>
      <c r="BR1929" t="s">
        <v>514</v>
      </c>
      <c r="BS1929">
        <v>1001</v>
      </c>
      <c r="BT1929" t="s">
        <v>515</v>
      </c>
      <c r="BW1929">
        <v>5709</v>
      </c>
      <c r="BX1929" t="s">
        <v>407</v>
      </c>
      <c r="BY1929" t="s">
        <v>7351</v>
      </c>
      <c r="BZ1929">
        <v>4</v>
      </c>
      <c r="CA1929">
        <v>1970</v>
      </c>
      <c r="CB1929">
        <v>1</v>
      </c>
      <c r="CC1929">
        <v>1</v>
      </c>
      <c r="CD1929">
        <v>2017</v>
      </c>
      <c r="CE1929">
        <v>16500</v>
      </c>
      <c r="CF1929">
        <v>54576</v>
      </c>
      <c r="CG1929">
        <v>71076</v>
      </c>
      <c r="CH1929">
        <v>2017</v>
      </c>
      <c r="CI1929">
        <v>16500</v>
      </c>
      <c r="CJ1929">
        <v>54576</v>
      </c>
      <c r="CK1929">
        <v>71076</v>
      </c>
      <c r="CL1929">
        <v>2017</v>
      </c>
      <c r="CM1929">
        <v>1093.8900000000001</v>
      </c>
      <c r="CN1929" s="1">
        <v>35191</v>
      </c>
      <c r="CZ1929" s="1">
        <v>35191</v>
      </c>
      <c r="DD1929" t="s">
        <v>11749</v>
      </c>
      <c r="DF1929">
        <v>18</v>
      </c>
      <c r="DG1929">
        <v>14</v>
      </c>
      <c r="DL1929">
        <v>50203</v>
      </c>
      <c r="DM1929" t="s">
        <v>14802</v>
      </c>
      <c r="DO1929" t="s">
        <v>18892</v>
      </c>
      <c r="DP1929">
        <v>0</v>
      </c>
      <c r="DQ1929">
        <v>3</v>
      </c>
      <c r="DR1929" t="s">
        <v>1174</v>
      </c>
      <c r="DS1929" t="b">
        <v>1</v>
      </c>
      <c r="DT1929" t="s">
        <v>470</v>
      </c>
      <c r="DU1929" t="s">
        <v>471</v>
      </c>
      <c r="DV1929" t="s">
        <v>472</v>
      </c>
      <c r="DX1929">
        <v>-9999</v>
      </c>
      <c r="DZ1929" t="s">
        <v>447</v>
      </c>
      <c r="EA1929" t="s">
        <v>448</v>
      </c>
      <c r="EB1929" t="s">
        <v>14787</v>
      </c>
      <c r="EC1929">
        <v>20101217</v>
      </c>
      <c r="ED1929" t="s">
        <v>474</v>
      </c>
      <c r="EF1929">
        <v>954.8</v>
      </c>
      <c r="EG1929">
        <v>714.9</v>
      </c>
      <c r="EI1929">
        <v>20160407</v>
      </c>
      <c r="EJ1929">
        <v>0</v>
      </c>
      <c r="EK1929">
        <v>0</v>
      </c>
      <c r="EP1929" t="s">
        <v>421</v>
      </c>
      <c r="EQ1929" t="s">
        <v>422</v>
      </c>
      <c r="ER1929">
        <v>2</v>
      </c>
      <c r="ES1929">
        <v>9</v>
      </c>
      <c r="ET1929">
        <v>2466.92</v>
      </c>
      <c r="EU1929">
        <v>135.85</v>
      </c>
      <c r="EV1929">
        <v>2602.77</v>
      </c>
      <c r="EW1929" s="2">
        <v>43222</v>
      </c>
      <c r="EX1929" s="1">
        <v>42879</v>
      </c>
      <c r="EY1929">
        <v>2016</v>
      </c>
      <c r="EZ1929">
        <v>1233.46</v>
      </c>
      <c r="FA1929" t="s">
        <v>18893</v>
      </c>
      <c r="FB1929">
        <v>0.25</v>
      </c>
      <c r="FC1929" t="s">
        <v>424</v>
      </c>
      <c r="FD1929" t="s">
        <v>454</v>
      </c>
      <c r="FF1929">
        <v>12</v>
      </c>
      <c r="FG1929">
        <v>7336671</v>
      </c>
      <c r="FH1929" t="s">
        <v>437</v>
      </c>
      <c r="FJ1929" s="1">
        <v>42879</v>
      </c>
      <c r="FK1929">
        <v>2016</v>
      </c>
      <c r="FL1929">
        <v>1233.46</v>
      </c>
      <c r="FM1929" t="s">
        <v>18893</v>
      </c>
      <c r="FN1929">
        <v>0.25</v>
      </c>
      <c r="FO1929" t="s">
        <v>424</v>
      </c>
      <c r="FP1929" t="s">
        <v>454</v>
      </c>
      <c r="FR1929">
        <v>12</v>
      </c>
      <c r="FS1929">
        <v>5125724</v>
      </c>
      <c r="FT1929" t="s">
        <v>18894</v>
      </c>
      <c r="FV1929" s="1">
        <v>42515</v>
      </c>
      <c r="FW1929">
        <v>2015</v>
      </c>
      <c r="FX1929">
        <v>1228.49</v>
      </c>
      <c r="FY1929" t="s">
        <v>18895</v>
      </c>
      <c r="FZ1929">
        <v>0.25</v>
      </c>
      <c r="GA1929" t="s">
        <v>424</v>
      </c>
      <c r="GB1929" t="s">
        <v>425</v>
      </c>
      <c r="GC1929" s="1">
        <v>43188</v>
      </c>
      <c r="GD1929">
        <v>22</v>
      </c>
      <c r="GE1929">
        <v>2851116</v>
      </c>
      <c r="GF1929" t="s">
        <v>480</v>
      </c>
      <c r="GH1929" s="1">
        <v>42515</v>
      </c>
      <c r="GI1929">
        <v>2015</v>
      </c>
      <c r="GJ1929">
        <v>1228.49</v>
      </c>
      <c r="GK1929" t="s">
        <v>18895</v>
      </c>
      <c r="GL1929">
        <v>0.25</v>
      </c>
      <c r="GM1929" t="s">
        <v>424</v>
      </c>
      <c r="GN1929" t="s">
        <v>425</v>
      </c>
      <c r="GP1929">
        <v>22</v>
      </c>
      <c r="GQ1929">
        <v>4917530</v>
      </c>
      <c r="GR1929" t="s">
        <v>18896</v>
      </c>
      <c r="GT1929" s="1">
        <v>42151</v>
      </c>
      <c r="GU1929">
        <v>2014</v>
      </c>
      <c r="GV1929">
        <v>1157.08</v>
      </c>
      <c r="GW1929" t="s">
        <v>18897</v>
      </c>
      <c r="GX1929">
        <v>0.25</v>
      </c>
      <c r="GY1929" t="s">
        <v>424</v>
      </c>
      <c r="GZ1929" t="s">
        <v>425</v>
      </c>
      <c r="HA1929" s="1">
        <v>42857</v>
      </c>
      <c r="HB1929">
        <v>24</v>
      </c>
      <c r="HC1929">
        <v>4975594</v>
      </c>
      <c r="HD1929" t="s">
        <v>457</v>
      </c>
      <c r="HF1929" s="1">
        <v>42151</v>
      </c>
      <c r="HG1929">
        <v>2014</v>
      </c>
      <c r="HH1929">
        <v>1157.08</v>
      </c>
      <c r="HI1929" t="s">
        <v>18897</v>
      </c>
      <c r="HJ1929">
        <v>0.25</v>
      </c>
      <c r="HK1929" t="s">
        <v>424</v>
      </c>
      <c r="HL1929" t="s">
        <v>425</v>
      </c>
      <c r="HN1929">
        <v>22</v>
      </c>
      <c r="HO1929">
        <v>6509525</v>
      </c>
      <c r="HP1929" t="s">
        <v>18898</v>
      </c>
      <c r="HR1929" s="1">
        <v>41787</v>
      </c>
      <c r="HS1929">
        <v>2013</v>
      </c>
      <c r="HT1929">
        <v>953.92</v>
      </c>
      <c r="HU1929" t="s">
        <v>18899</v>
      </c>
      <c r="HV1929">
        <v>0.25</v>
      </c>
      <c r="HW1929" t="s">
        <v>424</v>
      </c>
      <c r="HX1929" t="s">
        <v>425</v>
      </c>
      <c r="HY1929" s="1">
        <v>42461</v>
      </c>
      <c r="HZ1929">
        <v>23</v>
      </c>
      <c r="IA1929">
        <v>2101382</v>
      </c>
      <c r="IB1929" t="s">
        <v>993</v>
      </c>
      <c r="ID1929" s="1">
        <v>41423</v>
      </c>
      <c r="IE1929">
        <v>2012</v>
      </c>
      <c r="IF1929">
        <v>969.59</v>
      </c>
      <c r="IG1929" t="s">
        <v>18900</v>
      </c>
      <c r="IH1929">
        <v>0.25</v>
      </c>
      <c r="II1929" t="s">
        <v>424</v>
      </c>
      <c r="IJ1929" t="s">
        <v>425</v>
      </c>
      <c r="IL1929">
        <v>22</v>
      </c>
      <c r="IM1929">
        <v>11303</v>
      </c>
      <c r="IN1929" t="s">
        <v>918</v>
      </c>
      <c r="IP1929" s="1">
        <v>41423</v>
      </c>
      <c r="IQ1929">
        <v>2012</v>
      </c>
      <c r="IR1929">
        <v>969.59</v>
      </c>
      <c r="IS1929" t="s">
        <v>18900</v>
      </c>
      <c r="IT1929">
        <v>0.25</v>
      </c>
      <c r="IU1929" t="s">
        <v>424</v>
      </c>
      <c r="IV1929" t="s">
        <v>425</v>
      </c>
      <c r="IW1929" s="1">
        <v>42095</v>
      </c>
      <c r="IX1929">
        <v>23</v>
      </c>
      <c r="IY1929">
        <v>4844956</v>
      </c>
      <c r="IZ1929" t="s">
        <v>919</v>
      </c>
      <c r="JB1929" s="1">
        <v>41052</v>
      </c>
      <c r="JC1929">
        <v>2011</v>
      </c>
      <c r="JD1929">
        <v>1040.8399999999999</v>
      </c>
      <c r="JE1929" t="s">
        <v>18901</v>
      </c>
      <c r="JF1929">
        <v>10.75</v>
      </c>
      <c r="JG1929" t="s">
        <v>424</v>
      </c>
      <c r="JH1929" t="s">
        <v>425</v>
      </c>
      <c r="JI1929" s="1">
        <v>41730</v>
      </c>
      <c r="JJ1929">
        <v>23</v>
      </c>
      <c r="JK1929">
        <v>12259</v>
      </c>
      <c r="JL1929" t="s">
        <v>1032</v>
      </c>
      <c r="JN1929" s="1">
        <v>40688</v>
      </c>
      <c r="JO1929">
        <v>2010</v>
      </c>
      <c r="JP1929">
        <v>1167.3599999999999</v>
      </c>
      <c r="JQ1929" t="s">
        <v>18902</v>
      </c>
      <c r="JR1929">
        <v>4.75</v>
      </c>
      <c r="JS1929" t="s">
        <v>424</v>
      </c>
      <c r="JT1929" t="s">
        <v>425</v>
      </c>
      <c r="JU1929" s="1">
        <v>41360</v>
      </c>
      <c r="JV1929">
        <v>22</v>
      </c>
      <c r="JW1929">
        <v>11296</v>
      </c>
      <c r="JX1929" t="s">
        <v>4008</v>
      </c>
    </row>
    <row r="1930" spans="1:284" x14ac:dyDescent="0.25">
      <c r="A1930">
        <v>16486937</v>
      </c>
      <c r="B1930">
        <v>1929</v>
      </c>
      <c r="C1930" t="s">
        <v>393</v>
      </c>
      <c r="D1930" t="s">
        <v>394</v>
      </c>
      <c r="F1930" t="str">
        <f>"00-00-30-0280-0022-0000"</f>
        <v>00-00-30-0280-0022-0000</v>
      </c>
      <c r="H1930" t="str">
        <f>"YOUNG-SMITH JOYCE"</f>
        <v>YOUNG-SMITH JOYCE</v>
      </c>
      <c r="I1930" t="str">
        <f>"1916 WEST 20TH STREET"</f>
        <v>1916 WEST 20TH STREET</v>
      </c>
      <c r="J1930" t="str">
        <f>"JACKSONVILLE FL 32209"</f>
        <v>JACKSONVILLE FL 32209</v>
      </c>
      <c r="K1930" t="str">
        <f>"AVERY RD"</f>
        <v>AVERY RD</v>
      </c>
      <c r="L1930" t="str">
        <f t="shared" si="726"/>
        <v>FERNANDINA BEACH FL 32034</v>
      </c>
      <c r="M1930" t="str">
        <f>"LOTS 22 &amp; 24 IN OR 1104/933 GURNIE OAKS SUB PB 5/2"</f>
        <v>LOTS 22 &amp; 24 IN OR 1104/933 GURNIE OAKS SUB PB 5/2</v>
      </c>
      <c r="N1930" t="str">
        <f>""</f>
        <v/>
      </c>
      <c r="O1930" t="str">
        <f>"1623"</f>
        <v>1623</v>
      </c>
      <c r="P1930" t="str">
        <f t="shared" si="724"/>
        <v>2017</v>
      </c>
      <c r="Q1930" t="str">
        <f>""</f>
        <v/>
      </c>
      <c r="R1930" t="str">
        <f t="shared" si="727"/>
        <v>N</v>
      </c>
      <c r="S1930" t="str">
        <f>""</f>
        <v/>
      </c>
      <c r="T1930" t="str">
        <f>"717.92"</f>
        <v>717.92</v>
      </c>
      <c r="U1930" t="str">
        <f>"46648.00"</f>
        <v>46648.00</v>
      </c>
      <c r="V1930" t="str">
        <f>"46648.00"</f>
        <v>46648.00</v>
      </c>
      <c r="W1930" t="str">
        <f t="shared" si="725"/>
        <v>2017</v>
      </c>
      <c r="X1930" t="str">
        <f>"23.00"</f>
        <v>23.00</v>
      </c>
      <c r="Y1930" t="str">
        <f>"771.46"</f>
        <v>771.46</v>
      </c>
      <c r="Z1930" t="str">
        <f>""</f>
        <v/>
      </c>
      <c r="AA1930" t="str">
        <f>"46648.00"</f>
        <v>46648.00</v>
      </c>
      <c r="AB1930" t="str">
        <f t="shared" si="720"/>
        <v>Residential</v>
      </c>
      <c r="AC1930" t="str">
        <f t="shared" si="710"/>
        <v>0</v>
      </c>
      <c r="AD1930" t="str">
        <f>""</f>
        <v/>
      </c>
      <c r="AE1930" t="str">
        <f>""</f>
        <v/>
      </c>
      <c r="AF1930" t="str">
        <f>"000"</f>
        <v>000</v>
      </c>
      <c r="AG1930" t="str">
        <f t="shared" si="728"/>
        <v>FL</v>
      </c>
      <c r="AH1930" t="str">
        <f>"13328.00"</f>
        <v>13328.00</v>
      </c>
      <c r="AI1930" t="str">
        <f>"46648.00"</f>
        <v>46648.00</v>
      </c>
      <c r="AJ1930" t="str">
        <f>"C55-000-585-1424-1"</f>
        <v>C55-000-585-1424-1</v>
      </c>
      <c r="AK1930" t="str">
        <f>"39244"</f>
        <v>39244</v>
      </c>
      <c r="AL1930">
        <v>7</v>
      </c>
      <c r="AM1930">
        <v>2204</v>
      </c>
      <c r="AN1930">
        <v>808.43</v>
      </c>
      <c r="AQ1930" t="s">
        <v>18903</v>
      </c>
      <c r="AR1930" t="s">
        <v>18903</v>
      </c>
      <c r="AS1930" t="s">
        <v>18903</v>
      </c>
      <c r="AU1930" t="s">
        <v>396</v>
      </c>
      <c r="AV1930">
        <v>2017</v>
      </c>
      <c r="AW1930" t="str">
        <f>"00-00-30-0280-0022-0000 "</f>
        <v xml:space="preserve">00-00-30-0280-0022-0000 </v>
      </c>
      <c r="AZ1930" t="s">
        <v>18864</v>
      </c>
      <c r="BA1930" t="s">
        <v>496</v>
      </c>
      <c r="BD1930" t="s">
        <v>11749</v>
      </c>
      <c r="BE1930" t="s">
        <v>393</v>
      </c>
      <c r="BF1930">
        <v>32034</v>
      </c>
      <c r="BG1930" t="s">
        <v>18865</v>
      </c>
      <c r="BH1930" t="s">
        <v>11751</v>
      </c>
      <c r="BI1930">
        <v>-81.452911985655305</v>
      </c>
      <c r="BJ1930">
        <v>30.5784451506605</v>
      </c>
      <c r="BK1930" t="s">
        <v>18904</v>
      </c>
      <c r="BM1930" t="s">
        <v>18905</v>
      </c>
      <c r="BN1930" t="s">
        <v>548</v>
      </c>
      <c r="BO1930">
        <v>32209</v>
      </c>
      <c r="BP1930" t="s">
        <v>404</v>
      </c>
      <c r="BQ1930">
        <v>0</v>
      </c>
      <c r="BR1930" t="s">
        <v>491</v>
      </c>
      <c r="BS1930">
        <v>8001</v>
      </c>
      <c r="BT1930" t="s">
        <v>492</v>
      </c>
      <c r="BW1930">
        <v>13329</v>
      </c>
      <c r="BX1930" t="s">
        <v>407</v>
      </c>
      <c r="BY1930" t="s">
        <v>7351</v>
      </c>
      <c r="CD1930">
        <v>2017</v>
      </c>
      <c r="CE1930">
        <v>46648</v>
      </c>
      <c r="CG1930">
        <v>46648</v>
      </c>
      <c r="CH1930">
        <v>2017</v>
      </c>
      <c r="CI1930">
        <v>46648</v>
      </c>
      <c r="CK1930">
        <v>46648</v>
      </c>
      <c r="CL1930">
        <v>2017</v>
      </c>
      <c r="CM1930">
        <v>717.92</v>
      </c>
      <c r="CN1930" s="1">
        <v>37621</v>
      </c>
      <c r="CO1930">
        <v>30000</v>
      </c>
      <c r="CV1930">
        <v>26000</v>
      </c>
      <c r="CX1930" t="s">
        <v>707</v>
      </c>
      <c r="CZ1930" s="1">
        <v>37621</v>
      </c>
      <c r="DA1930">
        <v>0</v>
      </c>
      <c r="DD1930" t="s">
        <v>11749</v>
      </c>
      <c r="DG1930">
        <v>14</v>
      </c>
      <c r="DJ1930" t="s">
        <v>18869</v>
      </c>
      <c r="DL1930">
        <v>50203</v>
      </c>
      <c r="DM1930" t="s">
        <v>14802</v>
      </c>
      <c r="DO1930" t="s">
        <v>18906</v>
      </c>
      <c r="DP1930">
        <v>0</v>
      </c>
      <c r="DQ1930">
        <v>4</v>
      </c>
      <c r="DR1930" t="s">
        <v>1174</v>
      </c>
      <c r="DS1930" t="b">
        <v>1</v>
      </c>
      <c r="DT1930" t="s">
        <v>470</v>
      </c>
      <c r="DU1930" t="s">
        <v>471</v>
      </c>
      <c r="DV1930" t="s">
        <v>472</v>
      </c>
      <c r="DX1930">
        <v>-9999</v>
      </c>
      <c r="DZ1930" t="s">
        <v>447</v>
      </c>
      <c r="EA1930" t="s">
        <v>448</v>
      </c>
      <c r="EB1930" t="s">
        <v>14787</v>
      </c>
      <c r="EC1930">
        <v>20101217</v>
      </c>
      <c r="ED1930" t="s">
        <v>474</v>
      </c>
      <c r="EF1930">
        <v>725.6</v>
      </c>
      <c r="EG1930">
        <v>508</v>
      </c>
      <c r="EI1930">
        <v>20160407</v>
      </c>
      <c r="EJ1930">
        <v>0</v>
      </c>
      <c r="EK1930">
        <v>0</v>
      </c>
      <c r="EP1930" t="s">
        <v>421</v>
      </c>
      <c r="EQ1930" t="s">
        <v>452</v>
      </c>
      <c r="ER1930">
        <v>1</v>
      </c>
      <c r="ES1930">
        <v>5</v>
      </c>
      <c r="ET1930">
        <v>814.61</v>
      </c>
      <c r="EU1930">
        <v>51.05</v>
      </c>
      <c r="EV1930">
        <v>865.66</v>
      </c>
      <c r="EW1930" s="2">
        <v>43222</v>
      </c>
      <c r="EX1930" s="1">
        <v>42879</v>
      </c>
      <c r="EY1930">
        <v>2016</v>
      </c>
      <c r="EZ1930">
        <v>814.61</v>
      </c>
      <c r="FA1930" t="s">
        <v>18907</v>
      </c>
      <c r="FB1930">
        <v>5.5</v>
      </c>
      <c r="FC1930" t="s">
        <v>424</v>
      </c>
      <c r="FD1930" t="s">
        <v>454</v>
      </c>
      <c r="FF1930">
        <v>12</v>
      </c>
      <c r="FG1930">
        <v>5100525</v>
      </c>
      <c r="FH1930" t="s">
        <v>6804</v>
      </c>
      <c r="FJ1930" s="1">
        <v>42515</v>
      </c>
      <c r="FK1930">
        <v>2015</v>
      </c>
      <c r="FL1930">
        <v>822.68</v>
      </c>
      <c r="FM1930" t="s">
        <v>18908</v>
      </c>
      <c r="FN1930">
        <v>0.25</v>
      </c>
      <c r="FO1930" t="s">
        <v>424</v>
      </c>
      <c r="FP1930" t="s">
        <v>425</v>
      </c>
      <c r="FQ1930" s="1">
        <v>43192</v>
      </c>
      <c r="FR1930">
        <v>23</v>
      </c>
      <c r="FS1930">
        <v>2035919</v>
      </c>
      <c r="FT1930" t="s">
        <v>507</v>
      </c>
      <c r="FV1930" s="1">
        <v>41787</v>
      </c>
      <c r="FW1930">
        <v>2013</v>
      </c>
      <c r="FX1930">
        <v>784.07</v>
      </c>
      <c r="FY1930" t="s">
        <v>18909</v>
      </c>
      <c r="FZ1930">
        <v>0.25</v>
      </c>
      <c r="GA1930" t="s">
        <v>424</v>
      </c>
      <c r="GB1930" t="s">
        <v>425</v>
      </c>
      <c r="GC1930" s="1">
        <v>42096</v>
      </c>
      <c r="GD1930">
        <v>11</v>
      </c>
      <c r="GE1930">
        <v>2407503</v>
      </c>
      <c r="GF1930" t="s">
        <v>461</v>
      </c>
      <c r="GG1930" t="s">
        <v>458</v>
      </c>
      <c r="GH1930" s="1">
        <v>41423</v>
      </c>
      <c r="GI1930">
        <v>2012</v>
      </c>
      <c r="GJ1930">
        <v>793.4</v>
      </c>
      <c r="GK1930" t="s">
        <v>18910</v>
      </c>
      <c r="GL1930">
        <v>0.25</v>
      </c>
      <c r="GM1930" t="s">
        <v>424</v>
      </c>
      <c r="GN1930" t="s">
        <v>425</v>
      </c>
      <c r="GP1930">
        <v>22</v>
      </c>
      <c r="GQ1930">
        <v>1625549</v>
      </c>
      <c r="GR1930" t="s">
        <v>7607</v>
      </c>
      <c r="GS1930" t="s">
        <v>458</v>
      </c>
      <c r="GT1930" s="1">
        <v>41052</v>
      </c>
      <c r="GU1930">
        <v>2011</v>
      </c>
      <c r="GV1930">
        <v>798.36</v>
      </c>
      <c r="GW1930" t="s">
        <v>18911</v>
      </c>
      <c r="GX1930">
        <v>9</v>
      </c>
      <c r="GY1930" t="s">
        <v>424</v>
      </c>
      <c r="GZ1930" t="s">
        <v>425</v>
      </c>
      <c r="HA1930" s="1">
        <v>42059</v>
      </c>
      <c r="HB1930">
        <v>33</v>
      </c>
      <c r="HC1930">
        <v>12259</v>
      </c>
      <c r="HD1930" t="s">
        <v>1032</v>
      </c>
      <c r="HF1930" s="1">
        <v>40688</v>
      </c>
      <c r="HG1930">
        <v>2010</v>
      </c>
      <c r="HH1930">
        <v>797.29</v>
      </c>
      <c r="HI1930" t="s">
        <v>18912</v>
      </c>
      <c r="HJ1930">
        <v>6.75</v>
      </c>
      <c r="HK1930" t="s">
        <v>424</v>
      </c>
      <c r="HL1930" t="s">
        <v>425</v>
      </c>
      <c r="HM1930" s="1">
        <v>41417</v>
      </c>
      <c r="HN1930">
        <v>24</v>
      </c>
      <c r="HO1930">
        <v>10579</v>
      </c>
      <c r="HP1930" t="s">
        <v>488</v>
      </c>
    </row>
    <row r="1931" spans="1:284" x14ac:dyDescent="0.25">
      <c r="A1931">
        <v>16486938</v>
      </c>
      <c r="B1931">
        <v>1930</v>
      </c>
      <c r="C1931" t="s">
        <v>393</v>
      </c>
      <c r="D1931" t="s">
        <v>394</v>
      </c>
      <c r="F1931" t="str">
        <f>"00-00-30-028V-0003-03B0"</f>
        <v>00-00-30-028V-0003-03B0</v>
      </c>
      <c r="H1931" t="str">
        <f>"CALDWELL SARAH A"</f>
        <v>CALDWELL SARAH A</v>
      </c>
      <c r="I1931" t="str">
        <f>"95024 BARCLAY PL UNIT 3"</f>
        <v>95024 BARCLAY PL UNIT 3</v>
      </c>
      <c r="J1931" t="str">
        <f>"FERNANDINA BEACH FL 32034"</f>
        <v>FERNANDINA BEACH FL 32034</v>
      </c>
      <c r="K1931" t="str">
        <f>"95024 BARCLAY PL 3B"</f>
        <v>95024 BARCLAY PL 3B</v>
      </c>
      <c r="L1931" t="str">
        <f t="shared" si="726"/>
        <v>FERNANDINA BEACH FL 32034</v>
      </c>
      <c r="M1931" t="str">
        <f>"BLDG 3 UNIT 3B IN OR 1633/1992 HARRISON COVE VILLAS OR 1370/1244"</f>
        <v>BLDG 3 UNIT 3B IN OR 1633/1992 HARRISON COVE VILLAS OR 1370/1244</v>
      </c>
      <c r="N1931" t="str">
        <f>""</f>
        <v/>
      </c>
      <c r="O1931" t="str">
        <f>"1684"</f>
        <v>1684</v>
      </c>
      <c r="P1931" t="str">
        <f t="shared" si="724"/>
        <v>2017</v>
      </c>
      <c r="Q1931" t="str">
        <f>""</f>
        <v/>
      </c>
      <c r="R1931" t="str">
        <f>"Y"</f>
        <v>Y</v>
      </c>
      <c r="S1931" t="str">
        <f>""</f>
        <v/>
      </c>
      <c r="T1931" t="str">
        <f>"2436.11"</f>
        <v>2436.11</v>
      </c>
      <c r="U1931" t="str">
        <f>"224659.00"</f>
        <v>224659.00</v>
      </c>
      <c r="V1931" t="str">
        <f>"224659.00"</f>
        <v>224659.00</v>
      </c>
      <c r="W1931" t="str">
        <f t="shared" si="725"/>
        <v>2017</v>
      </c>
      <c r="X1931" t="str">
        <f>""</f>
        <v/>
      </c>
      <c r="Y1931" t="str">
        <f>"2541.19"</f>
        <v>2541.19</v>
      </c>
      <c r="Z1931" t="str">
        <f>"25000.00"</f>
        <v>25000.00</v>
      </c>
      <c r="AA1931" t="str">
        <f>"199659.00"</f>
        <v>199659.00</v>
      </c>
      <c r="AB1931" t="str">
        <f t="shared" si="720"/>
        <v>Residential</v>
      </c>
      <c r="AC1931" t="str">
        <f t="shared" si="710"/>
        <v>0</v>
      </c>
      <c r="AD1931" t="str">
        <f>""</f>
        <v/>
      </c>
      <c r="AE1931" t="str">
        <f>""</f>
        <v/>
      </c>
      <c r="AF1931" t="str">
        <f>"004"</f>
        <v>004</v>
      </c>
      <c r="AG1931" t="str">
        <f t="shared" si="728"/>
        <v>FL</v>
      </c>
      <c r="AH1931" t="str">
        <f>"-"</f>
        <v>-</v>
      </c>
      <c r="AI1931" t="str">
        <f>"-"</f>
        <v>-</v>
      </c>
      <c r="AJ1931" t="str">
        <f>"C55-000-589-2325-1"</f>
        <v>C55-000-589-2325-1</v>
      </c>
      <c r="AK1931" t="str">
        <f>"39205"</f>
        <v>39205</v>
      </c>
      <c r="AL1931">
        <v>7</v>
      </c>
      <c r="AM1931">
        <v>2205</v>
      </c>
      <c r="AN1931">
        <v>2666.65</v>
      </c>
      <c r="AQ1931" t="s">
        <v>18913</v>
      </c>
      <c r="AR1931" t="s">
        <v>18913</v>
      </c>
      <c r="AS1931" t="s">
        <v>18913</v>
      </c>
      <c r="AU1931" t="s">
        <v>396</v>
      </c>
      <c r="AV1931">
        <v>2017</v>
      </c>
      <c r="AW1931" t="str">
        <f>"00-00-30-028V-0003-03B0 "</f>
        <v xml:space="preserve">00-00-30-028V-0003-03B0 </v>
      </c>
      <c r="AX1931">
        <v>95024</v>
      </c>
      <c r="AZ1931" t="s">
        <v>18914</v>
      </c>
      <c r="BA1931" t="s">
        <v>641</v>
      </c>
      <c r="BC1931" t="s">
        <v>18915</v>
      </c>
      <c r="BD1931" t="s">
        <v>11749</v>
      </c>
      <c r="BE1931" t="s">
        <v>393</v>
      </c>
      <c r="BF1931">
        <v>32034</v>
      </c>
      <c r="BG1931" t="s">
        <v>18916</v>
      </c>
      <c r="BH1931" t="s">
        <v>11751</v>
      </c>
      <c r="BI1931">
        <v>-81.454839077286394</v>
      </c>
      <c r="BJ1931">
        <v>30.5753963533279</v>
      </c>
      <c r="BK1931" t="s">
        <v>18917</v>
      </c>
      <c r="BM1931" t="s">
        <v>18918</v>
      </c>
      <c r="BN1931" t="s">
        <v>3983</v>
      </c>
      <c r="BO1931">
        <v>32034</v>
      </c>
      <c r="BP1931" t="s">
        <v>404</v>
      </c>
      <c r="BQ1931">
        <v>400</v>
      </c>
      <c r="BR1931" t="s">
        <v>15097</v>
      </c>
      <c r="BS1931">
        <v>1004</v>
      </c>
      <c r="BT1931" t="s">
        <v>15098</v>
      </c>
      <c r="BW1931">
        <v>134953</v>
      </c>
      <c r="BX1931" t="s">
        <v>407</v>
      </c>
      <c r="CA1931">
        <v>2005</v>
      </c>
      <c r="CC1931">
        <v>1</v>
      </c>
      <c r="CD1931">
        <v>2017</v>
      </c>
      <c r="CG1931">
        <v>224659</v>
      </c>
      <c r="CH1931">
        <v>2017</v>
      </c>
      <c r="CJ1931">
        <v>261000</v>
      </c>
      <c r="CK1931">
        <v>261000</v>
      </c>
      <c r="CL1931">
        <v>2017</v>
      </c>
      <c r="CM1931">
        <v>2436.11</v>
      </c>
      <c r="CN1931" s="1">
        <v>40032</v>
      </c>
      <c r="CO1931">
        <v>300000</v>
      </c>
      <c r="CV1931">
        <v>0</v>
      </c>
      <c r="CZ1931" s="1">
        <v>40032</v>
      </c>
      <c r="DA1931">
        <v>0</v>
      </c>
      <c r="DD1931" t="s">
        <v>11749</v>
      </c>
      <c r="DG1931">
        <v>18</v>
      </c>
      <c r="DI1931" t="s">
        <v>18915</v>
      </c>
      <c r="DJ1931" t="s">
        <v>18919</v>
      </c>
      <c r="DL1931">
        <v>50203</v>
      </c>
      <c r="DM1931" t="s">
        <v>18415</v>
      </c>
      <c r="DO1931" t="s">
        <v>18920</v>
      </c>
      <c r="DP1931">
        <v>0</v>
      </c>
      <c r="DQ1931">
        <v>3</v>
      </c>
      <c r="DR1931" t="s">
        <v>411</v>
      </c>
    </row>
    <row r="1932" spans="1:284" x14ac:dyDescent="0.25">
      <c r="A1932">
        <v>16486939</v>
      </c>
      <c r="B1932">
        <v>1931</v>
      </c>
      <c r="C1932" t="s">
        <v>393</v>
      </c>
      <c r="D1932" t="s">
        <v>394</v>
      </c>
      <c r="F1932" t="str">
        <f>"00-00-30-0290-0001-0020"</f>
        <v>00-00-30-0290-0001-0020</v>
      </c>
      <c r="H1932" t="str">
        <f>"RUSS LISA VALERIE &amp; KINDT CHARLES &amp; DALE S (T/I/C)"</f>
        <v>RUSS LISA VALERIE &amp; KINDT CHARLES &amp; DALE S (T/I/C)</v>
      </c>
      <c r="I1932" t="str">
        <f>"85057 MINER RD"</f>
        <v>85057 MINER RD</v>
      </c>
      <c r="J1932" t="str">
        <f>"YULEE FL 32097"</f>
        <v>YULEE FL 32097</v>
      </c>
      <c r="K1932" t="str">
        <f>"2622 BAILEY RD"</f>
        <v>2622 BAILEY RD</v>
      </c>
      <c r="L1932" t="str">
        <f t="shared" si="726"/>
        <v>FERNANDINA BEACH FL 32034</v>
      </c>
      <c r="M1932" t="str">
        <f>"SLY 95 FT OF LOTS 1 &amp; 2 PT OR 966/500 RP 2253 &amp; 2254 HIGHWAY ESTATES PB 3/9"</f>
        <v>SLY 95 FT OF LOTS 1 &amp; 2 PT OR 966/500 RP 2253 &amp; 2254 HIGHWAY ESTATES PB 3/9</v>
      </c>
      <c r="N1932" t="str">
        <f>""</f>
        <v/>
      </c>
      <c r="O1932" t="str">
        <f>"1706"</f>
        <v>1706</v>
      </c>
      <c r="P1932" t="str">
        <f t="shared" si="724"/>
        <v>2017</v>
      </c>
      <c r="Q1932" t="str">
        <f>""</f>
        <v/>
      </c>
      <c r="R1932" t="str">
        <f>"N"</f>
        <v>N</v>
      </c>
      <c r="S1932" t="str">
        <f>""</f>
        <v/>
      </c>
      <c r="T1932" t="str">
        <f>"1114.30"</f>
        <v>1114.30</v>
      </c>
      <c r="U1932" t="str">
        <f>"72403.00"</f>
        <v>72403.00</v>
      </c>
      <c r="V1932" t="str">
        <f>"72403.00"</f>
        <v>72403.00</v>
      </c>
      <c r="W1932" t="str">
        <f t="shared" si="725"/>
        <v>2017</v>
      </c>
      <c r="X1932" t="str">
        <f>"20.55"</f>
        <v>20.55</v>
      </c>
      <c r="Y1932" t="str">
        <f>"1179.73"</f>
        <v>1179.73</v>
      </c>
      <c r="Z1932" t="str">
        <f>""</f>
        <v/>
      </c>
      <c r="AA1932" t="str">
        <f>"72403.00"</f>
        <v>72403.00</v>
      </c>
      <c r="AB1932" t="str">
        <f t="shared" si="720"/>
        <v>Residential</v>
      </c>
      <c r="AC1932" t="str">
        <f t="shared" si="710"/>
        <v>0</v>
      </c>
      <c r="AD1932" t="str">
        <f>"4"</f>
        <v>4</v>
      </c>
      <c r="AE1932" t="str">
        <f>"WOOD (INCLUDE STEEL STUDS)"</f>
        <v>WOOD (INCLUDE STEEL STUDS)</v>
      </c>
      <c r="AF1932" t="str">
        <f>"002"</f>
        <v>002</v>
      </c>
      <c r="AG1932" t="str">
        <f t="shared" si="728"/>
        <v>FL</v>
      </c>
      <c r="AH1932" t="str">
        <f>"13965.00"</f>
        <v>13965.00</v>
      </c>
      <c r="AI1932" t="str">
        <f>"58653.00"</f>
        <v>58653.00</v>
      </c>
      <c r="AJ1932" t="str">
        <f>"C55-000-585-1465-4"</f>
        <v>C55-000-585-1465-4</v>
      </c>
      <c r="AK1932" t="str">
        <f>"39285"</f>
        <v>39285</v>
      </c>
      <c r="AL1932">
        <v>7</v>
      </c>
      <c r="AM1932">
        <v>2206</v>
      </c>
      <c r="AN1932">
        <v>1237.1199999999999</v>
      </c>
      <c r="AQ1932" t="s">
        <v>18921</v>
      </c>
      <c r="AR1932" t="s">
        <v>18921</v>
      </c>
      <c r="AS1932" t="s">
        <v>18921</v>
      </c>
      <c r="AU1932" t="s">
        <v>396</v>
      </c>
      <c r="AV1932">
        <v>2017</v>
      </c>
      <c r="AW1932" t="str">
        <f>"00-00-30-0290-0001-0020 "</f>
        <v xml:space="preserve">00-00-30-0290-0001-0020 </v>
      </c>
      <c r="AX1932">
        <v>2622</v>
      </c>
      <c r="AZ1932" t="s">
        <v>18922</v>
      </c>
      <c r="BA1932" t="s">
        <v>496</v>
      </c>
      <c r="BD1932" t="s">
        <v>11749</v>
      </c>
      <c r="BE1932" t="s">
        <v>393</v>
      </c>
      <c r="BF1932">
        <v>32034</v>
      </c>
      <c r="BG1932" t="s">
        <v>18923</v>
      </c>
      <c r="BH1932" t="s">
        <v>11751</v>
      </c>
      <c r="BI1932">
        <v>-81.465759318489305</v>
      </c>
      <c r="BJ1932">
        <v>30.631316103961002</v>
      </c>
      <c r="BK1932" t="s">
        <v>14744</v>
      </c>
      <c r="BM1932" t="s">
        <v>14745</v>
      </c>
      <c r="BN1932" t="s">
        <v>1778</v>
      </c>
      <c r="BO1932">
        <v>32097</v>
      </c>
      <c r="BP1932" t="s">
        <v>404</v>
      </c>
      <c r="BQ1932">
        <v>200</v>
      </c>
      <c r="BR1932" t="s">
        <v>405</v>
      </c>
      <c r="BS1932">
        <v>1006</v>
      </c>
      <c r="BT1932" t="s">
        <v>406</v>
      </c>
      <c r="BW1932">
        <v>15681</v>
      </c>
      <c r="BX1932" t="s">
        <v>407</v>
      </c>
      <c r="BY1932" t="s">
        <v>2221</v>
      </c>
      <c r="BZ1932">
        <v>4</v>
      </c>
      <c r="CA1932">
        <v>1977</v>
      </c>
      <c r="CB1932">
        <v>1</v>
      </c>
      <c r="CC1932">
        <v>1</v>
      </c>
      <c r="CD1932">
        <v>2017</v>
      </c>
      <c r="CE1932">
        <v>58653</v>
      </c>
      <c r="CF1932">
        <v>13750</v>
      </c>
      <c r="CG1932">
        <v>72403</v>
      </c>
      <c r="CH1932">
        <v>2017</v>
      </c>
      <c r="CI1932">
        <v>58653</v>
      </c>
      <c r="CJ1932">
        <v>13750</v>
      </c>
      <c r="CK1932">
        <v>72403</v>
      </c>
      <c r="CL1932">
        <v>2017</v>
      </c>
      <c r="CM1932">
        <v>1114.3</v>
      </c>
      <c r="CN1932" s="1">
        <v>36902</v>
      </c>
      <c r="CZ1932" s="1">
        <v>36902</v>
      </c>
      <c r="DD1932" t="s">
        <v>11749</v>
      </c>
      <c r="DG1932">
        <v>5</v>
      </c>
      <c r="DL1932">
        <v>50202</v>
      </c>
      <c r="DM1932" t="s">
        <v>18842</v>
      </c>
      <c r="DO1932" t="s">
        <v>18924</v>
      </c>
      <c r="DP1932">
        <v>0</v>
      </c>
      <c r="DQ1932">
        <v>0</v>
      </c>
      <c r="DR1932" t="s">
        <v>411</v>
      </c>
      <c r="DS1932" t="b">
        <v>1</v>
      </c>
      <c r="DT1932" t="s">
        <v>470</v>
      </c>
      <c r="DU1932" t="s">
        <v>10249</v>
      </c>
      <c r="DV1932" t="s">
        <v>472</v>
      </c>
      <c r="DX1932">
        <v>-9999</v>
      </c>
      <c r="DZ1932" t="s">
        <v>447</v>
      </c>
      <c r="EA1932" t="s">
        <v>448</v>
      </c>
      <c r="EB1932" t="s">
        <v>15609</v>
      </c>
      <c r="EC1932">
        <v>20101217</v>
      </c>
      <c r="ED1932" t="s">
        <v>10251</v>
      </c>
      <c r="EE1932">
        <v>5</v>
      </c>
      <c r="EF1932">
        <v>384.7</v>
      </c>
      <c r="EG1932">
        <v>0</v>
      </c>
      <c r="EI1932">
        <v>20160407</v>
      </c>
      <c r="EJ1932">
        <v>0</v>
      </c>
      <c r="EK1932">
        <v>0</v>
      </c>
      <c r="EP1932" t="s">
        <v>421</v>
      </c>
      <c r="EQ1932" t="s">
        <v>422</v>
      </c>
      <c r="ER1932">
        <v>2</v>
      </c>
      <c r="ES1932">
        <v>7</v>
      </c>
      <c r="ET1932">
        <v>2587.6799999999998</v>
      </c>
      <c r="EU1932">
        <v>141.88</v>
      </c>
      <c r="EV1932">
        <v>2729.56</v>
      </c>
      <c r="EW1932" s="2">
        <v>43222</v>
      </c>
      <c r="EX1932" s="1">
        <v>42879</v>
      </c>
      <c r="EY1932">
        <v>2016</v>
      </c>
      <c r="EZ1932">
        <v>1293.8399999999999</v>
      </c>
      <c r="FA1932" t="s">
        <v>18925</v>
      </c>
      <c r="FB1932">
        <v>0.25</v>
      </c>
      <c r="FC1932" t="s">
        <v>424</v>
      </c>
      <c r="FD1932" t="s">
        <v>454</v>
      </c>
      <c r="FF1932">
        <v>12</v>
      </c>
      <c r="FG1932">
        <v>2851116</v>
      </c>
      <c r="FH1932" t="s">
        <v>480</v>
      </c>
      <c r="FJ1932" s="1">
        <v>42879</v>
      </c>
      <c r="FK1932">
        <v>2016</v>
      </c>
      <c r="FL1932">
        <v>1293.8399999999999</v>
      </c>
      <c r="FM1932" t="s">
        <v>18925</v>
      </c>
      <c r="FN1932">
        <v>0.25</v>
      </c>
      <c r="FO1932" t="s">
        <v>424</v>
      </c>
      <c r="FP1932" t="s">
        <v>454</v>
      </c>
      <c r="FR1932">
        <v>12</v>
      </c>
      <c r="FS1932">
        <v>4891825</v>
      </c>
      <c r="FT1932" t="s">
        <v>18926</v>
      </c>
      <c r="FV1932" s="1">
        <v>42515</v>
      </c>
      <c r="FW1932">
        <v>2015</v>
      </c>
      <c r="FX1932">
        <v>1321.52</v>
      </c>
      <c r="FY1932" t="s">
        <v>18927</v>
      </c>
      <c r="FZ1932">
        <v>0.25</v>
      </c>
      <c r="GA1932" t="s">
        <v>424</v>
      </c>
      <c r="GB1932" t="s">
        <v>425</v>
      </c>
      <c r="GC1932" s="1">
        <v>43188</v>
      </c>
      <c r="GD1932">
        <v>22</v>
      </c>
      <c r="GE1932">
        <v>2851116</v>
      </c>
      <c r="GF1932" t="s">
        <v>480</v>
      </c>
      <c r="GH1932" s="1">
        <v>42515</v>
      </c>
      <c r="GI1932">
        <v>2015</v>
      </c>
      <c r="GJ1932">
        <v>1321.52</v>
      </c>
      <c r="GK1932" t="s">
        <v>18927</v>
      </c>
      <c r="GL1932">
        <v>0.25</v>
      </c>
      <c r="GM1932" t="s">
        <v>424</v>
      </c>
      <c r="GN1932" t="s">
        <v>425</v>
      </c>
      <c r="GP1932">
        <v>22</v>
      </c>
      <c r="GQ1932">
        <v>5745240</v>
      </c>
      <c r="GR1932" t="s">
        <v>18928</v>
      </c>
      <c r="GT1932" s="1">
        <v>42151</v>
      </c>
      <c r="GU1932">
        <v>2014</v>
      </c>
      <c r="GV1932">
        <v>1345.18</v>
      </c>
      <c r="GW1932" t="s">
        <v>18929</v>
      </c>
      <c r="GX1932">
        <v>0.25</v>
      </c>
      <c r="GY1932" t="s">
        <v>424</v>
      </c>
      <c r="GZ1932" t="s">
        <v>425</v>
      </c>
      <c r="HA1932" s="1">
        <v>42818</v>
      </c>
      <c r="HB1932">
        <v>22</v>
      </c>
      <c r="HC1932">
        <v>2851116</v>
      </c>
      <c r="HD1932" t="s">
        <v>480</v>
      </c>
      <c r="HF1932" s="1">
        <v>42151</v>
      </c>
      <c r="HG1932">
        <v>2014</v>
      </c>
      <c r="HH1932">
        <v>1345.18</v>
      </c>
      <c r="HI1932" t="s">
        <v>18929</v>
      </c>
      <c r="HJ1932">
        <v>0.25</v>
      </c>
      <c r="HK1932" t="s">
        <v>424</v>
      </c>
      <c r="HL1932" t="s">
        <v>425</v>
      </c>
      <c r="HN1932">
        <v>22</v>
      </c>
      <c r="HO1932">
        <v>4896521</v>
      </c>
      <c r="HP1932" t="s">
        <v>18930</v>
      </c>
      <c r="HR1932" s="1">
        <v>41787</v>
      </c>
      <c r="HS1932">
        <v>2013</v>
      </c>
      <c r="HT1932">
        <v>1348.33</v>
      </c>
      <c r="HU1932" t="s">
        <v>18931</v>
      </c>
      <c r="HV1932">
        <v>0.25</v>
      </c>
      <c r="HW1932" t="s">
        <v>424</v>
      </c>
      <c r="HX1932" t="s">
        <v>425</v>
      </c>
      <c r="HY1932" s="1">
        <v>42150</v>
      </c>
      <c r="HZ1932">
        <v>12</v>
      </c>
      <c r="IA1932">
        <v>2851116</v>
      </c>
      <c r="IB1932" t="s">
        <v>480</v>
      </c>
      <c r="ID1932" s="1">
        <v>41423</v>
      </c>
      <c r="IE1932">
        <v>2012</v>
      </c>
      <c r="IF1932">
        <v>1367.53</v>
      </c>
      <c r="IG1932" t="s">
        <v>18932</v>
      </c>
      <c r="IH1932">
        <v>0.25</v>
      </c>
      <c r="II1932" t="s">
        <v>424</v>
      </c>
      <c r="IJ1932" t="s">
        <v>425</v>
      </c>
      <c r="IK1932" s="1">
        <v>41768</v>
      </c>
      <c r="IL1932">
        <v>12</v>
      </c>
      <c r="IM1932">
        <v>606981</v>
      </c>
      <c r="IN1932" t="s">
        <v>792</v>
      </c>
      <c r="IP1932" s="1">
        <v>41052</v>
      </c>
      <c r="IQ1932">
        <v>2011</v>
      </c>
      <c r="IR1932">
        <v>1411.11</v>
      </c>
      <c r="IS1932" t="s">
        <v>18933</v>
      </c>
      <c r="IT1932">
        <v>7.25</v>
      </c>
      <c r="IU1932" t="s">
        <v>424</v>
      </c>
      <c r="IV1932" t="s">
        <v>425</v>
      </c>
      <c r="IW1932" s="1">
        <v>41697</v>
      </c>
      <c r="IX1932">
        <v>21</v>
      </c>
      <c r="IY1932">
        <v>116</v>
      </c>
      <c r="IZ1932" t="s">
        <v>509</v>
      </c>
    </row>
    <row r="1933" spans="1:284" x14ac:dyDescent="0.25">
      <c r="A1933">
        <v>16486940</v>
      </c>
      <c r="B1933">
        <v>1932</v>
      </c>
      <c r="C1933" t="s">
        <v>393</v>
      </c>
      <c r="D1933" t="s">
        <v>394</v>
      </c>
      <c r="F1933" t="str">
        <f>"00-00-30-031B-0011-0000"</f>
        <v>00-00-30-031B-0011-0000</v>
      </c>
      <c r="H1933" t="str">
        <f>"HILL ERNEST R SR TRUSTEE ERNEST R HILL SR LIVING TRUST"</f>
        <v>HILL ERNEST R SR TRUSTEE ERNEST R HILL SR LIVING TRUST</v>
      </c>
      <c r="I1933" t="str">
        <f>"1726 BLUE HERON LANE"</f>
        <v>1726 BLUE HERON LANE</v>
      </c>
      <c r="J1933" t="str">
        <f t="shared" ref="J1933:J1941" si="729">"FERNANDINA BEACH FL 32034"</f>
        <v>FERNANDINA BEACH FL 32034</v>
      </c>
      <c r="K1933" t="str">
        <f>"1726 BLUE HERON LN"</f>
        <v>1726 BLUE HERON LN</v>
      </c>
      <c r="L1933" t="str">
        <f t="shared" si="726"/>
        <v>FERNANDINA BEACH FL 32034</v>
      </c>
      <c r="M1933" t="str">
        <f>"LOT 11 IN OR 1517/129 ISLAND BLUFF SUB PB 5/92"</f>
        <v>LOT 11 IN OR 1517/129 ISLAND BLUFF SUB PB 5/92</v>
      </c>
      <c r="N1933" t="str">
        <f>""</f>
        <v/>
      </c>
      <c r="O1933" t="str">
        <f>"1870"</f>
        <v>1870</v>
      </c>
      <c r="P1933" t="str">
        <f t="shared" si="724"/>
        <v>2017</v>
      </c>
      <c r="Q1933" t="str">
        <f>""</f>
        <v/>
      </c>
      <c r="R1933" t="str">
        <f>"Y"</f>
        <v>Y</v>
      </c>
      <c r="S1933" t="str">
        <f>""</f>
        <v/>
      </c>
      <c r="T1933" t="str">
        <f>"765.93"</f>
        <v>765.93</v>
      </c>
      <c r="U1933" t="str">
        <f>"89048.00"</f>
        <v>89048.00</v>
      </c>
      <c r="V1933" t="str">
        <f>"89048.00"</f>
        <v>89048.00</v>
      </c>
      <c r="W1933" t="str">
        <f t="shared" si="725"/>
        <v>2017</v>
      </c>
      <c r="X1933" t="str">
        <f>"6.50"</f>
        <v>6.50</v>
      </c>
      <c r="Y1933" t="str">
        <f>"820.91"</f>
        <v>820.91</v>
      </c>
      <c r="Z1933" t="str">
        <f>"25000.00"</f>
        <v>25000.00</v>
      </c>
      <c r="AA1933" t="str">
        <f>"64048.00"</f>
        <v>64048.00</v>
      </c>
      <c r="AB1933" t="str">
        <f t="shared" si="720"/>
        <v>Residential</v>
      </c>
      <c r="AC1933" t="str">
        <f t="shared" si="710"/>
        <v>0</v>
      </c>
      <c r="AD1933" t="str">
        <f>"4"</f>
        <v>4</v>
      </c>
      <c r="AE1933" t="str">
        <f>"WOOD (INCLUDE STEEL STUDS)"</f>
        <v>WOOD (INCLUDE STEEL STUDS)</v>
      </c>
      <c r="AF1933" t="str">
        <f>"001"</f>
        <v>001</v>
      </c>
      <c r="AG1933" t="str">
        <f t="shared" si="728"/>
        <v>FL</v>
      </c>
      <c r="AH1933" t="str">
        <f>"-"</f>
        <v>-</v>
      </c>
      <c r="AI1933" t="str">
        <f>"85000.00"</f>
        <v>85000.00</v>
      </c>
      <c r="AJ1933" t="str">
        <f>"C55-000-585-1564-4"</f>
        <v>C55-000-585-1564-4</v>
      </c>
      <c r="AK1933" t="str">
        <f>"39315"</f>
        <v>39315</v>
      </c>
      <c r="AL1933">
        <v>7</v>
      </c>
      <c r="AM1933">
        <v>2208</v>
      </c>
      <c r="AN1933">
        <v>860.36</v>
      </c>
      <c r="AQ1933" t="s">
        <v>18934</v>
      </c>
      <c r="AR1933" t="s">
        <v>18934</v>
      </c>
      <c r="AS1933" t="s">
        <v>18934</v>
      </c>
      <c r="AU1933" t="s">
        <v>396</v>
      </c>
      <c r="AV1933">
        <v>2017</v>
      </c>
      <c r="AW1933" t="str">
        <f>"00-00-30-031B-0011-0000 "</f>
        <v xml:space="preserve">00-00-30-031B-0011-0000 </v>
      </c>
      <c r="AX1933">
        <v>1726</v>
      </c>
      <c r="AZ1933" t="s">
        <v>18935</v>
      </c>
      <c r="BA1933" t="s">
        <v>653</v>
      </c>
      <c r="BD1933" t="s">
        <v>11749</v>
      </c>
      <c r="BE1933" t="s">
        <v>393</v>
      </c>
      <c r="BF1933">
        <v>32034</v>
      </c>
      <c r="BG1933" t="s">
        <v>18936</v>
      </c>
      <c r="BH1933" t="s">
        <v>11751</v>
      </c>
      <c r="BI1933">
        <v>-81.443802645561902</v>
      </c>
      <c r="BJ1933">
        <v>30.644994750104399</v>
      </c>
      <c r="BK1933" t="s">
        <v>18937</v>
      </c>
      <c r="BM1933" t="s">
        <v>18936</v>
      </c>
      <c r="BN1933" t="s">
        <v>3983</v>
      </c>
      <c r="BO1933">
        <v>32034</v>
      </c>
      <c r="BP1933" t="s">
        <v>416</v>
      </c>
      <c r="BQ1933">
        <v>100</v>
      </c>
      <c r="BR1933" t="s">
        <v>514</v>
      </c>
      <c r="BS1933">
        <v>1001</v>
      </c>
      <c r="BT1933" t="s">
        <v>515</v>
      </c>
      <c r="BW1933">
        <v>22269</v>
      </c>
      <c r="BX1933" t="s">
        <v>407</v>
      </c>
      <c r="BY1933" t="s">
        <v>7351</v>
      </c>
      <c r="BZ1933">
        <v>4</v>
      </c>
      <c r="CA1933">
        <v>1986</v>
      </c>
      <c r="CB1933">
        <v>1</v>
      </c>
      <c r="CC1933">
        <v>1</v>
      </c>
      <c r="CD1933">
        <v>2017</v>
      </c>
      <c r="CG1933">
        <v>89048</v>
      </c>
      <c r="CH1933">
        <v>2017</v>
      </c>
      <c r="CI1933">
        <v>85000</v>
      </c>
      <c r="CJ1933">
        <v>88321</v>
      </c>
      <c r="CK1933">
        <v>173321</v>
      </c>
      <c r="CL1933">
        <v>2017</v>
      </c>
      <c r="CM1933">
        <v>765.93</v>
      </c>
      <c r="CN1933" s="1">
        <v>39297</v>
      </c>
      <c r="CZ1933" s="1">
        <v>39297</v>
      </c>
      <c r="DD1933" t="s">
        <v>11749</v>
      </c>
      <c r="DF1933">
        <v>11</v>
      </c>
      <c r="DG1933">
        <v>29</v>
      </c>
      <c r="DJ1933" t="s">
        <v>18938</v>
      </c>
      <c r="DL1933">
        <v>50101</v>
      </c>
      <c r="DM1933" t="s">
        <v>18778</v>
      </c>
      <c r="DO1933" t="s">
        <v>18939</v>
      </c>
      <c r="DP1933">
        <v>0</v>
      </c>
      <c r="DQ1933">
        <v>0</v>
      </c>
      <c r="DR1933" t="s">
        <v>411</v>
      </c>
      <c r="DS1933" t="b">
        <v>1</v>
      </c>
      <c r="DT1933" t="s">
        <v>470</v>
      </c>
      <c r="DU1933" t="s">
        <v>10249</v>
      </c>
      <c r="DV1933" t="s">
        <v>472</v>
      </c>
      <c r="DX1933">
        <v>-9999</v>
      </c>
      <c r="DZ1933" t="s">
        <v>447</v>
      </c>
      <c r="EA1933" t="s">
        <v>448</v>
      </c>
      <c r="EB1933" t="s">
        <v>18940</v>
      </c>
      <c r="EC1933">
        <v>20101217</v>
      </c>
      <c r="ED1933" t="s">
        <v>10251</v>
      </c>
      <c r="EE1933">
        <v>5</v>
      </c>
      <c r="EF1933">
        <v>12.2</v>
      </c>
      <c r="EG1933">
        <v>0</v>
      </c>
      <c r="EI1933">
        <v>20160407</v>
      </c>
      <c r="EJ1933">
        <v>0</v>
      </c>
      <c r="EK1933">
        <v>0</v>
      </c>
      <c r="EP1933" t="s">
        <v>421</v>
      </c>
      <c r="EQ1933" t="s">
        <v>422</v>
      </c>
      <c r="ER1933">
        <v>0</v>
      </c>
      <c r="ES1933">
        <v>2</v>
      </c>
      <c r="ET1933">
        <v>0</v>
      </c>
      <c r="EU1933">
        <v>0</v>
      </c>
      <c r="EV1933">
        <v>0</v>
      </c>
      <c r="EW1933" s="2">
        <v>43222</v>
      </c>
      <c r="EX1933" s="1">
        <v>42515</v>
      </c>
      <c r="EY1933">
        <v>2015</v>
      </c>
      <c r="EZ1933">
        <v>843.8</v>
      </c>
      <c r="FA1933" t="s">
        <v>18941</v>
      </c>
      <c r="FB1933">
        <v>0.25</v>
      </c>
      <c r="FC1933" t="s">
        <v>424</v>
      </c>
      <c r="FD1933" t="s">
        <v>425</v>
      </c>
      <c r="FE1933" s="1">
        <v>42711</v>
      </c>
      <c r="FF1933">
        <v>7</v>
      </c>
      <c r="FG1933">
        <v>2851116</v>
      </c>
      <c r="FH1933" t="s">
        <v>480</v>
      </c>
      <c r="FJ1933" s="1">
        <v>42515</v>
      </c>
      <c r="FK1933">
        <v>2015</v>
      </c>
      <c r="FL1933">
        <v>843.8</v>
      </c>
      <c r="FM1933" t="s">
        <v>18941</v>
      </c>
      <c r="FN1933">
        <v>0.25</v>
      </c>
      <c r="FO1933" t="s">
        <v>424</v>
      </c>
      <c r="FP1933" t="s">
        <v>425</v>
      </c>
      <c r="FR1933">
        <v>22</v>
      </c>
      <c r="FS1933">
        <v>5038576</v>
      </c>
      <c r="FT1933" t="s">
        <v>18942</v>
      </c>
    </row>
    <row r="1934" spans="1:284" x14ac:dyDescent="0.25">
      <c r="A1934">
        <v>16486941</v>
      </c>
      <c r="B1934">
        <v>1933</v>
      </c>
      <c r="C1934" t="s">
        <v>393</v>
      </c>
      <c r="D1934" t="s">
        <v>394</v>
      </c>
      <c r="F1934" t="str">
        <f>"00-00-30-031B-0023-0000"</f>
        <v>00-00-30-031B-0023-0000</v>
      </c>
      <c r="H1934" t="str">
        <f>"BARRY MICHAEL D &amp; LAUREN L"</f>
        <v>BARRY MICHAEL D &amp; LAUREN L</v>
      </c>
      <c r="I1934" t="str">
        <f>"1711 BLUE HERON LANE"</f>
        <v>1711 BLUE HERON LANE</v>
      </c>
      <c r="J1934" t="str">
        <f t="shared" si="729"/>
        <v>FERNANDINA BEACH FL 32034</v>
      </c>
      <c r="K1934" t="str">
        <f>"1711 BLUE HERON LN"</f>
        <v>1711 BLUE HERON LN</v>
      </c>
      <c r="L1934" t="str">
        <f t="shared" si="726"/>
        <v>FERNANDINA BEACH FL 32034</v>
      </c>
      <c r="M1934" t="str">
        <f>"LOT 23 OR 489/207 ISLAND BLUFF SUB PB 5/92"</f>
        <v>LOT 23 OR 489/207 ISLAND BLUFF SUB PB 5/92</v>
      </c>
      <c r="N1934" t="str">
        <f>""</f>
        <v/>
      </c>
      <c r="O1934" t="str">
        <f>"1882"</f>
        <v>1882</v>
      </c>
      <c r="P1934" t="str">
        <f t="shared" si="724"/>
        <v>2017</v>
      </c>
      <c r="Q1934" t="str">
        <f>""</f>
        <v/>
      </c>
      <c r="R1934" t="str">
        <f>"Y"</f>
        <v>Y</v>
      </c>
      <c r="S1934" t="str">
        <f>""</f>
        <v/>
      </c>
      <c r="T1934" t="str">
        <f>"540.31"</f>
        <v>540.31</v>
      </c>
      <c r="U1934" t="str">
        <f>"73574.00"</f>
        <v>73574.00</v>
      </c>
      <c r="V1934" t="str">
        <f>"73574.00"</f>
        <v>73574.00</v>
      </c>
      <c r="W1934" t="str">
        <f t="shared" si="725"/>
        <v>2017</v>
      </c>
      <c r="X1934" t="str">
        <f>"1.33"</f>
        <v>1.33</v>
      </c>
      <c r="Y1934" t="str">
        <f>"588.52"</f>
        <v>588.52</v>
      </c>
      <c r="Z1934" t="str">
        <f>"25000.00"</f>
        <v>25000.00</v>
      </c>
      <c r="AA1934" t="str">
        <f>"48574.00"</f>
        <v>48574.00</v>
      </c>
      <c r="AB1934" t="str">
        <f t="shared" si="720"/>
        <v>Residential</v>
      </c>
      <c r="AC1934" t="str">
        <f t="shared" si="710"/>
        <v>0</v>
      </c>
      <c r="AD1934" t="str">
        <f>"4"</f>
        <v>4</v>
      </c>
      <c r="AE1934" t="str">
        <f>"WOOD (INCLUDE STEEL STUDS)"</f>
        <v>WOOD (INCLUDE STEEL STUDS)</v>
      </c>
      <c r="AF1934" t="str">
        <f>"001"</f>
        <v>001</v>
      </c>
      <c r="AG1934" t="str">
        <f t="shared" si="728"/>
        <v>FL</v>
      </c>
      <c r="AH1934" t="str">
        <f>"-"</f>
        <v>-</v>
      </c>
      <c r="AI1934" t="str">
        <f>"70000.00"</f>
        <v>70000.00</v>
      </c>
      <c r="AJ1934" t="str">
        <f>"C55-000-585-1576-8"</f>
        <v>C55-000-585-1576-8</v>
      </c>
      <c r="AK1934" t="str">
        <f>"39327"</f>
        <v>39327</v>
      </c>
      <c r="AL1934">
        <v>7</v>
      </c>
      <c r="AM1934">
        <v>2209</v>
      </c>
      <c r="AN1934">
        <v>616.35</v>
      </c>
      <c r="AQ1934" t="s">
        <v>18943</v>
      </c>
      <c r="AR1934" t="s">
        <v>18943</v>
      </c>
      <c r="AS1934" t="s">
        <v>18943</v>
      </c>
      <c r="AU1934" t="s">
        <v>396</v>
      </c>
      <c r="AV1934">
        <v>2017</v>
      </c>
      <c r="AW1934" t="str">
        <f>"00-00-30-031B-0023-0000 "</f>
        <v xml:space="preserve">00-00-30-031B-0023-0000 </v>
      </c>
      <c r="AX1934">
        <v>1711</v>
      </c>
      <c r="AZ1934" t="s">
        <v>18935</v>
      </c>
      <c r="BA1934" t="s">
        <v>653</v>
      </c>
      <c r="BD1934" t="s">
        <v>11749</v>
      </c>
      <c r="BE1934" t="s">
        <v>393</v>
      </c>
      <c r="BF1934">
        <v>32034</v>
      </c>
      <c r="BG1934" t="s">
        <v>18944</v>
      </c>
      <c r="BH1934" t="s">
        <v>11751</v>
      </c>
      <c r="BI1934">
        <v>-81.445277997863897</v>
      </c>
      <c r="BJ1934">
        <v>30.645815085945301</v>
      </c>
      <c r="BK1934" t="s">
        <v>18945</v>
      </c>
      <c r="BL1934" t="s">
        <v>18946</v>
      </c>
      <c r="BM1934" t="s">
        <v>18944</v>
      </c>
      <c r="BN1934" t="s">
        <v>3983</v>
      </c>
      <c r="BO1934">
        <v>32034</v>
      </c>
      <c r="BP1934" t="s">
        <v>416</v>
      </c>
      <c r="BQ1934">
        <v>100</v>
      </c>
      <c r="BR1934" t="s">
        <v>514</v>
      </c>
      <c r="BS1934">
        <v>1001</v>
      </c>
      <c r="BT1934" t="s">
        <v>515</v>
      </c>
      <c r="BW1934">
        <v>12218</v>
      </c>
      <c r="BX1934" t="s">
        <v>407</v>
      </c>
      <c r="BY1934" t="s">
        <v>7351</v>
      </c>
      <c r="BZ1934">
        <v>4</v>
      </c>
      <c r="CA1934">
        <v>1986</v>
      </c>
      <c r="CB1934">
        <v>1</v>
      </c>
      <c r="CC1934">
        <v>1</v>
      </c>
      <c r="CD1934">
        <v>2017</v>
      </c>
      <c r="CG1934">
        <v>73574</v>
      </c>
      <c r="CH1934">
        <v>2017</v>
      </c>
      <c r="CI1934">
        <v>70000</v>
      </c>
      <c r="CJ1934">
        <v>99480</v>
      </c>
      <c r="CK1934">
        <v>169480</v>
      </c>
      <c r="CL1934">
        <v>2017</v>
      </c>
      <c r="CM1934">
        <v>540.30999999999995</v>
      </c>
      <c r="CN1934" s="1">
        <v>31533</v>
      </c>
      <c r="CO1934">
        <v>59600</v>
      </c>
      <c r="CZ1934" s="1">
        <v>31533</v>
      </c>
      <c r="DD1934" t="s">
        <v>11749</v>
      </c>
      <c r="DF1934">
        <v>23</v>
      </c>
      <c r="DG1934">
        <v>29</v>
      </c>
      <c r="DJ1934" t="s">
        <v>18938</v>
      </c>
      <c r="DL1934">
        <v>50101</v>
      </c>
      <c r="DM1934" t="s">
        <v>18778</v>
      </c>
      <c r="DO1934" t="s">
        <v>18947</v>
      </c>
      <c r="DP1934">
        <v>0</v>
      </c>
      <c r="DQ1934">
        <v>0</v>
      </c>
      <c r="DR1934" t="s">
        <v>411</v>
      </c>
      <c r="EP1934" t="s">
        <v>421</v>
      </c>
      <c r="EQ1934" t="s">
        <v>422</v>
      </c>
      <c r="ER1934">
        <v>0</v>
      </c>
      <c r="ES1934">
        <v>3</v>
      </c>
      <c r="ET1934">
        <v>0</v>
      </c>
      <c r="EU1934">
        <v>0</v>
      </c>
      <c r="EV1934">
        <v>0</v>
      </c>
      <c r="EW1934" s="2">
        <v>43222</v>
      </c>
      <c r="EX1934" s="1">
        <v>42879</v>
      </c>
      <c r="EY1934">
        <v>2016</v>
      </c>
      <c r="EZ1934">
        <v>611.22</v>
      </c>
      <c r="FA1934" t="s">
        <v>18948</v>
      </c>
      <c r="FB1934">
        <v>0.25</v>
      </c>
      <c r="FC1934" t="s">
        <v>424</v>
      </c>
      <c r="FD1934" t="s">
        <v>425</v>
      </c>
      <c r="FE1934" s="1">
        <v>42901</v>
      </c>
      <c r="FF1934">
        <v>1</v>
      </c>
      <c r="FG1934">
        <v>5856194</v>
      </c>
      <c r="FH1934" t="s">
        <v>2685</v>
      </c>
      <c r="FJ1934" s="1">
        <v>42879</v>
      </c>
      <c r="FK1934">
        <v>2016</v>
      </c>
      <c r="FL1934">
        <v>611.22</v>
      </c>
      <c r="FM1934" t="s">
        <v>18948</v>
      </c>
      <c r="FN1934">
        <v>0.25</v>
      </c>
      <c r="FO1934" t="s">
        <v>424</v>
      </c>
      <c r="FP1934" t="s">
        <v>425</v>
      </c>
      <c r="FR1934">
        <v>22</v>
      </c>
      <c r="FS1934">
        <v>6151311</v>
      </c>
      <c r="FT1934" t="s">
        <v>18949</v>
      </c>
      <c r="FV1934" s="1">
        <v>41423</v>
      </c>
      <c r="FW1934">
        <v>2012</v>
      </c>
      <c r="FX1934">
        <v>576.69000000000005</v>
      </c>
      <c r="FY1934" t="s">
        <v>18950</v>
      </c>
      <c r="FZ1934">
        <v>0.25</v>
      </c>
      <c r="GA1934" t="s">
        <v>424</v>
      </c>
      <c r="GB1934" t="s">
        <v>425</v>
      </c>
      <c r="GC1934" s="1">
        <v>41458</v>
      </c>
      <c r="GD1934">
        <v>2</v>
      </c>
      <c r="GE1934">
        <v>15398</v>
      </c>
      <c r="GF1934" t="s">
        <v>1180</v>
      </c>
    </row>
    <row r="1935" spans="1:284" x14ac:dyDescent="0.25">
      <c r="A1935">
        <v>16486942</v>
      </c>
      <c r="B1935">
        <v>1934</v>
      </c>
      <c r="C1935" t="s">
        <v>393</v>
      </c>
      <c r="D1935" t="s">
        <v>394</v>
      </c>
      <c r="F1935" t="str">
        <f>"00-00-30-0320-0006-0000"</f>
        <v>00-00-30-0320-0006-0000</v>
      </c>
      <c r="H1935" t="str">
        <f>"DUBBERLY JAMES C &amp; LAURA C"</f>
        <v>DUBBERLY JAMES C &amp; LAURA C</v>
      </c>
      <c r="I1935" t="str">
        <f>"95239 AMELIA NATIONAL PKWY"</f>
        <v>95239 AMELIA NATIONAL PKWY</v>
      </c>
      <c r="J1935" t="str">
        <f t="shared" si="729"/>
        <v>FERNANDINA BEACH FL 32034</v>
      </c>
      <c r="K1935" t="str">
        <f>"732 KENNETH CT"</f>
        <v>732 KENNETH CT</v>
      </c>
      <c r="L1935" t="str">
        <f t="shared" si="726"/>
        <v>FERNANDINA BEACH FL 32034</v>
      </c>
      <c r="M1935" t="str">
        <f>"LOT 6 IN OR 2091/572 KENNETH COURT SUB PB 3/50"</f>
        <v>LOT 6 IN OR 2091/572 KENNETH COURT SUB PB 3/50</v>
      </c>
      <c r="N1935" t="str">
        <f>""</f>
        <v/>
      </c>
      <c r="O1935" t="str">
        <f>"1962"</f>
        <v>1962</v>
      </c>
      <c r="P1935" t="str">
        <f t="shared" si="724"/>
        <v>2017</v>
      </c>
      <c r="Q1935" t="str">
        <f>""</f>
        <v/>
      </c>
      <c r="R1935" t="str">
        <f>"N"</f>
        <v>N</v>
      </c>
      <c r="S1935" t="str">
        <f>""</f>
        <v/>
      </c>
      <c r="T1935" t="str">
        <f>"1874.70"</f>
        <v>1874.70</v>
      </c>
      <c r="U1935" t="str">
        <f>"119670.00"</f>
        <v>119670.00</v>
      </c>
      <c r="V1935" t="str">
        <f>"119670.00"</f>
        <v>119670.00</v>
      </c>
      <c r="W1935" t="str">
        <f t="shared" si="725"/>
        <v>2017</v>
      </c>
      <c r="X1935" t="str">
        <f>""</f>
        <v/>
      </c>
      <c r="Y1935" t="str">
        <f>"1962.94"</f>
        <v>1962.94</v>
      </c>
      <c r="Z1935" t="str">
        <f>""</f>
        <v/>
      </c>
      <c r="AA1935" t="str">
        <f>"124660.00"</f>
        <v>124660.00</v>
      </c>
      <c r="AB1935" t="str">
        <f t="shared" si="720"/>
        <v>Residential</v>
      </c>
      <c r="AC1935" t="str">
        <f t="shared" si="710"/>
        <v>0</v>
      </c>
      <c r="AD1935" t="str">
        <f>"4"</f>
        <v>4</v>
      </c>
      <c r="AE1935" t="str">
        <f>"WOOD (INCLUDE STEEL STUDS)"</f>
        <v>WOOD (INCLUDE STEEL STUDS)</v>
      </c>
      <c r="AF1935" t="str">
        <f>"001"</f>
        <v>001</v>
      </c>
      <c r="AG1935" t="str">
        <f t="shared" si="728"/>
        <v>FL</v>
      </c>
      <c r="AH1935" t="str">
        <f>"13200.00"</f>
        <v>13200.00</v>
      </c>
      <c r="AI1935" t="str">
        <f>"55000.00"</f>
        <v>55000.00</v>
      </c>
      <c r="AJ1935" t="str">
        <f>"C55-000-585-1654-3"</f>
        <v>C55-000-585-1654-3</v>
      </c>
      <c r="AK1935" t="str">
        <f>"39536"</f>
        <v>39536</v>
      </c>
      <c r="AL1935">
        <v>7</v>
      </c>
      <c r="AM1935">
        <v>2210</v>
      </c>
      <c r="AN1935">
        <v>2059.4899999999998</v>
      </c>
      <c r="AQ1935" t="s">
        <v>18951</v>
      </c>
      <c r="AR1935" t="s">
        <v>18951</v>
      </c>
      <c r="AS1935" t="s">
        <v>18951</v>
      </c>
      <c r="AU1935" t="s">
        <v>396</v>
      </c>
      <c r="AV1935">
        <v>2017</v>
      </c>
      <c r="AW1935" t="str">
        <f>"00-00-30-0320-0006-0000 "</f>
        <v xml:space="preserve">00-00-30-0320-0006-0000 </v>
      </c>
      <c r="AX1935">
        <v>732</v>
      </c>
      <c r="AZ1935" t="s">
        <v>18952</v>
      </c>
      <c r="BA1935" t="s">
        <v>3181</v>
      </c>
      <c r="BD1935" t="s">
        <v>11749</v>
      </c>
      <c r="BE1935" t="s">
        <v>393</v>
      </c>
      <c r="BF1935">
        <v>32034</v>
      </c>
      <c r="BG1935" t="s">
        <v>18953</v>
      </c>
      <c r="BH1935" t="s">
        <v>11751</v>
      </c>
      <c r="BI1935">
        <v>-81.459088374661704</v>
      </c>
      <c r="BJ1935">
        <v>30.619856546272199</v>
      </c>
      <c r="BK1935" t="s">
        <v>18954</v>
      </c>
      <c r="BL1935" t="s">
        <v>18955</v>
      </c>
      <c r="BM1935" t="s">
        <v>18956</v>
      </c>
      <c r="BN1935" t="s">
        <v>3983</v>
      </c>
      <c r="BO1935">
        <v>32034</v>
      </c>
      <c r="BP1935" t="s">
        <v>404</v>
      </c>
      <c r="BQ1935">
        <v>100</v>
      </c>
      <c r="BR1935" t="s">
        <v>514</v>
      </c>
      <c r="BS1935">
        <v>1001</v>
      </c>
      <c r="BT1935" t="s">
        <v>515</v>
      </c>
      <c r="BW1935">
        <v>13200</v>
      </c>
      <c r="BX1935" t="s">
        <v>407</v>
      </c>
      <c r="BY1935" t="s">
        <v>4360</v>
      </c>
      <c r="BZ1935">
        <v>4</v>
      </c>
      <c r="CA1935">
        <v>1960</v>
      </c>
      <c r="CB1935">
        <v>1</v>
      </c>
      <c r="CC1935">
        <v>1</v>
      </c>
      <c r="CD1935">
        <v>2017</v>
      </c>
      <c r="CE1935">
        <v>55000</v>
      </c>
      <c r="CF1935">
        <v>69660</v>
      </c>
      <c r="CG1935">
        <v>124660</v>
      </c>
      <c r="CH1935">
        <v>2017</v>
      </c>
      <c r="CI1935">
        <v>55000</v>
      </c>
      <c r="CJ1935">
        <v>69660</v>
      </c>
      <c r="CK1935">
        <v>124660</v>
      </c>
      <c r="CL1935">
        <v>2017</v>
      </c>
      <c r="CM1935">
        <v>1874.7</v>
      </c>
      <c r="CN1935" s="1">
        <v>38337</v>
      </c>
      <c r="CO1935">
        <v>150000</v>
      </c>
      <c r="CV1935">
        <v>0</v>
      </c>
      <c r="CZ1935" s="1">
        <v>38337</v>
      </c>
      <c r="DA1935">
        <v>0</v>
      </c>
      <c r="DD1935" t="s">
        <v>11749</v>
      </c>
      <c r="DF1935">
        <v>6</v>
      </c>
      <c r="DG1935">
        <v>15</v>
      </c>
      <c r="DJ1935" t="s">
        <v>18957</v>
      </c>
      <c r="DL1935">
        <v>50202</v>
      </c>
      <c r="DM1935" t="s">
        <v>18706</v>
      </c>
      <c r="DO1935" t="s">
        <v>18958</v>
      </c>
      <c r="DP1935">
        <v>0</v>
      </c>
      <c r="DQ1935">
        <v>2</v>
      </c>
      <c r="DR1935" t="s">
        <v>1174</v>
      </c>
      <c r="EP1935" t="s">
        <v>421</v>
      </c>
      <c r="EQ1935" t="s">
        <v>422</v>
      </c>
      <c r="ER1935">
        <v>2</v>
      </c>
      <c r="ES1935">
        <v>0</v>
      </c>
      <c r="ET1935">
        <v>3727.68</v>
      </c>
      <c r="EU1935">
        <v>198.88</v>
      </c>
      <c r="EV1935">
        <v>3926.56</v>
      </c>
      <c r="EW1935" s="2">
        <v>43222</v>
      </c>
      <c r="EX1935" s="1">
        <v>42879</v>
      </c>
      <c r="EY1935">
        <v>2016</v>
      </c>
      <c r="EZ1935">
        <v>1863.84</v>
      </c>
      <c r="FA1935" t="s">
        <v>18959</v>
      </c>
      <c r="FB1935">
        <v>0.25</v>
      </c>
      <c r="FC1935" t="s">
        <v>424</v>
      </c>
      <c r="FD1935" t="s">
        <v>454</v>
      </c>
      <c r="FF1935">
        <v>12</v>
      </c>
      <c r="FG1935">
        <v>7400234</v>
      </c>
      <c r="FH1935" t="s">
        <v>426</v>
      </c>
      <c r="FJ1935" s="1">
        <v>42879</v>
      </c>
      <c r="FK1935">
        <v>2016</v>
      </c>
      <c r="FL1935">
        <v>1863.84</v>
      </c>
      <c r="FM1935" t="s">
        <v>18959</v>
      </c>
      <c r="FN1935">
        <v>0.25</v>
      </c>
      <c r="FO1935" t="s">
        <v>424</v>
      </c>
      <c r="FP1935" t="s">
        <v>454</v>
      </c>
      <c r="FR1935">
        <v>12</v>
      </c>
      <c r="FS1935">
        <v>7551817</v>
      </c>
      <c r="FT1935" t="s">
        <v>18960</v>
      </c>
    </row>
    <row r="1936" spans="1:284" x14ac:dyDescent="0.25">
      <c r="A1936">
        <v>16486943</v>
      </c>
      <c r="B1936">
        <v>1935</v>
      </c>
      <c r="C1936" t="s">
        <v>393</v>
      </c>
      <c r="D1936" t="s">
        <v>394</v>
      </c>
      <c r="F1936" t="str">
        <f>"00-00-30-034B-0007-0020"</f>
        <v>00-00-30-034B-0007-0020</v>
      </c>
      <c r="H1936" t="str">
        <f>"SHAVE JON"</f>
        <v>SHAVE JON</v>
      </c>
      <c r="I1936" t="str">
        <f>"801 PARKVIEW PLACE EAST"</f>
        <v>801 PARKVIEW PLACE EAST</v>
      </c>
      <c r="J1936" t="str">
        <f t="shared" si="729"/>
        <v>FERNANDINA BEACH FL 32034</v>
      </c>
      <c r="K1936" t="str">
        <f>"W PETERS RD"</f>
        <v>W PETERS RD</v>
      </c>
      <c r="L1936" t="str">
        <f t="shared" si="726"/>
        <v>FERNANDINA BEACH FL 32034</v>
      </c>
      <c r="M1936" t="str">
        <f>"31-3N-28 S1/2 OF LOT 7 (EX S-5) IN OR 1970/254 ESMT IN OR 1327/1773 E O FRIEND SUB DB Z/165"</f>
        <v>31-3N-28 S1/2 OF LOT 7 (EX S-5) IN OR 1970/254 ESMT IN OR 1327/1773 E O FRIEND SUB DB Z/165</v>
      </c>
      <c r="N1936" t="str">
        <f>""</f>
        <v/>
      </c>
      <c r="O1936" t="str">
        <f>"2032"</f>
        <v>2032</v>
      </c>
      <c r="P1936" t="str">
        <f t="shared" si="724"/>
        <v>2017</v>
      </c>
      <c r="Q1936" t="str">
        <f>""</f>
        <v/>
      </c>
      <c r="R1936" t="str">
        <f>"N"</f>
        <v>N</v>
      </c>
      <c r="S1936" t="str">
        <f>"1.50"</f>
        <v>1.50</v>
      </c>
      <c r="T1936" t="str">
        <f>"2741.42"</f>
        <v>2741.42</v>
      </c>
      <c r="U1936" t="str">
        <f>"178125.00"</f>
        <v>178125.00</v>
      </c>
      <c r="V1936" t="str">
        <f>"178125.00"</f>
        <v>178125.00</v>
      </c>
      <c r="W1936" t="str">
        <f t="shared" si="725"/>
        <v>2017</v>
      </c>
      <c r="X1936" t="str">
        <f>"7.71"</f>
        <v>7.71</v>
      </c>
      <c r="Y1936" t="str">
        <f>"2855.66"</f>
        <v>2855.66</v>
      </c>
      <c r="Z1936" t="str">
        <f>""</f>
        <v/>
      </c>
      <c r="AA1936" t="str">
        <f>"178125.00"</f>
        <v>178125.00</v>
      </c>
      <c r="AB1936" t="str">
        <f t="shared" si="720"/>
        <v>Residential</v>
      </c>
      <c r="AC1936" t="str">
        <f t="shared" si="710"/>
        <v>0</v>
      </c>
      <c r="AD1936" t="str">
        <f>""</f>
        <v/>
      </c>
      <c r="AE1936" t="str">
        <f>""</f>
        <v/>
      </c>
      <c r="AF1936" t="str">
        <f>"000"</f>
        <v>000</v>
      </c>
      <c r="AG1936" t="str">
        <f t="shared" si="728"/>
        <v>FL</v>
      </c>
      <c r="AH1936" t="str">
        <f>"65340.00"</f>
        <v>65340.00</v>
      </c>
      <c r="AI1936" t="str">
        <f>"178125.00"</f>
        <v>178125.00</v>
      </c>
      <c r="AJ1936" t="str">
        <f>"C55-000-585-1695-6"</f>
        <v>C55-000-585-1695-6</v>
      </c>
      <c r="AK1936" t="str">
        <f>"39593"</f>
        <v>39593</v>
      </c>
      <c r="AL1936">
        <v>7</v>
      </c>
      <c r="AM1936">
        <v>2211</v>
      </c>
      <c r="AN1936">
        <v>2996.84</v>
      </c>
      <c r="AQ1936" t="s">
        <v>18961</v>
      </c>
      <c r="AR1936" t="s">
        <v>18961</v>
      </c>
      <c r="AS1936" t="s">
        <v>18961</v>
      </c>
      <c r="AU1936" t="s">
        <v>396</v>
      </c>
      <c r="AV1936">
        <v>2017</v>
      </c>
      <c r="AW1936" t="str">
        <f>"00-00-30-034B-0007-0020 "</f>
        <v xml:space="preserve">00-00-30-034B-0007-0020 </v>
      </c>
      <c r="AY1936" t="s">
        <v>4459</v>
      </c>
      <c r="AZ1936" t="s">
        <v>18962</v>
      </c>
      <c r="BA1936" t="s">
        <v>496</v>
      </c>
      <c r="BD1936" t="s">
        <v>11749</v>
      </c>
      <c r="BE1936" t="s">
        <v>393</v>
      </c>
      <c r="BF1936">
        <v>32034</v>
      </c>
      <c r="BG1936" t="s">
        <v>18963</v>
      </c>
      <c r="BH1936" t="s">
        <v>11751</v>
      </c>
      <c r="BI1936">
        <v>-81.471637727797301</v>
      </c>
      <c r="BJ1936">
        <v>30.6372696491519</v>
      </c>
      <c r="BK1936" t="s">
        <v>18964</v>
      </c>
      <c r="BM1936" t="s">
        <v>18965</v>
      </c>
      <c r="BN1936" t="s">
        <v>3983</v>
      </c>
      <c r="BO1936">
        <v>32034</v>
      </c>
      <c r="BP1936" t="s">
        <v>404</v>
      </c>
      <c r="BQ1936">
        <v>0</v>
      </c>
      <c r="BR1936" t="s">
        <v>491</v>
      </c>
      <c r="BS1936">
        <v>8001</v>
      </c>
      <c r="BT1936" t="s">
        <v>492</v>
      </c>
      <c r="BW1936">
        <v>65340</v>
      </c>
      <c r="BX1936" t="s">
        <v>407</v>
      </c>
      <c r="BY1936" t="s">
        <v>408</v>
      </c>
      <c r="CD1936">
        <v>2017</v>
      </c>
      <c r="CE1936">
        <v>178125</v>
      </c>
      <c r="CG1936">
        <v>178125</v>
      </c>
      <c r="CH1936">
        <v>2017</v>
      </c>
      <c r="CI1936">
        <v>178125</v>
      </c>
      <c r="CK1936">
        <v>178125</v>
      </c>
      <c r="CL1936">
        <v>2017</v>
      </c>
      <c r="CM1936">
        <v>2741.42</v>
      </c>
      <c r="CN1936" s="1">
        <v>38930</v>
      </c>
      <c r="CO1936">
        <v>380000</v>
      </c>
      <c r="CV1936">
        <v>0</v>
      </c>
      <c r="CZ1936" s="1">
        <v>38930</v>
      </c>
      <c r="DA1936">
        <v>0</v>
      </c>
      <c r="DD1936" t="s">
        <v>11749</v>
      </c>
      <c r="DF1936">
        <v>7</v>
      </c>
      <c r="DG1936">
        <v>31</v>
      </c>
      <c r="DL1936">
        <v>50202</v>
      </c>
      <c r="DM1936" t="s">
        <v>18368</v>
      </c>
      <c r="DO1936" t="s">
        <v>18966</v>
      </c>
      <c r="DP1936">
        <v>0</v>
      </c>
      <c r="DQ1936">
        <v>0</v>
      </c>
      <c r="DR1936" t="s">
        <v>411</v>
      </c>
      <c r="DS1936" t="b">
        <v>1</v>
      </c>
      <c r="DT1936" t="s">
        <v>8902</v>
      </c>
      <c r="DV1936" t="s">
        <v>446</v>
      </c>
      <c r="DX1936">
        <v>10</v>
      </c>
      <c r="DY1936" t="s">
        <v>11438</v>
      </c>
      <c r="DZ1936" t="s">
        <v>447</v>
      </c>
      <c r="EA1936" t="s">
        <v>448</v>
      </c>
      <c r="EB1936" t="s">
        <v>18370</v>
      </c>
      <c r="EC1936">
        <v>20101217</v>
      </c>
      <c r="ED1936" t="s">
        <v>450</v>
      </c>
      <c r="EE1936">
        <v>5</v>
      </c>
      <c r="EF1936">
        <v>0</v>
      </c>
      <c r="EG1936">
        <v>0</v>
      </c>
      <c r="EI1936">
        <v>20160407</v>
      </c>
      <c r="EJ1936">
        <v>0</v>
      </c>
      <c r="EK1936">
        <v>0</v>
      </c>
      <c r="EP1936" t="s">
        <v>421</v>
      </c>
      <c r="EQ1936" t="s">
        <v>422</v>
      </c>
      <c r="ER1936">
        <v>0</v>
      </c>
      <c r="ES1936">
        <v>10</v>
      </c>
      <c r="ET1936">
        <v>0</v>
      </c>
      <c r="EU1936">
        <v>0</v>
      </c>
      <c r="EV1936">
        <v>0</v>
      </c>
      <c r="EW1936" s="2">
        <v>43222</v>
      </c>
      <c r="EX1936" s="1">
        <v>42879</v>
      </c>
      <c r="EY1936">
        <v>2016</v>
      </c>
      <c r="EZ1936">
        <v>3034.48</v>
      </c>
      <c r="FA1936" t="s">
        <v>18967</v>
      </c>
      <c r="FB1936">
        <v>0.25</v>
      </c>
      <c r="FC1936" t="s">
        <v>424</v>
      </c>
      <c r="FD1936" t="s">
        <v>425</v>
      </c>
      <c r="FE1936" s="1">
        <v>43096</v>
      </c>
      <c r="FF1936">
        <v>7</v>
      </c>
      <c r="FG1936">
        <v>7400234</v>
      </c>
      <c r="FH1936" t="s">
        <v>426</v>
      </c>
      <c r="FJ1936" s="1">
        <v>42879</v>
      </c>
      <c r="FK1936">
        <v>2016</v>
      </c>
      <c r="FL1936">
        <v>3034.48</v>
      </c>
      <c r="FM1936" t="s">
        <v>18967</v>
      </c>
      <c r="FN1936">
        <v>0.25</v>
      </c>
      <c r="FO1936" t="s">
        <v>424</v>
      </c>
      <c r="FP1936" t="s">
        <v>425</v>
      </c>
      <c r="FR1936">
        <v>22</v>
      </c>
      <c r="FS1936">
        <v>7563248</v>
      </c>
      <c r="FT1936" t="s">
        <v>18968</v>
      </c>
      <c r="FV1936" s="1">
        <v>42515</v>
      </c>
      <c r="FW1936">
        <v>2015</v>
      </c>
      <c r="FX1936">
        <v>3079.41</v>
      </c>
      <c r="FY1936" t="s">
        <v>18969</v>
      </c>
      <c r="FZ1936">
        <v>0.25</v>
      </c>
      <c r="GA1936" t="s">
        <v>424</v>
      </c>
      <c r="GB1936" t="s">
        <v>425</v>
      </c>
      <c r="GC1936" s="1">
        <v>42734</v>
      </c>
      <c r="GD1936">
        <v>7</v>
      </c>
      <c r="GE1936">
        <v>7336671</v>
      </c>
      <c r="GF1936" t="s">
        <v>437</v>
      </c>
      <c r="GH1936" s="1">
        <v>42515</v>
      </c>
      <c r="GI1936">
        <v>2015</v>
      </c>
      <c r="GJ1936">
        <v>3079.41</v>
      </c>
      <c r="GK1936" t="s">
        <v>18969</v>
      </c>
      <c r="GL1936">
        <v>0.25</v>
      </c>
      <c r="GM1936" t="s">
        <v>424</v>
      </c>
      <c r="GN1936" t="s">
        <v>425</v>
      </c>
      <c r="GP1936">
        <v>22</v>
      </c>
      <c r="GQ1936">
        <v>6919655</v>
      </c>
      <c r="GR1936" t="s">
        <v>18970</v>
      </c>
      <c r="GT1936" s="1">
        <v>42151</v>
      </c>
      <c r="GU1936">
        <v>2014</v>
      </c>
      <c r="GV1936">
        <v>4163.42</v>
      </c>
      <c r="GW1936" t="s">
        <v>18971</v>
      </c>
      <c r="GX1936">
        <v>0.25</v>
      </c>
      <c r="GY1936" t="s">
        <v>424</v>
      </c>
      <c r="GZ1936" t="s">
        <v>425</v>
      </c>
      <c r="HB1936">
        <v>22</v>
      </c>
      <c r="HC1936">
        <v>15259</v>
      </c>
      <c r="HD1936" t="s">
        <v>891</v>
      </c>
      <c r="HF1936" s="1">
        <v>42151</v>
      </c>
      <c r="HG1936">
        <v>2014</v>
      </c>
      <c r="HH1936">
        <v>4163.42</v>
      </c>
      <c r="HI1936" t="s">
        <v>18971</v>
      </c>
      <c r="HJ1936">
        <v>0.25</v>
      </c>
      <c r="HK1936" t="s">
        <v>424</v>
      </c>
      <c r="HL1936" t="s">
        <v>425</v>
      </c>
      <c r="HN1936">
        <v>22</v>
      </c>
      <c r="HO1936">
        <v>6899771</v>
      </c>
      <c r="HP1936" t="s">
        <v>18972</v>
      </c>
      <c r="HR1936" s="1">
        <v>42151</v>
      </c>
      <c r="HS1936">
        <v>2014</v>
      </c>
      <c r="HT1936">
        <v>4163.42</v>
      </c>
      <c r="HU1936" t="s">
        <v>18971</v>
      </c>
      <c r="HV1936">
        <v>0.25</v>
      </c>
      <c r="HW1936" t="s">
        <v>424</v>
      </c>
      <c r="HX1936" t="s">
        <v>425</v>
      </c>
      <c r="HY1936" s="1">
        <v>42320</v>
      </c>
      <c r="HZ1936">
        <v>6</v>
      </c>
      <c r="IA1936">
        <v>7045049</v>
      </c>
      <c r="IB1936" t="s">
        <v>1335</v>
      </c>
      <c r="ID1936" s="1">
        <v>41787</v>
      </c>
      <c r="IE1936">
        <v>2013</v>
      </c>
      <c r="IF1936">
        <v>3942.82</v>
      </c>
      <c r="IG1936" t="s">
        <v>18973</v>
      </c>
      <c r="IH1936">
        <v>0.25</v>
      </c>
      <c r="II1936" t="s">
        <v>424</v>
      </c>
      <c r="IJ1936" t="s">
        <v>425</v>
      </c>
      <c r="IK1936" s="1">
        <v>42089</v>
      </c>
      <c r="IL1936">
        <v>10</v>
      </c>
      <c r="IM1936">
        <v>2101382</v>
      </c>
      <c r="IN1936" t="s">
        <v>993</v>
      </c>
      <c r="IP1936" s="1">
        <v>41423</v>
      </c>
      <c r="IQ1936">
        <v>2012</v>
      </c>
      <c r="IR1936">
        <v>3990.8</v>
      </c>
      <c r="IS1936" t="s">
        <v>18974</v>
      </c>
      <c r="IT1936">
        <v>0.25</v>
      </c>
      <c r="IU1936" t="s">
        <v>424</v>
      </c>
      <c r="IV1936" t="s">
        <v>425</v>
      </c>
      <c r="IW1936" s="1">
        <v>41638</v>
      </c>
      <c r="IX1936">
        <v>7</v>
      </c>
      <c r="IY1936">
        <v>2101385</v>
      </c>
      <c r="IZ1936" t="s">
        <v>810</v>
      </c>
      <c r="JB1936" s="1">
        <v>41052</v>
      </c>
      <c r="JC1936">
        <v>2011</v>
      </c>
      <c r="JD1936">
        <v>4049.49</v>
      </c>
      <c r="JE1936" t="s">
        <v>18975</v>
      </c>
      <c r="JF1936">
        <v>0.25</v>
      </c>
      <c r="JG1936" t="s">
        <v>424</v>
      </c>
      <c r="JH1936" t="s">
        <v>425</v>
      </c>
      <c r="JI1936" s="1">
        <v>41274</v>
      </c>
      <c r="JJ1936">
        <v>7</v>
      </c>
      <c r="JK1936">
        <v>13233</v>
      </c>
      <c r="JL1936" t="s">
        <v>18976</v>
      </c>
    </row>
    <row r="1937" spans="1:284" x14ac:dyDescent="0.25">
      <c r="A1937">
        <v>16486944</v>
      </c>
      <c r="B1937">
        <v>1936</v>
      </c>
      <c r="C1937" t="s">
        <v>393</v>
      </c>
      <c r="D1937" t="s">
        <v>394</v>
      </c>
      <c r="F1937" t="str">
        <f>"00-00-30-034B-0018-0000"</f>
        <v>00-00-30-034B-0018-0000</v>
      </c>
      <c r="H1937" t="str">
        <f>"DAVIS JOHN L &amp; BETTE M"</f>
        <v>DAVIS JOHN L &amp; BETTE M</v>
      </c>
      <c r="I1937" t="str">
        <f>"1940 SYCAMORE LN"</f>
        <v>1940 SYCAMORE LN</v>
      </c>
      <c r="J1937" t="str">
        <f t="shared" si="729"/>
        <v>FERNANDINA BEACH FL 32034</v>
      </c>
      <c r="K1937" t="str">
        <f>"1940 SYCAMORE LN"</f>
        <v>1940 SYCAMORE LN</v>
      </c>
      <c r="L1937" t="str">
        <f t="shared" si="726"/>
        <v>FERNANDINA BEACH FL 32034</v>
      </c>
      <c r="M1937" t="str">
        <f>"LOTS 18 &amp; 17 &amp; PT OF SEC 31-3N-28E IN OR 852/1689 &amp; OR 1927/795 E O FRIEND SUB PB Z/165"</f>
        <v>LOTS 18 &amp; 17 &amp; PT OF SEC 31-3N-28E IN OR 852/1689 &amp; OR 1927/795 E O FRIEND SUB PB Z/165</v>
      </c>
      <c r="N1937" t="str">
        <f>""</f>
        <v/>
      </c>
      <c r="O1937" t="str">
        <f>"2053"</f>
        <v>2053</v>
      </c>
      <c r="P1937" t="str">
        <f t="shared" si="724"/>
        <v>2017</v>
      </c>
      <c r="Q1937" t="str">
        <f>""</f>
        <v/>
      </c>
      <c r="R1937" t="str">
        <f>"Y"</f>
        <v>Y</v>
      </c>
      <c r="S1937" t="str">
        <f>"7.79"</f>
        <v>7.79</v>
      </c>
      <c r="T1937" t="str">
        <f>"17626.44"</f>
        <v>17626.44</v>
      </c>
      <c r="U1937" t="str">
        <f>"1184570.00"</f>
        <v>1184570.00</v>
      </c>
      <c r="V1937" t="str">
        <f>"1184570.00"</f>
        <v>1184570.00</v>
      </c>
      <c r="W1937" t="str">
        <f t="shared" si="725"/>
        <v>2017</v>
      </c>
      <c r="X1937" t="str">
        <f>"1.00"</f>
        <v>1.00</v>
      </c>
      <c r="Y1937" t="str">
        <f>"18187.23"</f>
        <v>18187.23</v>
      </c>
      <c r="Z1937" t="str">
        <f>"25000.00"</f>
        <v>25000.00</v>
      </c>
      <c r="AA1937" t="str">
        <f>"1159570.00"</f>
        <v>1159570.00</v>
      </c>
      <c r="AB1937" t="str">
        <f t="shared" si="720"/>
        <v>Residential</v>
      </c>
      <c r="AC1937" t="str">
        <f t="shared" si="710"/>
        <v>0</v>
      </c>
      <c r="AD1937" t="str">
        <f>"4"</f>
        <v>4</v>
      </c>
      <c r="AE1937" t="str">
        <f>"WOOD (INCLUDE STEEL STUDS)"</f>
        <v>WOOD (INCLUDE STEEL STUDS)</v>
      </c>
      <c r="AF1937" t="str">
        <f>"001"</f>
        <v>001</v>
      </c>
      <c r="AG1937" t="str">
        <f t="shared" si="728"/>
        <v>FL</v>
      </c>
      <c r="AH1937" t="str">
        <f>"339332.00"</f>
        <v>339332.00</v>
      </c>
      <c r="AI1937" t="str">
        <f>"592040.00"</f>
        <v>592040.00</v>
      </c>
      <c r="AJ1937" t="str">
        <f>"C55-000-585-1717-8"</f>
        <v>C55-000-585-1717-8</v>
      </c>
      <c r="AK1937" t="str">
        <f>"39608"</f>
        <v>39608</v>
      </c>
      <c r="AL1937">
        <v>7</v>
      </c>
      <c r="AM1937">
        <v>2212</v>
      </c>
      <c r="AN1937">
        <v>19094.990000000002</v>
      </c>
      <c r="AQ1937" t="s">
        <v>18977</v>
      </c>
      <c r="AR1937" t="s">
        <v>18977</v>
      </c>
      <c r="AS1937" t="s">
        <v>18977</v>
      </c>
      <c r="AU1937" t="s">
        <v>396</v>
      </c>
      <c r="AV1937">
        <v>2017</v>
      </c>
      <c r="AW1937" t="str">
        <f>"00-00-30-034B-0018-0000 "</f>
        <v xml:space="preserve">00-00-30-034B-0018-0000 </v>
      </c>
      <c r="AX1937">
        <v>1940</v>
      </c>
      <c r="AZ1937" t="s">
        <v>18978</v>
      </c>
      <c r="BA1937" t="s">
        <v>653</v>
      </c>
      <c r="BD1937" t="s">
        <v>11749</v>
      </c>
      <c r="BE1937" t="s">
        <v>393</v>
      </c>
      <c r="BF1937">
        <v>32034</v>
      </c>
      <c r="BG1937" t="s">
        <v>18979</v>
      </c>
      <c r="BH1937" t="s">
        <v>11751</v>
      </c>
      <c r="BI1937">
        <v>-81.468579387583205</v>
      </c>
      <c r="BJ1937">
        <v>30.6403892211308</v>
      </c>
      <c r="BK1937" t="s">
        <v>18980</v>
      </c>
      <c r="BL1937" t="s">
        <v>18981</v>
      </c>
      <c r="BM1937" t="s">
        <v>18979</v>
      </c>
      <c r="BN1937" t="s">
        <v>3983</v>
      </c>
      <c r="BO1937">
        <v>32034</v>
      </c>
      <c r="BP1937" t="s">
        <v>416</v>
      </c>
      <c r="BQ1937">
        <v>100</v>
      </c>
      <c r="BR1937" t="s">
        <v>514</v>
      </c>
      <c r="BS1937">
        <v>1001</v>
      </c>
      <c r="BT1937" t="s">
        <v>515</v>
      </c>
      <c r="BW1937">
        <v>339332</v>
      </c>
      <c r="BX1937" t="s">
        <v>407</v>
      </c>
      <c r="BY1937" t="s">
        <v>408</v>
      </c>
      <c r="BZ1937">
        <v>4</v>
      </c>
      <c r="CA1937">
        <v>2001</v>
      </c>
      <c r="CB1937">
        <v>1.5</v>
      </c>
      <c r="CC1937">
        <v>3</v>
      </c>
      <c r="CD1937">
        <v>2017</v>
      </c>
      <c r="CG1937">
        <v>1184570</v>
      </c>
      <c r="CH1937">
        <v>2017</v>
      </c>
      <c r="CI1937">
        <v>592040</v>
      </c>
      <c r="CJ1937">
        <v>723564</v>
      </c>
      <c r="CK1937">
        <v>1315604</v>
      </c>
      <c r="CL1937">
        <v>2017</v>
      </c>
      <c r="CM1937">
        <v>17626.439999999999</v>
      </c>
      <c r="CN1937" s="1">
        <v>41835</v>
      </c>
      <c r="CO1937">
        <v>340000</v>
      </c>
      <c r="CV1937">
        <v>0</v>
      </c>
      <c r="CZ1937" s="1">
        <v>41835</v>
      </c>
      <c r="DA1937">
        <v>0</v>
      </c>
      <c r="DD1937" t="s">
        <v>11749</v>
      </c>
      <c r="DF1937">
        <v>18</v>
      </c>
      <c r="DG1937">
        <v>31</v>
      </c>
      <c r="DL1937">
        <v>50202</v>
      </c>
      <c r="DM1937" t="s">
        <v>18368</v>
      </c>
      <c r="DO1937" t="s">
        <v>18982</v>
      </c>
      <c r="DP1937">
        <v>0</v>
      </c>
      <c r="DQ1937">
        <v>0</v>
      </c>
      <c r="DR1937" t="s">
        <v>411</v>
      </c>
      <c r="EP1937" t="s">
        <v>421</v>
      </c>
      <c r="EQ1937" t="s">
        <v>422</v>
      </c>
      <c r="ER1937">
        <v>0</v>
      </c>
      <c r="ES1937">
        <v>2</v>
      </c>
      <c r="ET1937">
        <v>0</v>
      </c>
      <c r="EU1937">
        <v>0</v>
      </c>
      <c r="EV1937">
        <v>0</v>
      </c>
      <c r="EW1937" s="2">
        <v>43222</v>
      </c>
      <c r="EX1937" s="1">
        <v>42879</v>
      </c>
      <c r="EY1937">
        <v>2016</v>
      </c>
      <c r="EZ1937">
        <v>18051.91</v>
      </c>
      <c r="FA1937" t="s">
        <v>18983</v>
      </c>
      <c r="FB1937">
        <v>0.25</v>
      </c>
      <c r="FC1937" t="s">
        <v>424</v>
      </c>
      <c r="FD1937" t="s">
        <v>425</v>
      </c>
      <c r="FE1937" s="1">
        <v>42893</v>
      </c>
      <c r="FF1937">
        <v>1</v>
      </c>
      <c r="FG1937">
        <v>5857474</v>
      </c>
      <c r="FH1937" t="s">
        <v>900</v>
      </c>
      <c r="FJ1937" s="1">
        <v>42879</v>
      </c>
      <c r="FK1937">
        <v>2016</v>
      </c>
      <c r="FL1937">
        <v>18051.91</v>
      </c>
      <c r="FM1937" t="s">
        <v>18983</v>
      </c>
      <c r="FN1937">
        <v>0.25</v>
      </c>
      <c r="FO1937" t="s">
        <v>424</v>
      </c>
      <c r="FP1937" t="s">
        <v>425</v>
      </c>
      <c r="FR1937">
        <v>22</v>
      </c>
      <c r="FS1937">
        <v>6438738</v>
      </c>
      <c r="FT1937" t="s">
        <v>18984</v>
      </c>
    </row>
    <row r="1938" spans="1:284" x14ac:dyDescent="0.25">
      <c r="A1938">
        <v>16486945</v>
      </c>
      <c r="B1938">
        <v>1937</v>
      </c>
      <c r="C1938" t="s">
        <v>393</v>
      </c>
      <c r="D1938" t="s">
        <v>394</v>
      </c>
      <c r="F1938" t="str">
        <f>"00-00-30-034C-0002-0000"</f>
        <v>00-00-30-034C-0002-0000</v>
      </c>
      <c r="H1938" t="str">
        <f>"FULLWOOD SHERMAN ROBERT L/E JONI E CLEMENS"</f>
        <v>FULLWOOD SHERMAN ROBERT L/E JONI E CLEMENS</v>
      </c>
      <c r="I1938" t="str">
        <f>"515 J I TAYLOR CT"</f>
        <v>515 J I TAYLOR CT</v>
      </c>
      <c r="J1938" t="str">
        <f t="shared" si="729"/>
        <v>FERNANDINA BEACH FL 32034</v>
      </c>
      <c r="K1938" t="str">
        <f>"515 J I TAYLOR CT"</f>
        <v>515 J I TAYLOR CT</v>
      </c>
      <c r="L1938" t="str">
        <f t="shared" si="726"/>
        <v>FERNANDINA BEACH FL 32034</v>
      </c>
      <c r="M1938" t="str">
        <f>"LOT 2 (EX S-1) REPLAT OF LOT 28 IN OR 1934/157 &amp; OR 1934/161 E O FRIENDS DB 165/142"</f>
        <v>LOT 2 (EX S-1) REPLAT OF LOT 28 IN OR 1934/157 &amp; OR 1934/161 E O FRIENDS DB 165/142</v>
      </c>
      <c r="N1938" t="str">
        <f>""</f>
        <v/>
      </c>
      <c r="O1938" t="str">
        <f>"2087"</f>
        <v>2087</v>
      </c>
      <c r="P1938" t="str">
        <f t="shared" si="724"/>
        <v>2017</v>
      </c>
      <c r="Q1938" t="str">
        <f>""</f>
        <v/>
      </c>
      <c r="R1938" t="str">
        <f>"N"</f>
        <v>N</v>
      </c>
      <c r="S1938" t="str">
        <f>""</f>
        <v/>
      </c>
      <c r="T1938" t="str">
        <f>"1235.25"</f>
        <v>1235.25</v>
      </c>
      <c r="U1938" t="str">
        <f>"80261.00"</f>
        <v>80261.00</v>
      </c>
      <c r="V1938" t="str">
        <f>"80261.00"</f>
        <v>80261.00</v>
      </c>
      <c r="W1938" t="str">
        <f t="shared" si="725"/>
        <v>2017</v>
      </c>
      <c r="X1938" t="str">
        <f>"10.00"</f>
        <v>10.00</v>
      </c>
      <c r="Y1938" t="str">
        <f>"1304.31"</f>
        <v>1304.31</v>
      </c>
      <c r="Z1938" t="str">
        <f>""</f>
        <v/>
      </c>
      <c r="AA1938" t="str">
        <f>"80261.00"</f>
        <v>80261.00</v>
      </c>
      <c r="AB1938" t="str">
        <f t="shared" si="720"/>
        <v>Residential</v>
      </c>
      <c r="AC1938" t="str">
        <f t="shared" si="710"/>
        <v>0</v>
      </c>
      <c r="AD1938" t="str">
        <f>"4"</f>
        <v>4</v>
      </c>
      <c r="AE1938" t="str">
        <f>"WOOD (INCLUDE STEEL STUDS)"</f>
        <v>WOOD (INCLUDE STEEL STUDS)</v>
      </c>
      <c r="AF1938" t="str">
        <f>"001"</f>
        <v>001</v>
      </c>
      <c r="AG1938" t="str">
        <f t="shared" si="728"/>
        <v>FL</v>
      </c>
      <c r="AH1938" t="str">
        <f>"14900.00"</f>
        <v>14900.00</v>
      </c>
      <c r="AI1938" t="str">
        <f>"45000.00"</f>
        <v>45000.00</v>
      </c>
      <c r="AJ1938" t="str">
        <f>"C55-000-585-1745-9"</f>
        <v>C55-000-585-1745-9</v>
      </c>
      <c r="AK1938" t="str">
        <f>"39636"</f>
        <v>39636</v>
      </c>
      <c r="AL1938">
        <v>7</v>
      </c>
      <c r="AM1938">
        <v>2213</v>
      </c>
      <c r="AN1938">
        <v>1367.93</v>
      </c>
      <c r="AQ1938" t="s">
        <v>18985</v>
      </c>
      <c r="AR1938" t="s">
        <v>18985</v>
      </c>
      <c r="AS1938" t="s">
        <v>18985</v>
      </c>
      <c r="AU1938" t="s">
        <v>396</v>
      </c>
      <c r="AV1938">
        <v>2017</v>
      </c>
      <c r="AW1938" t="str">
        <f>"00-00-30-034C-0002-0000 "</f>
        <v xml:space="preserve">00-00-30-034C-0002-0000 </v>
      </c>
      <c r="AX1938" t="s">
        <v>18986</v>
      </c>
      <c r="AZ1938" t="s">
        <v>18987</v>
      </c>
      <c r="BA1938" t="s">
        <v>3181</v>
      </c>
      <c r="BD1938" t="s">
        <v>11749</v>
      </c>
      <c r="BE1938" t="s">
        <v>393</v>
      </c>
      <c r="BF1938">
        <v>32034</v>
      </c>
      <c r="BG1938" t="s">
        <v>18988</v>
      </c>
      <c r="BH1938" t="s">
        <v>11751</v>
      </c>
      <c r="BI1938">
        <v>-81.465463318579296</v>
      </c>
      <c r="BJ1938">
        <v>30.633002321771801</v>
      </c>
      <c r="BK1938" t="s">
        <v>18989</v>
      </c>
      <c r="BM1938" t="s">
        <v>18988</v>
      </c>
      <c r="BN1938" t="s">
        <v>3983</v>
      </c>
      <c r="BO1938">
        <v>32034</v>
      </c>
      <c r="BP1938" t="s">
        <v>416</v>
      </c>
      <c r="BQ1938">
        <v>100</v>
      </c>
      <c r="BR1938" t="s">
        <v>514</v>
      </c>
      <c r="BS1938">
        <v>1001</v>
      </c>
      <c r="BT1938" t="s">
        <v>515</v>
      </c>
      <c r="BU1938">
        <v>1000</v>
      </c>
      <c r="BV1938">
        <v>1490</v>
      </c>
      <c r="BW1938">
        <v>18284</v>
      </c>
      <c r="BX1938" t="s">
        <v>407</v>
      </c>
      <c r="BY1938" t="s">
        <v>7351</v>
      </c>
      <c r="BZ1938">
        <v>4</v>
      </c>
      <c r="CA1938">
        <v>1950</v>
      </c>
      <c r="CB1938">
        <v>1</v>
      </c>
      <c r="CC1938">
        <v>1</v>
      </c>
      <c r="CD1938">
        <v>2017</v>
      </c>
      <c r="CE1938">
        <v>45000</v>
      </c>
      <c r="CF1938">
        <v>35261</v>
      </c>
      <c r="CG1938">
        <v>80261</v>
      </c>
      <c r="CH1938">
        <v>2017</v>
      </c>
      <c r="CI1938">
        <v>45000</v>
      </c>
      <c r="CJ1938">
        <v>35261</v>
      </c>
      <c r="CK1938">
        <v>80261</v>
      </c>
      <c r="CL1938">
        <v>2017</v>
      </c>
      <c r="CM1938">
        <v>1235.25</v>
      </c>
      <c r="CN1938" s="1">
        <v>41877</v>
      </c>
      <c r="CZ1938" s="1">
        <v>41877</v>
      </c>
      <c r="DD1938" t="s">
        <v>11749</v>
      </c>
      <c r="DF1938">
        <v>2</v>
      </c>
      <c r="DG1938">
        <v>31</v>
      </c>
      <c r="DL1938">
        <v>50202</v>
      </c>
      <c r="DM1938" t="s">
        <v>18368</v>
      </c>
      <c r="DO1938" t="s">
        <v>18990</v>
      </c>
      <c r="DP1938">
        <v>0</v>
      </c>
      <c r="DQ1938">
        <v>0</v>
      </c>
      <c r="DR1938" t="s">
        <v>411</v>
      </c>
      <c r="DS1938" t="b">
        <v>1</v>
      </c>
      <c r="DT1938" t="s">
        <v>8902</v>
      </c>
      <c r="DV1938" t="s">
        <v>446</v>
      </c>
      <c r="DX1938">
        <v>10</v>
      </c>
      <c r="DY1938" t="s">
        <v>11438</v>
      </c>
      <c r="DZ1938" t="s">
        <v>447</v>
      </c>
      <c r="EA1938" t="s">
        <v>448</v>
      </c>
      <c r="EB1938" t="s">
        <v>18370</v>
      </c>
      <c r="EC1938">
        <v>20101217</v>
      </c>
      <c r="ED1938" t="s">
        <v>450</v>
      </c>
      <c r="EE1938">
        <v>5</v>
      </c>
      <c r="EF1938">
        <v>0</v>
      </c>
      <c r="EG1938">
        <v>0</v>
      </c>
      <c r="EH1938" t="s">
        <v>451</v>
      </c>
      <c r="EI1938">
        <v>20140731</v>
      </c>
      <c r="EJ1938">
        <v>0</v>
      </c>
      <c r="EK1938">
        <v>0</v>
      </c>
      <c r="EP1938" t="s">
        <v>421</v>
      </c>
      <c r="EQ1938" t="s">
        <v>422</v>
      </c>
      <c r="ER1938">
        <v>0</v>
      </c>
      <c r="ES1938">
        <v>2</v>
      </c>
      <c r="ET1938">
        <v>0</v>
      </c>
      <c r="EU1938">
        <v>0</v>
      </c>
      <c r="EV1938">
        <v>0</v>
      </c>
      <c r="EW1938" s="2">
        <v>43222</v>
      </c>
      <c r="EX1938" s="1">
        <v>42151</v>
      </c>
      <c r="EY1938">
        <v>2014</v>
      </c>
      <c r="EZ1938">
        <v>1130.1600000000001</v>
      </c>
      <c r="FA1938" t="s">
        <v>18991</v>
      </c>
      <c r="FB1938">
        <v>0.25</v>
      </c>
      <c r="FC1938" t="s">
        <v>424</v>
      </c>
      <c r="FD1938" t="s">
        <v>425</v>
      </c>
      <c r="FE1938" s="1">
        <v>42433</v>
      </c>
      <c r="FF1938">
        <v>10</v>
      </c>
      <c r="FG1938">
        <v>4844983</v>
      </c>
      <c r="FH1938" t="s">
        <v>3901</v>
      </c>
      <c r="FJ1938" s="1">
        <v>42151</v>
      </c>
      <c r="FK1938">
        <v>2014</v>
      </c>
      <c r="FL1938">
        <v>1130.1600000000001</v>
      </c>
      <c r="FM1938" t="s">
        <v>18991</v>
      </c>
      <c r="FN1938">
        <v>0.25</v>
      </c>
      <c r="FO1938" t="s">
        <v>424</v>
      </c>
      <c r="FP1938" t="s">
        <v>425</v>
      </c>
      <c r="FR1938">
        <v>22</v>
      </c>
      <c r="FS1938">
        <v>5895095</v>
      </c>
      <c r="FT1938" t="s">
        <v>18992</v>
      </c>
    </row>
    <row r="1939" spans="1:284" x14ac:dyDescent="0.25">
      <c r="A1939">
        <v>16486946</v>
      </c>
      <c r="B1939">
        <v>1938</v>
      </c>
      <c r="C1939" t="s">
        <v>393</v>
      </c>
      <c r="D1939" t="s">
        <v>394</v>
      </c>
      <c r="F1939" t="str">
        <f>"00-00-30-0360-0005-0000"</f>
        <v>00-00-30-0360-0005-0000</v>
      </c>
      <c r="H1939" t="str">
        <f>"SMITH CHARLES L &amp; BETH L"</f>
        <v>SMITH CHARLES L &amp; BETH L</v>
      </c>
      <c r="I1939" t="str">
        <f>"95044 SPRING TIDE LN"</f>
        <v>95044 SPRING TIDE LN</v>
      </c>
      <c r="J1939" t="str">
        <f t="shared" si="729"/>
        <v>FERNANDINA BEACH FL 32034</v>
      </c>
      <c r="K1939" t="str">
        <f>"FIRST COAST HWY"</f>
        <v>FIRST COAST HWY</v>
      </c>
      <c r="L1939" t="str">
        <f t="shared" si="726"/>
        <v>FERNANDINA BEACH FL 32034</v>
      </c>
      <c r="M1939" t="str">
        <f>"LOT 5 IN OR 2074/357 LEEWARD COVE PB 5/77"</f>
        <v>LOT 5 IN OR 2074/357 LEEWARD COVE PB 5/77</v>
      </c>
      <c r="N1939" t="str">
        <f>""</f>
        <v/>
      </c>
      <c r="O1939" t="str">
        <f>"2121"</f>
        <v>2121</v>
      </c>
      <c r="P1939" t="str">
        <f t="shared" si="724"/>
        <v>2017</v>
      </c>
      <c r="Q1939" t="str">
        <f>""</f>
        <v/>
      </c>
      <c r="R1939" t="str">
        <f>"N"</f>
        <v>N</v>
      </c>
      <c r="S1939" t="str">
        <f>""</f>
        <v/>
      </c>
      <c r="T1939" t="str">
        <f>"7041.32"</f>
        <v>7041.32</v>
      </c>
      <c r="U1939" t="str">
        <f>"457514.00"</f>
        <v>457514.00</v>
      </c>
      <c r="V1939" t="str">
        <f>"457514.00"</f>
        <v>457514.00</v>
      </c>
      <c r="W1939" t="str">
        <f t="shared" si="725"/>
        <v>2017</v>
      </c>
      <c r="X1939" t="str">
        <f>"3.00"</f>
        <v>3.00</v>
      </c>
      <c r="Y1939" t="str">
        <f>"7284.56"</f>
        <v>7284.56</v>
      </c>
      <c r="Z1939" t="str">
        <f>""</f>
        <v/>
      </c>
      <c r="AA1939" t="str">
        <f>"457514.00"</f>
        <v>457514.00</v>
      </c>
      <c r="AB1939" t="str">
        <f t="shared" si="720"/>
        <v>Residential</v>
      </c>
      <c r="AC1939" t="str">
        <f t="shared" si="710"/>
        <v>0</v>
      </c>
      <c r="AD1939" t="str">
        <f>""</f>
        <v/>
      </c>
      <c r="AE1939" t="str">
        <f>""</f>
        <v/>
      </c>
      <c r="AF1939" t="str">
        <f>"000"</f>
        <v>000</v>
      </c>
      <c r="AG1939" t="str">
        <f t="shared" si="728"/>
        <v>FL</v>
      </c>
      <c r="AH1939" t="str">
        <f>"39465.00"</f>
        <v>39465.00</v>
      </c>
      <c r="AI1939" t="str">
        <f>"454500.00"</f>
        <v>454500.00</v>
      </c>
      <c r="AJ1939" t="str">
        <f>"C55-000-585-1775-6"</f>
        <v>C55-000-585-1775-6</v>
      </c>
      <c r="AK1939" t="str">
        <f>"39676"</f>
        <v>39676</v>
      </c>
      <c r="AL1939">
        <v>7</v>
      </c>
      <c r="AM1939">
        <v>2214</v>
      </c>
      <c r="AN1939">
        <v>7647.19</v>
      </c>
      <c r="AQ1939" t="s">
        <v>18993</v>
      </c>
      <c r="AR1939" t="s">
        <v>18993</v>
      </c>
      <c r="AS1939" t="s">
        <v>18993</v>
      </c>
      <c r="AU1939" t="s">
        <v>396</v>
      </c>
      <c r="AV1939">
        <v>2017</v>
      </c>
      <c r="AW1939" t="str">
        <f>"00-00-30-0360-0005-0000 "</f>
        <v xml:space="preserve">00-00-30-0360-0005-0000 </v>
      </c>
      <c r="AZ1939" t="s">
        <v>14799</v>
      </c>
      <c r="BA1939" t="s">
        <v>3713</v>
      </c>
      <c r="BD1939" t="s">
        <v>11749</v>
      </c>
      <c r="BE1939" t="s">
        <v>393</v>
      </c>
      <c r="BF1939">
        <v>32034</v>
      </c>
      <c r="BG1939" t="s">
        <v>18994</v>
      </c>
      <c r="BH1939" t="s">
        <v>11751</v>
      </c>
      <c r="BI1939">
        <v>-81.454622060037906</v>
      </c>
      <c r="BJ1939">
        <v>30.578997074342801</v>
      </c>
      <c r="BK1939" t="s">
        <v>18995</v>
      </c>
      <c r="BM1939" t="s">
        <v>18996</v>
      </c>
      <c r="BN1939" t="s">
        <v>3983</v>
      </c>
      <c r="BO1939">
        <v>32034</v>
      </c>
      <c r="BP1939" t="s">
        <v>404</v>
      </c>
      <c r="BQ1939">
        <v>1</v>
      </c>
      <c r="BR1939" t="s">
        <v>491</v>
      </c>
      <c r="BS1939">
        <v>8001</v>
      </c>
      <c r="BT1939" t="s">
        <v>492</v>
      </c>
      <c r="BU1939">
        <v>2600</v>
      </c>
      <c r="BV1939">
        <v>0</v>
      </c>
      <c r="BW1939">
        <v>87879</v>
      </c>
      <c r="BX1939" t="s">
        <v>407</v>
      </c>
      <c r="BY1939" t="s">
        <v>2729</v>
      </c>
      <c r="CD1939">
        <v>2017</v>
      </c>
      <c r="CE1939">
        <v>454500</v>
      </c>
      <c r="CF1939">
        <v>3014</v>
      </c>
      <c r="CG1939">
        <v>457514</v>
      </c>
      <c r="CH1939">
        <v>2017</v>
      </c>
      <c r="CI1939">
        <v>454500</v>
      </c>
      <c r="CJ1939">
        <v>3014</v>
      </c>
      <c r="CK1939">
        <v>457514</v>
      </c>
      <c r="CL1939">
        <v>2017</v>
      </c>
      <c r="CM1939">
        <v>7041.32</v>
      </c>
      <c r="CN1939" s="1">
        <v>42579</v>
      </c>
      <c r="CO1939">
        <v>525000</v>
      </c>
      <c r="CV1939">
        <v>0</v>
      </c>
      <c r="CZ1939" s="1">
        <v>42579</v>
      </c>
      <c r="DA1939">
        <v>0</v>
      </c>
      <c r="DD1939" t="s">
        <v>11749</v>
      </c>
      <c r="DG1939">
        <v>14</v>
      </c>
      <c r="DJ1939" t="s">
        <v>18997</v>
      </c>
      <c r="DL1939">
        <v>50203</v>
      </c>
      <c r="DM1939" t="s">
        <v>14802</v>
      </c>
      <c r="DO1939" t="s">
        <v>18998</v>
      </c>
      <c r="DP1939">
        <v>0</v>
      </c>
      <c r="DQ1939">
        <v>4</v>
      </c>
      <c r="DR1939" t="s">
        <v>1174</v>
      </c>
      <c r="EP1939" t="s">
        <v>421</v>
      </c>
      <c r="EQ1939" t="s">
        <v>422</v>
      </c>
      <c r="ER1939">
        <v>2</v>
      </c>
      <c r="ES1939">
        <v>0</v>
      </c>
      <c r="ET1939">
        <v>14049.7</v>
      </c>
      <c r="EU1939">
        <v>714.99</v>
      </c>
      <c r="EV1939">
        <v>14764.69</v>
      </c>
      <c r="EW1939" s="2">
        <v>43222</v>
      </c>
      <c r="EX1939" s="1">
        <v>42879</v>
      </c>
      <c r="EY1939">
        <v>2016</v>
      </c>
      <c r="EZ1939">
        <v>7024.85</v>
      </c>
      <c r="FA1939" t="s">
        <v>18999</v>
      </c>
      <c r="FB1939">
        <v>0.25</v>
      </c>
      <c r="FC1939" t="s">
        <v>424</v>
      </c>
      <c r="FD1939" t="s">
        <v>454</v>
      </c>
      <c r="FF1939">
        <v>12</v>
      </c>
      <c r="FG1939">
        <v>5856194</v>
      </c>
      <c r="FH1939" t="s">
        <v>2685</v>
      </c>
      <c r="FJ1939" s="1">
        <v>42879</v>
      </c>
      <c r="FK1939">
        <v>2016</v>
      </c>
      <c r="FL1939">
        <v>7024.85</v>
      </c>
      <c r="FM1939" t="s">
        <v>18999</v>
      </c>
      <c r="FN1939">
        <v>0.25</v>
      </c>
      <c r="FO1939" t="s">
        <v>424</v>
      </c>
      <c r="FP1939" t="s">
        <v>454</v>
      </c>
      <c r="FR1939">
        <v>12</v>
      </c>
      <c r="FS1939">
        <v>5949204</v>
      </c>
      <c r="FT1939" t="s">
        <v>19000</v>
      </c>
    </row>
    <row r="1940" spans="1:284" x14ac:dyDescent="0.25">
      <c r="A1940">
        <v>16486947</v>
      </c>
      <c r="B1940">
        <v>1939</v>
      </c>
      <c r="C1940" t="s">
        <v>393</v>
      </c>
      <c r="D1940" t="s">
        <v>394</v>
      </c>
      <c r="F1940" t="str">
        <f>"00-00-30-0380-0041-0000"</f>
        <v>00-00-30-0380-0041-0000</v>
      </c>
      <c r="H1940" t="str">
        <f>"ROWLAND JANAN LYNN"</f>
        <v>ROWLAND JANAN LYNN</v>
      </c>
      <c r="I1940" t="str">
        <f>"2327 AMELIA ROAD"</f>
        <v>2327 AMELIA ROAD</v>
      </c>
      <c r="J1940" t="str">
        <f t="shared" si="729"/>
        <v>FERNANDINA BEACH FL 32034</v>
      </c>
      <c r="K1940" t="str">
        <f>"2327 AMELIA RD"</f>
        <v>2327 AMELIA RD</v>
      </c>
      <c r="L1940" t="str">
        <f t="shared" si="726"/>
        <v>FERNANDINA BEACH FL 32034</v>
      </c>
      <c r="M1940" t="str">
        <f>"LOT 41 PT OR 784/684 MARLIN PARK SUB PB 3/14"</f>
        <v>LOT 41 PT OR 784/684 MARLIN PARK SUB PB 3/14</v>
      </c>
      <c r="N1940" t="str">
        <f>""</f>
        <v/>
      </c>
      <c r="O1940" t="str">
        <f>"2207"</f>
        <v>2207</v>
      </c>
      <c r="P1940" t="str">
        <f t="shared" si="724"/>
        <v>2017</v>
      </c>
      <c r="Q1940" t="str">
        <f>""</f>
        <v/>
      </c>
      <c r="R1940" t="str">
        <f>"Y"</f>
        <v>Y</v>
      </c>
      <c r="S1940" t="str">
        <f>""</f>
        <v/>
      </c>
      <c r="T1940" t="str">
        <f>"1003.53"</f>
        <v>1003.53</v>
      </c>
      <c r="U1940" t="str">
        <f>"104487.00"</f>
        <v>104487.00</v>
      </c>
      <c r="V1940" t="str">
        <f>"104487.00"</f>
        <v>104487.00</v>
      </c>
      <c r="W1940" t="str">
        <f t="shared" si="725"/>
        <v>2017</v>
      </c>
      <c r="X1940" t="str">
        <f>"7.50"</f>
        <v>7.50</v>
      </c>
      <c r="Y1940" t="str">
        <f>"1065.64"</f>
        <v>1065.64</v>
      </c>
      <c r="Z1940" t="str">
        <f>"25000.00"</f>
        <v>25000.00</v>
      </c>
      <c r="AA1940" t="str">
        <f>"79487.00"</f>
        <v>79487.00</v>
      </c>
      <c r="AB1940" t="str">
        <f t="shared" si="720"/>
        <v>Residential</v>
      </c>
      <c r="AC1940" t="str">
        <f t="shared" si="710"/>
        <v>0</v>
      </c>
      <c r="AD1940" t="str">
        <f>"4"</f>
        <v>4</v>
      </c>
      <c r="AE1940" t="str">
        <f>"WOOD (INCLUDE STEEL STUDS)"</f>
        <v>WOOD (INCLUDE STEEL STUDS)</v>
      </c>
      <c r="AF1940" t="str">
        <f>"001"</f>
        <v>001</v>
      </c>
      <c r="AG1940" t="str">
        <f t="shared" si="728"/>
        <v>FL</v>
      </c>
      <c r="AH1940" t="str">
        <f>"6704.00"</f>
        <v>6704.00</v>
      </c>
      <c r="AI1940" t="str">
        <f>"37542.00"</f>
        <v>37542.00</v>
      </c>
      <c r="AJ1940" t="str">
        <f>"C55-001-037-7937-7"</f>
        <v>C55-001-037-7937-7</v>
      </c>
      <c r="AK1940" t="str">
        <f>"39735"</f>
        <v>39735</v>
      </c>
      <c r="AL1940">
        <v>7</v>
      </c>
      <c r="AM1940">
        <v>2215</v>
      </c>
      <c r="AN1940">
        <v>1117.32</v>
      </c>
      <c r="AQ1940" t="s">
        <v>19001</v>
      </c>
      <c r="AR1940" t="s">
        <v>19001</v>
      </c>
      <c r="AS1940" t="s">
        <v>19001</v>
      </c>
      <c r="AU1940" t="s">
        <v>396</v>
      </c>
      <c r="AV1940">
        <v>2017</v>
      </c>
      <c r="AW1940" t="str">
        <f>"00-00-30-0380-0041-0000 "</f>
        <v xml:space="preserve">00-00-30-0380-0041-0000 </v>
      </c>
      <c r="AX1940">
        <v>2327</v>
      </c>
      <c r="AZ1940" t="s">
        <v>19002</v>
      </c>
      <c r="BA1940" t="s">
        <v>496</v>
      </c>
      <c r="BD1940" t="s">
        <v>11749</v>
      </c>
      <c r="BE1940" t="s">
        <v>393</v>
      </c>
      <c r="BF1940">
        <v>32034</v>
      </c>
      <c r="BG1940" t="s">
        <v>19003</v>
      </c>
      <c r="BH1940" t="s">
        <v>11751</v>
      </c>
      <c r="BI1940">
        <v>-81.458380428300998</v>
      </c>
      <c r="BJ1940">
        <v>30.6356046816841</v>
      </c>
      <c r="BK1940" t="s">
        <v>19004</v>
      </c>
      <c r="BM1940" t="s">
        <v>19003</v>
      </c>
      <c r="BN1940" t="s">
        <v>3983</v>
      </c>
      <c r="BO1940">
        <v>32034</v>
      </c>
      <c r="BP1940" t="s">
        <v>416</v>
      </c>
      <c r="BQ1940">
        <v>100</v>
      </c>
      <c r="BR1940" t="s">
        <v>514</v>
      </c>
      <c r="BS1940">
        <v>1001</v>
      </c>
      <c r="BT1940" t="s">
        <v>515</v>
      </c>
      <c r="BU1940">
        <v>520</v>
      </c>
      <c r="BV1940">
        <v>1320</v>
      </c>
      <c r="BW1940">
        <v>6704</v>
      </c>
      <c r="BX1940" t="s">
        <v>407</v>
      </c>
      <c r="BY1940" t="s">
        <v>2221</v>
      </c>
      <c r="BZ1940">
        <v>4</v>
      </c>
      <c r="CA1940">
        <v>2005</v>
      </c>
      <c r="CB1940">
        <v>2</v>
      </c>
      <c r="CC1940">
        <v>1</v>
      </c>
      <c r="CD1940">
        <v>2017</v>
      </c>
      <c r="CG1940">
        <v>104487</v>
      </c>
      <c r="CH1940">
        <v>2017</v>
      </c>
      <c r="CI1940">
        <v>37542</v>
      </c>
      <c r="CJ1940">
        <v>98244</v>
      </c>
      <c r="CK1940">
        <v>135786</v>
      </c>
      <c r="CL1940">
        <v>2017</v>
      </c>
      <c r="CM1940">
        <v>1003.53</v>
      </c>
      <c r="DD1940" t="s">
        <v>11749</v>
      </c>
      <c r="DF1940">
        <v>41</v>
      </c>
      <c r="DG1940">
        <v>30</v>
      </c>
      <c r="DJ1940" t="s">
        <v>19005</v>
      </c>
      <c r="DL1940">
        <v>50202</v>
      </c>
      <c r="DM1940" t="s">
        <v>18678</v>
      </c>
      <c r="DO1940" t="s">
        <v>19006</v>
      </c>
      <c r="DP1940">
        <v>0</v>
      </c>
      <c r="DQ1940">
        <v>0</v>
      </c>
      <c r="DR1940" t="s">
        <v>411</v>
      </c>
      <c r="DS1940" t="b">
        <v>1</v>
      </c>
      <c r="DT1940" t="s">
        <v>470</v>
      </c>
      <c r="DU1940" t="s">
        <v>471</v>
      </c>
      <c r="DV1940" t="s">
        <v>472</v>
      </c>
      <c r="DX1940">
        <v>-9999</v>
      </c>
      <c r="DZ1940" t="s">
        <v>447</v>
      </c>
      <c r="EA1940" t="s">
        <v>448</v>
      </c>
      <c r="EB1940" t="s">
        <v>14787</v>
      </c>
      <c r="EC1940">
        <v>20101217</v>
      </c>
      <c r="ED1940" t="s">
        <v>474</v>
      </c>
      <c r="EF1940">
        <v>916.7</v>
      </c>
      <c r="EG1940">
        <v>213.6</v>
      </c>
      <c r="EI1940">
        <v>20160407</v>
      </c>
      <c r="EJ1940">
        <v>0</v>
      </c>
      <c r="EK1940">
        <v>0</v>
      </c>
      <c r="EP1940" t="s">
        <v>421</v>
      </c>
      <c r="EQ1940" t="s">
        <v>422</v>
      </c>
      <c r="ER1940">
        <v>0</v>
      </c>
      <c r="ES1940">
        <v>6</v>
      </c>
      <c r="ET1940">
        <v>0</v>
      </c>
      <c r="EU1940">
        <v>0</v>
      </c>
      <c r="EV1940">
        <v>0</v>
      </c>
      <c r="EW1940" s="2">
        <v>43222</v>
      </c>
      <c r="EX1940" s="1">
        <v>42515</v>
      </c>
      <c r="EY1940">
        <v>2015</v>
      </c>
      <c r="EZ1940">
        <v>1101.55</v>
      </c>
      <c r="FA1940" t="s">
        <v>19007</v>
      </c>
      <c r="FB1940">
        <v>0.25</v>
      </c>
      <c r="FC1940" t="s">
        <v>424</v>
      </c>
      <c r="FD1940" t="s">
        <v>425</v>
      </c>
      <c r="FE1940" s="1">
        <v>42710</v>
      </c>
      <c r="FF1940">
        <v>7</v>
      </c>
      <c r="FG1940">
        <v>7045074</v>
      </c>
      <c r="FH1940" t="s">
        <v>580</v>
      </c>
      <c r="FJ1940" s="1">
        <v>42515</v>
      </c>
      <c r="FK1940">
        <v>2015</v>
      </c>
      <c r="FL1940">
        <v>1101.55</v>
      </c>
      <c r="FM1940" t="s">
        <v>19007</v>
      </c>
      <c r="FN1940">
        <v>0.25</v>
      </c>
      <c r="FO1940" t="s">
        <v>424</v>
      </c>
      <c r="FP1940" t="s">
        <v>425</v>
      </c>
      <c r="FR1940">
        <v>22</v>
      </c>
      <c r="FS1940">
        <v>6459659</v>
      </c>
      <c r="FT1940" t="s">
        <v>19008</v>
      </c>
      <c r="FV1940" s="1">
        <v>41787</v>
      </c>
      <c r="FW1940">
        <v>2013</v>
      </c>
      <c r="FX1940">
        <v>1026.8499999999999</v>
      </c>
      <c r="FY1940" t="s">
        <v>19009</v>
      </c>
      <c r="FZ1940">
        <v>0.25</v>
      </c>
      <c r="GA1940" t="s">
        <v>424</v>
      </c>
      <c r="GB1940" t="s">
        <v>425</v>
      </c>
      <c r="GC1940" s="1">
        <v>42104</v>
      </c>
      <c r="GD1940">
        <v>11</v>
      </c>
      <c r="GE1940">
        <v>15259</v>
      </c>
      <c r="GF1940" t="s">
        <v>891</v>
      </c>
      <c r="GH1940" s="1">
        <v>41052</v>
      </c>
      <c r="GI1940">
        <v>2011</v>
      </c>
      <c r="GJ1940">
        <v>1070.92</v>
      </c>
      <c r="GK1940" t="s">
        <v>19010</v>
      </c>
      <c r="GL1940">
        <v>0.25</v>
      </c>
      <c r="GM1940" t="s">
        <v>424</v>
      </c>
      <c r="GN1940" t="s">
        <v>425</v>
      </c>
      <c r="GO1940" s="1">
        <v>41383</v>
      </c>
      <c r="GP1940">
        <v>11</v>
      </c>
      <c r="GQ1940">
        <v>13261</v>
      </c>
      <c r="GR1940" t="s">
        <v>7678</v>
      </c>
      <c r="GT1940" s="1">
        <v>41052</v>
      </c>
      <c r="GU1940">
        <v>2011</v>
      </c>
      <c r="GV1940">
        <v>1070.92</v>
      </c>
      <c r="GW1940" t="s">
        <v>19010</v>
      </c>
      <c r="GX1940">
        <v>0.25</v>
      </c>
      <c r="GY1940" t="s">
        <v>424</v>
      </c>
      <c r="GZ1940" t="s">
        <v>425</v>
      </c>
      <c r="HB1940">
        <v>22</v>
      </c>
      <c r="HC1940">
        <v>13270</v>
      </c>
      <c r="HD1940" t="s">
        <v>19011</v>
      </c>
      <c r="HF1940" s="1">
        <v>40688</v>
      </c>
      <c r="HG1940">
        <v>2010</v>
      </c>
      <c r="HH1940">
        <v>1317.54</v>
      </c>
      <c r="HI1940" t="s">
        <v>19012</v>
      </c>
      <c r="HJ1940">
        <v>0.25</v>
      </c>
      <c r="HK1940" t="s">
        <v>424</v>
      </c>
      <c r="HL1940" t="s">
        <v>425</v>
      </c>
      <c r="HM1940" s="1">
        <v>40724</v>
      </c>
      <c r="HN1940">
        <v>1</v>
      </c>
      <c r="HO1940">
        <v>10553</v>
      </c>
      <c r="HP1940" t="s">
        <v>19013</v>
      </c>
    </row>
    <row r="1941" spans="1:284" x14ac:dyDescent="0.25">
      <c r="A1941">
        <v>16486948</v>
      </c>
      <c r="B1941">
        <v>1940</v>
      </c>
      <c r="C1941" t="s">
        <v>393</v>
      </c>
      <c r="D1941" t="s">
        <v>394</v>
      </c>
      <c r="F1941" t="str">
        <f>"00-00-30-0380-0042-0000"</f>
        <v>00-00-30-0380-0042-0000</v>
      </c>
      <c r="H1941" t="str">
        <f>"ROWLAND JANAN L &amp; ROWLAND JANAN L GUARDIAN FOR LYNDON S ROWLAND"</f>
        <v>ROWLAND JANAN L &amp; ROWLAND JANAN L GUARDIAN FOR LYNDON S ROWLAND</v>
      </c>
      <c r="I1941" t="str">
        <f>""</f>
        <v/>
      </c>
      <c r="J1941" t="str">
        <f t="shared" si="729"/>
        <v>FERNANDINA BEACH FL 32034</v>
      </c>
      <c r="K1941" t="str">
        <f>"2311 AMELIA RD"</f>
        <v>2311 AMELIA RD</v>
      </c>
      <c r="L1941" t="str">
        <f t="shared" si="726"/>
        <v>FERNANDINA BEACH FL 32034</v>
      </c>
      <c r="M1941" t="str">
        <f>"LOT 42 IN OR 1698/929 ESMT IN OR 1525/1289 MARLIN PARK SUB 3/14"</f>
        <v>LOT 42 IN OR 1698/929 ESMT IN OR 1525/1289 MARLIN PARK SUB 3/14</v>
      </c>
      <c r="N1941" t="str">
        <f>""</f>
        <v/>
      </c>
      <c r="O1941" t="str">
        <f>"2208"</f>
        <v>2208</v>
      </c>
      <c r="P1941" t="str">
        <f t="shared" si="724"/>
        <v>2017</v>
      </c>
      <c r="Q1941" t="str">
        <f>""</f>
        <v/>
      </c>
      <c r="R1941" t="str">
        <f>"N"</f>
        <v>N</v>
      </c>
      <c r="S1941" t="str">
        <f>""</f>
        <v/>
      </c>
      <c r="T1941" t="str">
        <f>"577.78"</f>
        <v>577.78</v>
      </c>
      <c r="U1941" t="str">
        <f>"37542.00"</f>
        <v>37542.00</v>
      </c>
      <c r="V1941" t="str">
        <f>"37542.00"</f>
        <v>37542.00</v>
      </c>
      <c r="W1941" t="str">
        <f t="shared" si="725"/>
        <v>2017</v>
      </c>
      <c r="X1941" t="str">
        <f>"10.67"</f>
        <v>10.67</v>
      </c>
      <c r="Y1941" t="str">
        <f>"627.11"</f>
        <v>627.11</v>
      </c>
      <c r="Z1941" t="str">
        <f>""</f>
        <v/>
      </c>
      <c r="AA1941" t="str">
        <f>"37542.00"</f>
        <v>37542.00</v>
      </c>
      <c r="AB1941" t="str">
        <f t="shared" ref="AB1941:AB1972" si="730">"Residential"</f>
        <v>Residential</v>
      </c>
      <c r="AC1941" t="str">
        <f t="shared" si="710"/>
        <v>0</v>
      </c>
      <c r="AD1941" t="str">
        <f>""</f>
        <v/>
      </c>
      <c r="AE1941" t="str">
        <f>""</f>
        <v/>
      </c>
      <c r="AF1941" t="str">
        <f>"000"</f>
        <v>000</v>
      </c>
      <c r="AG1941" t="str">
        <f t="shared" si="728"/>
        <v>FL</v>
      </c>
      <c r="AH1941" t="str">
        <f>"6704.00"</f>
        <v>6704.00</v>
      </c>
      <c r="AI1941" t="str">
        <f>"37542.00"</f>
        <v>37542.00</v>
      </c>
      <c r="AJ1941" t="str">
        <f>"C55-001-024-9346-7"</f>
        <v>C55-001-024-9346-7</v>
      </c>
      <c r="AK1941" t="str">
        <f>"39736"</f>
        <v>39736</v>
      </c>
      <c r="AL1941">
        <v>7</v>
      </c>
      <c r="AM1941">
        <v>2216</v>
      </c>
      <c r="AN1941">
        <v>656.87</v>
      </c>
      <c r="AQ1941" t="s">
        <v>19014</v>
      </c>
      <c r="AR1941" t="s">
        <v>19014</v>
      </c>
      <c r="AS1941" t="s">
        <v>19014</v>
      </c>
      <c r="AU1941" t="s">
        <v>396</v>
      </c>
      <c r="AV1941">
        <v>2017</v>
      </c>
      <c r="AW1941" t="str">
        <f>"00-00-30-0380-0042-0000 "</f>
        <v xml:space="preserve">00-00-30-0380-0042-0000 </v>
      </c>
      <c r="AX1941">
        <v>2311</v>
      </c>
      <c r="AZ1941" t="s">
        <v>19002</v>
      </c>
      <c r="BA1941" t="s">
        <v>496</v>
      </c>
      <c r="BD1941" t="s">
        <v>11749</v>
      </c>
      <c r="BE1941" t="s">
        <v>393</v>
      </c>
      <c r="BF1941">
        <v>32034</v>
      </c>
      <c r="BG1941" t="s">
        <v>19015</v>
      </c>
      <c r="BH1941" t="s">
        <v>11751</v>
      </c>
      <c r="BI1941">
        <v>-81.458340387275101</v>
      </c>
      <c r="BJ1941">
        <v>30.635742678219401</v>
      </c>
      <c r="BK1941" t="s">
        <v>19016</v>
      </c>
      <c r="BL1941" t="s">
        <v>19017</v>
      </c>
      <c r="BM1941" t="s">
        <v>19003</v>
      </c>
      <c r="BN1941" t="s">
        <v>3983</v>
      </c>
      <c r="BO1941">
        <v>32034</v>
      </c>
      <c r="BP1941" t="s">
        <v>404</v>
      </c>
      <c r="BQ1941">
        <v>0</v>
      </c>
      <c r="BR1941" t="s">
        <v>491</v>
      </c>
      <c r="BS1941">
        <v>8001</v>
      </c>
      <c r="BT1941" t="s">
        <v>492</v>
      </c>
      <c r="BU1941">
        <v>520</v>
      </c>
      <c r="BV1941">
        <v>1320</v>
      </c>
      <c r="BW1941">
        <v>6704</v>
      </c>
      <c r="BX1941" t="s">
        <v>407</v>
      </c>
      <c r="BY1941" t="s">
        <v>2221</v>
      </c>
      <c r="CD1941">
        <v>2017</v>
      </c>
      <c r="CE1941">
        <v>37542</v>
      </c>
      <c r="CG1941">
        <v>37542</v>
      </c>
      <c r="CH1941">
        <v>2017</v>
      </c>
      <c r="CI1941">
        <v>37542</v>
      </c>
      <c r="CK1941">
        <v>37542</v>
      </c>
      <c r="CL1941">
        <v>2017</v>
      </c>
      <c r="CM1941">
        <v>577.78</v>
      </c>
      <c r="CN1941" s="1">
        <v>40417</v>
      </c>
      <c r="CZ1941" s="1">
        <v>40417</v>
      </c>
      <c r="DD1941" t="s">
        <v>11749</v>
      </c>
      <c r="DF1941">
        <v>42</v>
      </c>
      <c r="DG1941">
        <v>30</v>
      </c>
      <c r="DL1941">
        <v>50202</v>
      </c>
      <c r="DM1941" t="s">
        <v>18678</v>
      </c>
      <c r="DO1941" t="s">
        <v>19018</v>
      </c>
      <c r="DP1941">
        <v>0</v>
      </c>
      <c r="DQ1941">
        <v>0</v>
      </c>
      <c r="DR1941" t="s">
        <v>411</v>
      </c>
      <c r="DS1941" t="b">
        <v>1</v>
      </c>
      <c r="DT1941" t="s">
        <v>470</v>
      </c>
      <c r="DU1941" t="s">
        <v>471</v>
      </c>
      <c r="DV1941" t="s">
        <v>472</v>
      </c>
      <c r="DX1941">
        <v>-9999</v>
      </c>
      <c r="DZ1941" t="s">
        <v>447</v>
      </c>
      <c r="EA1941" t="s">
        <v>448</v>
      </c>
      <c r="EB1941" t="s">
        <v>14787</v>
      </c>
      <c r="EC1941">
        <v>20101217</v>
      </c>
      <c r="ED1941" t="s">
        <v>474</v>
      </c>
      <c r="EF1941">
        <v>935.8</v>
      </c>
      <c r="EG1941">
        <v>216.3</v>
      </c>
      <c r="EI1941">
        <v>20160407</v>
      </c>
      <c r="EJ1941">
        <v>0</v>
      </c>
      <c r="EK1941">
        <v>0</v>
      </c>
      <c r="EP1941" t="s">
        <v>421</v>
      </c>
      <c r="EQ1941" t="s">
        <v>422</v>
      </c>
      <c r="ER1941">
        <v>0</v>
      </c>
      <c r="ES1941">
        <v>4</v>
      </c>
      <c r="ET1941">
        <v>0</v>
      </c>
      <c r="EU1941">
        <v>0</v>
      </c>
      <c r="EV1941">
        <v>0</v>
      </c>
      <c r="EW1941" s="2">
        <v>43222</v>
      </c>
      <c r="EX1941" s="1">
        <v>42515</v>
      </c>
      <c r="EY1941">
        <v>2015</v>
      </c>
      <c r="EZ1941">
        <v>636</v>
      </c>
      <c r="FA1941" t="s">
        <v>19019</v>
      </c>
      <c r="FB1941">
        <v>0.25</v>
      </c>
      <c r="FC1941" t="s">
        <v>424</v>
      </c>
      <c r="FD1941" t="s">
        <v>425</v>
      </c>
      <c r="FE1941" s="1">
        <v>42710</v>
      </c>
      <c r="FF1941">
        <v>7</v>
      </c>
      <c r="FG1941">
        <v>62</v>
      </c>
      <c r="FH1941" t="s">
        <v>463</v>
      </c>
      <c r="FJ1941" s="1">
        <v>41787</v>
      </c>
      <c r="FK1941">
        <v>2013</v>
      </c>
      <c r="FL1941">
        <v>531.71</v>
      </c>
      <c r="FM1941" t="s">
        <v>19020</v>
      </c>
      <c r="FN1941">
        <v>0.25</v>
      </c>
      <c r="FO1941" t="s">
        <v>424</v>
      </c>
      <c r="FP1941" t="s">
        <v>425</v>
      </c>
      <c r="FQ1941" s="1">
        <v>42104</v>
      </c>
      <c r="FR1941">
        <v>11</v>
      </c>
      <c r="FS1941">
        <v>2101385</v>
      </c>
      <c r="FT1941" t="s">
        <v>810</v>
      </c>
      <c r="FV1941" s="1">
        <v>41052</v>
      </c>
      <c r="FW1941">
        <v>2011</v>
      </c>
      <c r="FX1941">
        <v>549.1</v>
      </c>
      <c r="FY1941" t="s">
        <v>19021</v>
      </c>
      <c r="FZ1941">
        <v>7.75</v>
      </c>
      <c r="GA1941" t="s">
        <v>424</v>
      </c>
      <c r="GB1941" t="s">
        <v>425</v>
      </c>
      <c r="GC1941" s="1">
        <v>41383</v>
      </c>
      <c r="GD1941">
        <v>11</v>
      </c>
      <c r="GE1941">
        <v>10579</v>
      </c>
      <c r="GF1941" t="s">
        <v>488</v>
      </c>
      <c r="GH1941" s="1">
        <v>40688</v>
      </c>
      <c r="GI1941">
        <v>2010</v>
      </c>
      <c r="GJ1941">
        <v>610.49</v>
      </c>
      <c r="GK1941" t="s">
        <v>19022</v>
      </c>
      <c r="GL1941">
        <v>5.75</v>
      </c>
      <c r="GM1941" t="s">
        <v>424</v>
      </c>
      <c r="GN1941" t="s">
        <v>425</v>
      </c>
      <c r="GO1941" s="1">
        <v>40724</v>
      </c>
      <c r="GP1941">
        <v>1</v>
      </c>
      <c r="GQ1941">
        <v>305</v>
      </c>
      <c r="GR1941" t="s">
        <v>1078</v>
      </c>
    </row>
    <row r="1942" spans="1:284" x14ac:dyDescent="0.25">
      <c r="A1942">
        <v>16486949</v>
      </c>
      <c r="B1942">
        <v>1941</v>
      </c>
      <c r="C1942" t="s">
        <v>393</v>
      </c>
      <c r="D1942" t="s">
        <v>394</v>
      </c>
      <c r="F1942" t="str">
        <f>"00-00-30-042C-000E-0050"</f>
        <v>00-00-30-042C-000E-0050</v>
      </c>
      <c r="H1942" t="str">
        <f>"HOMEFREE PROPERTY SOLUTIONSLLC"</f>
        <v>HOMEFREE PROPERTY SOLUTIONSLLC</v>
      </c>
      <c r="I1942" t="str">
        <f>"339 PARKVIEW AVE"</f>
        <v>339 PARKVIEW AVE</v>
      </c>
      <c r="J1942" t="str">
        <f>"GAITHERSBURG MD 20878"</f>
        <v>GAITHERSBURG MD 20878</v>
      </c>
      <c r="K1942" t="str">
        <f>"1954 CLINCH DR"</f>
        <v>1954 CLINCH DR</v>
      </c>
      <c r="L1942" t="str">
        <f t="shared" si="726"/>
        <v>FERNANDINA BEACH FL 32034</v>
      </c>
      <c r="M1942" t="str">
        <f>"BLOCK E S1/2 OF LOT 5 &amp; ALL LOT 7 IN OR 2104/1329 OAK GROVE 2 PB 2/60"</f>
        <v>BLOCK E S1/2 OF LOT 5 &amp; ALL LOT 7 IN OR 2104/1329 OAK GROVE 2 PB 2/60</v>
      </c>
      <c r="N1942" t="str">
        <f>""</f>
        <v/>
      </c>
      <c r="O1942" t="str">
        <f>"2429"</f>
        <v>2429</v>
      </c>
      <c r="P1942" t="str">
        <f t="shared" si="724"/>
        <v>2017</v>
      </c>
      <c r="Q1942" t="str">
        <f>""</f>
        <v/>
      </c>
      <c r="R1942" t="str">
        <f>"Y"</f>
        <v>Y</v>
      </c>
      <c r="S1942" t="str">
        <f>""</f>
        <v/>
      </c>
      <c r="T1942" t="str">
        <f>"1985.91"</f>
        <v>1985.91</v>
      </c>
      <c r="U1942" t="str">
        <f>"168317.00"</f>
        <v>168317.00</v>
      </c>
      <c r="V1942" t="str">
        <f>"168317.00"</f>
        <v>168317.00</v>
      </c>
      <c r="W1942" t="str">
        <f t="shared" si="725"/>
        <v>2017</v>
      </c>
      <c r="X1942" t="str">
        <f>""</f>
        <v/>
      </c>
      <c r="Y1942" t="str">
        <f>"2077.49"</f>
        <v>2077.49</v>
      </c>
      <c r="Z1942" t="str">
        <f>"25000.00"</f>
        <v>25000.00</v>
      </c>
      <c r="AA1942" t="str">
        <f>"143317.00"</f>
        <v>143317.00</v>
      </c>
      <c r="AB1942" t="str">
        <f t="shared" si="730"/>
        <v>Residential</v>
      </c>
      <c r="AC1942" t="str">
        <f t="shared" si="710"/>
        <v>0</v>
      </c>
      <c r="AD1942" t="str">
        <f>"3"</f>
        <v>3</v>
      </c>
      <c r="AE1942" t="str">
        <f>"MASONRY"</f>
        <v>MASONRY</v>
      </c>
      <c r="AF1942" t="str">
        <f>"001"</f>
        <v>001</v>
      </c>
      <c r="AG1942" t="str">
        <f>"MD"</f>
        <v>MD</v>
      </c>
      <c r="AH1942" t="str">
        <f>"22657.00"</f>
        <v>22657.00</v>
      </c>
      <c r="AI1942" t="str">
        <f>"62550.00"</f>
        <v>62550.00</v>
      </c>
      <c r="AJ1942" t="str">
        <f>"C55-000-585-2056-0"</f>
        <v>C55-000-585-2056-0</v>
      </c>
      <c r="AK1942" t="str">
        <f>"39953"</f>
        <v>39953</v>
      </c>
      <c r="AL1942">
        <v>7</v>
      </c>
      <c r="AM1942">
        <v>2217</v>
      </c>
      <c r="AN1942">
        <v>2179.7600000000002</v>
      </c>
      <c r="AQ1942" t="s">
        <v>19023</v>
      </c>
      <c r="AR1942" t="s">
        <v>19023</v>
      </c>
      <c r="AS1942" t="s">
        <v>19023</v>
      </c>
      <c r="AU1942" t="s">
        <v>396</v>
      </c>
      <c r="AV1942">
        <v>2017</v>
      </c>
      <c r="AW1942" t="str">
        <f>"00-00-30-042C-000E-0050 "</f>
        <v xml:space="preserve">00-00-30-042C-000E-0050 </v>
      </c>
      <c r="AX1942">
        <v>1954</v>
      </c>
      <c r="AZ1942" t="s">
        <v>19024</v>
      </c>
      <c r="BA1942" t="s">
        <v>669</v>
      </c>
      <c r="BD1942" t="s">
        <v>11749</v>
      </c>
      <c r="BE1942" t="s">
        <v>393</v>
      </c>
      <c r="BF1942">
        <v>32034</v>
      </c>
      <c r="BG1942" t="s">
        <v>19025</v>
      </c>
      <c r="BH1942" t="s">
        <v>11751</v>
      </c>
      <c r="BI1942">
        <v>-81.462681621341105</v>
      </c>
      <c r="BJ1942">
        <v>30.639213042655602</v>
      </c>
      <c r="BK1942" t="s">
        <v>19026</v>
      </c>
      <c r="BM1942" t="s">
        <v>19027</v>
      </c>
      <c r="BN1942" t="s">
        <v>19028</v>
      </c>
      <c r="BO1942">
        <v>20878</v>
      </c>
      <c r="BP1942" t="s">
        <v>404</v>
      </c>
      <c r="BQ1942">
        <v>100</v>
      </c>
      <c r="BR1942" t="s">
        <v>514</v>
      </c>
      <c r="BS1942">
        <v>1001</v>
      </c>
      <c r="BT1942" t="s">
        <v>515</v>
      </c>
      <c r="BU1942">
        <v>1390</v>
      </c>
      <c r="BV1942">
        <v>1630</v>
      </c>
      <c r="BW1942">
        <v>22537</v>
      </c>
      <c r="BX1942" t="s">
        <v>407</v>
      </c>
      <c r="BY1942" t="s">
        <v>7351</v>
      </c>
      <c r="BZ1942">
        <v>3</v>
      </c>
      <c r="CA1942">
        <v>1958</v>
      </c>
      <c r="CB1942">
        <v>1</v>
      </c>
      <c r="CC1942">
        <v>1</v>
      </c>
      <c r="CD1942">
        <v>2017</v>
      </c>
      <c r="CG1942">
        <v>168317</v>
      </c>
      <c r="CH1942">
        <v>2017</v>
      </c>
      <c r="CI1942">
        <v>62550</v>
      </c>
      <c r="CJ1942">
        <v>116338</v>
      </c>
      <c r="CK1942">
        <v>178888</v>
      </c>
      <c r="CL1942">
        <v>2017</v>
      </c>
      <c r="CM1942">
        <v>1985.91</v>
      </c>
      <c r="CN1942" s="1">
        <v>42797</v>
      </c>
      <c r="CO1942">
        <v>130000</v>
      </c>
      <c r="CV1942">
        <v>0</v>
      </c>
      <c r="CZ1942" s="1">
        <v>42797</v>
      </c>
      <c r="DA1942">
        <v>0</v>
      </c>
      <c r="DD1942" t="s">
        <v>11749</v>
      </c>
      <c r="DF1942">
        <v>5</v>
      </c>
      <c r="DG1942">
        <v>30</v>
      </c>
      <c r="DL1942">
        <v>50202</v>
      </c>
      <c r="DM1942" t="s">
        <v>15379</v>
      </c>
      <c r="DO1942" t="s">
        <v>19029</v>
      </c>
      <c r="DP1942">
        <v>0</v>
      </c>
      <c r="DQ1942">
        <v>1</v>
      </c>
      <c r="DR1942" t="s">
        <v>1479</v>
      </c>
    </row>
    <row r="1943" spans="1:284" x14ac:dyDescent="0.25">
      <c r="A1943">
        <v>16486950</v>
      </c>
      <c r="B1943">
        <v>1942</v>
      </c>
      <c r="C1943" t="s">
        <v>393</v>
      </c>
      <c r="D1943" t="s">
        <v>394</v>
      </c>
      <c r="F1943" t="str">
        <f>"00-00-30-042C-000G-0060"</f>
        <v>00-00-30-042C-000G-0060</v>
      </c>
      <c r="H1943" t="str">
        <f>"HASPEL ROY L"</f>
        <v>HASPEL ROY L</v>
      </c>
      <c r="I1943" t="str">
        <f>"769 MOURNING DOVE LN"</f>
        <v>769 MOURNING DOVE LN</v>
      </c>
      <c r="J1943" t="str">
        <f t="shared" ref="J1943:J1948" si="731">"FERNANDINA BEACH FL 32034"</f>
        <v>FERNANDINA BEACH FL 32034</v>
      </c>
      <c r="K1943" t="str">
        <f>"769 MOURNING DOVE LN"</f>
        <v>769 MOURNING DOVE LN</v>
      </c>
      <c r="L1943" t="str">
        <f t="shared" si="726"/>
        <v>FERNANDINA BEACH FL 32034</v>
      </c>
      <c r="M1943" t="str">
        <f>"BLOCK G LOT 6 IN OR 1982/291 OAK GROVE UNIT 2 PB 2/60"</f>
        <v>BLOCK G LOT 6 IN OR 1982/291 OAK GROVE UNIT 2 PB 2/60</v>
      </c>
      <c r="N1943" t="str">
        <f>""</f>
        <v/>
      </c>
      <c r="O1943" t="str">
        <f>"2442"</f>
        <v>2442</v>
      </c>
      <c r="P1943" t="str">
        <f t="shared" si="724"/>
        <v>2017</v>
      </c>
      <c r="Q1943" t="str">
        <f>""</f>
        <v/>
      </c>
      <c r="R1943" t="str">
        <f>"Y"</f>
        <v>Y</v>
      </c>
      <c r="S1943" t="str">
        <f>""</f>
        <v/>
      </c>
      <c r="T1943" t="str">
        <f>"1418.04"</f>
        <v>1418.04</v>
      </c>
      <c r="U1943" t="str">
        <f>"131420.00"</f>
        <v>131420.00</v>
      </c>
      <c r="V1943" t="str">
        <f>"131420.00"</f>
        <v>131420.00</v>
      </c>
      <c r="W1943" t="str">
        <f t="shared" si="725"/>
        <v>2017</v>
      </c>
      <c r="X1943" t="str">
        <f>"9.00"</f>
        <v>9.00</v>
      </c>
      <c r="Y1943" t="str">
        <f>"1492.58"</f>
        <v>1492.58</v>
      </c>
      <c r="Z1943" t="str">
        <f>"25000.00"</f>
        <v>25000.00</v>
      </c>
      <c r="AA1943" t="str">
        <f>"106420.00"</f>
        <v>106420.00</v>
      </c>
      <c r="AB1943" t="str">
        <f t="shared" si="730"/>
        <v>Residential</v>
      </c>
      <c r="AC1943" t="str">
        <f t="shared" si="710"/>
        <v>0</v>
      </c>
      <c r="AD1943" t="str">
        <f>"4"</f>
        <v>4</v>
      </c>
      <c r="AE1943" t="str">
        <f>"WOOD (INCLUDE STEEL STUDS)"</f>
        <v>WOOD (INCLUDE STEEL STUDS)</v>
      </c>
      <c r="AF1943" t="str">
        <f>"001"</f>
        <v>001</v>
      </c>
      <c r="AG1943" t="str">
        <f t="shared" ref="AG1943:AG1980" si="732">"FL"</f>
        <v>FL</v>
      </c>
      <c r="AH1943" t="str">
        <f>"10000.00"</f>
        <v>10000.00</v>
      </c>
      <c r="AI1943" t="str">
        <f>"45000.00"</f>
        <v>45000.00</v>
      </c>
      <c r="AJ1943" t="str">
        <f>"C55-000-585-2069-3"</f>
        <v>C55-000-585-2069-3</v>
      </c>
      <c r="AK1943" t="str">
        <f>"39966"</f>
        <v>39966</v>
      </c>
      <c r="AL1943">
        <v>7</v>
      </c>
      <c r="AM1943">
        <v>2218</v>
      </c>
      <c r="AN1943">
        <v>1565.61</v>
      </c>
      <c r="AQ1943" t="s">
        <v>19030</v>
      </c>
      <c r="AR1943" t="s">
        <v>19030</v>
      </c>
      <c r="AS1943" t="s">
        <v>19030</v>
      </c>
      <c r="AU1943" t="s">
        <v>396</v>
      </c>
      <c r="AV1943">
        <v>2017</v>
      </c>
      <c r="AW1943" t="str">
        <f>"00-00-30-042C-000G-0060 "</f>
        <v xml:space="preserve">00-00-30-042C-000G-0060 </v>
      </c>
      <c r="AX1943">
        <v>769</v>
      </c>
      <c r="AZ1943" t="s">
        <v>19031</v>
      </c>
      <c r="BA1943" t="s">
        <v>653</v>
      </c>
      <c r="BD1943" t="s">
        <v>11749</v>
      </c>
      <c r="BE1943" t="s">
        <v>393</v>
      </c>
      <c r="BF1943">
        <v>32034</v>
      </c>
      <c r="BG1943" t="s">
        <v>19032</v>
      </c>
      <c r="BH1943" t="s">
        <v>11751</v>
      </c>
      <c r="BI1943">
        <v>-81.460556288719701</v>
      </c>
      <c r="BJ1943">
        <v>30.6396045524538</v>
      </c>
      <c r="BK1943" t="s">
        <v>19033</v>
      </c>
      <c r="BM1943" t="s">
        <v>19034</v>
      </c>
      <c r="BN1943" t="s">
        <v>403</v>
      </c>
      <c r="BO1943">
        <v>32046</v>
      </c>
      <c r="BP1943" t="s">
        <v>404</v>
      </c>
      <c r="BQ1943">
        <v>100</v>
      </c>
      <c r="BR1943" t="s">
        <v>514</v>
      </c>
      <c r="BS1943">
        <v>1001</v>
      </c>
      <c r="BT1943" t="s">
        <v>515</v>
      </c>
      <c r="BU1943">
        <v>1000</v>
      </c>
      <c r="BV1943">
        <v>1000</v>
      </c>
      <c r="BW1943">
        <v>10001</v>
      </c>
      <c r="BX1943" t="s">
        <v>407</v>
      </c>
      <c r="BY1943" t="s">
        <v>7351</v>
      </c>
      <c r="BZ1943">
        <v>4</v>
      </c>
      <c r="CA1943">
        <v>1955</v>
      </c>
      <c r="CB1943">
        <v>1</v>
      </c>
      <c r="CC1943">
        <v>1</v>
      </c>
      <c r="CD1943">
        <v>2017</v>
      </c>
      <c r="CE1943">
        <v>45000</v>
      </c>
      <c r="CF1943">
        <v>86420</v>
      </c>
      <c r="CG1943">
        <v>131420</v>
      </c>
      <c r="CH1943">
        <v>2017</v>
      </c>
      <c r="CI1943">
        <v>45000</v>
      </c>
      <c r="CJ1943">
        <v>86420</v>
      </c>
      <c r="CK1943">
        <v>131420</v>
      </c>
      <c r="CL1943">
        <v>2017</v>
      </c>
      <c r="CM1943">
        <v>1418.04</v>
      </c>
      <c r="CN1943" s="1">
        <v>42143</v>
      </c>
      <c r="CZ1943" s="1">
        <v>42143</v>
      </c>
      <c r="DD1943" t="s">
        <v>11749</v>
      </c>
      <c r="DF1943">
        <v>6</v>
      </c>
      <c r="DG1943">
        <v>30</v>
      </c>
      <c r="DI1943">
        <v>2</v>
      </c>
      <c r="DJ1943" t="s">
        <v>19035</v>
      </c>
      <c r="DL1943">
        <v>50202</v>
      </c>
      <c r="DM1943" t="s">
        <v>18678</v>
      </c>
      <c r="DO1943" t="s">
        <v>19036</v>
      </c>
      <c r="DP1943">
        <v>0</v>
      </c>
      <c r="DQ1943">
        <v>1</v>
      </c>
      <c r="DR1943" t="s">
        <v>411</v>
      </c>
      <c r="EP1943" t="s">
        <v>421</v>
      </c>
      <c r="EQ1943" t="s">
        <v>422</v>
      </c>
      <c r="ER1943">
        <v>0</v>
      </c>
      <c r="ES1943">
        <v>1</v>
      </c>
      <c r="ET1943">
        <v>0</v>
      </c>
      <c r="EU1943">
        <v>0</v>
      </c>
      <c r="EV1943">
        <v>0</v>
      </c>
      <c r="EW1943" s="2">
        <v>43222</v>
      </c>
      <c r="EX1943" s="1">
        <v>41787</v>
      </c>
      <c r="EY1943">
        <v>2013</v>
      </c>
      <c r="EZ1943">
        <v>1418.69</v>
      </c>
      <c r="FA1943" t="s">
        <v>19037</v>
      </c>
      <c r="FB1943">
        <v>0.25</v>
      </c>
      <c r="FC1943" t="s">
        <v>424</v>
      </c>
      <c r="FD1943" t="s">
        <v>425</v>
      </c>
      <c r="FE1943" s="1">
        <v>42037</v>
      </c>
      <c r="FF1943">
        <v>9</v>
      </c>
      <c r="FG1943">
        <v>2675455</v>
      </c>
      <c r="FH1943" t="s">
        <v>1981</v>
      </c>
    </row>
    <row r="1944" spans="1:284" x14ac:dyDescent="0.25">
      <c r="A1944">
        <v>16486951</v>
      </c>
      <c r="B1944">
        <v>1943</v>
      </c>
      <c r="C1944" t="s">
        <v>393</v>
      </c>
      <c r="D1944" t="s">
        <v>394</v>
      </c>
      <c r="F1944" t="str">
        <f>"00-00-30-042C-000G-0080"</f>
        <v>00-00-30-042C-000G-0080</v>
      </c>
      <c r="H1944" t="str">
        <f>"HICKS KENNETH D"</f>
        <v>HICKS KENNETH D</v>
      </c>
      <c r="I1944" t="str">
        <f>"1963 OAK DR"</f>
        <v>1963 OAK DR</v>
      </c>
      <c r="J1944" t="str">
        <f t="shared" si="731"/>
        <v>FERNANDINA BEACH FL 32034</v>
      </c>
      <c r="K1944" t="str">
        <f>"1963 OAK DR"</f>
        <v>1963 OAK DR</v>
      </c>
      <c r="L1944" t="str">
        <f t="shared" si="726"/>
        <v>FERNANDINA BEACH FL 32034</v>
      </c>
      <c r="M1944" t="str">
        <f>"BLOCK G LOT 8 RP 2060 IN OR 1833/1061 OAK GROVE UNIT 2 PB 2/60"</f>
        <v>BLOCK G LOT 8 RP 2060 IN OR 1833/1061 OAK GROVE UNIT 2 PB 2/60</v>
      </c>
      <c r="N1944" t="str">
        <f>""</f>
        <v/>
      </c>
      <c r="O1944" t="str">
        <f>"2444"</f>
        <v>2444</v>
      </c>
      <c r="P1944" t="str">
        <f t="shared" si="724"/>
        <v>2017</v>
      </c>
      <c r="Q1944" t="str">
        <f>""</f>
        <v/>
      </c>
      <c r="R1944" t="str">
        <f>"N"</f>
        <v>N</v>
      </c>
      <c r="S1944" t="str">
        <f>""</f>
        <v/>
      </c>
      <c r="T1944" t="str">
        <f>"902.99"</f>
        <v>902.99</v>
      </c>
      <c r="U1944" t="str">
        <f>"56613.00"</f>
        <v>56613.00</v>
      </c>
      <c r="V1944" t="str">
        <f>"56613.00"</f>
        <v>56613.00</v>
      </c>
      <c r="W1944" t="str">
        <f t="shared" si="725"/>
        <v>2017</v>
      </c>
      <c r="X1944" t="str">
        <f>"19.57"</f>
        <v>19.57</v>
      </c>
      <c r="Y1944" t="str">
        <f>"962.08"</f>
        <v>962.08</v>
      </c>
      <c r="Z1944" t="str">
        <f>""</f>
        <v/>
      </c>
      <c r="AA1944" t="str">
        <f>"61417.00"</f>
        <v>61417.00</v>
      </c>
      <c r="AB1944" t="str">
        <f t="shared" si="730"/>
        <v>Residential</v>
      </c>
      <c r="AC1944" t="str">
        <f t="shared" si="710"/>
        <v>0</v>
      </c>
      <c r="AD1944" t="str">
        <f>"4"</f>
        <v>4</v>
      </c>
      <c r="AE1944" t="str">
        <f>"WOOD (INCLUDE STEEL STUDS)"</f>
        <v>WOOD (INCLUDE STEEL STUDS)</v>
      </c>
      <c r="AF1944" t="str">
        <f>"002"</f>
        <v>002</v>
      </c>
      <c r="AG1944" t="str">
        <f t="shared" si="732"/>
        <v>FL</v>
      </c>
      <c r="AH1944" t="str">
        <f>"10000.00"</f>
        <v>10000.00</v>
      </c>
      <c r="AI1944" t="str">
        <f>"45000.00"</f>
        <v>45000.00</v>
      </c>
      <c r="AJ1944" t="str">
        <f>"C55-000-585-2071-9"</f>
        <v>C55-000-585-2071-9</v>
      </c>
      <c r="AK1944" t="str">
        <f>"39968"</f>
        <v>39968</v>
      </c>
      <c r="AL1944">
        <v>7</v>
      </c>
      <c r="AM1944">
        <v>2219</v>
      </c>
      <c r="AN1944">
        <v>1008.58</v>
      </c>
      <c r="AQ1944" t="s">
        <v>19038</v>
      </c>
      <c r="AR1944" t="s">
        <v>19038</v>
      </c>
      <c r="AS1944" t="s">
        <v>19038</v>
      </c>
      <c r="AU1944" t="s">
        <v>396</v>
      </c>
      <c r="AV1944">
        <v>2017</v>
      </c>
      <c r="AW1944" t="str">
        <f>"00-00-30-042C-000G-0080 "</f>
        <v xml:space="preserve">00-00-30-042C-000G-0080 </v>
      </c>
      <c r="AX1944">
        <v>1963</v>
      </c>
      <c r="AZ1944" t="s">
        <v>4713</v>
      </c>
      <c r="BA1944" t="s">
        <v>669</v>
      </c>
      <c r="BD1944" t="s">
        <v>11749</v>
      </c>
      <c r="BE1944" t="s">
        <v>393</v>
      </c>
      <c r="BF1944">
        <v>32034</v>
      </c>
      <c r="BG1944" t="s">
        <v>19039</v>
      </c>
      <c r="BH1944" t="s">
        <v>11751</v>
      </c>
      <c r="BI1944">
        <v>-81.459926853804504</v>
      </c>
      <c r="BJ1944">
        <v>30.6396829887119</v>
      </c>
      <c r="BK1944" t="s">
        <v>19040</v>
      </c>
      <c r="BM1944" t="s">
        <v>19039</v>
      </c>
      <c r="BN1944" t="s">
        <v>3983</v>
      </c>
      <c r="BO1944">
        <v>32034</v>
      </c>
      <c r="BP1944" t="s">
        <v>404</v>
      </c>
      <c r="BQ1944">
        <v>200</v>
      </c>
      <c r="BR1944" t="s">
        <v>405</v>
      </c>
      <c r="BS1944">
        <v>1006</v>
      </c>
      <c r="BT1944" t="s">
        <v>406</v>
      </c>
      <c r="BU1944">
        <v>1000</v>
      </c>
      <c r="BV1944">
        <v>1000</v>
      </c>
      <c r="BW1944">
        <v>10000</v>
      </c>
      <c r="BX1944" t="s">
        <v>407</v>
      </c>
      <c r="BY1944" t="s">
        <v>7351</v>
      </c>
      <c r="BZ1944">
        <v>4</v>
      </c>
      <c r="CA1944">
        <v>1972</v>
      </c>
      <c r="CB1944">
        <v>1</v>
      </c>
      <c r="CC1944">
        <v>1</v>
      </c>
      <c r="CD1944">
        <v>2017</v>
      </c>
      <c r="CE1944">
        <v>45000</v>
      </c>
      <c r="CF1944">
        <v>16417</v>
      </c>
      <c r="CG1944">
        <v>61417</v>
      </c>
      <c r="CH1944">
        <v>2017</v>
      </c>
      <c r="CI1944">
        <v>45000</v>
      </c>
      <c r="CJ1944">
        <v>16417</v>
      </c>
      <c r="CK1944">
        <v>61417</v>
      </c>
      <c r="CL1944">
        <v>2017</v>
      </c>
      <c r="CM1944">
        <v>902.99</v>
      </c>
      <c r="CN1944" s="1">
        <v>41278</v>
      </c>
      <c r="CZ1944" s="1">
        <v>41278</v>
      </c>
      <c r="DD1944" t="s">
        <v>11749</v>
      </c>
      <c r="DF1944">
        <v>8</v>
      </c>
      <c r="DG1944">
        <v>30</v>
      </c>
      <c r="DI1944">
        <v>2</v>
      </c>
      <c r="DJ1944" t="s">
        <v>19035</v>
      </c>
      <c r="DL1944">
        <v>50202</v>
      </c>
      <c r="DM1944" t="s">
        <v>18678</v>
      </c>
      <c r="DO1944" t="s">
        <v>19041</v>
      </c>
      <c r="DP1944">
        <v>0</v>
      </c>
      <c r="DQ1944">
        <v>3</v>
      </c>
      <c r="DR1944" t="s">
        <v>1479</v>
      </c>
      <c r="DS1944" t="b">
        <v>1</v>
      </c>
      <c r="DT1944" t="s">
        <v>470</v>
      </c>
      <c r="DU1944" t="s">
        <v>471</v>
      </c>
      <c r="DV1944" t="s">
        <v>472</v>
      </c>
      <c r="DX1944">
        <v>-9999</v>
      </c>
      <c r="DZ1944" t="s">
        <v>447</v>
      </c>
      <c r="EA1944" t="s">
        <v>448</v>
      </c>
      <c r="EB1944" t="s">
        <v>14787</v>
      </c>
      <c r="EC1944">
        <v>20101217</v>
      </c>
      <c r="ED1944" t="s">
        <v>474</v>
      </c>
      <c r="EF1944">
        <v>936.3</v>
      </c>
      <c r="EG1944">
        <v>676.5</v>
      </c>
      <c r="EI1944">
        <v>20160407</v>
      </c>
      <c r="EJ1944">
        <v>0</v>
      </c>
      <c r="EK1944">
        <v>0</v>
      </c>
      <c r="EP1944" t="s">
        <v>595</v>
      </c>
      <c r="EQ1944" t="s">
        <v>422</v>
      </c>
      <c r="ER1944">
        <v>7</v>
      </c>
      <c r="ES1944">
        <v>4</v>
      </c>
      <c r="ET1944">
        <v>6234.88</v>
      </c>
      <c r="EU1944">
        <v>355.49</v>
      </c>
      <c r="EV1944">
        <v>6590.37</v>
      </c>
      <c r="EW1944" s="2">
        <v>43222</v>
      </c>
      <c r="EX1944" s="1">
        <v>42879</v>
      </c>
      <c r="EY1944">
        <v>2016</v>
      </c>
      <c r="EZ1944">
        <v>1005.54</v>
      </c>
      <c r="FA1944" t="s">
        <v>19042</v>
      </c>
      <c r="FB1944">
        <v>0.25</v>
      </c>
      <c r="FC1944" t="s">
        <v>424</v>
      </c>
      <c r="FD1944" t="s">
        <v>454</v>
      </c>
      <c r="FF1944">
        <v>12</v>
      </c>
      <c r="FG1944">
        <v>7400234</v>
      </c>
      <c r="FH1944" t="s">
        <v>426</v>
      </c>
      <c r="FJ1944" s="1">
        <v>42879</v>
      </c>
      <c r="FK1944">
        <v>2016</v>
      </c>
      <c r="FL1944">
        <v>1005.54</v>
      </c>
      <c r="FM1944" t="s">
        <v>19042</v>
      </c>
      <c r="FN1944">
        <v>0.25</v>
      </c>
      <c r="FO1944" t="s">
        <v>424</v>
      </c>
      <c r="FP1944" t="s">
        <v>454</v>
      </c>
      <c r="FR1944">
        <v>12</v>
      </c>
      <c r="FS1944">
        <v>7553029</v>
      </c>
      <c r="FT1944" t="s">
        <v>19043</v>
      </c>
      <c r="FV1944" s="1">
        <v>42515</v>
      </c>
      <c r="FW1944">
        <v>2015</v>
      </c>
      <c r="FX1944">
        <v>977.96</v>
      </c>
      <c r="FY1944" t="s">
        <v>19044</v>
      </c>
      <c r="FZ1944">
        <v>0.25</v>
      </c>
      <c r="GA1944" t="s">
        <v>424</v>
      </c>
      <c r="GB1944" t="s">
        <v>454</v>
      </c>
      <c r="GD1944">
        <v>24</v>
      </c>
      <c r="GE1944">
        <v>2851116</v>
      </c>
      <c r="GF1944" t="s">
        <v>480</v>
      </c>
      <c r="GH1944" s="1">
        <v>42515</v>
      </c>
      <c r="GI1944">
        <v>2015</v>
      </c>
      <c r="GJ1944">
        <v>977.96</v>
      </c>
      <c r="GK1944" t="s">
        <v>19044</v>
      </c>
      <c r="GL1944">
        <v>0.25</v>
      </c>
      <c r="GM1944" t="s">
        <v>424</v>
      </c>
      <c r="GN1944" t="s">
        <v>454</v>
      </c>
      <c r="GP1944">
        <v>24</v>
      </c>
      <c r="GQ1944">
        <v>5395170</v>
      </c>
      <c r="GR1944" t="s">
        <v>19045</v>
      </c>
      <c r="GT1944" s="1">
        <v>42151</v>
      </c>
      <c r="GU1944">
        <v>2014</v>
      </c>
      <c r="GV1944">
        <v>755.96</v>
      </c>
      <c r="GW1944" t="s">
        <v>19046</v>
      </c>
      <c r="GX1944">
        <v>0.25</v>
      </c>
      <c r="GY1944" t="s">
        <v>424</v>
      </c>
      <c r="GZ1944" t="s">
        <v>454</v>
      </c>
      <c r="HB1944">
        <v>36</v>
      </c>
      <c r="HC1944">
        <v>2851116</v>
      </c>
      <c r="HD1944" t="s">
        <v>480</v>
      </c>
      <c r="HF1944" s="1">
        <v>42151</v>
      </c>
      <c r="HG1944">
        <v>2014</v>
      </c>
      <c r="HH1944">
        <v>755.96</v>
      </c>
      <c r="HI1944" t="s">
        <v>19046</v>
      </c>
      <c r="HJ1944">
        <v>0.25</v>
      </c>
      <c r="HK1944" t="s">
        <v>424</v>
      </c>
      <c r="HL1944" t="s">
        <v>454</v>
      </c>
      <c r="HN1944">
        <v>36</v>
      </c>
      <c r="HO1944">
        <v>5075025</v>
      </c>
      <c r="HP1944" t="s">
        <v>19047</v>
      </c>
      <c r="HR1944" s="1">
        <v>42151</v>
      </c>
      <c r="HS1944">
        <v>2014</v>
      </c>
      <c r="HT1944">
        <v>755.96</v>
      </c>
      <c r="HU1944" t="s">
        <v>19046</v>
      </c>
      <c r="HV1944">
        <v>0.25</v>
      </c>
      <c r="HW1944" t="s">
        <v>424</v>
      </c>
      <c r="HX1944" t="s">
        <v>454</v>
      </c>
      <c r="HZ1944">
        <v>36</v>
      </c>
      <c r="IA1944">
        <v>7336670</v>
      </c>
      <c r="IB1944" t="s">
        <v>2102</v>
      </c>
      <c r="ID1944" s="1">
        <v>41787</v>
      </c>
      <c r="IE1944">
        <v>2013</v>
      </c>
      <c r="IF1944">
        <v>188.07</v>
      </c>
      <c r="IG1944" t="s">
        <v>19048</v>
      </c>
      <c r="IH1944">
        <v>18</v>
      </c>
      <c r="II1944" t="s">
        <v>603</v>
      </c>
      <c r="IJ1944" t="s">
        <v>425</v>
      </c>
      <c r="IL1944">
        <v>22</v>
      </c>
      <c r="IM1944">
        <v>9999999</v>
      </c>
      <c r="IN1944" t="s">
        <v>604</v>
      </c>
      <c r="IP1944" s="1">
        <v>41787</v>
      </c>
      <c r="IQ1944">
        <v>2013</v>
      </c>
      <c r="IR1944">
        <v>222.53</v>
      </c>
      <c r="IS1944" t="s">
        <v>19048</v>
      </c>
      <c r="IT1944">
        <v>18</v>
      </c>
      <c r="IU1944" t="s">
        <v>424</v>
      </c>
      <c r="IV1944" t="s">
        <v>425</v>
      </c>
      <c r="IW1944" s="1">
        <v>42426</v>
      </c>
      <c r="IX1944">
        <v>21</v>
      </c>
      <c r="IY1944">
        <v>4844951</v>
      </c>
      <c r="IZ1944" t="s">
        <v>697</v>
      </c>
      <c r="JB1944" s="1">
        <v>41423</v>
      </c>
      <c r="JC1944">
        <v>2012</v>
      </c>
      <c r="JD1944">
        <v>180.24</v>
      </c>
      <c r="JE1944" t="s">
        <v>19049</v>
      </c>
      <c r="JF1944">
        <v>18</v>
      </c>
      <c r="JG1944" t="s">
        <v>603</v>
      </c>
      <c r="JH1944" t="s">
        <v>425</v>
      </c>
      <c r="JI1944" s="1">
        <v>42066</v>
      </c>
      <c r="JJ1944">
        <v>22</v>
      </c>
      <c r="JK1944">
        <v>9999999</v>
      </c>
      <c r="JL1944" t="s">
        <v>604</v>
      </c>
      <c r="JN1944" s="1">
        <v>41052</v>
      </c>
      <c r="JO1944">
        <v>2011</v>
      </c>
      <c r="JP1944">
        <v>150.83000000000001</v>
      </c>
      <c r="JQ1944" t="s">
        <v>19050</v>
      </c>
      <c r="JR1944">
        <v>18</v>
      </c>
      <c r="JS1944" t="s">
        <v>603</v>
      </c>
      <c r="JT1944" t="s">
        <v>425</v>
      </c>
      <c r="JU1944" s="1">
        <v>41697</v>
      </c>
      <c r="JV1944">
        <v>21</v>
      </c>
      <c r="JW1944">
        <v>9999999</v>
      </c>
      <c r="JX1944" t="s">
        <v>604</v>
      </c>
    </row>
    <row r="1945" spans="1:284" x14ac:dyDescent="0.25">
      <c r="A1945">
        <v>16486952</v>
      </c>
      <c r="B1945">
        <v>1944</v>
      </c>
      <c r="C1945" t="s">
        <v>393</v>
      </c>
      <c r="D1945" t="s">
        <v>394</v>
      </c>
      <c r="F1945" t="str">
        <f>"00-00-30-042D-000M-0050"</f>
        <v>00-00-30-042D-000M-0050</v>
      </c>
      <c r="H1945" t="str">
        <f>"GIBSON NANCY"</f>
        <v>GIBSON NANCY</v>
      </c>
      <c r="I1945" t="str">
        <f>"2202 WILL HARDEE ROAD"</f>
        <v>2202 WILL HARDEE ROAD</v>
      </c>
      <c r="J1945" t="str">
        <f t="shared" si="731"/>
        <v>FERNANDINA BEACH FL 32034</v>
      </c>
      <c r="K1945" t="str">
        <f>"1888 PINE DR"</f>
        <v>1888 PINE DR</v>
      </c>
      <c r="L1945" t="str">
        <f t="shared" si="726"/>
        <v>FERNANDINA BEACH FL 32034</v>
      </c>
      <c r="M1945" t="str">
        <f>"BLOCK M LOT 5 &amp; S 15 OF LOT 1 IN OR 833/1607 OAK GROVE 3 PB 3/51"</f>
        <v>BLOCK M LOT 5 &amp; S 15 OF LOT 1 IN OR 833/1607 OAK GROVE 3 PB 3/51</v>
      </c>
      <c r="N1945" t="str">
        <f>""</f>
        <v/>
      </c>
      <c r="O1945" t="str">
        <f>"2471"</f>
        <v>2471</v>
      </c>
      <c r="P1945" t="str">
        <f t="shared" si="724"/>
        <v>2017</v>
      </c>
      <c r="Q1945" t="str">
        <f>""</f>
        <v/>
      </c>
      <c r="R1945" t="str">
        <f>"N"</f>
        <v>N</v>
      </c>
      <c r="S1945" t="str">
        <f>""</f>
        <v/>
      </c>
      <c r="T1945" t="str">
        <f>"1030.19"</f>
        <v>1030.19</v>
      </c>
      <c r="U1945" t="str">
        <f>"66000.00"</f>
        <v>66000.00</v>
      </c>
      <c r="V1945" t="str">
        <f>"66000.00"</f>
        <v>66000.00</v>
      </c>
      <c r="W1945" t="str">
        <f t="shared" si="725"/>
        <v>2017</v>
      </c>
      <c r="X1945" t="str">
        <f>"9.75"</f>
        <v>9.75</v>
      </c>
      <c r="Y1945" t="str">
        <f>"1093.10"</f>
        <v>1093.10</v>
      </c>
      <c r="Z1945" t="str">
        <f>""</f>
        <v/>
      </c>
      <c r="AA1945" t="str">
        <f>"70703.00"</f>
        <v>70703.00</v>
      </c>
      <c r="AB1945" t="str">
        <f t="shared" si="730"/>
        <v>Residential</v>
      </c>
      <c r="AC1945" t="str">
        <f t="shared" si="710"/>
        <v>0</v>
      </c>
      <c r="AD1945" t="str">
        <f>""</f>
        <v/>
      </c>
      <c r="AE1945" t="str">
        <f>""</f>
        <v/>
      </c>
      <c r="AF1945" t="str">
        <f>"000"</f>
        <v>000</v>
      </c>
      <c r="AG1945" t="str">
        <f t="shared" si="732"/>
        <v>FL</v>
      </c>
      <c r="AH1945" t="str">
        <f>"16100.00"</f>
        <v>16100.00</v>
      </c>
      <c r="AI1945" t="str">
        <f>"51750.00"</f>
        <v>51750.00</v>
      </c>
      <c r="AJ1945" t="str">
        <f>"C55-000-585-2095-8"</f>
        <v>C55-000-585-2095-8</v>
      </c>
      <c r="AK1945" t="str">
        <f>"39994"</f>
        <v>39994</v>
      </c>
      <c r="AL1945">
        <v>7</v>
      </c>
      <c r="AM1945">
        <v>2222</v>
      </c>
      <c r="AN1945">
        <v>1146.1600000000001</v>
      </c>
      <c r="AQ1945" t="s">
        <v>19051</v>
      </c>
      <c r="AR1945" t="s">
        <v>19051</v>
      </c>
      <c r="AS1945" t="s">
        <v>19051</v>
      </c>
      <c r="AU1945" t="s">
        <v>396</v>
      </c>
      <c r="AV1945">
        <v>2017</v>
      </c>
      <c r="AW1945" t="str">
        <f>"00-00-30-042D-000M-0050 "</f>
        <v xml:space="preserve">00-00-30-042D-000M-0050 </v>
      </c>
      <c r="AX1945">
        <v>1888</v>
      </c>
      <c r="AZ1945" t="s">
        <v>4621</v>
      </c>
      <c r="BA1945" t="s">
        <v>669</v>
      </c>
      <c r="BD1945" t="s">
        <v>11749</v>
      </c>
      <c r="BE1945" t="s">
        <v>393</v>
      </c>
      <c r="BF1945">
        <v>32034</v>
      </c>
      <c r="BG1945" t="s">
        <v>19052</v>
      </c>
      <c r="BH1945" t="s">
        <v>11751</v>
      </c>
      <c r="BI1945">
        <v>-81.461816587319703</v>
      </c>
      <c r="BJ1945">
        <v>30.6416286722514</v>
      </c>
      <c r="BK1945" t="s">
        <v>19053</v>
      </c>
      <c r="BM1945" t="s">
        <v>19054</v>
      </c>
      <c r="BN1945" t="s">
        <v>3983</v>
      </c>
      <c r="BO1945">
        <v>32034</v>
      </c>
      <c r="BP1945" t="s">
        <v>404</v>
      </c>
      <c r="BQ1945">
        <v>1</v>
      </c>
      <c r="BR1945" t="s">
        <v>491</v>
      </c>
      <c r="BS1945">
        <v>8001</v>
      </c>
      <c r="BT1945" t="s">
        <v>492</v>
      </c>
      <c r="BU1945">
        <v>1150</v>
      </c>
      <c r="BV1945">
        <v>1400</v>
      </c>
      <c r="BW1945">
        <v>16500</v>
      </c>
      <c r="BX1945" t="s">
        <v>407</v>
      </c>
      <c r="BY1945" t="s">
        <v>7351</v>
      </c>
      <c r="CD1945">
        <v>2017</v>
      </c>
      <c r="CE1945">
        <v>51750</v>
      </c>
      <c r="CF1945">
        <v>18953</v>
      </c>
      <c r="CG1945">
        <v>70703</v>
      </c>
      <c r="CH1945">
        <v>2017</v>
      </c>
      <c r="CI1945">
        <v>51750</v>
      </c>
      <c r="CJ1945">
        <v>18953</v>
      </c>
      <c r="CK1945">
        <v>70703</v>
      </c>
      <c r="CL1945">
        <v>2017</v>
      </c>
      <c r="CM1945">
        <v>1030.19</v>
      </c>
      <c r="CN1945" s="1">
        <v>35928</v>
      </c>
      <c r="CZ1945" s="1">
        <v>35928</v>
      </c>
      <c r="DD1945" t="s">
        <v>11749</v>
      </c>
      <c r="DF1945">
        <v>5</v>
      </c>
      <c r="DG1945">
        <v>30</v>
      </c>
      <c r="DJ1945" t="s">
        <v>19035</v>
      </c>
      <c r="DL1945">
        <v>50202</v>
      </c>
      <c r="DM1945" t="s">
        <v>18678</v>
      </c>
      <c r="DO1945" t="s">
        <v>19055</v>
      </c>
      <c r="DP1945">
        <v>0</v>
      </c>
      <c r="DQ1945">
        <v>0</v>
      </c>
      <c r="DR1945" t="s">
        <v>411</v>
      </c>
      <c r="DS1945" t="b">
        <v>1</v>
      </c>
      <c r="DT1945" t="s">
        <v>470</v>
      </c>
      <c r="DU1945" t="s">
        <v>471</v>
      </c>
      <c r="DV1945" t="s">
        <v>472</v>
      </c>
      <c r="DX1945">
        <v>-9999</v>
      </c>
      <c r="DZ1945" t="s">
        <v>447</v>
      </c>
      <c r="EA1945" t="s">
        <v>448</v>
      </c>
      <c r="EB1945" t="s">
        <v>14787</v>
      </c>
      <c r="EC1945">
        <v>20101217</v>
      </c>
      <c r="ED1945" t="s">
        <v>474</v>
      </c>
      <c r="EF1945">
        <v>457.9</v>
      </c>
      <c r="EG1945">
        <v>290.7</v>
      </c>
      <c r="EI1945">
        <v>20160407</v>
      </c>
      <c r="EJ1945">
        <v>0</v>
      </c>
      <c r="EK1945">
        <v>0</v>
      </c>
      <c r="EP1945" t="s">
        <v>421</v>
      </c>
      <c r="EQ1945" t="s">
        <v>422</v>
      </c>
      <c r="ER1945">
        <v>2</v>
      </c>
      <c r="ES1945">
        <v>3</v>
      </c>
      <c r="ET1945">
        <v>2169.34</v>
      </c>
      <c r="EU1945">
        <v>120.97</v>
      </c>
      <c r="EV1945">
        <v>2290.31</v>
      </c>
      <c r="EW1945" s="2">
        <v>43222</v>
      </c>
      <c r="EX1945" s="1">
        <v>42879</v>
      </c>
      <c r="EY1945">
        <v>2016</v>
      </c>
      <c r="EZ1945">
        <v>1084.67</v>
      </c>
      <c r="FA1945" t="s">
        <v>19056</v>
      </c>
      <c r="FB1945">
        <v>0.25</v>
      </c>
      <c r="FC1945" t="s">
        <v>424</v>
      </c>
      <c r="FD1945" t="s">
        <v>454</v>
      </c>
      <c r="FF1945">
        <v>12</v>
      </c>
      <c r="FG1945">
        <v>11289</v>
      </c>
      <c r="FH1945" t="s">
        <v>787</v>
      </c>
      <c r="FJ1945" s="1">
        <v>42879</v>
      </c>
      <c r="FK1945">
        <v>2016</v>
      </c>
      <c r="FL1945">
        <v>1084.67</v>
      </c>
      <c r="FM1945" t="s">
        <v>19056</v>
      </c>
      <c r="FN1945">
        <v>0.25</v>
      </c>
      <c r="FO1945" t="s">
        <v>424</v>
      </c>
      <c r="FP1945" t="s">
        <v>454</v>
      </c>
      <c r="FR1945">
        <v>12</v>
      </c>
      <c r="FS1945">
        <v>7243583</v>
      </c>
      <c r="FT1945" t="s">
        <v>19057</v>
      </c>
      <c r="FV1945" s="1">
        <v>42515</v>
      </c>
      <c r="FW1945">
        <v>2015</v>
      </c>
      <c r="FX1945">
        <v>1058.9000000000001</v>
      </c>
      <c r="FY1945" t="s">
        <v>19058</v>
      </c>
      <c r="FZ1945">
        <v>0.25</v>
      </c>
      <c r="GA1945" t="s">
        <v>424</v>
      </c>
      <c r="GB1945" t="s">
        <v>425</v>
      </c>
      <c r="GC1945" s="1">
        <v>42601</v>
      </c>
      <c r="GD1945">
        <v>3</v>
      </c>
      <c r="GE1945">
        <v>7336671</v>
      </c>
      <c r="GF1945" t="s">
        <v>437</v>
      </c>
      <c r="GH1945" s="1">
        <v>42515</v>
      </c>
      <c r="GI1945">
        <v>2015</v>
      </c>
      <c r="GJ1945">
        <v>1058.9000000000001</v>
      </c>
      <c r="GK1945" t="s">
        <v>19058</v>
      </c>
      <c r="GL1945">
        <v>0.25</v>
      </c>
      <c r="GM1945" t="s">
        <v>424</v>
      </c>
      <c r="GN1945" t="s">
        <v>425</v>
      </c>
      <c r="GP1945">
        <v>22</v>
      </c>
      <c r="GQ1945">
        <v>6717995</v>
      </c>
      <c r="GR1945" t="s">
        <v>19059</v>
      </c>
      <c r="GT1945" s="1">
        <v>41787</v>
      </c>
      <c r="GU1945">
        <v>2013</v>
      </c>
      <c r="GV1945">
        <v>770.39</v>
      </c>
      <c r="GW1945" t="s">
        <v>19060</v>
      </c>
      <c r="GX1945">
        <v>0.25</v>
      </c>
      <c r="GY1945" t="s">
        <v>424</v>
      </c>
      <c r="GZ1945" t="s">
        <v>425</v>
      </c>
      <c r="HA1945" s="1">
        <v>42081</v>
      </c>
      <c r="HB1945">
        <v>10</v>
      </c>
      <c r="HC1945">
        <v>15259</v>
      </c>
      <c r="HD1945" t="s">
        <v>891</v>
      </c>
    </row>
    <row r="1946" spans="1:284" x14ac:dyDescent="0.25">
      <c r="A1946">
        <v>16486953</v>
      </c>
      <c r="B1946">
        <v>1945</v>
      </c>
      <c r="C1946" t="s">
        <v>393</v>
      </c>
      <c r="D1946" t="s">
        <v>394</v>
      </c>
      <c r="F1946" t="str">
        <f>"00-00-30-042D-000N-0050"</f>
        <v>00-00-30-042D-000N-0050</v>
      </c>
      <c r="H1946" t="str">
        <f>"DRURY JOHNNY C EST"</f>
        <v>DRURY JOHNNY C EST</v>
      </c>
      <c r="I1946" t="str">
        <f>"1893 PALM DRIVE"</f>
        <v>1893 PALM DRIVE</v>
      </c>
      <c r="J1946" t="str">
        <f t="shared" si="731"/>
        <v>FERNANDINA BEACH FL 32034</v>
      </c>
      <c r="K1946" t="str">
        <f>"1893 PALM DR"</f>
        <v>1893 PALM DR</v>
      </c>
      <c r="L1946" t="str">
        <f t="shared" si="726"/>
        <v>FERNANDINA BEACH FL 32034</v>
      </c>
      <c r="M1946" t="str">
        <f>"BLOCK N LOT 5 IN OR 1124/1818 OAK GROVE SUB 3 PB 3/51"</f>
        <v>BLOCK N LOT 5 IN OR 1124/1818 OAK GROVE SUB 3 PB 3/51</v>
      </c>
      <c r="N1946" t="str">
        <f>""</f>
        <v/>
      </c>
      <c r="O1946" t="str">
        <f>"2477"</f>
        <v>2477</v>
      </c>
      <c r="P1946" t="str">
        <f t="shared" si="724"/>
        <v>2017</v>
      </c>
      <c r="Q1946" t="str">
        <f>""</f>
        <v/>
      </c>
      <c r="R1946" t="str">
        <f>"N"</f>
        <v>N</v>
      </c>
      <c r="S1946" t="str">
        <f>""</f>
        <v/>
      </c>
      <c r="T1946" t="str">
        <f>"1737.78"</f>
        <v>1737.78</v>
      </c>
      <c r="U1946" t="str">
        <f>"112913.00"</f>
        <v>112913.00</v>
      </c>
      <c r="V1946" t="str">
        <f>"112913.00"</f>
        <v>112913.00</v>
      </c>
      <c r="W1946" t="str">
        <f t="shared" si="725"/>
        <v>2017</v>
      </c>
      <c r="X1946" t="str">
        <f>"2.00"</f>
        <v>2.00</v>
      </c>
      <c r="Y1946" t="str">
        <f>"1821.91"</f>
        <v>1821.91</v>
      </c>
      <c r="Z1946" t="str">
        <f>""</f>
        <v/>
      </c>
      <c r="AA1946" t="str">
        <f>"112913.00"</f>
        <v>112913.00</v>
      </c>
      <c r="AB1946" t="str">
        <f t="shared" si="730"/>
        <v>Residential</v>
      </c>
      <c r="AC1946" t="str">
        <f t="shared" si="710"/>
        <v>0</v>
      </c>
      <c r="AD1946" t="str">
        <f t="shared" ref="AD1946:AD1951" si="733">"4"</f>
        <v>4</v>
      </c>
      <c r="AE1946" t="str">
        <f t="shared" ref="AE1946:AE1951" si="734">"WOOD (INCLUDE STEEL STUDS)"</f>
        <v>WOOD (INCLUDE STEEL STUDS)</v>
      </c>
      <c r="AF1946" t="str">
        <f>"001"</f>
        <v>001</v>
      </c>
      <c r="AG1946" t="str">
        <f t="shared" si="732"/>
        <v>FL</v>
      </c>
      <c r="AH1946" t="str">
        <f>"15000.00"</f>
        <v>15000.00</v>
      </c>
      <c r="AI1946" t="str">
        <f>"45000.00"</f>
        <v>45000.00</v>
      </c>
      <c r="AJ1946" t="str">
        <f>"C55-000-585-2101-4"</f>
        <v>C55-000-585-2101-4</v>
      </c>
      <c r="AK1946" t="str">
        <f>"40000"</f>
        <v>40000</v>
      </c>
      <c r="AL1946">
        <v>7</v>
      </c>
      <c r="AM1946">
        <v>2223</v>
      </c>
      <c r="AN1946">
        <v>1911.41</v>
      </c>
      <c r="AQ1946" t="s">
        <v>19061</v>
      </c>
      <c r="AR1946" t="s">
        <v>19061</v>
      </c>
      <c r="AS1946" t="s">
        <v>19061</v>
      </c>
      <c r="AU1946" t="s">
        <v>396</v>
      </c>
      <c r="AV1946">
        <v>2017</v>
      </c>
      <c r="AW1946" t="str">
        <f>"00-00-30-042D-000N-0050 "</f>
        <v xml:space="preserve">00-00-30-042D-000N-0050 </v>
      </c>
      <c r="AX1946">
        <v>1893</v>
      </c>
      <c r="AZ1946" t="s">
        <v>16753</v>
      </c>
      <c r="BA1946" t="s">
        <v>669</v>
      </c>
      <c r="BD1946" t="s">
        <v>11749</v>
      </c>
      <c r="BE1946" t="s">
        <v>393</v>
      </c>
      <c r="BF1946">
        <v>32034</v>
      </c>
      <c r="BG1946" t="s">
        <v>19062</v>
      </c>
      <c r="BH1946" t="s">
        <v>11751</v>
      </c>
      <c r="BI1946">
        <v>-81.460768455548106</v>
      </c>
      <c r="BJ1946">
        <v>30.6417447893282</v>
      </c>
      <c r="BK1946" t="s">
        <v>19063</v>
      </c>
      <c r="BM1946" t="s">
        <v>19062</v>
      </c>
      <c r="BN1946" t="s">
        <v>3983</v>
      </c>
      <c r="BO1946">
        <v>32034</v>
      </c>
      <c r="BP1946" t="s">
        <v>416</v>
      </c>
      <c r="BQ1946">
        <v>100</v>
      </c>
      <c r="BR1946" t="s">
        <v>514</v>
      </c>
      <c r="BS1946">
        <v>1001</v>
      </c>
      <c r="BT1946" t="s">
        <v>515</v>
      </c>
      <c r="BU1946">
        <v>1000</v>
      </c>
      <c r="BV1946">
        <v>1500</v>
      </c>
      <c r="BW1946">
        <v>15001</v>
      </c>
      <c r="BX1946" t="s">
        <v>407</v>
      </c>
      <c r="BY1946" t="s">
        <v>7351</v>
      </c>
      <c r="BZ1946">
        <v>4</v>
      </c>
      <c r="CA1946">
        <v>1941</v>
      </c>
      <c r="CB1946">
        <v>1</v>
      </c>
      <c r="CC1946">
        <v>1</v>
      </c>
      <c r="CD1946">
        <v>2017</v>
      </c>
      <c r="CE1946">
        <v>45000</v>
      </c>
      <c r="CF1946">
        <v>67913</v>
      </c>
      <c r="CG1946">
        <v>112913</v>
      </c>
      <c r="CH1946">
        <v>2017</v>
      </c>
      <c r="CI1946">
        <v>45000</v>
      </c>
      <c r="CJ1946">
        <v>67913</v>
      </c>
      <c r="CK1946">
        <v>112913</v>
      </c>
      <c r="CL1946">
        <v>2017</v>
      </c>
      <c r="CM1946">
        <v>1737.78</v>
      </c>
      <c r="CN1946" s="1">
        <v>37707</v>
      </c>
      <c r="CO1946">
        <v>101500</v>
      </c>
      <c r="CV1946">
        <v>0</v>
      </c>
      <c r="CZ1946" s="1">
        <v>37707</v>
      </c>
      <c r="DA1946">
        <v>0</v>
      </c>
      <c r="DD1946" t="s">
        <v>11749</v>
      </c>
      <c r="DF1946">
        <v>5</v>
      </c>
      <c r="DG1946">
        <v>30</v>
      </c>
      <c r="DJ1946" t="s">
        <v>19035</v>
      </c>
      <c r="DL1946">
        <v>50202</v>
      </c>
      <c r="DM1946" t="s">
        <v>18678</v>
      </c>
      <c r="DO1946" t="s">
        <v>19064</v>
      </c>
      <c r="DP1946">
        <v>0</v>
      </c>
      <c r="DQ1946">
        <v>0</v>
      </c>
      <c r="DR1946" t="s">
        <v>411</v>
      </c>
      <c r="EP1946" t="s">
        <v>421</v>
      </c>
      <c r="EQ1946" t="s">
        <v>422</v>
      </c>
      <c r="ER1946">
        <v>0</v>
      </c>
      <c r="ES1946">
        <v>2</v>
      </c>
      <c r="ET1946">
        <v>0</v>
      </c>
      <c r="EU1946">
        <v>0</v>
      </c>
      <c r="EV1946">
        <v>0</v>
      </c>
      <c r="EW1946" s="2">
        <v>43222</v>
      </c>
      <c r="EX1946" s="1">
        <v>41052</v>
      </c>
      <c r="EY1946">
        <v>2011</v>
      </c>
      <c r="EZ1946">
        <v>909.62</v>
      </c>
      <c r="FA1946" t="s">
        <v>19065</v>
      </c>
      <c r="FB1946">
        <v>0.25</v>
      </c>
      <c r="FC1946" t="s">
        <v>424</v>
      </c>
      <c r="FD1946" t="s">
        <v>425</v>
      </c>
      <c r="FE1946" s="1">
        <v>41095</v>
      </c>
      <c r="FF1946">
        <v>2</v>
      </c>
      <c r="FG1946">
        <v>13652</v>
      </c>
      <c r="FH1946" t="s">
        <v>19066</v>
      </c>
      <c r="FJ1946" s="1">
        <v>40688</v>
      </c>
      <c r="FK1946">
        <v>2010</v>
      </c>
      <c r="FL1946">
        <v>964.14</v>
      </c>
      <c r="FM1946" t="s">
        <v>19067</v>
      </c>
      <c r="FN1946">
        <v>0.25</v>
      </c>
      <c r="FO1946" t="s">
        <v>424</v>
      </c>
      <c r="FP1946" t="s">
        <v>425</v>
      </c>
      <c r="FQ1946" s="1">
        <v>40724</v>
      </c>
      <c r="FR1946">
        <v>1</v>
      </c>
      <c r="FS1946">
        <v>11177</v>
      </c>
      <c r="FT1946" t="s">
        <v>650</v>
      </c>
    </row>
    <row r="1947" spans="1:284" x14ac:dyDescent="0.25">
      <c r="A1947">
        <v>16486954</v>
      </c>
      <c r="B1947">
        <v>1946</v>
      </c>
      <c r="C1947" t="s">
        <v>393</v>
      </c>
      <c r="D1947" t="s">
        <v>394</v>
      </c>
      <c r="F1947" t="str">
        <f>"00-00-30-042D-000P-0060"</f>
        <v>00-00-30-042D-000P-0060</v>
      </c>
      <c r="H1947" t="str">
        <f>"TAYLOR JIMMY M"</f>
        <v>TAYLOR JIMMY M</v>
      </c>
      <c r="I1947" t="str">
        <f>"749 WAX WING LANE"</f>
        <v>749 WAX WING LANE</v>
      </c>
      <c r="J1947" t="str">
        <f t="shared" si="731"/>
        <v>FERNANDINA BEACH FL 32034</v>
      </c>
      <c r="K1947" t="str">
        <f>"749 WAX WING LN"</f>
        <v>749 WAX WING LN</v>
      </c>
      <c r="L1947" t="str">
        <f t="shared" si="726"/>
        <v>FERNANDINA BEACH FL 32034</v>
      </c>
      <c r="M1947" t="str">
        <f>"BLOCK P LOT 6 2003 DW/MH FTWD IN OR 412 PG 229 OAK GROVE SUB 3 PB 3/51"</f>
        <v>BLOCK P LOT 6 2003 DW/MH FTWD IN OR 412 PG 229 OAK GROVE SUB 3 PB 3/51</v>
      </c>
      <c r="N1947" t="str">
        <f>""</f>
        <v/>
      </c>
      <c r="O1947" t="str">
        <f>"2486"</f>
        <v>2486</v>
      </c>
      <c r="P1947" t="str">
        <f t="shared" si="724"/>
        <v>2017</v>
      </c>
      <c r="Q1947" t="str">
        <f>""</f>
        <v/>
      </c>
      <c r="R1947" t="str">
        <f>"Y"</f>
        <v>Y</v>
      </c>
      <c r="S1947" t="str">
        <f>""</f>
        <v/>
      </c>
      <c r="T1947" t="str">
        <f>"526.92"</f>
        <v>526.92</v>
      </c>
      <c r="U1947" t="str">
        <f>"71544.00"</f>
        <v>71544.00</v>
      </c>
      <c r="V1947" t="str">
        <f>"71544.00"</f>
        <v>71544.00</v>
      </c>
      <c r="W1947" t="str">
        <f t="shared" si="725"/>
        <v>2017</v>
      </c>
      <c r="X1947" t="str">
        <f>"13.80"</f>
        <v>13.80</v>
      </c>
      <c r="Y1947" t="str">
        <f>"574.73"</f>
        <v>574.73</v>
      </c>
      <c r="Z1947" t="str">
        <f>"25000.00"</f>
        <v>25000.00</v>
      </c>
      <c r="AA1947" t="str">
        <f>"46544.00"</f>
        <v>46544.00</v>
      </c>
      <c r="AB1947" t="str">
        <f t="shared" si="730"/>
        <v>Residential</v>
      </c>
      <c r="AC1947" t="str">
        <f t="shared" si="710"/>
        <v>0</v>
      </c>
      <c r="AD1947" t="str">
        <f t="shared" si="733"/>
        <v>4</v>
      </c>
      <c r="AE1947" t="str">
        <f t="shared" si="734"/>
        <v>WOOD (INCLUDE STEEL STUDS)</v>
      </c>
      <c r="AF1947" t="str">
        <f>"002"</f>
        <v>002</v>
      </c>
      <c r="AG1947" t="str">
        <f t="shared" si="732"/>
        <v>FL</v>
      </c>
      <c r="AH1947" t="str">
        <f>"15000.00"</f>
        <v>15000.00</v>
      </c>
      <c r="AI1947" t="str">
        <f>"45000.00"</f>
        <v>45000.00</v>
      </c>
      <c r="AJ1947" t="str">
        <f>"C55-000-585-2110-5"</f>
        <v>C55-000-585-2110-5</v>
      </c>
      <c r="AK1947" t="str">
        <f>"40007"</f>
        <v>40007</v>
      </c>
      <c r="AL1947">
        <v>7</v>
      </c>
      <c r="AM1947">
        <v>2225</v>
      </c>
      <c r="AN1947">
        <v>601.87</v>
      </c>
      <c r="AQ1947" t="s">
        <v>19068</v>
      </c>
      <c r="AR1947" t="s">
        <v>19068</v>
      </c>
      <c r="AS1947" t="s">
        <v>19068</v>
      </c>
      <c r="AU1947" t="s">
        <v>396</v>
      </c>
      <c r="AV1947">
        <v>2017</v>
      </c>
      <c r="AW1947" t="str">
        <f>"00-00-30-042D-000P-0060 "</f>
        <v xml:space="preserve">00-00-30-042D-000P-0060 </v>
      </c>
      <c r="AX1947">
        <v>749</v>
      </c>
      <c r="AZ1947" t="s">
        <v>19069</v>
      </c>
      <c r="BA1947" t="s">
        <v>653</v>
      </c>
      <c r="BD1947" t="s">
        <v>11749</v>
      </c>
      <c r="BE1947" t="s">
        <v>393</v>
      </c>
      <c r="BF1947">
        <v>32034</v>
      </c>
      <c r="BG1947" t="s">
        <v>19070</v>
      </c>
      <c r="BH1947" t="s">
        <v>11751</v>
      </c>
      <c r="BI1947">
        <v>-81.461497862417005</v>
      </c>
      <c r="BJ1947">
        <v>30.642362232587299</v>
      </c>
      <c r="BK1947" t="s">
        <v>19071</v>
      </c>
      <c r="BM1947" t="s">
        <v>19070</v>
      </c>
      <c r="BN1947" t="s">
        <v>3983</v>
      </c>
      <c r="BO1947">
        <v>32034</v>
      </c>
      <c r="BP1947" t="s">
        <v>416</v>
      </c>
      <c r="BQ1947">
        <v>200</v>
      </c>
      <c r="BR1947" t="s">
        <v>405</v>
      </c>
      <c r="BS1947">
        <v>1006</v>
      </c>
      <c r="BT1947" t="s">
        <v>406</v>
      </c>
      <c r="BU1947">
        <v>1000</v>
      </c>
      <c r="BV1947">
        <v>1500</v>
      </c>
      <c r="BW1947">
        <v>14999</v>
      </c>
      <c r="BX1947" t="s">
        <v>407</v>
      </c>
      <c r="BY1947" t="s">
        <v>7351</v>
      </c>
      <c r="BZ1947">
        <v>4</v>
      </c>
      <c r="CA1947">
        <v>2003</v>
      </c>
      <c r="CB1947">
        <v>1</v>
      </c>
      <c r="CC1947">
        <v>1</v>
      </c>
      <c r="CD1947">
        <v>2017</v>
      </c>
      <c r="CG1947">
        <v>71544</v>
      </c>
      <c r="CH1947">
        <v>2017</v>
      </c>
      <c r="CI1947">
        <v>45000</v>
      </c>
      <c r="CJ1947">
        <v>37735</v>
      </c>
      <c r="CK1947">
        <v>82735</v>
      </c>
      <c r="CL1947">
        <v>2017</v>
      </c>
      <c r="CM1947">
        <v>526.91999999999996</v>
      </c>
      <c r="CN1947" s="1">
        <v>30713</v>
      </c>
      <c r="CO1947">
        <v>18500</v>
      </c>
      <c r="CZ1947" s="1">
        <v>30713</v>
      </c>
      <c r="DD1947" t="s">
        <v>11749</v>
      </c>
      <c r="DF1947">
        <v>6</v>
      </c>
      <c r="DG1947">
        <v>30</v>
      </c>
      <c r="DL1947">
        <v>50202</v>
      </c>
      <c r="DM1947" t="s">
        <v>18678</v>
      </c>
      <c r="DO1947" t="s">
        <v>19072</v>
      </c>
      <c r="DP1947">
        <v>0</v>
      </c>
      <c r="DQ1947">
        <v>0</v>
      </c>
      <c r="DR1947" t="s">
        <v>411</v>
      </c>
      <c r="EP1947" t="s">
        <v>421</v>
      </c>
      <c r="EQ1947" t="s">
        <v>422</v>
      </c>
      <c r="ER1947">
        <v>2</v>
      </c>
      <c r="ES1947">
        <v>2</v>
      </c>
      <c r="ET1947">
        <v>1193.1600000000001</v>
      </c>
      <c r="EU1947">
        <v>72.16</v>
      </c>
      <c r="EV1947">
        <v>1265.32</v>
      </c>
      <c r="EW1947" s="2">
        <v>43222</v>
      </c>
      <c r="EX1947" s="1">
        <v>42879</v>
      </c>
      <c r="EY1947">
        <v>2016</v>
      </c>
      <c r="EZ1947">
        <v>596.58000000000004</v>
      </c>
      <c r="FA1947" t="s">
        <v>19073</v>
      </c>
      <c r="FB1947">
        <v>0.25</v>
      </c>
      <c r="FC1947" t="s">
        <v>424</v>
      </c>
      <c r="FD1947" t="s">
        <v>454</v>
      </c>
      <c r="FF1947">
        <v>12</v>
      </c>
      <c r="FG1947">
        <v>2851116</v>
      </c>
      <c r="FH1947" t="s">
        <v>480</v>
      </c>
      <c r="FJ1947" s="1">
        <v>42879</v>
      </c>
      <c r="FK1947">
        <v>2016</v>
      </c>
      <c r="FL1947">
        <v>596.58000000000004</v>
      </c>
      <c r="FM1947" t="s">
        <v>19073</v>
      </c>
      <c r="FN1947">
        <v>0.25</v>
      </c>
      <c r="FO1947" t="s">
        <v>424</v>
      </c>
      <c r="FP1947" t="s">
        <v>454</v>
      </c>
      <c r="FR1947">
        <v>12</v>
      </c>
      <c r="FS1947">
        <v>5739985</v>
      </c>
      <c r="FT1947" t="s">
        <v>19074</v>
      </c>
      <c r="FV1947" s="1">
        <v>41787</v>
      </c>
      <c r="FW1947">
        <v>2013</v>
      </c>
      <c r="FX1947">
        <v>573.79999999999995</v>
      </c>
      <c r="FY1947" t="s">
        <v>19075</v>
      </c>
      <c r="FZ1947">
        <v>0.25</v>
      </c>
      <c r="GA1947" t="s">
        <v>424</v>
      </c>
      <c r="GB1947" t="s">
        <v>425</v>
      </c>
      <c r="GC1947" s="1">
        <v>42080</v>
      </c>
      <c r="GD1947">
        <v>10</v>
      </c>
      <c r="GE1947">
        <v>2407503</v>
      </c>
      <c r="GF1947" t="s">
        <v>461</v>
      </c>
      <c r="GH1947" s="1">
        <v>40688</v>
      </c>
      <c r="GI1947">
        <v>2010</v>
      </c>
      <c r="GJ1947">
        <v>553.41</v>
      </c>
      <c r="GK1947" t="s">
        <v>19076</v>
      </c>
      <c r="GL1947">
        <v>5.75</v>
      </c>
      <c r="GM1947" t="s">
        <v>424</v>
      </c>
      <c r="GN1947" t="s">
        <v>425</v>
      </c>
      <c r="GO1947" s="1">
        <v>40969</v>
      </c>
      <c r="GP1947">
        <v>10</v>
      </c>
      <c r="GQ1947">
        <v>305</v>
      </c>
      <c r="GR1947" t="s">
        <v>1078</v>
      </c>
    </row>
    <row r="1948" spans="1:284" x14ac:dyDescent="0.25">
      <c r="A1948">
        <v>16486955</v>
      </c>
      <c r="B1948">
        <v>1947</v>
      </c>
      <c r="C1948" t="s">
        <v>393</v>
      </c>
      <c r="D1948" t="s">
        <v>394</v>
      </c>
      <c r="F1948" t="str">
        <f>"00-00-30-042D-000P-0070"</f>
        <v>00-00-30-042D-000P-0070</v>
      </c>
      <c r="H1948" t="str">
        <f>"KILGORE GEORGE B &amp; (ROS) JEAN B TAYLOR"</f>
        <v>KILGORE GEORGE B &amp; (ROS) JEAN B TAYLOR</v>
      </c>
      <c r="I1948" t="str">
        <f>"507 SOUTH 17TH ST"</f>
        <v>507 SOUTH 17TH ST</v>
      </c>
      <c r="J1948" t="str">
        <f t="shared" si="731"/>
        <v>FERNANDINA BEACH FL 32034</v>
      </c>
      <c r="K1948" t="str">
        <f>"761 WAX WING LN"</f>
        <v>761 WAX WING LN</v>
      </c>
      <c r="L1948" t="str">
        <f t="shared" si="726"/>
        <v>FERNANDINA BEACH FL 32034</v>
      </c>
      <c r="M1948" t="str">
        <f>"BLOCK P LOT 7 RP 177 IN OR 772/366 OAK GROVE SUB 3 PB 3/51"</f>
        <v>BLOCK P LOT 7 RP 177 IN OR 772/366 OAK GROVE SUB 3 PB 3/51</v>
      </c>
      <c r="N1948" t="str">
        <f>""</f>
        <v/>
      </c>
      <c r="O1948" t="str">
        <f>"2487"</f>
        <v>2487</v>
      </c>
      <c r="P1948" t="str">
        <f t="shared" si="724"/>
        <v>2017</v>
      </c>
      <c r="Q1948" t="str">
        <f>""</f>
        <v/>
      </c>
      <c r="R1948" t="str">
        <f>"N"</f>
        <v>N</v>
      </c>
      <c r="S1948" t="str">
        <f>""</f>
        <v/>
      </c>
      <c r="T1948" t="str">
        <f>"714.83"</f>
        <v>714.83</v>
      </c>
      <c r="U1948" t="str">
        <f>"45634.00"</f>
        <v>45634.00</v>
      </c>
      <c r="V1948" t="str">
        <f>"45634.00"</f>
        <v>45634.00</v>
      </c>
      <c r="W1948" t="str">
        <f t="shared" si="725"/>
        <v>2017</v>
      </c>
      <c r="X1948" t="str">
        <f>"9.33"</f>
        <v>9.33</v>
      </c>
      <c r="Y1948" t="str">
        <f>"768.27"</f>
        <v>768.27</v>
      </c>
      <c r="Z1948" t="str">
        <f>""</f>
        <v/>
      </c>
      <c r="AA1948" t="str">
        <f>"47529.00"</f>
        <v>47529.00</v>
      </c>
      <c r="AB1948" t="str">
        <f t="shared" si="730"/>
        <v>Residential</v>
      </c>
      <c r="AC1948" t="str">
        <f t="shared" si="710"/>
        <v>0</v>
      </c>
      <c r="AD1948" t="str">
        <f t="shared" si="733"/>
        <v>4</v>
      </c>
      <c r="AE1948" t="str">
        <f t="shared" si="734"/>
        <v>WOOD (INCLUDE STEEL STUDS)</v>
      </c>
      <c r="AF1948" t="str">
        <f>"002"</f>
        <v>002</v>
      </c>
      <c r="AG1948" t="str">
        <f t="shared" si="732"/>
        <v>FL</v>
      </c>
      <c r="AH1948" t="str">
        <f>"15000.00"</f>
        <v>15000.00</v>
      </c>
      <c r="AI1948" t="str">
        <f>"45000.00"</f>
        <v>45000.00</v>
      </c>
      <c r="AJ1948" t="str">
        <f>"C55-000-585-2111-3"</f>
        <v>C55-000-585-2111-3</v>
      </c>
      <c r="AK1948" t="str">
        <f>"40008"</f>
        <v>40008</v>
      </c>
      <c r="AL1948">
        <v>7</v>
      </c>
      <c r="AM1948">
        <v>2226</v>
      </c>
      <c r="AN1948">
        <v>805.08</v>
      </c>
      <c r="AQ1948" t="s">
        <v>19077</v>
      </c>
      <c r="AR1948" t="s">
        <v>19077</v>
      </c>
      <c r="AS1948" t="s">
        <v>19077</v>
      </c>
      <c r="AU1948" t="s">
        <v>396</v>
      </c>
      <c r="AV1948">
        <v>2017</v>
      </c>
      <c r="AW1948" t="str">
        <f>"00-00-30-042D-000P-0070 "</f>
        <v xml:space="preserve">00-00-30-042D-000P-0070 </v>
      </c>
      <c r="AX1948">
        <v>761</v>
      </c>
      <c r="AZ1948" t="s">
        <v>19069</v>
      </c>
      <c r="BA1948" t="s">
        <v>653</v>
      </c>
      <c r="BD1948" t="s">
        <v>11749</v>
      </c>
      <c r="BE1948" t="s">
        <v>393</v>
      </c>
      <c r="BF1948">
        <v>32034</v>
      </c>
      <c r="BG1948" t="s">
        <v>19078</v>
      </c>
      <c r="BH1948" t="s">
        <v>11751</v>
      </c>
      <c r="BI1948">
        <v>-81.461181592983607</v>
      </c>
      <c r="BJ1948">
        <v>30.642401648387601</v>
      </c>
      <c r="BK1948" t="s">
        <v>19079</v>
      </c>
      <c r="BM1948" t="s">
        <v>19080</v>
      </c>
      <c r="BN1948" t="s">
        <v>3983</v>
      </c>
      <c r="BO1948">
        <v>32034</v>
      </c>
      <c r="BP1948" t="s">
        <v>404</v>
      </c>
      <c r="BQ1948">
        <v>200</v>
      </c>
      <c r="BR1948" t="s">
        <v>405</v>
      </c>
      <c r="BS1948">
        <v>1006</v>
      </c>
      <c r="BT1948" t="s">
        <v>406</v>
      </c>
      <c r="BU1948">
        <v>1000</v>
      </c>
      <c r="BV1948">
        <v>1500</v>
      </c>
      <c r="BW1948">
        <v>15148</v>
      </c>
      <c r="BX1948" t="s">
        <v>407</v>
      </c>
      <c r="BY1948" t="s">
        <v>7351</v>
      </c>
      <c r="BZ1948">
        <v>4</v>
      </c>
      <c r="CA1948">
        <v>1959</v>
      </c>
      <c r="CB1948">
        <v>1</v>
      </c>
      <c r="CC1948">
        <v>1</v>
      </c>
      <c r="CD1948">
        <v>2017</v>
      </c>
      <c r="CE1948">
        <v>45000</v>
      </c>
      <c r="CF1948">
        <v>2529</v>
      </c>
      <c r="CG1948">
        <v>47529</v>
      </c>
      <c r="CH1948">
        <v>2017</v>
      </c>
      <c r="CI1948">
        <v>45000</v>
      </c>
      <c r="CJ1948">
        <v>2529</v>
      </c>
      <c r="CK1948">
        <v>47529</v>
      </c>
      <c r="CL1948">
        <v>2017</v>
      </c>
      <c r="CM1948">
        <v>714.83</v>
      </c>
      <c r="CN1948" s="1">
        <v>35334</v>
      </c>
      <c r="CZ1948" s="1">
        <v>35334</v>
      </c>
      <c r="DD1948" t="s">
        <v>11749</v>
      </c>
      <c r="DF1948">
        <v>7</v>
      </c>
      <c r="DG1948">
        <v>30</v>
      </c>
      <c r="DJ1948" t="s">
        <v>19035</v>
      </c>
      <c r="DL1948">
        <v>50202</v>
      </c>
      <c r="DM1948" t="s">
        <v>18678</v>
      </c>
      <c r="DO1948" t="s">
        <v>19081</v>
      </c>
      <c r="DP1948">
        <v>0</v>
      </c>
      <c r="DQ1948">
        <v>0</v>
      </c>
      <c r="DR1948" t="s">
        <v>411</v>
      </c>
      <c r="EP1948" t="s">
        <v>421</v>
      </c>
      <c r="EQ1948" t="s">
        <v>422</v>
      </c>
      <c r="ER1948">
        <v>2</v>
      </c>
      <c r="ES1948">
        <v>2</v>
      </c>
      <c r="ET1948">
        <v>1554.62</v>
      </c>
      <c r="EU1948">
        <v>90.23</v>
      </c>
      <c r="EV1948">
        <v>1644.85</v>
      </c>
      <c r="EW1948" s="2">
        <v>43222</v>
      </c>
      <c r="EX1948" s="1">
        <v>42879</v>
      </c>
      <c r="EY1948">
        <v>2016</v>
      </c>
      <c r="EZ1948">
        <v>777.31</v>
      </c>
      <c r="FA1948" t="s">
        <v>19082</v>
      </c>
      <c r="FB1948">
        <v>0.25</v>
      </c>
      <c r="FC1948" t="s">
        <v>424</v>
      </c>
      <c r="FD1948" t="s">
        <v>454</v>
      </c>
      <c r="FF1948">
        <v>12</v>
      </c>
      <c r="FG1948">
        <v>7400234</v>
      </c>
      <c r="FH1948" t="s">
        <v>426</v>
      </c>
      <c r="FJ1948" s="1">
        <v>42879</v>
      </c>
      <c r="FK1948">
        <v>2016</v>
      </c>
      <c r="FL1948">
        <v>777.31</v>
      </c>
      <c r="FM1948" t="s">
        <v>19082</v>
      </c>
      <c r="FN1948">
        <v>0.25</v>
      </c>
      <c r="FO1948" t="s">
        <v>424</v>
      </c>
      <c r="FP1948" t="s">
        <v>454</v>
      </c>
      <c r="FR1948">
        <v>12</v>
      </c>
      <c r="FS1948">
        <v>7564914</v>
      </c>
      <c r="FT1948" t="s">
        <v>19083</v>
      </c>
      <c r="FV1948" s="1">
        <v>41787</v>
      </c>
      <c r="FW1948">
        <v>2013</v>
      </c>
      <c r="FX1948">
        <v>598.15</v>
      </c>
      <c r="FY1948" t="s">
        <v>19084</v>
      </c>
      <c r="FZ1948">
        <v>0.25</v>
      </c>
      <c r="GA1948" t="s">
        <v>424</v>
      </c>
      <c r="GB1948" t="s">
        <v>425</v>
      </c>
      <c r="GC1948" s="1">
        <v>42080</v>
      </c>
      <c r="GD1948">
        <v>10</v>
      </c>
      <c r="GE1948">
        <v>13026</v>
      </c>
      <c r="GF1948" t="s">
        <v>2129</v>
      </c>
      <c r="GH1948" s="1">
        <v>40688</v>
      </c>
      <c r="GI1948">
        <v>2010</v>
      </c>
      <c r="GJ1948">
        <v>776.17</v>
      </c>
      <c r="GK1948" t="s">
        <v>19085</v>
      </c>
      <c r="GL1948">
        <v>7</v>
      </c>
      <c r="GM1948" t="s">
        <v>424</v>
      </c>
      <c r="GN1948" t="s">
        <v>425</v>
      </c>
      <c r="GO1948" s="1">
        <v>40969</v>
      </c>
      <c r="GP1948">
        <v>10</v>
      </c>
      <c r="GQ1948">
        <v>10579</v>
      </c>
      <c r="GR1948" t="s">
        <v>488</v>
      </c>
    </row>
    <row r="1949" spans="1:284" x14ac:dyDescent="0.25">
      <c r="A1949">
        <v>16486956</v>
      </c>
      <c r="B1949">
        <v>1948</v>
      </c>
      <c r="C1949" t="s">
        <v>393</v>
      </c>
      <c r="D1949" t="s">
        <v>394</v>
      </c>
      <c r="F1949" t="str">
        <f>"00-00-30-042D-000P-0080"</f>
        <v>00-00-30-042D-000P-0080</v>
      </c>
      <c r="H1949" t="str">
        <f>"COLON MICHAEL A"</f>
        <v>COLON MICHAEL A</v>
      </c>
      <c r="I1949" t="str">
        <f>"97253 CARAVEL TRAIL"</f>
        <v>97253 CARAVEL TRAIL</v>
      </c>
      <c r="J1949" t="str">
        <f>"YULEE FL 32097"</f>
        <v>YULEE FL 32097</v>
      </c>
      <c r="K1949" t="str">
        <f>"773 WAX WING LN"</f>
        <v>773 WAX WING LN</v>
      </c>
      <c r="L1949" t="str">
        <f t="shared" si="726"/>
        <v>FERNANDINA BEACH FL 32034</v>
      </c>
      <c r="M1949" t="str">
        <f>"BLOCK P LOT 8 IN OR 887/1209 R567607 &amp; R567608 OAK GROVE SUB 3 PB 3/51"</f>
        <v>BLOCK P LOT 8 IN OR 887/1209 R567607 &amp; R567608 OAK GROVE SUB 3 PB 3/51</v>
      </c>
      <c r="N1949" t="str">
        <f>""</f>
        <v/>
      </c>
      <c r="O1949" t="str">
        <f>"2488"</f>
        <v>2488</v>
      </c>
      <c r="P1949" t="str">
        <f t="shared" si="724"/>
        <v>2017</v>
      </c>
      <c r="Q1949" t="str">
        <f>""</f>
        <v/>
      </c>
      <c r="R1949" t="str">
        <f>"N"</f>
        <v>N</v>
      </c>
      <c r="S1949" t="str">
        <f>""</f>
        <v/>
      </c>
      <c r="T1949" t="str">
        <f>"778.70"</f>
        <v>778.70</v>
      </c>
      <c r="U1949" t="str">
        <f>"47671.00"</f>
        <v>47671.00</v>
      </c>
      <c r="V1949" t="str">
        <f>"47671.00"</f>
        <v>47671.00</v>
      </c>
      <c r="W1949" t="str">
        <f t="shared" si="725"/>
        <v>2017</v>
      </c>
      <c r="X1949" t="str">
        <f>"30.00"</f>
        <v>30.00</v>
      </c>
      <c r="Y1949" t="str">
        <f>"834.06"</f>
        <v>834.06</v>
      </c>
      <c r="Z1949" t="str">
        <f>""</f>
        <v/>
      </c>
      <c r="AA1949" t="str">
        <f>"54493.00"</f>
        <v>54493.00</v>
      </c>
      <c r="AB1949" t="str">
        <f t="shared" si="730"/>
        <v>Residential</v>
      </c>
      <c r="AC1949" t="str">
        <f t="shared" si="710"/>
        <v>0</v>
      </c>
      <c r="AD1949" t="str">
        <f t="shared" si="733"/>
        <v>4</v>
      </c>
      <c r="AE1949" t="str">
        <f t="shared" si="734"/>
        <v>WOOD (INCLUDE STEEL STUDS)</v>
      </c>
      <c r="AF1949" t="str">
        <f>"002"</f>
        <v>002</v>
      </c>
      <c r="AG1949" t="str">
        <f t="shared" si="732"/>
        <v>FL</v>
      </c>
      <c r="AH1949" t="str">
        <f>"10000.00"</f>
        <v>10000.00</v>
      </c>
      <c r="AI1949" t="str">
        <f>"45000.00"</f>
        <v>45000.00</v>
      </c>
      <c r="AJ1949" t="str">
        <f>"C55-000-585-2112-1"</f>
        <v>C55-000-585-2112-1</v>
      </c>
      <c r="AK1949" t="str">
        <f>"40009"</f>
        <v>40009</v>
      </c>
      <c r="AL1949">
        <v>7</v>
      </c>
      <c r="AM1949">
        <v>2227</v>
      </c>
      <c r="AN1949">
        <v>874.16</v>
      </c>
      <c r="AQ1949" t="s">
        <v>19086</v>
      </c>
      <c r="AR1949" t="s">
        <v>19086</v>
      </c>
      <c r="AS1949" t="s">
        <v>19086</v>
      </c>
      <c r="AU1949" t="s">
        <v>396</v>
      </c>
      <c r="AV1949">
        <v>2017</v>
      </c>
      <c r="AW1949" t="str">
        <f>"00-00-30-042D-000P-0080 "</f>
        <v xml:space="preserve">00-00-30-042D-000P-0080 </v>
      </c>
      <c r="AX1949">
        <v>773</v>
      </c>
      <c r="AZ1949" t="s">
        <v>19069</v>
      </c>
      <c r="BA1949" t="s">
        <v>653</v>
      </c>
      <c r="BD1949" t="s">
        <v>11749</v>
      </c>
      <c r="BE1949" t="s">
        <v>393</v>
      </c>
      <c r="BF1949">
        <v>32034</v>
      </c>
      <c r="BG1949" t="s">
        <v>19087</v>
      </c>
      <c r="BH1949" t="s">
        <v>11751</v>
      </c>
      <c r="BI1949">
        <v>-81.460857768918601</v>
      </c>
      <c r="BJ1949">
        <v>30.6423756555272</v>
      </c>
      <c r="BK1949" t="s">
        <v>19088</v>
      </c>
      <c r="BM1949" t="s">
        <v>17868</v>
      </c>
      <c r="BN1949" t="s">
        <v>1778</v>
      </c>
      <c r="BO1949">
        <v>32097</v>
      </c>
      <c r="BP1949" t="s">
        <v>404</v>
      </c>
      <c r="BQ1949">
        <v>200</v>
      </c>
      <c r="BR1949" t="s">
        <v>405</v>
      </c>
      <c r="BS1949">
        <v>1006</v>
      </c>
      <c r="BT1949" t="s">
        <v>406</v>
      </c>
      <c r="BU1949">
        <v>1000</v>
      </c>
      <c r="BV1949">
        <v>1000</v>
      </c>
      <c r="BW1949">
        <v>10120</v>
      </c>
      <c r="BX1949" t="s">
        <v>407</v>
      </c>
      <c r="BY1949" t="s">
        <v>7351</v>
      </c>
      <c r="BZ1949">
        <v>4</v>
      </c>
      <c r="CA1949">
        <v>1978</v>
      </c>
      <c r="CB1949">
        <v>1</v>
      </c>
      <c r="CC1949">
        <v>1</v>
      </c>
      <c r="CD1949">
        <v>2017</v>
      </c>
      <c r="CE1949">
        <v>45000</v>
      </c>
      <c r="CF1949">
        <v>9493</v>
      </c>
      <c r="CG1949">
        <v>54493</v>
      </c>
      <c r="CH1949">
        <v>2017</v>
      </c>
      <c r="CI1949">
        <v>45000</v>
      </c>
      <c r="CJ1949">
        <v>9493</v>
      </c>
      <c r="CK1949">
        <v>54493</v>
      </c>
      <c r="CL1949">
        <v>2017</v>
      </c>
      <c r="CM1949">
        <v>778.7</v>
      </c>
      <c r="CN1949" s="1">
        <v>36328</v>
      </c>
      <c r="CO1949">
        <v>49000</v>
      </c>
      <c r="CZ1949" s="1">
        <v>36328</v>
      </c>
      <c r="DD1949" t="s">
        <v>11749</v>
      </c>
      <c r="DF1949">
        <v>8</v>
      </c>
      <c r="DG1949">
        <v>30</v>
      </c>
      <c r="DL1949">
        <v>50202</v>
      </c>
      <c r="DM1949" t="s">
        <v>18678</v>
      </c>
      <c r="DO1949" t="s">
        <v>19089</v>
      </c>
      <c r="DP1949">
        <v>0</v>
      </c>
      <c r="DQ1949">
        <v>0</v>
      </c>
      <c r="DR1949" t="s">
        <v>411</v>
      </c>
      <c r="DS1949" t="b">
        <v>1</v>
      </c>
      <c r="DT1949" t="s">
        <v>470</v>
      </c>
      <c r="DU1949" t="s">
        <v>471</v>
      </c>
      <c r="DV1949" t="s">
        <v>472</v>
      </c>
      <c r="DX1949">
        <v>-9999</v>
      </c>
      <c r="DZ1949" t="s">
        <v>447</v>
      </c>
      <c r="EA1949" t="s">
        <v>448</v>
      </c>
      <c r="EB1949" t="s">
        <v>14787</v>
      </c>
      <c r="EC1949">
        <v>20101217</v>
      </c>
      <c r="ED1949" t="s">
        <v>474</v>
      </c>
      <c r="EF1949">
        <v>672.8</v>
      </c>
      <c r="EG1949">
        <v>33.200000000000003</v>
      </c>
      <c r="EH1949" t="s">
        <v>451</v>
      </c>
      <c r="EI1949">
        <v>20140731</v>
      </c>
      <c r="EJ1949">
        <v>2</v>
      </c>
      <c r="EK1949">
        <v>0</v>
      </c>
      <c r="EP1949" t="s">
        <v>421</v>
      </c>
      <c r="EQ1949" t="s">
        <v>422</v>
      </c>
      <c r="ER1949">
        <v>2</v>
      </c>
      <c r="ES1949">
        <v>6</v>
      </c>
      <c r="ET1949">
        <v>1681.94</v>
      </c>
      <c r="EU1949">
        <v>96.6</v>
      </c>
      <c r="EV1949">
        <v>1778.54</v>
      </c>
      <c r="EW1949" s="2">
        <v>43222</v>
      </c>
      <c r="EX1949" s="1">
        <v>42879</v>
      </c>
      <c r="EY1949">
        <v>2016</v>
      </c>
      <c r="EZ1949">
        <v>840.97</v>
      </c>
      <c r="FA1949" t="s">
        <v>19090</v>
      </c>
      <c r="FB1949">
        <v>0.25</v>
      </c>
      <c r="FC1949" t="s">
        <v>424</v>
      </c>
      <c r="FD1949" t="s">
        <v>454</v>
      </c>
      <c r="FF1949">
        <v>12</v>
      </c>
      <c r="FG1949">
        <v>2851116</v>
      </c>
      <c r="FH1949" t="s">
        <v>480</v>
      </c>
      <c r="FJ1949" s="1">
        <v>42879</v>
      </c>
      <c r="FK1949">
        <v>2016</v>
      </c>
      <c r="FL1949">
        <v>840.97</v>
      </c>
      <c r="FM1949" t="s">
        <v>19090</v>
      </c>
      <c r="FN1949">
        <v>0.25</v>
      </c>
      <c r="FO1949" t="s">
        <v>424</v>
      </c>
      <c r="FP1949" t="s">
        <v>454</v>
      </c>
      <c r="FR1949">
        <v>12</v>
      </c>
      <c r="FS1949">
        <v>4951903</v>
      </c>
      <c r="FT1949" t="s">
        <v>19091</v>
      </c>
      <c r="FV1949" s="1">
        <v>42151</v>
      </c>
      <c r="FW1949">
        <v>2014</v>
      </c>
      <c r="FX1949">
        <v>640.02</v>
      </c>
      <c r="FY1949" t="s">
        <v>19092</v>
      </c>
      <c r="FZ1949">
        <v>0.25</v>
      </c>
      <c r="GA1949" t="s">
        <v>424</v>
      </c>
      <c r="GB1949" t="s">
        <v>425</v>
      </c>
      <c r="GC1949" s="1">
        <v>42411</v>
      </c>
      <c r="GD1949">
        <v>9</v>
      </c>
      <c r="GE1949">
        <v>2851116</v>
      </c>
      <c r="GF1949" t="s">
        <v>480</v>
      </c>
      <c r="GH1949" s="1">
        <v>42151</v>
      </c>
      <c r="GI1949">
        <v>2014</v>
      </c>
      <c r="GJ1949">
        <v>640.02</v>
      </c>
      <c r="GK1949" t="s">
        <v>19092</v>
      </c>
      <c r="GL1949">
        <v>0.25</v>
      </c>
      <c r="GM1949" t="s">
        <v>424</v>
      </c>
      <c r="GN1949" t="s">
        <v>425</v>
      </c>
      <c r="GP1949">
        <v>22</v>
      </c>
      <c r="GQ1949">
        <v>5370837</v>
      </c>
      <c r="GR1949" t="s">
        <v>19093</v>
      </c>
      <c r="GT1949" s="1">
        <v>41787</v>
      </c>
      <c r="GU1949">
        <v>2013</v>
      </c>
      <c r="GV1949">
        <v>606.62</v>
      </c>
      <c r="GW1949" t="s">
        <v>19094</v>
      </c>
      <c r="GX1949">
        <v>0.25</v>
      </c>
      <c r="GY1949" t="s">
        <v>424</v>
      </c>
      <c r="GZ1949" t="s">
        <v>425</v>
      </c>
      <c r="HA1949" s="1">
        <v>41816</v>
      </c>
      <c r="HB1949">
        <v>1</v>
      </c>
      <c r="HC1949">
        <v>13026</v>
      </c>
      <c r="HD1949" t="s">
        <v>2129</v>
      </c>
      <c r="HF1949" s="1">
        <v>41052</v>
      </c>
      <c r="HG1949">
        <v>2011</v>
      </c>
      <c r="HH1949">
        <v>925.76</v>
      </c>
      <c r="HI1949" t="s">
        <v>19095</v>
      </c>
      <c r="HJ1949">
        <v>7.25</v>
      </c>
      <c r="HK1949" t="s">
        <v>424</v>
      </c>
      <c r="HL1949" t="s">
        <v>425</v>
      </c>
      <c r="HM1949" s="1">
        <v>41422</v>
      </c>
      <c r="HN1949">
        <v>12</v>
      </c>
      <c r="HO1949">
        <v>13297</v>
      </c>
      <c r="HP1949" t="s">
        <v>1471</v>
      </c>
      <c r="HR1949" s="1">
        <v>41052</v>
      </c>
      <c r="HS1949">
        <v>2011</v>
      </c>
      <c r="HT1949">
        <v>925.76</v>
      </c>
      <c r="HU1949" t="s">
        <v>19095</v>
      </c>
      <c r="HV1949">
        <v>7.25</v>
      </c>
      <c r="HW1949" t="s">
        <v>424</v>
      </c>
      <c r="HX1949" t="s">
        <v>425</v>
      </c>
      <c r="HZ1949">
        <v>22</v>
      </c>
      <c r="IA1949">
        <v>14384</v>
      </c>
      <c r="IB1949" t="s">
        <v>19096</v>
      </c>
      <c r="ID1949" s="1">
        <v>40688</v>
      </c>
      <c r="IE1949">
        <v>2010</v>
      </c>
      <c r="IF1949">
        <v>1051.1099999999999</v>
      </c>
      <c r="IG1949" t="s">
        <v>19097</v>
      </c>
      <c r="IH1949">
        <v>5.75</v>
      </c>
      <c r="II1949" t="s">
        <v>424</v>
      </c>
      <c r="IJ1949" t="s">
        <v>425</v>
      </c>
      <c r="IK1949" s="1">
        <v>41327</v>
      </c>
      <c r="IL1949">
        <v>21</v>
      </c>
      <c r="IM1949">
        <v>305</v>
      </c>
      <c r="IN1949" t="s">
        <v>1078</v>
      </c>
    </row>
    <row r="1950" spans="1:284" x14ac:dyDescent="0.25">
      <c r="A1950">
        <v>16486957</v>
      </c>
      <c r="B1950">
        <v>1949</v>
      </c>
      <c r="C1950" t="s">
        <v>393</v>
      </c>
      <c r="D1950" t="s">
        <v>394</v>
      </c>
      <c r="F1950" t="str">
        <f>"00-00-30-0438-0003-0000"</f>
        <v>00-00-30-0438-0003-0000</v>
      </c>
      <c r="H1950" t="str">
        <f>"JONES CARLTON D &amp; BARBARA A"</f>
        <v>JONES CARLTON D &amp; BARBARA A</v>
      </c>
      <c r="I1950" t="str">
        <f>"5381 HALA COURT"</f>
        <v>5381 HALA COURT</v>
      </c>
      <c r="J1950" t="str">
        <f>"JACKSONVILLE FL 32224"</f>
        <v>JACKSONVILLE FL 32224</v>
      </c>
      <c r="K1950" t="str">
        <f>"95580 BURNEY RD"</f>
        <v>95580 BURNEY RD</v>
      </c>
      <c r="L1950" t="str">
        <f t="shared" si="726"/>
        <v>FERNANDINA BEACH FL 32034</v>
      </c>
      <c r="M1950" t="str">
        <f>"LOTS 3 &amp; 4 IN OR 1035/804 OCEAN BLVD EST 1 PB 6/279"</f>
        <v>LOTS 3 &amp; 4 IN OR 1035/804 OCEAN BLVD EST 1 PB 6/279</v>
      </c>
      <c r="N1950" t="str">
        <f>""</f>
        <v/>
      </c>
      <c r="O1950" t="str">
        <f>"2529"</f>
        <v>2529</v>
      </c>
      <c r="P1950" t="str">
        <f t="shared" si="724"/>
        <v>2017</v>
      </c>
      <c r="Q1950" t="str">
        <f>""</f>
        <v/>
      </c>
      <c r="R1950" t="str">
        <f>"N"</f>
        <v>N</v>
      </c>
      <c r="S1950" t="str">
        <f>""</f>
        <v/>
      </c>
      <c r="T1950" t="str">
        <f>"5107.23"</f>
        <v>5107.23</v>
      </c>
      <c r="U1950" t="str">
        <f>"331846.00"</f>
        <v>331846.00</v>
      </c>
      <c r="V1950" t="str">
        <f>"331846.00"</f>
        <v>331846.00</v>
      </c>
      <c r="W1950" t="str">
        <f t="shared" si="725"/>
        <v>2017</v>
      </c>
      <c r="X1950" t="str">
        <f>"9.50"</f>
        <v>9.50</v>
      </c>
      <c r="Y1950" t="str">
        <f>"5292.45"</f>
        <v>5292.45</v>
      </c>
      <c r="Z1950" t="str">
        <f>""</f>
        <v/>
      </c>
      <c r="AA1950" t="str">
        <f>"331846.00"</f>
        <v>331846.00</v>
      </c>
      <c r="AB1950" t="str">
        <f t="shared" si="730"/>
        <v>Residential</v>
      </c>
      <c r="AC1950" t="str">
        <f t="shared" ref="AC1950:AC2013" si="735">"0"</f>
        <v>0</v>
      </c>
      <c r="AD1950" t="str">
        <f t="shared" si="733"/>
        <v>4</v>
      </c>
      <c r="AE1950" t="str">
        <f t="shared" si="734"/>
        <v>WOOD (INCLUDE STEEL STUDS)</v>
      </c>
      <c r="AF1950" t="str">
        <f>"001"</f>
        <v>001</v>
      </c>
      <c r="AG1950" t="str">
        <f t="shared" si="732"/>
        <v>FL</v>
      </c>
      <c r="AH1950" t="str">
        <f>"8986.00"</f>
        <v>8986.00</v>
      </c>
      <c r="AI1950" t="str">
        <f>"148654.00"</f>
        <v>148654.00</v>
      </c>
      <c r="AJ1950" t="str">
        <f>"C55-000-585-2139-4"</f>
        <v>C55-000-585-2139-4</v>
      </c>
      <c r="AK1950" t="str">
        <f>"40113"</f>
        <v>40113</v>
      </c>
      <c r="AL1950">
        <v>7</v>
      </c>
      <c r="AM1950">
        <v>2228</v>
      </c>
      <c r="AN1950">
        <v>5555.47</v>
      </c>
      <c r="AQ1950" t="s">
        <v>19098</v>
      </c>
      <c r="AR1950" t="s">
        <v>19098</v>
      </c>
      <c r="AS1950" t="s">
        <v>19098</v>
      </c>
      <c r="AU1950" t="s">
        <v>396</v>
      </c>
      <c r="AV1950">
        <v>2017</v>
      </c>
      <c r="AW1950" t="str">
        <f>"00-00-30-0438-0003-0000 "</f>
        <v xml:space="preserve">00-00-30-0438-0003-0000 </v>
      </c>
      <c r="AX1950">
        <v>95580</v>
      </c>
      <c r="AZ1950" t="s">
        <v>19099</v>
      </c>
      <c r="BA1950" t="s">
        <v>496</v>
      </c>
      <c r="BD1950" t="s">
        <v>11749</v>
      </c>
      <c r="BE1950" t="s">
        <v>393</v>
      </c>
      <c r="BF1950">
        <v>32034</v>
      </c>
      <c r="BG1950" t="s">
        <v>19100</v>
      </c>
      <c r="BH1950" t="s">
        <v>11751</v>
      </c>
      <c r="BI1950">
        <v>-81.444750614187697</v>
      </c>
      <c r="BJ1950">
        <v>30.570269557033299</v>
      </c>
      <c r="BK1950" t="s">
        <v>18548</v>
      </c>
      <c r="BL1950" t="s">
        <v>18549</v>
      </c>
      <c r="BM1950" t="s">
        <v>18529</v>
      </c>
      <c r="BN1950" t="s">
        <v>548</v>
      </c>
      <c r="BO1950">
        <v>32224</v>
      </c>
      <c r="BP1950" t="s">
        <v>404</v>
      </c>
      <c r="BQ1950">
        <v>100</v>
      </c>
      <c r="BR1950" t="s">
        <v>514</v>
      </c>
      <c r="BS1950">
        <v>1001</v>
      </c>
      <c r="BT1950" t="s">
        <v>515</v>
      </c>
      <c r="BU1950">
        <v>1020</v>
      </c>
      <c r="BV1950">
        <v>0</v>
      </c>
      <c r="BW1950">
        <v>8986</v>
      </c>
      <c r="BX1950" t="s">
        <v>407</v>
      </c>
      <c r="BY1950" t="s">
        <v>5380</v>
      </c>
      <c r="BZ1950">
        <v>4</v>
      </c>
      <c r="CA1950">
        <v>2003</v>
      </c>
      <c r="CB1950">
        <v>3</v>
      </c>
      <c r="CC1950">
        <v>1</v>
      </c>
      <c r="CD1950">
        <v>2017</v>
      </c>
      <c r="CE1950">
        <v>148654</v>
      </c>
      <c r="CF1950">
        <v>183192</v>
      </c>
      <c r="CG1950">
        <v>331846</v>
      </c>
      <c r="CH1950">
        <v>2017</v>
      </c>
      <c r="CI1950">
        <v>148654</v>
      </c>
      <c r="CJ1950">
        <v>183192</v>
      </c>
      <c r="CK1950">
        <v>331846</v>
      </c>
      <c r="CL1950">
        <v>2017</v>
      </c>
      <c r="CM1950">
        <v>5107.2299999999996</v>
      </c>
      <c r="CN1950" s="1">
        <v>37293</v>
      </c>
      <c r="CO1950">
        <v>170000</v>
      </c>
      <c r="CZ1950" s="1">
        <v>37293</v>
      </c>
      <c r="DD1950" t="s">
        <v>11749</v>
      </c>
      <c r="DG1950">
        <v>18</v>
      </c>
      <c r="DJ1950" t="s">
        <v>19101</v>
      </c>
      <c r="DL1950">
        <v>50201</v>
      </c>
      <c r="DM1950" t="s">
        <v>18415</v>
      </c>
      <c r="DO1950" t="s">
        <v>19102</v>
      </c>
      <c r="DP1950">
        <v>0</v>
      </c>
      <c r="DQ1950">
        <v>0</v>
      </c>
      <c r="DR1950" t="s">
        <v>411</v>
      </c>
      <c r="DS1950" t="b">
        <v>1</v>
      </c>
      <c r="DT1950" t="s">
        <v>470</v>
      </c>
      <c r="DU1950" t="s">
        <v>471</v>
      </c>
      <c r="DV1950" t="s">
        <v>472</v>
      </c>
      <c r="DX1950">
        <v>-9999</v>
      </c>
      <c r="DZ1950" t="s">
        <v>447</v>
      </c>
      <c r="EA1950" t="s">
        <v>448</v>
      </c>
      <c r="EB1950" t="s">
        <v>14787</v>
      </c>
      <c r="EC1950">
        <v>20101217</v>
      </c>
      <c r="ED1950" t="s">
        <v>474</v>
      </c>
      <c r="EF1950">
        <v>322.89999999999998</v>
      </c>
      <c r="EG1950">
        <v>322.89999999999998</v>
      </c>
      <c r="EI1950">
        <v>20160407</v>
      </c>
      <c r="EJ1950">
        <v>0</v>
      </c>
      <c r="EK1950">
        <v>0</v>
      </c>
      <c r="EP1950" t="s">
        <v>421</v>
      </c>
      <c r="EQ1950" t="s">
        <v>422</v>
      </c>
      <c r="ER1950">
        <v>2</v>
      </c>
      <c r="ES1950">
        <v>8</v>
      </c>
      <c r="ET1950">
        <v>23555.96</v>
      </c>
      <c r="EU1950">
        <v>1190.3</v>
      </c>
      <c r="EV1950">
        <v>24746.26</v>
      </c>
      <c r="EW1950" s="2">
        <v>43222</v>
      </c>
      <c r="EX1950" s="1">
        <v>42879</v>
      </c>
      <c r="EY1950">
        <v>2016</v>
      </c>
      <c r="EZ1950">
        <v>11777.98</v>
      </c>
      <c r="FA1950" t="s">
        <v>19103</v>
      </c>
      <c r="FB1950">
        <v>0.25</v>
      </c>
      <c r="FC1950" t="s">
        <v>424</v>
      </c>
      <c r="FD1950" t="s">
        <v>454</v>
      </c>
      <c r="FF1950">
        <v>12</v>
      </c>
      <c r="FG1950">
        <v>5857474</v>
      </c>
      <c r="FH1950" t="s">
        <v>900</v>
      </c>
      <c r="FJ1950" s="1">
        <v>42879</v>
      </c>
      <c r="FK1950">
        <v>2016</v>
      </c>
      <c r="FL1950">
        <v>11777.98</v>
      </c>
      <c r="FM1950" t="s">
        <v>19103</v>
      </c>
      <c r="FN1950">
        <v>0.25</v>
      </c>
      <c r="FO1950" t="s">
        <v>424</v>
      </c>
      <c r="FP1950" t="s">
        <v>454</v>
      </c>
      <c r="FR1950">
        <v>12</v>
      </c>
      <c r="FS1950">
        <v>6654326</v>
      </c>
      <c r="FT1950" t="s">
        <v>19104</v>
      </c>
      <c r="FV1950" s="1">
        <v>42515</v>
      </c>
      <c r="FW1950">
        <v>2015</v>
      </c>
      <c r="FX1950">
        <v>12040.15</v>
      </c>
      <c r="FY1950" t="s">
        <v>19105</v>
      </c>
      <c r="FZ1950">
        <v>0.25</v>
      </c>
      <c r="GA1950" t="s">
        <v>424</v>
      </c>
      <c r="GB1950" t="s">
        <v>425</v>
      </c>
      <c r="GC1950" s="1">
        <v>42832</v>
      </c>
      <c r="GD1950">
        <v>11</v>
      </c>
      <c r="GE1950">
        <v>5894185</v>
      </c>
      <c r="GF1950" t="s">
        <v>7135</v>
      </c>
      <c r="GH1950" s="1">
        <v>42515</v>
      </c>
      <c r="GI1950">
        <v>2015</v>
      </c>
      <c r="GJ1950">
        <v>12040.15</v>
      </c>
      <c r="GK1950" t="s">
        <v>19105</v>
      </c>
      <c r="GL1950">
        <v>0.25</v>
      </c>
      <c r="GM1950" t="s">
        <v>424</v>
      </c>
      <c r="GN1950" t="s">
        <v>425</v>
      </c>
      <c r="GP1950">
        <v>22</v>
      </c>
      <c r="GQ1950">
        <v>6133193</v>
      </c>
      <c r="GR1950" t="s">
        <v>19106</v>
      </c>
      <c r="GT1950" s="1">
        <v>42151</v>
      </c>
      <c r="GU1950">
        <v>2014</v>
      </c>
      <c r="GV1950">
        <v>11428.28</v>
      </c>
      <c r="GW1950" t="s">
        <v>19107</v>
      </c>
      <c r="GX1950">
        <v>0.25</v>
      </c>
      <c r="GY1950" t="s">
        <v>424</v>
      </c>
      <c r="GZ1950" t="s">
        <v>425</v>
      </c>
      <c r="HA1950" s="1">
        <v>42179</v>
      </c>
      <c r="HB1950">
        <v>1</v>
      </c>
      <c r="HC1950">
        <v>4844984</v>
      </c>
      <c r="HD1950" t="s">
        <v>1323</v>
      </c>
      <c r="HF1950" s="1">
        <v>42151</v>
      </c>
      <c r="HG1950">
        <v>2014</v>
      </c>
      <c r="HH1950">
        <v>11428.28</v>
      </c>
      <c r="HI1950" t="s">
        <v>19107</v>
      </c>
      <c r="HJ1950">
        <v>0.25</v>
      </c>
      <c r="HK1950" t="s">
        <v>424</v>
      </c>
      <c r="HL1950" t="s">
        <v>425</v>
      </c>
      <c r="HN1950">
        <v>22</v>
      </c>
      <c r="HO1950">
        <v>5825294</v>
      </c>
      <c r="HP1950" t="s">
        <v>19108</v>
      </c>
      <c r="HR1950" s="1">
        <v>41787</v>
      </c>
      <c r="HS1950">
        <v>2013</v>
      </c>
      <c r="HT1950">
        <v>10809.53</v>
      </c>
      <c r="HU1950" t="s">
        <v>19109</v>
      </c>
      <c r="HV1950">
        <v>0.25</v>
      </c>
      <c r="HW1950" t="s">
        <v>424</v>
      </c>
      <c r="HX1950" t="s">
        <v>425</v>
      </c>
      <c r="HY1950" s="1">
        <v>42121</v>
      </c>
      <c r="HZ1950">
        <v>11</v>
      </c>
      <c r="IA1950">
        <v>2675455</v>
      </c>
      <c r="IB1950" t="s">
        <v>1981</v>
      </c>
      <c r="ID1950" s="1">
        <v>41423</v>
      </c>
      <c r="IE1950">
        <v>2012</v>
      </c>
      <c r="IF1950">
        <v>10998.71</v>
      </c>
      <c r="IG1950" t="s">
        <v>19110</v>
      </c>
      <c r="IH1950">
        <v>0.25</v>
      </c>
      <c r="II1950" t="s">
        <v>424</v>
      </c>
      <c r="IJ1950" t="s">
        <v>425</v>
      </c>
      <c r="IK1950" s="1">
        <v>41788</v>
      </c>
      <c r="IL1950">
        <v>12</v>
      </c>
      <c r="IM1950">
        <v>15972</v>
      </c>
      <c r="IN1950" t="s">
        <v>2572</v>
      </c>
      <c r="IP1950" s="1">
        <v>41052</v>
      </c>
      <c r="IQ1950">
        <v>2011</v>
      </c>
      <c r="IR1950">
        <v>11769.94</v>
      </c>
      <c r="IS1950" t="s">
        <v>19111</v>
      </c>
      <c r="IT1950">
        <v>0.25</v>
      </c>
      <c r="IU1950" t="s">
        <v>424</v>
      </c>
      <c r="IV1950" t="s">
        <v>425</v>
      </c>
      <c r="IW1950" s="1">
        <v>41208</v>
      </c>
      <c r="IX1950">
        <v>5</v>
      </c>
      <c r="IY1950">
        <v>14049</v>
      </c>
      <c r="IZ1950" t="s">
        <v>19112</v>
      </c>
      <c r="JB1950" s="1">
        <v>40688</v>
      </c>
      <c r="JC1950">
        <v>2010</v>
      </c>
      <c r="JD1950">
        <v>11825.53</v>
      </c>
      <c r="JE1950" t="s">
        <v>19113</v>
      </c>
      <c r="JF1950">
        <v>0.25</v>
      </c>
      <c r="JG1950" t="s">
        <v>424</v>
      </c>
      <c r="JH1950" t="s">
        <v>425</v>
      </c>
      <c r="JI1950" s="1">
        <v>41208</v>
      </c>
      <c r="JJ1950">
        <v>17</v>
      </c>
      <c r="JK1950">
        <v>11289</v>
      </c>
      <c r="JL1950" t="s">
        <v>787</v>
      </c>
    </row>
    <row r="1951" spans="1:284" x14ac:dyDescent="0.25">
      <c r="A1951">
        <v>16486958</v>
      </c>
      <c r="B1951">
        <v>1950</v>
      </c>
      <c r="C1951" t="s">
        <v>393</v>
      </c>
      <c r="D1951" t="s">
        <v>394</v>
      </c>
      <c r="F1951" t="str">
        <f>"00-00-30-043C-0013-0000"</f>
        <v>00-00-30-043C-0013-0000</v>
      </c>
      <c r="H1951" t="str">
        <f>"KELLEY MARY JO L/E"</f>
        <v>KELLEY MARY JO L/E</v>
      </c>
      <c r="I1951" t="str">
        <f>"2117 OAK BLUFF COURT"</f>
        <v>2117 OAK BLUFF COURT</v>
      </c>
      <c r="J1951" t="str">
        <f>"FERNANDINA BEACH FL 32034"</f>
        <v>FERNANDINA BEACH FL 32034</v>
      </c>
      <c r="K1951" t="str">
        <f>"2117 OAK BLUFF CT"</f>
        <v>2117 OAK BLUFF CT</v>
      </c>
      <c r="L1951" t="str">
        <f t="shared" si="726"/>
        <v>FERNANDINA BEACH FL 32034</v>
      </c>
      <c r="M1951" t="str">
        <f>"LOT 13 IN OR 1940/1675 &amp; OR 1940/1723 OAK RIDGE 3 PB5/220"</f>
        <v>LOT 13 IN OR 1940/1675 &amp; OR 1940/1723 OAK RIDGE 3 PB5/220</v>
      </c>
      <c r="N1951" t="str">
        <f>""</f>
        <v/>
      </c>
      <c r="O1951" t="str">
        <f>"2587"</f>
        <v>2587</v>
      </c>
      <c r="P1951" t="str">
        <f t="shared" si="724"/>
        <v>2017</v>
      </c>
      <c r="Q1951" t="str">
        <f>""</f>
        <v/>
      </c>
      <c r="R1951" t="str">
        <f>"Y"</f>
        <v>Y</v>
      </c>
      <c r="S1951" t="str">
        <f>""</f>
        <v/>
      </c>
      <c r="T1951" t="str">
        <f>"2910.85"</f>
        <v>2910.85</v>
      </c>
      <c r="U1951" t="str">
        <f>"228917.00"</f>
        <v>228917.00</v>
      </c>
      <c r="V1951" t="str">
        <f>"228917.00"</f>
        <v>228917.00</v>
      </c>
      <c r="W1951" t="str">
        <f t="shared" si="725"/>
        <v>2017</v>
      </c>
      <c r="X1951" t="str">
        <f>"14.00"</f>
        <v>14.00</v>
      </c>
      <c r="Y1951" t="str">
        <f>"3030.18"</f>
        <v>3030.18</v>
      </c>
      <c r="Z1951" t="str">
        <f>"25500.00"</f>
        <v>25500.00</v>
      </c>
      <c r="AA1951" t="str">
        <f>"203417.00"</f>
        <v>203417.00</v>
      </c>
      <c r="AB1951" t="str">
        <f t="shared" si="730"/>
        <v>Residential</v>
      </c>
      <c r="AC1951" t="str">
        <f t="shared" si="735"/>
        <v>0</v>
      </c>
      <c r="AD1951" t="str">
        <f t="shared" si="733"/>
        <v>4</v>
      </c>
      <c r="AE1951" t="str">
        <f t="shared" si="734"/>
        <v>WOOD (INCLUDE STEEL STUDS)</v>
      </c>
      <c r="AF1951" t="str">
        <f>"001"</f>
        <v>001</v>
      </c>
      <c r="AG1951" t="str">
        <f t="shared" si="732"/>
        <v>FL</v>
      </c>
      <c r="AH1951" t="str">
        <f>"-"</f>
        <v>-</v>
      </c>
      <c r="AI1951" t="str">
        <f>"85000.00"</f>
        <v>85000.00</v>
      </c>
      <c r="AJ1951" t="str">
        <f>"C55-000-585-2194-9"</f>
        <v>C55-000-585-2194-9</v>
      </c>
      <c r="AK1951" t="str">
        <f>"40072"</f>
        <v>40072</v>
      </c>
      <c r="AL1951">
        <v>7</v>
      </c>
      <c r="AM1951">
        <v>2230</v>
      </c>
      <c r="AN1951">
        <v>3180.09</v>
      </c>
      <c r="AQ1951" t="s">
        <v>19114</v>
      </c>
      <c r="AR1951" t="s">
        <v>19114</v>
      </c>
      <c r="AS1951" t="s">
        <v>19114</v>
      </c>
      <c r="AU1951" t="s">
        <v>396</v>
      </c>
      <c r="AV1951">
        <v>2017</v>
      </c>
      <c r="AW1951" t="str">
        <f>"00-00-30-043C-0013-0000 "</f>
        <v xml:space="preserve">00-00-30-043C-0013-0000 </v>
      </c>
      <c r="AX1951">
        <v>2117</v>
      </c>
      <c r="AZ1951" t="s">
        <v>19115</v>
      </c>
      <c r="BA1951" t="s">
        <v>3181</v>
      </c>
      <c r="BD1951" t="s">
        <v>11749</v>
      </c>
      <c r="BE1951" t="s">
        <v>393</v>
      </c>
      <c r="BF1951">
        <v>32034</v>
      </c>
      <c r="BG1951" t="s">
        <v>19116</v>
      </c>
      <c r="BH1951" t="s">
        <v>11751</v>
      </c>
      <c r="BI1951">
        <v>-81.444684513572298</v>
      </c>
      <c r="BJ1951">
        <v>30.6535124347932</v>
      </c>
      <c r="BK1951" t="s">
        <v>19117</v>
      </c>
      <c r="BM1951" t="s">
        <v>19116</v>
      </c>
      <c r="BN1951" t="s">
        <v>3983</v>
      </c>
      <c r="BO1951">
        <v>32034</v>
      </c>
      <c r="BP1951" t="s">
        <v>416</v>
      </c>
      <c r="BQ1951">
        <v>100</v>
      </c>
      <c r="BR1951" t="s">
        <v>514</v>
      </c>
      <c r="BS1951">
        <v>1001</v>
      </c>
      <c r="BT1951" t="s">
        <v>515</v>
      </c>
      <c r="BW1951">
        <v>11220</v>
      </c>
      <c r="BX1951" t="s">
        <v>407</v>
      </c>
      <c r="BY1951" t="s">
        <v>5380</v>
      </c>
      <c r="BZ1951">
        <v>4</v>
      </c>
      <c r="CA1951">
        <v>1990</v>
      </c>
      <c r="CB1951">
        <v>1</v>
      </c>
      <c r="CC1951">
        <v>1</v>
      </c>
      <c r="CD1951">
        <v>2017</v>
      </c>
      <c r="CG1951">
        <v>228917</v>
      </c>
      <c r="CH1951">
        <v>2017</v>
      </c>
      <c r="CI1951">
        <v>85000</v>
      </c>
      <c r="CJ1951">
        <v>162849</v>
      </c>
      <c r="CK1951">
        <v>247849</v>
      </c>
      <c r="CL1951">
        <v>2017</v>
      </c>
      <c r="CM1951">
        <v>2910.85</v>
      </c>
      <c r="CN1951" s="1">
        <v>41918</v>
      </c>
      <c r="CZ1951" s="1">
        <v>41918</v>
      </c>
      <c r="DD1951" t="s">
        <v>11749</v>
      </c>
      <c r="DF1951">
        <v>13</v>
      </c>
      <c r="DG1951">
        <v>27</v>
      </c>
      <c r="DJ1951" t="s">
        <v>19118</v>
      </c>
      <c r="DL1951">
        <v>50101</v>
      </c>
      <c r="DM1951" t="s">
        <v>16992</v>
      </c>
      <c r="DO1951" t="s">
        <v>19119</v>
      </c>
      <c r="DP1951">
        <v>0</v>
      </c>
      <c r="DQ1951">
        <v>0</v>
      </c>
      <c r="DR1951" t="s">
        <v>411</v>
      </c>
      <c r="DS1951" t="b">
        <v>1</v>
      </c>
      <c r="DT1951" t="s">
        <v>470</v>
      </c>
      <c r="DU1951" t="s">
        <v>471</v>
      </c>
      <c r="DV1951" t="s">
        <v>472</v>
      </c>
      <c r="DX1951">
        <v>-9999</v>
      </c>
      <c r="DZ1951" t="s">
        <v>447</v>
      </c>
      <c r="EA1951" t="s">
        <v>448</v>
      </c>
      <c r="EB1951" t="s">
        <v>14787</v>
      </c>
      <c r="EC1951">
        <v>20101217</v>
      </c>
      <c r="ED1951" t="s">
        <v>474</v>
      </c>
      <c r="EF1951">
        <v>83.3</v>
      </c>
      <c r="EG1951">
        <v>26</v>
      </c>
      <c r="EI1951">
        <v>20160407</v>
      </c>
      <c r="EJ1951">
        <v>0</v>
      </c>
      <c r="EK1951">
        <v>0</v>
      </c>
      <c r="EP1951" t="s">
        <v>421</v>
      </c>
      <c r="EQ1951" t="s">
        <v>422</v>
      </c>
      <c r="ER1951">
        <v>2</v>
      </c>
      <c r="ES1951">
        <v>4</v>
      </c>
      <c r="ET1951">
        <v>6304.1</v>
      </c>
      <c r="EU1951">
        <v>327.7</v>
      </c>
      <c r="EV1951">
        <v>6631.8</v>
      </c>
      <c r="EW1951" s="2">
        <v>43222</v>
      </c>
      <c r="EX1951" s="1">
        <v>42879</v>
      </c>
      <c r="EY1951">
        <v>2016</v>
      </c>
      <c r="EZ1951">
        <v>3152.05</v>
      </c>
      <c r="FA1951" t="s">
        <v>19120</v>
      </c>
      <c r="FB1951">
        <v>0.25</v>
      </c>
      <c r="FC1951" t="s">
        <v>424</v>
      </c>
      <c r="FD1951" t="s">
        <v>454</v>
      </c>
      <c r="FF1951">
        <v>12</v>
      </c>
      <c r="FG1951">
        <v>5856195</v>
      </c>
      <c r="FH1951" t="s">
        <v>1060</v>
      </c>
      <c r="FJ1951" s="1">
        <v>42879</v>
      </c>
      <c r="FK1951">
        <v>2016</v>
      </c>
      <c r="FL1951">
        <v>3152.05</v>
      </c>
      <c r="FM1951" t="s">
        <v>19120</v>
      </c>
      <c r="FN1951">
        <v>0.25</v>
      </c>
      <c r="FO1951" t="s">
        <v>424</v>
      </c>
      <c r="FP1951" t="s">
        <v>454</v>
      </c>
      <c r="FR1951">
        <v>12</v>
      </c>
      <c r="FS1951">
        <v>6055861</v>
      </c>
      <c r="FT1951" t="s">
        <v>19121</v>
      </c>
      <c r="FV1951" s="1">
        <v>42515</v>
      </c>
      <c r="FW1951">
        <v>2015</v>
      </c>
      <c r="FX1951">
        <v>3166.95</v>
      </c>
      <c r="FY1951" t="s">
        <v>19122</v>
      </c>
      <c r="FZ1951">
        <v>0.25</v>
      </c>
      <c r="GA1951" t="s">
        <v>424</v>
      </c>
      <c r="GB1951" t="s">
        <v>425</v>
      </c>
      <c r="GC1951" s="1">
        <v>43159</v>
      </c>
      <c r="GD1951">
        <v>21</v>
      </c>
      <c r="GE1951">
        <v>7045074</v>
      </c>
      <c r="GF1951" t="s">
        <v>580</v>
      </c>
      <c r="GH1951" s="1">
        <v>42515</v>
      </c>
      <c r="GI1951">
        <v>2015</v>
      </c>
      <c r="GJ1951">
        <v>3166.95</v>
      </c>
      <c r="GK1951" t="s">
        <v>19122</v>
      </c>
      <c r="GL1951">
        <v>0.25</v>
      </c>
      <c r="GM1951" t="s">
        <v>424</v>
      </c>
      <c r="GN1951" t="s">
        <v>425</v>
      </c>
      <c r="GP1951">
        <v>22</v>
      </c>
      <c r="GQ1951">
        <v>6373620</v>
      </c>
      <c r="GR1951" t="s">
        <v>19123</v>
      </c>
      <c r="GT1951" s="1">
        <v>42151</v>
      </c>
      <c r="GU1951">
        <v>2014</v>
      </c>
      <c r="GV1951">
        <v>2928.02</v>
      </c>
      <c r="GW1951" t="s">
        <v>19124</v>
      </c>
      <c r="GX1951">
        <v>0.25</v>
      </c>
      <c r="GY1951" t="s">
        <v>424</v>
      </c>
      <c r="GZ1951" t="s">
        <v>425</v>
      </c>
      <c r="HA1951" s="1">
        <v>42346</v>
      </c>
      <c r="HB1951">
        <v>7</v>
      </c>
      <c r="HC1951">
        <v>2851116</v>
      </c>
      <c r="HD1951" t="s">
        <v>480</v>
      </c>
      <c r="HF1951" s="1">
        <v>42151</v>
      </c>
      <c r="HG1951">
        <v>2014</v>
      </c>
      <c r="HH1951">
        <v>2928.02</v>
      </c>
      <c r="HI1951" t="s">
        <v>19124</v>
      </c>
      <c r="HJ1951">
        <v>0.25</v>
      </c>
      <c r="HK1951" t="s">
        <v>424</v>
      </c>
      <c r="HL1951" t="s">
        <v>425</v>
      </c>
      <c r="HN1951">
        <v>22</v>
      </c>
      <c r="HO1951">
        <v>4867194</v>
      </c>
      <c r="HP1951" t="s">
        <v>19125</v>
      </c>
    </row>
    <row r="1952" spans="1:284" x14ac:dyDescent="0.25">
      <c r="A1952">
        <v>16486959</v>
      </c>
      <c r="B1952">
        <v>1951</v>
      </c>
      <c r="C1952" t="s">
        <v>393</v>
      </c>
      <c r="D1952" t="s">
        <v>394</v>
      </c>
      <c r="F1952" t="str">
        <f>"00-00-30-0440-0001-0000"</f>
        <v>00-00-30-0440-0001-0000</v>
      </c>
      <c r="H1952" t="str">
        <f t="shared" ref="H1952:H1978" si="736">"SUMMERWOODS OF AMELIA ISLAND LLC"</f>
        <v>SUMMERWOODS OF AMELIA ISLAND LLC</v>
      </c>
      <c r="I1952" t="str">
        <f t="shared" ref="I1952:I1978" si="737">"3675 PINE ST"</f>
        <v>3675 PINE ST</v>
      </c>
      <c r="J1952" t="str">
        <f t="shared" ref="J1952:J1978" si="738">"JACKSONVILLE FL 32205"</f>
        <v>JACKSONVILLE FL 32205</v>
      </c>
      <c r="K1952" t="str">
        <f>"2950 RIVERBEND WALK"</f>
        <v>2950 RIVERBEND WALK</v>
      </c>
      <c r="L1952" t="str">
        <f t="shared" si="726"/>
        <v>FERNANDINA BEACH FL 32034</v>
      </c>
      <c r="M1952" t="str">
        <f>"LOT 1 RIVERBEND PBK 8/182"</f>
        <v>LOT 1 RIVERBEND PBK 8/182</v>
      </c>
      <c r="N1952" t="str">
        <f>""</f>
        <v/>
      </c>
      <c r="O1952" t="str">
        <f>"56769"</f>
        <v>56769</v>
      </c>
      <c r="P1952" t="str">
        <f t="shared" si="724"/>
        <v>2017</v>
      </c>
      <c r="Q1952" t="str">
        <f>""</f>
        <v/>
      </c>
      <c r="R1952" t="str">
        <f t="shared" ref="R1952:R1986" si="739">"N"</f>
        <v>N</v>
      </c>
      <c r="S1952" t="str">
        <f>""</f>
        <v/>
      </c>
      <c r="T1952" t="str">
        <f t="shared" ref="T1952:T1978" si="740">"1501.67"</f>
        <v>1501.67</v>
      </c>
      <c r="U1952" t="str">
        <f t="shared" ref="U1952:V1978" si="741">"75345.00"</f>
        <v>75345.00</v>
      </c>
      <c r="V1952" t="str">
        <f t="shared" si="741"/>
        <v>75345.00</v>
      </c>
      <c r="W1952" t="str">
        <f t="shared" si="725"/>
        <v>2017</v>
      </c>
      <c r="X1952" t="str">
        <f>""</f>
        <v/>
      </c>
      <c r="Y1952" t="str">
        <f t="shared" ref="Y1952:Y1978" si="742">"1578.72"</f>
        <v>1578.72</v>
      </c>
      <c r="Z1952" t="str">
        <f>""</f>
        <v/>
      </c>
      <c r="AA1952" t="str">
        <f t="shared" ref="AA1952:AA1978" si="743">"75345.00"</f>
        <v>75345.00</v>
      </c>
      <c r="AB1952" t="str">
        <f t="shared" si="730"/>
        <v>Residential</v>
      </c>
      <c r="AC1952" t="str">
        <f t="shared" si="735"/>
        <v>0</v>
      </c>
      <c r="AD1952" t="str">
        <f>""</f>
        <v/>
      </c>
      <c r="AE1952" t="str">
        <f>""</f>
        <v/>
      </c>
      <c r="AF1952" t="str">
        <f t="shared" ref="AF1952:AF1978" si="744">"000"</f>
        <v>000</v>
      </c>
      <c r="AG1952" t="str">
        <f t="shared" si="732"/>
        <v>FL</v>
      </c>
      <c r="AH1952" t="str">
        <f>"15787.00"</f>
        <v>15787.00</v>
      </c>
      <c r="AI1952" t="str">
        <f t="shared" ref="AI1952:AI1978" si="745">"75345.00"</f>
        <v>75345.00</v>
      </c>
      <c r="AJ1952" t="str">
        <f>"C55-001-092-7713-7"</f>
        <v>C55-001-092-7713-7</v>
      </c>
      <c r="AK1952" t="str">
        <f>"40321"</f>
        <v>40321</v>
      </c>
      <c r="AL1952">
        <v>7</v>
      </c>
      <c r="AM1952">
        <v>2231</v>
      </c>
      <c r="AN1952">
        <v>1656.06</v>
      </c>
      <c r="AQ1952" t="s">
        <v>19126</v>
      </c>
      <c r="AR1952" t="s">
        <v>19126</v>
      </c>
      <c r="AS1952" t="s">
        <v>19126</v>
      </c>
      <c r="AU1952" t="s">
        <v>396</v>
      </c>
      <c r="AV1952">
        <v>2017</v>
      </c>
      <c r="AW1952" t="str">
        <f>"00-00-30-0440-0001-0000 "</f>
        <v xml:space="preserve">00-00-30-0440-0001-0000 </v>
      </c>
      <c r="AX1952">
        <v>2950</v>
      </c>
      <c r="AZ1952" t="s">
        <v>19127</v>
      </c>
      <c r="BD1952" t="s">
        <v>11749</v>
      </c>
      <c r="BE1952" t="s">
        <v>393</v>
      </c>
      <c r="BF1952">
        <v>32034</v>
      </c>
      <c r="BG1952" t="s">
        <v>19128</v>
      </c>
      <c r="BH1952" t="s">
        <v>11751</v>
      </c>
      <c r="BK1952" t="s">
        <v>19129</v>
      </c>
      <c r="BM1952" t="s">
        <v>19130</v>
      </c>
      <c r="BN1952" t="s">
        <v>548</v>
      </c>
      <c r="BO1952">
        <v>32205</v>
      </c>
      <c r="BQ1952">
        <v>0</v>
      </c>
      <c r="BR1952" t="s">
        <v>491</v>
      </c>
      <c r="BS1952">
        <v>8001</v>
      </c>
      <c r="BT1952" t="s">
        <v>492</v>
      </c>
      <c r="BW1952">
        <v>15787</v>
      </c>
      <c r="BX1952" t="s">
        <v>407</v>
      </c>
      <c r="CD1952">
        <v>2017</v>
      </c>
      <c r="CE1952">
        <v>75345</v>
      </c>
      <c r="CG1952">
        <v>75345</v>
      </c>
      <c r="CH1952">
        <v>2017</v>
      </c>
      <c r="CI1952">
        <v>75345</v>
      </c>
      <c r="CK1952">
        <v>75345</v>
      </c>
      <c r="CL1952">
        <v>2017</v>
      </c>
      <c r="CM1952">
        <v>1501.67</v>
      </c>
      <c r="DD1952" t="s">
        <v>11749</v>
      </c>
      <c r="DM1952" t="s">
        <v>18842</v>
      </c>
      <c r="DO1952" t="s">
        <v>18188</v>
      </c>
    </row>
    <row r="1953" spans="1:119" x14ac:dyDescent="0.25">
      <c r="A1953">
        <v>16486960</v>
      </c>
      <c r="B1953">
        <v>1952</v>
      </c>
      <c r="C1953" t="s">
        <v>393</v>
      </c>
      <c r="D1953" t="s">
        <v>394</v>
      </c>
      <c r="F1953" t="str">
        <f>"00-00-30-0440-0002-0000"</f>
        <v>00-00-30-0440-0002-0000</v>
      </c>
      <c r="H1953" t="str">
        <f t="shared" si="736"/>
        <v>SUMMERWOODS OF AMELIA ISLAND LLC</v>
      </c>
      <c r="I1953" t="str">
        <f t="shared" si="737"/>
        <v>3675 PINE ST</v>
      </c>
      <c r="J1953" t="str">
        <f t="shared" si="738"/>
        <v>JACKSONVILLE FL 32205</v>
      </c>
      <c r="K1953" t="str">
        <f>"2946 RIVERBEND WALK"</f>
        <v>2946 RIVERBEND WALK</v>
      </c>
      <c r="L1953" t="str">
        <f t="shared" si="726"/>
        <v>FERNANDINA BEACH FL 32034</v>
      </c>
      <c r="M1953" t="str">
        <f>"LOT 2 RIVERBEND PBK 8/182"</f>
        <v>LOT 2 RIVERBEND PBK 8/182</v>
      </c>
      <c r="N1953" t="str">
        <f>""</f>
        <v/>
      </c>
      <c r="O1953" t="str">
        <f>"56770"</f>
        <v>56770</v>
      </c>
      <c r="P1953" t="str">
        <f t="shared" si="724"/>
        <v>2017</v>
      </c>
      <c r="Q1953" t="str">
        <f>""</f>
        <v/>
      </c>
      <c r="R1953" t="str">
        <f t="shared" si="739"/>
        <v>N</v>
      </c>
      <c r="S1953" t="str">
        <f>""</f>
        <v/>
      </c>
      <c r="T1953" t="str">
        <f t="shared" si="740"/>
        <v>1501.67</v>
      </c>
      <c r="U1953" t="str">
        <f t="shared" si="741"/>
        <v>75345.00</v>
      </c>
      <c r="V1953" t="str">
        <f t="shared" si="741"/>
        <v>75345.00</v>
      </c>
      <c r="W1953" t="str">
        <f t="shared" si="725"/>
        <v>2017</v>
      </c>
      <c r="X1953" t="str">
        <f>""</f>
        <v/>
      </c>
      <c r="Y1953" t="str">
        <f t="shared" si="742"/>
        <v>1578.72</v>
      </c>
      <c r="Z1953" t="str">
        <f>""</f>
        <v/>
      </c>
      <c r="AA1953" t="str">
        <f t="shared" si="743"/>
        <v>75345.00</v>
      </c>
      <c r="AB1953" t="str">
        <f t="shared" si="730"/>
        <v>Residential</v>
      </c>
      <c r="AC1953" t="str">
        <f t="shared" si="735"/>
        <v>0</v>
      </c>
      <c r="AD1953" t="str">
        <f>""</f>
        <v/>
      </c>
      <c r="AE1953" t="str">
        <f>""</f>
        <v/>
      </c>
      <c r="AF1953" t="str">
        <f t="shared" si="744"/>
        <v>000</v>
      </c>
      <c r="AG1953" t="str">
        <f t="shared" si="732"/>
        <v>FL</v>
      </c>
      <c r="AH1953" t="str">
        <f>"17892.00"</f>
        <v>17892.00</v>
      </c>
      <c r="AI1953" t="str">
        <f t="shared" si="745"/>
        <v>75345.00</v>
      </c>
      <c r="AJ1953" t="str">
        <f>"C55-001-092-7714-5"</f>
        <v>C55-001-092-7714-5</v>
      </c>
      <c r="AK1953" t="str">
        <f>"40322"</f>
        <v>40322</v>
      </c>
      <c r="AL1953">
        <v>7</v>
      </c>
      <c r="AM1953">
        <v>2232</v>
      </c>
      <c r="AN1953">
        <v>1656.06</v>
      </c>
      <c r="AQ1953" t="s">
        <v>19131</v>
      </c>
      <c r="AR1953" t="s">
        <v>19131</v>
      </c>
      <c r="AS1953" t="s">
        <v>19131</v>
      </c>
      <c r="AU1953" t="s">
        <v>396</v>
      </c>
      <c r="AV1953">
        <v>2017</v>
      </c>
      <c r="AW1953" t="str">
        <f>"00-00-30-0440-0002-0000 "</f>
        <v xml:space="preserve">00-00-30-0440-0002-0000 </v>
      </c>
      <c r="AX1953">
        <v>2946</v>
      </c>
      <c r="AZ1953" t="s">
        <v>19127</v>
      </c>
      <c r="BD1953" t="s">
        <v>11749</v>
      </c>
      <c r="BE1953" t="s">
        <v>393</v>
      </c>
      <c r="BF1953">
        <v>32034</v>
      </c>
      <c r="BG1953" t="s">
        <v>19132</v>
      </c>
      <c r="BH1953" t="s">
        <v>11751</v>
      </c>
      <c r="BK1953" t="s">
        <v>19129</v>
      </c>
      <c r="BM1953" t="s">
        <v>19130</v>
      </c>
      <c r="BN1953" t="s">
        <v>548</v>
      </c>
      <c r="BO1953">
        <v>32205</v>
      </c>
      <c r="BQ1953">
        <v>0</v>
      </c>
      <c r="BR1953" t="s">
        <v>491</v>
      </c>
      <c r="BS1953">
        <v>8001</v>
      </c>
      <c r="BT1953" t="s">
        <v>492</v>
      </c>
      <c r="BW1953">
        <v>17892</v>
      </c>
      <c r="BX1953" t="s">
        <v>407</v>
      </c>
      <c r="CD1953">
        <v>2017</v>
      </c>
      <c r="CE1953">
        <v>75345</v>
      </c>
      <c r="CG1953">
        <v>75345</v>
      </c>
      <c r="CH1953">
        <v>2017</v>
      </c>
      <c r="CI1953">
        <v>75345</v>
      </c>
      <c r="CK1953">
        <v>75345</v>
      </c>
      <c r="CL1953">
        <v>2017</v>
      </c>
      <c r="CM1953">
        <v>1501.67</v>
      </c>
      <c r="DD1953" t="s">
        <v>11749</v>
      </c>
      <c r="DM1953" t="s">
        <v>18842</v>
      </c>
      <c r="DO1953" t="s">
        <v>19133</v>
      </c>
    </row>
    <row r="1954" spans="1:119" x14ac:dyDescent="0.25">
      <c r="A1954">
        <v>16486961</v>
      </c>
      <c r="B1954">
        <v>1953</v>
      </c>
      <c r="C1954" t="s">
        <v>393</v>
      </c>
      <c r="D1954" t="s">
        <v>394</v>
      </c>
      <c r="F1954" t="str">
        <f>"00-00-30-0440-0003-0000"</f>
        <v>00-00-30-0440-0003-0000</v>
      </c>
      <c r="H1954" t="str">
        <f t="shared" si="736"/>
        <v>SUMMERWOODS OF AMELIA ISLAND LLC</v>
      </c>
      <c r="I1954" t="str">
        <f t="shared" si="737"/>
        <v>3675 PINE ST</v>
      </c>
      <c r="J1954" t="str">
        <f t="shared" si="738"/>
        <v>JACKSONVILLE FL 32205</v>
      </c>
      <c r="K1954" t="str">
        <f>"2942 RIVERBEND WALK"</f>
        <v>2942 RIVERBEND WALK</v>
      </c>
      <c r="L1954" t="str">
        <f t="shared" si="726"/>
        <v>FERNANDINA BEACH FL 32034</v>
      </c>
      <c r="M1954" t="str">
        <f>"LOT 3 RIVERBEND PBK 8/182"</f>
        <v>LOT 3 RIVERBEND PBK 8/182</v>
      </c>
      <c r="N1954" t="str">
        <f>""</f>
        <v/>
      </c>
      <c r="O1954" t="str">
        <f>"56771"</f>
        <v>56771</v>
      </c>
      <c r="P1954" t="str">
        <f t="shared" si="724"/>
        <v>2017</v>
      </c>
      <c r="Q1954" t="str">
        <f>""</f>
        <v/>
      </c>
      <c r="R1954" t="str">
        <f t="shared" si="739"/>
        <v>N</v>
      </c>
      <c r="S1954" t="str">
        <f>""</f>
        <v/>
      </c>
      <c r="T1954" t="str">
        <f t="shared" si="740"/>
        <v>1501.67</v>
      </c>
      <c r="U1954" t="str">
        <f t="shared" si="741"/>
        <v>75345.00</v>
      </c>
      <c r="V1954" t="str">
        <f t="shared" si="741"/>
        <v>75345.00</v>
      </c>
      <c r="W1954" t="str">
        <f t="shared" si="725"/>
        <v>2017</v>
      </c>
      <c r="X1954" t="str">
        <f>""</f>
        <v/>
      </c>
      <c r="Y1954" t="str">
        <f t="shared" si="742"/>
        <v>1578.72</v>
      </c>
      <c r="Z1954" t="str">
        <f>""</f>
        <v/>
      </c>
      <c r="AA1954" t="str">
        <f t="shared" si="743"/>
        <v>75345.00</v>
      </c>
      <c r="AB1954" t="str">
        <f t="shared" si="730"/>
        <v>Residential</v>
      </c>
      <c r="AC1954" t="str">
        <f t="shared" si="735"/>
        <v>0</v>
      </c>
      <c r="AD1954" t="str">
        <f>""</f>
        <v/>
      </c>
      <c r="AE1954" t="str">
        <f>""</f>
        <v/>
      </c>
      <c r="AF1954" t="str">
        <f t="shared" si="744"/>
        <v>000</v>
      </c>
      <c r="AG1954" t="str">
        <f t="shared" si="732"/>
        <v>FL</v>
      </c>
      <c r="AH1954" t="str">
        <f>"25130.00"</f>
        <v>25130.00</v>
      </c>
      <c r="AI1954" t="str">
        <f t="shared" si="745"/>
        <v>75345.00</v>
      </c>
      <c r="AJ1954" t="str">
        <f>"C55-001-092-7715-2"</f>
        <v>C55-001-092-7715-2</v>
      </c>
      <c r="AK1954" t="str">
        <f>"40323"</f>
        <v>40323</v>
      </c>
      <c r="AL1954">
        <v>7</v>
      </c>
      <c r="AM1954">
        <v>2233</v>
      </c>
      <c r="AN1954">
        <v>1656.06</v>
      </c>
      <c r="AQ1954" t="s">
        <v>19134</v>
      </c>
      <c r="AR1954" t="s">
        <v>19134</v>
      </c>
      <c r="AS1954" t="s">
        <v>19134</v>
      </c>
      <c r="AU1954" t="s">
        <v>396</v>
      </c>
      <c r="AV1954">
        <v>2017</v>
      </c>
      <c r="AW1954" t="str">
        <f>"00-00-30-0440-0003-0000 "</f>
        <v xml:space="preserve">00-00-30-0440-0003-0000 </v>
      </c>
      <c r="AX1954">
        <v>2942</v>
      </c>
      <c r="AZ1954" t="s">
        <v>19127</v>
      </c>
      <c r="BD1954" t="s">
        <v>11749</v>
      </c>
      <c r="BE1954" t="s">
        <v>393</v>
      </c>
      <c r="BF1954">
        <v>32034</v>
      </c>
      <c r="BG1954" t="s">
        <v>19135</v>
      </c>
      <c r="BH1954" t="s">
        <v>11751</v>
      </c>
      <c r="BK1954" t="s">
        <v>19129</v>
      </c>
      <c r="BM1954" t="s">
        <v>19130</v>
      </c>
      <c r="BN1954" t="s">
        <v>548</v>
      </c>
      <c r="BO1954">
        <v>32205</v>
      </c>
      <c r="BQ1954">
        <v>0</v>
      </c>
      <c r="BR1954" t="s">
        <v>491</v>
      </c>
      <c r="BS1954">
        <v>8001</v>
      </c>
      <c r="BT1954" t="s">
        <v>492</v>
      </c>
      <c r="BW1954">
        <v>25130</v>
      </c>
      <c r="BX1954" t="s">
        <v>407</v>
      </c>
      <c r="CD1954">
        <v>2017</v>
      </c>
      <c r="CE1954">
        <v>75345</v>
      </c>
      <c r="CG1954">
        <v>75345</v>
      </c>
      <c r="CH1954">
        <v>2017</v>
      </c>
      <c r="CI1954">
        <v>75345</v>
      </c>
      <c r="CK1954">
        <v>75345</v>
      </c>
      <c r="CL1954">
        <v>2017</v>
      </c>
      <c r="CM1954">
        <v>1501.67</v>
      </c>
      <c r="DD1954" t="s">
        <v>11749</v>
      </c>
      <c r="DM1954" t="s">
        <v>18842</v>
      </c>
      <c r="DO1954" t="s">
        <v>19136</v>
      </c>
    </row>
    <row r="1955" spans="1:119" x14ac:dyDescent="0.25">
      <c r="A1955">
        <v>16486962</v>
      </c>
      <c r="B1955">
        <v>1954</v>
      </c>
      <c r="C1955" t="s">
        <v>393</v>
      </c>
      <c r="D1955" t="s">
        <v>394</v>
      </c>
      <c r="F1955" t="str">
        <f>"00-00-30-0440-0004-0000"</f>
        <v>00-00-30-0440-0004-0000</v>
      </c>
      <c r="H1955" t="str">
        <f t="shared" si="736"/>
        <v>SUMMERWOODS OF AMELIA ISLAND LLC</v>
      </c>
      <c r="I1955" t="str">
        <f t="shared" si="737"/>
        <v>3675 PINE ST</v>
      </c>
      <c r="J1955" t="str">
        <f t="shared" si="738"/>
        <v>JACKSONVILLE FL 32205</v>
      </c>
      <c r="K1955" t="str">
        <f>"2938 RIVERBEND WALK"</f>
        <v>2938 RIVERBEND WALK</v>
      </c>
      <c r="L1955" t="str">
        <f t="shared" ref="L1955:L1986" si="746">"FERNANDINA BEACH FL 32034"</f>
        <v>FERNANDINA BEACH FL 32034</v>
      </c>
      <c r="M1955" t="str">
        <f>"LOT 4 RIVERBEND PBK 8/182"</f>
        <v>LOT 4 RIVERBEND PBK 8/182</v>
      </c>
      <c r="N1955" t="str">
        <f>""</f>
        <v/>
      </c>
      <c r="O1955" t="str">
        <f>"56772"</f>
        <v>56772</v>
      </c>
      <c r="P1955" t="str">
        <f t="shared" si="724"/>
        <v>2017</v>
      </c>
      <c r="Q1955" t="str">
        <f>""</f>
        <v/>
      </c>
      <c r="R1955" t="str">
        <f t="shared" si="739"/>
        <v>N</v>
      </c>
      <c r="S1955" t="str">
        <f>""</f>
        <v/>
      </c>
      <c r="T1955" t="str">
        <f t="shared" si="740"/>
        <v>1501.67</v>
      </c>
      <c r="U1955" t="str">
        <f t="shared" si="741"/>
        <v>75345.00</v>
      </c>
      <c r="V1955" t="str">
        <f t="shared" si="741"/>
        <v>75345.00</v>
      </c>
      <c r="W1955" t="str">
        <f t="shared" si="725"/>
        <v>2017</v>
      </c>
      <c r="X1955" t="str">
        <f>""</f>
        <v/>
      </c>
      <c r="Y1955" t="str">
        <f t="shared" si="742"/>
        <v>1578.72</v>
      </c>
      <c r="Z1955" t="str">
        <f>""</f>
        <v/>
      </c>
      <c r="AA1955" t="str">
        <f t="shared" si="743"/>
        <v>75345.00</v>
      </c>
      <c r="AB1955" t="str">
        <f t="shared" si="730"/>
        <v>Residential</v>
      </c>
      <c r="AC1955" t="str">
        <f t="shared" si="735"/>
        <v>0</v>
      </c>
      <c r="AD1955" t="str">
        <f>""</f>
        <v/>
      </c>
      <c r="AE1955" t="str">
        <f>""</f>
        <v/>
      </c>
      <c r="AF1955" t="str">
        <f t="shared" si="744"/>
        <v>000</v>
      </c>
      <c r="AG1955" t="str">
        <f t="shared" si="732"/>
        <v>FL</v>
      </c>
      <c r="AH1955" t="str">
        <f>"15002.00"</f>
        <v>15002.00</v>
      </c>
      <c r="AI1955" t="str">
        <f t="shared" si="745"/>
        <v>75345.00</v>
      </c>
      <c r="AJ1955" t="str">
        <f>"C55-001-092-7716-0"</f>
        <v>C55-001-092-7716-0</v>
      </c>
      <c r="AK1955" t="str">
        <f>"40324"</f>
        <v>40324</v>
      </c>
      <c r="AL1955">
        <v>7</v>
      </c>
      <c r="AM1955">
        <v>2234</v>
      </c>
      <c r="AN1955">
        <v>1656.06</v>
      </c>
      <c r="AQ1955" t="s">
        <v>19137</v>
      </c>
      <c r="AR1955" t="s">
        <v>19137</v>
      </c>
      <c r="AS1955" t="s">
        <v>19137</v>
      </c>
      <c r="AU1955" t="s">
        <v>396</v>
      </c>
      <c r="AV1955">
        <v>2017</v>
      </c>
      <c r="AW1955" t="str">
        <f>"00-00-30-0440-0004-0000 "</f>
        <v xml:space="preserve">00-00-30-0440-0004-0000 </v>
      </c>
      <c r="AX1955">
        <v>2938</v>
      </c>
      <c r="AZ1955" t="s">
        <v>19127</v>
      </c>
      <c r="BD1955" t="s">
        <v>11749</v>
      </c>
      <c r="BE1955" t="s">
        <v>393</v>
      </c>
      <c r="BF1955">
        <v>32034</v>
      </c>
      <c r="BG1955" t="s">
        <v>19138</v>
      </c>
      <c r="BH1955" t="s">
        <v>11751</v>
      </c>
      <c r="BK1955" t="s">
        <v>19129</v>
      </c>
      <c r="BM1955" t="s">
        <v>19130</v>
      </c>
      <c r="BN1955" t="s">
        <v>548</v>
      </c>
      <c r="BO1955">
        <v>32205</v>
      </c>
      <c r="BQ1955">
        <v>0</v>
      </c>
      <c r="BR1955" t="s">
        <v>491</v>
      </c>
      <c r="BS1955">
        <v>8001</v>
      </c>
      <c r="BT1955" t="s">
        <v>492</v>
      </c>
      <c r="BW1955">
        <v>15002</v>
      </c>
      <c r="BX1955" t="s">
        <v>407</v>
      </c>
      <c r="CD1955">
        <v>2017</v>
      </c>
      <c r="CE1955">
        <v>75345</v>
      </c>
      <c r="CG1955">
        <v>75345</v>
      </c>
      <c r="CH1955">
        <v>2017</v>
      </c>
      <c r="CI1955">
        <v>75345</v>
      </c>
      <c r="CK1955">
        <v>75345</v>
      </c>
      <c r="CL1955">
        <v>2017</v>
      </c>
      <c r="CM1955">
        <v>1501.67</v>
      </c>
      <c r="DD1955" t="s">
        <v>11749</v>
      </c>
      <c r="DM1955" t="s">
        <v>18842</v>
      </c>
      <c r="DO1955" t="s">
        <v>19139</v>
      </c>
    </row>
    <row r="1956" spans="1:119" x14ac:dyDescent="0.25">
      <c r="A1956">
        <v>16486963</v>
      </c>
      <c r="B1956">
        <v>1955</v>
      </c>
      <c r="C1956" t="s">
        <v>393</v>
      </c>
      <c r="D1956" t="s">
        <v>394</v>
      </c>
      <c r="F1956" t="str">
        <f>"00-00-30-0440-0005-0000"</f>
        <v>00-00-30-0440-0005-0000</v>
      </c>
      <c r="H1956" t="str">
        <f t="shared" si="736"/>
        <v>SUMMERWOODS OF AMELIA ISLAND LLC</v>
      </c>
      <c r="I1956" t="str">
        <f t="shared" si="737"/>
        <v>3675 PINE ST</v>
      </c>
      <c r="J1956" t="str">
        <f t="shared" si="738"/>
        <v>JACKSONVILLE FL 32205</v>
      </c>
      <c r="K1956" t="str">
        <f>"2934 RIVERBEND WALK"</f>
        <v>2934 RIVERBEND WALK</v>
      </c>
      <c r="L1956" t="str">
        <f t="shared" si="746"/>
        <v>FERNANDINA BEACH FL 32034</v>
      </c>
      <c r="M1956" t="str">
        <f>"LOT 5 RIVERBEND PBK 8/182"</f>
        <v>LOT 5 RIVERBEND PBK 8/182</v>
      </c>
      <c r="N1956" t="str">
        <f>""</f>
        <v/>
      </c>
      <c r="O1956" t="str">
        <f>"56773"</f>
        <v>56773</v>
      </c>
      <c r="P1956" t="str">
        <f t="shared" si="724"/>
        <v>2017</v>
      </c>
      <c r="Q1956" t="str">
        <f>""</f>
        <v/>
      </c>
      <c r="R1956" t="str">
        <f t="shared" si="739"/>
        <v>N</v>
      </c>
      <c r="S1956" t="str">
        <f>""</f>
        <v/>
      </c>
      <c r="T1956" t="str">
        <f t="shared" si="740"/>
        <v>1501.67</v>
      </c>
      <c r="U1956" t="str">
        <f t="shared" si="741"/>
        <v>75345.00</v>
      </c>
      <c r="V1956" t="str">
        <f t="shared" si="741"/>
        <v>75345.00</v>
      </c>
      <c r="W1956" t="str">
        <f t="shared" si="725"/>
        <v>2017</v>
      </c>
      <c r="X1956" t="str">
        <f>""</f>
        <v/>
      </c>
      <c r="Y1956" t="str">
        <f t="shared" si="742"/>
        <v>1578.72</v>
      </c>
      <c r="Z1956" t="str">
        <f>""</f>
        <v/>
      </c>
      <c r="AA1956" t="str">
        <f t="shared" si="743"/>
        <v>75345.00</v>
      </c>
      <c r="AB1956" t="str">
        <f t="shared" si="730"/>
        <v>Residential</v>
      </c>
      <c r="AC1956" t="str">
        <f t="shared" si="735"/>
        <v>0</v>
      </c>
      <c r="AD1956" t="str">
        <f>""</f>
        <v/>
      </c>
      <c r="AE1956" t="str">
        <f>""</f>
        <v/>
      </c>
      <c r="AF1956" t="str">
        <f t="shared" si="744"/>
        <v>000</v>
      </c>
      <c r="AG1956" t="str">
        <f t="shared" si="732"/>
        <v>FL</v>
      </c>
      <c r="AH1956" t="str">
        <f>"11931.00"</f>
        <v>11931.00</v>
      </c>
      <c r="AI1956" t="str">
        <f t="shared" si="745"/>
        <v>75345.00</v>
      </c>
      <c r="AJ1956" t="str">
        <f>"C55-001-092-7717-8"</f>
        <v>C55-001-092-7717-8</v>
      </c>
      <c r="AK1956" t="str">
        <f>"40325"</f>
        <v>40325</v>
      </c>
      <c r="AL1956">
        <v>7</v>
      </c>
      <c r="AM1956">
        <v>2235</v>
      </c>
      <c r="AN1956">
        <v>1656.06</v>
      </c>
      <c r="AQ1956" t="s">
        <v>19140</v>
      </c>
      <c r="AR1956" t="s">
        <v>19140</v>
      </c>
      <c r="AS1956" t="s">
        <v>19140</v>
      </c>
      <c r="AU1956" t="s">
        <v>396</v>
      </c>
      <c r="AV1956">
        <v>2017</v>
      </c>
      <c r="AW1956" t="str">
        <f>"00-00-30-0440-0005-0000 "</f>
        <v xml:space="preserve">00-00-30-0440-0005-0000 </v>
      </c>
      <c r="AX1956">
        <v>2934</v>
      </c>
      <c r="AZ1956" t="s">
        <v>19127</v>
      </c>
      <c r="BD1956" t="s">
        <v>11749</v>
      </c>
      <c r="BE1956" t="s">
        <v>393</v>
      </c>
      <c r="BF1956">
        <v>32034</v>
      </c>
      <c r="BG1956" t="s">
        <v>19141</v>
      </c>
      <c r="BH1956" t="s">
        <v>11751</v>
      </c>
      <c r="BK1956" t="s">
        <v>19129</v>
      </c>
      <c r="BM1956" t="s">
        <v>19130</v>
      </c>
      <c r="BN1956" t="s">
        <v>548</v>
      </c>
      <c r="BO1956">
        <v>32205</v>
      </c>
      <c r="BQ1956">
        <v>0</v>
      </c>
      <c r="BR1956" t="s">
        <v>491</v>
      </c>
      <c r="BS1956">
        <v>8001</v>
      </c>
      <c r="BT1956" t="s">
        <v>492</v>
      </c>
      <c r="BW1956">
        <v>11931</v>
      </c>
      <c r="BX1956" t="s">
        <v>407</v>
      </c>
      <c r="CD1956">
        <v>2017</v>
      </c>
      <c r="CE1956">
        <v>75345</v>
      </c>
      <c r="CG1956">
        <v>75345</v>
      </c>
      <c r="CH1956">
        <v>2017</v>
      </c>
      <c r="CI1956">
        <v>75345</v>
      </c>
      <c r="CK1956">
        <v>75345</v>
      </c>
      <c r="CL1956">
        <v>2017</v>
      </c>
      <c r="CM1956">
        <v>1501.67</v>
      </c>
      <c r="DD1956" t="s">
        <v>11749</v>
      </c>
      <c r="DM1956" t="s">
        <v>18842</v>
      </c>
      <c r="DO1956" t="s">
        <v>18193</v>
      </c>
    </row>
    <row r="1957" spans="1:119" x14ac:dyDescent="0.25">
      <c r="A1957">
        <v>16486964</v>
      </c>
      <c r="B1957">
        <v>1956</v>
      </c>
      <c r="C1957" t="s">
        <v>393</v>
      </c>
      <c r="D1957" t="s">
        <v>394</v>
      </c>
      <c r="F1957" t="str">
        <f>"00-00-30-0440-0008-0000"</f>
        <v>00-00-30-0440-0008-0000</v>
      </c>
      <c r="H1957" t="str">
        <f t="shared" si="736"/>
        <v>SUMMERWOODS OF AMELIA ISLAND LLC</v>
      </c>
      <c r="I1957" t="str">
        <f t="shared" si="737"/>
        <v>3675 PINE ST</v>
      </c>
      <c r="J1957" t="str">
        <f t="shared" si="738"/>
        <v>JACKSONVILLE FL 32205</v>
      </c>
      <c r="K1957" t="str">
        <f>"2922 RIVERBEND WALK"</f>
        <v>2922 RIVERBEND WALK</v>
      </c>
      <c r="L1957" t="str">
        <f t="shared" si="746"/>
        <v>FERNANDINA BEACH FL 32034</v>
      </c>
      <c r="M1957" t="str">
        <f>"LOT 8 RIVERBEND PBK 8/182"</f>
        <v>LOT 8 RIVERBEND PBK 8/182</v>
      </c>
      <c r="N1957" t="str">
        <f>""</f>
        <v/>
      </c>
      <c r="O1957" t="str">
        <f>"56776"</f>
        <v>56776</v>
      </c>
      <c r="P1957" t="str">
        <f t="shared" si="724"/>
        <v>2017</v>
      </c>
      <c r="Q1957" t="str">
        <f>""</f>
        <v/>
      </c>
      <c r="R1957" t="str">
        <f t="shared" si="739"/>
        <v>N</v>
      </c>
      <c r="S1957" t="str">
        <f>""</f>
        <v/>
      </c>
      <c r="T1957" t="str">
        <f t="shared" si="740"/>
        <v>1501.67</v>
      </c>
      <c r="U1957" t="str">
        <f t="shared" si="741"/>
        <v>75345.00</v>
      </c>
      <c r="V1957" t="str">
        <f t="shared" si="741"/>
        <v>75345.00</v>
      </c>
      <c r="W1957" t="str">
        <f t="shared" si="725"/>
        <v>2017</v>
      </c>
      <c r="X1957" t="str">
        <f>""</f>
        <v/>
      </c>
      <c r="Y1957" t="str">
        <f t="shared" si="742"/>
        <v>1578.72</v>
      </c>
      <c r="Z1957" t="str">
        <f>""</f>
        <v/>
      </c>
      <c r="AA1957" t="str">
        <f t="shared" si="743"/>
        <v>75345.00</v>
      </c>
      <c r="AB1957" t="str">
        <f t="shared" si="730"/>
        <v>Residential</v>
      </c>
      <c r="AC1957" t="str">
        <f t="shared" si="735"/>
        <v>0</v>
      </c>
      <c r="AD1957" t="str">
        <f>""</f>
        <v/>
      </c>
      <c r="AE1957" t="str">
        <f>""</f>
        <v/>
      </c>
      <c r="AF1957" t="str">
        <f t="shared" si="744"/>
        <v>000</v>
      </c>
      <c r="AG1957" t="str">
        <f t="shared" si="732"/>
        <v>FL</v>
      </c>
      <c r="AH1957" t="str">
        <f>"11200.00"</f>
        <v>11200.00</v>
      </c>
      <c r="AI1957" t="str">
        <f t="shared" si="745"/>
        <v>75345.00</v>
      </c>
      <c r="AJ1957" t="str">
        <f>"C55-001-092-7720-2"</f>
        <v>C55-001-092-7720-2</v>
      </c>
      <c r="AK1957" t="str">
        <f>"40328"</f>
        <v>40328</v>
      </c>
      <c r="AL1957">
        <v>7</v>
      </c>
      <c r="AM1957">
        <v>2236</v>
      </c>
      <c r="AN1957">
        <v>1656.06</v>
      </c>
      <c r="AQ1957" t="s">
        <v>19142</v>
      </c>
      <c r="AR1957" t="s">
        <v>19142</v>
      </c>
      <c r="AS1957" t="s">
        <v>19142</v>
      </c>
      <c r="AU1957" t="s">
        <v>396</v>
      </c>
      <c r="AV1957">
        <v>2017</v>
      </c>
      <c r="AW1957" t="str">
        <f>"00-00-30-0440-0008-0000 "</f>
        <v xml:space="preserve">00-00-30-0440-0008-0000 </v>
      </c>
      <c r="AX1957">
        <v>2922</v>
      </c>
      <c r="AZ1957" t="s">
        <v>19127</v>
      </c>
      <c r="BD1957" t="s">
        <v>11749</v>
      </c>
      <c r="BE1957" t="s">
        <v>393</v>
      </c>
      <c r="BF1957">
        <v>32034</v>
      </c>
      <c r="BG1957" t="s">
        <v>19143</v>
      </c>
      <c r="BH1957" t="s">
        <v>11751</v>
      </c>
      <c r="BK1957" t="s">
        <v>19129</v>
      </c>
      <c r="BM1957" t="s">
        <v>19130</v>
      </c>
      <c r="BN1957" t="s">
        <v>548</v>
      </c>
      <c r="BO1957">
        <v>32205</v>
      </c>
      <c r="BQ1957">
        <v>0</v>
      </c>
      <c r="BR1957" t="s">
        <v>491</v>
      </c>
      <c r="BS1957">
        <v>8001</v>
      </c>
      <c r="BT1957" t="s">
        <v>492</v>
      </c>
      <c r="BW1957">
        <v>11200</v>
      </c>
      <c r="BX1957" t="s">
        <v>407</v>
      </c>
      <c r="CD1957">
        <v>2017</v>
      </c>
      <c r="CE1957">
        <v>75345</v>
      </c>
      <c r="CG1957">
        <v>75345</v>
      </c>
      <c r="CH1957">
        <v>2017</v>
      </c>
      <c r="CI1957">
        <v>75345</v>
      </c>
      <c r="CK1957">
        <v>75345</v>
      </c>
      <c r="CL1957">
        <v>2017</v>
      </c>
      <c r="CM1957">
        <v>1501.67</v>
      </c>
      <c r="DD1957" t="s">
        <v>11749</v>
      </c>
      <c r="DM1957" t="s">
        <v>18842</v>
      </c>
      <c r="DO1957" t="s">
        <v>18200</v>
      </c>
    </row>
    <row r="1958" spans="1:119" x14ac:dyDescent="0.25">
      <c r="A1958">
        <v>16486965</v>
      </c>
      <c r="B1958">
        <v>1957</v>
      </c>
      <c r="C1958" t="s">
        <v>393</v>
      </c>
      <c r="D1958" t="s">
        <v>394</v>
      </c>
      <c r="F1958" t="str">
        <f>"00-00-30-0440-0009-0000"</f>
        <v>00-00-30-0440-0009-0000</v>
      </c>
      <c r="H1958" t="str">
        <f t="shared" si="736"/>
        <v>SUMMERWOODS OF AMELIA ISLAND LLC</v>
      </c>
      <c r="I1958" t="str">
        <f t="shared" si="737"/>
        <v>3675 PINE ST</v>
      </c>
      <c r="J1958" t="str">
        <f t="shared" si="738"/>
        <v>JACKSONVILLE FL 32205</v>
      </c>
      <c r="K1958" t="str">
        <f>"2918 RIVERBEND WALK"</f>
        <v>2918 RIVERBEND WALK</v>
      </c>
      <c r="L1958" t="str">
        <f t="shared" si="746"/>
        <v>FERNANDINA BEACH FL 32034</v>
      </c>
      <c r="M1958" t="str">
        <f>"LOT 9 RIVERBEND PBK 8/182"</f>
        <v>LOT 9 RIVERBEND PBK 8/182</v>
      </c>
      <c r="N1958" t="str">
        <f>""</f>
        <v/>
      </c>
      <c r="O1958" t="str">
        <f>"56777"</f>
        <v>56777</v>
      </c>
      <c r="P1958" t="str">
        <f t="shared" si="724"/>
        <v>2017</v>
      </c>
      <c r="Q1958" t="str">
        <f>""</f>
        <v/>
      </c>
      <c r="R1958" t="str">
        <f t="shared" si="739"/>
        <v>N</v>
      </c>
      <c r="S1958" t="str">
        <f>""</f>
        <v/>
      </c>
      <c r="T1958" t="str">
        <f t="shared" si="740"/>
        <v>1501.67</v>
      </c>
      <c r="U1958" t="str">
        <f t="shared" si="741"/>
        <v>75345.00</v>
      </c>
      <c r="V1958" t="str">
        <f t="shared" si="741"/>
        <v>75345.00</v>
      </c>
      <c r="W1958" t="str">
        <f t="shared" si="725"/>
        <v>2017</v>
      </c>
      <c r="X1958" t="str">
        <f>""</f>
        <v/>
      </c>
      <c r="Y1958" t="str">
        <f t="shared" si="742"/>
        <v>1578.72</v>
      </c>
      <c r="Z1958" t="str">
        <f>""</f>
        <v/>
      </c>
      <c r="AA1958" t="str">
        <f t="shared" si="743"/>
        <v>75345.00</v>
      </c>
      <c r="AB1958" t="str">
        <f t="shared" si="730"/>
        <v>Residential</v>
      </c>
      <c r="AC1958" t="str">
        <f t="shared" si="735"/>
        <v>0</v>
      </c>
      <c r="AD1958" t="str">
        <f>""</f>
        <v/>
      </c>
      <c r="AE1958" t="str">
        <f>""</f>
        <v/>
      </c>
      <c r="AF1958" t="str">
        <f t="shared" si="744"/>
        <v>000</v>
      </c>
      <c r="AG1958" t="str">
        <f t="shared" si="732"/>
        <v>FL</v>
      </c>
      <c r="AH1958" t="str">
        <f>"12319.00"</f>
        <v>12319.00</v>
      </c>
      <c r="AI1958" t="str">
        <f t="shared" si="745"/>
        <v>75345.00</v>
      </c>
      <c r="AJ1958" t="str">
        <f>"C55-001-092-7721-0"</f>
        <v>C55-001-092-7721-0</v>
      </c>
      <c r="AK1958" t="str">
        <f>"40329"</f>
        <v>40329</v>
      </c>
      <c r="AL1958">
        <v>7</v>
      </c>
      <c r="AM1958">
        <v>2237</v>
      </c>
      <c r="AN1958">
        <v>1656.06</v>
      </c>
      <c r="AQ1958" t="s">
        <v>19144</v>
      </c>
      <c r="AR1958" t="s">
        <v>19144</v>
      </c>
      <c r="AS1958" t="s">
        <v>19144</v>
      </c>
      <c r="AU1958" t="s">
        <v>396</v>
      </c>
      <c r="AV1958">
        <v>2017</v>
      </c>
      <c r="AW1958" t="str">
        <f>"00-00-30-0440-0009-0000 "</f>
        <v xml:space="preserve">00-00-30-0440-0009-0000 </v>
      </c>
      <c r="AX1958">
        <v>2918</v>
      </c>
      <c r="AZ1958" t="s">
        <v>19127</v>
      </c>
      <c r="BD1958" t="s">
        <v>11749</v>
      </c>
      <c r="BE1958" t="s">
        <v>393</v>
      </c>
      <c r="BF1958">
        <v>32034</v>
      </c>
      <c r="BG1958" t="s">
        <v>19145</v>
      </c>
      <c r="BH1958" t="s">
        <v>11751</v>
      </c>
      <c r="BK1958" t="s">
        <v>19129</v>
      </c>
      <c r="BM1958" t="s">
        <v>19130</v>
      </c>
      <c r="BN1958" t="s">
        <v>548</v>
      </c>
      <c r="BO1958">
        <v>32205</v>
      </c>
      <c r="BQ1958">
        <v>0</v>
      </c>
      <c r="BR1958" t="s">
        <v>491</v>
      </c>
      <c r="BS1958">
        <v>8001</v>
      </c>
      <c r="BT1958" t="s">
        <v>492</v>
      </c>
      <c r="BW1958">
        <v>12319</v>
      </c>
      <c r="BX1958" t="s">
        <v>407</v>
      </c>
      <c r="CD1958">
        <v>2017</v>
      </c>
      <c r="CE1958">
        <v>75345</v>
      </c>
      <c r="CG1958">
        <v>75345</v>
      </c>
      <c r="CH1958">
        <v>2017</v>
      </c>
      <c r="CI1958">
        <v>75345</v>
      </c>
      <c r="CK1958">
        <v>75345</v>
      </c>
      <c r="CL1958">
        <v>2017</v>
      </c>
      <c r="CM1958">
        <v>1501.67</v>
      </c>
      <c r="DD1958" t="s">
        <v>11749</v>
      </c>
      <c r="DM1958" t="s">
        <v>18842</v>
      </c>
      <c r="DO1958" t="s">
        <v>19146</v>
      </c>
    </row>
    <row r="1959" spans="1:119" x14ac:dyDescent="0.25">
      <c r="A1959">
        <v>16486966</v>
      </c>
      <c r="B1959">
        <v>1958</v>
      </c>
      <c r="C1959" t="s">
        <v>393</v>
      </c>
      <c r="D1959" t="s">
        <v>394</v>
      </c>
      <c r="F1959" t="str">
        <f>"00-00-30-0440-0010-0000"</f>
        <v>00-00-30-0440-0010-0000</v>
      </c>
      <c r="H1959" t="str">
        <f t="shared" si="736"/>
        <v>SUMMERWOODS OF AMELIA ISLAND LLC</v>
      </c>
      <c r="I1959" t="str">
        <f t="shared" si="737"/>
        <v>3675 PINE ST</v>
      </c>
      <c r="J1959" t="str">
        <f t="shared" si="738"/>
        <v>JACKSONVILLE FL 32205</v>
      </c>
      <c r="K1959" t="str">
        <f>"2914 RIVERBEND WALK"</f>
        <v>2914 RIVERBEND WALK</v>
      </c>
      <c r="L1959" t="str">
        <f t="shared" si="746"/>
        <v>FERNANDINA BEACH FL 32034</v>
      </c>
      <c r="M1959" t="str">
        <f>"LOT 10 RIVERBEND PBK 8/182"</f>
        <v>LOT 10 RIVERBEND PBK 8/182</v>
      </c>
      <c r="N1959" t="str">
        <f>""</f>
        <v/>
      </c>
      <c r="O1959" t="str">
        <f>"56778"</f>
        <v>56778</v>
      </c>
      <c r="P1959" t="str">
        <f t="shared" si="724"/>
        <v>2017</v>
      </c>
      <c r="Q1959" t="str">
        <f>""</f>
        <v/>
      </c>
      <c r="R1959" t="str">
        <f t="shared" si="739"/>
        <v>N</v>
      </c>
      <c r="S1959" t="str">
        <f>""</f>
        <v/>
      </c>
      <c r="T1959" t="str">
        <f t="shared" si="740"/>
        <v>1501.67</v>
      </c>
      <c r="U1959" t="str">
        <f t="shared" si="741"/>
        <v>75345.00</v>
      </c>
      <c r="V1959" t="str">
        <f t="shared" si="741"/>
        <v>75345.00</v>
      </c>
      <c r="W1959" t="str">
        <f t="shared" si="725"/>
        <v>2017</v>
      </c>
      <c r="X1959" t="str">
        <f>""</f>
        <v/>
      </c>
      <c r="Y1959" t="str">
        <f t="shared" si="742"/>
        <v>1578.72</v>
      </c>
      <c r="Z1959" t="str">
        <f>""</f>
        <v/>
      </c>
      <c r="AA1959" t="str">
        <f t="shared" si="743"/>
        <v>75345.00</v>
      </c>
      <c r="AB1959" t="str">
        <f t="shared" si="730"/>
        <v>Residential</v>
      </c>
      <c r="AC1959" t="str">
        <f t="shared" si="735"/>
        <v>0</v>
      </c>
      <c r="AD1959" t="str">
        <f>""</f>
        <v/>
      </c>
      <c r="AE1959" t="str">
        <f>""</f>
        <v/>
      </c>
      <c r="AF1959" t="str">
        <f t="shared" si="744"/>
        <v>000</v>
      </c>
      <c r="AG1959" t="str">
        <f t="shared" si="732"/>
        <v>FL</v>
      </c>
      <c r="AH1959" t="str">
        <f>"13842.00"</f>
        <v>13842.00</v>
      </c>
      <c r="AI1959" t="str">
        <f t="shared" si="745"/>
        <v>75345.00</v>
      </c>
      <c r="AJ1959" t="str">
        <f>"C55-001-092-7722-8"</f>
        <v>C55-001-092-7722-8</v>
      </c>
      <c r="AK1959" t="str">
        <f>"40330"</f>
        <v>40330</v>
      </c>
      <c r="AL1959">
        <v>7</v>
      </c>
      <c r="AM1959">
        <v>2238</v>
      </c>
      <c r="AN1959">
        <v>1656.06</v>
      </c>
      <c r="AQ1959" t="s">
        <v>19147</v>
      </c>
      <c r="AR1959" t="s">
        <v>19147</v>
      </c>
      <c r="AS1959" t="s">
        <v>19147</v>
      </c>
      <c r="AU1959" t="s">
        <v>396</v>
      </c>
      <c r="AV1959">
        <v>2017</v>
      </c>
      <c r="AW1959" t="str">
        <f>"00-00-30-0440-0010-0000 "</f>
        <v xml:space="preserve">00-00-30-0440-0010-0000 </v>
      </c>
      <c r="AX1959">
        <v>2914</v>
      </c>
      <c r="AZ1959" t="s">
        <v>19127</v>
      </c>
      <c r="BD1959" t="s">
        <v>11749</v>
      </c>
      <c r="BE1959" t="s">
        <v>393</v>
      </c>
      <c r="BF1959">
        <v>32034</v>
      </c>
      <c r="BG1959" t="s">
        <v>19148</v>
      </c>
      <c r="BH1959" t="s">
        <v>11751</v>
      </c>
      <c r="BK1959" t="s">
        <v>19129</v>
      </c>
      <c r="BM1959" t="s">
        <v>19130</v>
      </c>
      <c r="BN1959" t="s">
        <v>548</v>
      </c>
      <c r="BO1959">
        <v>32205</v>
      </c>
      <c r="BQ1959">
        <v>0</v>
      </c>
      <c r="BR1959" t="s">
        <v>491</v>
      </c>
      <c r="BS1959">
        <v>8001</v>
      </c>
      <c r="BT1959" t="s">
        <v>492</v>
      </c>
      <c r="BW1959">
        <v>13842</v>
      </c>
      <c r="BX1959" t="s">
        <v>407</v>
      </c>
      <c r="CD1959">
        <v>2017</v>
      </c>
      <c r="CE1959">
        <v>75345</v>
      </c>
      <c r="CG1959">
        <v>75345</v>
      </c>
      <c r="CH1959">
        <v>2017</v>
      </c>
      <c r="CI1959">
        <v>75345</v>
      </c>
      <c r="CK1959">
        <v>75345</v>
      </c>
      <c r="CL1959">
        <v>2017</v>
      </c>
      <c r="CM1959">
        <v>1501.67</v>
      </c>
      <c r="DD1959" t="s">
        <v>11749</v>
      </c>
      <c r="DM1959" t="s">
        <v>18842</v>
      </c>
      <c r="DO1959" t="s">
        <v>19149</v>
      </c>
    </row>
    <row r="1960" spans="1:119" x14ac:dyDescent="0.25">
      <c r="A1960">
        <v>16486967</v>
      </c>
      <c r="B1960">
        <v>1959</v>
      </c>
      <c r="C1960" t="s">
        <v>393</v>
      </c>
      <c r="D1960" t="s">
        <v>394</v>
      </c>
      <c r="F1960" t="str">
        <f>"00-00-30-0440-0011-0000"</f>
        <v>00-00-30-0440-0011-0000</v>
      </c>
      <c r="H1960" t="str">
        <f t="shared" si="736"/>
        <v>SUMMERWOODS OF AMELIA ISLAND LLC</v>
      </c>
      <c r="I1960" t="str">
        <f t="shared" si="737"/>
        <v>3675 PINE ST</v>
      </c>
      <c r="J1960" t="str">
        <f t="shared" si="738"/>
        <v>JACKSONVILLE FL 32205</v>
      </c>
      <c r="K1960" t="str">
        <f>"2910 RIVERBEND WALK"</f>
        <v>2910 RIVERBEND WALK</v>
      </c>
      <c r="L1960" t="str">
        <f t="shared" si="746"/>
        <v>FERNANDINA BEACH FL 32034</v>
      </c>
      <c r="M1960" t="str">
        <f>"LOT 11 RIVERBEND PBK 8/182"</f>
        <v>LOT 11 RIVERBEND PBK 8/182</v>
      </c>
      <c r="N1960" t="str">
        <f>""</f>
        <v/>
      </c>
      <c r="O1960" t="str">
        <f>"56779"</f>
        <v>56779</v>
      </c>
      <c r="P1960" t="str">
        <f t="shared" si="724"/>
        <v>2017</v>
      </c>
      <c r="Q1960" t="str">
        <f>""</f>
        <v/>
      </c>
      <c r="R1960" t="str">
        <f t="shared" si="739"/>
        <v>N</v>
      </c>
      <c r="S1960" t="str">
        <f>""</f>
        <v/>
      </c>
      <c r="T1960" t="str">
        <f t="shared" si="740"/>
        <v>1501.67</v>
      </c>
      <c r="U1960" t="str">
        <f t="shared" si="741"/>
        <v>75345.00</v>
      </c>
      <c r="V1960" t="str">
        <f t="shared" si="741"/>
        <v>75345.00</v>
      </c>
      <c r="W1960" t="str">
        <f t="shared" si="725"/>
        <v>2017</v>
      </c>
      <c r="X1960" t="str">
        <f>""</f>
        <v/>
      </c>
      <c r="Y1960" t="str">
        <f t="shared" si="742"/>
        <v>1578.72</v>
      </c>
      <c r="Z1960" t="str">
        <f>""</f>
        <v/>
      </c>
      <c r="AA1960" t="str">
        <f t="shared" si="743"/>
        <v>75345.00</v>
      </c>
      <c r="AB1960" t="str">
        <f t="shared" si="730"/>
        <v>Residential</v>
      </c>
      <c r="AC1960" t="str">
        <f t="shared" si="735"/>
        <v>0</v>
      </c>
      <c r="AD1960" t="str">
        <f>""</f>
        <v/>
      </c>
      <c r="AE1960" t="str">
        <f>""</f>
        <v/>
      </c>
      <c r="AF1960" t="str">
        <f t="shared" si="744"/>
        <v>000</v>
      </c>
      <c r="AG1960" t="str">
        <f t="shared" si="732"/>
        <v>FL</v>
      </c>
      <c r="AH1960" t="str">
        <f>"13299.00"</f>
        <v>13299.00</v>
      </c>
      <c r="AI1960" t="str">
        <f t="shared" si="745"/>
        <v>75345.00</v>
      </c>
      <c r="AJ1960" t="str">
        <f>"C55-001-092-7723-6"</f>
        <v>C55-001-092-7723-6</v>
      </c>
      <c r="AK1960" t="str">
        <f>"40331"</f>
        <v>40331</v>
      </c>
      <c r="AL1960">
        <v>7</v>
      </c>
      <c r="AM1960">
        <v>2239</v>
      </c>
      <c r="AN1960">
        <v>1656.06</v>
      </c>
      <c r="AQ1960" t="s">
        <v>19150</v>
      </c>
      <c r="AR1960" t="s">
        <v>19150</v>
      </c>
      <c r="AS1960" t="s">
        <v>19150</v>
      </c>
      <c r="AU1960" t="s">
        <v>396</v>
      </c>
      <c r="AV1960">
        <v>2017</v>
      </c>
      <c r="AW1960" t="str">
        <f>"00-00-30-0440-0011-0000 "</f>
        <v xml:space="preserve">00-00-30-0440-0011-0000 </v>
      </c>
      <c r="AX1960">
        <v>2910</v>
      </c>
      <c r="AZ1960" t="s">
        <v>19127</v>
      </c>
      <c r="BD1960" t="s">
        <v>11749</v>
      </c>
      <c r="BE1960" t="s">
        <v>393</v>
      </c>
      <c r="BF1960">
        <v>32034</v>
      </c>
      <c r="BG1960" t="s">
        <v>19151</v>
      </c>
      <c r="BH1960" t="s">
        <v>11751</v>
      </c>
      <c r="BK1960" t="s">
        <v>19129</v>
      </c>
      <c r="BM1960" t="s">
        <v>19130</v>
      </c>
      <c r="BN1960" t="s">
        <v>548</v>
      </c>
      <c r="BO1960">
        <v>32205</v>
      </c>
      <c r="BQ1960">
        <v>0</v>
      </c>
      <c r="BR1960" t="s">
        <v>491</v>
      </c>
      <c r="BS1960">
        <v>8001</v>
      </c>
      <c r="BT1960" t="s">
        <v>492</v>
      </c>
      <c r="BW1960">
        <v>13299</v>
      </c>
      <c r="BX1960" t="s">
        <v>407</v>
      </c>
      <c r="CD1960">
        <v>2017</v>
      </c>
      <c r="CE1960">
        <v>75345</v>
      </c>
      <c r="CG1960">
        <v>75345</v>
      </c>
      <c r="CH1960">
        <v>2017</v>
      </c>
      <c r="CI1960">
        <v>75345</v>
      </c>
      <c r="CK1960">
        <v>75345</v>
      </c>
      <c r="CL1960">
        <v>2017</v>
      </c>
      <c r="CM1960">
        <v>1501.67</v>
      </c>
      <c r="DD1960" t="s">
        <v>11749</v>
      </c>
      <c r="DM1960" t="s">
        <v>18842</v>
      </c>
      <c r="DO1960" t="s">
        <v>19152</v>
      </c>
    </row>
    <row r="1961" spans="1:119" x14ac:dyDescent="0.25">
      <c r="A1961">
        <v>16486968</v>
      </c>
      <c r="B1961">
        <v>1960</v>
      </c>
      <c r="C1961" t="s">
        <v>393</v>
      </c>
      <c r="D1961" t="s">
        <v>394</v>
      </c>
      <c r="F1961" t="str">
        <f>"00-00-30-0440-0012-0000"</f>
        <v>00-00-30-0440-0012-0000</v>
      </c>
      <c r="H1961" t="str">
        <f t="shared" si="736"/>
        <v>SUMMERWOODS OF AMELIA ISLAND LLC</v>
      </c>
      <c r="I1961" t="str">
        <f t="shared" si="737"/>
        <v>3675 PINE ST</v>
      </c>
      <c r="J1961" t="str">
        <f t="shared" si="738"/>
        <v>JACKSONVILLE FL 32205</v>
      </c>
      <c r="K1961" t="str">
        <f>"2906 RIVERBEND WALK"</f>
        <v>2906 RIVERBEND WALK</v>
      </c>
      <c r="L1961" t="str">
        <f t="shared" si="746"/>
        <v>FERNANDINA BEACH FL 32034</v>
      </c>
      <c r="M1961" t="str">
        <f>"LOT 12 RIVERBEND PBK 8/182"</f>
        <v>LOT 12 RIVERBEND PBK 8/182</v>
      </c>
      <c r="N1961" t="str">
        <f>""</f>
        <v/>
      </c>
      <c r="O1961" t="str">
        <f>"56780"</f>
        <v>56780</v>
      </c>
      <c r="P1961" t="str">
        <f t="shared" si="724"/>
        <v>2017</v>
      </c>
      <c r="Q1961" t="str">
        <f>""</f>
        <v/>
      </c>
      <c r="R1961" t="str">
        <f t="shared" si="739"/>
        <v>N</v>
      </c>
      <c r="S1961" t="str">
        <f>""</f>
        <v/>
      </c>
      <c r="T1961" t="str">
        <f t="shared" si="740"/>
        <v>1501.67</v>
      </c>
      <c r="U1961" t="str">
        <f t="shared" si="741"/>
        <v>75345.00</v>
      </c>
      <c r="V1961" t="str">
        <f t="shared" si="741"/>
        <v>75345.00</v>
      </c>
      <c r="W1961" t="str">
        <f t="shared" si="725"/>
        <v>2017</v>
      </c>
      <c r="X1961" t="str">
        <f>""</f>
        <v/>
      </c>
      <c r="Y1961" t="str">
        <f t="shared" si="742"/>
        <v>1578.72</v>
      </c>
      <c r="Z1961" t="str">
        <f>""</f>
        <v/>
      </c>
      <c r="AA1961" t="str">
        <f t="shared" si="743"/>
        <v>75345.00</v>
      </c>
      <c r="AB1961" t="str">
        <f t="shared" si="730"/>
        <v>Residential</v>
      </c>
      <c r="AC1961" t="str">
        <f t="shared" si="735"/>
        <v>0</v>
      </c>
      <c r="AD1961" t="str">
        <f>""</f>
        <v/>
      </c>
      <c r="AE1961" t="str">
        <f>""</f>
        <v/>
      </c>
      <c r="AF1961" t="str">
        <f t="shared" si="744"/>
        <v>000</v>
      </c>
      <c r="AG1961" t="str">
        <f t="shared" si="732"/>
        <v>FL</v>
      </c>
      <c r="AH1961" t="str">
        <f>"13530.00"</f>
        <v>13530.00</v>
      </c>
      <c r="AI1961" t="str">
        <f t="shared" si="745"/>
        <v>75345.00</v>
      </c>
      <c r="AJ1961" t="str">
        <f>"C55-001-092-7724-4"</f>
        <v>C55-001-092-7724-4</v>
      </c>
      <c r="AK1961" t="str">
        <f>"40332"</f>
        <v>40332</v>
      </c>
      <c r="AL1961">
        <v>7</v>
      </c>
      <c r="AM1961">
        <v>2240</v>
      </c>
      <c r="AN1961">
        <v>1656.06</v>
      </c>
      <c r="AQ1961" t="s">
        <v>19153</v>
      </c>
      <c r="AR1961" t="s">
        <v>19153</v>
      </c>
      <c r="AS1961" t="s">
        <v>19153</v>
      </c>
      <c r="AU1961" t="s">
        <v>396</v>
      </c>
      <c r="AV1961">
        <v>2017</v>
      </c>
      <c r="AW1961" t="str">
        <f>"00-00-30-0440-0012-0000 "</f>
        <v xml:space="preserve">00-00-30-0440-0012-0000 </v>
      </c>
      <c r="AX1961">
        <v>2906</v>
      </c>
      <c r="AZ1961" t="s">
        <v>19127</v>
      </c>
      <c r="BD1961" t="s">
        <v>11749</v>
      </c>
      <c r="BE1961" t="s">
        <v>393</v>
      </c>
      <c r="BF1961">
        <v>32034</v>
      </c>
      <c r="BG1961" t="s">
        <v>19154</v>
      </c>
      <c r="BH1961" t="s">
        <v>11751</v>
      </c>
      <c r="BK1961" t="s">
        <v>19129</v>
      </c>
      <c r="BM1961" t="s">
        <v>19130</v>
      </c>
      <c r="BN1961" t="s">
        <v>548</v>
      </c>
      <c r="BO1961">
        <v>32205</v>
      </c>
      <c r="BQ1961">
        <v>0</v>
      </c>
      <c r="BR1961" t="s">
        <v>491</v>
      </c>
      <c r="BS1961">
        <v>8001</v>
      </c>
      <c r="BT1961" t="s">
        <v>492</v>
      </c>
      <c r="BW1961">
        <v>13530</v>
      </c>
      <c r="BX1961" t="s">
        <v>407</v>
      </c>
      <c r="CD1961">
        <v>2017</v>
      </c>
      <c r="CE1961">
        <v>75345</v>
      </c>
      <c r="CG1961">
        <v>75345</v>
      </c>
      <c r="CH1961">
        <v>2017</v>
      </c>
      <c r="CI1961">
        <v>75345</v>
      </c>
      <c r="CK1961">
        <v>75345</v>
      </c>
      <c r="CL1961">
        <v>2017</v>
      </c>
      <c r="CM1961">
        <v>1501.67</v>
      </c>
      <c r="DD1961" t="s">
        <v>11749</v>
      </c>
      <c r="DM1961" t="s">
        <v>18842</v>
      </c>
      <c r="DO1961" t="s">
        <v>19155</v>
      </c>
    </row>
    <row r="1962" spans="1:119" x14ac:dyDescent="0.25">
      <c r="A1962">
        <v>16486969</v>
      </c>
      <c r="B1962">
        <v>1961</v>
      </c>
      <c r="C1962" t="s">
        <v>393</v>
      </c>
      <c r="D1962" t="s">
        <v>394</v>
      </c>
      <c r="F1962" t="str">
        <f>"00-00-30-0440-0013-0000"</f>
        <v>00-00-30-0440-0013-0000</v>
      </c>
      <c r="H1962" t="str">
        <f t="shared" si="736"/>
        <v>SUMMERWOODS OF AMELIA ISLAND LLC</v>
      </c>
      <c r="I1962" t="str">
        <f t="shared" si="737"/>
        <v>3675 PINE ST</v>
      </c>
      <c r="J1962" t="str">
        <f t="shared" si="738"/>
        <v>JACKSONVILLE FL 32205</v>
      </c>
      <c r="K1962" t="str">
        <f>"2901 RIVERBEND WALK"</f>
        <v>2901 RIVERBEND WALK</v>
      </c>
      <c r="L1962" t="str">
        <f t="shared" si="746"/>
        <v>FERNANDINA BEACH FL 32034</v>
      </c>
      <c r="M1962" t="str">
        <f>"LOT 13 RIVERBEND PBK 8/182"</f>
        <v>LOT 13 RIVERBEND PBK 8/182</v>
      </c>
      <c r="N1962" t="str">
        <f>""</f>
        <v/>
      </c>
      <c r="O1962" t="str">
        <f>"56781"</f>
        <v>56781</v>
      </c>
      <c r="P1962" t="str">
        <f t="shared" si="724"/>
        <v>2017</v>
      </c>
      <c r="Q1962" t="str">
        <f>""</f>
        <v/>
      </c>
      <c r="R1962" t="str">
        <f t="shared" si="739"/>
        <v>N</v>
      </c>
      <c r="S1962" t="str">
        <f>""</f>
        <v/>
      </c>
      <c r="T1962" t="str">
        <f t="shared" si="740"/>
        <v>1501.67</v>
      </c>
      <c r="U1962" t="str">
        <f t="shared" si="741"/>
        <v>75345.00</v>
      </c>
      <c r="V1962" t="str">
        <f t="shared" si="741"/>
        <v>75345.00</v>
      </c>
      <c r="W1962" t="str">
        <f t="shared" si="725"/>
        <v>2017</v>
      </c>
      <c r="X1962" t="str">
        <f>""</f>
        <v/>
      </c>
      <c r="Y1962" t="str">
        <f t="shared" si="742"/>
        <v>1578.72</v>
      </c>
      <c r="Z1962" t="str">
        <f>""</f>
        <v/>
      </c>
      <c r="AA1962" t="str">
        <f t="shared" si="743"/>
        <v>75345.00</v>
      </c>
      <c r="AB1962" t="str">
        <f t="shared" si="730"/>
        <v>Residential</v>
      </c>
      <c r="AC1962" t="str">
        <f t="shared" si="735"/>
        <v>0</v>
      </c>
      <c r="AD1962" t="str">
        <f>""</f>
        <v/>
      </c>
      <c r="AE1962" t="str">
        <f>""</f>
        <v/>
      </c>
      <c r="AF1962" t="str">
        <f t="shared" si="744"/>
        <v>000</v>
      </c>
      <c r="AG1962" t="str">
        <f t="shared" si="732"/>
        <v>FL</v>
      </c>
      <c r="AH1962" t="str">
        <f>"14657.00"</f>
        <v>14657.00</v>
      </c>
      <c r="AI1962" t="str">
        <f t="shared" si="745"/>
        <v>75345.00</v>
      </c>
      <c r="AJ1962" t="str">
        <f>"C55-001-092-7725-1"</f>
        <v>C55-001-092-7725-1</v>
      </c>
      <c r="AK1962" t="str">
        <f>"40333"</f>
        <v>40333</v>
      </c>
      <c r="AL1962">
        <v>7</v>
      </c>
      <c r="AM1962">
        <v>2241</v>
      </c>
      <c r="AN1962">
        <v>1656.06</v>
      </c>
      <c r="AQ1962" t="s">
        <v>19156</v>
      </c>
      <c r="AR1962" t="s">
        <v>19156</v>
      </c>
      <c r="AS1962" t="s">
        <v>19156</v>
      </c>
      <c r="AU1962" t="s">
        <v>396</v>
      </c>
      <c r="AV1962">
        <v>2017</v>
      </c>
      <c r="AW1962" t="str">
        <f>"00-00-30-0440-0013-0000 "</f>
        <v xml:space="preserve">00-00-30-0440-0013-0000 </v>
      </c>
      <c r="AX1962">
        <v>2901</v>
      </c>
      <c r="AZ1962" t="s">
        <v>19127</v>
      </c>
      <c r="BD1962" t="s">
        <v>11749</v>
      </c>
      <c r="BE1962" t="s">
        <v>393</v>
      </c>
      <c r="BF1962">
        <v>32034</v>
      </c>
      <c r="BG1962" t="s">
        <v>19157</v>
      </c>
      <c r="BH1962" t="s">
        <v>11751</v>
      </c>
      <c r="BK1962" t="s">
        <v>19129</v>
      </c>
      <c r="BM1962" t="s">
        <v>19130</v>
      </c>
      <c r="BN1962" t="s">
        <v>548</v>
      </c>
      <c r="BO1962">
        <v>32205</v>
      </c>
      <c r="BQ1962">
        <v>0</v>
      </c>
      <c r="BR1962" t="s">
        <v>491</v>
      </c>
      <c r="BS1962">
        <v>8001</v>
      </c>
      <c r="BT1962" t="s">
        <v>492</v>
      </c>
      <c r="BW1962">
        <v>14657</v>
      </c>
      <c r="BX1962" t="s">
        <v>407</v>
      </c>
      <c r="CD1962">
        <v>2017</v>
      </c>
      <c r="CE1962">
        <v>75345</v>
      </c>
      <c r="CG1962">
        <v>75345</v>
      </c>
      <c r="CH1962">
        <v>2017</v>
      </c>
      <c r="CI1962">
        <v>75345</v>
      </c>
      <c r="CK1962">
        <v>75345</v>
      </c>
      <c r="CL1962">
        <v>2017</v>
      </c>
      <c r="CM1962">
        <v>1501.67</v>
      </c>
      <c r="DD1962" t="s">
        <v>11749</v>
      </c>
      <c r="DM1962" t="s">
        <v>18842</v>
      </c>
      <c r="DO1962" t="s">
        <v>19158</v>
      </c>
    </row>
    <row r="1963" spans="1:119" x14ac:dyDescent="0.25">
      <c r="A1963">
        <v>16486970</v>
      </c>
      <c r="B1963">
        <v>1962</v>
      </c>
      <c r="C1963" t="s">
        <v>393</v>
      </c>
      <c r="D1963" t="s">
        <v>394</v>
      </c>
      <c r="F1963" t="str">
        <f>"00-00-30-0440-0014-0000"</f>
        <v>00-00-30-0440-0014-0000</v>
      </c>
      <c r="H1963" t="str">
        <f t="shared" si="736"/>
        <v>SUMMERWOODS OF AMELIA ISLAND LLC</v>
      </c>
      <c r="I1963" t="str">
        <f t="shared" si="737"/>
        <v>3675 PINE ST</v>
      </c>
      <c r="J1963" t="str">
        <f t="shared" si="738"/>
        <v>JACKSONVILLE FL 32205</v>
      </c>
      <c r="K1963" t="str">
        <f>"2905 RIVERBEND WALK"</f>
        <v>2905 RIVERBEND WALK</v>
      </c>
      <c r="L1963" t="str">
        <f t="shared" si="746"/>
        <v>FERNANDINA BEACH FL 32034</v>
      </c>
      <c r="M1963" t="str">
        <f>"LOT 14 RIVERBEND PBK 8/182"</f>
        <v>LOT 14 RIVERBEND PBK 8/182</v>
      </c>
      <c r="N1963" t="str">
        <f>""</f>
        <v/>
      </c>
      <c r="O1963" t="str">
        <f>"56782"</f>
        <v>56782</v>
      </c>
      <c r="P1963" t="str">
        <f t="shared" si="724"/>
        <v>2017</v>
      </c>
      <c r="Q1963" t="str">
        <f>""</f>
        <v/>
      </c>
      <c r="R1963" t="str">
        <f t="shared" si="739"/>
        <v>N</v>
      </c>
      <c r="S1963" t="str">
        <f>""</f>
        <v/>
      </c>
      <c r="T1963" t="str">
        <f t="shared" si="740"/>
        <v>1501.67</v>
      </c>
      <c r="U1963" t="str">
        <f t="shared" si="741"/>
        <v>75345.00</v>
      </c>
      <c r="V1963" t="str">
        <f t="shared" si="741"/>
        <v>75345.00</v>
      </c>
      <c r="W1963" t="str">
        <f t="shared" si="725"/>
        <v>2017</v>
      </c>
      <c r="X1963" t="str">
        <f>""</f>
        <v/>
      </c>
      <c r="Y1963" t="str">
        <f t="shared" si="742"/>
        <v>1578.72</v>
      </c>
      <c r="Z1963" t="str">
        <f>""</f>
        <v/>
      </c>
      <c r="AA1963" t="str">
        <f t="shared" si="743"/>
        <v>75345.00</v>
      </c>
      <c r="AB1963" t="str">
        <f t="shared" si="730"/>
        <v>Residential</v>
      </c>
      <c r="AC1963" t="str">
        <f t="shared" si="735"/>
        <v>0</v>
      </c>
      <c r="AD1963" t="str">
        <f>""</f>
        <v/>
      </c>
      <c r="AE1963" t="str">
        <f>""</f>
        <v/>
      </c>
      <c r="AF1963" t="str">
        <f t="shared" si="744"/>
        <v>000</v>
      </c>
      <c r="AG1963" t="str">
        <f t="shared" si="732"/>
        <v>FL</v>
      </c>
      <c r="AH1963" t="str">
        <f>"16574.00"</f>
        <v>16574.00</v>
      </c>
      <c r="AI1963" t="str">
        <f t="shared" si="745"/>
        <v>75345.00</v>
      </c>
      <c r="AJ1963" t="str">
        <f>"C55-001-092-7726-9"</f>
        <v>C55-001-092-7726-9</v>
      </c>
      <c r="AK1963" t="str">
        <f>"40334"</f>
        <v>40334</v>
      </c>
      <c r="AL1963">
        <v>7</v>
      </c>
      <c r="AM1963">
        <v>2242</v>
      </c>
      <c r="AN1963">
        <v>1656.06</v>
      </c>
      <c r="AQ1963" t="s">
        <v>19159</v>
      </c>
      <c r="AR1963" t="s">
        <v>19159</v>
      </c>
      <c r="AS1963" t="s">
        <v>19159</v>
      </c>
      <c r="AU1963" t="s">
        <v>396</v>
      </c>
      <c r="AV1963">
        <v>2017</v>
      </c>
      <c r="AW1963" t="str">
        <f>"00-00-30-0440-0014-0000 "</f>
        <v xml:space="preserve">00-00-30-0440-0014-0000 </v>
      </c>
      <c r="AX1963">
        <v>2905</v>
      </c>
      <c r="AZ1963" t="s">
        <v>19127</v>
      </c>
      <c r="BD1963" t="s">
        <v>11749</v>
      </c>
      <c r="BE1963" t="s">
        <v>393</v>
      </c>
      <c r="BF1963">
        <v>32034</v>
      </c>
      <c r="BG1963" t="s">
        <v>19160</v>
      </c>
      <c r="BH1963" t="s">
        <v>11751</v>
      </c>
      <c r="BK1963" t="s">
        <v>19129</v>
      </c>
      <c r="BM1963" t="s">
        <v>19130</v>
      </c>
      <c r="BN1963" t="s">
        <v>548</v>
      </c>
      <c r="BO1963">
        <v>32205</v>
      </c>
      <c r="BQ1963">
        <v>0</v>
      </c>
      <c r="BR1963" t="s">
        <v>491</v>
      </c>
      <c r="BS1963">
        <v>8001</v>
      </c>
      <c r="BT1963" t="s">
        <v>492</v>
      </c>
      <c r="BW1963">
        <v>16574</v>
      </c>
      <c r="BX1963" t="s">
        <v>407</v>
      </c>
      <c r="CD1963">
        <v>2017</v>
      </c>
      <c r="CE1963">
        <v>75345</v>
      </c>
      <c r="CG1963">
        <v>75345</v>
      </c>
      <c r="CH1963">
        <v>2017</v>
      </c>
      <c r="CI1963">
        <v>75345</v>
      </c>
      <c r="CK1963">
        <v>75345</v>
      </c>
      <c r="CL1963">
        <v>2017</v>
      </c>
      <c r="CM1963">
        <v>1501.67</v>
      </c>
      <c r="DD1963" t="s">
        <v>11749</v>
      </c>
      <c r="DM1963" t="s">
        <v>18842</v>
      </c>
      <c r="DO1963" t="s">
        <v>19161</v>
      </c>
    </row>
    <row r="1964" spans="1:119" x14ac:dyDescent="0.25">
      <c r="A1964">
        <v>16486971</v>
      </c>
      <c r="B1964">
        <v>1963</v>
      </c>
      <c r="C1964" t="s">
        <v>393</v>
      </c>
      <c r="D1964" t="s">
        <v>394</v>
      </c>
      <c r="F1964" t="str">
        <f>"00-00-30-0440-0015-0000"</f>
        <v>00-00-30-0440-0015-0000</v>
      </c>
      <c r="H1964" t="str">
        <f t="shared" si="736"/>
        <v>SUMMERWOODS OF AMELIA ISLAND LLC</v>
      </c>
      <c r="I1964" t="str">
        <f t="shared" si="737"/>
        <v>3675 PINE ST</v>
      </c>
      <c r="J1964" t="str">
        <f t="shared" si="738"/>
        <v>JACKSONVILLE FL 32205</v>
      </c>
      <c r="K1964" t="str">
        <f>"2909 RIVERBEND WALK"</f>
        <v>2909 RIVERBEND WALK</v>
      </c>
      <c r="L1964" t="str">
        <f t="shared" si="746"/>
        <v>FERNANDINA BEACH FL 32034</v>
      </c>
      <c r="M1964" t="str">
        <f>"LOT 15 RIVERBEND PBK 8/182"</f>
        <v>LOT 15 RIVERBEND PBK 8/182</v>
      </c>
      <c r="N1964" t="str">
        <f>""</f>
        <v/>
      </c>
      <c r="O1964" t="str">
        <f>"56783"</f>
        <v>56783</v>
      </c>
      <c r="P1964" t="str">
        <f t="shared" si="724"/>
        <v>2017</v>
      </c>
      <c r="Q1964" t="str">
        <f>""</f>
        <v/>
      </c>
      <c r="R1964" t="str">
        <f t="shared" si="739"/>
        <v>N</v>
      </c>
      <c r="S1964" t="str">
        <f>""</f>
        <v/>
      </c>
      <c r="T1964" t="str">
        <f t="shared" si="740"/>
        <v>1501.67</v>
      </c>
      <c r="U1964" t="str">
        <f t="shared" si="741"/>
        <v>75345.00</v>
      </c>
      <c r="V1964" t="str">
        <f t="shared" si="741"/>
        <v>75345.00</v>
      </c>
      <c r="W1964" t="str">
        <f t="shared" si="725"/>
        <v>2017</v>
      </c>
      <c r="X1964" t="str">
        <f>""</f>
        <v/>
      </c>
      <c r="Y1964" t="str">
        <f t="shared" si="742"/>
        <v>1578.72</v>
      </c>
      <c r="Z1964" t="str">
        <f>""</f>
        <v/>
      </c>
      <c r="AA1964" t="str">
        <f t="shared" si="743"/>
        <v>75345.00</v>
      </c>
      <c r="AB1964" t="str">
        <f t="shared" si="730"/>
        <v>Residential</v>
      </c>
      <c r="AC1964" t="str">
        <f t="shared" si="735"/>
        <v>0</v>
      </c>
      <c r="AD1964" t="str">
        <f>""</f>
        <v/>
      </c>
      <c r="AE1964" t="str">
        <f>""</f>
        <v/>
      </c>
      <c r="AF1964" t="str">
        <f t="shared" si="744"/>
        <v>000</v>
      </c>
      <c r="AG1964" t="str">
        <f t="shared" si="732"/>
        <v>FL</v>
      </c>
      <c r="AH1964" t="str">
        <f>"14210.00"</f>
        <v>14210.00</v>
      </c>
      <c r="AI1964" t="str">
        <f t="shared" si="745"/>
        <v>75345.00</v>
      </c>
      <c r="AJ1964" t="str">
        <f>"C55-001-092-7727-7"</f>
        <v>C55-001-092-7727-7</v>
      </c>
      <c r="AK1964" t="str">
        <f>"40335"</f>
        <v>40335</v>
      </c>
      <c r="AL1964">
        <v>7</v>
      </c>
      <c r="AM1964">
        <v>2243</v>
      </c>
      <c r="AN1964">
        <v>1656.06</v>
      </c>
      <c r="AQ1964" t="s">
        <v>19162</v>
      </c>
      <c r="AR1964" t="s">
        <v>19162</v>
      </c>
      <c r="AS1964" t="s">
        <v>19162</v>
      </c>
      <c r="AU1964" t="s">
        <v>396</v>
      </c>
      <c r="AV1964">
        <v>2017</v>
      </c>
      <c r="AW1964" t="str">
        <f>"00-00-30-0440-0015-0000 "</f>
        <v xml:space="preserve">00-00-30-0440-0015-0000 </v>
      </c>
      <c r="AX1964">
        <v>2909</v>
      </c>
      <c r="AZ1964" t="s">
        <v>19127</v>
      </c>
      <c r="BD1964" t="s">
        <v>11749</v>
      </c>
      <c r="BE1964" t="s">
        <v>393</v>
      </c>
      <c r="BF1964">
        <v>32034</v>
      </c>
      <c r="BG1964" t="s">
        <v>19163</v>
      </c>
      <c r="BH1964" t="s">
        <v>11751</v>
      </c>
      <c r="BK1964" t="s">
        <v>19129</v>
      </c>
      <c r="BM1964" t="s">
        <v>19130</v>
      </c>
      <c r="BN1964" t="s">
        <v>548</v>
      </c>
      <c r="BO1964">
        <v>32205</v>
      </c>
      <c r="BQ1964">
        <v>0</v>
      </c>
      <c r="BR1964" t="s">
        <v>491</v>
      </c>
      <c r="BS1964">
        <v>8001</v>
      </c>
      <c r="BT1964" t="s">
        <v>492</v>
      </c>
      <c r="BW1964">
        <v>14210</v>
      </c>
      <c r="BX1964" t="s">
        <v>407</v>
      </c>
      <c r="CD1964">
        <v>2017</v>
      </c>
      <c r="CE1964">
        <v>75345</v>
      </c>
      <c r="CG1964">
        <v>75345</v>
      </c>
      <c r="CH1964">
        <v>2017</v>
      </c>
      <c r="CI1964">
        <v>75345</v>
      </c>
      <c r="CK1964">
        <v>75345</v>
      </c>
      <c r="CL1964">
        <v>2017</v>
      </c>
      <c r="CM1964">
        <v>1501.67</v>
      </c>
      <c r="DD1964" t="s">
        <v>11749</v>
      </c>
      <c r="DM1964" t="s">
        <v>18842</v>
      </c>
      <c r="DO1964" t="s">
        <v>18203</v>
      </c>
    </row>
    <row r="1965" spans="1:119" x14ac:dyDescent="0.25">
      <c r="A1965">
        <v>16486972</v>
      </c>
      <c r="B1965">
        <v>1964</v>
      </c>
      <c r="C1965" t="s">
        <v>393</v>
      </c>
      <c r="D1965" t="s">
        <v>394</v>
      </c>
      <c r="F1965" t="str">
        <f>"00-00-30-0440-0016-0000"</f>
        <v>00-00-30-0440-0016-0000</v>
      </c>
      <c r="H1965" t="str">
        <f t="shared" si="736"/>
        <v>SUMMERWOODS OF AMELIA ISLAND LLC</v>
      </c>
      <c r="I1965" t="str">
        <f t="shared" si="737"/>
        <v>3675 PINE ST</v>
      </c>
      <c r="J1965" t="str">
        <f t="shared" si="738"/>
        <v>JACKSONVILLE FL 32205</v>
      </c>
      <c r="K1965" t="str">
        <f>"2913 RIVERBEND WALK"</f>
        <v>2913 RIVERBEND WALK</v>
      </c>
      <c r="L1965" t="str">
        <f t="shared" si="746"/>
        <v>FERNANDINA BEACH FL 32034</v>
      </c>
      <c r="M1965" t="str">
        <f>"LOT 16 RIVERBEND PBK 8/182"</f>
        <v>LOT 16 RIVERBEND PBK 8/182</v>
      </c>
      <c r="N1965" t="str">
        <f>""</f>
        <v/>
      </c>
      <c r="O1965" t="str">
        <f>"56784"</f>
        <v>56784</v>
      </c>
      <c r="P1965" t="str">
        <f t="shared" si="724"/>
        <v>2017</v>
      </c>
      <c r="Q1965" t="str">
        <f>""</f>
        <v/>
      </c>
      <c r="R1965" t="str">
        <f t="shared" si="739"/>
        <v>N</v>
      </c>
      <c r="S1965" t="str">
        <f>""</f>
        <v/>
      </c>
      <c r="T1965" t="str">
        <f t="shared" si="740"/>
        <v>1501.67</v>
      </c>
      <c r="U1965" t="str">
        <f t="shared" si="741"/>
        <v>75345.00</v>
      </c>
      <c r="V1965" t="str">
        <f t="shared" si="741"/>
        <v>75345.00</v>
      </c>
      <c r="W1965" t="str">
        <f t="shared" si="725"/>
        <v>2017</v>
      </c>
      <c r="X1965" t="str">
        <f>""</f>
        <v/>
      </c>
      <c r="Y1965" t="str">
        <f t="shared" si="742"/>
        <v>1578.72</v>
      </c>
      <c r="Z1965" t="str">
        <f>""</f>
        <v/>
      </c>
      <c r="AA1965" t="str">
        <f t="shared" si="743"/>
        <v>75345.00</v>
      </c>
      <c r="AB1965" t="str">
        <f t="shared" si="730"/>
        <v>Residential</v>
      </c>
      <c r="AC1965" t="str">
        <f t="shared" si="735"/>
        <v>0</v>
      </c>
      <c r="AD1965" t="str">
        <f>""</f>
        <v/>
      </c>
      <c r="AE1965" t="str">
        <f>""</f>
        <v/>
      </c>
      <c r="AF1965" t="str">
        <f t="shared" si="744"/>
        <v>000</v>
      </c>
      <c r="AG1965" t="str">
        <f t="shared" si="732"/>
        <v>FL</v>
      </c>
      <c r="AH1965" t="str">
        <f>"19100.00"</f>
        <v>19100.00</v>
      </c>
      <c r="AI1965" t="str">
        <f t="shared" si="745"/>
        <v>75345.00</v>
      </c>
      <c r="AJ1965" t="str">
        <f>"C55-001-092-7728-5"</f>
        <v>C55-001-092-7728-5</v>
      </c>
      <c r="AK1965" t="str">
        <f>"40336"</f>
        <v>40336</v>
      </c>
      <c r="AL1965">
        <v>7</v>
      </c>
      <c r="AM1965">
        <v>2244</v>
      </c>
      <c r="AN1965">
        <v>1656.06</v>
      </c>
      <c r="AQ1965" t="s">
        <v>19164</v>
      </c>
      <c r="AR1965" t="s">
        <v>19164</v>
      </c>
      <c r="AS1965" t="s">
        <v>19164</v>
      </c>
      <c r="AU1965" t="s">
        <v>396</v>
      </c>
      <c r="AV1965">
        <v>2017</v>
      </c>
      <c r="AW1965" t="str">
        <f>"00-00-30-0440-0016-0000 "</f>
        <v xml:space="preserve">00-00-30-0440-0016-0000 </v>
      </c>
      <c r="AX1965">
        <v>2913</v>
      </c>
      <c r="AZ1965" t="s">
        <v>19127</v>
      </c>
      <c r="BD1965" t="s">
        <v>11749</v>
      </c>
      <c r="BE1965" t="s">
        <v>393</v>
      </c>
      <c r="BF1965">
        <v>32034</v>
      </c>
      <c r="BG1965" t="s">
        <v>19165</v>
      </c>
      <c r="BH1965" t="s">
        <v>11751</v>
      </c>
      <c r="BK1965" t="s">
        <v>19129</v>
      </c>
      <c r="BM1965" t="s">
        <v>19130</v>
      </c>
      <c r="BN1965" t="s">
        <v>548</v>
      </c>
      <c r="BO1965">
        <v>32205</v>
      </c>
      <c r="BQ1965">
        <v>0</v>
      </c>
      <c r="BR1965" t="s">
        <v>491</v>
      </c>
      <c r="BS1965">
        <v>8001</v>
      </c>
      <c r="BT1965" t="s">
        <v>492</v>
      </c>
      <c r="BW1965">
        <v>19100</v>
      </c>
      <c r="BX1965" t="s">
        <v>407</v>
      </c>
      <c r="CD1965">
        <v>2017</v>
      </c>
      <c r="CE1965">
        <v>75345</v>
      </c>
      <c r="CG1965">
        <v>75345</v>
      </c>
      <c r="CH1965">
        <v>2017</v>
      </c>
      <c r="CI1965">
        <v>75345</v>
      </c>
      <c r="CK1965">
        <v>75345</v>
      </c>
      <c r="CL1965">
        <v>2017</v>
      </c>
      <c r="CM1965">
        <v>1501.67</v>
      </c>
      <c r="DD1965" t="s">
        <v>11749</v>
      </c>
      <c r="DM1965" t="s">
        <v>18842</v>
      </c>
      <c r="DO1965" t="s">
        <v>18207</v>
      </c>
    </row>
    <row r="1966" spans="1:119" x14ac:dyDescent="0.25">
      <c r="A1966">
        <v>16486973</v>
      </c>
      <c r="B1966">
        <v>1965</v>
      </c>
      <c r="C1966" t="s">
        <v>393</v>
      </c>
      <c r="D1966" t="s">
        <v>394</v>
      </c>
      <c r="F1966" t="str">
        <f>"00-00-30-0440-0017-0000"</f>
        <v>00-00-30-0440-0017-0000</v>
      </c>
      <c r="H1966" t="str">
        <f t="shared" si="736"/>
        <v>SUMMERWOODS OF AMELIA ISLAND LLC</v>
      </c>
      <c r="I1966" t="str">
        <f t="shared" si="737"/>
        <v>3675 PINE ST</v>
      </c>
      <c r="J1966" t="str">
        <f t="shared" si="738"/>
        <v>JACKSONVILLE FL 32205</v>
      </c>
      <c r="K1966" t="str">
        <f>"2917 RIVERBEND WALK"</f>
        <v>2917 RIVERBEND WALK</v>
      </c>
      <c r="L1966" t="str">
        <f t="shared" si="746"/>
        <v>FERNANDINA BEACH FL 32034</v>
      </c>
      <c r="M1966" t="str">
        <f>"LOT 17 RIVERBEND PBK 8/182"</f>
        <v>LOT 17 RIVERBEND PBK 8/182</v>
      </c>
      <c r="N1966" t="str">
        <f>""</f>
        <v/>
      </c>
      <c r="O1966" t="str">
        <f>"56785"</f>
        <v>56785</v>
      </c>
      <c r="P1966" t="str">
        <f t="shared" si="724"/>
        <v>2017</v>
      </c>
      <c r="Q1966" t="str">
        <f>""</f>
        <v/>
      </c>
      <c r="R1966" t="str">
        <f t="shared" si="739"/>
        <v>N</v>
      </c>
      <c r="S1966" t="str">
        <f>""</f>
        <v/>
      </c>
      <c r="T1966" t="str">
        <f t="shared" si="740"/>
        <v>1501.67</v>
      </c>
      <c r="U1966" t="str">
        <f t="shared" si="741"/>
        <v>75345.00</v>
      </c>
      <c r="V1966" t="str">
        <f t="shared" si="741"/>
        <v>75345.00</v>
      </c>
      <c r="W1966" t="str">
        <f t="shared" si="725"/>
        <v>2017</v>
      </c>
      <c r="X1966" t="str">
        <f>""</f>
        <v/>
      </c>
      <c r="Y1966" t="str">
        <f t="shared" si="742"/>
        <v>1578.72</v>
      </c>
      <c r="Z1966" t="str">
        <f>""</f>
        <v/>
      </c>
      <c r="AA1966" t="str">
        <f t="shared" si="743"/>
        <v>75345.00</v>
      </c>
      <c r="AB1966" t="str">
        <f t="shared" si="730"/>
        <v>Residential</v>
      </c>
      <c r="AC1966" t="str">
        <f t="shared" si="735"/>
        <v>0</v>
      </c>
      <c r="AD1966" t="str">
        <f>""</f>
        <v/>
      </c>
      <c r="AE1966" t="str">
        <f>""</f>
        <v/>
      </c>
      <c r="AF1966" t="str">
        <f t="shared" si="744"/>
        <v>000</v>
      </c>
      <c r="AG1966" t="str">
        <f t="shared" si="732"/>
        <v>FL</v>
      </c>
      <c r="AH1966" t="str">
        <f>"18354.00"</f>
        <v>18354.00</v>
      </c>
      <c r="AI1966" t="str">
        <f t="shared" si="745"/>
        <v>75345.00</v>
      </c>
      <c r="AJ1966" t="str">
        <f>"C55-001-092-7729-3"</f>
        <v>C55-001-092-7729-3</v>
      </c>
      <c r="AK1966" t="str">
        <f>"40337"</f>
        <v>40337</v>
      </c>
      <c r="AL1966">
        <v>7</v>
      </c>
      <c r="AM1966">
        <v>2245</v>
      </c>
      <c r="AN1966">
        <v>1656.06</v>
      </c>
      <c r="AQ1966" t="s">
        <v>19166</v>
      </c>
      <c r="AR1966" t="s">
        <v>19166</v>
      </c>
      <c r="AS1966" t="s">
        <v>19166</v>
      </c>
      <c r="AU1966" t="s">
        <v>396</v>
      </c>
      <c r="AV1966">
        <v>2017</v>
      </c>
      <c r="AW1966" t="str">
        <f>"00-00-30-0440-0017-0000 "</f>
        <v xml:space="preserve">00-00-30-0440-0017-0000 </v>
      </c>
      <c r="AX1966">
        <v>2917</v>
      </c>
      <c r="AZ1966" t="s">
        <v>19127</v>
      </c>
      <c r="BD1966" t="s">
        <v>11749</v>
      </c>
      <c r="BE1966" t="s">
        <v>393</v>
      </c>
      <c r="BF1966">
        <v>32034</v>
      </c>
      <c r="BG1966" t="s">
        <v>19167</v>
      </c>
      <c r="BH1966" t="s">
        <v>11751</v>
      </c>
      <c r="BK1966" t="s">
        <v>19129</v>
      </c>
      <c r="BM1966" t="s">
        <v>19130</v>
      </c>
      <c r="BN1966" t="s">
        <v>548</v>
      </c>
      <c r="BO1966">
        <v>32205</v>
      </c>
      <c r="BQ1966">
        <v>0</v>
      </c>
      <c r="BR1966" t="s">
        <v>491</v>
      </c>
      <c r="BS1966">
        <v>8001</v>
      </c>
      <c r="BT1966" t="s">
        <v>492</v>
      </c>
      <c r="BW1966">
        <v>18354</v>
      </c>
      <c r="BX1966" t="s">
        <v>407</v>
      </c>
      <c r="CD1966">
        <v>2017</v>
      </c>
      <c r="CE1966">
        <v>75345</v>
      </c>
      <c r="CG1966">
        <v>75345</v>
      </c>
      <c r="CH1966">
        <v>2017</v>
      </c>
      <c r="CI1966">
        <v>75345</v>
      </c>
      <c r="CK1966">
        <v>75345</v>
      </c>
      <c r="CL1966">
        <v>2017</v>
      </c>
      <c r="CM1966">
        <v>1501.67</v>
      </c>
      <c r="DD1966" t="s">
        <v>11749</v>
      </c>
      <c r="DM1966" t="s">
        <v>18842</v>
      </c>
      <c r="DO1966" t="s">
        <v>9645</v>
      </c>
    </row>
    <row r="1967" spans="1:119" x14ac:dyDescent="0.25">
      <c r="A1967">
        <v>16486974</v>
      </c>
      <c r="B1967">
        <v>1966</v>
      </c>
      <c r="C1967" t="s">
        <v>393</v>
      </c>
      <c r="D1967" t="s">
        <v>394</v>
      </c>
      <c r="F1967" t="str">
        <f>"00-00-30-0440-0018-0000"</f>
        <v>00-00-30-0440-0018-0000</v>
      </c>
      <c r="H1967" t="str">
        <f t="shared" si="736"/>
        <v>SUMMERWOODS OF AMELIA ISLAND LLC</v>
      </c>
      <c r="I1967" t="str">
        <f t="shared" si="737"/>
        <v>3675 PINE ST</v>
      </c>
      <c r="J1967" t="str">
        <f t="shared" si="738"/>
        <v>JACKSONVILLE FL 32205</v>
      </c>
      <c r="K1967" t="str">
        <f>"2921 RIVERBEND WALK"</f>
        <v>2921 RIVERBEND WALK</v>
      </c>
      <c r="L1967" t="str">
        <f t="shared" si="746"/>
        <v>FERNANDINA BEACH FL 32034</v>
      </c>
      <c r="M1967" t="str">
        <f>"LOT 18 RIVERBEND PBK 8/182"</f>
        <v>LOT 18 RIVERBEND PBK 8/182</v>
      </c>
      <c r="N1967" t="str">
        <f>""</f>
        <v/>
      </c>
      <c r="O1967" t="str">
        <f>"56786"</f>
        <v>56786</v>
      </c>
      <c r="P1967" t="str">
        <f t="shared" si="724"/>
        <v>2017</v>
      </c>
      <c r="Q1967" t="str">
        <f>""</f>
        <v/>
      </c>
      <c r="R1967" t="str">
        <f t="shared" si="739"/>
        <v>N</v>
      </c>
      <c r="S1967" t="str">
        <f>""</f>
        <v/>
      </c>
      <c r="T1967" t="str">
        <f t="shared" si="740"/>
        <v>1501.67</v>
      </c>
      <c r="U1967" t="str">
        <f t="shared" si="741"/>
        <v>75345.00</v>
      </c>
      <c r="V1967" t="str">
        <f t="shared" si="741"/>
        <v>75345.00</v>
      </c>
      <c r="W1967" t="str">
        <f t="shared" si="725"/>
        <v>2017</v>
      </c>
      <c r="X1967" t="str">
        <f>""</f>
        <v/>
      </c>
      <c r="Y1967" t="str">
        <f t="shared" si="742"/>
        <v>1578.72</v>
      </c>
      <c r="Z1967" t="str">
        <f>""</f>
        <v/>
      </c>
      <c r="AA1967" t="str">
        <f t="shared" si="743"/>
        <v>75345.00</v>
      </c>
      <c r="AB1967" t="str">
        <f t="shared" si="730"/>
        <v>Residential</v>
      </c>
      <c r="AC1967" t="str">
        <f t="shared" si="735"/>
        <v>0</v>
      </c>
      <c r="AD1967" t="str">
        <f>""</f>
        <v/>
      </c>
      <c r="AE1967" t="str">
        <f>""</f>
        <v/>
      </c>
      <c r="AF1967" t="str">
        <f t="shared" si="744"/>
        <v>000</v>
      </c>
      <c r="AG1967" t="str">
        <f t="shared" si="732"/>
        <v>FL</v>
      </c>
      <c r="AH1967" t="str">
        <f>"14889.00"</f>
        <v>14889.00</v>
      </c>
      <c r="AI1967" t="str">
        <f t="shared" si="745"/>
        <v>75345.00</v>
      </c>
      <c r="AJ1967" t="str">
        <f>"C55-001-092-7730-1"</f>
        <v>C55-001-092-7730-1</v>
      </c>
      <c r="AK1967" t="str">
        <f>"40338"</f>
        <v>40338</v>
      </c>
      <c r="AL1967">
        <v>7</v>
      </c>
      <c r="AM1967">
        <v>2246</v>
      </c>
      <c r="AN1967">
        <v>1656.06</v>
      </c>
      <c r="AQ1967" t="s">
        <v>19168</v>
      </c>
      <c r="AR1967" t="s">
        <v>19168</v>
      </c>
      <c r="AS1967" t="s">
        <v>19168</v>
      </c>
      <c r="AU1967" t="s">
        <v>396</v>
      </c>
      <c r="AV1967">
        <v>2017</v>
      </c>
      <c r="AW1967" t="str">
        <f>"00-00-30-0440-0018-0000 "</f>
        <v xml:space="preserve">00-00-30-0440-0018-0000 </v>
      </c>
      <c r="AX1967">
        <v>2921</v>
      </c>
      <c r="AZ1967" t="s">
        <v>19127</v>
      </c>
      <c r="BD1967" t="s">
        <v>11749</v>
      </c>
      <c r="BE1967" t="s">
        <v>393</v>
      </c>
      <c r="BF1967">
        <v>32034</v>
      </c>
      <c r="BG1967" t="s">
        <v>19169</v>
      </c>
      <c r="BH1967" t="s">
        <v>11751</v>
      </c>
      <c r="BK1967" t="s">
        <v>19129</v>
      </c>
      <c r="BM1967" t="s">
        <v>19130</v>
      </c>
      <c r="BN1967" t="s">
        <v>548</v>
      </c>
      <c r="BO1967">
        <v>32205</v>
      </c>
      <c r="BQ1967">
        <v>0</v>
      </c>
      <c r="BR1967" t="s">
        <v>491</v>
      </c>
      <c r="BS1967">
        <v>8001</v>
      </c>
      <c r="BT1967" t="s">
        <v>492</v>
      </c>
      <c r="BW1967">
        <v>14889</v>
      </c>
      <c r="BX1967" t="s">
        <v>407</v>
      </c>
      <c r="CD1967">
        <v>2017</v>
      </c>
      <c r="CE1967">
        <v>75345</v>
      </c>
      <c r="CG1967">
        <v>75345</v>
      </c>
      <c r="CH1967">
        <v>2017</v>
      </c>
      <c r="CI1967">
        <v>75345</v>
      </c>
      <c r="CK1967">
        <v>75345</v>
      </c>
      <c r="CL1967">
        <v>2017</v>
      </c>
      <c r="CM1967">
        <v>1501.67</v>
      </c>
      <c r="DD1967" t="s">
        <v>11749</v>
      </c>
      <c r="DM1967" t="s">
        <v>18842</v>
      </c>
      <c r="DO1967" t="s">
        <v>16757</v>
      </c>
    </row>
    <row r="1968" spans="1:119" x14ac:dyDescent="0.25">
      <c r="A1968">
        <v>16486975</v>
      </c>
      <c r="B1968">
        <v>1967</v>
      </c>
      <c r="C1968" t="s">
        <v>393</v>
      </c>
      <c r="D1968" t="s">
        <v>394</v>
      </c>
      <c r="F1968" t="str">
        <f>"00-00-30-0440-0019-0000"</f>
        <v>00-00-30-0440-0019-0000</v>
      </c>
      <c r="H1968" t="str">
        <f t="shared" si="736"/>
        <v>SUMMERWOODS OF AMELIA ISLAND LLC</v>
      </c>
      <c r="I1968" t="str">
        <f t="shared" si="737"/>
        <v>3675 PINE ST</v>
      </c>
      <c r="J1968" t="str">
        <f t="shared" si="738"/>
        <v>JACKSONVILLE FL 32205</v>
      </c>
      <c r="K1968" t="str">
        <f>"2925 RIVERBEND WALK"</f>
        <v>2925 RIVERBEND WALK</v>
      </c>
      <c r="L1968" t="str">
        <f t="shared" si="746"/>
        <v>FERNANDINA BEACH FL 32034</v>
      </c>
      <c r="M1968" t="str">
        <f>"LOT 19 RIVERBEND PBK 8/182"</f>
        <v>LOT 19 RIVERBEND PBK 8/182</v>
      </c>
      <c r="N1968" t="str">
        <f>""</f>
        <v/>
      </c>
      <c r="O1968" t="str">
        <f>"56787"</f>
        <v>56787</v>
      </c>
      <c r="P1968" t="str">
        <f t="shared" si="724"/>
        <v>2017</v>
      </c>
      <c r="Q1968" t="str">
        <f>""</f>
        <v/>
      </c>
      <c r="R1968" t="str">
        <f t="shared" si="739"/>
        <v>N</v>
      </c>
      <c r="S1968" t="str">
        <f>""</f>
        <v/>
      </c>
      <c r="T1968" t="str">
        <f t="shared" si="740"/>
        <v>1501.67</v>
      </c>
      <c r="U1968" t="str">
        <f t="shared" si="741"/>
        <v>75345.00</v>
      </c>
      <c r="V1968" t="str">
        <f t="shared" si="741"/>
        <v>75345.00</v>
      </c>
      <c r="W1968" t="str">
        <f t="shared" si="725"/>
        <v>2017</v>
      </c>
      <c r="X1968" t="str">
        <f>""</f>
        <v/>
      </c>
      <c r="Y1968" t="str">
        <f t="shared" si="742"/>
        <v>1578.72</v>
      </c>
      <c r="Z1968" t="str">
        <f>""</f>
        <v/>
      </c>
      <c r="AA1968" t="str">
        <f t="shared" si="743"/>
        <v>75345.00</v>
      </c>
      <c r="AB1968" t="str">
        <f t="shared" si="730"/>
        <v>Residential</v>
      </c>
      <c r="AC1968" t="str">
        <f t="shared" si="735"/>
        <v>0</v>
      </c>
      <c r="AD1968" t="str">
        <f>""</f>
        <v/>
      </c>
      <c r="AE1968" t="str">
        <f>""</f>
        <v/>
      </c>
      <c r="AF1968" t="str">
        <f t="shared" si="744"/>
        <v>000</v>
      </c>
      <c r="AG1968" t="str">
        <f t="shared" si="732"/>
        <v>FL</v>
      </c>
      <c r="AH1968" t="str">
        <f>"13702.00"</f>
        <v>13702.00</v>
      </c>
      <c r="AI1968" t="str">
        <f t="shared" si="745"/>
        <v>75345.00</v>
      </c>
      <c r="AJ1968" t="str">
        <f>"C55-001-092-7731-9"</f>
        <v>C55-001-092-7731-9</v>
      </c>
      <c r="AK1968" t="str">
        <f>"40339"</f>
        <v>40339</v>
      </c>
      <c r="AL1968">
        <v>7</v>
      </c>
      <c r="AM1968">
        <v>2247</v>
      </c>
      <c r="AN1968">
        <v>1656.06</v>
      </c>
      <c r="AQ1968" t="s">
        <v>19170</v>
      </c>
      <c r="AR1968" t="s">
        <v>19170</v>
      </c>
      <c r="AS1968" t="s">
        <v>19170</v>
      </c>
      <c r="AU1968" t="s">
        <v>396</v>
      </c>
      <c r="AV1968">
        <v>2017</v>
      </c>
      <c r="AW1968" t="str">
        <f>"00-00-30-0440-0019-0000 "</f>
        <v xml:space="preserve">00-00-30-0440-0019-0000 </v>
      </c>
      <c r="AX1968">
        <v>2925</v>
      </c>
      <c r="AZ1968" t="s">
        <v>19127</v>
      </c>
      <c r="BD1968" t="s">
        <v>11749</v>
      </c>
      <c r="BE1968" t="s">
        <v>393</v>
      </c>
      <c r="BF1968">
        <v>32034</v>
      </c>
      <c r="BG1968" t="s">
        <v>19171</v>
      </c>
      <c r="BH1968" t="s">
        <v>11751</v>
      </c>
      <c r="BK1968" t="s">
        <v>19129</v>
      </c>
      <c r="BM1968" t="s">
        <v>19130</v>
      </c>
      <c r="BN1968" t="s">
        <v>548</v>
      </c>
      <c r="BO1968">
        <v>32205</v>
      </c>
      <c r="BQ1968">
        <v>0</v>
      </c>
      <c r="BR1968" t="s">
        <v>491</v>
      </c>
      <c r="BS1968">
        <v>8001</v>
      </c>
      <c r="BT1968" t="s">
        <v>492</v>
      </c>
      <c r="BW1968">
        <v>13702</v>
      </c>
      <c r="BX1968" t="s">
        <v>407</v>
      </c>
      <c r="CD1968">
        <v>2017</v>
      </c>
      <c r="CE1968">
        <v>75345</v>
      </c>
      <c r="CG1968">
        <v>75345</v>
      </c>
      <c r="CH1968">
        <v>2017</v>
      </c>
      <c r="CI1968">
        <v>75345</v>
      </c>
      <c r="CK1968">
        <v>75345</v>
      </c>
      <c r="CL1968">
        <v>2017</v>
      </c>
      <c r="CM1968">
        <v>1501.67</v>
      </c>
      <c r="DD1968" t="s">
        <v>11749</v>
      </c>
      <c r="DM1968" t="s">
        <v>18842</v>
      </c>
      <c r="DO1968" t="s">
        <v>18217</v>
      </c>
    </row>
    <row r="1969" spans="1:260" x14ac:dyDescent="0.25">
      <c r="A1969">
        <v>16486976</v>
      </c>
      <c r="B1969">
        <v>1968</v>
      </c>
      <c r="C1969" t="s">
        <v>393</v>
      </c>
      <c r="D1969" t="s">
        <v>394</v>
      </c>
      <c r="F1969" t="str">
        <f>"00-00-30-0440-0020-0000"</f>
        <v>00-00-30-0440-0020-0000</v>
      </c>
      <c r="H1969" t="str">
        <f t="shared" si="736"/>
        <v>SUMMERWOODS OF AMELIA ISLAND LLC</v>
      </c>
      <c r="I1969" t="str">
        <f t="shared" si="737"/>
        <v>3675 PINE ST</v>
      </c>
      <c r="J1969" t="str">
        <f t="shared" si="738"/>
        <v>JACKSONVILLE FL 32205</v>
      </c>
      <c r="K1969" t="str">
        <f>"2929 RIVERBEND WALK"</f>
        <v>2929 RIVERBEND WALK</v>
      </c>
      <c r="L1969" t="str">
        <f t="shared" si="746"/>
        <v>FERNANDINA BEACH FL 32034</v>
      </c>
      <c r="M1969" t="str">
        <f>"LOT 20 RIVERBEND PBK 8/182"</f>
        <v>LOT 20 RIVERBEND PBK 8/182</v>
      </c>
      <c r="N1969" t="str">
        <f>""</f>
        <v/>
      </c>
      <c r="O1969" t="str">
        <f>"56788"</f>
        <v>56788</v>
      </c>
      <c r="P1969" t="str">
        <f t="shared" si="724"/>
        <v>2017</v>
      </c>
      <c r="Q1969" t="str">
        <f>""</f>
        <v/>
      </c>
      <c r="R1969" t="str">
        <f t="shared" si="739"/>
        <v>N</v>
      </c>
      <c r="S1969" t="str">
        <f>""</f>
        <v/>
      </c>
      <c r="T1969" t="str">
        <f t="shared" si="740"/>
        <v>1501.67</v>
      </c>
      <c r="U1969" t="str">
        <f t="shared" si="741"/>
        <v>75345.00</v>
      </c>
      <c r="V1969" t="str">
        <f t="shared" si="741"/>
        <v>75345.00</v>
      </c>
      <c r="W1969" t="str">
        <f t="shared" si="725"/>
        <v>2017</v>
      </c>
      <c r="X1969" t="str">
        <f>""</f>
        <v/>
      </c>
      <c r="Y1969" t="str">
        <f t="shared" si="742"/>
        <v>1578.72</v>
      </c>
      <c r="Z1969" t="str">
        <f>""</f>
        <v/>
      </c>
      <c r="AA1969" t="str">
        <f t="shared" si="743"/>
        <v>75345.00</v>
      </c>
      <c r="AB1969" t="str">
        <f t="shared" si="730"/>
        <v>Residential</v>
      </c>
      <c r="AC1969" t="str">
        <f t="shared" si="735"/>
        <v>0</v>
      </c>
      <c r="AD1969" t="str">
        <f>""</f>
        <v/>
      </c>
      <c r="AE1969" t="str">
        <f>""</f>
        <v/>
      </c>
      <c r="AF1969" t="str">
        <f t="shared" si="744"/>
        <v>000</v>
      </c>
      <c r="AG1969" t="str">
        <f t="shared" si="732"/>
        <v>FL</v>
      </c>
      <c r="AH1969" t="str">
        <f>"16891.00"</f>
        <v>16891.00</v>
      </c>
      <c r="AI1969" t="str">
        <f t="shared" si="745"/>
        <v>75345.00</v>
      </c>
      <c r="AJ1969" t="str">
        <f>"C55-001-092-7732-7"</f>
        <v>C55-001-092-7732-7</v>
      </c>
      <c r="AK1969" t="str">
        <f>"40340"</f>
        <v>40340</v>
      </c>
      <c r="AL1969">
        <v>7</v>
      </c>
      <c r="AM1969">
        <v>2248</v>
      </c>
      <c r="AN1969">
        <v>1656.06</v>
      </c>
      <c r="AQ1969" t="s">
        <v>19172</v>
      </c>
      <c r="AR1969" t="s">
        <v>19172</v>
      </c>
      <c r="AS1969" t="s">
        <v>19172</v>
      </c>
      <c r="AU1969" t="s">
        <v>396</v>
      </c>
      <c r="AV1969">
        <v>2017</v>
      </c>
      <c r="AW1969" t="str">
        <f>"00-00-30-0440-0020-0000 "</f>
        <v xml:space="preserve">00-00-30-0440-0020-0000 </v>
      </c>
      <c r="AX1969">
        <v>2929</v>
      </c>
      <c r="AZ1969" t="s">
        <v>19127</v>
      </c>
      <c r="BD1969" t="s">
        <v>11749</v>
      </c>
      <c r="BE1969" t="s">
        <v>393</v>
      </c>
      <c r="BF1969">
        <v>32034</v>
      </c>
      <c r="BG1969" t="s">
        <v>19173</v>
      </c>
      <c r="BH1969" t="s">
        <v>11751</v>
      </c>
      <c r="BK1969" t="s">
        <v>19129</v>
      </c>
      <c r="BM1969" t="s">
        <v>19130</v>
      </c>
      <c r="BN1969" t="s">
        <v>548</v>
      </c>
      <c r="BO1969">
        <v>32205</v>
      </c>
      <c r="BQ1969">
        <v>0</v>
      </c>
      <c r="BR1969" t="s">
        <v>491</v>
      </c>
      <c r="BS1969">
        <v>8001</v>
      </c>
      <c r="BT1969" t="s">
        <v>492</v>
      </c>
      <c r="BW1969">
        <v>16891</v>
      </c>
      <c r="BX1969" t="s">
        <v>407</v>
      </c>
      <c r="CD1969">
        <v>2017</v>
      </c>
      <c r="CE1969">
        <v>75345</v>
      </c>
      <c r="CG1969">
        <v>75345</v>
      </c>
      <c r="CH1969">
        <v>2017</v>
      </c>
      <c r="CI1969">
        <v>75345</v>
      </c>
      <c r="CK1969">
        <v>75345</v>
      </c>
      <c r="CL1969">
        <v>2017</v>
      </c>
      <c r="CM1969">
        <v>1501.67</v>
      </c>
      <c r="DD1969" t="s">
        <v>11749</v>
      </c>
      <c r="DM1969" t="s">
        <v>18842</v>
      </c>
      <c r="DO1969" t="s">
        <v>18220</v>
      </c>
    </row>
    <row r="1970" spans="1:260" x14ac:dyDescent="0.25">
      <c r="A1970">
        <v>16486977</v>
      </c>
      <c r="B1970">
        <v>1969</v>
      </c>
      <c r="C1970" t="s">
        <v>393</v>
      </c>
      <c r="D1970" t="s">
        <v>394</v>
      </c>
      <c r="F1970" t="str">
        <f>"00-00-30-0440-0021-0000"</f>
        <v>00-00-30-0440-0021-0000</v>
      </c>
      <c r="H1970" t="str">
        <f t="shared" si="736"/>
        <v>SUMMERWOODS OF AMELIA ISLAND LLC</v>
      </c>
      <c r="I1970" t="str">
        <f t="shared" si="737"/>
        <v>3675 PINE ST</v>
      </c>
      <c r="J1970" t="str">
        <f t="shared" si="738"/>
        <v>JACKSONVILLE FL 32205</v>
      </c>
      <c r="K1970" t="str">
        <f>"2933 RIVERBEND WALK"</f>
        <v>2933 RIVERBEND WALK</v>
      </c>
      <c r="L1970" t="str">
        <f t="shared" si="746"/>
        <v>FERNANDINA BEACH FL 32034</v>
      </c>
      <c r="M1970" t="str">
        <f>"LOT 21 RIVERBEND PBK 8/182"</f>
        <v>LOT 21 RIVERBEND PBK 8/182</v>
      </c>
      <c r="N1970" t="str">
        <f>""</f>
        <v/>
      </c>
      <c r="O1970" t="str">
        <f>"56789"</f>
        <v>56789</v>
      </c>
      <c r="P1970" t="str">
        <f t="shared" si="724"/>
        <v>2017</v>
      </c>
      <c r="Q1970" t="str">
        <f>""</f>
        <v/>
      </c>
      <c r="R1970" t="str">
        <f t="shared" si="739"/>
        <v>N</v>
      </c>
      <c r="S1970" t="str">
        <f>""</f>
        <v/>
      </c>
      <c r="T1970" t="str">
        <f t="shared" si="740"/>
        <v>1501.67</v>
      </c>
      <c r="U1970" t="str">
        <f t="shared" si="741"/>
        <v>75345.00</v>
      </c>
      <c r="V1970" t="str">
        <f t="shared" si="741"/>
        <v>75345.00</v>
      </c>
      <c r="W1970" t="str">
        <f t="shared" si="725"/>
        <v>2017</v>
      </c>
      <c r="X1970" t="str">
        <f>""</f>
        <v/>
      </c>
      <c r="Y1970" t="str">
        <f t="shared" si="742"/>
        <v>1578.72</v>
      </c>
      <c r="Z1970" t="str">
        <f>""</f>
        <v/>
      </c>
      <c r="AA1970" t="str">
        <f t="shared" si="743"/>
        <v>75345.00</v>
      </c>
      <c r="AB1970" t="str">
        <f t="shared" si="730"/>
        <v>Residential</v>
      </c>
      <c r="AC1970" t="str">
        <f t="shared" si="735"/>
        <v>0</v>
      </c>
      <c r="AD1970" t="str">
        <f>""</f>
        <v/>
      </c>
      <c r="AE1970" t="str">
        <f>""</f>
        <v/>
      </c>
      <c r="AF1970" t="str">
        <f t="shared" si="744"/>
        <v>000</v>
      </c>
      <c r="AG1970" t="str">
        <f t="shared" si="732"/>
        <v>FL</v>
      </c>
      <c r="AH1970" t="str">
        <f>"9762.00"</f>
        <v>9762.00</v>
      </c>
      <c r="AI1970" t="str">
        <f t="shared" si="745"/>
        <v>75345.00</v>
      </c>
      <c r="AJ1970" t="str">
        <f>"C55-001-092-7733-5"</f>
        <v>C55-001-092-7733-5</v>
      </c>
      <c r="AK1970" t="str">
        <f>"40341"</f>
        <v>40341</v>
      </c>
      <c r="AL1970">
        <v>7</v>
      </c>
      <c r="AM1970">
        <v>2249</v>
      </c>
      <c r="AN1970">
        <v>1656.06</v>
      </c>
      <c r="AQ1970" t="s">
        <v>19174</v>
      </c>
      <c r="AR1970" t="s">
        <v>19174</v>
      </c>
      <c r="AS1970" t="s">
        <v>19174</v>
      </c>
      <c r="AU1970" t="s">
        <v>396</v>
      </c>
      <c r="AV1970">
        <v>2017</v>
      </c>
      <c r="AW1970" t="str">
        <f>"00-00-30-0440-0021-0000 "</f>
        <v xml:space="preserve">00-00-30-0440-0021-0000 </v>
      </c>
      <c r="AX1970">
        <v>2933</v>
      </c>
      <c r="AZ1970" t="s">
        <v>19127</v>
      </c>
      <c r="BD1970" t="s">
        <v>11749</v>
      </c>
      <c r="BE1970" t="s">
        <v>393</v>
      </c>
      <c r="BF1970">
        <v>32034</v>
      </c>
      <c r="BG1970" t="s">
        <v>19175</v>
      </c>
      <c r="BH1970" t="s">
        <v>11751</v>
      </c>
      <c r="BK1970" t="s">
        <v>19129</v>
      </c>
      <c r="BM1970" t="s">
        <v>19130</v>
      </c>
      <c r="BN1970" t="s">
        <v>548</v>
      </c>
      <c r="BO1970">
        <v>32205</v>
      </c>
      <c r="BQ1970">
        <v>0</v>
      </c>
      <c r="BR1970" t="s">
        <v>491</v>
      </c>
      <c r="BS1970">
        <v>8001</v>
      </c>
      <c r="BT1970" t="s">
        <v>492</v>
      </c>
      <c r="BW1970">
        <v>9762</v>
      </c>
      <c r="BX1970" t="s">
        <v>407</v>
      </c>
      <c r="CD1970">
        <v>2017</v>
      </c>
      <c r="CE1970">
        <v>75345</v>
      </c>
      <c r="CG1970">
        <v>75345</v>
      </c>
      <c r="CH1970">
        <v>2017</v>
      </c>
      <c r="CI1970">
        <v>75345</v>
      </c>
      <c r="CK1970">
        <v>75345</v>
      </c>
      <c r="CL1970">
        <v>2017</v>
      </c>
      <c r="CM1970">
        <v>1501.67</v>
      </c>
      <c r="DD1970" t="s">
        <v>11749</v>
      </c>
      <c r="DM1970" t="s">
        <v>18842</v>
      </c>
      <c r="DO1970" t="s">
        <v>19176</v>
      </c>
    </row>
    <row r="1971" spans="1:260" x14ac:dyDescent="0.25">
      <c r="A1971">
        <v>16486978</v>
      </c>
      <c r="B1971">
        <v>1970</v>
      </c>
      <c r="C1971" t="s">
        <v>393</v>
      </c>
      <c r="D1971" t="s">
        <v>394</v>
      </c>
      <c r="F1971" t="str">
        <f>"00-00-30-0440-0022-0000"</f>
        <v>00-00-30-0440-0022-0000</v>
      </c>
      <c r="H1971" t="str">
        <f t="shared" si="736"/>
        <v>SUMMERWOODS OF AMELIA ISLAND LLC</v>
      </c>
      <c r="I1971" t="str">
        <f t="shared" si="737"/>
        <v>3675 PINE ST</v>
      </c>
      <c r="J1971" t="str">
        <f t="shared" si="738"/>
        <v>JACKSONVILLE FL 32205</v>
      </c>
      <c r="K1971" t="str">
        <f>"2937 RIVERBEND WALK"</f>
        <v>2937 RIVERBEND WALK</v>
      </c>
      <c r="L1971" t="str">
        <f t="shared" si="746"/>
        <v>FERNANDINA BEACH FL 32034</v>
      </c>
      <c r="M1971" t="str">
        <f>"LOT 22 RIVERBEND PBK 8/182"</f>
        <v>LOT 22 RIVERBEND PBK 8/182</v>
      </c>
      <c r="N1971" t="str">
        <f>""</f>
        <v/>
      </c>
      <c r="O1971" t="str">
        <f>"56790"</f>
        <v>56790</v>
      </c>
      <c r="P1971" t="str">
        <f t="shared" si="724"/>
        <v>2017</v>
      </c>
      <c r="Q1971" t="str">
        <f>""</f>
        <v/>
      </c>
      <c r="R1971" t="str">
        <f t="shared" si="739"/>
        <v>N</v>
      </c>
      <c r="S1971" t="str">
        <f>""</f>
        <v/>
      </c>
      <c r="T1971" t="str">
        <f t="shared" si="740"/>
        <v>1501.67</v>
      </c>
      <c r="U1971" t="str">
        <f t="shared" si="741"/>
        <v>75345.00</v>
      </c>
      <c r="V1971" t="str">
        <f t="shared" si="741"/>
        <v>75345.00</v>
      </c>
      <c r="W1971" t="str">
        <f t="shared" si="725"/>
        <v>2017</v>
      </c>
      <c r="X1971" t="str">
        <f>""</f>
        <v/>
      </c>
      <c r="Y1971" t="str">
        <f t="shared" si="742"/>
        <v>1578.72</v>
      </c>
      <c r="Z1971" t="str">
        <f>""</f>
        <v/>
      </c>
      <c r="AA1971" t="str">
        <f t="shared" si="743"/>
        <v>75345.00</v>
      </c>
      <c r="AB1971" t="str">
        <f t="shared" si="730"/>
        <v>Residential</v>
      </c>
      <c r="AC1971" t="str">
        <f t="shared" si="735"/>
        <v>0</v>
      </c>
      <c r="AD1971" t="str">
        <f>""</f>
        <v/>
      </c>
      <c r="AE1971" t="str">
        <f>""</f>
        <v/>
      </c>
      <c r="AF1971" t="str">
        <f t="shared" si="744"/>
        <v>000</v>
      </c>
      <c r="AG1971" t="str">
        <f t="shared" si="732"/>
        <v>FL</v>
      </c>
      <c r="AH1971" t="str">
        <f>"11199.00"</f>
        <v>11199.00</v>
      </c>
      <c r="AI1971" t="str">
        <f t="shared" si="745"/>
        <v>75345.00</v>
      </c>
      <c r="AJ1971" t="str">
        <f>"C55-001-092-7734-3"</f>
        <v>C55-001-092-7734-3</v>
      </c>
      <c r="AK1971" t="str">
        <f>"40342"</f>
        <v>40342</v>
      </c>
      <c r="AL1971">
        <v>7</v>
      </c>
      <c r="AM1971">
        <v>2250</v>
      </c>
      <c r="AN1971">
        <v>1656.06</v>
      </c>
      <c r="AQ1971" t="s">
        <v>19177</v>
      </c>
      <c r="AR1971" t="s">
        <v>19177</v>
      </c>
      <c r="AS1971" t="s">
        <v>19177</v>
      </c>
      <c r="AU1971" t="s">
        <v>396</v>
      </c>
      <c r="AV1971">
        <v>2017</v>
      </c>
      <c r="AW1971" t="str">
        <f>"00-00-30-0440-0022-0000 "</f>
        <v xml:space="preserve">00-00-30-0440-0022-0000 </v>
      </c>
      <c r="AX1971">
        <v>2937</v>
      </c>
      <c r="AZ1971" t="s">
        <v>19127</v>
      </c>
      <c r="BD1971" t="s">
        <v>11749</v>
      </c>
      <c r="BE1971" t="s">
        <v>393</v>
      </c>
      <c r="BF1971">
        <v>32034</v>
      </c>
      <c r="BG1971" t="s">
        <v>19178</v>
      </c>
      <c r="BH1971" t="s">
        <v>11751</v>
      </c>
      <c r="BK1971" t="s">
        <v>19129</v>
      </c>
      <c r="BM1971" t="s">
        <v>19130</v>
      </c>
      <c r="BN1971" t="s">
        <v>548</v>
      </c>
      <c r="BO1971">
        <v>32205</v>
      </c>
      <c r="BQ1971">
        <v>0</v>
      </c>
      <c r="BR1971" t="s">
        <v>491</v>
      </c>
      <c r="BS1971">
        <v>8001</v>
      </c>
      <c r="BT1971" t="s">
        <v>492</v>
      </c>
      <c r="BW1971">
        <v>11199</v>
      </c>
      <c r="BX1971" t="s">
        <v>407</v>
      </c>
      <c r="CD1971">
        <v>2017</v>
      </c>
      <c r="CE1971">
        <v>75345</v>
      </c>
      <c r="CG1971">
        <v>75345</v>
      </c>
      <c r="CH1971">
        <v>2017</v>
      </c>
      <c r="CI1971">
        <v>75345</v>
      </c>
      <c r="CK1971">
        <v>75345</v>
      </c>
      <c r="CL1971">
        <v>2017</v>
      </c>
      <c r="CM1971">
        <v>1501.67</v>
      </c>
      <c r="DD1971" t="s">
        <v>11749</v>
      </c>
      <c r="DM1971" t="s">
        <v>18842</v>
      </c>
      <c r="DO1971" t="s">
        <v>19179</v>
      </c>
    </row>
    <row r="1972" spans="1:260" x14ac:dyDescent="0.25">
      <c r="A1972">
        <v>16486979</v>
      </c>
      <c r="B1972">
        <v>1971</v>
      </c>
      <c r="C1972" t="s">
        <v>393</v>
      </c>
      <c r="D1972" t="s">
        <v>394</v>
      </c>
      <c r="F1972" t="str">
        <f>"00-00-30-0440-0024-0000"</f>
        <v>00-00-30-0440-0024-0000</v>
      </c>
      <c r="H1972" t="str">
        <f t="shared" si="736"/>
        <v>SUMMERWOODS OF AMELIA ISLAND LLC</v>
      </c>
      <c r="I1972" t="str">
        <f t="shared" si="737"/>
        <v>3675 PINE ST</v>
      </c>
      <c r="J1972" t="str">
        <f t="shared" si="738"/>
        <v>JACKSONVILLE FL 32205</v>
      </c>
      <c r="K1972" t="str">
        <f>"2945 RIVERBEND WALK"</f>
        <v>2945 RIVERBEND WALK</v>
      </c>
      <c r="L1972" t="str">
        <f t="shared" si="746"/>
        <v>FERNANDINA BEACH FL 32034</v>
      </c>
      <c r="M1972" t="str">
        <f>"LOT 24 RIVERBEND PBK 8/182"</f>
        <v>LOT 24 RIVERBEND PBK 8/182</v>
      </c>
      <c r="N1972" t="str">
        <f>""</f>
        <v/>
      </c>
      <c r="O1972" t="str">
        <f>"56792"</f>
        <v>56792</v>
      </c>
      <c r="P1972" t="str">
        <f t="shared" si="724"/>
        <v>2017</v>
      </c>
      <c r="Q1972" t="str">
        <f>""</f>
        <v/>
      </c>
      <c r="R1972" t="str">
        <f t="shared" si="739"/>
        <v>N</v>
      </c>
      <c r="S1972" t="str">
        <f>""</f>
        <v/>
      </c>
      <c r="T1972" t="str">
        <f t="shared" si="740"/>
        <v>1501.67</v>
      </c>
      <c r="U1972" t="str">
        <f t="shared" si="741"/>
        <v>75345.00</v>
      </c>
      <c r="V1972" t="str">
        <f t="shared" si="741"/>
        <v>75345.00</v>
      </c>
      <c r="W1972" t="str">
        <f t="shared" si="725"/>
        <v>2017</v>
      </c>
      <c r="X1972" t="str">
        <f>""</f>
        <v/>
      </c>
      <c r="Y1972" t="str">
        <f t="shared" si="742"/>
        <v>1578.72</v>
      </c>
      <c r="Z1972" t="str">
        <f>""</f>
        <v/>
      </c>
      <c r="AA1972" t="str">
        <f t="shared" si="743"/>
        <v>75345.00</v>
      </c>
      <c r="AB1972" t="str">
        <f t="shared" si="730"/>
        <v>Residential</v>
      </c>
      <c r="AC1972" t="str">
        <f t="shared" si="735"/>
        <v>0</v>
      </c>
      <c r="AD1972" t="str">
        <f>""</f>
        <v/>
      </c>
      <c r="AE1972" t="str">
        <f>""</f>
        <v/>
      </c>
      <c r="AF1972" t="str">
        <f t="shared" si="744"/>
        <v>000</v>
      </c>
      <c r="AG1972" t="str">
        <f t="shared" si="732"/>
        <v>FL</v>
      </c>
      <c r="AH1972" t="str">
        <f>"11200.00"</f>
        <v>11200.00</v>
      </c>
      <c r="AI1972" t="str">
        <f t="shared" si="745"/>
        <v>75345.00</v>
      </c>
      <c r="AJ1972" t="str">
        <f>"C55-001-092-7736-8"</f>
        <v>C55-001-092-7736-8</v>
      </c>
      <c r="AK1972" t="str">
        <f>"40344"</f>
        <v>40344</v>
      </c>
      <c r="AL1972">
        <v>7</v>
      </c>
      <c r="AM1972">
        <v>2251</v>
      </c>
      <c r="AN1972">
        <v>1656.06</v>
      </c>
      <c r="AQ1972" t="s">
        <v>19180</v>
      </c>
      <c r="AR1972" t="s">
        <v>19180</v>
      </c>
      <c r="AS1972" t="s">
        <v>19180</v>
      </c>
      <c r="AU1972" t="s">
        <v>396</v>
      </c>
      <c r="AV1972">
        <v>2017</v>
      </c>
      <c r="AW1972" t="str">
        <f>"00-00-30-0440-0024-0000 "</f>
        <v xml:space="preserve">00-00-30-0440-0024-0000 </v>
      </c>
      <c r="AX1972">
        <v>2945</v>
      </c>
      <c r="AZ1972" t="s">
        <v>19127</v>
      </c>
      <c r="BD1972" t="s">
        <v>11749</v>
      </c>
      <c r="BE1972" t="s">
        <v>393</v>
      </c>
      <c r="BF1972">
        <v>32034</v>
      </c>
      <c r="BG1972" t="s">
        <v>19181</v>
      </c>
      <c r="BH1972" t="s">
        <v>11751</v>
      </c>
      <c r="BK1972" t="s">
        <v>19129</v>
      </c>
      <c r="BM1972" t="s">
        <v>19130</v>
      </c>
      <c r="BN1972" t="s">
        <v>548</v>
      </c>
      <c r="BO1972">
        <v>32205</v>
      </c>
      <c r="BQ1972">
        <v>0</v>
      </c>
      <c r="BR1972" t="s">
        <v>491</v>
      </c>
      <c r="BS1972">
        <v>8001</v>
      </c>
      <c r="BT1972" t="s">
        <v>492</v>
      </c>
      <c r="BW1972">
        <v>11200</v>
      </c>
      <c r="BX1972" t="s">
        <v>407</v>
      </c>
      <c r="CD1972">
        <v>2017</v>
      </c>
      <c r="CE1972">
        <v>75345</v>
      </c>
      <c r="CG1972">
        <v>75345</v>
      </c>
      <c r="CH1972">
        <v>2017</v>
      </c>
      <c r="CI1972">
        <v>75345</v>
      </c>
      <c r="CK1972">
        <v>75345</v>
      </c>
      <c r="CL1972">
        <v>2017</v>
      </c>
      <c r="CM1972">
        <v>1501.67</v>
      </c>
      <c r="DD1972" t="s">
        <v>11749</v>
      </c>
      <c r="DM1972" t="s">
        <v>18842</v>
      </c>
      <c r="DO1972" t="s">
        <v>19182</v>
      </c>
    </row>
    <row r="1973" spans="1:260" x14ac:dyDescent="0.25">
      <c r="A1973">
        <v>16486980</v>
      </c>
      <c r="B1973">
        <v>1972</v>
      </c>
      <c r="C1973" t="s">
        <v>393</v>
      </c>
      <c r="D1973" t="s">
        <v>394</v>
      </c>
      <c r="F1973" t="str">
        <f>"00-00-30-0440-0025-0000"</f>
        <v>00-00-30-0440-0025-0000</v>
      </c>
      <c r="H1973" t="str">
        <f t="shared" si="736"/>
        <v>SUMMERWOODS OF AMELIA ISLAND LLC</v>
      </c>
      <c r="I1973" t="str">
        <f t="shared" si="737"/>
        <v>3675 PINE ST</v>
      </c>
      <c r="J1973" t="str">
        <f t="shared" si="738"/>
        <v>JACKSONVILLE FL 32205</v>
      </c>
      <c r="K1973" t="str">
        <f>"2949 RIVERBEND WALK"</f>
        <v>2949 RIVERBEND WALK</v>
      </c>
      <c r="L1973" t="str">
        <f t="shared" si="746"/>
        <v>FERNANDINA BEACH FL 32034</v>
      </c>
      <c r="M1973" t="str">
        <f>"LOT 25 RIVERBEND PBK 8/182"</f>
        <v>LOT 25 RIVERBEND PBK 8/182</v>
      </c>
      <c r="N1973" t="str">
        <f>""</f>
        <v/>
      </c>
      <c r="O1973" t="str">
        <f>"56793"</f>
        <v>56793</v>
      </c>
      <c r="P1973" t="str">
        <f t="shared" si="724"/>
        <v>2017</v>
      </c>
      <c r="Q1973" t="str">
        <f>""</f>
        <v/>
      </c>
      <c r="R1973" t="str">
        <f t="shared" si="739"/>
        <v>N</v>
      </c>
      <c r="S1973" t="str">
        <f>""</f>
        <v/>
      </c>
      <c r="T1973" t="str">
        <f t="shared" si="740"/>
        <v>1501.67</v>
      </c>
      <c r="U1973" t="str">
        <f t="shared" si="741"/>
        <v>75345.00</v>
      </c>
      <c r="V1973" t="str">
        <f t="shared" si="741"/>
        <v>75345.00</v>
      </c>
      <c r="W1973" t="str">
        <f t="shared" si="725"/>
        <v>2017</v>
      </c>
      <c r="X1973" t="str">
        <f>""</f>
        <v/>
      </c>
      <c r="Y1973" t="str">
        <f t="shared" si="742"/>
        <v>1578.72</v>
      </c>
      <c r="Z1973" t="str">
        <f>""</f>
        <v/>
      </c>
      <c r="AA1973" t="str">
        <f t="shared" si="743"/>
        <v>75345.00</v>
      </c>
      <c r="AB1973" t="str">
        <f t="shared" ref="AB1973:AB1984" si="747">"Residential"</f>
        <v>Residential</v>
      </c>
      <c r="AC1973" t="str">
        <f t="shared" si="735"/>
        <v>0</v>
      </c>
      <c r="AD1973" t="str">
        <f>""</f>
        <v/>
      </c>
      <c r="AE1973" t="str">
        <f>""</f>
        <v/>
      </c>
      <c r="AF1973" t="str">
        <f t="shared" si="744"/>
        <v>000</v>
      </c>
      <c r="AG1973" t="str">
        <f t="shared" si="732"/>
        <v>FL</v>
      </c>
      <c r="AH1973" t="str">
        <f>"11200.00"</f>
        <v>11200.00</v>
      </c>
      <c r="AI1973" t="str">
        <f t="shared" si="745"/>
        <v>75345.00</v>
      </c>
      <c r="AJ1973" t="str">
        <f>"C55-001-092-7737-6"</f>
        <v>C55-001-092-7737-6</v>
      </c>
      <c r="AK1973" t="str">
        <f>"40345"</f>
        <v>40345</v>
      </c>
      <c r="AL1973">
        <v>7</v>
      </c>
      <c r="AM1973">
        <v>2252</v>
      </c>
      <c r="AN1973">
        <v>1656.06</v>
      </c>
      <c r="AQ1973" t="s">
        <v>19183</v>
      </c>
      <c r="AR1973" t="s">
        <v>19183</v>
      </c>
      <c r="AS1973" t="s">
        <v>19183</v>
      </c>
      <c r="AU1973" t="s">
        <v>396</v>
      </c>
      <c r="AV1973">
        <v>2017</v>
      </c>
      <c r="AW1973" t="str">
        <f>"00-00-30-0440-0025-0000 "</f>
        <v xml:space="preserve">00-00-30-0440-0025-0000 </v>
      </c>
      <c r="AX1973">
        <v>2949</v>
      </c>
      <c r="AZ1973" t="s">
        <v>19127</v>
      </c>
      <c r="BD1973" t="s">
        <v>11749</v>
      </c>
      <c r="BE1973" t="s">
        <v>393</v>
      </c>
      <c r="BF1973">
        <v>32034</v>
      </c>
      <c r="BG1973" t="s">
        <v>19184</v>
      </c>
      <c r="BH1973" t="s">
        <v>11751</v>
      </c>
      <c r="BK1973" t="s">
        <v>19129</v>
      </c>
      <c r="BM1973" t="s">
        <v>19130</v>
      </c>
      <c r="BN1973" t="s">
        <v>548</v>
      </c>
      <c r="BO1973">
        <v>32205</v>
      </c>
      <c r="BQ1973">
        <v>0</v>
      </c>
      <c r="BR1973" t="s">
        <v>491</v>
      </c>
      <c r="BS1973">
        <v>8001</v>
      </c>
      <c r="BT1973" t="s">
        <v>492</v>
      </c>
      <c r="BW1973">
        <v>11200</v>
      </c>
      <c r="BX1973" t="s">
        <v>407</v>
      </c>
      <c r="CD1973">
        <v>2017</v>
      </c>
      <c r="CE1973">
        <v>75345</v>
      </c>
      <c r="CG1973">
        <v>75345</v>
      </c>
      <c r="CH1973">
        <v>2017</v>
      </c>
      <c r="CI1973">
        <v>75345</v>
      </c>
      <c r="CK1973">
        <v>75345</v>
      </c>
      <c r="CL1973">
        <v>2017</v>
      </c>
      <c r="CM1973">
        <v>1501.67</v>
      </c>
      <c r="DD1973" t="s">
        <v>11749</v>
      </c>
      <c r="DM1973" t="s">
        <v>18842</v>
      </c>
      <c r="DO1973" t="s">
        <v>19185</v>
      </c>
    </row>
    <row r="1974" spans="1:260" x14ac:dyDescent="0.25">
      <c r="A1974">
        <v>16486981</v>
      </c>
      <c r="B1974">
        <v>1973</v>
      </c>
      <c r="C1974" t="s">
        <v>393</v>
      </c>
      <c r="D1974" t="s">
        <v>394</v>
      </c>
      <c r="F1974" t="str">
        <f>"00-00-30-0440-0026-0000"</f>
        <v>00-00-30-0440-0026-0000</v>
      </c>
      <c r="H1974" t="str">
        <f t="shared" si="736"/>
        <v>SUMMERWOODS OF AMELIA ISLAND LLC</v>
      </c>
      <c r="I1974" t="str">
        <f t="shared" si="737"/>
        <v>3675 PINE ST</v>
      </c>
      <c r="J1974" t="str">
        <f t="shared" si="738"/>
        <v>JACKSONVILLE FL 32205</v>
      </c>
      <c r="K1974" t="str">
        <f>"2953 RIVERBEND WALK"</f>
        <v>2953 RIVERBEND WALK</v>
      </c>
      <c r="L1974" t="str">
        <f t="shared" si="746"/>
        <v>FERNANDINA BEACH FL 32034</v>
      </c>
      <c r="M1974" t="str">
        <f>"LOT 26 RIVERBEND PBK 8/182"</f>
        <v>LOT 26 RIVERBEND PBK 8/182</v>
      </c>
      <c r="N1974" t="str">
        <f>""</f>
        <v/>
      </c>
      <c r="O1974" t="str">
        <f>"56794"</f>
        <v>56794</v>
      </c>
      <c r="P1974" t="str">
        <f t="shared" si="724"/>
        <v>2017</v>
      </c>
      <c r="Q1974" t="str">
        <f>""</f>
        <v/>
      </c>
      <c r="R1974" t="str">
        <f t="shared" si="739"/>
        <v>N</v>
      </c>
      <c r="S1974" t="str">
        <f>""</f>
        <v/>
      </c>
      <c r="T1974" t="str">
        <f t="shared" si="740"/>
        <v>1501.67</v>
      </c>
      <c r="U1974" t="str">
        <f t="shared" si="741"/>
        <v>75345.00</v>
      </c>
      <c r="V1974" t="str">
        <f t="shared" si="741"/>
        <v>75345.00</v>
      </c>
      <c r="W1974" t="str">
        <f t="shared" si="725"/>
        <v>2017</v>
      </c>
      <c r="X1974" t="str">
        <f>""</f>
        <v/>
      </c>
      <c r="Y1974" t="str">
        <f t="shared" si="742"/>
        <v>1578.72</v>
      </c>
      <c r="Z1974" t="str">
        <f>""</f>
        <v/>
      </c>
      <c r="AA1974" t="str">
        <f t="shared" si="743"/>
        <v>75345.00</v>
      </c>
      <c r="AB1974" t="str">
        <f t="shared" si="747"/>
        <v>Residential</v>
      </c>
      <c r="AC1974" t="str">
        <f t="shared" si="735"/>
        <v>0</v>
      </c>
      <c r="AD1974" t="str">
        <f>""</f>
        <v/>
      </c>
      <c r="AE1974" t="str">
        <f>""</f>
        <v/>
      </c>
      <c r="AF1974" t="str">
        <f t="shared" si="744"/>
        <v>000</v>
      </c>
      <c r="AG1974" t="str">
        <f t="shared" si="732"/>
        <v>FL</v>
      </c>
      <c r="AH1974" t="str">
        <f>"14386.00"</f>
        <v>14386.00</v>
      </c>
      <c r="AI1974" t="str">
        <f t="shared" si="745"/>
        <v>75345.00</v>
      </c>
      <c r="AJ1974" t="str">
        <f>"C55-001-092-7738-4"</f>
        <v>C55-001-092-7738-4</v>
      </c>
      <c r="AK1974" t="str">
        <f>"40346"</f>
        <v>40346</v>
      </c>
      <c r="AL1974">
        <v>7</v>
      </c>
      <c r="AM1974">
        <v>2253</v>
      </c>
      <c r="AN1974">
        <v>1656.06</v>
      </c>
      <c r="AQ1974" t="s">
        <v>19186</v>
      </c>
      <c r="AR1974" t="s">
        <v>19186</v>
      </c>
      <c r="AS1974" t="s">
        <v>19186</v>
      </c>
      <c r="AU1974" t="s">
        <v>396</v>
      </c>
      <c r="AV1974">
        <v>2017</v>
      </c>
      <c r="AW1974" t="str">
        <f>"00-00-30-0440-0026-0000 "</f>
        <v xml:space="preserve">00-00-30-0440-0026-0000 </v>
      </c>
      <c r="AX1974">
        <v>2953</v>
      </c>
      <c r="AZ1974" t="s">
        <v>19127</v>
      </c>
      <c r="BD1974" t="s">
        <v>11749</v>
      </c>
      <c r="BE1974" t="s">
        <v>393</v>
      </c>
      <c r="BF1974">
        <v>32034</v>
      </c>
      <c r="BG1974" t="s">
        <v>19187</v>
      </c>
      <c r="BH1974" t="s">
        <v>11751</v>
      </c>
      <c r="BK1974" t="s">
        <v>19129</v>
      </c>
      <c r="BM1974" t="s">
        <v>19130</v>
      </c>
      <c r="BN1974" t="s">
        <v>548</v>
      </c>
      <c r="BO1974">
        <v>32205</v>
      </c>
      <c r="BQ1974">
        <v>0</v>
      </c>
      <c r="BR1974" t="s">
        <v>491</v>
      </c>
      <c r="BS1974">
        <v>8001</v>
      </c>
      <c r="BT1974" t="s">
        <v>492</v>
      </c>
      <c r="BW1974">
        <v>14386</v>
      </c>
      <c r="BX1974" t="s">
        <v>407</v>
      </c>
      <c r="CD1974">
        <v>2017</v>
      </c>
      <c r="CE1974">
        <v>75345</v>
      </c>
      <c r="CG1974">
        <v>75345</v>
      </c>
      <c r="CH1974">
        <v>2017</v>
      </c>
      <c r="CI1974">
        <v>75345</v>
      </c>
      <c r="CK1974">
        <v>75345</v>
      </c>
      <c r="CL1974">
        <v>2017</v>
      </c>
      <c r="CM1974">
        <v>1501.67</v>
      </c>
      <c r="DD1974" t="s">
        <v>11749</v>
      </c>
      <c r="DM1974" t="s">
        <v>18842</v>
      </c>
      <c r="DO1974" t="s">
        <v>19188</v>
      </c>
    </row>
    <row r="1975" spans="1:260" x14ac:dyDescent="0.25">
      <c r="A1975">
        <v>16486982</v>
      </c>
      <c r="B1975">
        <v>1974</v>
      </c>
      <c r="C1975" t="s">
        <v>393</v>
      </c>
      <c r="D1975" t="s">
        <v>394</v>
      </c>
      <c r="F1975" t="str">
        <f>"00-00-30-0440-0028-0000"</f>
        <v>00-00-30-0440-0028-0000</v>
      </c>
      <c r="H1975" t="str">
        <f t="shared" si="736"/>
        <v>SUMMERWOODS OF AMELIA ISLAND LLC</v>
      </c>
      <c r="I1975" t="str">
        <f t="shared" si="737"/>
        <v>3675 PINE ST</v>
      </c>
      <c r="J1975" t="str">
        <f t="shared" si="738"/>
        <v>JACKSONVILLE FL 32205</v>
      </c>
      <c r="K1975" t="str">
        <f>"2961 RIVERBEND WALK"</f>
        <v>2961 RIVERBEND WALK</v>
      </c>
      <c r="L1975" t="str">
        <f t="shared" si="746"/>
        <v>FERNANDINA BEACH FL 32034</v>
      </c>
      <c r="M1975" t="str">
        <f>"LOT 28 RIVERBEND PBK 8/182"</f>
        <v>LOT 28 RIVERBEND PBK 8/182</v>
      </c>
      <c r="N1975" t="str">
        <f>""</f>
        <v/>
      </c>
      <c r="O1975" t="str">
        <f>"56796"</f>
        <v>56796</v>
      </c>
      <c r="P1975" t="str">
        <f t="shared" si="724"/>
        <v>2017</v>
      </c>
      <c r="Q1975" t="str">
        <f>""</f>
        <v/>
      </c>
      <c r="R1975" t="str">
        <f t="shared" si="739"/>
        <v>N</v>
      </c>
      <c r="S1975" t="str">
        <f>""</f>
        <v/>
      </c>
      <c r="T1975" t="str">
        <f t="shared" si="740"/>
        <v>1501.67</v>
      </c>
      <c r="U1975" t="str">
        <f t="shared" si="741"/>
        <v>75345.00</v>
      </c>
      <c r="V1975" t="str">
        <f t="shared" si="741"/>
        <v>75345.00</v>
      </c>
      <c r="W1975" t="str">
        <f t="shared" si="725"/>
        <v>2017</v>
      </c>
      <c r="X1975" t="str">
        <f>""</f>
        <v/>
      </c>
      <c r="Y1975" t="str">
        <f t="shared" si="742"/>
        <v>1578.72</v>
      </c>
      <c r="Z1975" t="str">
        <f>""</f>
        <v/>
      </c>
      <c r="AA1975" t="str">
        <f t="shared" si="743"/>
        <v>75345.00</v>
      </c>
      <c r="AB1975" t="str">
        <f t="shared" si="747"/>
        <v>Residential</v>
      </c>
      <c r="AC1975" t="str">
        <f t="shared" si="735"/>
        <v>0</v>
      </c>
      <c r="AD1975" t="str">
        <f>""</f>
        <v/>
      </c>
      <c r="AE1975" t="str">
        <f>""</f>
        <v/>
      </c>
      <c r="AF1975" t="str">
        <f t="shared" si="744"/>
        <v>000</v>
      </c>
      <c r="AG1975" t="str">
        <f t="shared" si="732"/>
        <v>FL</v>
      </c>
      <c r="AH1975" t="str">
        <f>"11200.00"</f>
        <v>11200.00</v>
      </c>
      <c r="AI1975" t="str">
        <f t="shared" si="745"/>
        <v>75345.00</v>
      </c>
      <c r="AJ1975" t="str">
        <f>"C55-001-092-7740-0"</f>
        <v>C55-001-092-7740-0</v>
      </c>
      <c r="AK1975" t="str">
        <f>"40348"</f>
        <v>40348</v>
      </c>
      <c r="AL1975">
        <v>7</v>
      </c>
      <c r="AM1975">
        <v>2254</v>
      </c>
      <c r="AN1975">
        <v>1656.06</v>
      </c>
      <c r="AQ1975" t="s">
        <v>19189</v>
      </c>
      <c r="AR1975" t="s">
        <v>19189</v>
      </c>
      <c r="AS1975" t="s">
        <v>19189</v>
      </c>
      <c r="AU1975" t="s">
        <v>396</v>
      </c>
      <c r="AV1975">
        <v>2017</v>
      </c>
      <c r="AW1975" t="str">
        <f>"00-00-30-0440-0028-0000 "</f>
        <v xml:space="preserve">00-00-30-0440-0028-0000 </v>
      </c>
      <c r="AX1975">
        <v>2961</v>
      </c>
      <c r="AZ1975" t="s">
        <v>19127</v>
      </c>
      <c r="BD1975" t="s">
        <v>11749</v>
      </c>
      <c r="BE1975" t="s">
        <v>393</v>
      </c>
      <c r="BF1975">
        <v>32034</v>
      </c>
      <c r="BG1975" t="s">
        <v>19190</v>
      </c>
      <c r="BH1975" t="s">
        <v>11751</v>
      </c>
      <c r="BK1975" t="s">
        <v>19129</v>
      </c>
      <c r="BM1975" t="s">
        <v>19130</v>
      </c>
      <c r="BN1975" t="s">
        <v>548</v>
      </c>
      <c r="BO1975">
        <v>32205</v>
      </c>
      <c r="BQ1975">
        <v>0</v>
      </c>
      <c r="BR1975" t="s">
        <v>491</v>
      </c>
      <c r="BS1975">
        <v>8001</v>
      </c>
      <c r="BT1975" t="s">
        <v>492</v>
      </c>
      <c r="BW1975">
        <v>11200</v>
      </c>
      <c r="BX1975" t="s">
        <v>407</v>
      </c>
      <c r="CD1975">
        <v>2017</v>
      </c>
      <c r="CE1975">
        <v>75345</v>
      </c>
      <c r="CG1975">
        <v>75345</v>
      </c>
      <c r="CH1975">
        <v>2017</v>
      </c>
      <c r="CI1975">
        <v>75345</v>
      </c>
      <c r="CK1975">
        <v>75345</v>
      </c>
      <c r="CL1975">
        <v>2017</v>
      </c>
      <c r="CM1975">
        <v>1501.67</v>
      </c>
      <c r="DD1975" t="s">
        <v>11749</v>
      </c>
      <c r="DM1975" t="s">
        <v>18842</v>
      </c>
      <c r="DO1975" t="s">
        <v>19191</v>
      </c>
    </row>
    <row r="1976" spans="1:260" x14ac:dyDescent="0.25">
      <c r="A1976">
        <v>16486983</v>
      </c>
      <c r="B1976">
        <v>1975</v>
      </c>
      <c r="C1976" t="s">
        <v>393</v>
      </c>
      <c r="D1976" t="s">
        <v>394</v>
      </c>
      <c r="F1976" t="str">
        <f>"00-00-30-0440-0029-0000"</f>
        <v>00-00-30-0440-0029-0000</v>
      </c>
      <c r="H1976" t="str">
        <f t="shared" si="736"/>
        <v>SUMMERWOODS OF AMELIA ISLAND LLC</v>
      </c>
      <c r="I1976" t="str">
        <f t="shared" si="737"/>
        <v>3675 PINE ST</v>
      </c>
      <c r="J1976" t="str">
        <f t="shared" si="738"/>
        <v>JACKSONVILLE FL 32205</v>
      </c>
      <c r="K1976" t="str">
        <f>"2965 RIVERBEND WALK"</f>
        <v>2965 RIVERBEND WALK</v>
      </c>
      <c r="L1976" t="str">
        <f t="shared" si="746"/>
        <v>FERNANDINA BEACH FL 32034</v>
      </c>
      <c r="M1976" t="str">
        <f>"LOT 29 RIVERBEND PBK 8/182"</f>
        <v>LOT 29 RIVERBEND PBK 8/182</v>
      </c>
      <c r="N1976" t="str">
        <f>""</f>
        <v/>
      </c>
      <c r="O1976" t="str">
        <f>"56797"</f>
        <v>56797</v>
      </c>
      <c r="P1976" t="str">
        <f t="shared" si="724"/>
        <v>2017</v>
      </c>
      <c r="Q1976" t="str">
        <f>""</f>
        <v/>
      </c>
      <c r="R1976" t="str">
        <f t="shared" si="739"/>
        <v>N</v>
      </c>
      <c r="S1976" t="str">
        <f>""</f>
        <v/>
      </c>
      <c r="T1976" t="str">
        <f t="shared" si="740"/>
        <v>1501.67</v>
      </c>
      <c r="U1976" t="str">
        <f t="shared" si="741"/>
        <v>75345.00</v>
      </c>
      <c r="V1976" t="str">
        <f t="shared" si="741"/>
        <v>75345.00</v>
      </c>
      <c r="W1976" t="str">
        <f t="shared" si="725"/>
        <v>2017</v>
      </c>
      <c r="X1976" t="str">
        <f>""</f>
        <v/>
      </c>
      <c r="Y1976" t="str">
        <f t="shared" si="742"/>
        <v>1578.72</v>
      </c>
      <c r="Z1976" t="str">
        <f>""</f>
        <v/>
      </c>
      <c r="AA1976" t="str">
        <f t="shared" si="743"/>
        <v>75345.00</v>
      </c>
      <c r="AB1976" t="str">
        <f t="shared" si="747"/>
        <v>Residential</v>
      </c>
      <c r="AC1976" t="str">
        <f t="shared" si="735"/>
        <v>0</v>
      </c>
      <c r="AD1976" t="str">
        <f>""</f>
        <v/>
      </c>
      <c r="AE1976" t="str">
        <f>""</f>
        <v/>
      </c>
      <c r="AF1976" t="str">
        <f t="shared" si="744"/>
        <v>000</v>
      </c>
      <c r="AG1976" t="str">
        <f t="shared" si="732"/>
        <v>FL</v>
      </c>
      <c r="AH1976" t="str">
        <f>"11200.00"</f>
        <v>11200.00</v>
      </c>
      <c r="AI1976" t="str">
        <f t="shared" si="745"/>
        <v>75345.00</v>
      </c>
      <c r="AJ1976" t="str">
        <f>"C55-001-092-7741-8"</f>
        <v>C55-001-092-7741-8</v>
      </c>
      <c r="AK1976" t="str">
        <f>"40349"</f>
        <v>40349</v>
      </c>
      <c r="AL1976">
        <v>7</v>
      </c>
      <c r="AM1976">
        <v>2255</v>
      </c>
      <c r="AN1976">
        <v>1656.06</v>
      </c>
      <c r="AQ1976" t="s">
        <v>19192</v>
      </c>
      <c r="AR1976" t="s">
        <v>19192</v>
      </c>
      <c r="AS1976" t="s">
        <v>19192</v>
      </c>
      <c r="AU1976" t="s">
        <v>396</v>
      </c>
      <c r="AV1976">
        <v>2017</v>
      </c>
      <c r="AW1976" t="str">
        <f>"00-00-30-0440-0029-0000 "</f>
        <v xml:space="preserve">00-00-30-0440-0029-0000 </v>
      </c>
      <c r="AX1976">
        <v>2965</v>
      </c>
      <c r="AZ1976" t="s">
        <v>19127</v>
      </c>
      <c r="BD1976" t="s">
        <v>11749</v>
      </c>
      <c r="BE1976" t="s">
        <v>393</v>
      </c>
      <c r="BF1976">
        <v>32034</v>
      </c>
      <c r="BG1976" t="s">
        <v>19193</v>
      </c>
      <c r="BH1976" t="s">
        <v>11751</v>
      </c>
      <c r="BK1976" t="s">
        <v>19129</v>
      </c>
      <c r="BM1976" t="s">
        <v>19130</v>
      </c>
      <c r="BN1976" t="s">
        <v>548</v>
      </c>
      <c r="BO1976">
        <v>32205</v>
      </c>
      <c r="BQ1976">
        <v>0</v>
      </c>
      <c r="BR1976" t="s">
        <v>491</v>
      </c>
      <c r="BS1976">
        <v>8001</v>
      </c>
      <c r="BT1976" t="s">
        <v>492</v>
      </c>
      <c r="BW1976">
        <v>11200</v>
      </c>
      <c r="BX1976" t="s">
        <v>407</v>
      </c>
      <c r="CD1976">
        <v>2017</v>
      </c>
      <c r="CE1976">
        <v>75345</v>
      </c>
      <c r="CG1976">
        <v>75345</v>
      </c>
      <c r="CH1976">
        <v>2017</v>
      </c>
      <c r="CI1976">
        <v>75345</v>
      </c>
      <c r="CK1976">
        <v>75345</v>
      </c>
      <c r="CL1976">
        <v>2017</v>
      </c>
      <c r="CM1976">
        <v>1501.67</v>
      </c>
      <c r="DD1976" t="s">
        <v>11749</v>
      </c>
      <c r="DM1976" t="s">
        <v>18842</v>
      </c>
      <c r="DO1976" t="s">
        <v>19194</v>
      </c>
    </row>
    <row r="1977" spans="1:260" x14ac:dyDescent="0.25">
      <c r="A1977">
        <v>16486984</v>
      </c>
      <c r="B1977">
        <v>1976</v>
      </c>
      <c r="C1977" t="s">
        <v>393</v>
      </c>
      <c r="D1977" t="s">
        <v>394</v>
      </c>
      <c r="F1977" t="str">
        <f>"00-00-30-0440-0030-0000"</f>
        <v>00-00-30-0440-0030-0000</v>
      </c>
      <c r="H1977" t="str">
        <f t="shared" si="736"/>
        <v>SUMMERWOODS OF AMELIA ISLAND LLC</v>
      </c>
      <c r="I1977" t="str">
        <f t="shared" si="737"/>
        <v>3675 PINE ST</v>
      </c>
      <c r="J1977" t="str">
        <f t="shared" si="738"/>
        <v>JACKSONVILLE FL 32205</v>
      </c>
      <c r="K1977" t="str">
        <f>"2969 RIVERBEND WALK"</f>
        <v>2969 RIVERBEND WALK</v>
      </c>
      <c r="L1977" t="str">
        <f t="shared" si="746"/>
        <v>FERNANDINA BEACH FL 32034</v>
      </c>
      <c r="M1977" t="str">
        <f>"LOT 30 RIVERBEND PBK 8/182"</f>
        <v>LOT 30 RIVERBEND PBK 8/182</v>
      </c>
      <c r="N1977" t="str">
        <f>""</f>
        <v/>
      </c>
      <c r="O1977" t="str">
        <f>"56798"</f>
        <v>56798</v>
      </c>
      <c r="P1977" t="str">
        <f t="shared" si="724"/>
        <v>2017</v>
      </c>
      <c r="Q1977" t="str">
        <f>""</f>
        <v/>
      </c>
      <c r="R1977" t="str">
        <f t="shared" si="739"/>
        <v>N</v>
      </c>
      <c r="S1977" t="str">
        <f>""</f>
        <v/>
      </c>
      <c r="T1977" t="str">
        <f t="shared" si="740"/>
        <v>1501.67</v>
      </c>
      <c r="U1977" t="str">
        <f t="shared" si="741"/>
        <v>75345.00</v>
      </c>
      <c r="V1977" t="str">
        <f t="shared" si="741"/>
        <v>75345.00</v>
      </c>
      <c r="W1977" t="str">
        <f t="shared" si="725"/>
        <v>2017</v>
      </c>
      <c r="X1977" t="str">
        <f>""</f>
        <v/>
      </c>
      <c r="Y1977" t="str">
        <f t="shared" si="742"/>
        <v>1578.72</v>
      </c>
      <c r="Z1977" t="str">
        <f>""</f>
        <v/>
      </c>
      <c r="AA1977" t="str">
        <f t="shared" si="743"/>
        <v>75345.00</v>
      </c>
      <c r="AB1977" t="str">
        <f t="shared" si="747"/>
        <v>Residential</v>
      </c>
      <c r="AC1977" t="str">
        <f t="shared" si="735"/>
        <v>0</v>
      </c>
      <c r="AD1977" t="str">
        <f>""</f>
        <v/>
      </c>
      <c r="AE1977" t="str">
        <f>""</f>
        <v/>
      </c>
      <c r="AF1977" t="str">
        <f t="shared" si="744"/>
        <v>000</v>
      </c>
      <c r="AG1977" t="str">
        <f t="shared" si="732"/>
        <v>FL</v>
      </c>
      <c r="AH1977" t="str">
        <f>"11200.00"</f>
        <v>11200.00</v>
      </c>
      <c r="AI1977" t="str">
        <f t="shared" si="745"/>
        <v>75345.00</v>
      </c>
      <c r="AJ1977" t="str">
        <f>"C55-001-092-7742-6"</f>
        <v>C55-001-092-7742-6</v>
      </c>
      <c r="AK1977" t="str">
        <f>"40350"</f>
        <v>40350</v>
      </c>
      <c r="AL1977">
        <v>7</v>
      </c>
      <c r="AM1977">
        <v>2256</v>
      </c>
      <c r="AN1977">
        <v>1656.06</v>
      </c>
      <c r="AQ1977" t="s">
        <v>19195</v>
      </c>
      <c r="AR1977" t="s">
        <v>19195</v>
      </c>
      <c r="AS1977" t="s">
        <v>19195</v>
      </c>
      <c r="AU1977" t="s">
        <v>396</v>
      </c>
      <c r="AV1977">
        <v>2017</v>
      </c>
      <c r="AW1977" t="str">
        <f>"00-00-30-0440-0030-0000 "</f>
        <v xml:space="preserve">00-00-30-0440-0030-0000 </v>
      </c>
      <c r="AX1977">
        <v>2969</v>
      </c>
      <c r="AZ1977" t="s">
        <v>19127</v>
      </c>
      <c r="BD1977" t="s">
        <v>11749</v>
      </c>
      <c r="BE1977" t="s">
        <v>393</v>
      </c>
      <c r="BF1977">
        <v>32034</v>
      </c>
      <c r="BG1977" t="s">
        <v>19196</v>
      </c>
      <c r="BH1977" t="s">
        <v>11751</v>
      </c>
      <c r="BK1977" t="s">
        <v>19129</v>
      </c>
      <c r="BM1977" t="s">
        <v>19130</v>
      </c>
      <c r="BN1977" t="s">
        <v>548</v>
      </c>
      <c r="BO1977">
        <v>32205</v>
      </c>
      <c r="BQ1977">
        <v>0</v>
      </c>
      <c r="BR1977" t="s">
        <v>491</v>
      </c>
      <c r="BS1977">
        <v>8001</v>
      </c>
      <c r="BT1977" t="s">
        <v>492</v>
      </c>
      <c r="BW1977">
        <v>11200</v>
      </c>
      <c r="BX1977" t="s">
        <v>407</v>
      </c>
      <c r="CD1977">
        <v>2017</v>
      </c>
      <c r="CE1977">
        <v>75345</v>
      </c>
      <c r="CG1977">
        <v>75345</v>
      </c>
      <c r="CH1977">
        <v>2017</v>
      </c>
      <c r="CI1977">
        <v>75345</v>
      </c>
      <c r="CK1977">
        <v>75345</v>
      </c>
      <c r="CL1977">
        <v>2017</v>
      </c>
      <c r="CM1977">
        <v>1501.67</v>
      </c>
      <c r="DD1977" t="s">
        <v>11749</v>
      </c>
      <c r="DM1977" t="s">
        <v>18842</v>
      </c>
      <c r="DO1977" t="s">
        <v>19197</v>
      </c>
    </row>
    <row r="1978" spans="1:260" x14ac:dyDescent="0.25">
      <c r="A1978">
        <v>16486985</v>
      </c>
      <c r="B1978">
        <v>1977</v>
      </c>
      <c r="C1978" t="s">
        <v>393</v>
      </c>
      <c r="D1978" t="s">
        <v>394</v>
      </c>
      <c r="F1978" t="str">
        <f>"00-00-30-0440-0033-0000"</f>
        <v>00-00-30-0440-0033-0000</v>
      </c>
      <c r="H1978" t="str">
        <f t="shared" si="736"/>
        <v>SUMMERWOODS OF AMELIA ISLAND LLC</v>
      </c>
      <c r="I1978" t="str">
        <f t="shared" si="737"/>
        <v>3675 PINE ST</v>
      </c>
      <c r="J1978" t="str">
        <f t="shared" si="738"/>
        <v>JACKSONVILLE FL 32205</v>
      </c>
      <c r="K1978" t="str">
        <f>"2980 RIVERBEND WALK"</f>
        <v>2980 RIVERBEND WALK</v>
      </c>
      <c r="L1978" t="str">
        <f t="shared" si="746"/>
        <v>FERNANDINA BEACH FL 32034</v>
      </c>
      <c r="M1978" t="str">
        <f>"LOT 33 RIVERBEND PBK 8/182"</f>
        <v>LOT 33 RIVERBEND PBK 8/182</v>
      </c>
      <c r="N1978" t="str">
        <f>""</f>
        <v/>
      </c>
      <c r="O1978" t="str">
        <f>"56801"</f>
        <v>56801</v>
      </c>
      <c r="P1978" t="str">
        <f t="shared" si="724"/>
        <v>2017</v>
      </c>
      <c r="Q1978" t="str">
        <f>""</f>
        <v/>
      </c>
      <c r="R1978" t="str">
        <f t="shared" si="739"/>
        <v>N</v>
      </c>
      <c r="S1978" t="str">
        <f>""</f>
        <v/>
      </c>
      <c r="T1978" t="str">
        <f t="shared" si="740"/>
        <v>1501.67</v>
      </c>
      <c r="U1978" t="str">
        <f t="shared" si="741"/>
        <v>75345.00</v>
      </c>
      <c r="V1978" t="str">
        <f t="shared" si="741"/>
        <v>75345.00</v>
      </c>
      <c r="W1978" t="str">
        <f t="shared" si="725"/>
        <v>2017</v>
      </c>
      <c r="X1978" t="str">
        <f>""</f>
        <v/>
      </c>
      <c r="Y1978" t="str">
        <f t="shared" si="742"/>
        <v>1578.72</v>
      </c>
      <c r="Z1978" t="str">
        <f>""</f>
        <v/>
      </c>
      <c r="AA1978" t="str">
        <f t="shared" si="743"/>
        <v>75345.00</v>
      </c>
      <c r="AB1978" t="str">
        <f t="shared" si="747"/>
        <v>Residential</v>
      </c>
      <c r="AC1978" t="str">
        <f t="shared" si="735"/>
        <v>0</v>
      </c>
      <c r="AD1978" t="str">
        <f>""</f>
        <v/>
      </c>
      <c r="AE1978" t="str">
        <f>""</f>
        <v/>
      </c>
      <c r="AF1978" t="str">
        <f t="shared" si="744"/>
        <v>000</v>
      </c>
      <c r="AG1978" t="str">
        <f t="shared" si="732"/>
        <v>FL</v>
      </c>
      <c r="AH1978" t="str">
        <f>"17712.00"</f>
        <v>17712.00</v>
      </c>
      <c r="AI1978" t="str">
        <f t="shared" si="745"/>
        <v>75345.00</v>
      </c>
      <c r="AJ1978" t="str">
        <f>"C55-001-092-7745-9"</f>
        <v>C55-001-092-7745-9</v>
      </c>
      <c r="AK1978" t="str">
        <f>"40353"</f>
        <v>40353</v>
      </c>
      <c r="AL1978">
        <v>7</v>
      </c>
      <c r="AM1978">
        <v>2257</v>
      </c>
      <c r="AN1978">
        <v>1656.06</v>
      </c>
      <c r="AQ1978" t="s">
        <v>19198</v>
      </c>
      <c r="AR1978" t="s">
        <v>19198</v>
      </c>
      <c r="AS1978" t="s">
        <v>19198</v>
      </c>
      <c r="AU1978" t="s">
        <v>396</v>
      </c>
      <c r="AV1978">
        <v>2017</v>
      </c>
      <c r="AW1978" t="str">
        <f>"00-00-30-0440-0033-0000 "</f>
        <v xml:space="preserve">00-00-30-0440-0033-0000 </v>
      </c>
      <c r="AX1978">
        <v>2980</v>
      </c>
      <c r="AZ1978" t="s">
        <v>19127</v>
      </c>
      <c r="BD1978" t="s">
        <v>11749</v>
      </c>
      <c r="BE1978" t="s">
        <v>393</v>
      </c>
      <c r="BF1978">
        <v>32034</v>
      </c>
      <c r="BG1978" t="s">
        <v>19199</v>
      </c>
      <c r="BH1978" t="s">
        <v>11751</v>
      </c>
      <c r="BK1978" t="s">
        <v>19129</v>
      </c>
      <c r="BM1978" t="s">
        <v>19130</v>
      </c>
      <c r="BN1978" t="s">
        <v>548</v>
      </c>
      <c r="BO1978">
        <v>32205</v>
      </c>
      <c r="BQ1978">
        <v>0</v>
      </c>
      <c r="BR1978" t="s">
        <v>491</v>
      </c>
      <c r="BS1978">
        <v>8001</v>
      </c>
      <c r="BT1978" t="s">
        <v>492</v>
      </c>
      <c r="BW1978">
        <v>17712</v>
      </c>
      <c r="BX1978" t="s">
        <v>407</v>
      </c>
      <c r="CD1978">
        <v>2017</v>
      </c>
      <c r="CE1978">
        <v>75345</v>
      </c>
      <c r="CG1978">
        <v>75345</v>
      </c>
      <c r="CH1978">
        <v>2017</v>
      </c>
      <c r="CI1978">
        <v>75345</v>
      </c>
      <c r="CK1978">
        <v>75345</v>
      </c>
      <c r="CL1978">
        <v>2017</v>
      </c>
      <c r="CM1978">
        <v>1501.67</v>
      </c>
      <c r="DD1978" t="s">
        <v>11749</v>
      </c>
      <c r="DM1978" t="s">
        <v>18842</v>
      </c>
      <c r="DO1978" t="s">
        <v>19200</v>
      </c>
    </row>
    <row r="1979" spans="1:260" x14ac:dyDescent="0.25">
      <c r="A1979">
        <v>16486986</v>
      </c>
      <c r="B1979">
        <v>1978</v>
      </c>
      <c r="C1979" t="s">
        <v>393</v>
      </c>
      <c r="D1979" t="s">
        <v>394</v>
      </c>
      <c r="F1979" t="str">
        <f>"00-00-30-044A-0004-0030"</f>
        <v>00-00-30-044A-0004-0030</v>
      </c>
      <c r="H1979" t="str">
        <f>"PATEL LISA"</f>
        <v>PATEL LISA</v>
      </c>
      <c r="I1979" t="str">
        <f>"3030 AMELIA ROAD"</f>
        <v>3030 AMELIA ROAD</v>
      </c>
      <c r="J1979" t="str">
        <f>"FERNANDINA BEACH FL 32034"</f>
        <v>FERNANDINA BEACH FL 32034</v>
      </c>
      <c r="K1979" t="str">
        <f>"3030 AMELIA RD"</f>
        <v>3030 AMELIA RD</v>
      </c>
      <c r="L1979" t="str">
        <f t="shared" si="746"/>
        <v>FERNANDINA BEACH FL 32034</v>
      </c>
      <c r="M1979" t="str">
        <f>"3-2N-28 PT OF LOT 4 IN OR 2068/618 OCEAN BREEZE SUB PB 1/11"</f>
        <v>3-2N-28 PT OF LOT 4 IN OR 2068/618 OCEAN BREEZE SUB PB 1/11</v>
      </c>
      <c r="N1979" t="str">
        <f>""</f>
        <v/>
      </c>
      <c r="O1979" t="str">
        <f>"2612"</f>
        <v>2612</v>
      </c>
      <c r="P1979" t="str">
        <f t="shared" si="724"/>
        <v>2017</v>
      </c>
      <c r="Q1979" t="str">
        <f>""</f>
        <v/>
      </c>
      <c r="R1979" t="str">
        <f t="shared" si="739"/>
        <v>N</v>
      </c>
      <c r="S1979" t="str">
        <f>""</f>
        <v/>
      </c>
      <c r="T1979" t="str">
        <f>"2647.23"</f>
        <v>2647.23</v>
      </c>
      <c r="U1979" t="str">
        <f>"172006.00"</f>
        <v>172006.00</v>
      </c>
      <c r="V1979" t="str">
        <f>"172006.00"</f>
        <v>172006.00</v>
      </c>
      <c r="W1979" t="str">
        <f t="shared" si="725"/>
        <v>2017</v>
      </c>
      <c r="X1979" t="str">
        <f>""</f>
        <v/>
      </c>
      <c r="Y1979" t="str">
        <f>"2758.65"</f>
        <v>2758.65</v>
      </c>
      <c r="Z1979" t="str">
        <f>""</f>
        <v/>
      </c>
      <c r="AA1979" t="str">
        <f>"172006.00"</f>
        <v>172006.00</v>
      </c>
      <c r="AB1979" t="str">
        <f t="shared" si="747"/>
        <v>Residential</v>
      </c>
      <c r="AC1979" t="str">
        <f t="shared" si="735"/>
        <v>0</v>
      </c>
      <c r="AD1979" t="str">
        <f>"4"</f>
        <v>4</v>
      </c>
      <c r="AE1979" t="str">
        <f>"WOOD (INCLUDE STEEL STUDS)"</f>
        <v>WOOD (INCLUDE STEEL STUDS)</v>
      </c>
      <c r="AF1979" t="str">
        <f>"001"</f>
        <v>001</v>
      </c>
      <c r="AG1979" t="str">
        <f t="shared" si="732"/>
        <v>FL</v>
      </c>
      <c r="AH1979" t="str">
        <f>"29370.00"</f>
        <v>29370.00</v>
      </c>
      <c r="AI1979" t="str">
        <f>"75000.00"</f>
        <v>75000.00</v>
      </c>
      <c r="AJ1979" t="str">
        <f>"C55-000-585-2218-6"</f>
        <v>C55-000-585-2218-6</v>
      </c>
      <c r="AK1979" t="str">
        <f>"40121"</f>
        <v>40121</v>
      </c>
      <c r="AL1979">
        <v>7</v>
      </c>
      <c r="AM1979">
        <v>2258</v>
      </c>
      <c r="AN1979">
        <v>2894.98</v>
      </c>
      <c r="AQ1979" t="s">
        <v>19201</v>
      </c>
      <c r="AR1979" t="s">
        <v>19201</v>
      </c>
      <c r="AS1979" t="s">
        <v>19201</v>
      </c>
      <c r="AU1979" t="s">
        <v>396</v>
      </c>
      <c r="AV1979">
        <v>2017</v>
      </c>
      <c r="AW1979" t="str">
        <f>"00-00-30-044A-0004-0030 "</f>
        <v xml:space="preserve">00-00-30-044A-0004-0030 </v>
      </c>
      <c r="AX1979">
        <v>3030</v>
      </c>
      <c r="AZ1979" t="s">
        <v>19002</v>
      </c>
      <c r="BA1979" t="s">
        <v>496</v>
      </c>
      <c r="BD1979" t="s">
        <v>11749</v>
      </c>
      <c r="BE1979" t="s">
        <v>393</v>
      </c>
      <c r="BF1979">
        <v>32034</v>
      </c>
      <c r="BG1979" t="s">
        <v>19202</v>
      </c>
      <c r="BH1979" t="s">
        <v>11751</v>
      </c>
      <c r="BI1979">
        <v>-81.456688918632196</v>
      </c>
      <c r="BJ1979">
        <v>30.621929167615001</v>
      </c>
      <c r="BK1979" t="s">
        <v>19203</v>
      </c>
      <c r="BM1979" t="s">
        <v>19202</v>
      </c>
      <c r="BN1979" t="s">
        <v>3983</v>
      </c>
      <c r="BO1979">
        <v>32034</v>
      </c>
      <c r="BP1979" t="s">
        <v>416</v>
      </c>
      <c r="BQ1979">
        <v>100</v>
      </c>
      <c r="BR1979" t="s">
        <v>514</v>
      </c>
      <c r="BS1979">
        <v>1001</v>
      </c>
      <c r="BT1979" t="s">
        <v>515</v>
      </c>
      <c r="BW1979">
        <v>28937</v>
      </c>
      <c r="BX1979" t="s">
        <v>407</v>
      </c>
      <c r="BY1979" t="s">
        <v>7351</v>
      </c>
      <c r="BZ1979">
        <v>4</v>
      </c>
      <c r="CA1979">
        <v>1995</v>
      </c>
      <c r="CB1979">
        <v>1</v>
      </c>
      <c r="CC1979">
        <v>1</v>
      </c>
      <c r="CD1979">
        <v>2017</v>
      </c>
      <c r="CE1979">
        <v>75000</v>
      </c>
      <c r="CF1979">
        <v>97006</v>
      </c>
      <c r="CG1979">
        <v>172006</v>
      </c>
      <c r="CH1979">
        <v>2017</v>
      </c>
      <c r="CI1979">
        <v>75000</v>
      </c>
      <c r="CJ1979">
        <v>97006</v>
      </c>
      <c r="CK1979">
        <v>172006</v>
      </c>
      <c r="CL1979">
        <v>2017</v>
      </c>
      <c r="CM1979">
        <v>2647.23</v>
      </c>
      <c r="CN1979" s="1">
        <v>42611</v>
      </c>
      <c r="CO1979">
        <v>180000</v>
      </c>
      <c r="CV1979">
        <v>0</v>
      </c>
      <c r="CZ1979" s="1">
        <v>42611</v>
      </c>
      <c r="DA1979">
        <v>0</v>
      </c>
      <c r="DD1979" t="s">
        <v>11749</v>
      </c>
      <c r="DF1979">
        <v>4</v>
      </c>
      <c r="DG1979">
        <v>5</v>
      </c>
      <c r="DJ1979" t="s">
        <v>19204</v>
      </c>
      <c r="DL1979">
        <v>50202</v>
      </c>
      <c r="DM1979" t="s">
        <v>18842</v>
      </c>
      <c r="DO1979" t="s">
        <v>19205</v>
      </c>
      <c r="DP1979">
        <v>0</v>
      </c>
      <c r="DQ1979">
        <v>1</v>
      </c>
      <c r="DR1979" t="s">
        <v>1174</v>
      </c>
      <c r="EP1979" t="s">
        <v>421</v>
      </c>
      <c r="EQ1979" t="s">
        <v>422</v>
      </c>
      <c r="ER1979">
        <v>2</v>
      </c>
      <c r="ES1979">
        <v>0</v>
      </c>
      <c r="ET1979">
        <v>2706.7</v>
      </c>
      <c r="EU1979">
        <v>147.84</v>
      </c>
      <c r="EV1979">
        <v>2854.54</v>
      </c>
      <c r="EW1979" s="2">
        <v>43222</v>
      </c>
      <c r="EX1979" s="1">
        <v>42879</v>
      </c>
      <c r="EY1979">
        <v>2016</v>
      </c>
      <c r="EZ1979">
        <v>1353.35</v>
      </c>
      <c r="FA1979" t="s">
        <v>19206</v>
      </c>
      <c r="FB1979">
        <v>0.25</v>
      </c>
      <c r="FC1979" t="s">
        <v>424</v>
      </c>
      <c r="FD1979" t="s">
        <v>454</v>
      </c>
      <c r="FF1979">
        <v>12</v>
      </c>
      <c r="FG1979">
        <v>7400234</v>
      </c>
      <c r="FH1979" t="s">
        <v>426</v>
      </c>
      <c r="FJ1979" s="1">
        <v>42879</v>
      </c>
      <c r="FK1979">
        <v>2016</v>
      </c>
      <c r="FL1979">
        <v>1353.35</v>
      </c>
      <c r="FM1979" t="s">
        <v>19206</v>
      </c>
      <c r="FN1979">
        <v>0.25</v>
      </c>
      <c r="FO1979" t="s">
        <v>424</v>
      </c>
      <c r="FP1979" t="s">
        <v>454</v>
      </c>
      <c r="FR1979">
        <v>12</v>
      </c>
      <c r="FS1979">
        <v>7490703</v>
      </c>
      <c r="FT1979" t="s">
        <v>19207</v>
      </c>
    </row>
    <row r="1980" spans="1:260" x14ac:dyDescent="0.25">
      <c r="A1980">
        <v>16486987</v>
      </c>
      <c r="B1980">
        <v>1979</v>
      </c>
      <c r="C1980" t="s">
        <v>393</v>
      </c>
      <c r="D1980" t="s">
        <v>394</v>
      </c>
      <c r="F1980" t="str">
        <f>"00-00-30-044A-0025-0030"</f>
        <v>00-00-30-044A-0025-0030</v>
      </c>
      <c r="H1980" t="str">
        <f>"OCEAN BREEZE OF AMELIA LLC"</f>
        <v>OCEAN BREEZE OF AMELIA LLC</v>
      </c>
      <c r="I1980" t="str">
        <f>"414 OLD HARD RD STE 502"</f>
        <v>414 OLD HARD RD STE 502</v>
      </c>
      <c r="J1980" t="str">
        <f>"FLEMING ISLAND FL 32003"</f>
        <v>FLEMING ISLAND FL 32003</v>
      </c>
      <c r="K1980" t="str">
        <f>"2863 SEMINOLE AV"</f>
        <v>2863 SEMINOLE AV</v>
      </c>
      <c r="L1980" t="str">
        <f t="shared" si="746"/>
        <v>FERNANDINA BEACH FL 32034</v>
      </c>
      <c r="M1980" t="str">
        <f>"PT LOT 25 IN OR 1926/1880 (EX ESMT IN OR 220/369 &amp; EX PT IN OR 388/528 &amp; PT IN PBK 8/91) OCEAN BREEZE SUB PBK 1/11"</f>
        <v>PT LOT 25 IN OR 1926/1880 (EX ESMT IN OR 220/369 &amp; EX PT IN OR 388/528 &amp; PT IN PBK 8/91) OCEAN BREEZE SUB PBK 1/11</v>
      </c>
      <c r="N1980" t="str">
        <f>""</f>
        <v/>
      </c>
      <c r="O1980" t="str">
        <f>"2653"</f>
        <v>2653</v>
      </c>
      <c r="P1980" t="str">
        <f t="shared" si="724"/>
        <v>2017</v>
      </c>
      <c r="Q1980" t="str">
        <f>""</f>
        <v/>
      </c>
      <c r="R1980" t="str">
        <f t="shared" si="739"/>
        <v>N</v>
      </c>
      <c r="S1980" t="str">
        <f>"0.80"</f>
        <v>0.80</v>
      </c>
      <c r="T1980" t="str">
        <f>"461.71"</f>
        <v>461.71</v>
      </c>
      <c r="U1980" t="str">
        <f>"30000.00"</f>
        <v>30000.00</v>
      </c>
      <c r="V1980" t="str">
        <f>"30000.00"</f>
        <v>30000.00</v>
      </c>
      <c r="W1980" t="str">
        <f t="shared" si="725"/>
        <v>2017</v>
      </c>
      <c r="X1980" t="str">
        <f>""</f>
        <v/>
      </c>
      <c r="Y1980" t="str">
        <f>"507.56"</f>
        <v>507.56</v>
      </c>
      <c r="Z1980" t="str">
        <f>""</f>
        <v/>
      </c>
      <c r="AA1980" t="str">
        <f>"30000.00"</f>
        <v>30000.00</v>
      </c>
      <c r="AB1980" t="str">
        <f t="shared" si="747"/>
        <v>Residential</v>
      </c>
      <c r="AC1980" t="str">
        <f t="shared" si="735"/>
        <v>0</v>
      </c>
      <c r="AD1980" t="str">
        <f>""</f>
        <v/>
      </c>
      <c r="AE1980" t="str">
        <f>""</f>
        <v/>
      </c>
      <c r="AF1980" t="str">
        <f>"000"</f>
        <v>000</v>
      </c>
      <c r="AG1980" t="str">
        <f t="shared" si="732"/>
        <v>FL</v>
      </c>
      <c r="AH1980" t="str">
        <f>"34848.00"</f>
        <v>34848.00</v>
      </c>
      <c r="AI1980" t="str">
        <f>"30000.00"</f>
        <v>30000.00</v>
      </c>
      <c r="AJ1980" t="str">
        <f>"C55-000-585-2251-7"</f>
        <v>C55-000-585-2251-7</v>
      </c>
      <c r="AK1980" t="str">
        <f>"40153"</f>
        <v>40153</v>
      </c>
      <c r="AL1980">
        <v>7</v>
      </c>
      <c r="AM1980">
        <v>2259</v>
      </c>
      <c r="AN1980">
        <v>531.34</v>
      </c>
      <c r="AQ1980" t="s">
        <v>19208</v>
      </c>
      <c r="AR1980" t="s">
        <v>19208</v>
      </c>
      <c r="AS1980" t="s">
        <v>19208</v>
      </c>
      <c r="AU1980" t="s">
        <v>396</v>
      </c>
      <c r="AV1980">
        <v>2017</v>
      </c>
      <c r="AW1980" t="str">
        <f>"00-00-30-044A-0025-0030 "</f>
        <v xml:space="preserve">00-00-30-044A-0025-0030 </v>
      </c>
      <c r="AX1980">
        <v>2863</v>
      </c>
      <c r="AZ1980" t="s">
        <v>9502</v>
      </c>
      <c r="BA1980" t="s">
        <v>1122</v>
      </c>
      <c r="BD1980" t="s">
        <v>11749</v>
      </c>
      <c r="BE1980" t="s">
        <v>393</v>
      </c>
      <c r="BF1980">
        <v>32034</v>
      </c>
      <c r="BG1980" t="s">
        <v>19209</v>
      </c>
      <c r="BH1980" t="s">
        <v>11751</v>
      </c>
      <c r="BI1980">
        <v>-81.450879395262604</v>
      </c>
      <c r="BJ1980">
        <v>30.626435752241701</v>
      </c>
      <c r="BK1980" t="s">
        <v>19210</v>
      </c>
      <c r="BM1980" t="s">
        <v>19211</v>
      </c>
      <c r="BN1980" t="s">
        <v>1916</v>
      </c>
      <c r="BO1980">
        <v>32003</v>
      </c>
      <c r="BP1980" t="s">
        <v>404</v>
      </c>
      <c r="BQ1980">
        <v>0</v>
      </c>
      <c r="BR1980" t="s">
        <v>491</v>
      </c>
      <c r="BS1980">
        <v>8001</v>
      </c>
      <c r="BT1980" t="s">
        <v>492</v>
      </c>
      <c r="BW1980">
        <v>53578</v>
      </c>
      <c r="BX1980" t="s">
        <v>407</v>
      </c>
      <c r="BY1980" t="s">
        <v>408</v>
      </c>
      <c r="CD1980">
        <v>2017</v>
      </c>
      <c r="CE1980">
        <v>30000</v>
      </c>
      <c r="CG1980">
        <v>30000</v>
      </c>
      <c r="CH1980">
        <v>2017</v>
      </c>
      <c r="CI1980">
        <v>30000</v>
      </c>
      <c r="CK1980">
        <v>30000</v>
      </c>
      <c r="CL1980">
        <v>2017</v>
      </c>
      <c r="CM1980">
        <v>461.71</v>
      </c>
      <c r="CN1980" s="1">
        <v>41831</v>
      </c>
      <c r="CO1980">
        <v>2610000</v>
      </c>
      <c r="CV1980">
        <v>0</v>
      </c>
      <c r="CZ1980" s="1">
        <v>41831</v>
      </c>
      <c r="DA1980">
        <v>0</v>
      </c>
      <c r="DD1980" t="s">
        <v>11749</v>
      </c>
      <c r="DF1980">
        <v>25</v>
      </c>
      <c r="DG1980">
        <v>5</v>
      </c>
      <c r="DL1980">
        <v>50202</v>
      </c>
      <c r="DM1980" t="s">
        <v>19212</v>
      </c>
      <c r="DO1980" t="s">
        <v>19213</v>
      </c>
      <c r="DP1980">
        <v>0</v>
      </c>
      <c r="DQ1980">
        <v>1</v>
      </c>
      <c r="DR1980" t="s">
        <v>1479</v>
      </c>
      <c r="DS1980" t="b">
        <v>1</v>
      </c>
      <c r="DT1980" t="s">
        <v>470</v>
      </c>
      <c r="DU1980" t="s">
        <v>471</v>
      </c>
      <c r="DV1980" t="s">
        <v>472</v>
      </c>
      <c r="DX1980">
        <v>-9999</v>
      </c>
      <c r="DZ1980" t="s">
        <v>447</v>
      </c>
      <c r="EA1980" t="s">
        <v>448</v>
      </c>
      <c r="EB1980" t="s">
        <v>14787</v>
      </c>
      <c r="EC1980">
        <v>20101217</v>
      </c>
      <c r="ED1980" t="s">
        <v>474</v>
      </c>
      <c r="EF1980">
        <v>1940.4</v>
      </c>
      <c r="EG1980">
        <v>353.7</v>
      </c>
      <c r="EI1980">
        <v>20160407</v>
      </c>
      <c r="EJ1980">
        <v>0</v>
      </c>
      <c r="EK1980">
        <v>0</v>
      </c>
      <c r="EP1980" t="s">
        <v>421</v>
      </c>
      <c r="EQ1980" t="s">
        <v>422</v>
      </c>
      <c r="ER1980">
        <v>4</v>
      </c>
      <c r="ES1980">
        <v>0</v>
      </c>
      <c r="ET1980">
        <v>3914.4</v>
      </c>
      <c r="EU1980">
        <v>220.72</v>
      </c>
      <c r="EV1980">
        <v>4135.12</v>
      </c>
      <c r="EW1980" s="2">
        <v>43222</v>
      </c>
      <c r="EX1980" s="1">
        <v>42879</v>
      </c>
      <c r="EY1980">
        <v>2016</v>
      </c>
      <c r="EZ1980">
        <v>1143.49</v>
      </c>
      <c r="FA1980" t="s">
        <v>19214</v>
      </c>
      <c r="FB1980">
        <v>0.25</v>
      </c>
      <c r="FC1980" t="s">
        <v>424</v>
      </c>
      <c r="FD1980" t="s">
        <v>454</v>
      </c>
      <c r="FF1980">
        <v>12</v>
      </c>
      <c r="FG1980">
        <v>7400234</v>
      </c>
      <c r="FH1980" t="s">
        <v>426</v>
      </c>
      <c r="FJ1980" s="1">
        <v>42879</v>
      </c>
      <c r="FK1980">
        <v>2016</v>
      </c>
      <c r="FL1980">
        <v>1143.49</v>
      </c>
      <c r="FM1980" t="s">
        <v>19214</v>
      </c>
      <c r="FN1980">
        <v>0.25</v>
      </c>
      <c r="FO1980" t="s">
        <v>424</v>
      </c>
      <c r="FP1980" t="s">
        <v>454</v>
      </c>
      <c r="FR1980">
        <v>12</v>
      </c>
      <c r="FS1980">
        <v>7508852</v>
      </c>
      <c r="FT1980" t="s">
        <v>19215</v>
      </c>
      <c r="FV1980" s="1">
        <v>42515</v>
      </c>
      <c r="FW1980">
        <v>2015</v>
      </c>
      <c r="FX1980">
        <v>813.71</v>
      </c>
      <c r="FY1980" t="s">
        <v>19216</v>
      </c>
      <c r="FZ1980">
        <v>0.25</v>
      </c>
      <c r="GA1980" t="s">
        <v>424</v>
      </c>
      <c r="GB1980" t="s">
        <v>454</v>
      </c>
      <c r="GD1980">
        <v>24</v>
      </c>
      <c r="GE1980">
        <v>2851116</v>
      </c>
      <c r="GF1980" t="s">
        <v>480</v>
      </c>
      <c r="GH1980" s="1">
        <v>42515</v>
      </c>
      <c r="GI1980">
        <v>2015</v>
      </c>
      <c r="GJ1980">
        <v>813.71</v>
      </c>
      <c r="GK1980" t="s">
        <v>19216</v>
      </c>
      <c r="GL1980">
        <v>0.25</v>
      </c>
      <c r="GM1980" t="s">
        <v>424</v>
      </c>
      <c r="GN1980" t="s">
        <v>454</v>
      </c>
      <c r="GP1980">
        <v>24</v>
      </c>
      <c r="GQ1980">
        <v>5364939</v>
      </c>
      <c r="GR1980" t="s">
        <v>19217</v>
      </c>
    </row>
    <row r="1981" spans="1:260" x14ac:dyDescent="0.25">
      <c r="A1981">
        <v>16486988</v>
      </c>
      <c r="B1981">
        <v>1980</v>
      </c>
      <c r="C1981" t="s">
        <v>393</v>
      </c>
      <c r="D1981" t="s">
        <v>394</v>
      </c>
      <c r="F1981" t="str">
        <f>"00-00-30-044B-0028-0010"</f>
        <v>00-00-30-044B-0028-0010</v>
      </c>
      <c r="H1981" t="str">
        <f>"THE ASPIRE AT AMELIA II LLC C/O ERIC L WEISS ESQ"</f>
        <v>THE ASPIRE AT AMELIA II LLC C/O ERIC L WEISS ESQ</v>
      </c>
      <c r="I1981" t="str">
        <f>"260 PEACHTREE ST NW STE 2700"</f>
        <v>260 PEACHTREE ST NW STE 2700</v>
      </c>
      <c r="J1981" t="str">
        <f>"ATLANTA GA 30303"</f>
        <v>ATLANTA GA 30303</v>
      </c>
      <c r="K1981" t="str">
        <f>"AMELIA RD"</f>
        <v>AMELIA RD</v>
      </c>
      <c r="L1981" t="str">
        <f t="shared" si="746"/>
        <v>FERNANDINA BEACH FL 32034</v>
      </c>
      <c r="M1981" t="str">
        <f>"PT LOT 28 (S-1) IN OR 2051/198 (EX RD R/W) OCEAN BREEZE FARMS PB 2/19"</f>
        <v>PT LOT 28 (S-1) IN OR 2051/198 (EX RD R/W) OCEAN BREEZE FARMS PB 2/19</v>
      </c>
      <c r="N1981" t="str">
        <f>""</f>
        <v/>
      </c>
      <c r="O1981" t="str">
        <f>"2660"</f>
        <v>2660</v>
      </c>
      <c r="P1981" t="str">
        <f t="shared" si="724"/>
        <v>2017</v>
      </c>
      <c r="Q1981" t="str">
        <f>""</f>
        <v/>
      </c>
      <c r="R1981" t="str">
        <f t="shared" si="739"/>
        <v>N</v>
      </c>
      <c r="S1981" t="str">
        <f>"6.03"</f>
        <v>6.03</v>
      </c>
      <c r="T1981" t="str">
        <f>"9301.05"</f>
        <v>9301.05</v>
      </c>
      <c r="U1981" t="str">
        <f>"466670.00"</f>
        <v>466670.00</v>
      </c>
      <c r="V1981" t="str">
        <f>"466670.00"</f>
        <v>466670.00</v>
      </c>
      <c r="W1981" t="str">
        <f t="shared" si="725"/>
        <v>2017</v>
      </c>
      <c r="X1981" t="str">
        <f>""</f>
        <v/>
      </c>
      <c r="Y1981" t="str">
        <f>"9612.08"</f>
        <v>9612.08</v>
      </c>
      <c r="Z1981" t="str">
        <f>""</f>
        <v/>
      </c>
      <c r="AA1981" t="str">
        <f>"466670.00"</f>
        <v>466670.00</v>
      </c>
      <c r="AB1981" t="str">
        <f t="shared" si="747"/>
        <v>Residential</v>
      </c>
      <c r="AC1981" t="str">
        <f t="shared" si="735"/>
        <v>0</v>
      </c>
      <c r="AD1981" t="str">
        <f>""</f>
        <v/>
      </c>
      <c r="AE1981" t="str">
        <f>""</f>
        <v/>
      </c>
      <c r="AF1981" t="str">
        <f>"000"</f>
        <v>000</v>
      </c>
      <c r="AG1981" t="str">
        <f>"GA"</f>
        <v>GA</v>
      </c>
      <c r="AH1981" t="str">
        <f>"262666.00"</f>
        <v>262666.00</v>
      </c>
      <c r="AI1981" t="str">
        <f>"452250.00"</f>
        <v>452250.00</v>
      </c>
      <c r="AJ1981" t="str">
        <f>"C55-000-585-2257-4"</f>
        <v>C55-000-585-2257-4</v>
      </c>
      <c r="AK1981" t="str">
        <f>"40154"</f>
        <v>40154</v>
      </c>
      <c r="AL1981">
        <v>7</v>
      </c>
      <c r="AM1981">
        <v>2260</v>
      </c>
      <c r="AN1981">
        <v>10091.08</v>
      </c>
      <c r="AQ1981" t="s">
        <v>19218</v>
      </c>
      <c r="AR1981" t="s">
        <v>19218</v>
      </c>
      <c r="AS1981" t="s">
        <v>19218</v>
      </c>
      <c r="AU1981" t="s">
        <v>396</v>
      </c>
      <c r="AV1981">
        <v>2017</v>
      </c>
      <c r="AW1981" t="str">
        <f>"00-00-30-044B-0028-0010 "</f>
        <v xml:space="preserve">00-00-30-044B-0028-0010 </v>
      </c>
      <c r="AZ1981" t="s">
        <v>19002</v>
      </c>
      <c r="BA1981" t="s">
        <v>496</v>
      </c>
      <c r="BD1981" t="s">
        <v>11749</v>
      </c>
      <c r="BE1981" t="s">
        <v>393</v>
      </c>
      <c r="BF1981">
        <v>32034</v>
      </c>
      <c r="BG1981" t="s">
        <v>19219</v>
      </c>
      <c r="BH1981" t="s">
        <v>11751</v>
      </c>
      <c r="BI1981">
        <v>-81.458713192307599</v>
      </c>
      <c r="BJ1981">
        <v>30.622637841254399</v>
      </c>
      <c r="BK1981" t="s">
        <v>19220</v>
      </c>
      <c r="BP1981" t="s">
        <v>404</v>
      </c>
      <c r="BQ1981">
        <v>1</v>
      </c>
      <c r="BR1981" t="s">
        <v>491</v>
      </c>
      <c r="BS1981">
        <v>8001</v>
      </c>
      <c r="BT1981" t="s">
        <v>492</v>
      </c>
      <c r="BW1981">
        <v>262666</v>
      </c>
      <c r="BX1981" t="s">
        <v>407</v>
      </c>
      <c r="BY1981" t="s">
        <v>7351</v>
      </c>
      <c r="CD1981">
        <v>2017</v>
      </c>
      <c r="CE1981">
        <v>452250</v>
      </c>
      <c r="CF1981">
        <v>14420</v>
      </c>
      <c r="CG1981">
        <v>466670</v>
      </c>
      <c r="CH1981">
        <v>2017</v>
      </c>
      <c r="CI1981">
        <v>452250</v>
      </c>
      <c r="CJ1981">
        <v>14420</v>
      </c>
      <c r="CK1981">
        <v>466670</v>
      </c>
      <c r="CL1981">
        <v>2017</v>
      </c>
      <c r="CM1981">
        <v>9301.0499999999993</v>
      </c>
      <c r="CN1981" s="1">
        <v>42528</v>
      </c>
      <c r="CO1981">
        <v>360000</v>
      </c>
      <c r="CV1981">
        <v>0</v>
      </c>
      <c r="CZ1981" s="1">
        <v>42528</v>
      </c>
      <c r="DA1981">
        <v>0</v>
      </c>
      <c r="DD1981" t="s">
        <v>11749</v>
      </c>
      <c r="DF1981">
        <v>28</v>
      </c>
      <c r="DG1981">
        <v>5</v>
      </c>
      <c r="DM1981" t="s">
        <v>18842</v>
      </c>
      <c r="DO1981" t="s">
        <v>19221</v>
      </c>
      <c r="DP1981">
        <v>0</v>
      </c>
      <c r="DQ1981">
        <v>1</v>
      </c>
      <c r="DR1981" t="s">
        <v>1479</v>
      </c>
      <c r="EP1981" t="s">
        <v>421</v>
      </c>
      <c r="EQ1981" t="s">
        <v>422</v>
      </c>
      <c r="ER1981">
        <v>2</v>
      </c>
      <c r="ES1981">
        <v>0</v>
      </c>
      <c r="ET1981">
        <v>584.84</v>
      </c>
      <c r="EU1981">
        <v>41.74</v>
      </c>
      <c r="EV1981">
        <v>626.58000000000004</v>
      </c>
      <c r="EW1981" s="2">
        <v>43222</v>
      </c>
      <c r="EX1981" s="1">
        <v>42879</v>
      </c>
      <c r="EY1981">
        <v>2016</v>
      </c>
      <c r="EZ1981">
        <v>292.42</v>
      </c>
      <c r="FA1981" t="s">
        <v>19222</v>
      </c>
      <c r="FB1981">
        <v>0.25</v>
      </c>
      <c r="FC1981" t="s">
        <v>424</v>
      </c>
      <c r="FD1981" t="s">
        <v>454</v>
      </c>
      <c r="FF1981">
        <v>12</v>
      </c>
      <c r="FG1981">
        <v>7400234</v>
      </c>
      <c r="FH1981" t="s">
        <v>426</v>
      </c>
      <c r="FJ1981" s="1">
        <v>42879</v>
      </c>
      <c r="FK1981">
        <v>2016</v>
      </c>
      <c r="FL1981">
        <v>292.42</v>
      </c>
      <c r="FM1981" t="s">
        <v>19222</v>
      </c>
      <c r="FN1981">
        <v>0.25</v>
      </c>
      <c r="FO1981" t="s">
        <v>424</v>
      </c>
      <c r="FP1981" t="s">
        <v>454</v>
      </c>
      <c r="FR1981">
        <v>12</v>
      </c>
      <c r="FS1981">
        <v>7416075</v>
      </c>
      <c r="FT1981" t="s">
        <v>19223</v>
      </c>
    </row>
    <row r="1982" spans="1:260" x14ac:dyDescent="0.25">
      <c r="A1982">
        <v>16486989</v>
      </c>
      <c r="B1982">
        <v>1981</v>
      </c>
      <c r="C1982" t="s">
        <v>393</v>
      </c>
      <c r="D1982" t="s">
        <v>394</v>
      </c>
      <c r="F1982" t="str">
        <f>"00-00-30-044B-0028-0012"</f>
        <v>00-00-30-044B-0028-0012</v>
      </c>
      <c r="H1982" t="str">
        <f>"THE ASPIRE AT AMELIA II LLC"</f>
        <v>THE ASPIRE AT AMELIA II LLC</v>
      </c>
      <c r="I1982" t="str">
        <f>"3017 AMELIA RD"</f>
        <v>3017 AMELIA RD</v>
      </c>
      <c r="J1982" t="str">
        <f>"FERNANDINA BEACH FL 32034"</f>
        <v>FERNANDINA BEACH FL 32034</v>
      </c>
      <c r="K1982" t="str">
        <f>"3017 AMELIA RD"</f>
        <v>3017 AMELIA RD</v>
      </c>
      <c r="L1982" t="str">
        <f t="shared" si="746"/>
        <v>FERNANDINA BEACH FL 32034</v>
      </c>
      <c r="M1982" t="str">
        <f>"PT LOT 28 IN OR 2051/189 (EX RD R/W) OCEAN BREEZE FARMS PB 2/19"</f>
        <v>PT LOT 28 IN OR 2051/189 (EX RD R/W) OCEAN BREEZE FARMS PB 2/19</v>
      </c>
      <c r="N1982" t="str">
        <f>""</f>
        <v/>
      </c>
      <c r="O1982" t="str">
        <f>"2661"</f>
        <v>2661</v>
      </c>
      <c r="P1982" t="str">
        <f t="shared" si="724"/>
        <v>2017</v>
      </c>
      <c r="Q1982" t="str">
        <f>""</f>
        <v/>
      </c>
      <c r="R1982" t="str">
        <f t="shared" si="739"/>
        <v>N</v>
      </c>
      <c r="S1982" t="str">
        <f>"1.05"</f>
        <v>1.05</v>
      </c>
      <c r="T1982" t="str">
        <f>"8073.86"</f>
        <v>8073.86</v>
      </c>
      <c r="U1982" t="str">
        <f>"405096.00"</f>
        <v>405096.00</v>
      </c>
      <c r="V1982" t="str">
        <f>"405096.00"</f>
        <v>405096.00</v>
      </c>
      <c r="W1982" t="str">
        <f t="shared" si="725"/>
        <v>2017</v>
      </c>
      <c r="X1982" t="str">
        <f>""</f>
        <v/>
      </c>
      <c r="Y1982" t="str">
        <f>"8348.08"</f>
        <v>8348.08</v>
      </c>
      <c r="Z1982" t="str">
        <f>""</f>
        <v/>
      </c>
      <c r="AA1982" t="str">
        <f>"405096.00"</f>
        <v>405096.00</v>
      </c>
      <c r="AB1982" t="str">
        <f t="shared" si="747"/>
        <v>Residential</v>
      </c>
      <c r="AC1982" t="str">
        <f t="shared" si="735"/>
        <v>0</v>
      </c>
      <c r="AD1982" t="str">
        <f>"4"</f>
        <v>4</v>
      </c>
      <c r="AE1982" t="str">
        <f>"WOOD (INCLUDE STEEL STUDS)"</f>
        <v>WOOD (INCLUDE STEEL STUDS)</v>
      </c>
      <c r="AF1982" t="str">
        <f>"001"</f>
        <v>001</v>
      </c>
      <c r="AG1982" t="str">
        <f t="shared" ref="AG1982:AG1990" si="748">"FL"</f>
        <v>FL</v>
      </c>
      <c r="AH1982" t="str">
        <f>"45738.00"</f>
        <v>45738.00</v>
      </c>
      <c r="AI1982" t="str">
        <f>"78750.00"</f>
        <v>78750.00</v>
      </c>
      <c r="AJ1982" t="str">
        <f>"C55-000-585-2258-2"</f>
        <v>C55-000-585-2258-2</v>
      </c>
      <c r="AK1982" t="str">
        <f>"40155"</f>
        <v>40155</v>
      </c>
      <c r="AL1982">
        <v>7</v>
      </c>
      <c r="AM1982">
        <v>2261</v>
      </c>
      <c r="AN1982">
        <v>8763.8799999999992</v>
      </c>
      <c r="AQ1982" t="s">
        <v>19224</v>
      </c>
      <c r="AR1982" t="s">
        <v>19224</v>
      </c>
      <c r="AS1982" t="s">
        <v>19224</v>
      </c>
      <c r="AU1982" t="s">
        <v>396</v>
      </c>
      <c r="AV1982">
        <v>2017</v>
      </c>
      <c r="AW1982" t="str">
        <f>"00-00-30-044B-0028-0012 "</f>
        <v xml:space="preserve">00-00-30-044B-0028-0012 </v>
      </c>
      <c r="AX1982">
        <v>3017</v>
      </c>
      <c r="AZ1982" t="s">
        <v>19002</v>
      </c>
      <c r="BA1982" t="s">
        <v>496</v>
      </c>
      <c r="BD1982" t="s">
        <v>11749</v>
      </c>
      <c r="BE1982" t="s">
        <v>393</v>
      </c>
      <c r="BF1982">
        <v>32034</v>
      </c>
      <c r="BG1982" t="s">
        <v>19225</v>
      </c>
      <c r="BH1982" t="s">
        <v>11751</v>
      </c>
      <c r="BI1982">
        <v>-81.457646494199906</v>
      </c>
      <c r="BJ1982">
        <v>30.622244856435898</v>
      </c>
      <c r="BK1982" t="s">
        <v>19220</v>
      </c>
      <c r="BP1982" t="s">
        <v>404</v>
      </c>
      <c r="BQ1982">
        <v>100</v>
      </c>
      <c r="BR1982" t="s">
        <v>514</v>
      </c>
      <c r="BS1982">
        <v>1001</v>
      </c>
      <c r="BT1982" t="s">
        <v>515</v>
      </c>
      <c r="BW1982">
        <v>45738</v>
      </c>
      <c r="BX1982" t="s">
        <v>407</v>
      </c>
      <c r="BY1982" t="s">
        <v>408</v>
      </c>
      <c r="BZ1982">
        <v>4</v>
      </c>
      <c r="CA1982">
        <v>2004</v>
      </c>
      <c r="CB1982">
        <v>2</v>
      </c>
      <c r="CC1982">
        <v>1</v>
      </c>
      <c r="CD1982">
        <v>2017</v>
      </c>
      <c r="CE1982">
        <v>78750</v>
      </c>
      <c r="CF1982">
        <v>326346</v>
      </c>
      <c r="CG1982">
        <v>405096</v>
      </c>
      <c r="CH1982">
        <v>2017</v>
      </c>
      <c r="CI1982">
        <v>78750</v>
      </c>
      <c r="CJ1982">
        <v>326346</v>
      </c>
      <c r="CK1982">
        <v>405096</v>
      </c>
      <c r="CL1982">
        <v>2017</v>
      </c>
      <c r="CM1982">
        <v>8073.86</v>
      </c>
      <c r="CN1982" s="1">
        <v>42528</v>
      </c>
      <c r="CO1982">
        <v>940000</v>
      </c>
      <c r="CV1982">
        <v>0</v>
      </c>
      <c r="CZ1982" s="1">
        <v>42528</v>
      </c>
      <c r="DA1982">
        <v>0</v>
      </c>
      <c r="DD1982" t="s">
        <v>11749</v>
      </c>
      <c r="DF1982">
        <v>28</v>
      </c>
      <c r="DG1982">
        <v>5</v>
      </c>
      <c r="DL1982">
        <v>50202</v>
      </c>
      <c r="DM1982" t="s">
        <v>18842</v>
      </c>
      <c r="DO1982" t="s">
        <v>19226</v>
      </c>
      <c r="DP1982">
        <v>0</v>
      </c>
      <c r="DQ1982">
        <v>0</v>
      </c>
      <c r="DR1982" t="s">
        <v>411</v>
      </c>
      <c r="EP1982" t="s">
        <v>421</v>
      </c>
      <c r="EQ1982" t="s">
        <v>422</v>
      </c>
      <c r="ER1982">
        <v>2</v>
      </c>
      <c r="ES1982">
        <v>0</v>
      </c>
      <c r="ET1982">
        <v>9768.2000000000007</v>
      </c>
      <c r="EU1982">
        <v>500.91</v>
      </c>
      <c r="EV1982">
        <v>10269.11</v>
      </c>
      <c r="EW1982" s="2">
        <v>43222</v>
      </c>
      <c r="EX1982" s="1">
        <v>42879</v>
      </c>
      <c r="EY1982">
        <v>2016</v>
      </c>
      <c r="EZ1982">
        <v>4884.1000000000004</v>
      </c>
      <c r="FA1982" t="s">
        <v>19227</v>
      </c>
      <c r="FB1982">
        <v>0.25</v>
      </c>
      <c r="FC1982" t="s">
        <v>424</v>
      </c>
      <c r="FD1982" t="s">
        <v>454</v>
      </c>
      <c r="FF1982">
        <v>12</v>
      </c>
      <c r="FG1982">
        <v>7336671</v>
      </c>
      <c r="FH1982" t="s">
        <v>437</v>
      </c>
      <c r="FJ1982" s="1">
        <v>42879</v>
      </c>
      <c r="FK1982">
        <v>2016</v>
      </c>
      <c r="FL1982">
        <v>4884.1000000000004</v>
      </c>
      <c r="FM1982" t="s">
        <v>19227</v>
      </c>
      <c r="FN1982">
        <v>0.25</v>
      </c>
      <c r="FO1982" t="s">
        <v>424</v>
      </c>
      <c r="FP1982" t="s">
        <v>454</v>
      </c>
      <c r="FR1982">
        <v>12</v>
      </c>
      <c r="FS1982">
        <v>6780249</v>
      </c>
      <c r="FT1982" t="s">
        <v>19228</v>
      </c>
    </row>
    <row r="1983" spans="1:260" x14ac:dyDescent="0.25">
      <c r="A1983">
        <v>16486990</v>
      </c>
      <c r="B1983">
        <v>1982</v>
      </c>
      <c r="C1983" t="s">
        <v>393</v>
      </c>
      <c r="D1983" t="s">
        <v>394</v>
      </c>
      <c r="F1983" t="str">
        <f>"00-00-30-044B-0028-0014"</f>
        <v>00-00-30-044B-0028-0014</v>
      </c>
      <c r="H1983" t="str">
        <f>"THE ASPIRE AT AMELIA II LLC"</f>
        <v>THE ASPIRE AT AMELIA II LLC</v>
      </c>
      <c r="I1983" t="str">
        <f>"3021 AMELIA ROAD"</f>
        <v>3021 AMELIA ROAD</v>
      </c>
      <c r="J1983" t="str">
        <f>"FERNANDINA BEACH FL 32034"</f>
        <v>FERNANDINA BEACH FL 32034</v>
      </c>
      <c r="K1983" t="str">
        <f>"3021 AMELIA RD"</f>
        <v>3021 AMELIA RD</v>
      </c>
      <c r="L1983" t="str">
        <f t="shared" si="746"/>
        <v>FERNANDINA BEACH FL 32034</v>
      </c>
      <c r="M1983" t="str">
        <f>"PT OF LOT 28 IN OR 2051/194 (EX RD R/W) OCEAN BREEZE FARMS SUB PB 2/19"</f>
        <v>PT OF LOT 28 IN OR 2051/194 (EX RD R/W) OCEAN BREEZE FARMS SUB PB 2/19</v>
      </c>
      <c r="N1983" t="str">
        <f>""</f>
        <v/>
      </c>
      <c r="O1983" t="str">
        <f>"2663"</f>
        <v>2663</v>
      </c>
      <c r="P1983" t="str">
        <f t="shared" si="724"/>
        <v>2017</v>
      </c>
      <c r="Q1983" t="str">
        <f>""</f>
        <v/>
      </c>
      <c r="R1983" t="str">
        <f t="shared" si="739"/>
        <v>N</v>
      </c>
      <c r="S1983" t="str">
        <f>""</f>
        <v/>
      </c>
      <c r="T1983" t="str">
        <f>"3283.06"</f>
        <v>3283.06</v>
      </c>
      <c r="U1983" t="str">
        <f>"164723.00"</f>
        <v>164723.00</v>
      </c>
      <c r="V1983" t="str">
        <f>"164723.00"</f>
        <v>164723.00</v>
      </c>
      <c r="W1983" t="str">
        <f t="shared" si="725"/>
        <v>2017</v>
      </c>
      <c r="X1983" t="str">
        <f>""</f>
        <v/>
      </c>
      <c r="Y1983" t="str">
        <f>"3413.55"</f>
        <v>3413.55</v>
      </c>
      <c r="Z1983" t="str">
        <f>""</f>
        <v/>
      </c>
      <c r="AA1983" t="str">
        <f>"164723.00"</f>
        <v>164723.00</v>
      </c>
      <c r="AB1983" t="str">
        <f t="shared" si="747"/>
        <v>Residential</v>
      </c>
      <c r="AC1983" t="str">
        <f t="shared" si="735"/>
        <v>0</v>
      </c>
      <c r="AD1983" t="str">
        <f>"4"</f>
        <v>4</v>
      </c>
      <c r="AE1983" t="str">
        <f>"WOOD (INCLUDE STEEL STUDS)"</f>
        <v>WOOD (INCLUDE STEEL STUDS)</v>
      </c>
      <c r="AF1983" t="str">
        <f>"001"</f>
        <v>001</v>
      </c>
      <c r="AG1983" t="str">
        <f t="shared" si="748"/>
        <v>FL</v>
      </c>
      <c r="AH1983" t="str">
        <f>"36590.00"</f>
        <v>36590.00</v>
      </c>
      <c r="AI1983" t="str">
        <f>"80000.00"</f>
        <v>80000.00</v>
      </c>
      <c r="AJ1983" t="str">
        <f>"C55-001-038-9188-3"</f>
        <v>C55-001-038-9188-3</v>
      </c>
      <c r="AK1983" t="str">
        <f>"40156"</f>
        <v>40156</v>
      </c>
      <c r="AL1983">
        <v>7</v>
      </c>
      <c r="AM1983">
        <v>2262</v>
      </c>
      <c r="AN1983">
        <v>3582.63</v>
      </c>
      <c r="AQ1983" t="s">
        <v>19229</v>
      </c>
      <c r="AR1983" t="s">
        <v>19229</v>
      </c>
      <c r="AS1983" t="s">
        <v>19229</v>
      </c>
      <c r="AU1983" t="s">
        <v>396</v>
      </c>
      <c r="AV1983">
        <v>2017</v>
      </c>
      <c r="AW1983" t="str">
        <f>"00-00-30-044B-0028-0014 "</f>
        <v xml:space="preserve">00-00-30-044B-0028-0014 </v>
      </c>
      <c r="AX1983">
        <v>3021</v>
      </c>
      <c r="AZ1983" t="s">
        <v>19002</v>
      </c>
      <c r="BA1983" t="s">
        <v>496</v>
      </c>
      <c r="BD1983" t="s">
        <v>11749</v>
      </c>
      <c r="BE1983" t="s">
        <v>393</v>
      </c>
      <c r="BF1983">
        <v>32034</v>
      </c>
      <c r="BG1983" t="s">
        <v>19230</v>
      </c>
      <c r="BH1983" t="s">
        <v>11751</v>
      </c>
      <c r="BI1983">
        <v>-81.457663314655207</v>
      </c>
      <c r="BJ1983">
        <v>30.6229399414567</v>
      </c>
      <c r="BK1983" t="s">
        <v>19220</v>
      </c>
      <c r="BP1983" t="s">
        <v>404</v>
      </c>
      <c r="BQ1983">
        <v>100</v>
      </c>
      <c r="BR1983" t="s">
        <v>514</v>
      </c>
      <c r="BS1983">
        <v>1001</v>
      </c>
      <c r="BT1983" t="s">
        <v>515</v>
      </c>
      <c r="BW1983">
        <v>36590</v>
      </c>
      <c r="BX1983" t="s">
        <v>407</v>
      </c>
      <c r="BY1983" t="s">
        <v>408</v>
      </c>
      <c r="BZ1983">
        <v>4</v>
      </c>
      <c r="CA1983">
        <v>1958</v>
      </c>
      <c r="CB1983">
        <v>1</v>
      </c>
      <c r="CC1983">
        <v>1</v>
      </c>
      <c r="CD1983">
        <v>2017</v>
      </c>
      <c r="CE1983">
        <v>80000</v>
      </c>
      <c r="CF1983">
        <v>84723</v>
      </c>
      <c r="CG1983">
        <v>164723</v>
      </c>
      <c r="CH1983">
        <v>2017</v>
      </c>
      <c r="CI1983">
        <v>80000</v>
      </c>
      <c r="CJ1983">
        <v>84723</v>
      </c>
      <c r="CK1983">
        <v>164723</v>
      </c>
      <c r="CL1983">
        <v>2017</v>
      </c>
      <c r="CM1983">
        <v>3283.06</v>
      </c>
      <c r="CN1983" s="1">
        <v>42528</v>
      </c>
      <c r="CO1983">
        <v>100000</v>
      </c>
      <c r="CV1983">
        <v>0</v>
      </c>
      <c r="CZ1983" s="1">
        <v>42528</v>
      </c>
      <c r="DA1983">
        <v>0</v>
      </c>
      <c r="DD1983" t="s">
        <v>11749</v>
      </c>
      <c r="DF1983">
        <v>28</v>
      </c>
      <c r="DG1983">
        <v>5</v>
      </c>
      <c r="DL1983">
        <v>50202</v>
      </c>
      <c r="DM1983" t="s">
        <v>18842</v>
      </c>
      <c r="DO1983" t="s">
        <v>19231</v>
      </c>
      <c r="DP1983">
        <v>0</v>
      </c>
      <c r="DQ1983">
        <v>0</v>
      </c>
      <c r="DR1983" t="s">
        <v>411</v>
      </c>
      <c r="EP1983" t="s">
        <v>421</v>
      </c>
      <c r="EQ1983" t="s">
        <v>422</v>
      </c>
      <c r="ER1983">
        <v>2</v>
      </c>
      <c r="ES1983">
        <v>0</v>
      </c>
      <c r="ET1983">
        <v>5297.1</v>
      </c>
      <c r="EU1983">
        <v>277.36</v>
      </c>
      <c r="EV1983">
        <v>5574.46</v>
      </c>
      <c r="EW1983" s="2">
        <v>43222</v>
      </c>
      <c r="EX1983" s="1">
        <v>42879</v>
      </c>
      <c r="EY1983">
        <v>2016</v>
      </c>
      <c r="EZ1983">
        <v>2648.55</v>
      </c>
      <c r="FA1983" t="s">
        <v>19232</v>
      </c>
      <c r="FB1983">
        <v>0.25</v>
      </c>
      <c r="FC1983" t="s">
        <v>424</v>
      </c>
      <c r="FD1983" t="s">
        <v>454</v>
      </c>
      <c r="FF1983">
        <v>12</v>
      </c>
      <c r="FG1983">
        <v>7400234</v>
      </c>
      <c r="FH1983" t="s">
        <v>426</v>
      </c>
      <c r="FJ1983" s="1">
        <v>42879</v>
      </c>
      <c r="FK1983">
        <v>2016</v>
      </c>
      <c r="FL1983">
        <v>2648.55</v>
      </c>
      <c r="FM1983" t="s">
        <v>19232</v>
      </c>
      <c r="FN1983">
        <v>0.25</v>
      </c>
      <c r="FO1983" t="s">
        <v>424</v>
      </c>
      <c r="FP1983" t="s">
        <v>454</v>
      </c>
      <c r="FR1983">
        <v>12</v>
      </c>
      <c r="FS1983">
        <v>7405467</v>
      </c>
      <c r="FT1983" t="s">
        <v>19233</v>
      </c>
    </row>
    <row r="1984" spans="1:260" x14ac:dyDescent="0.25">
      <c r="A1984">
        <v>16486991</v>
      </c>
      <c r="B1984">
        <v>1983</v>
      </c>
      <c r="C1984" t="s">
        <v>393</v>
      </c>
      <c r="D1984" t="s">
        <v>394</v>
      </c>
      <c r="F1984" t="str">
        <f>"00-00-30-044B-0091-0020"</f>
        <v>00-00-30-044B-0091-0020</v>
      </c>
      <c r="H1984" t="str">
        <f>"FRENCH DEAN D"</f>
        <v>FRENCH DEAN D</v>
      </c>
      <c r="I1984" t="str">
        <f>"903 AMELIA DR"</f>
        <v>903 AMELIA DR</v>
      </c>
      <c r="J1984" t="str">
        <f>"FERNANDINA BEACH FL 32034"</f>
        <v>FERNANDINA BEACH FL 32034</v>
      </c>
      <c r="K1984" t="str">
        <f>"2634 MIDWAY RD"</f>
        <v>2634 MIDWAY RD</v>
      </c>
      <c r="L1984" t="str">
        <f t="shared" si="746"/>
        <v>FERNANDINA BEACH FL 32034</v>
      </c>
      <c r="M1984" t="str">
        <f>"5-2N-28 S-2 PT OF LOTS 91 &amp; 92 IN OR 975/1185 OCEAN BREEZE FARMS PB 2/19"</f>
        <v>5-2N-28 S-2 PT OF LOTS 91 &amp; 92 IN OR 975/1185 OCEAN BREEZE FARMS PB 2/19</v>
      </c>
      <c r="N1984" t="str">
        <f>""</f>
        <v/>
      </c>
      <c r="O1984" t="str">
        <f>"2724"</f>
        <v>2724</v>
      </c>
      <c r="P1984" t="str">
        <f t="shared" si="724"/>
        <v>2017</v>
      </c>
      <c r="Q1984" t="str">
        <f>""</f>
        <v/>
      </c>
      <c r="R1984" t="str">
        <f t="shared" si="739"/>
        <v>N</v>
      </c>
      <c r="S1984" t="str">
        <f>""</f>
        <v/>
      </c>
      <c r="T1984" t="str">
        <f>"1226.00"</f>
        <v>1226.00</v>
      </c>
      <c r="U1984" t="str">
        <f>"76489.00"</f>
        <v>76489.00</v>
      </c>
      <c r="V1984" t="str">
        <f>"76489.00"</f>
        <v>76489.00</v>
      </c>
      <c r="W1984" t="str">
        <f t="shared" si="725"/>
        <v>2017</v>
      </c>
      <c r="X1984" t="str">
        <f>"21.50"</f>
        <v>21.50</v>
      </c>
      <c r="Y1984" t="str">
        <f>"1294.78"</f>
        <v>1294.78</v>
      </c>
      <c r="Z1984" t="str">
        <f>""</f>
        <v/>
      </c>
      <c r="AA1984" t="str">
        <f>"83884.00"</f>
        <v>83884.00</v>
      </c>
      <c r="AB1984" t="str">
        <f t="shared" si="747"/>
        <v>Residential</v>
      </c>
      <c r="AC1984" t="str">
        <f t="shared" si="735"/>
        <v>0</v>
      </c>
      <c r="AD1984" t="str">
        <f>"4"</f>
        <v>4</v>
      </c>
      <c r="AE1984" t="str">
        <f>"WOOD (INCLUDE STEEL STUDS)"</f>
        <v>WOOD (INCLUDE STEEL STUDS)</v>
      </c>
      <c r="AF1984" t="str">
        <f>"001"</f>
        <v>001</v>
      </c>
      <c r="AG1984" t="str">
        <f t="shared" si="748"/>
        <v>FL</v>
      </c>
      <c r="AH1984" t="str">
        <f>"16500.00"</f>
        <v>16500.00</v>
      </c>
      <c r="AI1984" t="str">
        <f>"45000.00"</f>
        <v>45000.00</v>
      </c>
      <c r="AJ1984" t="str">
        <f>"C55-000-585-2308-5"</f>
        <v>C55-000-585-2308-5</v>
      </c>
      <c r="AK1984" t="str">
        <f>"40204"</f>
        <v>40204</v>
      </c>
      <c r="AL1984">
        <v>7</v>
      </c>
      <c r="AM1984">
        <v>2263</v>
      </c>
      <c r="AN1984">
        <v>1357.92</v>
      </c>
      <c r="AQ1984" t="s">
        <v>19234</v>
      </c>
      <c r="AR1984" t="s">
        <v>19234</v>
      </c>
      <c r="AS1984" t="s">
        <v>19234</v>
      </c>
      <c r="AU1984" t="s">
        <v>396</v>
      </c>
      <c r="AV1984">
        <v>2017</v>
      </c>
      <c r="AW1984" t="str">
        <f>"00-00-30-044B-0091-0020 "</f>
        <v xml:space="preserve">00-00-30-044B-0091-0020 </v>
      </c>
      <c r="AX1984">
        <v>2634</v>
      </c>
      <c r="AZ1984" t="s">
        <v>19235</v>
      </c>
      <c r="BA1984" t="s">
        <v>496</v>
      </c>
      <c r="BD1984" t="s">
        <v>11749</v>
      </c>
      <c r="BE1984" t="s">
        <v>393</v>
      </c>
      <c r="BF1984">
        <v>32034</v>
      </c>
      <c r="BG1984" t="s">
        <v>19236</v>
      </c>
      <c r="BH1984" t="s">
        <v>11751</v>
      </c>
      <c r="BI1984">
        <v>-81.463598858802598</v>
      </c>
      <c r="BJ1984">
        <v>30.631112283270198</v>
      </c>
      <c r="BK1984" t="s">
        <v>19237</v>
      </c>
      <c r="BM1984" t="s">
        <v>19238</v>
      </c>
      <c r="BN1984" t="s">
        <v>3983</v>
      </c>
      <c r="BO1984">
        <v>32034</v>
      </c>
      <c r="BP1984" t="s">
        <v>404</v>
      </c>
      <c r="BQ1984">
        <v>100</v>
      </c>
      <c r="BR1984" t="s">
        <v>514</v>
      </c>
      <c r="BS1984">
        <v>1001</v>
      </c>
      <c r="BT1984" t="s">
        <v>515</v>
      </c>
      <c r="BU1984">
        <v>1000</v>
      </c>
      <c r="BV1984">
        <v>1650</v>
      </c>
      <c r="BW1984">
        <v>16500</v>
      </c>
      <c r="BX1984" t="s">
        <v>407</v>
      </c>
      <c r="BY1984" t="s">
        <v>7351</v>
      </c>
      <c r="BZ1984">
        <v>4</v>
      </c>
      <c r="CA1984">
        <v>1950</v>
      </c>
      <c r="CB1984">
        <v>1</v>
      </c>
      <c r="CC1984">
        <v>1</v>
      </c>
      <c r="CD1984">
        <v>2017</v>
      </c>
      <c r="CE1984">
        <v>45000</v>
      </c>
      <c r="CF1984">
        <v>38884</v>
      </c>
      <c r="CG1984">
        <v>83884</v>
      </c>
      <c r="CH1984">
        <v>2017</v>
      </c>
      <c r="CI1984">
        <v>45000</v>
      </c>
      <c r="CJ1984">
        <v>38884</v>
      </c>
      <c r="CK1984">
        <v>83884</v>
      </c>
      <c r="CL1984">
        <v>2017</v>
      </c>
      <c r="CM1984">
        <v>1226</v>
      </c>
      <c r="CN1984" s="1">
        <v>36964</v>
      </c>
      <c r="CO1984">
        <v>49800</v>
      </c>
      <c r="CV1984">
        <v>47250</v>
      </c>
      <c r="CZ1984" s="1">
        <v>36964</v>
      </c>
      <c r="DA1984">
        <v>0</v>
      </c>
      <c r="DD1984" t="s">
        <v>11749</v>
      </c>
      <c r="DG1984">
        <v>5</v>
      </c>
      <c r="DJ1984" t="s">
        <v>19204</v>
      </c>
      <c r="DL1984">
        <v>50202</v>
      </c>
      <c r="DM1984" t="s">
        <v>18842</v>
      </c>
      <c r="DO1984" t="s">
        <v>19239</v>
      </c>
      <c r="DP1984">
        <v>0</v>
      </c>
      <c r="DQ1984">
        <v>1</v>
      </c>
      <c r="DR1984" t="s">
        <v>1479</v>
      </c>
      <c r="DS1984" t="b">
        <v>1</v>
      </c>
      <c r="DT1984" t="s">
        <v>470</v>
      </c>
      <c r="DU1984" t="s">
        <v>10249</v>
      </c>
      <c r="DV1984" t="s">
        <v>472</v>
      </c>
      <c r="DX1984">
        <v>-9999</v>
      </c>
      <c r="DZ1984" t="s">
        <v>447</v>
      </c>
      <c r="EA1984" t="s">
        <v>448</v>
      </c>
      <c r="EB1984" t="s">
        <v>15609</v>
      </c>
      <c r="EC1984">
        <v>20101217</v>
      </c>
      <c r="ED1984" t="s">
        <v>10251</v>
      </c>
      <c r="EE1984">
        <v>5</v>
      </c>
      <c r="EF1984">
        <v>589.6</v>
      </c>
      <c r="EG1984">
        <v>0</v>
      </c>
      <c r="EH1984" t="s">
        <v>451</v>
      </c>
      <c r="EI1984">
        <v>20140731</v>
      </c>
      <c r="EJ1984">
        <v>9</v>
      </c>
      <c r="EK1984">
        <v>0</v>
      </c>
      <c r="EP1984" t="s">
        <v>421</v>
      </c>
      <c r="EQ1984" t="s">
        <v>452</v>
      </c>
      <c r="ER1984">
        <v>0</v>
      </c>
      <c r="ES1984">
        <v>9</v>
      </c>
      <c r="ET1984">
        <v>0</v>
      </c>
      <c r="EU1984">
        <v>0</v>
      </c>
      <c r="EV1984">
        <v>0</v>
      </c>
      <c r="EW1984" s="2">
        <v>43222</v>
      </c>
      <c r="EX1984" s="1">
        <v>42151</v>
      </c>
      <c r="EY1984">
        <v>2014</v>
      </c>
      <c r="EZ1984">
        <v>1013.65</v>
      </c>
      <c r="FA1984" t="s">
        <v>19240</v>
      </c>
      <c r="FB1984">
        <v>0.25</v>
      </c>
      <c r="FC1984" t="s">
        <v>424</v>
      </c>
      <c r="FD1984" t="s">
        <v>425</v>
      </c>
      <c r="FE1984" s="1">
        <v>42313</v>
      </c>
      <c r="FF1984">
        <v>6</v>
      </c>
      <c r="FG1984">
        <v>4975594</v>
      </c>
      <c r="FH1984" t="s">
        <v>457</v>
      </c>
      <c r="FI1984" t="s">
        <v>458</v>
      </c>
      <c r="FJ1984" s="1">
        <v>42151</v>
      </c>
      <c r="FK1984">
        <v>2014</v>
      </c>
      <c r="FL1984">
        <v>1013.65</v>
      </c>
      <c r="FM1984" t="s">
        <v>19240</v>
      </c>
      <c r="FN1984">
        <v>0.25</v>
      </c>
      <c r="FO1984" t="s">
        <v>424</v>
      </c>
      <c r="FP1984" t="s">
        <v>425</v>
      </c>
      <c r="FR1984">
        <v>22</v>
      </c>
      <c r="FS1984">
        <v>6618928</v>
      </c>
      <c r="FT1984" t="s">
        <v>19241</v>
      </c>
      <c r="FU1984" t="s">
        <v>458</v>
      </c>
      <c r="FV1984" s="1">
        <v>41787</v>
      </c>
      <c r="FW1984">
        <v>2013</v>
      </c>
      <c r="FX1984">
        <v>918.9</v>
      </c>
      <c r="FY1984" t="s">
        <v>19242</v>
      </c>
      <c r="FZ1984">
        <v>0.25</v>
      </c>
      <c r="GA1984" t="s">
        <v>424</v>
      </c>
      <c r="GB1984" t="s">
        <v>425</v>
      </c>
      <c r="GC1984" s="1">
        <v>42313</v>
      </c>
      <c r="GD1984">
        <v>18</v>
      </c>
      <c r="GE1984">
        <v>10125</v>
      </c>
      <c r="GF1984" t="s">
        <v>440</v>
      </c>
      <c r="GG1984" t="s">
        <v>458</v>
      </c>
      <c r="GH1984" s="1">
        <v>41423</v>
      </c>
      <c r="GI1984">
        <v>2012</v>
      </c>
      <c r="GJ1984">
        <v>944.85</v>
      </c>
      <c r="GK1984" t="s">
        <v>19243</v>
      </c>
      <c r="GL1984">
        <v>0.25</v>
      </c>
      <c r="GM1984" t="s">
        <v>424</v>
      </c>
      <c r="GN1984" t="s">
        <v>425</v>
      </c>
      <c r="GP1984">
        <v>22</v>
      </c>
      <c r="GQ1984">
        <v>11303</v>
      </c>
      <c r="GR1984" t="s">
        <v>918</v>
      </c>
      <c r="GT1984" s="1">
        <v>41423</v>
      </c>
      <c r="GU1984">
        <v>2012</v>
      </c>
      <c r="GV1984">
        <v>944.85</v>
      </c>
      <c r="GW1984" t="s">
        <v>19243</v>
      </c>
      <c r="GX1984">
        <v>0.25</v>
      </c>
      <c r="GY1984" t="s">
        <v>424</v>
      </c>
      <c r="GZ1984" t="s">
        <v>425</v>
      </c>
      <c r="HA1984" s="1">
        <v>42048</v>
      </c>
      <c r="HB1984">
        <v>21</v>
      </c>
      <c r="HC1984">
        <v>4844956</v>
      </c>
      <c r="HD1984" t="s">
        <v>919</v>
      </c>
      <c r="HF1984" s="1">
        <v>41052</v>
      </c>
      <c r="HG1984">
        <v>2011</v>
      </c>
      <c r="HH1984">
        <v>1053.43</v>
      </c>
      <c r="HI1984" t="s">
        <v>19244</v>
      </c>
      <c r="HJ1984">
        <v>5.75</v>
      </c>
      <c r="HK1984" t="s">
        <v>424</v>
      </c>
      <c r="HL1984" t="s">
        <v>425</v>
      </c>
      <c r="HN1984">
        <v>22</v>
      </c>
      <c r="HO1984">
        <v>1130</v>
      </c>
      <c r="HP1984" t="s">
        <v>6717</v>
      </c>
      <c r="HQ1984" t="s">
        <v>458</v>
      </c>
      <c r="HR1984" s="1">
        <v>41052</v>
      </c>
      <c r="HS1984">
        <v>2011</v>
      </c>
      <c r="HT1984">
        <v>1053.43</v>
      </c>
      <c r="HU1984" t="s">
        <v>19244</v>
      </c>
      <c r="HV1984">
        <v>5.75</v>
      </c>
      <c r="HW1984" t="s">
        <v>424</v>
      </c>
      <c r="HX1984" t="s">
        <v>425</v>
      </c>
      <c r="HZ1984">
        <v>22</v>
      </c>
      <c r="IA1984">
        <v>10579</v>
      </c>
      <c r="IB1984" t="s">
        <v>488</v>
      </c>
      <c r="IC1984" t="s">
        <v>458</v>
      </c>
      <c r="ID1984" s="1">
        <v>41052</v>
      </c>
      <c r="IE1984">
        <v>2011</v>
      </c>
      <c r="IF1984">
        <v>1053.43</v>
      </c>
      <c r="IG1984" t="s">
        <v>19244</v>
      </c>
      <c r="IH1984">
        <v>5.75</v>
      </c>
      <c r="II1984" t="s">
        <v>424</v>
      </c>
      <c r="IJ1984" t="s">
        <v>425</v>
      </c>
      <c r="IL1984">
        <v>22</v>
      </c>
      <c r="IM1984">
        <v>1625515</v>
      </c>
      <c r="IN1984" t="s">
        <v>487</v>
      </c>
      <c r="IO1984" t="s">
        <v>458</v>
      </c>
      <c r="IP1984" s="1">
        <v>40688</v>
      </c>
      <c r="IQ1984">
        <v>2010</v>
      </c>
      <c r="IR1984">
        <v>1201.95</v>
      </c>
      <c r="IS1984" t="s">
        <v>19245</v>
      </c>
      <c r="IT1984">
        <v>4</v>
      </c>
      <c r="IU1984" t="s">
        <v>424</v>
      </c>
      <c r="IV1984" t="s">
        <v>425</v>
      </c>
      <c r="IW1984" s="1">
        <v>41320</v>
      </c>
      <c r="IX1984">
        <v>21</v>
      </c>
      <c r="IY1984">
        <v>11296</v>
      </c>
      <c r="IZ1984" t="s">
        <v>4008</v>
      </c>
    </row>
    <row r="1985" spans="1:272" x14ac:dyDescent="0.25">
      <c r="A1985">
        <v>16486992</v>
      </c>
      <c r="B1985">
        <v>1984</v>
      </c>
      <c r="C1985" t="s">
        <v>393</v>
      </c>
      <c r="D1985" t="s">
        <v>394</v>
      </c>
      <c r="F1985" t="str">
        <f>"00-00-30-044B-0093-0000"</f>
        <v>00-00-30-044B-0093-0000</v>
      </c>
      <c r="H1985" t="str">
        <f>"OCONNER JAMES PRATT &amp; OCONNER JAMES MITCHELL &amp; MOONEY TRACY OCONNER"</f>
        <v>OCONNER JAMES PRATT &amp; OCONNER JAMES MITCHELL &amp; MOONEY TRACY OCONNER</v>
      </c>
      <c r="I1985" t="str">
        <f>""</f>
        <v/>
      </c>
      <c r="J1985" t="str">
        <f>"FERNANDINA BEACH FL 32035"</f>
        <v>FERNANDINA BEACH FL 32035</v>
      </c>
      <c r="K1985" t="str">
        <f>"2619 MIDWAY RD"</f>
        <v>2619 MIDWAY RD</v>
      </c>
      <c r="L1985" t="str">
        <f t="shared" si="746"/>
        <v>FERNANDINA BEACH FL 32034</v>
      </c>
      <c r="M1985" t="str">
        <f>"E 1/2 OF LOT 93 IN OR 1488/1661 EX R/W OR 119/230 &amp; 93-1 ESMT OR 1711/646 OCEAN BREEZE FARMS PB 2/19"</f>
        <v>E 1/2 OF LOT 93 IN OR 1488/1661 EX R/W OR 119/230 &amp; 93-1 ESMT OR 1711/646 OCEAN BREEZE FARMS PB 2/19</v>
      </c>
      <c r="N1985" t="str">
        <f>""</f>
        <v/>
      </c>
      <c r="O1985" t="str">
        <f>"2732"</f>
        <v>2732</v>
      </c>
      <c r="P1985" t="str">
        <f t="shared" si="724"/>
        <v>2017</v>
      </c>
      <c r="Q1985" t="str">
        <f>""</f>
        <v/>
      </c>
      <c r="R1985" t="str">
        <f t="shared" si="739"/>
        <v>N</v>
      </c>
      <c r="S1985" t="str">
        <f>""</f>
        <v/>
      </c>
      <c r="T1985" t="str">
        <f>"7073.90"</f>
        <v>7073.90</v>
      </c>
      <c r="U1985" t="str">
        <f>"459631.00"</f>
        <v>459631.00</v>
      </c>
      <c r="V1985" t="str">
        <f>"459631.00"</f>
        <v>459631.00</v>
      </c>
      <c r="W1985" t="str">
        <f t="shared" si="725"/>
        <v>2017</v>
      </c>
      <c r="X1985" t="str">
        <f>"21.17"</f>
        <v>21.17</v>
      </c>
      <c r="Y1985" t="str">
        <f>"7318.12"</f>
        <v>7318.12</v>
      </c>
      <c r="Z1985" t="str">
        <f>""</f>
        <v/>
      </c>
      <c r="AA1985" t="str">
        <f>"459631.00"</f>
        <v>459631.00</v>
      </c>
      <c r="AB1985" t="str">
        <f>"Industrial"</f>
        <v>Industrial</v>
      </c>
      <c r="AC1985" t="str">
        <f t="shared" si="735"/>
        <v>0</v>
      </c>
      <c r="AD1985" t="str">
        <f>"5"</f>
        <v>5</v>
      </c>
      <c r="AE1985" t="str">
        <f>"STEEL FRAME/INCOMBUSTIBLE WALLS/ROOF"</f>
        <v>STEEL FRAME/INCOMBUSTIBLE WALLS/ROOF</v>
      </c>
      <c r="AF1985" t="str">
        <f>"048"</f>
        <v>048</v>
      </c>
      <c r="AG1985" t="str">
        <f t="shared" si="748"/>
        <v>FL</v>
      </c>
      <c r="AH1985" t="str">
        <f>"67463.00"</f>
        <v>67463.00</v>
      </c>
      <c r="AI1985" t="str">
        <f>"404778.00"</f>
        <v>404778.00</v>
      </c>
      <c r="AJ1985" t="str">
        <f>"C55-000-585-2315-0"</f>
        <v>C55-000-585-2315-0</v>
      </c>
      <c r="AK1985" t="str">
        <f>"40211"</f>
        <v>40211</v>
      </c>
      <c r="AL1985">
        <v>7</v>
      </c>
      <c r="AM1985">
        <v>2264</v>
      </c>
      <c r="AN1985">
        <v>7682.43</v>
      </c>
      <c r="AQ1985" t="s">
        <v>19246</v>
      </c>
      <c r="AR1985" t="s">
        <v>19246</v>
      </c>
      <c r="AS1985" t="s">
        <v>19246</v>
      </c>
      <c r="AU1985" t="s">
        <v>396</v>
      </c>
      <c r="AV1985">
        <v>2017</v>
      </c>
      <c r="AW1985" t="str">
        <f>"00-00-30-044B-0093-0000 "</f>
        <v xml:space="preserve">00-00-30-044B-0093-0000 </v>
      </c>
      <c r="AX1985">
        <v>2619</v>
      </c>
      <c r="AZ1985" t="s">
        <v>19235</v>
      </c>
      <c r="BA1985" t="s">
        <v>496</v>
      </c>
      <c r="BD1985" t="s">
        <v>11749</v>
      </c>
      <c r="BE1985" t="s">
        <v>393</v>
      </c>
      <c r="BF1985">
        <v>32034</v>
      </c>
      <c r="BG1985" t="s">
        <v>19247</v>
      </c>
      <c r="BH1985" t="s">
        <v>11751</v>
      </c>
      <c r="BI1985">
        <v>-81.464214701296697</v>
      </c>
      <c r="BJ1985">
        <v>30.631803983664799</v>
      </c>
      <c r="BK1985" t="s">
        <v>19248</v>
      </c>
      <c r="BL1985" t="s">
        <v>19249</v>
      </c>
      <c r="BM1985" t="s">
        <v>19250</v>
      </c>
      <c r="BN1985" t="s">
        <v>3983</v>
      </c>
      <c r="BO1985">
        <v>32035</v>
      </c>
      <c r="BP1985" t="s">
        <v>404</v>
      </c>
      <c r="BQ1985">
        <v>4800</v>
      </c>
      <c r="BR1985" t="s">
        <v>4463</v>
      </c>
      <c r="BS1985">
        <v>6002</v>
      </c>
      <c r="BT1985" t="s">
        <v>4464</v>
      </c>
      <c r="BW1985">
        <v>67466</v>
      </c>
      <c r="BX1985" t="s">
        <v>407</v>
      </c>
      <c r="BY1985" t="s">
        <v>2221</v>
      </c>
      <c r="BZ1985">
        <v>5</v>
      </c>
      <c r="CA1985">
        <v>1989</v>
      </c>
      <c r="CB1985">
        <v>1</v>
      </c>
      <c r="CD1985">
        <v>2017</v>
      </c>
      <c r="CE1985">
        <v>404778</v>
      </c>
      <c r="CF1985">
        <v>54853</v>
      </c>
      <c r="CG1985">
        <v>459631</v>
      </c>
      <c r="CH1985">
        <v>2017</v>
      </c>
      <c r="CI1985">
        <v>404778</v>
      </c>
      <c r="CJ1985">
        <v>54853</v>
      </c>
      <c r="CK1985">
        <v>459631</v>
      </c>
      <c r="CL1985">
        <v>2017</v>
      </c>
      <c r="CM1985">
        <v>7073.9</v>
      </c>
      <c r="CN1985" s="1">
        <v>39170</v>
      </c>
      <c r="CZ1985" s="1">
        <v>39170</v>
      </c>
      <c r="DD1985" t="s">
        <v>11749</v>
      </c>
      <c r="DF1985">
        <v>93</v>
      </c>
      <c r="DG1985">
        <v>5</v>
      </c>
      <c r="DL1985">
        <v>50202</v>
      </c>
      <c r="DM1985" t="s">
        <v>18842</v>
      </c>
      <c r="DO1985" t="s">
        <v>19251</v>
      </c>
      <c r="DP1985">
        <v>0</v>
      </c>
      <c r="DQ1985">
        <v>1</v>
      </c>
      <c r="DR1985" t="s">
        <v>1479</v>
      </c>
      <c r="DS1985" t="b">
        <v>1</v>
      </c>
      <c r="DT1985" t="s">
        <v>470</v>
      </c>
      <c r="DU1985" t="s">
        <v>10249</v>
      </c>
      <c r="DV1985" t="s">
        <v>472</v>
      </c>
      <c r="DX1985">
        <v>-9999</v>
      </c>
      <c r="DZ1985" t="s">
        <v>447</v>
      </c>
      <c r="EA1985" t="s">
        <v>448</v>
      </c>
      <c r="EB1985" t="s">
        <v>15609</v>
      </c>
      <c r="EC1985">
        <v>20101217</v>
      </c>
      <c r="ED1985" t="s">
        <v>10251</v>
      </c>
      <c r="EE1985">
        <v>5</v>
      </c>
      <c r="EF1985">
        <v>286.7</v>
      </c>
      <c r="EG1985">
        <v>0</v>
      </c>
      <c r="EI1985">
        <v>20160407</v>
      </c>
      <c r="EJ1985">
        <v>0</v>
      </c>
      <c r="EK1985">
        <v>0</v>
      </c>
      <c r="EP1985" t="s">
        <v>421</v>
      </c>
      <c r="EQ1985" t="s">
        <v>452</v>
      </c>
      <c r="ER1985">
        <v>2</v>
      </c>
      <c r="ES1985">
        <v>8</v>
      </c>
      <c r="ET1985">
        <v>15630.28</v>
      </c>
      <c r="EU1985">
        <v>794.01</v>
      </c>
      <c r="EV1985">
        <v>16424.29</v>
      </c>
      <c r="EW1985" s="2">
        <v>43222</v>
      </c>
      <c r="EX1985" s="1">
        <v>42879</v>
      </c>
      <c r="EY1985">
        <v>2016</v>
      </c>
      <c r="EZ1985">
        <v>7815.14</v>
      </c>
      <c r="FA1985" t="s">
        <v>19252</v>
      </c>
      <c r="FB1985">
        <v>0.25</v>
      </c>
      <c r="FC1985" t="s">
        <v>424</v>
      </c>
      <c r="FD1985" t="s">
        <v>454</v>
      </c>
      <c r="FF1985">
        <v>12</v>
      </c>
      <c r="FG1985">
        <v>7336671</v>
      </c>
      <c r="FH1985" t="s">
        <v>437</v>
      </c>
      <c r="FJ1985" s="1">
        <v>42879</v>
      </c>
      <c r="FK1985">
        <v>2016</v>
      </c>
      <c r="FL1985">
        <v>7815.14</v>
      </c>
      <c r="FM1985" t="s">
        <v>19252</v>
      </c>
      <c r="FN1985">
        <v>0.25</v>
      </c>
      <c r="FO1985" t="s">
        <v>424</v>
      </c>
      <c r="FP1985" t="s">
        <v>454</v>
      </c>
      <c r="FR1985">
        <v>12</v>
      </c>
      <c r="FS1985">
        <v>6989327</v>
      </c>
      <c r="FT1985" t="s">
        <v>19253</v>
      </c>
      <c r="FV1985" s="1">
        <v>42515</v>
      </c>
      <c r="FW1985">
        <v>2015</v>
      </c>
      <c r="FX1985">
        <v>7968.79</v>
      </c>
      <c r="FY1985" t="s">
        <v>19254</v>
      </c>
      <c r="FZ1985">
        <v>0.25</v>
      </c>
      <c r="GA1985" t="s">
        <v>424</v>
      </c>
      <c r="GB1985" t="s">
        <v>425</v>
      </c>
      <c r="GC1985" s="1">
        <v>43158</v>
      </c>
      <c r="GD1985">
        <v>21</v>
      </c>
      <c r="GE1985">
        <v>7045074</v>
      </c>
      <c r="GF1985" t="s">
        <v>580</v>
      </c>
      <c r="GH1985" s="1">
        <v>42515</v>
      </c>
      <c r="GI1985">
        <v>2015</v>
      </c>
      <c r="GJ1985">
        <v>7968.79</v>
      </c>
      <c r="GK1985" t="s">
        <v>19254</v>
      </c>
      <c r="GL1985">
        <v>0.25</v>
      </c>
      <c r="GM1985" t="s">
        <v>424</v>
      </c>
      <c r="GN1985" t="s">
        <v>425</v>
      </c>
      <c r="GP1985">
        <v>22</v>
      </c>
      <c r="GQ1985">
        <v>6568473</v>
      </c>
      <c r="GR1985" t="s">
        <v>19255</v>
      </c>
      <c r="GT1985" s="1">
        <v>41787</v>
      </c>
      <c r="GU1985">
        <v>2013</v>
      </c>
      <c r="GV1985">
        <v>8709.1299999999992</v>
      </c>
      <c r="GW1985" t="s">
        <v>19256</v>
      </c>
      <c r="GX1985">
        <v>0.25</v>
      </c>
      <c r="GY1985" t="s">
        <v>424</v>
      </c>
      <c r="GZ1985" t="s">
        <v>425</v>
      </c>
      <c r="HA1985" s="1">
        <v>42115</v>
      </c>
      <c r="HB1985">
        <v>11</v>
      </c>
      <c r="HC1985">
        <v>2101382</v>
      </c>
      <c r="HD1985" t="s">
        <v>993</v>
      </c>
      <c r="HE1985" t="s">
        <v>458</v>
      </c>
      <c r="HF1985" s="1">
        <v>41423</v>
      </c>
      <c r="HG1985">
        <v>2012</v>
      </c>
      <c r="HH1985">
        <v>8658.2000000000007</v>
      </c>
      <c r="HI1985" t="s">
        <v>19257</v>
      </c>
      <c r="HJ1985">
        <v>0.25</v>
      </c>
      <c r="HK1985" t="s">
        <v>424</v>
      </c>
      <c r="HL1985" t="s">
        <v>425</v>
      </c>
      <c r="HN1985">
        <v>22</v>
      </c>
      <c r="HO1985">
        <v>15259</v>
      </c>
      <c r="HP1985" t="s">
        <v>891</v>
      </c>
      <c r="HQ1985" t="s">
        <v>458</v>
      </c>
      <c r="HR1985" s="1">
        <v>41052</v>
      </c>
      <c r="HS1985">
        <v>2011</v>
      </c>
      <c r="HT1985">
        <v>9044.6200000000008</v>
      </c>
      <c r="HU1985" t="s">
        <v>19258</v>
      </c>
      <c r="HV1985">
        <v>4</v>
      </c>
      <c r="HW1985" t="s">
        <v>424</v>
      </c>
      <c r="HX1985" t="s">
        <v>425</v>
      </c>
      <c r="HY1985" s="1">
        <v>41697</v>
      </c>
      <c r="HZ1985">
        <v>21</v>
      </c>
      <c r="IA1985">
        <v>13104</v>
      </c>
      <c r="IB1985" t="s">
        <v>888</v>
      </c>
      <c r="ID1985" s="1">
        <v>41052</v>
      </c>
      <c r="IE1985">
        <v>2011</v>
      </c>
      <c r="IF1985">
        <v>9044.6200000000008</v>
      </c>
      <c r="IG1985" t="s">
        <v>19258</v>
      </c>
      <c r="IH1985">
        <v>4</v>
      </c>
      <c r="II1985" t="s">
        <v>424</v>
      </c>
      <c r="IJ1985" t="s">
        <v>425</v>
      </c>
      <c r="IL1985">
        <v>22</v>
      </c>
      <c r="IM1985">
        <v>13751</v>
      </c>
      <c r="IN1985" t="s">
        <v>19259</v>
      </c>
      <c r="IP1985" s="1">
        <v>40688</v>
      </c>
      <c r="IQ1985">
        <v>2010</v>
      </c>
      <c r="IR1985">
        <v>10021.73</v>
      </c>
      <c r="IS1985" t="s">
        <v>19260</v>
      </c>
      <c r="IT1985">
        <v>5</v>
      </c>
      <c r="IU1985" t="s">
        <v>424</v>
      </c>
      <c r="IV1985" t="s">
        <v>425</v>
      </c>
      <c r="IW1985" s="1">
        <v>41590</v>
      </c>
      <c r="IX1985">
        <v>30</v>
      </c>
      <c r="IY1985">
        <v>1122</v>
      </c>
      <c r="IZ1985" t="s">
        <v>7609</v>
      </c>
      <c r="JB1985" s="1">
        <v>40688</v>
      </c>
      <c r="JC1985">
        <v>2010</v>
      </c>
      <c r="JD1985">
        <v>10021.73</v>
      </c>
      <c r="JE1985" t="s">
        <v>19260</v>
      </c>
      <c r="JF1985">
        <v>5</v>
      </c>
      <c r="JG1985" t="s">
        <v>424</v>
      </c>
      <c r="JH1985" t="s">
        <v>425</v>
      </c>
      <c r="JJ1985">
        <v>22</v>
      </c>
      <c r="JK1985">
        <v>10579</v>
      </c>
      <c r="JL1985" t="s">
        <v>488</v>
      </c>
    </row>
    <row r="1986" spans="1:272" x14ac:dyDescent="0.25">
      <c r="A1986">
        <v>16486993</v>
      </c>
      <c r="B1986">
        <v>1985</v>
      </c>
      <c r="C1986" t="s">
        <v>393</v>
      </c>
      <c r="D1986" t="s">
        <v>394</v>
      </c>
      <c r="F1986" t="str">
        <f>"00-00-30-044D-0032-0000"</f>
        <v>00-00-30-044D-0032-0000</v>
      </c>
      <c r="H1986" t="str">
        <f>"D S WARE HOMES LLC"</f>
        <v>D S WARE HOMES LLC</v>
      </c>
      <c r="I1986" t="str">
        <f>"6101 GAZEBO PARK PL N STE 105"</f>
        <v>6101 GAZEBO PARK PL N STE 105</v>
      </c>
      <c r="J1986" t="str">
        <f>"JACKSONVILLE FL 32257"</f>
        <v>JACKSONVILLE FL 32257</v>
      </c>
      <c r="K1986" t="str">
        <f>"2840 SEA GRAPE NORTH DR"</f>
        <v>2840 SEA GRAPE NORTH DR</v>
      </c>
      <c r="L1986" t="str">
        <f t="shared" si="746"/>
        <v>FERNANDINA BEACH FL 32034</v>
      </c>
      <c r="M1986" t="str">
        <f>"LOT 32 IN OR 2025/153 DUNES OF AMELIA PHASE 1 PBK 8/88"</f>
        <v>LOT 32 IN OR 2025/153 DUNES OF AMELIA PHASE 1 PBK 8/88</v>
      </c>
      <c r="N1986" t="str">
        <f>""</f>
        <v/>
      </c>
      <c r="O1986" t="str">
        <f>"2787"</f>
        <v>2787</v>
      </c>
      <c r="P1986" t="str">
        <f t="shared" ref="P1986:P2049" si="749">"2017"</f>
        <v>2017</v>
      </c>
      <c r="Q1986" t="str">
        <f>""</f>
        <v/>
      </c>
      <c r="R1986" t="str">
        <f t="shared" si="739"/>
        <v>N</v>
      </c>
      <c r="S1986" t="str">
        <f>""</f>
        <v/>
      </c>
      <c r="T1986" t="str">
        <f>"1494.81"</f>
        <v>1494.81</v>
      </c>
      <c r="U1986" t="str">
        <f>"75000.00"</f>
        <v>75000.00</v>
      </c>
      <c r="V1986" t="str">
        <f>"75000.00"</f>
        <v>75000.00</v>
      </c>
      <c r="W1986" t="str">
        <f t="shared" ref="W1986:W2049" si="750">"2017"</f>
        <v>2017</v>
      </c>
      <c r="X1986" t="str">
        <f>""</f>
        <v/>
      </c>
      <c r="Y1986" t="str">
        <f>"1571.65"</f>
        <v>1571.65</v>
      </c>
      <c r="Z1986" t="str">
        <f>""</f>
        <v/>
      </c>
      <c r="AA1986" t="str">
        <f>"75000.00"</f>
        <v>75000.00</v>
      </c>
      <c r="AB1986" t="str">
        <f t="shared" ref="AB1986:AB1992" si="751">"Residential"</f>
        <v>Residential</v>
      </c>
      <c r="AC1986" t="str">
        <f t="shared" si="735"/>
        <v>0</v>
      </c>
      <c r="AD1986" t="str">
        <f>""</f>
        <v/>
      </c>
      <c r="AE1986" t="str">
        <f>""</f>
        <v/>
      </c>
      <c r="AF1986" t="str">
        <f>"000"</f>
        <v>000</v>
      </c>
      <c r="AG1986" t="str">
        <f t="shared" si="748"/>
        <v>FL</v>
      </c>
      <c r="AH1986" t="str">
        <f>"6600.00"</f>
        <v>6600.00</v>
      </c>
      <c r="AI1986" t="str">
        <f>"75000.00"</f>
        <v>75000.00</v>
      </c>
      <c r="AJ1986" t="str">
        <f>"C55-001-066-3583-2"</f>
        <v>C55-001-066-3583-2</v>
      </c>
      <c r="AK1986" t="str">
        <f>"40263"</f>
        <v>40263</v>
      </c>
      <c r="AL1986">
        <v>7</v>
      </c>
      <c r="AM1986">
        <v>2266</v>
      </c>
      <c r="AN1986">
        <v>1648.63</v>
      </c>
      <c r="AQ1986" t="s">
        <v>19261</v>
      </c>
      <c r="AR1986" t="s">
        <v>19261</v>
      </c>
      <c r="AS1986" t="s">
        <v>19261</v>
      </c>
      <c r="AU1986" t="s">
        <v>396</v>
      </c>
      <c r="AV1986">
        <v>2017</v>
      </c>
      <c r="AW1986" t="str">
        <f>"00-00-30-044D-0032-0000 "</f>
        <v xml:space="preserve">00-00-30-044D-0032-0000 </v>
      </c>
      <c r="AX1986">
        <v>2840</v>
      </c>
      <c r="AZ1986" t="s">
        <v>19262</v>
      </c>
      <c r="BA1986" t="s">
        <v>669</v>
      </c>
      <c r="BD1986" t="s">
        <v>11749</v>
      </c>
      <c r="BE1986" t="s">
        <v>393</v>
      </c>
      <c r="BF1986">
        <v>32034</v>
      </c>
      <c r="BG1986" t="s">
        <v>19263</v>
      </c>
      <c r="BH1986" t="s">
        <v>11751</v>
      </c>
      <c r="BI1986">
        <v>-81.466400582399402</v>
      </c>
      <c r="BJ1986">
        <v>30.6272332115518</v>
      </c>
      <c r="BK1986" t="s">
        <v>19264</v>
      </c>
      <c r="BL1986" t="s">
        <v>19265</v>
      </c>
      <c r="BM1986" t="s">
        <v>19266</v>
      </c>
      <c r="BN1986" t="s">
        <v>3983</v>
      </c>
      <c r="BO1986">
        <v>32034</v>
      </c>
      <c r="BP1986" t="s">
        <v>404</v>
      </c>
      <c r="BQ1986">
        <v>0</v>
      </c>
      <c r="BR1986" t="s">
        <v>491</v>
      </c>
      <c r="BS1986">
        <v>8001</v>
      </c>
      <c r="BT1986" t="s">
        <v>492</v>
      </c>
      <c r="BW1986">
        <v>6600</v>
      </c>
      <c r="BX1986" t="s">
        <v>407</v>
      </c>
      <c r="CD1986">
        <v>2017</v>
      </c>
      <c r="CE1986">
        <v>75000</v>
      </c>
      <c r="CG1986">
        <v>75000</v>
      </c>
      <c r="CH1986">
        <v>2017</v>
      </c>
      <c r="CI1986">
        <v>75000</v>
      </c>
      <c r="CK1986">
        <v>75000</v>
      </c>
      <c r="CL1986">
        <v>2017</v>
      </c>
      <c r="CM1986">
        <v>1494.81</v>
      </c>
      <c r="CN1986" s="1">
        <v>42394</v>
      </c>
      <c r="CO1986">
        <v>344000</v>
      </c>
      <c r="CV1986">
        <v>0</v>
      </c>
      <c r="CZ1986" s="1">
        <v>42394</v>
      </c>
      <c r="DA1986">
        <v>0</v>
      </c>
      <c r="DD1986" t="s">
        <v>11749</v>
      </c>
      <c r="DG1986">
        <v>5</v>
      </c>
      <c r="DL1986">
        <v>50101</v>
      </c>
      <c r="DM1986" t="s">
        <v>18842</v>
      </c>
      <c r="DO1986" t="s">
        <v>19267</v>
      </c>
      <c r="DP1986">
        <v>0</v>
      </c>
      <c r="DQ1986">
        <v>0</v>
      </c>
      <c r="DR1986" t="s">
        <v>411</v>
      </c>
    </row>
    <row r="1987" spans="1:272" x14ac:dyDescent="0.25">
      <c r="A1987">
        <v>16486994</v>
      </c>
      <c r="B1987">
        <v>1986</v>
      </c>
      <c r="C1987" t="s">
        <v>393</v>
      </c>
      <c r="D1987" t="s">
        <v>394</v>
      </c>
      <c r="F1987" t="str">
        <f>"00-00-30-046F-0024-0000"</f>
        <v>00-00-30-046F-0024-0000</v>
      </c>
      <c r="H1987" t="str">
        <f>"SINGLETON BRIAN"</f>
        <v>SINGLETON BRIAN</v>
      </c>
      <c r="I1987" t="str">
        <f>"1638 OCEAN FOREST DR"</f>
        <v>1638 OCEAN FOREST DR</v>
      </c>
      <c r="J1987" t="str">
        <f>"FERNANDINA BEACH FL 32034"</f>
        <v>FERNANDINA BEACH FL 32034</v>
      </c>
      <c r="K1987" t="str">
        <f>"1638 OCEAN FOREST DR"</f>
        <v>1638 OCEAN FOREST DR</v>
      </c>
      <c r="L1987" t="str">
        <f t="shared" ref="L1987:L2000" si="752">"FERNANDINA BEACH FL 32034"</f>
        <v>FERNANDINA BEACH FL 32034</v>
      </c>
      <c r="M1987" t="str">
        <f>"LOT 24 IN OR 1980/125 OCEAN FOREST PB 5/124"</f>
        <v>LOT 24 IN OR 1980/125 OCEAN FOREST PB 5/124</v>
      </c>
      <c r="N1987" t="str">
        <f>""</f>
        <v/>
      </c>
      <c r="O1987" t="str">
        <f>"2881"</f>
        <v>2881</v>
      </c>
      <c r="P1987" t="str">
        <f t="shared" si="749"/>
        <v>2017</v>
      </c>
      <c r="Q1987" t="str">
        <f>""</f>
        <v/>
      </c>
      <c r="R1987" t="str">
        <f>"Y"</f>
        <v>Y</v>
      </c>
      <c r="S1987" t="str">
        <f>""</f>
        <v/>
      </c>
      <c r="T1987" t="str">
        <f>"4543.72"</f>
        <v>4543.72</v>
      </c>
      <c r="U1987" t="str">
        <f>"334513.00"</f>
        <v>334513.00</v>
      </c>
      <c r="V1987" t="str">
        <f>"334513.00"</f>
        <v>334513.00</v>
      </c>
      <c r="W1987" t="str">
        <f t="shared" si="750"/>
        <v>2017</v>
      </c>
      <c r="X1987" t="str">
        <f>""</f>
        <v/>
      </c>
      <c r="Y1987" t="str">
        <f>"4712.03"</f>
        <v>4712.03</v>
      </c>
      <c r="Z1987" t="str">
        <f>"25000.00"</f>
        <v>25000.00</v>
      </c>
      <c r="AA1987" t="str">
        <f>"309513.00"</f>
        <v>309513.00</v>
      </c>
      <c r="AB1987" t="str">
        <f t="shared" si="751"/>
        <v>Residential</v>
      </c>
      <c r="AC1987" t="str">
        <f t="shared" si="735"/>
        <v>0</v>
      </c>
      <c r="AD1987" t="str">
        <f>"4"</f>
        <v>4</v>
      </c>
      <c r="AE1987" t="str">
        <f>"WOOD (INCLUDE STEEL STUDS)"</f>
        <v>WOOD (INCLUDE STEEL STUDS)</v>
      </c>
      <c r="AF1987" t="str">
        <f>"001"</f>
        <v>001</v>
      </c>
      <c r="AG1987" t="str">
        <f t="shared" si="748"/>
        <v>FL</v>
      </c>
      <c r="AH1987" t="str">
        <f>"-"</f>
        <v>-</v>
      </c>
      <c r="AI1987" t="str">
        <f>"95000.00"</f>
        <v>95000.00</v>
      </c>
      <c r="AJ1987" t="str">
        <f>"C55-000-585-2369-7"</f>
        <v>C55-000-585-2369-7</v>
      </c>
      <c r="AK1987" t="str">
        <f>"40388"</f>
        <v>40388</v>
      </c>
      <c r="AL1987">
        <v>7</v>
      </c>
      <c r="AM1987">
        <v>2268</v>
      </c>
      <c r="AN1987">
        <v>4946.03</v>
      </c>
      <c r="AQ1987" t="s">
        <v>19268</v>
      </c>
      <c r="AR1987" t="s">
        <v>19268</v>
      </c>
      <c r="AS1987" t="s">
        <v>19268</v>
      </c>
      <c r="AU1987" t="s">
        <v>396</v>
      </c>
      <c r="AV1987">
        <v>2017</v>
      </c>
      <c r="AW1987" t="str">
        <f>"00-00-30-046F-0024-0000 "</f>
        <v xml:space="preserve">00-00-30-046F-0024-0000 </v>
      </c>
      <c r="AX1987">
        <v>1638</v>
      </c>
      <c r="AZ1987" t="s">
        <v>19269</v>
      </c>
      <c r="BA1987" t="s">
        <v>669</v>
      </c>
      <c r="BD1987" t="s">
        <v>11749</v>
      </c>
      <c r="BE1987" t="s">
        <v>393</v>
      </c>
      <c r="BF1987">
        <v>32034</v>
      </c>
      <c r="BG1987" t="s">
        <v>19270</v>
      </c>
      <c r="BH1987" t="s">
        <v>11751</v>
      </c>
      <c r="BI1987">
        <v>-81.450641060358805</v>
      </c>
      <c r="BJ1987">
        <v>30.5882382682829</v>
      </c>
      <c r="BK1987" t="s">
        <v>19271</v>
      </c>
      <c r="BM1987" t="s">
        <v>19270</v>
      </c>
      <c r="BN1987" t="s">
        <v>3983</v>
      </c>
      <c r="BO1987">
        <v>32034</v>
      </c>
      <c r="BP1987" t="s">
        <v>416</v>
      </c>
      <c r="BQ1987">
        <v>100</v>
      </c>
      <c r="BR1987" t="s">
        <v>514</v>
      </c>
      <c r="BS1987">
        <v>1001</v>
      </c>
      <c r="BT1987" t="s">
        <v>515</v>
      </c>
      <c r="BW1987">
        <v>14550</v>
      </c>
      <c r="BX1987" t="s">
        <v>407</v>
      </c>
      <c r="BY1987" t="s">
        <v>2729</v>
      </c>
      <c r="BZ1987">
        <v>4</v>
      </c>
      <c r="CA1987">
        <v>1993</v>
      </c>
      <c r="CB1987">
        <v>1</v>
      </c>
      <c r="CC1987">
        <v>1</v>
      </c>
      <c r="CD1987">
        <v>2017</v>
      </c>
      <c r="CE1987">
        <v>95000</v>
      </c>
      <c r="CF1987">
        <v>239513</v>
      </c>
      <c r="CG1987">
        <v>334513</v>
      </c>
      <c r="CH1987">
        <v>2017</v>
      </c>
      <c r="CI1987">
        <v>95000</v>
      </c>
      <c r="CJ1987">
        <v>239513</v>
      </c>
      <c r="CK1987">
        <v>334513</v>
      </c>
      <c r="CL1987">
        <v>2017</v>
      </c>
      <c r="CM1987">
        <v>4543.72</v>
      </c>
      <c r="CN1987" s="1">
        <v>42142</v>
      </c>
      <c r="CO1987">
        <v>435000</v>
      </c>
      <c r="CV1987">
        <v>326250</v>
      </c>
      <c r="CX1987" t="s">
        <v>693</v>
      </c>
      <c r="CZ1987" s="1">
        <v>42142</v>
      </c>
      <c r="DA1987">
        <v>0</v>
      </c>
      <c r="DD1987" t="s">
        <v>11749</v>
      </c>
      <c r="DF1987">
        <v>24</v>
      </c>
      <c r="DG1987">
        <v>15</v>
      </c>
      <c r="DJ1987" t="s">
        <v>19269</v>
      </c>
      <c r="DL1987">
        <v>50203</v>
      </c>
      <c r="DM1987" t="s">
        <v>18706</v>
      </c>
      <c r="DO1987" t="s">
        <v>19272</v>
      </c>
      <c r="DP1987">
        <v>0</v>
      </c>
      <c r="DQ1987">
        <v>0</v>
      </c>
      <c r="DR1987" t="s">
        <v>411</v>
      </c>
    </row>
    <row r="1988" spans="1:272" x14ac:dyDescent="0.25">
      <c r="A1988">
        <v>16486995</v>
      </c>
      <c r="B1988">
        <v>1987</v>
      </c>
      <c r="C1988" t="s">
        <v>393</v>
      </c>
      <c r="D1988" t="s">
        <v>394</v>
      </c>
      <c r="F1988" t="str">
        <f>"00-00-30-0513-0029-0000"</f>
        <v>00-00-30-0513-0029-0000</v>
      </c>
      <c r="H1988" t="str">
        <f>"THOMSON MARK S &amp; DENISE"</f>
        <v>THOMSON MARK S &amp; DENISE</v>
      </c>
      <c r="I1988" t="str">
        <f>"PO BOX 714"</f>
        <v>PO BOX 714</v>
      </c>
      <c r="J1988" t="str">
        <f>"BUNNELL FL 32110"</f>
        <v>BUNNELL FL 32110</v>
      </c>
      <c r="K1988" t="str">
        <f>"PLANTATION OAKS LN"</f>
        <v>PLANTATION OAKS LN</v>
      </c>
      <c r="L1988" t="str">
        <f t="shared" si="752"/>
        <v>FERNANDINA BEACH FL 32034</v>
      </c>
      <c r="M1988" t="str">
        <f>"LOT 29 IN OR 1071/1539 PLANTATION OAKS 3 PB 5/144"</f>
        <v>LOT 29 IN OR 1071/1539 PLANTATION OAKS 3 PB 5/144</v>
      </c>
      <c r="N1988" t="str">
        <f>""</f>
        <v/>
      </c>
      <c r="O1988" t="str">
        <f>"2970"</f>
        <v>2970</v>
      </c>
      <c r="P1988" t="str">
        <f t="shared" si="749"/>
        <v>2017</v>
      </c>
      <c r="Q1988" t="str">
        <f>""</f>
        <v/>
      </c>
      <c r="R1988" t="str">
        <f t="shared" ref="R1988:R1994" si="753">"N"</f>
        <v>N</v>
      </c>
      <c r="S1988" t="str">
        <f>""</f>
        <v/>
      </c>
      <c r="T1988" t="str">
        <f>"1077.34"</f>
        <v>1077.34</v>
      </c>
      <c r="U1988" t="str">
        <f>"70000.00"</f>
        <v>70000.00</v>
      </c>
      <c r="V1988" t="str">
        <f>"70000.00"</f>
        <v>70000.00</v>
      </c>
      <c r="W1988" t="str">
        <f t="shared" si="750"/>
        <v>2017</v>
      </c>
      <c r="X1988" t="str">
        <f>""</f>
        <v/>
      </c>
      <c r="Y1988" t="str">
        <f>"1141.66"</f>
        <v>1141.66</v>
      </c>
      <c r="Z1988" t="str">
        <f>""</f>
        <v/>
      </c>
      <c r="AA1988" t="str">
        <f>"70000.00"</f>
        <v>70000.00</v>
      </c>
      <c r="AB1988" t="str">
        <f t="shared" si="751"/>
        <v>Residential</v>
      </c>
      <c r="AC1988" t="str">
        <f t="shared" si="735"/>
        <v>0</v>
      </c>
      <c r="AD1988" t="str">
        <f>""</f>
        <v/>
      </c>
      <c r="AE1988" t="str">
        <f>""</f>
        <v/>
      </c>
      <c r="AF1988" t="str">
        <f>"000"</f>
        <v>000</v>
      </c>
      <c r="AG1988" t="str">
        <f t="shared" si="748"/>
        <v>FL</v>
      </c>
      <c r="AH1988" t="str">
        <f>"-"</f>
        <v>-</v>
      </c>
      <c r="AI1988" t="str">
        <f>"70000.00"</f>
        <v>70000.00</v>
      </c>
      <c r="AJ1988" t="str">
        <f>"C55-000-585-2448-9"</f>
        <v>C55-000-585-2448-9</v>
      </c>
      <c r="AK1988" t="str">
        <f>"40468"</f>
        <v>40468</v>
      </c>
      <c r="AL1988">
        <v>7</v>
      </c>
      <c r="AM1988">
        <v>2270</v>
      </c>
      <c r="AN1988">
        <v>1197.1400000000001</v>
      </c>
      <c r="AQ1988" t="s">
        <v>19273</v>
      </c>
      <c r="AR1988" t="s">
        <v>19273</v>
      </c>
      <c r="AS1988" t="s">
        <v>19273</v>
      </c>
      <c r="AU1988" t="s">
        <v>396</v>
      </c>
      <c r="AV1988">
        <v>2017</v>
      </c>
      <c r="AW1988" t="str">
        <f>"00-00-30-0513-0029-0000 "</f>
        <v xml:space="preserve">00-00-30-0513-0029-0000 </v>
      </c>
      <c r="AZ1988" t="s">
        <v>19274</v>
      </c>
      <c r="BA1988" t="s">
        <v>653</v>
      </c>
      <c r="BD1988" t="s">
        <v>11749</v>
      </c>
      <c r="BE1988" t="s">
        <v>393</v>
      </c>
      <c r="BF1988">
        <v>32034</v>
      </c>
      <c r="BG1988" t="s">
        <v>19275</v>
      </c>
      <c r="BH1988" t="s">
        <v>11751</v>
      </c>
      <c r="BI1988">
        <v>-81.454293312257093</v>
      </c>
      <c r="BJ1988">
        <v>30.589323167551701</v>
      </c>
      <c r="BK1988" t="s">
        <v>19276</v>
      </c>
      <c r="BL1988" t="s">
        <v>19277</v>
      </c>
      <c r="BM1988" t="s">
        <v>19278</v>
      </c>
      <c r="BN1988" t="s">
        <v>19279</v>
      </c>
      <c r="BO1988">
        <v>32110</v>
      </c>
      <c r="BP1988" t="s">
        <v>404</v>
      </c>
      <c r="BQ1988">
        <v>0</v>
      </c>
      <c r="BR1988" t="s">
        <v>491</v>
      </c>
      <c r="BS1988">
        <v>8001</v>
      </c>
      <c r="BT1988" t="s">
        <v>492</v>
      </c>
      <c r="BW1988">
        <v>11328</v>
      </c>
      <c r="BX1988" t="s">
        <v>407</v>
      </c>
      <c r="BY1988" t="s">
        <v>2729</v>
      </c>
      <c r="CD1988">
        <v>2017</v>
      </c>
      <c r="CE1988">
        <v>70000</v>
      </c>
      <c r="CG1988">
        <v>70000</v>
      </c>
      <c r="CH1988">
        <v>2017</v>
      </c>
      <c r="CI1988">
        <v>70000</v>
      </c>
      <c r="CK1988">
        <v>70000</v>
      </c>
      <c r="CL1988">
        <v>2017</v>
      </c>
      <c r="CM1988">
        <v>1077.3399999999999</v>
      </c>
      <c r="CN1988" s="1">
        <v>37467</v>
      </c>
      <c r="CO1988">
        <v>44000</v>
      </c>
      <c r="CV1988">
        <v>0</v>
      </c>
      <c r="CZ1988" s="1">
        <v>37467</v>
      </c>
      <c r="DA1988">
        <v>0</v>
      </c>
      <c r="DD1988" t="s">
        <v>11749</v>
      </c>
      <c r="DF1988">
        <v>29</v>
      </c>
      <c r="DG1988">
        <v>12</v>
      </c>
      <c r="DJ1988" t="s">
        <v>19274</v>
      </c>
      <c r="DL1988">
        <v>50203</v>
      </c>
      <c r="DM1988" t="s">
        <v>18692</v>
      </c>
      <c r="DO1988" t="s">
        <v>19280</v>
      </c>
      <c r="DP1988">
        <v>0</v>
      </c>
      <c r="DQ1988">
        <v>0</v>
      </c>
      <c r="DR1988" t="s">
        <v>411</v>
      </c>
      <c r="DS1988" t="b">
        <v>1</v>
      </c>
      <c r="DT1988" t="s">
        <v>470</v>
      </c>
      <c r="DU1988" t="s">
        <v>471</v>
      </c>
      <c r="DV1988" t="s">
        <v>472</v>
      </c>
      <c r="DX1988">
        <v>-9999</v>
      </c>
      <c r="DZ1988" t="s">
        <v>447</v>
      </c>
      <c r="EA1988" t="s">
        <v>448</v>
      </c>
      <c r="EB1988" t="s">
        <v>14787</v>
      </c>
      <c r="EC1988">
        <v>20101217</v>
      </c>
      <c r="ED1988" t="s">
        <v>474</v>
      </c>
      <c r="EF1988">
        <v>2253.4</v>
      </c>
      <c r="EG1988">
        <v>2253.4</v>
      </c>
      <c r="EI1988">
        <v>20160407</v>
      </c>
      <c r="EJ1988">
        <v>0</v>
      </c>
      <c r="EK1988">
        <v>0</v>
      </c>
      <c r="EP1988" t="s">
        <v>421</v>
      </c>
      <c r="EQ1988" t="s">
        <v>422</v>
      </c>
      <c r="ER1988">
        <v>2</v>
      </c>
      <c r="ES1988">
        <v>0</v>
      </c>
      <c r="ET1988">
        <v>2341.46</v>
      </c>
      <c r="EU1988">
        <v>129.57</v>
      </c>
      <c r="EV1988">
        <v>2471.0300000000002</v>
      </c>
      <c r="EW1988" s="2">
        <v>43222</v>
      </c>
      <c r="EX1988" s="1">
        <v>42879</v>
      </c>
      <c r="EY1988">
        <v>2016</v>
      </c>
      <c r="EZ1988">
        <v>1170.73</v>
      </c>
      <c r="FA1988" t="s">
        <v>19281</v>
      </c>
      <c r="FB1988">
        <v>0.25</v>
      </c>
      <c r="FC1988" t="s">
        <v>424</v>
      </c>
      <c r="FD1988" t="s">
        <v>454</v>
      </c>
      <c r="FF1988">
        <v>12</v>
      </c>
      <c r="FG1988">
        <v>11289</v>
      </c>
      <c r="FH1988" t="s">
        <v>787</v>
      </c>
      <c r="FJ1988" s="1">
        <v>42879</v>
      </c>
      <c r="FK1988">
        <v>2016</v>
      </c>
      <c r="FL1988">
        <v>1170.73</v>
      </c>
      <c r="FM1988" t="s">
        <v>19281</v>
      </c>
      <c r="FN1988">
        <v>0.25</v>
      </c>
      <c r="FO1988" t="s">
        <v>424</v>
      </c>
      <c r="FP1988" t="s">
        <v>454</v>
      </c>
      <c r="FR1988">
        <v>12</v>
      </c>
      <c r="FS1988">
        <v>7089481</v>
      </c>
      <c r="FT1988" t="s">
        <v>19282</v>
      </c>
    </row>
    <row r="1989" spans="1:272" x14ac:dyDescent="0.25">
      <c r="A1989">
        <v>16486996</v>
      </c>
      <c r="B1989">
        <v>1988</v>
      </c>
      <c r="C1989" t="s">
        <v>393</v>
      </c>
      <c r="D1989" t="s">
        <v>394</v>
      </c>
      <c r="F1989" t="str">
        <f>"00-00-30-0540-0006-0000"</f>
        <v>00-00-30-0540-0006-0000</v>
      </c>
      <c r="H1989" t="str">
        <f>"BARNARD CODY A L/E DONALD E ROWE &amp; DENISE R BARNARD (R/O/S)"</f>
        <v>BARNARD CODY A L/E DONALD E ROWE &amp; DENISE R BARNARD (R/O/S)</v>
      </c>
      <c r="I1989" t="str">
        <f>""</f>
        <v/>
      </c>
      <c r="J1989" t="str">
        <f>"FERNANDINA BEACH FL 32034"</f>
        <v>FERNANDINA BEACH FL 32034</v>
      </c>
      <c r="K1989" t="str">
        <f>"2040 RAYON RD"</f>
        <v>2040 RAYON RD</v>
      </c>
      <c r="L1989" t="str">
        <f t="shared" si="752"/>
        <v>FERNANDINA BEACH FL 32034</v>
      </c>
      <c r="M1989" t="str">
        <f>"LOTS 6 &amp; 8 L/E OR 1514/470 RAYON TERRACE PB 3/31"</f>
        <v>LOTS 6 &amp; 8 L/E OR 1514/470 RAYON TERRACE PB 3/31</v>
      </c>
      <c r="N1989" t="str">
        <f>""</f>
        <v/>
      </c>
      <c r="O1989" t="str">
        <f>"3070"</f>
        <v>3070</v>
      </c>
      <c r="P1989" t="str">
        <f t="shared" si="749"/>
        <v>2017</v>
      </c>
      <c r="Q1989" t="str">
        <f>""</f>
        <v/>
      </c>
      <c r="R1989" t="str">
        <f t="shared" si="753"/>
        <v>N</v>
      </c>
      <c r="S1989" t="str">
        <f>""</f>
        <v/>
      </c>
      <c r="T1989" t="str">
        <f>"1731.27"</f>
        <v>1731.27</v>
      </c>
      <c r="U1989" t="str">
        <f>"112490.00"</f>
        <v>112490.00</v>
      </c>
      <c r="V1989" t="str">
        <f>"112490.00"</f>
        <v>112490.00</v>
      </c>
      <c r="W1989" t="str">
        <f t="shared" si="750"/>
        <v>2017</v>
      </c>
      <c r="X1989" t="str">
        <f>"15.50"</f>
        <v>15.50</v>
      </c>
      <c r="Y1989" t="str">
        <f>"1815.21"</f>
        <v>1815.21</v>
      </c>
      <c r="Z1989" t="str">
        <f>""</f>
        <v/>
      </c>
      <c r="AA1989" t="str">
        <f>"112490.00"</f>
        <v>112490.00</v>
      </c>
      <c r="AB1989" t="str">
        <f t="shared" si="751"/>
        <v>Residential</v>
      </c>
      <c r="AC1989" t="str">
        <f t="shared" si="735"/>
        <v>0</v>
      </c>
      <c r="AD1989" t="str">
        <f>"4"</f>
        <v>4</v>
      </c>
      <c r="AE1989" t="str">
        <f>"WOOD (INCLUDE STEEL STUDS)"</f>
        <v>WOOD (INCLUDE STEEL STUDS)</v>
      </c>
      <c r="AF1989" t="str">
        <f>"001"</f>
        <v>001</v>
      </c>
      <c r="AG1989" t="str">
        <f t="shared" si="748"/>
        <v>FL</v>
      </c>
      <c r="AH1989" t="str">
        <f>"15200.00"</f>
        <v>15200.00</v>
      </c>
      <c r="AI1989" t="str">
        <f>"50000.00"</f>
        <v>50000.00</v>
      </c>
      <c r="AJ1989" t="str">
        <f>"C55-000-585-2544-5"</f>
        <v>C55-000-585-2544-5</v>
      </c>
      <c r="AK1989" t="str">
        <f>"40575"</f>
        <v>40575</v>
      </c>
      <c r="AL1989">
        <v>7</v>
      </c>
      <c r="AM1989">
        <v>2271</v>
      </c>
      <c r="AN1989">
        <v>1904.37</v>
      </c>
      <c r="AQ1989" t="s">
        <v>19283</v>
      </c>
      <c r="AR1989" t="s">
        <v>19283</v>
      </c>
      <c r="AS1989" t="s">
        <v>19283</v>
      </c>
      <c r="AU1989" t="s">
        <v>396</v>
      </c>
      <c r="AV1989">
        <v>2017</v>
      </c>
      <c r="AW1989" t="str">
        <f>"00-00-30-0540-0006-0000 "</f>
        <v xml:space="preserve">00-00-30-0540-0006-0000 </v>
      </c>
      <c r="AX1989">
        <v>2040</v>
      </c>
      <c r="AZ1989" t="s">
        <v>19284</v>
      </c>
      <c r="BA1989" t="s">
        <v>496</v>
      </c>
      <c r="BD1989" t="s">
        <v>11749</v>
      </c>
      <c r="BE1989" t="s">
        <v>393</v>
      </c>
      <c r="BF1989">
        <v>32034</v>
      </c>
      <c r="BG1989" t="s">
        <v>19285</v>
      </c>
      <c r="BH1989" t="s">
        <v>11751</v>
      </c>
      <c r="BI1989">
        <v>-81.459817974221707</v>
      </c>
      <c r="BJ1989">
        <v>30.6378776196205</v>
      </c>
      <c r="BK1989" t="s">
        <v>19286</v>
      </c>
      <c r="BM1989" t="s">
        <v>19285</v>
      </c>
      <c r="BN1989" t="s">
        <v>3983</v>
      </c>
      <c r="BO1989">
        <v>32034</v>
      </c>
      <c r="BP1989" t="s">
        <v>416</v>
      </c>
      <c r="BQ1989">
        <v>100</v>
      </c>
      <c r="BR1989" t="s">
        <v>514</v>
      </c>
      <c r="BS1989">
        <v>1001</v>
      </c>
      <c r="BT1989" t="s">
        <v>515</v>
      </c>
      <c r="BU1989">
        <v>1000</v>
      </c>
      <c r="BV1989">
        <v>1520</v>
      </c>
      <c r="BW1989">
        <v>15200</v>
      </c>
      <c r="BX1989" t="s">
        <v>407</v>
      </c>
      <c r="BY1989" t="s">
        <v>7351</v>
      </c>
      <c r="BZ1989">
        <v>4</v>
      </c>
      <c r="CA1989">
        <v>1950</v>
      </c>
      <c r="CB1989">
        <v>1</v>
      </c>
      <c r="CC1989">
        <v>1</v>
      </c>
      <c r="CD1989">
        <v>2017</v>
      </c>
      <c r="CE1989">
        <v>50000</v>
      </c>
      <c r="CF1989">
        <v>62490</v>
      </c>
      <c r="CG1989">
        <v>112490</v>
      </c>
      <c r="CH1989">
        <v>2017</v>
      </c>
      <c r="CI1989">
        <v>50000</v>
      </c>
      <c r="CJ1989">
        <v>62490</v>
      </c>
      <c r="CK1989">
        <v>112490</v>
      </c>
      <c r="CL1989">
        <v>2017</v>
      </c>
      <c r="CM1989">
        <v>1731.27</v>
      </c>
      <c r="CN1989" s="1">
        <v>39286</v>
      </c>
      <c r="CZ1989" s="1">
        <v>39286</v>
      </c>
      <c r="DD1989" t="s">
        <v>11749</v>
      </c>
      <c r="DG1989">
        <v>30</v>
      </c>
      <c r="DJ1989" t="s">
        <v>19287</v>
      </c>
      <c r="DL1989">
        <v>50202</v>
      </c>
      <c r="DM1989" t="s">
        <v>18678</v>
      </c>
      <c r="DO1989" t="s">
        <v>19288</v>
      </c>
      <c r="DP1989">
        <v>0</v>
      </c>
      <c r="DQ1989">
        <v>1</v>
      </c>
      <c r="DR1989" t="s">
        <v>1174</v>
      </c>
      <c r="EP1989" t="s">
        <v>421</v>
      </c>
      <c r="EQ1989" t="s">
        <v>422</v>
      </c>
      <c r="ER1989">
        <v>0</v>
      </c>
      <c r="ES1989">
        <v>2</v>
      </c>
      <c r="ET1989">
        <v>0</v>
      </c>
      <c r="EU1989">
        <v>0</v>
      </c>
      <c r="EV1989">
        <v>0</v>
      </c>
      <c r="EW1989" s="2">
        <v>43222</v>
      </c>
      <c r="EX1989" s="1">
        <v>41787</v>
      </c>
      <c r="EY1989">
        <v>2013</v>
      </c>
      <c r="EZ1989">
        <v>882.28</v>
      </c>
      <c r="FA1989" t="s">
        <v>19289</v>
      </c>
      <c r="FB1989">
        <v>0.25</v>
      </c>
      <c r="FC1989" t="s">
        <v>424</v>
      </c>
      <c r="FD1989" t="s">
        <v>425</v>
      </c>
      <c r="FE1989" s="1">
        <v>42426</v>
      </c>
      <c r="FF1989">
        <v>21</v>
      </c>
      <c r="FG1989">
        <v>2675455</v>
      </c>
      <c r="FH1989" t="s">
        <v>1981</v>
      </c>
      <c r="FJ1989" s="1">
        <v>41052</v>
      </c>
      <c r="FK1989">
        <v>2011</v>
      </c>
      <c r="FL1989">
        <v>885.02</v>
      </c>
      <c r="FM1989" t="s">
        <v>19290</v>
      </c>
      <c r="FN1989">
        <v>0.25</v>
      </c>
      <c r="FO1989" t="s">
        <v>424</v>
      </c>
      <c r="FP1989" t="s">
        <v>425</v>
      </c>
      <c r="FQ1989" s="1">
        <v>41337</v>
      </c>
      <c r="FR1989">
        <v>10</v>
      </c>
      <c r="FS1989">
        <v>13293</v>
      </c>
      <c r="FT1989" t="s">
        <v>19291</v>
      </c>
    </row>
    <row r="1990" spans="1:272" x14ac:dyDescent="0.25">
      <c r="A1990">
        <v>16486997</v>
      </c>
      <c r="B1990">
        <v>1989</v>
      </c>
      <c r="C1990" t="s">
        <v>393</v>
      </c>
      <c r="D1990" t="s">
        <v>394</v>
      </c>
      <c r="F1990" t="str">
        <f>"00-00-30-056O-0021-0000"</f>
        <v>00-00-30-056O-0021-0000</v>
      </c>
      <c r="H1990" t="str">
        <f>"ROWE CAROLYN G TRUSTEE OF KENNETH &amp; CAROLYN ROWE FAMILY TRUSTS"</f>
        <v>ROWE CAROLYN G TRUSTEE OF KENNETH &amp; CAROLYN ROWE FAMILY TRUSTS</v>
      </c>
      <c r="I1990" t="str">
        <f>""</f>
        <v/>
      </c>
      <c r="J1990" t="str">
        <f>"FERNANDINA BEACH FL 32034"</f>
        <v>FERNANDINA BEACH FL 32034</v>
      </c>
      <c r="K1990" t="str">
        <f>"ROWAN OAK"</f>
        <v>ROWAN OAK</v>
      </c>
      <c r="L1990" t="str">
        <f t="shared" si="752"/>
        <v>FERNANDINA BEACH FL 32034</v>
      </c>
      <c r="M1990" t="str">
        <f>"LOT 21 IN OR 1426/834 RIVER OAKS OF AMELIA 2 PB6/111"</f>
        <v>LOT 21 IN OR 1426/834 RIVER OAKS OF AMELIA 2 PB6/111</v>
      </c>
      <c r="N1990" t="str">
        <f>""</f>
        <v/>
      </c>
      <c r="O1990" t="str">
        <f>"3174"</f>
        <v>3174</v>
      </c>
      <c r="P1990" t="str">
        <f t="shared" si="749"/>
        <v>2017</v>
      </c>
      <c r="Q1990" t="str">
        <f>""</f>
        <v/>
      </c>
      <c r="R1990" t="str">
        <f t="shared" si="753"/>
        <v>N</v>
      </c>
      <c r="S1990" t="str">
        <f>""</f>
        <v/>
      </c>
      <c r="T1990" t="str">
        <f>"1448.90"</f>
        <v>1448.90</v>
      </c>
      <c r="U1990" t="str">
        <f>"93500.00"</f>
        <v>93500.00</v>
      </c>
      <c r="V1990" t="str">
        <f>"93500.00"</f>
        <v>93500.00</v>
      </c>
      <c r="W1990" t="str">
        <f t="shared" si="750"/>
        <v>2017</v>
      </c>
      <c r="X1990" t="str">
        <f>"9.60"</f>
        <v>9.60</v>
      </c>
      <c r="Y1990" t="str">
        <f>"1524.37"</f>
        <v>1524.37</v>
      </c>
      <c r="Z1990" t="str">
        <f>""</f>
        <v/>
      </c>
      <c r="AA1990" t="str">
        <f>"95000.00"</f>
        <v>95000.00</v>
      </c>
      <c r="AB1990" t="str">
        <f t="shared" si="751"/>
        <v>Residential</v>
      </c>
      <c r="AC1990" t="str">
        <f t="shared" si="735"/>
        <v>0</v>
      </c>
      <c r="AD1990" t="str">
        <f>""</f>
        <v/>
      </c>
      <c r="AE1990" t="str">
        <f>""</f>
        <v/>
      </c>
      <c r="AF1990" t="str">
        <f>"000"</f>
        <v>000</v>
      </c>
      <c r="AG1990" t="str">
        <f t="shared" si="748"/>
        <v>FL</v>
      </c>
      <c r="AH1990" t="str">
        <f>"-"</f>
        <v>-</v>
      </c>
      <c r="AI1990" t="str">
        <f>"95000.00"</f>
        <v>95000.00</v>
      </c>
      <c r="AJ1990" t="str">
        <f>"C55-000-585-2619-5"</f>
        <v>C55-000-585-2619-5</v>
      </c>
      <c r="AK1990" t="str">
        <f>"40643"</f>
        <v>40643</v>
      </c>
      <c r="AL1990">
        <v>7</v>
      </c>
      <c r="AM1990">
        <v>2272</v>
      </c>
      <c r="AN1990">
        <v>1598.99</v>
      </c>
      <c r="AQ1990" t="s">
        <v>19292</v>
      </c>
      <c r="AR1990" t="s">
        <v>19292</v>
      </c>
      <c r="AS1990" t="s">
        <v>19292</v>
      </c>
      <c r="AU1990" t="s">
        <v>396</v>
      </c>
      <c r="AV1990">
        <v>2017</v>
      </c>
      <c r="AW1990" t="str">
        <f>"00-00-30-056O-0021-0000 "</f>
        <v xml:space="preserve">00-00-30-056O-0021-0000 </v>
      </c>
      <c r="AZ1990" t="s">
        <v>19293</v>
      </c>
      <c r="BD1990" t="s">
        <v>11749</v>
      </c>
      <c r="BE1990" t="s">
        <v>393</v>
      </c>
      <c r="BF1990">
        <v>32034</v>
      </c>
      <c r="BG1990" t="s">
        <v>19293</v>
      </c>
      <c r="BH1990" t="s">
        <v>11751</v>
      </c>
      <c r="BI1990">
        <v>-81.469959855642898</v>
      </c>
      <c r="BJ1990">
        <v>30.621295415462001</v>
      </c>
      <c r="BK1990" t="s">
        <v>18676</v>
      </c>
      <c r="BL1990" t="s">
        <v>16007</v>
      </c>
      <c r="BM1990" t="s">
        <v>16008</v>
      </c>
      <c r="BN1990" t="s">
        <v>3983</v>
      </c>
      <c r="BO1990">
        <v>32034</v>
      </c>
      <c r="BP1990" t="s">
        <v>404</v>
      </c>
      <c r="BQ1990">
        <v>0</v>
      </c>
      <c r="BR1990" t="s">
        <v>491</v>
      </c>
      <c r="BS1990">
        <v>8001</v>
      </c>
      <c r="BT1990" t="s">
        <v>492</v>
      </c>
      <c r="BW1990">
        <v>22708</v>
      </c>
      <c r="BX1990" t="s">
        <v>407</v>
      </c>
      <c r="CD1990">
        <v>2017</v>
      </c>
      <c r="CE1990">
        <v>95000</v>
      </c>
      <c r="CG1990">
        <v>95000</v>
      </c>
      <c r="CH1990">
        <v>2017</v>
      </c>
      <c r="CI1990">
        <v>95000</v>
      </c>
      <c r="CK1990">
        <v>95000</v>
      </c>
      <c r="CL1990">
        <v>2017</v>
      </c>
      <c r="CM1990">
        <v>1448.9</v>
      </c>
      <c r="CN1990" s="1">
        <v>38905</v>
      </c>
      <c r="CZ1990" s="1">
        <v>38905</v>
      </c>
      <c r="DD1990" t="s">
        <v>11749</v>
      </c>
      <c r="DF1990">
        <v>21</v>
      </c>
      <c r="DG1990">
        <v>5</v>
      </c>
      <c r="DJ1990" t="s">
        <v>19294</v>
      </c>
      <c r="DL1990">
        <v>50203</v>
      </c>
      <c r="DM1990" t="s">
        <v>18842</v>
      </c>
      <c r="DO1990" t="s">
        <v>19295</v>
      </c>
      <c r="DP1990">
        <v>0</v>
      </c>
      <c r="DQ1990">
        <v>1</v>
      </c>
      <c r="DR1990" t="s">
        <v>1174</v>
      </c>
      <c r="EP1990" t="s">
        <v>421</v>
      </c>
      <c r="EQ1990" t="s">
        <v>422</v>
      </c>
      <c r="ER1990">
        <v>0</v>
      </c>
      <c r="ES1990">
        <v>4</v>
      </c>
      <c r="ET1990">
        <v>0</v>
      </c>
      <c r="EU1990">
        <v>0</v>
      </c>
      <c r="EV1990">
        <v>0</v>
      </c>
      <c r="EW1990" s="2">
        <v>43222</v>
      </c>
      <c r="EX1990" s="1">
        <v>42879</v>
      </c>
      <c r="EY1990">
        <v>2016</v>
      </c>
      <c r="EZ1990">
        <v>1462.15</v>
      </c>
      <c r="FA1990" t="s">
        <v>19296</v>
      </c>
      <c r="FB1990">
        <v>0.25</v>
      </c>
      <c r="FC1990" t="s">
        <v>424</v>
      </c>
      <c r="FD1990" t="s">
        <v>425</v>
      </c>
      <c r="FE1990" s="1">
        <v>43098</v>
      </c>
      <c r="FF1990">
        <v>7</v>
      </c>
      <c r="FG1990">
        <v>11289</v>
      </c>
      <c r="FH1990" t="s">
        <v>787</v>
      </c>
      <c r="FJ1990" s="1">
        <v>42879</v>
      </c>
      <c r="FK1990">
        <v>2016</v>
      </c>
      <c r="FL1990">
        <v>1462.15</v>
      </c>
      <c r="FM1990" t="s">
        <v>19296</v>
      </c>
      <c r="FN1990">
        <v>0.25</v>
      </c>
      <c r="FO1990" t="s">
        <v>424</v>
      </c>
      <c r="FP1990" t="s">
        <v>425</v>
      </c>
      <c r="FR1990">
        <v>22</v>
      </c>
      <c r="FS1990">
        <v>7135749</v>
      </c>
      <c r="FT1990" t="s">
        <v>19297</v>
      </c>
      <c r="FV1990" s="1">
        <v>41787</v>
      </c>
      <c r="FW1990">
        <v>2013</v>
      </c>
      <c r="FX1990">
        <v>1410.64</v>
      </c>
      <c r="FY1990" t="s">
        <v>19298</v>
      </c>
      <c r="FZ1990">
        <v>0.25</v>
      </c>
      <c r="GA1990" t="s">
        <v>424</v>
      </c>
      <c r="GB1990" t="s">
        <v>425</v>
      </c>
      <c r="GC1990" s="1">
        <v>41850</v>
      </c>
      <c r="GD1990">
        <v>2</v>
      </c>
      <c r="GE1990">
        <v>305</v>
      </c>
      <c r="GF1990" t="s">
        <v>1078</v>
      </c>
      <c r="GH1990" s="1">
        <v>40688</v>
      </c>
      <c r="GI1990">
        <v>2010</v>
      </c>
      <c r="GJ1990">
        <v>1702.74</v>
      </c>
      <c r="GK1990" t="s">
        <v>19299</v>
      </c>
      <c r="GL1990">
        <v>5.75</v>
      </c>
      <c r="GM1990" t="s">
        <v>424</v>
      </c>
      <c r="GN1990" t="s">
        <v>425</v>
      </c>
      <c r="GO1990" s="1">
        <v>41340</v>
      </c>
      <c r="GP1990">
        <v>22</v>
      </c>
      <c r="GQ1990">
        <v>305</v>
      </c>
      <c r="GR1990" t="s">
        <v>1078</v>
      </c>
    </row>
    <row r="1991" spans="1:272" x14ac:dyDescent="0.25">
      <c r="A1991">
        <v>16486998</v>
      </c>
      <c r="B1991">
        <v>1990</v>
      </c>
      <c r="C1991" t="s">
        <v>393</v>
      </c>
      <c r="D1991" t="s">
        <v>394</v>
      </c>
      <c r="F1991" t="str">
        <f>"00-00-30-056O-0022-0000"</f>
        <v>00-00-30-056O-0022-0000</v>
      </c>
      <c r="H1991" t="str">
        <f>"PERSISTENCE HOLDINGS LTD"</f>
        <v>PERSISTENCE HOLDINGS LTD</v>
      </c>
      <c r="I1991" t="str">
        <f>"1276 LEEWARD HIGHWAY"</f>
        <v>1276 LEEWARD HIGHWAY</v>
      </c>
      <c r="J1991" t="str">
        <f>"PROVIDENCIALES TURKS &amp; CAICOS"</f>
        <v>PROVIDENCIALES TURKS &amp; CAICOS</v>
      </c>
      <c r="K1991" t="str">
        <f>"195 ROWAN OAK PL"</f>
        <v>195 ROWAN OAK PL</v>
      </c>
      <c r="L1991" t="str">
        <f t="shared" si="752"/>
        <v>FERNANDINA BEACH FL 32034</v>
      </c>
      <c r="M1991" t="str">
        <f>"LOT 22 F/K/A S-3 OF LOT 64 OF OCEAN BREEZE FARMS PB 2/19 IN OR 2125/843 RIVER OAKS OF AMELIA 2 PB6/111"</f>
        <v>LOT 22 F/K/A S-3 OF LOT 64 OF OCEAN BREEZE FARMS PB 2/19 IN OR 2125/843 RIVER OAKS OF AMELIA 2 PB6/111</v>
      </c>
      <c r="N1991" t="str">
        <f>""</f>
        <v/>
      </c>
      <c r="O1991" t="str">
        <f>"3175"</f>
        <v>3175</v>
      </c>
      <c r="P1991" t="str">
        <f t="shared" si="749"/>
        <v>2017</v>
      </c>
      <c r="Q1991" t="str">
        <f>""</f>
        <v/>
      </c>
      <c r="R1991" t="str">
        <f t="shared" si="753"/>
        <v>N</v>
      </c>
      <c r="S1991" t="str">
        <f>""</f>
        <v/>
      </c>
      <c r="T1991" t="str">
        <f>"6288.78"</f>
        <v>6288.78</v>
      </c>
      <c r="U1991" t="str">
        <f>"405484.00"</f>
        <v>405484.00</v>
      </c>
      <c r="V1991" t="str">
        <f>"405484.00"</f>
        <v>405484.00</v>
      </c>
      <c r="W1991" t="str">
        <f t="shared" si="750"/>
        <v>2017</v>
      </c>
      <c r="X1991" t="str">
        <f>""</f>
        <v/>
      </c>
      <c r="Y1991" t="str">
        <f>"6509.44"</f>
        <v>6509.44</v>
      </c>
      <c r="Z1991" t="str">
        <f>""</f>
        <v/>
      </c>
      <c r="AA1991" t="str">
        <f>"412793.00"</f>
        <v>412793.00</v>
      </c>
      <c r="AB1991" t="str">
        <f t="shared" si="751"/>
        <v>Residential</v>
      </c>
      <c r="AC1991" t="str">
        <f t="shared" si="735"/>
        <v>0</v>
      </c>
      <c r="AD1991" t="str">
        <f>"4"</f>
        <v>4</v>
      </c>
      <c r="AE1991" t="str">
        <f>"WOOD (INCLUDE STEEL STUDS)"</f>
        <v>WOOD (INCLUDE STEEL STUDS)</v>
      </c>
      <c r="AF1991" t="str">
        <f>"001"</f>
        <v>001</v>
      </c>
      <c r="AG1991" t="str">
        <f>"FC"</f>
        <v>FC</v>
      </c>
      <c r="AH1991" t="str">
        <f>"-"</f>
        <v>-</v>
      </c>
      <c r="AI1991" t="str">
        <f>"95000.00"</f>
        <v>95000.00</v>
      </c>
      <c r="AJ1991" t="str">
        <f>"C55-000-585-2620-3"</f>
        <v>C55-000-585-2620-3</v>
      </c>
      <c r="AK1991" t="str">
        <f>"40644"</f>
        <v>40644</v>
      </c>
      <c r="AL1991">
        <v>7</v>
      </c>
      <c r="AM1991">
        <v>2273</v>
      </c>
      <c r="AN1991">
        <v>6833.31</v>
      </c>
      <c r="AQ1991" t="s">
        <v>19300</v>
      </c>
      <c r="AR1991" t="s">
        <v>19300</v>
      </c>
      <c r="AS1991" t="s">
        <v>19300</v>
      </c>
      <c r="AU1991" t="s">
        <v>396</v>
      </c>
      <c r="AV1991">
        <v>2017</v>
      </c>
      <c r="AW1991" t="str">
        <f>"00-00-30-056O-0022-0000 "</f>
        <v xml:space="preserve">00-00-30-056O-0022-0000 </v>
      </c>
      <c r="AX1991">
        <v>195</v>
      </c>
      <c r="AZ1991" t="s">
        <v>19293</v>
      </c>
      <c r="BA1991" t="s">
        <v>641</v>
      </c>
      <c r="BD1991" t="s">
        <v>11749</v>
      </c>
      <c r="BE1991" t="s">
        <v>393</v>
      </c>
      <c r="BF1991">
        <v>32034</v>
      </c>
      <c r="BG1991" t="s">
        <v>19301</v>
      </c>
      <c r="BH1991" t="s">
        <v>11751</v>
      </c>
      <c r="BI1991">
        <v>-81.469426640741403</v>
      </c>
      <c r="BJ1991">
        <v>30.621285698813399</v>
      </c>
      <c r="BK1991" t="s">
        <v>19302</v>
      </c>
      <c r="BL1991" t="s">
        <v>19303</v>
      </c>
      <c r="BM1991" t="s">
        <v>19304</v>
      </c>
      <c r="BN1991" t="s">
        <v>3983</v>
      </c>
      <c r="BO1991">
        <v>32034</v>
      </c>
      <c r="BP1991" t="s">
        <v>404</v>
      </c>
      <c r="BQ1991">
        <v>100</v>
      </c>
      <c r="BR1991" t="s">
        <v>514</v>
      </c>
      <c r="BS1991">
        <v>1001</v>
      </c>
      <c r="BT1991" t="s">
        <v>515</v>
      </c>
      <c r="BW1991">
        <v>22343</v>
      </c>
      <c r="BX1991" t="s">
        <v>407</v>
      </c>
      <c r="BZ1991">
        <v>4</v>
      </c>
      <c r="CA1991">
        <v>1999</v>
      </c>
      <c r="CB1991">
        <v>2</v>
      </c>
      <c r="CC1991">
        <v>2</v>
      </c>
      <c r="CD1991">
        <v>2017</v>
      </c>
      <c r="CE1991">
        <v>95000</v>
      </c>
      <c r="CF1991">
        <v>317793</v>
      </c>
      <c r="CG1991">
        <v>412793</v>
      </c>
      <c r="CH1991">
        <v>2017</v>
      </c>
      <c r="CI1991">
        <v>95000</v>
      </c>
      <c r="CJ1991">
        <v>317793</v>
      </c>
      <c r="CK1991">
        <v>412793</v>
      </c>
      <c r="CL1991">
        <v>2017</v>
      </c>
      <c r="CM1991">
        <v>6288.78</v>
      </c>
      <c r="CN1991" s="1">
        <v>40905</v>
      </c>
      <c r="CO1991">
        <v>430000</v>
      </c>
      <c r="CV1991">
        <v>344000</v>
      </c>
      <c r="CX1991" t="s">
        <v>657</v>
      </c>
      <c r="CZ1991" s="1">
        <v>40905</v>
      </c>
      <c r="DA1991">
        <v>0</v>
      </c>
      <c r="DD1991" t="s">
        <v>11749</v>
      </c>
      <c r="DF1991">
        <v>22</v>
      </c>
      <c r="DG1991">
        <v>5</v>
      </c>
      <c r="DJ1991" t="s">
        <v>19204</v>
      </c>
      <c r="DL1991">
        <v>50203</v>
      </c>
      <c r="DM1991" t="s">
        <v>18842</v>
      </c>
      <c r="DO1991" t="s">
        <v>19305</v>
      </c>
      <c r="DP1991">
        <v>0</v>
      </c>
      <c r="DQ1991">
        <v>1</v>
      </c>
      <c r="DR1991" t="s">
        <v>1174</v>
      </c>
    </row>
    <row r="1992" spans="1:272" x14ac:dyDescent="0.25">
      <c r="A1992">
        <v>16486999</v>
      </c>
      <c r="B1992">
        <v>1991</v>
      </c>
      <c r="C1992" t="s">
        <v>393</v>
      </c>
      <c r="D1992" t="s">
        <v>394</v>
      </c>
      <c r="F1992" t="str">
        <f>"00-00-30-0600-0001-0220"</f>
        <v>00-00-30-0600-0001-0220</v>
      </c>
      <c r="H1992" t="str">
        <f>"DRURY DARLENE"</f>
        <v>DRURY DARLENE</v>
      </c>
      <c r="I1992" t="str">
        <f>"2732 EASTWOOD DR"</f>
        <v>2732 EASTWOOD DR</v>
      </c>
      <c r="J1992" t="str">
        <f>"DECATUR GA 30032"</f>
        <v>DECATUR GA 30032</v>
      </c>
      <c r="K1992" t="str">
        <f>"2195 SADLER RD"</f>
        <v>2195 SADLER RD</v>
      </c>
      <c r="L1992" t="str">
        <f t="shared" si="752"/>
        <v>FERNANDINA BEACH FL 32034</v>
      </c>
      <c r="M1992" t="str">
        <f>"BLOCK 1 LOT 22 E 1/2 OF 23 L/E IN OR 33/199 &amp; 348/636 &amp; OR 348 PG 635 SADLER ESTATES PB 2/68"</f>
        <v>BLOCK 1 LOT 22 E 1/2 OF 23 L/E IN OR 33/199 &amp; 348/636 &amp; OR 348 PG 635 SADLER ESTATES PB 2/68</v>
      </c>
      <c r="N1992" t="str">
        <f>""</f>
        <v/>
      </c>
      <c r="O1992" t="str">
        <f>"3209"</f>
        <v>3209</v>
      </c>
      <c r="P1992" t="str">
        <f t="shared" si="749"/>
        <v>2017</v>
      </c>
      <c r="Q1992" t="str">
        <f>""</f>
        <v/>
      </c>
      <c r="R1992" t="str">
        <f t="shared" si="753"/>
        <v>N</v>
      </c>
      <c r="S1992" t="str">
        <f>""</f>
        <v/>
      </c>
      <c r="T1992" t="str">
        <f>"3342.79"</f>
        <v>3342.79</v>
      </c>
      <c r="U1992" t="str">
        <f>"217199.00"</f>
        <v>217199.00</v>
      </c>
      <c r="V1992" t="str">
        <f>"217199.00"</f>
        <v>217199.00</v>
      </c>
      <c r="W1992" t="str">
        <f t="shared" si="750"/>
        <v>2017</v>
      </c>
      <c r="X1992" t="str">
        <f>""</f>
        <v/>
      </c>
      <c r="Y1992" t="str">
        <f>"3475.07"</f>
        <v>3475.07</v>
      </c>
      <c r="Z1992" t="str">
        <f>""</f>
        <v/>
      </c>
      <c r="AA1992" t="str">
        <f>"217199.00"</f>
        <v>217199.00</v>
      </c>
      <c r="AB1992" t="str">
        <f t="shared" si="751"/>
        <v>Residential</v>
      </c>
      <c r="AC1992" t="str">
        <f t="shared" si="735"/>
        <v>0</v>
      </c>
      <c r="AD1992" t="str">
        <f>"4"</f>
        <v>4</v>
      </c>
      <c r="AE1992" t="str">
        <f>"WOOD (INCLUDE STEEL STUDS)"</f>
        <v>WOOD (INCLUDE STEEL STUDS)</v>
      </c>
      <c r="AF1992" t="str">
        <f>"001"</f>
        <v>001</v>
      </c>
      <c r="AG1992" t="str">
        <f>"GA"</f>
        <v>GA</v>
      </c>
      <c r="AH1992" t="str">
        <f>"39059.00"</f>
        <v>39059.00</v>
      </c>
      <c r="AI1992" t="str">
        <f>"139635.00"</f>
        <v>139635.00</v>
      </c>
      <c r="AJ1992" t="str">
        <f>"C55-000-585-2653-4"</f>
        <v>C55-000-585-2653-4</v>
      </c>
      <c r="AK1992" t="str">
        <f>"40669"</f>
        <v>40669</v>
      </c>
      <c r="AL1992">
        <v>7</v>
      </c>
      <c r="AM1992">
        <v>2274</v>
      </c>
      <c r="AN1992">
        <v>3647.22</v>
      </c>
      <c r="AQ1992" t="s">
        <v>19306</v>
      </c>
      <c r="AR1992" t="s">
        <v>19306</v>
      </c>
      <c r="AS1992" t="s">
        <v>19306</v>
      </c>
      <c r="AU1992" t="s">
        <v>396</v>
      </c>
      <c r="AV1992">
        <v>2017</v>
      </c>
      <c r="AW1992" t="str">
        <f>"00-00-30-0600-0001-0220 "</f>
        <v xml:space="preserve">00-00-30-0600-0001-0220 </v>
      </c>
      <c r="AX1992">
        <v>2195</v>
      </c>
      <c r="AZ1992" t="s">
        <v>19307</v>
      </c>
      <c r="BA1992" t="s">
        <v>496</v>
      </c>
      <c r="BD1992" t="s">
        <v>11749</v>
      </c>
      <c r="BE1992" t="s">
        <v>393</v>
      </c>
      <c r="BF1992">
        <v>32034</v>
      </c>
      <c r="BG1992" t="s">
        <v>19308</v>
      </c>
      <c r="BH1992" t="s">
        <v>11751</v>
      </c>
      <c r="BI1992">
        <v>-81.444740931407196</v>
      </c>
      <c r="BJ1992">
        <v>30.640576897540999</v>
      </c>
      <c r="BK1992" t="s">
        <v>18775</v>
      </c>
      <c r="BM1992" t="s">
        <v>18776</v>
      </c>
      <c r="BN1992" t="s">
        <v>18777</v>
      </c>
      <c r="BO1992">
        <v>30032</v>
      </c>
      <c r="BP1992" t="s">
        <v>404</v>
      </c>
      <c r="BQ1992">
        <v>100</v>
      </c>
      <c r="BR1992" t="s">
        <v>514</v>
      </c>
      <c r="BS1992">
        <v>1001</v>
      </c>
      <c r="BT1992" t="s">
        <v>515</v>
      </c>
      <c r="BW1992">
        <v>39059</v>
      </c>
      <c r="BX1992" t="s">
        <v>407</v>
      </c>
      <c r="BY1992" t="s">
        <v>7351</v>
      </c>
      <c r="BZ1992">
        <v>4</v>
      </c>
      <c r="CA1992">
        <v>1945</v>
      </c>
      <c r="CB1992">
        <v>1</v>
      </c>
      <c r="CC1992">
        <v>1</v>
      </c>
      <c r="CD1992">
        <v>2017</v>
      </c>
      <c r="CE1992">
        <v>139635</v>
      </c>
      <c r="CF1992">
        <v>77564</v>
      </c>
      <c r="CG1992">
        <v>217199</v>
      </c>
      <c r="CH1992">
        <v>2017</v>
      </c>
      <c r="CI1992">
        <v>139635</v>
      </c>
      <c r="CJ1992">
        <v>77564</v>
      </c>
      <c r="CK1992">
        <v>217199</v>
      </c>
      <c r="CL1992">
        <v>2017</v>
      </c>
      <c r="CM1992">
        <v>3342.79</v>
      </c>
      <c r="CN1992" s="1">
        <v>41115</v>
      </c>
      <c r="CZ1992" s="1">
        <v>41115</v>
      </c>
      <c r="DD1992" t="s">
        <v>11749</v>
      </c>
      <c r="DF1992">
        <v>22</v>
      </c>
      <c r="DG1992">
        <v>29</v>
      </c>
      <c r="DL1992">
        <v>50101</v>
      </c>
      <c r="DM1992" t="s">
        <v>18778</v>
      </c>
      <c r="DO1992" t="s">
        <v>19309</v>
      </c>
      <c r="DP1992">
        <v>0</v>
      </c>
      <c r="DQ1992">
        <v>0</v>
      </c>
      <c r="DR1992" t="s">
        <v>411</v>
      </c>
    </row>
    <row r="1993" spans="1:272" x14ac:dyDescent="0.25">
      <c r="A1993">
        <v>16487000</v>
      </c>
      <c r="B1993">
        <v>1992</v>
      </c>
      <c r="C1993" t="s">
        <v>393</v>
      </c>
      <c r="D1993" t="s">
        <v>394</v>
      </c>
      <c r="F1993" t="str">
        <f>"00-00-30-0600-0002-0020"</f>
        <v>00-00-30-0600-0002-0020</v>
      </c>
      <c r="H1993" t="str">
        <f>"SPENCER-BELL PROPERTIES LLC"</f>
        <v>SPENCER-BELL PROPERTIES LLC</v>
      </c>
      <c r="I1993" t="str">
        <f>"4756 SADDLEHORN TRAIL"</f>
        <v>4756 SADDLEHORN TRAIL</v>
      </c>
      <c r="J1993" t="str">
        <f>"MIDDLEBURG FL 32068"</f>
        <v>MIDDLEBURG FL 32068</v>
      </c>
      <c r="K1993" t="str">
        <f>"2728 SADLER RD"</f>
        <v>2728 SADLER RD</v>
      </c>
      <c r="L1993" t="str">
        <f t="shared" si="752"/>
        <v>FERNANDINA BEACH FL 32034</v>
      </c>
      <c r="M1993" t="str">
        <f>"BLOCK 2 W93.75 FT OF LOT 2 IN OR 1542/125 ESMT PT OR 1203/651 SADLER ESTATES PB 2/68"</f>
        <v>BLOCK 2 W93.75 FT OF LOT 2 IN OR 1542/125 ESMT PT OR 1203/651 SADLER ESTATES PB 2/68</v>
      </c>
      <c r="N1993" t="str">
        <f>""</f>
        <v/>
      </c>
      <c r="O1993" t="str">
        <f>"3215"</f>
        <v>3215</v>
      </c>
      <c r="P1993" t="str">
        <f t="shared" si="749"/>
        <v>2017</v>
      </c>
      <c r="Q1993" t="str">
        <f>""</f>
        <v/>
      </c>
      <c r="R1993" t="str">
        <f t="shared" si="753"/>
        <v>N</v>
      </c>
      <c r="S1993" t="str">
        <f>""</f>
        <v/>
      </c>
      <c r="T1993" t="str">
        <f>"10317.42"</f>
        <v>10317.42</v>
      </c>
      <c r="U1993" t="str">
        <f>"517665.00"</f>
        <v>517665.00</v>
      </c>
      <c r="V1993" t="str">
        <f>"517665.00"</f>
        <v>517665.00</v>
      </c>
      <c r="W1993" t="str">
        <f t="shared" si="750"/>
        <v>2017</v>
      </c>
      <c r="X1993" t="str">
        <f>"10.50"</f>
        <v>10.50</v>
      </c>
      <c r="Y1993" t="str">
        <f>"10658.94"</f>
        <v>10658.94</v>
      </c>
      <c r="Z1993" t="str">
        <f>""</f>
        <v/>
      </c>
      <c r="AA1993" t="str">
        <f>"517665.00"</f>
        <v>517665.00</v>
      </c>
      <c r="AB1993" t="str">
        <f>"Commercial"</f>
        <v>Commercial</v>
      </c>
      <c r="AC1993" t="str">
        <f t="shared" si="735"/>
        <v>0</v>
      </c>
      <c r="AD1993" t="str">
        <f>"4"</f>
        <v>4</v>
      </c>
      <c r="AE1993" t="str">
        <f>"WOOD (INCLUDE STEEL STUDS)"</f>
        <v>WOOD (INCLUDE STEEL STUDS)</v>
      </c>
      <c r="AF1993" t="str">
        <f>"021"</f>
        <v>021</v>
      </c>
      <c r="AG1993" t="str">
        <f t="shared" ref="AG1993:AG2007" si="754">"FL"</f>
        <v>FL</v>
      </c>
      <c r="AH1993" t="str">
        <f>"37500.00"</f>
        <v>37500.00</v>
      </c>
      <c r="AI1993" t="str">
        <f>"375000.00"</f>
        <v>375000.00</v>
      </c>
      <c r="AJ1993" t="str">
        <f>"C55-000-588-9823-0"</f>
        <v>C55-000-588-9823-0</v>
      </c>
      <c r="AK1993" t="str">
        <f>"40673"</f>
        <v>40673</v>
      </c>
      <c r="AL1993">
        <v>7</v>
      </c>
      <c r="AM1993">
        <v>2275</v>
      </c>
      <c r="AN1993">
        <v>11190.29</v>
      </c>
      <c r="AQ1993" t="s">
        <v>19310</v>
      </c>
      <c r="AR1993" t="s">
        <v>19310</v>
      </c>
      <c r="AS1993" t="s">
        <v>19310</v>
      </c>
      <c r="AU1993" t="s">
        <v>396</v>
      </c>
      <c r="AV1993">
        <v>2017</v>
      </c>
      <c r="AW1993" t="str">
        <f>"00-00-30-0600-0002-0020 "</f>
        <v xml:space="preserve">00-00-30-0600-0002-0020 </v>
      </c>
      <c r="AX1993">
        <v>2728</v>
      </c>
      <c r="AZ1993" t="s">
        <v>19307</v>
      </c>
      <c r="BA1993" t="s">
        <v>496</v>
      </c>
      <c r="BD1993" t="s">
        <v>11749</v>
      </c>
      <c r="BE1993" t="s">
        <v>393</v>
      </c>
      <c r="BF1993">
        <v>32034</v>
      </c>
      <c r="BG1993" t="s">
        <v>19311</v>
      </c>
      <c r="BH1993" t="s">
        <v>11751</v>
      </c>
      <c r="BI1993">
        <v>-81.438814245715307</v>
      </c>
      <c r="BJ1993">
        <v>30.638217062971801</v>
      </c>
      <c r="BK1993" t="s">
        <v>19312</v>
      </c>
      <c r="BM1993" t="s">
        <v>19313</v>
      </c>
      <c r="BN1993" t="s">
        <v>6584</v>
      </c>
      <c r="BO1993">
        <v>32068</v>
      </c>
      <c r="BP1993" t="s">
        <v>404</v>
      </c>
      <c r="BQ1993">
        <v>2100</v>
      </c>
      <c r="BR1993" t="s">
        <v>15062</v>
      </c>
      <c r="BS1993">
        <v>2012</v>
      </c>
      <c r="BT1993" t="s">
        <v>15063</v>
      </c>
      <c r="BW1993">
        <v>37501</v>
      </c>
      <c r="BX1993" t="s">
        <v>407</v>
      </c>
      <c r="BY1993" t="s">
        <v>4244</v>
      </c>
      <c r="BZ1993">
        <v>4</v>
      </c>
      <c r="CA1993">
        <v>1989</v>
      </c>
      <c r="CB1993">
        <v>1</v>
      </c>
      <c r="CD1993">
        <v>2017</v>
      </c>
      <c r="CE1993">
        <v>375000</v>
      </c>
      <c r="CF1993">
        <v>142665</v>
      </c>
      <c r="CG1993">
        <v>517665</v>
      </c>
      <c r="CH1993">
        <v>2017</v>
      </c>
      <c r="CI1993">
        <v>375000</v>
      </c>
      <c r="CJ1993">
        <v>142665</v>
      </c>
      <c r="CK1993">
        <v>517665</v>
      </c>
      <c r="CL1993">
        <v>2017</v>
      </c>
      <c r="CM1993">
        <v>10317.42</v>
      </c>
      <c r="CN1993" s="1">
        <v>39436</v>
      </c>
      <c r="CO1993">
        <v>750000</v>
      </c>
      <c r="CV1993">
        <v>563167</v>
      </c>
      <c r="CX1993" t="s">
        <v>3031</v>
      </c>
      <c r="CZ1993" s="1">
        <v>39436</v>
      </c>
      <c r="DA1993">
        <v>0</v>
      </c>
      <c r="DD1993" t="s">
        <v>11749</v>
      </c>
      <c r="DF1993">
        <v>2</v>
      </c>
      <c r="DG1993">
        <v>20</v>
      </c>
      <c r="DL1993">
        <v>50202</v>
      </c>
      <c r="DM1993" t="s">
        <v>19314</v>
      </c>
      <c r="DO1993" t="s">
        <v>19315</v>
      </c>
      <c r="DP1993">
        <v>0</v>
      </c>
      <c r="DQ1993">
        <v>1</v>
      </c>
      <c r="DR1993" t="s">
        <v>1479</v>
      </c>
      <c r="DS1993" t="b">
        <v>1</v>
      </c>
      <c r="DT1993" t="s">
        <v>8902</v>
      </c>
      <c r="DV1993" t="s">
        <v>446</v>
      </c>
      <c r="DX1993">
        <v>9</v>
      </c>
      <c r="DY1993" t="s">
        <v>11438</v>
      </c>
      <c r="DZ1993" t="s">
        <v>447</v>
      </c>
      <c r="EA1993" t="s">
        <v>448</v>
      </c>
      <c r="EB1993" t="s">
        <v>19316</v>
      </c>
      <c r="EC1993">
        <v>20101217</v>
      </c>
      <c r="ED1993" t="s">
        <v>450</v>
      </c>
      <c r="EE1993">
        <v>5</v>
      </c>
      <c r="EF1993">
        <v>0</v>
      </c>
      <c r="EG1993">
        <v>0</v>
      </c>
      <c r="EI1993">
        <v>20160407</v>
      </c>
      <c r="EJ1993">
        <v>0</v>
      </c>
      <c r="EK1993">
        <v>0</v>
      </c>
      <c r="EP1993" t="s">
        <v>421</v>
      </c>
      <c r="EQ1993" t="s">
        <v>422</v>
      </c>
      <c r="ER1993">
        <v>0</v>
      </c>
      <c r="ES1993">
        <v>2</v>
      </c>
      <c r="ET1993">
        <v>0</v>
      </c>
      <c r="EU1993">
        <v>0</v>
      </c>
      <c r="EV1993">
        <v>0</v>
      </c>
      <c r="EW1993" s="2">
        <v>43222</v>
      </c>
      <c r="EX1993" s="1">
        <v>42515</v>
      </c>
      <c r="EY1993">
        <v>2015</v>
      </c>
      <c r="EZ1993">
        <v>8406.48</v>
      </c>
      <c r="FA1993" t="s">
        <v>19317</v>
      </c>
      <c r="FB1993">
        <v>0.25</v>
      </c>
      <c r="FC1993" t="s">
        <v>424</v>
      </c>
      <c r="FD1993" t="s">
        <v>425</v>
      </c>
      <c r="FE1993" s="1">
        <v>43139</v>
      </c>
      <c r="FF1993">
        <v>21</v>
      </c>
      <c r="FG1993">
        <v>2851116</v>
      </c>
      <c r="FH1993" t="s">
        <v>480</v>
      </c>
      <c r="FJ1993" s="1">
        <v>42515</v>
      </c>
      <c r="FK1993">
        <v>2015</v>
      </c>
      <c r="FL1993">
        <v>8406.48</v>
      </c>
      <c r="FM1993" t="s">
        <v>19317</v>
      </c>
      <c r="FN1993">
        <v>0.25</v>
      </c>
      <c r="FO1993" t="s">
        <v>424</v>
      </c>
      <c r="FP1993" t="s">
        <v>425</v>
      </c>
      <c r="FR1993">
        <v>22</v>
      </c>
      <c r="FS1993">
        <v>5661050</v>
      </c>
      <c r="FT1993" t="s">
        <v>19318</v>
      </c>
    </row>
    <row r="1994" spans="1:272" x14ac:dyDescent="0.25">
      <c r="A1994">
        <v>16487001</v>
      </c>
      <c r="B1994">
        <v>1993</v>
      </c>
      <c r="C1994" t="s">
        <v>393</v>
      </c>
      <c r="D1994" t="s">
        <v>394</v>
      </c>
      <c r="F1994" t="str">
        <f>"00-00-30-0600-0002-0071"</f>
        <v>00-00-30-0600-0002-0071</v>
      </c>
      <c r="H1994" t="str">
        <f>"AMELIA LANDINGS PROPERTY OWNERS ASSOCIATION INC C/O ASSOCIATION MANAGEMENT"</f>
        <v>AMELIA LANDINGS PROPERTY OWNERS ASSOCIATION INC C/O ASSOCIATION MANAGEMENT</v>
      </c>
      <c r="I1994" t="str">
        <f>""</f>
        <v/>
      </c>
      <c r="J1994" t="str">
        <f t="shared" ref="J1994:J2000" si="755">"FERNANDINA BEACH FL 32034"</f>
        <v>FERNANDINA BEACH FL 32034</v>
      </c>
      <c r="K1994" t="str">
        <f>"SADLER RD"</f>
        <v>SADLER RD</v>
      </c>
      <c r="L1994" t="str">
        <f t="shared" si="752"/>
        <v>FERNANDINA BEACH FL 32034</v>
      </c>
      <c r="M1994" t="str">
        <f>"BLOCK 2 PRT LOTS 7 &amp; 8 IN OR 544 PG 905 ESMT OR 1572/78 SADLER ESTATES PB 2/68"</f>
        <v>BLOCK 2 PRT LOTS 7 &amp; 8 IN OR 544 PG 905 ESMT OR 1572/78 SADLER ESTATES PB 2/68</v>
      </c>
      <c r="N1994" t="str">
        <f>""</f>
        <v/>
      </c>
      <c r="O1994" t="str">
        <f>"3220"</f>
        <v>3220</v>
      </c>
      <c r="P1994" t="str">
        <f t="shared" si="749"/>
        <v>2017</v>
      </c>
      <c r="Q1994" t="str">
        <f>""</f>
        <v/>
      </c>
      <c r="R1994" t="str">
        <f t="shared" si="753"/>
        <v>N</v>
      </c>
      <c r="S1994" t="str">
        <f>""</f>
        <v/>
      </c>
      <c r="T1994" t="str">
        <f>"533.08"</f>
        <v>533.08</v>
      </c>
      <c r="U1994" t="str">
        <f>"7321.00"</f>
        <v>7321.00</v>
      </c>
      <c r="V1994" t="str">
        <f>"7321.00"</f>
        <v>7321.00</v>
      </c>
      <c r="W1994" t="str">
        <f t="shared" si="750"/>
        <v>2017</v>
      </c>
      <c r="X1994" t="str">
        <f>"16.00"</f>
        <v>16.00</v>
      </c>
      <c r="Y1994" t="str">
        <f>"581.07"</f>
        <v>581.07</v>
      </c>
      <c r="Z1994" t="str">
        <f>""</f>
        <v/>
      </c>
      <c r="AA1994" t="str">
        <f>"66000.00"</f>
        <v>66000.00</v>
      </c>
      <c r="AB1994" t="str">
        <f t="shared" ref="AB1994:AB2005" si="756">"Residential"</f>
        <v>Residential</v>
      </c>
      <c r="AC1994" t="str">
        <f t="shared" si="735"/>
        <v>0</v>
      </c>
      <c r="AD1994" t="str">
        <f>""</f>
        <v/>
      </c>
      <c r="AE1994" t="str">
        <f>""</f>
        <v/>
      </c>
      <c r="AF1994" t="str">
        <f>"000"</f>
        <v>000</v>
      </c>
      <c r="AG1994" t="str">
        <f t="shared" si="754"/>
        <v>FL</v>
      </c>
      <c r="AH1994" t="str">
        <f>"-"</f>
        <v>-</v>
      </c>
      <c r="AI1994" t="str">
        <f>"66000.00"</f>
        <v>66000.00</v>
      </c>
      <c r="AJ1994" t="str">
        <f>"C55-000-585-2661-7"</f>
        <v>C55-000-585-2661-7</v>
      </c>
      <c r="AK1994" t="str">
        <f>"40676"</f>
        <v>40676</v>
      </c>
      <c r="AL1994">
        <v>7</v>
      </c>
      <c r="AM1994">
        <v>2276</v>
      </c>
      <c r="AN1994">
        <v>608.52</v>
      </c>
      <c r="AQ1994" t="s">
        <v>19319</v>
      </c>
      <c r="AR1994" t="s">
        <v>19319</v>
      </c>
      <c r="AS1994" t="s">
        <v>19319</v>
      </c>
      <c r="AU1994" t="s">
        <v>396</v>
      </c>
      <c r="AV1994">
        <v>2017</v>
      </c>
      <c r="AW1994" t="str">
        <f>"00-00-30-0600-0002-0071 "</f>
        <v xml:space="preserve">00-00-30-0600-0002-0071 </v>
      </c>
      <c r="AZ1994" t="s">
        <v>19307</v>
      </c>
      <c r="BA1994" t="s">
        <v>496</v>
      </c>
      <c r="BD1994" t="s">
        <v>11749</v>
      </c>
      <c r="BE1994" t="s">
        <v>393</v>
      </c>
      <c r="BF1994">
        <v>32034</v>
      </c>
      <c r="BG1994" t="s">
        <v>19320</v>
      </c>
      <c r="BH1994" t="s">
        <v>11751</v>
      </c>
      <c r="BI1994">
        <v>-81.440550830288402</v>
      </c>
      <c r="BJ1994">
        <v>30.637995824171998</v>
      </c>
      <c r="BK1994" t="s">
        <v>19321</v>
      </c>
      <c r="BM1994" t="s">
        <v>19322</v>
      </c>
      <c r="BN1994" t="s">
        <v>3983</v>
      </c>
      <c r="BO1994">
        <v>32034</v>
      </c>
      <c r="BP1994" t="s">
        <v>404</v>
      </c>
      <c r="BQ1994">
        <v>0</v>
      </c>
      <c r="BR1994" t="s">
        <v>491</v>
      </c>
      <c r="BS1994">
        <v>8001</v>
      </c>
      <c r="BT1994" t="s">
        <v>492</v>
      </c>
      <c r="BW1994">
        <v>5778</v>
      </c>
      <c r="BX1994" t="s">
        <v>407</v>
      </c>
      <c r="CD1994">
        <v>2017</v>
      </c>
      <c r="CE1994">
        <v>66000</v>
      </c>
      <c r="CG1994">
        <v>66000</v>
      </c>
      <c r="CH1994">
        <v>2017</v>
      </c>
      <c r="CI1994">
        <v>66000</v>
      </c>
      <c r="CK1994">
        <v>66000</v>
      </c>
      <c r="CL1994">
        <v>2017</v>
      </c>
      <c r="CM1994">
        <v>533.08000000000004</v>
      </c>
      <c r="CN1994" s="1">
        <v>32296</v>
      </c>
      <c r="CZ1994" s="1">
        <v>32296</v>
      </c>
      <c r="DD1994" t="s">
        <v>11749</v>
      </c>
      <c r="DG1994">
        <v>20</v>
      </c>
      <c r="DL1994">
        <v>50101</v>
      </c>
      <c r="DM1994" t="s">
        <v>19314</v>
      </c>
      <c r="DO1994" t="s">
        <v>19323</v>
      </c>
      <c r="DP1994">
        <v>0</v>
      </c>
      <c r="DQ1994">
        <v>0</v>
      </c>
      <c r="DR1994" t="s">
        <v>411</v>
      </c>
      <c r="DS1994" t="b">
        <v>1</v>
      </c>
      <c r="DT1994" t="s">
        <v>470</v>
      </c>
      <c r="DU1994" t="s">
        <v>471</v>
      </c>
      <c r="DV1994" t="s">
        <v>472</v>
      </c>
      <c r="DX1994">
        <v>-9999</v>
      </c>
      <c r="DZ1994" t="s">
        <v>447</v>
      </c>
      <c r="EA1994" t="s">
        <v>448</v>
      </c>
      <c r="EB1994" t="s">
        <v>14787</v>
      </c>
      <c r="EC1994">
        <v>20101217</v>
      </c>
      <c r="ED1994" t="s">
        <v>474</v>
      </c>
      <c r="EF1994">
        <v>387.8</v>
      </c>
      <c r="EG1994">
        <v>284.8</v>
      </c>
      <c r="EH1994" t="s">
        <v>451</v>
      </c>
      <c r="EI1994">
        <v>20140731</v>
      </c>
      <c r="EJ1994">
        <v>0</v>
      </c>
      <c r="EK1994">
        <v>0</v>
      </c>
      <c r="EP1994" t="s">
        <v>421</v>
      </c>
      <c r="EQ1994" t="s">
        <v>422</v>
      </c>
      <c r="ER1994">
        <v>1</v>
      </c>
      <c r="ES1994">
        <v>2</v>
      </c>
      <c r="ET1994">
        <v>564.66999999999996</v>
      </c>
      <c r="EU1994">
        <v>34.479999999999997</v>
      </c>
      <c r="EV1994">
        <v>599.15</v>
      </c>
      <c r="EW1994" s="2">
        <v>43222</v>
      </c>
      <c r="EX1994" s="1">
        <v>42879</v>
      </c>
      <c r="EY1994">
        <v>2016</v>
      </c>
      <c r="EZ1994">
        <v>564.66999999999996</v>
      </c>
      <c r="FA1994" t="s">
        <v>19324</v>
      </c>
      <c r="FB1994">
        <v>0.25</v>
      </c>
      <c r="FC1994" t="s">
        <v>424</v>
      </c>
      <c r="FD1994" t="s">
        <v>454</v>
      </c>
      <c r="FF1994">
        <v>12</v>
      </c>
      <c r="FG1994">
        <v>2035919</v>
      </c>
      <c r="FH1994" t="s">
        <v>507</v>
      </c>
      <c r="FJ1994" s="1">
        <v>42151</v>
      </c>
      <c r="FK1994">
        <v>2014</v>
      </c>
      <c r="FL1994">
        <v>570.16999999999996</v>
      </c>
      <c r="FM1994" t="s">
        <v>19325</v>
      </c>
      <c r="FN1994">
        <v>6</v>
      </c>
      <c r="FO1994" t="s">
        <v>424</v>
      </c>
      <c r="FP1994" t="s">
        <v>425</v>
      </c>
      <c r="FQ1994" s="1">
        <v>42436</v>
      </c>
      <c r="FR1994">
        <v>10</v>
      </c>
      <c r="FS1994">
        <v>10125</v>
      </c>
      <c r="FT1994" t="s">
        <v>440</v>
      </c>
      <c r="FV1994" s="1">
        <v>41787</v>
      </c>
      <c r="FW1994">
        <v>2013</v>
      </c>
      <c r="FX1994">
        <v>129.86000000000001</v>
      </c>
      <c r="FY1994" t="s">
        <v>19326</v>
      </c>
      <c r="FZ1994">
        <v>0.25</v>
      </c>
      <c r="GA1994" t="s">
        <v>424</v>
      </c>
      <c r="GB1994" t="s">
        <v>425</v>
      </c>
      <c r="GC1994" s="1">
        <v>42436</v>
      </c>
      <c r="GD1994">
        <v>22</v>
      </c>
      <c r="GE1994">
        <v>10125</v>
      </c>
      <c r="GF1994" t="s">
        <v>440</v>
      </c>
    </row>
    <row r="1995" spans="1:272" x14ac:dyDescent="0.25">
      <c r="A1995">
        <v>16487002</v>
      </c>
      <c r="B1995">
        <v>1994</v>
      </c>
      <c r="C1995" t="s">
        <v>393</v>
      </c>
      <c r="D1995" t="s">
        <v>394</v>
      </c>
      <c r="F1995" t="str">
        <f>"00-00-30-0640-0025-0000"</f>
        <v>00-00-30-0640-0025-0000</v>
      </c>
      <c r="H1995" t="str">
        <f>"WINGATE JOY MIXON EST C/O MEGHAN JOY WINGATE"</f>
        <v>WINGATE JOY MIXON EST C/O MEGHAN JOY WINGATE</v>
      </c>
      <c r="I1995" t="str">
        <f>"1467 ROBIN HOOD DRIVE"</f>
        <v>1467 ROBIN HOOD DRIVE</v>
      </c>
      <c r="J1995" t="str">
        <f t="shared" si="755"/>
        <v>FERNANDINA BEACH FL 32034</v>
      </c>
      <c r="K1995" t="str">
        <f>"1467 ROBIN HOOD DR"</f>
        <v>1467 ROBIN HOOD DR</v>
      </c>
      <c r="L1995" t="str">
        <f t="shared" si="752"/>
        <v>FERNANDINA BEACH FL 32034</v>
      </c>
      <c r="M1995" t="str">
        <f>"LOT 25 PT OR 275/424 &amp; L/E OR 512/235 SHERWOOD FOREST SUB PB 5/10"</f>
        <v>LOT 25 PT OR 275/424 &amp; L/E OR 512/235 SHERWOOD FOREST SUB PB 5/10</v>
      </c>
      <c r="N1995" t="str">
        <f>""</f>
        <v/>
      </c>
      <c r="O1995" t="str">
        <f>"3424"</f>
        <v>3424</v>
      </c>
      <c r="P1995" t="str">
        <f t="shared" si="749"/>
        <v>2017</v>
      </c>
      <c r="Q1995" t="str">
        <f>""</f>
        <v/>
      </c>
      <c r="R1995" t="str">
        <f>"Y"</f>
        <v>Y</v>
      </c>
      <c r="S1995" t="str">
        <f>""</f>
        <v/>
      </c>
      <c r="T1995" t="str">
        <f>"1807.71"</f>
        <v>1807.71</v>
      </c>
      <c r="U1995" t="str">
        <f>"142457.00"</f>
        <v>142457.00</v>
      </c>
      <c r="V1995" t="str">
        <f>"142457.00"</f>
        <v>142457.00</v>
      </c>
      <c r="W1995" t="str">
        <f t="shared" si="750"/>
        <v>2017</v>
      </c>
      <c r="X1995" t="str">
        <f>"10.00"</f>
        <v>10.00</v>
      </c>
      <c r="Y1995" t="str">
        <f>"1893.94"</f>
        <v>1893.94</v>
      </c>
      <c r="Z1995" t="str">
        <f>"25000.00"</f>
        <v>25000.00</v>
      </c>
      <c r="AA1995" t="str">
        <f>"117457.00"</f>
        <v>117457.00</v>
      </c>
      <c r="AB1995" t="str">
        <f t="shared" si="756"/>
        <v>Residential</v>
      </c>
      <c r="AC1995" t="str">
        <f t="shared" si="735"/>
        <v>0</v>
      </c>
      <c r="AD1995" t="str">
        <f>"4"</f>
        <v>4</v>
      </c>
      <c r="AE1995" t="str">
        <f>"WOOD (INCLUDE STEEL STUDS)"</f>
        <v>WOOD (INCLUDE STEEL STUDS)</v>
      </c>
      <c r="AF1995" t="str">
        <f>"001"</f>
        <v>001</v>
      </c>
      <c r="AG1995" t="str">
        <f t="shared" si="754"/>
        <v>FL</v>
      </c>
      <c r="AH1995" t="str">
        <f>"10000.00"</f>
        <v>10000.00</v>
      </c>
      <c r="AI1995" t="str">
        <f>"50000.00"</f>
        <v>50000.00</v>
      </c>
      <c r="AJ1995" t="str">
        <f>"C55-000-585-2822-5"</f>
        <v>C55-000-585-2822-5</v>
      </c>
      <c r="AK1995" t="str">
        <f>"40856"</f>
        <v>40856</v>
      </c>
      <c r="AL1995">
        <v>7</v>
      </c>
      <c r="AM1995">
        <v>2278</v>
      </c>
      <c r="AN1995">
        <v>1987.04</v>
      </c>
      <c r="AQ1995" t="s">
        <v>19327</v>
      </c>
      <c r="AR1995" t="s">
        <v>19327</v>
      </c>
      <c r="AS1995" t="s">
        <v>19327</v>
      </c>
      <c r="AU1995" t="s">
        <v>396</v>
      </c>
      <c r="AV1995">
        <v>2017</v>
      </c>
      <c r="AW1995" t="str">
        <f>"00-00-30-0640-0025-0000 "</f>
        <v xml:space="preserve">00-00-30-0640-0025-0000 </v>
      </c>
      <c r="AX1995">
        <v>1467</v>
      </c>
      <c r="AZ1995" t="s">
        <v>19328</v>
      </c>
      <c r="BA1995" t="s">
        <v>669</v>
      </c>
      <c r="BD1995" t="s">
        <v>11749</v>
      </c>
      <c r="BE1995" t="s">
        <v>393</v>
      </c>
      <c r="BF1995">
        <v>32034</v>
      </c>
      <c r="BG1995" t="s">
        <v>19329</v>
      </c>
      <c r="BH1995" t="s">
        <v>11751</v>
      </c>
      <c r="BI1995">
        <v>-81.454207647104894</v>
      </c>
      <c r="BJ1995">
        <v>30.635538102299801</v>
      </c>
      <c r="BK1995" t="s">
        <v>19330</v>
      </c>
      <c r="BM1995" t="s">
        <v>19331</v>
      </c>
      <c r="BN1995" t="s">
        <v>3983</v>
      </c>
      <c r="BO1995">
        <v>32034</v>
      </c>
      <c r="BP1995" t="s">
        <v>416</v>
      </c>
      <c r="BQ1995">
        <v>100</v>
      </c>
      <c r="BR1995" t="s">
        <v>514</v>
      </c>
      <c r="BS1995">
        <v>1001</v>
      </c>
      <c r="BT1995" t="s">
        <v>515</v>
      </c>
      <c r="BU1995">
        <v>1000</v>
      </c>
      <c r="BV1995">
        <v>1000</v>
      </c>
      <c r="BW1995">
        <v>10000</v>
      </c>
      <c r="BX1995" t="s">
        <v>407</v>
      </c>
      <c r="BY1995" t="s">
        <v>4360</v>
      </c>
      <c r="BZ1995">
        <v>4</v>
      </c>
      <c r="CA1995">
        <v>1981</v>
      </c>
      <c r="CB1995">
        <v>1</v>
      </c>
      <c r="CC1995">
        <v>1</v>
      </c>
      <c r="CD1995">
        <v>2017</v>
      </c>
      <c r="CE1995">
        <v>50000</v>
      </c>
      <c r="CF1995">
        <v>92457</v>
      </c>
      <c r="CG1995">
        <v>142457</v>
      </c>
      <c r="CH1995">
        <v>2017</v>
      </c>
      <c r="CI1995">
        <v>50000</v>
      </c>
      <c r="CJ1995">
        <v>92457</v>
      </c>
      <c r="CK1995">
        <v>142457</v>
      </c>
      <c r="CL1995">
        <v>2017</v>
      </c>
      <c r="CM1995">
        <v>1807.71</v>
      </c>
      <c r="CN1995" s="1">
        <v>31841</v>
      </c>
      <c r="CZ1995" s="1">
        <v>31841</v>
      </c>
      <c r="DD1995" t="s">
        <v>11749</v>
      </c>
      <c r="DF1995">
        <v>25</v>
      </c>
      <c r="DG1995">
        <v>30</v>
      </c>
      <c r="DJ1995" t="s">
        <v>19332</v>
      </c>
      <c r="DL1995">
        <v>50202</v>
      </c>
      <c r="DM1995" t="s">
        <v>18678</v>
      </c>
      <c r="DO1995" t="s">
        <v>19333</v>
      </c>
      <c r="DP1995">
        <v>0</v>
      </c>
      <c r="DQ1995">
        <v>0</v>
      </c>
      <c r="DR1995" t="s">
        <v>411</v>
      </c>
      <c r="DS1995" t="b">
        <v>1</v>
      </c>
      <c r="DT1995" t="s">
        <v>470</v>
      </c>
      <c r="DU1995" t="s">
        <v>471</v>
      </c>
      <c r="DV1995" t="s">
        <v>472</v>
      </c>
      <c r="DX1995">
        <v>-9999</v>
      </c>
      <c r="DZ1995" t="s">
        <v>447</v>
      </c>
      <c r="EA1995" t="s">
        <v>448</v>
      </c>
      <c r="EB1995" t="s">
        <v>14787</v>
      </c>
      <c r="EC1995">
        <v>20101217</v>
      </c>
      <c r="ED1995" t="s">
        <v>474</v>
      </c>
      <c r="EF1995">
        <v>2227.6</v>
      </c>
      <c r="EG1995">
        <v>614</v>
      </c>
      <c r="EH1995" t="s">
        <v>451</v>
      </c>
      <c r="EI1995">
        <v>20140731</v>
      </c>
      <c r="EJ1995">
        <v>0</v>
      </c>
      <c r="EK1995">
        <v>0</v>
      </c>
      <c r="EP1995" t="s">
        <v>421</v>
      </c>
      <c r="EQ1995" t="s">
        <v>422</v>
      </c>
      <c r="ER1995">
        <v>0</v>
      </c>
      <c r="ES1995">
        <v>2</v>
      </c>
      <c r="ET1995">
        <v>0</v>
      </c>
      <c r="EU1995">
        <v>0</v>
      </c>
      <c r="EV1995">
        <v>0</v>
      </c>
      <c r="EW1995" s="2">
        <v>43222</v>
      </c>
      <c r="EX1995" s="1">
        <v>42151</v>
      </c>
      <c r="EY1995">
        <v>2014</v>
      </c>
      <c r="EZ1995">
        <v>1064.17</v>
      </c>
      <c r="FA1995" t="s">
        <v>19334</v>
      </c>
      <c r="FB1995">
        <v>0.25</v>
      </c>
      <c r="FC1995" t="s">
        <v>424</v>
      </c>
      <c r="FD1995" t="s">
        <v>425</v>
      </c>
      <c r="FE1995" s="1">
        <v>42432</v>
      </c>
      <c r="FF1995">
        <v>10</v>
      </c>
      <c r="FG1995">
        <v>2851116</v>
      </c>
      <c r="FH1995" t="s">
        <v>480</v>
      </c>
      <c r="FJ1995" s="1">
        <v>42151</v>
      </c>
      <c r="FK1995">
        <v>2014</v>
      </c>
      <c r="FL1995">
        <v>1064.17</v>
      </c>
      <c r="FM1995" t="s">
        <v>19334</v>
      </c>
      <c r="FN1995">
        <v>0.25</v>
      </c>
      <c r="FO1995" t="s">
        <v>424</v>
      </c>
      <c r="FP1995" t="s">
        <v>425</v>
      </c>
      <c r="FR1995">
        <v>22</v>
      </c>
      <c r="FS1995">
        <v>5012137</v>
      </c>
      <c r="FT1995" t="s">
        <v>19335</v>
      </c>
    </row>
    <row r="1996" spans="1:272" x14ac:dyDescent="0.25">
      <c r="A1996">
        <v>16487003</v>
      </c>
      <c r="B1996">
        <v>1995</v>
      </c>
      <c r="C1996" t="s">
        <v>393</v>
      </c>
      <c r="D1996" t="s">
        <v>394</v>
      </c>
      <c r="F1996" t="str">
        <f>"00-00-30-065S-0200-0000"</f>
        <v>00-00-30-065S-0200-0000</v>
      </c>
      <c r="H1996" t="str">
        <f>"AMELIA PROPERTIES LLC"</f>
        <v>AMELIA PROPERTIES LLC</v>
      </c>
      <c r="I1996" t="str">
        <f>"5211 S FLETCHER AV"</f>
        <v>5211 S FLETCHER AV</v>
      </c>
      <c r="J1996" t="str">
        <f t="shared" si="755"/>
        <v>FERNANDINA BEACH FL 32034</v>
      </c>
      <c r="K1996" t="str">
        <f>"5211 S FLETCHER AV 200"</f>
        <v>5211 S FLETCHER AV 200</v>
      </c>
      <c r="L1996" t="str">
        <f t="shared" si="752"/>
        <v>FERNANDINA BEACH FL 32034</v>
      </c>
      <c r="M1996" t="str">
        <f>"UNIT 200 IN OR 1987/1763 SOUTH FLETCHER PROFESSIONAL CENTER CONDO OR 1504/510"</f>
        <v>UNIT 200 IN OR 1987/1763 SOUTH FLETCHER PROFESSIONAL CENTER CONDO OR 1504/510</v>
      </c>
      <c r="N1996" t="str">
        <f>""</f>
        <v/>
      </c>
      <c r="O1996" t="str">
        <f>"3463"</f>
        <v>3463</v>
      </c>
      <c r="P1996" t="str">
        <f t="shared" si="749"/>
        <v>2017</v>
      </c>
      <c r="Q1996" t="str">
        <f>""</f>
        <v/>
      </c>
      <c r="R1996" t="str">
        <f>"N"</f>
        <v>N</v>
      </c>
      <c r="S1996" t="str">
        <f>""</f>
        <v/>
      </c>
      <c r="T1996" t="str">
        <f>"3152.44"</f>
        <v>3152.44</v>
      </c>
      <c r="U1996" t="str">
        <f>"204832.00"</f>
        <v>204832.00</v>
      </c>
      <c r="V1996" t="str">
        <f>"204832.00"</f>
        <v>204832.00</v>
      </c>
      <c r="W1996" t="str">
        <f t="shared" si="750"/>
        <v>2017</v>
      </c>
      <c r="X1996" t="str">
        <f>""</f>
        <v/>
      </c>
      <c r="Y1996" t="str">
        <f>"3279.01"</f>
        <v>3279.01</v>
      </c>
      <c r="Z1996" t="str">
        <f>""</f>
        <v/>
      </c>
      <c r="AA1996" t="str">
        <f>"204832.00"</f>
        <v>204832.00</v>
      </c>
      <c r="AB1996" t="str">
        <f t="shared" si="756"/>
        <v>Residential</v>
      </c>
      <c r="AC1996" t="str">
        <f t="shared" si="735"/>
        <v>0</v>
      </c>
      <c r="AD1996" t="str">
        <f>""</f>
        <v/>
      </c>
      <c r="AE1996" t="str">
        <f>""</f>
        <v/>
      </c>
      <c r="AF1996" t="str">
        <f>"004"</f>
        <v>004</v>
      </c>
      <c r="AG1996" t="str">
        <f t="shared" si="754"/>
        <v>FL</v>
      </c>
      <c r="AH1996" t="str">
        <f t="shared" ref="AH1996:AI1999" si="757">"-"</f>
        <v>-</v>
      </c>
      <c r="AI1996" t="str">
        <f t="shared" si="757"/>
        <v>-</v>
      </c>
      <c r="AJ1996" t="str">
        <f>"C55-001-011-2536-7"</f>
        <v>C55-001-011-2536-7</v>
      </c>
      <c r="AK1996" t="str">
        <f>"40891"</f>
        <v>40891</v>
      </c>
      <c r="AL1996">
        <v>7</v>
      </c>
      <c r="AM1996">
        <v>2279</v>
      </c>
      <c r="AN1996">
        <v>3441.36</v>
      </c>
      <c r="AQ1996" t="s">
        <v>19336</v>
      </c>
      <c r="AR1996" t="s">
        <v>19336</v>
      </c>
      <c r="AS1996" t="s">
        <v>19336</v>
      </c>
      <c r="AU1996" t="s">
        <v>396</v>
      </c>
      <c r="AV1996">
        <v>2017</v>
      </c>
      <c r="AW1996" t="str">
        <f>"00-00-30-065S-0200-0000 "</f>
        <v xml:space="preserve">00-00-30-065S-0200-0000 </v>
      </c>
      <c r="AX1996">
        <v>5211</v>
      </c>
      <c r="AY1996" t="s">
        <v>18674</v>
      </c>
      <c r="AZ1996" t="s">
        <v>18248</v>
      </c>
      <c r="BA1996" t="s">
        <v>1122</v>
      </c>
      <c r="BC1996">
        <v>200</v>
      </c>
      <c r="BD1996" t="s">
        <v>11749</v>
      </c>
      <c r="BE1996" t="s">
        <v>393</v>
      </c>
      <c r="BF1996">
        <v>32034</v>
      </c>
      <c r="BG1996" t="s">
        <v>19337</v>
      </c>
      <c r="BH1996" t="s">
        <v>11751</v>
      </c>
      <c r="BI1996">
        <v>-81.453896135475503</v>
      </c>
      <c r="BJ1996">
        <v>30.595515997842401</v>
      </c>
      <c r="BK1996" t="s">
        <v>19338</v>
      </c>
      <c r="BM1996" t="s">
        <v>19339</v>
      </c>
      <c r="BN1996" t="s">
        <v>3983</v>
      </c>
      <c r="BO1996">
        <v>32034</v>
      </c>
      <c r="BP1996" t="s">
        <v>404</v>
      </c>
      <c r="BQ1996">
        <v>417</v>
      </c>
      <c r="BR1996" t="s">
        <v>15097</v>
      </c>
      <c r="BS1996">
        <v>1004</v>
      </c>
      <c r="BT1996" t="s">
        <v>15098</v>
      </c>
      <c r="BW1996">
        <v>52965</v>
      </c>
      <c r="BX1996" t="s">
        <v>407</v>
      </c>
      <c r="CA1996">
        <v>2001</v>
      </c>
      <c r="CC1996">
        <v>1</v>
      </c>
      <c r="CD1996">
        <v>2017</v>
      </c>
      <c r="CF1996">
        <v>204832</v>
      </c>
      <c r="CG1996">
        <v>204832</v>
      </c>
      <c r="CH1996">
        <v>2017</v>
      </c>
      <c r="CJ1996">
        <v>204832</v>
      </c>
      <c r="CK1996">
        <v>204832</v>
      </c>
      <c r="CL1996">
        <v>2017</v>
      </c>
      <c r="CM1996">
        <v>3152.44</v>
      </c>
      <c r="CN1996" s="1">
        <v>42180</v>
      </c>
      <c r="CO1996">
        <v>850000</v>
      </c>
      <c r="CV1996">
        <v>760000</v>
      </c>
      <c r="CX1996" t="s">
        <v>707</v>
      </c>
      <c r="CZ1996" s="1">
        <v>42180</v>
      </c>
      <c r="DA1996">
        <v>0</v>
      </c>
      <c r="DD1996" t="s">
        <v>11749</v>
      </c>
      <c r="DG1996">
        <v>12</v>
      </c>
      <c r="DI1996">
        <v>200</v>
      </c>
      <c r="DJ1996" t="s">
        <v>15276</v>
      </c>
      <c r="DL1996">
        <v>50203</v>
      </c>
      <c r="DM1996" t="s">
        <v>18692</v>
      </c>
      <c r="DO1996" t="s">
        <v>19340</v>
      </c>
      <c r="DP1996">
        <v>0</v>
      </c>
      <c r="DQ1996">
        <v>0</v>
      </c>
      <c r="DR1996" t="s">
        <v>411</v>
      </c>
    </row>
    <row r="1997" spans="1:272" x14ac:dyDescent="0.25">
      <c r="A1997">
        <v>16487004</v>
      </c>
      <c r="B1997">
        <v>1996</v>
      </c>
      <c r="C1997" t="s">
        <v>393</v>
      </c>
      <c r="D1997" t="s">
        <v>394</v>
      </c>
      <c r="F1997" t="str">
        <f>"00-00-30-065S-0201-0000"</f>
        <v>00-00-30-065S-0201-0000</v>
      </c>
      <c r="H1997" t="str">
        <f>"AMELIA PROPERTIES LLC"</f>
        <v>AMELIA PROPERTIES LLC</v>
      </c>
      <c r="I1997" t="str">
        <f>"5211 S FLETCHER AV"</f>
        <v>5211 S FLETCHER AV</v>
      </c>
      <c r="J1997" t="str">
        <f t="shared" si="755"/>
        <v>FERNANDINA BEACH FL 32034</v>
      </c>
      <c r="K1997" t="str">
        <f>"5211 S FLETCHER AV 201"</f>
        <v>5211 S FLETCHER AV 201</v>
      </c>
      <c r="L1997" t="str">
        <f t="shared" si="752"/>
        <v>FERNANDINA BEACH FL 32034</v>
      </c>
      <c r="M1997" t="str">
        <f>"UNIT 201 IN OR 1987/1763 SOUTH FLETCHER PROFESSIONAL CENTER CONDO OR 1504/510"</f>
        <v>UNIT 201 IN OR 1987/1763 SOUTH FLETCHER PROFESSIONAL CENTER CONDO OR 1504/510</v>
      </c>
      <c r="N1997" t="str">
        <f>""</f>
        <v/>
      </c>
      <c r="O1997" t="str">
        <f>"3464"</f>
        <v>3464</v>
      </c>
      <c r="P1997" t="str">
        <f t="shared" si="749"/>
        <v>2017</v>
      </c>
      <c r="Q1997" t="str">
        <f>""</f>
        <v/>
      </c>
      <c r="R1997" t="str">
        <f>"N"</f>
        <v>N</v>
      </c>
      <c r="S1997" t="str">
        <f>""</f>
        <v/>
      </c>
      <c r="T1997" t="str">
        <f>"2364.35"</f>
        <v>2364.35</v>
      </c>
      <c r="U1997" t="str">
        <f>"153624.00"</f>
        <v>153624.00</v>
      </c>
      <c r="V1997" t="str">
        <f>"153624.00"</f>
        <v>153624.00</v>
      </c>
      <c r="W1997" t="str">
        <f t="shared" si="750"/>
        <v>2017</v>
      </c>
      <c r="X1997" t="str">
        <f>""</f>
        <v/>
      </c>
      <c r="Y1997" t="str">
        <f>"2467.28"</f>
        <v>2467.28</v>
      </c>
      <c r="Z1997" t="str">
        <f>""</f>
        <v/>
      </c>
      <c r="AA1997" t="str">
        <f>"153624.00"</f>
        <v>153624.00</v>
      </c>
      <c r="AB1997" t="str">
        <f t="shared" si="756"/>
        <v>Residential</v>
      </c>
      <c r="AC1997" t="str">
        <f t="shared" si="735"/>
        <v>0</v>
      </c>
      <c r="AD1997" t="str">
        <f>""</f>
        <v/>
      </c>
      <c r="AE1997" t="str">
        <f>""</f>
        <v/>
      </c>
      <c r="AF1997" t="str">
        <f>"004"</f>
        <v>004</v>
      </c>
      <c r="AG1997" t="str">
        <f t="shared" si="754"/>
        <v>FL</v>
      </c>
      <c r="AH1997" t="str">
        <f t="shared" si="757"/>
        <v>-</v>
      </c>
      <c r="AI1997" t="str">
        <f t="shared" si="757"/>
        <v>-</v>
      </c>
      <c r="AJ1997" t="str">
        <f>"C55-001-011-2537-5"</f>
        <v>C55-001-011-2537-5</v>
      </c>
      <c r="AK1997" t="str">
        <f>"40892"</f>
        <v>40892</v>
      </c>
      <c r="AL1997">
        <v>7</v>
      </c>
      <c r="AM1997">
        <v>2280</v>
      </c>
      <c r="AN1997">
        <v>2589.04</v>
      </c>
      <c r="AQ1997" t="s">
        <v>19341</v>
      </c>
      <c r="AR1997" t="s">
        <v>19341</v>
      </c>
      <c r="AS1997" t="s">
        <v>19341</v>
      </c>
      <c r="AU1997" t="s">
        <v>396</v>
      </c>
      <c r="AV1997">
        <v>2017</v>
      </c>
      <c r="AW1997" t="str">
        <f>"00-00-30-065S-0201-0000 "</f>
        <v xml:space="preserve">00-00-30-065S-0201-0000 </v>
      </c>
      <c r="AX1997">
        <v>5211</v>
      </c>
      <c r="AY1997" t="s">
        <v>18674</v>
      </c>
      <c r="AZ1997" t="s">
        <v>18248</v>
      </c>
      <c r="BA1997" t="s">
        <v>1122</v>
      </c>
      <c r="BC1997">
        <v>201</v>
      </c>
      <c r="BD1997" t="s">
        <v>11749</v>
      </c>
      <c r="BE1997" t="s">
        <v>393</v>
      </c>
      <c r="BF1997">
        <v>32034</v>
      </c>
      <c r="BG1997" t="s">
        <v>19342</v>
      </c>
      <c r="BH1997" t="s">
        <v>11751</v>
      </c>
      <c r="BI1997">
        <v>-81.453896135475503</v>
      </c>
      <c r="BJ1997">
        <v>30.595515997842401</v>
      </c>
      <c r="BK1997" t="s">
        <v>19338</v>
      </c>
      <c r="BM1997" t="s">
        <v>19339</v>
      </c>
      <c r="BN1997" t="s">
        <v>3983</v>
      </c>
      <c r="BO1997">
        <v>32034</v>
      </c>
      <c r="BP1997" t="s">
        <v>404</v>
      </c>
      <c r="BQ1997">
        <v>417</v>
      </c>
      <c r="BR1997" t="s">
        <v>15097</v>
      </c>
      <c r="BS1997">
        <v>1004</v>
      </c>
      <c r="BT1997" t="s">
        <v>15098</v>
      </c>
      <c r="BW1997">
        <v>52965</v>
      </c>
      <c r="BX1997" t="s">
        <v>407</v>
      </c>
      <c r="CA1997">
        <v>2001</v>
      </c>
      <c r="CC1997">
        <v>1</v>
      </c>
      <c r="CD1997">
        <v>2017</v>
      </c>
      <c r="CF1997">
        <v>153624</v>
      </c>
      <c r="CG1997">
        <v>153624</v>
      </c>
      <c r="CH1997">
        <v>2017</v>
      </c>
      <c r="CJ1997">
        <v>153624</v>
      </c>
      <c r="CK1997">
        <v>153624</v>
      </c>
      <c r="CL1997">
        <v>2017</v>
      </c>
      <c r="CM1997">
        <v>2364.35</v>
      </c>
      <c r="CN1997" s="1">
        <v>42180</v>
      </c>
      <c r="CO1997">
        <v>850000</v>
      </c>
      <c r="CV1997">
        <v>760000</v>
      </c>
      <c r="CX1997" t="s">
        <v>707</v>
      </c>
      <c r="CZ1997" s="1">
        <v>42180</v>
      </c>
      <c r="DA1997">
        <v>0</v>
      </c>
      <c r="DD1997" t="s">
        <v>11749</v>
      </c>
      <c r="DG1997">
        <v>12</v>
      </c>
      <c r="DI1997">
        <v>201</v>
      </c>
      <c r="DJ1997" t="s">
        <v>15276</v>
      </c>
      <c r="DL1997">
        <v>50203</v>
      </c>
      <c r="DM1997" t="s">
        <v>18692</v>
      </c>
      <c r="DO1997" t="s">
        <v>19343</v>
      </c>
      <c r="DP1997">
        <v>0</v>
      </c>
      <c r="DQ1997">
        <v>0</v>
      </c>
      <c r="DR1997" t="s">
        <v>411</v>
      </c>
    </row>
    <row r="1998" spans="1:272" x14ac:dyDescent="0.25">
      <c r="A1998">
        <v>16487005</v>
      </c>
      <c r="B1998">
        <v>1997</v>
      </c>
      <c r="C1998" t="s">
        <v>393</v>
      </c>
      <c r="D1998" t="s">
        <v>394</v>
      </c>
      <c r="F1998" t="str">
        <f>"00-00-30-065S-0202-0000"</f>
        <v>00-00-30-065S-0202-0000</v>
      </c>
      <c r="H1998" t="str">
        <f>"AMELIA PROPERTIES LLC"</f>
        <v>AMELIA PROPERTIES LLC</v>
      </c>
      <c r="I1998" t="str">
        <f>"5211 S FLETCHER AV"</f>
        <v>5211 S FLETCHER AV</v>
      </c>
      <c r="J1998" t="str">
        <f t="shared" si="755"/>
        <v>FERNANDINA BEACH FL 32034</v>
      </c>
      <c r="K1998" t="str">
        <f>"5211 S FLETCHER AV 202"</f>
        <v>5211 S FLETCHER AV 202</v>
      </c>
      <c r="L1998" t="str">
        <f t="shared" si="752"/>
        <v>FERNANDINA BEACH FL 32034</v>
      </c>
      <c r="M1998" t="str">
        <f>"UNIT 202 IN OR 1987/1763 SOUTH FLETCHER PROFESSIONAL CENTER CONDO OR 1504/510"</f>
        <v>UNIT 202 IN OR 1987/1763 SOUTH FLETCHER PROFESSIONAL CENTER CONDO OR 1504/510</v>
      </c>
      <c r="N1998" t="str">
        <f>""</f>
        <v/>
      </c>
      <c r="O1998" t="str">
        <f>"3465"</f>
        <v>3465</v>
      </c>
      <c r="P1998" t="str">
        <f t="shared" si="749"/>
        <v>2017</v>
      </c>
      <c r="Q1998" t="str">
        <f>""</f>
        <v/>
      </c>
      <c r="R1998" t="str">
        <f>"N"</f>
        <v>N</v>
      </c>
      <c r="S1998" t="str">
        <f>""</f>
        <v/>
      </c>
      <c r="T1998" t="str">
        <f>"2277.79"</f>
        <v>2277.79</v>
      </c>
      <c r="U1998" t="str">
        <f>"148000.00"</f>
        <v>148000.00</v>
      </c>
      <c r="V1998" t="str">
        <f>"148000.00"</f>
        <v>148000.00</v>
      </c>
      <c r="W1998" t="str">
        <f t="shared" si="750"/>
        <v>2017</v>
      </c>
      <c r="X1998" t="str">
        <f>""</f>
        <v/>
      </c>
      <c r="Y1998" t="str">
        <f>"2378.12"</f>
        <v>2378.12</v>
      </c>
      <c r="Z1998" t="str">
        <f>""</f>
        <v/>
      </c>
      <c r="AA1998" t="str">
        <f>"148000.00"</f>
        <v>148000.00</v>
      </c>
      <c r="AB1998" t="str">
        <f t="shared" si="756"/>
        <v>Residential</v>
      </c>
      <c r="AC1998" t="str">
        <f t="shared" si="735"/>
        <v>0</v>
      </c>
      <c r="AD1998" t="str">
        <f>""</f>
        <v/>
      </c>
      <c r="AE1998" t="str">
        <f>""</f>
        <v/>
      </c>
      <c r="AF1998" t="str">
        <f>"004"</f>
        <v>004</v>
      </c>
      <c r="AG1998" t="str">
        <f t="shared" si="754"/>
        <v>FL</v>
      </c>
      <c r="AH1998" t="str">
        <f t="shared" si="757"/>
        <v>-</v>
      </c>
      <c r="AI1998" t="str">
        <f t="shared" si="757"/>
        <v>-</v>
      </c>
      <c r="AJ1998" t="str">
        <f>"C55-001-011-2538-3"</f>
        <v>C55-001-011-2538-3</v>
      </c>
      <c r="AK1998" t="str">
        <f>"40893"</f>
        <v>40893</v>
      </c>
      <c r="AL1998">
        <v>7</v>
      </c>
      <c r="AM1998">
        <v>2281</v>
      </c>
      <c r="AN1998">
        <v>2495.4299999999998</v>
      </c>
      <c r="AQ1998" t="s">
        <v>19344</v>
      </c>
      <c r="AR1998" t="s">
        <v>19344</v>
      </c>
      <c r="AS1998" t="s">
        <v>19344</v>
      </c>
      <c r="AU1998" t="s">
        <v>396</v>
      </c>
      <c r="AV1998">
        <v>2017</v>
      </c>
      <c r="AW1998" t="str">
        <f>"00-00-30-065S-0202-0000 "</f>
        <v xml:space="preserve">00-00-30-065S-0202-0000 </v>
      </c>
      <c r="AX1998">
        <v>5211</v>
      </c>
      <c r="AY1998" t="s">
        <v>18674</v>
      </c>
      <c r="AZ1998" t="s">
        <v>18248</v>
      </c>
      <c r="BA1998" t="s">
        <v>1122</v>
      </c>
      <c r="BC1998">
        <v>202</v>
      </c>
      <c r="BD1998" t="s">
        <v>11749</v>
      </c>
      <c r="BE1998" t="s">
        <v>393</v>
      </c>
      <c r="BF1998">
        <v>32034</v>
      </c>
      <c r="BG1998" t="s">
        <v>19345</v>
      </c>
      <c r="BH1998" t="s">
        <v>11751</v>
      </c>
      <c r="BI1998">
        <v>-81.453896135475503</v>
      </c>
      <c r="BJ1998">
        <v>30.595515997842401</v>
      </c>
      <c r="BK1998" t="s">
        <v>19338</v>
      </c>
      <c r="BM1998" t="s">
        <v>19339</v>
      </c>
      <c r="BN1998" t="s">
        <v>3983</v>
      </c>
      <c r="BO1998">
        <v>32034</v>
      </c>
      <c r="BP1998" t="s">
        <v>404</v>
      </c>
      <c r="BQ1998">
        <v>417</v>
      </c>
      <c r="BR1998" t="s">
        <v>15097</v>
      </c>
      <c r="BS1998">
        <v>1004</v>
      </c>
      <c r="BT1998" t="s">
        <v>15098</v>
      </c>
      <c r="BW1998">
        <v>52965</v>
      </c>
      <c r="BX1998" t="s">
        <v>407</v>
      </c>
      <c r="CA1998">
        <v>2001</v>
      </c>
      <c r="CC1998">
        <v>1</v>
      </c>
      <c r="CD1998">
        <v>2017</v>
      </c>
      <c r="CF1998">
        <v>148000</v>
      </c>
      <c r="CG1998">
        <v>148000</v>
      </c>
      <c r="CH1998">
        <v>2017</v>
      </c>
      <c r="CJ1998">
        <v>148000</v>
      </c>
      <c r="CK1998">
        <v>148000</v>
      </c>
      <c r="CL1998">
        <v>2017</v>
      </c>
      <c r="CM1998">
        <v>2277.79</v>
      </c>
      <c r="CN1998" s="1">
        <v>42180</v>
      </c>
      <c r="CO1998">
        <v>850000</v>
      </c>
      <c r="CV1998">
        <v>760000</v>
      </c>
      <c r="CX1998" t="s">
        <v>707</v>
      </c>
      <c r="CZ1998" s="1">
        <v>42180</v>
      </c>
      <c r="DA1998">
        <v>0</v>
      </c>
      <c r="DD1998" t="s">
        <v>11749</v>
      </c>
      <c r="DG1998">
        <v>12</v>
      </c>
      <c r="DI1998">
        <v>202</v>
      </c>
      <c r="DJ1998" t="s">
        <v>15276</v>
      </c>
      <c r="DL1998">
        <v>50203</v>
      </c>
      <c r="DM1998" t="s">
        <v>18692</v>
      </c>
      <c r="DO1998" t="s">
        <v>19346</v>
      </c>
      <c r="DP1998">
        <v>0</v>
      </c>
      <c r="DQ1998">
        <v>0</v>
      </c>
      <c r="DR1998" t="s">
        <v>411</v>
      </c>
    </row>
    <row r="1999" spans="1:272" x14ac:dyDescent="0.25">
      <c r="A1999">
        <v>16487006</v>
      </c>
      <c r="B1999">
        <v>1998</v>
      </c>
      <c r="C1999" t="s">
        <v>393</v>
      </c>
      <c r="D1999" t="s">
        <v>394</v>
      </c>
      <c r="F1999" t="str">
        <f>"00-00-30-065S-0203-0000"</f>
        <v>00-00-30-065S-0203-0000</v>
      </c>
      <c r="H1999" t="str">
        <f>"AMELIA PROPERTIES LLC"</f>
        <v>AMELIA PROPERTIES LLC</v>
      </c>
      <c r="I1999" t="str">
        <f>"5211 S FLETCHER AV"</f>
        <v>5211 S FLETCHER AV</v>
      </c>
      <c r="J1999" t="str">
        <f t="shared" si="755"/>
        <v>FERNANDINA BEACH FL 32034</v>
      </c>
      <c r="K1999" t="str">
        <f>"5211 S FLETCHER AV 203"</f>
        <v>5211 S FLETCHER AV 203</v>
      </c>
      <c r="L1999" t="str">
        <f t="shared" si="752"/>
        <v>FERNANDINA BEACH FL 32034</v>
      </c>
      <c r="M1999" t="str">
        <f>"UNIT 203 IN OR 1987/1763 SOUTH FLETCHER PROFESSIONAL CENTER CONDO OR 1504/510"</f>
        <v>UNIT 203 IN OR 1987/1763 SOUTH FLETCHER PROFESSIONAL CENTER CONDO OR 1504/510</v>
      </c>
      <c r="N1999" t="str">
        <f>""</f>
        <v/>
      </c>
      <c r="O1999" t="str">
        <f>"3466"</f>
        <v>3466</v>
      </c>
      <c r="P1999" t="str">
        <f t="shared" si="749"/>
        <v>2017</v>
      </c>
      <c r="Q1999" t="str">
        <f>""</f>
        <v/>
      </c>
      <c r="R1999" t="str">
        <f>"N"</f>
        <v>N</v>
      </c>
      <c r="S1999" t="str">
        <f>""</f>
        <v/>
      </c>
      <c r="T1999" t="str">
        <f>"2562.51"</f>
        <v>2562.51</v>
      </c>
      <c r="U1999" t="str">
        <f>"166500.00"</f>
        <v>166500.00</v>
      </c>
      <c r="V1999" t="str">
        <f>"166500.00"</f>
        <v>166500.00</v>
      </c>
      <c r="W1999" t="str">
        <f t="shared" si="750"/>
        <v>2017</v>
      </c>
      <c r="X1999" t="str">
        <f>""</f>
        <v/>
      </c>
      <c r="Y1999" t="str">
        <f>"2671.39"</f>
        <v>2671.39</v>
      </c>
      <c r="Z1999" t="str">
        <f>""</f>
        <v/>
      </c>
      <c r="AA1999" t="str">
        <f>"166500.00"</f>
        <v>166500.00</v>
      </c>
      <c r="AB1999" t="str">
        <f t="shared" si="756"/>
        <v>Residential</v>
      </c>
      <c r="AC1999" t="str">
        <f t="shared" si="735"/>
        <v>0</v>
      </c>
      <c r="AD1999" t="str">
        <f>""</f>
        <v/>
      </c>
      <c r="AE1999" t="str">
        <f>""</f>
        <v/>
      </c>
      <c r="AF1999" t="str">
        <f>"004"</f>
        <v>004</v>
      </c>
      <c r="AG1999" t="str">
        <f t="shared" si="754"/>
        <v>FL</v>
      </c>
      <c r="AH1999" t="str">
        <f t="shared" si="757"/>
        <v>-</v>
      </c>
      <c r="AI1999" t="str">
        <f t="shared" si="757"/>
        <v>-</v>
      </c>
      <c r="AJ1999" t="str">
        <f>"C55-001-011-2539-1"</f>
        <v>C55-001-011-2539-1</v>
      </c>
      <c r="AK1999" t="str">
        <f>"40894"</f>
        <v>40894</v>
      </c>
      <c r="AL1999">
        <v>7</v>
      </c>
      <c r="AM1999">
        <v>2282</v>
      </c>
      <c r="AN1999">
        <v>2803.36</v>
      </c>
      <c r="AQ1999" t="s">
        <v>19347</v>
      </c>
      <c r="AR1999" t="s">
        <v>19347</v>
      </c>
      <c r="AS1999" t="s">
        <v>19347</v>
      </c>
      <c r="AU1999" t="s">
        <v>396</v>
      </c>
      <c r="AV1999">
        <v>2017</v>
      </c>
      <c r="AW1999" t="str">
        <f>"00-00-30-065S-0203-0000 "</f>
        <v xml:space="preserve">00-00-30-065S-0203-0000 </v>
      </c>
      <c r="AX1999">
        <v>5211</v>
      </c>
      <c r="AY1999" t="s">
        <v>18674</v>
      </c>
      <c r="AZ1999" t="s">
        <v>18248</v>
      </c>
      <c r="BA1999" t="s">
        <v>1122</v>
      </c>
      <c r="BC1999">
        <v>203</v>
      </c>
      <c r="BD1999" t="s">
        <v>11749</v>
      </c>
      <c r="BE1999" t="s">
        <v>393</v>
      </c>
      <c r="BF1999">
        <v>32034</v>
      </c>
      <c r="BG1999" t="s">
        <v>19348</v>
      </c>
      <c r="BH1999" t="s">
        <v>11751</v>
      </c>
      <c r="BI1999">
        <v>-81.453896135475503</v>
      </c>
      <c r="BJ1999">
        <v>30.595515997842401</v>
      </c>
      <c r="BK1999" t="s">
        <v>19338</v>
      </c>
      <c r="BM1999" t="s">
        <v>19339</v>
      </c>
      <c r="BN1999" t="s">
        <v>3983</v>
      </c>
      <c r="BO1999">
        <v>32034</v>
      </c>
      <c r="BP1999" t="s">
        <v>404</v>
      </c>
      <c r="BQ1999">
        <v>417</v>
      </c>
      <c r="BR1999" t="s">
        <v>15097</v>
      </c>
      <c r="BS1999">
        <v>1004</v>
      </c>
      <c r="BT1999" t="s">
        <v>15098</v>
      </c>
      <c r="BW1999">
        <v>52965</v>
      </c>
      <c r="BX1999" t="s">
        <v>407</v>
      </c>
      <c r="CA1999">
        <v>2001</v>
      </c>
      <c r="CC1999">
        <v>1</v>
      </c>
      <c r="CD1999">
        <v>2017</v>
      </c>
      <c r="CF1999">
        <v>166500</v>
      </c>
      <c r="CG1999">
        <v>166500</v>
      </c>
      <c r="CH1999">
        <v>2017</v>
      </c>
      <c r="CJ1999">
        <v>166500</v>
      </c>
      <c r="CK1999">
        <v>166500</v>
      </c>
      <c r="CL1999">
        <v>2017</v>
      </c>
      <c r="CM1999">
        <v>2562.5100000000002</v>
      </c>
      <c r="CN1999" s="1">
        <v>42180</v>
      </c>
      <c r="CO1999">
        <v>850000</v>
      </c>
      <c r="CV1999">
        <v>760000</v>
      </c>
      <c r="CX1999" t="s">
        <v>707</v>
      </c>
      <c r="CZ1999" s="1">
        <v>42180</v>
      </c>
      <c r="DA1999">
        <v>0</v>
      </c>
      <c r="DD1999" t="s">
        <v>11749</v>
      </c>
      <c r="DG1999">
        <v>12</v>
      </c>
      <c r="DI1999">
        <v>203</v>
      </c>
      <c r="DJ1999" t="s">
        <v>15276</v>
      </c>
      <c r="DL1999">
        <v>50203</v>
      </c>
      <c r="DM1999" t="s">
        <v>18692</v>
      </c>
      <c r="DO1999" t="s">
        <v>19349</v>
      </c>
      <c r="DP1999">
        <v>0</v>
      </c>
      <c r="DQ1999">
        <v>0</v>
      </c>
      <c r="DR1999" t="s">
        <v>411</v>
      </c>
    </row>
    <row r="2000" spans="1:272" x14ac:dyDescent="0.25">
      <c r="A2000">
        <v>16487007</v>
      </c>
      <c r="B2000">
        <v>1999</v>
      </c>
      <c r="C2000" t="s">
        <v>393</v>
      </c>
      <c r="D2000" t="s">
        <v>394</v>
      </c>
      <c r="F2000" t="str">
        <f>"00-00-30-0740-0060-0020"</f>
        <v>00-00-30-0740-0060-0020</v>
      </c>
      <c r="H2000" t="str">
        <f>"PAGE BOBBIE S MARDEGAN"</f>
        <v>PAGE BOBBIE S MARDEGAN</v>
      </c>
      <c r="I2000" t="str">
        <f>"2633 AMELIA ROAD"</f>
        <v>2633 AMELIA ROAD</v>
      </c>
      <c r="J2000" t="str">
        <f t="shared" si="755"/>
        <v>FERNANDINA BEACH FL 32034</v>
      </c>
      <c r="K2000" t="str">
        <f>"2633 AMELIA RD"</f>
        <v>2633 AMELIA RD</v>
      </c>
      <c r="L2000" t="str">
        <f t="shared" si="752"/>
        <v>FERNANDINA BEACH FL 32034</v>
      </c>
      <c r="M2000" t="str">
        <f>"PT OF LOTS 60 61 IN OR 570/1213 SUB PT OF SEC 4 PB 0/59"</f>
        <v>PT OF LOTS 60 61 IN OR 570/1213 SUB PT OF SEC 4 PB 0/59</v>
      </c>
      <c r="N2000" t="str">
        <f>""</f>
        <v/>
      </c>
      <c r="O2000" t="str">
        <f>"3533"</f>
        <v>3533</v>
      </c>
      <c r="P2000" t="str">
        <f t="shared" si="749"/>
        <v>2017</v>
      </c>
      <c r="Q2000" t="str">
        <f>""</f>
        <v/>
      </c>
      <c r="R2000" t="str">
        <f>"Y"</f>
        <v>Y</v>
      </c>
      <c r="S2000" t="str">
        <f>"1.10"</f>
        <v>1.10</v>
      </c>
      <c r="T2000" t="str">
        <f>"629.64"</f>
        <v>629.64</v>
      </c>
      <c r="U2000" t="str">
        <f>"80194.00"</f>
        <v>80194.00</v>
      </c>
      <c r="V2000" t="str">
        <f>"80194.00"</f>
        <v>80194.00</v>
      </c>
      <c r="W2000" t="str">
        <f t="shared" si="750"/>
        <v>2017</v>
      </c>
      <c r="X2000" t="str">
        <f>"12.00"</f>
        <v>12.00</v>
      </c>
      <c r="Y2000" t="str">
        <f>"680.53"</f>
        <v>680.53</v>
      </c>
      <c r="Z2000" t="str">
        <f>"25000.00"</f>
        <v>25000.00</v>
      </c>
      <c r="AA2000" t="str">
        <f>"55194.00"</f>
        <v>55194.00</v>
      </c>
      <c r="AB2000" t="str">
        <f t="shared" si="756"/>
        <v>Residential</v>
      </c>
      <c r="AC2000" t="str">
        <f t="shared" si="735"/>
        <v>0</v>
      </c>
      <c r="AD2000" t="str">
        <f>"4"</f>
        <v>4</v>
      </c>
      <c r="AE2000" t="str">
        <f>"WOOD (INCLUDE STEEL STUDS)"</f>
        <v>WOOD (INCLUDE STEEL STUDS)</v>
      </c>
      <c r="AF2000" t="str">
        <f>"001"</f>
        <v>001</v>
      </c>
      <c r="AG2000" t="str">
        <f t="shared" si="754"/>
        <v>FL</v>
      </c>
      <c r="AH2000" t="str">
        <f>"47916.00"</f>
        <v>47916.00</v>
      </c>
      <c r="AI2000" t="str">
        <f>"82500.00"</f>
        <v>82500.00</v>
      </c>
      <c r="AJ2000" t="str">
        <f>"C55-000-585-2911-6"</f>
        <v>C55-000-585-2911-6</v>
      </c>
      <c r="AK2000" t="str">
        <f>"40953"</f>
        <v>40953</v>
      </c>
      <c r="AL2000">
        <v>7</v>
      </c>
      <c r="AM2000">
        <v>2283</v>
      </c>
      <c r="AN2000">
        <v>712.96</v>
      </c>
      <c r="AQ2000" t="s">
        <v>19350</v>
      </c>
      <c r="AR2000" t="s">
        <v>19350</v>
      </c>
      <c r="AS2000" t="s">
        <v>19350</v>
      </c>
      <c r="AU2000" t="s">
        <v>396</v>
      </c>
      <c r="AV2000">
        <v>2017</v>
      </c>
      <c r="AW2000" t="str">
        <f>"00-00-30-0740-0060-0020 "</f>
        <v xml:space="preserve">00-00-30-0740-0060-0020 </v>
      </c>
      <c r="AX2000">
        <v>2633</v>
      </c>
      <c r="AZ2000" t="s">
        <v>19002</v>
      </c>
      <c r="BA2000" t="s">
        <v>496</v>
      </c>
      <c r="BD2000" t="s">
        <v>11749</v>
      </c>
      <c r="BE2000" t="s">
        <v>393</v>
      </c>
      <c r="BF2000">
        <v>32034</v>
      </c>
      <c r="BG2000" t="s">
        <v>14379</v>
      </c>
      <c r="BH2000" t="s">
        <v>11751</v>
      </c>
      <c r="BI2000">
        <v>-81.460046229177195</v>
      </c>
      <c r="BJ2000">
        <v>30.631094398071902</v>
      </c>
      <c r="BK2000" t="s">
        <v>14377</v>
      </c>
      <c r="BL2000" t="s">
        <v>19351</v>
      </c>
      <c r="BM2000" t="s">
        <v>14379</v>
      </c>
      <c r="BN2000" t="s">
        <v>3983</v>
      </c>
      <c r="BO2000">
        <v>32034</v>
      </c>
      <c r="BP2000" t="s">
        <v>416</v>
      </c>
      <c r="BQ2000">
        <v>100</v>
      </c>
      <c r="BR2000" t="s">
        <v>514</v>
      </c>
      <c r="BS2000">
        <v>1001</v>
      </c>
      <c r="BT2000" t="s">
        <v>515</v>
      </c>
      <c r="BW2000">
        <v>47916</v>
      </c>
      <c r="BX2000" t="s">
        <v>407</v>
      </c>
      <c r="BY2000" t="s">
        <v>7351</v>
      </c>
      <c r="BZ2000">
        <v>4</v>
      </c>
      <c r="CA2000">
        <v>1930</v>
      </c>
      <c r="CB2000">
        <v>1</v>
      </c>
      <c r="CC2000">
        <v>1</v>
      </c>
      <c r="CD2000">
        <v>2017</v>
      </c>
      <c r="CG2000">
        <v>80194</v>
      </c>
      <c r="CH2000">
        <v>2017</v>
      </c>
      <c r="CI2000">
        <v>82500</v>
      </c>
      <c r="CJ2000">
        <v>52707</v>
      </c>
      <c r="CK2000">
        <v>135207</v>
      </c>
      <c r="CL2000">
        <v>2017</v>
      </c>
      <c r="CM2000">
        <v>629.64</v>
      </c>
      <c r="CN2000" s="1">
        <v>32653</v>
      </c>
      <c r="CZ2000" s="1">
        <v>32653</v>
      </c>
      <c r="DD2000" t="s">
        <v>11749</v>
      </c>
      <c r="DG2000">
        <v>4</v>
      </c>
      <c r="DJ2000" t="s">
        <v>19352</v>
      </c>
      <c r="DL2000">
        <v>50202</v>
      </c>
      <c r="DM2000" t="s">
        <v>19353</v>
      </c>
      <c r="DO2000" t="s">
        <v>19354</v>
      </c>
      <c r="DP2000">
        <v>0</v>
      </c>
      <c r="DQ2000">
        <v>0</v>
      </c>
      <c r="DR2000" t="s">
        <v>411</v>
      </c>
      <c r="DS2000" t="b">
        <v>1</v>
      </c>
      <c r="DT2000" t="s">
        <v>470</v>
      </c>
      <c r="DU2000" t="s">
        <v>471</v>
      </c>
      <c r="DV2000" t="s">
        <v>472</v>
      </c>
      <c r="DX2000">
        <v>-9999</v>
      </c>
      <c r="DZ2000" t="s">
        <v>447</v>
      </c>
      <c r="EA2000" t="s">
        <v>448</v>
      </c>
      <c r="EB2000" t="s">
        <v>14787</v>
      </c>
      <c r="EC2000">
        <v>20101217</v>
      </c>
      <c r="ED2000" t="s">
        <v>474</v>
      </c>
      <c r="EF2000">
        <v>993</v>
      </c>
      <c r="EG2000">
        <v>60.6</v>
      </c>
      <c r="EI2000">
        <v>20160407</v>
      </c>
      <c r="EJ2000">
        <v>0</v>
      </c>
      <c r="EK2000">
        <v>0</v>
      </c>
      <c r="EP2000" t="s">
        <v>421</v>
      </c>
      <c r="EQ2000" t="s">
        <v>422</v>
      </c>
      <c r="ER2000">
        <v>2</v>
      </c>
      <c r="ES2000">
        <v>2</v>
      </c>
      <c r="ET2000">
        <v>1385.28</v>
      </c>
      <c r="EU2000">
        <v>81.760000000000005</v>
      </c>
      <c r="EV2000">
        <v>1467.04</v>
      </c>
      <c r="EW2000" s="2">
        <v>43222</v>
      </c>
      <c r="EX2000" s="1">
        <v>42879</v>
      </c>
      <c r="EY2000">
        <v>2016</v>
      </c>
      <c r="EZ2000">
        <v>692.64</v>
      </c>
      <c r="FA2000" t="s">
        <v>19355</v>
      </c>
      <c r="FB2000">
        <v>0.25</v>
      </c>
      <c r="FC2000" t="s">
        <v>424</v>
      </c>
      <c r="FD2000" t="s">
        <v>454</v>
      </c>
      <c r="FF2000">
        <v>12</v>
      </c>
      <c r="FG2000">
        <v>5857474</v>
      </c>
      <c r="FH2000" t="s">
        <v>900</v>
      </c>
      <c r="FJ2000" s="1">
        <v>42879</v>
      </c>
      <c r="FK2000">
        <v>2016</v>
      </c>
      <c r="FL2000">
        <v>692.64</v>
      </c>
      <c r="FM2000" t="s">
        <v>19355</v>
      </c>
      <c r="FN2000">
        <v>0.25</v>
      </c>
      <c r="FO2000" t="s">
        <v>424</v>
      </c>
      <c r="FP2000" t="s">
        <v>454</v>
      </c>
      <c r="FR2000">
        <v>12</v>
      </c>
      <c r="FS2000">
        <v>6682454</v>
      </c>
      <c r="FT2000" t="s">
        <v>19356</v>
      </c>
      <c r="FV2000" s="1">
        <v>42515</v>
      </c>
      <c r="FW2000">
        <v>2015</v>
      </c>
      <c r="FX2000">
        <v>698.05</v>
      </c>
      <c r="FY2000" t="s">
        <v>19357</v>
      </c>
      <c r="FZ2000">
        <v>0.25</v>
      </c>
      <c r="GA2000" t="s">
        <v>424</v>
      </c>
      <c r="GB2000" t="s">
        <v>425</v>
      </c>
      <c r="GC2000" s="1">
        <v>42877</v>
      </c>
      <c r="GD2000">
        <v>12</v>
      </c>
      <c r="GE2000">
        <v>2851116</v>
      </c>
      <c r="GF2000" t="s">
        <v>480</v>
      </c>
      <c r="GH2000" s="1">
        <v>42515</v>
      </c>
      <c r="GI2000">
        <v>2015</v>
      </c>
      <c r="GJ2000">
        <v>698.05</v>
      </c>
      <c r="GK2000" t="s">
        <v>19357</v>
      </c>
      <c r="GL2000">
        <v>0.25</v>
      </c>
      <c r="GM2000" t="s">
        <v>424</v>
      </c>
      <c r="GN2000" t="s">
        <v>425</v>
      </c>
      <c r="GP2000">
        <v>22</v>
      </c>
      <c r="GQ2000">
        <v>5746548</v>
      </c>
      <c r="GR2000" t="s">
        <v>19358</v>
      </c>
    </row>
    <row r="2001" spans="1:284" x14ac:dyDescent="0.25">
      <c r="A2001">
        <v>16487008</v>
      </c>
      <c r="B2001">
        <v>2000</v>
      </c>
      <c r="C2001" t="s">
        <v>393</v>
      </c>
      <c r="D2001" t="s">
        <v>394</v>
      </c>
      <c r="F2001" t="str">
        <f>"00-00-30-0741-0093-0000"</f>
        <v>00-00-30-0741-0093-0000</v>
      </c>
      <c r="H2001" t="str">
        <f>"ADVANTAGE HOME BUILDERS INC"</f>
        <v>ADVANTAGE HOME BUILDERS INC</v>
      </c>
      <c r="I2001" t="str">
        <f>"305 KINGSLEY LAKE DR STE 704"</f>
        <v>305 KINGSLEY LAKE DR STE 704</v>
      </c>
      <c r="J2001" t="str">
        <f>"ST AUGUSTINE FL 32092"</f>
        <v>ST AUGUSTINE FL 32092</v>
      </c>
      <c r="K2001" t="str">
        <f>"96171 OCEAN BREEZE DR"</f>
        <v>96171 OCEAN BREEZE DR</v>
      </c>
      <c r="L2001" t="str">
        <f>"FERNANDINA FL 32034"</f>
        <v>FERNANDINA FL 32034</v>
      </c>
      <c r="M2001" t="str">
        <f>"LOT 93 IN OR 1992/1048 OCEAN BREEZE AT AMELIA PB 8/91"</f>
        <v>LOT 93 IN OR 1992/1048 OCEAN BREEZE AT AMELIA PB 8/91</v>
      </c>
      <c r="N2001" t="str">
        <f>""</f>
        <v/>
      </c>
      <c r="O2001" t="str">
        <f>"3687"</f>
        <v>3687</v>
      </c>
      <c r="P2001" t="str">
        <f t="shared" si="749"/>
        <v>2017</v>
      </c>
      <c r="Q2001" t="str">
        <f>""</f>
        <v/>
      </c>
      <c r="R2001" t="str">
        <f>"N"</f>
        <v>N</v>
      </c>
      <c r="S2001" t="str">
        <f>""</f>
        <v/>
      </c>
      <c r="T2001" t="str">
        <f>"1462.09"</f>
        <v>1462.09</v>
      </c>
      <c r="U2001" t="str">
        <f>"95000.00"</f>
        <v>95000.00</v>
      </c>
      <c r="V2001" t="str">
        <f>"95000.00"</f>
        <v>95000.00</v>
      </c>
      <c r="W2001" t="str">
        <f t="shared" si="750"/>
        <v>2017</v>
      </c>
      <c r="X2001" t="str">
        <f>"21.00"</f>
        <v>21.00</v>
      </c>
      <c r="Y2001" t="str">
        <f>"1537.95"</f>
        <v>1537.95</v>
      </c>
      <c r="Z2001" t="str">
        <f>""</f>
        <v/>
      </c>
      <c r="AA2001" t="str">
        <f>"95000.00"</f>
        <v>95000.00</v>
      </c>
      <c r="AB2001" t="str">
        <f t="shared" si="756"/>
        <v>Residential</v>
      </c>
      <c r="AC2001" t="str">
        <f t="shared" si="735"/>
        <v>0</v>
      </c>
      <c r="AD2001" t="str">
        <f>""</f>
        <v/>
      </c>
      <c r="AE2001" t="str">
        <f>""</f>
        <v/>
      </c>
      <c r="AF2001" t="str">
        <f>"000"</f>
        <v>000</v>
      </c>
      <c r="AG2001" t="str">
        <f t="shared" si="754"/>
        <v>FL</v>
      </c>
      <c r="AH2001" t="str">
        <f>"10890.00"</f>
        <v>10890.00</v>
      </c>
      <c r="AI2001" t="str">
        <f>"95000.00"</f>
        <v>95000.00</v>
      </c>
      <c r="AJ2001" t="str">
        <f>"C55-001-066-3734-1"</f>
        <v>C55-001-066-3734-1</v>
      </c>
      <c r="AK2001" t="str">
        <f>"41110"</f>
        <v>41110</v>
      </c>
      <c r="AL2001">
        <v>7</v>
      </c>
      <c r="AM2001">
        <v>2284</v>
      </c>
      <c r="AN2001">
        <v>1613.25</v>
      </c>
      <c r="AQ2001" t="s">
        <v>19359</v>
      </c>
      <c r="AR2001" t="s">
        <v>19359</v>
      </c>
      <c r="AS2001" t="s">
        <v>19359</v>
      </c>
      <c r="AU2001" t="s">
        <v>396</v>
      </c>
      <c r="AV2001">
        <v>2017</v>
      </c>
      <c r="AW2001" t="str">
        <f>"00-00-30-0741-0093-0000 "</f>
        <v xml:space="preserve">00-00-30-0741-0093-0000 </v>
      </c>
      <c r="AX2001">
        <v>96171</v>
      </c>
      <c r="AZ2001" t="s">
        <v>19204</v>
      </c>
      <c r="BA2001" t="s">
        <v>669</v>
      </c>
      <c r="BD2001" t="s">
        <v>19360</v>
      </c>
      <c r="BE2001" t="s">
        <v>393</v>
      </c>
      <c r="BF2001">
        <v>32034</v>
      </c>
      <c r="BG2001" t="s">
        <v>19361</v>
      </c>
      <c r="BH2001" t="s">
        <v>19362</v>
      </c>
      <c r="BI2001">
        <v>-81.450700800757403</v>
      </c>
      <c r="BJ2001">
        <v>30.627376472414898</v>
      </c>
      <c r="BK2001" t="s">
        <v>15203</v>
      </c>
      <c r="BM2001" t="s">
        <v>15204</v>
      </c>
      <c r="BN2001" t="s">
        <v>2756</v>
      </c>
      <c r="BO2001">
        <v>32092</v>
      </c>
      <c r="BP2001" t="s">
        <v>404</v>
      </c>
      <c r="BQ2001">
        <v>0</v>
      </c>
      <c r="BR2001" t="s">
        <v>491</v>
      </c>
      <c r="BS2001">
        <v>8001</v>
      </c>
      <c r="BT2001" t="s">
        <v>492</v>
      </c>
      <c r="BW2001">
        <v>10890</v>
      </c>
      <c r="BX2001" t="s">
        <v>407</v>
      </c>
      <c r="CD2001">
        <v>2017</v>
      </c>
      <c r="CE2001">
        <v>95000</v>
      </c>
      <c r="CG2001">
        <v>95000</v>
      </c>
      <c r="CH2001">
        <v>2017</v>
      </c>
      <c r="CI2001">
        <v>95000</v>
      </c>
      <c r="CK2001">
        <v>95000</v>
      </c>
      <c r="CL2001">
        <v>2017</v>
      </c>
      <c r="CM2001">
        <v>1462.09</v>
      </c>
      <c r="CN2001" s="1">
        <v>42194</v>
      </c>
      <c r="CO2001">
        <v>110000</v>
      </c>
      <c r="CZ2001" s="1">
        <v>42194</v>
      </c>
      <c r="DD2001" t="s">
        <v>19360</v>
      </c>
      <c r="DG2001">
        <v>4</v>
      </c>
      <c r="DL2001">
        <v>50202</v>
      </c>
      <c r="DM2001" t="s">
        <v>19353</v>
      </c>
      <c r="DO2001" t="s">
        <v>19363</v>
      </c>
      <c r="DP2001">
        <v>0</v>
      </c>
      <c r="DQ2001">
        <v>1</v>
      </c>
      <c r="DR2001" t="s">
        <v>1479</v>
      </c>
      <c r="DS2001" t="b">
        <v>1</v>
      </c>
      <c r="DT2001" t="s">
        <v>470</v>
      </c>
      <c r="DU2001" t="s">
        <v>471</v>
      </c>
      <c r="DV2001" t="s">
        <v>472</v>
      </c>
      <c r="DX2001">
        <v>-9999</v>
      </c>
      <c r="DZ2001" t="s">
        <v>447</v>
      </c>
      <c r="EA2001" t="s">
        <v>448</v>
      </c>
      <c r="EB2001" t="s">
        <v>14787</v>
      </c>
      <c r="EC2001">
        <v>20101217</v>
      </c>
      <c r="ED2001" t="s">
        <v>474</v>
      </c>
      <c r="EF2001">
        <v>1943.3</v>
      </c>
      <c r="EG2001">
        <v>561.29999999999995</v>
      </c>
      <c r="EI2001">
        <v>20160407</v>
      </c>
      <c r="EJ2001">
        <v>0</v>
      </c>
      <c r="EK2001">
        <v>0</v>
      </c>
      <c r="EP2001" t="s">
        <v>421</v>
      </c>
      <c r="EQ2001" t="s">
        <v>422</v>
      </c>
      <c r="ER2001">
        <v>2</v>
      </c>
      <c r="ES2001">
        <v>2</v>
      </c>
      <c r="ET2001">
        <v>3093.14</v>
      </c>
      <c r="EU2001">
        <v>167.16</v>
      </c>
      <c r="EV2001">
        <v>3260.3</v>
      </c>
      <c r="EW2001" s="2">
        <v>43222</v>
      </c>
      <c r="EX2001" s="1">
        <v>42879</v>
      </c>
      <c r="EY2001">
        <v>2016</v>
      </c>
      <c r="EZ2001">
        <v>1546.57</v>
      </c>
      <c r="FA2001" t="s">
        <v>19364</v>
      </c>
      <c r="FB2001">
        <v>0.25</v>
      </c>
      <c r="FC2001" t="s">
        <v>424</v>
      </c>
      <c r="FD2001" t="s">
        <v>454</v>
      </c>
      <c r="FF2001">
        <v>12</v>
      </c>
      <c r="FG2001">
        <v>7400234</v>
      </c>
      <c r="FH2001" t="s">
        <v>426</v>
      </c>
      <c r="FJ2001" s="1">
        <v>42879</v>
      </c>
      <c r="FK2001">
        <v>2016</v>
      </c>
      <c r="FL2001">
        <v>1546.57</v>
      </c>
      <c r="FM2001" t="s">
        <v>19364</v>
      </c>
      <c r="FN2001">
        <v>0.25</v>
      </c>
      <c r="FO2001" t="s">
        <v>424</v>
      </c>
      <c r="FP2001" t="s">
        <v>454</v>
      </c>
      <c r="FR2001">
        <v>12</v>
      </c>
      <c r="FS2001">
        <v>7493792</v>
      </c>
      <c r="FT2001" t="s">
        <v>19365</v>
      </c>
      <c r="FV2001" s="1">
        <v>42515</v>
      </c>
      <c r="FW2001">
        <v>2015</v>
      </c>
      <c r="FX2001">
        <v>1137.7</v>
      </c>
      <c r="FY2001" t="s">
        <v>19366</v>
      </c>
      <c r="FZ2001">
        <v>0.25</v>
      </c>
      <c r="GA2001" t="s">
        <v>424</v>
      </c>
      <c r="GB2001" t="s">
        <v>425</v>
      </c>
      <c r="GC2001" s="1">
        <v>43158</v>
      </c>
      <c r="GD2001">
        <v>21</v>
      </c>
      <c r="GE2001">
        <v>7045074</v>
      </c>
      <c r="GF2001" t="s">
        <v>580</v>
      </c>
      <c r="GH2001" s="1">
        <v>42515</v>
      </c>
      <c r="GI2001">
        <v>2015</v>
      </c>
      <c r="GJ2001">
        <v>1137.7</v>
      </c>
      <c r="GK2001" t="s">
        <v>19366</v>
      </c>
      <c r="GL2001">
        <v>0.25</v>
      </c>
      <c r="GM2001" t="s">
        <v>424</v>
      </c>
      <c r="GN2001" t="s">
        <v>425</v>
      </c>
      <c r="GP2001">
        <v>22</v>
      </c>
      <c r="GQ2001">
        <v>6560925</v>
      </c>
      <c r="GR2001" t="s">
        <v>19367</v>
      </c>
    </row>
    <row r="2002" spans="1:284" x14ac:dyDescent="0.25">
      <c r="A2002">
        <v>16487009</v>
      </c>
      <c r="B2002">
        <v>2001</v>
      </c>
      <c r="C2002" t="s">
        <v>393</v>
      </c>
      <c r="D2002" t="s">
        <v>394</v>
      </c>
      <c r="F2002" t="str">
        <f>"00-00-30-0741-0101-0000"</f>
        <v>00-00-30-0741-0101-0000</v>
      </c>
      <c r="H2002" t="str">
        <f>"ADVANTAGE HOME BUILDERS INC"</f>
        <v>ADVANTAGE HOME BUILDERS INC</v>
      </c>
      <c r="I2002" t="str">
        <f>"305 KINGSLEY LAKE DR STE 704"</f>
        <v>305 KINGSLEY LAKE DR STE 704</v>
      </c>
      <c r="J2002" t="str">
        <f>"ST AUGUSTINE FL 32092"</f>
        <v>ST AUGUSTINE FL 32092</v>
      </c>
      <c r="K2002" t="str">
        <f>"96119 OCEAN BREEZE DR"</f>
        <v>96119 OCEAN BREEZE DR</v>
      </c>
      <c r="L2002" t="str">
        <f>"FERNANDINA FL 32034"</f>
        <v>FERNANDINA FL 32034</v>
      </c>
      <c r="M2002" t="str">
        <f>"LOT 101 IN OR 1992/1048 OCEAN BREEZE AT AMELIA PB 8/91"</f>
        <v>LOT 101 IN OR 1992/1048 OCEAN BREEZE AT AMELIA PB 8/91</v>
      </c>
      <c r="N2002" t="str">
        <f>""</f>
        <v/>
      </c>
      <c r="O2002" t="str">
        <f>"3696"</f>
        <v>3696</v>
      </c>
      <c r="P2002" t="str">
        <f t="shared" si="749"/>
        <v>2017</v>
      </c>
      <c r="Q2002" t="str">
        <f>""</f>
        <v/>
      </c>
      <c r="R2002" t="str">
        <f>"N"</f>
        <v>N</v>
      </c>
      <c r="S2002" t="str">
        <f>""</f>
        <v/>
      </c>
      <c r="T2002" t="str">
        <f>"1462.09"</f>
        <v>1462.09</v>
      </c>
      <c r="U2002" t="str">
        <f>"95000.00"</f>
        <v>95000.00</v>
      </c>
      <c r="V2002" t="str">
        <f>"95000.00"</f>
        <v>95000.00</v>
      </c>
      <c r="W2002" t="str">
        <f t="shared" si="750"/>
        <v>2017</v>
      </c>
      <c r="X2002" t="str">
        <f>"21.00"</f>
        <v>21.00</v>
      </c>
      <c r="Y2002" t="str">
        <f>"1537.95"</f>
        <v>1537.95</v>
      </c>
      <c r="Z2002" t="str">
        <f>""</f>
        <v/>
      </c>
      <c r="AA2002" t="str">
        <f>"95000.00"</f>
        <v>95000.00</v>
      </c>
      <c r="AB2002" t="str">
        <f t="shared" si="756"/>
        <v>Residential</v>
      </c>
      <c r="AC2002" t="str">
        <f t="shared" si="735"/>
        <v>0</v>
      </c>
      <c r="AD2002" t="str">
        <f>""</f>
        <v/>
      </c>
      <c r="AE2002" t="str">
        <f>""</f>
        <v/>
      </c>
      <c r="AF2002" t="str">
        <f>"000"</f>
        <v>000</v>
      </c>
      <c r="AG2002" t="str">
        <f t="shared" si="754"/>
        <v>FL</v>
      </c>
      <c r="AH2002" t="str">
        <f>"8712.00"</f>
        <v>8712.00</v>
      </c>
      <c r="AI2002" t="str">
        <f>"95000.00"</f>
        <v>95000.00</v>
      </c>
      <c r="AJ2002" t="str">
        <f>"C55-001-066-3743-2"</f>
        <v>C55-001-066-3743-2</v>
      </c>
      <c r="AK2002" t="str">
        <f>"41118"</f>
        <v>41118</v>
      </c>
      <c r="AL2002">
        <v>7</v>
      </c>
      <c r="AM2002">
        <v>2285</v>
      </c>
      <c r="AN2002">
        <v>1613.25</v>
      </c>
      <c r="AQ2002" t="s">
        <v>19368</v>
      </c>
      <c r="AR2002" t="s">
        <v>19368</v>
      </c>
      <c r="AS2002" t="s">
        <v>19368</v>
      </c>
      <c r="AU2002" t="s">
        <v>396</v>
      </c>
      <c r="AV2002">
        <v>2017</v>
      </c>
      <c r="AW2002" t="str">
        <f>"00-00-30-0741-0101-0000 "</f>
        <v xml:space="preserve">00-00-30-0741-0101-0000 </v>
      </c>
      <c r="AX2002">
        <v>96119</v>
      </c>
      <c r="AZ2002" t="s">
        <v>19204</v>
      </c>
      <c r="BA2002" t="s">
        <v>669</v>
      </c>
      <c r="BD2002" t="s">
        <v>19360</v>
      </c>
      <c r="BE2002" t="s">
        <v>393</v>
      </c>
      <c r="BF2002">
        <v>32034</v>
      </c>
      <c r="BG2002" t="s">
        <v>19369</v>
      </c>
      <c r="BH2002" t="s">
        <v>19362</v>
      </c>
      <c r="BI2002">
        <v>-81.451189482815906</v>
      </c>
      <c r="BJ2002">
        <v>30.628942963116</v>
      </c>
      <c r="BK2002" t="s">
        <v>15203</v>
      </c>
      <c r="BM2002" t="s">
        <v>15204</v>
      </c>
      <c r="BN2002" t="s">
        <v>2756</v>
      </c>
      <c r="BO2002">
        <v>32092</v>
      </c>
      <c r="BP2002" t="s">
        <v>404</v>
      </c>
      <c r="BQ2002">
        <v>0</v>
      </c>
      <c r="BR2002" t="s">
        <v>491</v>
      </c>
      <c r="BS2002">
        <v>8001</v>
      </c>
      <c r="BT2002" t="s">
        <v>492</v>
      </c>
      <c r="BW2002">
        <v>8712</v>
      </c>
      <c r="BX2002" t="s">
        <v>407</v>
      </c>
      <c r="CD2002">
        <v>2017</v>
      </c>
      <c r="CE2002">
        <v>95000</v>
      </c>
      <c r="CG2002">
        <v>95000</v>
      </c>
      <c r="CH2002">
        <v>2017</v>
      </c>
      <c r="CI2002">
        <v>95000</v>
      </c>
      <c r="CK2002">
        <v>95000</v>
      </c>
      <c r="CL2002">
        <v>2017</v>
      </c>
      <c r="CM2002">
        <v>1462.09</v>
      </c>
      <c r="CN2002" s="1">
        <v>42194</v>
      </c>
      <c r="CO2002">
        <v>110000</v>
      </c>
      <c r="CZ2002" s="1">
        <v>42194</v>
      </c>
      <c r="DD2002" t="s">
        <v>19360</v>
      </c>
      <c r="DG2002">
        <v>4</v>
      </c>
      <c r="DL2002">
        <v>50202</v>
      </c>
      <c r="DM2002" t="s">
        <v>19353</v>
      </c>
      <c r="DO2002" t="s">
        <v>19370</v>
      </c>
      <c r="DP2002">
        <v>0</v>
      </c>
      <c r="DQ2002">
        <v>0</v>
      </c>
      <c r="DR2002" t="s">
        <v>411</v>
      </c>
      <c r="DS2002" t="b">
        <v>1</v>
      </c>
      <c r="DT2002" t="s">
        <v>470</v>
      </c>
      <c r="DU2002" t="s">
        <v>471</v>
      </c>
      <c r="DV2002" t="s">
        <v>472</v>
      </c>
      <c r="DX2002">
        <v>-9999</v>
      </c>
      <c r="DZ2002" t="s">
        <v>447</v>
      </c>
      <c r="EA2002" t="s">
        <v>448</v>
      </c>
      <c r="EB2002" t="s">
        <v>14787</v>
      </c>
      <c r="EC2002">
        <v>20101217</v>
      </c>
      <c r="ED2002" t="s">
        <v>474</v>
      </c>
      <c r="EF2002">
        <v>2125.1</v>
      </c>
      <c r="EG2002">
        <v>368.8</v>
      </c>
      <c r="EI2002">
        <v>20160407</v>
      </c>
      <c r="EJ2002">
        <v>0</v>
      </c>
      <c r="EK2002">
        <v>0</v>
      </c>
      <c r="EP2002" t="s">
        <v>421</v>
      </c>
      <c r="EQ2002" t="s">
        <v>422</v>
      </c>
      <c r="ER2002">
        <v>2</v>
      </c>
      <c r="ES2002">
        <v>2</v>
      </c>
      <c r="ET2002">
        <v>3093.14</v>
      </c>
      <c r="EU2002">
        <v>167.16</v>
      </c>
      <c r="EV2002">
        <v>3260.3</v>
      </c>
      <c r="EW2002" s="2">
        <v>43222</v>
      </c>
      <c r="EX2002" s="1">
        <v>42879</v>
      </c>
      <c r="EY2002">
        <v>2016</v>
      </c>
      <c r="EZ2002">
        <v>1546.57</v>
      </c>
      <c r="FA2002" t="s">
        <v>19371</v>
      </c>
      <c r="FB2002">
        <v>0.25</v>
      </c>
      <c r="FC2002" t="s">
        <v>424</v>
      </c>
      <c r="FD2002" t="s">
        <v>454</v>
      </c>
      <c r="FF2002">
        <v>12</v>
      </c>
      <c r="FG2002">
        <v>7400234</v>
      </c>
      <c r="FH2002" t="s">
        <v>426</v>
      </c>
      <c r="FJ2002" s="1">
        <v>42879</v>
      </c>
      <c r="FK2002">
        <v>2016</v>
      </c>
      <c r="FL2002">
        <v>1546.57</v>
      </c>
      <c r="FM2002" t="s">
        <v>19371</v>
      </c>
      <c r="FN2002">
        <v>0.25</v>
      </c>
      <c r="FO2002" t="s">
        <v>424</v>
      </c>
      <c r="FP2002" t="s">
        <v>454</v>
      </c>
      <c r="FR2002">
        <v>12</v>
      </c>
      <c r="FS2002">
        <v>7572187</v>
      </c>
      <c r="FT2002" t="s">
        <v>19372</v>
      </c>
      <c r="FV2002" s="1">
        <v>42515</v>
      </c>
      <c r="FW2002">
        <v>2015</v>
      </c>
      <c r="FX2002">
        <v>1137.7</v>
      </c>
      <c r="FY2002" t="s">
        <v>19373</v>
      </c>
      <c r="FZ2002">
        <v>0.25</v>
      </c>
      <c r="GA2002" t="s">
        <v>424</v>
      </c>
      <c r="GB2002" t="s">
        <v>425</v>
      </c>
      <c r="GC2002" s="1">
        <v>43158</v>
      </c>
      <c r="GD2002">
        <v>21</v>
      </c>
      <c r="GE2002">
        <v>7045074</v>
      </c>
      <c r="GF2002" t="s">
        <v>580</v>
      </c>
      <c r="GH2002" s="1">
        <v>42515</v>
      </c>
      <c r="GI2002">
        <v>2015</v>
      </c>
      <c r="GJ2002">
        <v>1137.7</v>
      </c>
      <c r="GK2002" t="s">
        <v>19373</v>
      </c>
      <c r="GL2002">
        <v>0.25</v>
      </c>
      <c r="GM2002" t="s">
        <v>424</v>
      </c>
      <c r="GN2002" t="s">
        <v>425</v>
      </c>
      <c r="GP2002">
        <v>22</v>
      </c>
      <c r="GQ2002">
        <v>6281599</v>
      </c>
      <c r="GR2002" t="s">
        <v>19374</v>
      </c>
    </row>
    <row r="2003" spans="1:284" x14ac:dyDescent="0.25">
      <c r="A2003">
        <v>16487010</v>
      </c>
      <c r="B2003">
        <v>2002</v>
      </c>
      <c r="C2003" t="s">
        <v>393</v>
      </c>
      <c r="D2003" t="s">
        <v>394</v>
      </c>
      <c r="F2003" t="str">
        <f>"00-00-30-0760-0004-0170"</f>
        <v>00-00-30-0760-0004-0170</v>
      </c>
      <c r="H2003" t="str">
        <f>"ECHARD BRIAN D &amp; KATHRYN A TRUSTEES OF BEEK TRUST"</f>
        <v>ECHARD BRIAN D &amp; KATHRYN A TRUSTEES OF BEEK TRUST</v>
      </c>
      <c r="I2003" t="str">
        <f>"PO BOX 511"</f>
        <v>PO BOX 511</v>
      </c>
      <c r="J2003" t="str">
        <f>"FERNANDINA BEACH FL 32035"</f>
        <v>FERNANDINA BEACH FL 32035</v>
      </c>
      <c r="K2003" t="str">
        <f>"MANUCY RD"</f>
        <v>MANUCY RD</v>
      </c>
      <c r="L2003" t="str">
        <f t="shared" ref="L2003:L2066" si="758">"FERNANDINA BEACH FL 32034"</f>
        <v>FERNANDINA BEACH FL 32034</v>
      </c>
      <c r="M2003" t="str">
        <f>"PT OF LOT 4 IN OR 1710/348 ESMT PT OR 1826/395 SUB OF SO PT SEC 12 DB 39/292"</f>
        <v>PT OF LOT 4 IN OR 1710/348 ESMT PT OR 1826/395 SUB OF SO PT SEC 12 DB 39/292</v>
      </c>
      <c r="N2003" t="str">
        <f>""</f>
        <v/>
      </c>
      <c r="O2003" t="str">
        <f>"3735"</f>
        <v>3735</v>
      </c>
      <c r="P2003" t="str">
        <f t="shared" si="749"/>
        <v>2017</v>
      </c>
      <c r="Q2003" t="str">
        <f>""</f>
        <v/>
      </c>
      <c r="R2003" t="str">
        <f>"N"</f>
        <v>N</v>
      </c>
      <c r="S2003" t="str">
        <f>""</f>
        <v/>
      </c>
      <c r="T2003" t="str">
        <f>"7849.10"</f>
        <v>7849.10</v>
      </c>
      <c r="U2003" t="str">
        <f>"510000.00"</f>
        <v>510000.00</v>
      </c>
      <c r="V2003" t="str">
        <f>"510000.00"</f>
        <v>510000.00</v>
      </c>
      <c r="W2003" t="str">
        <f t="shared" si="750"/>
        <v>2017</v>
      </c>
      <c r="X2003" t="str">
        <f>""</f>
        <v/>
      </c>
      <c r="Y2003" t="str">
        <f>"8116.57"</f>
        <v>8116.57</v>
      </c>
      <c r="Z2003" t="str">
        <f>""</f>
        <v/>
      </c>
      <c r="AA2003" t="str">
        <f>"510000.00"</f>
        <v>510000.00</v>
      </c>
      <c r="AB2003" t="str">
        <f t="shared" si="756"/>
        <v>Residential</v>
      </c>
      <c r="AC2003" t="str">
        <f t="shared" si="735"/>
        <v>0</v>
      </c>
      <c r="AD2003" t="str">
        <f>""</f>
        <v/>
      </c>
      <c r="AE2003" t="str">
        <f>""</f>
        <v/>
      </c>
      <c r="AF2003" t="str">
        <f>"000"</f>
        <v>000</v>
      </c>
      <c r="AG2003" t="str">
        <f t="shared" si="754"/>
        <v>FL</v>
      </c>
      <c r="AH2003" t="str">
        <f>"18870.00"</f>
        <v>18870.00</v>
      </c>
      <c r="AI2003" t="str">
        <f>"510000.00"</f>
        <v>510000.00</v>
      </c>
      <c r="AJ2003" t="str">
        <f>"C55-000-976-7951-8"</f>
        <v>C55-000-976-7951-8</v>
      </c>
      <c r="AK2003" t="str">
        <f>"41154"</f>
        <v>41154</v>
      </c>
      <c r="AL2003">
        <v>7</v>
      </c>
      <c r="AM2003">
        <v>2286</v>
      </c>
      <c r="AN2003">
        <v>8520.7999999999993</v>
      </c>
      <c r="AQ2003" t="s">
        <v>19375</v>
      </c>
      <c r="AR2003" t="s">
        <v>19375</v>
      </c>
      <c r="AS2003" t="s">
        <v>19375</v>
      </c>
      <c r="AU2003" t="s">
        <v>396</v>
      </c>
      <c r="AV2003">
        <v>2017</v>
      </c>
      <c r="AW2003" t="str">
        <f>"00-00-30-0760-0004-0170 "</f>
        <v xml:space="preserve">00-00-30-0760-0004-0170 </v>
      </c>
      <c r="AZ2003" t="s">
        <v>19376</v>
      </c>
      <c r="BA2003" t="s">
        <v>496</v>
      </c>
      <c r="BD2003" t="s">
        <v>11749</v>
      </c>
      <c r="BE2003" t="s">
        <v>393</v>
      </c>
      <c r="BF2003">
        <v>32034</v>
      </c>
      <c r="BG2003" t="s">
        <v>19377</v>
      </c>
      <c r="BH2003" t="s">
        <v>11751</v>
      </c>
      <c r="BI2003">
        <v>-81.461149202310807</v>
      </c>
      <c r="BJ2003">
        <v>30.585450552647899</v>
      </c>
      <c r="BK2003" t="s">
        <v>19378</v>
      </c>
      <c r="BL2003" t="s">
        <v>19379</v>
      </c>
      <c r="BM2003" t="s">
        <v>8940</v>
      </c>
      <c r="BN2003" t="s">
        <v>3983</v>
      </c>
      <c r="BO2003">
        <v>32035</v>
      </c>
      <c r="BP2003" t="s">
        <v>404</v>
      </c>
      <c r="BQ2003">
        <v>0</v>
      </c>
      <c r="BR2003" t="s">
        <v>491</v>
      </c>
      <c r="BS2003">
        <v>8001</v>
      </c>
      <c r="BT2003" t="s">
        <v>492</v>
      </c>
      <c r="BU2003">
        <v>1020</v>
      </c>
      <c r="BV2003">
        <v>1850</v>
      </c>
      <c r="BW2003">
        <v>22219</v>
      </c>
      <c r="BX2003" t="s">
        <v>407</v>
      </c>
      <c r="BY2003" t="s">
        <v>2729</v>
      </c>
      <c r="CD2003">
        <v>2017</v>
      </c>
      <c r="CE2003">
        <v>510000</v>
      </c>
      <c r="CG2003">
        <v>510000</v>
      </c>
      <c r="CH2003">
        <v>2017</v>
      </c>
      <c r="CI2003">
        <v>510000</v>
      </c>
      <c r="CK2003">
        <v>510000</v>
      </c>
      <c r="CL2003">
        <v>2017</v>
      </c>
      <c r="CM2003">
        <v>7849.1</v>
      </c>
      <c r="CN2003" s="1">
        <v>40499</v>
      </c>
      <c r="CO2003">
        <v>446025</v>
      </c>
      <c r="CV2003">
        <v>0</v>
      </c>
      <c r="CZ2003" s="1">
        <v>40499</v>
      </c>
      <c r="DA2003">
        <v>0</v>
      </c>
      <c r="DD2003" t="s">
        <v>11749</v>
      </c>
      <c r="DF2003">
        <v>4</v>
      </c>
      <c r="DG2003">
        <v>12</v>
      </c>
      <c r="DL2003">
        <v>50203</v>
      </c>
      <c r="DM2003" t="s">
        <v>18692</v>
      </c>
      <c r="DO2003" t="s">
        <v>19380</v>
      </c>
      <c r="DP2003">
        <v>0</v>
      </c>
      <c r="DQ2003">
        <v>0</v>
      </c>
      <c r="DR2003" t="s">
        <v>411</v>
      </c>
      <c r="DS2003" t="b">
        <v>1</v>
      </c>
      <c r="DT2003" t="s">
        <v>470</v>
      </c>
      <c r="DU2003" t="s">
        <v>471</v>
      </c>
      <c r="DV2003" t="s">
        <v>472</v>
      </c>
      <c r="DX2003">
        <v>-9999</v>
      </c>
      <c r="DZ2003" t="s">
        <v>447</v>
      </c>
      <c r="EA2003" t="s">
        <v>448</v>
      </c>
      <c r="EB2003" t="s">
        <v>14787</v>
      </c>
      <c r="EC2003">
        <v>20101217</v>
      </c>
      <c r="ED2003" t="s">
        <v>474</v>
      </c>
      <c r="EF2003">
        <v>92.4</v>
      </c>
      <c r="EG2003">
        <v>92.4</v>
      </c>
      <c r="EI2003">
        <v>20160407</v>
      </c>
      <c r="EJ2003">
        <v>0</v>
      </c>
      <c r="EK2003">
        <v>0</v>
      </c>
    </row>
    <row r="2004" spans="1:284" x14ac:dyDescent="0.25">
      <c r="A2004">
        <v>16487011</v>
      </c>
      <c r="B2004">
        <v>2003</v>
      </c>
      <c r="C2004" t="s">
        <v>393</v>
      </c>
      <c r="D2004" t="s">
        <v>394</v>
      </c>
      <c r="F2004" t="str">
        <f>"00-00-30-0760-0006-0020"</f>
        <v>00-00-30-0760-0006-0020</v>
      </c>
      <c r="H2004" t="str">
        <f>"ABERSON JAMES E JR &amp; BEVERLY AMY A"</f>
        <v>ABERSON JAMES E JR &amp; BEVERLY AMY A</v>
      </c>
      <c r="I2004" t="str">
        <f>"4820 FIRST COAST HWY"</f>
        <v>4820 FIRST COAST HWY</v>
      </c>
      <c r="J2004" t="str">
        <f>"FERNANDINA BEACH FL 32034"</f>
        <v>FERNANDINA BEACH FL 32034</v>
      </c>
      <c r="K2004" t="str">
        <f>"4820 FIRST COAST HWY"</f>
        <v>4820 FIRST COAST HWY</v>
      </c>
      <c r="L2004" t="str">
        <f t="shared" si="758"/>
        <v>FERNANDINA BEACH FL 32034</v>
      </c>
      <c r="M2004" t="str">
        <f>"PT OF LOT 6 IN OR 729/658 SUB OF SO PT SEC 12 DB 39/292"</f>
        <v>PT OF LOT 6 IN OR 729/658 SUB OF SO PT SEC 12 DB 39/292</v>
      </c>
      <c r="N2004" t="str">
        <f>""</f>
        <v/>
      </c>
      <c r="O2004" t="str">
        <f>"3759"</f>
        <v>3759</v>
      </c>
      <c r="P2004" t="str">
        <f t="shared" si="749"/>
        <v>2017</v>
      </c>
      <c r="Q2004" t="str">
        <f>""</f>
        <v/>
      </c>
      <c r="R2004" t="str">
        <f>"Y"</f>
        <v>Y</v>
      </c>
      <c r="S2004" t="str">
        <f>"1.67"</f>
        <v>1.67</v>
      </c>
      <c r="T2004" t="str">
        <f>"3014.42"</f>
        <v>3014.42</v>
      </c>
      <c r="U2004" t="str">
        <f>"235147.00"</f>
        <v>235147.00</v>
      </c>
      <c r="V2004" t="str">
        <f>"235147.00"</f>
        <v>235147.00</v>
      </c>
      <c r="W2004" t="str">
        <f t="shared" si="750"/>
        <v>2017</v>
      </c>
      <c r="X2004" t="str">
        <f>"6.75"</f>
        <v>6.75</v>
      </c>
      <c r="Y2004" t="str">
        <f>"3136.85"</f>
        <v>3136.85</v>
      </c>
      <c r="Z2004" t="str">
        <f>"25000.00"</f>
        <v>25000.00</v>
      </c>
      <c r="AA2004" t="str">
        <f>"210147.00"</f>
        <v>210147.00</v>
      </c>
      <c r="AB2004" t="str">
        <f t="shared" si="756"/>
        <v>Residential</v>
      </c>
      <c r="AC2004" t="str">
        <f t="shared" si="735"/>
        <v>0</v>
      </c>
      <c r="AD2004" t="str">
        <f>"3"</f>
        <v>3</v>
      </c>
      <c r="AE2004" t="str">
        <f>"MASONRY"</f>
        <v>MASONRY</v>
      </c>
      <c r="AF2004" t="str">
        <f>"001"</f>
        <v>001</v>
      </c>
      <c r="AG2004" t="str">
        <f t="shared" si="754"/>
        <v>FL</v>
      </c>
      <c r="AH2004" t="str">
        <f>"72745.00"</f>
        <v>72745.00</v>
      </c>
      <c r="AI2004" t="str">
        <f>"167000.00"</f>
        <v>167000.00</v>
      </c>
      <c r="AJ2004" t="str">
        <f>"C55-000-585-3009-8"</f>
        <v>C55-000-585-3009-8</v>
      </c>
      <c r="AK2004" t="str">
        <f>"41176"</f>
        <v>41176</v>
      </c>
      <c r="AL2004">
        <v>7</v>
      </c>
      <c r="AM2004">
        <v>2287</v>
      </c>
      <c r="AN2004">
        <v>3292.09</v>
      </c>
      <c r="AQ2004" t="s">
        <v>19381</v>
      </c>
      <c r="AR2004" t="s">
        <v>19381</v>
      </c>
      <c r="AS2004" t="s">
        <v>19381</v>
      </c>
      <c r="AU2004" t="s">
        <v>396</v>
      </c>
      <c r="AV2004">
        <v>2017</v>
      </c>
      <c r="AW2004" t="str">
        <f>"00-00-30-0760-0006-0020 "</f>
        <v xml:space="preserve">00-00-30-0760-0006-0020 </v>
      </c>
      <c r="AX2004">
        <v>4820</v>
      </c>
      <c r="AZ2004" t="s">
        <v>14799</v>
      </c>
      <c r="BA2004" t="s">
        <v>3713</v>
      </c>
      <c r="BD2004" t="s">
        <v>11749</v>
      </c>
      <c r="BE2004" t="s">
        <v>393</v>
      </c>
      <c r="BF2004">
        <v>32034</v>
      </c>
      <c r="BG2004" t="s">
        <v>19382</v>
      </c>
      <c r="BH2004" t="s">
        <v>11751</v>
      </c>
      <c r="BI2004">
        <v>-81.456603728360903</v>
      </c>
      <c r="BJ2004">
        <v>30.5898386360236</v>
      </c>
      <c r="BK2004" t="s">
        <v>19383</v>
      </c>
      <c r="BL2004" t="s">
        <v>19384</v>
      </c>
      <c r="BM2004" t="s">
        <v>19382</v>
      </c>
      <c r="BN2004" t="s">
        <v>3983</v>
      </c>
      <c r="BO2004">
        <v>32034</v>
      </c>
      <c r="BP2004" t="s">
        <v>416</v>
      </c>
      <c r="BQ2004">
        <v>100</v>
      </c>
      <c r="BR2004" t="s">
        <v>514</v>
      </c>
      <c r="BS2004">
        <v>1001</v>
      </c>
      <c r="BT2004" t="s">
        <v>515</v>
      </c>
      <c r="BW2004">
        <v>72745</v>
      </c>
      <c r="BX2004" t="s">
        <v>407</v>
      </c>
      <c r="BY2004" t="s">
        <v>2729</v>
      </c>
      <c r="BZ2004">
        <v>3</v>
      </c>
      <c r="CA2004">
        <v>1941</v>
      </c>
      <c r="CB2004">
        <v>1</v>
      </c>
      <c r="CC2004">
        <v>1</v>
      </c>
      <c r="CD2004">
        <v>2017</v>
      </c>
      <c r="CG2004">
        <v>235147</v>
      </c>
      <c r="CH2004">
        <v>2017</v>
      </c>
      <c r="CI2004">
        <v>167000</v>
      </c>
      <c r="CJ2004">
        <v>73418</v>
      </c>
      <c r="CK2004">
        <v>240418</v>
      </c>
      <c r="CL2004">
        <v>2017</v>
      </c>
      <c r="CM2004">
        <v>3014.42</v>
      </c>
      <c r="CN2004" s="1">
        <v>34829</v>
      </c>
      <c r="CZ2004" s="1">
        <v>34829</v>
      </c>
      <c r="DD2004" t="s">
        <v>11749</v>
      </c>
      <c r="DF2004">
        <v>6</v>
      </c>
      <c r="DG2004">
        <v>12</v>
      </c>
      <c r="DL2004">
        <v>50203</v>
      </c>
      <c r="DM2004" t="s">
        <v>18692</v>
      </c>
      <c r="DO2004" t="s">
        <v>19385</v>
      </c>
      <c r="DP2004">
        <v>0</v>
      </c>
      <c r="DQ2004">
        <v>1</v>
      </c>
      <c r="DR2004" t="s">
        <v>1479</v>
      </c>
      <c r="DS2004" t="b">
        <v>1</v>
      </c>
      <c r="DT2004" t="s">
        <v>470</v>
      </c>
      <c r="DU2004" t="s">
        <v>471</v>
      </c>
      <c r="DV2004" t="s">
        <v>472</v>
      </c>
      <c r="DX2004">
        <v>-9999</v>
      </c>
      <c r="DZ2004" t="s">
        <v>447</v>
      </c>
      <c r="EA2004" t="s">
        <v>448</v>
      </c>
      <c r="EB2004" t="s">
        <v>14787</v>
      </c>
      <c r="EC2004">
        <v>20101217</v>
      </c>
      <c r="ED2004" t="s">
        <v>474</v>
      </c>
      <c r="EF2004">
        <v>2093.4</v>
      </c>
      <c r="EG2004">
        <v>1669.9</v>
      </c>
      <c r="EI2004">
        <v>20160407</v>
      </c>
      <c r="EJ2004">
        <v>0</v>
      </c>
      <c r="EK2004">
        <v>0</v>
      </c>
      <c r="EP2004" t="s">
        <v>421</v>
      </c>
      <c r="EQ2004" t="s">
        <v>422</v>
      </c>
      <c r="ER2004">
        <v>0</v>
      </c>
      <c r="ES2004">
        <v>7</v>
      </c>
      <c r="ET2004">
        <v>0</v>
      </c>
      <c r="EU2004">
        <v>0</v>
      </c>
      <c r="EV2004">
        <v>0</v>
      </c>
      <c r="EW2004" s="2">
        <v>43222</v>
      </c>
      <c r="EX2004" s="1">
        <v>42879</v>
      </c>
      <c r="EY2004">
        <v>2016</v>
      </c>
      <c r="EZ2004">
        <v>3300.05</v>
      </c>
      <c r="FA2004" t="s">
        <v>19386</v>
      </c>
      <c r="FB2004">
        <v>0.25</v>
      </c>
      <c r="FC2004" t="s">
        <v>424</v>
      </c>
      <c r="FD2004" t="s">
        <v>425</v>
      </c>
      <c r="FE2004" s="1">
        <v>43034</v>
      </c>
      <c r="FF2004">
        <v>5</v>
      </c>
      <c r="FG2004">
        <v>7336671</v>
      </c>
      <c r="FH2004" t="s">
        <v>437</v>
      </c>
      <c r="FJ2004" s="1">
        <v>42879</v>
      </c>
      <c r="FK2004">
        <v>2016</v>
      </c>
      <c r="FL2004">
        <v>3300.05</v>
      </c>
      <c r="FM2004" t="s">
        <v>19386</v>
      </c>
      <c r="FN2004">
        <v>0.25</v>
      </c>
      <c r="FO2004" t="s">
        <v>424</v>
      </c>
      <c r="FP2004" t="s">
        <v>425</v>
      </c>
      <c r="FR2004">
        <v>22</v>
      </c>
      <c r="FS2004">
        <v>6996893</v>
      </c>
      <c r="FT2004" t="s">
        <v>19387</v>
      </c>
      <c r="FV2004" s="1">
        <v>42515</v>
      </c>
      <c r="FW2004">
        <v>2015</v>
      </c>
      <c r="FX2004">
        <v>3345.8</v>
      </c>
      <c r="FY2004" t="s">
        <v>19388</v>
      </c>
      <c r="FZ2004">
        <v>0.25</v>
      </c>
      <c r="GA2004" t="s">
        <v>424</v>
      </c>
      <c r="GB2004" t="s">
        <v>425</v>
      </c>
      <c r="GC2004" s="1">
        <v>43034</v>
      </c>
      <c r="GD2004">
        <v>17</v>
      </c>
      <c r="GE2004">
        <v>2851116</v>
      </c>
      <c r="GF2004" t="s">
        <v>480</v>
      </c>
      <c r="GH2004" s="1">
        <v>42515</v>
      </c>
      <c r="GI2004">
        <v>2015</v>
      </c>
      <c r="GJ2004">
        <v>3345.8</v>
      </c>
      <c r="GK2004" t="s">
        <v>19388</v>
      </c>
      <c r="GL2004">
        <v>0.25</v>
      </c>
      <c r="GM2004" t="s">
        <v>424</v>
      </c>
      <c r="GN2004" t="s">
        <v>425</v>
      </c>
      <c r="GP2004">
        <v>22</v>
      </c>
      <c r="GQ2004">
        <v>4980404</v>
      </c>
      <c r="GR2004" t="s">
        <v>19389</v>
      </c>
      <c r="GT2004" s="1">
        <v>42151</v>
      </c>
      <c r="GU2004">
        <v>2014</v>
      </c>
      <c r="GV2004">
        <v>3316.47</v>
      </c>
      <c r="GW2004" t="s">
        <v>19390</v>
      </c>
      <c r="GX2004">
        <v>0.25</v>
      </c>
      <c r="GY2004" t="s">
        <v>424</v>
      </c>
      <c r="GZ2004" t="s">
        <v>425</v>
      </c>
      <c r="HA2004" s="1">
        <v>42277</v>
      </c>
      <c r="HB2004">
        <v>4</v>
      </c>
      <c r="HC2004">
        <v>2851116</v>
      </c>
      <c r="HD2004" t="s">
        <v>480</v>
      </c>
      <c r="HF2004" s="1">
        <v>42151</v>
      </c>
      <c r="HG2004">
        <v>2014</v>
      </c>
      <c r="HH2004">
        <v>3316.47</v>
      </c>
      <c r="HI2004" t="s">
        <v>19390</v>
      </c>
      <c r="HJ2004">
        <v>0.25</v>
      </c>
      <c r="HK2004" t="s">
        <v>424</v>
      </c>
      <c r="HL2004" t="s">
        <v>425</v>
      </c>
      <c r="HN2004">
        <v>22</v>
      </c>
      <c r="HO2004">
        <v>4862368</v>
      </c>
      <c r="HP2004" t="s">
        <v>19391</v>
      </c>
      <c r="HR2004" s="1">
        <v>40688</v>
      </c>
      <c r="HS2004">
        <v>2010</v>
      </c>
      <c r="HT2004">
        <v>4275.25</v>
      </c>
      <c r="HU2004" t="s">
        <v>19392</v>
      </c>
      <c r="HV2004">
        <v>0.25</v>
      </c>
      <c r="HW2004" t="s">
        <v>424</v>
      </c>
      <c r="HX2004" t="s">
        <v>425</v>
      </c>
      <c r="HY2004" s="1">
        <v>40715</v>
      </c>
      <c r="HZ2004">
        <v>1</v>
      </c>
      <c r="IA2004">
        <v>11302</v>
      </c>
      <c r="IB2004" t="s">
        <v>3940</v>
      </c>
    </row>
    <row r="2005" spans="1:284" x14ac:dyDescent="0.25">
      <c r="A2005">
        <v>16487012</v>
      </c>
      <c r="B2005">
        <v>2004</v>
      </c>
      <c r="C2005" t="s">
        <v>393</v>
      </c>
      <c r="D2005" t="s">
        <v>394</v>
      </c>
      <c r="F2005" t="str">
        <f>"00-00-30-0760-0042-0000"</f>
        <v>00-00-30-0760-0042-0000</v>
      </c>
      <c r="H2005" t="str">
        <f>"PHILIPS JANE G EST"</f>
        <v>PHILIPS JANE G EST</v>
      </c>
      <c r="I2005" t="str">
        <f>"1641 PHILIPS MANOR RD"</f>
        <v>1641 PHILIPS MANOR RD</v>
      </c>
      <c r="J2005" t="str">
        <f>"FERNANDINA BEACH FL 32034"</f>
        <v>FERNANDINA BEACH FL 32034</v>
      </c>
      <c r="K2005" t="str">
        <f>"PHILIPS MANOR PL"</f>
        <v>PHILIPS MANOR PL</v>
      </c>
      <c r="L2005" t="str">
        <f t="shared" si="758"/>
        <v>FERNANDINA BEACH FL 32034</v>
      </c>
      <c r="M2005" t="str">
        <f>"PT OF LOT 42 LYING E OF LANDS IN OR 297/583 &amp; S OF LANDS IN PB 4/90 SUB OF SEC 12 DBK 39/292"</f>
        <v>PT OF LOT 42 LYING E OF LANDS IN OR 297/583 &amp; S OF LANDS IN PB 4/90 SUB OF SEC 12 DBK 39/292</v>
      </c>
      <c r="N2005" t="str">
        <f>""</f>
        <v/>
      </c>
      <c r="O2005" t="str">
        <f>"3820"</f>
        <v>3820</v>
      </c>
      <c r="P2005" t="str">
        <f t="shared" si="749"/>
        <v>2017</v>
      </c>
      <c r="Q2005" t="str">
        <f>""</f>
        <v/>
      </c>
      <c r="R2005" t="str">
        <f>"N"</f>
        <v>N</v>
      </c>
      <c r="S2005" t="str">
        <f>""</f>
        <v/>
      </c>
      <c r="T2005" t="str">
        <f>"10.26"</f>
        <v>10.26</v>
      </c>
      <c r="U2005" t="str">
        <f>"605.00"</f>
        <v>605.00</v>
      </c>
      <c r="V2005" t="str">
        <f>"605.00"</f>
        <v>605.00</v>
      </c>
      <c r="W2005" t="str">
        <f t="shared" si="750"/>
        <v>2017</v>
      </c>
      <c r="X2005" t="str">
        <f>""</f>
        <v/>
      </c>
      <c r="Y2005" t="str">
        <f>"42.57"</f>
        <v>42.57</v>
      </c>
      <c r="Z2005" t="str">
        <f>""</f>
        <v/>
      </c>
      <c r="AA2005" t="str">
        <f>"750.00"</f>
        <v>750.00</v>
      </c>
      <c r="AB2005" t="str">
        <f t="shared" si="756"/>
        <v>Residential</v>
      </c>
      <c r="AC2005" t="str">
        <f t="shared" si="735"/>
        <v>0</v>
      </c>
      <c r="AD2005" t="str">
        <f>""</f>
        <v/>
      </c>
      <c r="AE2005" t="str">
        <f>""</f>
        <v/>
      </c>
      <c r="AF2005" t="str">
        <f>"000"</f>
        <v>000</v>
      </c>
      <c r="AG2005" t="str">
        <f t="shared" si="754"/>
        <v>FL</v>
      </c>
      <c r="AH2005" t="str">
        <f>"4571.00"</f>
        <v>4571.00</v>
      </c>
      <c r="AI2005" t="str">
        <f>"750.00"</f>
        <v>750.00</v>
      </c>
      <c r="AJ2005" t="str">
        <f>"C55-001-042-9394-9"</f>
        <v>C55-001-042-9394-9</v>
      </c>
      <c r="AK2005" t="str">
        <f>"41220"</f>
        <v>41220</v>
      </c>
      <c r="AL2005">
        <v>7</v>
      </c>
      <c r="AM2005">
        <v>2288</v>
      </c>
      <c r="AN2005">
        <v>43.1</v>
      </c>
      <c r="AQ2005" t="s">
        <v>19393</v>
      </c>
      <c r="AR2005" t="s">
        <v>19393</v>
      </c>
      <c r="AS2005" t="s">
        <v>19393</v>
      </c>
      <c r="AU2005" t="s">
        <v>396</v>
      </c>
      <c r="AV2005">
        <v>2017</v>
      </c>
      <c r="AW2005" t="str">
        <f>"00-00-30-0760-0042-0000 "</f>
        <v xml:space="preserve">00-00-30-0760-0042-0000 </v>
      </c>
      <c r="AZ2005" t="s">
        <v>19394</v>
      </c>
      <c r="BA2005" t="s">
        <v>641</v>
      </c>
      <c r="BD2005" t="s">
        <v>11749</v>
      </c>
      <c r="BE2005" t="s">
        <v>393</v>
      </c>
      <c r="BF2005">
        <v>32034</v>
      </c>
      <c r="BG2005" t="s">
        <v>19395</v>
      </c>
      <c r="BH2005" t="s">
        <v>11751</v>
      </c>
      <c r="BI2005">
        <v>-81.454780223886104</v>
      </c>
      <c r="BJ2005">
        <v>30.59558601849</v>
      </c>
      <c r="BK2005" t="s">
        <v>19396</v>
      </c>
      <c r="BM2005" t="s">
        <v>19397</v>
      </c>
      <c r="BN2005" t="s">
        <v>3983</v>
      </c>
      <c r="BO2005">
        <v>32034</v>
      </c>
      <c r="BP2005" t="s">
        <v>404</v>
      </c>
      <c r="BQ2005">
        <v>0</v>
      </c>
      <c r="BR2005" t="s">
        <v>491</v>
      </c>
      <c r="BS2005">
        <v>8001</v>
      </c>
      <c r="BT2005" t="s">
        <v>492</v>
      </c>
      <c r="BW2005">
        <v>4571</v>
      </c>
      <c r="BX2005" t="s">
        <v>407</v>
      </c>
      <c r="BY2005" t="s">
        <v>2729</v>
      </c>
      <c r="CD2005">
        <v>2017</v>
      </c>
      <c r="CE2005">
        <v>750</v>
      </c>
      <c r="CG2005">
        <v>750</v>
      </c>
      <c r="CH2005">
        <v>2017</v>
      </c>
      <c r="CI2005">
        <v>750</v>
      </c>
      <c r="CK2005">
        <v>750</v>
      </c>
      <c r="CL2005">
        <v>2017</v>
      </c>
      <c r="CM2005">
        <v>10.26</v>
      </c>
      <c r="DD2005" t="s">
        <v>11749</v>
      </c>
      <c r="DF2005">
        <v>42</v>
      </c>
      <c r="DG2005">
        <v>12</v>
      </c>
      <c r="DL2005">
        <v>50203</v>
      </c>
      <c r="DM2005" t="s">
        <v>18692</v>
      </c>
      <c r="DO2005" t="s">
        <v>19398</v>
      </c>
      <c r="DP2005">
        <v>0</v>
      </c>
      <c r="DQ2005">
        <v>0</v>
      </c>
      <c r="DR2005" t="s">
        <v>411</v>
      </c>
    </row>
    <row r="2006" spans="1:284" x14ac:dyDescent="0.25">
      <c r="A2006">
        <v>16487013</v>
      </c>
      <c r="B2006">
        <v>2005</v>
      </c>
      <c r="C2006" t="s">
        <v>393</v>
      </c>
      <c r="D2006" t="s">
        <v>394</v>
      </c>
      <c r="F2006" t="str">
        <f>"00-00-30-0780-0003-0000"</f>
        <v>00-00-30-0780-0003-0000</v>
      </c>
      <c r="H2006" t="str">
        <f>"SUMMERWOODS OF AMELIA ISLAND LLC"</f>
        <v>SUMMERWOODS OF AMELIA ISLAND LLC</v>
      </c>
      <c r="I2006" t="str">
        <f>"3675 PINE ST"</f>
        <v>3675 PINE ST</v>
      </c>
      <c r="J2006" t="str">
        <f>"JACKSONVILLE FL 32205"</f>
        <v>JACKSONVILLE FL 32205</v>
      </c>
      <c r="K2006" t="str">
        <f>"FIRST COAST HY"</f>
        <v>FIRST COAST HY</v>
      </c>
      <c r="L2006" t="str">
        <f t="shared" si="758"/>
        <v>FERNANDINA BEACH FL 32034</v>
      </c>
      <c r="M2006" t="str">
        <f>"LOT 3 IN OR 1828/1989 ESMT OR 1601/536 AMELIA SUB OF SEC 15 DB Y/128"</f>
        <v>LOT 3 IN OR 1828/1989 ESMT OR 1601/536 AMELIA SUB OF SEC 15 DB Y/128</v>
      </c>
      <c r="N2006" t="str">
        <f>""</f>
        <v/>
      </c>
      <c r="O2006" t="str">
        <f>"3833"</f>
        <v>3833</v>
      </c>
      <c r="P2006" t="str">
        <f t="shared" si="749"/>
        <v>2017</v>
      </c>
      <c r="Q2006" t="str">
        <f>""</f>
        <v/>
      </c>
      <c r="R2006" t="str">
        <f>"N"</f>
        <v>N</v>
      </c>
      <c r="S2006" t="str">
        <f>"10.00"</f>
        <v>10.00</v>
      </c>
      <c r="T2006" t="str">
        <f>"19238.01"</f>
        <v>19238.01</v>
      </c>
      <c r="U2006" t="str">
        <f>"1250000.00"</f>
        <v>1250000.00</v>
      </c>
      <c r="V2006" t="str">
        <f>"1250000.00"</f>
        <v>1250000.00</v>
      </c>
      <c r="W2006" t="str">
        <f t="shared" si="750"/>
        <v>2017</v>
      </c>
      <c r="X2006" t="str">
        <f>"3.00"</f>
        <v>3.00</v>
      </c>
      <c r="Y2006" t="str">
        <f>"19847.15"</f>
        <v>19847.15</v>
      </c>
      <c r="Z2006" t="str">
        <f>""</f>
        <v/>
      </c>
      <c r="AA2006" t="str">
        <f>"1250000.00"</f>
        <v>1250000.00</v>
      </c>
      <c r="AB2006" t="str">
        <f>"Commercial"</f>
        <v>Commercial</v>
      </c>
      <c r="AC2006" t="str">
        <f t="shared" si="735"/>
        <v>0</v>
      </c>
      <c r="AD2006" t="str">
        <f>""</f>
        <v/>
      </c>
      <c r="AE2006" t="str">
        <f>""</f>
        <v/>
      </c>
      <c r="AF2006" t="str">
        <f>"010"</f>
        <v>010</v>
      </c>
      <c r="AG2006" t="str">
        <f t="shared" si="754"/>
        <v>FL</v>
      </c>
      <c r="AH2006" t="str">
        <f>"435600.00"</f>
        <v>435600.00</v>
      </c>
      <c r="AI2006" t="str">
        <f>"1250000.00"</f>
        <v>1250000.00</v>
      </c>
      <c r="AJ2006" t="str">
        <f>"C55-000-585-3065-0"</f>
        <v>C55-000-585-3065-0</v>
      </c>
      <c r="AK2006" t="str">
        <f>"41237"</f>
        <v>41237</v>
      </c>
      <c r="AL2006">
        <v>7</v>
      </c>
      <c r="AM2006">
        <v>2289</v>
      </c>
      <c r="AN2006">
        <v>20837.91</v>
      </c>
      <c r="AQ2006" t="s">
        <v>19399</v>
      </c>
      <c r="AR2006" t="s">
        <v>19399</v>
      </c>
      <c r="AS2006" t="s">
        <v>19399</v>
      </c>
      <c r="AU2006" t="s">
        <v>396</v>
      </c>
      <c r="AV2006">
        <v>2017</v>
      </c>
      <c r="AW2006" t="str">
        <f>"00-00-30-0780-0003-0000 "</f>
        <v xml:space="preserve">00-00-30-0780-0003-0000 </v>
      </c>
      <c r="AZ2006" t="s">
        <v>19400</v>
      </c>
      <c r="BD2006" t="s">
        <v>11749</v>
      </c>
      <c r="BE2006" t="s">
        <v>393</v>
      </c>
      <c r="BF2006">
        <v>32034</v>
      </c>
      <c r="BG2006" t="s">
        <v>19400</v>
      </c>
      <c r="BH2006" t="s">
        <v>11751</v>
      </c>
      <c r="BI2006">
        <v>-81.453095462353602</v>
      </c>
      <c r="BJ2006">
        <v>30.5827286520801</v>
      </c>
      <c r="BK2006" t="s">
        <v>19401</v>
      </c>
      <c r="BM2006" t="s">
        <v>19402</v>
      </c>
      <c r="BN2006" t="s">
        <v>548</v>
      </c>
      <c r="BO2006">
        <v>32210</v>
      </c>
      <c r="BP2006" t="s">
        <v>404</v>
      </c>
      <c r="BQ2006">
        <v>1000</v>
      </c>
      <c r="BR2006" t="s">
        <v>2391</v>
      </c>
      <c r="BS2006">
        <v>8002</v>
      </c>
      <c r="BT2006" t="s">
        <v>2392</v>
      </c>
      <c r="BW2006">
        <v>435600</v>
      </c>
      <c r="BX2006" t="s">
        <v>407</v>
      </c>
      <c r="BY2006" t="s">
        <v>2221</v>
      </c>
      <c r="CD2006">
        <v>2017</v>
      </c>
      <c r="CE2006">
        <v>1250000</v>
      </c>
      <c r="CG2006">
        <v>1250000</v>
      </c>
      <c r="CH2006">
        <v>2017</v>
      </c>
      <c r="CI2006">
        <v>1250000</v>
      </c>
      <c r="CK2006">
        <v>1250000</v>
      </c>
      <c r="CL2006">
        <v>2017</v>
      </c>
      <c r="CM2006">
        <v>19238.009999999998</v>
      </c>
      <c r="CN2006" s="1">
        <v>41250</v>
      </c>
      <c r="CO2006">
        <v>1350000</v>
      </c>
      <c r="CV2006">
        <v>0</v>
      </c>
      <c r="CZ2006" s="1">
        <v>41250</v>
      </c>
      <c r="DA2006">
        <v>0</v>
      </c>
      <c r="DD2006" t="s">
        <v>11749</v>
      </c>
      <c r="DF2006">
        <v>3</v>
      </c>
      <c r="DG2006">
        <v>15</v>
      </c>
      <c r="DM2006" t="s">
        <v>18706</v>
      </c>
      <c r="DO2006" t="s">
        <v>19403</v>
      </c>
      <c r="DP2006">
        <v>0</v>
      </c>
      <c r="DQ2006">
        <v>0</v>
      </c>
      <c r="DR2006" t="s">
        <v>411</v>
      </c>
      <c r="DS2006" t="s">
        <v>695</v>
      </c>
      <c r="EJ2006">
        <v>0</v>
      </c>
      <c r="EK2006">
        <v>0</v>
      </c>
      <c r="EP2006" t="s">
        <v>421</v>
      </c>
      <c r="EQ2006" t="s">
        <v>422</v>
      </c>
      <c r="ER2006">
        <v>0</v>
      </c>
      <c r="ES2006">
        <v>2</v>
      </c>
      <c r="ET2006">
        <v>0</v>
      </c>
      <c r="EU2006">
        <v>0</v>
      </c>
      <c r="EV2006">
        <v>0</v>
      </c>
      <c r="EW2006" s="2">
        <v>43222</v>
      </c>
      <c r="EX2006" s="1">
        <v>42879</v>
      </c>
      <c r="EY2006">
        <v>2016</v>
      </c>
      <c r="EZ2006">
        <v>21132.080000000002</v>
      </c>
      <c r="FA2006" t="s">
        <v>19404</v>
      </c>
      <c r="FB2006">
        <v>0.25</v>
      </c>
      <c r="FC2006" t="s">
        <v>424</v>
      </c>
      <c r="FD2006" t="s">
        <v>425</v>
      </c>
      <c r="FE2006" s="1">
        <v>42965</v>
      </c>
      <c r="FF2006">
        <v>3</v>
      </c>
      <c r="FG2006">
        <v>7336671</v>
      </c>
      <c r="FH2006" t="s">
        <v>437</v>
      </c>
      <c r="FJ2006" s="1">
        <v>42879</v>
      </c>
      <c r="FK2006">
        <v>2016</v>
      </c>
      <c r="FL2006">
        <v>21132.080000000002</v>
      </c>
      <c r="FM2006" t="s">
        <v>19404</v>
      </c>
      <c r="FN2006">
        <v>0.25</v>
      </c>
      <c r="FO2006" t="s">
        <v>424</v>
      </c>
      <c r="FP2006" t="s">
        <v>425</v>
      </c>
      <c r="FR2006">
        <v>22</v>
      </c>
      <c r="FS2006">
        <v>6990467</v>
      </c>
      <c r="FT2006" t="s">
        <v>19405</v>
      </c>
    </row>
    <row r="2007" spans="1:284" x14ac:dyDescent="0.25">
      <c r="A2007">
        <v>16487014</v>
      </c>
      <c r="B2007">
        <v>2006</v>
      </c>
      <c r="C2007" t="s">
        <v>393</v>
      </c>
      <c r="D2007" t="s">
        <v>394</v>
      </c>
      <c r="F2007" t="str">
        <f>"00-00-30-0780-0019-0080"</f>
        <v>00-00-30-0780-0019-0080</v>
      </c>
      <c r="H2007" t="str">
        <f>"WILKES CHARLES R &amp; CAROLYN"</f>
        <v>WILKES CHARLES R &amp; CAROLYN</v>
      </c>
      <c r="I2007" t="str">
        <f>"4856 WHY ROAD"</f>
        <v>4856 WHY ROAD</v>
      </c>
      <c r="J2007" t="str">
        <f>"FERNANDINA BEACH FL 32034"</f>
        <v>FERNANDINA BEACH FL 32034</v>
      </c>
      <c r="K2007" t="str">
        <f>"4856 WHY RD"</f>
        <v>4856 WHY RD</v>
      </c>
      <c r="L2007" t="str">
        <f t="shared" si="758"/>
        <v>FERNANDINA BEACH FL 32034</v>
      </c>
      <c r="M2007" t="str">
        <f>"PT OF LOT 19 OR 153 PG 385 SUB OF SEC 15 DB Y/128"</f>
        <v>PT OF LOT 19 OR 153 PG 385 SUB OF SEC 15 DB Y/128</v>
      </c>
      <c r="N2007" t="str">
        <f>""</f>
        <v/>
      </c>
      <c r="O2007" t="str">
        <f>"3878"</f>
        <v>3878</v>
      </c>
      <c r="P2007" t="str">
        <f t="shared" si="749"/>
        <v>2017</v>
      </c>
      <c r="Q2007" t="str">
        <f>""</f>
        <v/>
      </c>
      <c r="R2007" t="str">
        <f>"Y"</f>
        <v>Y</v>
      </c>
      <c r="S2007" t="str">
        <f>""</f>
        <v/>
      </c>
      <c r="T2007" t="str">
        <f>"883.42"</f>
        <v>883.42</v>
      </c>
      <c r="U2007" t="str">
        <f>"96683.00"</f>
        <v>96683.00</v>
      </c>
      <c r="V2007" t="str">
        <f>"96683.00"</f>
        <v>96683.00</v>
      </c>
      <c r="W2007" t="str">
        <f t="shared" si="750"/>
        <v>2017</v>
      </c>
      <c r="X2007" t="str">
        <f>"1.50"</f>
        <v>1.50</v>
      </c>
      <c r="Y2007" t="str">
        <f>"941.92"</f>
        <v>941.92</v>
      </c>
      <c r="Z2007" t="str">
        <f>"25000.00"</f>
        <v>25000.00</v>
      </c>
      <c r="AA2007" t="str">
        <f>"71683.00"</f>
        <v>71683.00</v>
      </c>
      <c r="AB2007" t="str">
        <f t="shared" ref="AB2007:AB2028" si="759">"Residential"</f>
        <v>Residential</v>
      </c>
      <c r="AC2007" t="str">
        <f t="shared" si="735"/>
        <v>0</v>
      </c>
      <c r="AD2007" t="str">
        <f>"4"</f>
        <v>4</v>
      </c>
      <c r="AE2007" t="str">
        <f>"WOOD (INCLUDE STEEL STUDS)"</f>
        <v>WOOD (INCLUDE STEEL STUDS)</v>
      </c>
      <c r="AF2007" t="str">
        <f>"001"</f>
        <v>001</v>
      </c>
      <c r="AG2007" t="str">
        <f t="shared" si="754"/>
        <v>FL</v>
      </c>
      <c r="AH2007" t="str">
        <f>"-"</f>
        <v>-</v>
      </c>
      <c r="AI2007" t="str">
        <f>"60000.00"</f>
        <v>60000.00</v>
      </c>
      <c r="AJ2007" t="str">
        <f>"C55-000-585-3100-5"</f>
        <v>C55-000-585-3100-5</v>
      </c>
      <c r="AK2007" t="str">
        <f>"41264"</f>
        <v>41264</v>
      </c>
      <c r="AL2007">
        <v>7</v>
      </c>
      <c r="AM2007">
        <v>2290</v>
      </c>
      <c r="AN2007">
        <v>987.42</v>
      </c>
      <c r="AQ2007" t="s">
        <v>19406</v>
      </c>
      <c r="AR2007" t="s">
        <v>19406</v>
      </c>
      <c r="AS2007" t="s">
        <v>19406</v>
      </c>
      <c r="AU2007" t="s">
        <v>396</v>
      </c>
      <c r="AV2007">
        <v>2017</v>
      </c>
      <c r="AW2007" t="str">
        <f>"00-00-30-0780-0019-0080 "</f>
        <v xml:space="preserve">00-00-30-0780-0019-0080 </v>
      </c>
      <c r="AX2007">
        <v>4856</v>
      </c>
      <c r="AZ2007" t="s">
        <v>19407</v>
      </c>
      <c r="BA2007" t="s">
        <v>496</v>
      </c>
      <c r="BD2007" t="s">
        <v>11749</v>
      </c>
      <c r="BE2007" t="s">
        <v>393</v>
      </c>
      <c r="BF2007">
        <v>32034</v>
      </c>
      <c r="BG2007" t="s">
        <v>19408</v>
      </c>
      <c r="BH2007" t="s">
        <v>11751</v>
      </c>
      <c r="BI2007">
        <v>-81.449196011465503</v>
      </c>
      <c r="BJ2007">
        <v>30.589739609916599</v>
      </c>
      <c r="BK2007" t="s">
        <v>19409</v>
      </c>
      <c r="BL2007" t="s">
        <v>19410</v>
      </c>
      <c r="BM2007" t="s">
        <v>19408</v>
      </c>
      <c r="BN2007" t="s">
        <v>3983</v>
      </c>
      <c r="BO2007">
        <v>32034</v>
      </c>
      <c r="BP2007" t="s">
        <v>416</v>
      </c>
      <c r="BQ2007">
        <v>100</v>
      </c>
      <c r="BR2007" t="s">
        <v>514</v>
      </c>
      <c r="BS2007">
        <v>1001</v>
      </c>
      <c r="BT2007" t="s">
        <v>515</v>
      </c>
      <c r="BW2007">
        <v>14780</v>
      </c>
      <c r="BX2007" t="s">
        <v>407</v>
      </c>
      <c r="BY2007" t="s">
        <v>2729</v>
      </c>
      <c r="BZ2007">
        <v>4</v>
      </c>
      <c r="CA2007">
        <v>1978</v>
      </c>
      <c r="CB2007">
        <v>1</v>
      </c>
      <c r="CC2007">
        <v>1</v>
      </c>
      <c r="CD2007">
        <v>2017</v>
      </c>
      <c r="CG2007">
        <v>96683</v>
      </c>
      <c r="CH2007">
        <v>2017</v>
      </c>
      <c r="CI2007">
        <v>60000</v>
      </c>
      <c r="CJ2007">
        <v>68121</v>
      </c>
      <c r="CK2007">
        <v>128121</v>
      </c>
      <c r="CL2007">
        <v>2017</v>
      </c>
      <c r="CM2007">
        <v>883.42</v>
      </c>
      <c r="CN2007" s="1">
        <v>28581</v>
      </c>
      <c r="CZ2007" s="1">
        <v>28581</v>
      </c>
      <c r="DD2007" t="s">
        <v>11749</v>
      </c>
      <c r="DF2007">
        <v>19</v>
      </c>
      <c r="DG2007">
        <v>15</v>
      </c>
      <c r="DL2007">
        <v>50203</v>
      </c>
      <c r="DM2007" t="s">
        <v>18706</v>
      </c>
      <c r="DO2007" t="s">
        <v>19411</v>
      </c>
      <c r="DP2007">
        <v>0</v>
      </c>
      <c r="DQ2007">
        <v>0</v>
      </c>
      <c r="DR2007" t="s">
        <v>411</v>
      </c>
      <c r="DS2007" t="b">
        <v>1</v>
      </c>
      <c r="DT2007" t="s">
        <v>470</v>
      </c>
      <c r="DU2007" t="s">
        <v>471</v>
      </c>
      <c r="DV2007" t="s">
        <v>472</v>
      </c>
      <c r="DX2007">
        <v>-9999</v>
      </c>
      <c r="DZ2007" t="s">
        <v>447</v>
      </c>
      <c r="EA2007" t="s">
        <v>448</v>
      </c>
      <c r="EB2007" t="s">
        <v>14787</v>
      </c>
      <c r="EC2007">
        <v>20101217</v>
      </c>
      <c r="ED2007" t="s">
        <v>474</v>
      </c>
      <c r="EF2007">
        <v>1692.2</v>
      </c>
      <c r="EG2007">
        <v>1692.2</v>
      </c>
      <c r="EI2007">
        <v>20160407</v>
      </c>
      <c r="EJ2007">
        <v>0</v>
      </c>
      <c r="EK2007">
        <v>0</v>
      </c>
      <c r="EP2007" t="s">
        <v>421</v>
      </c>
      <c r="EQ2007" t="s">
        <v>422</v>
      </c>
      <c r="ER2007">
        <v>0</v>
      </c>
      <c r="ES2007">
        <v>3</v>
      </c>
      <c r="ET2007">
        <v>0</v>
      </c>
      <c r="EU2007">
        <v>0</v>
      </c>
      <c r="EV2007">
        <v>0</v>
      </c>
      <c r="EW2007" s="2">
        <v>43222</v>
      </c>
      <c r="EX2007" s="1">
        <v>42151</v>
      </c>
      <c r="EY2007">
        <v>2014</v>
      </c>
      <c r="EZ2007">
        <v>964.11</v>
      </c>
      <c r="FA2007" t="s">
        <v>19412</v>
      </c>
      <c r="FB2007">
        <v>0.25</v>
      </c>
      <c r="FC2007" t="s">
        <v>424</v>
      </c>
      <c r="FD2007" t="s">
        <v>425</v>
      </c>
      <c r="FE2007" s="1">
        <v>42171</v>
      </c>
      <c r="FF2007">
        <v>1</v>
      </c>
      <c r="FG2007">
        <v>4975594</v>
      </c>
      <c r="FH2007" t="s">
        <v>457</v>
      </c>
      <c r="FJ2007" s="1">
        <v>42151</v>
      </c>
      <c r="FK2007">
        <v>2014</v>
      </c>
      <c r="FL2007">
        <v>964.11</v>
      </c>
      <c r="FM2007" t="s">
        <v>19412</v>
      </c>
      <c r="FN2007">
        <v>0.25</v>
      </c>
      <c r="FO2007" t="s">
        <v>424</v>
      </c>
      <c r="FP2007" t="s">
        <v>425</v>
      </c>
      <c r="FR2007">
        <v>22</v>
      </c>
      <c r="FS2007">
        <v>6442606</v>
      </c>
      <c r="FT2007" t="s">
        <v>19413</v>
      </c>
      <c r="FV2007" s="1">
        <v>41423</v>
      </c>
      <c r="FW2007">
        <v>2012</v>
      </c>
      <c r="FX2007">
        <v>893.62</v>
      </c>
      <c r="FY2007" t="s">
        <v>19414</v>
      </c>
      <c r="FZ2007">
        <v>0.25</v>
      </c>
      <c r="GA2007" t="s">
        <v>424</v>
      </c>
      <c r="GB2007" t="s">
        <v>425</v>
      </c>
      <c r="GC2007" s="1">
        <v>41478</v>
      </c>
      <c r="GD2007">
        <v>2</v>
      </c>
      <c r="GE2007">
        <v>15398</v>
      </c>
      <c r="GF2007" t="s">
        <v>1180</v>
      </c>
    </row>
    <row r="2008" spans="1:284" x14ac:dyDescent="0.25">
      <c r="A2008">
        <v>16487015</v>
      </c>
      <c r="B2008">
        <v>2007</v>
      </c>
      <c r="C2008" t="s">
        <v>393</v>
      </c>
      <c r="D2008" t="s">
        <v>394</v>
      </c>
      <c r="F2008" t="str">
        <f>"00-00-30-0800-0001-0030"</f>
        <v>00-00-30-0800-0001-0030</v>
      </c>
      <c r="H2008" t="str">
        <f>"LEE LYNDA H ETAL"</f>
        <v>LEE LYNDA H ETAL</v>
      </c>
      <c r="I2008" t="str">
        <f>"236 HIGHPOINTE TRAIL"</f>
        <v>236 HIGHPOINTE TRAIL</v>
      </c>
      <c r="J2008" t="str">
        <f>"ELIJAY GA 30536"</f>
        <v>ELIJAY GA 30536</v>
      </c>
      <c r="K2008" t="str">
        <f>"CLINCH DR"</f>
        <v>CLINCH DR</v>
      </c>
      <c r="L2008" t="str">
        <f t="shared" si="758"/>
        <v>FERNANDINA BEACH FL 32034</v>
      </c>
      <c r="M2008" t="str">
        <f>"PT OF S1/2 LOT 1 IN OR 1982/473 (EX PT IN OR 611/550 &amp; OR 859/861) SUB OF SEC 30 PBK 1/5"</f>
        <v>PT OF S1/2 LOT 1 IN OR 1982/473 (EX PT IN OR 611/550 &amp; OR 859/861) SUB OF SEC 30 PBK 1/5</v>
      </c>
      <c r="N2008" t="str">
        <f>""</f>
        <v/>
      </c>
      <c r="O2008" t="str">
        <f>"3911"</f>
        <v>3911</v>
      </c>
      <c r="P2008" t="str">
        <f t="shared" si="749"/>
        <v>2017</v>
      </c>
      <c r="Q2008" t="str">
        <f>""</f>
        <v/>
      </c>
      <c r="R2008" t="str">
        <f>"N"</f>
        <v>N</v>
      </c>
      <c r="S2008" t="str">
        <f>"0.22"</f>
        <v>0.22</v>
      </c>
      <c r="T2008" t="str">
        <f>"63.48"</f>
        <v>63.48</v>
      </c>
      <c r="U2008" t="str">
        <f>"4125.00"</f>
        <v>4125.00</v>
      </c>
      <c r="V2008" t="str">
        <f>"4125.00"</f>
        <v>4125.00</v>
      </c>
      <c r="W2008" t="str">
        <f t="shared" si="750"/>
        <v>2017</v>
      </c>
      <c r="X2008" t="str">
        <f>""</f>
        <v/>
      </c>
      <c r="Y2008" t="str">
        <f>"97.38"</f>
        <v>97.38</v>
      </c>
      <c r="Z2008" t="str">
        <f>""</f>
        <v/>
      </c>
      <c r="AA2008" t="str">
        <f>"4125.00"</f>
        <v>4125.00</v>
      </c>
      <c r="AB2008" t="str">
        <f t="shared" si="759"/>
        <v>Residential</v>
      </c>
      <c r="AC2008" t="str">
        <f t="shared" si="735"/>
        <v>0</v>
      </c>
      <c r="AD2008" t="str">
        <f>""</f>
        <v/>
      </c>
      <c r="AE2008" t="str">
        <f>""</f>
        <v/>
      </c>
      <c r="AF2008" t="str">
        <f>"000"</f>
        <v>000</v>
      </c>
      <c r="AG2008" t="str">
        <f>"GA"</f>
        <v>GA</v>
      </c>
      <c r="AH2008" t="str">
        <f>"9583.00"</f>
        <v>9583.00</v>
      </c>
      <c r="AI2008" t="str">
        <f>"4125.00"</f>
        <v>4125.00</v>
      </c>
      <c r="AJ2008" t="str">
        <f>"C55-000-585-3122-9"</f>
        <v>C55-000-585-3122-9</v>
      </c>
      <c r="AK2008" t="str">
        <f>"41279"</f>
        <v>41279</v>
      </c>
      <c r="AL2008">
        <v>7</v>
      </c>
      <c r="AM2008">
        <v>2291</v>
      </c>
      <c r="AN2008">
        <v>100.65</v>
      </c>
      <c r="AQ2008" t="s">
        <v>19415</v>
      </c>
      <c r="AR2008" t="s">
        <v>19415</v>
      </c>
      <c r="AS2008" t="s">
        <v>19415</v>
      </c>
      <c r="AU2008" t="s">
        <v>396</v>
      </c>
      <c r="AV2008">
        <v>2017</v>
      </c>
      <c r="AW2008" t="str">
        <f>"00-00-30-0800-0001-0030 "</f>
        <v xml:space="preserve">00-00-30-0800-0001-0030 </v>
      </c>
      <c r="AZ2008" t="s">
        <v>19024</v>
      </c>
      <c r="BA2008" t="s">
        <v>669</v>
      </c>
      <c r="BD2008" t="s">
        <v>11749</v>
      </c>
      <c r="BE2008" t="s">
        <v>393</v>
      </c>
      <c r="BF2008">
        <v>32034</v>
      </c>
      <c r="BG2008" t="s">
        <v>19416</v>
      </c>
      <c r="BH2008" t="s">
        <v>11751</v>
      </c>
      <c r="BI2008">
        <v>-81.4634465661821</v>
      </c>
      <c r="BJ2008">
        <v>30.649438987529901</v>
      </c>
      <c r="BK2008" t="s">
        <v>19417</v>
      </c>
      <c r="BL2008" t="s">
        <v>19418</v>
      </c>
      <c r="BM2008" t="s">
        <v>19419</v>
      </c>
      <c r="BN2008" t="s">
        <v>19420</v>
      </c>
      <c r="BO2008">
        <v>30536</v>
      </c>
      <c r="BP2008" t="s">
        <v>404</v>
      </c>
      <c r="BQ2008">
        <v>0</v>
      </c>
      <c r="BR2008" t="s">
        <v>491</v>
      </c>
      <c r="BS2008">
        <v>8001</v>
      </c>
      <c r="BT2008" t="s">
        <v>492</v>
      </c>
      <c r="BW2008">
        <v>9583</v>
      </c>
      <c r="BX2008" t="s">
        <v>407</v>
      </c>
      <c r="BY2008" t="s">
        <v>7351</v>
      </c>
      <c r="CD2008">
        <v>2017</v>
      </c>
      <c r="CE2008">
        <v>4125</v>
      </c>
      <c r="CG2008">
        <v>4125</v>
      </c>
      <c r="CH2008">
        <v>2017</v>
      </c>
      <c r="CI2008">
        <v>4125</v>
      </c>
      <c r="CK2008">
        <v>4125</v>
      </c>
      <c r="CL2008">
        <v>2017</v>
      </c>
      <c r="CM2008">
        <v>63.48</v>
      </c>
      <c r="CN2008" s="1">
        <v>42152</v>
      </c>
      <c r="CZ2008" s="1">
        <v>42152</v>
      </c>
      <c r="DD2008" t="s">
        <v>11749</v>
      </c>
      <c r="DF2008">
        <v>1</v>
      </c>
      <c r="DG2008">
        <v>30</v>
      </c>
      <c r="DL2008">
        <v>50202</v>
      </c>
      <c r="DM2008" t="s">
        <v>18678</v>
      </c>
      <c r="DO2008" t="s">
        <v>19421</v>
      </c>
      <c r="DP2008">
        <v>0</v>
      </c>
      <c r="DQ2008">
        <v>0</v>
      </c>
      <c r="DR2008" t="s">
        <v>411</v>
      </c>
      <c r="DS2008" t="b">
        <v>1</v>
      </c>
      <c r="DT2008" t="s">
        <v>470</v>
      </c>
      <c r="DU2008" t="s">
        <v>471</v>
      </c>
      <c r="DV2008" t="s">
        <v>472</v>
      </c>
      <c r="DX2008">
        <v>-9999</v>
      </c>
      <c r="DZ2008" t="s">
        <v>447</v>
      </c>
      <c r="EA2008" t="s">
        <v>448</v>
      </c>
      <c r="EB2008" t="s">
        <v>14787</v>
      </c>
      <c r="EC2008">
        <v>20101217</v>
      </c>
      <c r="ED2008" t="s">
        <v>474</v>
      </c>
      <c r="EF2008">
        <v>328</v>
      </c>
      <c r="EG2008">
        <v>191.7</v>
      </c>
      <c r="EI2008">
        <v>20160407</v>
      </c>
      <c r="EJ2008">
        <v>0</v>
      </c>
      <c r="EK2008">
        <v>0</v>
      </c>
      <c r="EP2008" t="s">
        <v>421</v>
      </c>
      <c r="EQ2008" t="s">
        <v>422</v>
      </c>
      <c r="ER2008">
        <v>2</v>
      </c>
      <c r="ES2008">
        <v>0</v>
      </c>
      <c r="ET2008">
        <v>178.02</v>
      </c>
      <c r="EU2008">
        <v>57.99</v>
      </c>
      <c r="EV2008">
        <v>236.01</v>
      </c>
      <c r="EW2008" s="2">
        <v>43222</v>
      </c>
      <c r="EX2008" s="1">
        <v>42879</v>
      </c>
      <c r="EY2008">
        <v>2016</v>
      </c>
      <c r="EZ2008">
        <v>92</v>
      </c>
      <c r="FA2008" t="s">
        <v>19422</v>
      </c>
      <c r="FB2008">
        <v>16.25</v>
      </c>
      <c r="FC2008" t="s">
        <v>424</v>
      </c>
      <c r="FD2008" t="s">
        <v>454</v>
      </c>
      <c r="FF2008">
        <v>12</v>
      </c>
      <c r="FG2008">
        <v>5100525</v>
      </c>
      <c r="FH2008" t="s">
        <v>6804</v>
      </c>
      <c r="FJ2008" s="1">
        <v>42515</v>
      </c>
      <c r="FK2008">
        <v>2015</v>
      </c>
      <c r="FL2008">
        <v>86.02</v>
      </c>
      <c r="FM2008" t="s">
        <v>19423</v>
      </c>
      <c r="FN2008">
        <v>17.75</v>
      </c>
      <c r="FO2008" t="s">
        <v>424</v>
      </c>
      <c r="FP2008" t="s">
        <v>454</v>
      </c>
      <c r="FR2008">
        <v>24</v>
      </c>
      <c r="FS2008">
        <v>3039821</v>
      </c>
      <c r="FT2008" t="s">
        <v>721</v>
      </c>
    </row>
    <row r="2009" spans="1:284" x14ac:dyDescent="0.25">
      <c r="A2009">
        <v>16487016</v>
      </c>
      <c r="B2009">
        <v>2008</v>
      </c>
      <c r="C2009" t="s">
        <v>393</v>
      </c>
      <c r="D2009" t="s">
        <v>394</v>
      </c>
      <c r="F2009" t="str">
        <f>"00-00-30-0800-0030-0030"</f>
        <v>00-00-30-0800-0030-0030</v>
      </c>
      <c r="H2009" t="str">
        <f>"BARNARD DENISE R"</f>
        <v>BARNARD DENISE R</v>
      </c>
      <c r="I2009" t="str">
        <f>"762 GEIGER RD"</f>
        <v>762 GEIGER RD</v>
      </c>
      <c r="J2009" t="str">
        <f t="shared" ref="J2009:J2016" si="760">"FERNANDINA BEACH FL 32034"</f>
        <v>FERNANDINA BEACH FL 32034</v>
      </c>
      <c r="K2009" t="str">
        <f>"762 GEIGER RD"</f>
        <v>762 GEIGER RD</v>
      </c>
      <c r="L2009" t="str">
        <f t="shared" si="758"/>
        <v>FERNANDINA BEACH FL 32034</v>
      </c>
      <c r="M2009" t="str">
        <f>"PT OF LOT 30 IN OR 393 PG 469 R359710 &amp; R359711 SUB OF SEC 30 PB 1/5"</f>
        <v>PT OF LOT 30 IN OR 393 PG 469 R359710 &amp; R359711 SUB OF SEC 30 PB 1/5</v>
      </c>
      <c r="N2009" t="str">
        <f>""</f>
        <v/>
      </c>
      <c r="O2009" t="str">
        <f>"4014"</f>
        <v>4014</v>
      </c>
      <c r="P2009" t="str">
        <f t="shared" si="749"/>
        <v>2017</v>
      </c>
      <c r="Q2009" t="str">
        <f>""</f>
        <v/>
      </c>
      <c r="R2009" t="str">
        <f>"Y"</f>
        <v>Y</v>
      </c>
      <c r="S2009" t="str">
        <f>""</f>
        <v/>
      </c>
      <c r="T2009" t="str">
        <f>"528.59"</f>
        <v>528.59</v>
      </c>
      <c r="U2009" t="str">
        <f>"71797.00"</f>
        <v>71797.00</v>
      </c>
      <c r="V2009" t="str">
        <f>"71797.00"</f>
        <v>71797.00</v>
      </c>
      <c r="W2009" t="str">
        <f t="shared" si="750"/>
        <v>2017</v>
      </c>
      <c r="X2009" t="str">
        <f>"15.67"</f>
        <v>15.67</v>
      </c>
      <c r="Y2009" t="str">
        <f>"576.45"</f>
        <v>576.45</v>
      </c>
      <c r="Z2009" t="str">
        <f>"25000.00"</f>
        <v>25000.00</v>
      </c>
      <c r="AA2009" t="str">
        <f>"46797.00"</f>
        <v>46797.00</v>
      </c>
      <c r="AB2009" t="str">
        <f t="shared" si="759"/>
        <v>Residential</v>
      </c>
      <c r="AC2009" t="str">
        <f t="shared" si="735"/>
        <v>0</v>
      </c>
      <c r="AD2009" t="str">
        <f>"4"</f>
        <v>4</v>
      </c>
      <c r="AE2009" t="str">
        <f>"WOOD (INCLUDE STEEL STUDS)"</f>
        <v>WOOD (INCLUDE STEEL STUDS)</v>
      </c>
      <c r="AF2009" t="str">
        <f>"002"</f>
        <v>002</v>
      </c>
      <c r="AG2009" t="str">
        <f t="shared" ref="AG2009:AG2016" si="761">"FL"</f>
        <v>FL</v>
      </c>
      <c r="AH2009" t="str">
        <f>"21974.00"</f>
        <v>21974.00</v>
      </c>
      <c r="AI2009" t="str">
        <f>"56250.00"</f>
        <v>56250.00</v>
      </c>
      <c r="AJ2009" t="str">
        <f>"C55-000-585-3208-6"</f>
        <v>C55-000-585-3208-6</v>
      </c>
      <c r="AK2009" t="str">
        <f>"41372"</f>
        <v>41372</v>
      </c>
      <c r="AL2009">
        <v>7</v>
      </c>
      <c r="AM2009">
        <v>2292</v>
      </c>
      <c r="AN2009">
        <v>603.66999999999996</v>
      </c>
      <c r="AQ2009" t="s">
        <v>19424</v>
      </c>
      <c r="AR2009" t="s">
        <v>19424</v>
      </c>
      <c r="AS2009" t="s">
        <v>19424</v>
      </c>
      <c r="AU2009" t="s">
        <v>396</v>
      </c>
      <c r="AV2009">
        <v>2017</v>
      </c>
      <c r="AW2009" t="str">
        <f>"00-00-30-0800-0030-0030 "</f>
        <v xml:space="preserve">00-00-30-0800-0030-0030 </v>
      </c>
      <c r="AX2009">
        <v>762</v>
      </c>
      <c r="AZ2009" t="s">
        <v>2674</v>
      </c>
      <c r="BA2009" t="s">
        <v>496</v>
      </c>
      <c r="BD2009" t="s">
        <v>11749</v>
      </c>
      <c r="BE2009" t="s">
        <v>393</v>
      </c>
      <c r="BF2009">
        <v>32034</v>
      </c>
      <c r="BG2009" t="s">
        <v>12444</v>
      </c>
      <c r="BH2009" t="s">
        <v>11751</v>
      </c>
      <c r="BI2009">
        <v>-81.460580531522595</v>
      </c>
      <c r="BJ2009">
        <v>30.6427804978868</v>
      </c>
      <c r="BK2009" t="s">
        <v>12443</v>
      </c>
      <c r="BM2009" t="s">
        <v>12444</v>
      </c>
      <c r="BN2009" t="s">
        <v>3983</v>
      </c>
      <c r="BO2009">
        <v>32034</v>
      </c>
      <c r="BP2009" t="s">
        <v>416</v>
      </c>
      <c r="BQ2009">
        <v>200</v>
      </c>
      <c r="BR2009" t="s">
        <v>405</v>
      </c>
      <c r="BS2009">
        <v>1006</v>
      </c>
      <c r="BT2009" t="s">
        <v>406</v>
      </c>
      <c r="BU2009">
        <v>1250</v>
      </c>
      <c r="BV2009">
        <v>1780</v>
      </c>
      <c r="BW2009">
        <v>21974</v>
      </c>
      <c r="BX2009" t="s">
        <v>407</v>
      </c>
      <c r="BY2009" t="s">
        <v>7351</v>
      </c>
      <c r="BZ2009">
        <v>4</v>
      </c>
      <c r="CA2009">
        <v>1985</v>
      </c>
      <c r="CB2009">
        <v>1</v>
      </c>
      <c r="CC2009">
        <v>1</v>
      </c>
      <c r="CD2009">
        <v>2017</v>
      </c>
      <c r="CG2009">
        <v>71797</v>
      </c>
      <c r="CH2009">
        <v>2017</v>
      </c>
      <c r="CI2009">
        <v>56250</v>
      </c>
      <c r="CJ2009">
        <v>43000</v>
      </c>
      <c r="CK2009">
        <v>99250</v>
      </c>
      <c r="CL2009">
        <v>2017</v>
      </c>
      <c r="CM2009">
        <v>528.59</v>
      </c>
      <c r="CN2009" s="1">
        <v>30498</v>
      </c>
      <c r="CO2009">
        <v>7000</v>
      </c>
      <c r="CZ2009" s="1">
        <v>30498</v>
      </c>
      <c r="DD2009" t="s">
        <v>11749</v>
      </c>
      <c r="DF2009">
        <v>30</v>
      </c>
      <c r="DG2009">
        <v>30</v>
      </c>
      <c r="DL2009">
        <v>50202</v>
      </c>
      <c r="DM2009" t="s">
        <v>18678</v>
      </c>
      <c r="DO2009" t="s">
        <v>19425</v>
      </c>
      <c r="DP2009">
        <v>0</v>
      </c>
      <c r="DQ2009">
        <v>0</v>
      </c>
      <c r="DR2009" t="s">
        <v>411</v>
      </c>
      <c r="EP2009" t="s">
        <v>421</v>
      </c>
      <c r="EQ2009" t="s">
        <v>422</v>
      </c>
      <c r="ER2009">
        <v>0</v>
      </c>
      <c r="ES2009">
        <v>3</v>
      </c>
      <c r="ET2009">
        <v>0</v>
      </c>
      <c r="EU2009">
        <v>0</v>
      </c>
      <c r="EV2009">
        <v>0</v>
      </c>
      <c r="EW2009" s="2">
        <v>43222</v>
      </c>
      <c r="EX2009" s="1">
        <v>41787</v>
      </c>
      <c r="EY2009">
        <v>2013</v>
      </c>
      <c r="EZ2009">
        <v>575.71</v>
      </c>
      <c r="FA2009" t="s">
        <v>19426</v>
      </c>
      <c r="FB2009">
        <v>0.25</v>
      </c>
      <c r="FC2009" t="s">
        <v>424</v>
      </c>
      <c r="FD2009" t="s">
        <v>425</v>
      </c>
      <c r="FE2009" s="1">
        <v>42426</v>
      </c>
      <c r="FF2009">
        <v>21</v>
      </c>
      <c r="FG2009">
        <v>2407503</v>
      </c>
      <c r="FH2009" t="s">
        <v>461</v>
      </c>
      <c r="FJ2009" s="1">
        <v>41423</v>
      </c>
      <c r="FK2009">
        <v>2012</v>
      </c>
      <c r="FL2009">
        <v>575.01</v>
      </c>
      <c r="FM2009" t="s">
        <v>19427</v>
      </c>
      <c r="FN2009">
        <v>3.5</v>
      </c>
      <c r="FO2009" t="s">
        <v>424</v>
      </c>
      <c r="FP2009" t="s">
        <v>425</v>
      </c>
      <c r="FQ2009" s="1">
        <v>42061</v>
      </c>
      <c r="FR2009">
        <v>21</v>
      </c>
      <c r="FS2009">
        <v>15399</v>
      </c>
      <c r="FT2009" t="s">
        <v>485</v>
      </c>
      <c r="FV2009" s="1">
        <v>41052</v>
      </c>
      <c r="FW2009">
        <v>2011</v>
      </c>
      <c r="FX2009">
        <v>562.35</v>
      </c>
      <c r="FY2009" t="s">
        <v>19428</v>
      </c>
      <c r="FZ2009">
        <v>8.75</v>
      </c>
      <c r="GA2009" t="s">
        <v>424</v>
      </c>
      <c r="GB2009" t="s">
        <v>425</v>
      </c>
      <c r="GC2009" s="1">
        <v>41337</v>
      </c>
      <c r="GD2009">
        <v>10</v>
      </c>
      <c r="GE2009">
        <v>13027</v>
      </c>
      <c r="GF2009" t="s">
        <v>826</v>
      </c>
    </row>
    <row r="2010" spans="1:284" x14ac:dyDescent="0.25">
      <c r="A2010">
        <v>16487017</v>
      </c>
      <c r="B2010">
        <v>2009</v>
      </c>
      <c r="C2010" t="s">
        <v>393</v>
      </c>
      <c r="D2010" t="s">
        <v>394</v>
      </c>
      <c r="F2010" t="str">
        <f>"00-00-30-0800-0030-0040"</f>
        <v>00-00-30-0800-0030-0040</v>
      </c>
      <c r="H2010" t="str">
        <f>"BARNARD DENISE R"</f>
        <v>BARNARD DENISE R</v>
      </c>
      <c r="I2010" t="str">
        <f>"762 GEIGER RD"</f>
        <v>762 GEIGER RD</v>
      </c>
      <c r="J2010" t="str">
        <f t="shared" si="760"/>
        <v>FERNANDINA BEACH FL 32034</v>
      </c>
      <c r="K2010" t="str">
        <f>"762 GEIGER RD"</f>
        <v>762 GEIGER RD</v>
      </c>
      <c r="L2010" t="str">
        <f t="shared" si="758"/>
        <v>FERNANDINA BEACH FL 32034</v>
      </c>
      <c r="M2010" t="str">
        <f>"PT OF LOT 30 IN OR 669 PGS 208-217 SUB OF SEC 30 PB 1/5"</f>
        <v>PT OF LOT 30 IN OR 669 PGS 208-217 SUB OF SEC 30 PB 1/5</v>
      </c>
      <c r="N2010" t="str">
        <f>""</f>
        <v/>
      </c>
      <c r="O2010" t="str">
        <f>"4015"</f>
        <v>4015</v>
      </c>
      <c r="P2010" t="str">
        <f t="shared" si="749"/>
        <v>2017</v>
      </c>
      <c r="Q2010" t="str">
        <f>""</f>
        <v/>
      </c>
      <c r="R2010" t="str">
        <f>"N"</f>
        <v>N</v>
      </c>
      <c r="S2010" t="str">
        <f>""</f>
        <v/>
      </c>
      <c r="T2010" t="str">
        <f>"800.44"</f>
        <v>800.44</v>
      </c>
      <c r="U2010" t="str">
        <f>"51490.00"</f>
        <v>51490.00</v>
      </c>
      <c r="V2010" t="str">
        <f>"51490.00"</f>
        <v>51490.00</v>
      </c>
      <c r="W2010" t="str">
        <f t="shared" si="750"/>
        <v>2017</v>
      </c>
      <c r="X2010" t="str">
        <f>"15.67"</f>
        <v>15.67</v>
      </c>
      <c r="Y2010" t="str">
        <f>"856.45"</f>
        <v>856.45</v>
      </c>
      <c r="Z2010" t="str">
        <f>""</f>
        <v/>
      </c>
      <c r="AA2010" t="str">
        <f>"52698.00"</f>
        <v>52698.00</v>
      </c>
      <c r="AB2010" t="str">
        <f t="shared" si="759"/>
        <v>Residential</v>
      </c>
      <c r="AC2010" t="str">
        <f t="shared" si="735"/>
        <v>0</v>
      </c>
      <c r="AD2010" t="str">
        <f>""</f>
        <v/>
      </c>
      <c r="AE2010" t="str">
        <f>""</f>
        <v/>
      </c>
      <c r="AF2010" t="str">
        <f>"000"</f>
        <v>000</v>
      </c>
      <c r="AG2010" t="str">
        <f t="shared" si="761"/>
        <v>FL</v>
      </c>
      <c r="AH2010" t="str">
        <f>"17800.00"</f>
        <v>17800.00</v>
      </c>
      <c r="AI2010" t="str">
        <f>"45000.00"</f>
        <v>45000.00</v>
      </c>
      <c r="AJ2010" t="str">
        <f>"C55-000-585-3209-4"</f>
        <v>C55-000-585-3209-4</v>
      </c>
      <c r="AK2010" t="str">
        <f>"41373"</f>
        <v>41373</v>
      </c>
      <c r="AL2010">
        <v>7</v>
      </c>
      <c r="AM2010">
        <v>2293</v>
      </c>
      <c r="AN2010">
        <v>897.67</v>
      </c>
      <c r="AQ2010" t="s">
        <v>19429</v>
      </c>
      <c r="AR2010" t="s">
        <v>19429</v>
      </c>
      <c r="AS2010" t="s">
        <v>19429</v>
      </c>
      <c r="AU2010" t="s">
        <v>396</v>
      </c>
      <c r="AV2010">
        <v>2017</v>
      </c>
      <c r="AW2010" t="str">
        <f>"00-00-30-0800-0030-0040 "</f>
        <v xml:space="preserve">00-00-30-0800-0030-0040 </v>
      </c>
      <c r="AX2010">
        <v>762</v>
      </c>
      <c r="AZ2010" t="s">
        <v>2674</v>
      </c>
      <c r="BA2010" t="s">
        <v>496</v>
      </c>
      <c r="BD2010" t="s">
        <v>11749</v>
      </c>
      <c r="BE2010" t="s">
        <v>393</v>
      </c>
      <c r="BF2010">
        <v>32034</v>
      </c>
      <c r="BG2010" t="s">
        <v>12444</v>
      </c>
      <c r="BH2010" t="s">
        <v>11751</v>
      </c>
      <c r="BI2010">
        <v>-81.460926984825093</v>
      </c>
      <c r="BJ2010">
        <v>30.6427594732099</v>
      </c>
      <c r="BK2010" t="s">
        <v>12443</v>
      </c>
      <c r="BM2010" t="s">
        <v>12444</v>
      </c>
      <c r="BN2010" t="s">
        <v>3983</v>
      </c>
      <c r="BO2010">
        <v>32034</v>
      </c>
      <c r="BP2010" t="s">
        <v>404</v>
      </c>
      <c r="BQ2010">
        <v>1</v>
      </c>
      <c r="BR2010" t="s">
        <v>491</v>
      </c>
      <c r="BS2010">
        <v>8001</v>
      </c>
      <c r="BT2010" t="s">
        <v>492</v>
      </c>
      <c r="BU2010">
        <v>1000</v>
      </c>
      <c r="BV2010">
        <v>1780</v>
      </c>
      <c r="BW2010">
        <v>16824</v>
      </c>
      <c r="BX2010" t="s">
        <v>407</v>
      </c>
      <c r="BY2010" t="s">
        <v>7351</v>
      </c>
      <c r="CD2010">
        <v>2017</v>
      </c>
      <c r="CE2010">
        <v>45000</v>
      </c>
      <c r="CF2010">
        <v>7698</v>
      </c>
      <c r="CG2010">
        <v>52698</v>
      </c>
      <c r="CH2010">
        <v>2017</v>
      </c>
      <c r="CI2010">
        <v>45000</v>
      </c>
      <c r="CJ2010">
        <v>7698</v>
      </c>
      <c r="CK2010">
        <v>52698</v>
      </c>
      <c r="CL2010">
        <v>2017</v>
      </c>
      <c r="CM2010">
        <v>800.44</v>
      </c>
      <c r="CN2010" s="1">
        <v>33904</v>
      </c>
      <c r="CZ2010" s="1">
        <v>33904</v>
      </c>
      <c r="DD2010" t="s">
        <v>11749</v>
      </c>
      <c r="DF2010">
        <v>30</v>
      </c>
      <c r="DG2010">
        <v>30</v>
      </c>
      <c r="DJ2010" t="s">
        <v>19430</v>
      </c>
      <c r="DL2010">
        <v>50202</v>
      </c>
      <c r="DM2010" t="s">
        <v>18678</v>
      </c>
      <c r="DO2010" t="s">
        <v>19431</v>
      </c>
      <c r="DP2010">
        <v>0</v>
      </c>
      <c r="DQ2010">
        <v>0</v>
      </c>
      <c r="DR2010" t="s">
        <v>411</v>
      </c>
      <c r="EP2010" t="s">
        <v>421</v>
      </c>
      <c r="EQ2010" t="s">
        <v>422</v>
      </c>
      <c r="ER2010">
        <v>0</v>
      </c>
      <c r="ES2010">
        <v>3</v>
      </c>
      <c r="ET2010">
        <v>0</v>
      </c>
      <c r="EU2010">
        <v>0</v>
      </c>
      <c r="EV2010">
        <v>0</v>
      </c>
      <c r="EW2010" s="2">
        <v>43222</v>
      </c>
      <c r="EX2010" s="1">
        <v>41787</v>
      </c>
      <c r="EY2010">
        <v>2013</v>
      </c>
      <c r="EZ2010">
        <v>653.98</v>
      </c>
      <c r="FA2010" t="s">
        <v>19432</v>
      </c>
      <c r="FB2010">
        <v>0.25</v>
      </c>
      <c r="FC2010" t="s">
        <v>424</v>
      </c>
      <c r="FD2010" t="s">
        <v>425</v>
      </c>
      <c r="FE2010" s="1">
        <v>42426</v>
      </c>
      <c r="FF2010">
        <v>21</v>
      </c>
      <c r="FG2010">
        <v>10125</v>
      </c>
      <c r="FH2010" t="s">
        <v>440</v>
      </c>
      <c r="FJ2010" s="1">
        <v>41423</v>
      </c>
      <c r="FK2010">
        <v>2012</v>
      </c>
      <c r="FL2010">
        <v>661.72</v>
      </c>
      <c r="FM2010" t="s">
        <v>19433</v>
      </c>
      <c r="FN2010">
        <v>4</v>
      </c>
      <c r="FO2010" t="s">
        <v>424</v>
      </c>
      <c r="FP2010" t="s">
        <v>425</v>
      </c>
      <c r="FQ2010" s="1">
        <v>42061</v>
      </c>
      <c r="FR2010">
        <v>21</v>
      </c>
      <c r="FS2010">
        <v>1625515</v>
      </c>
      <c r="FT2010" t="s">
        <v>487</v>
      </c>
      <c r="FV2010" s="1">
        <v>41052</v>
      </c>
      <c r="FW2010">
        <v>2011</v>
      </c>
      <c r="FX2010">
        <v>664.46</v>
      </c>
      <c r="FY2010" t="s">
        <v>19434</v>
      </c>
      <c r="FZ2010">
        <v>12</v>
      </c>
      <c r="GA2010" t="s">
        <v>424</v>
      </c>
      <c r="GB2010" t="s">
        <v>425</v>
      </c>
      <c r="GC2010" s="1">
        <v>41337</v>
      </c>
      <c r="GD2010">
        <v>10</v>
      </c>
      <c r="GE2010">
        <v>10125</v>
      </c>
      <c r="GF2010" t="s">
        <v>440</v>
      </c>
    </row>
    <row r="2011" spans="1:284" x14ac:dyDescent="0.25">
      <c r="A2011">
        <v>16487018</v>
      </c>
      <c r="B2011">
        <v>2010</v>
      </c>
      <c r="C2011" t="s">
        <v>393</v>
      </c>
      <c r="D2011" t="s">
        <v>394</v>
      </c>
      <c r="F2011" t="str">
        <f>"00-00-30-0800-0031-0010"</f>
        <v>00-00-30-0800-0031-0010</v>
      </c>
      <c r="H2011" t="str">
        <f>"TAVANIS AUDREY L/E NICHOLAS AUDREY &amp; SANDRA COTRS NICHOLAS TAVANIS LIVING TRUST"</f>
        <v>TAVANIS AUDREY L/E NICHOLAS AUDREY &amp; SANDRA COTRS NICHOLAS TAVANIS LIVING TRUST</v>
      </c>
      <c r="I2011" t="str">
        <f>""</f>
        <v/>
      </c>
      <c r="J2011" t="str">
        <f t="shared" si="760"/>
        <v>FERNANDINA BEACH FL 32034</v>
      </c>
      <c r="K2011" t="str">
        <f>"1862 CLINCH DR"</f>
        <v>1862 CLINCH DR</v>
      </c>
      <c r="L2011" t="str">
        <f t="shared" si="758"/>
        <v>FERNANDINA BEACH FL 32034</v>
      </c>
      <c r="M2011" t="str">
        <f>"PT OF LOT 31 L/E OR 1467/166 SUB OF SEC 30 PB 1/5"</f>
        <v>PT OF LOT 31 L/E OR 1467/166 SUB OF SEC 30 PB 1/5</v>
      </c>
      <c r="N2011" t="str">
        <f>""</f>
        <v/>
      </c>
      <c r="O2011" t="str">
        <f>"4016"</f>
        <v>4016</v>
      </c>
      <c r="P2011" t="str">
        <f t="shared" si="749"/>
        <v>2017</v>
      </c>
      <c r="Q2011" t="str">
        <f>""</f>
        <v/>
      </c>
      <c r="R2011" t="str">
        <f>"Y"</f>
        <v>Y</v>
      </c>
      <c r="S2011" t="str">
        <f>""</f>
        <v/>
      </c>
      <c r="T2011" t="str">
        <f>"2292.84"</f>
        <v>2292.84</v>
      </c>
      <c r="U2011" t="str">
        <f>"188261.00"</f>
        <v>188261.00</v>
      </c>
      <c r="V2011" t="str">
        <f>"188261.00"</f>
        <v>188261.00</v>
      </c>
      <c r="W2011" t="str">
        <f t="shared" si="750"/>
        <v>2017</v>
      </c>
      <c r="X2011" t="str">
        <f>"11.00"</f>
        <v>11.00</v>
      </c>
      <c r="Y2011" t="str">
        <f>"2393.63"</f>
        <v>2393.63</v>
      </c>
      <c r="Z2011" t="str">
        <f>"25000.00"</f>
        <v>25000.00</v>
      </c>
      <c r="AA2011" t="str">
        <f>"163261.00"</f>
        <v>163261.00</v>
      </c>
      <c r="AB2011" t="str">
        <f t="shared" si="759"/>
        <v>Residential</v>
      </c>
      <c r="AC2011" t="str">
        <f t="shared" si="735"/>
        <v>0</v>
      </c>
      <c r="AD2011" t="str">
        <f>"3"</f>
        <v>3</v>
      </c>
      <c r="AE2011" t="str">
        <f>"MASONRY"</f>
        <v>MASONRY</v>
      </c>
      <c r="AF2011" t="str">
        <f>"001"</f>
        <v>001</v>
      </c>
      <c r="AG2011" t="str">
        <f t="shared" si="761"/>
        <v>FL</v>
      </c>
      <c r="AH2011" t="str">
        <f>"42720.00"</f>
        <v>42720.00</v>
      </c>
      <c r="AI2011" t="str">
        <f>"80100.00"</f>
        <v>80100.00</v>
      </c>
      <c r="AJ2011" t="str">
        <f>"C55-000-585-3210-2"</f>
        <v>C55-000-585-3210-2</v>
      </c>
      <c r="AK2011" t="str">
        <f>"41374"</f>
        <v>41374</v>
      </c>
      <c r="AL2011">
        <v>7</v>
      </c>
      <c r="AM2011">
        <v>2294</v>
      </c>
      <c r="AN2011">
        <v>2511.71</v>
      </c>
      <c r="AQ2011" t="s">
        <v>19435</v>
      </c>
      <c r="AR2011" t="s">
        <v>19435</v>
      </c>
      <c r="AS2011" t="s">
        <v>19435</v>
      </c>
      <c r="AU2011" t="s">
        <v>396</v>
      </c>
      <c r="AV2011">
        <v>2017</v>
      </c>
      <c r="AW2011" t="str">
        <f>"00-00-30-0800-0031-0010 "</f>
        <v xml:space="preserve">00-00-30-0800-0031-0010 </v>
      </c>
      <c r="AX2011">
        <v>1862</v>
      </c>
      <c r="AZ2011" t="s">
        <v>19024</v>
      </c>
      <c r="BA2011" t="s">
        <v>669</v>
      </c>
      <c r="BD2011" t="s">
        <v>11749</v>
      </c>
      <c r="BE2011" t="s">
        <v>393</v>
      </c>
      <c r="BF2011">
        <v>32034</v>
      </c>
      <c r="BG2011" t="s">
        <v>19436</v>
      </c>
      <c r="BH2011" t="s">
        <v>11751</v>
      </c>
      <c r="BI2011">
        <v>-81.462477731388105</v>
      </c>
      <c r="BJ2011">
        <v>30.642657100480498</v>
      </c>
      <c r="BK2011" t="s">
        <v>19437</v>
      </c>
      <c r="BM2011" t="s">
        <v>19438</v>
      </c>
      <c r="BN2011" t="s">
        <v>3983</v>
      </c>
      <c r="BO2011">
        <v>32034</v>
      </c>
      <c r="BP2011" t="s">
        <v>404</v>
      </c>
      <c r="BQ2011">
        <v>100</v>
      </c>
      <c r="BR2011" t="s">
        <v>514</v>
      </c>
      <c r="BS2011">
        <v>1001</v>
      </c>
      <c r="BT2011" t="s">
        <v>515</v>
      </c>
      <c r="BU2011">
        <v>1780</v>
      </c>
      <c r="BV2011">
        <v>0</v>
      </c>
      <c r="BW2011">
        <v>42232</v>
      </c>
      <c r="BX2011" t="s">
        <v>407</v>
      </c>
      <c r="BY2011" t="s">
        <v>7351</v>
      </c>
      <c r="BZ2011">
        <v>3</v>
      </c>
      <c r="CA2011">
        <v>1956</v>
      </c>
      <c r="CB2011">
        <v>1</v>
      </c>
      <c r="CC2011">
        <v>1</v>
      </c>
      <c r="CD2011">
        <v>2017</v>
      </c>
      <c r="CG2011">
        <v>188261</v>
      </c>
      <c r="CH2011">
        <v>2017</v>
      </c>
      <c r="CI2011">
        <v>80100</v>
      </c>
      <c r="CJ2011">
        <v>118091</v>
      </c>
      <c r="CK2011">
        <v>198191</v>
      </c>
      <c r="CL2011">
        <v>2017</v>
      </c>
      <c r="CM2011">
        <v>2292.84</v>
      </c>
      <c r="CN2011" s="1">
        <v>39072</v>
      </c>
      <c r="CZ2011" s="1">
        <v>39072</v>
      </c>
      <c r="DD2011" t="s">
        <v>11749</v>
      </c>
      <c r="DF2011">
        <v>31</v>
      </c>
      <c r="DG2011">
        <v>30</v>
      </c>
      <c r="DJ2011" t="s">
        <v>19430</v>
      </c>
      <c r="DL2011">
        <v>50202</v>
      </c>
      <c r="DM2011" t="s">
        <v>18678</v>
      </c>
      <c r="DO2011" t="s">
        <v>19439</v>
      </c>
      <c r="DP2011">
        <v>0</v>
      </c>
      <c r="DQ2011">
        <v>0</v>
      </c>
      <c r="DR2011" t="s">
        <v>411</v>
      </c>
      <c r="EP2011" t="s">
        <v>421</v>
      </c>
      <c r="EQ2011" t="s">
        <v>422</v>
      </c>
      <c r="ER2011">
        <v>0</v>
      </c>
      <c r="ES2011">
        <v>2</v>
      </c>
      <c r="ET2011">
        <v>0</v>
      </c>
      <c r="EU2011">
        <v>0</v>
      </c>
      <c r="EV2011">
        <v>0</v>
      </c>
      <c r="EW2011" s="2">
        <v>43222</v>
      </c>
      <c r="EX2011" s="1">
        <v>42879</v>
      </c>
      <c r="EY2011">
        <v>2016</v>
      </c>
      <c r="EZ2011">
        <v>2479.73</v>
      </c>
      <c r="FA2011" t="s">
        <v>19440</v>
      </c>
      <c r="FB2011">
        <v>0.25</v>
      </c>
      <c r="FC2011" t="s">
        <v>424</v>
      </c>
      <c r="FD2011" t="s">
        <v>425</v>
      </c>
      <c r="FE2011" s="1">
        <v>43199</v>
      </c>
      <c r="FF2011">
        <v>11</v>
      </c>
      <c r="FG2011">
        <v>5857474</v>
      </c>
      <c r="FH2011" t="s">
        <v>900</v>
      </c>
      <c r="FJ2011" s="1">
        <v>42879</v>
      </c>
      <c r="FK2011">
        <v>2016</v>
      </c>
      <c r="FL2011">
        <v>2479.73</v>
      </c>
      <c r="FM2011" t="s">
        <v>19440</v>
      </c>
      <c r="FN2011">
        <v>0.25</v>
      </c>
      <c r="FO2011" t="s">
        <v>424</v>
      </c>
      <c r="FP2011" t="s">
        <v>425</v>
      </c>
      <c r="FR2011">
        <v>22</v>
      </c>
      <c r="FS2011">
        <v>6404966</v>
      </c>
      <c r="FT2011" t="s">
        <v>19441</v>
      </c>
    </row>
    <row r="2012" spans="1:284" x14ac:dyDescent="0.25">
      <c r="A2012">
        <v>16487019</v>
      </c>
      <c r="B2012">
        <v>2011</v>
      </c>
      <c r="C2012" t="s">
        <v>393</v>
      </c>
      <c r="D2012" t="s">
        <v>394</v>
      </c>
      <c r="F2012" t="str">
        <f>"00-00-30-0800-0042-0050"</f>
        <v>00-00-30-0800-0042-0050</v>
      </c>
      <c r="H2012" t="str">
        <f>"DUKES LARRY B &amp; DUKES CAROL B"</f>
        <v>DUKES LARRY B &amp; DUKES CAROL B</v>
      </c>
      <c r="I2012" t="str">
        <f>"1982 BOLES CIRCLE"</f>
        <v>1982 BOLES CIRCLE</v>
      </c>
      <c r="J2012" t="str">
        <f t="shared" si="760"/>
        <v>FERNANDINA BEACH FL 32034</v>
      </c>
      <c r="K2012" t="str">
        <f>"1982 BOLES CIR"</f>
        <v>1982 BOLES CIR</v>
      </c>
      <c r="L2012" t="str">
        <f t="shared" si="758"/>
        <v>FERNANDINA BEACH FL 32034</v>
      </c>
      <c r="M2012" t="str">
        <f>"PT LOT 42 R359550 OR 511 PG 357 SUB OF SEC 30 PB 1/5"</f>
        <v>PT LOT 42 R359550 OR 511 PG 357 SUB OF SEC 30 PB 1/5</v>
      </c>
      <c r="N2012" t="str">
        <f>""</f>
        <v/>
      </c>
      <c r="O2012" t="str">
        <f>"4051"</f>
        <v>4051</v>
      </c>
      <c r="P2012" t="str">
        <f t="shared" si="749"/>
        <v>2017</v>
      </c>
      <c r="Q2012" t="str">
        <f>""</f>
        <v/>
      </c>
      <c r="R2012" t="str">
        <f>"N"</f>
        <v>N</v>
      </c>
      <c r="S2012" t="str">
        <f>""</f>
        <v/>
      </c>
      <c r="T2012" t="str">
        <f>"822.18"</f>
        <v>822.18</v>
      </c>
      <c r="U2012" t="str">
        <f>"53422.00"</f>
        <v>53422.00</v>
      </c>
      <c r="V2012" t="str">
        <f>"53422.00"</f>
        <v>53422.00</v>
      </c>
      <c r="W2012" t="str">
        <f t="shared" si="750"/>
        <v>2017</v>
      </c>
      <c r="X2012" t="str">
        <f>"16.22"</f>
        <v>16.22</v>
      </c>
      <c r="Y2012" t="str">
        <f>"878.85"</f>
        <v>878.85</v>
      </c>
      <c r="Z2012" t="str">
        <f>""</f>
        <v/>
      </c>
      <c r="AA2012" t="str">
        <f>"53422.00"</f>
        <v>53422.00</v>
      </c>
      <c r="AB2012" t="str">
        <f t="shared" si="759"/>
        <v>Residential</v>
      </c>
      <c r="AC2012" t="str">
        <f t="shared" si="735"/>
        <v>0</v>
      </c>
      <c r="AD2012" t="str">
        <f>"4"</f>
        <v>4</v>
      </c>
      <c r="AE2012" t="str">
        <f>"WOOD (INCLUDE STEEL STUDS)"</f>
        <v>WOOD (INCLUDE STEEL STUDS)</v>
      </c>
      <c r="AF2012" t="str">
        <f>"002"</f>
        <v>002</v>
      </c>
      <c r="AG2012" t="str">
        <f t="shared" si="761"/>
        <v>FL</v>
      </c>
      <c r="AH2012" t="str">
        <f>"15000.00"</f>
        <v>15000.00</v>
      </c>
      <c r="AI2012" t="str">
        <f>"45000.00"</f>
        <v>45000.00</v>
      </c>
      <c r="AJ2012" t="str">
        <f>"C55-000-585-3245-8"</f>
        <v>C55-000-585-3245-8</v>
      </c>
      <c r="AK2012" t="str">
        <f>"41408"</f>
        <v>41408</v>
      </c>
      <c r="AL2012">
        <v>7</v>
      </c>
      <c r="AM2012">
        <v>2295</v>
      </c>
      <c r="AN2012">
        <v>921.19</v>
      </c>
      <c r="AQ2012" t="s">
        <v>19442</v>
      </c>
      <c r="AR2012" t="s">
        <v>19442</v>
      </c>
      <c r="AS2012" t="s">
        <v>19442</v>
      </c>
      <c r="AU2012" t="s">
        <v>396</v>
      </c>
      <c r="AV2012">
        <v>2017</v>
      </c>
      <c r="AW2012" t="str">
        <f>"00-00-30-0800-0042-0050 "</f>
        <v xml:space="preserve">00-00-30-0800-0042-0050 </v>
      </c>
      <c r="AX2012">
        <v>1982</v>
      </c>
      <c r="AZ2012" t="s">
        <v>19443</v>
      </c>
      <c r="BA2012" t="s">
        <v>1799</v>
      </c>
      <c r="BD2012" t="s">
        <v>11749</v>
      </c>
      <c r="BE2012" t="s">
        <v>393</v>
      </c>
      <c r="BF2012">
        <v>32034</v>
      </c>
      <c r="BG2012" t="s">
        <v>19444</v>
      </c>
      <c r="BH2012" t="s">
        <v>11751</v>
      </c>
      <c r="BI2012">
        <v>-81.461755384585999</v>
      </c>
      <c r="BJ2012">
        <v>30.638148354753501</v>
      </c>
      <c r="BK2012" t="s">
        <v>19445</v>
      </c>
      <c r="BL2012" t="s">
        <v>19446</v>
      </c>
      <c r="BM2012" t="s">
        <v>19444</v>
      </c>
      <c r="BN2012" t="s">
        <v>3983</v>
      </c>
      <c r="BO2012">
        <v>32034</v>
      </c>
      <c r="BP2012" t="s">
        <v>416</v>
      </c>
      <c r="BQ2012">
        <v>200</v>
      </c>
      <c r="BR2012" t="s">
        <v>405</v>
      </c>
      <c r="BS2012">
        <v>1006</v>
      </c>
      <c r="BT2012" t="s">
        <v>406</v>
      </c>
      <c r="BU2012">
        <v>1000</v>
      </c>
      <c r="BV2012">
        <v>1500</v>
      </c>
      <c r="BW2012">
        <v>15936</v>
      </c>
      <c r="BX2012" t="s">
        <v>407</v>
      </c>
      <c r="BY2012" t="s">
        <v>7351</v>
      </c>
      <c r="BZ2012">
        <v>4</v>
      </c>
      <c r="CA2012">
        <v>1964</v>
      </c>
      <c r="CB2012">
        <v>1</v>
      </c>
      <c r="CC2012">
        <v>1</v>
      </c>
      <c r="CD2012">
        <v>2017</v>
      </c>
      <c r="CE2012">
        <v>45000</v>
      </c>
      <c r="CF2012">
        <v>8422</v>
      </c>
      <c r="CG2012">
        <v>53422</v>
      </c>
      <c r="CH2012">
        <v>2017</v>
      </c>
      <c r="CI2012">
        <v>45000</v>
      </c>
      <c r="CJ2012">
        <v>8422</v>
      </c>
      <c r="CK2012">
        <v>53422</v>
      </c>
      <c r="CL2012">
        <v>2017</v>
      </c>
      <c r="CM2012">
        <v>822.18</v>
      </c>
      <c r="CN2012" s="1">
        <v>31828</v>
      </c>
      <c r="CO2012">
        <v>28900</v>
      </c>
      <c r="CZ2012" s="1">
        <v>31828</v>
      </c>
      <c r="DD2012" t="s">
        <v>11749</v>
      </c>
      <c r="DF2012">
        <v>42</v>
      </c>
      <c r="DG2012">
        <v>30</v>
      </c>
      <c r="DJ2012" t="s">
        <v>19430</v>
      </c>
      <c r="DL2012">
        <v>50202</v>
      </c>
      <c r="DM2012" t="s">
        <v>18678</v>
      </c>
      <c r="DO2012" t="s">
        <v>19447</v>
      </c>
      <c r="DP2012">
        <v>0</v>
      </c>
      <c r="DQ2012">
        <v>0</v>
      </c>
      <c r="DR2012" t="s">
        <v>411</v>
      </c>
      <c r="DS2012" t="b">
        <v>1</v>
      </c>
      <c r="DT2012" t="s">
        <v>470</v>
      </c>
      <c r="DU2012" t="s">
        <v>471</v>
      </c>
      <c r="DV2012" t="s">
        <v>472</v>
      </c>
      <c r="DX2012">
        <v>-9999</v>
      </c>
      <c r="DZ2012" t="s">
        <v>447</v>
      </c>
      <c r="EA2012" t="s">
        <v>448</v>
      </c>
      <c r="EB2012" t="s">
        <v>14787</v>
      </c>
      <c r="EC2012">
        <v>20101217</v>
      </c>
      <c r="ED2012" t="s">
        <v>474</v>
      </c>
      <c r="EF2012">
        <v>317.3</v>
      </c>
      <c r="EG2012">
        <v>112.9</v>
      </c>
      <c r="EI2012">
        <v>20160407</v>
      </c>
      <c r="EJ2012">
        <v>0</v>
      </c>
      <c r="EK2012">
        <v>0</v>
      </c>
      <c r="EP2012" t="s">
        <v>421</v>
      </c>
      <c r="EQ2012" t="s">
        <v>422</v>
      </c>
      <c r="ER2012">
        <v>2</v>
      </c>
      <c r="ES2012">
        <v>8</v>
      </c>
      <c r="ET2012">
        <v>1818.28</v>
      </c>
      <c r="EU2012">
        <v>103.41</v>
      </c>
      <c r="EV2012">
        <v>1921.69</v>
      </c>
      <c r="EW2012" s="2">
        <v>43222</v>
      </c>
      <c r="EX2012" s="1">
        <v>42879</v>
      </c>
      <c r="EY2012">
        <v>2016</v>
      </c>
      <c r="EZ2012">
        <v>909.14</v>
      </c>
      <c r="FA2012" t="s">
        <v>19448</v>
      </c>
      <c r="FB2012">
        <v>0.25</v>
      </c>
      <c r="FC2012" t="s">
        <v>424</v>
      </c>
      <c r="FD2012" t="s">
        <v>454</v>
      </c>
      <c r="FF2012">
        <v>12</v>
      </c>
      <c r="FG2012">
        <v>2851116</v>
      </c>
      <c r="FH2012" t="s">
        <v>480</v>
      </c>
      <c r="FJ2012" s="1">
        <v>42879</v>
      </c>
      <c r="FK2012">
        <v>2016</v>
      </c>
      <c r="FL2012">
        <v>909.14</v>
      </c>
      <c r="FM2012" t="s">
        <v>19448</v>
      </c>
      <c r="FN2012">
        <v>0.25</v>
      </c>
      <c r="FO2012" t="s">
        <v>424</v>
      </c>
      <c r="FP2012" t="s">
        <v>454</v>
      </c>
      <c r="FR2012">
        <v>12</v>
      </c>
      <c r="FS2012">
        <v>4993763</v>
      </c>
      <c r="FT2012" t="s">
        <v>19449</v>
      </c>
      <c r="FV2012" s="1">
        <v>42515</v>
      </c>
      <c r="FW2012">
        <v>2015</v>
      </c>
      <c r="FX2012">
        <v>834.82</v>
      </c>
      <c r="FY2012" t="s">
        <v>19450</v>
      </c>
      <c r="FZ2012">
        <v>0.25</v>
      </c>
      <c r="GA2012" t="s">
        <v>424</v>
      </c>
      <c r="GB2012" t="s">
        <v>425</v>
      </c>
      <c r="GC2012" s="1">
        <v>42856</v>
      </c>
      <c r="GD2012">
        <v>12</v>
      </c>
      <c r="GE2012">
        <v>2851116</v>
      </c>
      <c r="GF2012" t="s">
        <v>480</v>
      </c>
      <c r="GH2012" s="1">
        <v>42515</v>
      </c>
      <c r="GI2012">
        <v>2015</v>
      </c>
      <c r="GJ2012">
        <v>834.82</v>
      </c>
      <c r="GK2012" t="s">
        <v>19450</v>
      </c>
      <c r="GL2012">
        <v>0.25</v>
      </c>
      <c r="GM2012" t="s">
        <v>424</v>
      </c>
      <c r="GN2012" t="s">
        <v>425</v>
      </c>
      <c r="GP2012">
        <v>22</v>
      </c>
      <c r="GQ2012">
        <v>5576337</v>
      </c>
      <c r="GR2012" t="s">
        <v>19451</v>
      </c>
      <c r="GT2012" s="1">
        <v>42151</v>
      </c>
      <c r="GU2012">
        <v>2014</v>
      </c>
      <c r="GV2012">
        <v>717.93</v>
      </c>
      <c r="GW2012" t="s">
        <v>19452</v>
      </c>
      <c r="GX2012">
        <v>0.25</v>
      </c>
      <c r="GY2012" t="s">
        <v>424</v>
      </c>
      <c r="GZ2012" t="s">
        <v>425</v>
      </c>
      <c r="HA2012" s="1">
        <v>42410</v>
      </c>
      <c r="HB2012">
        <v>9</v>
      </c>
      <c r="HC2012">
        <v>2851116</v>
      </c>
      <c r="HD2012" t="s">
        <v>480</v>
      </c>
      <c r="HF2012" s="1">
        <v>42151</v>
      </c>
      <c r="HG2012">
        <v>2014</v>
      </c>
      <c r="HH2012">
        <v>717.93</v>
      </c>
      <c r="HI2012" t="s">
        <v>19452</v>
      </c>
      <c r="HJ2012">
        <v>0.25</v>
      </c>
      <c r="HK2012" t="s">
        <v>424</v>
      </c>
      <c r="HL2012" t="s">
        <v>425</v>
      </c>
      <c r="HN2012">
        <v>22</v>
      </c>
      <c r="HO2012">
        <v>5289849</v>
      </c>
      <c r="HP2012" t="s">
        <v>19453</v>
      </c>
      <c r="HR2012" s="1">
        <v>41787</v>
      </c>
      <c r="HS2012">
        <v>2013</v>
      </c>
      <c r="HT2012">
        <v>684.04</v>
      </c>
      <c r="HU2012" t="s">
        <v>19454</v>
      </c>
      <c r="HV2012">
        <v>0.25</v>
      </c>
      <c r="HW2012" t="s">
        <v>424</v>
      </c>
      <c r="HX2012" t="s">
        <v>425</v>
      </c>
      <c r="HY2012" s="1">
        <v>42410</v>
      </c>
      <c r="HZ2012">
        <v>21</v>
      </c>
      <c r="IA2012">
        <v>305</v>
      </c>
      <c r="IB2012" t="s">
        <v>1078</v>
      </c>
      <c r="ID2012" s="1">
        <v>41423</v>
      </c>
      <c r="IE2012">
        <v>2012</v>
      </c>
      <c r="IF2012">
        <v>686.93</v>
      </c>
      <c r="IG2012" t="s">
        <v>19455</v>
      </c>
      <c r="IH2012">
        <v>0.25</v>
      </c>
      <c r="II2012" t="s">
        <v>424</v>
      </c>
      <c r="IJ2012" t="s">
        <v>425</v>
      </c>
      <c r="IK2012" s="1">
        <v>42032</v>
      </c>
      <c r="IL2012">
        <v>20</v>
      </c>
      <c r="IM2012">
        <v>15399</v>
      </c>
      <c r="IN2012" t="s">
        <v>485</v>
      </c>
      <c r="IP2012" s="1">
        <v>41052</v>
      </c>
      <c r="IQ2012">
        <v>2011</v>
      </c>
      <c r="IR2012">
        <v>775.41</v>
      </c>
      <c r="IS2012" t="s">
        <v>19456</v>
      </c>
      <c r="IT2012">
        <v>8.25</v>
      </c>
      <c r="IU2012" t="s">
        <v>424</v>
      </c>
      <c r="IV2012" t="s">
        <v>425</v>
      </c>
      <c r="IW2012" s="1">
        <v>41183</v>
      </c>
      <c r="IX2012">
        <v>5</v>
      </c>
      <c r="IY2012">
        <v>13027</v>
      </c>
      <c r="IZ2012" t="s">
        <v>826</v>
      </c>
      <c r="JB2012" s="1">
        <v>40688</v>
      </c>
      <c r="JC2012">
        <v>2010</v>
      </c>
      <c r="JD2012">
        <v>780.94</v>
      </c>
      <c r="JE2012" t="s">
        <v>19457</v>
      </c>
      <c r="JF2012">
        <v>7</v>
      </c>
      <c r="JG2012" t="s">
        <v>424</v>
      </c>
      <c r="JH2012" t="s">
        <v>425</v>
      </c>
      <c r="JI2012" s="1">
        <v>40865</v>
      </c>
      <c r="JJ2012">
        <v>6</v>
      </c>
      <c r="JK2012">
        <v>10579</v>
      </c>
      <c r="JL2012" t="s">
        <v>488</v>
      </c>
    </row>
    <row r="2013" spans="1:284" x14ac:dyDescent="0.25">
      <c r="A2013">
        <v>16487020</v>
      </c>
      <c r="B2013">
        <v>2012</v>
      </c>
      <c r="C2013" t="s">
        <v>393</v>
      </c>
      <c r="D2013" t="s">
        <v>394</v>
      </c>
      <c r="F2013" t="str">
        <f>"00-00-30-0820-0012-0030"</f>
        <v>00-00-30-0820-0012-0030</v>
      </c>
      <c r="H2013" t="str">
        <f>"THOMAS ROSA EST"</f>
        <v>THOMAS ROSA EST</v>
      </c>
      <c r="I2013" t="str">
        <f>"1601 LEWIS ST"</f>
        <v>1601 LEWIS ST</v>
      </c>
      <c r="J2013" t="str">
        <f t="shared" si="760"/>
        <v>FERNANDINA BEACH FL 32034</v>
      </c>
      <c r="K2013" t="str">
        <f>"1601 LEWIS ST"</f>
        <v>1601 LEWIS ST</v>
      </c>
      <c r="L2013" t="str">
        <f t="shared" si="758"/>
        <v>FERNANDINA BEACH FL 32034</v>
      </c>
      <c r="M2013" t="str">
        <f>"PT OF LOT 12 OR 120/332 SUHRER TRACT SUB DB 39/289"</f>
        <v>PT OF LOT 12 OR 120/332 SUHRER TRACT SUB DB 39/289</v>
      </c>
      <c r="N2013" t="str">
        <f>""</f>
        <v/>
      </c>
      <c r="O2013" t="str">
        <f>"4116"</f>
        <v>4116</v>
      </c>
      <c r="P2013" t="str">
        <f t="shared" si="749"/>
        <v>2017</v>
      </c>
      <c r="Q2013" t="str">
        <f>""</f>
        <v/>
      </c>
      <c r="R2013" t="str">
        <f>"N"</f>
        <v>N</v>
      </c>
      <c r="S2013" t="str">
        <f>""</f>
        <v/>
      </c>
      <c r="T2013" t="str">
        <f>"2671.48"</f>
        <v>2671.48</v>
      </c>
      <c r="U2013" t="str">
        <f>"173581.00"</f>
        <v>173581.00</v>
      </c>
      <c r="V2013" t="str">
        <f>"173581.00"</f>
        <v>173581.00</v>
      </c>
      <c r="W2013" t="str">
        <f t="shared" si="750"/>
        <v>2017</v>
      </c>
      <c r="X2013" t="str">
        <f>"18.70"</f>
        <v>18.70</v>
      </c>
      <c r="Y2013" t="str">
        <f>"2783.62"</f>
        <v>2783.62</v>
      </c>
      <c r="Z2013" t="str">
        <f>""</f>
        <v/>
      </c>
      <c r="AA2013" t="str">
        <f>"173581.00"</f>
        <v>173581.00</v>
      </c>
      <c r="AB2013" t="str">
        <f t="shared" si="759"/>
        <v>Residential</v>
      </c>
      <c r="AC2013" t="str">
        <f t="shared" si="735"/>
        <v>0</v>
      </c>
      <c r="AD2013" t="str">
        <f>"4"</f>
        <v>4</v>
      </c>
      <c r="AE2013" t="str">
        <f>"WOOD (INCLUDE STEEL STUDS)"</f>
        <v>WOOD (INCLUDE STEEL STUDS)</v>
      </c>
      <c r="AF2013" t="str">
        <f>"001"</f>
        <v>001</v>
      </c>
      <c r="AG2013" t="str">
        <f t="shared" si="761"/>
        <v>FL</v>
      </c>
      <c r="AH2013" t="str">
        <f>"20000.00"</f>
        <v>20000.00</v>
      </c>
      <c r="AI2013" t="str">
        <f>"123420.00"</f>
        <v>123420.00</v>
      </c>
      <c r="AJ2013" t="str">
        <f>"C55-000-585-3297-9"</f>
        <v>C55-000-585-3297-9</v>
      </c>
      <c r="AK2013" t="str">
        <f>"41456"</f>
        <v>41456</v>
      </c>
      <c r="AL2013">
        <v>7</v>
      </c>
      <c r="AM2013">
        <v>2296</v>
      </c>
      <c r="AN2013">
        <v>2921.2</v>
      </c>
      <c r="AQ2013" t="s">
        <v>19458</v>
      </c>
      <c r="AR2013" t="s">
        <v>19458</v>
      </c>
      <c r="AS2013" t="s">
        <v>19458</v>
      </c>
      <c r="AU2013" t="s">
        <v>396</v>
      </c>
      <c r="AV2013">
        <v>2017</v>
      </c>
      <c r="AW2013" t="str">
        <f>"00-00-30-0820-0012-0030 "</f>
        <v xml:space="preserve">00-00-30-0820-0012-0030 </v>
      </c>
      <c r="AX2013">
        <v>1601</v>
      </c>
      <c r="AZ2013" t="s">
        <v>18451</v>
      </c>
      <c r="BA2013" t="s">
        <v>1942</v>
      </c>
      <c r="BD2013" t="s">
        <v>11749</v>
      </c>
      <c r="BE2013" t="s">
        <v>393</v>
      </c>
      <c r="BF2013">
        <v>32034</v>
      </c>
      <c r="BG2013" t="s">
        <v>19459</v>
      </c>
      <c r="BH2013" t="s">
        <v>11751</v>
      </c>
      <c r="BI2013">
        <v>-81.449979866154393</v>
      </c>
      <c r="BJ2013">
        <v>30.573625227621601</v>
      </c>
      <c r="BK2013" t="s">
        <v>19460</v>
      </c>
      <c r="BM2013" t="s">
        <v>19459</v>
      </c>
      <c r="BN2013" t="s">
        <v>3983</v>
      </c>
      <c r="BO2013">
        <v>32034</v>
      </c>
      <c r="BP2013" t="s">
        <v>416</v>
      </c>
      <c r="BQ2013">
        <v>100</v>
      </c>
      <c r="BR2013" t="s">
        <v>514</v>
      </c>
      <c r="BS2013">
        <v>1001</v>
      </c>
      <c r="BT2013" t="s">
        <v>515</v>
      </c>
      <c r="BU2013">
        <v>1000</v>
      </c>
      <c r="BV2013">
        <v>2000</v>
      </c>
      <c r="BW2013">
        <v>21731</v>
      </c>
      <c r="BX2013" t="s">
        <v>407</v>
      </c>
      <c r="BY2013" t="s">
        <v>7351</v>
      </c>
      <c r="BZ2013">
        <v>4</v>
      </c>
      <c r="CA2013">
        <v>1960</v>
      </c>
      <c r="CB2013">
        <v>1</v>
      </c>
      <c r="CC2013">
        <v>1</v>
      </c>
      <c r="CD2013">
        <v>2017</v>
      </c>
      <c r="CE2013">
        <v>123420</v>
      </c>
      <c r="CF2013">
        <v>50161</v>
      </c>
      <c r="CG2013">
        <v>173581</v>
      </c>
      <c r="CH2013">
        <v>2017</v>
      </c>
      <c r="CI2013">
        <v>123420</v>
      </c>
      <c r="CJ2013">
        <v>50161</v>
      </c>
      <c r="CK2013">
        <v>173581</v>
      </c>
      <c r="CL2013">
        <v>2017</v>
      </c>
      <c r="CM2013">
        <v>2671.48</v>
      </c>
      <c r="CN2013" s="1">
        <v>26299</v>
      </c>
      <c r="CO2013">
        <v>11500</v>
      </c>
      <c r="CZ2013" s="1">
        <v>26299</v>
      </c>
      <c r="DD2013" t="s">
        <v>11749</v>
      </c>
      <c r="DF2013">
        <v>12</v>
      </c>
      <c r="DG2013">
        <v>18</v>
      </c>
      <c r="DL2013">
        <v>50203</v>
      </c>
      <c r="DM2013" t="s">
        <v>18415</v>
      </c>
      <c r="DO2013" t="s">
        <v>19461</v>
      </c>
      <c r="DP2013">
        <v>0</v>
      </c>
      <c r="DQ2013">
        <v>0</v>
      </c>
      <c r="DR2013" t="s">
        <v>411</v>
      </c>
      <c r="DS2013" t="b">
        <v>1</v>
      </c>
      <c r="DT2013" t="s">
        <v>470</v>
      </c>
      <c r="DU2013" t="s">
        <v>471</v>
      </c>
      <c r="DV2013" t="s">
        <v>472</v>
      </c>
      <c r="DX2013">
        <v>-9999</v>
      </c>
      <c r="DZ2013" t="s">
        <v>447</v>
      </c>
      <c r="EA2013" t="s">
        <v>448</v>
      </c>
      <c r="EB2013" t="s">
        <v>14787</v>
      </c>
      <c r="EC2013">
        <v>20101217</v>
      </c>
      <c r="ED2013" t="s">
        <v>474</v>
      </c>
      <c r="EF2013">
        <v>333.1</v>
      </c>
      <c r="EG2013">
        <v>93.8</v>
      </c>
      <c r="EI2013">
        <v>20160407</v>
      </c>
      <c r="EJ2013">
        <v>0</v>
      </c>
      <c r="EK2013">
        <v>0</v>
      </c>
      <c r="EP2013" t="s">
        <v>421</v>
      </c>
      <c r="EQ2013" t="s">
        <v>422</v>
      </c>
      <c r="ER2013">
        <v>2</v>
      </c>
      <c r="ES2013">
        <v>8</v>
      </c>
      <c r="ET2013">
        <v>5839.9</v>
      </c>
      <c r="EU2013">
        <v>304.49</v>
      </c>
      <c r="EV2013">
        <v>6144.39</v>
      </c>
      <c r="EW2013" s="2">
        <v>43222</v>
      </c>
      <c r="EX2013" s="1">
        <v>42879</v>
      </c>
      <c r="EY2013">
        <v>2016</v>
      </c>
      <c r="EZ2013">
        <v>2919.95</v>
      </c>
      <c r="FA2013" t="s">
        <v>19462</v>
      </c>
      <c r="FB2013">
        <v>0.25</v>
      </c>
      <c r="FC2013" t="s">
        <v>424</v>
      </c>
      <c r="FD2013" t="s">
        <v>454</v>
      </c>
      <c r="FF2013">
        <v>12</v>
      </c>
      <c r="FG2013">
        <v>7336671</v>
      </c>
      <c r="FH2013" t="s">
        <v>437</v>
      </c>
      <c r="FJ2013" s="1">
        <v>42879</v>
      </c>
      <c r="FK2013">
        <v>2016</v>
      </c>
      <c r="FL2013">
        <v>2919.95</v>
      </c>
      <c r="FM2013" t="s">
        <v>19462</v>
      </c>
      <c r="FN2013">
        <v>0.25</v>
      </c>
      <c r="FO2013" t="s">
        <v>424</v>
      </c>
      <c r="FP2013" t="s">
        <v>454</v>
      </c>
      <c r="FR2013">
        <v>12</v>
      </c>
      <c r="FS2013">
        <v>6918859</v>
      </c>
      <c r="FT2013" t="s">
        <v>19463</v>
      </c>
      <c r="FV2013" s="1">
        <v>42515</v>
      </c>
      <c r="FW2013">
        <v>2015</v>
      </c>
      <c r="FX2013">
        <v>2965.58</v>
      </c>
      <c r="FY2013" t="s">
        <v>19464</v>
      </c>
      <c r="FZ2013">
        <v>0.25</v>
      </c>
      <c r="GA2013" t="s">
        <v>424</v>
      </c>
      <c r="GB2013" t="s">
        <v>425</v>
      </c>
      <c r="GC2013" s="1">
        <v>43158</v>
      </c>
      <c r="GD2013">
        <v>21</v>
      </c>
      <c r="GE2013">
        <v>5894185</v>
      </c>
      <c r="GF2013" t="s">
        <v>7135</v>
      </c>
      <c r="GH2013" s="1">
        <v>42515</v>
      </c>
      <c r="GI2013">
        <v>2015</v>
      </c>
      <c r="GJ2013">
        <v>2965.58</v>
      </c>
      <c r="GK2013" t="s">
        <v>19464</v>
      </c>
      <c r="GL2013">
        <v>0.25</v>
      </c>
      <c r="GM2013" t="s">
        <v>424</v>
      </c>
      <c r="GN2013" t="s">
        <v>425</v>
      </c>
      <c r="GP2013">
        <v>22</v>
      </c>
      <c r="GQ2013">
        <v>6160036</v>
      </c>
      <c r="GR2013" t="s">
        <v>19465</v>
      </c>
      <c r="GT2013" s="1">
        <v>42151</v>
      </c>
      <c r="GU2013">
        <v>2014</v>
      </c>
      <c r="GV2013">
        <v>2818.84</v>
      </c>
      <c r="GW2013" t="s">
        <v>19466</v>
      </c>
      <c r="GX2013">
        <v>0.25</v>
      </c>
      <c r="GY2013" t="s">
        <v>424</v>
      </c>
      <c r="GZ2013" t="s">
        <v>425</v>
      </c>
      <c r="HA2013" s="1">
        <v>42825</v>
      </c>
      <c r="HB2013">
        <v>22</v>
      </c>
      <c r="HC2013">
        <v>4844984</v>
      </c>
      <c r="HD2013" t="s">
        <v>1323</v>
      </c>
      <c r="HF2013" s="1">
        <v>42151</v>
      </c>
      <c r="HG2013">
        <v>2014</v>
      </c>
      <c r="HH2013">
        <v>2818.84</v>
      </c>
      <c r="HI2013" t="s">
        <v>19466</v>
      </c>
      <c r="HJ2013">
        <v>0.25</v>
      </c>
      <c r="HK2013" t="s">
        <v>424</v>
      </c>
      <c r="HL2013" t="s">
        <v>425</v>
      </c>
      <c r="HN2013">
        <v>22</v>
      </c>
      <c r="HO2013">
        <v>5938188</v>
      </c>
      <c r="HP2013" t="s">
        <v>19467</v>
      </c>
      <c r="HR2013" s="1">
        <v>41787</v>
      </c>
      <c r="HS2013">
        <v>2013</v>
      </c>
      <c r="HT2013">
        <v>2369.13</v>
      </c>
      <c r="HU2013" t="s">
        <v>19468</v>
      </c>
      <c r="HV2013">
        <v>0.25</v>
      </c>
      <c r="HW2013" t="s">
        <v>424</v>
      </c>
      <c r="HX2013" t="s">
        <v>425</v>
      </c>
      <c r="HY2013" s="1">
        <v>42422</v>
      </c>
      <c r="HZ2013">
        <v>21</v>
      </c>
      <c r="IA2013">
        <v>2101382</v>
      </c>
      <c r="IB2013" t="s">
        <v>993</v>
      </c>
      <c r="ID2013" s="1">
        <v>41423</v>
      </c>
      <c r="IE2013">
        <v>2012</v>
      </c>
      <c r="IF2013">
        <v>2399.89</v>
      </c>
      <c r="IG2013" t="s">
        <v>19469</v>
      </c>
      <c r="IH2013">
        <v>0.25</v>
      </c>
      <c r="II2013" t="s">
        <v>424</v>
      </c>
      <c r="IJ2013" t="s">
        <v>425</v>
      </c>
      <c r="IK2013" s="1">
        <v>42090</v>
      </c>
      <c r="IL2013">
        <v>22</v>
      </c>
      <c r="IM2013">
        <v>606981</v>
      </c>
      <c r="IN2013" t="s">
        <v>792</v>
      </c>
      <c r="IP2013" s="1">
        <v>41052</v>
      </c>
      <c r="IQ2013">
        <v>2011</v>
      </c>
      <c r="IR2013">
        <v>2735.82</v>
      </c>
      <c r="IS2013" t="s">
        <v>19470</v>
      </c>
      <c r="IT2013">
        <v>0.25</v>
      </c>
      <c r="IU2013" t="s">
        <v>424</v>
      </c>
      <c r="IV2013" t="s">
        <v>425</v>
      </c>
      <c r="IW2013" s="1">
        <v>41698</v>
      </c>
      <c r="IX2013">
        <v>21</v>
      </c>
      <c r="IY2013">
        <v>13229</v>
      </c>
      <c r="IZ2013" t="s">
        <v>15268</v>
      </c>
      <c r="JB2013" s="1">
        <v>40688</v>
      </c>
      <c r="JC2013">
        <v>2010</v>
      </c>
      <c r="JD2013">
        <v>3219.24</v>
      </c>
      <c r="JE2013" t="s">
        <v>19471</v>
      </c>
      <c r="JF2013">
        <v>3.75</v>
      </c>
      <c r="JG2013" t="s">
        <v>424</v>
      </c>
      <c r="JH2013" t="s">
        <v>425</v>
      </c>
      <c r="JI2013" s="1">
        <v>41332</v>
      </c>
      <c r="JJ2013">
        <v>21</v>
      </c>
      <c r="JK2013">
        <v>11141</v>
      </c>
      <c r="JL2013" t="s">
        <v>1723</v>
      </c>
    </row>
    <row r="2014" spans="1:284" x14ac:dyDescent="0.25">
      <c r="A2014">
        <v>16487021</v>
      </c>
      <c r="B2014">
        <v>2013</v>
      </c>
      <c r="C2014" t="s">
        <v>393</v>
      </c>
      <c r="D2014" t="s">
        <v>394</v>
      </c>
      <c r="F2014" t="str">
        <f>"00-00-30-085U-0011-0000"</f>
        <v>00-00-30-085U-0011-0000</v>
      </c>
      <c r="H2014" t="str">
        <f>"COLEMAN KIMBERLY J"</f>
        <v>COLEMAN KIMBERLY J</v>
      </c>
      <c r="I2014" t="str">
        <f>"2954 TIDEWATER STREET"</f>
        <v>2954 TIDEWATER STREET</v>
      </c>
      <c r="J2014" t="str">
        <f t="shared" si="760"/>
        <v>FERNANDINA BEACH FL 32034</v>
      </c>
      <c r="K2014" t="str">
        <f>"2954 TIDEWATER ST"</f>
        <v>2954 TIDEWATER ST</v>
      </c>
      <c r="L2014" t="str">
        <f t="shared" si="758"/>
        <v>FERNANDINA BEACH FL 32034</v>
      </c>
      <c r="M2014" t="str">
        <f>"LOT 11 IN OR 1262/1685 TIDEWATER at OCEAN REACH 2 PB 6/105-106"</f>
        <v>LOT 11 IN OR 1262/1685 TIDEWATER at OCEAN REACH 2 PB 6/105-106</v>
      </c>
      <c r="N2014" t="str">
        <f>""</f>
        <v/>
      </c>
      <c r="O2014" t="str">
        <f>"4264"</f>
        <v>4264</v>
      </c>
      <c r="P2014" t="str">
        <f t="shared" si="749"/>
        <v>2017</v>
      </c>
      <c r="Q2014" t="str">
        <f>""</f>
        <v/>
      </c>
      <c r="R2014" t="str">
        <f>"Y"</f>
        <v>Y</v>
      </c>
      <c r="S2014" t="str">
        <f>""</f>
        <v/>
      </c>
      <c r="T2014" t="str">
        <f>"2930.91"</f>
        <v>2930.91</v>
      </c>
      <c r="U2014" t="str">
        <f>"229720.00"</f>
        <v>229720.00</v>
      </c>
      <c r="V2014" t="str">
        <f>"229720.00"</f>
        <v>229720.00</v>
      </c>
      <c r="W2014" t="str">
        <f t="shared" si="750"/>
        <v>2017</v>
      </c>
      <c r="X2014" t="str">
        <f>"20.40"</f>
        <v>20.40</v>
      </c>
      <c r="Y2014" t="str">
        <f>"3050.84"</f>
        <v>3050.84</v>
      </c>
      <c r="Z2014" t="str">
        <f>"25000.00"</f>
        <v>25000.00</v>
      </c>
      <c r="AA2014" t="str">
        <f>"204720.00"</f>
        <v>204720.00</v>
      </c>
      <c r="AB2014" t="str">
        <f t="shared" si="759"/>
        <v>Residential</v>
      </c>
      <c r="AC2014" t="str">
        <f t="shared" ref="AC2014:AC2077" si="762">"0"</f>
        <v>0</v>
      </c>
      <c r="AD2014" t="str">
        <f>"4"</f>
        <v>4</v>
      </c>
      <c r="AE2014" t="str">
        <f>"WOOD (INCLUDE STEEL STUDS)"</f>
        <v>WOOD (INCLUDE STEEL STUDS)</v>
      </c>
      <c r="AF2014" t="str">
        <f>"001"</f>
        <v>001</v>
      </c>
      <c r="AG2014" t="str">
        <f t="shared" si="761"/>
        <v>FL</v>
      </c>
      <c r="AH2014" t="str">
        <f>"-"</f>
        <v>-</v>
      </c>
      <c r="AI2014" t="str">
        <f>"90000.00"</f>
        <v>90000.00</v>
      </c>
      <c r="AJ2014" t="str">
        <f>"C55-000-585-3439-7"</f>
        <v>C55-000-585-3439-7</v>
      </c>
      <c r="AK2014" t="str">
        <f>"41599"</f>
        <v>41599</v>
      </c>
      <c r="AL2014">
        <v>7</v>
      </c>
      <c r="AM2014">
        <v>2297</v>
      </c>
      <c r="AN2014">
        <v>3201.78</v>
      </c>
      <c r="AQ2014" t="s">
        <v>19472</v>
      </c>
      <c r="AR2014" t="s">
        <v>19472</v>
      </c>
      <c r="AS2014" t="s">
        <v>19472</v>
      </c>
      <c r="AU2014" t="s">
        <v>396</v>
      </c>
      <c r="AV2014">
        <v>2017</v>
      </c>
      <c r="AW2014" t="str">
        <f>"00-00-30-085U-0011-0000 "</f>
        <v xml:space="preserve">00-00-30-085U-0011-0000 </v>
      </c>
      <c r="AX2014">
        <v>2954</v>
      </c>
      <c r="AZ2014" t="s">
        <v>19473</v>
      </c>
      <c r="BA2014" t="s">
        <v>1942</v>
      </c>
      <c r="BD2014" t="s">
        <v>11749</v>
      </c>
      <c r="BE2014" t="s">
        <v>393</v>
      </c>
      <c r="BF2014">
        <v>32034</v>
      </c>
      <c r="BG2014" t="s">
        <v>19474</v>
      </c>
      <c r="BH2014" t="s">
        <v>11751</v>
      </c>
      <c r="BI2014">
        <v>-81.448789517623993</v>
      </c>
      <c r="BJ2014">
        <v>30.624953187244401</v>
      </c>
      <c r="BK2014" t="s">
        <v>19475</v>
      </c>
      <c r="BM2014" t="s">
        <v>19474</v>
      </c>
      <c r="BN2014" t="s">
        <v>3983</v>
      </c>
      <c r="BO2014">
        <v>32034</v>
      </c>
      <c r="BP2014" t="s">
        <v>416</v>
      </c>
      <c r="BQ2014">
        <v>100</v>
      </c>
      <c r="BR2014" t="s">
        <v>514</v>
      </c>
      <c r="BS2014">
        <v>1001</v>
      </c>
      <c r="BT2014" t="s">
        <v>515</v>
      </c>
      <c r="BW2014">
        <v>9934</v>
      </c>
      <c r="BX2014" t="s">
        <v>407</v>
      </c>
      <c r="BZ2014">
        <v>4</v>
      </c>
      <c r="CA2014">
        <v>1998</v>
      </c>
      <c r="CB2014">
        <v>1</v>
      </c>
      <c r="CC2014">
        <v>1</v>
      </c>
      <c r="CD2014">
        <v>2017</v>
      </c>
      <c r="CG2014">
        <v>229720</v>
      </c>
      <c r="CH2014">
        <v>2017</v>
      </c>
      <c r="CI2014">
        <v>90000</v>
      </c>
      <c r="CJ2014">
        <v>189569</v>
      </c>
      <c r="CK2014">
        <v>279569</v>
      </c>
      <c r="CL2014">
        <v>2017</v>
      </c>
      <c r="CM2014">
        <v>2930.91</v>
      </c>
      <c r="CN2014" s="1">
        <v>37102</v>
      </c>
      <c r="CO2014">
        <v>227000</v>
      </c>
      <c r="CV2014">
        <v>0</v>
      </c>
      <c r="CZ2014" s="1">
        <v>37102</v>
      </c>
      <c r="DA2014">
        <v>0</v>
      </c>
      <c r="DD2014" t="s">
        <v>11749</v>
      </c>
      <c r="DF2014">
        <v>11</v>
      </c>
      <c r="DG2014">
        <v>2</v>
      </c>
      <c r="DJ2014" t="s">
        <v>19476</v>
      </c>
      <c r="DL2014">
        <v>50202</v>
      </c>
      <c r="DM2014" t="s">
        <v>19477</v>
      </c>
      <c r="DO2014" t="s">
        <v>19478</v>
      </c>
      <c r="DP2014">
        <v>0</v>
      </c>
      <c r="DQ2014">
        <v>0</v>
      </c>
      <c r="DR2014" t="s">
        <v>411</v>
      </c>
      <c r="DS2014" t="b">
        <v>1</v>
      </c>
      <c r="DT2014" t="s">
        <v>470</v>
      </c>
      <c r="DU2014" t="s">
        <v>471</v>
      </c>
      <c r="DV2014" t="s">
        <v>472</v>
      </c>
      <c r="DX2014">
        <v>-9999</v>
      </c>
      <c r="DZ2014" t="s">
        <v>447</v>
      </c>
      <c r="EA2014" t="s">
        <v>448</v>
      </c>
      <c r="EB2014" t="s">
        <v>14787</v>
      </c>
      <c r="EC2014">
        <v>20101217</v>
      </c>
      <c r="ED2014" t="s">
        <v>474</v>
      </c>
      <c r="EF2014">
        <v>1323.9</v>
      </c>
      <c r="EG2014">
        <v>1075.3</v>
      </c>
      <c r="EI2014">
        <v>20160407</v>
      </c>
      <c r="EJ2014">
        <v>0</v>
      </c>
      <c r="EK2014">
        <v>0</v>
      </c>
      <c r="EP2014" t="s">
        <v>421</v>
      </c>
      <c r="EQ2014" t="s">
        <v>422</v>
      </c>
      <c r="ER2014">
        <v>2</v>
      </c>
      <c r="ES2014">
        <v>9</v>
      </c>
      <c r="ET2014">
        <v>6306.02</v>
      </c>
      <c r="EU2014">
        <v>327.8</v>
      </c>
      <c r="EV2014">
        <v>6633.82</v>
      </c>
      <c r="EW2014" s="2">
        <v>43222</v>
      </c>
      <c r="EX2014" s="1">
        <v>42879</v>
      </c>
      <c r="EY2014">
        <v>2016</v>
      </c>
      <c r="EZ2014">
        <v>3153.01</v>
      </c>
      <c r="FA2014" t="s">
        <v>19479</v>
      </c>
      <c r="FB2014">
        <v>0.25</v>
      </c>
      <c r="FC2014" t="s">
        <v>424</v>
      </c>
      <c r="FD2014" t="s">
        <v>454</v>
      </c>
      <c r="FF2014">
        <v>12</v>
      </c>
      <c r="FG2014">
        <v>2851116</v>
      </c>
      <c r="FH2014" t="s">
        <v>480</v>
      </c>
      <c r="FJ2014" s="1">
        <v>42879</v>
      </c>
      <c r="FK2014">
        <v>2016</v>
      </c>
      <c r="FL2014">
        <v>3153.01</v>
      </c>
      <c r="FM2014" t="s">
        <v>19479</v>
      </c>
      <c r="FN2014">
        <v>0.25</v>
      </c>
      <c r="FO2014" t="s">
        <v>424</v>
      </c>
      <c r="FP2014" t="s">
        <v>454</v>
      </c>
      <c r="FR2014">
        <v>12</v>
      </c>
      <c r="FS2014">
        <v>5240528</v>
      </c>
      <c r="FT2014" t="s">
        <v>19480</v>
      </c>
      <c r="FV2014" s="1">
        <v>42515</v>
      </c>
      <c r="FW2014">
        <v>2015</v>
      </c>
      <c r="FX2014">
        <v>3179.79</v>
      </c>
      <c r="FY2014" t="s">
        <v>19481</v>
      </c>
      <c r="FZ2014">
        <v>0.25</v>
      </c>
      <c r="GA2014" t="s">
        <v>424</v>
      </c>
      <c r="GB2014" t="s">
        <v>425</v>
      </c>
      <c r="GC2014" s="1">
        <v>43159</v>
      </c>
      <c r="GD2014">
        <v>21</v>
      </c>
      <c r="GE2014">
        <v>5916895</v>
      </c>
      <c r="GF2014" t="s">
        <v>1390</v>
      </c>
      <c r="GH2014" s="1">
        <v>42515</v>
      </c>
      <c r="GI2014">
        <v>2015</v>
      </c>
      <c r="GJ2014">
        <v>3179.79</v>
      </c>
      <c r="GK2014" t="s">
        <v>19481</v>
      </c>
      <c r="GL2014">
        <v>0.25</v>
      </c>
      <c r="GM2014" t="s">
        <v>424</v>
      </c>
      <c r="GN2014" t="s">
        <v>425</v>
      </c>
      <c r="GP2014">
        <v>22</v>
      </c>
      <c r="GQ2014">
        <v>5898401</v>
      </c>
      <c r="GR2014" t="s">
        <v>19482</v>
      </c>
      <c r="GT2014" s="1">
        <v>42151</v>
      </c>
      <c r="GU2014">
        <v>2014</v>
      </c>
      <c r="GV2014">
        <v>3166.77</v>
      </c>
      <c r="GW2014" t="s">
        <v>19483</v>
      </c>
      <c r="GX2014">
        <v>0.25</v>
      </c>
      <c r="GY2014" t="s">
        <v>424</v>
      </c>
      <c r="GZ2014" t="s">
        <v>425</v>
      </c>
      <c r="HA2014" s="1">
        <v>42794</v>
      </c>
      <c r="HB2014">
        <v>21</v>
      </c>
      <c r="HC2014">
        <v>2851116</v>
      </c>
      <c r="HD2014" t="s">
        <v>480</v>
      </c>
      <c r="HF2014" s="1">
        <v>42151</v>
      </c>
      <c r="HG2014">
        <v>2014</v>
      </c>
      <c r="HH2014">
        <v>3166.77</v>
      </c>
      <c r="HI2014" t="s">
        <v>19483</v>
      </c>
      <c r="HJ2014">
        <v>0.25</v>
      </c>
      <c r="HK2014" t="s">
        <v>424</v>
      </c>
      <c r="HL2014" t="s">
        <v>425</v>
      </c>
      <c r="HN2014">
        <v>22</v>
      </c>
      <c r="HO2014">
        <v>4976547</v>
      </c>
      <c r="HP2014" t="s">
        <v>19484</v>
      </c>
      <c r="HR2014" s="1">
        <v>41787</v>
      </c>
      <c r="HS2014">
        <v>2013</v>
      </c>
      <c r="HT2014">
        <v>2960.19</v>
      </c>
      <c r="HU2014" t="s">
        <v>19485</v>
      </c>
      <c r="HV2014">
        <v>0.25</v>
      </c>
      <c r="HW2014" t="s">
        <v>424</v>
      </c>
      <c r="HX2014" t="s">
        <v>425</v>
      </c>
      <c r="HY2014" s="1">
        <v>42412</v>
      </c>
      <c r="HZ2014">
        <v>21</v>
      </c>
      <c r="IA2014">
        <v>2407503</v>
      </c>
      <c r="IB2014" t="s">
        <v>461</v>
      </c>
      <c r="ID2014" s="1">
        <v>41423</v>
      </c>
      <c r="IE2014">
        <v>2012</v>
      </c>
      <c r="IF2014">
        <v>3121.21</v>
      </c>
      <c r="IG2014" t="s">
        <v>19486</v>
      </c>
      <c r="IH2014">
        <v>0.25</v>
      </c>
      <c r="II2014" t="s">
        <v>424</v>
      </c>
      <c r="IJ2014" t="s">
        <v>425</v>
      </c>
      <c r="IK2014" s="1">
        <v>41697</v>
      </c>
      <c r="IL2014">
        <v>9</v>
      </c>
      <c r="IM2014">
        <v>11289</v>
      </c>
      <c r="IN2014" t="s">
        <v>787</v>
      </c>
      <c r="IP2014" s="1">
        <v>41052</v>
      </c>
      <c r="IQ2014">
        <v>2011</v>
      </c>
      <c r="IR2014">
        <v>3387.99</v>
      </c>
      <c r="IS2014" t="s">
        <v>19487</v>
      </c>
      <c r="IT2014">
        <v>0.25</v>
      </c>
      <c r="IU2014" t="s">
        <v>424</v>
      </c>
      <c r="IV2014" t="s">
        <v>425</v>
      </c>
      <c r="IW2014" s="1">
        <v>41697</v>
      </c>
      <c r="IX2014">
        <v>21</v>
      </c>
      <c r="IY2014">
        <v>11289</v>
      </c>
      <c r="IZ2014" t="s">
        <v>787</v>
      </c>
      <c r="JB2014" s="1">
        <v>41052</v>
      </c>
      <c r="JC2014">
        <v>2011</v>
      </c>
      <c r="JD2014">
        <v>3387.99</v>
      </c>
      <c r="JE2014" t="s">
        <v>19487</v>
      </c>
      <c r="JF2014">
        <v>0.25</v>
      </c>
      <c r="JG2014" t="s">
        <v>424</v>
      </c>
      <c r="JH2014" t="s">
        <v>425</v>
      </c>
      <c r="JJ2014">
        <v>22</v>
      </c>
      <c r="JK2014">
        <v>13117</v>
      </c>
      <c r="JL2014" t="s">
        <v>8778</v>
      </c>
      <c r="JN2014" s="1">
        <v>40688</v>
      </c>
      <c r="JO2014">
        <v>2010</v>
      </c>
      <c r="JP2014">
        <v>3343.14</v>
      </c>
      <c r="JQ2014" t="s">
        <v>19488</v>
      </c>
      <c r="JR2014">
        <v>3.75</v>
      </c>
      <c r="JS2014" t="s">
        <v>424</v>
      </c>
      <c r="JT2014" t="s">
        <v>425</v>
      </c>
      <c r="JU2014" s="1">
        <v>41422</v>
      </c>
      <c r="JV2014">
        <v>24</v>
      </c>
      <c r="JW2014">
        <v>11141</v>
      </c>
      <c r="JX2014" t="s">
        <v>1723</v>
      </c>
    </row>
    <row r="2015" spans="1:284" x14ac:dyDescent="0.25">
      <c r="A2015">
        <v>16487022</v>
      </c>
      <c r="B2015">
        <v>2014</v>
      </c>
      <c r="C2015" t="s">
        <v>393</v>
      </c>
      <c r="D2015" t="s">
        <v>394</v>
      </c>
      <c r="F2015" t="str">
        <f>"00-00-30-0880-0004-0000"</f>
        <v>00-00-30-0880-0004-0000</v>
      </c>
      <c r="H2015" t="str">
        <f>"MAYO AMY J L/E MARJORIE ELAINE MAYO"</f>
        <v>MAYO AMY J L/E MARJORIE ELAINE MAYO</v>
      </c>
      <c r="I2015" t="str">
        <f>"539 SUNSET ROAD"</f>
        <v>539 SUNSET ROAD</v>
      </c>
      <c r="J2015" t="str">
        <f t="shared" si="760"/>
        <v>FERNANDINA BEACH FL 32034</v>
      </c>
      <c r="K2015" t="str">
        <f>"539 SUNSET RD"</f>
        <v>539 SUNSET RD</v>
      </c>
      <c r="L2015" t="str">
        <f t="shared" si="758"/>
        <v>FERNANDINA BEACH FL 32034</v>
      </c>
      <c r="M2015" t="str">
        <f>"LOT 4 (EX WLY 4 FT) IN OR 602/1286 WILLA-VILLA SUB PB 3/57"</f>
        <v>LOT 4 (EX WLY 4 FT) IN OR 602/1286 WILLA-VILLA SUB PB 3/57</v>
      </c>
      <c r="N2015" t="str">
        <f>""</f>
        <v/>
      </c>
      <c r="O2015" t="str">
        <f>"4326"</f>
        <v>4326</v>
      </c>
      <c r="P2015" t="str">
        <f t="shared" si="749"/>
        <v>2017</v>
      </c>
      <c r="Q2015" t="str">
        <f>""</f>
        <v/>
      </c>
      <c r="R2015" t="str">
        <f>"Y"</f>
        <v>Y</v>
      </c>
      <c r="S2015" t="str">
        <f>""</f>
        <v/>
      </c>
      <c r="T2015" t="str">
        <f>"323.88"</f>
        <v>323.88</v>
      </c>
      <c r="U2015" t="str">
        <f>"46044.00"</f>
        <v>46044.00</v>
      </c>
      <c r="V2015" t="str">
        <f>"46044.00"</f>
        <v>46044.00</v>
      </c>
      <c r="W2015" t="str">
        <f t="shared" si="750"/>
        <v>2017</v>
      </c>
      <c r="X2015" t="str">
        <f>"13.50"</f>
        <v>13.50</v>
      </c>
      <c r="Y2015" t="str">
        <f>"365.60"</f>
        <v>365.60</v>
      </c>
      <c r="Z2015" t="str">
        <f>"25000.00"</f>
        <v>25000.00</v>
      </c>
      <c r="AA2015" t="str">
        <f>"21044.00"</f>
        <v>21044.00</v>
      </c>
      <c r="AB2015" t="str">
        <f t="shared" si="759"/>
        <v>Residential</v>
      </c>
      <c r="AC2015" t="str">
        <f t="shared" si="762"/>
        <v>0</v>
      </c>
      <c r="AD2015" t="str">
        <f>"4"</f>
        <v>4</v>
      </c>
      <c r="AE2015" t="str">
        <f>"WOOD (INCLUDE STEEL STUDS)"</f>
        <v>WOOD (INCLUDE STEEL STUDS)</v>
      </c>
      <c r="AF2015" t="str">
        <f>"001"</f>
        <v>001</v>
      </c>
      <c r="AG2015" t="str">
        <f t="shared" si="761"/>
        <v>FL</v>
      </c>
      <c r="AH2015" t="str">
        <f>"14040.00"</f>
        <v>14040.00</v>
      </c>
      <c r="AI2015" t="str">
        <f>"46800.00"</f>
        <v>46800.00</v>
      </c>
      <c r="AJ2015" t="str">
        <f>"C55-000-585-3491-8"</f>
        <v>C55-000-585-3491-8</v>
      </c>
      <c r="AK2015" t="str">
        <f>"41654"</f>
        <v>41654</v>
      </c>
      <c r="AL2015">
        <v>7</v>
      </c>
      <c r="AM2015">
        <v>2299</v>
      </c>
      <c r="AN2015">
        <v>382.28</v>
      </c>
      <c r="AQ2015" t="s">
        <v>19489</v>
      </c>
      <c r="AR2015" t="s">
        <v>19489</v>
      </c>
      <c r="AS2015" t="s">
        <v>19489</v>
      </c>
      <c r="AU2015" t="s">
        <v>396</v>
      </c>
      <c r="AV2015">
        <v>2017</v>
      </c>
      <c r="AW2015" t="str">
        <f>"00-00-30-0880-0004-0000 "</f>
        <v xml:space="preserve">00-00-30-0880-0004-0000 </v>
      </c>
      <c r="AX2015">
        <v>539</v>
      </c>
      <c r="AZ2015" t="s">
        <v>19490</v>
      </c>
      <c r="BA2015" t="s">
        <v>496</v>
      </c>
      <c r="BD2015" t="s">
        <v>11749</v>
      </c>
      <c r="BE2015" t="s">
        <v>393</v>
      </c>
      <c r="BF2015">
        <v>32034</v>
      </c>
      <c r="BG2015" t="s">
        <v>19491</v>
      </c>
      <c r="BH2015" t="s">
        <v>11751</v>
      </c>
      <c r="BI2015">
        <v>-81.464814287997896</v>
      </c>
      <c r="BJ2015">
        <v>30.6282229897833</v>
      </c>
      <c r="BK2015" t="s">
        <v>19492</v>
      </c>
      <c r="BM2015" t="s">
        <v>19491</v>
      </c>
      <c r="BN2015" t="s">
        <v>3983</v>
      </c>
      <c r="BO2015">
        <v>32034</v>
      </c>
      <c r="BP2015" t="s">
        <v>416</v>
      </c>
      <c r="BQ2015">
        <v>100</v>
      </c>
      <c r="BR2015" t="s">
        <v>514</v>
      </c>
      <c r="BS2015">
        <v>1001</v>
      </c>
      <c r="BT2015" t="s">
        <v>515</v>
      </c>
      <c r="BU2015">
        <v>1040</v>
      </c>
      <c r="BV2015">
        <v>1350</v>
      </c>
      <c r="BW2015">
        <v>14085</v>
      </c>
      <c r="BX2015" t="s">
        <v>407</v>
      </c>
      <c r="BY2015" t="s">
        <v>7351</v>
      </c>
      <c r="BZ2015">
        <v>4</v>
      </c>
      <c r="CA2015">
        <v>1956</v>
      </c>
      <c r="CB2015">
        <v>1</v>
      </c>
      <c r="CC2015">
        <v>1</v>
      </c>
      <c r="CD2015">
        <v>2017</v>
      </c>
      <c r="CG2015">
        <v>46044</v>
      </c>
      <c r="CH2015">
        <v>2017</v>
      </c>
      <c r="CI2015">
        <v>46800</v>
      </c>
      <c r="CJ2015">
        <v>38006</v>
      </c>
      <c r="CK2015">
        <v>84806</v>
      </c>
      <c r="CL2015">
        <v>2017</v>
      </c>
      <c r="CM2015">
        <v>323.88</v>
      </c>
      <c r="CN2015" s="1">
        <v>33079</v>
      </c>
      <c r="CO2015">
        <v>25000</v>
      </c>
      <c r="CZ2015" s="1">
        <v>33079</v>
      </c>
      <c r="DD2015" t="s">
        <v>11749</v>
      </c>
      <c r="DF2015">
        <v>4</v>
      </c>
      <c r="DG2015">
        <v>5</v>
      </c>
      <c r="DJ2015" t="s">
        <v>19493</v>
      </c>
      <c r="DL2015">
        <v>50202</v>
      </c>
      <c r="DM2015" t="s">
        <v>18842</v>
      </c>
      <c r="DO2015" t="s">
        <v>19494</v>
      </c>
      <c r="DP2015">
        <v>0</v>
      </c>
      <c r="DQ2015">
        <v>0</v>
      </c>
      <c r="DR2015" t="s">
        <v>411</v>
      </c>
      <c r="DS2015" t="b">
        <v>1</v>
      </c>
      <c r="DT2015" t="s">
        <v>470</v>
      </c>
      <c r="DU2015" t="s">
        <v>10249</v>
      </c>
      <c r="DV2015" t="s">
        <v>472</v>
      </c>
      <c r="DX2015">
        <v>-9999</v>
      </c>
      <c r="DZ2015" t="s">
        <v>447</v>
      </c>
      <c r="EA2015" t="s">
        <v>448</v>
      </c>
      <c r="EB2015" t="s">
        <v>15609</v>
      </c>
      <c r="EC2015">
        <v>20101217</v>
      </c>
      <c r="ED2015" t="s">
        <v>10251</v>
      </c>
      <c r="EE2015">
        <v>5</v>
      </c>
      <c r="EF2015">
        <v>1403.2</v>
      </c>
      <c r="EG2015">
        <v>0</v>
      </c>
      <c r="EI2015">
        <v>20160407</v>
      </c>
      <c r="EJ2015">
        <v>0</v>
      </c>
      <c r="EK2015">
        <v>0</v>
      </c>
      <c r="EP2015" t="s">
        <v>421</v>
      </c>
      <c r="EQ2015" t="s">
        <v>422</v>
      </c>
      <c r="ER2015">
        <v>2</v>
      </c>
      <c r="ES2015">
        <v>4</v>
      </c>
      <c r="ET2015">
        <v>732.64</v>
      </c>
      <c r="EU2015">
        <v>49.13</v>
      </c>
      <c r="EV2015">
        <v>781.77</v>
      </c>
      <c r="EW2015" s="2">
        <v>43222</v>
      </c>
      <c r="EX2015" s="1">
        <v>42879</v>
      </c>
      <c r="EY2015">
        <v>2016</v>
      </c>
      <c r="EZ2015">
        <v>366.32</v>
      </c>
      <c r="FA2015" t="s">
        <v>19495</v>
      </c>
      <c r="FB2015">
        <v>0.25</v>
      </c>
      <c r="FC2015" t="s">
        <v>424</v>
      </c>
      <c r="FD2015" t="s">
        <v>454</v>
      </c>
      <c r="FF2015">
        <v>12</v>
      </c>
      <c r="FG2015">
        <v>5857474</v>
      </c>
      <c r="FH2015" t="s">
        <v>900</v>
      </c>
      <c r="FJ2015" s="1">
        <v>42879</v>
      </c>
      <c r="FK2015">
        <v>2016</v>
      </c>
      <c r="FL2015">
        <v>366.32</v>
      </c>
      <c r="FM2015" t="s">
        <v>19495</v>
      </c>
      <c r="FN2015">
        <v>0.25</v>
      </c>
      <c r="FO2015" t="s">
        <v>424</v>
      </c>
      <c r="FP2015" t="s">
        <v>454</v>
      </c>
      <c r="FR2015">
        <v>12</v>
      </c>
      <c r="FS2015">
        <v>6606502</v>
      </c>
      <c r="FT2015" t="s">
        <v>19496</v>
      </c>
      <c r="FV2015" s="1">
        <v>42515</v>
      </c>
      <c r="FW2015">
        <v>2015</v>
      </c>
      <c r="FX2015">
        <v>361.58</v>
      </c>
      <c r="FY2015" t="s">
        <v>19497</v>
      </c>
      <c r="FZ2015">
        <v>0.25</v>
      </c>
      <c r="GA2015" t="s">
        <v>424</v>
      </c>
      <c r="GB2015" t="s">
        <v>425</v>
      </c>
      <c r="GC2015" s="1">
        <v>42906</v>
      </c>
      <c r="GD2015">
        <v>13</v>
      </c>
      <c r="GE2015">
        <v>2851116</v>
      </c>
      <c r="GF2015" t="s">
        <v>480</v>
      </c>
      <c r="GH2015" s="1">
        <v>42515</v>
      </c>
      <c r="GI2015">
        <v>2015</v>
      </c>
      <c r="GJ2015">
        <v>361.58</v>
      </c>
      <c r="GK2015" t="s">
        <v>19497</v>
      </c>
      <c r="GL2015">
        <v>0.25</v>
      </c>
      <c r="GM2015" t="s">
        <v>424</v>
      </c>
      <c r="GN2015" t="s">
        <v>425</v>
      </c>
      <c r="GP2015">
        <v>22</v>
      </c>
      <c r="GQ2015">
        <v>5629359</v>
      </c>
      <c r="GR2015" t="s">
        <v>19498</v>
      </c>
      <c r="GT2015" s="1">
        <v>42151</v>
      </c>
      <c r="GU2015">
        <v>2014</v>
      </c>
      <c r="GV2015">
        <v>357.27</v>
      </c>
      <c r="GW2015" t="s">
        <v>19499</v>
      </c>
      <c r="GX2015">
        <v>0.25</v>
      </c>
      <c r="GY2015" t="s">
        <v>424</v>
      </c>
      <c r="GZ2015" t="s">
        <v>425</v>
      </c>
      <c r="HA2015" s="1">
        <v>42566</v>
      </c>
      <c r="HB2015">
        <v>14</v>
      </c>
      <c r="HC2015">
        <v>2851116</v>
      </c>
      <c r="HD2015" t="s">
        <v>480</v>
      </c>
      <c r="HF2015" s="1">
        <v>42151</v>
      </c>
      <c r="HG2015">
        <v>2014</v>
      </c>
      <c r="HH2015">
        <v>357.27</v>
      </c>
      <c r="HI2015" t="s">
        <v>19499</v>
      </c>
      <c r="HJ2015">
        <v>0.25</v>
      </c>
      <c r="HK2015" t="s">
        <v>424</v>
      </c>
      <c r="HL2015" t="s">
        <v>425</v>
      </c>
      <c r="HN2015">
        <v>22</v>
      </c>
      <c r="HO2015">
        <v>4951347</v>
      </c>
      <c r="HP2015" t="s">
        <v>19500</v>
      </c>
    </row>
    <row r="2016" spans="1:284" x14ac:dyDescent="0.25">
      <c r="A2016">
        <v>16487023</v>
      </c>
      <c r="B2016">
        <v>2015</v>
      </c>
      <c r="C2016" t="s">
        <v>393</v>
      </c>
      <c r="D2016" t="s">
        <v>394</v>
      </c>
      <c r="F2016" t="str">
        <f>"00-00-30-0880-0010-0000"</f>
        <v>00-00-30-0880-0010-0000</v>
      </c>
      <c r="H2016" t="str">
        <f>"MAYO EDISON HOBART &amp; KATHY G"</f>
        <v>MAYO EDISON HOBART &amp; KATHY G</v>
      </c>
      <c r="I2016" t="str">
        <f>"540 SUNSET RD"</f>
        <v>540 SUNSET RD</v>
      </c>
      <c r="J2016" t="str">
        <f t="shared" si="760"/>
        <v>FERNANDINA BEACH FL 32034</v>
      </c>
      <c r="K2016" t="str">
        <f>"540 SUNSET RD"</f>
        <v>540 SUNSET RD</v>
      </c>
      <c r="L2016" t="str">
        <f t="shared" si="758"/>
        <v>FERNANDINA BEACH FL 32034</v>
      </c>
      <c r="M2016" t="str">
        <f>"LOT 10 IN OR 1152/1399 WILLA-VILLA SUB PB 3/57"</f>
        <v>LOT 10 IN OR 1152/1399 WILLA-VILLA SUB PB 3/57</v>
      </c>
      <c r="N2016" t="str">
        <f>""</f>
        <v/>
      </c>
      <c r="O2016" t="str">
        <f>"4331"</f>
        <v>4331</v>
      </c>
      <c r="P2016" t="str">
        <f t="shared" si="749"/>
        <v>2017</v>
      </c>
      <c r="Q2016" t="str">
        <f>""</f>
        <v/>
      </c>
      <c r="R2016" t="str">
        <f>"Y"</f>
        <v>Y</v>
      </c>
      <c r="S2016" t="str">
        <f>""</f>
        <v/>
      </c>
      <c r="T2016" t="str">
        <f>"355.17"</f>
        <v>355.17</v>
      </c>
      <c r="U2016" t="str">
        <f>"48077.00"</f>
        <v>48077.00</v>
      </c>
      <c r="V2016" t="str">
        <f>"48077.00"</f>
        <v>48077.00</v>
      </c>
      <c r="W2016" t="str">
        <f t="shared" si="750"/>
        <v>2017</v>
      </c>
      <c r="X2016" t="str">
        <f>"21.60"</f>
        <v>21.60</v>
      </c>
      <c r="Y2016" t="str">
        <f>"397.83"</f>
        <v>397.83</v>
      </c>
      <c r="Z2016" t="str">
        <f>"25000.00"</f>
        <v>25000.00</v>
      </c>
      <c r="AA2016" t="str">
        <f>"23077.00"</f>
        <v>23077.00</v>
      </c>
      <c r="AB2016" t="str">
        <f t="shared" si="759"/>
        <v>Residential</v>
      </c>
      <c r="AC2016" t="str">
        <f t="shared" si="762"/>
        <v>0</v>
      </c>
      <c r="AD2016" t="str">
        <f>"4"</f>
        <v>4</v>
      </c>
      <c r="AE2016" t="str">
        <f>"WOOD (INCLUDE STEEL STUDS)"</f>
        <v>WOOD (INCLUDE STEEL STUDS)</v>
      </c>
      <c r="AF2016" t="str">
        <f>"001"</f>
        <v>001</v>
      </c>
      <c r="AG2016" t="str">
        <f t="shared" si="761"/>
        <v>FL</v>
      </c>
      <c r="AH2016" t="str">
        <f>"14580.00"</f>
        <v>14580.00</v>
      </c>
      <c r="AI2016" t="str">
        <f>"48600.00"</f>
        <v>48600.00</v>
      </c>
      <c r="AJ2016" t="str">
        <f>"C55-000-585-3496-7"</f>
        <v>C55-000-585-3496-7</v>
      </c>
      <c r="AK2016" t="str">
        <f>"41659"</f>
        <v>41659</v>
      </c>
      <c r="AL2016">
        <v>7</v>
      </c>
      <c r="AM2016">
        <v>2300</v>
      </c>
      <c r="AN2016">
        <v>416.12</v>
      </c>
      <c r="AQ2016" t="s">
        <v>19501</v>
      </c>
      <c r="AR2016" t="s">
        <v>19501</v>
      </c>
      <c r="AS2016" t="s">
        <v>19501</v>
      </c>
      <c r="AU2016" t="s">
        <v>396</v>
      </c>
      <c r="AV2016">
        <v>2017</v>
      </c>
      <c r="AW2016" t="str">
        <f>"00-00-30-0880-0010-0000 "</f>
        <v xml:space="preserve">00-00-30-0880-0010-0000 </v>
      </c>
      <c r="AX2016">
        <v>540</v>
      </c>
      <c r="AZ2016" t="s">
        <v>19490</v>
      </c>
      <c r="BA2016" t="s">
        <v>496</v>
      </c>
      <c r="BD2016" t="s">
        <v>11749</v>
      </c>
      <c r="BE2016" t="s">
        <v>393</v>
      </c>
      <c r="BF2016">
        <v>32034</v>
      </c>
      <c r="BG2016" t="s">
        <v>19502</v>
      </c>
      <c r="BH2016" t="s">
        <v>11751</v>
      </c>
      <c r="BI2016">
        <v>-81.464813346508194</v>
      </c>
      <c r="BJ2016">
        <v>30.627686820065598</v>
      </c>
      <c r="BK2016" t="s">
        <v>19503</v>
      </c>
      <c r="BL2016" t="s">
        <v>19504</v>
      </c>
      <c r="BM2016" t="s">
        <v>19502</v>
      </c>
      <c r="BN2016" t="s">
        <v>3983</v>
      </c>
      <c r="BO2016">
        <v>32034</v>
      </c>
      <c r="BP2016" t="s">
        <v>416</v>
      </c>
      <c r="BQ2016">
        <v>100</v>
      </c>
      <c r="BR2016" t="s">
        <v>514</v>
      </c>
      <c r="BS2016">
        <v>1001</v>
      </c>
      <c r="BT2016" t="s">
        <v>515</v>
      </c>
      <c r="BU2016">
        <v>1080</v>
      </c>
      <c r="BV2016">
        <v>1350</v>
      </c>
      <c r="BW2016">
        <v>14625</v>
      </c>
      <c r="BX2016" t="s">
        <v>407</v>
      </c>
      <c r="BY2016" t="s">
        <v>7351</v>
      </c>
      <c r="BZ2016">
        <v>4</v>
      </c>
      <c r="CA2016">
        <v>1955</v>
      </c>
      <c r="CB2016">
        <v>1</v>
      </c>
      <c r="CC2016">
        <v>1</v>
      </c>
      <c r="CD2016">
        <v>2017</v>
      </c>
      <c r="CG2016">
        <v>48077</v>
      </c>
      <c r="CH2016">
        <v>2017</v>
      </c>
      <c r="CI2016">
        <v>48600</v>
      </c>
      <c r="CJ2016">
        <v>25670</v>
      </c>
      <c r="CK2016">
        <v>74270</v>
      </c>
      <c r="CL2016">
        <v>2017</v>
      </c>
      <c r="CM2016">
        <v>355.17</v>
      </c>
      <c r="CN2016" s="1">
        <v>37813</v>
      </c>
      <c r="CO2016">
        <v>18000</v>
      </c>
      <c r="CV2016">
        <v>0</v>
      </c>
      <c r="CZ2016" s="1">
        <v>37813</v>
      </c>
      <c r="DA2016">
        <v>0</v>
      </c>
      <c r="DD2016" t="s">
        <v>11749</v>
      </c>
      <c r="DF2016">
        <v>10</v>
      </c>
      <c r="DG2016">
        <v>5</v>
      </c>
      <c r="DJ2016" t="s">
        <v>19493</v>
      </c>
      <c r="DL2016">
        <v>50202</v>
      </c>
      <c r="DM2016" t="s">
        <v>18842</v>
      </c>
      <c r="DO2016" t="s">
        <v>19505</v>
      </c>
      <c r="DP2016">
        <v>0</v>
      </c>
      <c r="DQ2016">
        <v>0</v>
      </c>
      <c r="DR2016" t="s">
        <v>411</v>
      </c>
      <c r="DS2016" t="b">
        <v>1</v>
      </c>
      <c r="DT2016" t="s">
        <v>470</v>
      </c>
      <c r="DU2016" t="s">
        <v>10249</v>
      </c>
      <c r="DV2016" t="s">
        <v>472</v>
      </c>
      <c r="DX2016">
        <v>-9999</v>
      </c>
      <c r="DZ2016" t="s">
        <v>447</v>
      </c>
      <c r="EA2016" t="s">
        <v>448</v>
      </c>
      <c r="EB2016" t="s">
        <v>15609</v>
      </c>
      <c r="EC2016">
        <v>20101217</v>
      </c>
      <c r="ED2016" t="s">
        <v>10251</v>
      </c>
      <c r="EE2016">
        <v>5</v>
      </c>
      <c r="EF2016">
        <v>1318.7</v>
      </c>
      <c r="EG2016">
        <v>0</v>
      </c>
      <c r="EI2016">
        <v>20160407</v>
      </c>
      <c r="EJ2016">
        <v>0</v>
      </c>
      <c r="EK2016">
        <v>0</v>
      </c>
      <c r="EP2016" t="s">
        <v>421</v>
      </c>
      <c r="EQ2016" t="s">
        <v>422</v>
      </c>
      <c r="ER2016">
        <v>5</v>
      </c>
      <c r="ES2016">
        <v>5</v>
      </c>
      <c r="ET2016">
        <v>1982.04</v>
      </c>
      <c r="EU2016">
        <v>213.46</v>
      </c>
      <c r="EV2016">
        <v>2195.5</v>
      </c>
      <c r="EW2016" s="2">
        <v>43222</v>
      </c>
      <c r="EX2016" s="1">
        <v>42879</v>
      </c>
      <c r="EY2016">
        <v>2016</v>
      </c>
      <c r="EZ2016">
        <v>399.95</v>
      </c>
      <c r="FA2016" t="s">
        <v>19506</v>
      </c>
      <c r="FB2016">
        <v>0.25</v>
      </c>
      <c r="FC2016" t="s">
        <v>424</v>
      </c>
      <c r="FD2016" t="s">
        <v>454</v>
      </c>
      <c r="FF2016">
        <v>12</v>
      </c>
      <c r="FG2016">
        <v>7400234</v>
      </c>
      <c r="FH2016" t="s">
        <v>426</v>
      </c>
      <c r="FJ2016" s="1">
        <v>42879</v>
      </c>
      <c r="FK2016">
        <v>2016</v>
      </c>
      <c r="FL2016">
        <v>399.95</v>
      </c>
      <c r="FM2016" t="s">
        <v>19506</v>
      </c>
      <c r="FN2016">
        <v>0.25</v>
      </c>
      <c r="FO2016" t="s">
        <v>424</v>
      </c>
      <c r="FP2016" t="s">
        <v>454</v>
      </c>
      <c r="FR2016">
        <v>12</v>
      </c>
      <c r="FS2016">
        <v>7482264</v>
      </c>
      <c r="FT2016" t="s">
        <v>19507</v>
      </c>
      <c r="FV2016" s="1">
        <v>42515</v>
      </c>
      <c r="FW2016">
        <v>2015</v>
      </c>
      <c r="FX2016">
        <v>395.51</v>
      </c>
      <c r="FY2016" t="s">
        <v>19508</v>
      </c>
      <c r="FZ2016">
        <v>0.25</v>
      </c>
      <c r="GA2016" t="s">
        <v>424</v>
      </c>
      <c r="GB2016" t="s">
        <v>454</v>
      </c>
      <c r="GD2016">
        <v>24</v>
      </c>
      <c r="GE2016">
        <v>2851116</v>
      </c>
      <c r="GF2016" t="s">
        <v>480</v>
      </c>
      <c r="GH2016" s="1">
        <v>42515</v>
      </c>
      <c r="GI2016">
        <v>2015</v>
      </c>
      <c r="GJ2016">
        <v>395.51</v>
      </c>
      <c r="GK2016" t="s">
        <v>19508</v>
      </c>
      <c r="GL2016">
        <v>0.25</v>
      </c>
      <c r="GM2016" t="s">
        <v>424</v>
      </c>
      <c r="GN2016" t="s">
        <v>454</v>
      </c>
      <c r="GP2016">
        <v>24</v>
      </c>
      <c r="GQ2016">
        <v>5328218</v>
      </c>
      <c r="GR2016" t="s">
        <v>19509</v>
      </c>
      <c r="GT2016" s="1">
        <v>42151</v>
      </c>
      <c r="GU2016">
        <v>2014</v>
      </c>
      <c r="GV2016">
        <v>391.12</v>
      </c>
      <c r="GW2016" t="s">
        <v>19510</v>
      </c>
      <c r="GX2016">
        <v>8.75</v>
      </c>
      <c r="GY2016" t="s">
        <v>424</v>
      </c>
      <c r="GZ2016" t="s">
        <v>454</v>
      </c>
      <c r="HB2016">
        <v>36</v>
      </c>
      <c r="HC2016">
        <v>10125</v>
      </c>
      <c r="HD2016" t="s">
        <v>440</v>
      </c>
      <c r="HF2016" s="1">
        <v>41787</v>
      </c>
      <c r="HG2016">
        <v>2013</v>
      </c>
      <c r="HH2016">
        <v>360.23</v>
      </c>
      <c r="HI2016" t="s">
        <v>19511</v>
      </c>
      <c r="HJ2016">
        <v>0.25</v>
      </c>
      <c r="HK2016" t="s">
        <v>424</v>
      </c>
      <c r="HL2016" t="s">
        <v>425</v>
      </c>
      <c r="HM2016" s="1">
        <v>42450</v>
      </c>
      <c r="HN2016">
        <v>22</v>
      </c>
      <c r="HO2016">
        <v>15399</v>
      </c>
      <c r="HP2016" t="s">
        <v>485</v>
      </c>
      <c r="HR2016" s="1">
        <v>41423</v>
      </c>
      <c r="HS2016">
        <v>2012</v>
      </c>
      <c r="HT2016">
        <v>360.76</v>
      </c>
      <c r="HU2016" t="s">
        <v>19512</v>
      </c>
      <c r="HV2016">
        <v>0.25</v>
      </c>
      <c r="HW2016" t="s">
        <v>424</v>
      </c>
      <c r="HX2016" t="s">
        <v>425</v>
      </c>
      <c r="HZ2016">
        <v>22</v>
      </c>
      <c r="IA2016">
        <v>15399</v>
      </c>
      <c r="IB2016" t="s">
        <v>485</v>
      </c>
      <c r="ID2016" s="1">
        <v>41423</v>
      </c>
      <c r="IE2016">
        <v>2012</v>
      </c>
      <c r="IF2016">
        <v>360.76</v>
      </c>
      <c r="IG2016" t="s">
        <v>19512</v>
      </c>
      <c r="IH2016">
        <v>0.25</v>
      </c>
      <c r="II2016" t="s">
        <v>424</v>
      </c>
      <c r="IJ2016" t="s">
        <v>425</v>
      </c>
      <c r="IK2016" s="1">
        <v>42450</v>
      </c>
      <c r="IL2016">
        <v>34</v>
      </c>
      <c r="IM2016">
        <v>13027</v>
      </c>
      <c r="IN2016" t="s">
        <v>826</v>
      </c>
      <c r="IP2016" s="1">
        <v>41052</v>
      </c>
      <c r="IQ2016">
        <v>2011</v>
      </c>
      <c r="IR2016">
        <v>483.52</v>
      </c>
      <c r="IS2016" t="s">
        <v>19513</v>
      </c>
      <c r="IT2016">
        <v>7.75</v>
      </c>
      <c r="IU2016" t="s">
        <v>424</v>
      </c>
      <c r="IV2016" t="s">
        <v>425</v>
      </c>
      <c r="IW2016" s="1">
        <v>41697</v>
      </c>
      <c r="IX2016">
        <v>21</v>
      </c>
      <c r="IY2016">
        <v>13027</v>
      </c>
      <c r="IZ2016" t="s">
        <v>826</v>
      </c>
      <c r="JB2016" s="1">
        <v>40688</v>
      </c>
      <c r="JC2016">
        <v>2010</v>
      </c>
      <c r="JD2016">
        <v>505.23</v>
      </c>
      <c r="JE2016" t="s">
        <v>19514</v>
      </c>
      <c r="JF2016">
        <v>0.25</v>
      </c>
      <c r="JG2016" t="s">
        <v>424</v>
      </c>
      <c r="JH2016" t="s">
        <v>425</v>
      </c>
      <c r="JI2016" s="1">
        <v>41333</v>
      </c>
      <c r="JJ2016">
        <v>21</v>
      </c>
      <c r="JK2016">
        <v>11141</v>
      </c>
      <c r="JL2016" t="s">
        <v>1723</v>
      </c>
    </row>
    <row r="2017" spans="1:284" x14ac:dyDescent="0.25">
      <c r="A2017">
        <v>16487024</v>
      </c>
      <c r="B2017">
        <v>2016</v>
      </c>
      <c r="C2017" t="s">
        <v>393</v>
      </c>
      <c r="D2017" t="s">
        <v>394</v>
      </c>
      <c r="F2017" t="str">
        <f>"00-SB-30-022C-0G71-0000"</f>
        <v>00-SB-30-022C-0G71-0000</v>
      </c>
      <c r="H2017" t="str">
        <f>"TYNDALL DAVID R &amp; SARAH W"</f>
        <v>TYNDALL DAVID R &amp; SARAH W</v>
      </c>
      <c r="I2017" t="str">
        <f>"15 CHEROKEE RD"</f>
        <v>15 CHEROKEE RD</v>
      </c>
      <c r="J2017" t="str">
        <f>"MOULTRIE GA 31768"</f>
        <v>MOULTRIE GA 31768</v>
      </c>
      <c r="K2017" t="str">
        <f>"CARLTON DUNES DR"</f>
        <v>CARLTON DUNES DR</v>
      </c>
      <c r="L2017" t="str">
        <f t="shared" si="758"/>
        <v>FERNANDINA BEACH FL 32034</v>
      </c>
      <c r="M2017" t="str">
        <f>"GARAGE G-71 IN OR 1980/995 EXCLUSIVE ESMT CARLTON DUNES CONDO"</f>
        <v>GARAGE G-71 IN OR 1980/995 EXCLUSIVE ESMT CARLTON DUNES CONDO</v>
      </c>
      <c r="N2017" t="str">
        <f>""</f>
        <v/>
      </c>
      <c r="O2017" t="str">
        <f>"13530"</f>
        <v>13530</v>
      </c>
      <c r="P2017" t="str">
        <f t="shared" si="749"/>
        <v>2017</v>
      </c>
      <c r="Q2017" t="str">
        <f>""</f>
        <v/>
      </c>
      <c r="R2017" t="str">
        <f t="shared" ref="R2017:R2022" si="763">"N"</f>
        <v>N</v>
      </c>
      <c r="S2017" t="str">
        <f>""</f>
        <v/>
      </c>
      <c r="T2017" t="str">
        <f>"418.63"</f>
        <v>418.63</v>
      </c>
      <c r="U2017" t="str">
        <f>"27200.00"</f>
        <v>27200.00</v>
      </c>
      <c r="V2017" t="str">
        <f>"27200.00"</f>
        <v>27200.00</v>
      </c>
      <c r="W2017" t="str">
        <f t="shared" si="750"/>
        <v>2017</v>
      </c>
      <c r="X2017" t="str">
        <f>"13.00"</f>
        <v>13.00</v>
      </c>
      <c r="Y2017" t="str">
        <f>"463.19"</f>
        <v>463.19</v>
      </c>
      <c r="Z2017" t="str">
        <f>""</f>
        <v/>
      </c>
      <c r="AA2017" t="str">
        <f>"27200.00"</f>
        <v>27200.00</v>
      </c>
      <c r="AB2017" t="str">
        <f t="shared" si="759"/>
        <v>Residential</v>
      </c>
      <c r="AC2017" t="str">
        <f t="shared" si="762"/>
        <v>0</v>
      </c>
      <c r="AD2017" t="str">
        <f>""</f>
        <v/>
      </c>
      <c r="AE2017" t="str">
        <f>""</f>
        <v/>
      </c>
      <c r="AF2017" t="str">
        <f>"004"</f>
        <v>004</v>
      </c>
      <c r="AG2017" t="str">
        <f>"GA"</f>
        <v>GA</v>
      </c>
      <c r="AH2017" t="str">
        <f>"-"</f>
        <v>-</v>
      </c>
      <c r="AI2017" t="str">
        <f>"-"</f>
        <v>-</v>
      </c>
      <c r="AJ2017" t="str">
        <f>"C55-000-586-0859-7"</f>
        <v>C55-000-586-0859-7</v>
      </c>
      <c r="AK2017" t="str">
        <f>"36456"</f>
        <v>36456</v>
      </c>
      <c r="AL2017">
        <v>7</v>
      </c>
      <c r="AM2017">
        <v>2302</v>
      </c>
      <c r="AN2017">
        <v>484.75</v>
      </c>
      <c r="AQ2017" t="s">
        <v>19515</v>
      </c>
      <c r="AR2017" t="s">
        <v>19515</v>
      </c>
      <c r="AS2017" t="s">
        <v>19515</v>
      </c>
      <c r="AU2017" t="s">
        <v>396</v>
      </c>
      <c r="AV2017">
        <v>2017</v>
      </c>
      <c r="AW2017" t="str">
        <f>"00-SB-30-022C-0G71-0000 "</f>
        <v xml:space="preserve">00-SB-30-022C-0G71-0000 </v>
      </c>
      <c r="AZ2017" t="s">
        <v>19516</v>
      </c>
      <c r="BA2017" t="s">
        <v>669</v>
      </c>
      <c r="BD2017" t="s">
        <v>11749</v>
      </c>
      <c r="BE2017" t="s">
        <v>393</v>
      </c>
      <c r="BF2017">
        <v>32034</v>
      </c>
      <c r="BG2017" t="s">
        <v>19517</v>
      </c>
      <c r="BH2017" t="s">
        <v>11751</v>
      </c>
      <c r="BI2017">
        <v>-81.444347651430107</v>
      </c>
      <c r="BJ2017">
        <v>30.596975835017101</v>
      </c>
      <c r="BK2017" t="s">
        <v>19518</v>
      </c>
      <c r="BL2017" t="s">
        <v>19519</v>
      </c>
      <c r="BM2017" t="s">
        <v>19520</v>
      </c>
      <c r="BN2017" t="s">
        <v>19521</v>
      </c>
      <c r="BO2017">
        <v>31768</v>
      </c>
      <c r="BP2017" t="s">
        <v>404</v>
      </c>
      <c r="BQ2017">
        <v>403</v>
      </c>
      <c r="BR2017" t="s">
        <v>15097</v>
      </c>
      <c r="BS2017">
        <v>1004</v>
      </c>
      <c r="BT2017" t="s">
        <v>15098</v>
      </c>
      <c r="BW2017">
        <v>393286</v>
      </c>
      <c r="BX2017" t="s">
        <v>407</v>
      </c>
      <c r="CA2017">
        <v>1999</v>
      </c>
      <c r="CC2017">
        <v>1</v>
      </c>
      <c r="CD2017">
        <v>2017</v>
      </c>
      <c r="CF2017">
        <v>27200</v>
      </c>
      <c r="CG2017">
        <v>27200</v>
      </c>
      <c r="CH2017">
        <v>2017</v>
      </c>
      <c r="CJ2017">
        <v>27200</v>
      </c>
      <c r="CK2017">
        <v>27200</v>
      </c>
      <c r="CL2017">
        <v>2017</v>
      </c>
      <c r="CM2017">
        <v>418.63</v>
      </c>
      <c r="CN2017" s="1">
        <v>42142</v>
      </c>
      <c r="CO2017">
        <v>1587500</v>
      </c>
      <c r="CZ2017" s="1">
        <v>42142</v>
      </c>
      <c r="DD2017" t="s">
        <v>11749</v>
      </c>
      <c r="DG2017">
        <v>13</v>
      </c>
      <c r="DJ2017" t="s">
        <v>19522</v>
      </c>
      <c r="DL2017">
        <v>50203</v>
      </c>
      <c r="DM2017" t="s">
        <v>14785</v>
      </c>
      <c r="DO2017" t="s">
        <v>19523</v>
      </c>
      <c r="DP2017">
        <v>0</v>
      </c>
      <c r="DQ2017">
        <v>0</v>
      </c>
      <c r="DR2017" t="s">
        <v>411</v>
      </c>
      <c r="DS2017" t="b">
        <v>1</v>
      </c>
      <c r="DT2017" t="s">
        <v>470</v>
      </c>
      <c r="DU2017" t="s">
        <v>471</v>
      </c>
      <c r="DV2017" t="s">
        <v>472</v>
      </c>
      <c r="DX2017">
        <v>-9999</v>
      </c>
      <c r="DZ2017" t="s">
        <v>447</v>
      </c>
      <c r="EA2017" t="s">
        <v>448</v>
      </c>
      <c r="EB2017" t="s">
        <v>14787</v>
      </c>
      <c r="EC2017">
        <v>20101217</v>
      </c>
      <c r="ED2017" t="s">
        <v>474</v>
      </c>
      <c r="EF2017">
        <v>142.1</v>
      </c>
      <c r="EG2017">
        <v>142.1</v>
      </c>
      <c r="EI2017">
        <v>20160407</v>
      </c>
      <c r="EJ2017">
        <v>0</v>
      </c>
      <c r="EK2017">
        <v>0</v>
      </c>
      <c r="EP2017" t="s">
        <v>421</v>
      </c>
      <c r="EQ2017" t="s">
        <v>422</v>
      </c>
      <c r="ER2017">
        <v>0</v>
      </c>
      <c r="ES2017">
        <v>2</v>
      </c>
      <c r="ET2017">
        <v>0</v>
      </c>
      <c r="EU2017">
        <v>0</v>
      </c>
      <c r="EV2017">
        <v>0</v>
      </c>
      <c r="EW2017" s="2">
        <v>43222</v>
      </c>
      <c r="EX2017" s="1">
        <v>42515</v>
      </c>
      <c r="EY2017">
        <v>2015</v>
      </c>
      <c r="EZ2017">
        <v>485.44</v>
      </c>
      <c r="FA2017" t="s">
        <v>19524</v>
      </c>
      <c r="FB2017">
        <v>0.25</v>
      </c>
      <c r="FC2017" t="s">
        <v>424</v>
      </c>
      <c r="FD2017" t="s">
        <v>425</v>
      </c>
      <c r="FE2017" s="1">
        <v>42894</v>
      </c>
      <c r="FF2017">
        <v>13</v>
      </c>
      <c r="FG2017">
        <v>11289</v>
      </c>
      <c r="FH2017" t="s">
        <v>787</v>
      </c>
      <c r="FJ2017" s="1">
        <v>42515</v>
      </c>
      <c r="FK2017">
        <v>2015</v>
      </c>
      <c r="FL2017">
        <v>485.44</v>
      </c>
      <c r="FM2017" t="s">
        <v>19524</v>
      </c>
      <c r="FN2017">
        <v>0.25</v>
      </c>
      <c r="FO2017" t="s">
        <v>424</v>
      </c>
      <c r="FP2017" t="s">
        <v>425</v>
      </c>
      <c r="FR2017">
        <v>22</v>
      </c>
      <c r="FS2017">
        <v>7327569</v>
      </c>
      <c r="FT2017" t="s">
        <v>19525</v>
      </c>
    </row>
    <row r="2018" spans="1:284" x14ac:dyDescent="0.25">
      <c r="A2018">
        <v>16487025</v>
      </c>
      <c r="B2018">
        <v>2017</v>
      </c>
      <c r="C2018" t="s">
        <v>393</v>
      </c>
      <c r="D2018" t="s">
        <v>394</v>
      </c>
      <c r="F2018" t="str">
        <f>"00-SB-30-065B-0059-0000"</f>
        <v>00-SB-30-065B-0059-0000</v>
      </c>
      <c r="H2018" t="str">
        <f>"CRADDOCK MARY KING"</f>
        <v>CRADDOCK MARY KING</v>
      </c>
      <c r="I2018" t="str">
        <f>"5514 WESTERN AVENUE"</f>
        <v>5514 WESTERN AVENUE</v>
      </c>
      <c r="J2018" t="str">
        <f>"CHEVY CHASE MD 20815"</f>
        <v>CHEVY CHASE MD 20815</v>
      </c>
      <c r="K2018" t="str">
        <f>"95030 CAPTAINS WAY"</f>
        <v>95030 CAPTAINS WAY</v>
      </c>
      <c r="L2018" t="str">
        <f t="shared" si="758"/>
        <v>FERNANDINA BEACH FL 32034</v>
      </c>
      <c r="M2018" t="str">
        <f>"LOT 59 &amp; PT LOT 58 IN OR 2025/1355 GOLFSIDE AT SUMMER BEACH 2 PB 5/119-123"</f>
        <v>LOT 59 &amp; PT LOT 58 IN OR 2025/1355 GOLFSIDE AT SUMMER BEACH 2 PB 5/119-123</v>
      </c>
      <c r="N2018" t="str">
        <f>""</f>
        <v/>
      </c>
      <c r="O2018" t="str">
        <f>"13944"</f>
        <v>13944</v>
      </c>
      <c r="P2018" t="str">
        <f t="shared" si="749"/>
        <v>2017</v>
      </c>
      <c r="Q2018" t="str">
        <f>""</f>
        <v/>
      </c>
      <c r="R2018" t="str">
        <f t="shared" si="763"/>
        <v>N</v>
      </c>
      <c r="S2018" t="str">
        <f>""</f>
        <v/>
      </c>
      <c r="T2018" t="str">
        <f>"6712.27"</f>
        <v>6712.27</v>
      </c>
      <c r="U2018" t="str">
        <f>"436134.00"</f>
        <v>436134.00</v>
      </c>
      <c r="V2018" t="str">
        <f>"436134.00"</f>
        <v>436134.00</v>
      </c>
      <c r="W2018" t="str">
        <f t="shared" si="750"/>
        <v>2017</v>
      </c>
      <c r="X2018" t="str">
        <f>""</f>
        <v/>
      </c>
      <c r="Y2018" t="str">
        <f>"6945.64"</f>
        <v>6945.64</v>
      </c>
      <c r="Z2018" t="str">
        <f>""</f>
        <v/>
      </c>
      <c r="AA2018" t="str">
        <f>"436134.00"</f>
        <v>436134.00</v>
      </c>
      <c r="AB2018" t="str">
        <f t="shared" si="759"/>
        <v>Residential</v>
      </c>
      <c r="AC2018" t="str">
        <f t="shared" si="762"/>
        <v>0</v>
      </c>
      <c r="AD2018" t="str">
        <f>"4"</f>
        <v>4</v>
      </c>
      <c r="AE2018" t="str">
        <f>"WOOD (INCLUDE STEEL STUDS)"</f>
        <v>WOOD (INCLUDE STEEL STUDS)</v>
      </c>
      <c r="AF2018" t="str">
        <f>"001"</f>
        <v>001</v>
      </c>
      <c r="AG2018" t="str">
        <f>"MD"</f>
        <v>MD</v>
      </c>
      <c r="AH2018" t="str">
        <f t="shared" ref="AH2018:AH2029" si="764">"-"</f>
        <v>-</v>
      </c>
      <c r="AI2018" t="str">
        <f>"195000.00"</f>
        <v>195000.00</v>
      </c>
      <c r="AJ2018" t="str">
        <f>"C55-000-586-1179-9"</f>
        <v>C55-000-586-1179-9</v>
      </c>
      <c r="AK2018" t="str">
        <f>"36871"</f>
        <v>36871</v>
      </c>
      <c r="AL2018">
        <v>8</v>
      </c>
      <c r="AM2018">
        <v>2306</v>
      </c>
      <c r="AN2018">
        <v>7291.32</v>
      </c>
      <c r="AQ2018" t="s">
        <v>19526</v>
      </c>
      <c r="AR2018" t="s">
        <v>19526</v>
      </c>
      <c r="AS2018" t="s">
        <v>19526</v>
      </c>
      <c r="AU2018" t="s">
        <v>396</v>
      </c>
      <c r="AV2018">
        <v>2017</v>
      </c>
      <c r="AW2018" t="str">
        <f>"00-SB-30-065B-0059-0000 "</f>
        <v xml:space="preserve">00-SB-30-065B-0059-0000 </v>
      </c>
      <c r="AX2018">
        <v>95030</v>
      </c>
      <c r="AZ2018" t="s">
        <v>19527</v>
      </c>
      <c r="BA2018" t="s">
        <v>866</v>
      </c>
      <c r="BD2018" t="s">
        <v>11749</v>
      </c>
      <c r="BE2018" t="s">
        <v>393</v>
      </c>
      <c r="BF2018">
        <v>32034</v>
      </c>
      <c r="BG2018" t="s">
        <v>19528</v>
      </c>
      <c r="BH2018" t="s">
        <v>11751</v>
      </c>
      <c r="BI2018">
        <v>-81.447089345882702</v>
      </c>
      <c r="BJ2018">
        <v>30.6031290121696</v>
      </c>
      <c r="BK2018" t="s">
        <v>19529</v>
      </c>
      <c r="BM2018" t="s">
        <v>19530</v>
      </c>
      <c r="BN2018" t="s">
        <v>18360</v>
      </c>
      <c r="BO2018">
        <v>20815</v>
      </c>
      <c r="BP2018" t="s">
        <v>404</v>
      </c>
      <c r="BQ2018">
        <v>100</v>
      </c>
      <c r="BR2018" t="s">
        <v>514</v>
      </c>
      <c r="BS2018">
        <v>1001</v>
      </c>
      <c r="BT2018" t="s">
        <v>515</v>
      </c>
      <c r="BW2018">
        <v>11620</v>
      </c>
      <c r="BX2018" t="s">
        <v>407</v>
      </c>
      <c r="BY2018" t="s">
        <v>3019</v>
      </c>
      <c r="BZ2018">
        <v>4</v>
      </c>
      <c r="CA2018">
        <v>1992</v>
      </c>
      <c r="CB2018">
        <v>1</v>
      </c>
      <c r="CC2018">
        <v>1</v>
      </c>
      <c r="CD2018">
        <v>2017</v>
      </c>
      <c r="CE2018">
        <v>195000</v>
      </c>
      <c r="CF2018">
        <v>241134</v>
      </c>
      <c r="CG2018">
        <v>436134</v>
      </c>
      <c r="CH2018">
        <v>2017</v>
      </c>
      <c r="CI2018">
        <v>195000</v>
      </c>
      <c r="CJ2018">
        <v>241134</v>
      </c>
      <c r="CK2018">
        <v>436134</v>
      </c>
      <c r="CL2018">
        <v>2017</v>
      </c>
      <c r="CM2018">
        <v>6712.27</v>
      </c>
      <c r="CN2018" s="1">
        <v>42397</v>
      </c>
      <c r="CO2018">
        <v>360000</v>
      </c>
      <c r="CV2018">
        <v>0</v>
      </c>
      <c r="CZ2018" s="1">
        <v>42397</v>
      </c>
      <c r="DA2018">
        <v>0</v>
      </c>
      <c r="DD2018" t="s">
        <v>11749</v>
      </c>
      <c r="DF2018">
        <v>59</v>
      </c>
      <c r="DG2018">
        <v>11</v>
      </c>
      <c r="DJ2018" t="s">
        <v>19531</v>
      </c>
      <c r="DL2018">
        <v>50203</v>
      </c>
      <c r="DM2018" t="s">
        <v>19532</v>
      </c>
      <c r="DO2018" t="s">
        <v>19533</v>
      </c>
      <c r="DP2018">
        <v>0</v>
      </c>
      <c r="DQ2018">
        <v>1</v>
      </c>
      <c r="DR2018" t="s">
        <v>1174</v>
      </c>
    </row>
    <row r="2019" spans="1:284" x14ac:dyDescent="0.25">
      <c r="A2019">
        <v>16487026</v>
      </c>
      <c r="B2019">
        <v>2018</v>
      </c>
      <c r="C2019" t="s">
        <v>393</v>
      </c>
      <c r="D2019" t="s">
        <v>394</v>
      </c>
      <c r="F2019" t="str">
        <f>"00-SB-30-152P-0C11-0000"</f>
        <v>00-SB-30-152P-0C11-0000</v>
      </c>
      <c r="H2019" t="str">
        <f>"CLIFTON JOE CROSBY"</f>
        <v>CLIFTON JOE CROSBY</v>
      </c>
      <c r="I2019" t="str">
        <f>"1066 RIDGE ROAD"</f>
        <v>1066 RIDGE ROAD</v>
      </c>
      <c r="J2019" t="str">
        <f>"VALDOSTA GA 31605"</f>
        <v>VALDOSTA GA 31605</v>
      </c>
      <c r="K2019" t="str">
        <f>"AMELIA ISLAND PKWY"</f>
        <v>AMELIA ISLAND PKWY</v>
      </c>
      <c r="L2019" t="str">
        <f t="shared" si="758"/>
        <v>FERNANDINA BEACH FL 32034</v>
      </c>
      <c r="M2019" t="str">
        <f>"GARAGE NUMBER C-11 PT OR 912/877 OCEAN PLACE at SUMMER BEACH CONDO OR 793/475"</f>
        <v>GARAGE NUMBER C-11 PT OR 912/877 OCEAN PLACE at SUMMER BEACH CONDO OR 793/475</v>
      </c>
      <c r="N2019" t="str">
        <f>""</f>
        <v/>
      </c>
      <c r="O2019" t="str">
        <f>"14143"</f>
        <v>14143</v>
      </c>
      <c r="P2019" t="str">
        <f t="shared" si="749"/>
        <v>2017</v>
      </c>
      <c r="Q2019" t="str">
        <f>""</f>
        <v/>
      </c>
      <c r="R2019" t="str">
        <f t="shared" si="763"/>
        <v>N</v>
      </c>
      <c r="S2019" t="str">
        <f>""</f>
        <v/>
      </c>
      <c r="T2019" t="str">
        <f>"307.81"</f>
        <v>307.81</v>
      </c>
      <c r="U2019" t="str">
        <f>"20000.00"</f>
        <v>20000.00</v>
      </c>
      <c r="V2019" t="str">
        <f>"20000.00"</f>
        <v>20000.00</v>
      </c>
      <c r="W2019" t="str">
        <f t="shared" si="750"/>
        <v>2017</v>
      </c>
      <c r="X2019" t="str">
        <f>""</f>
        <v/>
      </c>
      <c r="Y2019" t="str">
        <f>"349.04"</f>
        <v>349.04</v>
      </c>
      <c r="Z2019" t="str">
        <f>""</f>
        <v/>
      </c>
      <c r="AA2019" t="str">
        <f>"20000.00"</f>
        <v>20000.00</v>
      </c>
      <c r="AB2019" t="str">
        <f t="shared" si="759"/>
        <v>Residential</v>
      </c>
      <c r="AC2019" t="str">
        <f t="shared" si="762"/>
        <v>0</v>
      </c>
      <c r="AD2019" t="str">
        <f>""</f>
        <v/>
      </c>
      <c r="AE2019" t="str">
        <f>""</f>
        <v/>
      </c>
      <c r="AF2019" t="str">
        <f>"004"</f>
        <v>004</v>
      </c>
      <c r="AG2019" t="str">
        <f>"GA"</f>
        <v>GA</v>
      </c>
      <c r="AH2019" t="str">
        <f t="shared" si="764"/>
        <v>-</v>
      </c>
      <c r="AI2019" t="str">
        <f>"-"</f>
        <v>-</v>
      </c>
      <c r="AJ2019" t="str">
        <f>"C55-000-586-1357-1"</f>
        <v>C55-000-586-1357-1</v>
      </c>
      <c r="AK2019" t="str">
        <f>"36901"</f>
        <v>36901</v>
      </c>
      <c r="AL2019">
        <v>8</v>
      </c>
      <c r="AM2019">
        <v>2309</v>
      </c>
      <c r="AN2019">
        <v>364.89</v>
      </c>
      <c r="AQ2019" t="s">
        <v>19534</v>
      </c>
      <c r="AR2019" t="s">
        <v>19534</v>
      </c>
      <c r="AS2019" t="s">
        <v>19534</v>
      </c>
      <c r="AU2019" t="s">
        <v>396</v>
      </c>
      <c r="AV2019">
        <v>2017</v>
      </c>
      <c r="AW2019" t="str">
        <f>"00-SB-30-152P-0C11-0000 "</f>
        <v xml:space="preserve">00-SB-30-152P-0C11-0000 </v>
      </c>
      <c r="AZ2019" t="s">
        <v>14782</v>
      </c>
      <c r="BA2019" t="s">
        <v>11138</v>
      </c>
      <c r="BD2019" t="s">
        <v>11749</v>
      </c>
      <c r="BE2019" t="s">
        <v>393</v>
      </c>
      <c r="BF2019">
        <v>32034</v>
      </c>
      <c r="BG2019" t="s">
        <v>14783</v>
      </c>
      <c r="BH2019" t="s">
        <v>11751</v>
      </c>
      <c r="BI2019">
        <v>-81.444603675616605</v>
      </c>
      <c r="BJ2019">
        <v>30.591690623494198</v>
      </c>
      <c r="BK2019" t="s">
        <v>19535</v>
      </c>
      <c r="BM2019" t="s">
        <v>19536</v>
      </c>
      <c r="BN2019" t="s">
        <v>19537</v>
      </c>
      <c r="BO2019">
        <v>31605</v>
      </c>
      <c r="BP2019" t="s">
        <v>404</v>
      </c>
      <c r="BQ2019">
        <v>403</v>
      </c>
      <c r="BR2019" t="s">
        <v>15097</v>
      </c>
      <c r="BS2019">
        <v>1004</v>
      </c>
      <c r="BT2019" t="s">
        <v>15098</v>
      </c>
      <c r="BW2019">
        <v>217225</v>
      </c>
      <c r="BX2019" t="s">
        <v>407</v>
      </c>
      <c r="CA2019">
        <v>1997</v>
      </c>
      <c r="CC2019">
        <v>1</v>
      </c>
      <c r="CD2019">
        <v>2017</v>
      </c>
      <c r="CF2019">
        <v>20000</v>
      </c>
      <c r="CG2019">
        <v>20000</v>
      </c>
      <c r="CH2019">
        <v>2017</v>
      </c>
      <c r="CJ2019">
        <v>20000</v>
      </c>
      <c r="CK2019">
        <v>20000</v>
      </c>
      <c r="CL2019">
        <v>2017</v>
      </c>
      <c r="CM2019">
        <v>307.81</v>
      </c>
      <c r="CN2019" s="1">
        <v>36515</v>
      </c>
      <c r="CO2019">
        <v>580000</v>
      </c>
      <c r="CZ2019" s="1">
        <v>36515</v>
      </c>
      <c r="DD2019" t="s">
        <v>11749</v>
      </c>
      <c r="DG2019">
        <v>13</v>
      </c>
      <c r="DJ2019" t="s">
        <v>19538</v>
      </c>
      <c r="DL2019">
        <v>50203</v>
      </c>
      <c r="DM2019" t="s">
        <v>14785</v>
      </c>
      <c r="DO2019" t="s">
        <v>19539</v>
      </c>
      <c r="DP2019">
        <v>0</v>
      </c>
      <c r="DQ2019">
        <v>1</v>
      </c>
      <c r="DR2019" t="s">
        <v>411</v>
      </c>
      <c r="EP2019" t="s">
        <v>421</v>
      </c>
      <c r="EQ2019" t="s">
        <v>422</v>
      </c>
      <c r="ER2019">
        <v>2</v>
      </c>
      <c r="ES2019">
        <v>0</v>
      </c>
      <c r="ET2019">
        <v>729.36</v>
      </c>
      <c r="EU2019">
        <v>48.97</v>
      </c>
      <c r="EV2019">
        <v>778.33</v>
      </c>
      <c r="EW2019" s="2">
        <v>43222</v>
      </c>
      <c r="EX2019" s="1">
        <v>42879</v>
      </c>
      <c r="EY2019">
        <v>2016</v>
      </c>
      <c r="EZ2019">
        <v>364.68</v>
      </c>
      <c r="FA2019" t="s">
        <v>19540</v>
      </c>
      <c r="FB2019">
        <v>0.25</v>
      </c>
      <c r="FC2019" t="s">
        <v>424</v>
      </c>
      <c r="FD2019" t="s">
        <v>454</v>
      </c>
      <c r="FF2019">
        <v>12</v>
      </c>
      <c r="FG2019">
        <v>7336753</v>
      </c>
      <c r="FH2019" t="s">
        <v>1731</v>
      </c>
      <c r="FJ2019" s="1">
        <v>42879</v>
      </c>
      <c r="FK2019">
        <v>2016</v>
      </c>
      <c r="FL2019">
        <v>364.68</v>
      </c>
      <c r="FM2019" t="s">
        <v>19540</v>
      </c>
      <c r="FN2019">
        <v>0.25</v>
      </c>
      <c r="FO2019" t="s">
        <v>424</v>
      </c>
      <c r="FP2019" t="s">
        <v>454</v>
      </c>
      <c r="FR2019">
        <v>12</v>
      </c>
      <c r="FS2019">
        <v>7386453</v>
      </c>
      <c r="FT2019" t="s">
        <v>19541</v>
      </c>
    </row>
    <row r="2020" spans="1:284" x14ac:dyDescent="0.25">
      <c r="A2020">
        <v>16487027</v>
      </c>
      <c r="B2020">
        <v>2019</v>
      </c>
      <c r="C2020" t="s">
        <v>393</v>
      </c>
      <c r="D2020" t="s">
        <v>394</v>
      </c>
      <c r="F2020" t="str">
        <f>"00-SB-30-157V-0016-0000"</f>
        <v>00-SB-30-157V-0016-0000</v>
      </c>
      <c r="H2020" t="str">
        <f>"LASH MARY"</f>
        <v>LASH MARY</v>
      </c>
      <c r="I2020" t="str">
        <f>"1857 OCEAN VILLAGE PLACE"</f>
        <v>1857 OCEAN VILLAGE PLACE</v>
      </c>
      <c r="J2020" t="str">
        <f>"FERNANDINA BEACH FL 32034"</f>
        <v>FERNANDINA BEACH FL 32034</v>
      </c>
      <c r="K2020" t="str">
        <f>"1857 OCEAN VILLAGE PL"</f>
        <v>1857 OCEAN VILLAGE PL</v>
      </c>
      <c r="L2020" t="str">
        <f t="shared" si="758"/>
        <v>FERNANDINA BEACH FL 32034</v>
      </c>
      <c r="M2020" t="str">
        <f>"LOT 16 IN OR 788/227 OCEAN VILLAGE 3 PB 6/27-28"</f>
        <v>LOT 16 IN OR 788/227 OCEAN VILLAGE 3 PB 6/27-28</v>
      </c>
      <c r="N2020" t="str">
        <f>""</f>
        <v/>
      </c>
      <c r="O2020" t="str">
        <f>"14270"</f>
        <v>14270</v>
      </c>
      <c r="P2020" t="str">
        <f t="shared" si="749"/>
        <v>2017</v>
      </c>
      <c r="Q2020" t="str">
        <f>""</f>
        <v/>
      </c>
      <c r="R2020" t="str">
        <f t="shared" si="763"/>
        <v>N</v>
      </c>
      <c r="S2020" t="str">
        <f>""</f>
        <v/>
      </c>
      <c r="T2020" t="str">
        <f>"6912.83"</f>
        <v>6912.83</v>
      </c>
      <c r="U2020" t="str">
        <f>"449165.00"</f>
        <v>449165.00</v>
      </c>
      <c r="V2020" t="str">
        <f>"449165.00"</f>
        <v>449165.00</v>
      </c>
      <c r="W2020" t="str">
        <f t="shared" si="750"/>
        <v>2017</v>
      </c>
      <c r="X2020" t="str">
        <f>""</f>
        <v/>
      </c>
      <c r="Y2020" t="str">
        <f>"7152.21"</f>
        <v>7152.21</v>
      </c>
      <c r="Z2020" t="str">
        <f>""</f>
        <v/>
      </c>
      <c r="AA2020" t="str">
        <f>"449165.00"</f>
        <v>449165.00</v>
      </c>
      <c r="AB2020" t="str">
        <f t="shared" si="759"/>
        <v>Residential</v>
      </c>
      <c r="AC2020" t="str">
        <f t="shared" si="762"/>
        <v>0</v>
      </c>
      <c r="AD2020" t="str">
        <f>"4"</f>
        <v>4</v>
      </c>
      <c r="AE2020" t="str">
        <f>"WOOD (INCLUDE STEEL STUDS)"</f>
        <v>WOOD (INCLUDE STEEL STUDS)</v>
      </c>
      <c r="AF2020" t="str">
        <f>"001"</f>
        <v>001</v>
      </c>
      <c r="AG2020" t="str">
        <f>"FL"</f>
        <v>FL</v>
      </c>
      <c r="AH2020" t="str">
        <f t="shared" si="764"/>
        <v>-</v>
      </c>
      <c r="AI2020" t="str">
        <f>"220000.00"</f>
        <v>220000.00</v>
      </c>
      <c r="AJ2020" t="str">
        <f>"C55-000-586-1475-1"</f>
        <v>C55-000-586-1475-1</v>
      </c>
      <c r="AK2020" t="str">
        <f>"37173"</f>
        <v>37173</v>
      </c>
      <c r="AL2020">
        <v>8</v>
      </c>
      <c r="AM2020">
        <v>2310</v>
      </c>
      <c r="AN2020">
        <v>7508.22</v>
      </c>
      <c r="AQ2020" t="s">
        <v>19542</v>
      </c>
      <c r="AR2020" t="s">
        <v>19542</v>
      </c>
      <c r="AS2020" t="s">
        <v>19542</v>
      </c>
      <c r="AU2020" t="s">
        <v>396</v>
      </c>
      <c r="AV2020">
        <v>2017</v>
      </c>
      <c r="AW2020" t="str">
        <f>"00-SB-30-157V-0016-0000 "</f>
        <v xml:space="preserve">00-SB-30-157V-0016-0000 </v>
      </c>
      <c r="AX2020">
        <v>1857</v>
      </c>
      <c r="AZ2020" t="s">
        <v>19543</v>
      </c>
      <c r="BA2020" t="s">
        <v>641</v>
      </c>
      <c r="BD2020" t="s">
        <v>11749</v>
      </c>
      <c r="BE2020" t="s">
        <v>393</v>
      </c>
      <c r="BF2020">
        <v>32034</v>
      </c>
      <c r="BG2020" t="s">
        <v>19544</v>
      </c>
      <c r="BH2020" t="s">
        <v>11751</v>
      </c>
      <c r="BI2020">
        <v>-81.445954029265195</v>
      </c>
      <c r="BJ2020">
        <v>30.577315556118599</v>
      </c>
      <c r="BK2020" t="s">
        <v>19545</v>
      </c>
      <c r="BM2020" t="s">
        <v>19544</v>
      </c>
      <c r="BN2020" t="s">
        <v>3983</v>
      </c>
      <c r="BO2020">
        <v>32034</v>
      </c>
      <c r="BP2020" t="s">
        <v>416</v>
      </c>
      <c r="BQ2020">
        <v>100</v>
      </c>
      <c r="BR2020" t="s">
        <v>514</v>
      </c>
      <c r="BS2020">
        <v>1001</v>
      </c>
      <c r="BT2020" t="s">
        <v>515</v>
      </c>
      <c r="BW2020">
        <v>4900</v>
      </c>
      <c r="BX2020" t="s">
        <v>407</v>
      </c>
      <c r="BZ2020">
        <v>4</v>
      </c>
      <c r="CA2020">
        <v>1997</v>
      </c>
      <c r="CB2020">
        <v>1</v>
      </c>
      <c r="CC2020">
        <v>1</v>
      </c>
      <c r="CD2020">
        <v>2017</v>
      </c>
      <c r="CE2020">
        <v>220000</v>
      </c>
      <c r="CF2020">
        <v>229165</v>
      </c>
      <c r="CG2020">
        <v>449165</v>
      </c>
      <c r="CH2020">
        <v>2017</v>
      </c>
      <c r="CI2020">
        <v>220000</v>
      </c>
      <c r="CJ2020">
        <v>229165</v>
      </c>
      <c r="CK2020">
        <v>449165</v>
      </c>
      <c r="CL2020">
        <v>2017</v>
      </c>
      <c r="CM2020">
        <v>6912.83</v>
      </c>
      <c r="CN2020" s="1">
        <v>35513</v>
      </c>
      <c r="CO2020">
        <v>232800</v>
      </c>
      <c r="CZ2020" s="1">
        <v>35513</v>
      </c>
      <c r="DD2020" t="s">
        <v>11749</v>
      </c>
      <c r="DF2020">
        <v>16</v>
      </c>
      <c r="DG2020">
        <v>14</v>
      </c>
      <c r="DJ2020" t="s">
        <v>19543</v>
      </c>
      <c r="DL2020">
        <v>50203</v>
      </c>
      <c r="DM2020" t="s">
        <v>14802</v>
      </c>
      <c r="DO2020" t="s">
        <v>19546</v>
      </c>
      <c r="DP2020">
        <v>0</v>
      </c>
      <c r="DQ2020">
        <v>0</v>
      </c>
      <c r="DR2020" t="s">
        <v>411</v>
      </c>
    </row>
    <row r="2021" spans="1:284" x14ac:dyDescent="0.25">
      <c r="A2021">
        <v>16487028</v>
      </c>
      <c r="B2021">
        <v>2020</v>
      </c>
      <c r="C2021" t="s">
        <v>393</v>
      </c>
      <c r="D2021" t="s">
        <v>394</v>
      </c>
      <c r="F2021" t="str">
        <f>"00-SB-30-1900-0204-0000"</f>
        <v>00-SB-30-1900-0204-0000</v>
      </c>
      <c r="H2021" t="str">
        <f>"STELLING MARTHA M GST TRUST MARTHA M STELLING TRUSTEE"</f>
        <v>STELLING MARTHA M GST TRUST MARTHA M STELLING TRUSTEE</v>
      </c>
      <c r="I2021" t="str">
        <f>"5010 SUMMER BEACH BLVD 204"</f>
        <v>5010 SUMMER BEACH BLVD 204</v>
      </c>
      <c r="J2021" t="str">
        <f>"FERNANDINA BEACH FL 32034"</f>
        <v>FERNANDINA BEACH FL 32034</v>
      </c>
      <c r="K2021" t="str">
        <f>"5010 SUMMER BEACH BLVD 204"</f>
        <v>5010 SUMMER BEACH BLVD 204</v>
      </c>
      <c r="L2021" t="str">
        <f t="shared" si="758"/>
        <v>FERNANDINA BEACH FL 32034</v>
      </c>
      <c r="M2021" t="str">
        <f>"UNIT 204 IN OR 2060/1863 SAILMAKER AT SUMMER BEACH CLUB OR 493/162"</f>
        <v>UNIT 204 IN OR 2060/1863 SAILMAKER AT SUMMER BEACH CLUB OR 493/162</v>
      </c>
      <c r="N2021" t="str">
        <f>""</f>
        <v/>
      </c>
      <c r="O2021" t="str">
        <f>"14490"</f>
        <v>14490</v>
      </c>
      <c r="P2021" t="str">
        <f t="shared" si="749"/>
        <v>2017</v>
      </c>
      <c r="Q2021" t="str">
        <f>""</f>
        <v/>
      </c>
      <c r="R2021" t="str">
        <f t="shared" si="763"/>
        <v>N</v>
      </c>
      <c r="S2021" t="str">
        <f>""</f>
        <v/>
      </c>
      <c r="T2021" t="str">
        <f>"6496.29"</f>
        <v>6496.29</v>
      </c>
      <c r="U2021" t="str">
        <f>"422100.00"</f>
        <v>422100.00</v>
      </c>
      <c r="V2021" t="str">
        <f>"422100.00"</f>
        <v>422100.00</v>
      </c>
      <c r="W2021" t="str">
        <f t="shared" si="750"/>
        <v>2017</v>
      </c>
      <c r="X2021" t="str">
        <f>""</f>
        <v/>
      </c>
      <c r="Y2021" t="str">
        <f>"6723.18"</f>
        <v>6723.18</v>
      </c>
      <c r="Z2021" t="str">
        <f>""</f>
        <v/>
      </c>
      <c r="AA2021" t="str">
        <f>"422100.00"</f>
        <v>422100.00</v>
      </c>
      <c r="AB2021" t="str">
        <f t="shared" si="759"/>
        <v>Residential</v>
      </c>
      <c r="AC2021" t="str">
        <f t="shared" si="762"/>
        <v>0</v>
      </c>
      <c r="AD2021" t="str">
        <f>""</f>
        <v/>
      </c>
      <c r="AE2021" t="str">
        <f>""</f>
        <v/>
      </c>
      <c r="AF2021" t="str">
        <f>"004"</f>
        <v>004</v>
      </c>
      <c r="AG2021" t="str">
        <f>"FL"</f>
        <v>FL</v>
      </c>
      <c r="AH2021" t="str">
        <f t="shared" si="764"/>
        <v>-</v>
      </c>
      <c r="AI2021" t="str">
        <f>"-"</f>
        <v>-</v>
      </c>
      <c r="AJ2021" t="str">
        <f>"C55-000-586-1496-7"</f>
        <v>C55-000-586-1496-7</v>
      </c>
      <c r="AK2021" t="str">
        <f>"37384"</f>
        <v>37384</v>
      </c>
      <c r="AL2021">
        <v>8</v>
      </c>
      <c r="AM2021">
        <v>2311</v>
      </c>
      <c r="AN2021">
        <v>7057.74</v>
      </c>
      <c r="AQ2021" t="s">
        <v>19547</v>
      </c>
      <c r="AR2021" t="s">
        <v>19547</v>
      </c>
      <c r="AS2021" t="s">
        <v>19547</v>
      </c>
      <c r="AU2021" t="s">
        <v>396</v>
      </c>
      <c r="AV2021">
        <v>2017</v>
      </c>
      <c r="AW2021" t="str">
        <f>"00-SB-30-1900-0204-0000 "</f>
        <v xml:space="preserve">00-SB-30-1900-0204-0000 </v>
      </c>
      <c r="AX2021">
        <v>5010</v>
      </c>
      <c r="AZ2021" t="s">
        <v>19548</v>
      </c>
      <c r="BA2021" t="s">
        <v>6622</v>
      </c>
      <c r="BC2021">
        <v>204</v>
      </c>
      <c r="BD2021" t="s">
        <v>11749</v>
      </c>
      <c r="BE2021" t="s">
        <v>393</v>
      </c>
      <c r="BF2021">
        <v>32034</v>
      </c>
      <c r="BG2021" t="s">
        <v>19549</v>
      </c>
      <c r="BH2021" t="s">
        <v>11751</v>
      </c>
      <c r="BI2021">
        <v>-81.444406964886895</v>
      </c>
      <c r="BJ2021">
        <v>30.584423620367598</v>
      </c>
      <c r="BK2021" t="s">
        <v>19550</v>
      </c>
      <c r="BM2021" t="s">
        <v>19551</v>
      </c>
      <c r="BN2021" t="s">
        <v>15589</v>
      </c>
      <c r="BO2021">
        <v>30327</v>
      </c>
      <c r="BP2021" t="s">
        <v>404</v>
      </c>
      <c r="BQ2021">
        <v>400</v>
      </c>
      <c r="BR2021" t="s">
        <v>15097</v>
      </c>
      <c r="BS2021">
        <v>1004</v>
      </c>
      <c r="BT2021" t="s">
        <v>15098</v>
      </c>
      <c r="BW2021">
        <v>478093</v>
      </c>
      <c r="BX2021" t="s">
        <v>407</v>
      </c>
      <c r="CA2021">
        <v>1986</v>
      </c>
      <c r="CC2021">
        <v>1</v>
      </c>
      <c r="CD2021">
        <v>2017</v>
      </c>
      <c r="CF2021">
        <v>422100</v>
      </c>
      <c r="CG2021">
        <v>422100</v>
      </c>
      <c r="CH2021">
        <v>2017</v>
      </c>
      <c r="CJ2021">
        <v>422100</v>
      </c>
      <c r="CK2021">
        <v>422100</v>
      </c>
      <c r="CL2021">
        <v>2017</v>
      </c>
      <c r="CM2021">
        <v>6496.29</v>
      </c>
      <c r="CN2021" s="1">
        <v>34564</v>
      </c>
      <c r="CO2021">
        <v>200000</v>
      </c>
      <c r="CZ2021" s="1">
        <v>34564</v>
      </c>
      <c r="DD2021" t="s">
        <v>11749</v>
      </c>
      <c r="DG2021">
        <v>13</v>
      </c>
      <c r="DI2021">
        <v>204</v>
      </c>
      <c r="DL2021">
        <v>50203</v>
      </c>
      <c r="DM2021" t="s">
        <v>14785</v>
      </c>
      <c r="DO2021" t="s">
        <v>19552</v>
      </c>
      <c r="DP2021">
        <v>0</v>
      </c>
      <c r="DQ2021">
        <v>0</v>
      </c>
      <c r="DR2021" t="s">
        <v>411</v>
      </c>
    </row>
    <row r="2022" spans="1:284" x14ac:dyDescent="0.25">
      <c r="A2022">
        <v>16487029</v>
      </c>
      <c r="B2022">
        <v>2021</v>
      </c>
      <c r="C2022" t="s">
        <v>393</v>
      </c>
      <c r="D2022" t="s">
        <v>394</v>
      </c>
      <c r="F2022" t="str">
        <f>"00-SB-30-1900-0211-0000"</f>
        <v>00-SB-30-1900-0211-0000</v>
      </c>
      <c r="H2022" t="str">
        <f>"ADLER JOAN G TRUSTEE OF JOAN G ADLER FAMILY TRUST"</f>
        <v>ADLER JOAN G TRUSTEE OF JOAN G ADLER FAMILY TRUST</v>
      </c>
      <c r="I2022" t="str">
        <f>"4362 WESTOVER PLACE NW"</f>
        <v>4362 WESTOVER PLACE NW</v>
      </c>
      <c r="J2022" t="str">
        <f>"WASHINGTON DC 20016"</f>
        <v>WASHINGTON DC 20016</v>
      </c>
      <c r="K2022" t="str">
        <f>"5010 SUMMER BEACH BLVD 211"</f>
        <v>5010 SUMMER BEACH BLVD 211</v>
      </c>
      <c r="L2022" t="str">
        <f t="shared" si="758"/>
        <v>FERNANDINA BEACH FL 32034</v>
      </c>
      <c r="M2022" t="str">
        <f>"UNIT 211 IN OR 1417/741 SAILMAKER AT SUMMER BEACH CLUB OR 493/162"</f>
        <v>UNIT 211 IN OR 1417/741 SAILMAKER AT SUMMER BEACH CLUB OR 493/162</v>
      </c>
      <c r="N2022" t="str">
        <f>""</f>
        <v/>
      </c>
      <c r="O2022" t="str">
        <f>"14497"</f>
        <v>14497</v>
      </c>
      <c r="P2022" t="str">
        <f t="shared" si="749"/>
        <v>2017</v>
      </c>
      <c r="Q2022" t="str">
        <f>""</f>
        <v/>
      </c>
      <c r="R2022" t="str">
        <f t="shared" si="763"/>
        <v>N</v>
      </c>
      <c r="S2022" t="str">
        <f>""</f>
        <v/>
      </c>
      <c r="T2022" t="str">
        <f>"6604.03"</f>
        <v>6604.03</v>
      </c>
      <c r="U2022" t="str">
        <f>"429100.00"</f>
        <v>429100.00</v>
      </c>
      <c r="V2022" t="str">
        <f>"429100.00"</f>
        <v>429100.00</v>
      </c>
      <c r="W2022" t="str">
        <f t="shared" si="750"/>
        <v>2017</v>
      </c>
      <c r="X2022" t="str">
        <f>""</f>
        <v/>
      </c>
      <c r="Y2022" t="str">
        <f>"1846.52"</f>
        <v>1846.52</v>
      </c>
      <c r="Z2022" t="str">
        <f>""</f>
        <v/>
      </c>
      <c r="AA2022" t="str">
        <f>"429100.00"</f>
        <v>429100.00</v>
      </c>
      <c r="AB2022" t="str">
        <f t="shared" si="759"/>
        <v>Residential</v>
      </c>
      <c r="AC2022" t="str">
        <f t="shared" si="762"/>
        <v>0</v>
      </c>
      <c r="AD2022" t="str">
        <f>""</f>
        <v/>
      </c>
      <c r="AE2022" t="str">
        <f>""</f>
        <v/>
      </c>
      <c r="AF2022" t="str">
        <f>"004"</f>
        <v>004</v>
      </c>
      <c r="AG2022" t="str">
        <f>"DC"</f>
        <v>DC</v>
      </c>
      <c r="AH2022" t="str">
        <f t="shared" si="764"/>
        <v>-</v>
      </c>
      <c r="AI2022" t="str">
        <f>"-"</f>
        <v>-</v>
      </c>
      <c r="AJ2022" t="str">
        <f>"C55-000-586-1503-0"</f>
        <v>C55-000-586-1503-0</v>
      </c>
      <c r="AK2022" t="str">
        <f>"37391"</f>
        <v>37391</v>
      </c>
      <c r="AL2022">
        <v>8</v>
      </c>
      <c r="AM2022">
        <v>2312</v>
      </c>
      <c r="AN2022">
        <v>1937.25</v>
      </c>
      <c r="AQ2022" t="s">
        <v>19553</v>
      </c>
      <c r="AR2022" t="s">
        <v>19553</v>
      </c>
      <c r="AS2022" t="s">
        <v>19553</v>
      </c>
      <c r="AU2022" t="s">
        <v>396</v>
      </c>
      <c r="AV2022">
        <v>2017</v>
      </c>
      <c r="AW2022" t="str">
        <f>"00-SB-30-1900-0211-0000 "</f>
        <v xml:space="preserve">00-SB-30-1900-0211-0000 </v>
      </c>
      <c r="AX2022">
        <v>5010</v>
      </c>
      <c r="AZ2022" t="s">
        <v>19548</v>
      </c>
      <c r="BA2022" t="s">
        <v>6622</v>
      </c>
      <c r="BC2022">
        <v>211</v>
      </c>
      <c r="BD2022" t="s">
        <v>11749</v>
      </c>
      <c r="BE2022" t="s">
        <v>393</v>
      </c>
      <c r="BF2022">
        <v>32034</v>
      </c>
      <c r="BG2022" t="s">
        <v>19554</v>
      </c>
      <c r="BH2022" t="s">
        <v>11751</v>
      </c>
      <c r="BI2022">
        <v>-81.444406964886895</v>
      </c>
      <c r="BJ2022">
        <v>30.584423620367598</v>
      </c>
      <c r="BK2022" t="s">
        <v>19555</v>
      </c>
      <c r="BL2022" t="s">
        <v>19556</v>
      </c>
      <c r="BM2022" t="s">
        <v>19557</v>
      </c>
      <c r="BN2022" t="s">
        <v>7362</v>
      </c>
      <c r="BO2022">
        <v>20016</v>
      </c>
      <c r="BP2022" t="s">
        <v>404</v>
      </c>
      <c r="BQ2022">
        <v>400</v>
      </c>
      <c r="BR2022" t="s">
        <v>15097</v>
      </c>
      <c r="BS2022">
        <v>1004</v>
      </c>
      <c r="BT2022" t="s">
        <v>15098</v>
      </c>
      <c r="BW2022">
        <v>478093</v>
      </c>
      <c r="BX2022" t="s">
        <v>407</v>
      </c>
      <c r="CA2022">
        <v>1986</v>
      </c>
      <c r="CC2022">
        <v>1</v>
      </c>
      <c r="CD2022">
        <v>2017</v>
      </c>
      <c r="CF2022">
        <v>429100</v>
      </c>
      <c r="CG2022">
        <v>429100</v>
      </c>
      <c r="CH2022">
        <v>2017</v>
      </c>
      <c r="CJ2022">
        <v>429100</v>
      </c>
      <c r="CK2022">
        <v>429100</v>
      </c>
      <c r="CL2022">
        <v>2017</v>
      </c>
      <c r="CM2022">
        <v>6604.03</v>
      </c>
      <c r="CN2022" s="1">
        <v>38873</v>
      </c>
      <c r="CZ2022" s="1">
        <v>38873</v>
      </c>
      <c r="DD2022" t="s">
        <v>11749</v>
      </c>
      <c r="DG2022">
        <v>13</v>
      </c>
      <c r="DI2022">
        <v>211</v>
      </c>
      <c r="DL2022">
        <v>50203</v>
      </c>
      <c r="DM2022" t="s">
        <v>14785</v>
      </c>
      <c r="DO2022" t="s">
        <v>19558</v>
      </c>
      <c r="DP2022">
        <v>0</v>
      </c>
      <c r="DQ2022">
        <v>0</v>
      </c>
      <c r="DR2022" t="s">
        <v>411</v>
      </c>
    </row>
    <row r="2023" spans="1:284" x14ac:dyDescent="0.25">
      <c r="A2023">
        <v>16487030</v>
      </c>
      <c r="B2023">
        <v>2022</v>
      </c>
      <c r="C2023" t="s">
        <v>393</v>
      </c>
      <c r="D2023" t="s">
        <v>394</v>
      </c>
      <c r="F2023" t="str">
        <f>"00-00-31-087I-0046-0000"</f>
        <v>00-00-31-087I-0046-0000</v>
      </c>
      <c r="H2023" t="str">
        <f>"HADDOCK EDD WAYNE"</f>
        <v>HADDOCK EDD WAYNE</v>
      </c>
      <c r="I2023" t="str">
        <f>"2659 BURTON BLVD"</f>
        <v>2659 BURTON BLVD</v>
      </c>
      <c r="J2023" t="str">
        <f>"HOBOKEN GA 31542"</f>
        <v>HOBOKEN GA 31542</v>
      </c>
      <c r="K2023" t="str">
        <f>"568 SPANISH WAY W"</f>
        <v>568 SPANISH WAY W</v>
      </c>
      <c r="L2023" t="str">
        <f t="shared" si="758"/>
        <v>FERNANDINA BEACH FL 32034</v>
      </c>
      <c r="M2023" t="str">
        <f>"LOT 46 IN OR 2135/298 ISLE DE MAI AT AMELIA PB 7/12"</f>
        <v>LOT 46 IN OR 2135/298 ISLE DE MAI AT AMELIA PB 7/12</v>
      </c>
      <c r="N2023" t="str">
        <f>""</f>
        <v/>
      </c>
      <c r="O2023" t="str">
        <f>"4636"</f>
        <v>4636</v>
      </c>
      <c r="P2023" t="str">
        <f t="shared" si="749"/>
        <v>2017</v>
      </c>
      <c r="Q2023" t="str">
        <f>""</f>
        <v/>
      </c>
      <c r="R2023" t="str">
        <f>"Y"</f>
        <v>Y</v>
      </c>
      <c r="S2023" t="str">
        <f>""</f>
        <v/>
      </c>
      <c r="T2023" t="str">
        <f>"5865.78"</f>
        <v>5865.78</v>
      </c>
      <c r="U2023" t="str">
        <f>"336033.00"</f>
        <v>336033.00</v>
      </c>
      <c r="V2023" t="str">
        <f>"336033.00"</f>
        <v>336033.00</v>
      </c>
      <c r="W2023" t="str">
        <f t="shared" si="750"/>
        <v>2017</v>
      </c>
      <c r="X2023" t="str">
        <f>""</f>
        <v/>
      </c>
      <c r="Y2023" t="str">
        <f>"6073.75"</f>
        <v>6073.75</v>
      </c>
      <c r="Z2023" t="str">
        <f>"25000.00"</f>
        <v>25000.00</v>
      </c>
      <c r="AA2023" t="str">
        <f>"311033.00"</f>
        <v>311033.00</v>
      </c>
      <c r="AB2023" t="str">
        <f t="shared" si="759"/>
        <v>Residential</v>
      </c>
      <c r="AC2023" t="str">
        <f t="shared" si="762"/>
        <v>0</v>
      </c>
      <c r="AD2023" t="str">
        <f>"4"</f>
        <v>4</v>
      </c>
      <c r="AE2023" t="str">
        <f>"WOOD (INCLUDE STEEL STUDS)"</f>
        <v>WOOD (INCLUDE STEEL STUDS)</v>
      </c>
      <c r="AF2023" t="str">
        <f>"001"</f>
        <v>001</v>
      </c>
      <c r="AG2023" t="str">
        <f>"GA"</f>
        <v>GA</v>
      </c>
      <c r="AH2023" t="str">
        <f t="shared" si="764"/>
        <v>-</v>
      </c>
      <c r="AI2023" t="str">
        <f>"75000.00"</f>
        <v>75000.00</v>
      </c>
      <c r="AJ2023" t="str">
        <f>"C55-000-589-1130-6"</f>
        <v>C55-000-589-1130-6</v>
      </c>
      <c r="AK2023" t="str">
        <f>"42001"</f>
        <v>42001</v>
      </c>
      <c r="AL2023">
        <v>8</v>
      </c>
      <c r="AM2023">
        <v>2313</v>
      </c>
      <c r="AN2023">
        <v>6375.84</v>
      </c>
      <c r="AQ2023" t="s">
        <v>19559</v>
      </c>
      <c r="AR2023" t="s">
        <v>19559</v>
      </c>
      <c r="AS2023" t="s">
        <v>19559</v>
      </c>
      <c r="AU2023" t="s">
        <v>396</v>
      </c>
      <c r="AV2023">
        <v>2017</v>
      </c>
      <c r="AW2023" t="str">
        <f>"00-00-31-087I-0046-0000 "</f>
        <v xml:space="preserve">00-00-31-087I-0046-0000 </v>
      </c>
      <c r="AX2023">
        <v>568</v>
      </c>
      <c r="AZ2023" t="s">
        <v>19560</v>
      </c>
      <c r="BA2023" t="s">
        <v>866</v>
      </c>
      <c r="BB2023" t="s">
        <v>4459</v>
      </c>
      <c r="BD2023" t="s">
        <v>11749</v>
      </c>
      <c r="BE2023" t="s">
        <v>393</v>
      </c>
      <c r="BF2023">
        <v>32034</v>
      </c>
      <c r="BG2023" t="s">
        <v>19561</v>
      </c>
      <c r="BH2023" t="s">
        <v>11751</v>
      </c>
      <c r="BI2023">
        <v>-81.462632019821996</v>
      </c>
      <c r="BJ2023">
        <v>30.623713239623001</v>
      </c>
      <c r="BK2023" t="s">
        <v>19562</v>
      </c>
      <c r="BM2023" t="s">
        <v>19563</v>
      </c>
      <c r="BN2023" t="s">
        <v>19564</v>
      </c>
      <c r="BO2023">
        <v>31542</v>
      </c>
      <c r="BP2023" t="s">
        <v>404</v>
      </c>
      <c r="BQ2023">
        <v>100</v>
      </c>
      <c r="BR2023" t="s">
        <v>514</v>
      </c>
      <c r="BS2023">
        <v>1001</v>
      </c>
      <c r="BT2023" t="s">
        <v>515</v>
      </c>
      <c r="BW2023">
        <v>7978</v>
      </c>
      <c r="BX2023" t="s">
        <v>407</v>
      </c>
      <c r="BZ2023">
        <v>4</v>
      </c>
      <c r="CA2023">
        <v>2008</v>
      </c>
      <c r="CC2023">
        <v>1</v>
      </c>
      <c r="CD2023">
        <v>2017</v>
      </c>
      <c r="CG2023">
        <v>336033</v>
      </c>
      <c r="CH2023">
        <v>2017</v>
      </c>
      <c r="CI2023">
        <v>75000</v>
      </c>
      <c r="CJ2023">
        <v>264978</v>
      </c>
      <c r="CK2023">
        <v>339978</v>
      </c>
      <c r="CL2023">
        <v>2017</v>
      </c>
      <c r="CM2023">
        <v>5865.78</v>
      </c>
      <c r="CN2023" s="1">
        <v>42940</v>
      </c>
      <c r="CO2023">
        <v>444000</v>
      </c>
      <c r="CV2023">
        <v>357950</v>
      </c>
      <c r="CX2023" t="s">
        <v>675</v>
      </c>
      <c r="CZ2023" s="1">
        <v>42940</v>
      </c>
      <c r="DA2023">
        <v>0</v>
      </c>
      <c r="DD2023" t="s">
        <v>11749</v>
      </c>
      <c r="DF2023">
        <v>46</v>
      </c>
      <c r="DG2023">
        <v>5</v>
      </c>
      <c r="DJ2023" t="s">
        <v>19565</v>
      </c>
      <c r="DL2023">
        <v>50202</v>
      </c>
      <c r="DM2023" t="s">
        <v>18842</v>
      </c>
      <c r="DO2023" t="s">
        <v>19566</v>
      </c>
      <c r="DP2023">
        <v>0</v>
      </c>
      <c r="DQ2023">
        <v>0</v>
      </c>
      <c r="DR2023" t="s">
        <v>411</v>
      </c>
    </row>
    <row r="2024" spans="1:284" x14ac:dyDescent="0.25">
      <c r="A2024">
        <v>16487031</v>
      </c>
      <c r="B2024">
        <v>2023</v>
      </c>
      <c r="C2024" t="s">
        <v>393</v>
      </c>
      <c r="D2024" t="s">
        <v>394</v>
      </c>
      <c r="F2024" t="str">
        <f>"00-00-31-087I-0097-0000"</f>
        <v>00-00-31-087I-0097-0000</v>
      </c>
      <c r="H2024" t="str">
        <f>"COLEMAN JOSEPH W &amp; EVALYN G T"</f>
        <v>COLEMAN JOSEPH W &amp; EVALYN G T</v>
      </c>
      <c r="I2024" t="str">
        <f>"570 SANTA MARIA DR"</f>
        <v>570 SANTA MARIA DR</v>
      </c>
      <c r="J2024" t="str">
        <f>"FERNANDINA BEACH FL 32034"</f>
        <v>FERNANDINA BEACH FL 32034</v>
      </c>
      <c r="K2024" t="str">
        <f>"570 SANTA MARIA DR"</f>
        <v>570 SANTA MARIA DR</v>
      </c>
      <c r="L2024" t="str">
        <f t="shared" si="758"/>
        <v>FERNANDINA BEACH FL 32034</v>
      </c>
      <c r="M2024" t="str">
        <f>"LOT 97 IN OR 1929/1511 ISLE DE MAI AT AMELIA PB 7/12"</f>
        <v>LOT 97 IN OR 1929/1511 ISLE DE MAI AT AMELIA PB 7/12</v>
      </c>
      <c r="N2024" t="str">
        <f>""</f>
        <v/>
      </c>
      <c r="O2024" t="str">
        <f>"4687"</f>
        <v>4687</v>
      </c>
      <c r="P2024" t="str">
        <f t="shared" si="749"/>
        <v>2017</v>
      </c>
      <c r="Q2024" t="str">
        <f>""</f>
        <v/>
      </c>
      <c r="R2024" t="str">
        <f>"Y"</f>
        <v>Y</v>
      </c>
      <c r="S2024" t="str">
        <f>""</f>
        <v/>
      </c>
      <c r="T2024" t="str">
        <f>"4784.21"</f>
        <v>4784.21</v>
      </c>
      <c r="U2024" t="str">
        <f>"281766.00"</f>
        <v>281766.00</v>
      </c>
      <c r="V2024" t="str">
        <f>"281766.00"</f>
        <v>281766.00</v>
      </c>
      <c r="W2024" t="str">
        <f t="shared" si="750"/>
        <v>2017</v>
      </c>
      <c r="X2024" t="str">
        <f>""</f>
        <v/>
      </c>
      <c r="Y2024" t="str">
        <f>"4959.74"</f>
        <v>4959.74</v>
      </c>
      <c r="Z2024" t="str">
        <f>"25000.00"</f>
        <v>25000.00</v>
      </c>
      <c r="AA2024" t="str">
        <f>"256766.00"</f>
        <v>256766.00</v>
      </c>
      <c r="AB2024" t="str">
        <f t="shared" si="759"/>
        <v>Residential</v>
      </c>
      <c r="AC2024" t="str">
        <f t="shared" si="762"/>
        <v>0</v>
      </c>
      <c r="AD2024" t="str">
        <f>"4"</f>
        <v>4</v>
      </c>
      <c r="AE2024" t="str">
        <f>"WOOD (INCLUDE STEEL STUDS)"</f>
        <v>WOOD (INCLUDE STEEL STUDS)</v>
      </c>
      <c r="AF2024" t="str">
        <f>"001"</f>
        <v>001</v>
      </c>
      <c r="AG2024" t="str">
        <f>"FL"</f>
        <v>FL</v>
      </c>
      <c r="AH2024" t="str">
        <f t="shared" si="764"/>
        <v>-</v>
      </c>
      <c r="AI2024" t="str">
        <f>"75000.00"</f>
        <v>75000.00</v>
      </c>
      <c r="AJ2024" t="str">
        <f>"C55-000-589-1181-9"</f>
        <v>C55-000-589-1181-9</v>
      </c>
      <c r="AK2024" t="str">
        <f>"42052"</f>
        <v>42052</v>
      </c>
      <c r="AL2024">
        <v>8</v>
      </c>
      <c r="AM2024">
        <v>2314</v>
      </c>
      <c r="AN2024">
        <v>5206.13</v>
      </c>
      <c r="AQ2024" t="s">
        <v>19567</v>
      </c>
      <c r="AR2024" t="s">
        <v>19567</v>
      </c>
      <c r="AS2024" t="s">
        <v>19567</v>
      </c>
      <c r="AU2024" t="s">
        <v>396</v>
      </c>
      <c r="AV2024">
        <v>2017</v>
      </c>
      <c r="AW2024" t="str">
        <f>"00-00-31-087I-0097-0000 "</f>
        <v xml:space="preserve">00-00-31-087I-0097-0000 </v>
      </c>
      <c r="AX2024">
        <v>570</v>
      </c>
      <c r="AZ2024" t="s">
        <v>19568</v>
      </c>
      <c r="BA2024" t="s">
        <v>669</v>
      </c>
      <c r="BD2024" t="s">
        <v>11749</v>
      </c>
      <c r="BE2024" t="s">
        <v>393</v>
      </c>
      <c r="BF2024">
        <v>32034</v>
      </c>
      <c r="BG2024" t="s">
        <v>19569</v>
      </c>
      <c r="BH2024" t="s">
        <v>11751</v>
      </c>
      <c r="BI2024">
        <v>-81.462572121628</v>
      </c>
      <c r="BJ2024">
        <v>30.6254865720909</v>
      </c>
      <c r="BK2024" t="s">
        <v>19570</v>
      </c>
      <c r="BL2024" t="s">
        <v>19571</v>
      </c>
      <c r="BM2024" t="s">
        <v>19569</v>
      </c>
      <c r="BN2024" t="s">
        <v>3983</v>
      </c>
      <c r="BO2024">
        <v>32034</v>
      </c>
      <c r="BP2024" t="s">
        <v>416</v>
      </c>
      <c r="BQ2024">
        <v>100</v>
      </c>
      <c r="BR2024" t="s">
        <v>514</v>
      </c>
      <c r="BS2024">
        <v>1001</v>
      </c>
      <c r="BT2024" t="s">
        <v>515</v>
      </c>
      <c r="BW2024">
        <v>11575</v>
      </c>
      <c r="BX2024" t="s">
        <v>407</v>
      </c>
      <c r="BZ2024">
        <v>4</v>
      </c>
      <c r="CA2024">
        <v>2007</v>
      </c>
      <c r="CB2024">
        <v>1</v>
      </c>
      <c r="CC2024">
        <v>1</v>
      </c>
      <c r="CD2024">
        <v>2017</v>
      </c>
      <c r="CE2024">
        <v>75000</v>
      </c>
      <c r="CF2024">
        <v>206766</v>
      </c>
      <c r="CG2024">
        <v>281766</v>
      </c>
      <c r="CH2024">
        <v>2017</v>
      </c>
      <c r="CI2024">
        <v>75000</v>
      </c>
      <c r="CJ2024">
        <v>206766</v>
      </c>
      <c r="CK2024">
        <v>281766</v>
      </c>
      <c r="CL2024">
        <v>2017</v>
      </c>
      <c r="CM2024">
        <v>4784.21</v>
      </c>
      <c r="CN2024" s="1">
        <v>43014</v>
      </c>
      <c r="CO2024">
        <v>400000</v>
      </c>
      <c r="CV2024">
        <v>0</v>
      </c>
      <c r="CZ2024" s="1">
        <v>43014</v>
      </c>
      <c r="DA2024">
        <v>0</v>
      </c>
      <c r="DD2024" t="s">
        <v>11749</v>
      </c>
      <c r="DF2024">
        <v>97</v>
      </c>
      <c r="DG2024">
        <v>5</v>
      </c>
      <c r="DJ2024" t="s">
        <v>19565</v>
      </c>
      <c r="DL2024">
        <v>50202</v>
      </c>
      <c r="DM2024" t="s">
        <v>18842</v>
      </c>
      <c r="DO2024" t="s">
        <v>19572</v>
      </c>
      <c r="DP2024">
        <v>0</v>
      </c>
      <c r="DQ2024">
        <v>0</v>
      </c>
      <c r="DR2024" t="s">
        <v>411</v>
      </c>
    </row>
    <row r="2025" spans="1:284" x14ac:dyDescent="0.25">
      <c r="A2025">
        <v>16487032</v>
      </c>
      <c r="B2025">
        <v>2024</v>
      </c>
      <c r="C2025" t="s">
        <v>393</v>
      </c>
      <c r="D2025" t="s">
        <v>394</v>
      </c>
      <c r="F2025" t="str">
        <f>"00-00-31-1010-0017-0000"</f>
        <v>00-00-31-1010-0017-0000</v>
      </c>
      <c r="H2025" t="str">
        <f>"WALKER TAMMY CISCO &amp; MOORE ALETHA CISCO (JTROS)"</f>
        <v>WALKER TAMMY CISCO &amp; MOORE ALETHA CISCO (JTROS)</v>
      </c>
      <c r="I2025" t="str">
        <f>"851 PARKVIEW PL W"</f>
        <v>851 PARKVIEW PL W</v>
      </c>
      <c r="J2025" t="str">
        <f>"FERNANDINA BEACH FL 32034"</f>
        <v>FERNANDINA BEACH FL 32034</v>
      </c>
      <c r="K2025" t="str">
        <f>"3240 S FLETCHER AV 217"</f>
        <v>3240 S FLETCHER AV 217</v>
      </c>
      <c r="L2025" t="str">
        <f t="shared" si="758"/>
        <v>FERNANDINA BEACH FL 32034</v>
      </c>
      <c r="M2025" t="str">
        <f>"UNIT 17 IN OR 919/1406 AMELIA BY THE SEA OR 148/542"</f>
        <v>UNIT 17 IN OR 919/1406 AMELIA BY THE SEA OR 148/542</v>
      </c>
      <c r="N2025" t="str">
        <f>""</f>
        <v/>
      </c>
      <c r="O2025" t="str">
        <f>"4857"</f>
        <v>4857</v>
      </c>
      <c r="P2025" t="str">
        <f t="shared" si="749"/>
        <v>2017</v>
      </c>
      <c r="Q2025" t="str">
        <f>""</f>
        <v/>
      </c>
      <c r="R2025" t="str">
        <f>"N"</f>
        <v>N</v>
      </c>
      <c r="S2025" t="str">
        <f>""</f>
        <v/>
      </c>
      <c r="T2025" t="str">
        <f>"6198.45"</f>
        <v>6198.45</v>
      </c>
      <c r="U2025" t="str">
        <f>"311000.00"</f>
        <v>311000.00</v>
      </c>
      <c r="V2025" t="str">
        <f>"311000.00"</f>
        <v>311000.00</v>
      </c>
      <c r="W2025" t="str">
        <f t="shared" si="750"/>
        <v>2017</v>
      </c>
      <c r="X2025" t="str">
        <f>"11.71"</f>
        <v>11.71</v>
      </c>
      <c r="Y2025" t="str">
        <f>"6416.40"</f>
        <v>6416.40</v>
      </c>
      <c r="Z2025" t="str">
        <f>""</f>
        <v/>
      </c>
      <c r="AA2025" t="str">
        <f>"311000.00"</f>
        <v>311000.00</v>
      </c>
      <c r="AB2025" t="str">
        <f t="shared" si="759"/>
        <v>Residential</v>
      </c>
      <c r="AC2025" t="str">
        <f t="shared" si="762"/>
        <v>0</v>
      </c>
      <c r="AD2025" t="str">
        <f>""</f>
        <v/>
      </c>
      <c r="AE2025" t="str">
        <f>""</f>
        <v/>
      </c>
      <c r="AF2025" t="str">
        <f>"004"</f>
        <v>004</v>
      </c>
      <c r="AG2025" t="str">
        <f>"FL"</f>
        <v>FL</v>
      </c>
      <c r="AH2025" t="str">
        <f t="shared" si="764"/>
        <v>-</v>
      </c>
      <c r="AI2025" t="str">
        <f>"-"</f>
        <v>-</v>
      </c>
      <c r="AJ2025" t="str">
        <f>"C55-000-585-3713-5"</f>
        <v>C55-000-585-3713-5</v>
      </c>
      <c r="AK2025" t="str">
        <f>"42254"</f>
        <v>42254</v>
      </c>
      <c r="AL2025">
        <v>8</v>
      </c>
      <c r="AM2025">
        <v>2315</v>
      </c>
      <c r="AN2025">
        <v>6735.62</v>
      </c>
      <c r="AQ2025" t="s">
        <v>19573</v>
      </c>
      <c r="AR2025" t="s">
        <v>19573</v>
      </c>
      <c r="AS2025" t="s">
        <v>19573</v>
      </c>
      <c r="AU2025" t="s">
        <v>396</v>
      </c>
      <c r="AV2025">
        <v>2017</v>
      </c>
      <c r="AW2025" t="str">
        <f>"00-00-31-1010-0017-0000 "</f>
        <v xml:space="preserve">00-00-31-1010-0017-0000 </v>
      </c>
      <c r="AX2025">
        <v>3240</v>
      </c>
      <c r="AY2025" t="s">
        <v>18674</v>
      </c>
      <c r="AZ2025" t="s">
        <v>18248</v>
      </c>
      <c r="BA2025" t="s">
        <v>1122</v>
      </c>
      <c r="BC2025">
        <v>217</v>
      </c>
      <c r="BD2025" t="s">
        <v>11749</v>
      </c>
      <c r="BE2025" t="s">
        <v>393</v>
      </c>
      <c r="BF2025">
        <v>32034</v>
      </c>
      <c r="BG2025" t="s">
        <v>19574</v>
      </c>
      <c r="BH2025" t="s">
        <v>11751</v>
      </c>
      <c r="BI2025">
        <v>-81.439923162638905</v>
      </c>
      <c r="BJ2025">
        <v>30.620866818670901</v>
      </c>
      <c r="BK2025" t="s">
        <v>19575</v>
      </c>
      <c r="BL2025" t="s">
        <v>19576</v>
      </c>
      <c r="BM2025" t="s">
        <v>19577</v>
      </c>
      <c r="BN2025" t="s">
        <v>3983</v>
      </c>
      <c r="BO2025">
        <v>32034</v>
      </c>
      <c r="BP2025" t="s">
        <v>404</v>
      </c>
      <c r="BQ2025">
        <v>400</v>
      </c>
      <c r="BR2025" t="s">
        <v>15097</v>
      </c>
      <c r="BS2025">
        <v>1004</v>
      </c>
      <c r="BT2025" t="s">
        <v>15098</v>
      </c>
      <c r="BW2025">
        <v>201604</v>
      </c>
      <c r="BX2025" t="s">
        <v>407</v>
      </c>
      <c r="CA2025">
        <v>1973</v>
      </c>
      <c r="CC2025">
        <v>1</v>
      </c>
      <c r="CD2025">
        <v>2017</v>
      </c>
      <c r="CF2025">
        <v>311000</v>
      </c>
      <c r="CG2025">
        <v>311000</v>
      </c>
      <c r="CH2025">
        <v>2017</v>
      </c>
      <c r="CJ2025">
        <v>311000</v>
      </c>
      <c r="CK2025">
        <v>311000</v>
      </c>
      <c r="CL2025">
        <v>2017</v>
      </c>
      <c r="CM2025">
        <v>6198.45</v>
      </c>
      <c r="CN2025" s="1">
        <v>36567</v>
      </c>
      <c r="CZ2025" s="1">
        <v>36567</v>
      </c>
      <c r="DD2025" t="s">
        <v>11749</v>
      </c>
      <c r="DG2025">
        <v>6</v>
      </c>
      <c r="DI2025">
        <v>217</v>
      </c>
      <c r="DJ2025" t="s">
        <v>19578</v>
      </c>
      <c r="DL2025">
        <v>50202</v>
      </c>
      <c r="DM2025" t="s">
        <v>19579</v>
      </c>
      <c r="DO2025" t="s">
        <v>19580</v>
      </c>
      <c r="DP2025">
        <v>0</v>
      </c>
      <c r="DQ2025">
        <v>6</v>
      </c>
      <c r="DR2025" t="s">
        <v>1479</v>
      </c>
      <c r="DS2025" t="b">
        <v>1</v>
      </c>
      <c r="DT2025" t="s">
        <v>15881</v>
      </c>
      <c r="DV2025" t="s">
        <v>446</v>
      </c>
      <c r="DX2025">
        <v>11</v>
      </c>
      <c r="DY2025" t="s">
        <v>11438</v>
      </c>
      <c r="DZ2025" t="s">
        <v>447</v>
      </c>
      <c r="EA2025" t="s">
        <v>448</v>
      </c>
      <c r="EB2025" t="s">
        <v>19581</v>
      </c>
      <c r="EC2025">
        <v>20101217</v>
      </c>
      <c r="ED2025" t="s">
        <v>450</v>
      </c>
      <c r="EE2025">
        <v>5</v>
      </c>
      <c r="EF2025">
        <v>0</v>
      </c>
      <c r="EG2025">
        <v>0</v>
      </c>
      <c r="EI2025">
        <v>20160407</v>
      </c>
      <c r="EJ2025">
        <v>0</v>
      </c>
      <c r="EK2025">
        <v>0</v>
      </c>
      <c r="EP2025" t="s">
        <v>421</v>
      </c>
      <c r="EQ2025" t="s">
        <v>422</v>
      </c>
      <c r="ER2025">
        <v>2</v>
      </c>
      <c r="ES2025">
        <v>8</v>
      </c>
      <c r="ET2025">
        <v>13155.74</v>
      </c>
      <c r="EU2025">
        <v>670.29</v>
      </c>
      <c r="EV2025">
        <v>13826.03</v>
      </c>
      <c r="EW2025" s="2">
        <v>43222</v>
      </c>
      <c r="EX2025" s="1">
        <v>42879</v>
      </c>
      <c r="EY2025">
        <v>2016</v>
      </c>
      <c r="EZ2025">
        <v>6577.87</v>
      </c>
      <c r="FA2025" t="s">
        <v>19582</v>
      </c>
      <c r="FB2025">
        <v>0.25</v>
      </c>
      <c r="FC2025" t="s">
        <v>424</v>
      </c>
      <c r="FD2025" t="s">
        <v>454</v>
      </c>
      <c r="FF2025">
        <v>12</v>
      </c>
      <c r="FG2025">
        <v>2851116</v>
      </c>
      <c r="FH2025" t="s">
        <v>480</v>
      </c>
      <c r="FJ2025" s="1">
        <v>42879</v>
      </c>
      <c r="FK2025">
        <v>2016</v>
      </c>
      <c r="FL2025">
        <v>6577.87</v>
      </c>
      <c r="FM2025" t="s">
        <v>19582</v>
      </c>
      <c r="FN2025">
        <v>0.25</v>
      </c>
      <c r="FO2025" t="s">
        <v>424</v>
      </c>
      <c r="FP2025" t="s">
        <v>454</v>
      </c>
      <c r="FR2025">
        <v>12</v>
      </c>
      <c r="FS2025">
        <v>5007713</v>
      </c>
      <c r="FT2025" t="s">
        <v>19583</v>
      </c>
      <c r="FV2025" s="1">
        <v>42515</v>
      </c>
      <c r="FW2025">
        <v>2015</v>
      </c>
      <c r="FX2025">
        <v>5943.29</v>
      </c>
      <c r="FY2025" t="s">
        <v>19584</v>
      </c>
      <c r="FZ2025">
        <v>0.25</v>
      </c>
      <c r="GA2025" t="s">
        <v>424</v>
      </c>
      <c r="GB2025" t="s">
        <v>425</v>
      </c>
      <c r="GC2025" s="1">
        <v>42837</v>
      </c>
      <c r="GD2025">
        <v>11</v>
      </c>
      <c r="GE2025">
        <v>7336671</v>
      </c>
      <c r="GF2025" t="s">
        <v>437</v>
      </c>
      <c r="GH2025" s="1">
        <v>42515</v>
      </c>
      <c r="GI2025">
        <v>2015</v>
      </c>
      <c r="GJ2025">
        <v>5943.29</v>
      </c>
      <c r="GK2025" t="s">
        <v>19584</v>
      </c>
      <c r="GL2025">
        <v>0.25</v>
      </c>
      <c r="GM2025" t="s">
        <v>424</v>
      </c>
      <c r="GN2025" t="s">
        <v>425</v>
      </c>
      <c r="GP2025">
        <v>22</v>
      </c>
      <c r="GQ2025">
        <v>6806293</v>
      </c>
      <c r="GR2025" t="s">
        <v>19585</v>
      </c>
      <c r="GT2025" s="1">
        <v>42151</v>
      </c>
      <c r="GU2025">
        <v>2014</v>
      </c>
      <c r="GV2025">
        <v>5856.39</v>
      </c>
      <c r="GW2025" t="s">
        <v>19586</v>
      </c>
      <c r="GX2025">
        <v>0.25</v>
      </c>
      <c r="GY2025" t="s">
        <v>424</v>
      </c>
      <c r="GZ2025" t="s">
        <v>425</v>
      </c>
      <c r="HA2025" s="1">
        <v>42580</v>
      </c>
      <c r="HB2025">
        <v>14</v>
      </c>
      <c r="HC2025">
        <v>4844982</v>
      </c>
      <c r="HD2025" t="s">
        <v>5287</v>
      </c>
      <c r="HF2025" s="1">
        <v>42151</v>
      </c>
      <c r="HG2025">
        <v>2014</v>
      </c>
      <c r="HH2025">
        <v>5856.39</v>
      </c>
      <c r="HI2025" t="s">
        <v>19586</v>
      </c>
      <c r="HJ2025">
        <v>0.25</v>
      </c>
      <c r="HK2025" t="s">
        <v>424</v>
      </c>
      <c r="HL2025" t="s">
        <v>425</v>
      </c>
      <c r="HN2025">
        <v>22</v>
      </c>
      <c r="HO2025">
        <v>5730328</v>
      </c>
      <c r="HP2025" t="s">
        <v>19587</v>
      </c>
      <c r="HR2025" s="1">
        <v>41787</v>
      </c>
      <c r="HS2025">
        <v>2013</v>
      </c>
      <c r="HT2025">
        <v>5218.68</v>
      </c>
      <c r="HU2025" t="s">
        <v>19588</v>
      </c>
      <c r="HV2025">
        <v>0.25</v>
      </c>
      <c r="HW2025" t="s">
        <v>424</v>
      </c>
      <c r="HX2025" t="s">
        <v>425</v>
      </c>
      <c r="HY2025" s="1">
        <v>42293</v>
      </c>
      <c r="HZ2025">
        <v>17</v>
      </c>
      <c r="IA2025">
        <v>2675455</v>
      </c>
      <c r="IB2025" t="s">
        <v>1981</v>
      </c>
      <c r="ID2025" s="1">
        <v>41052</v>
      </c>
      <c r="IE2025">
        <v>2011</v>
      </c>
      <c r="IF2025">
        <v>5233.26</v>
      </c>
      <c r="IG2025" t="s">
        <v>19589</v>
      </c>
      <c r="IH2025">
        <v>0.25</v>
      </c>
      <c r="II2025" t="s">
        <v>424</v>
      </c>
      <c r="IJ2025" t="s">
        <v>425</v>
      </c>
      <c r="IK2025" s="1">
        <v>41325</v>
      </c>
      <c r="IL2025">
        <v>9</v>
      </c>
      <c r="IM2025">
        <v>11289</v>
      </c>
      <c r="IN2025" t="s">
        <v>787</v>
      </c>
      <c r="IP2025" s="1">
        <v>41052</v>
      </c>
      <c r="IQ2025">
        <v>2011</v>
      </c>
      <c r="IR2025">
        <v>5233.26</v>
      </c>
      <c r="IS2025" t="s">
        <v>19589</v>
      </c>
      <c r="IT2025">
        <v>0.25</v>
      </c>
      <c r="IU2025" t="s">
        <v>424</v>
      </c>
      <c r="IV2025" t="s">
        <v>425</v>
      </c>
      <c r="IX2025">
        <v>22</v>
      </c>
      <c r="IY2025">
        <v>13132</v>
      </c>
      <c r="IZ2025" t="s">
        <v>8778</v>
      </c>
      <c r="JB2025" s="1">
        <v>40688</v>
      </c>
      <c r="JC2025">
        <v>2010</v>
      </c>
      <c r="JD2025">
        <v>5743.85</v>
      </c>
      <c r="JE2025" t="s">
        <v>19590</v>
      </c>
      <c r="JF2025">
        <v>0.25</v>
      </c>
      <c r="JG2025" t="s">
        <v>424</v>
      </c>
      <c r="JH2025" t="s">
        <v>425</v>
      </c>
      <c r="JI2025" s="1">
        <v>41149</v>
      </c>
      <c r="JJ2025">
        <v>15</v>
      </c>
      <c r="JK2025">
        <v>11289</v>
      </c>
      <c r="JL2025" t="s">
        <v>787</v>
      </c>
    </row>
    <row r="2026" spans="1:284" x14ac:dyDescent="0.25">
      <c r="A2026">
        <v>16487033</v>
      </c>
      <c r="B2026">
        <v>2025</v>
      </c>
      <c r="C2026" t="s">
        <v>393</v>
      </c>
      <c r="D2026" t="s">
        <v>394</v>
      </c>
      <c r="F2026" t="str">
        <f>"00-00-31-1010-0019-0000"</f>
        <v>00-00-31-1010-0019-0000</v>
      </c>
      <c r="H2026" t="str">
        <f>"STRICKLAND DEVIN B"</f>
        <v>STRICKLAND DEVIN B</v>
      </c>
      <c r="I2026" t="str">
        <f>"305 WEST WARING ST"</f>
        <v>305 WEST WARING ST</v>
      </c>
      <c r="J2026" t="str">
        <f>"WAYCROSS GA 31503"</f>
        <v>WAYCROSS GA 31503</v>
      </c>
      <c r="K2026" t="str">
        <f>"3240 S FLETCHER AV 219"</f>
        <v>3240 S FLETCHER AV 219</v>
      </c>
      <c r="L2026" t="str">
        <f t="shared" si="758"/>
        <v>FERNANDINA BEACH FL 32034</v>
      </c>
      <c r="M2026" t="str">
        <f>"UNIT 19 IN OR 802/214 AMELIA BY THE SEA OR 148/542"</f>
        <v>UNIT 19 IN OR 802/214 AMELIA BY THE SEA OR 148/542</v>
      </c>
      <c r="N2026" t="str">
        <f>""</f>
        <v/>
      </c>
      <c r="O2026" t="str">
        <f>"4859"</f>
        <v>4859</v>
      </c>
      <c r="P2026" t="str">
        <f t="shared" si="749"/>
        <v>2017</v>
      </c>
      <c r="Q2026" t="str">
        <f>""</f>
        <v/>
      </c>
      <c r="R2026" t="str">
        <f>"N"</f>
        <v>N</v>
      </c>
      <c r="S2026" t="str">
        <f>""</f>
        <v/>
      </c>
      <c r="T2026" t="str">
        <f>"6198.45"</f>
        <v>6198.45</v>
      </c>
      <c r="U2026" t="str">
        <f>"311000.00"</f>
        <v>311000.00</v>
      </c>
      <c r="V2026" t="str">
        <f>"311000.00"</f>
        <v>311000.00</v>
      </c>
      <c r="W2026" t="str">
        <f t="shared" si="750"/>
        <v>2017</v>
      </c>
      <c r="X2026" t="str">
        <f>"15.80"</f>
        <v>15.80</v>
      </c>
      <c r="Y2026" t="str">
        <f>"6416.40"</f>
        <v>6416.40</v>
      </c>
      <c r="Z2026" t="str">
        <f>""</f>
        <v/>
      </c>
      <c r="AA2026" t="str">
        <f>"311000.00"</f>
        <v>311000.00</v>
      </c>
      <c r="AB2026" t="str">
        <f t="shared" si="759"/>
        <v>Residential</v>
      </c>
      <c r="AC2026" t="str">
        <f t="shared" si="762"/>
        <v>0</v>
      </c>
      <c r="AD2026" t="str">
        <f>""</f>
        <v/>
      </c>
      <c r="AE2026" t="str">
        <f>""</f>
        <v/>
      </c>
      <c r="AF2026" t="str">
        <f>"004"</f>
        <v>004</v>
      </c>
      <c r="AG2026" t="str">
        <f>"GA"</f>
        <v>GA</v>
      </c>
      <c r="AH2026" t="str">
        <f t="shared" si="764"/>
        <v>-</v>
      </c>
      <c r="AI2026" t="str">
        <f>"-"</f>
        <v>-</v>
      </c>
      <c r="AJ2026" t="str">
        <f>"C55-000-585-3715-0"</f>
        <v>C55-000-585-3715-0</v>
      </c>
      <c r="AK2026" t="str">
        <f>"42256"</f>
        <v>42256</v>
      </c>
      <c r="AL2026">
        <v>8</v>
      </c>
      <c r="AM2026">
        <v>2316</v>
      </c>
      <c r="AN2026">
        <v>6735.62</v>
      </c>
      <c r="AQ2026" t="s">
        <v>19591</v>
      </c>
      <c r="AR2026" t="s">
        <v>19591</v>
      </c>
      <c r="AS2026" t="s">
        <v>19591</v>
      </c>
      <c r="AU2026" t="s">
        <v>396</v>
      </c>
      <c r="AV2026">
        <v>2017</v>
      </c>
      <c r="AW2026" t="str">
        <f>"00-00-31-1010-0019-0000 "</f>
        <v xml:space="preserve">00-00-31-1010-0019-0000 </v>
      </c>
      <c r="AX2026">
        <v>3240</v>
      </c>
      <c r="AY2026" t="s">
        <v>18674</v>
      </c>
      <c r="AZ2026" t="s">
        <v>18248</v>
      </c>
      <c r="BA2026" t="s">
        <v>1122</v>
      </c>
      <c r="BC2026">
        <v>219</v>
      </c>
      <c r="BD2026" t="s">
        <v>11749</v>
      </c>
      <c r="BE2026" t="s">
        <v>393</v>
      </c>
      <c r="BF2026">
        <v>32034</v>
      </c>
      <c r="BG2026" t="s">
        <v>19592</v>
      </c>
      <c r="BH2026" t="s">
        <v>11751</v>
      </c>
      <c r="BI2026">
        <v>-81.439923162638905</v>
      </c>
      <c r="BJ2026">
        <v>30.620866818670901</v>
      </c>
      <c r="BK2026" t="s">
        <v>19593</v>
      </c>
      <c r="BM2026" t="s">
        <v>19594</v>
      </c>
      <c r="BN2026" t="s">
        <v>12454</v>
      </c>
      <c r="BO2026">
        <v>31503</v>
      </c>
      <c r="BP2026" t="s">
        <v>404</v>
      </c>
      <c r="BQ2026">
        <v>400</v>
      </c>
      <c r="BR2026" t="s">
        <v>15097</v>
      </c>
      <c r="BS2026">
        <v>1004</v>
      </c>
      <c r="BT2026" t="s">
        <v>15098</v>
      </c>
      <c r="BW2026">
        <v>201604</v>
      </c>
      <c r="BX2026" t="s">
        <v>407</v>
      </c>
      <c r="CA2026">
        <v>1973</v>
      </c>
      <c r="CC2026">
        <v>1</v>
      </c>
      <c r="CD2026">
        <v>2017</v>
      </c>
      <c r="CF2026">
        <v>311000</v>
      </c>
      <c r="CG2026">
        <v>311000</v>
      </c>
      <c r="CH2026">
        <v>2017</v>
      </c>
      <c r="CJ2026">
        <v>311000</v>
      </c>
      <c r="CK2026">
        <v>311000</v>
      </c>
      <c r="CL2026">
        <v>2017</v>
      </c>
      <c r="CM2026">
        <v>6198.45</v>
      </c>
      <c r="CN2026" s="1">
        <v>35647</v>
      </c>
      <c r="CO2026">
        <v>10000</v>
      </c>
      <c r="CZ2026" s="1">
        <v>35647</v>
      </c>
      <c r="DD2026" t="s">
        <v>11749</v>
      </c>
      <c r="DG2026">
        <v>6</v>
      </c>
      <c r="DI2026">
        <v>219</v>
      </c>
      <c r="DJ2026" t="s">
        <v>19578</v>
      </c>
      <c r="DL2026">
        <v>50202</v>
      </c>
      <c r="DM2026" t="s">
        <v>19579</v>
      </c>
      <c r="DO2026" t="s">
        <v>19595</v>
      </c>
      <c r="DP2026">
        <v>0</v>
      </c>
      <c r="DQ2026">
        <v>6</v>
      </c>
      <c r="DR2026" t="s">
        <v>1479</v>
      </c>
      <c r="DS2026" t="b">
        <v>1</v>
      </c>
      <c r="DT2026" t="s">
        <v>15881</v>
      </c>
      <c r="DV2026" t="s">
        <v>446</v>
      </c>
      <c r="DX2026">
        <v>11</v>
      </c>
      <c r="DY2026" t="s">
        <v>11438</v>
      </c>
      <c r="DZ2026" t="s">
        <v>447</v>
      </c>
      <c r="EA2026" t="s">
        <v>448</v>
      </c>
      <c r="EB2026" t="s">
        <v>19581</v>
      </c>
      <c r="EC2026">
        <v>20101217</v>
      </c>
      <c r="ED2026" t="s">
        <v>450</v>
      </c>
      <c r="EE2026">
        <v>5</v>
      </c>
      <c r="EF2026">
        <v>0</v>
      </c>
      <c r="EG2026">
        <v>0</v>
      </c>
      <c r="EI2026">
        <v>20160407</v>
      </c>
      <c r="EJ2026">
        <v>0</v>
      </c>
      <c r="EK2026">
        <v>0</v>
      </c>
      <c r="EP2026" t="s">
        <v>421</v>
      </c>
      <c r="EQ2026" t="s">
        <v>422</v>
      </c>
      <c r="ER2026">
        <v>0</v>
      </c>
      <c r="ES2026">
        <v>9</v>
      </c>
      <c r="ET2026">
        <v>0</v>
      </c>
      <c r="EU2026">
        <v>0</v>
      </c>
      <c r="EV2026">
        <v>0</v>
      </c>
      <c r="EW2026" s="2">
        <v>43222</v>
      </c>
      <c r="EX2026" s="1">
        <v>42879</v>
      </c>
      <c r="EY2026">
        <v>2016</v>
      </c>
      <c r="EZ2026">
        <v>6577.87</v>
      </c>
      <c r="FA2026" t="s">
        <v>19596</v>
      </c>
      <c r="FB2026">
        <v>0.25</v>
      </c>
      <c r="FC2026" t="s">
        <v>424</v>
      </c>
      <c r="FD2026" t="s">
        <v>425</v>
      </c>
      <c r="FE2026" s="1">
        <v>43213</v>
      </c>
      <c r="FF2026">
        <v>11</v>
      </c>
      <c r="FG2026">
        <v>11289</v>
      </c>
      <c r="FH2026" t="s">
        <v>787</v>
      </c>
      <c r="FJ2026" s="1">
        <v>42879</v>
      </c>
      <c r="FK2026">
        <v>2016</v>
      </c>
      <c r="FL2026">
        <v>6577.87</v>
      </c>
      <c r="FM2026" t="s">
        <v>19596</v>
      </c>
      <c r="FN2026">
        <v>0.25</v>
      </c>
      <c r="FO2026" t="s">
        <v>424</v>
      </c>
      <c r="FP2026" t="s">
        <v>425</v>
      </c>
      <c r="FR2026">
        <v>22</v>
      </c>
      <c r="FS2026">
        <v>7222972</v>
      </c>
      <c r="FT2026" t="s">
        <v>19597</v>
      </c>
      <c r="FV2026" s="1">
        <v>42515</v>
      </c>
      <c r="FW2026">
        <v>2015</v>
      </c>
      <c r="FX2026">
        <v>5943.29</v>
      </c>
      <c r="FY2026" t="s">
        <v>19598</v>
      </c>
      <c r="FZ2026">
        <v>0.25</v>
      </c>
      <c r="GA2026" t="s">
        <v>424</v>
      </c>
      <c r="GB2026" t="s">
        <v>425</v>
      </c>
      <c r="GC2026" s="1">
        <v>43140</v>
      </c>
      <c r="GD2026">
        <v>21</v>
      </c>
      <c r="GE2026">
        <v>5916895</v>
      </c>
      <c r="GF2026" t="s">
        <v>1390</v>
      </c>
      <c r="GH2026" s="1">
        <v>42515</v>
      </c>
      <c r="GI2026">
        <v>2015</v>
      </c>
      <c r="GJ2026">
        <v>5943.29</v>
      </c>
      <c r="GK2026" t="s">
        <v>19598</v>
      </c>
      <c r="GL2026">
        <v>0.25</v>
      </c>
      <c r="GM2026" t="s">
        <v>424</v>
      </c>
      <c r="GN2026" t="s">
        <v>425</v>
      </c>
      <c r="GP2026">
        <v>22</v>
      </c>
      <c r="GQ2026">
        <v>5819603</v>
      </c>
      <c r="GR2026" t="s">
        <v>19599</v>
      </c>
      <c r="GT2026" s="1">
        <v>42151</v>
      </c>
      <c r="GU2026">
        <v>2014</v>
      </c>
      <c r="GV2026">
        <v>5856.39</v>
      </c>
      <c r="GW2026" t="s">
        <v>19600</v>
      </c>
      <c r="GX2026">
        <v>0.25</v>
      </c>
      <c r="GY2026" t="s">
        <v>424</v>
      </c>
      <c r="GZ2026" t="s">
        <v>425</v>
      </c>
      <c r="HB2026">
        <v>22</v>
      </c>
      <c r="HC2026">
        <v>15259</v>
      </c>
      <c r="HD2026" t="s">
        <v>891</v>
      </c>
      <c r="HF2026" s="1">
        <v>42151</v>
      </c>
      <c r="HG2026">
        <v>2014</v>
      </c>
      <c r="HH2026">
        <v>5856.39</v>
      </c>
      <c r="HI2026" t="s">
        <v>19600</v>
      </c>
      <c r="HJ2026">
        <v>0.25</v>
      </c>
      <c r="HK2026" t="s">
        <v>424</v>
      </c>
      <c r="HL2026" t="s">
        <v>425</v>
      </c>
      <c r="HN2026">
        <v>22</v>
      </c>
      <c r="HO2026">
        <v>6939265</v>
      </c>
      <c r="HP2026" t="s">
        <v>19601</v>
      </c>
      <c r="HR2026" s="1">
        <v>42151</v>
      </c>
      <c r="HS2026">
        <v>2014</v>
      </c>
      <c r="HT2026">
        <v>5856.39</v>
      </c>
      <c r="HU2026" t="s">
        <v>19600</v>
      </c>
      <c r="HV2026">
        <v>0.25</v>
      </c>
      <c r="HW2026" t="s">
        <v>424</v>
      </c>
      <c r="HX2026" t="s">
        <v>425</v>
      </c>
      <c r="HY2026" s="1">
        <v>42622</v>
      </c>
      <c r="HZ2026">
        <v>16</v>
      </c>
      <c r="IA2026">
        <v>7045049</v>
      </c>
      <c r="IB2026" t="s">
        <v>1335</v>
      </c>
      <c r="ID2026" s="1">
        <v>41787</v>
      </c>
      <c r="IE2026">
        <v>2013</v>
      </c>
      <c r="IF2026">
        <v>5218.68</v>
      </c>
      <c r="IG2026" t="s">
        <v>19602</v>
      </c>
      <c r="IH2026">
        <v>0.25</v>
      </c>
      <c r="II2026" t="s">
        <v>424</v>
      </c>
      <c r="IJ2026" t="s">
        <v>425</v>
      </c>
      <c r="IK2026" s="1">
        <v>42480</v>
      </c>
      <c r="IL2026">
        <v>23</v>
      </c>
      <c r="IM2026">
        <v>2851116</v>
      </c>
      <c r="IN2026" t="s">
        <v>480</v>
      </c>
      <c r="IP2026" s="1">
        <v>41423</v>
      </c>
      <c r="IQ2026">
        <v>2012</v>
      </c>
      <c r="IR2026">
        <v>4636.88</v>
      </c>
      <c r="IS2026" t="s">
        <v>19603</v>
      </c>
      <c r="IT2026">
        <v>0.25</v>
      </c>
      <c r="IU2026" t="s">
        <v>424</v>
      </c>
      <c r="IV2026" t="s">
        <v>425</v>
      </c>
      <c r="IW2026" s="1">
        <v>41649</v>
      </c>
      <c r="IX2026">
        <v>8</v>
      </c>
      <c r="IY2026">
        <v>15398</v>
      </c>
      <c r="IZ2026" t="s">
        <v>1180</v>
      </c>
    </row>
    <row r="2027" spans="1:284" x14ac:dyDescent="0.25">
      <c r="A2027">
        <v>16487034</v>
      </c>
      <c r="B2027">
        <v>2026</v>
      </c>
      <c r="C2027" t="s">
        <v>393</v>
      </c>
      <c r="D2027" t="s">
        <v>394</v>
      </c>
      <c r="F2027" t="str">
        <f>"00-00-31-1010-0023-0000"</f>
        <v>00-00-31-1010-0023-0000</v>
      </c>
      <c r="H2027" t="str">
        <f>"NEWTON JAMES E &amp; FRANCES B &amp; NEWTON-LAPORTE CAROL E &amp; LAPORTE PIERRE (JT/RS)"</f>
        <v>NEWTON JAMES E &amp; FRANCES B &amp; NEWTON-LAPORTE CAROL E &amp; LAPORTE PIERRE (JT/RS)</v>
      </c>
      <c r="I2027" t="str">
        <f>""</f>
        <v/>
      </c>
      <c r="J2027" t="str">
        <f>"FERNANDINA BEACH FL 32034"</f>
        <v>FERNANDINA BEACH FL 32034</v>
      </c>
      <c r="K2027" t="str">
        <f>"3240 S FLETCHER AV 223"</f>
        <v>3240 S FLETCHER AV 223</v>
      </c>
      <c r="L2027" t="str">
        <f t="shared" si="758"/>
        <v>FERNANDINA BEACH FL 32034</v>
      </c>
      <c r="M2027" t="str">
        <f>"UNIT 23 IN OR 1680/442 AMELIA BY THE SEA OR 148/542"</f>
        <v>UNIT 23 IN OR 1680/442 AMELIA BY THE SEA OR 148/542</v>
      </c>
      <c r="N2027" t="str">
        <f>""</f>
        <v/>
      </c>
      <c r="O2027" t="str">
        <f>"4863"</f>
        <v>4863</v>
      </c>
      <c r="P2027" t="str">
        <f t="shared" si="749"/>
        <v>2017</v>
      </c>
      <c r="Q2027" t="str">
        <f>""</f>
        <v/>
      </c>
      <c r="R2027" t="str">
        <f>"Y"</f>
        <v>Y</v>
      </c>
      <c r="S2027" t="str">
        <f>""</f>
        <v/>
      </c>
      <c r="T2027" t="str">
        <f>"4968.26"</f>
        <v>4968.26</v>
      </c>
      <c r="U2027" t="str">
        <f>"291000.00"</f>
        <v>291000.00</v>
      </c>
      <c r="V2027" t="str">
        <f>"291000.00"</f>
        <v>291000.00</v>
      </c>
      <c r="W2027" t="str">
        <f t="shared" si="750"/>
        <v>2017</v>
      </c>
      <c r="X2027" t="str">
        <f>""</f>
        <v/>
      </c>
      <c r="Y2027" t="str">
        <f>"5149.31"</f>
        <v>5149.31</v>
      </c>
      <c r="Z2027" t="str">
        <f>"25000.00"</f>
        <v>25000.00</v>
      </c>
      <c r="AA2027" t="str">
        <f>"266000.00"</f>
        <v>266000.00</v>
      </c>
      <c r="AB2027" t="str">
        <f t="shared" si="759"/>
        <v>Residential</v>
      </c>
      <c r="AC2027" t="str">
        <f t="shared" si="762"/>
        <v>0</v>
      </c>
      <c r="AD2027" t="str">
        <f>""</f>
        <v/>
      </c>
      <c r="AE2027" t="str">
        <f>""</f>
        <v/>
      </c>
      <c r="AF2027" t="str">
        <f>"004"</f>
        <v>004</v>
      </c>
      <c r="AG2027" t="str">
        <f>"FL"</f>
        <v>FL</v>
      </c>
      <c r="AH2027" t="str">
        <f t="shared" si="764"/>
        <v>-</v>
      </c>
      <c r="AI2027" t="str">
        <f>"-"</f>
        <v>-</v>
      </c>
      <c r="AJ2027" t="str">
        <f>"C55-000-585-3719-2"</f>
        <v>C55-000-585-3719-2</v>
      </c>
      <c r="AK2027" t="str">
        <f>"42260"</f>
        <v>42260</v>
      </c>
      <c r="AL2027">
        <v>8</v>
      </c>
      <c r="AM2027">
        <v>2317</v>
      </c>
      <c r="AN2027">
        <v>5405.18</v>
      </c>
      <c r="AQ2027" t="s">
        <v>19604</v>
      </c>
      <c r="AR2027" t="s">
        <v>19604</v>
      </c>
      <c r="AS2027" t="s">
        <v>19604</v>
      </c>
      <c r="AU2027" t="s">
        <v>396</v>
      </c>
      <c r="AV2027">
        <v>2017</v>
      </c>
      <c r="AW2027" t="str">
        <f>"00-00-31-1010-0023-0000 "</f>
        <v xml:space="preserve">00-00-31-1010-0023-0000 </v>
      </c>
      <c r="AX2027">
        <v>3240</v>
      </c>
      <c r="AY2027" t="s">
        <v>18674</v>
      </c>
      <c r="AZ2027" t="s">
        <v>18248</v>
      </c>
      <c r="BA2027" t="s">
        <v>1122</v>
      </c>
      <c r="BC2027">
        <v>223</v>
      </c>
      <c r="BD2027" t="s">
        <v>11749</v>
      </c>
      <c r="BE2027" t="s">
        <v>393</v>
      </c>
      <c r="BF2027">
        <v>32034</v>
      </c>
      <c r="BG2027" t="s">
        <v>19605</v>
      </c>
      <c r="BH2027" t="s">
        <v>11751</v>
      </c>
      <c r="BI2027">
        <v>-81.439923162638905</v>
      </c>
      <c r="BJ2027">
        <v>30.620866818670901</v>
      </c>
      <c r="BK2027" t="s">
        <v>19606</v>
      </c>
      <c r="BL2027" t="s">
        <v>19607</v>
      </c>
      <c r="BM2027" t="s">
        <v>19608</v>
      </c>
      <c r="BN2027" t="s">
        <v>3983</v>
      </c>
      <c r="BO2027">
        <v>32034</v>
      </c>
      <c r="BP2027" t="s">
        <v>404</v>
      </c>
      <c r="BQ2027">
        <v>400</v>
      </c>
      <c r="BR2027" t="s">
        <v>15097</v>
      </c>
      <c r="BS2027">
        <v>1004</v>
      </c>
      <c r="BT2027" t="s">
        <v>15098</v>
      </c>
      <c r="BW2027">
        <v>201604</v>
      </c>
      <c r="BX2027" t="s">
        <v>407</v>
      </c>
      <c r="CA2027">
        <v>1973</v>
      </c>
      <c r="CC2027">
        <v>1</v>
      </c>
      <c r="CD2027">
        <v>2017</v>
      </c>
      <c r="CF2027">
        <v>291000</v>
      </c>
      <c r="CG2027">
        <v>291000</v>
      </c>
      <c r="CH2027">
        <v>2017</v>
      </c>
      <c r="CJ2027">
        <v>291000</v>
      </c>
      <c r="CK2027">
        <v>291000</v>
      </c>
      <c r="CL2027">
        <v>2017</v>
      </c>
      <c r="CM2027">
        <v>4968.26</v>
      </c>
      <c r="CN2027" s="1">
        <v>40325</v>
      </c>
      <c r="CZ2027" s="1">
        <v>40325</v>
      </c>
      <c r="DD2027" t="s">
        <v>11749</v>
      </c>
      <c r="DG2027">
        <v>6</v>
      </c>
      <c r="DI2027">
        <v>223</v>
      </c>
      <c r="DJ2027" t="s">
        <v>19578</v>
      </c>
      <c r="DL2027">
        <v>50202</v>
      </c>
      <c r="DM2027" t="s">
        <v>19579</v>
      </c>
      <c r="DO2027" t="s">
        <v>19609</v>
      </c>
      <c r="DP2027">
        <v>0</v>
      </c>
      <c r="DQ2027">
        <v>6</v>
      </c>
      <c r="DR2027" t="s">
        <v>1479</v>
      </c>
    </row>
    <row r="2028" spans="1:284" x14ac:dyDescent="0.25">
      <c r="A2028">
        <v>16487035</v>
      </c>
      <c r="B2028">
        <v>2027</v>
      </c>
      <c r="C2028" t="s">
        <v>393</v>
      </c>
      <c r="D2028" t="s">
        <v>394</v>
      </c>
      <c r="F2028" t="str">
        <f>"00-00-31-1010-0069-0000"</f>
        <v>00-00-31-1010-0069-0000</v>
      </c>
      <c r="H2028" t="str">
        <f>"W J CAPTIAL LLC"</f>
        <v>W J CAPTIAL LLC</v>
      </c>
      <c r="I2028" t="str">
        <f>"192 E CHERRY ST"</f>
        <v>192 E CHERRY ST</v>
      </c>
      <c r="J2028" t="str">
        <f>"JESUP GA 31598"</f>
        <v>JESUP GA 31598</v>
      </c>
      <c r="K2028" t="str">
        <f>"3240 S FLETCHER AV 669"</f>
        <v>3240 S FLETCHER AV 669</v>
      </c>
      <c r="L2028" t="str">
        <f t="shared" si="758"/>
        <v>FERNANDINA BEACH FL 32034</v>
      </c>
      <c r="M2028" t="str">
        <f>"UNIT 69 IN OR 2099/232 AMELIA BY THE SEA OR 148/542"</f>
        <v>UNIT 69 IN OR 2099/232 AMELIA BY THE SEA OR 148/542</v>
      </c>
      <c r="N2028" t="str">
        <f>""</f>
        <v/>
      </c>
      <c r="O2028" t="str">
        <f>"4909"</f>
        <v>4909</v>
      </c>
      <c r="P2028" t="str">
        <f t="shared" si="749"/>
        <v>2017</v>
      </c>
      <c r="Q2028" t="str">
        <f>""</f>
        <v/>
      </c>
      <c r="R2028" t="str">
        <f t="shared" ref="R2028:R2048" si="765">"N"</f>
        <v>N</v>
      </c>
      <c r="S2028" t="str">
        <f>""</f>
        <v/>
      </c>
      <c r="T2028" t="str">
        <f>"6198.45"</f>
        <v>6198.45</v>
      </c>
      <c r="U2028" t="str">
        <f>"311000.00"</f>
        <v>311000.00</v>
      </c>
      <c r="V2028" t="str">
        <f>"311000.00"</f>
        <v>311000.00</v>
      </c>
      <c r="W2028" t="str">
        <f t="shared" si="750"/>
        <v>2017</v>
      </c>
      <c r="X2028" t="str">
        <f>""</f>
        <v/>
      </c>
      <c r="Y2028" t="str">
        <f>"6416.40"</f>
        <v>6416.40</v>
      </c>
      <c r="Z2028" t="str">
        <f>""</f>
        <v/>
      </c>
      <c r="AA2028" t="str">
        <f>"311000.00"</f>
        <v>311000.00</v>
      </c>
      <c r="AB2028" t="str">
        <f t="shared" si="759"/>
        <v>Residential</v>
      </c>
      <c r="AC2028" t="str">
        <f t="shared" si="762"/>
        <v>0</v>
      </c>
      <c r="AD2028" t="str">
        <f>""</f>
        <v/>
      </c>
      <c r="AE2028" t="str">
        <f>""</f>
        <v/>
      </c>
      <c r="AF2028" t="str">
        <f>"004"</f>
        <v>004</v>
      </c>
      <c r="AG2028" t="str">
        <f>"GA"</f>
        <v>GA</v>
      </c>
      <c r="AH2028" t="str">
        <f t="shared" si="764"/>
        <v>-</v>
      </c>
      <c r="AI2028" t="str">
        <f>"-"</f>
        <v>-</v>
      </c>
      <c r="AJ2028" t="str">
        <f>"C55-000-585-3765-5"</f>
        <v>C55-000-585-3765-5</v>
      </c>
      <c r="AK2028" t="str">
        <f>"42306"</f>
        <v>42306</v>
      </c>
      <c r="AL2028">
        <v>8</v>
      </c>
      <c r="AM2028">
        <v>2318</v>
      </c>
      <c r="AN2028">
        <v>6735.62</v>
      </c>
      <c r="AQ2028" t="s">
        <v>19610</v>
      </c>
      <c r="AR2028" t="s">
        <v>19610</v>
      </c>
      <c r="AS2028" t="s">
        <v>19610</v>
      </c>
      <c r="AU2028" t="s">
        <v>396</v>
      </c>
      <c r="AV2028">
        <v>2017</v>
      </c>
      <c r="AW2028" t="str">
        <f>"00-00-31-1010-0069-0000 "</f>
        <v xml:space="preserve">00-00-31-1010-0069-0000 </v>
      </c>
      <c r="AX2028">
        <v>3240</v>
      </c>
      <c r="AY2028" t="s">
        <v>18674</v>
      </c>
      <c r="AZ2028" t="s">
        <v>18248</v>
      </c>
      <c r="BA2028" t="s">
        <v>1122</v>
      </c>
      <c r="BC2028">
        <v>669</v>
      </c>
      <c r="BD2028" t="s">
        <v>11749</v>
      </c>
      <c r="BE2028" t="s">
        <v>393</v>
      </c>
      <c r="BF2028">
        <v>32034</v>
      </c>
      <c r="BG2028" t="s">
        <v>19611</v>
      </c>
      <c r="BH2028" t="s">
        <v>11751</v>
      </c>
      <c r="BI2028">
        <v>-81.439923162638905</v>
      </c>
      <c r="BJ2028">
        <v>30.620866818670901</v>
      </c>
      <c r="BK2028" t="s">
        <v>19612</v>
      </c>
      <c r="BM2028" t="s">
        <v>19613</v>
      </c>
      <c r="BN2028" t="s">
        <v>19614</v>
      </c>
      <c r="BO2028">
        <v>31546</v>
      </c>
      <c r="BP2028" t="s">
        <v>404</v>
      </c>
      <c r="BQ2028">
        <v>400</v>
      </c>
      <c r="BR2028" t="s">
        <v>15097</v>
      </c>
      <c r="BS2028">
        <v>1004</v>
      </c>
      <c r="BT2028" t="s">
        <v>15098</v>
      </c>
      <c r="BW2028">
        <v>201604</v>
      </c>
      <c r="BX2028" t="s">
        <v>407</v>
      </c>
      <c r="CA2028">
        <v>1973</v>
      </c>
      <c r="CC2028">
        <v>1</v>
      </c>
      <c r="CD2028">
        <v>2017</v>
      </c>
      <c r="CF2028">
        <v>311000</v>
      </c>
      <c r="CG2028">
        <v>311000</v>
      </c>
      <c r="CH2028">
        <v>2017</v>
      </c>
      <c r="CJ2028">
        <v>311000</v>
      </c>
      <c r="CK2028">
        <v>311000</v>
      </c>
      <c r="CL2028">
        <v>2017</v>
      </c>
      <c r="CM2028">
        <v>6198.45</v>
      </c>
      <c r="CN2028" s="1">
        <v>38932</v>
      </c>
      <c r="CO2028">
        <v>675000</v>
      </c>
      <c r="CV2028">
        <v>681007</v>
      </c>
      <c r="CX2028" t="s">
        <v>675</v>
      </c>
      <c r="CZ2028" s="1">
        <v>38932</v>
      </c>
      <c r="DA2028">
        <v>0</v>
      </c>
      <c r="DD2028" t="s">
        <v>11749</v>
      </c>
      <c r="DG2028">
        <v>6</v>
      </c>
      <c r="DI2028">
        <v>669</v>
      </c>
      <c r="DJ2028" t="s">
        <v>19578</v>
      </c>
      <c r="DL2028">
        <v>50202</v>
      </c>
      <c r="DM2028" t="s">
        <v>19579</v>
      </c>
      <c r="DO2028" t="s">
        <v>19615</v>
      </c>
      <c r="DP2028">
        <v>0</v>
      </c>
      <c r="DQ2028">
        <v>6</v>
      </c>
      <c r="DR2028" t="s">
        <v>1479</v>
      </c>
      <c r="DS2028" t="b">
        <v>1</v>
      </c>
      <c r="DT2028" t="s">
        <v>15881</v>
      </c>
      <c r="DV2028" t="s">
        <v>446</v>
      </c>
      <c r="DX2028">
        <v>11</v>
      </c>
      <c r="DY2028" t="s">
        <v>11438</v>
      </c>
      <c r="DZ2028" t="s">
        <v>447</v>
      </c>
      <c r="EA2028" t="s">
        <v>448</v>
      </c>
      <c r="EB2028" t="s">
        <v>19581</v>
      </c>
      <c r="EC2028">
        <v>20101217</v>
      </c>
      <c r="ED2028" t="s">
        <v>450</v>
      </c>
      <c r="EE2028">
        <v>5</v>
      </c>
      <c r="EF2028">
        <v>0</v>
      </c>
      <c r="EG2028">
        <v>0</v>
      </c>
      <c r="EI2028">
        <v>20160407</v>
      </c>
      <c r="EJ2028">
        <v>0</v>
      </c>
      <c r="EK2028">
        <v>0</v>
      </c>
    </row>
    <row r="2029" spans="1:284" x14ac:dyDescent="0.25">
      <c r="A2029">
        <v>16487036</v>
      </c>
      <c r="B2029">
        <v>2028</v>
      </c>
      <c r="C2029" t="s">
        <v>393</v>
      </c>
      <c r="D2029" t="s">
        <v>394</v>
      </c>
      <c r="F2029" t="str">
        <f>"00-00-31-1015-0010-0000"</f>
        <v>00-00-31-1015-0010-0000</v>
      </c>
      <c r="H2029" t="str">
        <f>"CAPPS INVESTMENT HOLDINGS LLC"</f>
        <v>CAPPS INVESTMENT HOLDINGS LLC</v>
      </c>
      <c r="I2029" t="str">
        <f>"2383 SHANNON ROAD"</f>
        <v>2383 SHANNON ROAD</v>
      </c>
      <c r="J2029" t="str">
        <f>"FERNANDINA BEACH FL 32034"</f>
        <v>FERNANDINA BEACH FL 32034</v>
      </c>
      <c r="K2029" t="str">
        <f>"2383 SHANNON RD"</f>
        <v>2383 SHANNON RD</v>
      </c>
      <c r="L2029" t="str">
        <f t="shared" si="758"/>
        <v>FERNANDINA BEACH FL 32034</v>
      </c>
      <c r="M2029" t="str">
        <f>"LOT 10 (EX S 25 FT) IN OR 1756/1894 AMELIA ISLAND INDUSTRIAL PARK 1 PBK 4/67"</f>
        <v>LOT 10 (EX S 25 FT) IN OR 1756/1894 AMELIA ISLAND INDUSTRIAL PARK 1 PBK 4/67</v>
      </c>
      <c r="N2029" t="str">
        <f>""</f>
        <v/>
      </c>
      <c r="O2029" t="str">
        <f>"4940"</f>
        <v>4940</v>
      </c>
      <c r="P2029" t="str">
        <f t="shared" si="749"/>
        <v>2017</v>
      </c>
      <c r="Q2029" t="str">
        <f>""</f>
        <v/>
      </c>
      <c r="R2029" t="str">
        <f t="shared" si="765"/>
        <v>N</v>
      </c>
      <c r="S2029" t="str">
        <f>""</f>
        <v/>
      </c>
      <c r="T2029" t="str">
        <f>"10330.57"</f>
        <v>10330.57</v>
      </c>
      <c r="U2029" t="str">
        <f>"518325.00"</f>
        <v>518325.00</v>
      </c>
      <c r="V2029" t="str">
        <f>"518325.00"</f>
        <v>518325.00</v>
      </c>
      <c r="W2029" t="str">
        <f t="shared" si="750"/>
        <v>2017</v>
      </c>
      <c r="X2029" t="str">
        <f>"10.17"</f>
        <v>10.17</v>
      </c>
      <c r="Y2029" t="str">
        <f>"10672.49"</f>
        <v>10672.49</v>
      </c>
      <c r="Z2029" t="str">
        <f>""</f>
        <v/>
      </c>
      <c r="AA2029" t="str">
        <f>"518325.00"</f>
        <v>518325.00</v>
      </c>
      <c r="AB2029" t="str">
        <f>"Industrial"</f>
        <v>Industrial</v>
      </c>
      <c r="AC2029" t="str">
        <f t="shared" si="762"/>
        <v>0</v>
      </c>
      <c r="AD2029" t="str">
        <f>"5"</f>
        <v>5</v>
      </c>
      <c r="AE2029" t="str">
        <f>"STEEL FRAME/INCOMBUSTIBLE WALLS/ROOF"</f>
        <v>STEEL FRAME/INCOMBUSTIBLE WALLS/ROOF</v>
      </c>
      <c r="AF2029" t="str">
        <f>"041"</f>
        <v>041</v>
      </c>
      <c r="AG2029" t="str">
        <f t="shared" ref="AG2029:AG2044" si="766">"FL"</f>
        <v>FL</v>
      </c>
      <c r="AH2029" t="str">
        <f t="shared" si="764"/>
        <v>-</v>
      </c>
      <c r="AI2029" t="str">
        <f>"250000.00"</f>
        <v>250000.00</v>
      </c>
      <c r="AJ2029" t="str">
        <f>"C55-000-585-3796-0"</f>
        <v>C55-000-585-3796-0</v>
      </c>
      <c r="AK2029" t="str">
        <f>"42334"</f>
        <v>42334</v>
      </c>
      <c r="AL2029">
        <v>8</v>
      </c>
      <c r="AM2029">
        <v>2323</v>
      </c>
      <c r="AN2029">
        <v>11204.51</v>
      </c>
      <c r="AQ2029" t="s">
        <v>19616</v>
      </c>
      <c r="AR2029" t="s">
        <v>19616</v>
      </c>
      <c r="AS2029" t="s">
        <v>19616</v>
      </c>
      <c r="AU2029" t="s">
        <v>396</v>
      </c>
      <c r="AV2029">
        <v>2017</v>
      </c>
      <c r="AW2029" t="str">
        <f>"00-00-31-1015-0010-0000 "</f>
        <v xml:space="preserve">00-00-31-1015-0010-0000 </v>
      </c>
      <c r="AX2029">
        <v>2383</v>
      </c>
      <c r="AZ2029" t="s">
        <v>19617</v>
      </c>
      <c r="BA2029" t="s">
        <v>496</v>
      </c>
      <c r="BD2029" t="s">
        <v>11749</v>
      </c>
      <c r="BE2029" t="s">
        <v>393</v>
      </c>
      <c r="BF2029">
        <v>32034</v>
      </c>
      <c r="BG2029" t="s">
        <v>19618</v>
      </c>
      <c r="BH2029" t="s">
        <v>11751</v>
      </c>
      <c r="BI2029">
        <v>-81.453865604246801</v>
      </c>
      <c r="BJ2029">
        <v>30.607871432341</v>
      </c>
      <c r="BK2029" t="s">
        <v>19619</v>
      </c>
      <c r="BM2029" t="s">
        <v>19618</v>
      </c>
      <c r="BN2029" t="s">
        <v>3983</v>
      </c>
      <c r="BO2029">
        <v>32034</v>
      </c>
      <c r="BP2029" t="s">
        <v>404</v>
      </c>
      <c r="BQ2029">
        <v>4100</v>
      </c>
      <c r="BR2029" t="s">
        <v>4242</v>
      </c>
      <c r="BS2029">
        <v>5001</v>
      </c>
      <c r="BT2029" t="s">
        <v>4243</v>
      </c>
      <c r="BW2029">
        <v>40833</v>
      </c>
      <c r="BX2029" t="s">
        <v>407</v>
      </c>
      <c r="BZ2029">
        <v>5</v>
      </c>
      <c r="CA2029">
        <v>1978</v>
      </c>
      <c r="CB2029">
        <v>1</v>
      </c>
      <c r="CD2029">
        <v>2017</v>
      </c>
      <c r="CE2029">
        <v>250000</v>
      </c>
      <c r="CF2029">
        <v>268325</v>
      </c>
      <c r="CG2029">
        <v>518325</v>
      </c>
      <c r="CH2029">
        <v>2017</v>
      </c>
      <c r="CI2029">
        <v>250000</v>
      </c>
      <c r="CJ2029">
        <v>268325</v>
      </c>
      <c r="CK2029">
        <v>518325</v>
      </c>
      <c r="CL2029">
        <v>2017</v>
      </c>
      <c r="CM2029">
        <v>10330.57</v>
      </c>
      <c r="CN2029" s="1">
        <v>40809</v>
      </c>
      <c r="CO2029">
        <v>682500</v>
      </c>
      <c r="CV2029">
        <v>380000</v>
      </c>
      <c r="CX2029" t="s">
        <v>3031</v>
      </c>
      <c r="CZ2029" s="1">
        <v>40809</v>
      </c>
      <c r="DA2029">
        <v>0</v>
      </c>
      <c r="DD2029" t="s">
        <v>11749</v>
      </c>
      <c r="DF2029">
        <v>10</v>
      </c>
      <c r="DG2029">
        <v>11</v>
      </c>
      <c r="DJ2029" t="s">
        <v>19620</v>
      </c>
      <c r="DL2029">
        <v>50203</v>
      </c>
      <c r="DM2029" t="s">
        <v>19532</v>
      </c>
      <c r="DO2029" t="s">
        <v>19621</v>
      </c>
      <c r="DP2029">
        <v>1</v>
      </c>
      <c r="DQ2029">
        <v>3</v>
      </c>
      <c r="DR2029" t="s">
        <v>1174</v>
      </c>
      <c r="DS2029" t="b">
        <v>1</v>
      </c>
      <c r="DT2029" t="s">
        <v>470</v>
      </c>
      <c r="DU2029" t="s">
        <v>471</v>
      </c>
      <c r="DV2029" t="s">
        <v>472</v>
      </c>
      <c r="DX2029">
        <v>-9999</v>
      </c>
      <c r="DZ2029" t="s">
        <v>447</v>
      </c>
      <c r="EA2029" t="s">
        <v>448</v>
      </c>
      <c r="EB2029" t="s">
        <v>14787</v>
      </c>
      <c r="EC2029">
        <v>20101217</v>
      </c>
      <c r="ED2029" t="s">
        <v>474</v>
      </c>
      <c r="EF2029">
        <v>2448</v>
      </c>
      <c r="EG2029">
        <v>861.9</v>
      </c>
      <c r="EI2029">
        <v>20160407</v>
      </c>
      <c r="EJ2029">
        <v>0</v>
      </c>
      <c r="EK2029">
        <v>0</v>
      </c>
      <c r="EP2029" t="s">
        <v>421</v>
      </c>
      <c r="EQ2029" t="s">
        <v>422</v>
      </c>
      <c r="ER2029">
        <v>2</v>
      </c>
      <c r="ES2029">
        <v>6</v>
      </c>
      <c r="ET2029">
        <v>23070.16</v>
      </c>
      <c r="EU2029">
        <v>1166.01</v>
      </c>
      <c r="EV2029">
        <v>24236.17</v>
      </c>
      <c r="EW2029" s="2">
        <v>43222</v>
      </c>
      <c r="EX2029" s="1">
        <v>42879</v>
      </c>
      <c r="EY2029">
        <v>2016</v>
      </c>
      <c r="EZ2029">
        <v>11535.08</v>
      </c>
      <c r="FA2029" t="s">
        <v>19622</v>
      </c>
      <c r="FB2029">
        <v>0.25</v>
      </c>
      <c r="FC2029" t="s">
        <v>424</v>
      </c>
      <c r="FD2029" t="s">
        <v>454</v>
      </c>
      <c r="FF2029">
        <v>12</v>
      </c>
      <c r="FG2029">
        <v>7336671</v>
      </c>
      <c r="FH2029" t="s">
        <v>437</v>
      </c>
      <c r="FJ2029" s="1">
        <v>42879</v>
      </c>
      <c r="FK2029">
        <v>2016</v>
      </c>
      <c r="FL2029">
        <v>11535.08</v>
      </c>
      <c r="FM2029" t="s">
        <v>19622</v>
      </c>
      <c r="FN2029">
        <v>0.25</v>
      </c>
      <c r="FO2029" t="s">
        <v>424</v>
      </c>
      <c r="FP2029" t="s">
        <v>454</v>
      </c>
      <c r="FR2029">
        <v>12</v>
      </c>
      <c r="FS2029">
        <v>5114566</v>
      </c>
      <c r="FT2029" t="s">
        <v>19623</v>
      </c>
      <c r="FV2029" s="1">
        <v>42515</v>
      </c>
      <c r="FW2029">
        <v>2015</v>
      </c>
      <c r="FX2029">
        <v>11840.23</v>
      </c>
      <c r="FY2029" t="s">
        <v>19624</v>
      </c>
      <c r="FZ2029">
        <v>0.25</v>
      </c>
      <c r="GA2029" t="s">
        <v>424</v>
      </c>
      <c r="GB2029" t="s">
        <v>425</v>
      </c>
      <c r="GC2029" s="1">
        <v>42928</v>
      </c>
      <c r="GD2029">
        <v>14</v>
      </c>
      <c r="GE2029">
        <v>2851116</v>
      </c>
      <c r="GF2029" t="s">
        <v>480</v>
      </c>
      <c r="GH2029" s="1">
        <v>42515</v>
      </c>
      <c r="GI2029">
        <v>2015</v>
      </c>
      <c r="GJ2029">
        <v>11840.23</v>
      </c>
      <c r="GK2029" t="s">
        <v>19624</v>
      </c>
      <c r="GL2029">
        <v>0.25</v>
      </c>
      <c r="GM2029" t="s">
        <v>424</v>
      </c>
      <c r="GN2029" t="s">
        <v>425</v>
      </c>
      <c r="GP2029">
        <v>22</v>
      </c>
      <c r="GQ2029">
        <v>5738436</v>
      </c>
      <c r="GR2029" t="s">
        <v>19625</v>
      </c>
      <c r="GT2029" s="1">
        <v>42151</v>
      </c>
      <c r="GU2029">
        <v>2014</v>
      </c>
      <c r="GV2029">
        <v>11564.02</v>
      </c>
      <c r="GW2029" t="s">
        <v>19626</v>
      </c>
      <c r="GX2029">
        <v>0.25</v>
      </c>
      <c r="GY2029" t="s">
        <v>424</v>
      </c>
      <c r="GZ2029" t="s">
        <v>425</v>
      </c>
      <c r="HA2029" s="1">
        <v>42247</v>
      </c>
      <c r="HB2029">
        <v>3</v>
      </c>
      <c r="HC2029">
        <v>2101382</v>
      </c>
      <c r="HD2029" t="s">
        <v>993</v>
      </c>
      <c r="HF2029" s="1">
        <v>42151</v>
      </c>
      <c r="HG2029">
        <v>2014</v>
      </c>
      <c r="HH2029">
        <v>11564.02</v>
      </c>
      <c r="HI2029" t="s">
        <v>19626</v>
      </c>
      <c r="HJ2029">
        <v>0.25</v>
      </c>
      <c r="HK2029" t="s">
        <v>424</v>
      </c>
      <c r="HL2029" t="s">
        <v>425</v>
      </c>
      <c r="HN2029">
        <v>22</v>
      </c>
      <c r="HO2029">
        <v>5488258</v>
      </c>
      <c r="HP2029" t="s">
        <v>19627</v>
      </c>
      <c r="HR2029" s="1">
        <v>41787</v>
      </c>
      <c r="HS2029">
        <v>2013</v>
      </c>
      <c r="HT2029">
        <v>11104.12</v>
      </c>
      <c r="HU2029" t="s">
        <v>19628</v>
      </c>
      <c r="HV2029">
        <v>0.25</v>
      </c>
      <c r="HW2029" t="s">
        <v>424</v>
      </c>
      <c r="HX2029" t="s">
        <v>425</v>
      </c>
      <c r="HY2029" s="1">
        <v>41848</v>
      </c>
      <c r="HZ2029">
        <v>2</v>
      </c>
      <c r="IA2029">
        <v>2101382</v>
      </c>
      <c r="IB2029" t="s">
        <v>993</v>
      </c>
      <c r="ID2029" s="1">
        <v>40688</v>
      </c>
      <c r="IE2029">
        <v>2010</v>
      </c>
      <c r="IF2029">
        <v>9311.43</v>
      </c>
      <c r="IG2029" t="s">
        <v>19629</v>
      </c>
      <c r="IH2029">
        <v>5</v>
      </c>
      <c r="II2029" t="s">
        <v>424</v>
      </c>
      <c r="IJ2029" t="s">
        <v>425</v>
      </c>
      <c r="IK2029" s="1">
        <v>40812</v>
      </c>
      <c r="IL2029">
        <v>4</v>
      </c>
      <c r="IM2029">
        <v>10579</v>
      </c>
      <c r="IN2029" t="s">
        <v>488</v>
      </c>
    </row>
    <row r="2030" spans="1:284" x14ac:dyDescent="0.25">
      <c r="A2030">
        <v>16487037</v>
      </c>
      <c r="B2030">
        <v>2029</v>
      </c>
      <c r="C2030" t="s">
        <v>393</v>
      </c>
      <c r="D2030" t="s">
        <v>394</v>
      </c>
      <c r="F2030" t="str">
        <f>"00-00-31-1017-0019-0000"</f>
        <v>00-00-31-1017-0019-0000</v>
      </c>
      <c r="H2030" t="str">
        <f>"OCONNER JAMES PRATT &amp; OCONNER JAMES MITCHELL &amp; MOONEY TRACY OCONNER"</f>
        <v>OCONNER JAMES PRATT &amp; OCONNER JAMES MITCHELL &amp; MOONEY TRACY OCONNER</v>
      </c>
      <c r="I2030" t="str">
        <f>""</f>
        <v/>
      </c>
      <c r="J2030" t="str">
        <f>"FERNANDINA BEACH FL 32035"</f>
        <v>FERNANDINA BEACH FL 32035</v>
      </c>
      <c r="K2030" t="str">
        <f>"2432 LYNNDALE RD"</f>
        <v>2432 LYNNDALE RD</v>
      </c>
      <c r="L2030" t="str">
        <f t="shared" si="758"/>
        <v>FERNANDINA BEACH FL 32034</v>
      </c>
      <c r="M2030" t="str">
        <f>"LOT 19 IN OR 1399/1558 AMELIA ISLAND INDUSTRIAL PARK SEC 3 PB 5/59"</f>
        <v>LOT 19 IN OR 1399/1558 AMELIA ISLAND INDUSTRIAL PARK SEC 3 PB 5/59</v>
      </c>
      <c r="N2030" t="str">
        <f>""</f>
        <v/>
      </c>
      <c r="O2030" t="str">
        <f>"4951"</f>
        <v>4951</v>
      </c>
      <c r="P2030" t="str">
        <f t="shared" si="749"/>
        <v>2017</v>
      </c>
      <c r="Q2030" t="str">
        <f>""</f>
        <v/>
      </c>
      <c r="R2030" t="str">
        <f t="shared" si="765"/>
        <v>N</v>
      </c>
      <c r="S2030" t="str">
        <f>""</f>
        <v/>
      </c>
      <c r="T2030" t="str">
        <f>"4922.50"</f>
        <v>4922.50</v>
      </c>
      <c r="U2030" t="str">
        <f>"246981.00"</f>
        <v>246981.00</v>
      </c>
      <c r="V2030" t="str">
        <f>"246981.00"</f>
        <v>246981.00</v>
      </c>
      <c r="W2030" t="str">
        <f t="shared" si="750"/>
        <v>2017</v>
      </c>
      <c r="X2030" t="str">
        <f>"11.88"</f>
        <v>11.88</v>
      </c>
      <c r="Y2030" t="str">
        <f>"5102.18"</f>
        <v>5102.18</v>
      </c>
      <c r="Z2030" t="str">
        <f>""</f>
        <v/>
      </c>
      <c r="AA2030" t="str">
        <f>"246981.00"</f>
        <v>246981.00</v>
      </c>
      <c r="AB2030" t="str">
        <f>"Industrial"</f>
        <v>Industrial</v>
      </c>
      <c r="AC2030" t="str">
        <f t="shared" si="762"/>
        <v>0</v>
      </c>
      <c r="AD2030" t="str">
        <f>"5"</f>
        <v>5</v>
      </c>
      <c r="AE2030" t="str">
        <f>"STEEL FRAME/INCOMBUSTIBLE WALLS/ROOF"</f>
        <v>STEEL FRAME/INCOMBUSTIBLE WALLS/ROOF</v>
      </c>
      <c r="AF2030" t="str">
        <f>"048"</f>
        <v>048</v>
      </c>
      <c r="AG2030" t="str">
        <f t="shared" si="766"/>
        <v>FL</v>
      </c>
      <c r="AH2030" t="str">
        <f>"13125.00"</f>
        <v>13125.00</v>
      </c>
      <c r="AI2030" t="str">
        <f>"165000.00"</f>
        <v>165000.00</v>
      </c>
      <c r="AJ2030" t="str">
        <f>"C55-000-585-3805-9"</f>
        <v>C55-000-585-3805-9</v>
      </c>
      <c r="AK2030" t="str">
        <f>"42342"</f>
        <v>42342</v>
      </c>
      <c r="AL2030">
        <v>8</v>
      </c>
      <c r="AM2030">
        <v>2324</v>
      </c>
      <c r="AN2030">
        <v>5355.69</v>
      </c>
      <c r="AQ2030" t="s">
        <v>19630</v>
      </c>
      <c r="AR2030" t="s">
        <v>19630</v>
      </c>
      <c r="AS2030" t="s">
        <v>19630</v>
      </c>
      <c r="AU2030" t="s">
        <v>396</v>
      </c>
      <c r="AV2030">
        <v>2017</v>
      </c>
      <c r="AW2030" t="str">
        <f>"00-00-31-1017-0019-0000 "</f>
        <v xml:space="preserve">00-00-31-1017-0019-0000 </v>
      </c>
      <c r="AX2030">
        <v>2432</v>
      </c>
      <c r="AZ2030" t="s">
        <v>19631</v>
      </c>
      <c r="BA2030" t="s">
        <v>496</v>
      </c>
      <c r="BD2030" t="s">
        <v>11749</v>
      </c>
      <c r="BE2030" t="s">
        <v>393</v>
      </c>
      <c r="BF2030">
        <v>32034</v>
      </c>
      <c r="BG2030" t="s">
        <v>19632</v>
      </c>
      <c r="BH2030" t="s">
        <v>11751</v>
      </c>
      <c r="BI2030">
        <v>-81.454799693735595</v>
      </c>
      <c r="BJ2030">
        <v>30.610902189762498</v>
      </c>
      <c r="BK2030" t="s">
        <v>19248</v>
      </c>
      <c r="BL2030" t="s">
        <v>19249</v>
      </c>
      <c r="BM2030" t="s">
        <v>19250</v>
      </c>
      <c r="BN2030" t="s">
        <v>3983</v>
      </c>
      <c r="BO2030">
        <v>32035</v>
      </c>
      <c r="BP2030" t="s">
        <v>404</v>
      </c>
      <c r="BQ2030">
        <v>4800</v>
      </c>
      <c r="BR2030" t="s">
        <v>4463</v>
      </c>
      <c r="BS2030">
        <v>6002</v>
      </c>
      <c r="BT2030" t="s">
        <v>4464</v>
      </c>
      <c r="BW2030">
        <v>13133</v>
      </c>
      <c r="BX2030" t="s">
        <v>407</v>
      </c>
      <c r="BY2030" t="s">
        <v>19633</v>
      </c>
      <c r="BZ2030">
        <v>5</v>
      </c>
      <c r="CA2030">
        <v>1998</v>
      </c>
      <c r="CB2030">
        <v>1</v>
      </c>
      <c r="CD2030">
        <v>2017</v>
      </c>
      <c r="CE2030">
        <v>165000</v>
      </c>
      <c r="CF2030">
        <v>81981</v>
      </c>
      <c r="CG2030">
        <v>246981</v>
      </c>
      <c r="CH2030">
        <v>2017</v>
      </c>
      <c r="CI2030">
        <v>165000</v>
      </c>
      <c r="CJ2030">
        <v>81981</v>
      </c>
      <c r="CK2030">
        <v>246981</v>
      </c>
      <c r="CL2030">
        <v>2017</v>
      </c>
      <c r="CM2030">
        <v>4922.5</v>
      </c>
      <c r="CN2030" s="1">
        <v>38805</v>
      </c>
      <c r="CZ2030" s="1">
        <v>38805</v>
      </c>
      <c r="DD2030" t="s">
        <v>11749</v>
      </c>
      <c r="DF2030">
        <v>19</v>
      </c>
      <c r="DG2030">
        <v>7</v>
      </c>
      <c r="DJ2030" t="s">
        <v>19620</v>
      </c>
      <c r="DL2030">
        <v>50203</v>
      </c>
      <c r="DM2030" t="s">
        <v>19634</v>
      </c>
      <c r="DO2030" t="s">
        <v>19635</v>
      </c>
      <c r="DP2030">
        <v>0</v>
      </c>
      <c r="DQ2030">
        <v>2</v>
      </c>
      <c r="DR2030" t="s">
        <v>1174</v>
      </c>
      <c r="DS2030" t="b">
        <v>1</v>
      </c>
      <c r="DT2030" t="s">
        <v>470</v>
      </c>
      <c r="DU2030" t="s">
        <v>471</v>
      </c>
      <c r="DV2030" t="s">
        <v>472</v>
      </c>
      <c r="DX2030">
        <v>-9999</v>
      </c>
      <c r="DZ2030" t="s">
        <v>447</v>
      </c>
      <c r="EA2030" t="s">
        <v>448</v>
      </c>
      <c r="EB2030" t="s">
        <v>14787</v>
      </c>
      <c r="EC2030">
        <v>20101217</v>
      </c>
      <c r="ED2030" t="s">
        <v>474</v>
      </c>
      <c r="EF2030">
        <v>2208.4</v>
      </c>
      <c r="EG2030">
        <v>1688.6</v>
      </c>
      <c r="EI2030">
        <v>20160407</v>
      </c>
      <c r="EJ2030">
        <v>0</v>
      </c>
      <c r="EK2030">
        <v>0</v>
      </c>
      <c r="EP2030" t="s">
        <v>421</v>
      </c>
      <c r="EQ2030" t="s">
        <v>422</v>
      </c>
      <c r="ER2030">
        <v>2</v>
      </c>
      <c r="ES2030">
        <v>9</v>
      </c>
      <c r="ET2030">
        <v>10915.64</v>
      </c>
      <c r="EU2030">
        <v>558.28</v>
      </c>
      <c r="EV2030">
        <v>11473.92</v>
      </c>
      <c r="EW2030" s="2">
        <v>43222</v>
      </c>
      <c r="EX2030" s="1">
        <v>42879</v>
      </c>
      <c r="EY2030">
        <v>2016</v>
      </c>
      <c r="EZ2030">
        <v>5457.82</v>
      </c>
      <c r="FA2030" t="s">
        <v>19636</v>
      </c>
      <c r="FB2030">
        <v>0.25</v>
      </c>
      <c r="FC2030" t="s">
        <v>424</v>
      </c>
      <c r="FD2030" t="s">
        <v>454</v>
      </c>
      <c r="FF2030">
        <v>12</v>
      </c>
      <c r="FG2030">
        <v>7336671</v>
      </c>
      <c r="FH2030" t="s">
        <v>437</v>
      </c>
      <c r="FJ2030" s="1">
        <v>42879</v>
      </c>
      <c r="FK2030">
        <v>2016</v>
      </c>
      <c r="FL2030">
        <v>5457.82</v>
      </c>
      <c r="FM2030" t="s">
        <v>19636</v>
      </c>
      <c r="FN2030">
        <v>0.25</v>
      </c>
      <c r="FO2030" t="s">
        <v>424</v>
      </c>
      <c r="FP2030" t="s">
        <v>454</v>
      </c>
      <c r="FR2030">
        <v>12</v>
      </c>
      <c r="FS2030">
        <v>5174761</v>
      </c>
      <c r="FT2030" t="s">
        <v>19637</v>
      </c>
      <c r="FV2030" s="1">
        <v>42515</v>
      </c>
      <c r="FW2030">
        <v>2015</v>
      </c>
      <c r="FX2030">
        <v>5457.28</v>
      </c>
      <c r="FY2030" t="s">
        <v>19638</v>
      </c>
      <c r="FZ2030">
        <v>0.25</v>
      </c>
      <c r="GA2030" t="s">
        <v>424</v>
      </c>
      <c r="GB2030" t="s">
        <v>425</v>
      </c>
      <c r="GC2030" s="1">
        <v>42881</v>
      </c>
      <c r="GD2030">
        <v>12</v>
      </c>
      <c r="GE2030">
        <v>5894185</v>
      </c>
      <c r="GF2030" t="s">
        <v>7135</v>
      </c>
      <c r="GH2030" s="1">
        <v>42515</v>
      </c>
      <c r="GI2030">
        <v>2015</v>
      </c>
      <c r="GJ2030">
        <v>5457.28</v>
      </c>
      <c r="GK2030" t="s">
        <v>19638</v>
      </c>
      <c r="GL2030">
        <v>0.25</v>
      </c>
      <c r="GM2030" t="s">
        <v>424</v>
      </c>
      <c r="GN2030" t="s">
        <v>425</v>
      </c>
      <c r="GP2030">
        <v>22</v>
      </c>
      <c r="GQ2030">
        <v>5860319</v>
      </c>
      <c r="GR2030" t="s">
        <v>19639</v>
      </c>
      <c r="GT2030" s="1">
        <v>42151</v>
      </c>
      <c r="GU2030">
        <v>2014</v>
      </c>
      <c r="GV2030">
        <v>4940.8</v>
      </c>
      <c r="GW2030" t="s">
        <v>19640</v>
      </c>
      <c r="GX2030">
        <v>0.25</v>
      </c>
      <c r="GY2030" t="s">
        <v>424</v>
      </c>
      <c r="GZ2030" t="s">
        <v>425</v>
      </c>
      <c r="HA2030" s="1">
        <v>42342</v>
      </c>
      <c r="HB2030">
        <v>7</v>
      </c>
      <c r="HC2030">
        <v>11289</v>
      </c>
      <c r="HD2030" t="s">
        <v>787</v>
      </c>
      <c r="HF2030" s="1">
        <v>42151</v>
      </c>
      <c r="HG2030">
        <v>2014</v>
      </c>
      <c r="HH2030">
        <v>4940.8</v>
      </c>
      <c r="HI2030" t="s">
        <v>19640</v>
      </c>
      <c r="HJ2030">
        <v>0.25</v>
      </c>
      <c r="HK2030" t="s">
        <v>424</v>
      </c>
      <c r="HL2030" t="s">
        <v>425</v>
      </c>
      <c r="HN2030">
        <v>22</v>
      </c>
      <c r="HO2030">
        <v>5105675</v>
      </c>
      <c r="HP2030" t="s">
        <v>19641</v>
      </c>
      <c r="HR2030" s="1">
        <v>41787</v>
      </c>
      <c r="HS2030">
        <v>2013</v>
      </c>
      <c r="HT2030">
        <v>4786.6899999999996</v>
      </c>
      <c r="HU2030" t="s">
        <v>19642</v>
      </c>
      <c r="HV2030">
        <v>0.25</v>
      </c>
      <c r="HW2030" t="s">
        <v>424</v>
      </c>
      <c r="HX2030" t="s">
        <v>425</v>
      </c>
      <c r="HY2030" s="1">
        <v>42342</v>
      </c>
      <c r="HZ2030">
        <v>19</v>
      </c>
      <c r="IA2030">
        <v>2851116</v>
      </c>
      <c r="IB2030" t="s">
        <v>480</v>
      </c>
      <c r="ID2030" s="1">
        <v>41423</v>
      </c>
      <c r="IE2030">
        <v>2012</v>
      </c>
      <c r="IF2030">
        <v>4795.7</v>
      </c>
      <c r="IG2030" t="s">
        <v>19643</v>
      </c>
      <c r="IH2030">
        <v>0.25</v>
      </c>
      <c r="II2030" t="s">
        <v>424</v>
      </c>
      <c r="IJ2030" t="s">
        <v>425</v>
      </c>
      <c r="IK2030" s="1">
        <v>41550</v>
      </c>
      <c r="IL2030">
        <v>5</v>
      </c>
      <c r="IM2030">
        <v>606981</v>
      </c>
      <c r="IN2030" t="s">
        <v>792</v>
      </c>
      <c r="IP2030" s="1">
        <v>41052</v>
      </c>
      <c r="IQ2030">
        <v>2011</v>
      </c>
      <c r="IR2030">
        <v>4553.3999999999996</v>
      </c>
      <c r="IS2030" t="s">
        <v>19644</v>
      </c>
      <c r="IT2030">
        <v>4</v>
      </c>
      <c r="IU2030" t="s">
        <v>424</v>
      </c>
      <c r="IV2030" t="s">
        <v>425</v>
      </c>
      <c r="IW2030" s="1">
        <v>41550</v>
      </c>
      <c r="IX2030">
        <v>17</v>
      </c>
      <c r="IY2030">
        <v>13104</v>
      </c>
      <c r="IZ2030" t="s">
        <v>888</v>
      </c>
      <c r="JB2030" s="1">
        <v>41052</v>
      </c>
      <c r="JC2030">
        <v>2011</v>
      </c>
      <c r="JD2030">
        <v>4553.3999999999996</v>
      </c>
      <c r="JE2030" t="s">
        <v>19644</v>
      </c>
      <c r="JF2030">
        <v>4</v>
      </c>
      <c r="JG2030" t="s">
        <v>424</v>
      </c>
      <c r="JH2030" t="s">
        <v>425</v>
      </c>
      <c r="JJ2030">
        <v>22</v>
      </c>
      <c r="JK2030">
        <v>13681</v>
      </c>
      <c r="JL2030" t="s">
        <v>977</v>
      </c>
      <c r="JN2030" s="1">
        <v>40688</v>
      </c>
      <c r="JO2030">
        <v>2010</v>
      </c>
      <c r="JP2030">
        <v>4328.42</v>
      </c>
      <c r="JQ2030" t="s">
        <v>19645</v>
      </c>
      <c r="JR2030">
        <v>5</v>
      </c>
      <c r="JS2030" t="s">
        <v>424</v>
      </c>
      <c r="JT2030" t="s">
        <v>425</v>
      </c>
      <c r="JU2030" s="1">
        <v>41388</v>
      </c>
      <c r="JV2030">
        <v>23</v>
      </c>
      <c r="JW2030">
        <v>11177</v>
      </c>
      <c r="JX2030" t="s">
        <v>650</v>
      </c>
    </row>
    <row r="2031" spans="1:284" x14ac:dyDescent="0.25">
      <c r="A2031">
        <v>16487038</v>
      </c>
      <c r="B2031">
        <v>2030</v>
      </c>
      <c r="C2031" t="s">
        <v>393</v>
      </c>
      <c r="D2031" t="s">
        <v>394</v>
      </c>
      <c r="F2031" t="str">
        <f>"00-00-31-1017-0023-0000"</f>
        <v>00-00-31-1017-0023-0000</v>
      </c>
      <c r="H2031" t="str">
        <f>"PEMBROKE PINES INVESTORS LLC"</f>
        <v>PEMBROKE PINES INVESTORS LLC</v>
      </c>
      <c r="I2031" t="str">
        <f>"1700 EMBASSY DRIVE APT 306"</f>
        <v>1700 EMBASSY DRIVE APT 306</v>
      </c>
      <c r="J2031" t="str">
        <f>"WEST PALM BEACH FL 33401"</f>
        <v>WEST PALM BEACH FL 33401</v>
      </c>
      <c r="K2031" t="str">
        <f>"2416 LYNNDALE RD"</f>
        <v>2416 LYNNDALE RD</v>
      </c>
      <c r="L2031" t="str">
        <f t="shared" si="758"/>
        <v>FERNANDINA BEACH FL 32034</v>
      </c>
      <c r="M2031" t="str">
        <f>"LOTS 23 &amp; 24 IN OR 2141/1717 AMELIA ISLAND INDUSTRIAL PARK 3 PBK 5/59"</f>
        <v>LOTS 23 &amp; 24 IN OR 2141/1717 AMELIA ISLAND INDUSTRIAL PARK 3 PBK 5/59</v>
      </c>
      <c r="N2031" t="str">
        <f>""</f>
        <v/>
      </c>
      <c r="O2031" t="str">
        <f>"4955"</f>
        <v>4955</v>
      </c>
      <c r="P2031" t="str">
        <f t="shared" si="749"/>
        <v>2017</v>
      </c>
      <c r="Q2031" t="str">
        <f>""</f>
        <v/>
      </c>
      <c r="R2031" t="str">
        <f t="shared" si="765"/>
        <v>N</v>
      </c>
      <c r="S2031" t="str">
        <f>""</f>
        <v/>
      </c>
      <c r="T2031" t="str">
        <f>"29405.10"</f>
        <v>29405.10</v>
      </c>
      <c r="U2031" t="str">
        <f>"1475367.00"</f>
        <v>1475367.00</v>
      </c>
      <c r="V2031" t="str">
        <f>"1475367.00"</f>
        <v>1475367.00</v>
      </c>
      <c r="W2031" t="str">
        <f t="shared" si="750"/>
        <v>2017</v>
      </c>
      <c r="X2031" t="str">
        <f>""</f>
        <v/>
      </c>
      <c r="Y2031" t="str">
        <f>"30319.25"</f>
        <v>30319.25</v>
      </c>
      <c r="Z2031" t="str">
        <f>""</f>
        <v/>
      </c>
      <c r="AA2031" t="str">
        <f>"1475367.00"</f>
        <v>1475367.00</v>
      </c>
      <c r="AB2031" t="str">
        <f>"Commercial"</f>
        <v>Commercial</v>
      </c>
      <c r="AC2031" t="str">
        <f t="shared" si="762"/>
        <v>0</v>
      </c>
      <c r="AD2031" t="str">
        <f>"5"</f>
        <v>5</v>
      </c>
      <c r="AE2031" t="str">
        <f>"STEEL FRAME/INCOMBUSTIBLE WALLS/ROOF"</f>
        <v>STEEL FRAME/INCOMBUSTIBLE WALLS/ROOF</v>
      </c>
      <c r="AF2031" t="str">
        <f>"018"</f>
        <v>018</v>
      </c>
      <c r="AG2031" t="str">
        <f t="shared" si="766"/>
        <v>FL</v>
      </c>
      <c r="AH2031" t="str">
        <f>"84536.00"</f>
        <v>84536.00</v>
      </c>
      <c r="AI2031" t="str">
        <f>"422680.00"</f>
        <v>422680.00</v>
      </c>
      <c r="AJ2031" t="str">
        <f>"C55-000-585-3809-1"</f>
        <v>C55-000-585-3809-1</v>
      </c>
      <c r="AK2031" t="str">
        <f>"42346"</f>
        <v>42346</v>
      </c>
      <c r="AL2031">
        <v>8</v>
      </c>
      <c r="AM2031">
        <v>2325</v>
      </c>
      <c r="AN2031">
        <v>31833.61</v>
      </c>
      <c r="AQ2031" t="s">
        <v>19646</v>
      </c>
      <c r="AR2031" t="s">
        <v>19646</v>
      </c>
      <c r="AS2031" t="s">
        <v>19646</v>
      </c>
      <c r="AU2031" t="s">
        <v>396</v>
      </c>
      <c r="AV2031">
        <v>2017</v>
      </c>
      <c r="AW2031" t="str">
        <f>"00-00-31-1017-0023-0000 "</f>
        <v xml:space="preserve">00-00-31-1017-0023-0000 </v>
      </c>
      <c r="AX2031">
        <v>2416</v>
      </c>
      <c r="AZ2031" t="s">
        <v>19631</v>
      </c>
      <c r="BA2031" t="s">
        <v>496</v>
      </c>
      <c r="BD2031" t="s">
        <v>11749</v>
      </c>
      <c r="BE2031" t="s">
        <v>393</v>
      </c>
      <c r="BF2031">
        <v>32034</v>
      </c>
      <c r="BG2031" t="s">
        <v>19647</v>
      </c>
      <c r="BH2031" t="s">
        <v>11751</v>
      </c>
      <c r="BI2031">
        <v>-81.453738317069707</v>
      </c>
      <c r="BJ2031">
        <v>30.6100701408945</v>
      </c>
      <c r="BK2031" t="s">
        <v>19648</v>
      </c>
      <c r="BM2031" t="s">
        <v>19649</v>
      </c>
      <c r="BN2031" t="s">
        <v>19650</v>
      </c>
      <c r="BO2031">
        <v>33401</v>
      </c>
      <c r="BP2031" t="s">
        <v>404</v>
      </c>
      <c r="BQ2031">
        <v>1800</v>
      </c>
      <c r="BR2031" t="s">
        <v>19651</v>
      </c>
      <c r="BS2031">
        <v>3004</v>
      </c>
      <c r="BT2031" t="s">
        <v>19652</v>
      </c>
      <c r="BW2031">
        <v>84536</v>
      </c>
      <c r="BX2031" t="s">
        <v>407</v>
      </c>
      <c r="BY2031" t="s">
        <v>19633</v>
      </c>
      <c r="BZ2031">
        <v>5</v>
      </c>
      <c r="CA2031">
        <v>2000</v>
      </c>
      <c r="CB2031">
        <v>2</v>
      </c>
      <c r="CD2031">
        <v>2017</v>
      </c>
      <c r="CE2031">
        <v>422680</v>
      </c>
      <c r="CF2031">
        <v>1052687</v>
      </c>
      <c r="CG2031">
        <v>1475367</v>
      </c>
      <c r="CH2031">
        <v>2017</v>
      </c>
      <c r="CI2031">
        <v>422680</v>
      </c>
      <c r="CJ2031">
        <v>1052687</v>
      </c>
      <c r="CK2031">
        <v>1475367</v>
      </c>
      <c r="CL2031">
        <v>2017</v>
      </c>
      <c r="CM2031">
        <v>29405.1</v>
      </c>
      <c r="CN2031" s="1">
        <v>42726</v>
      </c>
      <c r="CO2031">
        <v>1700000</v>
      </c>
      <c r="CV2031">
        <v>0</v>
      </c>
      <c r="CZ2031" s="1">
        <v>42726</v>
      </c>
      <c r="DA2031">
        <v>0</v>
      </c>
      <c r="DD2031" t="s">
        <v>11749</v>
      </c>
      <c r="DG2031">
        <v>7</v>
      </c>
      <c r="DJ2031" t="s">
        <v>19620</v>
      </c>
      <c r="DL2031">
        <v>50203</v>
      </c>
      <c r="DM2031" t="s">
        <v>19634</v>
      </c>
      <c r="DO2031" t="s">
        <v>19653</v>
      </c>
      <c r="DP2031">
        <v>1</v>
      </c>
      <c r="DQ2031">
        <v>4</v>
      </c>
      <c r="DR2031" t="s">
        <v>1174</v>
      </c>
    </row>
    <row r="2032" spans="1:284" x14ac:dyDescent="0.25">
      <c r="A2032">
        <v>16487039</v>
      </c>
      <c r="B2032">
        <v>2031</v>
      </c>
      <c r="C2032" t="s">
        <v>393</v>
      </c>
      <c r="D2032" t="s">
        <v>394</v>
      </c>
      <c r="F2032" t="str">
        <f>"00-00-31-1017-0028-0000"</f>
        <v>00-00-31-1017-0028-0000</v>
      </c>
      <c r="H2032" t="str">
        <f>"OCONNER JAMES M &amp; MOONEY TRACY OCONNER &amp; OCONNER JAMES P"</f>
        <v>OCONNER JAMES M &amp; MOONEY TRACY OCONNER &amp; OCONNER JAMES P</v>
      </c>
      <c r="I2032" t="str">
        <f>""</f>
        <v/>
      </c>
      <c r="J2032" t="str">
        <f>"FERNANDINA BEACH FL 32035"</f>
        <v>FERNANDINA BEACH FL 32035</v>
      </c>
      <c r="K2032" t="str">
        <f>"2887 JAMESTOWN RD"</f>
        <v>2887 JAMESTOWN RD</v>
      </c>
      <c r="L2032" t="str">
        <f t="shared" si="758"/>
        <v>FERNANDINA BEACH FL 32034</v>
      </c>
      <c r="M2032" t="str">
        <f>"LOT 28 IN OR 1478/1722 AMELIA ISLAND INDUSTRIAL PARK 3 PB 5/59"</f>
        <v>LOT 28 IN OR 1478/1722 AMELIA ISLAND INDUSTRIAL PARK 3 PB 5/59</v>
      </c>
      <c r="N2032" t="str">
        <f>""</f>
        <v/>
      </c>
      <c r="O2032" t="str">
        <f>"4959"</f>
        <v>4959</v>
      </c>
      <c r="P2032" t="str">
        <f t="shared" si="749"/>
        <v>2017</v>
      </c>
      <c r="Q2032" t="str">
        <f>""</f>
        <v/>
      </c>
      <c r="R2032" t="str">
        <f t="shared" si="765"/>
        <v>N</v>
      </c>
      <c r="S2032" t="str">
        <f>""</f>
        <v/>
      </c>
      <c r="T2032" t="str">
        <f>"5396.36"</f>
        <v>5396.36</v>
      </c>
      <c r="U2032" t="str">
        <f>"270757.00"</f>
        <v>270757.00</v>
      </c>
      <c r="V2032" t="str">
        <f>"270757.00"</f>
        <v>270757.00</v>
      </c>
      <c r="W2032" t="str">
        <f t="shared" si="750"/>
        <v>2017</v>
      </c>
      <c r="X2032" t="str">
        <f>"17.43"</f>
        <v>17.43</v>
      </c>
      <c r="Y2032" t="str">
        <f>"5590.25"</f>
        <v>5590.25</v>
      </c>
      <c r="Z2032" t="str">
        <f>""</f>
        <v/>
      </c>
      <c r="AA2032" t="str">
        <f>"270757.00"</f>
        <v>270757.00</v>
      </c>
      <c r="AB2032" t="str">
        <f>"Industrial"</f>
        <v>Industrial</v>
      </c>
      <c r="AC2032" t="str">
        <f t="shared" si="762"/>
        <v>0</v>
      </c>
      <c r="AD2032" t="str">
        <f>"5"</f>
        <v>5</v>
      </c>
      <c r="AE2032" t="str">
        <f>"STEEL FRAME/INCOMBUSTIBLE WALLS/ROOF"</f>
        <v>STEEL FRAME/INCOMBUSTIBLE WALLS/ROOF</v>
      </c>
      <c r="AF2032" t="str">
        <f>"048"</f>
        <v>048</v>
      </c>
      <c r="AG2032" t="str">
        <f t="shared" si="766"/>
        <v>FL</v>
      </c>
      <c r="AH2032" t="str">
        <f>"23309.00"</f>
        <v>23309.00</v>
      </c>
      <c r="AI2032" t="str">
        <f>"200000.00"</f>
        <v>200000.00</v>
      </c>
      <c r="AJ2032" t="str">
        <f>"C55-000-585-3814-1"</f>
        <v>C55-000-585-3814-1</v>
      </c>
      <c r="AK2032" t="str">
        <f>"42350"</f>
        <v>42350</v>
      </c>
      <c r="AL2032">
        <v>8</v>
      </c>
      <c r="AM2032">
        <v>2326</v>
      </c>
      <c r="AN2032">
        <v>5868.16</v>
      </c>
      <c r="AQ2032" t="s">
        <v>19654</v>
      </c>
      <c r="AR2032" t="s">
        <v>19654</v>
      </c>
      <c r="AS2032" t="s">
        <v>19654</v>
      </c>
      <c r="AU2032" t="s">
        <v>396</v>
      </c>
      <c r="AV2032">
        <v>2017</v>
      </c>
      <c r="AW2032" t="str">
        <f>"00-00-31-1017-0028-0000 "</f>
        <v xml:space="preserve">00-00-31-1017-0028-0000 </v>
      </c>
      <c r="AX2032">
        <v>2887</v>
      </c>
      <c r="AZ2032" t="s">
        <v>19655</v>
      </c>
      <c r="BA2032" t="s">
        <v>496</v>
      </c>
      <c r="BD2032" t="s">
        <v>11749</v>
      </c>
      <c r="BE2032" t="s">
        <v>393</v>
      </c>
      <c r="BF2032">
        <v>32034</v>
      </c>
      <c r="BG2032" t="s">
        <v>19656</v>
      </c>
      <c r="BH2032" t="s">
        <v>11751</v>
      </c>
      <c r="BI2032">
        <v>-81.452715531265895</v>
      </c>
      <c r="BJ2032">
        <v>30.609324609381101</v>
      </c>
      <c r="BK2032" t="s">
        <v>19249</v>
      </c>
      <c r="BL2032" t="s">
        <v>19657</v>
      </c>
      <c r="BM2032" t="s">
        <v>19250</v>
      </c>
      <c r="BN2032" t="s">
        <v>3983</v>
      </c>
      <c r="BO2032">
        <v>32035</v>
      </c>
      <c r="BP2032" t="s">
        <v>404</v>
      </c>
      <c r="BQ2032">
        <v>4800</v>
      </c>
      <c r="BR2032" t="s">
        <v>4463</v>
      </c>
      <c r="BS2032">
        <v>6002</v>
      </c>
      <c r="BT2032" t="s">
        <v>4464</v>
      </c>
      <c r="BW2032">
        <v>26083</v>
      </c>
      <c r="BX2032" t="s">
        <v>407</v>
      </c>
      <c r="BY2032" t="s">
        <v>19633</v>
      </c>
      <c r="BZ2032">
        <v>5</v>
      </c>
      <c r="CA2032">
        <v>1986</v>
      </c>
      <c r="CB2032">
        <v>1</v>
      </c>
      <c r="CD2032">
        <v>2017</v>
      </c>
      <c r="CE2032">
        <v>200000</v>
      </c>
      <c r="CF2032">
        <v>70757</v>
      </c>
      <c r="CG2032">
        <v>270757</v>
      </c>
      <c r="CH2032">
        <v>2017</v>
      </c>
      <c r="CI2032">
        <v>200000</v>
      </c>
      <c r="CJ2032">
        <v>70757</v>
      </c>
      <c r="CK2032">
        <v>270757</v>
      </c>
      <c r="CL2032">
        <v>2017</v>
      </c>
      <c r="CM2032">
        <v>5396.36</v>
      </c>
      <c r="CN2032" s="1">
        <v>39127</v>
      </c>
      <c r="CO2032">
        <v>62000</v>
      </c>
      <c r="CZ2032" s="1">
        <v>39127</v>
      </c>
      <c r="DD2032" t="s">
        <v>11749</v>
      </c>
      <c r="DF2032">
        <v>28</v>
      </c>
      <c r="DG2032">
        <v>7</v>
      </c>
      <c r="DL2032">
        <v>50203</v>
      </c>
      <c r="DM2032" t="s">
        <v>19634</v>
      </c>
      <c r="DO2032" t="s">
        <v>19658</v>
      </c>
      <c r="DP2032">
        <v>0</v>
      </c>
      <c r="DQ2032">
        <v>3</v>
      </c>
      <c r="DR2032" t="s">
        <v>1174</v>
      </c>
      <c r="DS2032" t="b">
        <v>1</v>
      </c>
      <c r="DT2032" t="s">
        <v>470</v>
      </c>
      <c r="DU2032" t="s">
        <v>471</v>
      </c>
      <c r="DV2032" t="s">
        <v>472</v>
      </c>
      <c r="DX2032">
        <v>-9999</v>
      </c>
      <c r="DZ2032" t="s">
        <v>447</v>
      </c>
      <c r="EA2032" t="s">
        <v>448</v>
      </c>
      <c r="EB2032" t="s">
        <v>14787</v>
      </c>
      <c r="EC2032">
        <v>20101217</v>
      </c>
      <c r="ED2032" t="s">
        <v>474</v>
      </c>
      <c r="EF2032">
        <v>2258.8000000000002</v>
      </c>
      <c r="EG2032">
        <v>1482.2</v>
      </c>
      <c r="EI2032">
        <v>20160407</v>
      </c>
      <c r="EJ2032">
        <v>0</v>
      </c>
      <c r="EK2032">
        <v>0</v>
      </c>
      <c r="EP2032" t="s">
        <v>421</v>
      </c>
      <c r="EQ2032" t="s">
        <v>452</v>
      </c>
      <c r="ER2032">
        <v>2</v>
      </c>
      <c r="ES2032">
        <v>7</v>
      </c>
      <c r="ET2032">
        <v>12077.26</v>
      </c>
      <c r="EU2032">
        <v>616.36</v>
      </c>
      <c r="EV2032">
        <v>12693.62</v>
      </c>
      <c r="EW2032" s="2">
        <v>43222</v>
      </c>
      <c r="EX2032" s="1">
        <v>42879</v>
      </c>
      <c r="EY2032">
        <v>2016</v>
      </c>
      <c r="EZ2032">
        <v>6038.63</v>
      </c>
      <c r="FA2032" t="s">
        <v>19659</v>
      </c>
      <c r="FB2032">
        <v>0.25</v>
      </c>
      <c r="FC2032" t="s">
        <v>424</v>
      </c>
      <c r="FD2032" t="s">
        <v>454</v>
      </c>
      <c r="FF2032">
        <v>12</v>
      </c>
      <c r="FG2032">
        <v>2851116</v>
      </c>
      <c r="FH2032" t="s">
        <v>480</v>
      </c>
      <c r="FJ2032" s="1">
        <v>42879</v>
      </c>
      <c r="FK2032">
        <v>2016</v>
      </c>
      <c r="FL2032">
        <v>6038.63</v>
      </c>
      <c r="FM2032" t="s">
        <v>19659</v>
      </c>
      <c r="FN2032">
        <v>0.25</v>
      </c>
      <c r="FO2032" t="s">
        <v>424</v>
      </c>
      <c r="FP2032" t="s">
        <v>454</v>
      </c>
      <c r="FR2032">
        <v>12</v>
      </c>
      <c r="FS2032">
        <v>4883127</v>
      </c>
      <c r="FT2032" t="s">
        <v>19660</v>
      </c>
      <c r="FV2032" s="1">
        <v>42515</v>
      </c>
      <c r="FW2032">
        <v>2015</v>
      </c>
      <c r="FX2032">
        <v>6167.87</v>
      </c>
      <c r="FY2032" t="s">
        <v>19661</v>
      </c>
      <c r="FZ2032">
        <v>0.25</v>
      </c>
      <c r="GA2032" t="s">
        <v>424</v>
      </c>
      <c r="GB2032" t="s">
        <v>425</v>
      </c>
      <c r="GC2032" s="1">
        <v>42899</v>
      </c>
      <c r="GD2032">
        <v>13</v>
      </c>
      <c r="GE2032">
        <v>7045074</v>
      </c>
      <c r="GF2032" t="s">
        <v>580</v>
      </c>
      <c r="GH2032" s="1">
        <v>42515</v>
      </c>
      <c r="GI2032">
        <v>2015</v>
      </c>
      <c r="GJ2032">
        <v>6167.87</v>
      </c>
      <c r="GK2032" t="s">
        <v>19661</v>
      </c>
      <c r="GL2032">
        <v>0.25</v>
      </c>
      <c r="GM2032" t="s">
        <v>424</v>
      </c>
      <c r="GN2032" t="s">
        <v>425</v>
      </c>
      <c r="GP2032">
        <v>22</v>
      </c>
      <c r="GQ2032">
        <v>6542395</v>
      </c>
      <c r="GR2032" t="s">
        <v>19662</v>
      </c>
      <c r="GT2032" s="1">
        <v>41787</v>
      </c>
      <c r="GU2032">
        <v>2013</v>
      </c>
      <c r="GV2032">
        <v>6664.47</v>
      </c>
      <c r="GW2032" t="s">
        <v>19663</v>
      </c>
      <c r="GX2032">
        <v>0.25</v>
      </c>
      <c r="GY2032" t="s">
        <v>424</v>
      </c>
      <c r="GZ2032" t="s">
        <v>425</v>
      </c>
      <c r="HB2032">
        <v>22</v>
      </c>
      <c r="HC2032">
        <v>15259</v>
      </c>
      <c r="HD2032" t="s">
        <v>891</v>
      </c>
      <c r="HE2032" t="s">
        <v>458</v>
      </c>
      <c r="HF2032" s="1">
        <v>41423</v>
      </c>
      <c r="HG2032">
        <v>2012</v>
      </c>
      <c r="HH2032">
        <v>6721.05</v>
      </c>
      <c r="HI2032" t="s">
        <v>19664</v>
      </c>
      <c r="HJ2032">
        <v>0.25</v>
      </c>
      <c r="HK2032" t="s">
        <v>424</v>
      </c>
      <c r="HL2032" t="s">
        <v>425</v>
      </c>
      <c r="HN2032">
        <v>22</v>
      </c>
      <c r="HO2032">
        <v>15259</v>
      </c>
      <c r="HP2032" t="s">
        <v>891</v>
      </c>
      <c r="HQ2032" t="s">
        <v>458</v>
      </c>
      <c r="HR2032" s="1">
        <v>41052</v>
      </c>
      <c r="HS2032">
        <v>2011</v>
      </c>
      <c r="HT2032">
        <v>6570.26</v>
      </c>
      <c r="HU2032" t="s">
        <v>19665</v>
      </c>
      <c r="HV2032">
        <v>0.25</v>
      </c>
      <c r="HW2032" t="s">
        <v>424</v>
      </c>
      <c r="HX2032" t="s">
        <v>425</v>
      </c>
      <c r="HY2032" s="1">
        <v>41697</v>
      </c>
      <c r="HZ2032">
        <v>21</v>
      </c>
      <c r="IA2032">
        <v>13297</v>
      </c>
      <c r="IB2032" t="s">
        <v>1471</v>
      </c>
      <c r="ID2032" s="1">
        <v>41052</v>
      </c>
      <c r="IE2032">
        <v>2011</v>
      </c>
      <c r="IF2032">
        <v>6570.26</v>
      </c>
      <c r="IG2032" t="s">
        <v>19665</v>
      </c>
      <c r="IH2032">
        <v>0.25</v>
      </c>
      <c r="II2032" t="s">
        <v>424</v>
      </c>
      <c r="IJ2032" t="s">
        <v>425</v>
      </c>
      <c r="IL2032">
        <v>22</v>
      </c>
      <c r="IM2032">
        <v>14384</v>
      </c>
      <c r="IN2032" t="s">
        <v>19096</v>
      </c>
      <c r="IP2032" s="1">
        <v>40688</v>
      </c>
      <c r="IQ2032">
        <v>2010</v>
      </c>
      <c r="IR2032">
        <v>6487.83</v>
      </c>
      <c r="IS2032" t="s">
        <v>19666</v>
      </c>
      <c r="IT2032">
        <v>5</v>
      </c>
      <c r="IU2032" t="s">
        <v>424</v>
      </c>
      <c r="IV2032" t="s">
        <v>425</v>
      </c>
      <c r="IW2032" s="1">
        <v>40976</v>
      </c>
      <c r="IX2032">
        <v>10</v>
      </c>
      <c r="IY2032">
        <v>10579</v>
      </c>
      <c r="IZ2032" t="s">
        <v>488</v>
      </c>
    </row>
    <row r="2033" spans="1:284" x14ac:dyDescent="0.25">
      <c r="A2033">
        <v>16487040</v>
      </c>
      <c r="B2033">
        <v>2032</v>
      </c>
      <c r="C2033" t="s">
        <v>393</v>
      </c>
      <c r="D2033" t="s">
        <v>394</v>
      </c>
      <c r="F2033" t="str">
        <f>"00-00-31-1017-0029-0000"</f>
        <v>00-00-31-1017-0029-0000</v>
      </c>
      <c r="H2033" t="str">
        <f>"NASSAU EQUIPMENT INC"</f>
        <v>NASSAU EQUIPMENT INC</v>
      </c>
      <c r="I2033" t="str">
        <f>"2385 JAMESTOWN ROAD"</f>
        <v>2385 JAMESTOWN ROAD</v>
      </c>
      <c r="J2033" t="str">
        <f t="shared" ref="J2033:J2041" si="767">"FERNANDINA BEACH FL 32034"</f>
        <v>FERNANDINA BEACH FL 32034</v>
      </c>
      <c r="K2033" t="str">
        <f>"2385 JAMESTOWN RD"</f>
        <v>2385 JAMESTOWN RD</v>
      </c>
      <c r="L2033" t="str">
        <f t="shared" si="758"/>
        <v>FERNANDINA BEACH FL 32034</v>
      </c>
      <c r="M2033" t="str">
        <f>"LOT 29 IN OR 914/1977 AMELIA ISLAND INDUSTRIAL PARK SEC 3 PB 5/59"</f>
        <v>LOT 29 IN OR 914/1977 AMELIA ISLAND INDUSTRIAL PARK SEC 3 PB 5/59</v>
      </c>
      <c r="N2033" t="str">
        <f>""</f>
        <v/>
      </c>
      <c r="O2033" t="str">
        <f>"4960"</f>
        <v>4960</v>
      </c>
      <c r="P2033" t="str">
        <f t="shared" si="749"/>
        <v>2017</v>
      </c>
      <c r="Q2033" t="str">
        <f>""</f>
        <v/>
      </c>
      <c r="R2033" t="str">
        <f t="shared" si="765"/>
        <v>N</v>
      </c>
      <c r="S2033" t="str">
        <f>""</f>
        <v/>
      </c>
      <c r="T2033" t="str">
        <f>"5225.95"</f>
        <v>5225.95</v>
      </c>
      <c r="U2033" t="str">
        <f>"262206.00"</f>
        <v>262206.00</v>
      </c>
      <c r="V2033" t="str">
        <f>"262206.00"</f>
        <v>262206.00</v>
      </c>
      <c r="W2033" t="str">
        <f t="shared" si="750"/>
        <v>2017</v>
      </c>
      <c r="X2033" t="str">
        <f>"23.14"</f>
        <v>23.14</v>
      </c>
      <c r="Y2033" t="str">
        <f>"5414.73"</f>
        <v>5414.73</v>
      </c>
      <c r="Z2033" t="str">
        <f>""</f>
        <v/>
      </c>
      <c r="AA2033" t="str">
        <f>"262206.00"</f>
        <v>262206.00</v>
      </c>
      <c r="AB2033" t="str">
        <f>"Industrial"</f>
        <v>Industrial</v>
      </c>
      <c r="AC2033" t="str">
        <f t="shared" si="762"/>
        <v>0</v>
      </c>
      <c r="AD2033" t="str">
        <f>"5"</f>
        <v>5</v>
      </c>
      <c r="AE2033" t="str">
        <f>"STEEL FRAME/INCOMBUSTIBLE WALLS/ROOF"</f>
        <v>STEEL FRAME/INCOMBUSTIBLE WALLS/ROOF</v>
      </c>
      <c r="AF2033" t="str">
        <f>"041"</f>
        <v>041</v>
      </c>
      <c r="AG2033" t="str">
        <f t="shared" si="766"/>
        <v>FL</v>
      </c>
      <c r="AH2033" t="str">
        <f>"15000.00"</f>
        <v>15000.00</v>
      </c>
      <c r="AI2033" t="str">
        <f>"170000.00"</f>
        <v>170000.00</v>
      </c>
      <c r="AJ2033" t="str">
        <f>"C55-000-585-3815-8"</f>
        <v>C55-000-585-3815-8</v>
      </c>
      <c r="AK2033" t="str">
        <f>"42351"</f>
        <v>42351</v>
      </c>
      <c r="AL2033">
        <v>8</v>
      </c>
      <c r="AM2033">
        <v>2327</v>
      </c>
      <c r="AN2033">
        <v>5683.87</v>
      </c>
      <c r="AQ2033" t="s">
        <v>19667</v>
      </c>
      <c r="AR2033" t="s">
        <v>19667</v>
      </c>
      <c r="AS2033" t="s">
        <v>19667</v>
      </c>
      <c r="AU2033" t="s">
        <v>396</v>
      </c>
      <c r="AV2033">
        <v>2017</v>
      </c>
      <c r="AW2033" t="str">
        <f>"00-00-31-1017-0029-0000 "</f>
        <v xml:space="preserve">00-00-31-1017-0029-0000 </v>
      </c>
      <c r="AX2033">
        <v>2385</v>
      </c>
      <c r="AZ2033" t="s">
        <v>19655</v>
      </c>
      <c r="BA2033" t="s">
        <v>496</v>
      </c>
      <c r="BD2033" t="s">
        <v>11749</v>
      </c>
      <c r="BE2033" t="s">
        <v>393</v>
      </c>
      <c r="BF2033">
        <v>32034</v>
      </c>
      <c r="BG2033" t="s">
        <v>19668</v>
      </c>
      <c r="BH2033" t="s">
        <v>11751</v>
      </c>
      <c r="BI2033">
        <v>-81.453013020184997</v>
      </c>
      <c r="BJ2033">
        <v>30.6094430812248</v>
      </c>
      <c r="BK2033" t="s">
        <v>19669</v>
      </c>
      <c r="BM2033" t="s">
        <v>19668</v>
      </c>
      <c r="BN2033" t="s">
        <v>3983</v>
      </c>
      <c r="BO2033">
        <v>32034</v>
      </c>
      <c r="BP2033" t="s">
        <v>404</v>
      </c>
      <c r="BQ2033">
        <v>4100</v>
      </c>
      <c r="BR2033" t="s">
        <v>4242</v>
      </c>
      <c r="BS2033">
        <v>5001</v>
      </c>
      <c r="BT2033" t="s">
        <v>4243</v>
      </c>
      <c r="BW2033">
        <v>14989</v>
      </c>
      <c r="BX2033" t="s">
        <v>407</v>
      </c>
      <c r="BY2033" t="s">
        <v>19633</v>
      </c>
      <c r="BZ2033">
        <v>5</v>
      </c>
      <c r="CA2033">
        <v>1986</v>
      </c>
      <c r="CB2033">
        <v>1</v>
      </c>
      <c r="CD2033">
        <v>2017</v>
      </c>
      <c r="CE2033">
        <v>170000</v>
      </c>
      <c r="CF2033">
        <v>92206</v>
      </c>
      <c r="CG2033">
        <v>262206</v>
      </c>
      <c r="CH2033">
        <v>2017</v>
      </c>
      <c r="CI2033">
        <v>170000</v>
      </c>
      <c r="CJ2033">
        <v>92206</v>
      </c>
      <c r="CK2033">
        <v>262206</v>
      </c>
      <c r="CL2033">
        <v>2017</v>
      </c>
      <c r="CM2033">
        <v>5225.95</v>
      </c>
      <c r="CN2033" s="1">
        <v>36536</v>
      </c>
      <c r="CO2033">
        <v>180000</v>
      </c>
      <c r="CZ2033" s="1">
        <v>36536</v>
      </c>
      <c r="DD2033" t="s">
        <v>11749</v>
      </c>
      <c r="DF2033">
        <v>29</v>
      </c>
      <c r="DG2033">
        <v>7</v>
      </c>
      <c r="DJ2033" t="s">
        <v>19620</v>
      </c>
      <c r="DL2033">
        <v>50203</v>
      </c>
      <c r="DM2033" t="s">
        <v>19634</v>
      </c>
      <c r="DO2033" t="s">
        <v>19670</v>
      </c>
      <c r="DP2033">
        <v>0</v>
      </c>
      <c r="DQ2033">
        <v>3</v>
      </c>
      <c r="DR2033" t="s">
        <v>1174</v>
      </c>
      <c r="DS2033" t="b">
        <v>1</v>
      </c>
      <c r="DT2033" t="s">
        <v>470</v>
      </c>
      <c r="DU2033" t="s">
        <v>471</v>
      </c>
      <c r="DV2033" t="s">
        <v>472</v>
      </c>
      <c r="DX2033">
        <v>-9999</v>
      </c>
      <c r="DZ2033" t="s">
        <v>447</v>
      </c>
      <c r="EA2033" t="s">
        <v>448</v>
      </c>
      <c r="EB2033" t="s">
        <v>14787</v>
      </c>
      <c r="EC2033">
        <v>20101217</v>
      </c>
      <c r="ED2033" t="s">
        <v>474</v>
      </c>
      <c r="EF2033">
        <v>2333.9</v>
      </c>
      <c r="EG2033">
        <v>1488.1</v>
      </c>
      <c r="EI2033">
        <v>20160407</v>
      </c>
      <c r="EJ2033">
        <v>0</v>
      </c>
      <c r="EK2033">
        <v>0</v>
      </c>
      <c r="EP2033" t="s">
        <v>421</v>
      </c>
      <c r="EQ2033" t="s">
        <v>422</v>
      </c>
      <c r="ER2033">
        <v>2</v>
      </c>
      <c r="ES2033">
        <v>8</v>
      </c>
      <c r="ET2033">
        <v>11746.4</v>
      </c>
      <c r="EU2033">
        <v>599.82000000000005</v>
      </c>
      <c r="EV2033">
        <v>12346.22</v>
      </c>
      <c r="EW2033" s="2">
        <v>43222</v>
      </c>
      <c r="EX2033" s="1">
        <v>42879</v>
      </c>
      <c r="EY2033">
        <v>2016</v>
      </c>
      <c r="EZ2033">
        <v>5873.2</v>
      </c>
      <c r="FA2033" t="s">
        <v>19671</v>
      </c>
      <c r="FB2033">
        <v>0.25</v>
      </c>
      <c r="FC2033" t="s">
        <v>424</v>
      </c>
      <c r="FD2033" t="s">
        <v>454</v>
      </c>
      <c r="FF2033">
        <v>12</v>
      </c>
      <c r="FG2033">
        <v>2851116</v>
      </c>
      <c r="FH2033" t="s">
        <v>480</v>
      </c>
      <c r="FJ2033" s="1">
        <v>42879</v>
      </c>
      <c r="FK2033">
        <v>2016</v>
      </c>
      <c r="FL2033">
        <v>5873.2</v>
      </c>
      <c r="FM2033" t="s">
        <v>19671</v>
      </c>
      <c r="FN2033">
        <v>0.25</v>
      </c>
      <c r="FO2033" t="s">
        <v>424</v>
      </c>
      <c r="FP2033" t="s">
        <v>454</v>
      </c>
      <c r="FR2033">
        <v>12</v>
      </c>
      <c r="FS2033">
        <v>5696122</v>
      </c>
      <c r="FT2033" t="s">
        <v>19672</v>
      </c>
      <c r="FV2033" s="1">
        <v>42515</v>
      </c>
      <c r="FW2033">
        <v>2015</v>
      </c>
      <c r="FX2033">
        <v>6012.78</v>
      </c>
      <c r="FY2033" t="s">
        <v>19673</v>
      </c>
      <c r="FZ2033">
        <v>0.25</v>
      </c>
      <c r="GA2033" t="s">
        <v>424</v>
      </c>
      <c r="GB2033" t="s">
        <v>425</v>
      </c>
      <c r="GC2033" s="1">
        <v>43182</v>
      </c>
      <c r="GD2033">
        <v>22</v>
      </c>
      <c r="GE2033">
        <v>2851116</v>
      </c>
      <c r="GF2033" t="s">
        <v>480</v>
      </c>
      <c r="GH2033" s="1">
        <v>42515</v>
      </c>
      <c r="GI2033">
        <v>2015</v>
      </c>
      <c r="GJ2033">
        <v>6012.78</v>
      </c>
      <c r="GK2033" t="s">
        <v>19673</v>
      </c>
      <c r="GL2033">
        <v>0.25</v>
      </c>
      <c r="GM2033" t="s">
        <v>424</v>
      </c>
      <c r="GN2033" t="s">
        <v>425</v>
      </c>
      <c r="GP2033">
        <v>22</v>
      </c>
      <c r="GQ2033">
        <v>5630192</v>
      </c>
      <c r="GR2033" t="s">
        <v>19674</v>
      </c>
      <c r="GT2033" s="1">
        <v>42151</v>
      </c>
      <c r="GU2033">
        <v>2014</v>
      </c>
      <c r="GV2033">
        <v>6254.71</v>
      </c>
      <c r="GW2033" t="s">
        <v>19675</v>
      </c>
      <c r="GX2033">
        <v>0.25</v>
      </c>
      <c r="GY2033" t="s">
        <v>424</v>
      </c>
      <c r="GZ2033" t="s">
        <v>425</v>
      </c>
      <c r="HA2033" s="1">
        <v>42790</v>
      </c>
      <c r="HB2033">
        <v>21</v>
      </c>
      <c r="HC2033">
        <v>4975594</v>
      </c>
      <c r="HD2033" t="s">
        <v>457</v>
      </c>
      <c r="HF2033" s="1">
        <v>42151</v>
      </c>
      <c r="HG2033">
        <v>2014</v>
      </c>
      <c r="HH2033">
        <v>6254.71</v>
      </c>
      <c r="HI2033" t="s">
        <v>19675</v>
      </c>
      <c r="HJ2033">
        <v>0.25</v>
      </c>
      <c r="HK2033" t="s">
        <v>424</v>
      </c>
      <c r="HL2033" t="s">
        <v>425</v>
      </c>
      <c r="HN2033">
        <v>22</v>
      </c>
      <c r="HO2033">
        <v>6434282</v>
      </c>
      <c r="HP2033" t="s">
        <v>19676</v>
      </c>
      <c r="HR2033" s="1">
        <v>41787</v>
      </c>
      <c r="HS2033">
        <v>2013</v>
      </c>
      <c r="HT2033">
        <v>7092.58</v>
      </c>
      <c r="HU2033" t="s">
        <v>19677</v>
      </c>
      <c r="HV2033">
        <v>0.25</v>
      </c>
      <c r="HW2033" t="s">
        <v>424</v>
      </c>
      <c r="HX2033" t="s">
        <v>425</v>
      </c>
      <c r="HY2033" s="1">
        <v>42429</v>
      </c>
      <c r="HZ2033">
        <v>21</v>
      </c>
      <c r="IA2033">
        <v>305</v>
      </c>
      <c r="IB2033" t="s">
        <v>1078</v>
      </c>
      <c r="ID2033" s="1">
        <v>41423</v>
      </c>
      <c r="IE2033">
        <v>2012</v>
      </c>
      <c r="IF2033">
        <v>7123.05</v>
      </c>
      <c r="IG2033" t="s">
        <v>19678</v>
      </c>
      <c r="IH2033">
        <v>0.25</v>
      </c>
      <c r="II2033" t="s">
        <v>424</v>
      </c>
      <c r="IJ2033" t="s">
        <v>425</v>
      </c>
      <c r="IK2033" s="1">
        <v>42061</v>
      </c>
      <c r="IL2033">
        <v>21</v>
      </c>
      <c r="IM2033">
        <v>436</v>
      </c>
      <c r="IN2033" t="s">
        <v>1607</v>
      </c>
      <c r="IP2033" s="1">
        <v>41423</v>
      </c>
      <c r="IQ2033">
        <v>2011</v>
      </c>
      <c r="IR2033">
        <v>8113.86</v>
      </c>
      <c r="IS2033" t="s">
        <v>19679</v>
      </c>
      <c r="IT2033">
        <v>3.75</v>
      </c>
      <c r="IU2033" t="s">
        <v>424</v>
      </c>
      <c r="IV2033" t="s">
        <v>425</v>
      </c>
      <c r="IW2033" s="1">
        <v>42061</v>
      </c>
      <c r="IX2033">
        <v>21</v>
      </c>
      <c r="IY2033">
        <v>13286</v>
      </c>
      <c r="IZ2033" t="s">
        <v>10164</v>
      </c>
      <c r="JB2033" s="1">
        <v>41423</v>
      </c>
      <c r="JC2033">
        <v>2010</v>
      </c>
      <c r="JD2033">
        <v>9121.43</v>
      </c>
      <c r="JE2033" t="s">
        <v>19680</v>
      </c>
      <c r="JF2033">
        <v>3.75</v>
      </c>
      <c r="JG2033" t="s">
        <v>424</v>
      </c>
      <c r="JH2033" t="s">
        <v>425</v>
      </c>
      <c r="JI2033" s="1">
        <v>41911</v>
      </c>
      <c r="JJ2033">
        <v>16</v>
      </c>
      <c r="JK2033">
        <v>13286</v>
      </c>
      <c r="JL2033" t="s">
        <v>10164</v>
      </c>
    </row>
    <row r="2034" spans="1:284" x14ac:dyDescent="0.25">
      <c r="A2034">
        <v>16487041</v>
      </c>
      <c r="B2034">
        <v>2033</v>
      </c>
      <c r="C2034" t="s">
        <v>393</v>
      </c>
      <c r="D2034" t="s">
        <v>394</v>
      </c>
      <c r="F2034" t="str">
        <f>"00-00-31-1020-0056-0010"</f>
        <v>00-00-31-1020-0056-0010</v>
      </c>
      <c r="H2034" t="str">
        <f>"THE PARKIN COMPANY"</f>
        <v>THE PARKIN COMPANY</v>
      </c>
      <c r="I2034" t="str">
        <f>"31 S FLETCHER AVE"</f>
        <v>31 S FLETCHER AVE</v>
      </c>
      <c r="J2034" t="str">
        <f t="shared" si="767"/>
        <v>FERNANDINA BEACH FL 32034</v>
      </c>
      <c r="K2034" t="str">
        <f>"31 FLETCHER AVE S"</f>
        <v>31 FLETCHER AVE S</v>
      </c>
      <c r="L2034" t="str">
        <f t="shared" si="758"/>
        <v>FERNANDINA BEACH FL 32034</v>
      </c>
      <c r="M2034" t="str">
        <f>"PT OF LOTS 56 &amp; 57 S-1 IN OR 950/128 AMELIA LIGHTHOUSE RESERVATION PB 2/24"</f>
        <v>PT OF LOTS 56 &amp; 57 S-1 IN OR 950/128 AMELIA LIGHTHOUSE RESERVATION PB 2/24</v>
      </c>
      <c r="N2034" t="str">
        <f>""</f>
        <v/>
      </c>
      <c r="O2034" t="str">
        <f>"5081"</f>
        <v>5081</v>
      </c>
      <c r="P2034" t="str">
        <f t="shared" si="749"/>
        <v>2017</v>
      </c>
      <c r="Q2034" t="str">
        <f>""</f>
        <v/>
      </c>
      <c r="R2034" t="str">
        <f t="shared" si="765"/>
        <v>N</v>
      </c>
      <c r="S2034" t="str">
        <f>""</f>
        <v/>
      </c>
      <c r="T2034" t="str">
        <f>"6137.33"</f>
        <v>6137.33</v>
      </c>
      <c r="U2034" t="str">
        <f>"307934.00"</f>
        <v>307934.00</v>
      </c>
      <c r="V2034" t="str">
        <f>"307934.00"</f>
        <v>307934.00</v>
      </c>
      <c r="W2034" t="str">
        <f t="shared" si="750"/>
        <v>2017</v>
      </c>
      <c r="X2034" t="str">
        <f>"13.00"</f>
        <v>13.00</v>
      </c>
      <c r="Y2034" t="str">
        <f>"1586.73"</f>
        <v>1586.73</v>
      </c>
      <c r="Z2034" t="str">
        <f>""</f>
        <v/>
      </c>
      <c r="AA2034" t="str">
        <f>"307934.00"</f>
        <v>307934.00</v>
      </c>
      <c r="AB2034" t="str">
        <f>"Commercial"</f>
        <v>Commercial</v>
      </c>
      <c r="AC2034" t="str">
        <f t="shared" si="762"/>
        <v>0</v>
      </c>
      <c r="AD2034" t="str">
        <f>"3"</f>
        <v>3</v>
      </c>
      <c r="AE2034" t="str">
        <f>"MASONRY"</f>
        <v>MASONRY</v>
      </c>
      <c r="AF2034" t="str">
        <f>"011"</f>
        <v>011</v>
      </c>
      <c r="AG2034" t="str">
        <f t="shared" si="766"/>
        <v>FL</v>
      </c>
      <c r="AH2034" t="str">
        <f>"9000.00"</f>
        <v>9000.00</v>
      </c>
      <c r="AI2034" t="str">
        <f>"225000.00"</f>
        <v>225000.00</v>
      </c>
      <c r="AJ2034" t="str">
        <f>"C55-000-585-3893-5"</f>
        <v>C55-000-585-3893-5</v>
      </c>
      <c r="AK2034" t="str">
        <f>"42855"</f>
        <v>42855</v>
      </c>
      <c r="AL2034">
        <v>8</v>
      </c>
      <c r="AM2034">
        <v>2328</v>
      </c>
      <c r="AN2034">
        <v>1664.47</v>
      </c>
      <c r="AQ2034" t="s">
        <v>19681</v>
      </c>
      <c r="AR2034" t="s">
        <v>19681</v>
      </c>
      <c r="AS2034" t="s">
        <v>19681</v>
      </c>
      <c r="AU2034" t="s">
        <v>396</v>
      </c>
      <c r="AV2034">
        <v>2017</v>
      </c>
      <c r="AW2034" t="str">
        <f>"00-00-31-1020-0056-0010 "</f>
        <v xml:space="preserve">00-00-31-1020-0056-0010 </v>
      </c>
      <c r="AX2034">
        <v>31</v>
      </c>
      <c r="AZ2034" t="s">
        <v>18248</v>
      </c>
      <c r="BA2034" t="s">
        <v>1112</v>
      </c>
      <c r="BB2034" t="s">
        <v>18674</v>
      </c>
      <c r="BD2034" t="s">
        <v>11749</v>
      </c>
      <c r="BE2034" t="s">
        <v>393</v>
      </c>
      <c r="BF2034">
        <v>32034</v>
      </c>
      <c r="BG2034" t="s">
        <v>19682</v>
      </c>
      <c r="BH2034" t="s">
        <v>11751</v>
      </c>
      <c r="BI2034">
        <v>-81.432089083732507</v>
      </c>
      <c r="BJ2034">
        <v>30.667150660321699</v>
      </c>
      <c r="BK2034" t="s">
        <v>19683</v>
      </c>
      <c r="BM2034" t="s">
        <v>19684</v>
      </c>
      <c r="BN2034" t="s">
        <v>3983</v>
      </c>
      <c r="BO2034">
        <v>32034</v>
      </c>
      <c r="BP2034" t="s">
        <v>404</v>
      </c>
      <c r="BQ2034">
        <v>1100</v>
      </c>
      <c r="BR2034" t="s">
        <v>4474</v>
      </c>
      <c r="BS2034">
        <v>2000</v>
      </c>
      <c r="BT2034" t="s">
        <v>4475</v>
      </c>
      <c r="BW2034">
        <v>9139</v>
      </c>
      <c r="BX2034" t="s">
        <v>407</v>
      </c>
      <c r="BY2034" t="s">
        <v>4244</v>
      </c>
      <c r="BZ2034">
        <v>3</v>
      </c>
      <c r="CA2034">
        <v>1973</v>
      </c>
      <c r="CB2034">
        <v>1</v>
      </c>
      <c r="CD2034">
        <v>2017</v>
      </c>
      <c r="CE2034">
        <v>225000</v>
      </c>
      <c r="CF2034">
        <v>82934</v>
      </c>
      <c r="CG2034">
        <v>307934</v>
      </c>
      <c r="CH2034">
        <v>2017</v>
      </c>
      <c r="CI2034">
        <v>225000</v>
      </c>
      <c r="CJ2034">
        <v>82934</v>
      </c>
      <c r="CK2034">
        <v>307934</v>
      </c>
      <c r="CL2034">
        <v>2017</v>
      </c>
      <c r="CM2034">
        <v>6137.33</v>
      </c>
      <c r="CN2034" s="1">
        <v>36788</v>
      </c>
      <c r="CO2034">
        <v>300000</v>
      </c>
      <c r="CV2034">
        <v>300000</v>
      </c>
      <c r="CX2034" t="s">
        <v>707</v>
      </c>
      <c r="CZ2034" s="1">
        <v>36788</v>
      </c>
      <c r="DA2034">
        <v>0</v>
      </c>
      <c r="DD2034" t="s">
        <v>11749</v>
      </c>
      <c r="DG2034">
        <v>12</v>
      </c>
      <c r="DJ2034" t="s">
        <v>19685</v>
      </c>
      <c r="DL2034">
        <v>50101</v>
      </c>
      <c r="DM2034" t="s">
        <v>19686</v>
      </c>
      <c r="DO2034" t="s">
        <v>19687</v>
      </c>
      <c r="DP2034">
        <v>3</v>
      </c>
      <c r="DQ2034">
        <v>5</v>
      </c>
      <c r="DR2034" t="s">
        <v>1174</v>
      </c>
      <c r="EP2034" t="s">
        <v>421</v>
      </c>
      <c r="EQ2034" t="s">
        <v>422</v>
      </c>
      <c r="ER2034">
        <v>0</v>
      </c>
      <c r="ES2034">
        <v>2</v>
      </c>
      <c r="ET2034">
        <v>0</v>
      </c>
      <c r="EU2034">
        <v>0</v>
      </c>
      <c r="EV2034">
        <v>0</v>
      </c>
      <c r="EW2034" s="2">
        <v>43222</v>
      </c>
      <c r="EX2034" s="1">
        <v>41052</v>
      </c>
      <c r="EY2034">
        <v>2011</v>
      </c>
      <c r="EZ2034">
        <v>8062.44</v>
      </c>
      <c r="FA2034" t="s">
        <v>19688</v>
      </c>
      <c r="FB2034">
        <v>0.25</v>
      </c>
      <c r="FC2034" t="s">
        <v>424</v>
      </c>
      <c r="FD2034" t="s">
        <v>425</v>
      </c>
      <c r="FE2034" s="1">
        <v>41271</v>
      </c>
      <c r="FF2034">
        <v>7</v>
      </c>
      <c r="FG2034">
        <v>13238</v>
      </c>
      <c r="FH2034" t="s">
        <v>19689</v>
      </c>
      <c r="FJ2034" s="1">
        <v>40688</v>
      </c>
      <c r="FK2034">
        <v>2010</v>
      </c>
      <c r="FL2034">
        <v>8649.2800000000007</v>
      </c>
      <c r="FM2034" t="s">
        <v>19690</v>
      </c>
      <c r="FN2034">
        <v>4</v>
      </c>
      <c r="FO2034" t="s">
        <v>424</v>
      </c>
      <c r="FP2034" t="s">
        <v>425</v>
      </c>
      <c r="FQ2034" s="1">
        <v>41271</v>
      </c>
      <c r="FR2034">
        <v>19</v>
      </c>
      <c r="FS2034">
        <v>10553</v>
      </c>
      <c r="FT2034" t="s">
        <v>19013</v>
      </c>
    </row>
    <row r="2035" spans="1:284" x14ac:dyDescent="0.25">
      <c r="A2035">
        <v>16487042</v>
      </c>
      <c r="B2035">
        <v>2034</v>
      </c>
      <c r="C2035" t="s">
        <v>393</v>
      </c>
      <c r="D2035" t="s">
        <v>394</v>
      </c>
      <c r="F2035" t="str">
        <f>"00-00-31-102U-P101-0000"</f>
        <v>00-00-31-102U-P101-0000</v>
      </c>
      <c r="H2035" t="str">
        <f t="shared" ref="H2035:H2041" si="768">"AMELIA PARK TOWN CENTER LLC"</f>
        <v>AMELIA PARK TOWN CENTER LLC</v>
      </c>
      <c r="I2035" t="str">
        <f>"914 ATLANTIC AVE 1D"</f>
        <v>914 ATLANTIC AVE 1D</v>
      </c>
      <c r="J2035" t="str">
        <f t="shared" si="767"/>
        <v>FERNANDINA BEACH FL 32034</v>
      </c>
      <c r="K2035" t="str">
        <f>"1416 PARK AV 101"</f>
        <v>1416 PARK AV 101</v>
      </c>
      <c r="L2035" t="str">
        <f t="shared" si="758"/>
        <v>FERNANDINA BEACH FL 32034</v>
      </c>
      <c r="M2035" t="str">
        <f>"UNIT P101 PARK &amp; 14TH CONDO OR 1421/1973"</f>
        <v>UNIT P101 PARK &amp; 14TH CONDO OR 1421/1973</v>
      </c>
      <c r="N2035" t="str">
        <f>""</f>
        <v/>
      </c>
      <c r="O2035" t="str">
        <f>"5557"</f>
        <v>5557</v>
      </c>
      <c r="P2035" t="str">
        <f t="shared" si="749"/>
        <v>2017</v>
      </c>
      <c r="Q2035" t="str">
        <f>""</f>
        <v/>
      </c>
      <c r="R2035" t="str">
        <f t="shared" si="765"/>
        <v>N</v>
      </c>
      <c r="S2035" t="str">
        <f>""</f>
        <v/>
      </c>
      <c r="T2035" t="str">
        <f>"2440.94"</f>
        <v>2440.94</v>
      </c>
      <c r="U2035" t="str">
        <f>"122472.00"</f>
        <v>122472.00</v>
      </c>
      <c r="V2035" t="str">
        <f>"122472.00"</f>
        <v>122472.00</v>
      </c>
      <c r="W2035" t="str">
        <f t="shared" si="750"/>
        <v>2017</v>
      </c>
      <c r="X2035" t="str">
        <f>"15.50"</f>
        <v>15.50</v>
      </c>
      <c r="Y2035" t="str">
        <f>"2546.17"</f>
        <v>2546.17</v>
      </c>
      <c r="Z2035" t="str">
        <f>""</f>
        <v/>
      </c>
      <c r="AA2035" t="str">
        <f>"122472.00"</f>
        <v>122472.00</v>
      </c>
      <c r="AB2035" t="str">
        <f t="shared" ref="AB2035:AB2066" si="769">"Residential"</f>
        <v>Residential</v>
      </c>
      <c r="AC2035" t="str">
        <f t="shared" si="762"/>
        <v>0</v>
      </c>
      <c r="AD2035" t="str">
        <f>""</f>
        <v/>
      </c>
      <c r="AE2035" t="str">
        <f>""</f>
        <v/>
      </c>
      <c r="AF2035" t="str">
        <f t="shared" ref="AF2035:AF2046" si="770">"004"</f>
        <v>004</v>
      </c>
      <c r="AG2035" t="str">
        <f t="shared" si="766"/>
        <v>FL</v>
      </c>
      <c r="AH2035" t="str">
        <f t="shared" ref="AH2035:AI2046" si="771">"-"</f>
        <v>-</v>
      </c>
      <c r="AI2035" t="str">
        <f t="shared" si="771"/>
        <v>-</v>
      </c>
      <c r="AJ2035" t="str">
        <f>"C55-000-988-1171-4"</f>
        <v>C55-000-988-1171-4</v>
      </c>
      <c r="AK2035" t="str">
        <f>"42784"</f>
        <v>42784</v>
      </c>
      <c r="AL2035">
        <v>8</v>
      </c>
      <c r="AM2035">
        <v>2329</v>
      </c>
      <c r="AN2035">
        <v>2671.88</v>
      </c>
      <c r="AQ2035" t="s">
        <v>19691</v>
      </c>
      <c r="AR2035" t="s">
        <v>19691</v>
      </c>
      <c r="AS2035" t="s">
        <v>19691</v>
      </c>
      <c r="AU2035" t="s">
        <v>396</v>
      </c>
      <c r="AV2035">
        <v>2017</v>
      </c>
      <c r="AW2035" t="str">
        <f>"00-00-31-102U-P101-0000 "</f>
        <v xml:space="preserve">00-00-31-102U-P101-0000 </v>
      </c>
      <c r="AX2035">
        <v>1416</v>
      </c>
      <c r="AZ2035" t="s">
        <v>17963</v>
      </c>
      <c r="BA2035" t="s">
        <v>1122</v>
      </c>
      <c r="BC2035">
        <v>101</v>
      </c>
      <c r="BD2035" t="s">
        <v>11749</v>
      </c>
      <c r="BE2035" t="s">
        <v>393</v>
      </c>
      <c r="BF2035">
        <v>32034</v>
      </c>
      <c r="BG2035" t="s">
        <v>19692</v>
      </c>
      <c r="BH2035" t="s">
        <v>11751</v>
      </c>
      <c r="BI2035">
        <v>-81.454663547789906</v>
      </c>
      <c r="BJ2035">
        <v>30.645583956138601</v>
      </c>
      <c r="BK2035" t="s">
        <v>19693</v>
      </c>
      <c r="BM2035" t="s">
        <v>19694</v>
      </c>
      <c r="BN2035" t="s">
        <v>3983</v>
      </c>
      <c r="BO2035">
        <v>32034</v>
      </c>
      <c r="BP2035" t="s">
        <v>404</v>
      </c>
      <c r="BQ2035">
        <v>417</v>
      </c>
      <c r="BR2035" t="s">
        <v>15097</v>
      </c>
      <c r="BS2035">
        <v>1004</v>
      </c>
      <c r="BT2035" t="s">
        <v>15098</v>
      </c>
      <c r="BW2035">
        <v>18679</v>
      </c>
      <c r="BX2035" t="s">
        <v>407</v>
      </c>
      <c r="CA2035">
        <v>2006</v>
      </c>
      <c r="CC2035">
        <v>1</v>
      </c>
      <c r="CD2035">
        <v>2017</v>
      </c>
      <c r="CF2035">
        <v>122472</v>
      </c>
      <c r="CG2035">
        <v>122472</v>
      </c>
      <c r="CH2035">
        <v>2017</v>
      </c>
      <c r="CJ2035">
        <v>122472</v>
      </c>
      <c r="CK2035">
        <v>122472</v>
      </c>
      <c r="CL2035">
        <v>2017</v>
      </c>
      <c r="CM2035">
        <v>2440.94</v>
      </c>
      <c r="DD2035" t="s">
        <v>11749</v>
      </c>
      <c r="DG2035">
        <v>30</v>
      </c>
      <c r="DI2035">
        <v>101</v>
      </c>
      <c r="DJ2035" t="s">
        <v>15276</v>
      </c>
      <c r="DL2035">
        <v>50101</v>
      </c>
      <c r="DM2035" t="s">
        <v>18678</v>
      </c>
      <c r="DO2035" t="s">
        <v>19695</v>
      </c>
      <c r="DP2035">
        <v>0</v>
      </c>
      <c r="DQ2035">
        <v>1</v>
      </c>
      <c r="DR2035" t="s">
        <v>411</v>
      </c>
      <c r="DS2035" t="b">
        <v>1</v>
      </c>
      <c r="DT2035" t="s">
        <v>470</v>
      </c>
      <c r="DU2035" t="s">
        <v>471</v>
      </c>
      <c r="DV2035" t="s">
        <v>472</v>
      </c>
      <c r="DX2035">
        <v>-9999</v>
      </c>
      <c r="DZ2035" t="s">
        <v>447</v>
      </c>
      <c r="EA2035" t="s">
        <v>448</v>
      </c>
      <c r="EB2035" t="s">
        <v>14787</v>
      </c>
      <c r="EC2035">
        <v>20101217</v>
      </c>
      <c r="ED2035" t="s">
        <v>474</v>
      </c>
      <c r="EF2035">
        <v>2677</v>
      </c>
      <c r="EG2035">
        <v>1852.1</v>
      </c>
      <c r="EI2035">
        <v>20160407</v>
      </c>
      <c r="EJ2035">
        <v>0</v>
      </c>
      <c r="EK2035">
        <v>0</v>
      </c>
      <c r="EP2035" t="s">
        <v>421</v>
      </c>
      <c r="EQ2035" t="s">
        <v>422</v>
      </c>
      <c r="ER2035">
        <v>2</v>
      </c>
      <c r="ES2035">
        <v>9</v>
      </c>
      <c r="ET2035">
        <v>6439.14</v>
      </c>
      <c r="EU2035">
        <v>334.46</v>
      </c>
      <c r="EV2035">
        <v>6773.6</v>
      </c>
      <c r="EW2035" s="2">
        <v>43222</v>
      </c>
      <c r="EX2035" s="1">
        <v>42879</v>
      </c>
      <c r="EY2035">
        <v>2016</v>
      </c>
      <c r="EZ2035">
        <v>3219.57</v>
      </c>
      <c r="FA2035" t="s">
        <v>19696</v>
      </c>
      <c r="FB2035">
        <v>0.25</v>
      </c>
      <c r="FC2035" t="s">
        <v>424</v>
      </c>
      <c r="FD2035" t="s">
        <v>454</v>
      </c>
      <c r="FF2035">
        <v>12</v>
      </c>
      <c r="FG2035">
        <v>7336671</v>
      </c>
      <c r="FH2035" t="s">
        <v>437</v>
      </c>
      <c r="FJ2035" s="1">
        <v>42879</v>
      </c>
      <c r="FK2035">
        <v>2016</v>
      </c>
      <c r="FL2035">
        <v>3219.57</v>
      </c>
      <c r="FM2035" t="s">
        <v>19696</v>
      </c>
      <c r="FN2035">
        <v>0.25</v>
      </c>
      <c r="FO2035" t="s">
        <v>424</v>
      </c>
      <c r="FP2035" t="s">
        <v>454</v>
      </c>
      <c r="FR2035">
        <v>12</v>
      </c>
      <c r="FS2035">
        <v>5103367</v>
      </c>
      <c r="FT2035" t="s">
        <v>19697</v>
      </c>
      <c r="FV2035" s="1">
        <v>42515</v>
      </c>
      <c r="FW2035">
        <v>2015</v>
      </c>
      <c r="FX2035">
        <v>3259.87</v>
      </c>
      <c r="FY2035" t="s">
        <v>19698</v>
      </c>
      <c r="FZ2035">
        <v>0.25</v>
      </c>
      <c r="GA2035" t="s">
        <v>424</v>
      </c>
      <c r="GB2035" t="s">
        <v>425</v>
      </c>
      <c r="GC2035" s="1">
        <v>43158</v>
      </c>
      <c r="GD2035">
        <v>21</v>
      </c>
      <c r="GE2035">
        <v>5916895</v>
      </c>
      <c r="GF2035" t="s">
        <v>1390</v>
      </c>
      <c r="GH2035" s="1">
        <v>42515</v>
      </c>
      <c r="GI2035">
        <v>2015</v>
      </c>
      <c r="GJ2035">
        <v>3259.87</v>
      </c>
      <c r="GK2035" t="s">
        <v>19698</v>
      </c>
      <c r="GL2035">
        <v>0.25</v>
      </c>
      <c r="GM2035" t="s">
        <v>424</v>
      </c>
      <c r="GN2035" t="s">
        <v>425</v>
      </c>
      <c r="GP2035">
        <v>22</v>
      </c>
      <c r="GQ2035">
        <v>6052674</v>
      </c>
      <c r="GR2035" t="s">
        <v>19699</v>
      </c>
      <c r="GT2035" s="1">
        <v>42151</v>
      </c>
      <c r="GU2035">
        <v>2014</v>
      </c>
      <c r="GV2035">
        <v>4131.74</v>
      </c>
      <c r="GW2035" t="s">
        <v>19700</v>
      </c>
      <c r="GX2035">
        <v>0.25</v>
      </c>
      <c r="GY2035" t="s">
        <v>424</v>
      </c>
      <c r="GZ2035" t="s">
        <v>425</v>
      </c>
      <c r="HA2035" s="1">
        <v>42794</v>
      </c>
      <c r="HB2035">
        <v>21</v>
      </c>
      <c r="HC2035">
        <v>2101382</v>
      </c>
      <c r="HD2035" t="s">
        <v>993</v>
      </c>
      <c r="HF2035" s="1">
        <v>42151</v>
      </c>
      <c r="HG2035">
        <v>2014</v>
      </c>
      <c r="HH2035">
        <v>4131.74</v>
      </c>
      <c r="HI2035" t="s">
        <v>19700</v>
      </c>
      <c r="HJ2035">
        <v>0.25</v>
      </c>
      <c r="HK2035" t="s">
        <v>424</v>
      </c>
      <c r="HL2035" t="s">
        <v>425</v>
      </c>
      <c r="HN2035">
        <v>22</v>
      </c>
      <c r="HO2035">
        <v>5662706</v>
      </c>
      <c r="HP2035" t="s">
        <v>19701</v>
      </c>
      <c r="HR2035" s="1">
        <v>41787</v>
      </c>
      <c r="HS2035">
        <v>2013</v>
      </c>
      <c r="HT2035">
        <v>3990.81</v>
      </c>
      <c r="HU2035" t="s">
        <v>19702</v>
      </c>
      <c r="HV2035">
        <v>0.25</v>
      </c>
      <c r="HW2035" t="s">
        <v>424</v>
      </c>
      <c r="HX2035" t="s">
        <v>425</v>
      </c>
      <c r="HZ2035">
        <v>22</v>
      </c>
      <c r="IA2035">
        <v>15259</v>
      </c>
      <c r="IB2035" t="s">
        <v>891</v>
      </c>
      <c r="ID2035" s="1">
        <v>41787</v>
      </c>
      <c r="IE2035">
        <v>2013</v>
      </c>
      <c r="IF2035">
        <v>3990.81</v>
      </c>
      <c r="IG2035" t="s">
        <v>19702</v>
      </c>
      <c r="IH2035">
        <v>0.25</v>
      </c>
      <c r="II2035" t="s">
        <v>424</v>
      </c>
      <c r="IJ2035" t="s">
        <v>425</v>
      </c>
      <c r="IK2035" s="1">
        <v>42426</v>
      </c>
      <c r="IL2035">
        <v>21</v>
      </c>
      <c r="IM2035">
        <v>7045049</v>
      </c>
      <c r="IN2035" t="s">
        <v>1335</v>
      </c>
      <c r="IP2035" s="1">
        <v>41423</v>
      </c>
      <c r="IQ2035">
        <v>2012</v>
      </c>
      <c r="IR2035">
        <v>3979.79</v>
      </c>
      <c r="IS2035" t="s">
        <v>19703</v>
      </c>
      <c r="IT2035">
        <v>0.25</v>
      </c>
      <c r="IU2035" t="s">
        <v>424</v>
      </c>
      <c r="IV2035" t="s">
        <v>425</v>
      </c>
      <c r="IW2035" s="1">
        <v>41838</v>
      </c>
      <c r="IX2035">
        <v>14</v>
      </c>
      <c r="IY2035">
        <v>11289</v>
      </c>
      <c r="IZ2035" t="s">
        <v>787</v>
      </c>
      <c r="JB2035" s="1">
        <v>41052</v>
      </c>
      <c r="JC2035">
        <v>2011</v>
      </c>
      <c r="JD2035">
        <v>3850.65</v>
      </c>
      <c r="JE2035" t="s">
        <v>19704</v>
      </c>
      <c r="JF2035">
        <v>0.25</v>
      </c>
      <c r="JG2035" t="s">
        <v>424</v>
      </c>
      <c r="JH2035" t="s">
        <v>425</v>
      </c>
      <c r="JI2035" s="1">
        <v>41695</v>
      </c>
      <c r="JJ2035">
        <v>21</v>
      </c>
      <c r="JK2035">
        <v>13223</v>
      </c>
      <c r="JL2035" t="s">
        <v>19705</v>
      </c>
      <c r="JN2035" s="1">
        <v>40688</v>
      </c>
      <c r="JO2035">
        <v>2010</v>
      </c>
      <c r="JP2035">
        <v>3885.47</v>
      </c>
      <c r="JQ2035" t="s">
        <v>19706</v>
      </c>
      <c r="JR2035">
        <v>5</v>
      </c>
      <c r="JS2035" t="s">
        <v>424</v>
      </c>
      <c r="JT2035" t="s">
        <v>425</v>
      </c>
      <c r="JU2035" s="1">
        <v>40848</v>
      </c>
      <c r="JV2035">
        <v>6</v>
      </c>
      <c r="JW2035">
        <v>11302</v>
      </c>
      <c r="JX2035" t="s">
        <v>3940</v>
      </c>
    </row>
    <row r="2036" spans="1:284" x14ac:dyDescent="0.25">
      <c r="A2036">
        <v>16487043</v>
      </c>
      <c r="B2036">
        <v>2035</v>
      </c>
      <c r="C2036" t="s">
        <v>393</v>
      </c>
      <c r="D2036" t="s">
        <v>394</v>
      </c>
      <c r="F2036" t="str">
        <f>"00-00-31-102U-P102-0000"</f>
        <v>00-00-31-102U-P102-0000</v>
      </c>
      <c r="H2036" t="str">
        <f t="shared" si="768"/>
        <v>AMELIA PARK TOWN CENTER LLC</v>
      </c>
      <c r="I2036" t="str">
        <f>"914 ATLANTIC AVE 1D"</f>
        <v>914 ATLANTIC AVE 1D</v>
      </c>
      <c r="J2036" t="str">
        <f t="shared" si="767"/>
        <v>FERNANDINA BEACH FL 32034</v>
      </c>
      <c r="K2036" t="str">
        <f>"1416 PARK AV 102"</f>
        <v>1416 PARK AV 102</v>
      </c>
      <c r="L2036" t="str">
        <f t="shared" si="758"/>
        <v>FERNANDINA BEACH FL 32034</v>
      </c>
      <c r="M2036" t="str">
        <f>"UNIT P102 PARK &amp; 14TH CONDO OR 1421/1973"</f>
        <v>UNIT P102 PARK &amp; 14TH CONDO OR 1421/1973</v>
      </c>
      <c r="N2036" t="str">
        <f>""</f>
        <v/>
      </c>
      <c r="O2036" t="str">
        <f>"5558"</f>
        <v>5558</v>
      </c>
      <c r="P2036" t="str">
        <f t="shared" si="749"/>
        <v>2017</v>
      </c>
      <c r="Q2036" t="str">
        <f>""</f>
        <v/>
      </c>
      <c r="R2036" t="str">
        <f t="shared" si="765"/>
        <v>N</v>
      </c>
      <c r="S2036" t="str">
        <f>""</f>
        <v/>
      </c>
      <c r="T2036" t="str">
        <f>"2608.37"</f>
        <v>2608.37</v>
      </c>
      <c r="U2036" t="str">
        <f>"130872.00"</f>
        <v>130872.00</v>
      </c>
      <c r="V2036" t="str">
        <f>"130872.00"</f>
        <v>130872.00</v>
      </c>
      <c r="W2036" t="str">
        <f t="shared" si="750"/>
        <v>2017</v>
      </c>
      <c r="X2036" t="str">
        <f>"14.50"</f>
        <v>14.50</v>
      </c>
      <c r="Y2036" t="str">
        <f>"2718.62"</f>
        <v>2718.62</v>
      </c>
      <c r="Z2036" t="str">
        <f>""</f>
        <v/>
      </c>
      <c r="AA2036" t="str">
        <f>"130872.00"</f>
        <v>130872.00</v>
      </c>
      <c r="AB2036" t="str">
        <f t="shared" si="769"/>
        <v>Residential</v>
      </c>
      <c r="AC2036" t="str">
        <f t="shared" si="762"/>
        <v>0</v>
      </c>
      <c r="AD2036" t="str">
        <f>""</f>
        <v/>
      </c>
      <c r="AE2036" t="str">
        <f>""</f>
        <v/>
      </c>
      <c r="AF2036" t="str">
        <f t="shared" si="770"/>
        <v>004</v>
      </c>
      <c r="AG2036" t="str">
        <f t="shared" si="766"/>
        <v>FL</v>
      </c>
      <c r="AH2036" t="str">
        <f t="shared" si="771"/>
        <v>-</v>
      </c>
      <c r="AI2036" t="str">
        <f t="shared" si="771"/>
        <v>-</v>
      </c>
      <c r="AJ2036" t="str">
        <f>"C55-000-988-1172-2"</f>
        <v>C55-000-988-1172-2</v>
      </c>
      <c r="AK2036" t="str">
        <f>"42785"</f>
        <v>42785</v>
      </c>
      <c r="AL2036">
        <v>8</v>
      </c>
      <c r="AM2036">
        <v>2330</v>
      </c>
      <c r="AN2036">
        <v>2852.95</v>
      </c>
      <c r="AQ2036" t="s">
        <v>19707</v>
      </c>
      <c r="AR2036" t="s">
        <v>19707</v>
      </c>
      <c r="AS2036" t="s">
        <v>19707</v>
      </c>
      <c r="AU2036" t="s">
        <v>396</v>
      </c>
      <c r="AV2036">
        <v>2017</v>
      </c>
      <c r="AW2036" t="str">
        <f>"00-00-31-102U-P102-0000 "</f>
        <v xml:space="preserve">00-00-31-102U-P102-0000 </v>
      </c>
      <c r="AX2036">
        <v>1416</v>
      </c>
      <c r="AZ2036" t="s">
        <v>17963</v>
      </c>
      <c r="BA2036" t="s">
        <v>1122</v>
      </c>
      <c r="BC2036">
        <v>102</v>
      </c>
      <c r="BD2036" t="s">
        <v>11749</v>
      </c>
      <c r="BE2036" t="s">
        <v>393</v>
      </c>
      <c r="BF2036">
        <v>32034</v>
      </c>
      <c r="BG2036" t="s">
        <v>19708</v>
      </c>
      <c r="BH2036" t="s">
        <v>11751</v>
      </c>
      <c r="BI2036">
        <v>-81.454663547789906</v>
      </c>
      <c r="BJ2036">
        <v>30.645583956138601</v>
      </c>
      <c r="BK2036" t="s">
        <v>19693</v>
      </c>
      <c r="BM2036" t="s">
        <v>19694</v>
      </c>
      <c r="BN2036" t="s">
        <v>3983</v>
      </c>
      <c r="BO2036">
        <v>32034</v>
      </c>
      <c r="BP2036" t="s">
        <v>404</v>
      </c>
      <c r="BQ2036">
        <v>417</v>
      </c>
      <c r="BR2036" t="s">
        <v>15097</v>
      </c>
      <c r="BS2036">
        <v>1004</v>
      </c>
      <c r="BT2036" t="s">
        <v>15098</v>
      </c>
      <c r="BW2036">
        <v>18679</v>
      </c>
      <c r="BX2036" t="s">
        <v>407</v>
      </c>
      <c r="CA2036">
        <v>2006</v>
      </c>
      <c r="CC2036">
        <v>1</v>
      </c>
      <c r="CD2036">
        <v>2017</v>
      </c>
      <c r="CF2036">
        <v>130872</v>
      </c>
      <c r="CG2036">
        <v>130872</v>
      </c>
      <c r="CH2036">
        <v>2017</v>
      </c>
      <c r="CJ2036">
        <v>130872</v>
      </c>
      <c r="CK2036">
        <v>130872</v>
      </c>
      <c r="CL2036">
        <v>2017</v>
      </c>
      <c r="CM2036">
        <v>2608.37</v>
      </c>
      <c r="DD2036" t="s">
        <v>11749</v>
      </c>
      <c r="DG2036">
        <v>30</v>
      </c>
      <c r="DI2036">
        <v>102</v>
      </c>
      <c r="DJ2036" t="s">
        <v>15276</v>
      </c>
      <c r="DL2036">
        <v>50101</v>
      </c>
      <c r="DM2036" t="s">
        <v>18678</v>
      </c>
      <c r="DO2036" t="s">
        <v>19709</v>
      </c>
      <c r="DP2036">
        <v>0</v>
      </c>
      <c r="DQ2036">
        <v>1</v>
      </c>
      <c r="DR2036" t="s">
        <v>411</v>
      </c>
      <c r="DS2036" t="b">
        <v>1</v>
      </c>
      <c r="DT2036" t="s">
        <v>470</v>
      </c>
      <c r="DU2036" t="s">
        <v>471</v>
      </c>
      <c r="DV2036" t="s">
        <v>472</v>
      </c>
      <c r="DX2036">
        <v>-9999</v>
      </c>
      <c r="DZ2036" t="s">
        <v>447</v>
      </c>
      <c r="EA2036" t="s">
        <v>448</v>
      </c>
      <c r="EB2036" t="s">
        <v>14787</v>
      </c>
      <c r="EC2036">
        <v>20101217</v>
      </c>
      <c r="ED2036" t="s">
        <v>474</v>
      </c>
      <c r="EF2036">
        <v>2677</v>
      </c>
      <c r="EG2036">
        <v>1852.1</v>
      </c>
      <c r="EI2036">
        <v>20160407</v>
      </c>
      <c r="EJ2036">
        <v>0</v>
      </c>
      <c r="EK2036">
        <v>0</v>
      </c>
      <c r="EP2036" t="s">
        <v>421</v>
      </c>
      <c r="EQ2036" t="s">
        <v>422</v>
      </c>
      <c r="ER2036">
        <v>2</v>
      </c>
      <c r="ES2036">
        <v>8</v>
      </c>
      <c r="ET2036">
        <v>6877.08</v>
      </c>
      <c r="EU2036">
        <v>356.35</v>
      </c>
      <c r="EV2036">
        <v>7233.43</v>
      </c>
      <c r="EW2036" s="2">
        <v>43222</v>
      </c>
      <c r="EX2036" s="1">
        <v>42879</v>
      </c>
      <c r="EY2036">
        <v>2016</v>
      </c>
      <c r="EZ2036">
        <v>3438.54</v>
      </c>
      <c r="FA2036" t="s">
        <v>19710</v>
      </c>
      <c r="FB2036">
        <v>0.25</v>
      </c>
      <c r="FC2036" t="s">
        <v>424</v>
      </c>
      <c r="FD2036" t="s">
        <v>454</v>
      </c>
      <c r="FF2036">
        <v>12</v>
      </c>
      <c r="FG2036">
        <v>7336671</v>
      </c>
      <c r="FH2036" t="s">
        <v>437</v>
      </c>
      <c r="FJ2036" s="1">
        <v>42879</v>
      </c>
      <c r="FK2036">
        <v>2016</v>
      </c>
      <c r="FL2036">
        <v>3438.54</v>
      </c>
      <c r="FM2036" t="s">
        <v>19710</v>
      </c>
      <c r="FN2036">
        <v>0.25</v>
      </c>
      <c r="FO2036" t="s">
        <v>424</v>
      </c>
      <c r="FP2036" t="s">
        <v>454</v>
      </c>
      <c r="FR2036">
        <v>12</v>
      </c>
      <c r="FS2036">
        <v>6966960</v>
      </c>
      <c r="FT2036" t="s">
        <v>19711</v>
      </c>
      <c r="FV2036" s="1">
        <v>42515</v>
      </c>
      <c r="FW2036">
        <v>2015</v>
      </c>
      <c r="FX2036">
        <v>3481.63</v>
      </c>
      <c r="FY2036" t="s">
        <v>19712</v>
      </c>
      <c r="FZ2036">
        <v>0.25</v>
      </c>
      <c r="GA2036" t="s">
        <v>424</v>
      </c>
      <c r="GB2036" t="s">
        <v>425</v>
      </c>
      <c r="GC2036" s="1">
        <v>43158</v>
      </c>
      <c r="GD2036">
        <v>21</v>
      </c>
      <c r="GE2036">
        <v>7045074</v>
      </c>
      <c r="GF2036" t="s">
        <v>580</v>
      </c>
      <c r="GH2036" s="1">
        <v>42515</v>
      </c>
      <c r="GI2036">
        <v>2015</v>
      </c>
      <c r="GJ2036">
        <v>3481.63</v>
      </c>
      <c r="GK2036" t="s">
        <v>19712</v>
      </c>
      <c r="GL2036">
        <v>0.25</v>
      </c>
      <c r="GM2036" t="s">
        <v>424</v>
      </c>
      <c r="GN2036" t="s">
        <v>425</v>
      </c>
      <c r="GP2036">
        <v>22</v>
      </c>
      <c r="GQ2036">
        <v>6665799</v>
      </c>
      <c r="GR2036" t="s">
        <v>19713</v>
      </c>
      <c r="GT2036" s="1">
        <v>42151</v>
      </c>
      <c r="GU2036">
        <v>2014</v>
      </c>
      <c r="GV2036">
        <v>4399.7700000000004</v>
      </c>
      <c r="GW2036" t="s">
        <v>19714</v>
      </c>
      <c r="GX2036">
        <v>0.25</v>
      </c>
      <c r="GY2036" t="s">
        <v>424</v>
      </c>
      <c r="GZ2036" t="s">
        <v>425</v>
      </c>
      <c r="HA2036" s="1">
        <v>42794</v>
      </c>
      <c r="HB2036">
        <v>21</v>
      </c>
      <c r="HC2036">
        <v>2851116</v>
      </c>
      <c r="HD2036" t="s">
        <v>480</v>
      </c>
      <c r="HF2036" s="1">
        <v>42151</v>
      </c>
      <c r="HG2036">
        <v>2014</v>
      </c>
      <c r="HH2036">
        <v>4399.7700000000004</v>
      </c>
      <c r="HI2036" t="s">
        <v>19714</v>
      </c>
      <c r="HJ2036">
        <v>0.25</v>
      </c>
      <c r="HK2036" t="s">
        <v>424</v>
      </c>
      <c r="HL2036" t="s">
        <v>425</v>
      </c>
      <c r="HN2036">
        <v>22</v>
      </c>
      <c r="HO2036">
        <v>5249693</v>
      </c>
      <c r="HP2036" t="s">
        <v>19715</v>
      </c>
      <c r="HR2036" s="1">
        <v>41787</v>
      </c>
      <c r="HS2036">
        <v>2013</v>
      </c>
      <c r="HT2036">
        <v>4249.66</v>
      </c>
      <c r="HU2036" t="s">
        <v>19716</v>
      </c>
      <c r="HV2036">
        <v>0.25</v>
      </c>
      <c r="HW2036" t="s">
        <v>424</v>
      </c>
      <c r="HX2036" t="s">
        <v>425</v>
      </c>
      <c r="HY2036" s="1">
        <v>42426</v>
      </c>
      <c r="HZ2036">
        <v>21</v>
      </c>
      <c r="IA2036">
        <v>2757457</v>
      </c>
      <c r="IB2036" t="s">
        <v>648</v>
      </c>
      <c r="ID2036" s="1">
        <v>41423</v>
      </c>
      <c r="IE2036">
        <v>2012</v>
      </c>
      <c r="IF2036">
        <v>4251.2299999999996</v>
      </c>
      <c r="IG2036" t="s">
        <v>19717</v>
      </c>
      <c r="IH2036">
        <v>0.25</v>
      </c>
      <c r="II2036" t="s">
        <v>424</v>
      </c>
      <c r="IJ2036" t="s">
        <v>425</v>
      </c>
      <c r="IK2036" s="1">
        <v>41838</v>
      </c>
      <c r="IL2036">
        <v>14</v>
      </c>
      <c r="IM2036">
        <v>606981</v>
      </c>
      <c r="IN2036" t="s">
        <v>792</v>
      </c>
      <c r="IP2036" s="1">
        <v>41052</v>
      </c>
      <c r="IQ2036">
        <v>2011</v>
      </c>
      <c r="IR2036">
        <v>4113.8</v>
      </c>
      <c r="IS2036" t="s">
        <v>19718</v>
      </c>
      <c r="IT2036">
        <v>0.25</v>
      </c>
      <c r="IU2036" t="s">
        <v>424</v>
      </c>
      <c r="IV2036" t="s">
        <v>425</v>
      </c>
      <c r="IW2036" s="1">
        <v>41695</v>
      </c>
      <c r="IX2036">
        <v>21</v>
      </c>
      <c r="IY2036">
        <v>13263</v>
      </c>
      <c r="IZ2036" t="s">
        <v>19719</v>
      </c>
      <c r="JB2036" s="1">
        <v>40688</v>
      </c>
      <c r="JC2036">
        <v>2010</v>
      </c>
      <c r="JD2036">
        <v>4151.09</v>
      </c>
      <c r="JE2036" t="s">
        <v>19720</v>
      </c>
      <c r="JF2036">
        <v>4.75</v>
      </c>
      <c r="JG2036" t="s">
        <v>424</v>
      </c>
      <c r="JH2036" t="s">
        <v>425</v>
      </c>
      <c r="JI2036" s="1">
        <v>40848</v>
      </c>
      <c r="JJ2036">
        <v>6</v>
      </c>
      <c r="JK2036">
        <v>11177</v>
      </c>
      <c r="JL2036" t="s">
        <v>650</v>
      </c>
    </row>
    <row r="2037" spans="1:284" x14ac:dyDescent="0.25">
      <c r="A2037">
        <v>16487044</v>
      </c>
      <c r="B2037">
        <v>2036</v>
      </c>
      <c r="C2037" t="s">
        <v>393</v>
      </c>
      <c r="D2037" t="s">
        <v>394</v>
      </c>
      <c r="F2037" t="str">
        <f>"00-00-31-102U-P201-0000"</f>
        <v>00-00-31-102U-P201-0000</v>
      </c>
      <c r="H2037" t="str">
        <f t="shared" si="768"/>
        <v>AMELIA PARK TOWN CENTER LLC</v>
      </c>
      <c r="I2037" t="str">
        <f>"914 ATLANTIC AV 1D"</f>
        <v>914 ATLANTIC AV 1D</v>
      </c>
      <c r="J2037" t="str">
        <f t="shared" si="767"/>
        <v>FERNANDINA BEACH FL 32034</v>
      </c>
      <c r="K2037" t="str">
        <f>"1416 PARK AV 201"</f>
        <v>1416 PARK AV 201</v>
      </c>
      <c r="L2037" t="str">
        <f t="shared" si="758"/>
        <v>FERNANDINA BEACH FL 32034</v>
      </c>
      <c r="M2037" t="str">
        <f>"UNIT P201 PARK &amp; 14TH CONDO OR 1421/1973"</f>
        <v>UNIT P201 PARK &amp; 14TH CONDO OR 1421/1973</v>
      </c>
      <c r="N2037" t="str">
        <f>""</f>
        <v/>
      </c>
      <c r="O2037" t="str">
        <f>"5559"</f>
        <v>5559</v>
      </c>
      <c r="P2037" t="str">
        <f t="shared" si="749"/>
        <v>2017</v>
      </c>
      <c r="Q2037" t="str">
        <f>""</f>
        <v/>
      </c>
      <c r="R2037" t="str">
        <f t="shared" si="765"/>
        <v>N</v>
      </c>
      <c r="S2037" t="str">
        <f>""</f>
        <v/>
      </c>
      <c r="T2037" t="str">
        <f>"4184.46"</f>
        <v>4184.46</v>
      </c>
      <c r="U2037" t="str">
        <f>"209950.00"</f>
        <v>209950.00</v>
      </c>
      <c r="V2037" t="str">
        <f>"209950.00"</f>
        <v>209950.00</v>
      </c>
      <c r="W2037" t="str">
        <f t="shared" si="750"/>
        <v>2017</v>
      </c>
      <c r="X2037" t="str">
        <f>"14.50"</f>
        <v>14.50</v>
      </c>
      <c r="Y2037" t="str">
        <f>"4341.99"</f>
        <v>4341.99</v>
      </c>
      <c r="Z2037" t="str">
        <f>""</f>
        <v/>
      </c>
      <c r="AA2037" t="str">
        <f>"209950.00"</f>
        <v>209950.00</v>
      </c>
      <c r="AB2037" t="str">
        <f t="shared" si="769"/>
        <v>Residential</v>
      </c>
      <c r="AC2037" t="str">
        <f t="shared" si="762"/>
        <v>0</v>
      </c>
      <c r="AD2037" t="str">
        <f>""</f>
        <v/>
      </c>
      <c r="AE2037" t="str">
        <f>""</f>
        <v/>
      </c>
      <c r="AF2037" t="str">
        <f t="shared" si="770"/>
        <v>004</v>
      </c>
      <c r="AG2037" t="str">
        <f t="shared" si="766"/>
        <v>FL</v>
      </c>
      <c r="AH2037" t="str">
        <f t="shared" si="771"/>
        <v>-</v>
      </c>
      <c r="AI2037" t="str">
        <f t="shared" si="771"/>
        <v>-</v>
      </c>
      <c r="AJ2037" t="str">
        <f>"C55-000-988-1173-0"</f>
        <v>C55-000-988-1173-0</v>
      </c>
      <c r="AK2037" t="str">
        <f>"42786"</f>
        <v>42786</v>
      </c>
      <c r="AL2037">
        <v>8</v>
      </c>
      <c r="AM2037">
        <v>2331</v>
      </c>
      <c r="AN2037">
        <v>4557.49</v>
      </c>
      <c r="AQ2037" t="s">
        <v>19721</v>
      </c>
      <c r="AR2037" t="s">
        <v>19721</v>
      </c>
      <c r="AS2037" t="s">
        <v>19721</v>
      </c>
      <c r="AU2037" t="s">
        <v>396</v>
      </c>
      <c r="AV2037">
        <v>2017</v>
      </c>
      <c r="AW2037" t="str">
        <f>"00-00-31-102U-P201-0000 "</f>
        <v xml:space="preserve">00-00-31-102U-P201-0000 </v>
      </c>
      <c r="AX2037">
        <v>1416</v>
      </c>
      <c r="AZ2037" t="s">
        <v>17963</v>
      </c>
      <c r="BA2037" t="s">
        <v>1122</v>
      </c>
      <c r="BC2037">
        <v>201</v>
      </c>
      <c r="BD2037" t="s">
        <v>11749</v>
      </c>
      <c r="BE2037" t="s">
        <v>393</v>
      </c>
      <c r="BF2037">
        <v>32034</v>
      </c>
      <c r="BG2037" t="s">
        <v>19722</v>
      </c>
      <c r="BH2037" t="s">
        <v>11751</v>
      </c>
      <c r="BI2037">
        <v>-81.454663547789906</v>
      </c>
      <c r="BJ2037">
        <v>30.645583956138601</v>
      </c>
      <c r="BK2037" t="s">
        <v>19693</v>
      </c>
      <c r="BM2037" t="s">
        <v>19694</v>
      </c>
      <c r="BN2037" t="s">
        <v>3983</v>
      </c>
      <c r="BO2037">
        <v>32034</v>
      </c>
      <c r="BP2037" t="s">
        <v>404</v>
      </c>
      <c r="BQ2037">
        <v>417</v>
      </c>
      <c r="BR2037" t="s">
        <v>15097</v>
      </c>
      <c r="BS2037">
        <v>1004</v>
      </c>
      <c r="BT2037" t="s">
        <v>15098</v>
      </c>
      <c r="BW2037">
        <v>18679</v>
      </c>
      <c r="BX2037" t="s">
        <v>407</v>
      </c>
      <c r="CA2037">
        <v>2006</v>
      </c>
      <c r="CC2037">
        <v>1</v>
      </c>
      <c r="CD2037">
        <v>2017</v>
      </c>
      <c r="CF2037">
        <v>209950</v>
      </c>
      <c r="CG2037">
        <v>209950</v>
      </c>
      <c r="CH2037">
        <v>2017</v>
      </c>
      <c r="CJ2037">
        <v>209950</v>
      </c>
      <c r="CK2037">
        <v>209950</v>
      </c>
      <c r="CL2037">
        <v>2017</v>
      </c>
      <c r="CM2037">
        <v>4184.46</v>
      </c>
      <c r="DD2037" t="s">
        <v>11749</v>
      </c>
      <c r="DG2037">
        <v>30</v>
      </c>
      <c r="DI2037">
        <v>201</v>
      </c>
      <c r="DJ2037" t="s">
        <v>15276</v>
      </c>
      <c r="DL2037">
        <v>50101</v>
      </c>
      <c r="DM2037" t="s">
        <v>18678</v>
      </c>
      <c r="DO2037" t="s">
        <v>19723</v>
      </c>
      <c r="DP2037">
        <v>0</v>
      </c>
      <c r="DQ2037">
        <v>1</v>
      </c>
      <c r="DR2037" t="s">
        <v>411</v>
      </c>
      <c r="DS2037" t="b">
        <v>1</v>
      </c>
      <c r="DT2037" t="s">
        <v>470</v>
      </c>
      <c r="DU2037" t="s">
        <v>471</v>
      </c>
      <c r="DV2037" t="s">
        <v>472</v>
      </c>
      <c r="DX2037">
        <v>-9999</v>
      </c>
      <c r="DZ2037" t="s">
        <v>447</v>
      </c>
      <c r="EA2037" t="s">
        <v>448</v>
      </c>
      <c r="EB2037" t="s">
        <v>14787</v>
      </c>
      <c r="EC2037">
        <v>20101217</v>
      </c>
      <c r="ED2037" t="s">
        <v>474</v>
      </c>
      <c r="EF2037">
        <v>2677</v>
      </c>
      <c r="EG2037">
        <v>1852.1</v>
      </c>
      <c r="EI2037">
        <v>20160407</v>
      </c>
      <c r="EJ2037">
        <v>0</v>
      </c>
      <c r="EK2037">
        <v>0</v>
      </c>
      <c r="EP2037" t="s">
        <v>421</v>
      </c>
      <c r="EQ2037" t="s">
        <v>422</v>
      </c>
      <c r="ER2037">
        <v>2</v>
      </c>
      <c r="ES2037">
        <v>9</v>
      </c>
      <c r="ET2037">
        <v>9248.48</v>
      </c>
      <c r="EU2037">
        <v>474.92</v>
      </c>
      <c r="EV2037">
        <v>9723.4</v>
      </c>
      <c r="EW2037" s="2">
        <v>43222</v>
      </c>
      <c r="EX2037" s="1">
        <v>42879</v>
      </c>
      <c r="EY2037">
        <v>2016</v>
      </c>
      <c r="EZ2037">
        <v>4624.24</v>
      </c>
      <c r="FA2037" t="s">
        <v>19724</v>
      </c>
      <c r="FB2037">
        <v>0.25</v>
      </c>
      <c r="FC2037" t="s">
        <v>424</v>
      </c>
      <c r="FD2037" t="s">
        <v>454</v>
      </c>
      <c r="FF2037">
        <v>12</v>
      </c>
      <c r="FG2037">
        <v>7336753</v>
      </c>
      <c r="FH2037" t="s">
        <v>1731</v>
      </c>
      <c r="FJ2037" s="1">
        <v>42879</v>
      </c>
      <c r="FK2037">
        <v>2016</v>
      </c>
      <c r="FL2037">
        <v>4624.24</v>
      </c>
      <c r="FM2037" t="s">
        <v>19724</v>
      </c>
      <c r="FN2037">
        <v>0.25</v>
      </c>
      <c r="FO2037" t="s">
        <v>424</v>
      </c>
      <c r="FP2037" t="s">
        <v>454</v>
      </c>
      <c r="FR2037">
        <v>12</v>
      </c>
      <c r="FS2037">
        <v>7339910</v>
      </c>
      <c r="FT2037" t="s">
        <v>19725</v>
      </c>
      <c r="FV2037" s="1">
        <v>42515</v>
      </c>
      <c r="FW2037">
        <v>2015</v>
      </c>
      <c r="FX2037">
        <v>4679.1899999999996</v>
      </c>
      <c r="FY2037" t="s">
        <v>19726</v>
      </c>
      <c r="FZ2037">
        <v>0.25</v>
      </c>
      <c r="GA2037" t="s">
        <v>424</v>
      </c>
      <c r="GB2037" t="s">
        <v>425</v>
      </c>
      <c r="GC2037" s="1">
        <v>43158</v>
      </c>
      <c r="GD2037">
        <v>21</v>
      </c>
      <c r="GE2037">
        <v>2851116</v>
      </c>
      <c r="GF2037" t="s">
        <v>480</v>
      </c>
      <c r="GH2037" s="1">
        <v>42515</v>
      </c>
      <c r="GI2037">
        <v>2015</v>
      </c>
      <c r="GJ2037">
        <v>4679.1899999999996</v>
      </c>
      <c r="GK2037" t="s">
        <v>19726</v>
      </c>
      <c r="GL2037">
        <v>0.25</v>
      </c>
      <c r="GM2037" t="s">
        <v>424</v>
      </c>
      <c r="GN2037" t="s">
        <v>425</v>
      </c>
      <c r="GP2037">
        <v>22</v>
      </c>
      <c r="GQ2037">
        <v>5334541</v>
      </c>
      <c r="GR2037" t="s">
        <v>19727</v>
      </c>
      <c r="GT2037" s="1">
        <v>42151</v>
      </c>
      <c r="GU2037">
        <v>2014</v>
      </c>
      <c r="GV2037">
        <v>4489.1099999999997</v>
      </c>
      <c r="GW2037" t="s">
        <v>19728</v>
      </c>
      <c r="GX2037">
        <v>0.25</v>
      </c>
      <c r="GY2037" t="s">
        <v>424</v>
      </c>
      <c r="GZ2037" t="s">
        <v>425</v>
      </c>
      <c r="HA2037" s="1">
        <v>42794</v>
      </c>
      <c r="HB2037">
        <v>21</v>
      </c>
      <c r="HC2037">
        <v>4844983</v>
      </c>
      <c r="HD2037" t="s">
        <v>3901</v>
      </c>
      <c r="HF2037" s="1">
        <v>42151</v>
      </c>
      <c r="HG2037">
        <v>2014</v>
      </c>
      <c r="HH2037">
        <v>4489.1099999999997</v>
      </c>
      <c r="HI2037" t="s">
        <v>19728</v>
      </c>
      <c r="HJ2037">
        <v>0.25</v>
      </c>
      <c r="HK2037" t="s">
        <v>424</v>
      </c>
      <c r="HL2037" t="s">
        <v>425</v>
      </c>
      <c r="HN2037">
        <v>22</v>
      </c>
      <c r="HO2037">
        <v>6120387</v>
      </c>
      <c r="HP2037" t="s">
        <v>19729</v>
      </c>
      <c r="HR2037" s="1">
        <v>41787</v>
      </c>
      <c r="HS2037">
        <v>2013</v>
      </c>
      <c r="HT2037">
        <v>4335.9399999999996</v>
      </c>
      <c r="HU2037" t="s">
        <v>19730</v>
      </c>
      <c r="HV2037">
        <v>0.25</v>
      </c>
      <c r="HW2037" t="s">
        <v>424</v>
      </c>
      <c r="HX2037" t="s">
        <v>425</v>
      </c>
      <c r="HZ2037">
        <v>22</v>
      </c>
      <c r="IA2037">
        <v>11289</v>
      </c>
      <c r="IB2037" t="s">
        <v>787</v>
      </c>
      <c r="ID2037" s="1">
        <v>41787</v>
      </c>
      <c r="IE2037">
        <v>2013</v>
      </c>
      <c r="IF2037">
        <v>4335.9399999999996</v>
      </c>
      <c r="IG2037" t="s">
        <v>19730</v>
      </c>
      <c r="IH2037">
        <v>0.25</v>
      </c>
      <c r="II2037" t="s">
        <v>424</v>
      </c>
      <c r="IJ2037" t="s">
        <v>425</v>
      </c>
      <c r="IK2037" s="1">
        <v>42426</v>
      </c>
      <c r="IL2037">
        <v>21</v>
      </c>
      <c r="IM2037">
        <v>4844954</v>
      </c>
      <c r="IN2037" t="s">
        <v>1719</v>
      </c>
      <c r="IP2037" s="1">
        <v>41423</v>
      </c>
      <c r="IQ2037">
        <v>2012</v>
      </c>
      <c r="IR2037">
        <v>4336.57</v>
      </c>
      <c r="IS2037" t="s">
        <v>19731</v>
      </c>
      <c r="IT2037">
        <v>0.25</v>
      </c>
      <c r="IU2037" t="s">
        <v>424</v>
      </c>
      <c r="IV2037" t="s">
        <v>425</v>
      </c>
      <c r="IW2037" s="1">
        <v>41838</v>
      </c>
      <c r="IX2037">
        <v>14</v>
      </c>
      <c r="IY2037">
        <v>606981</v>
      </c>
      <c r="IZ2037" t="s">
        <v>792</v>
      </c>
      <c r="JB2037" s="1">
        <v>41052</v>
      </c>
      <c r="JC2037">
        <v>2011</v>
      </c>
      <c r="JD2037">
        <v>4196.53</v>
      </c>
      <c r="JE2037" t="s">
        <v>19732</v>
      </c>
      <c r="JF2037">
        <v>0.25</v>
      </c>
      <c r="JG2037" t="s">
        <v>424</v>
      </c>
      <c r="JH2037" t="s">
        <v>425</v>
      </c>
      <c r="JI2037" s="1">
        <v>41695</v>
      </c>
      <c r="JJ2037">
        <v>21</v>
      </c>
      <c r="JK2037">
        <v>14070</v>
      </c>
      <c r="JL2037" t="s">
        <v>19733</v>
      </c>
      <c r="JN2037" s="1">
        <v>40688</v>
      </c>
      <c r="JO2037">
        <v>2010</v>
      </c>
      <c r="JP2037">
        <v>4302.4799999999996</v>
      </c>
      <c r="JQ2037" t="s">
        <v>19734</v>
      </c>
      <c r="JR2037">
        <v>4.75</v>
      </c>
      <c r="JS2037" t="s">
        <v>424</v>
      </c>
      <c r="JT2037" t="s">
        <v>425</v>
      </c>
      <c r="JU2037" s="1">
        <v>40848</v>
      </c>
      <c r="JV2037">
        <v>6</v>
      </c>
      <c r="JW2037">
        <v>11177</v>
      </c>
      <c r="JX2037" t="s">
        <v>650</v>
      </c>
    </row>
    <row r="2038" spans="1:284" x14ac:dyDescent="0.25">
      <c r="A2038">
        <v>16487045</v>
      </c>
      <c r="B2038">
        <v>2037</v>
      </c>
      <c r="C2038" t="s">
        <v>393</v>
      </c>
      <c r="D2038" t="s">
        <v>394</v>
      </c>
      <c r="F2038" t="str">
        <f>"00-00-31-102U-P202-0000"</f>
        <v>00-00-31-102U-P202-0000</v>
      </c>
      <c r="H2038" t="str">
        <f t="shared" si="768"/>
        <v>AMELIA PARK TOWN CENTER LLC</v>
      </c>
      <c r="I2038" t="str">
        <f>"914 ATLANTIC AV 1D"</f>
        <v>914 ATLANTIC AV 1D</v>
      </c>
      <c r="J2038" t="str">
        <f t="shared" si="767"/>
        <v>FERNANDINA BEACH FL 32034</v>
      </c>
      <c r="K2038" t="str">
        <f>"1416 PARK AV 202"</f>
        <v>1416 PARK AV 202</v>
      </c>
      <c r="L2038" t="str">
        <f t="shared" si="758"/>
        <v>FERNANDINA BEACH FL 32034</v>
      </c>
      <c r="M2038" t="str">
        <f>"UNIT P202 PARK &amp; 14TH CONDO OR 1421/1973"</f>
        <v>UNIT P202 PARK &amp; 14TH CONDO OR 1421/1973</v>
      </c>
      <c r="N2038" t="str">
        <f>""</f>
        <v/>
      </c>
      <c r="O2038" t="str">
        <f>"5560"</f>
        <v>5560</v>
      </c>
      <c r="P2038" t="str">
        <f t="shared" si="749"/>
        <v>2017</v>
      </c>
      <c r="Q2038" t="str">
        <f>""</f>
        <v/>
      </c>
      <c r="R2038" t="str">
        <f t="shared" si="765"/>
        <v>N</v>
      </c>
      <c r="S2038" t="str">
        <f>""</f>
        <v/>
      </c>
      <c r="T2038" t="str">
        <f>"4446.15"</f>
        <v>4446.15</v>
      </c>
      <c r="U2038" t="str">
        <f>"223080.00"</f>
        <v>223080.00</v>
      </c>
      <c r="V2038" t="str">
        <f>"223080.00"</f>
        <v>223080.00</v>
      </c>
      <c r="W2038" t="str">
        <f t="shared" si="750"/>
        <v>2017</v>
      </c>
      <c r="X2038" t="str">
        <f>"15.50"</f>
        <v>15.50</v>
      </c>
      <c r="Y2038" t="str">
        <f>"4611.53"</f>
        <v>4611.53</v>
      </c>
      <c r="Z2038" t="str">
        <f>""</f>
        <v/>
      </c>
      <c r="AA2038" t="str">
        <f>"223080.00"</f>
        <v>223080.00</v>
      </c>
      <c r="AB2038" t="str">
        <f t="shared" si="769"/>
        <v>Residential</v>
      </c>
      <c r="AC2038" t="str">
        <f t="shared" si="762"/>
        <v>0</v>
      </c>
      <c r="AD2038" t="str">
        <f>""</f>
        <v/>
      </c>
      <c r="AE2038" t="str">
        <f>""</f>
        <v/>
      </c>
      <c r="AF2038" t="str">
        <f t="shared" si="770"/>
        <v>004</v>
      </c>
      <c r="AG2038" t="str">
        <f t="shared" si="766"/>
        <v>FL</v>
      </c>
      <c r="AH2038" t="str">
        <f t="shared" si="771"/>
        <v>-</v>
      </c>
      <c r="AI2038" t="str">
        <f t="shared" si="771"/>
        <v>-</v>
      </c>
      <c r="AJ2038" t="str">
        <f>"C55-000-988-1174-8"</f>
        <v>C55-000-988-1174-8</v>
      </c>
      <c r="AK2038" t="str">
        <f>"42787"</f>
        <v>42787</v>
      </c>
      <c r="AL2038">
        <v>8</v>
      </c>
      <c r="AM2038">
        <v>2332</v>
      </c>
      <c r="AN2038">
        <v>4840.51</v>
      </c>
      <c r="AQ2038" t="s">
        <v>19735</v>
      </c>
      <c r="AR2038" t="s">
        <v>19735</v>
      </c>
      <c r="AS2038" t="s">
        <v>19735</v>
      </c>
      <c r="AU2038" t="s">
        <v>396</v>
      </c>
      <c r="AV2038">
        <v>2017</v>
      </c>
      <c r="AW2038" t="str">
        <f>"00-00-31-102U-P202-0000 "</f>
        <v xml:space="preserve">00-00-31-102U-P202-0000 </v>
      </c>
      <c r="AX2038">
        <v>1416</v>
      </c>
      <c r="AZ2038" t="s">
        <v>17963</v>
      </c>
      <c r="BA2038" t="s">
        <v>1122</v>
      </c>
      <c r="BC2038">
        <v>202</v>
      </c>
      <c r="BD2038" t="s">
        <v>11749</v>
      </c>
      <c r="BE2038" t="s">
        <v>393</v>
      </c>
      <c r="BF2038">
        <v>32034</v>
      </c>
      <c r="BG2038" t="s">
        <v>19736</v>
      </c>
      <c r="BH2038" t="s">
        <v>11751</v>
      </c>
      <c r="BI2038">
        <v>-81.454663547789906</v>
      </c>
      <c r="BJ2038">
        <v>30.645583956138601</v>
      </c>
      <c r="BK2038" t="s">
        <v>19693</v>
      </c>
      <c r="BM2038" t="s">
        <v>19694</v>
      </c>
      <c r="BN2038" t="s">
        <v>3983</v>
      </c>
      <c r="BO2038">
        <v>32034</v>
      </c>
      <c r="BP2038" t="s">
        <v>404</v>
      </c>
      <c r="BQ2038">
        <v>417</v>
      </c>
      <c r="BR2038" t="s">
        <v>15097</v>
      </c>
      <c r="BS2038">
        <v>1004</v>
      </c>
      <c r="BT2038" t="s">
        <v>15098</v>
      </c>
      <c r="BW2038">
        <v>18679</v>
      </c>
      <c r="BX2038" t="s">
        <v>407</v>
      </c>
      <c r="CA2038">
        <v>2006</v>
      </c>
      <c r="CC2038">
        <v>1</v>
      </c>
      <c r="CD2038">
        <v>2017</v>
      </c>
      <c r="CF2038">
        <v>223080</v>
      </c>
      <c r="CG2038">
        <v>223080</v>
      </c>
      <c r="CH2038">
        <v>2017</v>
      </c>
      <c r="CJ2038">
        <v>223080</v>
      </c>
      <c r="CK2038">
        <v>223080</v>
      </c>
      <c r="CL2038">
        <v>2017</v>
      </c>
      <c r="CM2038">
        <v>4446.1499999999996</v>
      </c>
      <c r="DD2038" t="s">
        <v>11749</v>
      </c>
      <c r="DG2038">
        <v>30</v>
      </c>
      <c r="DI2038">
        <v>202</v>
      </c>
      <c r="DJ2038" t="s">
        <v>15276</v>
      </c>
      <c r="DL2038">
        <v>50101</v>
      </c>
      <c r="DM2038" t="s">
        <v>18678</v>
      </c>
      <c r="DO2038" t="s">
        <v>19737</v>
      </c>
      <c r="DP2038">
        <v>0</v>
      </c>
      <c r="DQ2038">
        <v>1</v>
      </c>
      <c r="DR2038" t="s">
        <v>411</v>
      </c>
      <c r="DS2038" t="b">
        <v>1</v>
      </c>
      <c r="DT2038" t="s">
        <v>470</v>
      </c>
      <c r="DU2038" t="s">
        <v>471</v>
      </c>
      <c r="DV2038" t="s">
        <v>472</v>
      </c>
      <c r="DX2038">
        <v>-9999</v>
      </c>
      <c r="DZ2038" t="s">
        <v>447</v>
      </c>
      <c r="EA2038" t="s">
        <v>448</v>
      </c>
      <c r="EB2038" t="s">
        <v>14787</v>
      </c>
      <c r="EC2038">
        <v>20101217</v>
      </c>
      <c r="ED2038" t="s">
        <v>474</v>
      </c>
      <c r="EF2038">
        <v>2677</v>
      </c>
      <c r="EG2038">
        <v>1852.1</v>
      </c>
      <c r="EI2038">
        <v>20160407</v>
      </c>
      <c r="EJ2038">
        <v>0</v>
      </c>
      <c r="EK2038">
        <v>0</v>
      </c>
      <c r="EP2038" t="s">
        <v>421</v>
      </c>
      <c r="EQ2038" t="s">
        <v>422</v>
      </c>
      <c r="ER2038">
        <v>2</v>
      </c>
      <c r="ES2038">
        <v>9</v>
      </c>
      <c r="ET2038">
        <v>9823.5</v>
      </c>
      <c r="EU2038">
        <v>503.68</v>
      </c>
      <c r="EV2038">
        <v>10327.18</v>
      </c>
      <c r="EW2038" s="2">
        <v>43222</v>
      </c>
      <c r="EX2038" s="1">
        <v>42879</v>
      </c>
      <c r="EY2038">
        <v>2016</v>
      </c>
      <c r="EZ2038">
        <v>4911.75</v>
      </c>
      <c r="FA2038" t="s">
        <v>19738</v>
      </c>
      <c r="FB2038">
        <v>0.25</v>
      </c>
      <c r="FC2038" t="s">
        <v>424</v>
      </c>
      <c r="FD2038" t="s">
        <v>454</v>
      </c>
      <c r="FF2038">
        <v>12</v>
      </c>
      <c r="FG2038">
        <v>5856195</v>
      </c>
      <c r="FH2038" t="s">
        <v>1060</v>
      </c>
      <c r="FJ2038" s="1">
        <v>42879</v>
      </c>
      <c r="FK2038">
        <v>2016</v>
      </c>
      <c r="FL2038">
        <v>4911.75</v>
      </c>
      <c r="FM2038" t="s">
        <v>19738</v>
      </c>
      <c r="FN2038">
        <v>0.25</v>
      </c>
      <c r="FO2038" t="s">
        <v>424</v>
      </c>
      <c r="FP2038" t="s">
        <v>454</v>
      </c>
      <c r="FR2038">
        <v>12</v>
      </c>
      <c r="FS2038">
        <v>5986978</v>
      </c>
      <c r="FT2038" t="s">
        <v>19739</v>
      </c>
      <c r="FV2038" s="1">
        <v>42515</v>
      </c>
      <c r="FW2038">
        <v>2015</v>
      </c>
      <c r="FX2038">
        <v>4967.5</v>
      </c>
      <c r="FY2038" t="s">
        <v>19740</v>
      </c>
      <c r="FZ2038">
        <v>0.25</v>
      </c>
      <c r="GA2038" t="s">
        <v>424</v>
      </c>
      <c r="GB2038" t="s">
        <v>425</v>
      </c>
      <c r="GC2038" s="1">
        <v>43158</v>
      </c>
      <c r="GD2038">
        <v>21</v>
      </c>
      <c r="GE2038">
        <v>2851116</v>
      </c>
      <c r="GF2038" t="s">
        <v>480</v>
      </c>
      <c r="GH2038" s="1">
        <v>42515</v>
      </c>
      <c r="GI2038">
        <v>2015</v>
      </c>
      <c r="GJ2038">
        <v>4967.5</v>
      </c>
      <c r="GK2038" t="s">
        <v>19740</v>
      </c>
      <c r="GL2038">
        <v>0.25</v>
      </c>
      <c r="GM2038" t="s">
        <v>424</v>
      </c>
      <c r="GN2038" t="s">
        <v>425</v>
      </c>
      <c r="GP2038">
        <v>22</v>
      </c>
      <c r="GQ2038">
        <v>5503449</v>
      </c>
      <c r="GR2038" t="s">
        <v>19741</v>
      </c>
      <c r="GT2038" s="1">
        <v>42151</v>
      </c>
      <c r="GU2038">
        <v>2014</v>
      </c>
      <c r="GV2038">
        <v>4779.47</v>
      </c>
      <c r="GW2038" t="s">
        <v>19742</v>
      </c>
      <c r="GX2038">
        <v>0.25</v>
      </c>
      <c r="GY2038" t="s">
        <v>424</v>
      </c>
      <c r="GZ2038" t="s">
        <v>425</v>
      </c>
      <c r="HA2038" s="1">
        <v>42794</v>
      </c>
      <c r="HB2038">
        <v>21</v>
      </c>
      <c r="HC2038">
        <v>2851116</v>
      </c>
      <c r="HD2038" t="s">
        <v>480</v>
      </c>
      <c r="HF2038" s="1">
        <v>42151</v>
      </c>
      <c r="HG2038">
        <v>2014</v>
      </c>
      <c r="HH2038">
        <v>4779.47</v>
      </c>
      <c r="HI2038" t="s">
        <v>19742</v>
      </c>
      <c r="HJ2038">
        <v>0.25</v>
      </c>
      <c r="HK2038" t="s">
        <v>424</v>
      </c>
      <c r="HL2038" t="s">
        <v>425</v>
      </c>
      <c r="HN2038">
        <v>22</v>
      </c>
      <c r="HO2038">
        <v>5426291</v>
      </c>
      <c r="HP2038" t="s">
        <v>19743</v>
      </c>
      <c r="HR2038" s="1">
        <v>41787</v>
      </c>
      <c r="HS2038">
        <v>2013</v>
      </c>
      <c r="HT2038">
        <v>4616.34</v>
      </c>
      <c r="HU2038" t="s">
        <v>19744</v>
      </c>
      <c r="HV2038">
        <v>0.25</v>
      </c>
      <c r="HW2038" t="s">
        <v>424</v>
      </c>
      <c r="HX2038" t="s">
        <v>425</v>
      </c>
      <c r="HY2038" s="1">
        <v>42426</v>
      </c>
      <c r="HZ2038">
        <v>21</v>
      </c>
      <c r="IA2038">
        <v>2851116</v>
      </c>
      <c r="IB2038" t="s">
        <v>480</v>
      </c>
      <c r="ID2038" s="1">
        <v>41423</v>
      </c>
      <c r="IE2038">
        <v>2012</v>
      </c>
      <c r="IF2038">
        <v>4606.41</v>
      </c>
      <c r="IG2038" t="s">
        <v>19745</v>
      </c>
      <c r="IH2038">
        <v>0.25</v>
      </c>
      <c r="II2038" t="s">
        <v>424</v>
      </c>
      <c r="IJ2038" t="s">
        <v>425</v>
      </c>
      <c r="IK2038" s="1">
        <v>41838</v>
      </c>
      <c r="IL2038">
        <v>14</v>
      </c>
      <c r="IM2038">
        <v>606981</v>
      </c>
      <c r="IN2038" t="s">
        <v>792</v>
      </c>
      <c r="IP2038" s="1">
        <v>41052</v>
      </c>
      <c r="IQ2038">
        <v>2011</v>
      </c>
      <c r="IR2038">
        <v>4458.08</v>
      </c>
      <c r="IS2038" t="s">
        <v>19746</v>
      </c>
      <c r="IT2038">
        <v>0.25</v>
      </c>
      <c r="IU2038" t="s">
        <v>424</v>
      </c>
      <c r="IV2038" t="s">
        <v>425</v>
      </c>
      <c r="IW2038" s="1">
        <v>41695</v>
      </c>
      <c r="IX2038">
        <v>21</v>
      </c>
      <c r="IY2038">
        <v>13067</v>
      </c>
      <c r="IZ2038" t="s">
        <v>429</v>
      </c>
      <c r="JB2038" s="1">
        <v>41052</v>
      </c>
      <c r="JC2038">
        <v>2011</v>
      </c>
      <c r="JD2038">
        <v>4458.08</v>
      </c>
      <c r="JE2038" t="s">
        <v>19746</v>
      </c>
      <c r="JF2038">
        <v>0.25</v>
      </c>
      <c r="JG2038" t="s">
        <v>424</v>
      </c>
      <c r="JH2038" t="s">
        <v>425</v>
      </c>
      <c r="JJ2038">
        <v>22</v>
      </c>
      <c r="JK2038">
        <v>14331</v>
      </c>
      <c r="JL2038" t="s">
        <v>19747</v>
      </c>
      <c r="JN2038" s="1">
        <v>40688</v>
      </c>
      <c r="JO2038">
        <v>2010</v>
      </c>
      <c r="JP2038">
        <v>4570.75</v>
      </c>
      <c r="JQ2038" t="s">
        <v>19748</v>
      </c>
      <c r="JR2038">
        <v>5</v>
      </c>
      <c r="JS2038" t="s">
        <v>424</v>
      </c>
      <c r="JT2038" t="s">
        <v>425</v>
      </c>
      <c r="JU2038" s="1">
        <v>40848</v>
      </c>
      <c r="JV2038">
        <v>6</v>
      </c>
      <c r="JW2038">
        <v>11302</v>
      </c>
      <c r="JX2038" t="s">
        <v>3940</v>
      </c>
    </row>
    <row r="2039" spans="1:284" x14ac:dyDescent="0.25">
      <c r="A2039">
        <v>16487046</v>
      </c>
      <c r="B2039">
        <v>2038</v>
      </c>
      <c r="C2039" t="s">
        <v>393</v>
      </c>
      <c r="D2039" t="s">
        <v>394</v>
      </c>
      <c r="F2039" t="str">
        <f>"00-00-31-102U-S101-0000"</f>
        <v>00-00-31-102U-S101-0000</v>
      </c>
      <c r="H2039" t="str">
        <f t="shared" si="768"/>
        <v>AMELIA PARK TOWN CENTER LLC</v>
      </c>
      <c r="I2039" t="str">
        <f>"914 ATLANTIC AV 1D"</f>
        <v>914 ATLANTIC AV 1D</v>
      </c>
      <c r="J2039" t="str">
        <f t="shared" si="767"/>
        <v>FERNANDINA BEACH FL 32034</v>
      </c>
      <c r="K2039" t="str">
        <f>"1880 S 14TH ST 101"</f>
        <v>1880 S 14TH ST 101</v>
      </c>
      <c r="L2039" t="str">
        <f t="shared" si="758"/>
        <v>FERNANDINA BEACH FL 32034</v>
      </c>
      <c r="M2039" t="str">
        <f>"UNIT S101 PARK &amp; 14TH CONDO OR 1421/1973"</f>
        <v>UNIT S101 PARK &amp; 14TH CONDO OR 1421/1973</v>
      </c>
      <c r="N2039" t="str">
        <f>""</f>
        <v/>
      </c>
      <c r="O2039" t="str">
        <f>"5561"</f>
        <v>5561</v>
      </c>
      <c r="P2039" t="str">
        <f t="shared" si="749"/>
        <v>2017</v>
      </c>
      <c r="Q2039" t="str">
        <f>""</f>
        <v/>
      </c>
      <c r="R2039" t="str">
        <f t="shared" si="765"/>
        <v>N</v>
      </c>
      <c r="S2039" t="str">
        <f>""</f>
        <v/>
      </c>
      <c r="T2039" t="str">
        <f>"2714.85"</f>
        <v>2714.85</v>
      </c>
      <c r="U2039" t="str">
        <f>"136215.00"</f>
        <v>136215.00</v>
      </c>
      <c r="V2039" t="str">
        <f>"136215.00"</f>
        <v>136215.00</v>
      </c>
      <c r="W2039" t="str">
        <f t="shared" si="750"/>
        <v>2017</v>
      </c>
      <c r="X2039" t="str">
        <f>"15.50"</f>
        <v>15.50</v>
      </c>
      <c r="Y2039" t="str">
        <f>"2828.30"</f>
        <v>2828.30</v>
      </c>
      <c r="Z2039" t="str">
        <f>""</f>
        <v/>
      </c>
      <c r="AA2039" t="str">
        <f>"136215.00"</f>
        <v>136215.00</v>
      </c>
      <c r="AB2039" t="str">
        <f t="shared" si="769"/>
        <v>Residential</v>
      </c>
      <c r="AC2039" t="str">
        <f t="shared" si="762"/>
        <v>0</v>
      </c>
      <c r="AD2039" t="str">
        <f>""</f>
        <v/>
      </c>
      <c r="AE2039" t="str">
        <f>""</f>
        <v/>
      </c>
      <c r="AF2039" t="str">
        <f t="shared" si="770"/>
        <v>004</v>
      </c>
      <c r="AG2039" t="str">
        <f t="shared" si="766"/>
        <v>FL</v>
      </c>
      <c r="AH2039" t="str">
        <f t="shared" si="771"/>
        <v>-</v>
      </c>
      <c r="AI2039" t="str">
        <f t="shared" si="771"/>
        <v>-</v>
      </c>
      <c r="AJ2039" t="str">
        <f>"C55-000-988-1175-5"</f>
        <v>C55-000-988-1175-5</v>
      </c>
      <c r="AK2039" t="str">
        <f>"42788"</f>
        <v>42788</v>
      </c>
      <c r="AL2039">
        <v>8</v>
      </c>
      <c r="AM2039">
        <v>2333</v>
      </c>
      <c r="AN2039">
        <v>2968.12</v>
      </c>
      <c r="AQ2039" t="s">
        <v>19749</v>
      </c>
      <c r="AR2039" t="s">
        <v>19749</v>
      </c>
      <c r="AS2039" t="s">
        <v>19749</v>
      </c>
      <c r="AU2039" t="s">
        <v>396</v>
      </c>
      <c r="AV2039">
        <v>2017</v>
      </c>
      <c r="AW2039" t="str">
        <f>"00-00-31-102U-S101-0000 "</f>
        <v xml:space="preserve">00-00-31-102U-S101-0000 </v>
      </c>
      <c r="AX2039">
        <v>1880</v>
      </c>
      <c r="AY2039" t="s">
        <v>18674</v>
      </c>
      <c r="AZ2039" t="s">
        <v>19750</v>
      </c>
      <c r="BA2039" t="s">
        <v>1942</v>
      </c>
      <c r="BC2039">
        <v>101</v>
      </c>
      <c r="BD2039" t="s">
        <v>11749</v>
      </c>
      <c r="BE2039" t="s">
        <v>393</v>
      </c>
      <c r="BF2039">
        <v>32034</v>
      </c>
      <c r="BG2039" t="s">
        <v>19751</v>
      </c>
      <c r="BH2039" t="s">
        <v>11751</v>
      </c>
      <c r="BI2039">
        <v>-81.454663547789906</v>
      </c>
      <c r="BJ2039">
        <v>30.645583956138601</v>
      </c>
      <c r="BK2039" t="s">
        <v>19693</v>
      </c>
      <c r="BM2039" t="s">
        <v>19694</v>
      </c>
      <c r="BN2039" t="s">
        <v>3983</v>
      </c>
      <c r="BO2039">
        <v>32034</v>
      </c>
      <c r="BP2039" t="s">
        <v>404</v>
      </c>
      <c r="BQ2039">
        <v>417</v>
      </c>
      <c r="BR2039" t="s">
        <v>15097</v>
      </c>
      <c r="BS2039">
        <v>1004</v>
      </c>
      <c r="BT2039" t="s">
        <v>15098</v>
      </c>
      <c r="BW2039">
        <v>18679</v>
      </c>
      <c r="BX2039" t="s">
        <v>407</v>
      </c>
      <c r="CA2039">
        <v>2006</v>
      </c>
      <c r="CC2039">
        <v>1</v>
      </c>
      <c r="CD2039">
        <v>2017</v>
      </c>
      <c r="CF2039">
        <v>136215</v>
      </c>
      <c r="CG2039">
        <v>136215</v>
      </c>
      <c r="CH2039">
        <v>2017</v>
      </c>
      <c r="CJ2039">
        <v>136215</v>
      </c>
      <c r="CK2039">
        <v>136215</v>
      </c>
      <c r="CL2039">
        <v>2017</v>
      </c>
      <c r="CM2039">
        <v>2714.85</v>
      </c>
      <c r="DD2039" t="s">
        <v>11749</v>
      </c>
      <c r="DG2039">
        <v>30</v>
      </c>
      <c r="DI2039">
        <v>101</v>
      </c>
      <c r="DJ2039" t="s">
        <v>15276</v>
      </c>
      <c r="DL2039">
        <v>50101</v>
      </c>
      <c r="DM2039" t="s">
        <v>18678</v>
      </c>
      <c r="DO2039" t="s">
        <v>19752</v>
      </c>
      <c r="DP2039">
        <v>0</v>
      </c>
      <c r="DQ2039">
        <v>1</v>
      </c>
      <c r="DR2039" t="s">
        <v>411</v>
      </c>
      <c r="DS2039" t="b">
        <v>1</v>
      </c>
      <c r="DT2039" t="s">
        <v>470</v>
      </c>
      <c r="DU2039" t="s">
        <v>471</v>
      </c>
      <c r="DV2039" t="s">
        <v>472</v>
      </c>
      <c r="DX2039">
        <v>-9999</v>
      </c>
      <c r="DZ2039" t="s">
        <v>447</v>
      </c>
      <c r="EA2039" t="s">
        <v>448</v>
      </c>
      <c r="EB2039" t="s">
        <v>14787</v>
      </c>
      <c r="EC2039">
        <v>20101217</v>
      </c>
      <c r="ED2039" t="s">
        <v>474</v>
      </c>
      <c r="EF2039">
        <v>2677</v>
      </c>
      <c r="EG2039">
        <v>1852.1</v>
      </c>
      <c r="EI2039">
        <v>20160407</v>
      </c>
      <c r="EJ2039">
        <v>0</v>
      </c>
      <c r="EK2039">
        <v>0</v>
      </c>
      <c r="EP2039" t="s">
        <v>421</v>
      </c>
      <c r="EQ2039" t="s">
        <v>422</v>
      </c>
      <c r="ER2039">
        <v>2</v>
      </c>
      <c r="ES2039">
        <v>9</v>
      </c>
      <c r="ET2039">
        <v>6019.34</v>
      </c>
      <c r="EU2039">
        <v>313.47000000000003</v>
      </c>
      <c r="EV2039">
        <v>6332.81</v>
      </c>
      <c r="EW2039" s="2">
        <v>43222</v>
      </c>
      <c r="EX2039" s="1">
        <v>42879</v>
      </c>
      <c r="EY2039">
        <v>2016</v>
      </c>
      <c r="EZ2039">
        <v>3009.67</v>
      </c>
      <c r="FA2039" t="s">
        <v>19753</v>
      </c>
      <c r="FB2039">
        <v>0.25</v>
      </c>
      <c r="FC2039" t="s">
        <v>424</v>
      </c>
      <c r="FD2039" t="s">
        <v>454</v>
      </c>
      <c r="FF2039">
        <v>12</v>
      </c>
      <c r="FG2039">
        <v>5857474</v>
      </c>
      <c r="FH2039" t="s">
        <v>900</v>
      </c>
      <c r="FJ2039" s="1">
        <v>42879</v>
      </c>
      <c r="FK2039">
        <v>2016</v>
      </c>
      <c r="FL2039">
        <v>3009.67</v>
      </c>
      <c r="FM2039" t="s">
        <v>19753</v>
      </c>
      <c r="FN2039">
        <v>0.25</v>
      </c>
      <c r="FO2039" t="s">
        <v>424</v>
      </c>
      <c r="FP2039" t="s">
        <v>454</v>
      </c>
      <c r="FR2039">
        <v>12</v>
      </c>
      <c r="FS2039">
        <v>6353363</v>
      </c>
      <c r="FT2039" t="s">
        <v>19754</v>
      </c>
      <c r="FV2039" s="1">
        <v>42515</v>
      </c>
      <c r="FW2039">
        <v>2015</v>
      </c>
      <c r="FX2039">
        <v>2927.21</v>
      </c>
      <c r="FY2039" t="s">
        <v>19755</v>
      </c>
      <c r="FZ2039">
        <v>0.25</v>
      </c>
      <c r="GA2039" t="s">
        <v>424</v>
      </c>
      <c r="GB2039" t="s">
        <v>425</v>
      </c>
      <c r="GC2039" s="1">
        <v>43158</v>
      </c>
      <c r="GD2039">
        <v>21</v>
      </c>
      <c r="GE2039">
        <v>11289</v>
      </c>
      <c r="GF2039" t="s">
        <v>787</v>
      </c>
      <c r="GH2039" s="1">
        <v>42515</v>
      </c>
      <c r="GI2039">
        <v>2015</v>
      </c>
      <c r="GJ2039">
        <v>2927.21</v>
      </c>
      <c r="GK2039" t="s">
        <v>19755</v>
      </c>
      <c r="GL2039">
        <v>0.25</v>
      </c>
      <c r="GM2039" t="s">
        <v>424</v>
      </c>
      <c r="GN2039" t="s">
        <v>425</v>
      </c>
      <c r="GP2039">
        <v>22</v>
      </c>
      <c r="GQ2039">
        <v>5186590</v>
      </c>
      <c r="GR2039" t="s">
        <v>19756</v>
      </c>
      <c r="GT2039" s="1">
        <v>42151</v>
      </c>
      <c r="GU2039">
        <v>2014</v>
      </c>
      <c r="GV2039">
        <v>2947.97</v>
      </c>
      <c r="GW2039" t="s">
        <v>19757</v>
      </c>
      <c r="GX2039">
        <v>0.25</v>
      </c>
      <c r="GY2039" t="s">
        <v>424</v>
      </c>
      <c r="GZ2039" t="s">
        <v>425</v>
      </c>
      <c r="HA2039" s="1">
        <v>42794</v>
      </c>
      <c r="HB2039">
        <v>21</v>
      </c>
      <c r="HC2039">
        <v>4975594</v>
      </c>
      <c r="HD2039" t="s">
        <v>457</v>
      </c>
      <c r="HF2039" s="1">
        <v>42151</v>
      </c>
      <c r="HG2039">
        <v>2014</v>
      </c>
      <c r="HH2039">
        <v>2947.97</v>
      </c>
      <c r="HI2039" t="s">
        <v>19757</v>
      </c>
      <c r="HJ2039">
        <v>0.25</v>
      </c>
      <c r="HK2039" t="s">
        <v>424</v>
      </c>
      <c r="HL2039" t="s">
        <v>425</v>
      </c>
      <c r="HN2039">
        <v>22</v>
      </c>
      <c r="HO2039">
        <v>6291009</v>
      </c>
      <c r="HP2039" t="s">
        <v>19758</v>
      </c>
      <c r="HR2039" s="1">
        <v>41787</v>
      </c>
      <c r="HS2039">
        <v>2013</v>
      </c>
      <c r="HT2039">
        <v>2847.63</v>
      </c>
      <c r="HU2039" t="s">
        <v>19759</v>
      </c>
      <c r="HV2039">
        <v>0.25</v>
      </c>
      <c r="HW2039" t="s">
        <v>424</v>
      </c>
      <c r="HX2039" t="s">
        <v>425</v>
      </c>
      <c r="HY2039" s="1">
        <v>42426</v>
      </c>
      <c r="HZ2039">
        <v>21</v>
      </c>
      <c r="IA2039">
        <v>2407503</v>
      </c>
      <c r="IB2039" t="s">
        <v>461</v>
      </c>
      <c r="ID2039" s="1">
        <v>41423</v>
      </c>
      <c r="IE2039">
        <v>2012</v>
      </c>
      <c r="IF2039">
        <v>2848.02</v>
      </c>
      <c r="IG2039" t="s">
        <v>19760</v>
      </c>
      <c r="IH2039">
        <v>0.25</v>
      </c>
      <c r="II2039" t="s">
        <v>424</v>
      </c>
      <c r="IJ2039" t="s">
        <v>425</v>
      </c>
      <c r="IK2039" s="1">
        <v>41838</v>
      </c>
      <c r="IL2039">
        <v>14</v>
      </c>
      <c r="IM2039">
        <v>15259</v>
      </c>
      <c r="IN2039" t="s">
        <v>891</v>
      </c>
      <c r="IP2039" s="1">
        <v>41052</v>
      </c>
      <c r="IQ2039">
        <v>2011</v>
      </c>
      <c r="IR2039">
        <v>2753.54</v>
      </c>
      <c r="IS2039" t="s">
        <v>19761</v>
      </c>
      <c r="IT2039">
        <v>0.25</v>
      </c>
      <c r="IU2039" t="s">
        <v>424</v>
      </c>
      <c r="IV2039" t="s">
        <v>425</v>
      </c>
      <c r="IX2039">
        <v>22</v>
      </c>
      <c r="IY2039">
        <v>13457</v>
      </c>
      <c r="IZ2039" t="s">
        <v>19762</v>
      </c>
      <c r="JB2039" s="1">
        <v>41052</v>
      </c>
      <c r="JC2039">
        <v>2011</v>
      </c>
      <c r="JD2039">
        <v>2753.54</v>
      </c>
      <c r="JE2039" t="s">
        <v>19761</v>
      </c>
      <c r="JF2039">
        <v>0.25</v>
      </c>
      <c r="JG2039" t="s">
        <v>424</v>
      </c>
      <c r="JH2039" t="s">
        <v>425</v>
      </c>
      <c r="JI2039" s="1">
        <v>41695</v>
      </c>
      <c r="JJ2039">
        <v>21</v>
      </c>
      <c r="JK2039">
        <v>13067</v>
      </c>
      <c r="JL2039" t="s">
        <v>429</v>
      </c>
      <c r="JN2039" s="1">
        <v>40688</v>
      </c>
      <c r="JO2039">
        <v>2010</v>
      </c>
      <c r="JP2039">
        <v>2692.93</v>
      </c>
      <c r="JQ2039" t="s">
        <v>19763</v>
      </c>
      <c r="JR2039">
        <v>5</v>
      </c>
      <c r="JS2039" t="s">
        <v>424</v>
      </c>
      <c r="JT2039" t="s">
        <v>425</v>
      </c>
      <c r="JU2039" s="1">
        <v>40848</v>
      </c>
      <c r="JV2039">
        <v>6</v>
      </c>
      <c r="JW2039">
        <v>11302</v>
      </c>
      <c r="JX2039" t="s">
        <v>3940</v>
      </c>
    </row>
    <row r="2040" spans="1:284" x14ac:dyDescent="0.25">
      <c r="A2040">
        <v>16487047</v>
      </c>
      <c r="B2040">
        <v>2039</v>
      </c>
      <c r="C2040" t="s">
        <v>393</v>
      </c>
      <c r="D2040" t="s">
        <v>394</v>
      </c>
      <c r="F2040" t="str">
        <f>"00-00-31-102U-S102-0000"</f>
        <v>00-00-31-102U-S102-0000</v>
      </c>
      <c r="H2040" t="str">
        <f t="shared" si="768"/>
        <v>AMELIA PARK TOWN CENTER LLC</v>
      </c>
      <c r="I2040" t="str">
        <f>"914 ATLANTIC AV 1D"</f>
        <v>914 ATLANTIC AV 1D</v>
      </c>
      <c r="J2040" t="str">
        <f t="shared" si="767"/>
        <v>FERNANDINA BEACH FL 32034</v>
      </c>
      <c r="K2040" t="str">
        <f>"1880 S 14TH ST 102"</f>
        <v>1880 S 14TH ST 102</v>
      </c>
      <c r="L2040" t="str">
        <f t="shared" si="758"/>
        <v>FERNANDINA BEACH FL 32034</v>
      </c>
      <c r="M2040" t="str">
        <f>"UNIT S102 PARK &amp; 14TH CONDO OR 1421/1973"</f>
        <v>UNIT S102 PARK &amp; 14TH CONDO OR 1421/1973</v>
      </c>
      <c r="N2040" t="str">
        <f>""</f>
        <v/>
      </c>
      <c r="O2040" t="str">
        <f>"5562"</f>
        <v>5562</v>
      </c>
      <c r="P2040" t="str">
        <f t="shared" si="749"/>
        <v>2017</v>
      </c>
      <c r="Q2040" t="str">
        <f>""</f>
        <v/>
      </c>
      <c r="R2040" t="str">
        <f t="shared" si="765"/>
        <v>N</v>
      </c>
      <c r="S2040" t="str">
        <f>""</f>
        <v/>
      </c>
      <c r="T2040" t="str">
        <f>"3056.59"</f>
        <v>3056.59</v>
      </c>
      <c r="U2040" t="str">
        <f>"153360.00"</f>
        <v>153360.00</v>
      </c>
      <c r="V2040" t="str">
        <f>"153360.00"</f>
        <v>153360.00</v>
      </c>
      <c r="W2040" t="str">
        <f t="shared" si="750"/>
        <v>2017</v>
      </c>
      <c r="X2040" t="str">
        <f>"15.50"</f>
        <v>15.50</v>
      </c>
      <c r="Y2040" t="str">
        <f>"3180.29"</f>
        <v>3180.29</v>
      </c>
      <c r="Z2040" t="str">
        <f>""</f>
        <v/>
      </c>
      <c r="AA2040" t="str">
        <f>"153360.00"</f>
        <v>153360.00</v>
      </c>
      <c r="AB2040" t="str">
        <f t="shared" si="769"/>
        <v>Residential</v>
      </c>
      <c r="AC2040" t="str">
        <f t="shared" si="762"/>
        <v>0</v>
      </c>
      <c r="AD2040" t="str">
        <f>""</f>
        <v/>
      </c>
      <c r="AE2040" t="str">
        <f>""</f>
        <v/>
      </c>
      <c r="AF2040" t="str">
        <f t="shared" si="770"/>
        <v>004</v>
      </c>
      <c r="AG2040" t="str">
        <f t="shared" si="766"/>
        <v>FL</v>
      </c>
      <c r="AH2040" t="str">
        <f t="shared" si="771"/>
        <v>-</v>
      </c>
      <c r="AI2040" t="str">
        <f t="shared" si="771"/>
        <v>-</v>
      </c>
      <c r="AJ2040" t="str">
        <f>"C55-000-988-1176-3"</f>
        <v>C55-000-988-1176-3</v>
      </c>
      <c r="AK2040" t="str">
        <f>"42789"</f>
        <v>42789</v>
      </c>
      <c r="AL2040">
        <v>8</v>
      </c>
      <c r="AM2040">
        <v>2334</v>
      </c>
      <c r="AN2040">
        <v>3337.7</v>
      </c>
      <c r="AQ2040" t="s">
        <v>19764</v>
      </c>
      <c r="AR2040" t="s">
        <v>19764</v>
      </c>
      <c r="AS2040" t="s">
        <v>19764</v>
      </c>
      <c r="AU2040" t="s">
        <v>396</v>
      </c>
      <c r="AV2040">
        <v>2017</v>
      </c>
      <c r="AW2040" t="str">
        <f>"00-00-31-102U-S102-0000 "</f>
        <v xml:space="preserve">00-00-31-102U-S102-0000 </v>
      </c>
      <c r="AX2040">
        <v>1880</v>
      </c>
      <c r="AY2040" t="s">
        <v>18674</v>
      </c>
      <c r="AZ2040" t="s">
        <v>19750</v>
      </c>
      <c r="BA2040" t="s">
        <v>1942</v>
      </c>
      <c r="BC2040">
        <v>102</v>
      </c>
      <c r="BD2040" t="s">
        <v>11749</v>
      </c>
      <c r="BE2040" t="s">
        <v>393</v>
      </c>
      <c r="BF2040">
        <v>32034</v>
      </c>
      <c r="BG2040" t="s">
        <v>19765</v>
      </c>
      <c r="BH2040" t="s">
        <v>11751</v>
      </c>
      <c r="BI2040">
        <v>-81.454663547789906</v>
      </c>
      <c r="BJ2040">
        <v>30.645583956138601</v>
      </c>
      <c r="BK2040" t="s">
        <v>19693</v>
      </c>
      <c r="BM2040" t="s">
        <v>19694</v>
      </c>
      <c r="BN2040" t="s">
        <v>3983</v>
      </c>
      <c r="BO2040">
        <v>32034</v>
      </c>
      <c r="BP2040" t="s">
        <v>404</v>
      </c>
      <c r="BQ2040">
        <v>417</v>
      </c>
      <c r="BR2040" t="s">
        <v>15097</v>
      </c>
      <c r="BS2040">
        <v>1004</v>
      </c>
      <c r="BT2040" t="s">
        <v>15098</v>
      </c>
      <c r="BW2040">
        <v>18679</v>
      </c>
      <c r="BX2040" t="s">
        <v>407</v>
      </c>
      <c r="CA2040">
        <v>2006</v>
      </c>
      <c r="CC2040">
        <v>1</v>
      </c>
      <c r="CD2040">
        <v>2017</v>
      </c>
      <c r="CF2040">
        <v>153360</v>
      </c>
      <c r="CG2040">
        <v>153360</v>
      </c>
      <c r="CH2040">
        <v>2017</v>
      </c>
      <c r="CJ2040">
        <v>153360</v>
      </c>
      <c r="CK2040">
        <v>153360</v>
      </c>
      <c r="CL2040">
        <v>2017</v>
      </c>
      <c r="CM2040">
        <v>3056.59</v>
      </c>
      <c r="DD2040" t="s">
        <v>11749</v>
      </c>
      <c r="DG2040">
        <v>30</v>
      </c>
      <c r="DI2040">
        <v>102</v>
      </c>
      <c r="DJ2040" t="s">
        <v>15276</v>
      </c>
      <c r="DL2040">
        <v>50101</v>
      </c>
      <c r="DM2040" t="s">
        <v>18678</v>
      </c>
      <c r="DO2040" t="s">
        <v>19766</v>
      </c>
      <c r="DP2040">
        <v>0</v>
      </c>
      <c r="DQ2040">
        <v>1</v>
      </c>
      <c r="DR2040" t="s">
        <v>411</v>
      </c>
      <c r="DS2040" t="b">
        <v>1</v>
      </c>
      <c r="DT2040" t="s">
        <v>470</v>
      </c>
      <c r="DU2040" t="s">
        <v>471</v>
      </c>
      <c r="DV2040" t="s">
        <v>472</v>
      </c>
      <c r="DX2040">
        <v>-9999</v>
      </c>
      <c r="DZ2040" t="s">
        <v>447</v>
      </c>
      <c r="EA2040" t="s">
        <v>448</v>
      </c>
      <c r="EB2040" t="s">
        <v>14787</v>
      </c>
      <c r="EC2040">
        <v>20101217</v>
      </c>
      <c r="ED2040" t="s">
        <v>474</v>
      </c>
      <c r="EF2040">
        <v>2677</v>
      </c>
      <c r="EG2040">
        <v>1852.1</v>
      </c>
      <c r="EI2040">
        <v>20160407</v>
      </c>
      <c r="EJ2040">
        <v>0</v>
      </c>
      <c r="EK2040">
        <v>0</v>
      </c>
      <c r="EP2040" t="s">
        <v>421</v>
      </c>
      <c r="EQ2040" t="s">
        <v>422</v>
      </c>
      <c r="ER2040">
        <v>2</v>
      </c>
      <c r="ES2040">
        <v>8</v>
      </c>
      <c r="ET2040">
        <v>6770.2</v>
      </c>
      <c r="EU2040">
        <v>351.01</v>
      </c>
      <c r="EV2040">
        <v>7121.21</v>
      </c>
      <c r="EW2040" s="2">
        <v>43222</v>
      </c>
      <c r="EX2040" s="1">
        <v>42879</v>
      </c>
      <c r="EY2040">
        <v>2016</v>
      </c>
      <c r="EZ2040">
        <v>3385.1</v>
      </c>
      <c r="FA2040" t="s">
        <v>19767</v>
      </c>
      <c r="FB2040">
        <v>0.25</v>
      </c>
      <c r="FC2040" t="s">
        <v>424</v>
      </c>
      <c r="FD2040" t="s">
        <v>454</v>
      </c>
      <c r="FF2040">
        <v>12</v>
      </c>
      <c r="FG2040">
        <v>5857474</v>
      </c>
      <c r="FH2040" t="s">
        <v>900</v>
      </c>
      <c r="FJ2040" s="1">
        <v>42879</v>
      </c>
      <c r="FK2040">
        <v>2016</v>
      </c>
      <c r="FL2040">
        <v>3385.1</v>
      </c>
      <c r="FM2040" t="s">
        <v>19767</v>
      </c>
      <c r="FN2040">
        <v>0.25</v>
      </c>
      <c r="FO2040" t="s">
        <v>424</v>
      </c>
      <c r="FP2040" t="s">
        <v>454</v>
      </c>
      <c r="FR2040">
        <v>12</v>
      </c>
      <c r="FS2040">
        <v>6445351</v>
      </c>
      <c r="FT2040" t="s">
        <v>19768</v>
      </c>
      <c r="FV2040" s="1">
        <v>42515</v>
      </c>
      <c r="FW2040">
        <v>2015</v>
      </c>
      <c r="FX2040">
        <v>3304.23</v>
      </c>
      <c r="FY2040" t="s">
        <v>19769</v>
      </c>
      <c r="FZ2040">
        <v>0.25</v>
      </c>
      <c r="GA2040" t="s">
        <v>424</v>
      </c>
      <c r="GB2040" t="s">
        <v>425</v>
      </c>
      <c r="GC2040" s="1">
        <v>43158</v>
      </c>
      <c r="GD2040">
        <v>21</v>
      </c>
      <c r="GE2040">
        <v>7336671</v>
      </c>
      <c r="GF2040" t="s">
        <v>437</v>
      </c>
      <c r="GH2040" s="1">
        <v>42515</v>
      </c>
      <c r="GI2040">
        <v>2015</v>
      </c>
      <c r="GJ2040">
        <v>3304.23</v>
      </c>
      <c r="GK2040" t="s">
        <v>19769</v>
      </c>
      <c r="GL2040">
        <v>0.25</v>
      </c>
      <c r="GM2040" t="s">
        <v>424</v>
      </c>
      <c r="GN2040" t="s">
        <v>425</v>
      </c>
      <c r="GP2040">
        <v>22</v>
      </c>
      <c r="GQ2040">
        <v>6731475</v>
      </c>
      <c r="GR2040" t="s">
        <v>19770</v>
      </c>
      <c r="GT2040" s="1">
        <v>42151</v>
      </c>
      <c r="GU2040">
        <v>2014</v>
      </c>
      <c r="GV2040">
        <v>3283</v>
      </c>
      <c r="GW2040" t="s">
        <v>19771</v>
      </c>
      <c r="GX2040">
        <v>0.25</v>
      </c>
      <c r="GY2040" t="s">
        <v>424</v>
      </c>
      <c r="GZ2040" t="s">
        <v>425</v>
      </c>
      <c r="HA2040" s="1">
        <v>42794</v>
      </c>
      <c r="HB2040">
        <v>21</v>
      </c>
      <c r="HC2040">
        <v>4844983</v>
      </c>
      <c r="HD2040" t="s">
        <v>3901</v>
      </c>
      <c r="HF2040" s="1">
        <v>42151</v>
      </c>
      <c r="HG2040">
        <v>2014</v>
      </c>
      <c r="HH2040">
        <v>3283</v>
      </c>
      <c r="HI2040" t="s">
        <v>19771</v>
      </c>
      <c r="HJ2040">
        <v>0.25</v>
      </c>
      <c r="HK2040" t="s">
        <v>424</v>
      </c>
      <c r="HL2040" t="s">
        <v>425</v>
      </c>
      <c r="HN2040">
        <v>22</v>
      </c>
      <c r="HO2040">
        <v>5999116</v>
      </c>
      <c r="HP2040" t="s">
        <v>19772</v>
      </c>
      <c r="HR2040" s="1">
        <v>41787</v>
      </c>
      <c r="HS2040">
        <v>2013</v>
      </c>
      <c r="HT2040">
        <v>3171.18</v>
      </c>
      <c r="HU2040" t="s">
        <v>19773</v>
      </c>
      <c r="HV2040">
        <v>0.25</v>
      </c>
      <c r="HW2040" t="s">
        <v>424</v>
      </c>
      <c r="HX2040" t="s">
        <v>425</v>
      </c>
      <c r="HY2040" s="1">
        <v>42426</v>
      </c>
      <c r="HZ2040">
        <v>21</v>
      </c>
      <c r="IA2040">
        <v>2851116</v>
      </c>
      <c r="IB2040" t="s">
        <v>480</v>
      </c>
      <c r="ID2040" s="1">
        <v>41423</v>
      </c>
      <c r="IE2040">
        <v>2012</v>
      </c>
      <c r="IF2040">
        <v>3156.76</v>
      </c>
      <c r="IG2040" t="s">
        <v>19774</v>
      </c>
      <c r="IH2040">
        <v>0.25</v>
      </c>
      <c r="II2040" t="s">
        <v>424</v>
      </c>
      <c r="IJ2040" t="s">
        <v>425</v>
      </c>
      <c r="IK2040" s="1">
        <v>41838</v>
      </c>
      <c r="IL2040">
        <v>14</v>
      </c>
      <c r="IM2040">
        <v>15970</v>
      </c>
      <c r="IN2040" t="s">
        <v>1435</v>
      </c>
      <c r="IP2040" s="1">
        <v>41052</v>
      </c>
      <c r="IQ2040">
        <v>2011</v>
      </c>
      <c r="IR2040">
        <v>3052.81</v>
      </c>
      <c r="IS2040" t="s">
        <v>19775</v>
      </c>
      <c r="IT2040">
        <v>0.25</v>
      </c>
      <c r="IU2040" t="s">
        <v>424</v>
      </c>
      <c r="IV2040" t="s">
        <v>425</v>
      </c>
      <c r="IW2040" s="1">
        <v>41695</v>
      </c>
      <c r="IX2040">
        <v>21</v>
      </c>
      <c r="IY2040">
        <v>13261</v>
      </c>
      <c r="IZ2040" t="s">
        <v>7678</v>
      </c>
      <c r="JB2040" s="1">
        <v>40688</v>
      </c>
      <c r="JC2040">
        <v>2010</v>
      </c>
      <c r="JD2040">
        <v>3030.25</v>
      </c>
      <c r="JE2040" t="s">
        <v>19776</v>
      </c>
      <c r="JF2040">
        <v>5</v>
      </c>
      <c r="JG2040" t="s">
        <v>424</v>
      </c>
      <c r="JH2040" t="s">
        <v>425</v>
      </c>
      <c r="JI2040" s="1">
        <v>40848</v>
      </c>
      <c r="JJ2040">
        <v>6</v>
      </c>
      <c r="JK2040">
        <v>11302</v>
      </c>
      <c r="JL2040" t="s">
        <v>3940</v>
      </c>
    </row>
    <row r="2041" spans="1:284" x14ac:dyDescent="0.25">
      <c r="A2041">
        <v>16487048</v>
      </c>
      <c r="B2041">
        <v>2040</v>
      </c>
      <c r="C2041" t="s">
        <v>393</v>
      </c>
      <c r="D2041" t="s">
        <v>394</v>
      </c>
      <c r="F2041" t="str">
        <f>"00-00-31-102U-S103-0000"</f>
        <v>00-00-31-102U-S103-0000</v>
      </c>
      <c r="H2041" t="str">
        <f t="shared" si="768"/>
        <v>AMELIA PARK TOWN CENTER LLC</v>
      </c>
      <c r="I2041" t="str">
        <f>"914 ATLANTIC AV 1D"</f>
        <v>914 ATLANTIC AV 1D</v>
      </c>
      <c r="J2041" t="str">
        <f t="shared" si="767"/>
        <v>FERNANDINA BEACH FL 32034</v>
      </c>
      <c r="K2041" t="str">
        <f>"1880 S 14TH ST 103"</f>
        <v>1880 S 14TH ST 103</v>
      </c>
      <c r="L2041" t="str">
        <f t="shared" si="758"/>
        <v>FERNANDINA BEACH FL 32034</v>
      </c>
      <c r="M2041" t="str">
        <f>"UNIT S103 PARK &amp; 14TH CONDO OR 1421/1973"</f>
        <v>UNIT S103 PARK &amp; 14TH CONDO OR 1421/1973</v>
      </c>
      <c r="N2041" t="str">
        <f>""</f>
        <v/>
      </c>
      <c r="O2041" t="str">
        <f>"5563"</f>
        <v>5563</v>
      </c>
      <c r="P2041" t="str">
        <f t="shared" si="749"/>
        <v>2017</v>
      </c>
      <c r="Q2041" t="str">
        <f>""</f>
        <v/>
      </c>
      <c r="R2041" t="str">
        <f t="shared" si="765"/>
        <v>N</v>
      </c>
      <c r="S2041" t="str">
        <f>""</f>
        <v/>
      </c>
      <c r="T2041" t="str">
        <f>"3045.82"</f>
        <v>3045.82</v>
      </c>
      <c r="U2041" t="str">
        <f>"152820.00"</f>
        <v>152820.00</v>
      </c>
      <c r="V2041" t="str">
        <f>"152820.00"</f>
        <v>152820.00</v>
      </c>
      <c r="W2041" t="str">
        <f t="shared" si="750"/>
        <v>2017</v>
      </c>
      <c r="X2041" t="str">
        <f>"15.50"</f>
        <v>15.50</v>
      </c>
      <c r="Y2041" t="str">
        <f>"3169.19"</f>
        <v>3169.19</v>
      </c>
      <c r="Z2041" t="str">
        <f>""</f>
        <v/>
      </c>
      <c r="AA2041" t="str">
        <f>"152820.00"</f>
        <v>152820.00</v>
      </c>
      <c r="AB2041" t="str">
        <f t="shared" si="769"/>
        <v>Residential</v>
      </c>
      <c r="AC2041" t="str">
        <f t="shared" si="762"/>
        <v>0</v>
      </c>
      <c r="AD2041" t="str">
        <f>""</f>
        <v/>
      </c>
      <c r="AE2041" t="str">
        <f>""</f>
        <v/>
      </c>
      <c r="AF2041" t="str">
        <f t="shared" si="770"/>
        <v>004</v>
      </c>
      <c r="AG2041" t="str">
        <f t="shared" si="766"/>
        <v>FL</v>
      </c>
      <c r="AH2041" t="str">
        <f t="shared" si="771"/>
        <v>-</v>
      </c>
      <c r="AI2041" t="str">
        <f t="shared" si="771"/>
        <v>-</v>
      </c>
      <c r="AJ2041" t="str">
        <f>"C55-000-988-1177-1"</f>
        <v>C55-000-988-1177-1</v>
      </c>
      <c r="AK2041" t="str">
        <f>"42790"</f>
        <v>42790</v>
      </c>
      <c r="AL2041">
        <v>8</v>
      </c>
      <c r="AM2041">
        <v>2335</v>
      </c>
      <c r="AN2041">
        <v>3326.05</v>
      </c>
      <c r="AQ2041" t="s">
        <v>19777</v>
      </c>
      <c r="AR2041" t="s">
        <v>19777</v>
      </c>
      <c r="AS2041" t="s">
        <v>19777</v>
      </c>
      <c r="AU2041" t="s">
        <v>396</v>
      </c>
      <c r="AV2041">
        <v>2017</v>
      </c>
      <c r="AW2041" t="str">
        <f>"00-00-31-102U-S103-0000 "</f>
        <v xml:space="preserve">00-00-31-102U-S103-0000 </v>
      </c>
      <c r="AX2041">
        <v>1880</v>
      </c>
      <c r="AY2041" t="s">
        <v>18674</v>
      </c>
      <c r="AZ2041" t="s">
        <v>19750</v>
      </c>
      <c r="BA2041" t="s">
        <v>1942</v>
      </c>
      <c r="BC2041">
        <v>103</v>
      </c>
      <c r="BD2041" t="s">
        <v>11749</v>
      </c>
      <c r="BE2041" t="s">
        <v>393</v>
      </c>
      <c r="BF2041">
        <v>32034</v>
      </c>
      <c r="BG2041" t="s">
        <v>19778</v>
      </c>
      <c r="BH2041" t="s">
        <v>11751</v>
      </c>
      <c r="BI2041">
        <v>-81.454663547789906</v>
      </c>
      <c r="BJ2041">
        <v>30.645583956138601</v>
      </c>
      <c r="BK2041" t="s">
        <v>19693</v>
      </c>
      <c r="BM2041" t="s">
        <v>19694</v>
      </c>
      <c r="BN2041" t="s">
        <v>3983</v>
      </c>
      <c r="BO2041">
        <v>32034</v>
      </c>
      <c r="BP2041" t="s">
        <v>404</v>
      </c>
      <c r="BQ2041">
        <v>417</v>
      </c>
      <c r="BR2041" t="s">
        <v>15097</v>
      </c>
      <c r="BS2041">
        <v>1004</v>
      </c>
      <c r="BT2041" t="s">
        <v>15098</v>
      </c>
      <c r="BW2041">
        <v>18679</v>
      </c>
      <c r="BX2041" t="s">
        <v>407</v>
      </c>
      <c r="CA2041">
        <v>2006</v>
      </c>
      <c r="CC2041">
        <v>1</v>
      </c>
      <c r="CD2041">
        <v>2017</v>
      </c>
      <c r="CF2041">
        <v>152820</v>
      </c>
      <c r="CG2041">
        <v>152820</v>
      </c>
      <c r="CH2041">
        <v>2017</v>
      </c>
      <c r="CJ2041">
        <v>152820</v>
      </c>
      <c r="CK2041">
        <v>152820</v>
      </c>
      <c r="CL2041">
        <v>2017</v>
      </c>
      <c r="CM2041">
        <v>3045.82</v>
      </c>
      <c r="DD2041" t="s">
        <v>11749</v>
      </c>
      <c r="DG2041">
        <v>30</v>
      </c>
      <c r="DI2041">
        <v>103</v>
      </c>
      <c r="DJ2041" t="s">
        <v>15276</v>
      </c>
      <c r="DL2041">
        <v>50101</v>
      </c>
      <c r="DM2041" t="s">
        <v>18678</v>
      </c>
      <c r="DO2041" t="s">
        <v>19779</v>
      </c>
      <c r="DP2041">
        <v>0</v>
      </c>
      <c r="DQ2041">
        <v>1</v>
      </c>
      <c r="DR2041" t="s">
        <v>411</v>
      </c>
      <c r="DS2041" t="b">
        <v>1</v>
      </c>
      <c r="DT2041" t="s">
        <v>470</v>
      </c>
      <c r="DU2041" t="s">
        <v>471</v>
      </c>
      <c r="DV2041" t="s">
        <v>472</v>
      </c>
      <c r="DX2041">
        <v>-9999</v>
      </c>
      <c r="DZ2041" t="s">
        <v>447</v>
      </c>
      <c r="EA2041" t="s">
        <v>448</v>
      </c>
      <c r="EB2041" t="s">
        <v>14787</v>
      </c>
      <c r="EC2041">
        <v>20101217</v>
      </c>
      <c r="ED2041" t="s">
        <v>474</v>
      </c>
      <c r="EF2041">
        <v>2677</v>
      </c>
      <c r="EG2041">
        <v>1852.1</v>
      </c>
      <c r="EI2041">
        <v>20160407</v>
      </c>
      <c r="EJ2041">
        <v>0</v>
      </c>
      <c r="EK2041">
        <v>0</v>
      </c>
      <c r="EP2041" t="s">
        <v>421</v>
      </c>
      <c r="EQ2041" t="s">
        <v>422</v>
      </c>
      <c r="ER2041">
        <v>2</v>
      </c>
      <c r="ES2041">
        <v>8</v>
      </c>
      <c r="ET2041">
        <v>6746.54</v>
      </c>
      <c r="EU2041">
        <v>349.83</v>
      </c>
      <c r="EV2041">
        <v>7096.37</v>
      </c>
      <c r="EW2041" s="2">
        <v>43222</v>
      </c>
      <c r="EX2041" s="1">
        <v>42879</v>
      </c>
      <c r="EY2041">
        <v>2016</v>
      </c>
      <c r="EZ2041">
        <v>3373.27</v>
      </c>
      <c r="FA2041" t="s">
        <v>19780</v>
      </c>
      <c r="FB2041">
        <v>0.25</v>
      </c>
      <c r="FC2041" t="s">
        <v>424</v>
      </c>
      <c r="FD2041" t="s">
        <v>454</v>
      </c>
      <c r="FF2041">
        <v>12</v>
      </c>
      <c r="FG2041">
        <v>5857474</v>
      </c>
      <c r="FH2041" t="s">
        <v>900</v>
      </c>
      <c r="FJ2041" s="1">
        <v>42879</v>
      </c>
      <c r="FK2041">
        <v>2016</v>
      </c>
      <c r="FL2041">
        <v>3373.27</v>
      </c>
      <c r="FM2041" t="s">
        <v>19780</v>
      </c>
      <c r="FN2041">
        <v>0.25</v>
      </c>
      <c r="FO2041" t="s">
        <v>424</v>
      </c>
      <c r="FP2041" t="s">
        <v>454</v>
      </c>
      <c r="FR2041">
        <v>12</v>
      </c>
      <c r="FS2041">
        <v>6612727</v>
      </c>
      <c r="FT2041" t="s">
        <v>19781</v>
      </c>
      <c r="FV2041" s="1">
        <v>42515</v>
      </c>
      <c r="FW2041">
        <v>2015</v>
      </c>
      <c r="FX2041">
        <v>4097.0600000000004</v>
      </c>
      <c r="FY2041" t="s">
        <v>19782</v>
      </c>
      <c r="FZ2041">
        <v>0.25</v>
      </c>
      <c r="GA2041" t="s">
        <v>424</v>
      </c>
      <c r="GB2041" t="s">
        <v>425</v>
      </c>
      <c r="GC2041" s="1">
        <v>43158</v>
      </c>
      <c r="GD2041">
        <v>21</v>
      </c>
      <c r="GE2041">
        <v>7336671</v>
      </c>
      <c r="GF2041" t="s">
        <v>437</v>
      </c>
      <c r="GH2041" s="1">
        <v>42515</v>
      </c>
      <c r="GI2041">
        <v>2015</v>
      </c>
      <c r="GJ2041">
        <v>4097.0600000000004</v>
      </c>
      <c r="GK2041" t="s">
        <v>19782</v>
      </c>
      <c r="GL2041">
        <v>0.25</v>
      </c>
      <c r="GM2041" t="s">
        <v>424</v>
      </c>
      <c r="GN2041" t="s">
        <v>425</v>
      </c>
      <c r="GP2041">
        <v>22</v>
      </c>
      <c r="GQ2041">
        <v>7028856</v>
      </c>
      <c r="GR2041" t="s">
        <v>19783</v>
      </c>
      <c r="GT2041" s="1">
        <v>42151</v>
      </c>
      <c r="GU2041">
        <v>2014</v>
      </c>
      <c r="GV2041">
        <v>4070.35</v>
      </c>
      <c r="GW2041" t="s">
        <v>19784</v>
      </c>
      <c r="GX2041">
        <v>0.25</v>
      </c>
      <c r="GY2041" t="s">
        <v>424</v>
      </c>
      <c r="GZ2041" t="s">
        <v>425</v>
      </c>
      <c r="HA2041" s="1">
        <v>42794</v>
      </c>
      <c r="HB2041">
        <v>21</v>
      </c>
      <c r="HC2041">
        <v>2851116</v>
      </c>
      <c r="HD2041" t="s">
        <v>480</v>
      </c>
      <c r="HF2041" s="1">
        <v>42151</v>
      </c>
      <c r="HG2041">
        <v>2014</v>
      </c>
      <c r="HH2041">
        <v>4070.35</v>
      </c>
      <c r="HI2041" t="s">
        <v>19784</v>
      </c>
      <c r="HJ2041">
        <v>0.25</v>
      </c>
      <c r="HK2041" t="s">
        <v>424</v>
      </c>
      <c r="HL2041" t="s">
        <v>425</v>
      </c>
      <c r="HN2041">
        <v>22</v>
      </c>
      <c r="HO2041">
        <v>5362440</v>
      </c>
      <c r="HP2041" t="s">
        <v>19785</v>
      </c>
      <c r="HR2041" s="1">
        <v>41787</v>
      </c>
      <c r="HS2041">
        <v>2013</v>
      </c>
      <c r="HT2041">
        <v>3931.51</v>
      </c>
      <c r="HU2041" t="s">
        <v>19786</v>
      </c>
      <c r="HV2041">
        <v>0.25</v>
      </c>
      <c r="HW2041" t="s">
        <v>424</v>
      </c>
      <c r="HX2041" t="s">
        <v>425</v>
      </c>
      <c r="HY2041" s="1">
        <v>42426</v>
      </c>
      <c r="HZ2041">
        <v>21</v>
      </c>
      <c r="IA2041">
        <v>2757457</v>
      </c>
      <c r="IB2041" t="s">
        <v>648</v>
      </c>
      <c r="ID2041" s="1">
        <v>41423</v>
      </c>
      <c r="IE2041">
        <v>2012</v>
      </c>
      <c r="IF2041">
        <v>3924.31</v>
      </c>
      <c r="IG2041" t="s">
        <v>19787</v>
      </c>
      <c r="IH2041">
        <v>0.25</v>
      </c>
      <c r="II2041" t="s">
        <v>424</v>
      </c>
      <c r="IJ2041" t="s">
        <v>425</v>
      </c>
      <c r="IK2041" s="1">
        <v>41838</v>
      </c>
      <c r="IL2041">
        <v>14</v>
      </c>
      <c r="IM2041">
        <v>11303</v>
      </c>
      <c r="IN2041" t="s">
        <v>918</v>
      </c>
      <c r="IP2041" s="1">
        <v>41052</v>
      </c>
      <c r="IQ2041">
        <v>2011</v>
      </c>
      <c r="IR2041">
        <v>3796.86</v>
      </c>
      <c r="IS2041" t="s">
        <v>19788</v>
      </c>
      <c r="IT2041">
        <v>0.25</v>
      </c>
      <c r="IU2041" t="s">
        <v>424</v>
      </c>
      <c r="IV2041" t="s">
        <v>425</v>
      </c>
      <c r="IW2041" s="1">
        <v>41695</v>
      </c>
      <c r="IX2041">
        <v>21</v>
      </c>
      <c r="IY2041">
        <v>13263</v>
      </c>
      <c r="IZ2041" t="s">
        <v>19719</v>
      </c>
      <c r="JB2041" s="1">
        <v>40688</v>
      </c>
      <c r="JC2041">
        <v>2010</v>
      </c>
      <c r="JD2041">
        <v>3771.28</v>
      </c>
      <c r="JE2041" t="s">
        <v>19789</v>
      </c>
      <c r="JF2041">
        <v>5</v>
      </c>
      <c r="JG2041" t="s">
        <v>424</v>
      </c>
      <c r="JH2041" t="s">
        <v>425</v>
      </c>
      <c r="JI2041" s="1">
        <v>40848</v>
      </c>
      <c r="JJ2041">
        <v>6</v>
      </c>
      <c r="JK2041">
        <v>11302</v>
      </c>
      <c r="JL2041" t="s">
        <v>3940</v>
      </c>
    </row>
    <row r="2042" spans="1:284" x14ac:dyDescent="0.25">
      <c r="A2042">
        <v>16487049</v>
      </c>
      <c r="B2042">
        <v>2041</v>
      </c>
      <c r="C2042" t="s">
        <v>393</v>
      </c>
      <c r="D2042" t="s">
        <v>394</v>
      </c>
      <c r="F2042" t="str">
        <f>"00-00-31-1030-002K-0000"</f>
        <v>00-00-31-1030-002K-0000</v>
      </c>
      <c r="H2042" t="str">
        <f>"TUCKER MARY ALICE TRUST C/O JAMES A TUCKER"</f>
        <v>TUCKER MARY ALICE TRUST C/O JAMES A TUCKER</v>
      </c>
      <c r="I2042" t="str">
        <f>"8619 VILLA SAN JOSE DR E"</f>
        <v>8619 VILLA SAN JOSE DR E</v>
      </c>
      <c r="J2042" t="str">
        <f>"JACKSONVILLE FL 32207"</f>
        <v>JACKSONVILLE FL 32207</v>
      </c>
      <c r="K2042" t="str">
        <f>"3350 S FLETCHER AV 2K"</f>
        <v>3350 S FLETCHER AV 2K</v>
      </c>
      <c r="L2042" t="str">
        <f t="shared" si="758"/>
        <v>FERNANDINA BEACH FL 32034</v>
      </c>
      <c r="M2042" t="str">
        <f>"UNIT 2K &amp; F/K/A CARPORT UNIT I-36 N/K/A PARKING UNIT I-36 OR 202/132 &amp; OR 666/125 PT OR 1085/1359 AMELIA SOUTH"</f>
        <v>UNIT 2K &amp; F/K/A CARPORT UNIT I-36 N/K/A PARKING UNIT I-36 OR 202/132 &amp; OR 666/125 PT OR 1085/1359 AMELIA SOUTH</v>
      </c>
      <c r="N2042" t="str">
        <f>""</f>
        <v/>
      </c>
      <c r="O2042" t="str">
        <f>"5612"</f>
        <v>5612</v>
      </c>
      <c r="P2042" t="str">
        <f t="shared" si="749"/>
        <v>2017</v>
      </c>
      <c r="Q2042" t="str">
        <f>""</f>
        <v/>
      </c>
      <c r="R2042" t="str">
        <f t="shared" si="765"/>
        <v>N</v>
      </c>
      <c r="S2042" t="str">
        <f>""</f>
        <v/>
      </c>
      <c r="T2042" t="str">
        <f>"4925.88"</f>
        <v>4925.88</v>
      </c>
      <c r="U2042" t="str">
        <f t="shared" ref="U2042:V2044" si="772">"246235.00"</f>
        <v>246235.00</v>
      </c>
      <c r="V2042" t="str">
        <f t="shared" si="772"/>
        <v>246235.00</v>
      </c>
      <c r="W2042" t="str">
        <f t="shared" si="750"/>
        <v>2017</v>
      </c>
      <c r="X2042" t="str">
        <f>"20.91"</f>
        <v>20.91</v>
      </c>
      <c r="Y2042" t="str">
        <f>"5105.66"</f>
        <v>5105.66</v>
      </c>
      <c r="Z2042" t="str">
        <f>""</f>
        <v/>
      </c>
      <c r="AA2042" t="str">
        <f>"249000.00"</f>
        <v>249000.00</v>
      </c>
      <c r="AB2042" t="str">
        <f t="shared" si="769"/>
        <v>Residential</v>
      </c>
      <c r="AC2042" t="str">
        <f t="shared" si="762"/>
        <v>0</v>
      </c>
      <c r="AD2042" t="str">
        <f>""</f>
        <v/>
      </c>
      <c r="AE2042" t="str">
        <f>""</f>
        <v/>
      </c>
      <c r="AF2042" t="str">
        <f t="shared" si="770"/>
        <v>004</v>
      </c>
      <c r="AG2042" t="str">
        <f t="shared" si="766"/>
        <v>FL</v>
      </c>
      <c r="AH2042" t="str">
        <f t="shared" si="771"/>
        <v>-</v>
      </c>
      <c r="AI2042" t="str">
        <f t="shared" si="771"/>
        <v>-</v>
      </c>
      <c r="AJ2042" t="str">
        <f>"C55-000-585-4054-3"</f>
        <v>C55-000-585-4054-3</v>
      </c>
      <c r="AK2042" t="str">
        <f>"42939"</f>
        <v>42939</v>
      </c>
      <c r="AL2042">
        <v>8</v>
      </c>
      <c r="AM2042">
        <v>2336</v>
      </c>
      <c r="AN2042">
        <v>5359.34</v>
      </c>
      <c r="AQ2042" t="s">
        <v>19790</v>
      </c>
      <c r="AR2042" t="s">
        <v>19790</v>
      </c>
      <c r="AS2042" t="s">
        <v>19790</v>
      </c>
      <c r="AU2042" t="s">
        <v>396</v>
      </c>
      <c r="AV2042">
        <v>2017</v>
      </c>
      <c r="AW2042" t="str">
        <f>"00-00-31-1030-002K-0000 "</f>
        <v xml:space="preserve">00-00-31-1030-002K-0000 </v>
      </c>
      <c r="AX2042">
        <v>3350</v>
      </c>
      <c r="AY2042" t="s">
        <v>18674</v>
      </c>
      <c r="AZ2042" t="s">
        <v>18248</v>
      </c>
      <c r="BA2042" t="s">
        <v>1122</v>
      </c>
      <c r="BC2042" t="s">
        <v>19791</v>
      </c>
      <c r="BD2042" t="s">
        <v>11749</v>
      </c>
      <c r="BE2042" t="s">
        <v>393</v>
      </c>
      <c r="BF2042">
        <v>32034</v>
      </c>
      <c r="BG2042" t="s">
        <v>19792</v>
      </c>
      <c r="BH2042" t="s">
        <v>11751</v>
      </c>
      <c r="BI2042">
        <v>-81.440177793745704</v>
      </c>
      <c r="BJ2042">
        <v>30.619519930296399</v>
      </c>
      <c r="BK2042" t="s">
        <v>19793</v>
      </c>
      <c r="BM2042" t="s">
        <v>19794</v>
      </c>
      <c r="BN2042" t="s">
        <v>548</v>
      </c>
      <c r="BO2042">
        <v>32217</v>
      </c>
      <c r="BP2042" t="s">
        <v>404</v>
      </c>
      <c r="BQ2042">
        <v>400</v>
      </c>
      <c r="BR2042" t="s">
        <v>15097</v>
      </c>
      <c r="BS2042">
        <v>1004</v>
      </c>
      <c r="BT2042" t="s">
        <v>15098</v>
      </c>
      <c r="BW2042">
        <v>219481</v>
      </c>
      <c r="BX2042" t="s">
        <v>407</v>
      </c>
      <c r="CA2042">
        <v>1974</v>
      </c>
      <c r="CC2042">
        <v>1</v>
      </c>
      <c r="CD2042">
        <v>2017</v>
      </c>
      <c r="CF2042">
        <v>249000</v>
      </c>
      <c r="CG2042">
        <v>249000</v>
      </c>
      <c r="CH2042">
        <v>2017</v>
      </c>
      <c r="CJ2042">
        <v>249000</v>
      </c>
      <c r="CK2042">
        <v>249000</v>
      </c>
      <c r="CL2042">
        <v>2017</v>
      </c>
      <c r="CM2042">
        <v>4925.88</v>
      </c>
      <c r="CN2042" s="1">
        <v>33849</v>
      </c>
      <c r="CZ2042" s="1">
        <v>33849</v>
      </c>
      <c r="DD2042" t="s">
        <v>11749</v>
      </c>
      <c r="DG2042">
        <v>9</v>
      </c>
      <c r="DI2042" t="s">
        <v>19795</v>
      </c>
      <c r="DL2042">
        <v>50202</v>
      </c>
      <c r="DM2042" t="s">
        <v>19796</v>
      </c>
      <c r="DO2042" t="s">
        <v>19797</v>
      </c>
      <c r="DP2042">
        <v>1</v>
      </c>
      <c r="DQ2042">
        <v>6</v>
      </c>
      <c r="DR2042" t="s">
        <v>1174</v>
      </c>
      <c r="DS2042" t="b">
        <v>1</v>
      </c>
      <c r="DT2042" t="s">
        <v>470</v>
      </c>
      <c r="DU2042" t="s">
        <v>471</v>
      </c>
      <c r="DV2042" t="s">
        <v>472</v>
      </c>
      <c r="DX2042">
        <v>-9999</v>
      </c>
      <c r="DZ2042" t="s">
        <v>447</v>
      </c>
      <c r="EA2042" t="s">
        <v>448</v>
      </c>
      <c r="EB2042" t="s">
        <v>14787</v>
      </c>
      <c r="EC2042">
        <v>20101217</v>
      </c>
      <c r="ED2042" t="s">
        <v>474</v>
      </c>
      <c r="EF2042">
        <v>27</v>
      </c>
      <c r="EG2042">
        <v>27</v>
      </c>
      <c r="EI2042">
        <v>20160407</v>
      </c>
      <c r="EJ2042">
        <v>0</v>
      </c>
      <c r="EK2042">
        <v>0</v>
      </c>
      <c r="EP2042" t="s">
        <v>421</v>
      </c>
      <c r="EQ2042" t="s">
        <v>422</v>
      </c>
      <c r="ER2042">
        <v>2</v>
      </c>
      <c r="ES2042">
        <v>9</v>
      </c>
      <c r="ET2042">
        <v>10212.08</v>
      </c>
      <c r="EU2042">
        <v>523.1</v>
      </c>
      <c r="EV2042">
        <v>10735.18</v>
      </c>
      <c r="EW2042" s="2">
        <v>43222</v>
      </c>
      <c r="EX2042" s="1">
        <v>42879</v>
      </c>
      <c r="EY2042">
        <v>2016</v>
      </c>
      <c r="EZ2042">
        <v>5106.04</v>
      </c>
      <c r="FA2042" t="s">
        <v>19798</v>
      </c>
      <c r="FB2042">
        <v>0.25</v>
      </c>
      <c r="FC2042" t="s">
        <v>424</v>
      </c>
      <c r="FD2042" t="s">
        <v>454</v>
      </c>
      <c r="FF2042">
        <v>12</v>
      </c>
      <c r="FG2042">
        <v>7336671</v>
      </c>
      <c r="FH2042" t="s">
        <v>437</v>
      </c>
      <c r="FJ2042" s="1">
        <v>42879</v>
      </c>
      <c r="FK2042">
        <v>2016</v>
      </c>
      <c r="FL2042">
        <v>5106.04</v>
      </c>
      <c r="FM2042" t="s">
        <v>19798</v>
      </c>
      <c r="FN2042">
        <v>0.25</v>
      </c>
      <c r="FO2042" t="s">
        <v>424</v>
      </c>
      <c r="FP2042" t="s">
        <v>454</v>
      </c>
      <c r="FR2042">
        <v>12</v>
      </c>
      <c r="FS2042">
        <v>6890777</v>
      </c>
      <c r="FT2042" t="s">
        <v>19799</v>
      </c>
      <c r="FV2042" s="1">
        <v>42515</v>
      </c>
      <c r="FW2042">
        <v>2015</v>
      </c>
      <c r="FX2042">
        <v>4585.33</v>
      </c>
      <c r="FY2042" t="s">
        <v>19800</v>
      </c>
      <c r="FZ2042">
        <v>0.25</v>
      </c>
      <c r="GA2042" t="s">
        <v>424</v>
      </c>
      <c r="GB2042" t="s">
        <v>425</v>
      </c>
      <c r="GC2042" s="1">
        <v>43147</v>
      </c>
      <c r="GD2042">
        <v>21</v>
      </c>
      <c r="GE2042">
        <v>7045074</v>
      </c>
      <c r="GF2042" t="s">
        <v>580</v>
      </c>
      <c r="GH2042" s="1">
        <v>42515</v>
      </c>
      <c r="GI2042">
        <v>2015</v>
      </c>
      <c r="GJ2042">
        <v>4585.33</v>
      </c>
      <c r="GK2042" t="s">
        <v>19800</v>
      </c>
      <c r="GL2042">
        <v>0.25</v>
      </c>
      <c r="GM2042" t="s">
        <v>424</v>
      </c>
      <c r="GN2042" t="s">
        <v>425</v>
      </c>
      <c r="GP2042">
        <v>22</v>
      </c>
      <c r="GQ2042">
        <v>6525400</v>
      </c>
      <c r="GR2042" t="s">
        <v>19801</v>
      </c>
      <c r="GT2042" s="1">
        <v>42151</v>
      </c>
      <c r="GU2042">
        <v>2014</v>
      </c>
      <c r="GV2042">
        <v>4154.09</v>
      </c>
      <c r="GW2042" t="s">
        <v>19802</v>
      </c>
      <c r="GX2042">
        <v>0.25</v>
      </c>
      <c r="GY2042" t="s">
        <v>424</v>
      </c>
      <c r="GZ2042" t="s">
        <v>425</v>
      </c>
      <c r="HA2042" s="1">
        <v>42779</v>
      </c>
      <c r="HB2042">
        <v>21</v>
      </c>
      <c r="HC2042">
        <v>4844983</v>
      </c>
      <c r="HD2042" t="s">
        <v>3901</v>
      </c>
      <c r="HF2042" s="1">
        <v>42151</v>
      </c>
      <c r="HG2042">
        <v>2014</v>
      </c>
      <c r="HH2042">
        <v>4154.09</v>
      </c>
      <c r="HI2042" t="s">
        <v>19802</v>
      </c>
      <c r="HJ2042">
        <v>0.25</v>
      </c>
      <c r="HK2042" t="s">
        <v>424</v>
      </c>
      <c r="HL2042" t="s">
        <v>425</v>
      </c>
      <c r="HN2042">
        <v>22</v>
      </c>
      <c r="HO2042">
        <v>6056419</v>
      </c>
      <c r="HP2042" t="s">
        <v>19803</v>
      </c>
      <c r="HR2042" s="1">
        <v>41787</v>
      </c>
      <c r="HS2042">
        <v>2013</v>
      </c>
      <c r="HT2042">
        <v>3688.85</v>
      </c>
      <c r="HU2042" t="s">
        <v>19804</v>
      </c>
      <c r="HV2042">
        <v>0.25</v>
      </c>
      <c r="HW2042" t="s">
        <v>424</v>
      </c>
      <c r="HX2042" t="s">
        <v>425</v>
      </c>
      <c r="HY2042" s="1">
        <v>42423</v>
      </c>
      <c r="HZ2042">
        <v>21</v>
      </c>
      <c r="IA2042">
        <v>2407503</v>
      </c>
      <c r="IB2042" t="s">
        <v>461</v>
      </c>
      <c r="ID2042" s="1">
        <v>41423</v>
      </c>
      <c r="IE2042">
        <v>2012</v>
      </c>
      <c r="IF2042">
        <v>3977.63</v>
      </c>
      <c r="IG2042" t="s">
        <v>19805</v>
      </c>
      <c r="IH2042">
        <v>0.25</v>
      </c>
      <c r="II2042" t="s">
        <v>424</v>
      </c>
      <c r="IJ2042" t="s">
        <v>425</v>
      </c>
      <c r="IK2042" s="1">
        <v>42048</v>
      </c>
      <c r="IL2042">
        <v>21</v>
      </c>
      <c r="IM2042">
        <v>15259</v>
      </c>
      <c r="IN2042" t="s">
        <v>891</v>
      </c>
      <c r="IP2042" s="1">
        <v>41052</v>
      </c>
      <c r="IQ2042">
        <v>2011</v>
      </c>
      <c r="IR2042">
        <v>3848.57</v>
      </c>
      <c r="IS2042" t="s">
        <v>19806</v>
      </c>
      <c r="IT2042">
        <v>0.25</v>
      </c>
      <c r="IU2042" t="s">
        <v>424</v>
      </c>
      <c r="IV2042" t="s">
        <v>425</v>
      </c>
      <c r="IW2042" s="1">
        <v>41683</v>
      </c>
      <c r="IX2042">
        <v>21</v>
      </c>
      <c r="IY2042">
        <v>11289</v>
      </c>
      <c r="IZ2042" t="s">
        <v>787</v>
      </c>
      <c r="JB2042" s="1">
        <v>41052</v>
      </c>
      <c r="JC2042">
        <v>2011</v>
      </c>
      <c r="JD2042">
        <v>3848.57</v>
      </c>
      <c r="JE2042" t="s">
        <v>19806</v>
      </c>
      <c r="JF2042">
        <v>0.25</v>
      </c>
      <c r="JG2042" t="s">
        <v>424</v>
      </c>
      <c r="JH2042" t="s">
        <v>425</v>
      </c>
      <c r="JJ2042">
        <v>22</v>
      </c>
      <c r="JK2042">
        <v>13117</v>
      </c>
      <c r="JL2042" t="s">
        <v>8778</v>
      </c>
      <c r="JN2042" s="1">
        <v>40688</v>
      </c>
      <c r="JO2042">
        <v>2010</v>
      </c>
      <c r="JP2042">
        <v>4180.88</v>
      </c>
      <c r="JQ2042" t="s">
        <v>19807</v>
      </c>
      <c r="JR2042">
        <v>3.75</v>
      </c>
      <c r="JS2042" t="s">
        <v>424</v>
      </c>
      <c r="JT2042" t="s">
        <v>425</v>
      </c>
      <c r="JU2042" s="1">
        <v>41296</v>
      </c>
      <c r="JV2042">
        <v>20</v>
      </c>
      <c r="JW2042">
        <v>11141</v>
      </c>
      <c r="JX2042" t="s">
        <v>1723</v>
      </c>
    </row>
    <row r="2043" spans="1:284" x14ac:dyDescent="0.25">
      <c r="A2043">
        <v>16487050</v>
      </c>
      <c r="B2043">
        <v>2042</v>
      </c>
      <c r="C2043" t="s">
        <v>393</v>
      </c>
      <c r="D2043" t="s">
        <v>394</v>
      </c>
      <c r="F2043" t="str">
        <f>"00-00-31-1030-002L-0000"</f>
        <v>00-00-31-1030-002L-0000</v>
      </c>
      <c r="H2043" t="str">
        <f>"SMITH MARY DUNCAN C/O SMITH ELISABETH &amp; HOYT B"</f>
        <v>SMITH MARY DUNCAN C/O SMITH ELISABETH &amp; HOYT B</v>
      </c>
      <c r="I2043" t="str">
        <f>"1902 OAK DRIVE"</f>
        <v>1902 OAK DRIVE</v>
      </c>
      <c r="J2043" t="str">
        <f>"FERNANDINA BEACH FL 32034"</f>
        <v>FERNANDINA BEACH FL 32034</v>
      </c>
      <c r="K2043" t="str">
        <f>"3350 S FLETCHER AV 2L"</f>
        <v>3350 S FLETCHER AV 2L</v>
      </c>
      <c r="L2043" t="str">
        <f t="shared" si="758"/>
        <v>FERNANDINA BEACH FL 32034</v>
      </c>
      <c r="M2043" t="str">
        <f>"UNIT 2L &amp; F/K/A CARPORT UNIT I-32 N/K/A PARKING UNIT I-32 OR 278/634 &amp; PT OR 1085/1359 AMELIA SOUTH"</f>
        <v>UNIT 2L &amp; F/K/A CARPORT UNIT I-32 N/K/A PARKING UNIT I-32 OR 278/634 &amp; PT OR 1085/1359 AMELIA SOUTH</v>
      </c>
      <c r="N2043" t="str">
        <f>""</f>
        <v/>
      </c>
      <c r="O2043" t="str">
        <f>"5613"</f>
        <v>5613</v>
      </c>
      <c r="P2043" t="str">
        <f t="shared" si="749"/>
        <v>2017</v>
      </c>
      <c r="Q2043" t="str">
        <f>""</f>
        <v/>
      </c>
      <c r="R2043" t="str">
        <f t="shared" si="765"/>
        <v>N</v>
      </c>
      <c r="S2043" t="str">
        <f>""</f>
        <v/>
      </c>
      <c r="T2043" t="str">
        <f>"4925.88"</f>
        <v>4925.88</v>
      </c>
      <c r="U2043" t="str">
        <f t="shared" si="772"/>
        <v>246235.00</v>
      </c>
      <c r="V2043" t="str">
        <f t="shared" si="772"/>
        <v>246235.00</v>
      </c>
      <c r="W2043" t="str">
        <f t="shared" si="750"/>
        <v>2017</v>
      </c>
      <c r="X2043" t="str">
        <f>""</f>
        <v/>
      </c>
      <c r="Y2043" t="str">
        <f>"5105.66"</f>
        <v>5105.66</v>
      </c>
      <c r="Z2043" t="str">
        <f>""</f>
        <v/>
      </c>
      <c r="AA2043" t="str">
        <f>"249000.00"</f>
        <v>249000.00</v>
      </c>
      <c r="AB2043" t="str">
        <f t="shared" si="769"/>
        <v>Residential</v>
      </c>
      <c r="AC2043" t="str">
        <f t="shared" si="762"/>
        <v>0</v>
      </c>
      <c r="AD2043" t="str">
        <f>""</f>
        <v/>
      </c>
      <c r="AE2043" t="str">
        <f>""</f>
        <v/>
      </c>
      <c r="AF2043" t="str">
        <f t="shared" si="770"/>
        <v>004</v>
      </c>
      <c r="AG2043" t="str">
        <f t="shared" si="766"/>
        <v>FL</v>
      </c>
      <c r="AH2043" t="str">
        <f t="shared" si="771"/>
        <v>-</v>
      </c>
      <c r="AI2043" t="str">
        <f t="shared" si="771"/>
        <v>-</v>
      </c>
      <c r="AJ2043" t="str">
        <f>"C55-000-585-4055-0"</f>
        <v>C55-000-585-4055-0</v>
      </c>
      <c r="AK2043" t="str">
        <f>"42940"</f>
        <v>42940</v>
      </c>
      <c r="AL2043">
        <v>8</v>
      </c>
      <c r="AM2043">
        <v>2337</v>
      </c>
      <c r="AN2043">
        <v>5359.34</v>
      </c>
      <c r="AQ2043" t="s">
        <v>19808</v>
      </c>
      <c r="AR2043" t="s">
        <v>19808</v>
      </c>
      <c r="AS2043" t="s">
        <v>19808</v>
      </c>
      <c r="AU2043" t="s">
        <v>396</v>
      </c>
      <c r="AV2043">
        <v>2017</v>
      </c>
      <c r="AW2043" t="str">
        <f>"00-00-31-1030-002L-0000 "</f>
        <v xml:space="preserve">00-00-31-1030-002L-0000 </v>
      </c>
      <c r="AX2043">
        <v>3350</v>
      </c>
      <c r="AY2043" t="s">
        <v>18674</v>
      </c>
      <c r="AZ2043" t="s">
        <v>18248</v>
      </c>
      <c r="BA2043" t="s">
        <v>1122</v>
      </c>
      <c r="BC2043" t="s">
        <v>19809</v>
      </c>
      <c r="BD2043" t="s">
        <v>11749</v>
      </c>
      <c r="BE2043" t="s">
        <v>393</v>
      </c>
      <c r="BF2043">
        <v>32034</v>
      </c>
      <c r="BG2043" t="s">
        <v>19810</v>
      </c>
      <c r="BH2043" t="s">
        <v>11751</v>
      </c>
      <c r="BI2043">
        <v>-81.440177793745704</v>
      </c>
      <c r="BJ2043">
        <v>30.619519930296399</v>
      </c>
      <c r="BK2043" t="s">
        <v>19811</v>
      </c>
      <c r="BM2043" t="s">
        <v>19812</v>
      </c>
      <c r="BN2043" t="s">
        <v>3983</v>
      </c>
      <c r="BO2043">
        <v>32034</v>
      </c>
      <c r="BP2043" t="s">
        <v>404</v>
      </c>
      <c r="BQ2043">
        <v>400</v>
      </c>
      <c r="BR2043" t="s">
        <v>15097</v>
      </c>
      <c r="BS2043">
        <v>1004</v>
      </c>
      <c r="BT2043" t="s">
        <v>15098</v>
      </c>
      <c r="BW2043">
        <v>219481</v>
      </c>
      <c r="BX2043" t="s">
        <v>407</v>
      </c>
      <c r="CA2043">
        <v>1974</v>
      </c>
      <c r="CC2043">
        <v>1</v>
      </c>
      <c r="CD2043">
        <v>2017</v>
      </c>
      <c r="CF2043">
        <v>249000</v>
      </c>
      <c r="CG2043">
        <v>249000</v>
      </c>
      <c r="CH2043">
        <v>2017</v>
      </c>
      <c r="CJ2043">
        <v>249000</v>
      </c>
      <c r="CK2043">
        <v>249000</v>
      </c>
      <c r="CL2043">
        <v>2017</v>
      </c>
      <c r="CM2043">
        <v>4925.88</v>
      </c>
      <c r="CN2043" s="1">
        <v>28795</v>
      </c>
      <c r="CO2043">
        <v>50000</v>
      </c>
      <c r="CZ2043" s="1">
        <v>28795</v>
      </c>
      <c r="DD2043" t="s">
        <v>11749</v>
      </c>
      <c r="DG2043">
        <v>9</v>
      </c>
      <c r="DI2043" t="s">
        <v>19813</v>
      </c>
      <c r="DL2043">
        <v>50202</v>
      </c>
      <c r="DM2043" t="s">
        <v>19796</v>
      </c>
      <c r="DO2043" t="s">
        <v>19814</v>
      </c>
      <c r="DP2043">
        <v>1</v>
      </c>
      <c r="DQ2043">
        <v>6</v>
      </c>
      <c r="DR2043" t="s">
        <v>1174</v>
      </c>
    </row>
    <row r="2044" spans="1:284" x14ac:dyDescent="0.25">
      <c r="A2044">
        <v>16487051</v>
      </c>
      <c r="B2044">
        <v>2043</v>
      </c>
      <c r="C2044" t="s">
        <v>393</v>
      </c>
      <c r="D2044" t="s">
        <v>394</v>
      </c>
      <c r="F2044" t="str">
        <f>"00-00-31-1030-003B-0000"</f>
        <v>00-00-31-1030-003B-0000</v>
      </c>
      <c r="H2044" t="str">
        <f>"CARTER SUSAN"</f>
        <v>CARTER SUSAN</v>
      </c>
      <c r="I2044" t="str">
        <f>"3350 S FLETCHER AVE 3B"</f>
        <v>3350 S FLETCHER AVE 3B</v>
      </c>
      <c r="J2044" t="str">
        <f>"FERNANDINA BEACH FL 32034"</f>
        <v>FERNANDINA BEACH FL 32034</v>
      </c>
      <c r="K2044" t="str">
        <f>"3350 S FLETCHER AV 3B"</f>
        <v>3350 S FLETCHER AV 3B</v>
      </c>
      <c r="L2044" t="str">
        <f t="shared" si="758"/>
        <v>FERNANDINA BEACH FL 32034</v>
      </c>
      <c r="M2044" t="str">
        <f>"UNIT 3B &amp; F/K/A CARPORT UNIT I-28 N/K/A PARKING UNIT I-28 IN OR 2143/738 OR 1104/1636 &amp; PT OR 1085/1359 AMELIA SOUTH"</f>
        <v>UNIT 3B &amp; F/K/A CARPORT UNIT I-28 N/K/A PARKING UNIT I-28 IN OR 2143/738 OR 1104/1636 &amp; PT OR 1085/1359 AMELIA SOUTH</v>
      </c>
      <c r="N2044" t="str">
        <f>""</f>
        <v/>
      </c>
      <c r="O2044" t="str">
        <f>"5617"</f>
        <v>5617</v>
      </c>
      <c r="P2044" t="str">
        <f t="shared" si="749"/>
        <v>2017</v>
      </c>
      <c r="Q2044" t="str">
        <f>""</f>
        <v/>
      </c>
      <c r="R2044" t="str">
        <f t="shared" si="765"/>
        <v>N</v>
      </c>
      <c r="S2044" t="str">
        <f>""</f>
        <v/>
      </c>
      <c r="T2044" t="str">
        <f>"4925.88"</f>
        <v>4925.88</v>
      </c>
      <c r="U2044" t="str">
        <f t="shared" si="772"/>
        <v>246235.00</v>
      </c>
      <c r="V2044" t="str">
        <f t="shared" si="772"/>
        <v>246235.00</v>
      </c>
      <c r="W2044" t="str">
        <f t="shared" si="750"/>
        <v>2017</v>
      </c>
      <c r="X2044" t="str">
        <f>""</f>
        <v/>
      </c>
      <c r="Y2044" t="str">
        <f>"5105.66"</f>
        <v>5105.66</v>
      </c>
      <c r="Z2044" t="str">
        <f>""</f>
        <v/>
      </c>
      <c r="AA2044" t="str">
        <f>"249000.00"</f>
        <v>249000.00</v>
      </c>
      <c r="AB2044" t="str">
        <f t="shared" si="769"/>
        <v>Residential</v>
      </c>
      <c r="AC2044" t="str">
        <f t="shared" si="762"/>
        <v>0</v>
      </c>
      <c r="AD2044" t="str">
        <f>""</f>
        <v/>
      </c>
      <c r="AE2044" t="str">
        <f>""</f>
        <v/>
      </c>
      <c r="AF2044" t="str">
        <f t="shared" si="770"/>
        <v>004</v>
      </c>
      <c r="AG2044" t="str">
        <f t="shared" si="766"/>
        <v>FL</v>
      </c>
      <c r="AH2044" t="str">
        <f t="shared" si="771"/>
        <v>-</v>
      </c>
      <c r="AI2044" t="str">
        <f t="shared" si="771"/>
        <v>-</v>
      </c>
      <c r="AJ2044" t="str">
        <f>"C55-000-585-4059-2"</f>
        <v>C55-000-585-4059-2</v>
      </c>
      <c r="AK2044" t="str">
        <f>"42944"</f>
        <v>42944</v>
      </c>
      <c r="AL2044">
        <v>8</v>
      </c>
      <c r="AM2044">
        <v>2338</v>
      </c>
      <c r="AN2044">
        <v>5359.34</v>
      </c>
      <c r="AQ2044" t="s">
        <v>19815</v>
      </c>
      <c r="AR2044" t="s">
        <v>19815</v>
      </c>
      <c r="AS2044" t="s">
        <v>19815</v>
      </c>
      <c r="AU2044" t="s">
        <v>396</v>
      </c>
      <c r="AV2044">
        <v>2017</v>
      </c>
      <c r="AW2044" t="str">
        <f>"00-00-31-1030-003B-0000 "</f>
        <v xml:space="preserve">00-00-31-1030-003B-0000 </v>
      </c>
      <c r="AX2044">
        <v>3350</v>
      </c>
      <c r="AY2044" t="s">
        <v>18674</v>
      </c>
      <c r="AZ2044" t="s">
        <v>18248</v>
      </c>
      <c r="BA2044" t="s">
        <v>1122</v>
      </c>
      <c r="BC2044" t="s">
        <v>18915</v>
      </c>
      <c r="BD2044" t="s">
        <v>11749</v>
      </c>
      <c r="BE2044" t="s">
        <v>393</v>
      </c>
      <c r="BF2044">
        <v>32034</v>
      </c>
      <c r="BG2044" t="s">
        <v>19816</v>
      </c>
      <c r="BH2044" t="s">
        <v>11751</v>
      </c>
      <c r="BI2044">
        <v>-81.440177793745704</v>
      </c>
      <c r="BJ2044">
        <v>30.619519930296399</v>
      </c>
      <c r="BK2044" t="s">
        <v>19817</v>
      </c>
      <c r="BM2044" t="s">
        <v>19818</v>
      </c>
      <c r="BN2044" t="s">
        <v>3983</v>
      </c>
      <c r="BO2044">
        <v>32034</v>
      </c>
      <c r="BP2044" t="s">
        <v>416</v>
      </c>
      <c r="BQ2044">
        <v>400</v>
      </c>
      <c r="BR2044" t="s">
        <v>15097</v>
      </c>
      <c r="BS2044">
        <v>1004</v>
      </c>
      <c r="BT2044" t="s">
        <v>15098</v>
      </c>
      <c r="BW2044">
        <v>219481</v>
      </c>
      <c r="BX2044" t="s">
        <v>407</v>
      </c>
      <c r="CA2044">
        <v>1974</v>
      </c>
      <c r="CC2044">
        <v>1</v>
      </c>
      <c r="CD2044">
        <v>2017</v>
      </c>
      <c r="CF2044">
        <v>249000</v>
      </c>
      <c r="CG2044">
        <v>249000</v>
      </c>
      <c r="CH2044">
        <v>2017</v>
      </c>
      <c r="CJ2044">
        <v>249000</v>
      </c>
      <c r="CK2044">
        <v>249000</v>
      </c>
      <c r="CL2044">
        <v>2017</v>
      </c>
      <c r="CM2044">
        <v>4925.88</v>
      </c>
      <c r="CN2044" s="1">
        <v>42977</v>
      </c>
      <c r="CO2044">
        <v>334400</v>
      </c>
      <c r="CV2044">
        <v>0</v>
      </c>
      <c r="CZ2044" s="1">
        <v>42977</v>
      </c>
      <c r="DA2044">
        <v>0</v>
      </c>
      <c r="DD2044" t="s">
        <v>11749</v>
      </c>
      <c r="DG2044">
        <v>9</v>
      </c>
      <c r="DI2044" t="s">
        <v>19819</v>
      </c>
      <c r="DL2044">
        <v>50202</v>
      </c>
      <c r="DM2044" t="s">
        <v>19796</v>
      </c>
      <c r="DO2044" t="s">
        <v>19820</v>
      </c>
      <c r="DP2044">
        <v>1</v>
      </c>
      <c r="DQ2044">
        <v>6</v>
      </c>
      <c r="DR2044" t="s">
        <v>1174</v>
      </c>
    </row>
    <row r="2045" spans="1:284" x14ac:dyDescent="0.25">
      <c r="A2045">
        <v>16487052</v>
      </c>
      <c r="B2045">
        <v>2044</v>
      </c>
      <c r="C2045" t="s">
        <v>393</v>
      </c>
      <c r="D2045" t="s">
        <v>394</v>
      </c>
      <c r="F2045" t="str">
        <f>"00-00-31-1030-005L-0000"</f>
        <v>00-00-31-1030-005L-0000</v>
      </c>
      <c r="H2045" t="str">
        <f>"HUGHES DENNIS F"</f>
        <v>HUGHES DENNIS F</v>
      </c>
      <c r="I2045" t="str">
        <f>"180 CHURCH ST"</f>
        <v>180 CHURCH ST</v>
      </c>
      <c r="J2045" t="str">
        <f>"BLACKSHEAR GA 31516"</f>
        <v>BLACKSHEAR GA 31516</v>
      </c>
      <c r="K2045" t="str">
        <f>"3350 S FLETCHER AV 5L"</f>
        <v>3350 S FLETCHER AV 5L</v>
      </c>
      <c r="L2045" t="str">
        <f t="shared" si="758"/>
        <v>FERNANDINA BEACH FL 32034</v>
      </c>
      <c r="M2045" t="str">
        <f>"UNIT 5L &amp; F/K/A CARPORT UNIT I-45 N/K/A PARKING UNIT I-45 IN OR 2049/355 AMELIA SOUTH"</f>
        <v>UNIT 5L &amp; F/K/A CARPORT UNIT I-45 N/K/A PARKING UNIT I-45 IN OR 2049/355 AMELIA SOUTH</v>
      </c>
      <c r="N2045" t="str">
        <f>""</f>
        <v/>
      </c>
      <c r="O2045" t="str">
        <f>"5655"</f>
        <v>5655</v>
      </c>
      <c r="P2045" t="str">
        <f t="shared" si="749"/>
        <v>2017</v>
      </c>
      <c r="Q2045" t="str">
        <f>""</f>
        <v/>
      </c>
      <c r="R2045" t="str">
        <f t="shared" si="765"/>
        <v>N</v>
      </c>
      <c r="S2045" t="str">
        <f>""</f>
        <v/>
      </c>
      <c r="T2045" t="str">
        <f>"4962.75"</f>
        <v>4962.75</v>
      </c>
      <c r="U2045" t="str">
        <f>"249000.00"</f>
        <v>249000.00</v>
      </c>
      <c r="V2045" t="str">
        <f>"249000.00"</f>
        <v>249000.00</v>
      </c>
      <c r="W2045" t="str">
        <f t="shared" si="750"/>
        <v>2017</v>
      </c>
      <c r="X2045" t="str">
        <f>""</f>
        <v/>
      </c>
      <c r="Y2045" t="str">
        <f>"5143.63"</f>
        <v>5143.63</v>
      </c>
      <c r="Z2045" t="str">
        <f>""</f>
        <v/>
      </c>
      <c r="AA2045" t="str">
        <f>"249000.00"</f>
        <v>249000.00</v>
      </c>
      <c r="AB2045" t="str">
        <f t="shared" si="769"/>
        <v>Residential</v>
      </c>
      <c r="AC2045" t="str">
        <f t="shared" si="762"/>
        <v>0</v>
      </c>
      <c r="AD2045" t="str">
        <f>""</f>
        <v/>
      </c>
      <c r="AE2045" t="str">
        <f>""</f>
        <v/>
      </c>
      <c r="AF2045" t="str">
        <f t="shared" si="770"/>
        <v>004</v>
      </c>
      <c r="AG2045" t="str">
        <f>"GA"</f>
        <v>GA</v>
      </c>
      <c r="AH2045" t="str">
        <f t="shared" si="771"/>
        <v>-</v>
      </c>
      <c r="AI2045" t="str">
        <f t="shared" si="771"/>
        <v>-</v>
      </c>
      <c r="AJ2045" t="str">
        <f>"C55-000-585-4097-2"</f>
        <v>C55-000-585-4097-2</v>
      </c>
      <c r="AK2045" t="str">
        <f>"42982"</f>
        <v>42982</v>
      </c>
      <c r="AL2045">
        <v>8</v>
      </c>
      <c r="AM2045">
        <v>2339</v>
      </c>
      <c r="AN2045">
        <v>5399.21</v>
      </c>
      <c r="AQ2045" t="s">
        <v>19821</v>
      </c>
      <c r="AR2045" t="s">
        <v>19821</v>
      </c>
      <c r="AS2045" t="s">
        <v>19821</v>
      </c>
      <c r="AU2045" t="s">
        <v>396</v>
      </c>
      <c r="AV2045">
        <v>2017</v>
      </c>
      <c r="AW2045" t="str">
        <f>"00-00-31-1030-005L-0000 "</f>
        <v xml:space="preserve">00-00-31-1030-005L-0000 </v>
      </c>
      <c r="AX2045">
        <v>3350</v>
      </c>
      <c r="AY2045" t="s">
        <v>18674</v>
      </c>
      <c r="AZ2045" t="s">
        <v>18248</v>
      </c>
      <c r="BA2045" t="s">
        <v>1122</v>
      </c>
      <c r="BC2045" t="s">
        <v>19822</v>
      </c>
      <c r="BD2045" t="s">
        <v>11749</v>
      </c>
      <c r="BE2045" t="s">
        <v>393</v>
      </c>
      <c r="BF2045">
        <v>32034</v>
      </c>
      <c r="BG2045" t="s">
        <v>19823</v>
      </c>
      <c r="BH2045" t="s">
        <v>11751</v>
      </c>
      <c r="BI2045">
        <v>-81.440177793745704</v>
      </c>
      <c r="BJ2045">
        <v>30.619519930296399</v>
      </c>
      <c r="BK2045" t="s">
        <v>19824</v>
      </c>
      <c r="BM2045" t="s">
        <v>19825</v>
      </c>
      <c r="BN2045" t="s">
        <v>1293</v>
      </c>
      <c r="BO2045">
        <v>31516</v>
      </c>
      <c r="BP2045" t="s">
        <v>404</v>
      </c>
      <c r="BQ2045">
        <v>400</v>
      </c>
      <c r="BR2045" t="s">
        <v>15097</v>
      </c>
      <c r="BS2045">
        <v>1004</v>
      </c>
      <c r="BT2045" t="s">
        <v>15098</v>
      </c>
      <c r="BW2045">
        <v>219481</v>
      </c>
      <c r="BX2045" t="s">
        <v>407</v>
      </c>
      <c r="CA2045">
        <v>1974</v>
      </c>
      <c r="CC2045">
        <v>1</v>
      </c>
      <c r="CD2045">
        <v>2017</v>
      </c>
      <c r="CF2045">
        <v>249000</v>
      </c>
      <c r="CG2045">
        <v>249000</v>
      </c>
      <c r="CH2045">
        <v>2017</v>
      </c>
      <c r="CJ2045">
        <v>249000</v>
      </c>
      <c r="CK2045">
        <v>249000</v>
      </c>
      <c r="CL2045">
        <v>2017</v>
      </c>
      <c r="CM2045">
        <v>4962.75</v>
      </c>
      <c r="CN2045" s="1">
        <v>42517</v>
      </c>
      <c r="CO2045">
        <v>302000</v>
      </c>
      <c r="CV2045">
        <v>0</v>
      </c>
      <c r="CZ2045" s="1">
        <v>42517</v>
      </c>
      <c r="DA2045">
        <v>0</v>
      </c>
      <c r="DD2045" t="s">
        <v>11749</v>
      </c>
      <c r="DG2045">
        <v>9</v>
      </c>
      <c r="DI2045" t="s">
        <v>19826</v>
      </c>
      <c r="DL2045">
        <v>50202</v>
      </c>
      <c r="DM2045" t="s">
        <v>19796</v>
      </c>
      <c r="DO2045" t="s">
        <v>19827</v>
      </c>
      <c r="DP2045">
        <v>1</v>
      </c>
      <c r="DQ2045">
        <v>6</v>
      </c>
      <c r="DR2045" t="s">
        <v>1174</v>
      </c>
    </row>
    <row r="2046" spans="1:284" x14ac:dyDescent="0.25">
      <c r="A2046">
        <v>16487053</v>
      </c>
      <c r="B2046">
        <v>2045</v>
      </c>
      <c r="C2046" t="s">
        <v>393</v>
      </c>
      <c r="D2046" t="s">
        <v>394</v>
      </c>
      <c r="F2046" t="str">
        <f>"00-00-31-1030-007J-0000"</f>
        <v>00-00-31-1030-007J-0000</v>
      </c>
      <c r="H2046" t="str">
        <f>"DAUGHTREY JAMES T &amp; MARCIA"</f>
        <v>DAUGHTREY JAMES T &amp; MARCIA</v>
      </c>
      <c r="I2046" t="str">
        <f>"P O BOX 74"</f>
        <v>P O BOX 74</v>
      </c>
      <c r="J2046" t="str">
        <f>"CECIL GA 31627"</f>
        <v>CECIL GA 31627</v>
      </c>
      <c r="K2046" t="str">
        <f>"3350 S FLETCHER AV 7J"</f>
        <v>3350 S FLETCHER AV 7J</v>
      </c>
      <c r="L2046" t="str">
        <f t="shared" si="758"/>
        <v>FERNANDINA BEACH FL 32034</v>
      </c>
      <c r="M2046" t="str">
        <f>"UNIT 7J &amp; F/K/A CARPORT UNIT I-67 N/K/A PARKING UNIT I-67 OR 791/1458 &amp; PT OR 1085/1359 AMELIA SOUTH"</f>
        <v>UNIT 7J &amp; F/K/A CARPORT UNIT I-67 N/K/A PARKING UNIT I-67 OR 791/1458 &amp; PT OR 1085/1359 AMELIA SOUTH</v>
      </c>
      <c r="N2046" t="str">
        <f>""</f>
        <v/>
      </c>
      <c r="O2046" t="str">
        <f>"5678"</f>
        <v>5678</v>
      </c>
      <c r="P2046" t="str">
        <f t="shared" si="749"/>
        <v>2017</v>
      </c>
      <c r="Q2046" t="str">
        <f>""</f>
        <v/>
      </c>
      <c r="R2046" t="str">
        <f t="shared" si="765"/>
        <v>N</v>
      </c>
      <c r="S2046" t="str">
        <f>""</f>
        <v/>
      </c>
      <c r="T2046" t="str">
        <f>"5418.47"</f>
        <v>5418.47</v>
      </c>
      <c r="U2046" t="str">
        <f>"270859.00"</f>
        <v>270859.00</v>
      </c>
      <c r="V2046" t="str">
        <f>"270859.00"</f>
        <v>270859.00</v>
      </c>
      <c r="W2046" t="str">
        <f t="shared" si="750"/>
        <v>2017</v>
      </c>
      <c r="X2046" t="str">
        <f>"3.50"</f>
        <v>3.50</v>
      </c>
      <c r="Y2046" t="str">
        <f>"5613.02"</f>
        <v>5613.02</v>
      </c>
      <c r="Z2046" t="str">
        <f>""</f>
        <v/>
      </c>
      <c r="AA2046" t="str">
        <f>"273900.00"</f>
        <v>273900.00</v>
      </c>
      <c r="AB2046" t="str">
        <f t="shared" si="769"/>
        <v>Residential</v>
      </c>
      <c r="AC2046" t="str">
        <f t="shared" si="762"/>
        <v>0</v>
      </c>
      <c r="AD2046" t="str">
        <f>""</f>
        <v/>
      </c>
      <c r="AE2046" t="str">
        <f>""</f>
        <v/>
      </c>
      <c r="AF2046" t="str">
        <f t="shared" si="770"/>
        <v>004</v>
      </c>
      <c r="AG2046" t="str">
        <f>"GA"</f>
        <v>GA</v>
      </c>
      <c r="AH2046" t="str">
        <f t="shared" si="771"/>
        <v>-</v>
      </c>
      <c r="AI2046" t="str">
        <f t="shared" si="771"/>
        <v>-</v>
      </c>
      <c r="AJ2046" t="str">
        <f>"C55-000-585-4120-2"</f>
        <v>C55-000-585-4120-2</v>
      </c>
      <c r="AK2046" t="str">
        <f>"43005"</f>
        <v>43005</v>
      </c>
      <c r="AL2046">
        <v>8</v>
      </c>
      <c r="AM2046">
        <v>2340</v>
      </c>
      <c r="AN2046">
        <v>5892.07</v>
      </c>
      <c r="AQ2046" t="s">
        <v>19828</v>
      </c>
      <c r="AR2046" t="s">
        <v>19828</v>
      </c>
      <c r="AS2046" t="s">
        <v>19828</v>
      </c>
      <c r="AU2046" t="s">
        <v>396</v>
      </c>
      <c r="AV2046">
        <v>2017</v>
      </c>
      <c r="AW2046" t="str">
        <f>"00-00-31-1030-007J-0000 "</f>
        <v xml:space="preserve">00-00-31-1030-007J-0000 </v>
      </c>
      <c r="AX2046">
        <v>3350</v>
      </c>
      <c r="AY2046" t="s">
        <v>18674</v>
      </c>
      <c r="AZ2046" t="s">
        <v>18248</v>
      </c>
      <c r="BA2046" t="s">
        <v>1122</v>
      </c>
      <c r="BC2046" t="s">
        <v>19829</v>
      </c>
      <c r="BD2046" t="s">
        <v>11749</v>
      </c>
      <c r="BE2046" t="s">
        <v>393</v>
      </c>
      <c r="BF2046">
        <v>32034</v>
      </c>
      <c r="BG2046" t="s">
        <v>19830</v>
      </c>
      <c r="BH2046" t="s">
        <v>11751</v>
      </c>
      <c r="BI2046">
        <v>-81.440177793745704</v>
      </c>
      <c r="BJ2046">
        <v>30.619519930296399</v>
      </c>
      <c r="BK2046" t="s">
        <v>19831</v>
      </c>
      <c r="BL2046" t="s">
        <v>19832</v>
      </c>
      <c r="BM2046" t="s">
        <v>19833</v>
      </c>
      <c r="BN2046" t="s">
        <v>19834</v>
      </c>
      <c r="BO2046">
        <v>31627</v>
      </c>
      <c r="BP2046" t="s">
        <v>404</v>
      </c>
      <c r="BQ2046">
        <v>400</v>
      </c>
      <c r="BR2046" t="s">
        <v>15097</v>
      </c>
      <c r="BS2046">
        <v>1004</v>
      </c>
      <c r="BT2046" t="s">
        <v>15098</v>
      </c>
      <c r="BW2046">
        <v>219481</v>
      </c>
      <c r="BX2046" t="s">
        <v>407</v>
      </c>
      <c r="CA2046">
        <v>1974</v>
      </c>
      <c r="CC2046">
        <v>1</v>
      </c>
      <c r="CD2046">
        <v>2017</v>
      </c>
      <c r="CF2046">
        <v>273900</v>
      </c>
      <c r="CG2046">
        <v>273900</v>
      </c>
      <c r="CH2046">
        <v>2017</v>
      </c>
      <c r="CJ2046">
        <v>273900</v>
      </c>
      <c r="CK2046">
        <v>273900</v>
      </c>
      <c r="CL2046">
        <v>2017</v>
      </c>
      <c r="CM2046">
        <v>5418.47</v>
      </c>
      <c r="CN2046" s="1">
        <v>35549</v>
      </c>
      <c r="CO2046">
        <v>128000</v>
      </c>
      <c r="CZ2046" s="1">
        <v>35549</v>
      </c>
      <c r="DD2046" t="s">
        <v>11749</v>
      </c>
      <c r="DG2046">
        <v>9</v>
      </c>
      <c r="DI2046" t="s">
        <v>19835</v>
      </c>
      <c r="DL2046">
        <v>50202</v>
      </c>
      <c r="DM2046" t="s">
        <v>19796</v>
      </c>
      <c r="DO2046" t="s">
        <v>19836</v>
      </c>
      <c r="DP2046">
        <v>1</v>
      </c>
      <c r="DQ2046">
        <v>6</v>
      </c>
      <c r="DR2046" t="s">
        <v>1174</v>
      </c>
    </row>
    <row r="2047" spans="1:284" x14ac:dyDescent="0.25">
      <c r="A2047">
        <v>16487054</v>
      </c>
      <c r="B2047">
        <v>2046</v>
      </c>
      <c r="C2047" t="s">
        <v>393</v>
      </c>
      <c r="D2047" t="s">
        <v>394</v>
      </c>
      <c r="F2047" t="str">
        <f>"00-00-31-1040-0026-0100"</f>
        <v>00-00-31-1040-0026-0100</v>
      </c>
      <c r="H2047" t="str">
        <f>"SMITH CHESTER M JR FAMILY LIMITED PARTNERSHIP"</f>
        <v>SMITH CHESTER M JR FAMILY LIMITED PARTNERSHIP</v>
      </c>
      <c r="I2047" t="str">
        <f>"3571 HIGHWAY 20 WEST"</f>
        <v>3571 HIGHWAY 20 WEST</v>
      </c>
      <c r="J2047" t="str">
        <f>"HAMPTON GA 30228"</f>
        <v>HAMPTON GA 30228</v>
      </c>
      <c r="K2047" t="str">
        <f>"1060 FLETCHER AVE S"</f>
        <v>1060 FLETCHER AVE S</v>
      </c>
      <c r="L2047" t="str">
        <f t="shared" si="758"/>
        <v>FERNANDINA BEACH FL 32034</v>
      </c>
      <c r="M2047" t="str">
        <f>"BLOCK 26 LOT 10 IN OR 1317/53 ASKINS OCEAN CITY PB 0/51"</f>
        <v>BLOCK 26 LOT 10 IN OR 1317/53 ASKINS OCEAN CITY PB 0/51</v>
      </c>
      <c r="N2047" t="str">
        <f>""</f>
        <v/>
      </c>
      <c r="O2047" t="str">
        <f>"5829"</f>
        <v>5829</v>
      </c>
      <c r="P2047" t="str">
        <f t="shared" si="749"/>
        <v>2017</v>
      </c>
      <c r="Q2047" t="str">
        <f>""</f>
        <v/>
      </c>
      <c r="R2047" t="str">
        <f t="shared" si="765"/>
        <v>N</v>
      </c>
      <c r="S2047" t="str">
        <f>""</f>
        <v/>
      </c>
      <c r="T2047" t="str">
        <f>"14631.69"</f>
        <v>14631.69</v>
      </c>
      <c r="U2047" t="str">
        <f>"734128.00"</f>
        <v>734128.00</v>
      </c>
      <c r="V2047" t="str">
        <f>"734128.00"</f>
        <v>734128.00</v>
      </c>
      <c r="W2047" t="str">
        <f t="shared" si="750"/>
        <v>2017</v>
      </c>
      <c r="X2047" t="str">
        <f>""</f>
        <v/>
      </c>
      <c r="Y2047" t="str">
        <f>"15102.64"</f>
        <v>15102.64</v>
      </c>
      <c r="Z2047" t="str">
        <f>""</f>
        <v/>
      </c>
      <c r="AA2047" t="str">
        <f>"734128.00"</f>
        <v>734128.00</v>
      </c>
      <c r="AB2047" t="str">
        <f t="shared" si="769"/>
        <v>Residential</v>
      </c>
      <c r="AC2047" t="str">
        <f t="shared" si="762"/>
        <v>0</v>
      </c>
      <c r="AD2047" t="str">
        <f t="shared" ref="AD2047:AD2053" si="773">"4"</f>
        <v>4</v>
      </c>
      <c r="AE2047" t="str">
        <f t="shared" ref="AE2047:AE2053" si="774">"WOOD (INCLUDE STEEL STUDS)"</f>
        <v>WOOD (INCLUDE STEEL STUDS)</v>
      </c>
      <c r="AF2047" t="str">
        <f>"001"</f>
        <v>001</v>
      </c>
      <c r="AG2047" t="str">
        <f>"GA"</f>
        <v>GA</v>
      </c>
      <c r="AH2047" t="str">
        <f>"3500.00"</f>
        <v>3500.00</v>
      </c>
      <c r="AI2047" t="str">
        <f>"400000.00"</f>
        <v>400000.00</v>
      </c>
      <c r="AJ2047" t="str">
        <f>"C55-000-585-4202-8"</f>
        <v>C55-000-585-4202-8</v>
      </c>
      <c r="AK2047" t="str">
        <f>"43084"</f>
        <v>43084</v>
      </c>
      <c r="AL2047">
        <v>8</v>
      </c>
      <c r="AM2047">
        <v>2342</v>
      </c>
      <c r="AN2047">
        <v>15856.17</v>
      </c>
      <c r="AQ2047" t="s">
        <v>19837</v>
      </c>
      <c r="AR2047" t="s">
        <v>19837</v>
      </c>
      <c r="AS2047" t="s">
        <v>19837</v>
      </c>
      <c r="AU2047" t="s">
        <v>396</v>
      </c>
      <c r="AV2047">
        <v>2017</v>
      </c>
      <c r="AW2047" t="str">
        <f>"00-00-31-1040-0026-0100 "</f>
        <v xml:space="preserve">00-00-31-1040-0026-0100 </v>
      </c>
      <c r="AX2047">
        <v>1060</v>
      </c>
      <c r="AZ2047" t="s">
        <v>18248</v>
      </c>
      <c r="BA2047" t="s">
        <v>1112</v>
      </c>
      <c r="BB2047" t="s">
        <v>18674</v>
      </c>
      <c r="BD2047" t="s">
        <v>11749</v>
      </c>
      <c r="BE2047" t="s">
        <v>393</v>
      </c>
      <c r="BF2047">
        <v>32034</v>
      </c>
      <c r="BG2047" t="s">
        <v>19838</v>
      </c>
      <c r="BH2047" t="s">
        <v>11751</v>
      </c>
      <c r="BI2047">
        <v>-81.433574576618497</v>
      </c>
      <c r="BJ2047">
        <v>30.652449223183901</v>
      </c>
      <c r="BK2047" t="s">
        <v>19839</v>
      </c>
      <c r="BM2047" t="s">
        <v>19840</v>
      </c>
      <c r="BN2047" t="s">
        <v>19841</v>
      </c>
      <c r="BO2047">
        <v>30228</v>
      </c>
      <c r="BP2047" t="s">
        <v>404</v>
      </c>
      <c r="BQ2047">
        <v>100</v>
      </c>
      <c r="BR2047" t="s">
        <v>514</v>
      </c>
      <c r="BS2047">
        <v>1001</v>
      </c>
      <c r="BT2047" t="s">
        <v>515</v>
      </c>
      <c r="BU2047">
        <v>500</v>
      </c>
      <c r="BV2047">
        <v>0</v>
      </c>
      <c r="BW2047">
        <v>5400</v>
      </c>
      <c r="BX2047" t="s">
        <v>407</v>
      </c>
      <c r="BY2047" t="s">
        <v>19842</v>
      </c>
      <c r="BZ2047">
        <v>4</v>
      </c>
      <c r="CA2047">
        <v>1945</v>
      </c>
      <c r="CB2047">
        <v>2</v>
      </c>
      <c r="CC2047">
        <v>1</v>
      </c>
      <c r="CD2047">
        <v>2017</v>
      </c>
      <c r="CE2047">
        <v>400000</v>
      </c>
      <c r="CF2047">
        <v>334128</v>
      </c>
      <c r="CG2047">
        <v>734128</v>
      </c>
      <c r="CH2047">
        <v>2017</v>
      </c>
      <c r="CI2047">
        <v>400000</v>
      </c>
      <c r="CJ2047">
        <v>334128</v>
      </c>
      <c r="CK2047">
        <v>734128</v>
      </c>
      <c r="CL2047">
        <v>2017</v>
      </c>
      <c r="CM2047">
        <v>14631.69</v>
      </c>
      <c r="CN2047" s="1">
        <v>37768</v>
      </c>
      <c r="CO2047">
        <v>922500</v>
      </c>
      <c r="CV2047">
        <v>0</v>
      </c>
      <c r="CZ2047" s="1">
        <v>37768</v>
      </c>
      <c r="DA2047">
        <v>0</v>
      </c>
      <c r="DD2047" t="s">
        <v>11749</v>
      </c>
      <c r="DF2047">
        <v>10</v>
      </c>
      <c r="DG2047">
        <v>13</v>
      </c>
      <c r="DJ2047" t="s">
        <v>19843</v>
      </c>
      <c r="DL2047">
        <v>50101</v>
      </c>
      <c r="DM2047" t="s">
        <v>19844</v>
      </c>
      <c r="DO2047" t="s">
        <v>19845</v>
      </c>
      <c r="DP2047">
        <v>0</v>
      </c>
      <c r="DQ2047">
        <v>0</v>
      </c>
      <c r="DR2047" t="s">
        <v>411</v>
      </c>
    </row>
    <row r="2048" spans="1:284" x14ac:dyDescent="0.25">
      <c r="A2048">
        <v>16487055</v>
      </c>
      <c r="B2048">
        <v>2047</v>
      </c>
      <c r="C2048" t="s">
        <v>393</v>
      </c>
      <c r="D2048" t="s">
        <v>394</v>
      </c>
      <c r="F2048" t="str">
        <f>"00-00-31-1060-000F-0022"</f>
        <v>00-00-31-1060-000F-0022</v>
      </c>
      <c r="H2048" t="str">
        <f>"RENFROW BENJAMIN E &amp; CAROLYN R"</f>
        <v>RENFROW BENJAMIN E &amp; CAROLYN R</v>
      </c>
      <c r="I2048" t="str">
        <f>"4542 GILBERTS BEACH RD"</f>
        <v>4542 GILBERTS BEACH RD</v>
      </c>
      <c r="J2048" t="str">
        <f>"TYNER NC 27980"</f>
        <v>TYNER NC 27980</v>
      </c>
      <c r="K2048" t="str">
        <f>"2002 HIGHLAND ST"</f>
        <v>2002 HIGHLAND ST</v>
      </c>
      <c r="L2048" t="str">
        <f t="shared" si="758"/>
        <v>FERNANDINA BEACH FL 32034</v>
      </c>
      <c r="M2048" t="str">
        <f>"BLOCK F N1/2 OF W100 FT OF LOT 2 OR 1732/1709 ATLANTIC HIGHLANDS SUB DB 39/297"</f>
        <v>BLOCK F N1/2 OF W100 FT OF LOT 2 OR 1732/1709 ATLANTIC HIGHLANDS SUB DB 39/297</v>
      </c>
      <c r="N2048" t="str">
        <f>""</f>
        <v/>
      </c>
      <c r="O2048" t="str">
        <f>"5865"</f>
        <v>5865</v>
      </c>
      <c r="P2048" t="str">
        <f t="shared" si="749"/>
        <v>2017</v>
      </c>
      <c r="Q2048" t="str">
        <f>""</f>
        <v/>
      </c>
      <c r="R2048" t="str">
        <f t="shared" si="765"/>
        <v>N</v>
      </c>
      <c r="S2048" t="str">
        <f>""</f>
        <v/>
      </c>
      <c r="T2048" t="str">
        <f>"2577.23"</f>
        <v>2577.23</v>
      </c>
      <c r="U2048" t="str">
        <f>"128985.00"</f>
        <v>128985.00</v>
      </c>
      <c r="V2048" t="str">
        <f>"128985.00"</f>
        <v>128985.00</v>
      </c>
      <c r="W2048" t="str">
        <f t="shared" si="750"/>
        <v>2017</v>
      </c>
      <c r="X2048" t="str">
        <f>""</f>
        <v/>
      </c>
      <c r="Y2048" t="str">
        <f>"636.85"</f>
        <v>636.85</v>
      </c>
      <c r="Z2048" t="str">
        <f>""</f>
        <v/>
      </c>
      <c r="AA2048" t="str">
        <f>"129966.00"</f>
        <v>129966.00</v>
      </c>
      <c r="AB2048" t="str">
        <f t="shared" si="769"/>
        <v>Residential</v>
      </c>
      <c r="AC2048" t="str">
        <f t="shared" si="762"/>
        <v>0</v>
      </c>
      <c r="AD2048" t="str">
        <f t="shared" si="773"/>
        <v>4</v>
      </c>
      <c r="AE2048" t="str">
        <f t="shared" si="774"/>
        <v>WOOD (INCLUDE STEEL STUDS)</v>
      </c>
      <c r="AF2048" t="str">
        <f>"001"</f>
        <v>001</v>
      </c>
      <c r="AG2048" t="str">
        <f>"NC"</f>
        <v>NC</v>
      </c>
      <c r="AH2048" t="str">
        <f>"6800.00"</f>
        <v>6800.00</v>
      </c>
      <c r="AI2048" t="str">
        <f>"51000.00"</f>
        <v>51000.00</v>
      </c>
      <c r="AJ2048" t="str">
        <f>"C55-000-585-4236-6"</f>
        <v>C55-000-585-4236-6</v>
      </c>
      <c r="AK2048" t="str">
        <f>"43119"</f>
        <v>43119</v>
      </c>
      <c r="AL2048">
        <v>8</v>
      </c>
      <c r="AM2048">
        <v>2344</v>
      </c>
      <c r="AN2048">
        <v>667.09</v>
      </c>
      <c r="AQ2048" t="s">
        <v>19846</v>
      </c>
      <c r="AR2048" t="s">
        <v>19846</v>
      </c>
      <c r="AS2048" t="s">
        <v>19846</v>
      </c>
      <c r="AU2048" t="s">
        <v>396</v>
      </c>
      <c r="AV2048">
        <v>2017</v>
      </c>
      <c r="AW2048" t="str">
        <f>"00-00-31-1060-000F-0022 "</f>
        <v xml:space="preserve">00-00-31-1060-000F-0022 </v>
      </c>
      <c r="AX2048">
        <v>2002</v>
      </c>
      <c r="AZ2048" t="s">
        <v>19847</v>
      </c>
      <c r="BA2048" t="s">
        <v>1942</v>
      </c>
      <c r="BD2048" t="s">
        <v>11749</v>
      </c>
      <c r="BE2048" t="s">
        <v>393</v>
      </c>
      <c r="BF2048">
        <v>32034</v>
      </c>
      <c r="BG2048" t="s">
        <v>19848</v>
      </c>
      <c r="BH2048" t="s">
        <v>11751</v>
      </c>
      <c r="BI2048">
        <v>-81.4435683396744</v>
      </c>
      <c r="BJ2048">
        <v>30.670786043585899</v>
      </c>
      <c r="BK2048" t="s">
        <v>19849</v>
      </c>
      <c r="BL2048" t="s">
        <v>19850</v>
      </c>
      <c r="BM2048" t="s">
        <v>19851</v>
      </c>
      <c r="BN2048" t="s">
        <v>19852</v>
      </c>
      <c r="BO2048">
        <v>27980</v>
      </c>
      <c r="BP2048" t="s">
        <v>404</v>
      </c>
      <c r="BQ2048">
        <v>100</v>
      </c>
      <c r="BR2048" t="s">
        <v>514</v>
      </c>
      <c r="BS2048">
        <v>1001</v>
      </c>
      <c r="BT2048" t="s">
        <v>515</v>
      </c>
      <c r="BW2048">
        <v>6825</v>
      </c>
      <c r="BX2048" t="s">
        <v>407</v>
      </c>
      <c r="BY2048" t="s">
        <v>19842</v>
      </c>
      <c r="BZ2048">
        <v>4</v>
      </c>
      <c r="CA2048">
        <v>1960</v>
      </c>
      <c r="CB2048">
        <v>1</v>
      </c>
      <c r="CC2048">
        <v>1</v>
      </c>
      <c r="CD2048">
        <v>2017</v>
      </c>
      <c r="CE2048">
        <v>51000</v>
      </c>
      <c r="CF2048">
        <v>78966</v>
      </c>
      <c r="CG2048">
        <v>129966</v>
      </c>
      <c r="CH2048">
        <v>2017</v>
      </c>
      <c r="CI2048">
        <v>51000</v>
      </c>
      <c r="CJ2048">
        <v>78966</v>
      </c>
      <c r="CK2048">
        <v>129966</v>
      </c>
      <c r="CL2048">
        <v>2017</v>
      </c>
      <c r="CM2048">
        <v>2577.23</v>
      </c>
      <c r="CN2048" s="1">
        <v>40637</v>
      </c>
      <c r="CO2048">
        <v>49928</v>
      </c>
      <c r="CZ2048" s="1">
        <v>40637</v>
      </c>
      <c r="DD2048" t="s">
        <v>11749</v>
      </c>
      <c r="DF2048">
        <v>2</v>
      </c>
      <c r="DG2048">
        <v>18</v>
      </c>
      <c r="DJ2048" t="s">
        <v>19853</v>
      </c>
      <c r="DL2048">
        <v>50102</v>
      </c>
      <c r="DM2048" t="s">
        <v>19854</v>
      </c>
      <c r="DO2048" t="s">
        <v>19855</v>
      </c>
      <c r="DP2048">
        <v>0</v>
      </c>
      <c r="DQ2048">
        <v>0</v>
      </c>
      <c r="DR2048" t="s">
        <v>411</v>
      </c>
    </row>
    <row r="2049" spans="1:284" x14ac:dyDescent="0.25">
      <c r="A2049">
        <v>16487056</v>
      </c>
      <c r="B2049">
        <v>2048</v>
      </c>
      <c r="C2049" t="s">
        <v>393</v>
      </c>
      <c r="D2049" t="s">
        <v>394</v>
      </c>
      <c r="F2049" t="str">
        <f>"00-00-31-1060-000F-0042"</f>
        <v>00-00-31-1060-000F-0042</v>
      </c>
      <c r="H2049" t="str">
        <f>"MURRAY DANIEL N &amp; KATHY M"</f>
        <v>MURRAY DANIEL N &amp; KATHY M</v>
      </c>
      <c r="I2049" t="str">
        <f>"2022 ALACHUA ST"</f>
        <v>2022 ALACHUA ST</v>
      </c>
      <c r="J2049" t="str">
        <f>"FERNANDINA BEACH FL 32034"</f>
        <v>FERNANDINA BEACH FL 32034</v>
      </c>
      <c r="K2049" t="str">
        <f>"2022 ALACHUA ST"</f>
        <v>2022 ALACHUA ST</v>
      </c>
      <c r="L2049" t="str">
        <f t="shared" si="758"/>
        <v>FERNANDINA BEACH FL 32034</v>
      </c>
      <c r="M2049" t="str">
        <f>"BLOCK F LOT W1/2 OF 4 IN OR 404 PG 415 ATLANTIC HIGHLANDS SUB DB 39/297"</f>
        <v>BLOCK F LOT W1/2 OF 4 IN OR 404 PG 415 ATLANTIC HIGHLANDS SUB DB 39/297</v>
      </c>
      <c r="N2049" t="str">
        <f>""</f>
        <v/>
      </c>
      <c r="O2049" t="str">
        <f>"5869"</f>
        <v>5869</v>
      </c>
      <c r="P2049" t="str">
        <f t="shared" si="749"/>
        <v>2017</v>
      </c>
      <c r="Q2049" t="str">
        <f>""</f>
        <v/>
      </c>
      <c r="R2049" t="str">
        <f>"Y"</f>
        <v>Y</v>
      </c>
      <c r="S2049" t="str">
        <f>""</f>
        <v/>
      </c>
      <c r="T2049" t="str">
        <f>"1019.55"</f>
        <v>1019.55</v>
      </c>
      <c r="U2049" t="str">
        <f>"92879.00"</f>
        <v>92879.00</v>
      </c>
      <c r="V2049" t="str">
        <f>"92879.00"</f>
        <v>92879.00</v>
      </c>
      <c r="W2049" t="str">
        <f t="shared" si="750"/>
        <v>2017</v>
      </c>
      <c r="X2049" t="str">
        <f>"12.00"</f>
        <v>12.00</v>
      </c>
      <c r="Y2049" t="str">
        <f>"1082.14"</f>
        <v>1082.14</v>
      </c>
      <c r="Z2049" t="str">
        <f>"25000.00"</f>
        <v>25000.00</v>
      </c>
      <c r="AA2049" t="str">
        <f>"67879.00"</f>
        <v>67879.00</v>
      </c>
      <c r="AB2049" t="str">
        <f t="shared" si="769"/>
        <v>Residential</v>
      </c>
      <c r="AC2049" t="str">
        <f t="shared" si="762"/>
        <v>0</v>
      </c>
      <c r="AD2049" t="str">
        <f t="shared" si="773"/>
        <v>4</v>
      </c>
      <c r="AE2049" t="str">
        <f t="shared" si="774"/>
        <v>WOOD (INCLUDE STEEL STUDS)</v>
      </c>
      <c r="AF2049" t="str">
        <f>"001"</f>
        <v>001</v>
      </c>
      <c r="AG2049" t="str">
        <f>"FL"</f>
        <v>FL</v>
      </c>
      <c r="AH2049" t="str">
        <f>"11508.00"</f>
        <v>11508.00</v>
      </c>
      <c r="AI2049" t="str">
        <f>"56950.00"</f>
        <v>56950.00</v>
      </c>
      <c r="AJ2049" t="str">
        <f>"C55-000-585-4240-8"</f>
        <v>C55-000-585-4240-8</v>
      </c>
      <c r="AK2049" t="str">
        <f>"43123"</f>
        <v>43123</v>
      </c>
      <c r="AL2049">
        <v>8</v>
      </c>
      <c r="AM2049">
        <v>2345</v>
      </c>
      <c r="AN2049">
        <v>1134.6500000000001</v>
      </c>
      <c r="AQ2049" t="s">
        <v>19856</v>
      </c>
      <c r="AR2049" t="s">
        <v>19856</v>
      </c>
      <c r="AS2049" t="s">
        <v>19856</v>
      </c>
      <c r="AU2049" t="s">
        <v>396</v>
      </c>
      <c r="AV2049">
        <v>2017</v>
      </c>
      <c r="AW2049" t="str">
        <f>"00-00-31-1060-000F-0042 "</f>
        <v xml:space="preserve">00-00-31-1060-000F-0042 </v>
      </c>
      <c r="AX2049">
        <v>2022</v>
      </c>
      <c r="AZ2049" t="s">
        <v>19857</v>
      </c>
      <c r="BA2049" t="s">
        <v>1942</v>
      </c>
      <c r="BD2049" t="s">
        <v>11749</v>
      </c>
      <c r="BE2049" t="s">
        <v>393</v>
      </c>
      <c r="BF2049">
        <v>32034</v>
      </c>
      <c r="BG2049" t="s">
        <v>19858</v>
      </c>
      <c r="BH2049" t="s">
        <v>11751</v>
      </c>
      <c r="BI2049">
        <v>-81.443129162574394</v>
      </c>
      <c r="BJ2049">
        <v>30.670263398107899</v>
      </c>
      <c r="BK2049" t="s">
        <v>19859</v>
      </c>
      <c r="BL2049" t="s">
        <v>19860</v>
      </c>
      <c r="BM2049" t="s">
        <v>19858</v>
      </c>
      <c r="BN2049" t="s">
        <v>3983</v>
      </c>
      <c r="BO2049">
        <v>32034</v>
      </c>
      <c r="BP2049" t="s">
        <v>416</v>
      </c>
      <c r="BQ2049">
        <v>100</v>
      </c>
      <c r="BR2049" t="s">
        <v>514</v>
      </c>
      <c r="BS2049">
        <v>1001</v>
      </c>
      <c r="BT2049" t="s">
        <v>515</v>
      </c>
      <c r="BW2049">
        <v>11463</v>
      </c>
      <c r="BX2049" t="s">
        <v>407</v>
      </c>
      <c r="BY2049" t="s">
        <v>19842</v>
      </c>
      <c r="BZ2049">
        <v>4</v>
      </c>
      <c r="CA2049">
        <v>1967</v>
      </c>
      <c r="CB2049">
        <v>1</v>
      </c>
      <c r="CC2049">
        <v>1</v>
      </c>
      <c r="CD2049">
        <v>2017</v>
      </c>
      <c r="CG2049">
        <v>92879</v>
      </c>
      <c r="CH2049">
        <v>2017</v>
      </c>
      <c r="CI2049">
        <v>56950</v>
      </c>
      <c r="CJ2049">
        <v>77924</v>
      </c>
      <c r="CK2049">
        <v>134874</v>
      </c>
      <c r="CL2049">
        <v>2017</v>
      </c>
      <c r="CM2049">
        <v>1019.55</v>
      </c>
      <c r="CN2049" s="1">
        <v>30621</v>
      </c>
      <c r="CO2049">
        <v>44700</v>
      </c>
      <c r="CZ2049" s="1">
        <v>30621</v>
      </c>
      <c r="DD2049" t="s">
        <v>11749</v>
      </c>
      <c r="DG2049">
        <v>18</v>
      </c>
      <c r="DJ2049" t="s">
        <v>19853</v>
      </c>
      <c r="DL2049">
        <v>50102</v>
      </c>
      <c r="DM2049" t="s">
        <v>19854</v>
      </c>
      <c r="DO2049" t="s">
        <v>19861</v>
      </c>
      <c r="DP2049">
        <v>0</v>
      </c>
      <c r="DQ2049">
        <v>1</v>
      </c>
      <c r="DR2049" t="s">
        <v>411</v>
      </c>
      <c r="DS2049" t="b">
        <v>1</v>
      </c>
      <c r="DT2049" t="s">
        <v>470</v>
      </c>
      <c r="DU2049" t="s">
        <v>471</v>
      </c>
      <c r="DV2049" t="s">
        <v>472</v>
      </c>
      <c r="DX2049">
        <v>-9999</v>
      </c>
      <c r="DZ2049" t="s">
        <v>447</v>
      </c>
      <c r="EA2049" t="s">
        <v>448</v>
      </c>
      <c r="EB2049" t="s">
        <v>14787</v>
      </c>
      <c r="EC2049">
        <v>20101217</v>
      </c>
      <c r="ED2049" t="s">
        <v>474</v>
      </c>
      <c r="EF2049">
        <v>752.8</v>
      </c>
      <c r="EG2049">
        <v>752.8</v>
      </c>
      <c r="EI2049">
        <v>20160407</v>
      </c>
      <c r="EJ2049">
        <v>0</v>
      </c>
      <c r="EK2049">
        <v>0</v>
      </c>
      <c r="EP2049" t="s">
        <v>421</v>
      </c>
      <c r="EQ2049" t="s">
        <v>422</v>
      </c>
      <c r="ER2049">
        <v>4</v>
      </c>
      <c r="ES2049">
        <v>1</v>
      </c>
      <c r="ET2049">
        <v>4435.46</v>
      </c>
      <c r="EU2049">
        <v>246.77</v>
      </c>
      <c r="EV2049">
        <v>4682.2299999999996</v>
      </c>
      <c r="EW2049" s="2">
        <v>43222</v>
      </c>
      <c r="EX2049" s="1">
        <v>42879</v>
      </c>
      <c r="EY2049">
        <v>2016</v>
      </c>
      <c r="EZ2049">
        <v>1107.78</v>
      </c>
      <c r="FA2049" t="s">
        <v>19862</v>
      </c>
      <c r="FB2049">
        <v>0.25</v>
      </c>
      <c r="FC2049" t="s">
        <v>424</v>
      </c>
      <c r="FD2049" t="s">
        <v>454</v>
      </c>
      <c r="FF2049">
        <v>12</v>
      </c>
      <c r="FG2049">
        <v>7336671</v>
      </c>
      <c r="FH2049" t="s">
        <v>437</v>
      </c>
      <c r="FJ2049" s="1">
        <v>42879</v>
      </c>
      <c r="FK2049">
        <v>2016</v>
      </c>
      <c r="FL2049">
        <v>1107.78</v>
      </c>
      <c r="FM2049" t="s">
        <v>19862</v>
      </c>
      <c r="FN2049">
        <v>0.25</v>
      </c>
      <c r="FO2049" t="s">
        <v>424</v>
      </c>
      <c r="FP2049" t="s">
        <v>454</v>
      </c>
      <c r="FR2049">
        <v>12</v>
      </c>
      <c r="FS2049">
        <v>6803885</v>
      </c>
      <c r="FT2049" t="s">
        <v>19863</v>
      </c>
      <c r="FV2049" s="1">
        <v>42515</v>
      </c>
      <c r="FW2049">
        <v>2015</v>
      </c>
      <c r="FX2049">
        <v>1109.95</v>
      </c>
      <c r="FY2049" t="s">
        <v>19864</v>
      </c>
      <c r="FZ2049">
        <v>0.25</v>
      </c>
      <c r="GA2049" t="s">
        <v>424</v>
      </c>
      <c r="GB2049" t="s">
        <v>454</v>
      </c>
      <c r="GD2049">
        <v>24</v>
      </c>
      <c r="GE2049">
        <v>2851116</v>
      </c>
      <c r="GF2049" t="s">
        <v>480</v>
      </c>
      <c r="GH2049" s="1">
        <v>42515</v>
      </c>
      <c r="GI2049">
        <v>2015</v>
      </c>
      <c r="GJ2049">
        <v>1109.95</v>
      </c>
      <c r="GK2049" t="s">
        <v>19864</v>
      </c>
      <c r="GL2049">
        <v>0.25</v>
      </c>
      <c r="GM2049" t="s">
        <v>424</v>
      </c>
      <c r="GN2049" t="s">
        <v>454</v>
      </c>
      <c r="GP2049">
        <v>24</v>
      </c>
      <c r="GQ2049">
        <v>5288461</v>
      </c>
      <c r="GR2049" t="s">
        <v>19865</v>
      </c>
      <c r="GT2049" s="1">
        <v>41787</v>
      </c>
      <c r="GU2049">
        <v>2013</v>
      </c>
      <c r="GV2049">
        <v>1046.99</v>
      </c>
      <c r="GW2049" t="s">
        <v>19866</v>
      </c>
      <c r="GX2049">
        <v>0.25</v>
      </c>
      <c r="GY2049" t="s">
        <v>424</v>
      </c>
      <c r="GZ2049" t="s">
        <v>425</v>
      </c>
      <c r="HA2049" s="1">
        <v>42150</v>
      </c>
      <c r="HB2049">
        <v>12</v>
      </c>
      <c r="HC2049">
        <v>2851116</v>
      </c>
      <c r="HD2049" t="s">
        <v>480</v>
      </c>
    </row>
    <row r="2050" spans="1:284" x14ac:dyDescent="0.25">
      <c r="A2050">
        <v>16487057</v>
      </c>
      <c r="B2050">
        <v>2049</v>
      </c>
      <c r="C2050" t="s">
        <v>393</v>
      </c>
      <c r="D2050" t="s">
        <v>394</v>
      </c>
      <c r="F2050" t="str">
        <f>"00-00-31-1060-000J-0021"</f>
        <v>00-00-31-1060-000J-0021</v>
      </c>
      <c r="H2050" t="str">
        <f>"CAMPBELL JOHN C"</f>
        <v>CAMPBELL JOHN C</v>
      </c>
      <c r="I2050" t="str">
        <f>"1624 HIGHLAND ST"</f>
        <v>1624 HIGHLAND ST</v>
      </c>
      <c r="J2050" t="str">
        <f>"FERNANDINA BEACH FL 32034"</f>
        <v>FERNANDINA BEACH FL 32034</v>
      </c>
      <c r="K2050" t="str">
        <f>"1624 HIGHLAND ST"</f>
        <v>1624 HIGHLAND ST</v>
      </c>
      <c r="L2050" t="str">
        <f t="shared" si="758"/>
        <v>FERNANDINA BEACH FL 32034</v>
      </c>
      <c r="M2050" t="str">
        <f>"BLOCK J E1/2 OF LOT 2 IN OR 1467/1681 ATLANTIC HIGHLANDS SUB DB 39/297"</f>
        <v>BLOCK J E1/2 OF LOT 2 IN OR 1467/1681 ATLANTIC HIGHLANDS SUB DB 39/297</v>
      </c>
      <c r="N2050" t="str">
        <f>""</f>
        <v/>
      </c>
      <c r="O2050" t="str">
        <f>"5887"</f>
        <v>5887</v>
      </c>
      <c r="P2050" t="str">
        <f t="shared" ref="P2050:P2113" si="775">"2017"</f>
        <v>2017</v>
      </c>
      <c r="Q2050" t="str">
        <f>""</f>
        <v/>
      </c>
      <c r="R2050" t="str">
        <f>"Y"</f>
        <v>Y</v>
      </c>
      <c r="S2050" t="str">
        <f>""</f>
        <v/>
      </c>
      <c r="T2050" t="str">
        <f>"740.37"</f>
        <v>740.37</v>
      </c>
      <c r="U2050" t="str">
        <f>"78871.00"</f>
        <v>78871.00</v>
      </c>
      <c r="V2050" t="str">
        <f>"78871.00"</f>
        <v>78871.00</v>
      </c>
      <c r="W2050" t="str">
        <f t="shared" ref="W2050:W2113" si="776">"2017"</f>
        <v>2017</v>
      </c>
      <c r="X2050" t="str">
        <f>""</f>
        <v/>
      </c>
      <c r="Y2050" t="str">
        <f>"794.58"</f>
        <v>794.58</v>
      </c>
      <c r="Z2050" t="str">
        <f>"25000.00"</f>
        <v>25000.00</v>
      </c>
      <c r="AA2050" t="str">
        <f>"53871.00"</f>
        <v>53871.00</v>
      </c>
      <c r="AB2050" t="str">
        <f t="shared" si="769"/>
        <v>Residential</v>
      </c>
      <c r="AC2050" t="str">
        <f t="shared" si="762"/>
        <v>0</v>
      </c>
      <c r="AD2050" t="str">
        <f t="shared" si="773"/>
        <v>4</v>
      </c>
      <c r="AE2050" t="str">
        <f t="shared" si="774"/>
        <v>WOOD (INCLUDE STEEL STUDS)</v>
      </c>
      <c r="AF2050" t="str">
        <f>"001"</f>
        <v>001</v>
      </c>
      <c r="AG2050" t="str">
        <f>"FL"</f>
        <v>FL</v>
      </c>
      <c r="AH2050" t="str">
        <f>"9179.00"</f>
        <v>9179.00</v>
      </c>
      <c r="AI2050" t="str">
        <f>"56950.00"</f>
        <v>56950.00</v>
      </c>
      <c r="AJ2050" t="str">
        <f>"C55-000-585-4258-0"</f>
        <v>C55-000-585-4258-0</v>
      </c>
      <c r="AK2050" t="str">
        <f>"43141"</f>
        <v>43141</v>
      </c>
      <c r="AL2050">
        <v>8</v>
      </c>
      <c r="AM2050">
        <v>2346</v>
      </c>
      <c r="AN2050">
        <v>832.71</v>
      </c>
      <c r="AQ2050" t="s">
        <v>19867</v>
      </c>
      <c r="AR2050" t="s">
        <v>19867</v>
      </c>
      <c r="AS2050" t="s">
        <v>19867</v>
      </c>
      <c r="AU2050" t="s">
        <v>396</v>
      </c>
      <c r="AV2050">
        <v>2017</v>
      </c>
      <c r="AW2050" t="str">
        <f>"00-00-31-1060-000J-0021 "</f>
        <v xml:space="preserve">00-00-31-1060-000J-0021 </v>
      </c>
      <c r="AX2050">
        <v>1624</v>
      </c>
      <c r="AZ2050" t="s">
        <v>19847</v>
      </c>
      <c r="BA2050" t="s">
        <v>1942</v>
      </c>
      <c r="BD2050" t="s">
        <v>11749</v>
      </c>
      <c r="BE2050" t="s">
        <v>393</v>
      </c>
      <c r="BF2050">
        <v>32034</v>
      </c>
      <c r="BG2050" t="s">
        <v>19868</v>
      </c>
      <c r="BH2050" t="s">
        <v>11751</v>
      </c>
      <c r="BI2050">
        <v>-81.447230862495005</v>
      </c>
      <c r="BJ2050">
        <v>30.671116333108898</v>
      </c>
      <c r="BK2050" t="s">
        <v>19869</v>
      </c>
      <c r="BL2050" t="s">
        <v>19870</v>
      </c>
      <c r="BM2050" t="s">
        <v>19868</v>
      </c>
      <c r="BN2050" t="s">
        <v>3983</v>
      </c>
      <c r="BO2050">
        <v>32034</v>
      </c>
      <c r="BP2050" t="s">
        <v>416</v>
      </c>
      <c r="BQ2050">
        <v>100</v>
      </c>
      <c r="BR2050" t="s">
        <v>514</v>
      </c>
      <c r="BS2050">
        <v>1001</v>
      </c>
      <c r="BT2050" t="s">
        <v>515</v>
      </c>
      <c r="BW2050">
        <v>9136</v>
      </c>
      <c r="BX2050" t="s">
        <v>407</v>
      </c>
      <c r="BY2050" t="s">
        <v>19842</v>
      </c>
      <c r="BZ2050">
        <v>4</v>
      </c>
      <c r="CA2050">
        <v>1961</v>
      </c>
      <c r="CB2050">
        <v>1</v>
      </c>
      <c r="CC2050">
        <v>1</v>
      </c>
      <c r="CD2050">
        <v>2017</v>
      </c>
      <c r="CG2050">
        <v>78871</v>
      </c>
      <c r="CH2050">
        <v>2017</v>
      </c>
      <c r="CI2050">
        <v>56950</v>
      </c>
      <c r="CJ2050">
        <v>77905</v>
      </c>
      <c r="CK2050">
        <v>134855</v>
      </c>
      <c r="CL2050">
        <v>2017</v>
      </c>
      <c r="CM2050">
        <v>740.37</v>
      </c>
      <c r="DD2050" t="s">
        <v>11749</v>
      </c>
      <c r="DF2050">
        <v>2</v>
      </c>
      <c r="DG2050">
        <v>18</v>
      </c>
      <c r="DJ2050" t="s">
        <v>19853</v>
      </c>
      <c r="DL2050">
        <v>50102</v>
      </c>
      <c r="DM2050" t="s">
        <v>19854</v>
      </c>
      <c r="DO2050" t="s">
        <v>19871</v>
      </c>
      <c r="DP2050">
        <v>0</v>
      </c>
      <c r="DQ2050">
        <v>0</v>
      </c>
      <c r="DR2050" t="s">
        <v>411</v>
      </c>
    </row>
    <row r="2051" spans="1:284" x14ac:dyDescent="0.25">
      <c r="A2051">
        <v>16487058</v>
      </c>
      <c r="B2051">
        <v>2050</v>
      </c>
      <c r="C2051" t="s">
        <v>393</v>
      </c>
      <c r="D2051" t="s">
        <v>394</v>
      </c>
      <c r="F2051" t="str">
        <f>"00-00-31-1060-000J-0052"</f>
        <v>00-00-31-1060-000J-0052</v>
      </c>
      <c r="H2051" t="str">
        <f>"FERRELL DEBORAH KAY &amp; MIRANDA ARABELLE VIERA (JTROS)"</f>
        <v>FERRELL DEBORAH KAY &amp; MIRANDA ARABELLE VIERA (JTROS)</v>
      </c>
      <c r="I2051" t="str">
        <f>"6824 CITATION WAY"</f>
        <v>6824 CITATION WAY</v>
      </c>
      <c r="J2051" t="str">
        <f>"VICTOR NY 14564"</f>
        <v>VICTOR NY 14564</v>
      </c>
      <c r="K2051" t="str">
        <f>"1601 ALACHUA ST"</f>
        <v>1601 ALACHUA ST</v>
      </c>
      <c r="L2051" t="str">
        <f t="shared" si="758"/>
        <v>FERNANDINA BEACH FL 32034</v>
      </c>
      <c r="M2051" t="str">
        <f>"BLOCK J LOT W 67 FT OF LOT 5 IN OR 513 PG 986 L/E IN OR 902/232 ATLANTIC HIGHLANDS SUB DB 39/297"</f>
        <v>BLOCK J LOT W 67 FT OF LOT 5 IN OR 513 PG 986 L/E IN OR 902/232 ATLANTIC HIGHLANDS SUB DB 39/297</v>
      </c>
      <c r="N2051" t="str">
        <f>""</f>
        <v/>
      </c>
      <c r="O2051" t="str">
        <f>"5892"</f>
        <v>5892</v>
      </c>
      <c r="P2051" t="str">
        <f t="shared" si="775"/>
        <v>2017</v>
      </c>
      <c r="Q2051" t="str">
        <f>""</f>
        <v/>
      </c>
      <c r="R2051" t="str">
        <f>"N"</f>
        <v>N</v>
      </c>
      <c r="S2051" t="str">
        <f>""</f>
        <v/>
      </c>
      <c r="T2051" t="str">
        <f>"2060.04"</f>
        <v>2060.04</v>
      </c>
      <c r="U2051" t="str">
        <f>"102472.00"</f>
        <v>102472.00</v>
      </c>
      <c r="V2051" t="str">
        <f>"102472.00"</f>
        <v>102472.00</v>
      </c>
      <c r="W2051" t="str">
        <f t="shared" si="776"/>
        <v>2017</v>
      </c>
      <c r="X2051" t="str">
        <f>""</f>
        <v/>
      </c>
      <c r="Y2051" t="str">
        <f>"2153.84"</f>
        <v>2153.84</v>
      </c>
      <c r="Z2051" t="str">
        <f>""</f>
        <v/>
      </c>
      <c r="AA2051" t="str">
        <f>"105157.00"</f>
        <v>105157.00</v>
      </c>
      <c r="AB2051" t="str">
        <f t="shared" si="769"/>
        <v>Residential</v>
      </c>
      <c r="AC2051" t="str">
        <f t="shared" si="762"/>
        <v>0</v>
      </c>
      <c r="AD2051" t="str">
        <f t="shared" si="773"/>
        <v>4</v>
      </c>
      <c r="AE2051" t="str">
        <f t="shared" si="774"/>
        <v>WOOD (INCLUDE STEEL STUDS)</v>
      </c>
      <c r="AF2051" t="str">
        <f>"001"</f>
        <v>001</v>
      </c>
      <c r="AG2051" t="str">
        <f>"NY"</f>
        <v>NY</v>
      </c>
      <c r="AH2051" t="str">
        <f>"9179.00"</f>
        <v>9179.00</v>
      </c>
      <c r="AI2051" t="str">
        <f>"56950.00"</f>
        <v>56950.00</v>
      </c>
      <c r="AJ2051" t="str">
        <f>"C55-000-585-4263-0"</f>
        <v>C55-000-585-4263-0</v>
      </c>
      <c r="AK2051" t="str">
        <f>"43146"</f>
        <v>43146</v>
      </c>
      <c r="AL2051">
        <v>8</v>
      </c>
      <c r="AM2051">
        <v>2347</v>
      </c>
      <c r="AN2051">
        <v>2259.9299999999998</v>
      </c>
      <c r="AQ2051" t="s">
        <v>19872</v>
      </c>
      <c r="AR2051" t="s">
        <v>19872</v>
      </c>
      <c r="AS2051" t="s">
        <v>19872</v>
      </c>
      <c r="AU2051" t="s">
        <v>396</v>
      </c>
      <c r="AV2051">
        <v>2017</v>
      </c>
      <c r="AW2051" t="str">
        <f>"00-00-31-1060-000J-0052 "</f>
        <v xml:space="preserve">00-00-31-1060-000J-0052 </v>
      </c>
      <c r="AX2051">
        <v>1601</v>
      </c>
      <c r="AZ2051" t="s">
        <v>19857</v>
      </c>
      <c r="BA2051" t="s">
        <v>1942</v>
      </c>
      <c r="BD2051" t="s">
        <v>11749</v>
      </c>
      <c r="BE2051" t="s">
        <v>393</v>
      </c>
      <c r="BF2051">
        <v>32034</v>
      </c>
      <c r="BG2051" t="s">
        <v>19873</v>
      </c>
      <c r="BH2051" t="s">
        <v>11751</v>
      </c>
      <c r="BI2051">
        <v>-81.448342584688305</v>
      </c>
      <c r="BJ2051">
        <v>30.6708557546898</v>
      </c>
      <c r="BK2051" t="s">
        <v>19874</v>
      </c>
      <c r="BL2051" t="s">
        <v>19875</v>
      </c>
      <c r="BM2051" t="s">
        <v>19876</v>
      </c>
      <c r="BN2051" t="s">
        <v>19877</v>
      </c>
      <c r="BO2051">
        <v>14564</v>
      </c>
      <c r="BP2051" t="s">
        <v>404</v>
      </c>
      <c r="BQ2051">
        <v>100</v>
      </c>
      <c r="BR2051" t="s">
        <v>514</v>
      </c>
      <c r="BS2051">
        <v>1001</v>
      </c>
      <c r="BT2051" t="s">
        <v>515</v>
      </c>
      <c r="BW2051">
        <v>9146</v>
      </c>
      <c r="BX2051" t="s">
        <v>407</v>
      </c>
      <c r="BY2051" t="s">
        <v>19842</v>
      </c>
      <c r="BZ2051">
        <v>4</v>
      </c>
      <c r="CA2051">
        <v>1940</v>
      </c>
      <c r="CB2051">
        <v>1</v>
      </c>
      <c r="CC2051">
        <v>1</v>
      </c>
      <c r="CD2051">
        <v>2017</v>
      </c>
      <c r="CE2051">
        <v>56950</v>
      </c>
      <c r="CF2051">
        <v>48207</v>
      </c>
      <c r="CG2051">
        <v>105157</v>
      </c>
      <c r="CH2051">
        <v>2017</v>
      </c>
      <c r="CI2051">
        <v>56950</v>
      </c>
      <c r="CJ2051">
        <v>48207</v>
      </c>
      <c r="CK2051">
        <v>105157</v>
      </c>
      <c r="CL2051">
        <v>2017</v>
      </c>
      <c r="CM2051">
        <v>2060.04</v>
      </c>
      <c r="CN2051" s="1">
        <v>36438</v>
      </c>
      <c r="CZ2051" s="1">
        <v>36438</v>
      </c>
      <c r="DD2051" t="s">
        <v>11749</v>
      </c>
      <c r="DF2051" t="s">
        <v>4459</v>
      </c>
      <c r="DG2051">
        <v>18</v>
      </c>
      <c r="DL2051">
        <v>50102</v>
      </c>
      <c r="DM2051" t="s">
        <v>19854</v>
      </c>
      <c r="DO2051" t="s">
        <v>19878</v>
      </c>
      <c r="DP2051">
        <v>0</v>
      </c>
      <c r="DQ2051">
        <v>0</v>
      </c>
      <c r="DR2051" t="s">
        <v>411</v>
      </c>
      <c r="DS2051" t="b">
        <v>1</v>
      </c>
      <c r="DT2051" t="s">
        <v>470</v>
      </c>
      <c r="DU2051" t="s">
        <v>471</v>
      </c>
      <c r="DV2051" t="s">
        <v>472</v>
      </c>
      <c r="DX2051">
        <v>-9999</v>
      </c>
      <c r="DZ2051" t="s">
        <v>447</v>
      </c>
      <c r="EA2051" t="s">
        <v>448</v>
      </c>
      <c r="EB2051" t="s">
        <v>14787</v>
      </c>
      <c r="EC2051">
        <v>20101217</v>
      </c>
      <c r="ED2051" t="s">
        <v>474</v>
      </c>
      <c r="EF2051">
        <v>1434.8</v>
      </c>
      <c r="EG2051">
        <v>1409.2</v>
      </c>
      <c r="EI2051">
        <v>20160407</v>
      </c>
      <c r="EJ2051">
        <v>0</v>
      </c>
      <c r="EK2051">
        <v>0</v>
      </c>
    </row>
    <row r="2052" spans="1:284" x14ac:dyDescent="0.25">
      <c r="A2052">
        <v>16487059</v>
      </c>
      <c r="B2052">
        <v>2051</v>
      </c>
      <c r="C2052" t="s">
        <v>393</v>
      </c>
      <c r="D2052" t="s">
        <v>394</v>
      </c>
      <c r="F2052" t="str">
        <f>"00-00-31-114A-0045-0000"</f>
        <v>00-00-31-114A-0045-0000</v>
      </c>
      <c r="H2052" t="str">
        <f>"LASSERRE CURTISS H TRUSTEE OF CURTISS H LASSERRE REVOCABLE LIVING TRUST"</f>
        <v>LASSERRE CURTISS H TRUSTEE OF CURTISS H LASSERRE REVOCABLE LIVING TRUST</v>
      </c>
      <c r="I2052" t="str">
        <f>""</f>
        <v/>
      </c>
      <c r="J2052" t="str">
        <f>"FERNANDINA BEACH FL 32035"</f>
        <v>FERNANDINA BEACH FL 32035</v>
      </c>
      <c r="K2052" t="str">
        <f>"2377 FLETCHER AVE S"</f>
        <v>2377 FLETCHER AVE S</v>
      </c>
      <c r="L2052" t="str">
        <f t="shared" si="758"/>
        <v>FERNANDINA BEACH FL 32034</v>
      </c>
      <c r="M2052" t="str">
        <f>"LOT 45 PT OR 2004/377 BEING PARCL 4 BUCKS FDNA BEACH 1 PB 2/30"</f>
        <v>LOT 45 PT OR 2004/377 BEING PARCL 4 BUCKS FDNA BEACH 1 PB 2/30</v>
      </c>
      <c r="N2052" t="str">
        <f>""</f>
        <v/>
      </c>
      <c r="O2052" t="str">
        <f>"6166"</f>
        <v>6166</v>
      </c>
      <c r="P2052" t="str">
        <f t="shared" si="775"/>
        <v>2017</v>
      </c>
      <c r="Q2052" t="str">
        <f>""</f>
        <v/>
      </c>
      <c r="R2052" t="str">
        <f>"N"</f>
        <v>N</v>
      </c>
      <c r="S2052" t="str">
        <f>""</f>
        <v/>
      </c>
      <c r="T2052" t="str">
        <f>"5456.21"</f>
        <v>5456.21</v>
      </c>
      <c r="U2052" t="str">
        <f>"273759.00"</f>
        <v>273759.00</v>
      </c>
      <c r="V2052" t="str">
        <f>"273759.00"</f>
        <v>273759.00</v>
      </c>
      <c r="W2052" t="str">
        <f t="shared" si="776"/>
        <v>2017</v>
      </c>
      <c r="X2052" t="str">
        <f>""</f>
        <v/>
      </c>
      <c r="Y2052" t="str">
        <f>"5651.90"</f>
        <v>5651.90</v>
      </c>
      <c r="Z2052" t="str">
        <f>""</f>
        <v/>
      </c>
      <c r="AA2052" t="str">
        <f>"273759.00"</f>
        <v>273759.00</v>
      </c>
      <c r="AB2052" t="str">
        <f t="shared" si="769"/>
        <v>Residential</v>
      </c>
      <c r="AC2052" t="str">
        <f t="shared" si="762"/>
        <v>0</v>
      </c>
      <c r="AD2052" t="str">
        <f t="shared" si="773"/>
        <v>4</v>
      </c>
      <c r="AE2052" t="str">
        <f t="shared" si="774"/>
        <v>WOOD (INCLUDE STEEL STUDS)</v>
      </c>
      <c r="AF2052" t="str">
        <f>"008"</f>
        <v>008</v>
      </c>
      <c r="AG2052" t="str">
        <f>"FL"</f>
        <v>FL</v>
      </c>
      <c r="AH2052" t="str">
        <f>"5500.00"</f>
        <v>5500.00</v>
      </c>
      <c r="AI2052" t="str">
        <f>"168000.00"</f>
        <v>168000.00</v>
      </c>
      <c r="AJ2052" t="str">
        <f>"C55-000-585-4484-2"</f>
        <v>C55-000-585-4484-2</v>
      </c>
      <c r="AK2052" t="str">
        <f>"43390"</f>
        <v>43390</v>
      </c>
      <c r="AL2052">
        <v>8</v>
      </c>
      <c r="AM2052">
        <v>2348</v>
      </c>
      <c r="AN2052">
        <v>5932.9</v>
      </c>
      <c r="AQ2052" t="s">
        <v>19879</v>
      </c>
      <c r="AR2052" t="s">
        <v>19879</v>
      </c>
      <c r="AS2052" t="s">
        <v>19879</v>
      </c>
      <c r="AU2052" t="s">
        <v>396</v>
      </c>
      <c r="AV2052">
        <v>2017</v>
      </c>
      <c r="AW2052" t="str">
        <f>"00-00-31-114A-0045-0000 "</f>
        <v xml:space="preserve">00-00-31-114A-0045-0000 </v>
      </c>
      <c r="AX2052">
        <v>2377</v>
      </c>
      <c r="AZ2052" t="s">
        <v>18248</v>
      </c>
      <c r="BA2052" t="s">
        <v>1112</v>
      </c>
      <c r="BB2052" t="s">
        <v>18674</v>
      </c>
      <c r="BD2052" t="s">
        <v>11749</v>
      </c>
      <c r="BE2052" t="s">
        <v>393</v>
      </c>
      <c r="BF2052">
        <v>32034</v>
      </c>
      <c r="BG2052" t="s">
        <v>19880</v>
      </c>
      <c r="BH2052" t="s">
        <v>11751</v>
      </c>
      <c r="BI2052">
        <v>-81.438474573770705</v>
      </c>
      <c r="BJ2052">
        <v>30.633402845827099</v>
      </c>
      <c r="BK2052" t="s">
        <v>12956</v>
      </c>
      <c r="BL2052" t="s">
        <v>12957</v>
      </c>
      <c r="BM2052" t="s">
        <v>12958</v>
      </c>
      <c r="BN2052" t="s">
        <v>3983</v>
      </c>
      <c r="BO2052">
        <v>32035</v>
      </c>
      <c r="BP2052" t="s">
        <v>404</v>
      </c>
      <c r="BQ2052">
        <v>800</v>
      </c>
      <c r="BR2052" t="s">
        <v>5126</v>
      </c>
      <c r="BS2052">
        <v>1110</v>
      </c>
      <c r="BT2052" t="s">
        <v>5127</v>
      </c>
      <c r="BU2052">
        <v>500</v>
      </c>
      <c r="BV2052">
        <v>1100</v>
      </c>
      <c r="BW2052">
        <v>5404</v>
      </c>
      <c r="BX2052" t="s">
        <v>407</v>
      </c>
      <c r="BZ2052">
        <v>4</v>
      </c>
      <c r="CA2052">
        <v>1952</v>
      </c>
      <c r="CB2052">
        <v>1</v>
      </c>
      <c r="CC2052">
        <v>1</v>
      </c>
      <c r="CD2052">
        <v>2017</v>
      </c>
      <c r="CE2052">
        <v>168000</v>
      </c>
      <c r="CF2052">
        <v>105759</v>
      </c>
      <c r="CG2052">
        <v>273759</v>
      </c>
      <c r="CH2052">
        <v>2017</v>
      </c>
      <c r="CI2052">
        <v>168000</v>
      </c>
      <c r="CJ2052">
        <v>105759</v>
      </c>
      <c r="CK2052">
        <v>273759</v>
      </c>
      <c r="CL2052">
        <v>2017</v>
      </c>
      <c r="CM2052">
        <v>5456.21</v>
      </c>
      <c r="CN2052" s="1">
        <v>42248</v>
      </c>
      <c r="CZ2052" s="1">
        <v>42248</v>
      </c>
      <c r="DD2052" t="s">
        <v>11749</v>
      </c>
      <c r="DF2052">
        <v>45</v>
      </c>
      <c r="DG2052">
        <v>6</v>
      </c>
      <c r="DJ2052" t="s">
        <v>19881</v>
      </c>
      <c r="DL2052">
        <v>50202</v>
      </c>
      <c r="DM2052" t="s">
        <v>19579</v>
      </c>
      <c r="DO2052" t="s">
        <v>19882</v>
      </c>
      <c r="DP2052">
        <v>0</v>
      </c>
      <c r="DQ2052">
        <v>0</v>
      </c>
      <c r="DR2052" t="s">
        <v>411</v>
      </c>
    </row>
    <row r="2053" spans="1:284" x14ac:dyDescent="0.25">
      <c r="A2053">
        <v>16487060</v>
      </c>
      <c r="B2053">
        <v>2052</v>
      </c>
      <c r="C2053" t="s">
        <v>393</v>
      </c>
      <c r="D2053" t="s">
        <v>394</v>
      </c>
      <c r="F2053" t="str">
        <f>"00-00-31-114A-0061-0000"</f>
        <v>00-00-31-114A-0061-0000</v>
      </c>
      <c r="H2053" t="str">
        <f>"RICHARDS JANET CHASE"</f>
        <v>RICHARDS JANET CHASE</v>
      </c>
      <c r="I2053" t="str">
        <f>"2700 S FLETCHER AVE"</f>
        <v>2700 S FLETCHER AVE</v>
      </c>
      <c r="J2053" t="str">
        <f>"FERNANDINA BEACH FL 32034"</f>
        <v>FERNANDINA BEACH FL 32034</v>
      </c>
      <c r="K2053" t="str">
        <f>"2700 FLETCHER AVE S"</f>
        <v>2700 FLETCHER AVE S</v>
      </c>
      <c r="L2053" t="str">
        <f t="shared" si="758"/>
        <v>FERNANDINA BEACH FL 32034</v>
      </c>
      <c r="M2053" t="str">
        <f>"LOT 61 IN OR 1143/316 BUCKS FDNA BEACH 1 PB 2/30"</f>
        <v>LOT 61 IN OR 1143/316 BUCKS FDNA BEACH 1 PB 2/30</v>
      </c>
      <c r="N2053" t="str">
        <f>""</f>
        <v/>
      </c>
      <c r="O2053" t="str">
        <f>"6179"</f>
        <v>6179</v>
      </c>
      <c r="P2053" t="str">
        <f t="shared" si="775"/>
        <v>2017</v>
      </c>
      <c r="Q2053" t="str">
        <f>""</f>
        <v/>
      </c>
      <c r="R2053" t="str">
        <f>"Y"</f>
        <v>Y</v>
      </c>
      <c r="S2053" t="str">
        <f>""</f>
        <v/>
      </c>
      <c r="T2053" t="str">
        <f>"10975.00"</f>
        <v>10975.00</v>
      </c>
      <c r="U2053" t="str">
        <f>"592381.00"</f>
        <v>592381.00</v>
      </c>
      <c r="V2053" t="str">
        <f>"592381.00"</f>
        <v>592381.00</v>
      </c>
      <c r="W2053" t="str">
        <f t="shared" si="776"/>
        <v>2017</v>
      </c>
      <c r="X2053" t="str">
        <f>"4.00"</f>
        <v>4.00</v>
      </c>
      <c r="Y2053" t="str">
        <f>"11336.25"</f>
        <v>11336.25</v>
      </c>
      <c r="Z2053" t="str">
        <f>"25000.00"</f>
        <v>25000.00</v>
      </c>
      <c r="AA2053" t="str">
        <f>"567381.00"</f>
        <v>567381.00</v>
      </c>
      <c r="AB2053" t="str">
        <f t="shared" si="769"/>
        <v>Residential</v>
      </c>
      <c r="AC2053" t="str">
        <f t="shared" si="762"/>
        <v>0</v>
      </c>
      <c r="AD2053" t="str">
        <f t="shared" si="773"/>
        <v>4</v>
      </c>
      <c r="AE2053" t="str">
        <f t="shared" si="774"/>
        <v>WOOD (INCLUDE STEEL STUDS)</v>
      </c>
      <c r="AF2053" t="str">
        <f>"001"</f>
        <v>001</v>
      </c>
      <c r="AG2053" t="str">
        <f>"FL"</f>
        <v>FL</v>
      </c>
      <c r="AH2053" t="str">
        <f>"14500.00"</f>
        <v>14500.00</v>
      </c>
      <c r="AI2053" t="str">
        <f>"500000.00"</f>
        <v>500000.00</v>
      </c>
      <c r="AJ2053" t="str">
        <f>"C55-000-585-4497-4"</f>
        <v>C55-000-585-4497-4</v>
      </c>
      <c r="AK2053" t="str">
        <f>"43403"</f>
        <v>43403</v>
      </c>
      <c r="AL2053">
        <v>8</v>
      </c>
      <c r="AM2053">
        <v>2349</v>
      </c>
      <c r="AN2053">
        <v>11901.46</v>
      </c>
      <c r="AQ2053" t="s">
        <v>19883</v>
      </c>
      <c r="AR2053" t="s">
        <v>19883</v>
      </c>
      <c r="AS2053" t="s">
        <v>19883</v>
      </c>
      <c r="AU2053" t="s">
        <v>396</v>
      </c>
      <c r="AV2053">
        <v>2017</v>
      </c>
      <c r="AW2053" t="str">
        <f>"00-00-31-114A-0061-0000 "</f>
        <v xml:space="preserve">00-00-31-114A-0061-0000 </v>
      </c>
      <c r="AX2053">
        <v>2700</v>
      </c>
      <c r="AZ2053" t="s">
        <v>18248</v>
      </c>
      <c r="BA2053" t="s">
        <v>1112</v>
      </c>
      <c r="BB2053" t="s">
        <v>18674</v>
      </c>
      <c r="BD2053" t="s">
        <v>11749</v>
      </c>
      <c r="BE2053" t="s">
        <v>393</v>
      </c>
      <c r="BF2053">
        <v>32034</v>
      </c>
      <c r="BG2053" t="s">
        <v>19884</v>
      </c>
      <c r="BH2053" t="s">
        <v>11751</v>
      </c>
      <c r="BI2053">
        <v>-81.438901250025594</v>
      </c>
      <c r="BJ2053">
        <v>30.628531707457402</v>
      </c>
      <c r="BK2053" t="s">
        <v>19885</v>
      </c>
      <c r="BM2053" t="s">
        <v>19886</v>
      </c>
      <c r="BN2053" t="s">
        <v>3983</v>
      </c>
      <c r="BO2053">
        <v>32034</v>
      </c>
      <c r="BP2053" t="s">
        <v>416</v>
      </c>
      <c r="BQ2053">
        <v>100</v>
      </c>
      <c r="BR2053" t="s">
        <v>514</v>
      </c>
      <c r="BS2053">
        <v>1001</v>
      </c>
      <c r="BT2053" t="s">
        <v>515</v>
      </c>
      <c r="BU2053">
        <v>500</v>
      </c>
      <c r="BV2053">
        <v>0</v>
      </c>
      <c r="BW2053">
        <v>6140</v>
      </c>
      <c r="BX2053" t="s">
        <v>407</v>
      </c>
      <c r="BZ2053">
        <v>4</v>
      </c>
      <c r="CA2053">
        <v>2004</v>
      </c>
      <c r="CB2053">
        <v>3</v>
      </c>
      <c r="CC2053">
        <v>1</v>
      </c>
      <c r="CD2053">
        <v>2017</v>
      </c>
      <c r="CG2053">
        <v>592381</v>
      </c>
      <c r="CH2053">
        <v>2017</v>
      </c>
      <c r="CI2053">
        <v>500000</v>
      </c>
      <c r="CJ2053">
        <v>289228</v>
      </c>
      <c r="CK2053">
        <v>789228</v>
      </c>
      <c r="CL2053">
        <v>2017</v>
      </c>
      <c r="CM2053">
        <v>10975</v>
      </c>
      <c r="CN2053" s="1">
        <v>37778</v>
      </c>
      <c r="CO2053">
        <v>500000</v>
      </c>
      <c r="CV2053">
        <v>0</v>
      </c>
      <c r="CZ2053" s="1">
        <v>37778</v>
      </c>
      <c r="DA2053">
        <v>0</v>
      </c>
      <c r="DD2053" t="s">
        <v>11749</v>
      </c>
      <c r="DF2053">
        <v>61</v>
      </c>
      <c r="DG2053">
        <v>6</v>
      </c>
      <c r="DJ2053" t="s">
        <v>19881</v>
      </c>
      <c r="DL2053">
        <v>50202</v>
      </c>
      <c r="DM2053" t="s">
        <v>19579</v>
      </c>
      <c r="DO2053" t="s">
        <v>19887</v>
      </c>
      <c r="DP2053">
        <v>0</v>
      </c>
      <c r="DQ2053">
        <v>0</v>
      </c>
      <c r="DR2053" t="s">
        <v>411</v>
      </c>
    </row>
    <row r="2054" spans="1:284" x14ac:dyDescent="0.25">
      <c r="A2054">
        <v>16487061</v>
      </c>
      <c r="B2054">
        <v>2053</v>
      </c>
      <c r="C2054" t="s">
        <v>393</v>
      </c>
      <c r="D2054" t="s">
        <v>394</v>
      </c>
      <c r="F2054" t="str">
        <f>"00-00-31-114A-0094-0000"</f>
        <v>00-00-31-114A-0094-0000</v>
      </c>
      <c r="H2054" t="str">
        <f>"LASSERRE CHARLES W"</f>
        <v>LASSERRE CHARLES W</v>
      </c>
      <c r="I2054" t="str">
        <f>"130 S 7TH ST"</f>
        <v>130 S 7TH ST</v>
      </c>
      <c r="J2054" t="str">
        <f>"FERNANDINA BEACH FL 32034"</f>
        <v>FERNANDINA BEACH FL 32034</v>
      </c>
      <c r="K2054" t="str">
        <f>"FLETCHER AVE S"</f>
        <v>FLETCHER AVE S</v>
      </c>
      <c r="L2054" t="str">
        <f t="shared" si="758"/>
        <v>FERNANDINA BEACH FL 32034</v>
      </c>
      <c r="M2054" t="str">
        <f>"LOT 94 IN OR 2085/1832 BUCKS FDNA BEACH 1 PB 2/30"</f>
        <v>LOT 94 IN OR 2085/1832 BUCKS FDNA BEACH 1 PB 2/30</v>
      </c>
      <c r="N2054" t="str">
        <f>""</f>
        <v/>
      </c>
      <c r="O2054" t="str">
        <f>"6217"</f>
        <v>6217</v>
      </c>
      <c r="P2054" t="str">
        <f t="shared" si="775"/>
        <v>2017</v>
      </c>
      <c r="Q2054" t="str">
        <f>""</f>
        <v/>
      </c>
      <c r="R2054" t="str">
        <f>"N"</f>
        <v>N</v>
      </c>
      <c r="S2054" t="str">
        <f>""</f>
        <v/>
      </c>
      <c r="T2054" t="str">
        <f>"3220.36"</f>
        <v>3220.36</v>
      </c>
      <c r="U2054" t="str">
        <f>"158400.00"</f>
        <v>158400.00</v>
      </c>
      <c r="V2054" t="str">
        <f>"158400.00"</f>
        <v>158400.00</v>
      </c>
      <c r="W2054" t="str">
        <f t="shared" si="776"/>
        <v>2017</v>
      </c>
      <c r="X2054" t="str">
        <f>""</f>
        <v/>
      </c>
      <c r="Y2054" t="str">
        <f>"3348.97"</f>
        <v>3348.97</v>
      </c>
      <c r="Z2054" t="str">
        <f>""</f>
        <v/>
      </c>
      <c r="AA2054" t="str">
        <f>"168000.00"</f>
        <v>168000.00</v>
      </c>
      <c r="AB2054" t="str">
        <f t="shared" si="769"/>
        <v>Residential</v>
      </c>
      <c r="AC2054" t="str">
        <f t="shared" si="762"/>
        <v>0</v>
      </c>
      <c r="AD2054" t="str">
        <f>""</f>
        <v/>
      </c>
      <c r="AE2054" t="str">
        <f>""</f>
        <v/>
      </c>
      <c r="AF2054" t="str">
        <f>"000"</f>
        <v>000</v>
      </c>
      <c r="AG2054" t="str">
        <f>"FL"</f>
        <v>FL</v>
      </c>
      <c r="AH2054" t="str">
        <f>"5500.00"</f>
        <v>5500.00</v>
      </c>
      <c r="AI2054" t="str">
        <f>"168000.00"</f>
        <v>168000.00</v>
      </c>
      <c r="AJ2054" t="str">
        <f>"C55-000-588-8104-6"</f>
        <v>C55-000-588-8104-6</v>
      </c>
      <c r="AK2054" t="str">
        <f>"43441"</f>
        <v>43441</v>
      </c>
      <c r="AL2054">
        <v>8</v>
      </c>
      <c r="AM2054">
        <v>2351</v>
      </c>
      <c r="AN2054">
        <v>3514.82</v>
      </c>
      <c r="AQ2054" t="s">
        <v>19888</v>
      </c>
      <c r="AR2054" t="s">
        <v>19888</v>
      </c>
      <c r="AS2054" t="s">
        <v>19888</v>
      </c>
      <c r="AU2054" t="s">
        <v>396</v>
      </c>
      <c r="AV2054">
        <v>2017</v>
      </c>
      <c r="AW2054" t="str">
        <f>"00-00-31-114A-0094-0000 "</f>
        <v xml:space="preserve">00-00-31-114A-0094-0000 </v>
      </c>
      <c r="AZ2054" t="s">
        <v>18248</v>
      </c>
      <c r="BA2054" t="s">
        <v>1112</v>
      </c>
      <c r="BB2054" t="s">
        <v>18674</v>
      </c>
      <c r="BD2054" t="s">
        <v>11749</v>
      </c>
      <c r="BE2054" t="s">
        <v>393</v>
      </c>
      <c r="BF2054">
        <v>32034</v>
      </c>
      <c r="BG2054" t="s">
        <v>19889</v>
      </c>
      <c r="BH2054" t="s">
        <v>11751</v>
      </c>
      <c r="BI2054">
        <v>-81.439955549500596</v>
      </c>
      <c r="BJ2054">
        <v>30.6264991886076</v>
      </c>
      <c r="BK2054" t="s">
        <v>19890</v>
      </c>
      <c r="BM2054" t="s">
        <v>19891</v>
      </c>
      <c r="BN2054" t="s">
        <v>3983</v>
      </c>
      <c r="BO2054">
        <v>32034</v>
      </c>
      <c r="BP2054" t="s">
        <v>404</v>
      </c>
      <c r="BQ2054">
        <v>0</v>
      </c>
      <c r="BR2054" t="s">
        <v>491</v>
      </c>
      <c r="BS2054">
        <v>8001</v>
      </c>
      <c r="BT2054" t="s">
        <v>492</v>
      </c>
      <c r="BU2054">
        <v>500</v>
      </c>
      <c r="BV2054">
        <v>1100</v>
      </c>
      <c r="BW2054">
        <v>5292</v>
      </c>
      <c r="BX2054" t="s">
        <v>407</v>
      </c>
      <c r="CD2054">
        <v>2017</v>
      </c>
      <c r="CE2054">
        <v>168000</v>
      </c>
      <c r="CG2054">
        <v>168000</v>
      </c>
      <c r="CH2054">
        <v>2017</v>
      </c>
      <c r="CI2054">
        <v>168000</v>
      </c>
      <c r="CK2054">
        <v>168000</v>
      </c>
      <c r="CL2054">
        <v>2017</v>
      </c>
      <c r="CM2054">
        <v>3220.36</v>
      </c>
      <c r="CN2054" s="1">
        <v>42075</v>
      </c>
      <c r="CZ2054" s="1">
        <v>42075</v>
      </c>
      <c r="DD2054" t="s">
        <v>11749</v>
      </c>
      <c r="DF2054">
        <v>94</v>
      </c>
      <c r="DG2054">
        <v>6</v>
      </c>
      <c r="DL2054">
        <v>50202</v>
      </c>
      <c r="DM2054" t="s">
        <v>19579</v>
      </c>
      <c r="DO2054" t="s">
        <v>19892</v>
      </c>
      <c r="DP2054">
        <v>0</v>
      </c>
      <c r="DQ2054">
        <v>1</v>
      </c>
      <c r="DR2054" t="s">
        <v>1479</v>
      </c>
    </row>
    <row r="2055" spans="1:284" x14ac:dyDescent="0.25">
      <c r="A2055">
        <v>16487062</v>
      </c>
      <c r="B2055">
        <v>2054</v>
      </c>
      <c r="C2055" t="s">
        <v>393</v>
      </c>
      <c r="D2055" t="s">
        <v>394</v>
      </c>
      <c r="F2055" t="str">
        <f>"00-00-31-114B-0006-0010"</f>
        <v>00-00-31-114B-0006-0010</v>
      </c>
      <c r="H2055" t="str">
        <f>"JONAS BRADFORD LEE"</f>
        <v>JONAS BRADFORD LEE</v>
      </c>
      <c r="I2055" t="str">
        <f>"2453 1ST AVE"</f>
        <v>2453 1ST AVE</v>
      </c>
      <c r="J2055" t="str">
        <f>"FERNANDINA BEACH FL 32034"</f>
        <v>FERNANDINA BEACH FL 32034</v>
      </c>
      <c r="K2055" t="str">
        <f>"2453 1ST AV"</f>
        <v>2453 1ST AV</v>
      </c>
      <c r="L2055" t="str">
        <f t="shared" si="758"/>
        <v>FERNANDINA BEACH FL 32034</v>
      </c>
      <c r="M2055" t="str">
        <f>"BLOCK 6 LOT 1 IN OR 1012/466 BUCKS FDNA BEACH = 2PB3/17"</f>
        <v>BLOCK 6 LOT 1 IN OR 1012/466 BUCKS FDNA BEACH = 2PB3/17</v>
      </c>
      <c r="N2055" t="str">
        <f>""</f>
        <v/>
      </c>
      <c r="O2055" t="str">
        <f>"6275"</f>
        <v>6275</v>
      </c>
      <c r="P2055" t="str">
        <f t="shared" si="775"/>
        <v>2017</v>
      </c>
      <c r="Q2055" t="str">
        <f>""</f>
        <v/>
      </c>
      <c r="R2055" t="str">
        <f>"Y"</f>
        <v>Y</v>
      </c>
      <c r="S2055" t="str">
        <f>""</f>
        <v/>
      </c>
      <c r="T2055" t="str">
        <f>"1838.58"</f>
        <v>1838.58</v>
      </c>
      <c r="U2055" t="str">
        <f>"133973.00"</f>
        <v>133973.00</v>
      </c>
      <c r="V2055" t="str">
        <f>"133973.00"</f>
        <v>133973.00</v>
      </c>
      <c r="W2055" t="str">
        <f t="shared" si="776"/>
        <v>2017</v>
      </c>
      <c r="X2055" t="str">
        <f>"18.22"</f>
        <v>18.22</v>
      </c>
      <c r="Y2055" t="str">
        <f>"1925.74"</f>
        <v>1925.74</v>
      </c>
      <c r="Z2055" t="str">
        <f>"25000.00"</f>
        <v>25000.00</v>
      </c>
      <c r="AA2055" t="str">
        <f>"108973.00"</f>
        <v>108973.00</v>
      </c>
      <c r="AB2055" t="str">
        <f t="shared" si="769"/>
        <v>Residential</v>
      </c>
      <c r="AC2055" t="str">
        <f t="shared" si="762"/>
        <v>0</v>
      </c>
      <c r="AD2055" t="str">
        <f>"4"</f>
        <v>4</v>
      </c>
      <c r="AE2055" t="str">
        <f>"WOOD (INCLUDE STEEL STUDS)"</f>
        <v>WOOD (INCLUDE STEEL STUDS)</v>
      </c>
      <c r="AF2055" t="str">
        <f>"001"</f>
        <v>001</v>
      </c>
      <c r="AG2055" t="str">
        <f>"FL"</f>
        <v>FL</v>
      </c>
      <c r="AH2055" t="str">
        <f>"6900.00"</f>
        <v>6900.00</v>
      </c>
      <c r="AI2055" t="str">
        <f>"105000.00"</f>
        <v>105000.00</v>
      </c>
      <c r="AJ2055" t="str">
        <f>"C55-000-585-4589-8"</f>
        <v>C55-000-585-4589-8</v>
      </c>
      <c r="AK2055" t="str">
        <f>"43498"</f>
        <v>43498</v>
      </c>
      <c r="AL2055">
        <v>8</v>
      </c>
      <c r="AM2055">
        <v>2352</v>
      </c>
      <c r="AN2055">
        <v>2020.43</v>
      </c>
      <c r="AQ2055" t="s">
        <v>19893</v>
      </c>
      <c r="AR2055" t="s">
        <v>19893</v>
      </c>
      <c r="AS2055" t="s">
        <v>19893</v>
      </c>
      <c r="AU2055" t="s">
        <v>396</v>
      </c>
      <c r="AV2055">
        <v>2017</v>
      </c>
      <c r="AW2055" t="str">
        <f>"00-00-31-114B-0006-0010 "</f>
        <v xml:space="preserve">00-00-31-114B-0006-0010 </v>
      </c>
      <c r="AX2055">
        <v>2453</v>
      </c>
      <c r="AZ2055" t="s">
        <v>19894</v>
      </c>
      <c r="BA2055" t="s">
        <v>1122</v>
      </c>
      <c r="BD2055" t="s">
        <v>11749</v>
      </c>
      <c r="BE2055" t="s">
        <v>393</v>
      </c>
      <c r="BF2055">
        <v>32034</v>
      </c>
      <c r="BG2055" t="s">
        <v>19895</v>
      </c>
      <c r="BH2055" t="s">
        <v>11751</v>
      </c>
      <c r="BI2055">
        <v>-81.439577748481597</v>
      </c>
      <c r="BJ2055">
        <v>30.632331016643601</v>
      </c>
      <c r="BK2055" t="s">
        <v>19896</v>
      </c>
      <c r="BM2055" t="s">
        <v>19897</v>
      </c>
      <c r="BN2055" t="s">
        <v>3983</v>
      </c>
      <c r="BO2055">
        <v>32034</v>
      </c>
      <c r="BP2055" t="s">
        <v>416</v>
      </c>
      <c r="BQ2055">
        <v>100</v>
      </c>
      <c r="BR2055" t="s">
        <v>514</v>
      </c>
      <c r="BS2055">
        <v>1001</v>
      </c>
      <c r="BT2055" t="s">
        <v>515</v>
      </c>
      <c r="BU2055">
        <v>600</v>
      </c>
      <c r="BV2055">
        <v>1150</v>
      </c>
      <c r="BW2055">
        <v>6414</v>
      </c>
      <c r="BX2055" t="s">
        <v>407</v>
      </c>
      <c r="BZ2055">
        <v>4</v>
      </c>
      <c r="CA2055">
        <v>1977</v>
      </c>
      <c r="CB2055">
        <v>1</v>
      </c>
      <c r="CC2055">
        <v>1</v>
      </c>
      <c r="CD2055">
        <v>2017</v>
      </c>
      <c r="CG2055">
        <v>133973</v>
      </c>
      <c r="CH2055">
        <v>2017</v>
      </c>
      <c r="CI2055">
        <v>105000</v>
      </c>
      <c r="CJ2055">
        <v>43027</v>
      </c>
      <c r="CK2055">
        <v>148027</v>
      </c>
      <c r="CL2055">
        <v>2017</v>
      </c>
      <c r="CM2055">
        <v>1838.58</v>
      </c>
      <c r="CN2055" s="1">
        <v>37174</v>
      </c>
      <c r="CZ2055" s="1">
        <v>37174</v>
      </c>
      <c r="DD2055" t="s">
        <v>11749</v>
      </c>
      <c r="DF2055">
        <v>1</v>
      </c>
      <c r="DG2055">
        <v>6</v>
      </c>
      <c r="DL2055">
        <v>50202</v>
      </c>
      <c r="DM2055" t="s">
        <v>19579</v>
      </c>
      <c r="DO2055" t="s">
        <v>19898</v>
      </c>
      <c r="DP2055">
        <v>0</v>
      </c>
      <c r="DQ2055">
        <v>0</v>
      </c>
      <c r="DR2055" t="s">
        <v>411</v>
      </c>
      <c r="DS2055" t="b">
        <v>1</v>
      </c>
      <c r="DT2055" t="s">
        <v>8902</v>
      </c>
      <c r="DV2055" t="s">
        <v>446</v>
      </c>
      <c r="DX2055">
        <v>9</v>
      </c>
      <c r="DY2055" t="s">
        <v>11438</v>
      </c>
      <c r="DZ2055" t="s">
        <v>447</v>
      </c>
      <c r="EA2055" t="s">
        <v>448</v>
      </c>
      <c r="EB2055" t="s">
        <v>19316</v>
      </c>
      <c r="EC2055">
        <v>20101217</v>
      </c>
      <c r="ED2055" t="s">
        <v>450</v>
      </c>
      <c r="EE2055">
        <v>5</v>
      </c>
      <c r="EF2055">
        <v>0</v>
      </c>
      <c r="EG2055">
        <v>0</v>
      </c>
      <c r="EI2055">
        <v>20160407</v>
      </c>
      <c r="EJ2055">
        <v>0</v>
      </c>
      <c r="EK2055">
        <v>0</v>
      </c>
      <c r="EP2055" t="s">
        <v>421</v>
      </c>
      <c r="EQ2055" t="s">
        <v>422</v>
      </c>
      <c r="ER2055">
        <v>2</v>
      </c>
      <c r="ES2055">
        <v>8</v>
      </c>
      <c r="ET2055">
        <v>3978.14</v>
      </c>
      <c r="EU2055">
        <v>211.41</v>
      </c>
      <c r="EV2055">
        <v>4189.55</v>
      </c>
      <c r="EW2055" s="2">
        <v>43222</v>
      </c>
      <c r="EX2055" s="1">
        <v>42879</v>
      </c>
      <c r="EY2055">
        <v>2016</v>
      </c>
      <c r="EZ2055">
        <v>1989.07</v>
      </c>
      <c r="FA2055" t="s">
        <v>19899</v>
      </c>
      <c r="FB2055">
        <v>0.25</v>
      </c>
      <c r="FC2055" t="s">
        <v>424</v>
      </c>
      <c r="FD2055" t="s">
        <v>454</v>
      </c>
      <c r="FF2055">
        <v>12</v>
      </c>
      <c r="FG2055">
        <v>7336671</v>
      </c>
      <c r="FH2055" t="s">
        <v>437</v>
      </c>
      <c r="FJ2055" s="1">
        <v>42879</v>
      </c>
      <c r="FK2055">
        <v>2016</v>
      </c>
      <c r="FL2055">
        <v>1989.07</v>
      </c>
      <c r="FM2055" t="s">
        <v>19899</v>
      </c>
      <c r="FN2055">
        <v>0.25</v>
      </c>
      <c r="FO2055" t="s">
        <v>424</v>
      </c>
      <c r="FP2055" t="s">
        <v>454</v>
      </c>
      <c r="FR2055">
        <v>12</v>
      </c>
      <c r="FS2055">
        <v>5155013</v>
      </c>
      <c r="FT2055" t="s">
        <v>19900</v>
      </c>
      <c r="FV2055" s="1">
        <v>42515</v>
      </c>
      <c r="FW2055">
        <v>2015</v>
      </c>
      <c r="FX2055">
        <v>1996.35</v>
      </c>
      <c r="FY2055" t="s">
        <v>19901</v>
      </c>
      <c r="FZ2055">
        <v>0.25</v>
      </c>
      <c r="GA2055" t="s">
        <v>424</v>
      </c>
      <c r="GB2055" t="s">
        <v>425</v>
      </c>
      <c r="GC2055" s="1">
        <v>43129</v>
      </c>
      <c r="GD2055">
        <v>20</v>
      </c>
      <c r="GE2055">
        <v>7045074</v>
      </c>
      <c r="GF2055" t="s">
        <v>580</v>
      </c>
      <c r="GH2055" s="1">
        <v>42515</v>
      </c>
      <c r="GI2055">
        <v>2015</v>
      </c>
      <c r="GJ2055">
        <v>1996.35</v>
      </c>
      <c r="GK2055" t="s">
        <v>19901</v>
      </c>
      <c r="GL2055">
        <v>0.25</v>
      </c>
      <c r="GM2055" t="s">
        <v>424</v>
      </c>
      <c r="GN2055" t="s">
        <v>425</v>
      </c>
      <c r="GP2055">
        <v>22</v>
      </c>
      <c r="GQ2055">
        <v>6569592</v>
      </c>
      <c r="GR2055" t="s">
        <v>19902</v>
      </c>
      <c r="GT2055" s="1">
        <v>42151</v>
      </c>
      <c r="GU2055">
        <v>2014</v>
      </c>
      <c r="GV2055">
        <v>1987.66</v>
      </c>
      <c r="GW2055" t="s">
        <v>19903</v>
      </c>
      <c r="GX2055">
        <v>0.25</v>
      </c>
      <c r="GY2055" t="s">
        <v>424</v>
      </c>
      <c r="GZ2055" t="s">
        <v>425</v>
      </c>
      <c r="HA2055" s="1">
        <v>42794</v>
      </c>
      <c r="HB2055">
        <v>21</v>
      </c>
      <c r="HC2055">
        <v>2851116</v>
      </c>
      <c r="HD2055" t="s">
        <v>480</v>
      </c>
      <c r="HF2055" s="1">
        <v>42151</v>
      </c>
      <c r="HG2055">
        <v>2014</v>
      </c>
      <c r="HH2055">
        <v>1987.66</v>
      </c>
      <c r="HI2055" t="s">
        <v>19903</v>
      </c>
      <c r="HJ2055">
        <v>0.25</v>
      </c>
      <c r="HK2055" t="s">
        <v>424</v>
      </c>
      <c r="HL2055" t="s">
        <v>425</v>
      </c>
      <c r="HN2055">
        <v>22</v>
      </c>
      <c r="HO2055">
        <v>5046715</v>
      </c>
      <c r="HP2055" t="s">
        <v>19904</v>
      </c>
      <c r="HR2055" s="1">
        <v>41787</v>
      </c>
      <c r="HS2055">
        <v>2013</v>
      </c>
      <c r="HT2055">
        <v>2029.87</v>
      </c>
      <c r="HU2055" t="s">
        <v>19905</v>
      </c>
      <c r="HV2055">
        <v>0.25</v>
      </c>
      <c r="HW2055" t="s">
        <v>424</v>
      </c>
      <c r="HX2055" t="s">
        <v>425</v>
      </c>
      <c r="HY2055" s="1">
        <v>42422</v>
      </c>
      <c r="HZ2055">
        <v>21</v>
      </c>
      <c r="IA2055">
        <v>2851116</v>
      </c>
      <c r="IB2055" t="s">
        <v>480</v>
      </c>
      <c r="ID2055" s="1">
        <v>41423</v>
      </c>
      <c r="IE2055">
        <v>2012</v>
      </c>
      <c r="IF2055">
        <v>2016.5</v>
      </c>
      <c r="IG2055" t="s">
        <v>19906</v>
      </c>
      <c r="IH2055">
        <v>0.25</v>
      </c>
      <c r="II2055" t="s">
        <v>424</v>
      </c>
      <c r="IJ2055" t="s">
        <v>425</v>
      </c>
      <c r="IK2055" s="1">
        <v>41771</v>
      </c>
      <c r="IL2055">
        <v>12</v>
      </c>
      <c r="IM2055">
        <v>11303</v>
      </c>
      <c r="IN2055" t="s">
        <v>918</v>
      </c>
      <c r="IP2055" s="1">
        <v>41052</v>
      </c>
      <c r="IQ2055">
        <v>2011</v>
      </c>
      <c r="IR2055">
        <v>2207.15</v>
      </c>
      <c r="IS2055" t="s">
        <v>19907</v>
      </c>
      <c r="IT2055">
        <v>0.25</v>
      </c>
      <c r="IU2055" t="s">
        <v>424</v>
      </c>
      <c r="IV2055" t="s">
        <v>425</v>
      </c>
      <c r="IW2055" s="1">
        <v>41683</v>
      </c>
      <c r="IX2055">
        <v>21</v>
      </c>
      <c r="IY2055">
        <v>13255</v>
      </c>
      <c r="IZ2055" t="s">
        <v>19908</v>
      </c>
      <c r="JB2055" s="1">
        <v>40688</v>
      </c>
      <c r="JC2055">
        <v>2010</v>
      </c>
      <c r="JD2055">
        <v>2908.56</v>
      </c>
      <c r="JE2055" t="s">
        <v>19909</v>
      </c>
      <c r="JF2055">
        <v>3.75</v>
      </c>
      <c r="JG2055" t="s">
        <v>424</v>
      </c>
      <c r="JH2055" t="s">
        <v>425</v>
      </c>
      <c r="JI2055" s="1">
        <v>41332</v>
      </c>
      <c r="JJ2055">
        <v>21</v>
      </c>
      <c r="JK2055">
        <v>11141</v>
      </c>
      <c r="JL2055" t="s">
        <v>1723</v>
      </c>
    </row>
    <row r="2056" spans="1:284" x14ac:dyDescent="0.25">
      <c r="A2056">
        <v>16487063</v>
      </c>
      <c r="B2056">
        <v>2055</v>
      </c>
      <c r="C2056" t="s">
        <v>393</v>
      </c>
      <c r="D2056" t="s">
        <v>394</v>
      </c>
      <c r="F2056" t="str">
        <f>"00-00-31-1180-0072-0010"</f>
        <v>00-00-31-1180-0072-0010</v>
      </c>
      <c r="H2056" t="str">
        <f>"WALL EDWARD MILTON &amp; FRANCES E"</f>
        <v>WALL EDWARD MILTON &amp; FRANCES E</v>
      </c>
      <c r="I2056" t="str">
        <f>"1920 BEECH ST"</f>
        <v>1920 BEECH ST</v>
      </c>
      <c r="J2056" t="str">
        <f>"FERNANDINA BEACH FL 32034"</f>
        <v>FERNANDINA BEACH FL 32034</v>
      </c>
      <c r="K2056" t="str">
        <f>"1920 BEECH ST"</f>
        <v>1920 BEECH ST</v>
      </c>
      <c r="L2056" t="str">
        <f t="shared" si="758"/>
        <v>FERNANDINA BEACH FL 32034</v>
      </c>
      <c r="M2056" t="str">
        <f>"E 75 FT OF W 300 FT OF N 125 FT OF LOT 72 IN OR 488 PG 721 CITRONA UNR"</f>
        <v>E 75 FT OF W 300 FT OF N 125 FT OF LOT 72 IN OR 488 PG 721 CITRONA UNR</v>
      </c>
      <c r="N2056" t="str">
        <f>""</f>
        <v/>
      </c>
      <c r="O2056" t="str">
        <f>"6469"</f>
        <v>6469</v>
      </c>
      <c r="P2056" t="str">
        <f t="shared" si="775"/>
        <v>2017</v>
      </c>
      <c r="Q2056" t="str">
        <f>""</f>
        <v/>
      </c>
      <c r="R2056" t="str">
        <f>"Y"</f>
        <v>Y</v>
      </c>
      <c r="S2056" t="str">
        <f>""</f>
        <v/>
      </c>
      <c r="T2056" t="str">
        <f>"564.10"</f>
        <v>564.10</v>
      </c>
      <c r="U2056" t="str">
        <f>"59978.00"</f>
        <v>59978.00</v>
      </c>
      <c r="V2056" t="str">
        <f>"59978.00"</f>
        <v>59978.00</v>
      </c>
      <c r="W2056" t="str">
        <f t="shared" si="776"/>
        <v>2017</v>
      </c>
      <c r="X2056" t="str">
        <f>""</f>
        <v/>
      </c>
      <c r="Y2056" t="str">
        <f>"613.02"</f>
        <v>613.02</v>
      </c>
      <c r="Z2056" t="str">
        <f>"25000.00"</f>
        <v>25000.00</v>
      </c>
      <c r="AA2056" t="str">
        <f>"34978.00"</f>
        <v>34978.00</v>
      </c>
      <c r="AB2056" t="str">
        <f t="shared" si="769"/>
        <v>Residential</v>
      </c>
      <c r="AC2056" t="str">
        <f t="shared" si="762"/>
        <v>0</v>
      </c>
      <c r="AD2056" t="str">
        <f>"3"</f>
        <v>3</v>
      </c>
      <c r="AE2056" t="str">
        <f>"MASONRY"</f>
        <v>MASONRY</v>
      </c>
      <c r="AF2056" t="str">
        <f>"001"</f>
        <v>001</v>
      </c>
      <c r="AG2056" t="str">
        <f>"FL"</f>
        <v>FL</v>
      </c>
      <c r="AH2056" t="str">
        <f>"9375.00"</f>
        <v>9375.00</v>
      </c>
      <c r="AI2056" t="str">
        <f>"74250.00"</f>
        <v>74250.00</v>
      </c>
      <c r="AJ2056" t="str">
        <f>"C55-000-585-4676-3"</f>
        <v>C55-000-585-4676-3</v>
      </c>
      <c r="AK2056" t="str">
        <f>"43684"</f>
        <v>43684</v>
      </c>
      <c r="AL2056">
        <v>8</v>
      </c>
      <c r="AM2056">
        <v>2353</v>
      </c>
      <c r="AN2056">
        <v>642.07000000000005</v>
      </c>
      <c r="AQ2056" t="s">
        <v>19910</v>
      </c>
      <c r="AR2056" t="s">
        <v>19910</v>
      </c>
      <c r="AS2056" t="s">
        <v>19910</v>
      </c>
      <c r="AU2056" t="s">
        <v>396</v>
      </c>
      <c r="AV2056">
        <v>2017</v>
      </c>
      <c r="AW2056" t="str">
        <f>"00-00-31-1180-0072-0010 "</f>
        <v xml:space="preserve">00-00-31-1180-0072-0010 </v>
      </c>
      <c r="AX2056">
        <v>1920</v>
      </c>
      <c r="AZ2056" t="s">
        <v>19911</v>
      </c>
      <c r="BA2056" t="s">
        <v>1942</v>
      </c>
      <c r="BD2056" t="s">
        <v>11749</v>
      </c>
      <c r="BE2056" t="s">
        <v>393</v>
      </c>
      <c r="BF2056">
        <v>32034</v>
      </c>
      <c r="BG2056" t="s">
        <v>19912</v>
      </c>
      <c r="BH2056" t="s">
        <v>11751</v>
      </c>
      <c r="BI2056">
        <v>-81.445080028327794</v>
      </c>
      <c r="BJ2056">
        <v>30.666338503698299</v>
      </c>
      <c r="BK2056" t="s">
        <v>19913</v>
      </c>
      <c r="BL2056" t="s">
        <v>19914</v>
      </c>
      <c r="BM2056" t="s">
        <v>19912</v>
      </c>
      <c r="BN2056" t="s">
        <v>3983</v>
      </c>
      <c r="BO2056">
        <v>32034</v>
      </c>
      <c r="BP2056" t="s">
        <v>416</v>
      </c>
      <c r="BQ2056">
        <v>100</v>
      </c>
      <c r="BR2056" t="s">
        <v>514</v>
      </c>
      <c r="BS2056">
        <v>1001</v>
      </c>
      <c r="BT2056" t="s">
        <v>515</v>
      </c>
      <c r="BU2056">
        <v>750</v>
      </c>
      <c r="BV2056">
        <v>1250</v>
      </c>
      <c r="BW2056">
        <v>9374</v>
      </c>
      <c r="BX2056" t="s">
        <v>407</v>
      </c>
      <c r="BZ2056">
        <v>3</v>
      </c>
      <c r="CA2056">
        <v>1962</v>
      </c>
      <c r="CB2056">
        <v>1</v>
      </c>
      <c r="CC2056">
        <v>1</v>
      </c>
      <c r="CD2056">
        <v>2017</v>
      </c>
      <c r="CG2056">
        <v>59978</v>
      </c>
      <c r="CH2056">
        <v>2017</v>
      </c>
      <c r="CI2056">
        <v>74250</v>
      </c>
      <c r="CJ2056">
        <v>58446</v>
      </c>
      <c r="CK2056">
        <v>132696</v>
      </c>
      <c r="CL2056">
        <v>2017</v>
      </c>
      <c r="CM2056">
        <v>564.1</v>
      </c>
      <c r="CN2056" s="1">
        <v>31533</v>
      </c>
      <c r="CO2056">
        <v>37700</v>
      </c>
      <c r="CZ2056" s="1">
        <v>31533</v>
      </c>
      <c r="DD2056" t="s">
        <v>11749</v>
      </c>
      <c r="DF2056">
        <v>72</v>
      </c>
      <c r="DG2056">
        <v>15</v>
      </c>
      <c r="DL2056">
        <v>50101</v>
      </c>
      <c r="DM2056" t="s">
        <v>19915</v>
      </c>
      <c r="DO2056" t="s">
        <v>19916</v>
      </c>
      <c r="DP2056">
        <v>0</v>
      </c>
      <c r="DQ2056">
        <v>0</v>
      </c>
      <c r="DR2056" t="s">
        <v>411</v>
      </c>
    </row>
    <row r="2057" spans="1:284" x14ac:dyDescent="0.25">
      <c r="A2057">
        <v>16487064</v>
      </c>
      <c r="B2057">
        <v>2056</v>
      </c>
      <c r="C2057" t="s">
        <v>393</v>
      </c>
      <c r="D2057" t="s">
        <v>394</v>
      </c>
      <c r="F2057" t="str">
        <f>"00-00-31-1250-6312-0000"</f>
        <v>00-00-31-1250-6312-0000</v>
      </c>
      <c r="H2057" t="str">
        <f>"BRUCE MARGARITE P"</f>
        <v>BRUCE MARGARITE P</v>
      </c>
      <c r="I2057" t="str">
        <f>"403 BRITTANY DOWNS DRIVE"</f>
        <v>403 BRITTANY DOWNS DRIVE</v>
      </c>
      <c r="J2057" t="str">
        <f>"MACON GA 31210"</f>
        <v>MACON GA 31210</v>
      </c>
      <c r="K2057" t="str">
        <f>"631 TARPON AV 6312"</f>
        <v>631 TARPON AV 6312</v>
      </c>
      <c r="L2057" t="str">
        <f t="shared" si="758"/>
        <v>FERNANDINA BEACH FL 32034</v>
      </c>
      <c r="M2057" t="str">
        <f>"UNIT 6312 IN OR 1223/949 FERNANDINA SHORES OR 267/354"</f>
        <v>UNIT 6312 IN OR 1223/949 FERNANDINA SHORES OR 267/354</v>
      </c>
      <c r="N2057" t="str">
        <f>""</f>
        <v/>
      </c>
      <c r="O2057" t="str">
        <f>"6591"</f>
        <v>6591</v>
      </c>
      <c r="P2057" t="str">
        <f t="shared" si="775"/>
        <v>2017</v>
      </c>
      <c r="Q2057" t="str">
        <f>""</f>
        <v/>
      </c>
      <c r="R2057" t="str">
        <f>"N"</f>
        <v>N</v>
      </c>
      <c r="S2057" t="str">
        <f>""</f>
        <v/>
      </c>
      <c r="T2057" t="str">
        <f>"3149.05"</f>
        <v>3149.05</v>
      </c>
      <c r="U2057" t="str">
        <f>"158000.00"</f>
        <v>158000.00</v>
      </c>
      <c r="V2057" t="str">
        <f>"158000.00"</f>
        <v>158000.00</v>
      </c>
      <c r="W2057" t="str">
        <f t="shared" si="776"/>
        <v>2017</v>
      </c>
      <c r="X2057" t="str">
        <f>"24.44"</f>
        <v>24.44</v>
      </c>
      <c r="Y2057" t="str">
        <f>"3275.52"</f>
        <v>3275.52</v>
      </c>
      <c r="Z2057" t="str">
        <f>""</f>
        <v/>
      </c>
      <c r="AA2057" t="str">
        <f>"158000.00"</f>
        <v>158000.00</v>
      </c>
      <c r="AB2057" t="str">
        <f t="shared" si="769"/>
        <v>Residential</v>
      </c>
      <c r="AC2057" t="str">
        <f t="shared" si="762"/>
        <v>0</v>
      </c>
      <c r="AD2057" t="str">
        <f>""</f>
        <v/>
      </c>
      <c r="AE2057" t="str">
        <f>""</f>
        <v/>
      </c>
      <c r="AF2057" t="str">
        <f>"004"</f>
        <v>004</v>
      </c>
      <c r="AG2057" t="str">
        <f>"GA"</f>
        <v>GA</v>
      </c>
      <c r="AH2057" t="str">
        <f>"-"</f>
        <v>-</v>
      </c>
      <c r="AI2057" t="str">
        <f>"-"</f>
        <v>-</v>
      </c>
      <c r="AJ2057" t="str">
        <f>"C55-000-585-4776-1"</f>
        <v>C55-000-585-4776-1</v>
      </c>
      <c r="AK2057" t="str">
        <f>"43809"</f>
        <v>43809</v>
      </c>
      <c r="AL2057">
        <v>8</v>
      </c>
      <c r="AM2057">
        <v>2355</v>
      </c>
      <c r="AN2057">
        <v>3437.7</v>
      </c>
      <c r="AQ2057" t="s">
        <v>19917</v>
      </c>
      <c r="AR2057" t="s">
        <v>19917</v>
      </c>
      <c r="AS2057" t="s">
        <v>19917</v>
      </c>
      <c r="AU2057" t="s">
        <v>396</v>
      </c>
      <c r="AV2057">
        <v>2017</v>
      </c>
      <c r="AW2057" t="str">
        <f>"00-00-31-1250-6312-0000 "</f>
        <v xml:space="preserve">00-00-31-1250-6312-0000 </v>
      </c>
      <c r="AX2057">
        <v>631</v>
      </c>
      <c r="AZ2057" t="s">
        <v>19918</v>
      </c>
      <c r="BA2057" t="s">
        <v>1122</v>
      </c>
      <c r="BC2057">
        <v>6312</v>
      </c>
      <c r="BD2057" t="s">
        <v>11749</v>
      </c>
      <c r="BE2057" t="s">
        <v>393</v>
      </c>
      <c r="BF2057">
        <v>32034</v>
      </c>
      <c r="BG2057" t="s">
        <v>19919</v>
      </c>
      <c r="BH2057" t="s">
        <v>11751</v>
      </c>
      <c r="BI2057">
        <v>-81.432581143516202</v>
      </c>
      <c r="BJ2057">
        <v>30.675253990287199</v>
      </c>
      <c r="BK2057" t="s">
        <v>19920</v>
      </c>
      <c r="BM2057" t="s">
        <v>19921</v>
      </c>
      <c r="BN2057" t="s">
        <v>19922</v>
      </c>
      <c r="BO2057">
        <v>31210</v>
      </c>
      <c r="BP2057" t="s">
        <v>404</v>
      </c>
      <c r="BQ2057">
        <v>400</v>
      </c>
      <c r="BR2057" t="s">
        <v>15097</v>
      </c>
      <c r="BS2057">
        <v>1004</v>
      </c>
      <c r="BT2057" t="s">
        <v>15098</v>
      </c>
      <c r="BW2057">
        <v>307490</v>
      </c>
      <c r="BX2057" t="s">
        <v>407</v>
      </c>
      <c r="CA2057">
        <v>1974</v>
      </c>
      <c r="CC2057">
        <v>1</v>
      </c>
      <c r="CD2057">
        <v>2017</v>
      </c>
      <c r="CF2057">
        <v>158000</v>
      </c>
      <c r="CG2057">
        <v>158000</v>
      </c>
      <c r="CH2057">
        <v>2017</v>
      </c>
      <c r="CJ2057">
        <v>158000</v>
      </c>
      <c r="CK2057">
        <v>158000</v>
      </c>
      <c r="CL2057">
        <v>2017</v>
      </c>
      <c r="CM2057">
        <v>3149.05</v>
      </c>
      <c r="CN2057" s="1">
        <v>38096</v>
      </c>
      <c r="CO2057">
        <v>162900</v>
      </c>
      <c r="CV2057">
        <v>0</v>
      </c>
      <c r="CZ2057" s="1">
        <v>38096</v>
      </c>
      <c r="DA2057">
        <v>0</v>
      </c>
      <c r="DD2057" t="s">
        <v>11749</v>
      </c>
      <c r="DG2057">
        <v>12</v>
      </c>
      <c r="DI2057">
        <v>6312</v>
      </c>
      <c r="DL2057">
        <v>50102</v>
      </c>
      <c r="DM2057" t="s">
        <v>19686</v>
      </c>
      <c r="DO2057" t="s">
        <v>19923</v>
      </c>
      <c r="DP2057">
        <v>0</v>
      </c>
      <c r="DQ2057">
        <v>1</v>
      </c>
      <c r="DR2057" t="s">
        <v>411</v>
      </c>
      <c r="DS2057" t="b">
        <v>1</v>
      </c>
      <c r="DT2057" t="s">
        <v>470</v>
      </c>
      <c r="DU2057" t="s">
        <v>471</v>
      </c>
      <c r="DV2057" t="s">
        <v>472</v>
      </c>
      <c r="DX2057">
        <v>-9999</v>
      </c>
      <c r="DZ2057" t="s">
        <v>447</v>
      </c>
      <c r="EA2057" t="s">
        <v>448</v>
      </c>
      <c r="EB2057" t="s">
        <v>19924</v>
      </c>
      <c r="EC2057">
        <v>20101217</v>
      </c>
      <c r="ED2057" t="s">
        <v>474</v>
      </c>
      <c r="EF2057">
        <v>424.4</v>
      </c>
      <c r="EG2057">
        <v>93.9</v>
      </c>
      <c r="EI2057">
        <v>20160407</v>
      </c>
      <c r="EJ2057">
        <v>0</v>
      </c>
      <c r="EK2057">
        <v>0</v>
      </c>
      <c r="EP2057" t="s">
        <v>421</v>
      </c>
      <c r="EQ2057" t="s">
        <v>422</v>
      </c>
      <c r="ER2057">
        <v>2</v>
      </c>
      <c r="ES2057">
        <v>9</v>
      </c>
      <c r="ET2057">
        <v>6842.04</v>
      </c>
      <c r="EU2057">
        <v>354.6</v>
      </c>
      <c r="EV2057">
        <v>7196.64</v>
      </c>
      <c r="EW2057" s="2">
        <v>43222</v>
      </c>
      <c r="EX2057" s="1">
        <v>42879</v>
      </c>
      <c r="EY2057">
        <v>2016</v>
      </c>
      <c r="EZ2057">
        <v>3421.02</v>
      </c>
      <c r="FA2057" t="s">
        <v>19925</v>
      </c>
      <c r="FB2057">
        <v>0.25</v>
      </c>
      <c r="FC2057" t="s">
        <v>424</v>
      </c>
      <c r="FD2057" t="s">
        <v>454</v>
      </c>
      <c r="FF2057">
        <v>12</v>
      </c>
      <c r="FG2057">
        <v>2851116</v>
      </c>
      <c r="FH2057" t="s">
        <v>480</v>
      </c>
      <c r="FJ2057" s="1">
        <v>42879</v>
      </c>
      <c r="FK2057">
        <v>2016</v>
      </c>
      <c r="FL2057">
        <v>3421.02</v>
      </c>
      <c r="FM2057" t="s">
        <v>19925</v>
      </c>
      <c r="FN2057">
        <v>0.25</v>
      </c>
      <c r="FO2057" t="s">
        <v>424</v>
      </c>
      <c r="FP2057" t="s">
        <v>454</v>
      </c>
      <c r="FR2057">
        <v>12</v>
      </c>
      <c r="FS2057">
        <v>4874209</v>
      </c>
      <c r="FT2057" t="s">
        <v>19926</v>
      </c>
      <c r="FV2057" s="1">
        <v>42515</v>
      </c>
      <c r="FW2057">
        <v>2015</v>
      </c>
      <c r="FX2057">
        <v>3383.47</v>
      </c>
      <c r="FY2057" t="s">
        <v>19927</v>
      </c>
      <c r="FZ2057">
        <v>0.25</v>
      </c>
      <c r="GA2057" t="s">
        <v>424</v>
      </c>
      <c r="GB2057" t="s">
        <v>425</v>
      </c>
      <c r="GC2057" s="1">
        <v>43186</v>
      </c>
      <c r="GD2057">
        <v>22</v>
      </c>
      <c r="GE2057">
        <v>5916895</v>
      </c>
      <c r="GF2057" t="s">
        <v>1390</v>
      </c>
      <c r="GH2057" s="1">
        <v>42515</v>
      </c>
      <c r="GI2057">
        <v>2015</v>
      </c>
      <c r="GJ2057">
        <v>3383.47</v>
      </c>
      <c r="GK2057" t="s">
        <v>19927</v>
      </c>
      <c r="GL2057">
        <v>0.25</v>
      </c>
      <c r="GM2057" t="s">
        <v>424</v>
      </c>
      <c r="GN2057" t="s">
        <v>425</v>
      </c>
      <c r="GP2057">
        <v>22</v>
      </c>
      <c r="GQ2057">
        <v>5835987</v>
      </c>
      <c r="GR2057" t="s">
        <v>19928</v>
      </c>
      <c r="GT2057" s="1">
        <v>42151</v>
      </c>
      <c r="GU2057">
        <v>2014</v>
      </c>
      <c r="GV2057">
        <v>3209.74</v>
      </c>
      <c r="GW2057" t="s">
        <v>19929</v>
      </c>
      <c r="GX2057">
        <v>0.25</v>
      </c>
      <c r="GY2057" t="s">
        <v>424</v>
      </c>
      <c r="GZ2057" t="s">
        <v>425</v>
      </c>
      <c r="HA2057" s="1">
        <v>42794</v>
      </c>
      <c r="HB2057">
        <v>21</v>
      </c>
      <c r="HC2057">
        <v>4975594</v>
      </c>
      <c r="HD2057" t="s">
        <v>457</v>
      </c>
      <c r="HF2057" s="1">
        <v>42151</v>
      </c>
      <c r="HG2057">
        <v>2014</v>
      </c>
      <c r="HH2057">
        <v>3209.74</v>
      </c>
      <c r="HI2057" t="s">
        <v>19929</v>
      </c>
      <c r="HJ2057">
        <v>0.25</v>
      </c>
      <c r="HK2057" t="s">
        <v>424</v>
      </c>
      <c r="HL2057" t="s">
        <v>425</v>
      </c>
      <c r="HN2057">
        <v>22</v>
      </c>
      <c r="HO2057">
        <v>6259328</v>
      </c>
      <c r="HP2057" t="s">
        <v>19930</v>
      </c>
      <c r="HR2057" s="1">
        <v>41787</v>
      </c>
      <c r="HS2057">
        <v>2013</v>
      </c>
      <c r="HT2057">
        <v>2780.79</v>
      </c>
      <c r="HU2057" t="s">
        <v>19931</v>
      </c>
      <c r="HV2057">
        <v>0.25</v>
      </c>
      <c r="HW2057" t="s">
        <v>424</v>
      </c>
      <c r="HX2057" t="s">
        <v>425</v>
      </c>
      <c r="HZ2057">
        <v>22</v>
      </c>
      <c r="IA2057">
        <v>15259</v>
      </c>
      <c r="IB2057" t="s">
        <v>891</v>
      </c>
      <c r="ID2057" s="1">
        <v>41787</v>
      </c>
      <c r="IE2057">
        <v>2013</v>
      </c>
      <c r="IF2057">
        <v>2780.79</v>
      </c>
      <c r="IG2057" t="s">
        <v>19931</v>
      </c>
      <c r="IH2057">
        <v>0.25</v>
      </c>
      <c r="II2057" t="s">
        <v>424</v>
      </c>
      <c r="IJ2057" t="s">
        <v>425</v>
      </c>
      <c r="IK2057" s="1">
        <v>42429</v>
      </c>
      <c r="IL2057">
        <v>21</v>
      </c>
      <c r="IM2057">
        <v>7045049</v>
      </c>
      <c r="IN2057" t="s">
        <v>1335</v>
      </c>
      <c r="IP2057" s="1">
        <v>41423</v>
      </c>
      <c r="IQ2057">
        <v>2012</v>
      </c>
      <c r="IR2057">
        <v>2445.8000000000002</v>
      </c>
      <c r="IS2057" t="s">
        <v>19932</v>
      </c>
      <c r="IT2057">
        <v>5.25</v>
      </c>
      <c r="IU2057" t="s">
        <v>424</v>
      </c>
      <c r="IV2057" t="s">
        <v>425</v>
      </c>
      <c r="IW2057" s="1">
        <v>42062</v>
      </c>
      <c r="IX2057">
        <v>21</v>
      </c>
      <c r="IY2057">
        <v>15407</v>
      </c>
      <c r="IZ2057" t="s">
        <v>1134</v>
      </c>
      <c r="JB2057" s="1">
        <v>41052</v>
      </c>
      <c r="JC2057">
        <v>2011</v>
      </c>
      <c r="JD2057">
        <v>2363.62</v>
      </c>
      <c r="JE2057" t="s">
        <v>19933</v>
      </c>
      <c r="JF2057">
        <v>0.25</v>
      </c>
      <c r="JG2057" t="s">
        <v>424</v>
      </c>
      <c r="JH2057" t="s">
        <v>425</v>
      </c>
      <c r="JI2057" s="1">
        <v>41760</v>
      </c>
      <c r="JJ2057">
        <v>24</v>
      </c>
      <c r="JK2057">
        <v>14055</v>
      </c>
      <c r="JL2057" t="s">
        <v>7142</v>
      </c>
      <c r="JN2057" s="1">
        <v>40688</v>
      </c>
      <c r="JO2057">
        <v>2010</v>
      </c>
      <c r="JP2057">
        <v>2566.86</v>
      </c>
      <c r="JQ2057" t="s">
        <v>19934</v>
      </c>
      <c r="JR2057">
        <v>3.75</v>
      </c>
      <c r="JS2057" t="s">
        <v>424</v>
      </c>
      <c r="JT2057" t="s">
        <v>425</v>
      </c>
      <c r="JU2057" s="1">
        <v>41526</v>
      </c>
      <c r="JV2057">
        <v>28</v>
      </c>
      <c r="JW2057">
        <v>11141</v>
      </c>
      <c r="JX2057" t="s">
        <v>1723</v>
      </c>
    </row>
    <row r="2058" spans="1:284" x14ac:dyDescent="0.25">
      <c r="A2058">
        <v>16487065</v>
      </c>
      <c r="B2058">
        <v>2057</v>
      </c>
      <c r="C2058" t="s">
        <v>393</v>
      </c>
      <c r="D2058" t="s">
        <v>394</v>
      </c>
      <c r="F2058" t="str">
        <f>"00-00-31-125C-0101-0000"</f>
        <v>00-00-31-125C-0101-0000</v>
      </c>
      <c r="H2058" t="str">
        <f>"SCARBOROUGH LONNIE T"</f>
        <v>SCARBOROUGH LONNIE T</v>
      </c>
      <c r="I2058" t="str">
        <f>"201 E 50TH ST"</f>
        <v>201 E 50TH ST</v>
      </c>
      <c r="J2058" t="str">
        <f>"SAVANNAH GA 31405"</f>
        <v>SAVANNAH GA 31405</v>
      </c>
      <c r="K2058" t="str">
        <f>"2811 ATLANTIC AV 101"</f>
        <v>2811 ATLANTIC AV 101</v>
      </c>
      <c r="L2058" t="str">
        <f t="shared" si="758"/>
        <v>FERNANDINA BEACH FL 32034</v>
      </c>
      <c r="M2058" t="str">
        <f>"UNIT 101 IN OR 1484/270 FERNANDINA CAY CONDO OR 1254/978"</f>
        <v>UNIT 101 IN OR 1484/270 FERNANDINA CAY CONDO OR 1254/978</v>
      </c>
      <c r="N2058" t="str">
        <f>""</f>
        <v/>
      </c>
      <c r="O2058" t="str">
        <f>"6662"</f>
        <v>6662</v>
      </c>
      <c r="P2058" t="str">
        <f t="shared" si="775"/>
        <v>2017</v>
      </c>
      <c r="Q2058" t="str">
        <f>""</f>
        <v/>
      </c>
      <c r="R2058" t="str">
        <f>"N"</f>
        <v>N</v>
      </c>
      <c r="S2058" t="str">
        <f>""</f>
        <v/>
      </c>
      <c r="T2058" t="str">
        <f>"6082.14"</f>
        <v>6082.14</v>
      </c>
      <c r="U2058" t="str">
        <f>"290400.00"</f>
        <v>290400.00</v>
      </c>
      <c r="V2058" t="str">
        <f>"290400.00"</f>
        <v>290400.00</v>
      </c>
      <c r="W2058" t="str">
        <f t="shared" si="776"/>
        <v>2017</v>
      </c>
      <c r="X2058" t="str">
        <f>"11.00"</f>
        <v>11.00</v>
      </c>
      <c r="Y2058" t="str">
        <f>"6296.60"</f>
        <v>6296.60</v>
      </c>
      <c r="Z2058" t="str">
        <f>""</f>
        <v/>
      </c>
      <c r="AA2058" t="str">
        <f>"335000.00"</f>
        <v>335000.00</v>
      </c>
      <c r="AB2058" t="str">
        <f t="shared" si="769"/>
        <v>Residential</v>
      </c>
      <c r="AC2058" t="str">
        <f t="shared" si="762"/>
        <v>0</v>
      </c>
      <c r="AD2058" t="str">
        <f>""</f>
        <v/>
      </c>
      <c r="AE2058" t="str">
        <f>""</f>
        <v/>
      </c>
      <c r="AF2058" t="str">
        <f>"004"</f>
        <v>004</v>
      </c>
      <c r="AG2058" t="str">
        <f>"GA"</f>
        <v>GA</v>
      </c>
      <c r="AH2058" t="str">
        <f>"-"</f>
        <v>-</v>
      </c>
      <c r="AI2058" t="str">
        <f>"-"</f>
        <v>-</v>
      </c>
      <c r="AJ2058" t="str">
        <f>"C55-000-589-0474-9"</f>
        <v>C55-000-589-0474-9</v>
      </c>
      <c r="AK2058" t="str">
        <f>"43795"</f>
        <v>43795</v>
      </c>
      <c r="AL2058">
        <v>8</v>
      </c>
      <c r="AM2058">
        <v>2356</v>
      </c>
      <c r="AN2058">
        <v>6609.83</v>
      </c>
      <c r="AQ2058" t="s">
        <v>19935</v>
      </c>
      <c r="AR2058" t="s">
        <v>19935</v>
      </c>
      <c r="AS2058" t="s">
        <v>19935</v>
      </c>
      <c r="AU2058" t="s">
        <v>396</v>
      </c>
      <c r="AV2058">
        <v>2017</v>
      </c>
      <c r="AW2058" t="str">
        <f>"00-00-31-125C-0101-0000 "</f>
        <v xml:space="preserve">00-00-31-125C-0101-0000 </v>
      </c>
      <c r="AX2058">
        <v>2811</v>
      </c>
      <c r="AZ2058" t="s">
        <v>19936</v>
      </c>
      <c r="BA2058" t="s">
        <v>1122</v>
      </c>
      <c r="BC2058">
        <v>101</v>
      </c>
      <c r="BD2058" t="s">
        <v>11749</v>
      </c>
      <c r="BE2058" t="s">
        <v>393</v>
      </c>
      <c r="BF2058">
        <v>32034</v>
      </c>
      <c r="BG2058" t="s">
        <v>19937</v>
      </c>
      <c r="BH2058" t="s">
        <v>11751</v>
      </c>
      <c r="BI2058">
        <v>-81.431990687656906</v>
      </c>
      <c r="BJ2058">
        <v>30.6679759156251</v>
      </c>
      <c r="BK2058" t="s">
        <v>19938</v>
      </c>
      <c r="BM2058" t="s">
        <v>19939</v>
      </c>
      <c r="BN2058" t="s">
        <v>19940</v>
      </c>
      <c r="BO2058">
        <v>31405</v>
      </c>
      <c r="BP2058" t="s">
        <v>404</v>
      </c>
      <c r="BQ2058">
        <v>400</v>
      </c>
      <c r="BR2058" t="s">
        <v>15097</v>
      </c>
      <c r="BS2058">
        <v>1004</v>
      </c>
      <c r="BT2058" t="s">
        <v>15098</v>
      </c>
      <c r="BW2058">
        <v>18818</v>
      </c>
      <c r="BX2058" t="s">
        <v>407</v>
      </c>
      <c r="CA2058">
        <v>2004</v>
      </c>
      <c r="CC2058">
        <v>1</v>
      </c>
      <c r="CD2058">
        <v>2017</v>
      </c>
      <c r="CF2058">
        <v>335000</v>
      </c>
      <c r="CG2058">
        <v>335000</v>
      </c>
      <c r="CH2058">
        <v>2017</v>
      </c>
      <c r="CJ2058">
        <v>335000</v>
      </c>
      <c r="CK2058">
        <v>335000</v>
      </c>
      <c r="CL2058">
        <v>2017</v>
      </c>
      <c r="CM2058">
        <v>6082.14</v>
      </c>
      <c r="CN2058" s="1">
        <v>39150</v>
      </c>
      <c r="CZ2058" s="1">
        <v>39150</v>
      </c>
      <c r="DD2058" t="s">
        <v>11749</v>
      </c>
      <c r="DG2058">
        <v>12</v>
      </c>
      <c r="DI2058">
        <v>101</v>
      </c>
      <c r="DJ2058" t="s">
        <v>15276</v>
      </c>
      <c r="DL2058">
        <v>50102</v>
      </c>
      <c r="DM2058" t="s">
        <v>19686</v>
      </c>
      <c r="DO2058" t="s">
        <v>19941</v>
      </c>
      <c r="DP2058">
        <v>0</v>
      </c>
      <c r="DQ2058">
        <v>5</v>
      </c>
      <c r="DR2058" t="s">
        <v>1174</v>
      </c>
      <c r="DS2058" t="b">
        <v>1</v>
      </c>
      <c r="DT2058" t="s">
        <v>470</v>
      </c>
      <c r="DU2058" t="s">
        <v>471</v>
      </c>
      <c r="DV2058" t="s">
        <v>472</v>
      </c>
      <c r="DX2058">
        <v>-9999</v>
      </c>
      <c r="DZ2058" t="s">
        <v>447</v>
      </c>
      <c r="EA2058" t="s">
        <v>448</v>
      </c>
      <c r="EB2058" t="s">
        <v>19924</v>
      </c>
      <c r="EC2058">
        <v>20101217</v>
      </c>
      <c r="ED2058" t="s">
        <v>474</v>
      </c>
      <c r="EF2058">
        <v>417.8</v>
      </c>
      <c r="EG2058">
        <v>311</v>
      </c>
      <c r="EI2058">
        <v>20160407</v>
      </c>
      <c r="EJ2058">
        <v>0</v>
      </c>
      <c r="EK2058">
        <v>0</v>
      </c>
      <c r="EP2058" t="s">
        <v>421</v>
      </c>
      <c r="EQ2058" t="s">
        <v>422</v>
      </c>
      <c r="ER2058">
        <v>0</v>
      </c>
      <c r="ES2058">
        <v>6</v>
      </c>
      <c r="ET2058">
        <v>0</v>
      </c>
      <c r="EU2058">
        <v>0</v>
      </c>
      <c r="EV2058">
        <v>0</v>
      </c>
      <c r="EW2058" s="2">
        <v>43222</v>
      </c>
      <c r="EX2058" s="1">
        <v>42515</v>
      </c>
      <c r="EY2058">
        <v>2015</v>
      </c>
      <c r="EZ2058">
        <v>5344.5</v>
      </c>
      <c r="FA2058" t="s">
        <v>19942</v>
      </c>
      <c r="FB2058">
        <v>0.25</v>
      </c>
      <c r="FC2058" t="s">
        <v>424</v>
      </c>
      <c r="FD2058" t="s">
        <v>425</v>
      </c>
      <c r="FE2058" s="1">
        <v>43159</v>
      </c>
      <c r="FF2058">
        <v>21</v>
      </c>
      <c r="FG2058">
        <v>7045074</v>
      </c>
      <c r="FH2058" t="s">
        <v>580</v>
      </c>
      <c r="FJ2058" s="1">
        <v>42515</v>
      </c>
      <c r="FK2058">
        <v>2015</v>
      </c>
      <c r="FL2058">
        <v>5344.5</v>
      </c>
      <c r="FM2058" t="s">
        <v>19942</v>
      </c>
      <c r="FN2058">
        <v>0.25</v>
      </c>
      <c r="FO2058" t="s">
        <v>424</v>
      </c>
      <c r="FP2058" t="s">
        <v>425</v>
      </c>
      <c r="FR2058">
        <v>22</v>
      </c>
      <c r="FS2058">
        <v>6293986</v>
      </c>
      <c r="FT2058" t="s">
        <v>19943</v>
      </c>
      <c r="FV2058" s="1">
        <v>42151</v>
      </c>
      <c r="FW2058">
        <v>2014</v>
      </c>
      <c r="FX2058">
        <v>5047.51</v>
      </c>
      <c r="FY2058" t="s">
        <v>19944</v>
      </c>
      <c r="FZ2058">
        <v>0.25</v>
      </c>
      <c r="GA2058" t="s">
        <v>424</v>
      </c>
      <c r="GB2058" t="s">
        <v>425</v>
      </c>
      <c r="GC2058" s="1">
        <v>42473</v>
      </c>
      <c r="GD2058">
        <v>11</v>
      </c>
      <c r="GE2058">
        <v>4975594</v>
      </c>
      <c r="GF2058" t="s">
        <v>457</v>
      </c>
      <c r="GH2058" s="1">
        <v>42151</v>
      </c>
      <c r="GI2058">
        <v>2014</v>
      </c>
      <c r="GJ2058">
        <v>5047.51</v>
      </c>
      <c r="GK2058" t="s">
        <v>19944</v>
      </c>
      <c r="GL2058">
        <v>0.25</v>
      </c>
      <c r="GM2058" t="s">
        <v>424</v>
      </c>
      <c r="GN2058" t="s">
        <v>425</v>
      </c>
      <c r="GP2058">
        <v>22</v>
      </c>
      <c r="GQ2058">
        <v>6483505</v>
      </c>
      <c r="GR2058" t="s">
        <v>19945</v>
      </c>
      <c r="GT2058" s="1">
        <v>41787</v>
      </c>
      <c r="GU2058">
        <v>2013</v>
      </c>
      <c r="GV2058">
        <v>5953.67</v>
      </c>
      <c r="GW2058" t="s">
        <v>19946</v>
      </c>
      <c r="GX2058">
        <v>0.25</v>
      </c>
      <c r="GY2058" t="s">
        <v>424</v>
      </c>
      <c r="GZ2058" t="s">
        <v>425</v>
      </c>
      <c r="HA2058" s="1">
        <v>42093</v>
      </c>
      <c r="HB2058">
        <v>10</v>
      </c>
      <c r="HC2058">
        <v>2407503</v>
      </c>
      <c r="HD2058" t="s">
        <v>461</v>
      </c>
      <c r="HF2058" s="1">
        <v>41423</v>
      </c>
      <c r="HG2058">
        <v>2012</v>
      </c>
      <c r="HH2058">
        <v>5946.84</v>
      </c>
      <c r="HI2058" t="s">
        <v>19947</v>
      </c>
      <c r="HJ2058">
        <v>0.25</v>
      </c>
      <c r="HK2058" t="s">
        <v>424</v>
      </c>
      <c r="HL2058" t="s">
        <v>425</v>
      </c>
      <c r="HM2058" s="1">
        <v>41754</v>
      </c>
      <c r="HN2058">
        <v>11</v>
      </c>
      <c r="HO2058">
        <v>15972</v>
      </c>
      <c r="HP2058" t="s">
        <v>2572</v>
      </c>
    </row>
    <row r="2059" spans="1:284" x14ac:dyDescent="0.25">
      <c r="A2059">
        <v>16487066</v>
      </c>
      <c r="B2059">
        <v>2058</v>
      </c>
      <c r="C2059" t="s">
        <v>393</v>
      </c>
      <c r="D2059" t="s">
        <v>394</v>
      </c>
      <c r="F2059" t="str">
        <f>"00-00-31-126B-0013-0000"</f>
        <v>00-00-31-126B-0013-0000</v>
      </c>
      <c r="H2059" t="str">
        <f>"CROSBY ROBERT E &amp; REBECCA LYNN"</f>
        <v>CROSBY ROBERT E &amp; REBECCA LYNN</v>
      </c>
      <c r="I2059" t="str">
        <f>"2865 FIRST AVE"</f>
        <v>2865 FIRST AVE</v>
      </c>
      <c r="J2059" t="str">
        <f>"FERNANDINA BEACH FL 32034"</f>
        <v>FERNANDINA BEACH FL 32034</v>
      </c>
      <c r="K2059" t="str">
        <f>"1123 FLETCHER AVE N"</f>
        <v>1123 FLETCHER AVE N</v>
      </c>
      <c r="L2059" t="str">
        <f t="shared" si="758"/>
        <v>FERNANDINA BEACH FL 32034</v>
      </c>
      <c r="M2059" t="str">
        <f>"LOT 13 SECT 2 IN OR 2001/1784 FERREIRA REPLAT OF FDNA BEACH PB 3/54"</f>
        <v>LOT 13 SECT 2 IN OR 2001/1784 FERREIRA REPLAT OF FDNA BEACH PB 3/54</v>
      </c>
      <c r="N2059" t="str">
        <f>""</f>
        <v/>
      </c>
      <c r="O2059" t="str">
        <f>"6726"</f>
        <v>6726</v>
      </c>
      <c r="P2059" t="str">
        <f t="shared" si="775"/>
        <v>2017</v>
      </c>
      <c r="Q2059" t="str">
        <f>""</f>
        <v/>
      </c>
      <c r="R2059" t="str">
        <f>"N"</f>
        <v>N</v>
      </c>
      <c r="S2059" t="str">
        <f>""</f>
        <v/>
      </c>
      <c r="T2059" t="str">
        <f>"3227.72"</f>
        <v>3227.72</v>
      </c>
      <c r="U2059" t="str">
        <f>"161948.00"</f>
        <v>161948.00</v>
      </c>
      <c r="V2059" t="str">
        <f>"161948.00"</f>
        <v>161948.00</v>
      </c>
      <c r="W2059" t="str">
        <f t="shared" si="776"/>
        <v>2017</v>
      </c>
      <c r="X2059" t="str">
        <f>""</f>
        <v/>
      </c>
      <c r="Y2059" t="str">
        <f>"847.94"</f>
        <v>847.94</v>
      </c>
      <c r="Z2059" t="str">
        <f>""</f>
        <v/>
      </c>
      <c r="AA2059" t="str">
        <f>"161948.00"</f>
        <v>161948.00</v>
      </c>
      <c r="AB2059" t="str">
        <f t="shared" si="769"/>
        <v>Residential</v>
      </c>
      <c r="AC2059" t="str">
        <f t="shared" si="762"/>
        <v>0</v>
      </c>
      <c r="AD2059" t="str">
        <f>"2"</f>
        <v>2</v>
      </c>
      <c r="AE2059" t="str">
        <f>"REINFORCED CONCRETE"</f>
        <v>REINFORCED CONCRETE</v>
      </c>
      <c r="AF2059" t="str">
        <f>"001"</f>
        <v>001</v>
      </c>
      <c r="AG2059" t="str">
        <f>"FL"</f>
        <v>FL</v>
      </c>
      <c r="AH2059" t="str">
        <f>"5000.00"</f>
        <v>5000.00</v>
      </c>
      <c r="AI2059" t="str">
        <f>"90000.00"</f>
        <v>90000.00</v>
      </c>
      <c r="AJ2059" t="str">
        <f>"C55-000-585-4896-7"</f>
        <v>C55-000-585-4896-7</v>
      </c>
      <c r="AK2059" t="str">
        <f>"43927"</f>
        <v>43927</v>
      </c>
      <c r="AL2059">
        <v>8</v>
      </c>
      <c r="AM2059">
        <v>2357</v>
      </c>
      <c r="AN2059">
        <v>888.74</v>
      </c>
      <c r="AQ2059" t="s">
        <v>19948</v>
      </c>
      <c r="AR2059" t="s">
        <v>19948</v>
      </c>
      <c r="AS2059" t="s">
        <v>19948</v>
      </c>
      <c r="AU2059" t="s">
        <v>396</v>
      </c>
      <c r="AV2059">
        <v>2017</v>
      </c>
      <c r="AW2059" t="str">
        <f>"00-00-31-126B-0013-0000 "</f>
        <v xml:space="preserve">00-00-31-126B-0013-0000 </v>
      </c>
      <c r="AX2059">
        <v>1123</v>
      </c>
      <c r="AZ2059" t="s">
        <v>18248</v>
      </c>
      <c r="BA2059" t="s">
        <v>1112</v>
      </c>
      <c r="BB2059" t="s">
        <v>404</v>
      </c>
      <c r="BD2059" t="s">
        <v>11749</v>
      </c>
      <c r="BE2059" t="s">
        <v>393</v>
      </c>
      <c r="BF2059">
        <v>32034</v>
      </c>
      <c r="BG2059" t="s">
        <v>19949</v>
      </c>
      <c r="BH2059" t="s">
        <v>11751</v>
      </c>
      <c r="BI2059">
        <v>-81.430139770517997</v>
      </c>
      <c r="BJ2059">
        <v>30.680764988937099</v>
      </c>
      <c r="BK2059" t="s">
        <v>19950</v>
      </c>
      <c r="BL2059" t="s">
        <v>19951</v>
      </c>
      <c r="BM2059" t="s">
        <v>19952</v>
      </c>
      <c r="BN2059" t="s">
        <v>3983</v>
      </c>
      <c r="BO2059">
        <v>32034</v>
      </c>
      <c r="BP2059" t="s">
        <v>404</v>
      </c>
      <c r="BQ2059">
        <v>100</v>
      </c>
      <c r="BR2059" t="s">
        <v>514</v>
      </c>
      <c r="BS2059">
        <v>1001</v>
      </c>
      <c r="BT2059" t="s">
        <v>515</v>
      </c>
      <c r="BU2059">
        <v>500</v>
      </c>
      <c r="BV2059">
        <v>1000</v>
      </c>
      <c r="BW2059">
        <v>5000</v>
      </c>
      <c r="BX2059" t="s">
        <v>407</v>
      </c>
      <c r="BY2059" t="s">
        <v>18253</v>
      </c>
      <c r="BZ2059">
        <v>2</v>
      </c>
      <c r="CA2059">
        <v>1949</v>
      </c>
      <c r="CB2059">
        <v>1</v>
      </c>
      <c r="CC2059">
        <v>1</v>
      </c>
      <c r="CD2059">
        <v>2017</v>
      </c>
      <c r="CE2059">
        <v>90000</v>
      </c>
      <c r="CF2059">
        <v>71948</v>
      </c>
      <c r="CG2059">
        <v>161948</v>
      </c>
      <c r="CH2059">
        <v>2017</v>
      </c>
      <c r="CI2059">
        <v>90000</v>
      </c>
      <c r="CJ2059">
        <v>71948</v>
      </c>
      <c r="CK2059">
        <v>161948</v>
      </c>
      <c r="CL2059">
        <v>2017</v>
      </c>
      <c r="CM2059">
        <v>3227.72</v>
      </c>
      <c r="CN2059" s="1">
        <v>38827</v>
      </c>
      <c r="CV2059">
        <v>0</v>
      </c>
      <c r="CZ2059" s="1">
        <v>38827</v>
      </c>
      <c r="DA2059">
        <v>0</v>
      </c>
      <c r="DD2059" t="s">
        <v>11749</v>
      </c>
      <c r="DF2059">
        <v>13</v>
      </c>
      <c r="DG2059">
        <v>9</v>
      </c>
      <c r="DL2059">
        <v>50102</v>
      </c>
      <c r="DM2059" t="s">
        <v>18254</v>
      </c>
      <c r="DO2059" t="s">
        <v>19953</v>
      </c>
      <c r="DP2059">
        <v>0</v>
      </c>
      <c r="DQ2059">
        <v>2</v>
      </c>
      <c r="DR2059" t="s">
        <v>1479</v>
      </c>
    </row>
    <row r="2060" spans="1:284" x14ac:dyDescent="0.25">
      <c r="A2060">
        <v>16487067</v>
      </c>
      <c r="B2060">
        <v>2059</v>
      </c>
      <c r="C2060" t="s">
        <v>393</v>
      </c>
      <c r="D2060" t="s">
        <v>394</v>
      </c>
      <c r="F2060" t="str">
        <f>"00-00-31-126B-0014-0000"</f>
        <v>00-00-31-126B-0014-0000</v>
      </c>
      <c r="H2060" t="str">
        <f>"NACHBAUER MATTHEW E"</f>
        <v>NACHBAUER MATTHEW E</v>
      </c>
      <c r="I2060" t="str">
        <f>"1125 N FLETCHER AV"</f>
        <v>1125 N FLETCHER AV</v>
      </c>
      <c r="J2060" t="str">
        <f>"FERNANDINA BEACH FL 32034"</f>
        <v>FERNANDINA BEACH FL 32034</v>
      </c>
      <c r="K2060" t="str">
        <f>"1125 FLETCHER AVE N"</f>
        <v>1125 FLETCHER AVE N</v>
      </c>
      <c r="L2060" t="str">
        <f t="shared" si="758"/>
        <v>FERNANDINA BEACH FL 32034</v>
      </c>
      <c r="M2060" t="str">
        <f>"LOT 14 IN OR 1941/938 FERREIRAS REPLAT OF FDNA BEACH 2 PB 3/54"</f>
        <v>LOT 14 IN OR 1941/938 FERREIRAS REPLAT OF FDNA BEACH 2 PB 3/54</v>
      </c>
      <c r="N2060" t="str">
        <f>""</f>
        <v/>
      </c>
      <c r="O2060" t="str">
        <f>"6727"</f>
        <v>6727</v>
      </c>
      <c r="P2060" t="str">
        <f t="shared" si="775"/>
        <v>2017</v>
      </c>
      <c r="Q2060" t="str">
        <f>""</f>
        <v/>
      </c>
      <c r="R2060" t="str">
        <f>"Y"</f>
        <v>Y</v>
      </c>
      <c r="S2060" t="str">
        <f>""</f>
        <v/>
      </c>
      <c r="T2060" t="str">
        <f>"2844.37"</f>
        <v>2844.37</v>
      </c>
      <c r="U2060" t="str">
        <f>"181860.00"</f>
        <v>181860.00</v>
      </c>
      <c r="V2060" t="str">
        <f>"181860.00"</f>
        <v>181860.00</v>
      </c>
      <c r="W2060" t="str">
        <f t="shared" si="776"/>
        <v>2017</v>
      </c>
      <c r="X2060" t="str">
        <f>""</f>
        <v/>
      </c>
      <c r="Y2060" t="str">
        <f>"2961.70"</f>
        <v>2961.70</v>
      </c>
      <c r="Z2060" t="str">
        <f>"25000.00"</f>
        <v>25000.00</v>
      </c>
      <c r="AA2060" t="str">
        <f>"164645.00"</f>
        <v>164645.00</v>
      </c>
      <c r="AB2060" t="str">
        <f t="shared" si="769"/>
        <v>Residential</v>
      </c>
      <c r="AC2060" t="str">
        <f t="shared" si="762"/>
        <v>0</v>
      </c>
      <c r="AD2060" t="str">
        <f>"3"</f>
        <v>3</v>
      </c>
      <c r="AE2060" t="str">
        <f>"MASONRY"</f>
        <v>MASONRY</v>
      </c>
      <c r="AF2060" t="str">
        <f>"008"</f>
        <v>008</v>
      </c>
      <c r="AG2060" t="str">
        <f>"FL"</f>
        <v>FL</v>
      </c>
      <c r="AH2060" t="str">
        <f>"5000.00"</f>
        <v>5000.00</v>
      </c>
      <c r="AI2060" t="str">
        <f>"90000.00"</f>
        <v>90000.00</v>
      </c>
      <c r="AJ2060" t="str">
        <f>"C55-000-585-4897-5"</f>
        <v>C55-000-585-4897-5</v>
      </c>
      <c r="AK2060" t="str">
        <f>"43928"</f>
        <v>43928</v>
      </c>
      <c r="AL2060">
        <v>8</v>
      </c>
      <c r="AM2060">
        <v>2358</v>
      </c>
      <c r="AN2060">
        <v>3108.19</v>
      </c>
      <c r="AQ2060" t="s">
        <v>19954</v>
      </c>
      <c r="AR2060" t="s">
        <v>19954</v>
      </c>
      <c r="AS2060" t="s">
        <v>19954</v>
      </c>
      <c r="AU2060" t="s">
        <v>396</v>
      </c>
      <c r="AV2060">
        <v>2017</v>
      </c>
      <c r="AW2060" t="str">
        <f>"00-00-31-126B-0014-0000 "</f>
        <v xml:space="preserve">00-00-31-126B-0014-0000 </v>
      </c>
      <c r="AX2060">
        <v>1125</v>
      </c>
      <c r="AZ2060" t="s">
        <v>18248</v>
      </c>
      <c r="BA2060" t="s">
        <v>1112</v>
      </c>
      <c r="BB2060" t="s">
        <v>404</v>
      </c>
      <c r="BD2060" t="s">
        <v>11749</v>
      </c>
      <c r="BE2060" t="s">
        <v>393</v>
      </c>
      <c r="BF2060">
        <v>32034</v>
      </c>
      <c r="BG2060" t="s">
        <v>19955</v>
      </c>
      <c r="BH2060" t="s">
        <v>11751</v>
      </c>
      <c r="BI2060">
        <v>-81.430125171975902</v>
      </c>
      <c r="BJ2060">
        <v>30.680901878119499</v>
      </c>
      <c r="BK2060" t="s">
        <v>19956</v>
      </c>
      <c r="BL2060" t="s">
        <v>19957</v>
      </c>
      <c r="BM2060" t="s">
        <v>19958</v>
      </c>
      <c r="BN2060" t="s">
        <v>3983</v>
      </c>
      <c r="BO2060">
        <v>32034</v>
      </c>
      <c r="BP2060" t="s">
        <v>416</v>
      </c>
      <c r="BQ2060">
        <v>800</v>
      </c>
      <c r="BR2060" t="s">
        <v>5126</v>
      </c>
      <c r="BS2060">
        <v>1110</v>
      </c>
      <c r="BT2060" t="s">
        <v>5127</v>
      </c>
      <c r="BU2060">
        <v>500</v>
      </c>
      <c r="BV2060">
        <v>1000</v>
      </c>
      <c r="BW2060">
        <v>5000</v>
      </c>
      <c r="BX2060" t="s">
        <v>407</v>
      </c>
      <c r="BY2060" t="s">
        <v>18253</v>
      </c>
      <c r="BZ2060">
        <v>3</v>
      </c>
      <c r="CA2060">
        <v>1957</v>
      </c>
      <c r="CB2060">
        <v>2</v>
      </c>
      <c r="CC2060">
        <v>1</v>
      </c>
      <c r="CD2060">
        <v>2017</v>
      </c>
      <c r="CG2060">
        <v>189645</v>
      </c>
      <c r="CH2060">
        <v>2017</v>
      </c>
      <c r="CI2060">
        <v>90000</v>
      </c>
      <c r="CJ2060">
        <v>113911</v>
      </c>
      <c r="CK2060">
        <v>203911</v>
      </c>
      <c r="CL2060">
        <v>2017</v>
      </c>
      <c r="CM2060">
        <v>2844.37</v>
      </c>
      <c r="CN2060" s="1">
        <v>41922</v>
      </c>
      <c r="CO2060">
        <v>190000</v>
      </c>
      <c r="CV2060">
        <v>142500</v>
      </c>
      <c r="CX2060" t="s">
        <v>19959</v>
      </c>
      <c r="CZ2060" s="1">
        <v>41922</v>
      </c>
      <c r="DA2060">
        <v>0</v>
      </c>
      <c r="DD2060" t="s">
        <v>11749</v>
      </c>
      <c r="DF2060">
        <v>14</v>
      </c>
      <c r="DG2060">
        <v>9</v>
      </c>
      <c r="DL2060">
        <v>50102</v>
      </c>
      <c r="DM2060" t="s">
        <v>18254</v>
      </c>
      <c r="DO2060" t="s">
        <v>19960</v>
      </c>
      <c r="DP2060">
        <v>0</v>
      </c>
      <c r="DQ2060">
        <v>2</v>
      </c>
      <c r="DR2060" t="s">
        <v>1479</v>
      </c>
    </row>
    <row r="2061" spans="1:284" x14ac:dyDescent="0.25">
      <c r="A2061">
        <v>16487068</v>
      </c>
      <c r="B2061">
        <v>2060</v>
      </c>
      <c r="C2061" t="s">
        <v>393</v>
      </c>
      <c r="D2061" t="s">
        <v>394</v>
      </c>
      <c r="F2061" t="str">
        <f>"00-00-31-128A-0027-0000"</f>
        <v>00-00-31-128A-0027-0000</v>
      </c>
      <c r="H2061" t="str">
        <f>"SHAFFER APRIL A"</f>
        <v>SHAFFER APRIL A</v>
      </c>
      <c r="I2061" t="str">
        <f>"1802 CAROLE CT"</f>
        <v>1802 CAROLE CT</v>
      </c>
      <c r="J2061" t="str">
        <f>"PERU IN 46970"</f>
        <v>PERU IN 46970</v>
      </c>
      <c r="K2061" t="str">
        <f>"512 STANLEY DR"</f>
        <v>512 STANLEY DR</v>
      </c>
      <c r="L2061" t="str">
        <f t="shared" si="758"/>
        <v>FERNANDINA BEACH FL 32034</v>
      </c>
      <c r="M2061" t="str">
        <f>"LOT 27 IN OR 2017/658 FOREST HILLS 1 PB 2/76"</f>
        <v>LOT 27 IN OR 2017/658 FOREST HILLS 1 PB 2/76</v>
      </c>
      <c r="N2061" t="str">
        <f>""</f>
        <v/>
      </c>
      <c r="O2061" t="str">
        <f>"6786"</f>
        <v>6786</v>
      </c>
      <c r="P2061" t="str">
        <f t="shared" si="775"/>
        <v>2017</v>
      </c>
      <c r="Q2061" t="str">
        <f>""</f>
        <v/>
      </c>
      <c r="R2061" t="str">
        <f t="shared" ref="R2061:R2067" si="777">"N"</f>
        <v>N</v>
      </c>
      <c r="S2061" t="str">
        <f>""</f>
        <v/>
      </c>
      <c r="T2061" t="str">
        <f>"6157.94"</f>
        <v>6157.94</v>
      </c>
      <c r="U2061" t="str">
        <f>"307189.00"</f>
        <v>307189.00</v>
      </c>
      <c r="V2061" t="str">
        <f>"307189.00"</f>
        <v>307189.00</v>
      </c>
      <c r="W2061" t="str">
        <f t="shared" si="776"/>
        <v>2017</v>
      </c>
      <c r="X2061" t="str">
        <f>""</f>
        <v/>
      </c>
      <c r="Y2061" t="str">
        <f>"6374.68"</f>
        <v>6374.68</v>
      </c>
      <c r="Z2061" t="str">
        <f>""</f>
        <v/>
      </c>
      <c r="AA2061" t="str">
        <f>"312563.00"</f>
        <v>312563.00</v>
      </c>
      <c r="AB2061" t="str">
        <f t="shared" si="769"/>
        <v>Residential</v>
      </c>
      <c r="AC2061" t="str">
        <f t="shared" si="762"/>
        <v>0</v>
      </c>
      <c r="AD2061" t="str">
        <f>"4"</f>
        <v>4</v>
      </c>
      <c r="AE2061" t="str">
        <f>"WOOD (INCLUDE STEEL STUDS)"</f>
        <v>WOOD (INCLUDE STEEL STUDS)</v>
      </c>
      <c r="AF2061" t="str">
        <f>"001"</f>
        <v>001</v>
      </c>
      <c r="AG2061" t="str">
        <f>"IN"</f>
        <v>IN</v>
      </c>
      <c r="AH2061" t="str">
        <f>"19400.00"</f>
        <v>19400.00</v>
      </c>
      <c r="AI2061" t="str">
        <f>"80000.00"</f>
        <v>80000.00</v>
      </c>
      <c r="AJ2061" t="str">
        <f>"C55-000-585-4951-0"</f>
        <v>C55-000-585-4951-0</v>
      </c>
      <c r="AK2061" t="str">
        <f>"43995"</f>
        <v>43995</v>
      </c>
      <c r="AL2061">
        <v>8</v>
      </c>
      <c r="AM2061">
        <v>2359</v>
      </c>
      <c r="AN2061">
        <v>6691.81</v>
      </c>
      <c r="AQ2061" t="s">
        <v>19961</v>
      </c>
      <c r="AR2061" t="s">
        <v>19961</v>
      </c>
      <c r="AS2061" t="s">
        <v>19961</v>
      </c>
      <c r="AU2061" t="s">
        <v>396</v>
      </c>
      <c r="AV2061">
        <v>2017</v>
      </c>
      <c r="AW2061" t="str">
        <f>"00-00-31-128A-0027-0000 "</f>
        <v xml:space="preserve">00-00-31-128A-0027-0000 </v>
      </c>
      <c r="AX2061">
        <v>512</v>
      </c>
      <c r="AZ2061" t="s">
        <v>19962</v>
      </c>
      <c r="BA2061" t="s">
        <v>669</v>
      </c>
      <c r="BD2061" t="s">
        <v>11749</v>
      </c>
      <c r="BE2061" t="s">
        <v>393</v>
      </c>
      <c r="BF2061">
        <v>32034</v>
      </c>
      <c r="BG2061" t="s">
        <v>19963</v>
      </c>
      <c r="BH2061" t="s">
        <v>11751</v>
      </c>
      <c r="BI2061">
        <v>-81.445015495231601</v>
      </c>
      <c r="BJ2061">
        <v>30.6767061017073</v>
      </c>
      <c r="BK2061" t="s">
        <v>19964</v>
      </c>
      <c r="BM2061" t="s">
        <v>19965</v>
      </c>
      <c r="BN2061" t="s">
        <v>19966</v>
      </c>
      <c r="BO2061">
        <v>46970</v>
      </c>
      <c r="BP2061" t="s">
        <v>404</v>
      </c>
      <c r="BQ2061">
        <v>100</v>
      </c>
      <c r="BR2061" t="s">
        <v>514</v>
      </c>
      <c r="BS2061">
        <v>1001</v>
      </c>
      <c r="BT2061" t="s">
        <v>515</v>
      </c>
      <c r="BW2061">
        <v>19483</v>
      </c>
      <c r="BX2061" t="s">
        <v>407</v>
      </c>
      <c r="BY2061" t="s">
        <v>19842</v>
      </c>
      <c r="BZ2061">
        <v>4</v>
      </c>
      <c r="CA2061">
        <v>1954</v>
      </c>
      <c r="CB2061">
        <v>1</v>
      </c>
      <c r="CC2061">
        <v>1</v>
      </c>
      <c r="CD2061">
        <v>2017</v>
      </c>
      <c r="CE2061">
        <v>80000</v>
      </c>
      <c r="CF2061">
        <v>232563</v>
      </c>
      <c r="CG2061">
        <v>312563</v>
      </c>
      <c r="CH2061">
        <v>2017</v>
      </c>
      <c r="CI2061">
        <v>80000</v>
      </c>
      <c r="CJ2061">
        <v>232563</v>
      </c>
      <c r="CK2061">
        <v>312563</v>
      </c>
      <c r="CL2061">
        <v>2017</v>
      </c>
      <c r="CM2061">
        <v>6157.94</v>
      </c>
      <c r="CN2061" s="1">
        <v>42346</v>
      </c>
      <c r="CO2061">
        <v>340000</v>
      </c>
      <c r="CV2061">
        <v>0</v>
      </c>
      <c r="CZ2061" s="1">
        <v>42346</v>
      </c>
      <c r="DA2061">
        <v>0</v>
      </c>
      <c r="DD2061" t="s">
        <v>11749</v>
      </c>
      <c r="DF2061">
        <v>27</v>
      </c>
      <c r="DG2061">
        <v>18</v>
      </c>
      <c r="DJ2061" t="s">
        <v>19967</v>
      </c>
      <c r="DL2061">
        <v>50102</v>
      </c>
      <c r="DM2061" t="s">
        <v>19854</v>
      </c>
      <c r="DO2061" t="s">
        <v>19968</v>
      </c>
      <c r="DP2061">
        <v>0</v>
      </c>
      <c r="DQ2061">
        <v>0</v>
      </c>
      <c r="DR2061" t="s">
        <v>411</v>
      </c>
      <c r="EP2061" t="s">
        <v>421</v>
      </c>
      <c r="EQ2061" t="s">
        <v>422</v>
      </c>
      <c r="ER2061">
        <v>2</v>
      </c>
      <c r="ES2061">
        <v>0</v>
      </c>
      <c r="ET2061">
        <v>12283.94</v>
      </c>
      <c r="EU2061">
        <v>626.70000000000005</v>
      </c>
      <c r="EV2061">
        <v>12910.64</v>
      </c>
      <c r="EW2061" s="2">
        <v>43222</v>
      </c>
      <c r="EX2061" s="1">
        <v>42879</v>
      </c>
      <c r="EY2061">
        <v>2016</v>
      </c>
      <c r="EZ2061">
        <v>6141.97</v>
      </c>
      <c r="FA2061" t="s">
        <v>19969</v>
      </c>
      <c r="FB2061">
        <v>0.25</v>
      </c>
      <c r="FC2061" t="s">
        <v>424</v>
      </c>
      <c r="FD2061" t="s">
        <v>454</v>
      </c>
      <c r="FF2061">
        <v>12</v>
      </c>
      <c r="FG2061">
        <v>5994856</v>
      </c>
      <c r="FH2061" t="s">
        <v>19970</v>
      </c>
      <c r="FJ2061" s="1">
        <v>42879</v>
      </c>
      <c r="FK2061">
        <v>2016</v>
      </c>
      <c r="FL2061">
        <v>6141.97</v>
      </c>
      <c r="FM2061" t="s">
        <v>19969</v>
      </c>
      <c r="FN2061">
        <v>0.25</v>
      </c>
      <c r="FO2061" t="s">
        <v>424</v>
      </c>
      <c r="FP2061" t="s">
        <v>454</v>
      </c>
      <c r="FR2061">
        <v>12</v>
      </c>
      <c r="FS2061">
        <v>5856195</v>
      </c>
      <c r="FT2061" t="s">
        <v>1060</v>
      </c>
    </row>
    <row r="2062" spans="1:284" x14ac:dyDescent="0.25">
      <c r="A2062">
        <v>16487069</v>
      </c>
      <c r="B2062">
        <v>2061</v>
      </c>
      <c r="C2062" t="s">
        <v>393</v>
      </c>
      <c r="D2062" t="s">
        <v>394</v>
      </c>
      <c r="F2062" t="str">
        <f>"00-00-31-128A-0028-0000"</f>
        <v>00-00-31-128A-0028-0000</v>
      </c>
      <c r="H2062" t="str">
        <f>"SIMMONS SHERRI O &amp; AUCK DARREN D &amp; BRYAN L"</f>
        <v>SIMMONS SHERRI O &amp; AUCK DARREN D &amp; BRYAN L</v>
      </c>
      <c r="I2062" t="str">
        <f>"508 STANLEY DR"</f>
        <v>508 STANLEY DR</v>
      </c>
      <c r="J2062" t="str">
        <f>"FERNANDINA BEACH FL 32034"</f>
        <v>FERNANDINA BEACH FL 32034</v>
      </c>
      <c r="K2062" t="str">
        <f>"508 STANLEY DR"</f>
        <v>508 STANLEY DR</v>
      </c>
      <c r="L2062" t="str">
        <f t="shared" si="758"/>
        <v>FERNANDINA BEACH FL 32034</v>
      </c>
      <c r="M2062" t="str">
        <f>"LOT 28 IN OR 1345/1497 FOREST HILLS 1 PB 2/76"</f>
        <v>LOT 28 IN OR 1345/1497 FOREST HILLS 1 PB 2/76</v>
      </c>
      <c r="N2062" t="str">
        <f>""</f>
        <v/>
      </c>
      <c r="O2062" t="str">
        <f>"6787"</f>
        <v>6787</v>
      </c>
      <c r="P2062" t="str">
        <f t="shared" si="775"/>
        <v>2017</v>
      </c>
      <c r="Q2062" t="str">
        <f>""</f>
        <v/>
      </c>
      <c r="R2062" t="str">
        <f t="shared" si="777"/>
        <v>N</v>
      </c>
      <c r="S2062" t="str">
        <f>""</f>
        <v/>
      </c>
      <c r="T2062" t="str">
        <f>"2676.33"</f>
        <v>2676.33</v>
      </c>
      <c r="U2062" t="str">
        <f>"131320.00"</f>
        <v>131320.00</v>
      </c>
      <c r="V2062" t="str">
        <f>"131320.00"</f>
        <v>131320.00</v>
      </c>
      <c r="W2062" t="str">
        <f t="shared" si="776"/>
        <v>2017</v>
      </c>
      <c r="X2062" t="str">
        <f>"2.00"</f>
        <v>2.00</v>
      </c>
      <c r="Y2062" t="str">
        <f>"2788.62"</f>
        <v>2788.62</v>
      </c>
      <c r="Z2062" t="str">
        <f>""</f>
        <v/>
      </c>
      <c r="AA2062" t="str">
        <f>"140267.00"</f>
        <v>140267.00</v>
      </c>
      <c r="AB2062" t="str">
        <f t="shared" si="769"/>
        <v>Residential</v>
      </c>
      <c r="AC2062" t="str">
        <f t="shared" si="762"/>
        <v>0</v>
      </c>
      <c r="AD2062" t="str">
        <f>"3"</f>
        <v>3</v>
      </c>
      <c r="AE2062" t="str">
        <f>"MASONRY"</f>
        <v>MASONRY</v>
      </c>
      <c r="AF2062" t="str">
        <f>"001"</f>
        <v>001</v>
      </c>
      <c r="AG2062" t="str">
        <f>"FL"</f>
        <v>FL</v>
      </c>
      <c r="AH2062" t="str">
        <f>"19400.00"</f>
        <v>19400.00</v>
      </c>
      <c r="AI2062" t="str">
        <f>"80000.00"</f>
        <v>80000.00</v>
      </c>
      <c r="AJ2062" t="str">
        <f>"C55-000-585-4952-8"</f>
        <v>C55-000-585-4952-8</v>
      </c>
      <c r="AK2062" t="str">
        <f>"43996"</f>
        <v>43996</v>
      </c>
      <c r="AL2062">
        <v>8</v>
      </c>
      <c r="AM2062">
        <v>2360</v>
      </c>
      <c r="AN2062">
        <v>2926.45</v>
      </c>
      <c r="AQ2062" t="s">
        <v>19971</v>
      </c>
      <c r="AR2062" t="s">
        <v>19971</v>
      </c>
      <c r="AS2062" t="s">
        <v>19971</v>
      </c>
      <c r="AU2062" t="s">
        <v>396</v>
      </c>
      <c r="AV2062">
        <v>2017</v>
      </c>
      <c r="AW2062" t="str">
        <f>"00-00-31-128A-0028-0000 "</f>
        <v xml:space="preserve">00-00-31-128A-0028-0000 </v>
      </c>
      <c r="AX2062">
        <v>508</v>
      </c>
      <c r="AZ2062" t="s">
        <v>19962</v>
      </c>
      <c r="BA2062" t="s">
        <v>669</v>
      </c>
      <c r="BD2062" t="s">
        <v>11749</v>
      </c>
      <c r="BE2062" t="s">
        <v>393</v>
      </c>
      <c r="BF2062">
        <v>32034</v>
      </c>
      <c r="BG2062" t="s">
        <v>19972</v>
      </c>
      <c r="BH2062" t="s">
        <v>11751</v>
      </c>
      <c r="BI2062">
        <v>-81.444863392111898</v>
      </c>
      <c r="BJ2062">
        <v>30.676464025221701</v>
      </c>
      <c r="BK2062" t="s">
        <v>19973</v>
      </c>
      <c r="BL2062" t="s">
        <v>19974</v>
      </c>
      <c r="BM2062" t="s">
        <v>19972</v>
      </c>
      <c r="BN2062" t="s">
        <v>3983</v>
      </c>
      <c r="BO2062">
        <v>32034</v>
      </c>
      <c r="BP2062" t="s">
        <v>416</v>
      </c>
      <c r="BQ2062">
        <v>100</v>
      </c>
      <c r="BR2062" t="s">
        <v>514</v>
      </c>
      <c r="BS2062">
        <v>1001</v>
      </c>
      <c r="BT2062" t="s">
        <v>515</v>
      </c>
      <c r="BW2062">
        <v>19485</v>
      </c>
      <c r="BX2062" t="s">
        <v>407</v>
      </c>
      <c r="BY2062" t="s">
        <v>19842</v>
      </c>
      <c r="BZ2062">
        <v>3</v>
      </c>
      <c r="CA2062">
        <v>1953</v>
      </c>
      <c r="CB2062">
        <v>1</v>
      </c>
      <c r="CC2062">
        <v>1</v>
      </c>
      <c r="CD2062">
        <v>2017</v>
      </c>
      <c r="CE2062">
        <v>80000</v>
      </c>
      <c r="CF2062">
        <v>60267</v>
      </c>
      <c r="CG2062">
        <v>140267</v>
      </c>
      <c r="CH2062">
        <v>2017</v>
      </c>
      <c r="CI2062">
        <v>80000</v>
      </c>
      <c r="CJ2062">
        <v>60267</v>
      </c>
      <c r="CK2062">
        <v>140267</v>
      </c>
      <c r="CL2062">
        <v>2017</v>
      </c>
      <c r="CM2062">
        <v>2676.33</v>
      </c>
      <c r="CN2062" s="1">
        <v>38593</v>
      </c>
      <c r="CZ2062" s="1">
        <v>38593</v>
      </c>
      <c r="DD2062" t="s">
        <v>11749</v>
      </c>
      <c r="DF2062">
        <v>28</v>
      </c>
      <c r="DG2062">
        <v>18</v>
      </c>
      <c r="DJ2062" t="s">
        <v>19967</v>
      </c>
      <c r="DL2062">
        <v>50102</v>
      </c>
      <c r="DM2062" t="s">
        <v>19854</v>
      </c>
      <c r="DO2062" t="s">
        <v>19975</v>
      </c>
      <c r="DP2062">
        <v>0</v>
      </c>
      <c r="DQ2062">
        <v>0</v>
      </c>
      <c r="DR2062" t="s">
        <v>411</v>
      </c>
      <c r="DS2062" t="b">
        <v>1</v>
      </c>
      <c r="DT2062" t="s">
        <v>470</v>
      </c>
      <c r="DU2062" t="s">
        <v>471</v>
      </c>
      <c r="DV2062" t="s">
        <v>472</v>
      </c>
      <c r="DX2062">
        <v>-9999</v>
      </c>
      <c r="DZ2062" t="s">
        <v>447</v>
      </c>
      <c r="EA2062" t="s">
        <v>448</v>
      </c>
      <c r="EB2062" t="s">
        <v>14787</v>
      </c>
      <c r="EC2062">
        <v>20101217</v>
      </c>
      <c r="ED2062" t="s">
        <v>474</v>
      </c>
      <c r="EF2062">
        <v>694</v>
      </c>
      <c r="EG2062">
        <v>654</v>
      </c>
      <c r="EI2062">
        <v>20160407</v>
      </c>
      <c r="EJ2062">
        <v>0</v>
      </c>
      <c r="EK2062">
        <v>0</v>
      </c>
      <c r="EP2062" t="s">
        <v>421</v>
      </c>
      <c r="EQ2062" t="s">
        <v>422</v>
      </c>
      <c r="ER2062">
        <v>2</v>
      </c>
      <c r="ES2062">
        <v>1</v>
      </c>
      <c r="ET2062">
        <v>5368.28</v>
      </c>
      <c r="EU2062">
        <v>280.91000000000003</v>
      </c>
      <c r="EV2062">
        <v>5649.19</v>
      </c>
      <c r="EW2062" s="2">
        <v>43222</v>
      </c>
      <c r="EX2062" s="1">
        <v>42879</v>
      </c>
      <c r="EY2062">
        <v>2016</v>
      </c>
      <c r="EZ2062">
        <v>2684.14</v>
      </c>
      <c r="FA2062" t="s">
        <v>19976</v>
      </c>
      <c r="FB2062">
        <v>0.25</v>
      </c>
      <c r="FC2062" t="s">
        <v>424</v>
      </c>
      <c r="FD2062" t="s">
        <v>454</v>
      </c>
      <c r="FF2062">
        <v>12</v>
      </c>
      <c r="FG2062">
        <v>2851116</v>
      </c>
      <c r="FH2062" t="s">
        <v>480</v>
      </c>
      <c r="FJ2062" s="1">
        <v>42879</v>
      </c>
      <c r="FK2062">
        <v>2016</v>
      </c>
      <c r="FL2062">
        <v>2684.14</v>
      </c>
      <c r="FM2062" t="s">
        <v>19976</v>
      </c>
      <c r="FN2062">
        <v>0.25</v>
      </c>
      <c r="FO2062" t="s">
        <v>424</v>
      </c>
      <c r="FP2062" t="s">
        <v>454</v>
      </c>
      <c r="FR2062">
        <v>12</v>
      </c>
      <c r="FS2062">
        <v>4864544</v>
      </c>
      <c r="FT2062" t="s">
        <v>19977</v>
      </c>
      <c r="FV2062" s="1">
        <v>40688</v>
      </c>
      <c r="FW2062">
        <v>2010</v>
      </c>
      <c r="FX2062">
        <v>2799.36</v>
      </c>
      <c r="FY2062" t="s">
        <v>19978</v>
      </c>
      <c r="FZ2062">
        <v>0.25</v>
      </c>
      <c r="GA2062" t="s">
        <v>424</v>
      </c>
      <c r="GB2062" t="s">
        <v>425</v>
      </c>
      <c r="GC2062" s="1">
        <v>40711</v>
      </c>
      <c r="GD2062">
        <v>1</v>
      </c>
      <c r="GE2062">
        <v>11177</v>
      </c>
      <c r="GF2062" t="s">
        <v>650</v>
      </c>
    </row>
    <row r="2063" spans="1:284" x14ac:dyDescent="0.25">
      <c r="A2063">
        <v>16487070</v>
      </c>
      <c r="B2063">
        <v>2062</v>
      </c>
      <c r="C2063" t="s">
        <v>393</v>
      </c>
      <c r="D2063" t="s">
        <v>394</v>
      </c>
      <c r="F2063" t="str">
        <f>"00-00-31-128A-0037-0000"</f>
        <v>00-00-31-128A-0037-0000</v>
      </c>
      <c r="H2063" t="str">
        <f>"DEMKO DONNA J"</f>
        <v>DEMKO DONNA J</v>
      </c>
      <c r="I2063" t="str">
        <f>"1809 HIGHLAND DRIVE"</f>
        <v>1809 HIGHLAND DRIVE</v>
      </c>
      <c r="J2063" t="str">
        <f>"FERNANDINA BEACH FL 32034"</f>
        <v>FERNANDINA BEACH FL 32034</v>
      </c>
      <c r="K2063" t="str">
        <f>"1809 HIGHLAND DR"</f>
        <v>1809 HIGHLAND DR</v>
      </c>
      <c r="L2063" t="str">
        <f t="shared" si="758"/>
        <v>FERNANDINA BEACH FL 32034</v>
      </c>
      <c r="M2063" t="str">
        <f>"LOT 37 IN OR 1327/116 FOREST HILLS 1 PB 2/76"</f>
        <v>LOT 37 IN OR 1327/116 FOREST HILLS 1 PB 2/76</v>
      </c>
      <c r="N2063" t="str">
        <f>""</f>
        <v/>
      </c>
      <c r="O2063" t="str">
        <f>"6795"</f>
        <v>6795</v>
      </c>
      <c r="P2063" t="str">
        <f t="shared" si="775"/>
        <v>2017</v>
      </c>
      <c r="Q2063" t="str">
        <f>""</f>
        <v/>
      </c>
      <c r="R2063" t="str">
        <f t="shared" si="777"/>
        <v>N</v>
      </c>
      <c r="S2063" t="str">
        <f>""</f>
        <v/>
      </c>
      <c r="T2063" t="str">
        <f>"4326.43"</f>
        <v>4326.43</v>
      </c>
      <c r="U2063" t="str">
        <f>"217008.00"</f>
        <v>217008.00</v>
      </c>
      <c r="V2063" t="str">
        <f>"217008.00"</f>
        <v>217008.00</v>
      </c>
      <c r="W2063" t="str">
        <f t="shared" si="776"/>
        <v>2017</v>
      </c>
      <c r="X2063" t="str">
        <f>"8.00"</f>
        <v>8.00</v>
      </c>
      <c r="Y2063" t="str">
        <f>"4488.22"</f>
        <v>4488.22</v>
      </c>
      <c r="Z2063" t="str">
        <f>""</f>
        <v/>
      </c>
      <c r="AA2063" t="str">
        <f>"217206.00"</f>
        <v>217206.00</v>
      </c>
      <c r="AB2063" t="str">
        <f t="shared" si="769"/>
        <v>Residential</v>
      </c>
      <c r="AC2063" t="str">
        <f t="shared" si="762"/>
        <v>0</v>
      </c>
      <c r="AD2063" t="str">
        <f>"3"</f>
        <v>3</v>
      </c>
      <c r="AE2063" t="str">
        <f>"MASONRY"</f>
        <v>MASONRY</v>
      </c>
      <c r="AF2063" t="str">
        <f>"001"</f>
        <v>001</v>
      </c>
      <c r="AG2063" t="str">
        <f>"FL"</f>
        <v>FL</v>
      </c>
      <c r="AH2063" t="str">
        <f>"20000.00"</f>
        <v>20000.00</v>
      </c>
      <c r="AI2063" t="str">
        <f>"100000.00"</f>
        <v>100000.00</v>
      </c>
      <c r="AJ2063" t="str">
        <f>"C55-000-585-4960-1"</f>
        <v>C55-000-585-4960-1</v>
      </c>
      <c r="AK2063" t="str">
        <f>"44004"</f>
        <v>44004</v>
      </c>
      <c r="AL2063">
        <v>8</v>
      </c>
      <c r="AM2063">
        <v>2361</v>
      </c>
      <c r="AN2063">
        <v>4711.03</v>
      </c>
      <c r="AQ2063" t="s">
        <v>19979</v>
      </c>
      <c r="AR2063" t="s">
        <v>19979</v>
      </c>
      <c r="AS2063" t="s">
        <v>19979</v>
      </c>
      <c r="AU2063" t="s">
        <v>396</v>
      </c>
      <c r="AV2063">
        <v>2017</v>
      </c>
      <c r="AW2063" t="str">
        <f>"00-00-31-128A-0037-0000 "</f>
        <v xml:space="preserve">00-00-31-128A-0037-0000 </v>
      </c>
      <c r="AX2063">
        <v>1809</v>
      </c>
      <c r="AZ2063" t="s">
        <v>19847</v>
      </c>
      <c r="BA2063" t="s">
        <v>669</v>
      </c>
      <c r="BD2063" t="s">
        <v>11749</v>
      </c>
      <c r="BE2063" t="s">
        <v>393</v>
      </c>
      <c r="BF2063">
        <v>32034</v>
      </c>
      <c r="BG2063" t="s">
        <v>19980</v>
      </c>
      <c r="BH2063" t="s">
        <v>11751</v>
      </c>
      <c r="BI2063">
        <v>-81.444073994067296</v>
      </c>
      <c r="BJ2063">
        <v>30.6747553291783</v>
      </c>
      <c r="BK2063" t="s">
        <v>19981</v>
      </c>
      <c r="BM2063" t="s">
        <v>19980</v>
      </c>
      <c r="BN2063" t="s">
        <v>3983</v>
      </c>
      <c r="BO2063">
        <v>32034</v>
      </c>
      <c r="BP2063" t="s">
        <v>416</v>
      </c>
      <c r="BQ2063">
        <v>100</v>
      </c>
      <c r="BR2063" t="s">
        <v>514</v>
      </c>
      <c r="BS2063">
        <v>1001</v>
      </c>
      <c r="BT2063" t="s">
        <v>515</v>
      </c>
      <c r="BW2063">
        <v>16447</v>
      </c>
      <c r="BX2063" t="s">
        <v>407</v>
      </c>
      <c r="BY2063" t="s">
        <v>19842</v>
      </c>
      <c r="BZ2063">
        <v>3</v>
      </c>
      <c r="CA2063">
        <v>1959</v>
      </c>
      <c r="CB2063">
        <v>1</v>
      </c>
      <c r="CC2063">
        <v>1</v>
      </c>
      <c r="CD2063">
        <v>2017</v>
      </c>
      <c r="CE2063">
        <v>100000</v>
      </c>
      <c r="CF2063">
        <v>117206</v>
      </c>
      <c r="CG2063">
        <v>217206</v>
      </c>
      <c r="CH2063">
        <v>2017</v>
      </c>
      <c r="CI2063">
        <v>100000</v>
      </c>
      <c r="CJ2063">
        <v>117206</v>
      </c>
      <c r="CK2063">
        <v>217206</v>
      </c>
      <c r="CL2063">
        <v>2017</v>
      </c>
      <c r="CM2063">
        <v>4326.43</v>
      </c>
      <c r="CN2063" s="1">
        <v>38523</v>
      </c>
      <c r="CO2063">
        <v>285000</v>
      </c>
      <c r="CV2063">
        <v>0</v>
      </c>
      <c r="CZ2063" s="1">
        <v>38523</v>
      </c>
      <c r="DA2063">
        <v>0</v>
      </c>
      <c r="DD2063" t="s">
        <v>11749</v>
      </c>
      <c r="DF2063">
        <v>37</v>
      </c>
      <c r="DG2063">
        <v>18</v>
      </c>
      <c r="DJ2063" t="s">
        <v>19967</v>
      </c>
      <c r="DL2063">
        <v>50102</v>
      </c>
      <c r="DM2063" t="s">
        <v>19854</v>
      </c>
      <c r="DO2063" t="s">
        <v>19982</v>
      </c>
      <c r="DP2063">
        <v>0</v>
      </c>
      <c r="DQ2063">
        <v>0</v>
      </c>
      <c r="DR2063" t="s">
        <v>411</v>
      </c>
      <c r="DS2063" t="b">
        <v>1</v>
      </c>
      <c r="DT2063" t="s">
        <v>470</v>
      </c>
      <c r="DU2063" t="s">
        <v>471</v>
      </c>
      <c r="DV2063" t="s">
        <v>472</v>
      </c>
      <c r="DX2063">
        <v>-9999</v>
      </c>
      <c r="DZ2063" t="s">
        <v>447</v>
      </c>
      <c r="EA2063" t="s">
        <v>448</v>
      </c>
      <c r="EB2063" t="s">
        <v>14787</v>
      </c>
      <c r="EC2063">
        <v>20101217</v>
      </c>
      <c r="ED2063" t="s">
        <v>474</v>
      </c>
      <c r="EF2063">
        <v>510.6</v>
      </c>
      <c r="EG2063">
        <v>510.6</v>
      </c>
      <c r="EI2063">
        <v>20160407</v>
      </c>
      <c r="EJ2063">
        <v>0</v>
      </c>
      <c r="EK2063">
        <v>0</v>
      </c>
      <c r="EP2063" t="s">
        <v>421</v>
      </c>
      <c r="EQ2063" t="s">
        <v>422</v>
      </c>
      <c r="ER2063">
        <v>2</v>
      </c>
      <c r="ES2063">
        <v>3</v>
      </c>
      <c r="ET2063">
        <v>8693.6200000000008</v>
      </c>
      <c r="EU2063">
        <v>447.18</v>
      </c>
      <c r="EV2063">
        <v>9140.7999999999993</v>
      </c>
      <c r="EW2063" s="2">
        <v>43222</v>
      </c>
      <c r="EX2063" s="1">
        <v>42879</v>
      </c>
      <c r="EY2063">
        <v>2016</v>
      </c>
      <c r="EZ2063">
        <v>4346.8100000000004</v>
      </c>
      <c r="FA2063" t="s">
        <v>19983</v>
      </c>
      <c r="FB2063">
        <v>0.25</v>
      </c>
      <c r="FC2063" t="s">
        <v>424</v>
      </c>
      <c r="FD2063" t="s">
        <v>454</v>
      </c>
      <c r="FF2063">
        <v>12</v>
      </c>
      <c r="FG2063">
        <v>7400234</v>
      </c>
      <c r="FH2063" t="s">
        <v>426</v>
      </c>
      <c r="FJ2063" s="1">
        <v>42879</v>
      </c>
      <c r="FK2063">
        <v>2016</v>
      </c>
      <c r="FL2063">
        <v>4346.8100000000004</v>
      </c>
      <c r="FM2063" t="s">
        <v>19983</v>
      </c>
      <c r="FN2063">
        <v>0.25</v>
      </c>
      <c r="FO2063" t="s">
        <v>424</v>
      </c>
      <c r="FP2063" t="s">
        <v>454</v>
      </c>
      <c r="FR2063">
        <v>12</v>
      </c>
      <c r="FS2063">
        <v>7492988</v>
      </c>
      <c r="FT2063" t="s">
        <v>19984</v>
      </c>
      <c r="FV2063" s="1">
        <v>42515</v>
      </c>
      <c r="FW2063">
        <v>2015</v>
      </c>
      <c r="FX2063">
        <v>4080.33</v>
      </c>
      <c r="FY2063" t="s">
        <v>19985</v>
      </c>
      <c r="FZ2063">
        <v>0.25</v>
      </c>
      <c r="GA2063" t="s">
        <v>424</v>
      </c>
      <c r="GB2063" t="s">
        <v>425</v>
      </c>
      <c r="GC2063" s="1">
        <v>42968</v>
      </c>
      <c r="GD2063">
        <v>15</v>
      </c>
      <c r="GE2063">
        <v>5916895</v>
      </c>
      <c r="GF2063" t="s">
        <v>1390</v>
      </c>
      <c r="GH2063" s="1">
        <v>42515</v>
      </c>
      <c r="GI2063">
        <v>2015</v>
      </c>
      <c r="GJ2063">
        <v>4080.33</v>
      </c>
      <c r="GK2063" t="s">
        <v>19985</v>
      </c>
      <c r="GL2063">
        <v>0.25</v>
      </c>
      <c r="GM2063" t="s">
        <v>424</v>
      </c>
      <c r="GN2063" t="s">
        <v>425</v>
      </c>
      <c r="GP2063">
        <v>22</v>
      </c>
      <c r="GQ2063">
        <v>5827780</v>
      </c>
      <c r="GR2063" t="s">
        <v>19986</v>
      </c>
      <c r="GT2063" s="1">
        <v>41052</v>
      </c>
      <c r="GU2063">
        <v>2011</v>
      </c>
      <c r="GV2063">
        <v>4190.3999999999996</v>
      </c>
      <c r="GW2063" t="s">
        <v>19987</v>
      </c>
      <c r="GX2063">
        <v>0.25</v>
      </c>
      <c r="GY2063" t="s">
        <v>424</v>
      </c>
      <c r="GZ2063" t="s">
        <v>425</v>
      </c>
      <c r="HA2063" s="1">
        <v>41080</v>
      </c>
      <c r="HB2063">
        <v>1</v>
      </c>
      <c r="HC2063">
        <v>14239</v>
      </c>
      <c r="HD2063" t="s">
        <v>19988</v>
      </c>
    </row>
    <row r="2064" spans="1:284" x14ac:dyDescent="0.25">
      <c r="A2064">
        <v>16487071</v>
      </c>
      <c r="B2064">
        <v>2063</v>
      </c>
      <c r="C2064" t="s">
        <v>393</v>
      </c>
      <c r="D2064" t="s">
        <v>394</v>
      </c>
      <c r="F2064" t="str">
        <f>"00-00-31-128R-000E-0030"</f>
        <v>00-00-31-128R-000E-0030</v>
      </c>
      <c r="H2064" t="str">
        <f>"ASLEEP AT THE REEL LLC"</f>
        <v>ASLEEP AT THE REEL LLC</v>
      </c>
      <c r="I2064" t="str">
        <f>"2643 FOREST RIDGE DR"</f>
        <v>2643 FOREST RIDGE DR</v>
      </c>
      <c r="J2064" t="str">
        <f>"FERNANDINA BEACH FL 32034"</f>
        <v>FERNANDINA BEACH FL 32034</v>
      </c>
      <c r="K2064" t="str">
        <f>"2643 FOREST RIDGE DR"</f>
        <v>2643 FOREST RIDGE DR</v>
      </c>
      <c r="L2064" t="str">
        <f t="shared" si="758"/>
        <v>FERNANDINA BEACH FL 32034</v>
      </c>
      <c r="M2064" t="str">
        <f>"UNIT E-3 IN OR 1869/1148 FOREST RIDGE VILLAGE OR380/237"</f>
        <v>UNIT E-3 IN OR 1869/1148 FOREST RIDGE VILLAGE OR380/237</v>
      </c>
      <c r="N2064" t="str">
        <f>""</f>
        <v/>
      </c>
      <c r="O2064" t="str">
        <f>"6980"</f>
        <v>6980</v>
      </c>
      <c r="P2064" t="str">
        <f t="shared" si="775"/>
        <v>2017</v>
      </c>
      <c r="Q2064" t="str">
        <f>""</f>
        <v/>
      </c>
      <c r="R2064" t="str">
        <f t="shared" si="777"/>
        <v>N</v>
      </c>
      <c r="S2064" t="str">
        <f>""</f>
        <v/>
      </c>
      <c r="T2064" t="str">
        <f>"3129.12"</f>
        <v>3129.12</v>
      </c>
      <c r="U2064" t="str">
        <f>"157000.00"</f>
        <v>157000.00</v>
      </c>
      <c r="V2064" t="str">
        <f>"157000.00"</f>
        <v>157000.00</v>
      </c>
      <c r="W2064" t="str">
        <f t="shared" si="776"/>
        <v>2017</v>
      </c>
      <c r="X2064" t="str">
        <f>"15.33"</f>
        <v>15.33</v>
      </c>
      <c r="Y2064" t="str">
        <f>"3254.99"</f>
        <v>3254.99</v>
      </c>
      <c r="Z2064" t="str">
        <f>""</f>
        <v/>
      </c>
      <c r="AA2064" t="str">
        <f>"157000.00"</f>
        <v>157000.00</v>
      </c>
      <c r="AB2064" t="str">
        <f t="shared" si="769"/>
        <v>Residential</v>
      </c>
      <c r="AC2064" t="str">
        <f t="shared" si="762"/>
        <v>0</v>
      </c>
      <c r="AD2064" t="str">
        <f>""</f>
        <v/>
      </c>
      <c r="AE2064" t="str">
        <f>""</f>
        <v/>
      </c>
      <c r="AF2064" t="str">
        <f>"004"</f>
        <v>004</v>
      </c>
      <c r="AG2064" t="str">
        <f>"FL"</f>
        <v>FL</v>
      </c>
      <c r="AH2064" t="str">
        <f t="shared" ref="AH2064:AI2066" si="778">"-"</f>
        <v>-</v>
      </c>
      <c r="AI2064" t="str">
        <f t="shared" si="778"/>
        <v>-</v>
      </c>
      <c r="AJ2064" t="str">
        <f>"C55-000-585-5133-4"</f>
        <v>C55-000-585-5133-4</v>
      </c>
      <c r="AK2064" t="str">
        <f>"44176"</f>
        <v>44176</v>
      </c>
      <c r="AL2064">
        <v>8</v>
      </c>
      <c r="AM2064">
        <v>2362</v>
      </c>
      <c r="AN2064">
        <v>3416.14</v>
      </c>
      <c r="AQ2064" t="s">
        <v>19989</v>
      </c>
      <c r="AR2064" t="s">
        <v>19989</v>
      </c>
      <c r="AS2064" t="s">
        <v>19989</v>
      </c>
      <c r="AU2064" t="s">
        <v>396</v>
      </c>
      <c r="AV2064">
        <v>2017</v>
      </c>
      <c r="AW2064" t="str">
        <f>"00-00-31-128R-000E-0030 "</f>
        <v xml:space="preserve">00-00-31-128R-000E-0030 </v>
      </c>
      <c r="AX2064">
        <v>2643</v>
      </c>
      <c r="AZ2064" t="s">
        <v>19990</v>
      </c>
      <c r="BA2064" t="s">
        <v>669</v>
      </c>
      <c r="BD2064" t="s">
        <v>11749</v>
      </c>
      <c r="BE2064" t="s">
        <v>393</v>
      </c>
      <c r="BF2064">
        <v>32034</v>
      </c>
      <c r="BG2064" t="s">
        <v>19991</v>
      </c>
      <c r="BH2064" t="s">
        <v>11751</v>
      </c>
      <c r="BI2064">
        <v>-81.440729863916005</v>
      </c>
      <c r="BJ2064">
        <v>30.633057349823201</v>
      </c>
      <c r="BK2064" t="s">
        <v>19992</v>
      </c>
      <c r="BM2064" t="s">
        <v>19991</v>
      </c>
      <c r="BN2064" t="s">
        <v>3983</v>
      </c>
      <c r="BO2064">
        <v>32034</v>
      </c>
      <c r="BP2064" t="s">
        <v>416</v>
      </c>
      <c r="BQ2064">
        <v>400</v>
      </c>
      <c r="BR2064" t="s">
        <v>15097</v>
      </c>
      <c r="BS2064">
        <v>1004</v>
      </c>
      <c r="BT2064" t="s">
        <v>15098</v>
      </c>
      <c r="BW2064">
        <v>437138</v>
      </c>
      <c r="BX2064" t="s">
        <v>407</v>
      </c>
      <c r="CA2064">
        <v>1983</v>
      </c>
      <c r="CC2064">
        <v>1</v>
      </c>
      <c r="CD2064">
        <v>2017</v>
      </c>
      <c r="CF2064">
        <v>157000</v>
      </c>
      <c r="CG2064">
        <v>157000</v>
      </c>
      <c r="CH2064">
        <v>2017</v>
      </c>
      <c r="CJ2064">
        <v>157000</v>
      </c>
      <c r="CK2064">
        <v>157000</v>
      </c>
      <c r="CL2064">
        <v>2017</v>
      </c>
      <c r="CM2064">
        <v>3129.12</v>
      </c>
      <c r="CN2064" s="1">
        <v>40245</v>
      </c>
      <c r="CO2064">
        <v>105000</v>
      </c>
      <c r="CV2064">
        <v>0</v>
      </c>
      <c r="CZ2064" s="1">
        <v>40245</v>
      </c>
      <c r="DA2064">
        <v>0</v>
      </c>
      <c r="DD2064" t="s">
        <v>11749</v>
      </c>
      <c r="DG2064">
        <v>6</v>
      </c>
      <c r="DJ2064" t="s">
        <v>19993</v>
      </c>
      <c r="DL2064">
        <v>50202</v>
      </c>
      <c r="DM2064" t="s">
        <v>19579</v>
      </c>
      <c r="DO2064" t="s">
        <v>19994</v>
      </c>
      <c r="DP2064">
        <v>0</v>
      </c>
      <c r="DQ2064">
        <v>0</v>
      </c>
      <c r="DR2064" t="s">
        <v>411</v>
      </c>
      <c r="DS2064" t="b">
        <v>1</v>
      </c>
      <c r="DT2064" t="s">
        <v>8902</v>
      </c>
      <c r="DV2064" t="s">
        <v>446</v>
      </c>
      <c r="DX2064">
        <v>9</v>
      </c>
      <c r="DY2064" t="s">
        <v>11438</v>
      </c>
      <c r="DZ2064" t="s">
        <v>447</v>
      </c>
      <c r="EA2064" t="s">
        <v>448</v>
      </c>
      <c r="EB2064" t="s">
        <v>19316</v>
      </c>
      <c r="EC2064">
        <v>20101217</v>
      </c>
      <c r="ED2064" t="s">
        <v>450</v>
      </c>
      <c r="EE2064">
        <v>5</v>
      </c>
      <c r="EF2064">
        <v>0</v>
      </c>
      <c r="EG2064">
        <v>0</v>
      </c>
      <c r="EI2064">
        <v>20160407</v>
      </c>
      <c r="EJ2064">
        <v>0</v>
      </c>
      <c r="EK2064">
        <v>0</v>
      </c>
      <c r="EP2064" t="s">
        <v>421</v>
      </c>
      <c r="EQ2064" t="s">
        <v>422</v>
      </c>
      <c r="ER2064">
        <v>2</v>
      </c>
      <c r="ES2064">
        <v>4</v>
      </c>
      <c r="ET2064">
        <v>6316.5</v>
      </c>
      <c r="EU2064">
        <v>328.33</v>
      </c>
      <c r="EV2064">
        <v>6644.83</v>
      </c>
      <c r="EW2064" s="2">
        <v>43222</v>
      </c>
      <c r="EX2064" s="1">
        <v>42879</v>
      </c>
      <c r="EY2064">
        <v>2016</v>
      </c>
      <c r="EZ2064">
        <v>3158.25</v>
      </c>
      <c r="FA2064" t="s">
        <v>19995</v>
      </c>
      <c r="FB2064">
        <v>0.25</v>
      </c>
      <c r="FC2064" t="s">
        <v>424</v>
      </c>
      <c r="FD2064" t="s">
        <v>454</v>
      </c>
      <c r="FF2064">
        <v>12</v>
      </c>
      <c r="FG2064">
        <v>5856194</v>
      </c>
      <c r="FH2064" t="s">
        <v>2685</v>
      </c>
      <c r="FJ2064" s="1">
        <v>42879</v>
      </c>
      <c r="FK2064">
        <v>2016</v>
      </c>
      <c r="FL2064">
        <v>3158.25</v>
      </c>
      <c r="FM2064" t="s">
        <v>19995</v>
      </c>
      <c r="FN2064">
        <v>0.25</v>
      </c>
      <c r="FO2064" t="s">
        <v>424</v>
      </c>
      <c r="FP2064" t="s">
        <v>454</v>
      </c>
      <c r="FR2064">
        <v>12</v>
      </c>
      <c r="FS2064">
        <v>6107178</v>
      </c>
      <c r="FT2064" t="s">
        <v>19996</v>
      </c>
      <c r="FV2064" s="1">
        <v>42515</v>
      </c>
      <c r="FW2064">
        <v>2015</v>
      </c>
      <c r="FX2064">
        <v>2905.03</v>
      </c>
      <c r="FY2064" t="s">
        <v>19997</v>
      </c>
      <c r="FZ2064">
        <v>0.25</v>
      </c>
      <c r="GA2064" t="s">
        <v>424</v>
      </c>
      <c r="GB2064" t="s">
        <v>425</v>
      </c>
      <c r="GC2064" s="1">
        <v>43169</v>
      </c>
      <c r="GD2064">
        <v>22</v>
      </c>
      <c r="GE2064">
        <v>2851116</v>
      </c>
      <c r="GF2064" t="s">
        <v>480</v>
      </c>
      <c r="GH2064" s="1">
        <v>42515</v>
      </c>
      <c r="GI2064">
        <v>2015</v>
      </c>
      <c r="GJ2064">
        <v>2905.03</v>
      </c>
      <c r="GK2064" t="s">
        <v>19997</v>
      </c>
      <c r="GL2064">
        <v>0.25</v>
      </c>
      <c r="GM2064" t="s">
        <v>424</v>
      </c>
      <c r="GN2064" t="s">
        <v>425</v>
      </c>
      <c r="GP2064">
        <v>22</v>
      </c>
      <c r="GQ2064">
        <v>5237974</v>
      </c>
      <c r="GR2064" t="s">
        <v>19998</v>
      </c>
      <c r="GT2064" s="1">
        <v>42151</v>
      </c>
      <c r="GU2064">
        <v>2014</v>
      </c>
      <c r="GV2064">
        <v>2925.63</v>
      </c>
      <c r="GW2064" t="s">
        <v>19999</v>
      </c>
      <c r="GX2064">
        <v>0.25</v>
      </c>
      <c r="GY2064" t="s">
        <v>424</v>
      </c>
      <c r="GZ2064" t="s">
        <v>425</v>
      </c>
      <c r="HA2064" s="1">
        <v>42794</v>
      </c>
      <c r="HB2064">
        <v>21</v>
      </c>
      <c r="HC2064">
        <v>4975594</v>
      </c>
      <c r="HD2064" t="s">
        <v>457</v>
      </c>
      <c r="HF2064" s="1">
        <v>42151</v>
      </c>
      <c r="HG2064">
        <v>2014</v>
      </c>
      <c r="HH2064">
        <v>2925.63</v>
      </c>
      <c r="HI2064" t="s">
        <v>19999</v>
      </c>
      <c r="HJ2064">
        <v>0.25</v>
      </c>
      <c r="HK2064" t="s">
        <v>424</v>
      </c>
      <c r="HL2064" t="s">
        <v>425</v>
      </c>
      <c r="HN2064">
        <v>22</v>
      </c>
      <c r="HO2064">
        <v>6352317</v>
      </c>
      <c r="HP2064" t="s">
        <v>20000</v>
      </c>
    </row>
    <row r="2065" spans="1:296" x14ac:dyDescent="0.25">
      <c r="A2065">
        <v>16487072</v>
      </c>
      <c r="B2065">
        <v>2064</v>
      </c>
      <c r="C2065" t="s">
        <v>393</v>
      </c>
      <c r="D2065" t="s">
        <v>394</v>
      </c>
      <c r="F2065" t="str">
        <f>"00-00-31-128R-000I-0020"</f>
        <v>00-00-31-128R-000I-0020</v>
      </c>
      <c r="H2065" t="str">
        <f>"HILL JOHN W &amp; KAREN Y"</f>
        <v>HILL JOHN W &amp; KAREN Y</v>
      </c>
      <c r="I2065" t="str">
        <f>"2742  FOREST RIDGE DR"</f>
        <v>2742  FOREST RIDGE DR</v>
      </c>
      <c r="J2065" t="str">
        <f>"FERNANDINA BEACH FL 32034"</f>
        <v>FERNANDINA BEACH FL 32034</v>
      </c>
      <c r="K2065" t="str">
        <f>"2742 FOREST RIDGE DR"</f>
        <v>2742 FOREST RIDGE DR</v>
      </c>
      <c r="L2065" t="str">
        <f t="shared" si="758"/>
        <v>FERNANDINA BEACH FL 32034</v>
      </c>
      <c r="M2065" t="str">
        <f>"UNIT I-2 IN OR 1004/1749 FOREST RIDGE VILLAGE OR380/237"</f>
        <v>UNIT I-2 IN OR 1004/1749 FOREST RIDGE VILLAGE OR380/237</v>
      </c>
      <c r="N2065" t="str">
        <f>""</f>
        <v/>
      </c>
      <c r="O2065" t="str">
        <f>"7001"</f>
        <v>7001</v>
      </c>
      <c r="P2065" t="str">
        <f t="shared" si="775"/>
        <v>2017</v>
      </c>
      <c r="Q2065" t="str">
        <f>""</f>
        <v/>
      </c>
      <c r="R2065" t="str">
        <f t="shared" si="777"/>
        <v>N</v>
      </c>
      <c r="S2065" t="str">
        <f>""</f>
        <v/>
      </c>
      <c r="T2065" t="str">
        <f>"2001.76"</f>
        <v>2001.76</v>
      </c>
      <c r="U2065" t="str">
        <f>"92238.00"</f>
        <v>92238.00</v>
      </c>
      <c r="V2065" t="str">
        <f>"92238.00"</f>
        <v>92238.00</v>
      </c>
      <c r="W2065" t="str">
        <f t="shared" si="776"/>
        <v>2017</v>
      </c>
      <c r="X2065" t="str">
        <f>""</f>
        <v/>
      </c>
      <c r="Y2065" t="str">
        <f>"2093.81"</f>
        <v>2093.81</v>
      </c>
      <c r="Z2065" t="str">
        <f>""</f>
        <v/>
      </c>
      <c r="AA2065" t="str">
        <f>"117000.00"</f>
        <v>117000.00</v>
      </c>
      <c r="AB2065" t="str">
        <f t="shared" si="769"/>
        <v>Residential</v>
      </c>
      <c r="AC2065" t="str">
        <f t="shared" si="762"/>
        <v>0</v>
      </c>
      <c r="AD2065" t="str">
        <f>""</f>
        <v/>
      </c>
      <c r="AE2065" t="str">
        <f>""</f>
        <v/>
      </c>
      <c r="AF2065" t="str">
        <f>"004"</f>
        <v>004</v>
      </c>
      <c r="AG2065" t="str">
        <f>"FL"</f>
        <v>FL</v>
      </c>
      <c r="AH2065" t="str">
        <f t="shared" si="778"/>
        <v>-</v>
      </c>
      <c r="AI2065" t="str">
        <f t="shared" si="778"/>
        <v>-</v>
      </c>
      <c r="AJ2065" t="str">
        <f>"C55-000-585-5154-0"</f>
        <v>C55-000-585-5154-0</v>
      </c>
      <c r="AK2065" t="str">
        <f>"44197"</f>
        <v>44197</v>
      </c>
      <c r="AL2065">
        <v>8</v>
      </c>
      <c r="AM2065">
        <v>2364</v>
      </c>
      <c r="AN2065">
        <v>2196.9</v>
      </c>
      <c r="AQ2065" t="s">
        <v>20001</v>
      </c>
      <c r="AR2065" t="s">
        <v>20001</v>
      </c>
      <c r="AS2065" t="s">
        <v>20001</v>
      </c>
      <c r="AU2065" t="s">
        <v>396</v>
      </c>
      <c r="AV2065">
        <v>2017</v>
      </c>
      <c r="AW2065" t="str">
        <f>"00-00-31-128R-000I-0020 "</f>
        <v xml:space="preserve">00-00-31-128R-000I-0020 </v>
      </c>
      <c r="AX2065">
        <v>2742</v>
      </c>
      <c r="AZ2065" t="s">
        <v>19990</v>
      </c>
      <c r="BA2065" t="s">
        <v>669</v>
      </c>
      <c r="BD2065" t="s">
        <v>11749</v>
      </c>
      <c r="BE2065" t="s">
        <v>393</v>
      </c>
      <c r="BF2065">
        <v>32034</v>
      </c>
      <c r="BG2065" t="s">
        <v>20002</v>
      </c>
      <c r="BH2065" t="s">
        <v>11751</v>
      </c>
      <c r="BI2065">
        <v>-81.440729863916005</v>
      </c>
      <c r="BJ2065">
        <v>30.633057349823201</v>
      </c>
      <c r="BK2065" t="s">
        <v>20003</v>
      </c>
      <c r="BL2065" t="s">
        <v>20004</v>
      </c>
      <c r="BM2065" t="s">
        <v>20002</v>
      </c>
      <c r="BN2065" t="s">
        <v>3983</v>
      </c>
      <c r="BO2065">
        <v>32034</v>
      </c>
      <c r="BP2065" t="s">
        <v>416</v>
      </c>
      <c r="BQ2065">
        <v>400</v>
      </c>
      <c r="BR2065" t="s">
        <v>15097</v>
      </c>
      <c r="BS2065">
        <v>1004</v>
      </c>
      <c r="BT2065" t="s">
        <v>15098</v>
      </c>
      <c r="BW2065">
        <v>437138</v>
      </c>
      <c r="BX2065" t="s">
        <v>407</v>
      </c>
      <c r="CA2065">
        <v>1983</v>
      </c>
      <c r="CC2065">
        <v>1</v>
      </c>
      <c r="CD2065">
        <v>2017</v>
      </c>
      <c r="CF2065">
        <v>117000</v>
      </c>
      <c r="CG2065">
        <v>117000</v>
      </c>
      <c r="CH2065">
        <v>2017</v>
      </c>
      <c r="CJ2065">
        <v>117000</v>
      </c>
      <c r="CK2065">
        <v>117000</v>
      </c>
      <c r="CL2065">
        <v>2017</v>
      </c>
      <c r="CM2065">
        <v>2001.76</v>
      </c>
      <c r="CN2065" s="1">
        <v>37127</v>
      </c>
      <c r="CO2065">
        <v>66000</v>
      </c>
      <c r="CV2065">
        <v>62700</v>
      </c>
      <c r="CZ2065" s="1">
        <v>37127</v>
      </c>
      <c r="DA2065">
        <v>0</v>
      </c>
      <c r="DD2065" t="s">
        <v>11749</v>
      </c>
      <c r="DG2065">
        <v>6</v>
      </c>
      <c r="DJ2065" t="s">
        <v>19993</v>
      </c>
      <c r="DL2065">
        <v>50202</v>
      </c>
      <c r="DM2065" t="s">
        <v>19579</v>
      </c>
      <c r="DO2065" t="s">
        <v>20005</v>
      </c>
      <c r="DP2065">
        <v>0</v>
      </c>
      <c r="DQ2065">
        <v>0</v>
      </c>
      <c r="DR2065" t="s">
        <v>411</v>
      </c>
    </row>
    <row r="2066" spans="1:296" x14ac:dyDescent="0.25">
      <c r="A2066">
        <v>16487073</v>
      </c>
      <c r="B2066">
        <v>2065</v>
      </c>
      <c r="C2066" t="s">
        <v>393</v>
      </c>
      <c r="D2066" t="s">
        <v>394</v>
      </c>
      <c r="F2066" t="str">
        <f>"00-00-31-128R-000L-0010"</f>
        <v>00-00-31-128R-000L-0010</v>
      </c>
      <c r="H2066" t="str">
        <f>"CROOM CONNIE"</f>
        <v>CROOM CONNIE</v>
      </c>
      <c r="I2066" t="str">
        <f>"PO BOX 912"</f>
        <v>PO BOX 912</v>
      </c>
      <c r="J2066" t="str">
        <f>"TAOS NM 87571"</f>
        <v>TAOS NM 87571</v>
      </c>
      <c r="K2066" t="str">
        <f>"2701 FOREST RIDGE DR"</f>
        <v>2701 FOREST RIDGE DR</v>
      </c>
      <c r="L2066" t="str">
        <f t="shared" si="758"/>
        <v>FERNANDINA BEACH FL 32034</v>
      </c>
      <c r="M2066" t="str">
        <f>"UNIT L-1 IN OR 1838/1161 FOREST RIDGE VILLAGE OR380/237"</f>
        <v>UNIT L-1 IN OR 1838/1161 FOREST RIDGE VILLAGE OR380/237</v>
      </c>
      <c r="N2066" t="str">
        <f>""</f>
        <v/>
      </c>
      <c r="O2066" t="str">
        <f>"7020"</f>
        <v>7020</v>
      </c>
      <c r="P2066" t="str">
        <f t="shared" si="775"/>
        <v>2017</v>
      </c>
      <c r="Q2066" t="str">
        <f>""</f>
        <v/>
      </c>
      <c r="R2066" t="str">
        <f t="shared" si="777"/>
        <v>N</v>
      </c>
      <c r="S2066" t="str">
        <f>""</f>
        <v/>
      </c>
      <c r="T2066" t="str">
        <f>"2639.64"</f>
        <v>2639.64</v>
      </c>
      <c r="U2066" t="str">
        <f>"128700.00"</f>
        <v>128700.00</v>
      </c>
      <c r="V2066" t="str">
        <f>"128700.00"</f>
        <v>128700.00</v>
      </c>
      <c r="W2066" t="str">
        <f t="shared" si="776"/>
        <v>2017</v>
      </c>
      <c r="X2066" t="str">
        <f>"3.00"</f>
        <v>3.00</v>
      </c>
      <c r="Y2066" t="str">
        <f>"2750.83"</f>
        <v>2750.83</v>
      </c>
      <c r="Z2066" t="str">
        <f>""</f>
        <v/>
      </c>
      <c r="AA2066" t="str">
        <f>"140000.00"</f>
        <v>140000.00</v>
      </c>
      <c r="AB2066" t="str">
        <f t="shared" si="769"/>
        <v>Residential</v>
      </c>
      <c r="AC2066" t="str">
        <f t="shared" si="762"/>
        <v>0</v>
      </c>
      <c r="AD2066" t="str">
        <f>""</f>
        <v/>
      </c>
      <c r="AE2066" t="str">
        <f>""</f>
        <v/>
      </c>
      <c r="AF2066" t="str">
        <f>"004"</f>
        <v>004</v>
      </c>
      <c r="AG2066" t="str">
        <f>"NM"</f>
        <v>NM</v>
      </c>
      <c r="AH2066" t="str">
        <f t="shared" si="778"/>
        <v>-</v>
      </c>
      <c r="AI2066" t="str">
        <f t="shared" si="778"/>
        <v>-</v>
      </c>
      <c r="AJ2066" t="str">
        <f>"C55-000-585-5173-0"</f>
        <v>C55-000-585-5173-0</v>
      </c>
      <c r="AK2066" t="str">
        <f>"44216"</f>
        <v>44216</v>
      </c>
      <c r="AL2066">
        <v>8</v>
      </c>
      <c r="AM2066">
        <v>2365</v>
      </c>
      <c r="AN2066">
        <v>2886.77</v>
      </c>
      <c r="AQ2066" t="s">
        <v>20006</v>
      </c>
      <c r="AR2066" t="s">
        <v>20006</v>
      </c>
      <c r="AS2066" t="s">
        <v>20006</v>
      </c>
      <c r="AU2066" t="s">
        <v>396</v>
      </c>
      <c r="AV2066">
        <v>2017</v>
      </c>
      <c r="AW2066" t="str">
        <f>"00-00-31-128R-000L-0010 "</f>
        <v xml:space="preserve">00-00-31-128R-000L-0010 </v>
      </c>
      <c r="AX2066">
        <v>2701</v>
      </c>
      <c r="AZ2066" t="s">
        <v>19990</v>
      </c>
      <c r="BA2066" t="s">
        <v>669</v>
      </c>
      <c r="BD2066" t="s">
        <v>11749</v>
      </c>
      <c r="BE2066" t="s">
        <v>393</v>
      </c>
      <c r="BF2066">
        <v>32034</v>
      </c>
      <c r="BG2066" t="s">
        <v>20007</v>
      </c>
      <c r="BH2066" t="s">
        <v>11751</v>
      </c>
      <c r="BI2066">
        <v>-81.440729863916005</v>
      </c>
      <c r="BJ2066">
        <v>30.633057349823201</v>
      </c>
      <c r="BK2066" t="s">
        <v>20008</v>
      </c>
      <c r="BM2066" t="s">
        <v>20009</v>
      </c>
      <c r="BN2066" t="s">
        <v>20010</v>
      </c>
      <c r="BO2066">
        <v>87571</v>
      </c>
      <c r="BP2066" t="s">
        <v>404</v>
      </c>
      <c r="BQ2066">
        <v>400</v>
      </c>
      <c r="BR2066" t="s">
        <v>15097</v>
      </c>
      <c r="BS2066">
        <v>1004</v>
      </c>
      <c r="BT2066" t="s">
        <v>15098</v>
      </c>
      <c r="BW2066">
        <v>437138</v>
      </c>
      <c r="BX2066" t="s">
        <v>407</v>
      </c>
      <c r="CA2066">
        <v>1983</v>
      </c>
      <c r="CC2066">
        <v>1</v>
      </c>
      <c r="CD2066">
        <v>2017</v>
      </c>
      <c r="CF2066">
        <v>140000</v>
      </c>
      <c r="CG2066">
        <v>140000</v>
      </c>
      <c r="CH2066">
        <v>2017</v>
      </c>
      <c r="CJ2066">
        <v>140000</v>
      </c>
      <c r="CK2066">
        <v>140000</v>
      </c>
      <c r="CL2066">
        <v>2017</v>
      </c>
      <c r="CM2066">
        <v>2639.64</v>
      </c>
      <c r="CN2066" s="1">
        <v>41310</v>
      </c>
      <c r="CO2066">
        <v>100000</v>
      </c>
      <c r="CV2066">
        <v>0</v>
      </c>
      <c r="CZ2066" s="1">
        <v>41310</v>
      </c>
      <c r="DA2066">
        <v>0</v>
      </c>
      <c r="DD2066" t="s">
        <v>11749</v>
      </c>
      <c r="DG2066">
        <v>6</v>
      </c>
      <c r="DJ2066" t="s">
        <v>19993</v>
      </c>
      <c r="DL2066">
        <v>50202</v>
      </c>
      <c r="DM2066" t="s">
        <v>19579</v>
      </c>
      <c r="DO2066" t="s">
        <v>20011</v>
      </c>
      <c r="DP2066">
        <v>0</v>
      </c>
      <c r="DQ2066">
        <v>0</v>
      </c>
      <c r="DR2066" t="s">
        <v>411</v>
      </c>
      <c r="DS2066" t="b">
        <v>1</v>
      </c>
      <c r="DT2066" t="s">
        <v>8902</v>
      </c>
      <c r="DV2066" t="s">
        <v>446</v>
      </c>
      <c r="DX2066">
        <v>9</v>
      </c>
      <c r="DY2066" t="s">
        <v>11438</v>
      </c>
      <c r="DZ2066" t="s">
        <v>447</v>
      </c>
      <c r="EA2066" t="s">
        <v>448</v>
      </c>
      <c r="EB2066" t="s">
        <v>19316</v>
      </c>
      <c r="EC2066">
        <v>20101217</v>
      </c>
      <c r="ED2066" t="s">
        <v>450</v>
      </c>
      <c r="EE2066">
        <v>5</v>
      </c>
      <c r="EF2066">
        <v>0</v>
      </c>
      <c r="EG2066">
        <v>0</v>
      </c>
      <c r="EH2066" t="s">
        <v>451</v>
      </c>
      <c r="EI2066">
        <v>20140731</v>
      </c>
      <c r="EJ2066">
        <v>0</v>
      </c>
      <c r="EK2066">
        <v>0</v>
      </c>
      <c r="EP2066" t="s">
        <v>421</v>
      </c>
      <c r="EQ2066" t="s">
        <v>422</v>
      </c>
      <c r="ER2066">
        <v>0</v>
      </c>
      <c r="ES2066">
        <v>2</v>
      </c>
      <c r="ET2066">
        <v>0</v>
      </c>
      <c r="EU2066">
        <v>0</v>
      </c>
      <c r="EV2066">
        <v>0</v>
      </c>
      <c r="EW2066" s="2">
        <v>43222</v>
      </c>
      <c r="EX2066" s="1">
        <v>42151</v>
      </c>
      <c r="EY2066">
        <v>2014</v>
      </c>
      <c r="EZ2066">
        <v>2255.56</v>
      </c>
      <c r="FA2066" t="s">
        <v>20012</v>
      </c>
      <c r="FB2066">
        <v>0.25</v>
      </c>
      <c r="FC2066" t="s">
        <v>424</v>
      </c>
      <c r="FD2066" t="s">
        <v>425</v>
      </c>
      <c r="FE2066" s="1">
        <v>42233</v>
      </c>
      <c r="FF2066">
        <v>3</v>
      </c>
      <c r="FG2066">
        <v>15259</v>
      </c>
      <c r="FH2066" t="s">
        <v>891</v>
      </c>
      <c r="FJ2066" s="1">
        <v>42151</v>
      </c>
      <c r="FK2066">
        <v>2014</v>
      </c>
      <c r="FL2066">
        <v>2255.56</v>
      </c>
      <c r="FM2066" t="s">
        <v>20012</v>
      </c>
      <c r="FN2066">
        <v>0.25</v>
      </c>
      <c r="FO2066" t="s">
        <v>424</v>
      </c>
      <c r="FP2066" t="s">
        <v>425</v>
      </c>
      <c r="FR2066">
        <v>22</v>
      </c>
      <c r="FS2066">
        <v>6999668</v>
      </c>
      <c r="FT2066" t="s">
        <v>20013</v>
      </c>
    </row>
    <row r="2067" spans="1:296" x14ac:dyDescent="0.25">
      <c r="A2067">
        <v>16487074</v>
      </c>
      <c r="B2067">
        <v>2066</v>
      </c>
      <c r="C2067" t="s">
        <v>393</v>
      </c>
      <c r="D2067" t="s">
        <v>394</v>
      </c>
      <c r="F2067" t="str">
        <f>"00-00-31-134A-0084-0000"</f>
        <v>00-00-31-134A-0084-0000</v>
      </c>
      <c r="H2067" t="str">
        <f>"ROBINSON ANTONIO Y"</f>
        <v>ROBINSON ANTONIO Y</v>
      </c>
      <c r="I2067" t="str">
        <f>"999 E BASSE ROAD STE 180 101"</f>
        <v>999 E BASSE ROAD STE 180 101</v>
      </c>
      <c r="J2067" t="str">
        <f>"SAN ANTONIO TX 78209"</f>
        <v>SAN ANTONIO TX 78209</v>
      </c>
      <c r="K2067" t="str">
        <f>"729 OCEAN AV"</f>
        <v>729 OCEAN AV</v>
      </c>
      <c r="L2067" t="str">
        <f t="shared" ref="L2067:L2130" si="779">"FERNANDINA BEACH FL 32034"</f>
        <v>FERNANDINA BEACH FL 32034</v>
      </c>
      <c r="M2067" t="str">
        <f>"LOTS 84 &amp; 155 IN OR 1789/1077 GA FDNA BEACH SUB 1 PB 2/35 GA FDNA BEACH SUB 3"</f>
        <v>LOTS 84 &amp; 155 IN OR 1789/1077 GA FDNA BEACH SUB 1 PB 2/35 GA FDNA BEACH SUB 3</v>
      </c>
      <c r="N2067" t="str">
        <f>""</f>
        <v/>
      </c>
      <c r="O2067" t="str">
        <f>"7139"</f>
        <v>7139</v>
      </c>
      <c r="P2067" t="str">
        <f t="shared" si="775"/>
        <v>2017</v>
      </c>
      <c r="Q2067" t="str">
        <f>""</f>
        <v/>
      </c>
      <c r="R2067" t="str">
        <f t="shared" si="777"/>
        <v>N</v>
      </c>
      <c r="S2067" t="str">
        <f>""</f>
        <v/>
      </c>
      <c r="T2067" t="str">
        <f>"8413.79"</f>
        <v>8413.79</v>
      </c>
      <c r="U2067" t="str">
        <f>"396000.00"</f>
        <v>396000.00</v>
      </c>
      <c r="V2067" t="str">
        <f>"396000.00"</f>
        <v>396000.00</v>
      </c>
      <c r="W2067" t="str">
        <f t="shared" si="776"/>
        <v>2017</v>
      </c>
      <c r="X2067" t="str">
        <f>"17.00"</f>
        <v>17.00</v>
      </c>
      <c r="Y2067" t="str">
        <f>"8698.20"</f>
        <v>8698.20</v>
      </c>
      <c r="Z2067" t="str">
        <f>""</f>
        <v/>
      </c>
      <c r="AA2067" t="str">
        <f>"475000.00"</f>
        <v>475000.00</v>
      </c>
      <c r="AB2067" t="str">
        <f t="shared" ref="AB2067:AB2098" si="780">"Residential"</f>
        <v>Residential</v>
      </c>
      <c r="AC2067" t="str">
        <f t="shared" si="762"/>
        <v>0</v>
      </c>
      <c r="AD2067" t="str">
        <f>""</f>
        <v/>
      </c>
      <c r="AE2067" t="str">
        <f>""</f>
        <v/>
      </c>
      <c r="AF2067" t="str">
        <f>"000"</f>
        <v>000</v>
      </c>
      <c r="AG2067" t="str">
        <f>"TX"</f>
        <v>TX</v>
      </c>
      <c r="AH2067" t="str">
        <f>"10000.00"</f>
        <v>10000.00</v>
      </c>
      <c r="AI2067" t="str">
        <f>"475000.00"</f>
        <v>475000.00</v>
      </c>
      <c r="AJ2067" t="str">
        <f>"C55-000-585-5283-7"</f>
        <v>C55-000-585-5283-7</v>
      </c>
      <c r="AK2067" t="str">
        <f>"44328"</f>
        <v>44328</v>
      </c>
      <c r="AL2067">
        <v>8</v>
      </c>
      <c r="AM2067">
        <v>2366</v>
      </c>
      <c r="AN2067">
        <v>9131.51</v>
      </c>
      <c r="AQ2067" t="s">
        <v>20014</v>
      </c>
      <c r="AR2067" t="s">
        <v>20014</v>
      </c>
      <c r="AS2067" t="s">
        <v>20014</v>
      </c>
      <c r="AU2067" t="s">
        <v>396</v>
      </c>
      <c r="AV2067">
        <v>2017</v>
      </c>
      <c r="AW2067" t="str">
        <f>"00-00-31-134A-0084-0000 "</f>
        <v xml:space="preserve">00-00-31-134A-0084-0000 </v>
      </c>
      <c r="AX2067">
        <v>729</v>
      </c>
      <c r="AZ2067" t="s">
        <v>20015</v>
      </c>
      <c r="BA2067" t="s">
        <v>1122</v>
      </c>
      <c r="BD2067" t="s">
        <v>11749</v>
      </c>
      <c r="BE2067" t="s">
        <v>393</v>
      </c>
      <c r="BF2067">
        <v>32034</v>
      </c>
      <c r="BG2067" t="s">
        <v>20016</v>
      </c>
      <c r="BH2067" t="s">
        <v>11751</v>
      </c>
      <c r="BI2067">
        <v>-81.429968247447107</v>
      </c>
      <c r="BJ2067">
        <v>30.6762379217793</v>
      </c>
      <c r="BK2067" t="s">
        <v>20017</v>
      </c>
      <c r="BL2067" t="s">
        <v>20018</v>
      </c>
      <c r="BM2067" t="s">
        <v>20019</v>
      </c>
      <c r="BN2067" t="s">
        <v>20020</v>
      </c>
      <c r="BO2067">
        <v>30135</v>
      </c>
      <c r="BP2067" t="s">
        <v>404</v>
      </c>
      <c r="BQ2067">
        <v>0</v>
      </c>
      <c r="BR2067" t="s">
        <v>491</v>
      </c>
      <c r="BS2067">
        <v>8001</v>
      </c>
      <c r="BT2067" t="s">
        <v>492</v>
      </c>
      <c r="BW2067">
        <v>9997</v>
      </c>
      <c r="BX2067" t="s">
        <v>407</v>
      </c>
      <c r="BY2067" t="s">
        <v>18253</v>
      </c>
      <c r="CD2067">
        <v>2017</v>
      </c>
      <c r="CE2067">
        <v>475000</v>
      </c>
      <c r="CG2067">
        <v>475000</v>
      </c>
      <c r="CH2067">
        <v>2017</v>
      </c>
      <c r="CI2067">
        <v>475000</v>
      </c>
      <c r="CK2067">
        <v>475000</v>
      </c>
      <c r="CL2067">
        <v>2017</v>
      </c>
      <c r="CM2067">
        <v>8413.7900000000009</v>
      </c>
      <c r="CN2067" s="1">
        <v>41022</v>
      </c>
      <c r="CO2067">
        <v>330000</v>
      </c>
      <c r="CV2067">
        <v>0</v>
      </c>
      <c r="CZ2067" s="1">
        <v>41022</v>
      </c>
      <c r="DA2067">
        <v>0</v>
      </c>
      <c r="DD2067" t="s">
        <v>11749</v>
      </c>
      <c r="DG2067">
        <v>12</v>
      </c>
      <c r="DJ2067" t="s">
        <v>20021</v>
      </c>
      <c r="DL2067">
        <v>50102</v>
      </c>
      <c r="DM2067" t="s">
        <v>19686</v>
      </c>
      <c r="DO2067" t="s">
        <v>20022</v>
      </c>
      <c r="DP2067">
        <v>0</v>
      </c>
      <c r="DQ2067">
        <v>0</v>
      </c>
      <c r="DR2067" t="s">
        <v>411</v>
      </c>
      <c r="DS2067" t="b">
        <v>1</v>
      </c>
      <c r="DT2067" t="s">
        <v>8902</v>
      </c>
      <c r="DV2067" t="s">
        <v>446</v>
      </c>
      <c r="DX2067">
        <v>9</v>
      </c>
      <c r="DY2067" t="s">
        <v>11438</v>
      </c>
      <c r="DZ2067" t="s">
        <v>447</v>
      </c>
      <c r="EA2067" t="s">
        <v>448</v>
      </c>
      <c r="EB2067" t="s">
        <v>19316</v>
      </c>
      <c r="EC2067">
        <v>20101217</v>
      </c>
      <c r="ED2067" t="s">
        <v>450</v>
      </c>
      <c r="EE2067">
        <v>5</v>
      </c>
      <c r="EF2067">
        <v>0</v>
      </c>
      <c r="EG2067">
        <v>0</v>
      </c>
      <c r="EI2067">
        <v>20160407</v>
      </c>
      <c r="EJ2067">
        <v>0</v>
      </c>
      <c r="EK2067">
        <v>0</v>
      </c>
      <c r="EP2067" t="s">
        <v>421</v>
      </c>
      <c r="EQ2067" t="s">
        <v>452</v>
      </c>
      <c r="ER2067">
        <v>0</v>
      </c>
      <c r="ES2067">
        <v>4</v>
      </c>
      <c r="ET2067">
        <v>0</v>
      </c>
      <c r="EU2067">
        <v>0</v>
      </c>
      <c r="EV2067">
        <v>0</v>
      </c>
      <c r="EW2067" s="2">
        <v>43222</v>
      </c>
      <c r="EX2067" s="1">
        <v>42515</v>
      </c>
      <c r="EY2067">
        <v>2015</v>
      </c>
      <c r="EZ2067">
        <v>7340.46</v>
      </c>
      <c r="FA2067" t="s">
        <v>20023</v>
      </c>
      <c r="FB2067">
        <v>0.25</v>
      </c>
      <c r="FC2067" t="s">
        <v>424</v>
      </c>
      <c r="FD2067" t="s">
        <v>425</v>
      </c>
      <c r="FE2067" s="1">
        <v>42849</v>
      </c>
      <c r="FF2067">
        <v>11</v>
      </c>
      <c r="FG2067">
        <v>7045074</v>
      </c>
      <c r="FH2067" t="s">
        <v>580</v>
      </c>
      <c r="FI2067" t="s">
        <v>458</v>
      </c>
      <c r="FJ2067" s="1">
        <v>42515</v>
      </c>
      <c r="FK2067">
        <v>2015</v>
      </c>
      <c r="FL2067">
        <v>7340.46</v>
      </c>
      <c r="FM2067" t="s">
        <v>20023</v>
      </c>
      <c r="FN2067">
        <v>0.25</v>
      </c>
      <c r="FO2067" t="s">
        <v>424</v>
      </c>
      <c r="FP2067" t="s">
        <v>425</v>
      </c>
      <c r="FR2067">
        <v>22</v>
      </c>
      <c r="FS2067">
        <v>6198607</v>
      </c>
      <c r="FT2067" t="s">
        <v>20024</v>
      </c>
      <c r="FU2067" t="s">
        <v>458</v>
      </c>
      <c r="FV2067" s="1">
        <v>42151</v>
      </c>
      <c r="FW2067">
        <v>2014</v>
      </c>
      <c r="FX2067">
        <v>7147.04</v>
      </c>
      <c r="FY2067" t="s">
        <v>20025</v>
      </c>
      <c r="FZ2067">
        <v>0.25</v>
      </c>
      <c r="GA2067" t="s">
        <v>424</v>
      </c>
      <c r="GB2067" t="s">
        <v>425</v>
      </c>
      <c r="GD2067">
        <v>22</v>
      </c>
      <c r="GE2067">
        <v>4844983</v>
      </c>
      <c r="GF2067" t="s">
        <v>3901</v>
      </c>
      <c r="GG2067" t="s">
        <v>458</v>
      </c>
      <c r="GH2067" s="1">
        <v>42151</v>
      </c>
      <c r="GI2067">
        <v>2014</v>
      </c>
      <c r="GJ2067">
        <v>7147.04</v>
      </c>
      <c r="GK2067" t="s">
        <v>20025</v>
      </c>
      <c r="GL2067">
        <v>0.25</v>
      </c>
      <c r="GM2067" t="s">
        <v>424</v>
      </c>
      <c r="GN2067" t="s">
        <v>425</v>
      </c>
      <c r="GP2067">
        <v>22</v>
      </c>
      <c r="GQ2067">
        <v>6157201</v>
      </c>
      <c r="GR2067" t="s">
        <v>20026</v>
      </c>
      <c r="GS2067" t="s">
        <v>458</v>
      </c>
    </row>
    <row r="2068" spans="1:296" x14ac:dyDescent="0.25">
      <c r="A2068">
        <v>16487075</v>
      </c>
      <c r="B2068">
        <v>2067</v>
      </c>
      <c r="C2068" t="s">
        <v>393</v>
      </c>
      <c r="D2068" t="s">
        <v>394</v>
      </c>
      <c r="F2068" t="str">
        <f>"00-00-31-134A-0094-0000"</f>
        <v>00-00-31-134A-0094-0000</v>
      </c>
      <c r="H2068" t="str">
        <f>"FISHER GREGORY A"</f>
        <v>FISHER GREGORY A</v>
      </c>
      <c r="I2068" t="str">
        <f>"625 OCEAN AVE"</f>
        <v>625 OCEAN AVE</v>
      </c>
      <c r="J2068" t="str">
        <f>"FERNANDINA BEACH FL 32034"</f>
        <v>FERNANDINA BEACH FL 32034</v>
      </c>
      <c r="K2068" t="str">
        <f>"625 OCEAN AVE"</f>
        <v>625 OCEAN AVE</v>
      </c>
      <c r="L2068" t="str">
        <f t="shared" si="779"/>
        <v>FERNANDINA BEACH FL 32034</v>
      </c>
      <c r="M2068" t="str">
        <f>"LOT 94 IN OR 1459/1007 GA FDNA BEACH SUB PB 2/35"</f>
        <v>LOT 94 IN OR 1459/1007 GA FDNA BEACH SUB PB 2/35</v>
      </c>
      <c r="N2068" t="str">
        <f>""</f>
        <v/>
      </c>
      <c r="O2068" t="str">
        <f>"7149"</f>
        <v>7149</v>
      </c>
      <c r="P2068" t="str">
        <f t="shared" si="775"/>
        <v>2017</v>
      </c>
      <c r="Q2068" t="str">
        <f>""</f>
        <v/>
      </c>
      <c r="R2068" t="str">
        <f>"Y"</f>
        <v>Y</v>
      </c>
      <c r="S2068" t="str">
        <f>""</f>
        <v/>
      </c>
      <c r="T2068" t="str">
        <f>"9355.21"</f>
        <v>9355.21</v>
      </c>
      <c r="U2068" t="str">
        <f>"511110.00"</f>
        <v>511110.00</v>
      </c>
      <c r="V2068" t="str">
        <f>"511110.00"</f>
        <v>511110.00</v>
      </c>
      <c r="W2068" t="str">
        <f t="shared" si="776"/>
        <v>2017</v>
      </c>
      <c r="X2068" t="str">
        <f>"2.00"</f>
        <v>2.00</v>
      </c>
      <c r="Y2068" t="str">
        <f>"9667.87"</f>
        <v>9667.87</v>
      </c>
      <c r="Z2068" t="str">
        <f>"25000.00"</f>
        <v>25000.00</v>
      </c>
      <c r="AA2068" t="str">
        <f>"486110.00"</f>
        <v>486110.00</v>
      </c>
      <c r="AB2068" t="str">
        <f t="shared" si="780"/>
        <v>Residential</v>
      </c>
      <c r="AC2068" t="str">
        <f t="shared" si="762"/>
        <v>0</v>
      </c>
      <c r="AD2068" t="str">
        <f>"2"</f>
        <v>2</v>
      </c>
      <c r="AE2068" t="str">
        <f>"REINFORCED CONCRETE"</f>
        <v>REINFORCED CONCRETE</v>
      </c>
      <c r="AF2068" t="str">
        <f>"001"</f>
        <v>001</v>
      </c>
      <c r="AG2068" t="str">
        <f>"FL"</f>
        <v>FL</v>
      </c>
      <c r="AH2068" t="str">
        <f>"5000.00"</f>
        <v>5000.00</v>
      </c>
      <c r="AI2068" t="str">
        <f>"365000.00"</f>
        <v>365000.00</v>
      </c>
      <c r="AJ2068" t="str">
        <f>"C55-000-585-5292-8"</f>
        <v>C55-000-585-5292-8</v>
      </c>
      <c r="AK2068" t="str">
        <f>"44338"</f>
        <v>44338</v>
      </c>
      <c r="AL2068">
        <v>8</v>
      </c>
      <c r="AM2068">
        <v>2367</v>
      </c>
      <c r="AN2068">
        <v>10149.66</v>
      </c>
      <c r="AQ2068" t="s">
        <v>20027</v>
      </c>
      <c r="AR2068" t="s">
        <v>20027</v>
      </c>
      <c r="AS2068" t="s">
        <v>20027</v>
      </c>
      <c r="AU2068" t="s">
        <v>396</v>
      </c>
      <c r="AV2068">
        <v>2017</v>
      </c>
      <c r="AW2068" t="str">
        <f>"00-00-31-134A-0094-0000 "</f>
        <v xml:space="preserve">00-00-31-134A-0094-0000 </v>
      </c>
      <c r="AX2068">
        <v>625</v>
      </c>
      <c r="AZ2068" t="s">
        <v>20015</v>
      </c>
      <c r="BA2068" t="s">
        <v>1112</v>
      </c>
      <c r="BD2068" t="s">
        <v>11749</v>
      </c>
      <c r="BE2068" t="s">
        <v>393</v>
      </c>
      <c r="BF2068">
        <v>32034</v>
      </c>
      <c r="BG2068" t="s">
        <v>20028</v>
      </c>
      <c r="BH2068" t="s">
        <v>11751</v>
      </c>
      <c r="BI2068">
        <v>-81.430045145426007</v>
      </c>
      <c r="BJ2068">
        <v>30.674621569894899</v>
      </c>
      <c r="BK2068" t="s">
        <v>20029</v>
      </c>
      <c r="BM2068" t="s">
        <v>20028</v>
      </c>
      <c r="BN2068" t="s">
        <v>3983</v>
      </c>
      <c r="BO2068">
        <v>32034</v>
      </c>
      <c r="BP2068" t="s">
        <v>416</v>
      </c>
      <c r="BQ2068">
        <v>100</v>
      </c>
      <c r="BR2068" t="s">
        <v>514</v>
      </c>
      <c r="BS2068">
        <v>1001</v>
      </c>
      <c r="BT2068" t="s">
        <v>515</v>
      </c>
      <c r="BU2068">
        <v>500</v>
      </c>
      <c r="BV2068">
        <v>1000</v>
      </c>
      <c r="BW2068">
        <v>5001</v>
      </c>
      <c r="BX2068" t="s">
        <v>407</v>
      </c>
      <c r="BY2068" t="s">
        <v>18253</v>
      </c>
      <c r="BZ2068">
        <v>2</v>
      </c>
      <c r="CA2068">
        <v>2006</v>
      </c>
      <c r="CB2068">
        <v>2.5</v>
      </c>
      <c r="CC2068">
        <v>1</v>
      </c>
      <c r="CD2068">
        <v>2017</v>
      </c>
      <c r="CG2068">
        <v>511110</v>
      </c>
      <c r="CH2068">
        <v>2017</v>
      </c>
      <c r="CI2068">
        <v>365000</v>
      </c>
      <c r="CJ2068">
        <v>326118</v>
      </c>
      <c r="CK2068">
        <v>691118</v>
      </c>
      <c r="CL2068">
        <v>2017</v>
      </c>
      <c r="CM2068">
        <v>9355.2099999999991</v>
      </c>
      <c r="CN2068" s="1">
        <v>39036</v>
      </c>
      <c r="CO2068">
        <v>63700</v>
      </c>
      <c r="CZ2068" s="1">
        <v>39036</v>
      </c>
      <c r="DD2068" t="s">
        <v>11749</v>
      </c>
      <c r="DF2068">
        <v>94</v>
      </c>
      <c r="DG2068">
        <v>12</v>
      </c>
      <c r="DJ2068" t="s">
        <v>20030</v>
      </c>
      <c r="DL2068">
        <v>50102</v>
      </c>
      <c r="DM2068" t="s">
        <v>19686</v>
      </c>
      <c r="DO2068" t="s">
        <v>20031</v>
      </c>
      <c r="DP2068">
        <v>0</v>
      </c>
      <c r="DQ2068">
        <v>0</v>
      </c>
      <c r="DR2068" t="s">
        <v>411</v>
      </c>
      <c r="DS2068" t="b">
        <v>1</v>
      </c>
      <c r="DT2068" t="s">
        <v>8902</v>
      </c>
      <c r="DV2068" t="s">
        <v>446</v>
      </c>
      <c r="DX2068">
        <v>9</v>
      </c>
      <c r="DY2068" t="s">
        <v>11438</v>
      </c>
      <c r="DZ2068" t="s">
        <v>447</v>
      </c>
      <c r="EA2068" t="s">
        <v>448</v>
      </c>
      <c r="EB2068" t="s">
        <v>19316</v>
      </c>
      <c r="EC2068">
        <v>20101217</v>
      </c>
      <c r="ED2068" t="s">
        <v>450</v>
      </c>
      <c r="EE2068">
        <v>5</v>
      </c>
      <c r="EF2068">
        <v>0</v>
      </c>
      <c r="EG2068">
        <v>0</v>
      </c>
      <c r="EI2068">
        <v>20160407</v>
      </c>
      <c r="EJ2068">
        <v>0</v>
      </c>
      <c r="EK2068">
        <v>0</v>
      </c>
      <c r="EP2068" t="s">
        <v>421</v>
      </c>
      <c r="EQ2068" t="s">
        <v>422</v>
      </c>
      <c r="ER2068">
        <v>0</v>
      </c>
      <c r="ES2068">
        <v>3</v>
      </c>
      <c r="ET2068">
        <v>0</v>
      </c>
      <c r="EU2068">
        <v>0</v>
      </c>
      <c r="EV2068">
        <v>0</v>
      </c>
      <c r="EW2068" s="2">
        <v>43222</v>
      </c>
      <c r="EX2068" s="1">
        <v>42515</v>
      </c>
      <c r="EY2068">
        <v>2015</v>
      </c>
      <c r="EZ2068">
        <v>10131.18</v>
      </c>
      <c r="FA2068" t="s">
        <v>20032</v>
      </c>
      <c r="FB2068">
        <v>0.25</v>
      </c>
      <c r="FC2068" t="s">
        <v>424</v>
      </c>
      <c r="FD2068" t="s">
        <v>425</v>
      </c>
      <c r="FE2068" s="1">
        <v>42557</v>
      </c>
      <c r="FF2068">
        <v>2</v>
      </c>
      <c r="FG2068">
        <v>11289</v>
      </c>
      <c r="FH2068" t="s">
        <v>787</v>
      </c>
      <c r="FJ2068" s="1">
        <v>42515</v>
      </c>
      <c r="FK2068">
        <v>2015</v>
      </c>
      <c r="FL2068">
        <v>10131.18</v>
      </c>
      <c r="FM2068" t="s">
        <v>20032</v>
      </c>
      <c r="FN2068">
        <v>0.25</v>
      </c>
      <c r="FO2068" t="s">
        <v>424</v>
      </c>
      <c r="FP2068" t="s">
        <v>425</v>
      </c>
      <c r="FR2068">
        <v>22</v>
      </c>
      <c r="FS2068">
        <v>7238305</v>
      </c>
      <c r="FT2068" t="s">
        <v>20033</v>
      </c>
      <c r="FV2068" s="1">
        <v>41423</v>
      </c>
      <c r="FW2068">
        <v>2012</v>
      </c>
      <c r="FX2068">
        <v>10150.01</v>
      </c>
      <c r="FY2068" t="s">
        <v>20034</v>
      </c>
      <c r="FZ2068">
        <v>0.25</v>
      </c>
      <c r="GA2068" t="s">
        <v>424</v>
      </c>
      <c r="GB2068" t="s">
        <v>425</v>
      </c>
      <c r="GC2068" s="1">
        <v>41437</v>
      </c>
      <c r="GD2068">
        <v>1</v>
      </c>
      <c r="GE2068">
        <v>2101382</v>
      </c>
      <c r="GF2068" t="s">
        <v>993</v>
      </c>
    </row>
    <row r="2069" spans="1:296" x14ac:dyDescent="0.25">
      <c r="A2069">
        <v>16487076</v>
      </c>
      <c r="B2069">
        <v>2068</v>
      </c>
      <c r="C2069" t="s">
        <v>393</v>
      </c>
      <c r="D2069" t="s">
        <v>394</v>
      </c>
      <c r="F2069" t="str">
        <f>"00-00-31-134B-0145-0000"</f>
        <v>00-00-31-134B-0145-0000</v>
      </c>
      <c r="H2069" t="str">
        <f>"FISHER GREGORY A"</f>
        <v>FISHER GREGORY A</v>
      </c>
      <c r="I2069" t="str">
        <f>"625 OCEAN AV"</f>
        <v>625 OCEAN AV</v>
      </c>
      <c r="J2069" t="str">
        <f>"FERNANDINA BEACH FL 32034"</f>
        <v>FERNANDINA BEACH FL 32034</v>
      </c>
      <c r="K2069" t="str">
        <f>"626 N FLETCHER AV"</f>
        <v>626 N FLETCHER AV</v>
      </c>
      <c r="L2069" t="str">
        <f t="shared" si="779"/>
        <v>FERNANDINA BEACH FL 32034</v>
      </c>
      <c r="M2069" t="str">
        <f>"LOT 145 IN OR 1542/500 GA FDNA BEACH 2 UNR"</f>
        <v>LOT 145 IN OR 1542/500 GA FDNA BEACH 2 UNR</v>
      </c>
      <c r="N2069" t="str">
        <f>""</f>
        <v/>
      </c>
      <c r="O2069" t="str">
        <f>"7200"</f>
        <v>7200</v>
      </c>
      <c r="P2069" t="str">
        <f t="shared" si="775"/>
        <v>2017</v>
      </c>
      <c r="Q2069" t="str">
        <f>""</f>
        <v/>
      </c>
      <c r="R2069" t="str">
        <f>"N"</f>
        <v>N</v>
      </c>
      <c r="S2069" t="str">
        <f>""</f>
        <v/>
      </c>
      <c r="T2069" t="str">
        <f>"2822.92"</f>
        <v>2822.92</v>
      </c>
      <c r="U2069" t="str">
        <f>"130075.00"</f>
        <v>130075.00</v>
      </c>
      <c r="V2069" t="str">
        <f>"130075.00"</f>
        <v>130075.00</v>
      </c>
      <c r="W2069" t="str">
        <f t="shared" si="776"/>
        <v>2017</v>
      </c>
      <c r="X2069" t="str">
        <f>"21.22"</f>
        <v>21.22</v>
      </c>
      <c r="Y2069" t="str">
        <f>"2939.61"</f>
        <v>2939.61</v>
      </c>
      <c r="Z2069" t="str">
        <f>""</f>
        <v/>
      </c>
      <c r="AA2069" t="str">
        <f>"165000.00"</f>
        <v>165000.00</v>
      </c>
      <c r="AB2069" t="str">
        <f t="shared" si="780"/>
        <v>Residential</v>
      </c>
      <c r="AC2069" t="str">
        <f t="shared" si="762"/>
        <v>0</v>
      </c>
      <c r="AD2069" t="str">
        <f>""</f>
        <v/>
      </c>
      <c r="AE2069" t="str">
        <f>""</f>
        <v/>
      </c>
      <c r="AF2069" t="str">
        <f>"000"</f>
        <v>000</v>
      </c>
      <c r="AG2069" t="str">
        <f>"FL"</f>
        <v>FL</v>
      </c>
      <c r="AH2069" t="str">
        <f>"5000.00"</f>
        <v>5000.00</v>
      </c>
      <c r="AI2069" t="str">
        <f>"165000.00"</f>
        <v>165000.00</v>
      </c>
      <c r="AJ2069" t="str">
        <f>"C55-000-585-5339-7"</f>
        <v>C55-000-585-5339-7</v>
      </c>
      <c r="AK2069" t="str">
        <f>"44384"</f>
        <v>44384</v>
      </c>
      <c r="AL2069">
        <v>8</v>
      </c>
      <c r="AM2069">
        <v>2369</v>
      </c>
      <c r="AN2069">
        <v>3084.99</v>
      </c>
      <c r="AQ2069" t="s">
        <v>20035</v>
      </c>
      <c r="AR2069" t="s">
        <v>20035</v>
      </c>
      <c r="AS2069" t="s">
        <v>20035</v>
      </c>
      <c r="AU2069" t="s">
        <v>396</v>
      </c>
      <c r="AV2069">
        <v>2017</v>
      </c>
      <c r="AW2069" t="str">
        <f>"00-00-31-134B-0145-0000 "</f>
        <v xml:space="preserve">00-00-31-134B-0145-0000 </v>
      </c>
      <c r="AX2069">
        <v>626</v>
      </c>
      <c r="AY2069" t="s">
        <v>404</v>
      </c>
      <c r="AZ2069" t="s">
        <v>18248</v>
      </c>
      <c r="BA2069" t="s">
        <v>1122</v>
      </c>
      <c r="BD2069" t="s">
        <v>11749</v>
      </c>
      <c r="BE2069" t="s">
        <v>393</v>
      </c>
      <c r="BF2069">
        <v>32034</v>
      </c>
      <c r="BG2069" t="s">
        <v>20036</v>
      </c>
      <c r="BH2069" t="s">
        <v>11751</v>
      </c>
      <c r="BI2069">
        <v>-81.430360853230596</v>
      </c>
      <c r="BJ2069">
        <v>30.674655360100001</v>
      </c>
      <c r="BK2069" t="s">
        <v>20029</v>
      </c>
      <c r="BM2069" t="s">
        <v>20028</v>
      </c>
      <c r="BN2069" t="s">
        <v>3983</v>
      </c>
      <c r="BO2069">
        <v>32034</v>
      </c>
      <c r="BP2069" t="s">
        <v>404</v>
      </c>
      <c r="BQ2069">
        <v>0</v>
      </c>
      <c r="BR2069" t="s">
        <v>491</v>
      </c>
      <c r="BS2069">
        <v>8001</v>
      </c>
      <c r="BT2069" t="s">
        <v>492</v>
      </c>
      <c r="BU2069">
        <v>500</v>
      </c>
      <c r="BV2069">
        <v>1000</v>
      </c>
      <c r="BW2069">
        <v>5000</v>
      </c>
      <c r="BX2069" t="s">
        <v>407</v>
      </c>
      <c r="BY2069" t="s">
        <v>18253</v>
      </c>
      <c r="CD2069">
        <v>2017</v>
      </c>
      <c r="CE2069">
        <v>165000</v>
      </c>
      <c r="CG2069">
        <v>165000</v>
      </c>
      <c r="CH2069">
        <v>2017</v>
      </c>
      <c r="CI2069">
        <v>165000</v>
      </c>
      <c r="CK2069">
        <v>165000</v>
      </c>
      <c r="CL2069">
        <v>2017</v>
      </c>
      <c r="CM2069">
        <v>2822.92</v>
      </c>
      <c r="CN2069" s="1">
        <v>39437</v>
      </c>
      <c r="CZ2069" s="1">
        <v>39437</v>
      </c>
      <c r="DD2069" t="s">
        <v>11749</v>
      </c>
      <c r="DF2069">
        <v>145</v>
      </c>
      <c r="DG2069">
        <v>12</v>
      </c>
      <c r="DJ2069" t="s">
        <v>20037</v>
      </c>
      <c r="DL2069">
        <v>50102</v>
      </c>
      <c r="DM2069" t="s">
        <v>19686</v>
      </c>
      <c r="DO2069" t="s">
        <v>20038</v>
      </c>
      <c r="DP2069">
        <v>0</v>
      </c>
      <c r="DQ2069">
        <v>1</v>
      </c>
      <c r="DR2069" t="s">
        <v>411</v>
      </c>
      <c r="DS2069" t="b">
        <v>1</v>
      </c>
      <c r="DT2069" t="s">
        <v>8902</v>
      </c>
      <c r="DV2069" t="s">
        <v>446</v>
      </c>
      <c r="DX2069">
        <v>9</v>
      </c>
      <c r="DY2069" t="s">
        <v>11438</v>
      </c>
      <c r="DZ2069" t="s">
        <v>447</v>
      </c>
      <c r="EA2069" t="s">
        <v>448</v>
      </c>
      <c r="EB2069" t="s">
        <v>19316</v>
      </c>
      <c r="EC2069">
        <v>20101217</v>
      </c>
      <c r="ED2069" t="s">
        <v>450</v>
      </c>
      <c r="EE2069">
        <v>5</v>
      </c>
      <c r="EF2069">
        <v>0</v>
      </c>
      <c r="EG2069">
        <v>0</v>
      </c>
      <c r="EI2069">
        <v>20160407</v>
      </c>
      <c r="EJ2069">
        <v>0</v>
      </c>
      <c r="EK2069">
        <v>0</v>
      </c>
      <c r="EP2069" t="s">
        <v>421</v>
      </c>
      <c r="EQ2069" t="s">
        <v>452</v>
      </c>
      <c r="ER2069">
        <v>0</v>
      </c>
      <c r="ES2069">
        <v>9</v>
      </c>
      <c r="ET2069">
        <v>0</v>
      </c>
      <c r="EU2069">
        <v>0</v>
      </c>
      <c r="EV2069">
        <v>0</v>
      </c>
      <c r="EW2069" s="2">
        <v>43222</v>
      </c>
      <c r="EX2069" s="1">
        <v>42515</v>
      </c>
      <c r="EY2069">
        <v>2015</v>
      </c>
      <c r="EZ2069">
        <v>2406.0500000000002</v>
      </c>
      <c r="FA2069" t="s">
        <v>20039</v>
      </c>
      <c r="FB2069">
        <v>0.25</v>
      </c>
      <c r="FC2069" t="s">
        <v>424</v>
      </c>
      <c r="FD2069" t="s">
        <v>425</v>
      </c>
      <c r="FE2069" s="1">
        <v>42836</v>
      </c>
      <c r="FF2069">
        <v>11</v>
      </c>
      <c r="FG2069">
        <v>5894185</v>
      </c>
      <c r="FH2069" t="s">
        <v>7135</v>
      </c>
      <c r="FI2069" t="s">
        <v>458</v>
      </c>
      <c r="FJ2069" s="1">
        <v>42515</v>
      </c>
      <c r="FK2069">
        <v>2015</v>
      </c>
      <c r="FL2069">
        <v>2406.0500000000002</v>
      </c>
      <c r="FM2069" t="s">
        <v>20039</v>
      </c>
      <c r="FN2069">
        <v>0.25</v>
      </c>
      <c r="FO2069" t="s">
        <v>424</v>
      </c>
      <c r="FP2069" t="s">
        <v>425</v>
      </c>
      <c r="FR2069">
        <v>22</v>
      </c>
      <c r="FS2069">
        <v>5902783</v>
      </c>
      <c r="FT2069" t="s">
        <v>20040</v>
      </c>
      <c r="FU2069" t="s">
        <v>458</v>
      </c>
      <c r="FV2069" s="1">
        <v>42151</v>
      </c>
      <c r="FW2069">
        <v>2014</v>
      </c>
      <c r="FX2069">
        <v>2423.0700000000002</v>
      </c>
      <c r="FY2069" t="s">
        <v>20041</v>
      </c>
      <c r="FZ2069">
        <v>0.25</v>
      </c>
      <c r="GA2069" t="s">
        <v>424</v>
      </c>
      <c r="GB2069" t="s">
        <v>425</v>
      </c>
      <c r="GD2069">
        <v>22</v>
      </c>
      <c r="GE2069">
        <v>2101382</v>
      </c>
      <c r="GF2069" t="s">
        <v>993</v>
      </c>
      <c r="GG2069" t="s">
        <v>458</v>
      </c>
      <c r="GH2069" s="1">
        <v>42151</v>
      </c>
      <c r="GI2069">
        <v>2014</v>
      </c>
      <c r="GJ2069">
        <v>2423.0700000000002</v>
      </c>
      <c r="GK2069" t="s">
        <v>20041</v>
      </c>
      <c r="GL2069">
        <v>0.25</v>
      </c>
      <c r="GM2069" t="s">
        <v>424</v>
      </c>
      <c r="GN2069" t="s">
        <v>425</v>
      </c>
      <c r="GP2069">
        <v>22</v>
      </c>
      <c r="GQ2069">
        <v>5599537</v>
      </c>
      <c r="GR2069" t="s">
        <v>20042</v>
      </c>
      <c r="GS2069" t="s">
        <v>458</v>
      </c>
      <c r="GT2069" s="1">
        <v>41787</v>
      </c>
      <c r="GU2069">
        <v>2013</v>
      </c>
      <c r="GV2069">
        <v>2340.7399999999998</v>
      </c>
      <c r="GW2069" t="s">
        <v>20043</v>
      </c>
      <c r="GX2069">
        <v>0.25</v>
      </c>
      <c r="GY2069" t="s">
        <v>424</v>
      </c>
      <c r="GZ2069" t="s">
        <v>425</v>
      </c>
      <c r="HA2069" s="1">
        <v>42458</v>
      </c>
      <c r="HB2069">
        <v>22</v>
      </c>
      <c r="HC2069">
        <v>2407503</v>
      </c>
      <c r="HD2069" t="s">
        <v>461</v>
      </c>
      <c r="HF2069" s="1">
        <v>41423</v>
      </c>
      <c r="HG2069">
        <v>2012</v>
      </c>
      <c r="HH2069">
        <v>2338.06</v>
      </c>
      <c r="HI2069" t="s">
        <v>20044</v>
      </c>
      <c r="HJ2069">
        <v>0.25</v>
      </c>
      <c r="HK2069" t="s">
        <v>424</v>
      </c>
      <c r="HL2069" t="s">
        <v>425</v>
      </c>
      <c r="HM2069" s="1">
        <v>42055</v>
      </c>
      <c r="HN2069">
        <v>21</v>
      </c>
      <c r="HO2069">
        <v>1625549</v>
      </c>
      <c r="HP2069" t="s">
        <v>7607</v>
      </c>
      <c r="HR2069" s="1">
        <v>41052</v>
      </c>
      <c r="HS2069">
        <v>2011</v>
      </c>
      <c r="HT2069">
        <v>2259.17</v>
      </c>
      <c r="HU2069" t="s">
        <v>20045</v>
      </c>
      <c r="HV2069">
        <v>7.75</v>
      </c>
      <c r="HW2069" t="s">
        <v>424</v>
      </c>
      <c r="HX2069" t="s">
        <v>425</v>
      </c>
      <c r="HY2069" s="1">
        <v>41719</v>
      </c>
      <c r="HZ2069">
        <v>22</v>
      </c>
      <c r="IA2069">
        <v>1625515</v>
      </c>
      <c r="IB2069" t="s">
        <v>487</v>
      </c>
      <c r="ID2069" s="1">
        <v>41052</v>
      </c>
      <c r="IE2069">
        <v>2011</v>
      </c>
      <c r="IF2069">
        <v>2259.17</v>
      </c>
      <c r="IG2069" t="s">
        <v>20045</v>
      </c>
      <c r="IH2069">
        <v>7.75</v>
      </c>
      <c r="II2069" t="s">
        <v>424</v>
      </c>
      <c r="IJ2069" t="s">
        <v>425</v>
      </c>
      <c r="IL2069">
        <v>22</v>
      </c>
      <c r="IM2069">
        <v>10579</v>
      </c>
      <c r="IN2069" t="s">
        <v>488</v>
      </c>
      <c r="IP2069" s="1">
        <v>40688</v>
      </c>
      <c r="IQ2069">
        <v>2010</v>
      </c>
      <c r="IR2069">
        <v>2566.86</v>
      </c>
      <c r="IS2069" t="s">
        <v>20046</v>
      </c>
      <c r="IT2069">
        <v>6.75</v>
      </c>
      <c r="IU2069" t="s">
        <v>424</v>
      </c>
      <c r="IV2069" t="s">
        <v>425</v>
      </c>
      <c r="IW2069" s="1">
        <v>41432</v>
      </c>
      <c r="IX2069">
        <v>25</v>
      </c>
      <c r="IY2069">
        <v>10579</v>
      </c>
      <c r="IZ2069" t="s">
        <v>488</v>
      </c>
    </row>
    <row r="2070" spans="1:296" x14ac:dyDescent="0.25">
      <c r="A2070">
        <v>16487077</v>
      </c>
      <c r="B2070">
        <v>2069</v>
      </c>
      <c r="C2070" t="s">
        <v>393</v>
      </c>
      <c r="D2070" t="s">
        <v>394</v>
      </c>
      <c r="F2070" t="str">
        <f>"00-00-31-134B-0183-0000"</f>
        <v>00-00-31-134B-0183-0000</v>
      </c>
      <c r="H2070" t="str">
        <f>"BATES TODD"</f>
        <v>BATES TODD</v>
      </c>
      <c r="I2070" t="str">
        <f>"3106 JULINGTON CREEK RD"</f>
        <v>3106 JULINGTON CREEK RD</v>
      </c>
      <c r="J2070" t="str">
        <f>"JACKSONVILLE FL 32223"</f>
        <v>JACKSONVILLE FL 32223</v>
      </c>
      <c r="K2070" t="str">
        <f>"827 FLETCHER AVE N"</f>
        <v>827 FLETCHER AVE N</v>
      </c>
      <c r="L2070" t="str">
        <f t="shared" si="779"/>
        <v>FERNANDINA BEACH FL 32034</v>
      </c>
      <c r="M2070" t="str">
        <f>"LOT 183 IN OR 2101/197 EX ESMT OR 1386/861 GA FDNA BEACH 2 UNR"</f>
        <v>LOT 183 IN OR 2101/197 EX ESMT OR 1386/861 GA FDNA BEACH 2 UNR</v>
      </c>
      <c r="N2070" t="str">
        <f>""</f>
        <v/>
      </c>
      <c r="O2070" t="str">
        <f>"7236"</f>
        <v>7236</v>
      </c>
      <c r="P2070" t="str">
        <f t="shared" si="775"/>
        <v>2017</v>
      </c>
      <c r="Q2070" t="str">
        <f>""</f>
        <v/>
      </c>
      <c r="R2070" t="str">
        <f>"N"</f>
        <v>N</v>
      </c>
      <c r="S2070" t="str">
        <f>""</f>
        <v/>
      </c>
      <c r="T2070" t="str">
        <f>"2375.65"</f>
        <v>2375.65</v>
      </c>
      <c r="U2070" t="str">
        <f>"108900.00"</f>
        <v>108900.00</v>
      </c>
      <c r="V2070" t="str">
        <f>"108900.00"</f>
        <v>108900.00</v>
      </c>
      <c r="W2070" t="str">
        <f t="shared" si="776"/>
        <v>2017</v>
      </c>
      <c r="X2070" t="str">
        <f>""</f>
        <v/>
      </c>
      <c r="Y2070" t="str">
        <f>"2478.92"</f>
        <v>2478.92</v>
      </c>
      <c r="Z2070" t="str">
        <f>""</f>
        <v/>
      </c>
      <c r="AA2070" t="str">
        <f>"140000.00"</f>
        <v>140000.00</v>
      </c>
      <c r="AB2070" t="str">
        <f t="shared" si="780"/>
        <v>Residential</v>
      </c>
      <c r="AC2070" t="str">
        <f t="shared" si="762"/>
        <v>0</v>
      </c>
      <c r="AD2070" t="str">
        <f>""</f>
        <v/>
      </c>
      <c r="AE2070" t="str">
        <f>""</f>
        <v/>
      </c>
      <c r="AF2070" t="str">
        <f>"000"</f>
        <v>000</v>
      </c>
      <c r="AG2070" t="str">
        <f>"FL"</f>
        <v>FL</v>
      </c>
      <c r="AH2070" t="str">
        <f>"5000.00"</f>
        <v>5000.00</v>
      </c>
      <c r="AI2070" t="str">
        <f>"140000.00"</f>
        <v>140000.00</v>
      </c>
      <c r="AJ2070" t="str">
        <f>"C55-000-589-2448-1"</f>
        <v>C55-000-589-2448-1</v>
      </c>
      <c r="AK2070" t="str">
        <f>"44417"</f>
        <v>44417</v>
      </c>
      <c r="AL2070">
        <v>8</v>
      </c>
      <c r="AM2070">
        <v>2370</v>
      </c>
      <c r="AN2070">
        <v>2601.27</v>
      </c>
      <c r="AQ2070" t="s">
        <v>20047</v>
      </c>
      <c r="AR2070" t="s">
        <v>20047</v>
      </c>
      <c r="AS2070" t="s">
        <v>20047</v>
      </c>
      <c r="AU2070" t="s">
        <v>396</v>
      </c>
      <c r="AV2070">
        <v>2017</v>
      </c>
      <c r="AW2070" t="str">
        <f>"00-00-31-134B-0183-0000 "</f>
        <v xml:space="preserve">00-00-31-134B-0183-0000 </v>
      </c>
      <c r="AX2070">
        <v>827</v>
      </c>
      <c r="AZ2070" t="s">
        <v>18248</v>
      </c>
      <c r="BA2070" t="s">
        <v>1112</v>
      </c>
      <c r="BB2070" t="s">
        <v>404</v>
      </c>
      <c r="BD2070" t="s">
        <v>11749</v>
      </c>
      <c r="BE2070" t="s">
        <v>393</v>
      </c>
      <c r="BF2070">
        <v>32034</v>
      </c>
      <c r="BG2070" t="s">
        <v>20048</v>
      </c>
      <c r="BH2070" t="s">
        <v>11751</v>
      </c>
      <c r="BI2070">
        <v>-81.430436112471497</v>
      </c>
      <c r="BJ2070">
        <v>30.6775069075487</v>
      </c>
      <c r="BK2070" t="s">
        <v>20049</v>
      </c>
      <c r="BM2070" t="s">
        <v>20050</v>
      </c>
      <c r="BN2070" t="s">
        <v>548</v>
      </c>
      <c r="BO2070">
        <v>32223</v>
      </c>
      <c r="BP2070" t="s">
        <v>404</v>
      </c>
      <c r="BQ2070">
        <v>0</v>
      </c>
      <c r="BR2070" t="s">
        <v>491</v>
      </c>
      <c r="BS2070">
        <v>8001</v>
      </c>
      <c r="BT2070" t="s">
        <v>492</v>
      </c>
      <c r="BU2070">
        <v>500</v>
      </c>
      <c r="BV2070">
        <v>1000</v>
      </c>
      <c r="BW2070">
        <v>4933</v>
      </c>
      <c r="BX2070" t="s">
        <v>407</v>
      </c>
      <c r="BY2070" t="s">
        <v>18253</v>
      </c>
      <c r="CD2070">
        <v>2017</v>
      </c>
      <c r="CE2070">
        <v>140000</v>
      </c>
      <c r="CG2070">
        <v>140000</v>
      </c>
      <c r="CH2070">
        <v>2017</v>
      </c>
      <c r="CI2070">
        <v>140000</v>
      </c>
      <c r="CK2070">
        <v>140000</v>
      </c>
      <c r="CL2070">
        <v>2017</v>
      </c>
      <c r="CM2070">
        <v>2375.65</v>
      </c>
      <c r="CN2070" s="1">
        <v>42781</v>
      </c>
      <c r="CO2070">
        <v>125000</v>
      </c>
      <c r="CV2070">
        <v>125000</v>
      </c>
      <c r="CX2070" t="s">
        <v>693</v>
      </c>
      <c r="CZ2070" s="1">
        <v>42781</v>
      </c>
      <c r="DA2070">
        <v>0</v>
      </c>
      <c r="DD2070" t="s">
        <v>11749</v>
      </c>
      <c r="DF2070">
        <v>183</v>
      </c>
      <c r="DG2070">
        <v>12</v>
      </c>
      <c r="DL2070">
        <v>50102</v>
      </c>
      <c r="DM2070" t="s">
        <v>19686</v>
      </c>
      <c r="DO2070" t="s">
        <v>20051</v>
      </c>
      <c r="DP2070">
        <v>0</v>
      </c>
      <c r="DQ2070">
        <v>0</v>
      </c>
      <c r="DR2070" t="s">
        <v>411</v>
      </c>
    </row>
    <row r="2071" spans="1:296" x14ac:dyDescent="0.25">
      <c r="A2071">
        <v>16487078</v>
      </c>
      <c r="B2071">
        <v>2070</v>
      </c>
      <c r="C2071" t="s">
        <v>393</v>
      </c>
      <c r="D2071" t="s">
        <v>394</v>
      </c>
      <c r="F2071" t="str">
        <f>"00-00-31-134B-0189-0000"</f>
        <v>00-00-31-134B-0189-0000</v>
      </c>
      <c r="H2071" t="str">
        <f>"SMITH MATTHEW"</f>
        <v>SMITH MATTHEW</v>
      </c>
      <c r="I2071" t="str">
        <f>"731 N FLETCHER AVE"</f>
        <v>731 N FLETCHER AVE</v>
      </c>
      <c r="J2071" t="str">
        <f>"FERNANDINA BEACH FL 32034"</f>
        <v>FERNANDINA BEACH FL 32034</v>
      </c>
      <c r="K2071" t="str">
        <f>"731 FLETCHER AVE N"</f>
        <v>731 FLETCHER AVE N</v>
      </c>
      <c r="L2071" t="str">
        <f t="shared" si="779"/>
        <v>FERNANDINA BEACH FL 32034</v>
      </c>
      <c r="M2071" t="str">
        <f>"LOT 189 IN OR 1871/985 GA FDNA BEACH 2 UNR"</f>
        <v>LOT 189 IN OR 1871/985 GA FDNA BEACH 2 UNR</v>
      </c>
      <c r="N2071" t="str">
        <f>""</f>
        <v/>
      </c>
      <c r="O2071" t="str">
        <f>"7242"</f>
        <v>7242</v>
      </c>
      <c r="P2071" t="str">
        <f t="shared" si="775"/>
        <v>2017</v>
      </c>
      <c r="Q2071" t="str">
        <f>""</f>
        <v/>
      </c>
      <c r="R2071" t="str">
        <f>"N"</f>
        <v>N</v>
      </c>
      <c r="S2071" t="str">
        <f>""</f>
        <v/>
      </c>
      <c r="T2071" t="str">
        <f>"3294.96"</f>
        <v>3294.96</v>
      </c>
      <c r="U2071" t="str">
        <f>"146798.00"</f>
        <v>146798.00</v>
      </c>
      <c r="V2071" t="str">
        <f>"146798.00"</f>
        <v>146798.00</v>
      </c>
      <c r="W2071" t="str">
        <f t="shared" si="776"/>
        <v>2017</v>
      </c>
      <c r="X2071" t="str">
        <f>"12.00"</f>
        <v>12.00</v>
      </c>
      <c r="Y2071" t="str">
        <f>"3425.81"</f>
        <v>3425.81</v>
      </c>
      <c r="Z2071" t="str">
        <f>""</f>
        <v/>
      </c>
      <c r="AA2071" t="str">
        <f>"202750.00"</f>
        <v>202750.00</v>
      </c>
      <c r="AB2071" t="str">
        <f t="shared" si="780"/>
        <v>Residential</v>
      </c>
      <c r="AC2071" t="str">
        <f t="shared" si="762"/>
        <v>0</v>
      </c>
      <c r="AD2071" t="str">
        <f>"4"</f>
        <v>4</v>
      </c>
      <c r="AE2071" t="str">
        <f>"WOOD (INCLUDE STEEL STUDS)"</f>
        <v>WOOD (INCLUDE STEEL STUDS)</v>
      </c>
      <c r="AF2071" t="str">
        <f>"001"</f>
        <v>001</v>
      </c>
      <c r="AG2071" t="str">
        <f>"FL"</f>
        <v>FL</v>
      </c>
      <c r="AH2071" t="str">
        <f>"5000.00"</f>
        <v>5000.00</v>
      </c>
      <c r="AI2071" t="str">
        <f>"140000.00"</f>
        <v>140000.00</v>
      </c>
      <c r="AJ2071" t="str">
        <f>"C55-000-585-5377-7"</f>
        <v>C55-000-585-5377-7</v>
      </c>
      <c r="AK2071" t="str">
        <f>"44423"</f>
        <v>44423</v>
      </c>
      <c r="AL2071">
        <v>8</v>
      </c>
      <c r="AM2071">
        <v>2371</v>
      </c>
      <c r="AN2071">
        <v>3595.5</v>
      </c>
      <c r="AQ2071" t="s">
        <v>20052</v>
      </c>
      <c r="AR2071" t="s">
        <v>20052</v>
      </c>
      <c r="AS2071" t="s">
        <v>20052</v>
      </c>
      <c r="AU2071" t="s">
        <v>396</v>
      </c>
      <c r="AV2071">
        <v>2017</v>
      </c>
      <c r="AW2071" t="str">
        <f>"00-00-31-134B-0189-0000 "</f>
        <v xml:space="preserve">00-00-31-134B-0189-0000 </v>
      </c>
      <c r="AX2071">
        <v>731</v>
      </c>
      <c r="AZ2071" t="s">
        <v>18248</v>
      </c>
      <c r="BA2071" t="s">
        <v>1112</v>
      </c>
      <c r="BB2071" t="s">
        <v>404</v>
      </c>
      <c r="BD2071" t="s">
        <v>11749</v>
      </c>
      <c r="BE2071" t="s">
        <v>393</v>
      </c>
      <c r="BF2071">
        <v>32034</v>
      </c>
      <c r="BG2071" t="s">
        <v>20053</v>
      </c>
      <c r="BH2071" t="s">
        <v>11751</v>
      </c>
      <c r="BI2071">
        <v>-81.430578732585403</v>
      </c>
      <c r="BJ2071">
        <v>30.676441788368798</v>
      </c>
      <c r="BK2071" t="s">
        <v>20054</v>
      </c>
      <c r="BM2071" t="s">
        <v>20055</v>
      </c>
      <c r="BN2071" t="s">
        <v>3983</v>
      </c>
      <c r="BO2071">
        <v>32034</v>
      </c>
      <c r="BP2071" t="s">
        <v>416</v>
      </c>
      <c r="BQ2071">
        <v>100</v>
      </c>
      <c r="BR2071" t="s">
        <v>514</v>
      </c>
      <c r="BS2071">
        <v>1001</v>
      </c>
      <c r="BT2071" t="s">
        <v>515</v>
      </c>
      <c r="BU2071">
        <v>500</v>
      </c>
      <c r="BV2071">
        <v>1000</v>
      </c>
      <c r="BW2071">
        <v>4973</v>
      </c>
      <c r="BX2071" t="s">
        <v>407</v>
      </c>
      <c r="BY2071" t="s">
        <v>18253</v>
      </c>
      <c r="BZ2071">
        <v>4</v>
      </c>
      <c r="CA2071">
        <v>1957</v>
      </c>
      <c r="CB2071">
        <v>2</v>
      </c>
      <c r="CC2071">
        <v>1</v>
      </c>
      <c r="CD2071">
        <v>2017</v>
      </c>
      <c r="CE2071">
        <v>140000</v>
      </c>
      <c r="CF2071">
        <v>62750</v>
      </c>
      <c r="CG2071">
        <v>202750</v>
      </c>
      <c r="CH2071">
        <v>2017</v>
      </c>
      <c r="CI2071">
        <v>140000</v>
      </c>
      <c r="CJ2071">
        <v>62750</v>
      </c>
      <c r="CK2071">
        <v>202750</v>
      </c>
      <c r="CL2071">
        <v>2017</v>
      </c>
      <c r="CM2071">
        <v>3294.96</v>
      </c>
      <c r="CN2071" s="1">
        <v>41492</v>
      </c>
      <c r="CO2071">
        <v>139900</v>
      </c>
      <c r="CV2071">
        <v>0</v>
      </c>
      <c r="CZ2071" s="1">
        <v>41492</v>
      </c>
      <c r="DA2071">
        <v>0</v>
      </c>
      <c r="DD2071" t="s">
        <v>11749</v>
      </c>
      <c r="DF2071">
        <v>189</v>
      </c>
      <c r="DG2071">
        <v>12</v>
      </c>
      <c r="DJ2071" t="s">
        <v>20056</v>
      </c>
      <c r="DL2071">
        <v>50102</v>
      </c>
      <c r="DM2071" t="s">
        <v>19686</v>
      </c>
      <c r="DO2071" t="s">
        <v>20057</v>
      </c>
      <c r="DP2071">
        <v>0</v>
      </c>
      <c r="DQ2071">
        <v>0</v>
      </c>
      <c r="DR2071" t="s">
        <v>411</v>
      </c>
      <c r="DS2071" t="b">
        <v>1</v>
      </c>
      <c r="DT2071" t="s">
        <v>8902</v>
      </c>
      <c r="DV2071" t="s">
        <v>446</v>
      </c>
      <c r="DX2071">
        <v>9</v>
      </c>
      <c r="DY2071" t="s">
        <v>11438</v>
      </c>
      <c r="DZ2071" t="s">
        <v>447</v>
      </c>
      <c r="EA2071" t="s">
        <v>448</v>
      </c>
      <c r="EB2071" t="s">
        <v>19316</v>
      </c>
      <c r="EC2071">
        <v>20101217</v>
      </c>
      <c r="ED2071" t="s">
        <v>450</v>
      </c>
      <c r="EE2071">
        <v>5</v>
      </c>
      <c r="EF2071">
        <v>0</v>
      </c>
      <c r="EG2071">
        <v>0</v>
      </c>
      <c r="EI2071">
        <v>20160407</v>
      </c>
      <c r="EJ2071">
        <v>0</v>
      </c>
      <c r="EK2071">
        <v>0</v>
      </c>
      <c r="EP2071" t="s">
        <v>421</v>
      </c>
      <c r="EQ2071" t="s">
        <v>422</v>
      </c>
      <c r="ER2071">
        <v>0</v>
      </c>
      <c r="ES2071">
        <v>4</v>
      </c>
      <c r="ET2071">
        <v>0</v>
      </c>
      <c r="EU2071">
        <v>0</v>
      </c>
      <c r="EV2071">
        <v>0</v>
      </c>
      <c r="EW2071" s="2">
        <v>43222</v>
      </c>
      <c r="EX2071" s="1">
        <v>42515</v>
      </c>
      <c r="EY2071">
        <v>2015</v>
      </c>
      <c r="EZ2071">
        <v>2469.85</v>
      </c>
      <c r="FA2071" t="s">
        <v>20058</v>
      </c>
      <c r="FB2071">
        <v>0.25</v>
      </c>
      <c r="FC2071" t="s">
        <v>424</v>
      </c>
      <c r="FD2071" t="s">
        <v>425</v>
      </c>
      <c r="FE2071" s="1">
        <v>42696</v>
      </c>
      <c r="FF2071">
        <v>6</v>
      </c>
      <c r="FG2071">
        <v>11289</v>
      </c>
      <c r="FH2071" t="s">
        <v>787</v>
      </c>
      <c r="FJ2071" s="1">
        <v>42515</v>
      </c>
      <c r="FK2071">
        <v>2015</v>
      </c>
      <c r="FL2071">
        <v>2469.85</v>
      </c>
      <c r="FM2071" t="s">
        <v>20058</v>
      </c>
      <c r="FN2071">
        <v>0.25</v>
      </c>
      <c r="FO2071" t="s">
        <v>424</v>
      </c>
      <c r="FP2071" t="s">
        <v>425</v>
      </c>
      <c r="FR2071">
        <v>22</v>
      </c>
      <c r="FS2071">
        <v>7101722</v>
      </c>
      <c r="FT2071" t="s">
        <v>20059</v>
      </c>
      <c r="FV2071" s="1">
        <v>42151</v>
      </c>
      <c r="FW2071">
        <v>2014</v>
      </c>
      <c r="FX2071">
        <v>2448.41</v>
      </c>
      <c r="FY2071" t="s">
        <v>20060</v>
      </c>
      <c r="FZ2071">
        <v>0.25</v>
      </c>
      <c r="GA2071" t="s">
        <v>424</v>
      </c>
      <c r="GB2071" t="s">
        <v>425</v>
      </c>
      <c r="GC2071" s="1">
        <v>42696</v>
      </c>
      <c r="GD2071">
        <v>18</v>
      </c>
      <c r="GE2071">
        <v>4844984</v>
      </c>
      <c r="GF2071" t="s">
        <v>1323</v>
      </c>
      <c r="GH2071" s="1">
        <v>42151</v>
      </c>
      <c r="GI2071">
        <v>2014</v>
      </c>
      <c r="GJ2071">
        <v>2448.41</v>
      </c>
      <c r="GK2071" t="s">
        <v>20060</v>
      </c>
      <c r="GL2071">
        <v>0.25</v>
      </c>
      <c r="GM2071" t="s">
        <v>424</v>
      </c>
      <c r="GN2071" t="s">
        <v>425</v>
      </c>
      <c r="GP2071">
        <v>22</v>
      </c>
      <c r="GQ2071">
        <v>6019894</v>
      </c>
      <c r="GR2071" t="s">
        <v>20061</v>
      </c>
    </row>
    <row r="2072" spans="1:296" x14ac:dyDescent="0.25">
      <c r="A2072">
        <v>16487079</v>
      </c>
      <c r="B2072">
        <v>2071</v>
      </c>
      <c r="C2072" t="s">
        <v>393</v>
      </c>
      <c r="D2072" t="s">
        <v>394</v>
      </c>
      <c r="F2072" t="str">
        <f>"00-00-31-134B-0192-0000"</f>
        <v>00-00-31-134B-0192-0000</v>
      </c>
      <c r="H2072" t="str">
        <f>"ROBERSON ANTHONY L &amp; LENORE K"</f>
        <v>ROBERSON ANTHONY L &amp; LENORE K</v>
      </c>
      <c r="I2072" t="str">
        <f>"PO BOX 773"</f>
        <v>PO BOX 773</v>
      </c>
      <c r="J2072" t="str">
        <f>"FOLKSTON GA 31537"</f>
        <v>FOLKSTON GA 31537</v>
      </c>
      <c r="K2072" t="str">
        <f>"725 FLETCHER AVE N U&amp;D"</f>
        <v>725 FLETCHER AVE N U&amp;D</v>
      </c>
      <c r="L2072" t="str">
        <f t="shared" si="779"/>
        <v>FERNANDINA BEACH FL 32034</v>
      </c>
      <c r="M2072" t="str">
        <f>"LOT 192 IN OR 2060/1432 GA FDNA BEACH 2 UNR"</f>
        <v>LOT 192 IN OR 2060/1432 GA FDNA BEACH 2 UNR</v>
      </c>
      <c r="N2072" t="str">
        <f>""</f>
        <v/>
      </c>
      <c r="O2072" t="str">
        <f>"7245"</f>
        <v>7245</v>
      </c>
      <c r="P2072" t="str">
        <f t="shared" si="775"/>
        <v>2017</v>
      </c>
      <c r="Q2072" t="str">
        <f>""</f>
        <v/>
      </c>
      <c r="R2072" t="str">
        <f>"N"</f>
        <v>N</v>
      </c>
      <c r="S2072" t="str">
        <f>""</f>
        <v/>
      </c>
      <c r="T2072" t="str">
        <f>"5007.50"</f>
        <v>5007.50</v>
      </c>
      <c r="U2072" t="str">
        <f>"251245.00"</f>
        <v>251245.00</v>
      </c>
      <c r="V2072" t="str">
        <f>"251245.00"</f>
        <v>251245.00</v>
      </c>
      <c r="W2072" t="str">
        <f t="shared" si="776"/>
        <v>2017</v>
      </c>
      <c r="X2072" t="str">
        <f>"23.00"</f>
        <v>23.00</v>
      </c>
      <c r="Y2072" t="str">
        <f>"5189.73"</f>
        <v>5189.73</v>
      </c>
      <c r="Z2072" t="str">
        <f>""</f>
        <v/>
      </c>
      <c r="AA2072" t="str">
        <f>"251245.00"</f>
        <v>251245.00</v>
      </c>
      <c r="AB2072" t="str">
        <f t="shared" si="780"/>
        <v>Residential</v>
      </c>
      <c r="AC2072" t="str">
        <f t="shared" si="762"/>
        <v>0</v>
      </c>
      <c r="AD2072" t="str">
        <f>"3"</f>
        <v>3</v>
      </c>
      <c r="AE2072" t="str">
        <f>"MASONRY"</f>
        <v>MASONRY</v>
      </c>
      <c r="AF2072" t="str">
        <f>"008"</f>
        <v>008</v>
      </c>
      <c r="AG2072" t="str">
        <f>"GA"</f>
        <v>GA</v>
      </c>
      <c r="AH2072" t="str">
        <f>"5000.00"</f>
        <v>5000.00</v>
      </c>
      <c r="AI2072" t="str">
        <f>"140000.00"</f>
        <v>140000.00</v>
      </c>
      <c r="AJ2072" t="str">
        <f>"C55-000-585-5380-1"</f>
        <v>C55-000-585-5380-1</v>
      </c>
      <c r="AK2072" t="str">
        <f>"44426"</f>
        <v>44426</v>
      </c>
      <c r="AL2072">
        <v>8</v>
      </c>
      <c r="AM2072">
        <v>2372</v>
      </c>
      <c r="AN2072">
        <v>5447.62</v>
      </c>
      <c r="AQ2072" t="s">
        <v>20062</v>
      </c>
      <c r="AR2072" t="s">
        <v>20062</v>
      </c>
      <c r="AS2072" t="s">
        <v>20062</v>
      </c>
      <c r="AU2072" t="s">
        <v>396</v>
      </c>
      <c r="AV2072">
        <v>2017</v>
      </c>
      <c r="AW2072" t="str">
        <f>"00-00-31-134B-0192-0000 "</f>
        <v xml:space="preserve">00-00-31-134B-0192-0000 </v>
      </c>
      <c r="AX2072">
        <v>725</v>
      </c>
      <c r="AZ2072" t="s">
        <v>20063</v>
      </c>
      <c r="BC2072" t="s">
        <v>20064</v>
      </c>
      <c r="BD2072" t="s">
        <v>11749</v>
      </c>
      <c r="BE2072" t="s">
        <v>393</v>
      </c>
      <c r="BF2072">
        <v>32034</v>
      </c>
      <c r="BG2072" t="s">
        <v>20065</v>
      </c>
      <c r="BH2072" t="s">
        <v>11751</v>
      </c>
      <c r="BI2072">
        <v>-81.430638099312105</v>
      </c>
      <c r="BJ2072">
        <v>30.676032583101399</v>
      </c>
      <c r="BK2072" t="s">
        <v>20066</v>
      </c>
      <c r="BM2072" t="s">
        <v>20067</v>
      </c>
      <c r="BN2072" t="s">
        <v>3983</v>
      </c>
      <c r="BO2072">
        <v>32034</v>
      </c>
      <c r="BP2072" t="s">
        <v>404</v>
      </c>
      <c r="BQ2072">
        <v>800</v>
      </c>
      <c r="BR2072" t="s">
        <v>5126</v>
      </c>
      <c r="BS2072">
        <v>1110</v>
      </c>
      <c r="BT2072" t="s">
        <v>5127</v>
      </c>
      <c r="BU2072">
        <v>500</v>
      </c>
      <c r="BV2072">
        <v>1000</v>
      </c>
      <c r="BW2072">
        <v>4951</v>
      </c>
      <c r="BX2072" t="s">
        <v>407</v>
      </c>
      <c r="BY2072" t="s">
        <v>18253</v>
      </c>
      <c r="BZ2072">
        <v>3</v>
      </c>
      <c r="CA2072">
        <v>1957</v>
      </c>
      <c r="CB2072">
        <v>2</v>
      </c>
      <c r="CC2072">
        <v>1</v>
      </c>
      <c r="CD2072">
        <v>2017</v>
      </c>
      <c r="CE2072">
        <v>140000</v>
      </c>
      <c r="CF2072">
        <v>111245</v>
      </c>
      <c r="CG2072">
        <v>251245</v>
      </c>
      <c r="CH2072">
        <v>2017</v>
      </c>
      <c r="CI2072">
        <v>140000</v>
      </c>
      <c r="CJ2072">
        <v>111245</v>
      </c>
      <c r="CK2072">
        <v>251245</v>
      </c>
      <c r="CL2072">
        <v>2017</v>
      </c>
      <c r="CM2072">
        <v>5007.5</v>
      </c>
      <c r="CN2072" s="1">
        <v>30682</v>
      </c>
      <c r="CZ2072" s="1">
        <v>30682</v>
      </c>
      <c r="DD2072" t="s">
        <v>11749</v>
      </c>
      <c r="DF2072">
        <v>192</v>
      </c>
      <c r="DG2072">
        <v>12</v>
      </c>
      <c r="DI2072" t="s">
        <v>20068</v>
      </c>
      <c r="DJ2072" t="s">
        <v>20069</v>
      </c>
      <c r="DL2072">
        <v>50102</v>
      </c>
      <c r="DM2072" t="s">
        <v>19686</v>
      </c>
      <c r="DO2072" t="s">
        <v>20070</v>
      </c>
      <c r="DP2072">
        <v>0</v>
      </c>
      <c r="DQ2072">
        <v>0</v>
      </c>
      <c r="DR2072" t="s">
        <v>411</v>
      </c>
      <c r="DS2072" t="b">
        <v>1</v>
      </c>
      <c r="DT2072" t="s">
        <v>8902</v>
      </c>
      <c r="DV2072" t="s">
        <v>446</v>
      </c>
      <c r="DX2072">
        <v>9</v>
      </c>
      <c r="DY2072" t="s">
        <v>11438</v>
      </c>
      <c r="DZ2072" t="s">
        <v>447</v>
      </c>
      <c r="EA2072" t="s">
        <v>448</v>
      </c>
      <c r="EB2072" t="s">
        <v>19316</v>
      </c>
      <c r="EC2072">
        <v>20101217</v>
      </c>
      <c r="ED2072" t="s">
        <v>450</v>
      </c>
      <c r="EE2072">
        <v>5</v>
      </c>
      <c r="EF2072">
        <v>0</v>
      </c>
      <c r="EG2072">
        <v>0</v>
      </c>
      <c r="EI2072">
        <v>20160407</v>
      </c>
      <c r="EJ2072">
        <v>0</v>
      </c>
      <c r="EK2072">
        <v>0</v>
      </c>
      <c r="EP2072" t="s">
        <v>421</v>
      </c>
      <c r="EQ2072" t="s">
        <v>422</v>
      </c>
      <c r="ER2072">
        <v>2</v>
      </c>
      <c r="ES2072">
        <v>2</v>
      </c>
      <c r="ET2072">
        <v>8704.4599999999991</v>
      </c>
      <c r="EU2072">
        <v>447.72</v>
      </c>
      <c r="EV2072">
        <v>9152.18</v>
      </c>
      <c r="EW2072" s="2">
        <v>43222</v>
      </c>
      <c r="EX2072" s="1">
        <v>42879</v>
      </c>
      <c r="EY2072">
        <v>2016</v>
      </c>
      <c r="EZ2072">
        <v>4352.2299999999996</v>
      </c>
      <c r="FA2072" t="s">
        <v>20071</v>
      </c>
      <c r="FB2072">
        <v>0.25</v>
      </c>
      <c r="FC2072" t="s">
        <v>424</v>
      </c>
      <c r="FD2072" t="s">
        <v>454</v>
      </c>
      <c r="FF2072">
        <v>12</v>
      </c>
      <c r="FG2072">
        <v>5857474</v>
      </c>
      <c r="FH2072" t="s">
        <v>900</v>
      </c>
      <c r="FJ2072" s="1">
        <v>42879</v>
      </c>
      <c r="FK2072">
        <v>2016</v>
      </c>
      <c r="FL2072">
        <v>4352.2299999999996</v>
      </c>
      <c r="FM2072" t="s">
        <v>20071</v>
      </c>
      <c r="FN2072">
        <v>0.25</v>
      </c>
      <c r="FO2072" t="s">
        <v>424</v>
      </c>
      <c r="FP2072" t="s">
        <v>454</v>
      </c>
      <c r="FR2072">
        <v>12</v>
      </c>
      <c r="FS2072">
        <v>6601115</v>
      </c>
      <c r="FT2072" t="s">
        <v>20072</v>
      </c>
      <c r="FV2072" s="1">
        <v>42515</v>
      </c>
      <c r="FW2072">
        <v>2015</v>
      </c>
      <c r="FX2072">
        <v>3755.72</v>
      </c>
      <c r="FY2072" t="s">
        <v>20073</v>
      </c>
      <c r="FZ2072">
        <v>0.25</v>
      </c>
      <c r="GA2072" t="s">
        <v>424</v>
      </c>
      <c r="GB2072" t="s">
        <v>425</v>
      </c>
      <c r="GC2072" s="1">
        <v>43192</v>
      </c>
      <c r="GD2072">
        <v>23</v>
      </c>
      <c r="GE2072">
        <v>2851116</v>
      </c>
      <c r="GF2072" t="s">
        <v>480</v>
      </c>
      <c r="GH2072" s="1">
        <v>42515</v>
      </c>
      <c r="GI2072">
        <v>2015</v>
      </c>
      <c r="GJ2072">
        <v>3755.72</v>
      </c>
      <c r="GK2072" t="s">
        <v>20073</v>
      </c>
      <c r="GL2072">
        <v>0.25</v>
      </c>
      <c r="GM2072" t="s">
        <v>424</v>
      </c>
      <c r="GN2072" t="s">
        <v>425</v>
      </c>
      <c r="GP2072">
        <v>22</v>
      </c>
      <c r="GQ2072">
        <v>5756092</v>
      </c>
      <c r="GR2072" t="s">
        <v>20074</v>
      </c>
    </row>
    <row r="2073" spans="1:296" x14ac:dyDescent="0.25">
      <c r="A2073">
        <v>16487080</v>
      </c>
      <c r="B2073">
        <v>2072</v>
      </c>
      <c r="C2073" t="s">
        <v>393</v>
      </c>
      <c r="D2073" t="s">
        <v>394</v>
      </c>
      <c r="F2073" t="str">
        <f>"00-00-31-134B-0238-00B0"</f>
        <v>00-00-31-134B-0238-00B0</v>
      </c>
      <c r="H2073" t="str">
        <f>"VESTAL CURTIS D &amp; JANET L"</f>
        <v>VESTAL CURTIS D &amp; JANET L</v>
      </c>
      <c r="I2073" t="str">
        <f>"432-B TARPON AV"</f>
        <v>432-B TARPON AV</v>
      </c>
      <c r="J2073" t="str">
        <f>"FERNANDINA BEACH FL 32034"</f>
        <v>FERNANDINA BEACH FL 32034</v>
      </c>
      <c r="K2073" t="str">
        <f>"432 TARPON AVE B"</f>
        <v>432 TARPON AVE B</v>
      </c>
      <c r="L2073" t="str">
        <f t="shared" si="779"/>
        <v>FERNANDINA BEACH FL 32034</v>
      </c>
      <c r="M2073" t="str">
        <f>"LOT 238-B IN OR 885/1746 DECLARATION CVNTS &amp; RSTR OR 647/25 GEORGIAS FDNA BEACH 2 UNR"</f>
        <v>LOT 238-B IN OR 885/1746 DECLARATION CVNTS &amp; RSTR OR 647/25 GEORGIAS FDNA BEACH 2 UNR</v>
      </c>
      <c r="N2073" t="str">
        <f>""</f>
        <v/>
      </c>
      <c r="O2073" t="str">
        <f>"7289"</f>
        <v>7289</v>
      </c>
      <c r="P2073" t="str">
        <f t="shared" si="775"/>
        <v>2017</v>
      </c>
      <c r="Q2073" t="str">
        <f>""</f>
        <v/>
      </c>
      <c r="R2073" t="str">
        <f>"Y"</f>
        <v>Y</v>
      </c>
      <c r="S2073" t="str">
        <f>""</f>
        <v/>
      </c>
      <c r="T2073" t="str">
        <f>"2019.70"</f>
        <v>2019.70</v>
      </c>
      <c r="U2073" t="str">
        <f>"143060.00"</f>
        <v>143060.00</v>
      </c>
      <c r="V2073" t="str">
        <f>"143060.00"</f>
        <v>143060.00</v>
      </c>
      <c r="W2073" t="str">
        <f t="shared" si="776"/>
        <v>2017</v>
      </c>
      <c r="X2073" t="str">
        <f>""</f>
        <v/>
      </c>
      <c r="Y2073" t="str">
        <f>"2112.29"</f>
        <v>2112.29</v>
      </c>
      <c r="Z2073" t="str">
        <f>"25000.00"</f>
        <v>25000.00</v>
      </c>
      <c r="AA2073" t="str">
        <f>"118060.00"</f>
        <v>118060.00</v>
      </c>
      <c r="AB2073" t="str">
        <f t="shared" si="780"/>
        <v>Residential</v>
      </c>
      <c r="AC2073" t="str">
        <f t="shared" si="762"/>
        <v>0</v>
      </c>
      <c r="AD2073" t="str">
        <f>"4"</f>
        <v>4</v>
      </c>
      <c r="AE2073" t="str">
        <f>"WOOD (INCLUDE STEEL STUDS)"</f>
        <v>WOOD (INCLUDE STEEL STUDS)</v>
      </c>
      <c r="AF2073" t="str">
        <f>"001"</f>
        <v>001</v>
      </c>
      <c r="AG2073" t="str">
        <f>"FL"</f>
        <v>FL</v>
      </c>
      <c r="AH2073" t="str">
        <f>"2500.00"</f>
        <v>2500.00</v>
      </c>
      <c r="AI2073" t="str">
        <f>"90000.00"</f>
        <v>90000.00</v>
      </c>
      <c r="AJ2073" t="str">
        <f>"C55-000-585-5422-1"</f>
        <v>C55-000-585-5422-1</v>
      </c>
      <c r="AK2073" t="str">
        <f>"44470"</f>
        <v>44470</v>
      </c>
      <c r="AL2073">
        <v>8</v>
      </c>
      <c r="AM2073">
        <v>2373</v>
      </c>
      <c r="AN2073">
        <v>2216.3000000000002</v>
      </c>
      <c r="AQ2073" t="s">
        <v>20075</v>
      </c>
      <c r="AR2073" t="s">
        <v>20075</v>
      </c>
      <c r="AS2073" t="s">
        <v>20075</v>
      </c>
      <c r="AU2073" t="s">
        <v>396</v>
      </c>
      <c r="AV2073">
        <v>2017</v>
      </c>
      <c r="AW2073" t="str">
        <f>"00-00-31-134B-0238-00B0 "</f>
        <v xml:space="preserve">00-00-31-134B-0238-00B0 </v>
      </c>
      <c r="AX2073">
        <v>432</v>
      </c>
      <c r="AZ2073" t="s">
        <v>19918</v>
      </c>
      <c r="BA2073" t="s">
        <v>1112</v>
      </c>
      <c r="BC2073" t="s">
        <v>20076</v>
      </c>
      <c r="BD2073" t="s">
        <v>11749</v>
      </c>
      <c r="BE2073" t="s">
        <v>393</v>
      </c>
      <c r="BF2073">
        <v>32034</v>
      </c>
      <c r="BG2073" t="s">
        <v>20077</v>
      </c>
      <c r="BH2073" t="s">
        <v>11751</v>
      </c>
      <c r="BI2073">
        <v>-81.431473816026099</v>
      </c>
      <c r="BJ2073">
        <v>30.6725100364031</v>
      </c>
      <c r="BK2073" t="s">
        <v>20078</v>
      </c>
      <c r="BL2073" t="s">
        <v>20079</v>
      </c>
      <c r="BM2073" t="s">
        <v>20080</v>
      </c>
      <c r="BN2073" t="s">
        <v>3983</v>
      </c>
      <c r="BO2073">
        <v>32034</v>
      </c>
      <c r="BP2073" t="s">
        <v>416</v>
      </c>
      <c r="BQ2073">
        <v>100</v>
      </c>
      <c r="BR2073" t="s">
        <v>514</v>
      </c>
      <c r="BS2073">
        <v>1001</v>
      </c>
      <c r="BT2073" t="s">
        <v>515</v>
      </c>
      <c r="BU2073">
        <v>250</v>
      </c>
      <c r="BV2073">
        <v>1000</v>
      </c>
      <c r="BW2073">
        <v>2500</v>
      </c>
      <c r="BX2073" t="s">
        <v>407</v>
      </c>
      <c r="BY2073" t="s">
        <v>18253</v>
      </c>
      <c r="BZ2073">
        <v>4</v>
      </c>
      <c r="CA2073">
        <v>1991</v>
      </c>
      <c r="CB2073">
        <v>2</v>
      </c>
      <c r="CC2073">
        <v>1</v>
      </c>
      <c r="CD2073">
        <v>2017</v>
      </c>
      <c r="CG2073">
        <v>143060</v>
      </c>
      <c r="CH2073">
        <v>2017</v>
      </c>
      <c r="CI2073">
        <v>90000</v>
      </c>
      <c r="CJ2073">
        <v>127480</v>
      </c>
      <c r="CK2073">
        <v>217480</v>
      </c>
      <c r="CL2073">
        <v>2017</v>
      </c>
      <c r="CM2073">
        <v>2019.7</v>
      </c>
      <c r="CN2073" s="1">
        <v>36315</v>
      </c>
      <c r="CO2073">
        <v>113500</v>
      </c>
      <c r="CZ2073" s="1">
        <v>36315</v>
      </c>
      <c r="DD2073" t="s">
        <v>11749</v>
      </c>
      <c r="DF2073" t="s">
        <v>20081</v>
      </c>
      <c r="DG2073">
        <v>12</v>
      </c>
      <c r="DI2073" t="s">
        <v>20076</v>
      </c>
      <c r="DL2073">
        <v>50102</v>
      </c>
      <c r="DM2073" t="s">
        <v>19686</v>
      </c>
      <c r="DO2073" t="s">
        <v>20082</v>
      </c>
      <c r="DP2073">
        <v>0</v>
      </c>
      <c r="DQ2073">
        <v>0</v>
      </c>
      <c r="DR2073" t="s">
        <v>411</v>
      </c>
    </row>
    <row r="2074" spans="1:296" x14ac:dyDescent="0.25">
      <c r="A2074">
        <v>16487081</v>
      </c>
      <c r="B2074">
        <v>2073</v>
      </c>
      <c r="C2074" t="s">
        <v>393</v>
      </c>
      <c r="D2074" t="s">
        <v>394</v>
      </c>
      <c r="F2074" t="str">
        <f>"00-00-31-1360-0033-0000"</f>
        <v>00-00-31-1360-0033-0000</v>
      </c>
      <c r="H2074" t="str">
        <f>"RUSSELL JERRY K"</f>
        <v>RUSSELL JERRY K</v>
      </c>
      <c r="I2074" t="str">
        <f>"237 MARSH LAKES DRIVE"</f>
        <v>237 MARSH LAKES DRIVE</v>
      </c>
      <c r="J2074" t="str">
        <f>"FERNANDINA BEACH FL 32034"</f>
        <v>FERNANDINA BEACH FL 32034</v>
      </c>
      <c r="K2074" t="str">
        <f>"2180 FLETCHER AVE S"</f>
        <v>2180 FLETCHER AVE S</v>
      </c>
      <c r="L2074" t="str">
        <f t="shared" si="779"/>
        <v>FERNANDINA BEACH FL 32034</v>
      </c>
      <c r="M2074" t="str">
        <f>"LOT 33 IN OR 1687/1545 HAMBYS SUB PB 2/32"</f>
        <v>LOT 33 IN OR 1687/1545 HAMBYS SUB PB 2/32</v>
      </c>
      <c r="N2074" t="str">
        <f>""</f>
        <v/>
      </c>
      <c r="O2074" t="str">
        <f>"7364"</f>
        <v>7364</v>
      </c>
      <c r="P2074" t="str">
        <f t="shared" si="775"/>
        <v>2017</v>
      </c>
      <c r="Q2074" t="str">
        <f>""</f>
        <v/>
      </c>
      <c r="R2074" t="str">
        <f>"N"</f>
        <v>N</v>
      </c>
      <c r="S2074" t="str">
        <f>""</f>
        <v/>
      </c>
      <c r="T2074" t="str">
        <f>"18286.66"</f>
        <v>18286.66</v>
      </c>
      <c r="U2074" t="str">
        <f>"917512.00"</f>
        <v>917512.00</v>
      </c>
      <c r="V2074" t="str">
        <f>"917512.00"</f>
        <v>917512.00</v>
      </c>
      <c r="W2074" t="str">
        <f t="shared" si="776"/>
        <v>2017</v>
      </c>
      <c r="X2074" t="str">
        <f>"7.00"</f>
        <v>7.00</v>
      </c>
      <c r="Y2074" t="str">
        <f>"18867.26"</f>
        <v>18867.26</v>
      </c>
      <c r="Z2074" t="str">
        <f>""</f>
        <v/>
      </c>
      <c r="AA2074" t="str">
        <f>"917512.00"</f>
        <v>917512.00</v>
      </c>
      <c r="AB2074" t="str">
        <f t="shared" si="780"/>
        <v>Residential</v>
      </c>
      <c r="AC2074" t="str">
        <f t="shared" si="762"/>
        <v>0</v>
      </c>
      <c r="AD2074" t="str">
        <f>"4"</f>
        <v>4</v>
      </c>
      <c r="AE2074" t="str">
        <f>"WOOD (INCLUDE STEEL STUDS)"</f>
        <v>WOOD (INCLUDE STEEL STUDS)</v>
      </c>
      <c r="AF2074" t="str">
        <f>"001"</f>
        <v>001</v>
      </c>
      <c r="AG2074" t="str">
        <f>"FL"</f>
        <v>FL</v>
      </c>
      <c r="AH2074" t="str">
        <f>"12500.00"</f>
        <v>12500.00</v>
      </c>
      <c r="AI2074" t="str">
        <f>"600000.00"</f>
        <v>600000.00</v>
      </c>
      <c r="AJ2074" t="str">
        <f>"C55-000-585-5494-0"</f>
        <v>C55-000-585-5494-0</v>
      </c>
      <c r="AK2074" t="str">
        <f>"44542"</f>
        <v>44542</v>
      </c>
      <c r="AL2074">
        <v>8</v>
      </c>
      <c r="AM2074">
        <v>2374</v>
      </c>
      <c r="AN2074">
        <v>19809.02</v>
      </c>
      <c r="AQ2074" t="s">
        <v>20083</v>
      </c>
      <c r="AR2074" t="s">
        <v>20083</v>
      </c>
      <c r="AS2074" t="s">
        <v>20083</v>
      </c>
      <c r="AU2074" t="s">
        <v>396</v>
      </c>
      <c r="AV2074">
        <v>2017</v>
      </c>
      <c r="AW2074" t="str">
        <f>"00-00-31-1360-0033-0000 "</f>
        <v xml:space="preserve">00-00-31-1360-0033-0000 </v>
      </c>
      <c r="AX2074">
        <v>2180</v>
      </c>
      <c r="AZ2074" t="s">
        <v>18248</v>
      </c>
      <c r="BA2074" t="s">
        <v>1112</v>
      </c>
      <c r="BB2074" t="s">
        <v>18674</v>
      </c>
      <c r="BD2074" t="s">
        <v>11749</v>
      </c>
      <c r="BE2074" t="s">
        <v>393</v>
      </c>
      <c r="BF2074">
        <v>32034</v>
      </c>
      <c r="BG2074" t="s">
        <v>20084</v>
      </c>
      <c r="BH2074" t="s">
        <v>11751</v>
      </c>
      <c r="BI2074">
        <v>-81.437029920150394</v>
      </c>
      <c r="BJ2074">
        <v>30.6360619131409</v>
      </c>
      <c r="BK2074" t="s">
        <v>20085</v>
      </c>
      <c r="BM2074" t="s">
        <v>20086</v>
      </c>
      <c r="BN2074" t="s">
        <v>3983</v>
      </c>
      <c r="BO2074">
        <v>32034</v>
      </c>
      <c r="BP2074" t="s">
        <v>404</v>
      </c>
      <c r="BQ2074">
        <v>100</v>
      </c>
      <c r="BR2074" t="s">
        <v>514</v>
      </c>
      <c r="BS2074">
        <v>1001</v>
      </c>
      <c r="BT2074" t="s">
        <v>515</v>
      </c>
      <c r="BU2074">
        <v>500</v>
      </c>
      <c r="BV2074">
        <v>0</v>
      </c>
      <c r="BW2074">
        <v>14472</v>
      </c>
      <c r="BX2074" t="s">
        <v>407</v>
      </c>
      <c r="BZ2074">
        <v>4</v>
      </c>
      <c r="CA2074">
        <v>1996</v>
      </c>
      <c r="CB2074">
        <v>2</v>
      </c>
      <c r="CC2074">
        <v>1</v>
      </c>
      <c r="CD2074">
        <v>2017</v>
      </c>
      <c r="CE2074">
        <v>600000</v>
      </c>
      <c r="CF2074">
        <v>317512</v>
      </c>
      <c r="CG2074">
        <v>917512</v>
      </c>
      <c r="CH2074">
        <v>2017</v>
      </c>
      <c r="CI2074">
        <v>600000</v>
      </c>
      <c r="CJ2074">
        <v>317512</v>
      </c>
      <c r="CK2074">
        <v>917512</v>
      </c>
      <c r="CL2074">
        <v>2017</v>
      </c>
      <c r="CM2074">
        <v>18286.66</v>
      </c>
      <c r="CN2074" s="1">
        <v>38811</v>
      </c>
      <c r="CO2074">
        <v>1600000</v>
      </c>
      <c r="CV2074">
        <v>1280000</v>
      </c>
      <c r="CX2074" t="s">
        <v>10661</v>
      </c>
      <c r="CZ2074" s="1">
        <v>38811</v>
      </c>
      <c r="DA2074">
        <v>0</v>
      </c>
      <c r="DD2074" t="s">
        <v>11749</v>
      </c>
      <c r="DF2074">
        <v>33</v>
      </c>
      <c r="DG2074">
        <v>12</v>
      </c>
      <c r="DJ2074" t="s">
        <v>20087</v>
      </c>
      <c r="DL2074">
        <v>50202</v>
      </c>
      <c r="DM2074" t="s">
        <v>19686</v>
      </c>
      <c r="DO2074" t="s">
        <v>20088</v>
      </c>
      <c r="DP2074">
        <v>0</v>
      </c>
      <c r="DQ2074">
        <v>0</v>
      </c>
      <c r="DR2074" t="s">
        <v>411</v>
      </c>
      <c r="EP2074" t="s">
        <v>421</v>
      </c>
      <c r="EQ2074" t="s">
        <v>422</v>
      </c>
      <c r="ER2074">
        <v>0</v>
      </c>
      <c r="ES2074">
        <v>1</v>
      </c>
      <c r="ET2074">
        <v>0</v>
      </c>
      <c r="EU2074">
        <v>0</v>
      </c>
      <c r="EV2074">
        <v>0</v>
      </c>
      <c r="EW2074" s="2">
        <v>43222</v>
      </c>
      <c r="EX2074" s="1">
        <v>41787</v>
      </c>
      <c r="EY2074">
        <v>2013</v>
      </c>
      <c r="EZ2074">
        <v>16180.65</v>
      </c>
      <c r="FA2074" t="s">
        <v>20089</v>
      </c>
      <c r="FB2074">
        <v>0.25</v>
      </c>
      <c r="FC2074" t="s">
        <v>424</v>
      </c>
      <c r="FD2074" t="s">
        <v>425</v>
      </c>
      <c r="FE2074" s="1">
        <v>42065</v>
      </c>
      <c r="FF2074">
        <v>10</v>
      </c>
      <c r="FG2074">
        <v>2675455</v>
      </c>
      <c r="FH2074" t="s">
        <v>1981</v>
      </c>
    </row>
    <row r="2075" spans="1:296" x14ac:dyDescent="0.25">
      <c r="A2075">
        <v>16487082</v>
      </c>
      <c r="B2075">
        <v>2074</v>
      </c>
      <c r="C2075" t="s">
        <v>393</v>
      </c>
      <c r="D2075" t="s">
        <v>394</v>
      </c>
      <c r="F2075" t="str">
        <f>"00-00-31-1390-0012-0030"</f>
        <v>00-00-31-1390-0012-0030</v>
      </c>
      <c r="H2075" t="str">
        <f>"JULIAO RICARDO"</f>
        <v>JULIAO RICARDO</v>
      </c>
      <c r="I2075" t="str">
        <f>"2976-A 1ST AV"</f>
        <v>2976-A 1ST AV</v>
      </c>
      <c r="J2075" t="str">
        <f>"FERNANDINA BEACH FL 32034"</f>
        <v>FERNANDINA BEACH FL 32034</v>
      </c>
      <c r="K2075" t="str">
        <f>"2976 1ST AV A"</f>
        <v>2976 1ST AV A</v>
      </c>
      <c r="L2075" t="str">
        <f t="shared" si="779"/>
        <v>FERNANDINA BEACH FL 32034</v>
      </c>
      <c r="M2075" t="str">
        <f>"PT OF LOT 12 IN OR 1575/378 PRTY WALL &amp; COMMON MAINTENANCE AGREEMENT PT OR 855/1814-1816 HUTCHINS SOUTH BEACH PB 4/70"</f>
        <v>PT OF LOT 12 IN OR 1575/378 PRTY WALL &amp; COMMON MAINTENANCE AGREEMENT PT OR 855/1814-1816 HUTCHINS SOUTH BEACH PB 4/70</v>
      </c>
      <c r="N2075" t="str">
        <f>""</f>
        <v/>
      </c>
      <c r="O2075" t="str">
        <f>"7541"</f>
        <v>7541</v>
      </c>
      <c r="P2075" t="str">
        <f t="shared" si="775"/>
        <v>2017</v>
      </c>
      <c r="Q2075" t="str">
        <f>""</f>
        <v/>
      </c>
      <c r="R2075" t="str">
        <f>"Y"</f>
        <v>Y</v>
      </c>
      <c r="S2075" t="str">
        <f>""</f>
        <v/>
      </c>
      <c r="T2075" t="str">
        <f>"2445.01"</f>
        <v>2445.01</v>
      </c>
      <c r="U2075" t="str">
        <f>"164400.00"</f>
        <v>164400.00</v>
      </c>
      <c r="V2075" t="str">
        <f>"164400.00"</f>
        <v>164400.00</v>
      </c>
      <c r="W2075" t="str">
        <f t="shared" si="776"/>
        <v>2017</v>
      </c>
      <c r="X2075" t="str">
        <f>"2.00"</f>
        <v>2.00</v>
      </c>
      <c r="Y2075" t="str">
        <f>"2550.36"</f>
        <v>2550.36</v>
      </c>
      <c r="Z2075" t="str">
        <f>"25000.00"</f>
        <v>25000.00</v>
      </c>
      <c r="AA2075" t="str">
        <f>"139400.00"</f>
        <v>139400.00</v>
      </c>
      <c r="AB2075" t="str">
        <f t="shared" si="780"/>
        <v>Residential</v>
      </c>
      <c r="AC2075" t="str">
        <f t="shared" si="762"/>
        <v>0</v>
      </c>
      <c r="AD2075" t="str">
        <f>"4"</f>
        <v>4</v>
      </c>
      <c r="AE2075" t="str">
        <f>"WOOD (INCLUDE STEEL STUDS)"</f>
        <v>WOOD (INCLUDE STEEL STUDS)</v>
      </c>
      <c r="AF2075" t="str">
        <f>"001"</f>
        <v>001</v>
      </c>
      <c r="AG2075" t="str">
        <f>"FL"</f>
        <v>FL</v>
      </c>
      <c r="AH2075" t="str">
        <f>"3872.00"</f>
        <v>3872.00</v>
      </c>
      <c r="AI2075" t="str">
        <f>"56000.00"</f>
        <v>56000.00</v>
      </c>
      <c r="AJ2075" t="str">
        <f>"C55-000-585-5612-7"</f>
        <v>C55-000-585-5612-7</v>
      </c>
      <c r="AK2075" t="str">
        <f>"44710"</f>
        <v>44710</v>
      </c>
      <c r="AL2075">
        <v>8</v>
      </c>
      <c r="AM2075">
        <v>2375</v>
      </c>
      <c r="AN2075">
        <v>2676.28</v>
      </c>
      <c r="AQ2075" t="s">
        <v>20090</v>
      </c>
      <c r="AR2075" t="s">
        <v>20090</v>
      </c>
      <c r="AS2075" t="s">
        <v>20090</v>
      </c>
      <c r="AU2075" t="s">
        <v>396</v>
      </c>
      <c r="AV2075">
        <v>2017</v>
      </c>
      <c r="AW2075" t="str">
        <f>"00-00-31-1390-0012-0030 "</f>
        <v xml:space="preserve">00-00-31-1390-0012-0030 </v>
      </c>
      <c r="AX2075">
        <v>2976</v>
      </c>
      <c r="AZ2075" t="s">
        <v>19894</v>
      </c>
      <c r="BA2075" t="s">
        <v>1122</v>
      </c>
      <c r="BC2075" t="s">
        <v>396</v>
      </c>
      <c r="BD2075" t="s">
        <v>11749</v>
      </c>
      <c r="BE2075" t="s">
        <v>393</v>
      </c>
      <c r="BF2075">
        <v>32034</v>
      </c>
      <c r="BG2075" t="s">
        <v>20091</v>
      </c>
      <c r="BH2075" t="s">
        <v>11751</v>
      </c>
      <c r="BI2075">
        <v>-81.440573156768906</v>
      </c>
      <c r="BJ2075">
        <v>30.625214262952898</v>
      </c>
      <c r="BK2075" t="s">
        <v>20092</v>
      </c>
      <c r="BM2075" t="s">
        <v>20093</v>
      </c>
      <c r="BN2075" t="s">
        <v>3983</v>
      </c>
      <c r="BO2075">
        <v>32034</v>
      </c>
      <c r="BP2075" t="s">
        <v>416</v>
      </c>
      <c r="BQ2075">
        <v>100</v>
      </c>
      <c r="BR2075" t="s">
        <v>514</v>
      </c>
      <c r="BS2075">
        <v>1001</v>
      </c>
      <c r="BT2075" t="s">
        <v>515</v>
      </c>
      <c r="BU2075">
        <v>320</v>
      </c>
      <c r="BV2075">
        <v>1210</v>
      </c>
      <c r="BW2075">
        <v>3929</v>
      </c>
      <c r="BX2075" t="s">
        <v>407</v>
      </c>
      <c r="BZ2075">
        <v>4</v>
      </c>
      <c r="CA2075">
        <v>1998</v>
      </c>
      <c r="CB2075">
        <v>3</v>
      </c>
      <c r="CC2075">
        <v>1</v>
      </c>
      <c r="CD2075">
        <v>2017</v>
      </c>
      <c r="CG2075">
        <v>164400</v>
      </c>
      <c r="CH2075">
        <v>2017</v>
      </c>
      <c r="CI2075">
        <v>56000</v>
      </c>
      <c r="CJ2075">
        <v>160753</v>
      </c>
      <c r="CK2075">
        <v>216753</v>
      </c>
      <c r="CL2075">
        <v>2017</v>
      </c>
      <c r="CM2075">
        <v>2445.0100000000002</v>
      </c>
      <c r="CN2075" s="1">
        <v>39632</v>
      </c>
      <c r="CZ2075" s="1">
        <v>39632</v>
      </c>
      <c r="DD2075" t="s">
        <v>11749</v>
      </c>
      <c r="DF2075">
        <v>12</v>
      </c>
      <c r="DG2075">
        <v>6</v>
      </c>
      <c r="DI2075" t="s">
        <v>396</v>
      </c>
      <c r="DL2075">
        <v>50202</v>
      </c>
      <c r="DM2075" t="s">
        <v>19579</v>
      </c>
      <c r="DO2075" t="s">
        <v>20094</v>
      </c>
      <c r="DP2075">
        <v>0</v>
      </c>
      <c r="DQ2075">
        <v>0</v>
      </c>
      <c r="DR2075" t="s">
        <v>411</v>
      </c>
      <c r="EP2075" t="s">
        <v>421</v>
      </c>
      <c r="EQ2075" t="s">
        <v>422</v>
      </c>
      <c r="ER2075">
        <v>0</v>
      </c>
      <c r="ES2075">
        <v>2</v>
      </c>
      <c r="ET2075">
        <v>0</v>
      </c>
      <c r="EU2075">
        <v>0</v>
      </c>
      <c r="EV2075">
        <v>0</v>
      </c>
      <c r="EW2075" s="2">
        <v>43222</v>
      </c>
      <c r="EX2075" s="1">
        <v>42879</v>
      </c>
      <c r="EY2075">
        <v>2016</v>
      </c>
      <c r="EZ2075">
        <v>2641.66</v>
      </c>
      <c r="FA2075" t="s">
        <v>20095</v>
      </c>
      <c r="FB2075">
        <v>0.25</v>
      </c>
      <c r="FC2075" t="s">
        <v>424</v>
      </c>
      <c r="FD2075" t="s">
        <v>425</v>
      </c>
      <c r="FE2075" s="1">
        <v>42930</v>
      </c>
      <c r="FF2075">
        <v>2</v>
      </c>
      <c r="FG2075">
        <v>7336671</v>
      </c>
      <c r="FH2075" t="s">
        <v>437</v>
      </c>
      <c r="FJ2075" s="1">
        <v>42879</v>
      </c>
      <c r="FK2075">
        <v>2016</v>
      </c>
      <c r="FL2075">
        <v>2641.66</v>
      </c>
      <c r="FM2075" t="s">
        <v>20095</v>
      </c>
      <c r="FN2075">
        <v>0.25</v>
      </c>
      <c r="FO2075" t="s">
        <v>424</v>
      </c>
      <c r="FP2075" t="s">
        <v>425</v>
      </c>
      <c r="FR2075">
        <v>22</v>
      </c>
      <c r="FS2075">
        <v>6760903</v>
      </c>
      <c r="FT2075" t="s">
        <v>20096</v>
      </c>
    </row>
    <row r="2076" spans="1:296" x14ac:dyDescent="0.25">
      <c r="A2076">
        <v>16487083</v>
      </c>
      <c r="B2076">
        <v>2075</v>
      </c>
      <c r="C2076" t="s">
        <v>393</v>
      </c>
      <c r="D2076" t="s">
        <v>394</v>
      </c>
      <c r="F2076" t="str">
        <f>"00-00-31-1390-0013-0000"</f>
        <v>00-00-31-1390-0013-0000</v>
      </c>
      <c r="H2076" t="str">
        <f>"RIVER GREEN ESTATES LLC"</f>
        <v>RIVER GREEN ESTATES LLC</v>
      </c>
      <c r="I2076" t="str">
        <f>"11323 PHILLIPS PKWY DR E STE 7"</f>
        <v>11323 PHILLIPS PKWY DR E STE 7</v>
      </c>
      <c r="J2076" t="str">
        <f>"JACKSONVILLE FL 32256"</f>
        <v>JACKSONVILLE FL 32256</v>
      </c>
      <c r="K2076" t="str">
        <f>"1ST AV"</f>
        <v>1ST AV</v>
      </c>
      <c r="L2076" t="str">
        <f t="shared" si="779"/>
        <v>FERNANDINA BEACH FL 32034</v>
      </c>
      <c r="M2076" t="str">
        <f>"TRACT 13 IN OR 2056/280 HUTCHNS SOUTH BEACH PB 4/70"</f>
        <v>TRACT 13 IN OR 2056/280 HUTCHNS SOUTH BEACH PB 4/70</v>
      </c>
      <c r="N2076" t="str">
        <f>""</f>
        <v/>
      </c>
      <c r="O2076" t="str">
        <f>"7542"</f>
        <v>7542</v>
      </c>
      <c r="P2076" t="str">
        <f t="shared" si="775"/>
        <v>2017</v>
      </c>
      <c r="Q2076" t="str">
        <f>""</f>
        <v/>
      </c>
      <c r="R2076" t="str">
        <f>"N"</f>
        <v>N</v>
      </c>
      <c r="S2076" t="str">
        <f>""</f>
        <v/>
      </c>
      <c r="T2076" t="str">
        <f>"2720.55"</f>
        <v>2720.55</v>
      </c>
      <c r="U2076" t="str">
        <f>"136500.00"</f>
        <v>136500.00</v>
      </c>
      <c r="V2076" t="str">
        <f>"136500.00"</f>
        <v>136500.00</v>
      </c>
      <c r="W2076" t="str">
        <f t="shared" si="776"/>
        <v>2017</v>
      </c>
      <c r="X2076" t="str">
        <f>""</f>
        <v/>
      </c>
      <c r="Y2076" t="str">
        <f>"2834.17"</f>
        <v>2834.17</v>
      </c>
      <c r="Z2076" t="str">
        <f>""</f>
        <v/>
      </c>
      <c r="AA2076" t="str">
        <f>"136500.00"</f>
        <v>136500.00</v>
      </c>
      <c r="AB2076" t="str">
        <f t="shared" si="780"/>
        <v>Residential</v>
      </c>
      <c r="AC2076" t="str">
        <f t="shared" si="762"/>
        <v>0</v>
      </c>
      <c r="AD2076" t="str">
        <f>""</f>
        <v/>
      </c>
      <c r="AE2076" t="str">
        <f>""</f>
        <v/>
      </c>
      <c r="AF2076" t="str">
        <f>"000"</f>
        <v>000</v>
      </c>
      <c r="AG2076" t="str">
        <f>"FL"</f>
        <v>FL</v>
      </c>
      <c r="AH2076" t="str">
        <f>"9360.00"</f>
        <v>9360.00</v>
      </c>
      <c r="AI2076" t="str">
        <f>"136500.00"</f>
        <v>136500.00</v>
      </c>
      <c r="AJ2076" t="str">
        <f>"C55-000-585-5613-5"</f>
        <v>C55-000-585-5613-5</v>
      </c>
      <c r="AK2076" t="str">
        <f>"44711"</f>
        <v>44711</v>
      </c>
      <c r="AL2076">
        <v>8</v>
      </c>
      <c r="AM2076">
        <v>2376</v>
      </c>
      <c r="AN2076">
        <v>2974.28</v>
      </c>
      <c r="AQ2076" t="s">
        <v>20097</v>
      </c>
      <c r="AR2076" t="s">
        <v>20097</v>
      </c>
      <c r="AS2076" t="s">
        <v>20097</v>
      </c>
      <c r="AU2076" t="s">
        <v>396</v>
      </c>
      <c r="AV2076">
        <v>2017</v>
      </c>
      <c r="AW2076" t="str">
        <f>"00-00-31-1390-0013-0000 "</f>
        <v xml:space="preserve">00-00-31-1390-0013-0000 </v>
      </c>
      <c r="AZ2076" t="s">
        <v>19894</v>
      </c>
      <c r="BA2076" t="s">
        <v>1122</v>
      </c>
      <c r="BD2076" t="s">
        <v>11749</v>
      </c>
      <c r="BE2076" t="s">
        <v>393</v>
      </c>
      <c r="BF2076">
        <v>32034</v>
      </c>
      <c r="BG2076" t="s">
        <v>20098</v>
      </c>
      <c r="BH2076" t="s">
        <v>11751</v>
      </c>
      <c r="BI2076">
        <v>-81.440544731393302</v>
      </c>
      <c r="BJ2076">
        <v>30.625364167839699</v>
      </c>
      <c r="BK2076" t="s">
        <v>20099</v>
      </c>
      <c r="BM2076" t="s">
        <v>20100</v>
      </c>
      <c r="BN2076" t="s">
        <v>548</v>
      </c>
      <c r="BO2076">
        <v>32256</v>
      </c>
      <c r="BP2076" t="s">
        <v>404</v>
      </c>
      <c r="BQ2076">
        <v>0</v>
      </c>
      <c r="BR2076" t="s">
        <v>491</v>
      </c>
      <c r="BS2076">
        <v>8001</v>
      </c>
      <c r="BT2076" t="s">
        <v>492</v>
      </c>
      <c r="BU2076">
        <v>780</v>
      </c>
      <c r="BV2076">
        <v>1200</v>
      </c>
      <c r="BW2076">
        <v>9436</v>
      </c>
      <c r="BX2076" t="s">
        <v>407</v>
      </c>
      <c r="CD2076">
        <v>2017</v>
      </c>
      <c r="CE2076">
        <v>136500</v>
      </c>
      <c r="CG2076">
        <v>136500</v>
      </c>
      <c r="CH2076">
        <v>2017</v>
      </c>
      <c r="CI2076">
        <v>136500</v>
      </c>
      <c r="CK2076">
        <v>136500</v>
      </c>
      <c r="CL2076">
        <v>2017</v>
      </c>
      <c r="CM2076">
        <v>2720.55</v>
      </c>
      <c r="CN2076" s="1">
        <v>42556</v>
      </c>
      <c r="CO2076">
        <v>150000</v>
      </c>
      <c r="CV2076">
        <v>155400</v>
      </c>
      <c r="CX2076" t="s">
        <v>693</v>
      </c>
      <c r="CZ2076" s="1">
        <v>42556</v>
      </c>
      <c r="DA2076">
        <v>0</v>
      </c>
      <c r="DD2076" t="s">
        <v>11749</v>
      </c>
      <c r="DG2076">
        <v>6</v>
      </c>
      <c r="DJ2076" t="s">
        <v>20101</v>
      </c>
      <c r="DL2076">
        <v>50202</v>
      </c>
      <c r="DM2076" t="s">
        <v>19579</v>
      </c>
      <c r="DO2076" t="s">
        <v>20102</v>
      </c>
      <c r="DP2076">
        <v>0</v>
      </c>
      <c r="DQ2076">
        <v>0</v>
      </c>
      <c r="DR2076" t="s">
        <v>411</v>
      </c>
      <c r="EP2076" t="s">
        <v>421</v>
      </c>
      <c r="EQ2076" t="s">
        <v>422</v>
      </c>
      <c r="ER2076">
        <v>2</v>
      </c>
      <c r="ES2076">
        <v>0</v>
      </c>
      <c r="ET2076">
        <v>5177.88</v>
      </c>
      <c r="EU2076">
        <v>271.39</v>
      </c>
      <c r="EV2076">
        <v>5449.27</v>
      </c>
      <c r="EW2076" s="2">
        <v>43222</v>
      </c>
      <c r="EX2076" s="1">
        <v>42879</v>
      </c>
      <c r="EY2076">
        <v>2016</v>
      </c>
      <c r="EZ2076">
        <v>2588.94</v>
      </c>
      <c r="FA2076" t="s">
        <v>20103</v>
      </c>
      <c r="FB2076">
        <v>0.25</v>
      </c>
      <c r="FC2076" t="s">
        <v>424</v>
      </c>
      <c r="FD2076" t="s">
        <v>454</v>
      </c>
      <c r="FF2076">
        <v>12</v>
      </c>
      <c r="FG2076">
        <v>2851116</v>
      </c>
      <c r="FH2076" t="s">
        <v>480</v>
      </c>
      <c r="FJ2076" s="1">
        <v>42879</v>
      </c>
      <c r="FK2076">
        <v>2016</v>
      </c>
      <c r="FL2076">
        <v>2588.94</v>
      </c>
      <c r="FM2076" t="s">
        <v>20103</v>
      </c>
      <c r="FN2076">
        <v>0.25</v>
      </c>
      <c r="FO2076" t="s">
        <v>424</v>
      </c>
      <c r="FP2076" t="s">
        <v>454</v>
      </c>
      <c r="FR2076">
        <v>12</v>
      </c>
      <c r="FS2076">
        <v>5408959</v>
      </c>
      <c r="FT2076" t="s">
        <v>20104</v>
      </c>
    </row>
    <row r="2077" spans="1:296" x14ac:dyDescent="0.25">
      <c r="A2077">
        <v>16487084</v>
      </c>
      <c r="B2077">
        <v>2076</v>
      </c>
      <c r="C2077" t="s">
        <v>393</v>
      </c>
      <c r="D2077" t="s">
        <v>394</v>
      </c>
      <c r="F2077" t="str">
        <f>"00-00-31-142I-0013-0000"</f>
        <v>00-00-31-142I-0013-0000</v>
      </c>
      <c r="H2077" t="str">
        <f>"DEADY ERIC M"</f>
        <v>DEADY ERIC M</v>
      </c>
      <c r="I2077" t="str">
        <f>"1035 ISLE OF PALMS LN"</f>
        <v>1035 ISLE OF PALMS LN</v>
      </c>
      <c r="J2077" t="str">
        <f>"FERNANDINA BEACH FL 32034"</f>
        <v>FERNANDINA BEACH FL 32034</v>
      </c>
      <c r="K2077" t="str">
        <f>"1035 ISLE OF PALMS LN"</f>
        <v>1035 ISLE OF PALMS LN</v>
      </c>
      <c r="L2077" t="str">
        <f t="shared" si="779"/>
        <v>FERNANDINA BEACH FL 32034</v>
      </c>
      <c r="M2077" t="str">
        <f>"LOT 13 IN OR 1810/508 ISLE OF PALMS OF AMELIA PB 6/189"</f>
        <v>LOT 13 IN OR 1810/508 ISLE OF PALMS OF AMELIA PB 6/189</v>
      </c>
      <c r="N2077" t="str">
        <f>""</f>
        <v/>
      </c>
      <c r="O2077" t="str">
        <f>"7749"</f>
        <v>7749</v>
      </c>
      <c r="P2077" t="str">
        <f t="shared" si="775"/>
        <v>2017</v>
      </c>
      <c r="Q2077" t="str">
        <f>""</f>
        <v/>
      </c>
      <c r="R2077" t="str">
        <f>"Y"</f>
        <v>Y</v>
      </c>
      <c r="S2077" t="str">
        <f>""</f>
        <v/>
      </c>
      <c r="T2077" t="str">
        <f>"2506.70"</f>
        <v>2506.70</v>
      </c>
      <c r="U2077" t="str">
        <f>"167494.00"</f>
        <v>167494.00</v>
      </c>
      <c r="V2077" t="str">
        <f>"167494.00"</f>
        <v>167494.00</v>
      </c>
      <c r="W2077" t="str">
        <f t="shared" si="776"/>
        <v>2017</v>
      </c>
      <c r="X2077" t="str">
        <f>"6.50"</f>
        <v>6.50</v>
      </c>
      <c r="Y2077" t="str">
        <f>"2613.90"</f>
        <v>2613.90</v>
      </c>
      <c r="Z2077" t="str">
        <f>"25000.00"</f>
        <v>25000.00</v>
      </c>
      <c r="AA2077" t="str">
        <f>"142494.00"</f>
        <v>142494.00</v>
      </c>
      <c r="AB2077" t="str">
        <f t="shared" si="780"/>
        <v>Residential</v>
      </c>
      <c r="AC2077" t="str">
        <f t="shared" si="762"/>
        <v>0</v>
      </c>
      <c r="AD2077" t="str">
        <f>"4"</f>
        <v>4</v>
      </c>
      <c r="AE2077" t="str">
        <f>"WOOD (INCLUDE STEEL STUDS)"</f>
        <v>WOOD (INCLUDE STEEL STUDS)</v>
      </c>
      <c r="AF2077" t="str">
        <f>"001"</f>
        <v>001</v>
      </c>
      <c r="AG2077" t="str">
        <f>"FL"</f>
        <v>FL</v>
      </c>
      <c r="AH2077" t="str">
        <f>"-"</f>
        <v>-</v>
      </c>
      <c r="AI2077" t="str">
        <f>"63000.00"</f>
        <v>63000.00</v>
      </c>
      <c r="AJ2077" t="str">
        <f>"C55-000-585-5799-2"</f>
        <v>C55-000-585-5799-2</v>
      </c>
      <c r="AK2077" t="str">
        <f>"44891"</f>
        <v>44891</v>
      </c>
      <c r="AL2077">
        <v>8</v>
      </c>
      <c r="AM2077">
        <v>2378</v>
      </c>
      <c r="AN2077">
        <v>2743</v>
      </c>
      <c r="AQ2077" t="s">
        <v>20105</v>
      </c>
      <c r="AR2077" t="s">
        <v>20105</v>
      </c>
      <c r="AS2077" t="s">
        <v>20105</v>
      </c>
      <c r="AU2077" t="s">
        <v>396</v>
      </c>
      <c r="AV2077">
        <v>2017</v>
      </c>
      <c r="AW2077" t="str">
        <f>"00-00-31-142I-0013-0000 "</f>
        <v xml:space="preserve">00-00-31-142I-0013-0000 </v>
      </c>
      <c r="AX2077">
        <v>1035</v>
      </c>
      <c r="AZ2077" t="s">
        <v>20106</v>
      </c>
      <c r="BA2077" t="s">
        <v>653</v>
      </c>
      <c r="BD2077" t="s">
        <v>11749</v>
      </c>
      <c r="BE2077" t="s">
        <v>393</v>
      </c>
      <c r="BF2077">
        <v>32034</v>
      </c>
      <c r="BG2077" t="s">
        <v>20107</v>
      </c>
      <c r="BH2077" t="s">
        <v>11751</v>
      </c>
      <c r="BI2077">
        <v>-81.450548988003703</v>
      </c>
      <c r="BJ2077">
        <v>30.655546011169498</v>
      </c>
      <c r="BK2077" t="s">
        <v>20108</v>
      </c>
      <c r="BM2077" t="s">
        <v>20107</v>
      </c>
      <c r="BN2077" t="s">
        <v>3983</v>
      </c>
      <c r="BO2077">
        <v>32034</v>
      </c>
      <c r="BP2077" t="s">
        <v>416</v>
      </c>
      <c r="BQ2077">
        <v>100</v>
      </c>
      <c r="BR2077" t="s">
        <v>514</v>
      </c>
      <c r="BS2077">
        <v>1001</v>
      </c>
      <c r="BT2077" t="s">
        <v>515</v>
      </c>
      <c r="BW2077">
        <v>10442</v>
      </c>
      <c r="BX2077" t="s">
        <v>407</v>
      </c>
      <c r="BY2077" t="s">
        <v>5383</v>
      </c>
      <c r="BZ2077">
        <v>4</v>
      </c>
      <c r="CA2077">
        <v>2002</v>
      </c>
      <c r="CB2077">
        <v>1</v>
      </c>
      <c r="CC2077">
        <v>1</v>
      </c>
      <c r="CD2077">
        <v>2017</v>
      </c>
      <c r="CG2077">
        <v>167494</v>
      </c>
      <c r="CH2077">
        <v>2017</v>
      </c>
      <c r="CI2077">
        <v>63000</v>
      </c>
      <c r="CJ2077">
        <v>116527</v>
      </c>
      <c r="CK2077">
        <v>179527</v>
      </c>
      <c r="CL2077">
        <v>2017</v>
      </c>
      <c r="CM2077">
        <v>2506.6999999999998</v>
      </c>
      <c r="CN2077" s="1">
        <v>41150</v>
      </c>
      <c r="CO2077">
        <v>275000</v>
      </c>
      <c r="CV2077">
        <v>275000</v>
      </c>
      <c r="CX2077" t="s">
        <v>707</v>
      </c>
      <c r="CZ2077" s="1">
        <v>41150</v>
      </c>
      <c r="DA2077">
        <v>0</v>
      </c>
      <c r="DD2077" t="s">
        <v>11749</v>
      </c>
      <c r="DF2077">
        <v>13</v>
      </c>
      <c r="DG2077">
        <v>25</v>
      </c>
      <c r="DJ2077" t="s">
        <v>20109</v>
      </c>
      <c r="DL2077">
        <v>50101</v>
      </c>
      <c r="DM2077" t="s">
        <v>20110</v>
      </c>
      <c r="DO2077" t="s">
        <v>20111</v>
      </c>
      <c r="DP2077">
        <v>0</v>
      </c>
      <c r="DQ2077">
        <v>0</v>
      </c>
      <c r="DR2077" t="s">
        <v>411</v>
      </c>
      <c r="DS2077" t="b">
        <v>1</v>
      </c>
      <c r="DT2077" t="s">
        <v>470</v>
      </c>
      <c r="DU2077" t="s">
        <v>471</v>
      </c>
      <c r="DV2077" t="s">
        <v>472</v>
      </c>
      <c r="DX2077">
        <v>-9999</v>
      </c>
      <c r="DZ2077" t="s">
        <v>447</v>
      </c>
      <c r="EA2077" t="s">
        <v>448</v>
      </c>
      <c r="EB2077" t="s">
        <v>14787</v>
      </c>
      <c r="EC2077">
        <v>20101217</v>
      </c>
      <c r="ED2077" t="s">
        <v>474</v>
      </c>
      <c r="EF2077">
        <v>1613.2</v>
      </c>
      <c r="EG2077">
        <v>1379.1</v>
      </c>
      <c r="EH2077" t="s">
        <v>451</v>
      </c>
      <c r="EI2077">
        <v>20140731</v>
      </c>
      <c r="EJ2077">
        <v>0</v>
      </c>
      <c r="EK2077">
        <v>0</v>
      </c>
      <c r="EP2077" t="s">
        <v>421</v>
      </c>
      <c r="EQ2077" t="s">
        <v>422</v>
      </c>
      <c r="ER2077">
        <v>0</v>
      </c>
      <c r="ES2077">
        <v>3</v>
      </c>
      <c r="ET2077">
        <v>0</v>
      </c>
      <c r="EU2077">
        <v>0</v>
      </c>
      <c r="EV2077">
        <v>0</v>
      </c>
      <c r="EW2077" s="2">
        <v>43222</v>
      </c>
      <c r="EX2077" s="1">
        <v>42879</v>
      </c>
      <c r="EY2077">
        <v>2016</v>
      </c>
      <c r="EZ2077">
        <v>2708</v>
      </c>
      <c r="FA2077" t="s">
        <v>20112</v>
      </c>
      <c r="FB2077">
        <v>0.25</v>
      </c>
      <c r="FC2077" t="s">
        <v>424</v>
      </c>
      <c r="FD2077" t="s">
        <v>425</v>
      </c>
      <c r="FE2077" s="1">
        <v>42893</v>
      </c>
      <c r="FF2077">
        <v>1</v>
      </c>
      <c r="FG2077">
        <v>5857474</v>
      </c>
      <c r="FH2077" t="s">
        <v>900</v>
      </c>
      <c r="FJ2077" s="1">
        <v>42879</v>
      </c>
      <c r="FK2077">
        <v>2016</v>
      </c>
      <c r="FL2077">
        <v>2708</v>
      </c>
      <c r="FM2077" t="s">
        <v>20112</v>
      </c>
      <c r="FN2077">
        <v>0.25</v>
      </c>
      <c r="FO2077" t="s">
        <v>424</v>
      </c>
      <c r="FP2077" t="s">
        <v>425</v>
      </c>
      <c r="FR2077">
        <v>22</v>
      </c>
      <c r="FS2077">
        <v>6314576</v>
      </c>
      <c r="FT2077" t="s">
        <v>20113</v>
      </c>
      <c r="FV2077" s="1">
        <v>41787</v>
      </c>
      <c r="FW2077">
        <v>2013</v>
      </c>
      <c r="FX2077">
        <v>2576.9699999999998</v>
      </c>
      <c r="FY2077" t="s">
        <v>20114</v>
      </c>
      <c r="FZ2077">
        <v>0.25</v>
      </c>
      <c r="GA2077" t="s">
        <v>424</v>
      </c>
      <c r="GB2077" t="s">
        <v>425</v>
      </c>
      <c r="GC2077" s="1">
        <v>42143</v>
      </c>
      <c r="GD2077">
        <v>12</v>
      </c>
      <c r="GE2077">
        <v>15401</v>
      </c>
      <c r="GF2077" t="s">
        <v>3776</v>
      </c>
    </row>
    <row r="2078" spans="1:296" x14ac:dyDescent="0.25">
      <c r="A2078">
        <v>16487085</v>
      </c>
      <c r="B2078">
        <v>2077</v>
      </c>
      <c r="C2078" t="s">
        <v>393</v>
      </c>
      <c r="D2078" t="s">
        <v>394</v>
      </c>
      <c r="F2078" t="str">
        <f>"00-00-31-142L-0007-00E0"</f>
        <v>00-00-31-142L-0007-00E0</v>
      </c>
      <c r="H2078" t="str">
        <f>"TAYLOR SCOTT"</f>
        <v>TAYLOR SCOTT</v>
      </c>
      <c r="I2078" t="str">
        <f>"145 COOL BREEZE LN"</f>
        <v>145 COOL BREEZE LN</v>
      </c>
      <c r="J2078" t="str">
        <f>"ALMA GA 31510"</f>
        <v>ALMA GA 31510</v>
      </c>
      <c r="K2078" t="str">
        <f>"2328 SADLER RD 7-E"</f>
        <v>2328 SADLER RD 7-E</v>
      </c>
      <c r="L2078" t="str">
        <f t="shared" si="779"/>
        <v>FERNANDINA BEACH FL 32034</v>
      </c>
      <c r="M2078" t="str">
        <f>"UNIT 7-E IN OR 942/395 AMELIA LANDINGS II OR 407/599"</f>
        <v>UNIT 7-E IN OR 942/395 AMELIA LANDINGS II OR 407/599</v>
      </c>
      <c r="N2078" t="str">
        <f>""</f>
        <v/>
      </c>
      <c r="O2078" t="str">
        <f>"7804"</f>
        <v>7804</v>
      </c>
      <c r="P2078" t="str">
        <f t="shared" si="775"/>
        <v>2017</v>
      </c>
      <c r="Q2078" t="str">
        <f>""</f>
        <v/>
      </c>
      <c r="R2078" t="str">
        <f>"N"</f>
        <v>N</v>
      </c>
      <c r="S2078" t="str">
        <f>""</f>
        <v/>
      </c>
      <c r="T2078" t="str">
        <f>"2272.10"</f>
        <v>2272.10</v>
      </c>
      <c r="U2078" t="str">
        <f>"114000.00"</f>
        <v>114000.00</v>
      </c>
      <c r="V2078" t="str">
        <f>"114000.00"</f>
        <v>114000.00</v>
      </c>
      <c r="W2078" t="str">
        <f t="shared" si="776"/>
        <v>2017</v>
      </c>
      <c r="X2078" t="str">
        <f>"12.89"</f>
        <v>12.89</v>
      </c>
      <c r="Y2078" t="str">
        <f>"2372.26"</f>
        <v>2372.26</v>
      </c>
      <c r="Z2078" t="str">
        <f>""</f>
        <v/>
      </c>
      <c r="AA2078" t="str">
        <f>"114000.00"</f>
        <v>114000.00</v>
      </c>
      <c r="AB2078" t="str">
        <f t="shared" si="780"/>
        <v>Residential</v>
      </c>
      <c r="AC2078" t="str">
        <f t="shared" ref="AC2078:AC2141" si="781">"0"</f>
        <v>0</v>
      </c>
      <c r="AD2078" t="str">
        <f>""</f>
        <v/>
      </c>
      <c r="AE2078" t="str">
        <f>""</f>
        <v/>
      </c>
      <c r="AF2078" t="str">
        <f>"004"</f>
        <v>004</v>
      </c>
      <c r="AG2078" t="str">
        <f>"GA"</f>
        <v>GA</v>
      </c>
      <c r="AH2078" t="str">
        <f>"-"</f>
        <v>-</v>
      </c>
      <c r="AI2078" t="str">
        <f>"-"</f>
        <v>-</v>
      </c>
      <c r="AJ2078" t="str">
        <f>"C55-000-585-5853-7"</f>
        <v>C55-000-585-5853-7</v>
      </c>
      <c r="AK2078" t="str">
        <f>"44945"</f>
        <v>44945</v>
      </c>
      <c r="AL2078">
        <v>8</v>
      </c>
      <c r="AM2078">
        <v>2379</v>
      </c>
      <c r="AN2078">
        <v>2489.27</v>
      </c>
      <c r="AQ2078" t="s">
        <v>20115</v>
      </c>
      <c r="AR2078" t="s">
        <v>20115</v>
      </c>
      <c r="AS2078" t="s">
        <v>20115</v>
      </c>
      <c r="AU2078" t="s">
        <v>396</v>
      </c>
      <c r="AV2078">
        <v>2017</v>
      </c>
      <c r="AW2078" t="str">
        <f>"00-00-31-142L-0007-00E0 "</f>
        <v xml:space="preserve">00-00-31-142L-0007-00E0 </v>
      </c>
      <c r="AX2078">
        <v>2328</v>
      </c>
      <c r="AZ2078" t="s">
        <v>19307</v>
      </c>
      <c r="BA2078" t="s">
        <v>496</v>
      </c>
      <c r="BC2078" t="s">
        <v>20116</v>
      </c>
      <c r="BD2078" t="s">
        <v>11749</v>
      </c>
      <c r="BE2078" t="s">
        <v>393</v>
      </c>
      <c r="BF2078">
        <v>32034</v>
      </c>
      <c r="BG2078" t="s">
        <v>20117</v>
      </c>
      <c r="BH2078" t="s">
        <v>11751</v>
      </c>
      <c r="BI2078">
        <v>-81.441583024592902</v>
      </c>
      <c r="BJ2078">
        <v>30.63782518272</v>
      </c>
      <c r="BK2078" t="s">
        <v>20118</v>
      </c>
      <c r="BM2078" t="s">
        <v>20119</v>
      </c>
      <c r="BN2078" t="s">
        <v>20120</v>
      </c>
      <c r="BO2078">
        <v>31510</v>
      </c>
      <c r="BP2078" t="s">
        <v>404</v>
      </c>
      <c r="BQ2078">
        <v>400</v>
      </c>
      <c r="BR2078" t="s">
        <v>15097</v>
      </c>
      <c r="BS2078">
        <v>1004</v>
      </c>
      <c r="BT2078" t="s">
        <v>15098</v>
      </c>
      <c r="BW2078">
        <v>354082</v>
      </c>
      <c r="BX2078" t="s">
        <v>407</v>
      </c>
      <c r="CA2078">
        <v>1983</v>
      </c>
      <c r="CC2078">
        <v>1</v>
      </c>
      <c r="CD2078">
        <v>2017</v>
      </c>
      <c r="CF2078">
        <v>114000</v>
      </c>
      <c r="CG2078">
        <v>114000</v>
      </c>
      <c r="CH2078">
        <v>2017</v>
      </c>
      <c r="CJ2078">
        <v>114000</v>
      </c>
      <c r="CK2078">
        <v>114000</v>
      </c>
      <c r="CL2078">
        <v>2017</v>
      </c>
      <c r="CM2078">
        <v>2272.1</v>
      </c>
      <c r="CN2078" s="1">
        <v>36732</v>
      </c>
      <c r="CO2078">
        <v>75000</v>
      </c>
      <c r="CV2078">
        <v>0</v>
      </c>
      <c r="CZ2078" s="1">
        <v>36732</v>
      </c>
      <c r="DA2078">
        <v>0</v>
      </c>
      <c r="DD2078" t="s">
        <v>11749</v>
      </c>
      <c r="DG2078">
        <v>20</v>
      </c>
      <c r="DI2078" t="s">
        <v>20121</v>
      </c>
      <c r="DJ2078" t="s">
        <v>20122</v>
      </c>
      <c r="DL2078">
        <v>50202</v>
      </c>
      <c r="DM2078" t="s">
        <v>19314</v>
      </c>
      <c r="DO2078" t="s">
        <v>20123</v>
      </c>
      <c r="DP2078">
        <v>0</v>
      </c>
      <c r="DQ2078">
        <v>0</v>
      </c>
      <c r="DR2078" t="s">
        <v>411</v>
      </c>
      <c r="DS2078" t="b">
        <v>1</v>
      </c>
      <c r="DT2078" t="s">
        <v>8902</v>
      </c>
      <c r="DV2078" t="s">
        <v>446</v>
      </c>
      <c r="DX2078">
        <v>9</v>
      </c>
      <c r="DY2078" t="s">
        <v>11438</v>
      </c>
      <c r="DZ2078" t="s">
        <v>447</v>
      </c>
      <c r="EA2078" t="s">
        <v>448</v>
      </c>
      <c r="EB2078" t="s">
        <v>19316</v>
      </c>
      <c r="EC2078">
        <v>20101217</v>
      </c>
      <c r="ED2078" t="s">
        <v>450</v>
      </c>
      <c r="EE2078">
        <v>5</v>
      </c>
      <c r="EF2078">
        <v>0</v>
      </c>
      <c r="EG2078">
        <v>0</v>
      </c>
      <c r="EI2078">
        <v>20160407</v>
      </c>
      <c r="EJ2078">
        <v>0</v>
      </c>
      <c r="EK2078">
        <v>0</v>
      </c>
      <c r="EP2078" t="s">
        <v>421</v>
      </c>
      <c r="EQ2078" t="s">
        <v>422</v>
      </c>
      <c r="ER2078">
        <v>2</v>
      </c>
      <c r="ES2078">
        <v>10</v>
      </c>
      <c r="ET2078">
        <v>4652.32</v>
      </c>
      <c r="EU2078">
        <v>245.12</v>
      </c>
      <c r="EV2078">
        <v>4897.4399999999996</v>
      </c>
      <c r="EW2078" s="2">
        <v>43222</v>
      </c>
      <c r="EX2078" s="1">
        <v>42879</v>
      </c>
      <c r="EY2078">
        <v>2016</v>
      </c>
      <c r="EZ2078">
        <v>2326.16</v>
      </c>
      <c r="FA2078" t="s">
        <v>20124</v>
      </c>
      <c r="FB2078">
        <v>0.25</v>
      </c>
      <c r="FC2078" t="s">
        <v>424</v>
      </c>
      <c r="FD2078" t="s">
        <v>454</v>
      </c>
      <c r="FF2078">
        <v>12</v>
      </c>
      <c r="FG2078">
        <v>11289</v>
      </c>
      <c r="FH2078" t="s">
        <v>787</v>
      </c>
      <c r="FJ2078" s="1">
        <v>42879</v>
      </c>
      <c r="FK2078">
        <v>2016</v>
      </c>
      <c r="FL2078">
        <v>2326.16</v>
      </c>
      <c r="FM2078" t="s">
        <v>20124</v>
      </c>
      <c r="FN2078">
        <v>0.25</v>
      </c>
      <c r="FO2078" t="s">
        <v>424</v>
      </c>
      <c r="FP2078" t="s">
        <v>454</v>
      </c>
      <c r="FR2078">
        <v>12</v>
      </c>
      <c r="FS2078">
        <v>7062142</v>
      </c>
      <c r="FT2078" t="s">
        <v>20125</v>
      </c>
      <c r="FV2078" s="1">
        <v>42515</v>
      </c>
      <c r="FW2078">
        <v>2015</v>
      </c>
      <c r="FX2078">
        <v>2193.5100000000002</v>
      </c>
      <c r="FY2078" t="s">
        <v>20126</v>
      </c>
      <c r="FZ2078">
        <v>0.25</v>
      </c>
      <c r="GA2078" t="s">
        <v>424</v>
      </c>
      <c r="GB2078" t="s">
        <v>425</v>
      </c>
      <c r="GC2078" s="1">
        <v>43073</v>
      </c>
      <c r="GD2078">
        <v>19</v>
      </c>
      <c r="GE2078">
        <v>11289</v>
      </c>
      <c r="GF2078" t="s">
        <v>787</v>
      </c>
      <c r="GH2078" s="1">
        <v>42515</v>
      </c>
      <c r="GI2078">
        <v>2015</v>
      </c>
      <c r="GJ2078">
        <v>2193.5100000000002</v>
      </c>
      <c r="GK2078" t="s">
        <v>20126</v>
      </c>
      <c r="GL2078">
        <v>0.25</v>
      </c>
      <c r="GM2078" t="s">
        <v>424</v>
      </c>
      <c r="GN2078" t="s">
        <v>425</v>
      </c>
      <c r="GP2078">
        <v>22</v>
      </c>
      <c r="GQ2078">
        <v>7122356</v>
      </c>
      <c r="GR2078" t="s">
        <v>20127</v>
      </c>
      <c r="GT2078" s="1">
        <v>42151</v>
      </c>
      <c r="GU2078">
        <v>2014</v>
      </c>
      <c r="GV2078">
        <v>2003.14</v>
      </c>
      <c r="GW2078" t="s">
        <v>20128</v>
      </c>
      <c r="GX2078">
        <v>0.25</v>
      </c>
      <c r="GY2078" t="s">
        <v>424</v>
      </c>
      <c r="GZ2078" t="s">
        <v>425</v>
      </c>
      <c r="HB2078">
        <v>22</v>
      </c>
      <c r="HC2078">
        <v>15259</v>
      </c>
      <c r="HD2078" t="s">
        <v>891</v>
      </c>
      <c r="HF2078" s="1">
        <v>42151</v>
      </c>
      <c r="HG2078">
        <v>2014</v>
      </c>
      <c r="HH2078">
        <v>2003.14</v>
      </c>
      <c r="HI2078" t="s">
        <v>20128</v>
      </c>
      <c r="HJ2078">
        <v>0.25</v>
      </c>
      <c r="HK2078" t="s">
        <v>424</v>
      </c>
      <c r="HL2078" t="s">
        <v>425</v>
      </c>
      <c r="HN2078">
        <v>22</v>
      </c>
      <c r="HO2078">
        <v>7026696</v>
      </c>
      <c r="HP2078" t="s">
        <v>20129</v>
      </c>
      <c r="HR2078" s="1">
        <v>42151</v>
      </c>
      <c r="HS2078">
        <v>2014</v>
      </c>
      <c r="HT2078">
        <v>2003.14</v>
      </c>
      <c r="HU2078" t="s">
        <v>20128</v>
      </c>
      <c r="HV2078">
        <v>0.25</v>
      </c>
      <c r="HW2078" t="s">
        <v>424</v>
      </c>
      <c r="HX2078" t="s">
        <v>425</v>
      </c>
      <c r="HY2078" s="1">
        <v>42597</v>
      </c>
      <c r="HZ2078">
        <v>15</v>
      </c>
      <c r="IA2078">
        <v>7045049</v>
      </c>
      <c r="IB2078" t="s">
        <v>1335</v>
      </c>
      <c r="ID2078" s="1">
        <v>41787</v>
      </c>
      <c r="IE2078">
        <v>2013</v>
      </c>
      <c r="IF2078">
        <v>1747.57</v>
      </c>
      <c r="IG2078" t="s">
        <v>20130</v>
      </c>
      <c r="IH2078">
        <v>0.25</v>
      </c>
      <c r="II2078" t="s">
        <v>424</v>
      </c>
      <c r="IJ2078" t="s">
        <v>425</v>
      </c>
      <c r="IK2078" s="1">
        <v>42237</v>
      </c>
      <c r="IL2078">
        <v>15</v>
      </c>
      <c r="IM2078">
        <v>2757457</v>
      </c>
      <c r="IN2078" t="s">
        <v>648</v>
      </c>
      <c r="IP2078" s="1">
        <v>41423</v>
      </c>
      <c r="IQ2078">
        <v>2012</v>
      </c>
      <c r="IR2078">
        <v>1868.17</v>
      </c>
      <c r="IS2078" t="s">
        <v>20131</v>
      </c>
      <c r="IT2078">
        <v>0.25</v>
      </c>
      <c r="IU2078" t="s">
        <v>424</v>
      </c>
      <c r="IV2078" t="s">
        <v>425</v>
      </c>
      <c r="IW2078" s="1">
        <v>41751</v>
      </c>
      <c r="IX2078">
        <v>11</v>
      </c>
      <c r="IY2078">
        <v>606981</v>
      </c>
      <c r="IZ2078" t="s">
        <v>792</v>
      </c>
      <c r="JB2078" s="1">
        <v>41052</v>
      </c>
      <c r="JC2078">
        <v>2011</v>
      </c>
      <c r="JD2078">
        <v>2196.5300000000002</v>
      </c>
      <c r="JE2078" t="s">
        <v>20132</v>
      </c>
      <c r="JF2078">
        <v>0.25</v>
      </c>
      <c r="JG2078" t="s">
        <v>424</v>
      </c>
      <c r="JH2078" t="s">
        <v>425</v>
      </c>
      <c r="JI2078" s="1">
        <v>41422</v>
      </c>
      <c r="JJ2078">
        <v>12</v>
      </c>
      <c r="JK2078">
        <v>13104</v>
      </c>
      <c r="JL2078" t="s">
        <v>888</v>
      </c>
      <c r="JN2078" s="1">
        <v>41052</v>
      </c>
      <c r="JO2078">
        <v>2011</v>
      </c>
      <c r="JP2078">
        <v>2196.5300000000002</v>
      </c>
      <c r="JQ2078" t="s">
        <v>20132</v>
      </c>
      <c r="JR2078">
        <v>0.25</v>
      </c>
      <c r="JS2078" t="s">
        <v>424</v>
      </c>
      <c r="JT2078" t="s">
        <v>425</v>
      </c>
      <c r="JV2078">
        <v>22</v>
      </c>
      <c r="JW2078">
        <v>13694</v>
      </c>
      <c r="JX2078" t="s">
        <v>20133</v>
      </c>
      <c r="JZ2078" s="1">
        <v>40688</v>
      </c>
      <c r="KA2078">
        <v>2010</v>
      </c>
      <c r="KB2078">
        <v>2260.39</v>
      </c>
      <c r="KC2078" t="s">
        <v>20134</v>
      </c>
      <c r="KD2078">
        <v>3.75</v>
      </c>
      <c r="KE2078" t="s">
        <v>424</v>
      </c>
      <c r="KF2078" t="s">
        <v>425</v>
      </c>
      <c r="KG2078" s="1">
        <v>41092</v>
      </c>
      <c r="KH2078">
        <v>14</v>
      </c>
      <c r="KI2078">
        <v>11141</v>
      </c>
      <c r="KJ2078" t="s">
        <v>1723</v>
      </c>
    </row>
    <row r="2079" spans="1:296" x14ac:dyDescent="0.25">
      <c r="A2079">
        <v>16487086</v>
      </c>
      <c r="B2079">
        <v>2078</v>
      </c>
      <c r="C2079" t="s">
        <v>393</v>
      </c>
      <c r="D2079" t="s">
        <v>394</v>
      </c>
      <c r="F2079" t="str">
        <f>"00-00-31-143B-0012-0000"</f>
        <v>00-00-31-143B-0012-0000</v>
      </c>
      <c r="H2079" t="str">
        <f>"NIPPER JUSTIN &amp; MARIE"</f>
        <v>NIPPER JUSTIN &amp; MARIE</v>
      </c>
      <c r="I2079" t="str">
        <f>"2202 WILL HARDEE ROAD"</f>
        <v>2202 WILL HARDEE ROAD</v>
      </c>
      <c r="J2079" t="str">
        <f>"FERNANDINA BEACH FL 32034"</f>
        <v>FERNANDINA BEACH FL 32034</v>
      </c>
      <c r="K2079" t="str">
        <f>"2202 WILL HARDEE RD"</f>
        <v>2202 WILL HARDEE RD</v>
      </c>
      <c r="L2079" t="str">
        <f t="shared" si="779"/>
        <v>FERNANDINA BEACH FL 32034</v>
      </c>
      <c r="M2079" t="str">
        <f>"LOT 12 IN OR 1775/673 LAKEWOOD 4 PB 5/245"</f>
        <v>LOT 12 IN OR 1775/673 LAKEWOOD 4 PB 5/245</v>
      </c>
      <c r="N2079" t="str">
        <f>""</f>
        <v/>
      </c>
      <c r="O2079" t="str">
        <f>"7965"</f>
        <v>7965</v>
      </c>
      <c r="P2079" t="str">
        <f t="shared" si="775"/>
        <v>2017</v>
      </c>
      <c r="Q2079" t="str">
        <f>""</f>
        <v/>
      </c>
      <c r="R2079" t="str">
        <f>"Y"</f>
        <v>Y</v>
      </c>
      <c r="S2079" t="str">
        <f>""</f>
        <v/>
      </c>
      <c r="T2079" t="str">
        <f>"2345.52"</f>
        <v>2345.52</v>
      </c>
      <c r="U2079" t="str">
        <f>"159408.00"</f>
        <v>159408.00</v>
      </c>
      <c r="V2079" t="str">
        <f>"159408.00"</f>
        <v>159408.00</v>
      </c>
      <c r="W2079" t="str">
        <f t="shared" si="776"/>
        <v>2017</v>
      </c>
      <c r="X2079" t="str">
        <f>"17.60"</f>
        <v>17.60</v>
      </c>
      <c r="Y2079" t="str">
        <f>"2447.89"</f>
        <v>2447.89</v>
      </c>
      <c r="Z2079" t="str">
        <f>"25000.00"</f>
        <v>25000.00</v>
      </c>
      <c r="AA2079" t="str">
        <f>"134408.00"</f>
        <v>134408.00</v>
      </c>
      <c r="AB2079" t="str">
        <f t="shared" si="780"/>
        <v>Residential</v>
      </c>
      <c r="AC2079" t="str">
        <f t="shared" si="781"/>
        <v>0</v>
      </c>
      <c r="AD2079" t="str">
        <f>"4"</f>
        <v>4</v>
      </c>
      <c r="AE2079" t="str">
        <f>"WOOD (INCLUDE STEEL STUDS)"</f>
        <v>WOOD (INCLUDE STEEL STUDS)</v>
      </c>
      <c r="AF2079" t="str">
        <f t="shared" ref="AF2079:AF2093" si="782">"001"</f>
        <v>001</v>
      </c>
      <c r="AG2079" t="str">
        <f>"FL"</f>
        <v>FL</v>
      </c>
      <c r="AH2079" t="str">
        <f>"-"</f>
        <v>-</v>
      </c>
      <c r="AI2079" t="str">
        <f>"75000.00"</f>
        <v>75000.00</v>
      </c>
      <c r="AJ2079" t="str">
        <f>"C55-000-585-6000-4"</f>
        <v>C55-000-585-6000-4</v>
      </c>
      <c r="AK2079" t="str">
        <f>"45109"</f>
        <v>45109</v>
      </c>
      <c r="AL2079">
        <v>8</v>
      </c>
      <c r="AM2079">
        <v>2380</v>
      </c>
      <c r="AN2079">
        <v>2568.6799999999998</v>
      </c>
      <c r="AQ2079" t="s">
        <v>20135</v>
      </c>
      <c r="AR2079" t="s">
        <v>20135</v>
      </c>
      <c r="AS2079" t="s">
        <v>20135</v>
      </c>
      <c r="AU2079" t="s">
        <v>396</v>
      </c>
      <c r="AV2079">
        <v>2017</v>
      </c>
      <c r="AW2079" t="str">
        <f>"00-00-31-143B-0012-0000 "</f>
        <v xml:space="preserve">00-00-31-143B-0012-0000 </v>
      </c>
      <c r="AX2079">
        <v>2202</v>
      </c>
      <c r="AZ2079" t="s">
        <v>20136</v>
      </c>
      <c r="BA2079" t="s">
        <v>496</v>
      </c>
      <c r="BD2079" t="s">
        <v>11749</v>
      </c>
      <c r="BE2079" t="s">
        <v>393</v>
      </c>
      <c r="BF2079">
        <v>32034</v>
      </c>
      <c r="BG2079" t="s">
        <v>19054</v>
      </c>
      <c r="BH2079" t="s">
        <v>11751</v>
      </c>
      <c r="BI2079">
        <v>-81.448615593602696</v>
      </c>
      <c r="BJ2079">
        <v>30.637417894965001</v>
      </c>
      <c r="BK2079" t="s">
        <v>20137</v>
      </c>
      <c r="BL2079" t="s">
        <v>20138</v>
      </c>
      <c r="BM2079" t="s">
        <v>19054</v>
      </c>
      <c r="BN2079" t="s">
        <v>3983</v>
      </c>
      <c r="BO2079">
        <v>32034</v>
      </c>
      <c r="BP2079" t="s">
        <v>416</v>
      </c>
      <c r="BQ2079">
        <v>100</v>
      </c>
      <c r="BR2079" t="s">
        <v>514</v>
      </c>
      <c r="BS2079">
        <v>1001</v>
      </c>
      <c r="BT2079" t="s">
        <v>515</v>
      </c>
      <c r="BW2079">
        <v>10398</v>
      </c>
      <c r="BX2079" t="s">
        <v>407</v>
      </c>
      <c r="BZ2079">
        <v>4</v>
      </c>
      <c r="CA2079">
        <v>1989</v>
      </c>
      <c r="CB2079">
        <v>1</v>
      </c>
      <c r="CC2079">
        <v>1</v>
      </c>
      <c r="CD2079">
        <v>2017</v>
      </c>
      <c r="CG2079">
        <v>159408</v>
      </c>
      <c r="CH2079">
        <v>2017</v>
      </c>
      <c r="CI2079">
        <v>75000</v>
      </c>
      <c r="CJ2079">
        <v>122807</v>
      </c>
      <c r="CK2079">
        <v>197807</v>
      </c>
      <c r="CL2079">
        <v>2017</v>
      </c>
      <c r="CM2079">
        <v>2345.52</v>
      </c>
      <c r="CN2079" s="1">
        <v>38120</v>
      </c>
      <c r="CV2079">
        <v>0</v>
      </c>
      <c r="CZ2079" s="1">
        <v>38120</v>
      </c>
      <c r="DA2079">
        <v>0</v>
      </c>
      <c r="DD2079" t="s">
        <v>11749</v>
      </c>
      <c r="DF2079">
        <v>12</v>
      </c>
      <c r="DG2079">
        <v>29</v>
      </c>
      <c r="DJ2079" t="s">
        <v>20139</v>
      </c>
      <c r="DL2079">
        <v>50202</v>
      </c>
      <c r="DM2079" t="s">
        <v>18778</v>
      </c>
      <c r="DO2079" t="s">
        <v>20140</v>
      </c>
      <c r="DP2079">
        <v>0</v>
      </c>
      <c r="DQ2079">
        <v>0</v>
      </c>
      <c r="DR2079" t="s">
        <v>411</v>
      </c>
      <c r="DS2079" t="b">
        <v>1</v>
      </c>
      <c r="DT2079" t="s">
        <v>470</v>
      </c>
      <c r="DU2079" t="s">
        <v>471</v>
      </c>
      <c r="DV2079" t="s">
        <v>472</v>
      </c>
      <c r="DX2079">
        <v>-9999</v>
      </c>
      <c r="DZ2079" t="s">
        <v>447</v>
      </c>
      <c r="EA2079" t="s">
        <v>448</v>
      </c>
      <c r="EB2079" t="s">
        <v>14787</v>
      </c>
      <c r="EC2079">
        <v>20101217</v>
      </c>
      <c r="ED2079" t="s">
        <v>474</v>
      </c>
      <c r="EF2079">
        <v>1227.4000000000001</v>
      </c>
      <c r="EG2079">
        <v>932.6</v>
      </c>
      <c r="EI2079">
        <v>20160407</v>
      </c>
      <c r="EJ2079">
        <v>0</v>
      </c>
      <c r="EK2079">
        <v>0</v>
      </c>
      <c r="EP2079" t="s">
        <v>421</v>
      </c>
      <c r="EQ2079" t="s">
        <v>422</v>
      </c>
      <c r="ER2079">
        <v>2</v>
      </c>
      <c r="ES2079">
        <v>4</v>
      </c>
      <c r="ET2079">
        <v>3805.56</v>
      </c>
      <c r="EU2079">
        <v>202.78</v>
      </c>
      <c r="EV2079">
        <v>4008.34</v>
      </c>
      <c r="EW2079" s="2">
        <v>43222</v>
      </c>
      <c r="EX2079" s="1">
        <v>42879</v>
      </c>
      <c r="EY2079">
        <v>2016</v>
      </c>
      <c r="EZ2079">
        <v>1902.78</v>
      </c>
      <c r="FA2079" t="s">
        <v>20141</v>
      </c>
      <c r="FB2079">
        <v>0.25</v>
      </c>
      <c r="FC2079" t="s">
        <v>424</v>
      </c>
      <c r="FD2079" t="s">
        <v>454</v>
      </c>
      <c r="FF2079">
        <v>12</v>
      </c>
      <c r="FG2079">
        <v>7400234</v>
      </c>
      <c r="FH2079" t="s">
        <v>426</v>
      </c>
      <c r="FJ2079" s="1">
        <v>42879</v>
      </c>
      <c r="FK2079">
        <v>2016</v>
      </c>
      <c r="FL2079">
        <v>1902.78</v>
      </c>
      <c r="FM2079" t="s">
        <v>20141</v>
      </c>
      <c r="FN2079">
        <v>0.25</v>
      </c>
      <c r="FO2079" t="s">
        <v>424</v>
      </c>
      <c r="FP2079" t="s">
        <v>454</v>
      </c>
      <c r="FR2079">
        <v>12</v>
      </c>
      <c r="FS2079">
        <v>7556975</v>
      </c>
      <c r="FT2079" t="s">
        <v>20142</v>
      </c>
      <c r="FV2079" s="1">
        <v>42515</v>
      </c>
      <c r="FW2079">
        <v>2015</v>
      </c>
      <c r="FX2079">
        <v>2549.2199999999998</v>
      </c>
      <c r="FY2079" t="s">
        <v>20143</v>
      </c>
      <c r="FZ2079">
        <v>0.25</v>
      </c>
      <c r="GA2079" t="s">
        <v>424</v>
      </c>
      <c r="GB2079" t="s">
        <v>425</v>
      </c>
      <c r="GC2079" s="1">
        <v>43152</v>
      </c>
      <c r="GD2079">
        <v>21</v>
      </c>
      <c r="GE2079">
        <v>5894185</v>
      </c>
      <c r="GF2079" t="s">
        <v>7135</v>
      </c>
      <c r="GH2079" s="1">
        <v>42515</v>
      </c>
      <c r="GI2079">
        <v>2015</v>
      </c>
      <c r="GJ2079">
        <v>2549.2199999999998</v>
      </c>
      <c r="GK2079" t="s">
        <v>20143</v>
      </c>
      <c r="GL2079">
        <v>0.25</v>
      </c>
      <c r="GM2079" t="s">
        <v>424</v>
      </c>
      <c r="GN2079" t="s">
        <v>425</v>
      </c>
      <c r="GP2079">
        <v>22</v>
      </c>
      <c r="GQ2079">
        <v>6111487</v>
      </c>
      <c r="GR2079" t="s">
        <v>20144</v>
      </c>
      <c r="GT2079" s="1">
        <v>42151</v>
      </c>
      <c r="GU2079">
        <v>2014</v>
      </c>
      <c r="GV2079">
        <v>2540.09</v>
      </c>
      <c r="GW2079" t="s">
        <v>20145</v>
      </c>
      <c r="GX2079">
        <v>0.25</v>
      </c>
      <c r="GY2079" t="s">
        <v>424</v>
      </c>
      <c r="GZ2079" t="s">
        <v>425</v>
      </c>
      <c r="HA2079" s="1">
        <v>42765</v>
      </c>
      <c r="HB2079">
        <v>20</v>
      </c>
      <c r="HC2079">
        <v>2851116</v>
      </c>
      <c r="HD2079" t="s">
        <v>480</v>
      </c>
      <c r="HF2079" s="1">
        <v>42151</v>
      </c>
      <c r="HG2079">
        <v>2014</v>
      </c>
      <c r="HH2079">
        <v>2540.09</v>
      </c>
      <c r="HI2079" t="s">
        <v>20145</v>
      </c>
      <c r="HJ2079">
        <v>0.25</v>
      </c>
      <c r="HK2079" t="s">
        <v>424</v>
      </c>
      <c r="HL2079" t="s">
        <v>425</v>
      </c>
      <c r="HN2079">
        <v>22</v>
      </c>
      <c r="HO2079">
        <v>5317040</v>
      </c>
      <c r="HP2079" t="s">
        <v>20146</v>
      </c>
    </row>
    <row r="2080" spans="1:296" x14ac:dyDescent="0.25">
      <c r="A2080">
        <v>16487087</v>
      </c>
      <c r="B2080">
        <v>2079</v>
      </c>
      <c r="C2080" t="s">
        <v>393</v>
      </c>
      <c r="D2080" t="s">
        <v>394</v>
      </c>
      <c r="F2080" t="str">
        <f>"00-00-31-143B-0015-0000"</f>
        <v>00-00-31-143B-0015-0000</v>
      </c>
      <c r="H2080" t="str">
        <f>"THOMASON JOSEPH D EST"</f>
        <v>THOMASON JOSEPH D EST</v>
      </c>
      <c r="I2080" t="str">
        <f>"2232 WILL HARDEE ROAD"</f>
        <v>2232 WILL HARDEE ROAD</v>
      </c>
      <c r="J2080" t="str">
        <f>"FERNANDINA BEACH FL 32034"</f>
        <v>FERNANDINA BEACH FL 32034</v>
      </c>
      <c r="K2080" t="str">
        <f>"2232 WILL HARDEE RD"</f>
        <v>2232 WILL HARDEE RD</v>
      </c>
      <c r="L2080" t="str">
        <f t="shared" si="779"/>
        <v>FERNANDINA BEACH FL 32034</v>
      </c>
      <c r="M2080" t="str">
        <f>"LOT 15 IN OR 635 PG 337 LAKEWOOD 4 PB 5/245"</f>
        <v>LOT 15 IN OR 635 PG 337 LAKEWOOD 4 PB 5/245</v>
      </c>
      <c r="N2080" t="str">
        <f>""</f>
        <v/>
      </c>
      <c r="O2080" t="str">
        <f>"7968"</f>
        <v>7968</v>
      </c>
      <c r="P2080" t="str">
        <f t="shared" si="775"/>
        <v>2017</v>
      </c>
      <c r="Q2080" t="str">
        <f>""</f>
        <v/>
      </c>
      <c r="R2080" t="str">
        <f>"N"</f>
        <v>N</v>
      </c>
      <c r="S2080" t="str">
        <f>""</f>
        <v/>
      </c>
      <c r="T2080" t="str">
        <f>"3674.71"</f>
        <v>3674.71</v>
      </c>
      <c r="U2080" t="str">
        <f>"184375.00"</f>
        <v>184375.00</v>
      </c>
      <c r="V2080" t="str">
        <f>"184375.00"</f>
        <v>184375.00</v>
      </c>
      <c r="W2080" t="str">
        <f t="shared" si="776"/>
        <v>2017</v>
      </c>
      <c r="X2080" t="str">
        <f>"17.00"</f>
        <v>17.00</v>
      </c>
      <c r="Y2080" t="str">
        <f>"3816.95"</f>
        <v>3816.95</v>
      </c>
      <c r="Z2080" t="str">
        <f>""</f>
        <v/>
      </c>
      <c r="AA2080" t="str">
        <f>"184375.00"</f>
        <v>184375.00</v>
      </c>
      <c r="AB2080" t="str">
        <f t="shared" si="780"/>
        <v>Residential</v>
      </c>
      <c r="AC2080" t="str">
        <f t="shared" si="781"/>
        <v>0</v>
      </c>
      <c r="AD2080" t="str">
        <f>"4"</f>
        <v>4</v>
      </c>
      <c r="AE2080" t="str">
        <f>"WOOD (INCLUDE STEEL STUDS)"</f>
        <v>WOOD (INCLUDE STEEL STUDS)</v>
      </c>
      <c r="AF2080" t="str">
        <f t="shared" si="782"/>
        <v>001</v>
      </c>
      <c r="AG2080" t="str">
        <f>"FL"</f>
        <v>FL</v>
      </c>
      <c r="AH2080" t="str">
        <f>"-"</f>
        <v>-</v>
      </c>
      <c r="AI2080" t="str">
        <f>"75000.00"</f>
        <v>75000.00</v>
      </c>
      <c r="AJ2080" t="str">
        <f>"C55-000-585-6003-8"</f>
        <v>C55-000-585-6003-8</v>
      </c>
      <c r="AK2080" t="str">
        <f>"45112"</f>
        <v>45112</v>
      </c>
      <c r="AL2080">
        <v>8</v>
      </c>
      <c r="AM2080">
        <v>2381</v>
      </c>
      <c r="AN2080">
        <v>4006.2</v>
      </c>
      <c r="AQ2080" t="s">
        <v>20147</v>
      </c>
      <c r="AR2080" t="s">
        <v>20147</v>
      </c>
      <c r="AS2080" t="s">
        <v>20147</v>
      </c>
      <c r="AU2080" t="s">
        <v>396</v>
      </c>
      <c r="AV2080">
        <v>2017</v>
      </c>
      <c r="AW2080" t="str">
        <f>"00-00-31-143B-0015-0000 "</f>
        <v xml:space="preserve">00-00-31-143B-0015-0000 </v>
      </c>
      <c r="AX2080">
        <v>2232</v>
      </c>
      <c r="AZ2080" t="s">
        <v>20136</v>
      </c>
      <c r="BA2080" t="s">
        <v>496</v>
      </c>
      <c r="BD2080" t="s">
        <v>11749</v>
      </c>
      <c r="BE2080" t="s">
        <v>393</v>
      </c>
      <c r="BF2080">
        <v>32034</v>
      </c>
      <c r="BG2080" t="s">
        <v>20148</v>
      </c>
      <c r="BH2080" t="s">
        <v>11751</v>
      </c>
      <c r="BI2080">
        <v>-81.448545397497895</v>
      </c>
      <c r="BJ2080">
        <v>30.636756443440198</v>
      </c>
      <c r="BK2080" t="s">
        <v>20149</v>
      </c>
      <c r="BM2080" t="s">
        <v>20148</v>
      </c>
      <c r="BN2080" t="s">
        <v>3983</v>
      </c>
      <c r="BO2080">
        <v>32034</v>
      </c>
      <c r="BP2080" t="s">
        <v>416</v>
      </c>
      <c r="BQ2080">
        <v>100</v>
      </c>
      <c r="BR2080" t="s">
        <v>514</v>
      </c>
      <c r="BS2080">
        <v>1001</v>
      </c>
      <c r="BT2080" t="s">
        <v>515</v>
      </c>
      <c r="BW2080">
        <v>8049</v>
      </c>
      <c r="BX2080" t="s">
        <v>407</v>
      </c>
      <c r="BZ2080">
        <v>4</v>
      </c>
      <c r="CA2080">
        <v>1991</v>
      </c>
      <c r="CB2080">
        <v>1</v>
      </c>
      <c r="CC2080">
        <v>1</v>
      </c>
      <c r="CD2080">
        <v>2017</v>
      </c>
      <c r="CE2080">
        <v>75000</v>
      </c>
      <c r="CF2080">
        <v>109375</v>
      </c>
      <c r="CG2080">
        <v>184375</v>
      </c>
      <c r="CH2080">
        <v>2017</v>
      </c>
      <c r="CI2080">
        <v>75000</v>
      </c>
      <c r="CJ2080">
        <v>109375</v>
      </c>
      <c r="CK2080">
        <v>184375</v>
      </c>
      <c r="CL2080">
        <v>2017</v>
      </c>
      <c r="CM2080">
        <v>3674.71</v>
      </c>
      <c r="CN2080" s="1">
        <v>33484</v>
      </c>
      <c r="CO2080">
        <v>83000</v>
      </c>
      <c r="CZ2080" s="1">
        <v>33484</v>
      </c>
      <c r="DD2080" t="s">
        <v>11749</v>
      </c>
      <c r="DF2080">
        <v>15</v>
      </c>
      <c r="DG2080">
        <v>29</v>
      </c>
      <c r="DJ2080" t="s">
        <v>20139</v>
      </c>
      <c r="DL2080">
        <v>50202</v>
      </c>
      <c r="DM2080" t="s">
        <v>18778</v>
      </c>
      <c r="DO2080" t="s">
        <v>20150</v>
      </c>
      <c r="DP2080">
        <v>0</v>
      </c>
      <c r="DQ2080">
        <v>0</v>
      </c>
      <c r="DR2080" t="s">
        <v>411</v>
      </c>
      <c r="DS2080" t="b">
        <v>1</v>
      </c>
      <c r="DT2080" t="s">
        <v>470</v>
      </c>
      <c r="DU2080" t="s">
        <v>471</v>
      </c>
      <c r="DV2080" t="s">
        <v>472</v>
      </c>
      <c r="DX2080">
        <v>-9999</v>
      </c>
      <c r="DZ2080" t="s">
        <v>447</v>
      </c>
      <c r="EA2080" t="s">
        <v>448</v>
      </c>
      <c r="EB2080" t="s">
        <v>14787</v>
      </c>
      <c r="EC2080">
        <v>20101217</v>
      </c>
      <c r="ED2080" t="s">
        <v>474</v>
      </c>
      <c r="EF2080">
        <v>1117.9000000000001</v>
      </c>
      <c r="EG2080">
        <v>850.4</v>
      </c>
      <c r="EI2080">
        <v>20160407</v>
      </c>
      <c r="EJ2080">
        <v>0</v>
      </c>
      <c r="EK2080">
        <v>0</v>
      </c>
      <c r="EP2080" t="s">
        <v>421</v>
      </c>
      <c r="EQ2080" t="s">
        <v>452</v>
      </c>
      <c r="ER2080">
        <v>0</v>
      </c>
      <c r="ES2080">
        <v>9</v>
      </c>
      <c r="ET2080">
        <v>0</v>
      </c>
      <c r="EU2080">
        <v>0</v>
      </c>
      <c r="EV2080">
        <v>0</v>
      </c>
      <c r="EW2080" s="2">
        <v>43222</v>
      </c>
      <c r="EX2080" s="1">
        <v>42515</v>
      </c>
      <c r="EY2080">
        <v>2015</v>
      </c>
      <c r="EZ2080">
        <v>3591.3</v>
      </c>
      <c r="FA2080" t="s">
        <v>20151</v>
      </c>
      <c r="FB2080">
        <v>0.25</v>
      </c>
      <c r="FC2080" t="s">
        <v>424</v>
      </c>
      <c r="FD2080" t="s">
        <v>425</v>
      </c>
      <c r="FE2080" s="1">
        <v>42843</v>
      </c>
      <c r="FF2080">
        <v>11</v>
      </c>
      <c r="FG2080">
        <v>11289</v>
      </c>
      <c r="FH2080" t="s">
        <v>787</v>
      </c>
      <c r="FI2080" t="s">
        <v>458</v>
      </c>
      <c r="FJ2080" s="1">
        <v>42515</v>
      </c>
      <c r="FK2080">
        <v>2015</v>
      </c>
      <c r="FL2080">
        <v>3591.3</v>
      </c>
      <c r="FM2080" t="s">
        <v>20151</v>
      </c>
      <c r="FN2080">
        <v>0.25</v>
      </c>
      <c r="FO2080" t="s">
        <v>424</v>
      </c>
      <c r="FP2080" t="s">
        <v>425</v>
      </c>
      <c r="FR2080">
        <v>22</v>
      </c>
      <c r="FS2080">
        <v>5190132</v>
      </c>
      <c r="FT2080" t="s">
        <v>20152</v>
      </c>
      <c r="FU2080" t="s">
        <v>458</v>
      </c>
      <c r="FV2080" s="1">
        <v>42151</v>
      </c>
      <c r="FW2080">
        <v>2014</v>
      </c>
      <c r="FX2080">
        <v>3323.57</v>
      </c>
      <c r="FY2080" t="s">
        <v>20153</v>
      </c>
      <c r="FZ2080">
        <v>0.25</v>
      </c>
      <c r="GA2080" t="s">
        <v>424</v>
      </c>
      <c r="GB2080" t="s">
        <v>425</v>
      </c>
      <c r="GD2080">
        <v>22</v>
      </c>
      <c r="GE2080">
        <v>11289</v>
      </c>
      <c r="GF2080" t="s">
        <v>787</v>
      </c>
      <c r="GG2080" t="s">
        <v>458</v>
      </c>
      <c r="GH2080" s="1">
        <v>42151</v>
      </c>
      <c r="GI2080">
        <v>2014</v>
      </c>
      <c r="GJ2080">
        <v>3323.57</v>
      </c>
      <c r="GK2080" t="s">
        <v>20153</v>
      </c>
      <c r="GL2080">
        <v>0.25</v>
      </c>
      <c r="GM2080" t="s">
        <v>424</v>
      </c>
      <c r="GN2080" t="s">
        <v>425</v>
      </c>
      <c r="GP2080">
        <v>22</v>
      </c>
      <c r="GQ2080">
        <v>5145958</v>
      </c>
      <c r="GR2080" t="s">
        <v>20154</v>
      </c>
      <c r="GS2080" t="s">
        <v>458</v>
      </c>
      <c r="GT2080" s="1">
        <v>42151</v>
      </c>
      <c r="GU2080">
        <v>2014</v>
      </c>
      <c r="GV2080">
        <v>3323.57</v>
      </c>
      <c r="GW2080" t="s">
        <v>20153</v>
      </c>
      <c r="GX2080">
        <v>0.25</v>
      </c>
      <c r="GY2080" t="s">
        <v>424</v>
      </c>
      <c r="GZ2080" t="s">
        <v>425</v>
      </c>
      <c r="HB2080">
        <v>22</v>
      </c>
      <c r="HC2080">
        <v>7045059</v>
      </c>
      <c r="HD2080" t="s">
        <v>5073</v>
      </c>
      <c r="HE2080" t="s">
        <v>458</v>
      </c>
      <c r="HF2080" s="1">
        <v>41787</v>
      </c>
      <c r="HG2080">
        <v>2013</v>
      </c>
      <c r="HH2080">
        <v>3086.46</v>
      </c>
      <c r="HI2080" t="s">
        <v>20155</v>
      </c>
      <c r="HJ2080">
        <v>0.25</v>
      </c>
      <c r="HK2080" t="s">
        <v>424</v>
      </c>
      <c r="HL2080" t="s">
        <v>425</v>
      </c>
      <c r="HM2080" s="1">
        <v>42458</v>
      </c>
      <c r="HN2080">
        <v>22</v>
      </c>
      <c r="HO2080">
        <v>2101382</v>
      </c>
      <c r="HP2080" t="s">
        <v>993</v>
      </c>
      <c r="HR2080" s="1">
        <v>41052</v>
      </c>
      <c r="HS2080">
        <v>2011</v>
      </c>
      <c r="HT2080">
        <v>3063.12</v>
      </c>
      <c r="HU2080" t="s">
        <v>20156</v>
      </c>
      <c r="HV2080">
        <v>0.25</v>
      </c>
      <c r="HW2080" t="s">
        <v>424</v>
      </c>
      <c r="HX2080" t="s">
        <v>425</v>
      </c>
      <c r="HY2080" s="1">
        <v>41400</v>
      </c>
      <c r="HZ2080">
        <v>12</v>
      </c>
      <c r="IA2080">
        <v>13104</v>
      </c>
      <c r="IB2080" t="s">
        <v>888</v>
      </c>
      <c r="IC2080" t="s">
        <v>458</v>
      </c>
      <c r="ID2080" s="1">
        <v>41052</v>
      </c>
      <c r="IE2080">
        <v>2011</v>
      </c>
      <c r="IF2080">
        <v>3063.12</v>
      </c>
      <c r="IG2080" t="s">
        <v>20156</v>
      </c>
      <c r="IH2080">
        <v>0.25</v>
      </c>
      <c r="II2080" t="s">
        <v>424</v>
      </c>
      <c r="IJ2080" t="s">
        <v>425</v>
      </c>
      <c r="IL2080">
        <v>22</v>
      </c>
      <c r="IM2080">
        <v>13693</v>
      </c>
      <c r="IN2080" t="s">
        <v>20157</v>
      </c>
      <c r="IO2080" t="s">
        <v>458</v>
      </c>
      <c r="IP2080" s="1">
        <v>40688</v>
      </c>
      <c r="IQ2080">
        <v>2010</v>
      </c>
      <c r="IR2080">
        <v>3223.14</v>
      </c>
      <c r="IS2080" t="s">
        <v>20158</v>
      </c>
      <c r="IT2080">
        <v>0.25</v>
      </c>
      <c r="IU2080" t="s">
        <v>424</v>
      </c>
      <c r="IV2080" t="s">
        <v>425</v>
      </c>
      <c r="IX2080">
        <v>22</v>
      </c>
      <c r="IY2080">
        <v>11296</v>
      </c>
      <c r="IZ2080" t="s">
        <v>4008</v>
      </c>
      <c r="JA2080" t="s">
        <v>458</v>
      </c>
    </row>
    <row r="2081" spans="1:284" x14ac:dyDescent="0.25">
      <c r="A2081">
        <v>16487088</v>
      </c>
      <c r="B2081">
        <v>2080</v>
      </c>
      <c r="C2081" t="s">
        <v>393</v>
      </c>
      <c r="D2081" t="s">
        <v>394</v>
      </c>
      <c r="F2081" t="str">
        <f>"00-00-31-143C-0039-0000"</f>
        <v>00-00-31-143C-0039-0000</v>
      </c>
      <c r="H2081" t="str">
        <f>"BERRY NANCY W"</f>
        <v>BERRY NANCY W</v>
      </c>
      <c r="I2081" t="str">
        <f>"2133 CANTERBURY LANE"</f>
        <v>2133 CANTERBURY LANE</v>
      </c>
      <c r="J2081" t="str">
        <f>"FERNANDINA BEACH FL 32034"</f>
        <v>FERNANDINA BEACH FL 32034</v>
      </c>
      <c r="K2081" t="str">
        <f>"2133 CANTERBURY LN"</f>
        <v>2133 CANTERBURY LN</v>
      </c>
      <c r="L2081" t="str">
        <f t="shared" si="779"/>
        <v>FERNANDINA BEACH FL 32034</v>
      </c>
      <c r="M2081" t="str">
        <f>"LOT 39 IN OR 733/1961 LAKEWOOD 5 PB 5/380"</f>
        <v>LOT 39 IN OR 733/1961 LAKEWOOD 5 PB 5/380</v>
      </c>
      <c r="N2081" t="str">
        <f>""</f>
        <v/>
      </c>
      <c r="O2081" t="str">
        <f>"8043"</f>
        <v>8043</v>
      </c>
      <c r="P2081" t="str">
        <f t="shared" si="775"/>
        <v>2017</v>
      </c>
      <c r="Q2081" t="str">
        <f>""</f>
        <v/>
      </c>
      <c r="R2081" t="str">
        <f>"Y"</f>
        <v>Y</v>
      </c>
      <c r="S2081" t="str">
        <f>""</f>
        <v/>
      </c>
      <c r="T2081" t="str">
        <f>"1171.69"</f>
        <v>1171.69</v>
      </c>
      <c r="U2081" t="str">
        <f>"101012.00"</f>
        <v>101012.00</v>
      </c>
      <c r="V2081" t="str">
        <f>"101012.00"</f>
        <v>101012.00</v>
      </c>
      <c r="W2081" t="str">
        <f t="shared" si="776"/>
        <v>2017</v>
      </c>
      <c r="X2081" t="str">
        <f>""</f>
        <v/>
      </c>
      <c r="Y2081" t="str">
        <f>"1238.84"</f>
        <v>1238.84</v>
      </c>
      <c r="Z2081" t="str">
        <f>"25500.00"</f>
        <v>25500.00</v>
      </c>
      <c r="AA2081" t="str">
        <f>"75512.00"</f>
        <v>75512.00</v>
      </c>
      <c r="AB2081" t="str">
        <f t="shared" si="780"/>
        <v>Residential</v>
      </c>
      <c r="AC2081" t="str">
        <f t="shared" si="781"/>
        <v>0</v>
      </c>
      <c r="AD2081" t="str">
        <f>"4"</f>
        <v>4</v>
      </c>
      <c r="AE2081" t="str">
        <f>"WOOD (INCLUDE STEEL STUDS)"</f>
        <v>WOOD (INCLUDE STEEL STUDS)</v>
      </c>
      <c r="AF2081" t="str">
        <f t="shared" si="782"/>
        <v>001</v>
      </c>
      <c r="AG2081" t="str">
        <f>"FL"</f>
        <v>FL</v>
      </c>
      <c r="AH2081" t="str">
        <f>"-"</f>
        <v>-</v>
      </c>
      <c r="AI2081" t="str">
        <f>"75000.00"</f>
        <v>75000.00</v>
      </c>
      <c r="AJ2081" t="str">
        <f>"C55-000-585-6077-2"</f>
        <v>C55-000-585-6077-2</v>
      </c>
      <c r="AK2081" t="str">
        <f>"45186"</f>
        <v>45186</v>
      </c>
      <c r="AL2081">
        <v>8</v>
      </c>
      <c r="AM2081">
        <v>2382</v>
      </c>
      <c r="AN2081">
        <v>1299.18</v>
      </c>
      <c r="AQ2081" t="s">
        <v>20159</v>
      </c>
      <c r="AR2081" t="s">
        <v>20159</v>
      </c>
      <c r="AS2081" t="s">
        <v>20159</v>
      </c>
      <c r="AU2081" t="s">
        <v>396</v>
      </c>
      <c r="AV2081">
        <v>2017</v>
      </c>
      <c r="AW2081" t="str">
        <f>"00-00-31-143C-0039-0000 "</f>
        <v xml:space="preserve">00-00-31-143C-0039-0000 </v>
      </c>
      <c r="AX2081">
        <v>2133</v>
      </c>
      <c r="AZ2081" t="s">
        <v>20160</v>
      </c>
      <c r="BA2081" t="s">
        <v>653</v>
      </c>
      <c r="BD2081" t="s">
        <v>11749</v>
      </c>
      <c r="BE2081" t="s">
        <v>393</v>
      </c>
      <c r="BF2081">
        <v>32034</v>
      </c>
      <c r="BG2081" t="s">
        <v>20161</v>
      </c>
      <c r="BH2081" t="s">
        <v>11751</v>
      </c>
      <c r="BI2081">
        <v>-81.447629874163397</v>
      </c>
      <c r="BJ2081">
        <v>30.636182418274998</v>
      </c>
      <c r="BK2081" t="s">
        <v>20162</v>
      </c>
      <c r="BM2081" t="s">
        <v>20161</v>
      </c>
      <c r="BN2081" t="s">
        <v>3983</v>
      </c>
      <c r="BO2081">
        <v>32034</v>
      </c>
      <c r="BP2081" t="s">
        <v>416</v>
      </c>
      <c r="BQ2081">
        <v>100</v>
      </c>
      <c r="BR2081" t="s">
        <v>514</v>
      </c>
      <c r="BS2081">
        <v>1001</v>
      </c>
      <c r="BT2081" t="s">
        <v>515</v>
      </c>
      <c r="BW2081">
        <v>7866</v>
      </c>
      <c r="BX2081" t="s">
        <v>407</v>
      </c>
      <c r="BZ2081">
        <v>4</v>
      </c>
      <c r="CA2081">
        <v>1995</v>
      </c>
      <c r="CB2081">
        <v>1</v>
      </c>
      <c r="CC2081">
        <v>1</v>
      </c>
      <c r="CD2081">
        <v>2017</v>
      </c>
      <c r="CG2081">
        <v>101012</v>
      </c>
      <c r="CH2081">
        <v>2017</v>
      </c>
      <c r="CI2081">
        <v>75000</v>
      </c>
      <c r="CJ2081">
        <v>102081</v>
      </c>
      <c r="CK2081">
        <v>177081</v>
      </c>
      <c r="CL2081">
        <v>2017</v>
      </c>
      <c r="CM2081">
        <v>1171.69</v>
      </c>
      <c r="CN2081" s="1">
        <v>34894</v>
      </c>
      <c r="CO2081">
        <v>85500</v>
      </c>
      <c r="CZ2081" s="1">
        <v>34894</v>
      </c>
      <c r="DD2081" t="s">
        <v>11749</v>
      </c>
      <c r="DF2081">
        <v>39</v>
      </c>
      <c r="DG2081">
        <v>29</v>
      </c>
      <c r="DJ2081" t="s">
        <v>20139</v>
      </c>
      <c r="DL2081">
        <v>50202</v>
      </c>
      <c r="DM2081" t="s">
        <v>18778</v>
      </c>
      <c r="DO2081" t="s">
        <v>20163</v>
      </c>
      <c r="DP2081">
        <v>0</v>
      </c>
      <c r="DQ2081">
        <v>0</v>
      </c>
      <c r="DR2081" t="s">
        <v>411</v>
      </c>
    </row>
    <row r="2082" spans="1:284" x14ac:dyDescent="0.25">
      <c r="A2082">
        <v>16487089</v>
      </c>
      <c r="B2082">
        <v>2081</v>
      </c>
      <c r="C2082" t="s">
        <v>393</v>
      </c>
      <c r="D2082" t="s">
        <v>394</v>
      </c>
      <c r="F2082" t="str">
        <f>"00-00-31-1460-0013-0000"</f>
        <v>00-00-31-1460-0013-0000</v>
      </c>
      <c r="H2082" t="str">
        <f>"NIXON WILLIAM F JR"</f>
        <v>NIXON WILLIAM F JR</v>
      </c>
      <c r="I2082" t="str">
        <f>"16 MEETINGHOUSE LN"</f>
        <v>16 MEETINGHOUSE LN</v>
      </c>
      <c r="J2082" t="str">
        <f>"SOUTH EASTON MA 02375"</f>
        <v>SOUTH EASTON MA 02375</v>
      </c>
      <c r="K2082" t="str">
        <f>"1482 FLETCHER AVE S"</f>
        <v>1482 FLETCHER AVE S</v>
      </c>
      <c r="L2082" t="str">
        <f t="shared" si="779"/>
        <v>FERNANDINA BEACH FL 32034</v>
      </c>
      <c r="M2082" t="str">
        <f>"LOT 13 IN OR 1879/1166 MIRAMAR BEACH PB 2/61"</f>
        <v>LOT 13 IN OR 1879/1166 MIRAMAR BEACH PB 2/61</v>
      </c>
      <c r="N2082" t="str">
        <f>""</f>
        <v/>
      </c>
      <c r="O2082" t="str">
        <f>"8094"</f>
        <v>8094</v>
      </c>
      <c r="P2082" t="str">
        <f t="shared" si="775"/>
        <v>2017</v>
      </c>
      <c r="Q2082" t="str">
        <f>""</f>
        <v/>
      </c>
      <c r="R2082" t="str">
        <f>"N"</f>
        <v>N</v>
      </c>
      <c r="S2082" t="str">
        <f>""</f>
        <v/>
      </c>
      <c r="T2082" t="str">
        <f>"15218.59"</f>
        <v>15218.59</v>
      </c>
      <c r="U2082" t="str">
        <f>"762786.00"</f>
        <v>762786.00</v>
      </c>
      <c r="V2082" t="str">
        <f>"762786.00"</f>
        <v>762786.00</v>
      </c>
      <c r="W2082" t="str">
        <f t="shared" si="776"/>
        <v>2017</v>
      </c>
      <c r="X2082" t="str">
        <f>""</f>
        <v/>
      </c>
      <c r="Y2082" t="str">
        <f>"15707.15"</f>
        <v>15707.15</v>
      </c>
      <c r="Z2082" t="str">
        <f>""</f>
        <v/>
      </c>
      <c r="AA2082" t="str">
        <f>"765167.00"</f>
        <v>765167.00</v>
      </c>
      <c r="AB2082" t="str">
        <f t="shared" si="780"/>
        <v>Residential</v>
      </c>
      <c r="AC2082" t="str">
        <f t="shared" si="781"/>
        <v>0</v>
      </c>
      <c r="AD2082" t="str">
        <f>"2"</f>
        <v>2</v>
      </c>
      <c r="AE2082" t="str">
        <f>"REINFORCED CONCRETE"</f>
        <v>REINFORCED CONCRETE</v>
      </c>
      <c r="AF2082" t="str">
        <f t="shared" si="782"/>
        <v>001</v>
      </c>
      <c r="AG2082" t="str">
        <f>"MA"</f>
        <v>MA</v>
      </c>
      <c r="AH2082" t="str">
        <f>"11250.00"</f>
        <v>11250.00</v>
      </c>
      <c r="AI2082" t="str">
        <f>"600000.00"</f>
        <v>600000.00</v>
      </c>
      <c r="AJ2082" t="str">
        <f>"C55-000-585-6123-4"</f>
        <v>C55-000-585-6123-4</v>
      </c>
      <c r="AK2082" t="str">
        <f>"45236"</f>
        <v>45236</v>
      </c>
      <c r="AL2082">
        <v>8</v>
      </c>
      <c r="AM2082">
        <v>2383</v>
      </c>
      <c r="AN2082">
        <v>16490.91</v>
      </c>
      <c r="AQ2082" t="s">
        <v>20164</v>
      </c>
      <c r="AR2082" t="s">
        <v>20164</v>
      </c>
      <c r="AS2082" t="s">
        <v>20164</v>
      </c>
      <c r="AU2082" t="s">
        <v>396</v>
      </c>
      <c r="AV2082">
        <v>2017</v>
      </c>
      <c r="AW2082" t="str">
        <f>"00-00-31-1460-0013-0000 "</f>
        <v xml:space="preserve">00-00-31-1460-0013-0000 </v>
      </c>
      <c r="AX2082">
        <v>1482</v>
      </c>
      <c r="AZ2082" t="s">
        <v>18248</v>
      </c>
      <c r="BA2082" t="s">
        <v>1112</v>
      </c>
      <c r="BB2082" t="s">
        <v>18674</v>
      </c>
      <c r="BD2082" t="s">
        <v>11749</v>
      </c>
      <c r="BE2082" t="s">
        <v>393</v>
      </c>
      <c r="BF2082">
        <v>32034</v>
      </c>
      <c r="BG2082" t="s">
        <v>20165</v>
      </c>
      <c r="BH2082" t="s">
        <v>11751</v>
      </c>
      <c r="BI2082">
        <v>-81.434857555485607</v>
      </c>
      <c r="BJ2082">
        <v>30.646086086409198</v>
      </c>
      <c r="BK2082" t="s">
        <v>20166</v>
      </c>
      <c r="BM2082" t="s">
        <v>20167</v>
      </c>
      <c r="BN2082" t="s">
        <v>20168</v>
      </c>
      <c r="BO2082">
        <v>2375</v>
      </c>
      <c r="BP2082" t="s">
        <v>404</v>
      </c>
      <c r="BQ2082">
        <v>100</v>
      </c>
      <c r="BR2082" t="s">
        <v>514</v>
      </c>
      <c r="BS2082">
        <v>1001</v>
      </c>
      <c r="BT2082" t="s">
        <v>515</v>
      </c>
      <c r="BU2082">
        <v>750</v>
      </c>
      <c r="BV2082">
        <v>1500</v>
      </c>
      <c r="BW2082">
        <v>10047</v>
      </c>
      <c r="BX2082" t="s">
        <v>407</v>
      </c>
      <c r="BY2082" t="s">
        <v>19842</v>
      </c>
      <c r="BZ2082">
        <v>2</v>
      </c>
      <c r="CA2082">
        <v>1978</v>
      </c>
      <c r="CB2082">
        <v>1.5</v>
      </c>
      <c r="CC2082">
        <v>1</v>
      </c>
      <c r="CD2082">
        <v>2017</v>
      </c>
      <c r="CE2082">
        <v>600000</v>
      </c>
      <c r="CF2082">
        <v>165167</v>
      </c>
      <c r="CG2082">
        <v>765167</v>
      </c>
      <c r="CH2082">
        <v>2017</v>
      </c>
      <c r="CI2082">
        <v>600000</v>
      </c>
      <c r="CJ2082">
        <v>165167</v>
      </c>
      <c r="CK2082">
        <v>765167</v>
      </c>
      <c r="CL2082">
        <v>2017</v>
      </c>
      <c r="CM2082">
        <v>15218.59</v>
      </c>
      <c r="CN2082" s="1">
        <v>41534</v>
      </c>
      <c r="CV2082">
        <v>0</v>
      </c>
      <c r="CZ2082" s="1">
        <v>41534</v>
      </c>
      <c r="DA2082">
        <v>0</v>
      </c>
      <c r="DD2082" t="s">
        <v>11749</v>
      </c>
      <c r="DF2082">
        <v>13</v>
      </c>
      <c r="DG2082">
        <v>19</v>
      </c>
      <c r="DJ2082" t="s">
        <v>20169</v>
      </c>
      <c r="DL2082">
        <v>50101</v>
      </c>
      <c r="DM2082" t="s">
        <v>20170</v>
      </c>
      <c r="DO2082" t="s">
        <v>20171</v>
      </c>
      <c r="DP2082">
        <v>0</v>
      </c>
      <c r="DQ2082">
        <v>0</v>
      </c>
      <c r="DR2082" t="s">
        <v>411</v>
      </c>
    </row>
    <row r="2083" spans="1:284" x14ac:dyDescent="0.25">
      <c r="A2083">
        <v>16487090</v>
      </c>
      <c r="B2083">
        <v>2082</v>
      </c>
      <c r="C2083" t="s">
        <v>393</v>
      </c>
      <c r="D2083" t="s">
        <v>394</v>
      </c>
      <c r="F2083" t="str">
        <f>"00-00-31-147L-008B-0000"</f>
        <v>00-00-31-147L-008B-0000</v>
      </c>
      <c r="H2083" t="str">
        <f>"SALAMATIN JAMES N &amp; SALAMATIN APRIL L (B&amp;S)"</f>
        <v>SALAMATIN JAMES N &amp; SALAMATIN APRIL L (B&amp;S)</v>
      </c>
      <c r="I2083" t="str">
        <f>"1116-B NATURES WALK DR"</f>
        <v>1116-B NATURES WALK DR</v>
      </c>
      <c r="J2083" t="str">
        <f t="shared" ref="J2083:J2088" si="783">"FERNANDINA BEACH FL 32034"</f>
        <v>FERNANDINA BEACH FL 32034</v>
      </c>
      <c r="K2083" t="str">
        <f>"1116 NATURES WALK DR B"</f>
        <v>1116 NATURES WALK DR B</v>
      </c>
      <c r="L2083" t="str">
        <f t="shared" si="779"/>
        <v>FERNANDINA BEACH FL 32034</v>
      </c>
      <c r="M2083" t="str">
        <f>"LOT 8B IN OR 943 PG 1216 L/E IN OR 943 PG 1216 NATURES WALK PB 5/202"</f>
        <v>LOT 8B IN OR 943 PG 1216 L/E IN OR 943 PG 1216 NATURES WALK PB 5/202</v>
      </c>
      <c r="N2083" t="str">
        <f>""</f>
        <v/>
      </c>
      <c r="O2083" t="str">
        <f>"8285"</f>
        <v>8285</v>
      </c>
      <c r="P2083" t="str">
        <f t="shared" si="775"/>
        <v>2017</v>
      </c>
      <c r="Q2083" t="str">
        <f>""</f>
        <v/>
      </c>
      <c r="R2083" t="str">
        <f>"Y"</f>
        <v>Y</v>
      </c>
      <c r="S2083" t="str">
        <f>""</f>
        <v/>
      </c>
      <c r="T2083" t="str">
        <f>"1879.85"</f>
        <v>1879.85</v>
      </c>
      <c r="U2083" t="str">
        <f>"124843.00"</f>
        <v>124843.00</v>
      </c>
      <c r="V2083" t="str">
        <f>"124843.00"</f>
        <v>124843.00</v>
      </c>
      <c r="W2083" t="str">
        <f t="shared" si="776"/>
        <v>2017</v>
      </c>
      <c r="X2083" t="str">
        <f>"11.00"</f>
        <v>11.00</v>
      </c>
      <c r="Y2083" t="str">
        <f>"1968.25"</f>
        <v>1968.25</v>
      </c>
      <c r="Z2083" t="str">
        <f>"25000.00"</f>
        <v>25000.00</v>
      </c>
      <c r="AA2083" t="str">
        <f>"99843.00"</f>
        <v>99843.00</v>
      </c>
      <c r="AB2083" t="str">
        <f t="shared" si="780"/>
        <v>Residential</v>
      </c>
      <c r="AC2083" t="str">
        <f t="shared" si="781"/>
        <v>0</v>
      </c>
      <c r="AD2083" t="str">
        <f>"4"</f>
        <v>4</v>
      </c>
      <c r="AE2083" t="str">
        <f>"WOOD (INCLUDE STEEL STUDS)"</f>
        <v>WOOD (INCLUDE STEEL STUDS)</v>
      </c>
      <c r="AF2083" t="str">
        <f t="shared" si="782"/>
        <v>001</v>
      </c>
      <c r="AG2083" t="str">
        <f t="shared" ref="AG2083:AG2088" si="784">"FL"</f>
        <v>FL</v>
      </c>
      <c r="AH2083" t="str">
        <f>"-"</f>
        <v>-</v>
      </c>
      <c r="AI2083" t="str">
        <f>"40000.00"</f>
        <v>40000.00</v>
      </c>
      <c r="AJ2083" t="str">
        <f>"C55-000-585-6301-6"</f>
        <v>C55-000-585-6301-6</v>
      </c>
      <c r="AK2083" t="str">
        <f>"45381"</f>
        <v>45381</v>
      </c>
      <c r="AL2083">
        <v>8</v>
      </c>
      <c r="AM2083">
        <v>2384</v>
      </c>
      <c r="AN2083">
        <v>2065.06</v>
      </c>
      <c r="AQ2083" t="s">
        <v>20172</v>
      </c>
      <c r="AR2083" t="s">
        <v>20172</v>
      </c>
      <c r="AS2083" t="s">
        <v>20172</v>
      </c>
      <c r="AU2083" t="s">
        <v>396</v>
      </c>
      <c r="AV2083">
        <v>2017</v>
      </c>
      <c r="AW2083" t="str">
        <f>"00-00-31-147L-008B-0000 "</f>
        <v xml:space="preserve">00-00-31-147L-008B-0000 </v>
      </c>
      <c r="AX2083">
        <v>1116</v>
      </c>
      <c r="AZ2083" t="s">
        <v>20173</v>
      </c>
      <c r="BA2083" t="s">
        <v>669</v>
      </c>
      <c r="BC2083" t="s">
        <v>20076</v>
      </c>
      <c r="BD2083" t="s">
        <v>11749</v>
      </c>
      <c r="BE2083" t="s">
        <v>393</v>
      </c>
      <c r="BF2083">
        <v>32034</v>
      </c>
      <c r="BG2083" t="s">
        <v>20174</v>
      </c>
      <c r="BH2083" t="s">
        <v>11751</v>
      </c>
      <c r="BI2083">
        <v>-81.447494314156799</v>
      </c>
      <c r="BJ2083">
        <v>30.655027375377301</v>
      </c>
      <c r="BK2083" t="s">
        <v>20175</v>
      </c>
      <c r="BL2083" t="s">
        <v>20176</v>
      </c>
      <c r="BM2083" t="s">
        <v>20177</v>
      </c>
      <c r="BN2083" t="s">
        <v>3983</v>
      </c>
      <c r="BO2083">
        <v>32034</v>
      </c>
      <c r="BP2083" t="s">
        <v>416</v>
      </c>
      <c r="BQ2083">
        <v>100</v>
      </c>
      <c r="BR2083" t="s">
        <v>514</v>
      </c>
      <c r="BS2083">
        <v>1001</v>
      </c>
      <c r="BT2083" t="s">
        <v>515</v>
      </c>
      <c r="BW2083">
        <v>3851</v>
      </c>
      <c r="BX2083" t="s">
        <v>407</v>
      </c>
      <c r="BY2083" t="s">
        <v>19842</v>
      </c>
      <c r="BZ2083">
        <v>4</v>
      </c>
      <c r="CA2083">
        <v>1990</v>
      </c>
      <c r="CB2083">
        <v>1</v>
      </c>
      <c r="CC2083">
        <v>1</v>
      </c>
      <c r="CD2083">
        <v>2017</v>
      </c>
      <c r="CG2083">
        <v>124843</v>
      </c>
      <c r="CH2083">
        <v>2017</v>
      </c>
      <c r="CI2083">
        <v>40000</v>
      </c>
      <c r="CJ2083">
        <v>93171</v>
      </c>
      <c r="CK2083">
        <v>133171</v>
      </c>
      <c r="CL2083">
        <v>2017</v>
      </c>
      <c r="CM2083">
        <v>1879.85</v>
      </c>
      <c r="CN2083" s="1">
        <v>36745</v>
      </c>
      <c r="CZ2083" s="1">
        <v>36745</v>
      </c>
      <c r="DD2083" t="s">
        <v>11749</v>
      </c>
      <c r="DF2083" t="s">
        <v>20178</v>
      </c>
      <c r="DG2083">
        <v>27</v>
      </c>
      <c r="DI2083" t="s">
        <v>20076</v>
      </c>
      <c r="DL2083">
        <v>50101</v>
      </c>
      <c r="DM2083" t="s">
        <v>16992</v>
      </c>
      <c r="DO2083" t="s">
        <v>20179</v>
      </c>
      <c r="DP2083">
        <v>0</v>
      </c>
      <c r="DQ2083">
        <v>0</v>
      </c>
      <c r="DR2083" t="s">
        <v>411</v>
      </c>
      <c r="DS2083" t="b">
        <v>1</v>
      </c>
      <c r="DT2083" t="s">
        <v>470</v>
      </c>
      <c r="DU2083" t="s">
        <v>471</v>
      </c>
      <c r="DV2083" t="s">
        <v>472</v>
      </c>
      <c r="DX2083">
        <v>-9999</v>
      </c>
      <c r="DZ2083" t="s">
        <v>447</v>
      </c>
      <c r="EA2083" t="s">
        <v>448</v>
      </c>
      <c r="EB2083" t="s">
        <v>14787</v>
      </c>
      <c r="EC2083">
        <v>20101217</v>
      </c>
      <c r="ED2083" t="s">
        <v>474</v>
      </c>
      <c r="EF2083">
        <v>638</v>
      </c>
      <c r="EG2083">
        <v>408.5</v>
      </c>
      <c r="EH2083" t="s">
        <v>451</v>
      </c>
      <c r="EI2083">
        <v>20140731</v>
      </c>
      <c r="EJ2083">
        <v>0</v>
      </c>
      <c r="EK2083">
        <v>0</v>
      </c>
      <c r="EP2083" t="s">
        <v>421</v>
      </c>
      <c r="EQ2083" t="s">
        <v>422</v>
      </c>
      <c r="ER2083">
        <v>0</v>
      </c>
      <c r="ES2083">
        <v>2</v>
      </c>
      <c r="ET2083">
        <v>0</v>
      </c>
      <c r="EU2083">
        <v>0</v>
      </c>
      <c r="EV2083">
        <v>0</v>
      </c>
      <c r="EW2083" s="2">
        <v>43222</v>
      </c>
      <c r="EX2083" s="1">
        <v>42879</v>
      </c>
      <c r="EY2083">
        <v>2016</v>
      </c>
      <c r="EZ2083">
        <v>2088.09</v>
      </c>
      <c r="FA2083" t="s">
        <v>20180</v>
      </c>
      <c r="FB2083">
        <v>0.25</v>
      </c>
      <c r="FC2083" t="s">
        <v>424</v>
      </c>
      <c r="FD2083" t="s">
        <v>425</v>
      </c>
      <c r="FE2083" s="1">
        <v>43192</v>
      </c>
      <c r="FF2083">
        <v>11</v>
      </c>
      <c r="FG2083">
        <v>7336671</v>
      </c>
      <c r="FH2083" t="s">
        <v>437</v>
      </c>
      <c r="FJ2083" s="1">
        <v>42879</v>
      </c>
      <c r="FK2083">
        <v>2016</v>
      </c>
      <c r="FL2083">
        <v>2088.09</v>
      </c>
      <c r="FM2083" t="s">
        <v>20180</v>
      </c>
      <c r="FN2083">
        <v>0.25</v>
      </c>
      <c r="FO2083" t="s">
        <v>424</v>
      </c>
      <c r="FP2083" t="s">
        <v>425</v>
      </c>
      <c r="FR2083">
        <v>22</v>
      </c>
      <c r="FS2083">
        <v>6813557</v>
      </c>
      <c r="FT2083" t="s">
        <v>20181</v>
      </c>
    </row>
    <row r="2084" spans="1:284" x14ac:dyDescent="0.25">
      <c r="A2084">
        <v>16487091</v>
      </c>
      <c r="B2084">
        <v>2083</v>
      </c>
      <c r="C2084" t="s">
        <v>393</v>
      </c>
      <c r="D2084" t="s">
        <v>394</v>
      </c>
      <c r="F2084" t="str">
        <f>"00-00-31-147L-017B-0000"</f>
        <v>00-00-31-147L-017B-0000</v>
      </c>
      <c r="H2084" t="str">
        <f>"LAND CAROLYN &amp; ROBERTS THOMAS H JR"</f>
        <v>LAND CAROLYN &amp; ROBERTS THOMAS H JR</v>
      </c>
      <c r="I2084" t="str">
        <f>"1131 B NATURES WALK CT"</f>
        <v>1131 B NATURES WALK CT</v>
      </c>
      <c r="J2084" t="str">
        <f t="shared" si="783"/>
        <v>FERNANDINA BEACH FL 32034</v>
      </c>
      <c r="K2084" t="str">
        <f>"1131 NATURES WALK CT B"</f>
        <v>1131 NATURES WALK CT B</v>
      </c>
      <c r="L2084" t="str">
        <f t="shared" si="779"/>
        <v>FERNANDINA BEACH FL 32034</v>
      </c>
      <c r="M2084" t="str">
        <f>"LOT 17-B IN OR 2030/1700 NATURES WALK PB 5/202"</f>
        <v>LOT 17-B IN OR 2030/1700 NATURES WALK PB 5/202</v>
      </c>
      <c r="N2084" t="str">
        <f>""</f>
        <v/>
      </c>
      <c r="O2084" t="str">
        <f>"8303"</f>
        <v>8303</v>
      </c>
      <c r="P2084" t="str">
        <f t="shared" si="775"/>
        <v>2017</v>
      </c>
      <c r="Q2084" t="str">
        <f>""</f>
        <v/>
      </c>
      <c r="R2084" t="str">
        <f>"N"</f>
        <v>N</v>
      </c>
      <c r="S2084" t="str">
        <f>""</f>
        <v/>
      </c>
      <c r="T2084" t="str">
        <f>"2698.34"</f>
        <v>2698.34</v>
      </c>
      <c r="U2084" t="str">
        <f>"135386.00"</f>
        <v>135386.00</v>
      </c>
      <c r="V2084" t="str">
        <f>"135386.00"</f>
        <v>135386.00</v>
      </c>
      <c r="W2084" t="str">
        <f t="shared" si="776"/>
        <v>2017</v>
      </c>
      <c r="X2084" t="str">
        <f>"10.50"</f>
        <v>10.50</v>
      </c>
      <c r="Y2084" t="str">
        <f>"2811.29"</f>
        <v>2811.29</v>
      </c>
      <c r="Z2084" t="str">
        <f>""</f>
        <v/>
      </c>
      <c r="AA2084" t="str">
        <f>"135386.00"</f>
        <v>135386.00</v>
      </c>
      <c r="AB2084" t="str">
        <f t="shared" si="780"/>
        <v>Residential</v>
      </c>
      <c r="AC2084" t="str">
        <f t="shared" si="781"/>
        <v>0</v>
      </c>
      <c r="AD2084" t="str">
        <f>"4"</f>
        <v>4</v>
      </c>
      <c r="AE2084" t="str">
        <f>"WOOD (INCLUDE STEEL STUDS)"</f>
        <v>WOOD (INCLUDE STEEL STUDS)</v>
      </c>
      <c r="AF2084" t="str">
        <f t="shared" si="782"/>
        <v>001</v>
      </c>
      <c r="AG2084" t="str">
        <f t="shared" si="784"/>
        <v>FL</v>
      </c>
      <c r="AH2084" t="str">
        <f>"-"</f>
        <v>-</v>
      </c>
      <c r="AI2084" t="str">
        <f>"40000.00"</f>
        <v>40000.00</v>
      </c>
      <c r="AJ2084" t="str">
        <f>"C55-000-585-6319-8"</f>
        <v>C55-000-585-6319-8</v>
      </c>
      <c r="AK2084" t="str">
        <f>"45399"</f>
        <v>45399</v>
      </c>
      <c r="AL2084">
        <v>8</v>
      </c>
      <c r="AM2084">
        <v>2385</v>
      </c>
      <c r="AN2084">
        <v>2950.25</v>
      </c>
      <c r="AQ2084" t="s">
        <v>20182</v>
      </c>
      <c r="AR2084" t="s">
        <v>20182</v>
      </c>
      <c r="AS2084" t="s">
        <v>20182</v>
      </c>
      <c r="AU2084" t="s">
        <v>396</v>
      </c>
      <c r="AV2084">
        <v>2017</v>
      </c>
      <c r="AW2084" t="str">
        <f>"00-00-31-147L-017B-0000 "</f>
        <v xml:space="preserve">00-00-31-147L-017B-0000 </v>
      </c>
      <c r="AX2084">
        <v>1131</v>
      </c>
      <c r="AZ2084" t="s">
        <v>20173</v>
      </c>
      <c r="BA2084" t="s">
        <v>3181</v>
      </c>
      <c r="BC2084" t="s">
        <v>20076</v>
      </c>
      <c r="BD2084" t="s">
        <v>11749</v>
      </c>
      <c r="BE2084" t="s">
        <v>393</v>
      </c>
      <c r="BF2084">
        <v>32034</v>
      </c>
      <c r="BG2084" t="s">
        <v>20183</v>
      </c>
      <c r="BH2084" t="s">
        <v>11751</v>
      </c>
      <c r="BI2084">
        <v>-81.446286447162805</v>
      </c>
      <c r="BJ2084">
        <v>30.654744453862399</v>
      </c>
      <c r="BK2084" t="s">
        <v>20184</v>
      </c>
      <c r="BL2084" t="s">
        <v>20185</v>
      </c>
      <c r="BM2084" t="s">
        <v>20186</v>
      </c>
      <c r="BN2084" t="s">
        <v>3983</v>
      </c>
      <c r="BO2084">
        <v>32034</v>
      </c>
      <c r="BP2084" t="s">
        <v>416</v>
      </c>
      <c r="BQ2084">
        <v>100</v>
      </c>
      <c r="BR2084" t="s">
        <v>514</v>
      </c>
      <c r="BS2084">
        <v>1001</v>
      </c>
      <c r="BT2084" t="s">
        <v>515</v>
      </c>
      <c r="BW2084">
        <v>7684</v>
      </c>
      <c r="BX2084" t="s">
        <v>407</v>
      </c>
      <c r="BY2084" t="s">
        <v>19842</v>
      </c>
      <c r="BZ2084">
        <v>4</v>
      </c>
      <c r="CA2084">
        <v>1990</v>
      </c>
      <c r="CB2084">
        <v>1</v>
      </c>
      <c r="CC2084">
        <v>1</v>
      </c>
      <c r="CD2084">
        <v>2016</v>
      </c>
      <c r="CG2084">
        <v>135964</v>
      </c>
      <c r="CH2084">
        <v>2017</v>
      </c>
      <c r="CI2084">
        <v>40000</v>
      </c>
      <c r="CJ2084">
        <v>95386</v>
      </c>
      <c r="CK2084">
        <v>135386</v>
      </c>
      <c r="CL2084">
        <v>2016</v>
      </c>
      <c r="CM2084">
        <v>2753</v>
      </c>
      <c r="CN2084" s="1">
        <v>42289</v>
      </c>
      <c r="CO2084">
        <v>144900</v>
      </c>
      <c r="CV2084">
        <v>0</v>
      </c>
      <c r="CZ2084" s="1">
        <v>42289</v>
      </c>
      <c r="DA2084">
        <v>0</v>
      </c>
      <c r="DD2084" t="s">
        <v>11749</v>
      </c>
      <c r="DF2084" t="s">
        <v>20187</v>
      </c>
      <c r="DG2084">
        <v>27</v>
      </c>
      <c r="DI2084" t="s">
        <v>20076</v>
      </c>
      <c r="DJ2084" t="s">
        <v>20173</v>
      </c>
      <c r="DL2084">
        <v>50101</v>
      </c>
      <c r="DM2084" t="s">
        <v>16992</v>
      </c>
      <c r="DO2084" t="s">
        <v>20188</v>
      </c>
      <c r="DP2084">
        <v>0</v>
      </c>
      <c r="DQ2084">
        <v>0</v>
      </c>
      <c r="DR2084" t="s">
        <v>411</v>
      </c>
      <c r="EP2084" t="s">
        <v>421</v>
      </c>
      <c r="EQ2084" t="s">
        <v>422</v>
      </c>
      <c r="ER2084">
        <v>0</v>
      </c>
      <c r="ES2084">
        <v>4</v>
      </c>
      <c r="ET2084">
        <v>0</v>
      </c>
      <c r="EU2084">
        <v>0</v>
      </c>
      <c r="EV2084">
        <v>0</v>
      </c>
      <c r="EW2084" s="2">
        <v>43222</v>
      </c>
      <c r="EX2084" s="1">
        <v>41787</v>
      </c>
      <c r="EY2084">
        <v>2013</v>
      </c>
      <c r="EZ2084">
        <v>2486.36</v>
      </c>
      <c r="FA2084" t="s">
        <v>20189</v>
      </c>
      <c r="FB2084">
        <v>0.25</v>
      </c>
      <c r="FC2084" t="s">
        <v>424</v>
      </c>
      <c r="FD2084" t="s">
        <v>425</v>
      </c>
      <c r="FE2084" s="1">
        <v>41907</v>
      </c>
      <c r="FF2084">
        <v>4</v>
      </c>
      <c r="FG2084">
        <v>2407503</v>
      </c>
      <c r="FH2084" t="s">
        <v>461</v>
      </c>
      <c r="FJ2084" s="1">
        <v>41423</v>
      </c>
      <c r="FK2084">
        <v>2012</v>
      </c>
      <c r="FL2084">
        <v>2600.67</v>
      </c>
      <c r="FM2084" t="s">
        <v>20190</v>
      </c>
      <c r="FN2084">
        <v>0.25</v>
      </c>
      <c r="FO2084" t="s">
        <v>424</v>
      </c>
      <c r="FP2084" t="s">
        <v>425</v>
      </c>
      <c r="FQ2084" s="1">
        <v>41472</v>
      </c>
      <c r="FR2084">
        <v>2</v>
      </c>
      <c r="FS2084">
        <v>11303</v>
      </c>
      <c r="FT2084" t="s">
        <v>918</v>
      </c>
      <c r="FV2084" s="1">
        <v>41052</v>
      </c>
      <c r="FW2084">
        <v>2011</v>
      </c>
      <c r="FX2084">
        <v>2789.02</v>
      </c>
      <c r="FY2084" t="s">
        <v>20191</v>
      </c>
      <c r="FZ2084">
        <v>0.25</v>
      </c>
      <c r="GA2084" t="s">
        <v>424</v>
      </c>
      <c r="GB2084" t="s">
        <v>425</v>
      </c>
      <c r="GC2084" s="1">
        <v>41472</v>
      </c>
      <c r="GD2084">
        <v>14</v>
      </c>
      <c r="GE2084">
        <v>13916</v>
      </c>
      <c r="GF2084" t="s">
        <v>20192</v>
      </c>
      <c r="GH2084" s="1">
        <v>40688</v>
      </c>
      <c r="GI2084">
        <v>2010</v>
      </c>
      <c r="GJ2084">
        <v>2707.13</v>
      </c>
      <c r="GK2084" t="s">
        <v>20193</v>
      </c>
      <c r="GL2084">
        <v>0.25</v>
      </c>
      <c r="GM2084" t="s">
        <v>424</v>
      </c>
      <c r="GN2084" t="s">
        <v>425</v>
      </c>
      <c r="GO2084" s="1">
        <v>41361</v>
      </c>
      <c r="GP2084">
        <v>22</v>
      </c>
      <c r="GQ2084">
        <v>11177</v>
      </c>
      <c r="GR2084" t="s">
        <v>650</v>
      </c>
    </row>
    <row r="2085" spans="1:284" x14ac:dyDescent="0.25">
      <c r="A2085">
        <v>16487092</v>
      </c>
      <c r="B2085">
        <v>2084</v>
      </c>
      <c r="C2085" t="s">
        <v>393</v>
      </c>
      <c r="D2085" t="s">
        <v>394</v>
      </c>
      <c r="F2085" t="str">
        <f>"00-00-31-147L-026A-0000"</f>
        <v>00-00-31-147L-026A-0000</v>
      </c>
      <c r="H2085" t="str">
        <f>"BERRY CRYSTAL L/E SUE ANN BERRY HILDEBRAND"</f>
        <v>BERRY CRYSTAL L/E SUE ANN BERRY HILDEBRAND</v>
      </c>
      <c r="I2085" t="str">
        <f>"2072-A NATURES LN"</f>
        <v>2072-A NATURES LN</v>
      </c>
      <c r="J2085" t="str">
        <f t="shared" si="783"/>
        <v>FERNANDINA BEACH FL 32034</v>
      </c>
      <c r="K2085" t="str">
        <f>"2072 NATURES LN A"</f>
        <v>2072 NATURES LN A</v>
      </c>
      <c r="L2085" t="str">
        <f t="shared" si="779"/>
        <v>FERNANDINA BEACH FL 32034</v>
      </c>
      <c r="M2085" t="str">
        <f>"LOT 26A &amp; W2 OF LOT 26B L/E OR 1846/1964 NATURES WALK PB 5/202"</f>
        <v>LOT 26A &amp; W2 OF LOT 26B L/E OR 1846/1964 NATURES WALK PB 5/202</v>
      </c>
      <c r="N2085" t="str">
        <f>""</f>
        <v/>
      </c>
      <c r="O2085" t="str">
        <f>"8320"</f>
        <v>8320</v>
      </c>
      <c r="P2085" t="str">
        <f t="shared" si="775"/>
        <v>2017</v>
      </c>
      <c r="Q2085" t="str">
        <f>""</f>
        <v/>
      </c>
      <c r="R2085" t="str">
        <f>"Y"</f>
        <v>Y</v>
      </c>
      <c r="S2085" t="str">
        <f>""</f>
        <v/>
      </c>
      <c r="T2085" t="str">
        <f>"1384.48"</f>
        <v>1384.48</v>
      </c>
      <c r="U2085" t="str">
        <f>"111188.00"</f>
        <v>111188.00</v>
      </c>
      <c r="V2085" t="str">
        <f>"111188.00"</f>
        <v>111188.00</v>
      </c>
      <c r="W2085" t="str">
        <f t="shared" si="776"/>
        <v>2017</v>
      </c>
      <c r="X2085" t="str">
        <f>""</f>
        <v/>
      </c>
      <c r="Y2085" t="str">
        <f>"1458.01"</f>
        <v>1458.01</v>
      </c>
      <c r="Z2085" t="str">
        <f>"25000.00"</f>
        <v>25000.00</v>
      </c>
      <c r="AA2085" t="str">
        <f>"86188.00"</f>
        <v>86188.00</v>
      </c>
      <c r="AB2085" t="str">
        <f t="shared" si="780"/>
        <v>Residential</v>
      </c>
      <c r="AC2085" t="str">
        <f t="shared" si="781"/>
        <v>0</v>
      </c>
      <c r="AD2085" t="str">
        <f>"4"</f>
        <v>4</v>
      </c>
      <c r="AE2085" t="str">
        <f>"WOOD (INCLUDE STEEL STUDS)"</f>
        <v>WOOD (INCLUDE STEEL STUDS)</v>
      </c>
      <c r="AF2085" t="str">
        <f t="shared" si="782"/>
        <v>001</v>
      </c>
      <c r="AG2085" t="str">
        <f t="shared" si="784"/>
        <v>FL</v>
      </c>
      <c r="AH2085" t="str">
        <f>"-"</f>
        <v>-</v>
      </c>
      <c r="AI2085" t="str">
        <f>"40000.00"</f>
        <v>40000.00</v>
      </c>
      <c r="AJ2085" t="str">
        <f>"C55-000-585-6336-2"</f>
        <v>C55-000-585-6336-2</v>
      </c>
      <c r="AK2085" t="str">
        <f>"45416"</f>
        <v>45416</v>
      </c>
      <c r="AL2085">
        <v>8</v>
      </c>
      <c r="AM2085">
        <v>2386</v>
      </c>
      <c r="AN2085">
        <v>1529.31</v>
      </c>
      <c r="AQ2085" t="s">
        <v>20194</v>
      </c>
      <c r="AR2085" t="s">
        <v>20194</v>
      </c>
      <c r="AS2085" t="s">
        <v>20194</v>
      </c>
      <c r="AU2085" t="s">
        <v>396</v>
      </c>
      <c r="AV2085">
        <v>2017</v>
      </c>
      <c r="AW2085" t="str">
        <f>"00-00-31-147L-026A-0000 "</f>
        <v xml:space="preserve">00-00-31-147L-026A-0000 </v>
      </c>
      <c r="AX2085">
        <v>2072</v>
      </c>
      <c r="AZ2085" t="s">
        <v>20195</v>
      </c>
      <c r="BA2085" t="s">
        <v>653</v>
      </c>
      <c r="BC2085" t="s">
        <v>396</v>
      </c>
      <c r="BD2085" t="s">
        <v>11749</v>
      </c>
      <c r="BE2085" t="s">
        <v>393</v>
      </c>
      <c r="BF2085">
        <v>32034</v>
      </c>
      <c r="BG2085" t="s">
        <v>20196</v>
      </c>
      <c r="BH2085" t="s">
        <v>11751</v>
      </c>
      <c r="BI2085">
        <v>-81.445895583305798</v>
      </c>
      <c r="BJ2085">
        <v>30.654976534712599</v>
      </c>
      <c r="BK2085" t="s">
        <v>20197</v>
      </c>
      <c r="BL2085" t="s">
        <v>20198</v>
      </c>
      <c r="BM2085" t="s">
        <v>20199</v>
      </c>
      <c r="BN2085" t="s">
        <v>3983</v>
      </c>
      <c r="BO2085">
        <v>32034</v>
      </c>
      <c r="BP2085" t="s">
        <v>416</v>
      </c>
      <c r="BQ2085">
        <v>100</v>
      </c>
      <c r="BR2085" t="s">
        <v>514</v>
      </c>
      <c r="BS2085">
        <v>1001</v>
      </c>
      <c r="BT2085" t="s">
        <v>515</v>
      </c>
      <c r="BW2085">
        <v>4097</v>
      </c>
      <c r="BX2085" t="s">
        <v>407</v>
      </c>
      <c r="BY2085" t="s">
        <v>19842</v>
      </c>
      <c r="BZ2085">
        <v>4</v>
      </c>
      <c r="CA2085">
        <v>1991</v>
      </c>
      <c r="CB2085">
        <v>2</v>
      </c>
      <c r="CC2085">
        <v>1</v>
      </c>
      <c r="CD2085">
        <v>2017</v>
      </c>
      <c r="CG2085">
        <v>111188</v>
      </c>
      <c r="CH2085">
        <v>2017</v>
      </c>
      <c r="CI2085">
        <v>40000</v>
      </c>
      <c r="CJ2085">
        <v>114009</v>
      </c>
      <c r="CK2085">
        <v>154009</v>
      </c>
      <c r="CL2085">
        <v>2017</v>
      </c>
      <c r="CM2085">
        <v>1384.48</v>
      </c>
      <c r="CN2085" s="1">
        <v>40988</v>
      </c>
      <c r="CZ2085" s="1">
        <v>40988</v>
      </c>
      <c r="DD2085" t="s">
        <v>11749</v>
      </c>
      <c r="DF2085" t="s">
        <v>20200</v>
      </c>
      <c r="DG2085">
        <v>27</v>
      </c>
      <c r="DI2085" t="s">
        <v>396</v>
      </c>
      <c r="DJ2085" t="s">
        <v>20173</v>
      </c>
      <c r="DL2085">
        <v>50101</v>
      </c>
      <c r="DM2085" t="s">
        <v>16992</v>
      </c>
      <c r="DO2085" t="s">
        <v>20201</v>
      </c>
      <c r="DP2085">
        <v>0</v>
      </c>
      <c r="DQ2085">
        <v>0</v>
      </c>
      <c r="DR2085" t="s">
        <v>411</v>
      </c>
      <c r="EP2085" t="s">
        <v>421</v>
      </c>
      <c r="EQ2085" t="s">
        <v>422</v>
      </c>
      <c r="ER2085">
        <v>2</v>
      </c>
      <c r="ES2085">
        <v>0</v>
      </c>
      <c r="ET2085">
        <v>3000.82</v>
      </c>
      <c r="EU2085">
        <v>162.54</v>
      </c>
      <c r="EV2085">
        <v>3163.36</v>
      </c>
      <c r="EW2085" s="2">
        <v>43222</v>
      </c>
      <c r="EX2085" s="1">
        <v>42879</v>
      </c>
      <c r="EY2085">
        <v>2016</v>
      </c>
      <c r="EZ2085">
        <v>1500.41</v>
      </c>
      <c r="FA2085" t="s">
        <v>20202</v>
      </c>
      <c r="FB2085">
        <v>0.25</v>
      </c>
      <c r="FC2085" t="s">
        <v>424</v>
      </c>
      <c r="FD2085" t="s">
        <v>454</v>
      </c>
      <c r="FF2085">
        <v>12</v>
      </c>
      <c r="FG2085">
        <v>7336671</v>
      </c>
      <c r="FH2085" t="s">
        <v>437</v>
      </c>
      <c r="FJ2085" s="1">
        <v>42879</v>
      </c>
      <c r="FK2085">
        <v>2016</v>
      </c>
      <c r="FL2085">
        <v>1500.41</v>
      </c>
      <c r="FM2085" t="s">
        <v>20202</v>
      </c>
      <c r="FN2085">
        <v>0.25</v>
      </c>
      <c r="FO2085" t="s">
        <v>424</v>
      </c>
      <c r="FP2085" t="s">
        <v>454</v>
      </c>
      <c r="FR2085">
        <v>12</v>
      </c>
      <c r="FS2085">
        <v>6769154</v>
      </c>
      <c r="FT2085" t="s">
        <v>20203</v>
      </c>
    </row>
    <row r="2086" spans="1:284" x14ac:dyDescent="0.25">
      <c r="A2086">
        <v>16487093</v>
      </c>
      <c r="B2086">
        <v>2085</v>
      </c>
      <c r="C2086" t="s">
        <v>393</v>
      </c>
      <c r="D2086" t="s">
        <v>394</v>
      </c>
      <c r="F2086" t="str">
        <f>"00-00-31-1480-0025-0000"</f>
        <v>00-00-31-1480-0025-0000</v>
      </c>
      <c r="H2086" t="str">
        <f>"ERDMANN THOMAS J"</f>
        <v>ERDMANN THOMAS J</v>
      </c>
      <c r="I2086" t="str">
        <f>"1314 CLINCH DR"</f>
        <v>1314 CLINCH DR</v>
      </c>
      <c r="J2086" t="str">
        <f t="shared" si="783"/>
        <v>FERNANDINA BEACH FL 32034</v>
      </c>
      <c r="K2086" t="str">
        <f>"33 OAK GROVE PL"</f>
        <v>33 OAK GROVE PL</v>
      </c>
      <c r="L2086" t="str">
        <f t="shared" si="779"/>
        <v>FERNANDINA BEACH FL 32034</v>
      </c>
      <c r="M2086" t="str">
        <f>"LOT 25 IN OR 2097/211 OAK GROVE PLACE PB 3/2"</f>
        <v>LOT 25 IN OR 2097/211 OAK GROVE PLACE PB 3/2</v>
      </c>
      <c r="N2086" t="str">
        <f>""</f>
        <v/>
      </c>
      <c r="O2086" t="str">
        <f>"8372"</f>
        <v>8372</v>
      </c>
      <c r="P2086" t="str">
        <f t="shared" si="775"/>
        <v>2017</v>
      </c>
      <c r="Q2086" t="str">
        <f>""</f>
        <v/>
      </c>
      <c r="R2086" t="str">
        <f>"N"</f>
        <v>N</v>
      </c>
      <c r="S2086" t="str">
        <f>""</f>
        <v/>
      </c>
      <c r="T2086" t="str">
        <f>"2532.66"</f>
        <v>2532.66</v>
      </c>
      <c r="U2086" t="str">
        <f>"127073.00"</f>
        <v>127073.00</v>
      </c>
      <c r="V2086" t="str">
        <f>"127073.00"</f>
        <v>127073.00</v>
      </c>
      <c r="W2086" t="str">
        <f t="shared" si="776"/>
        <v>2017</v>
      </c>
      <c r="X2086" t="str">
        <f>""</f>
        <v/>
      </c>
      <c r="Y2086" t="str">
        <f>"731.77"</f>
        <v>731.77</v>
      </c>
      <c r="Z2086" t="str">
        <f>""</f>
        <v/>
      </c>
      <c r="AA2086" t="str">
        <f>"127073.00"</f>
        <v>127073.00</v>
      </c>
      <c r="AB2086" t="str">
        <f t="shared" si="780"/>
        <v>Residential</v>
      </c>
      <c r="AC2086" t="str">
        <f t="shared" si="781"/>
        <v>0</v>
      </c>
      <c r="AD2086" t="str">
        <f>"4"</f>
        <v>4</v>
      </c>
      <c r="AE2086" t="str">
        <f>"WOOD (INCLUDE STEEL STUDS)"</f>
        <v>WOOD (INCLUDE STEEL STUDS)</v>
      </c>
      <c r="AF2086" t="str">
        <f t="shared" si="782"/>
        <v>001</v>
      </c>
      <c r="AG2086" t="str">
        <f t="shared" si="784"/>
        <v>FL</v>
      </c>
      <c r="AH2086" t="str">
        <f>"6480.00"</f>
        <v>6480.00</v>
      </c>
      <c r="AI2086" t="str">
        <f>"52800.00"</f>
        <v>52800.00</v>
      </c>
      <c r="AJ2086" t="str">
        <f>"C55-000-585-6387-5"</f>
        <v>C55-000-585-6387-5</v>
      </c>
      <c r="AK2086" t="str">
        <f>"45509"</f>
        <v>45509</v>
      </c>
      <c r="AL2086">
        <v>8</v>
      </c>
      <c r="AM2086">
        <v>2387</v>
      </c>
      <c r="AN2086">
        <v>766.76</v>
      </c>
      <c r="AQ2086" t="s">
        <v>20204</v>
      </c>
      <c r="AR2086" t="s">
        <v>20204</v>
      </c>
      <c r="AS2086" t="s">
        <v>20204</v>
      </c>
      <c r="AU2086" t="s">
        <v>396</v>
      </c>
      <c r="AV2086">
        <v>2017</v>
      </c>
      <c r="AW2086" t="str">
        <f>"00-00-31-1480-0025-0000 "</f>
        <v xml:space="preserve">00-00-31-1480-0025-0000 </v>
      </c>
      <c r="AX2086">
        <v>33</v>
      </c>
      <c r="AZ2086" t="s">
        <v>19035</v>
      </c>
      <c r="BA2086" t="s">
        <v>641</v>
      </c>
      <c r="BD2086" t="s">
        <v>11749</v>
      </c>
      <c r="BE2086" t="s">
        <v>393</v>
      </c>
      <c r="BF2086">
        <v>32034</v>
      </c>
      <c r="BG2086" t="s">
        <v>20205</v>
      </c>
      <c r="BH2086" t="s">
        <v>11751</v>
      </c>
      <c r="BI2086">
        <v>-81.450724661538899</v>
      </c>
      <c r="BJ2086">
        <v>30.669098030253899</v>
      </c>
      <c r="BK2086" t="s">
        <v>20206</v>
      </c>
      <c r="BM2086" t="s">
        <v>20207</v>
      </c>
      <c r="BN2086" t="s">
        <v>3983</v>
      </c>
      <c r="BO2086">
        <v>32034</v>
      </c>
      <c r="BP2086" t="s">
        <v>404</v>
      </c>
      <c r="BQ2086">
        <v>100</v>
      </c>
      <c r="BR2086" t="s">
        <v>514</v>
      </c>
      <c r="BS2086">
        <v>1001</v>
      </c>
      <c r="BT2086" t="s">
        <v>515</v>
      </c>
      <c r="BW2086">
        <v>8726</v>
      </c>
      <c r="BX2086" t="s">
        <v>407</v>
      </c>
      <c r="BY2086" t="s">
        <v>19842</v>
      </c>
      <c r="BZ2086">
        <v>4</v>
      </c>
      <c r="CA2086">
        <v>1943</v>
      </c>
      <c r="CB2086">
        <v>1</v>
      </c>
      <c r="CC2086">
        <v>1</v>
      </c>
      <c r="CD2086">
        <v>2017</v>
      </c>
      <c r="CE2086">
        <v>52800</v>
      </c>
      <c r="CF2086">
        <v>74273</v>
      </c>
      <c r="CG2086">
        <v>127073</v>
      </c>
      <c r="CH2086">
        <v>2017</v>
      </c>
      <c r="CI2086">
        <v>52800</v>
      </c>
      <c r="CJ2086">
        <v>74273</v>
      </c>
      <c r="CK2086">
        <v>127073</v>
      </c>
      <c r="CL2086">
        <v>2017</v>
      </c>
      <c r="CM2086">
        <v>2532.66</v>
      </c>
      <c r="CN2086" s="1">
        <v>42107</v>
      </c>
      <c r="CZ2086" s="1">
        <v>42107</v>
      </c>
      <c r="DD2086" t="s">
        <v>11749</v>
      </c>
      <c r="DF2086">
        <v>25</v>
      </c>
      <c r="DG2086">
        <v>22</v>
      </c>
      <c r="DJ2086" t="s">
        <v>19035</v>
      </c>
      <c r="DL2086">
        <v>50101</v>
      </c>
      <c r="DM2086" t="s">
        <v>20208</v>
      </c>
      <c r="DO2086" t="s">
        <v>20209</v>
      </c>
      <c r="DP2086">
        <v>0</v>
      </c>
      <c r="DQ2086">
        <v>0</v>
      </c>
      <c r="DR2086" t="s">
        <v>411</v>
      </c>
    </row>
    <row r="2087" spans="1:284" x14ac:dyDescent="0.25">
      <c r="A2087">
        <v>16487094</v>
      </c>
      <c r="B2087">
        <v>2086</v>
      </c>
      <c r="C2087" t="s">
        <v>393</v>
      </c>
      <c r="D2087" t="s">
        <v>394</v>
      </c>
      <c r="F2087" t="str">
        <f>"00-00-31-150C-0005-0110"</f>
        <v>00-00-31-150C-0005-0110</v>
      </c>
      <c r="H2087" t="str">
        <f>"HOLLAND CHRISTOPHER A &amp; MISTY"</f>
        <v>HOLLAND CHRISTOPHER A &amp; MISTY</v>
      </c>
      <c r="I2087" t="str">
        <f>"301 S 16TH ST"</f>
        <v>301 S 16TH ST</v>
      </c>
      <c r="J2087" t="str">
        <f t="shared" si="783"/>
        <v>FERNANDINA BEACH FL 32034</v>
      </c>
      <c r="K2087" t="str">
        <f>"301 16TH ST S"</f>
        <v>301 16TH ST S</v>
      </c>
      <c r="L2087" t="str">
        <f t="shared" si="779"/>
        <v>FERNANDINA BEACH FL 32034</v>
      </c>
      <c r="M2087" t="str">
        <f>"BLOCK 5 LOT 11 IN OR 807/1559 OAK LAWN PARK 3 PB 3/28"</f>
        <v>BLOCK 5 LOT 11 IN OR 807/1559 OAK LAWN PARK 3 PB 3/28</v>
      </c>
      <c r="N2087" t="str">
        <f>""</f>
        <v/>
      </c>
      <c r="O2087" t="str">
        <f>"8464"</f>
        <v>8464</v>
      </c>
      <c r="P2087" t="str">
        <f t="shared" si="775"/>
        <v>2017</v>
      </c>
      <c r="Q2087" t="str">
        <f>""</f>
        <v/>
      </c>
      <c r="R2087" t="str">
        <f>"Y"</f>
        <v>Y</v>
      </c>
      <c r="S2087" t="str">
        <f>""</f>
        <v/>
      </c>
      <c r="T2087" t="str">
        <f>"767.85"</f>
        <v>767.85</v>
      </c>
      <c r="U2087" t="str">
        <f>"80250.00"</f>
        <v>80250.00</v>
      </c>
      <c r="V2087" t="str">
        <f>"80250.00"</f>
        <v>80250.00</v>
      </c>
      <c r="W2087" t="str">
        <f t="shared" si="776"/>
        <v>2017</v>
      </c>
      <c r="X2087" t="str">
        <f>"19.33"</f>
        <v>19.33</v>
      </c>
      <c r="Y2087" t="str">
        <f>"822.89"</f>
        <v>822.89</v>
      </c>
      <c r="Z2087" t="str">
        <f>"25000.00"</f>
        <v>25000.00</v>
      </c>
      <c r="AA2087" t="str">
        <f>"55250.00"</f>
        <v>55250.00</v>
      </c>
      <c r="AB2087" t="str">
        <f t="shared" si="780"/>
        <v>Residential</v>
      </c>
      <c r="AC2087" t="str">
        <f t="shared" si="781"/>
        <v>0</v>
      </c>
      <c r="AD2087" t="str">
        <f>"4"</f>
        <v>4</v>
      </c>
      <c r="AE2087" t="str">
        <f>"WOOD (INCLUDE STEEL STUDS)"</f>
        <v>WOOD (INCLUDE STEEL STUDS)</v>
      </c>
      <c r="AF2087" t="str">
        <f t="shared" si="782"/>
        <v>001</v>
      </c>
      <c r="AG2087" t="str">
        <f t="shared" si="784"/>
        <v>FL</v>
      </c>
      <c r="AH2087" t="str">
        <f>"13311.00"</f>
        <v>13311.00</v>
      </c>
      <c r="AI2087" t="str">
        <f>"47371.00"</f>
        <v>47371.00</v>
      </c>
      <c r="AJ2087" t="str">
        <f>"C55-000-585-6474-1"</f>
        <v>C55-000-585-6474-1</v>
      </c>
      <c r="AK2087" t="str">
        <f>"45596"</f>
        <v>45596</v>
      </c>
      <c r="AL2087">
        <v>8</v>
      </c>
      <c r="AM2087">
        <v>2388</v>
      </c>
      <c r="AN2087">
        <v>862.43</v>
      </c>
      <c r="AQ2087" t="s">
        <v>20210</v>
      </c>
      <c r="AR2087" t="s">
        <v>20210</v>
      </c>
      <c r="AS2087" t="s">
        <v>20210</v>
      </c>
      <c r="AU2087" t="s">
        <v>396</v>
      </c>
      <c r="AV2087">
        <v>2017</v>
      </c>
      <c r="AW2087" t="str">
        <f>"00-00-31-150C-0005-0110 "</f>
        <v xml:space="preserve">00-00-31-150C-0005-0110 </v>
      </c>
      <c r="AX2087">
        <v>301</v>
      </c>
      <c r="AZ2087" t="s">
        <v>20211</v>
      </c>
      <c r="BA2087" t="s">
        <v>1942</v>
      </c>
      <c r="BB2087" t="s">
        <v>18674</v>
      </c>
      <c r="BD2087" t="s">
        <v>11749</v>
      </c>
      <c r="BE2087" t="s">
        <v>393</v>
      </c>
      <c r="BF2087">
        <v>32034</v>
      </c>
      <c r="BG2087" t="s">
        <v>20212</v>
      </c>
      <c r="BH2087" t="s">
        <v>11751</v>
      </c>
      <c r="BI2087">
        <v>-81.449562128346898</v>
      </c>
      <c r="BJ2087">
        <v>30.665720960304899</v>
      </c>
      <c r="BK2087" t="s">
        <v>20213</v>
      </c>
      <c r="BL2087" t="s">
        <v>20214</v>
      </c>
      <c r="BM2087" t="s">
        <v>20215</v>
      </c>
      <c r="BN2087" t="s">
        <v>3983</v>
      </c>
      <c r="BO2087">
        <v>32034</v>
      </c>
      <c r="BP2087" t="s">
        <v>416</v>
      </c>
      <c r="BQ2087">
        <v>100</v>
      </c>
      <c r="BR2087" t="s">
        <v>514</v>
      </c>
      <c r="BS2087">
        <v>1001</v>
      </c>
      <c r="BT2087" t="s">
        <v>515</v>
      </c>
      <c r="BU2087">
        <v>870</v>
      </c>
      <c r="BV2087">
        <v>1530</v>
      </c>
      <c r="BW2087">
        <v>13357</v>
      </c>
      <c r="BX2087" t="s">
        <v>407</v>
      </c>
      <c r="BY2087" t="s">
        <v>19842</v>
      </c>
      <c r="BZ2087">
        <v>4</v>
      </c>
      <c r="CA2087">
        <v>1952</v>
      </c>
      <c r="CB2087">
        <v>1</v>
      </c>
      <c r="CC2087">
        <v>1</v>
      </c>
      <c r="CD2087">
        <v>2017</v>
      </c>
      <c r="CG2087">
        <v>80250</v>
      </c>
      <c r="CH2087">
        <v>2017</v>
      </c>
      <c r="CI2087">
        <v>47371</v>
      </c>
      <c r="CJ2087">
        <v>83855</v>
      </c>
      <c r="CK2087">
        <v>131226</v>
      </c>
      <c r="CL2087">
        <v>2017</v>
      </c>
      <c r="CM2087">
        <v>767.85</v>
      </c>
      <c r="CN2087" s="1">
        <v>35699</v>
      </c>
      <c r="CZ2087" s="1">
        <v>35699</v>
      </c>
      <c r="DD2087" t="s">
        <v>11749</v>
      </c>
      <c r="DF2087">
        <v>11</v>
      </c>
      <c r="DG2087">
        <v>18</v>
      </c>
      <c r="DJ2087" t="s">
        <v>20216</v>
      </c>
      <c r="DL2087">
        <v>50101</v>
      </c>
      <c r="DM2087" t="s">
        <v>19854</v>
      </c>
      <c r="DO2087" t="s">
        <v>20217</v>
      </c>
      <c r="DP2087">
        <v>0</v>
      </c>
      <c r="DQ2087">
        <v>2</v>
      </c>
      <c r="DR2087" t="s">
        <v>1479</v>
      </c>
      <c r="DS2087" t="b">
        <v>1</v>
      </c>
      <c r="DT2087" t="s">
        <v>470</v>
      </c>
      <c r="DU2087" t="s">
        <v>471</v>
      </c>
      <c r="DV2087" t="s">
        <v>472</v>
      </c>
      <c r="DX2087">
        <v>-9999</v>
      </c>
      <c r="DZ2087" t="s">
        <v>447</v>
      </c>
      <c r="EA2087" t="s">
        <v>448</v>
      </c>
      <c r="EB2087" t="s">
        <v>14787</v>
      </c>
      <c r="EC2087">
        <v>20101217</v>
      </c>
      <c r="ED2087" t="s">
        <v>474</v>
      </c>
      <c r="EF2087">
        <v>2078.4</v>
      </c>
      <c r="EG2087">
        <v>2071.1999999999998</v>
      </c>
      <c r="EI2087">
        <v>20160407</v>
      </c>
      <c r="EJ2087">
        <v>0</v>
      </c>
      <c r="EK2087">
        <v>0</v>
      </c>
      <c r="EP2087" t="s">
        <v>421</v>
      </c>
      <c r="EQ2087" t="s">
        <v>422</v>
      </c>
      <c r="ER2087">
        <v>2</v>
      </c>
      <c r="ES2087">
        <v>9</v>
      </c>
      <c r="ET2087">
        <v>1697.3</v>
      </c>
      <c r="EU2087">
        <v>97.36</v>
      </c>
      <c r="EV2087">
        <v>1794.66</v>
      </c>
      <c r="EW2087" s="2">
        <v>43222</v>
      </c>
      <c r="EX2087" s="1">
        <v>42879</v>
      </c>
      <c r="EY2087">
        <v>2016</v>
      </c>
      <c r="EZ2087">
        <v>848.65</v>
      </c>
      <c r="FA2087" t="s">
        <v>20218</v>
      </c>
      <c r="FB2087">
        <v>0.25</v>
      </c>
      <c r="FC2087" t="s">
        <v>424</v>
      </c>
      <c r="FD2087" t="s">
        <v>454</v>
      </c>
      <c r="FF2087">
        <v>12</v>
      </c>
      <c r="FG2087">
        <v>5857474</v>
      </c>
      <c r="FH2087" t="s">
        <v>900</v>
      </c>
      <c r="FJ2087" s="1">
        <v>42879</v>
      </c>
      <c r="FK2087">
        <v>2016</v>
      </c>
      <c r="FL2087">
        <v>848.65</v>
      </c>
      <c r="FM2087" t="s">
        <v>20218</v>
      </c>
      <c r="FN2087">
        <v>0.25</v>
      </c>
      <c r="FO2087" t="s">
        <v>424</v>
      </c>
      <c r="FP2087" t="s">
        <v>454</v>
      </c>
      <c r="FR2087">
        <v>12</v>
      </c>
      <c r="FS2087">
        <v>6438406</v>
      </c>
      <c r="FT2087" t="s">
        <v>20219</v>
      </c>
      <c r="FV2087" s="1">
        <v>42515</v>
      </c>
      <c r="FW2087">
        <v>2015</v>
      </c>
      <c r="FX2087">
        <v>849.33</v>
      </c>
      <c r="FY2087" t="s">
        <v>20220</v>
      </c>
      <c r="FZ2087">
        <v>0.25</v>
      </c>
      <c r="GA2087" t="s">
        <v>424</v>
      </c>
      <c r="GB2087" t="s">
        <v>425</v>
      </c>
      <c r="GC2087" s="1">
        <v>43186</v>
      </c>
      <c r="GD2087">
        <v>22</v>
      </c>
      <c r="GE2087">
        <v>5894185</v>
      </c>
      <c r="GF2087" t="s">
        <v>7135</v>
      </c>
      <c r="GH2087" s="1">
        <v>42515</v>
      </c>
      <c r="GI2087">
        <v>2015</v>
      </c>
      <c r="GJ2087">
        <v>849.33</v>
      </c>
      <c r="GK2087" t="s">
        <v>20220</v>
      </c>
      <c r="GL2087">
        <v>0.25</v>
      </c>
      <c r="GM2087" t="s">
        <v>424</v>
      </c>
      <c r="GN2087" t="s">
        <v>425</v>
      </c>
      <c r="GP2087">
        <v>22</v>
      </c>
      <c r="GQ2087">
        <v>6138659</v>
      </c>
      <c r="GR2087" t="s">
        <v>20221</v>
      </c>
      <c r="GT2087" s="1">
        <v>42151</v>
      </c>
      <c r="GU2087">
        <v>2014</v>
      </c>
      <c r="GV2087">
        <v>841.64</v>
      </c>
      <c r="GW2087" t="s">
        <v>20222</v>
      </c>
      <c r="GX2087">
        <v>0.25</v>
      </c>
      <c r="GY2087" t="s">
        <v>424</v>
      </c>
      <c r="GZ2087" t="s">
        <v>425</v>
      </c>
      <c r="HA2087" s="1">
        <v>42822</v>
      </c>
      <c r="HB2087">
        <v>22</v>
      </c>
      <c r="HC2087">
        <v>4844984</v>
      </c>
      <c r="HD2087" t="s">
        <v>1323</v>
      </c>
      <c r="HF2087" s="1">
        <v>42151</v>
      </c>
      <c r="HG2087">
        <v>2014</v>
      </c>
      <c r="HH2087">
        <v>841.64</v>
      </c>
      <c r="HI2087" t="s">
        <v>20222</v>
      </c>
      <c r="HJ2087">
        <v>0.25</v>
      </c>
      <c r="HK2087" t="s">
        <v>424</v>
      </c>
      <c r="HL2087" t="s">
        <v>425</v>
      </c>
      <c r="HN2087">
        <v>22</v>
      </c>
      <c r="HO2087">
        <v>5960913</v>
      </c>
      <c r="HP2087" t="s">
        <v>20223</v>
      </c>
      <c r="HR2087" s="1">
        <v>41787</v>
      </c>
      <c r="HS2087">
        <v>2013</v>
      </c>
      <c r="HT2087">
        <v>799.23</v>
      </c>
      <c r="HU2087" t="s">
        <v>20224</v>
      </c>
      <c r="HV2087">
        <v>0.25</v>
      </c>
      <c r="HW2087" t="s">
        <v>424</v>
      </c>
      <c r="HX2087" t="s">
        <v>425</v>
      </c>
      <c r="HY2087" s="1">
        <v>42461</v>
      </c>
      <c r="HZ2087">
        <v>23</v>
      </c>
      <c r="IA2087">
        <v>2407503</v>
      </c>
      <c r="IB2087" t="s">
        <v>461</v>
      </c>
      <c r="ID2087" s="1">
        <v>41423</v>
      </c>
      <c r="IE2087">
        <v>2012</v>
      </c>
      <c r="IF2087">
        <v>775.88</v>
      </c>
      <c r="IG2087" t="s">
        <v>20225</v>
      </c>
      <c r="IH2087">
        <v>0.25</v>
      </c>
      <c r="II2087" t="s">
        <v>424</v>
      </c>
      <c r="IJ2087" t="s">
        <v>425</v>
      </c>
      <c r="IK2087" s="1">
        <v>42090</v>
      </c>
      <c r="IL2087">
        <v>22</v>
      </c>
      <c r="IM2087">
        <v>15259</v>
      </c>
      <c r="IN2087" t="s">
        <v>891</v>
      </c>
      <c r="IP2087" s="1">
        <v>41052</v>
      </c>
      <c r="IQ2087">
        <v>2011</v>
      </c>
      <c r="IR2087">
        <v>611.96</v>
      </c>
      <c r="IS2087" t="s">
        <v>20226</v>
      </c>
      <c r="IT2087">
        <v>0.25</v>
      </c>
      <c r="IU2087" t="s">
        <v>424</v>
      </c>
      <c r="IV2087" t="s">
        <v>425</v>
      </c>
      <c r="IW2087" s="1">
        <v>41730</v>
      </c>
      <c r="IX2087">
        <v>23</v>
      </c>
      <c r="IY2087">
        <v>13104</v>
      </c>
      <c r="IZ2087" t="s">
        <v>888</v>
      </c>
      <c r="JB2087" s="1">
        <v>41052</v>
      </c>
      <c r="JC2087">
        <v>2011</v>
      </c>
      <c r="JD2087">
        <v>611.96</v>
      </c>
      <c r="JE2087" t="s">
        <v>20226</v>
      </c>
      <c r="JF2087">
        <v>0.25</v>
      </c>
      <c r="JG2087" t="s">
        <v>424</v>
      </c>
      <c r="JH2087" t="s">
        <v>425</v>
      </c>
      <c r="JJ2087">
        <v>22</v>
      </c>
      <c r="JK2087">
        <v>13660</v>
      </c>
      <c r="JL2087" t="s">
        <v>20227</v>
      </c>
      <c r="JN2087" s="1">
        <v>40688</v>
      </c>
      <c r="JO2087">
        <v>2010</v>
      </c>
      <c r="JP2087">
        <v>592.24</v>
      </c>
      <c r="JQ2087" t="s">
        <v>20228</v>
      </c>
      <c r="JR2087">
        <v>0.25</v>
      </c>
      <c r="JS2087" t="s">
        <v>424</v>
      </c>
      <c r="JT2087" t="s">
        <v>425</v>
      </c>
      <c r="JU2087" s="1">
        <v>41422</v>
      </c>
      <c r="JV2087">
        <v>24</v>
      </c>
      <c r="JW2087">
        <v>11141</v>
      </c>
      <c r="JX2087" t="s">
        <v>1723</v>
      </c>
    </row>
    <row r="2088" spans="1:284" x14ac:dyDescent="0.25">
      <c r="A2088">
        <v>16487095</v>
      </c>
      <c r="B2088">
        <v>2087</v>
      </c>
      <c r="C2088" t="s">
        <v>393</v>
      </c>
      <c r="D2088" t="s">
        <v>394</v>
      </c>
      <c r="F2088" t="str">
        <f>"00-00-31-150F-0007-0140"</f>
        <v>00-00-31-150F-0007-0140</v>
      </c>
      <c r="H2088" t="str">
        <f>"LIPINSKI DOLORES J EST"</f>
        <v>LIPINSKI DOLORES J EST</v>
      </c>
      <c r="I2088" t="str">
        <f>"503 S 17TH ST"</f>
        <v>503 S 17TH ST</v>
      </c>
      <c r="J2088" t="str">
        <f t="shared" si="783"/>
        <v>FERNANDINA BEACH FL 32034</v>
      </c>
      <c r="K2088" t="str">
        <f>"503 S 17TH ST"</f>
        <v>503 S 17TH ST</v>
      </c>
      <c r="L2088" t="str">
        <f t="shared" si="779"/>
        <v>FERNANDINA BEACH FL 32034</v>
      </c>
      <c r="M2088" t="str">
        <f>"BLOCK 7 LOT 14 OAK LAWN PARK 6 PB 3/40"</f>
        <v>BLOCK 7 LOT 14 OAK LAWN PARK 6 PB 3/40</v>
      </c>
      <c r="N2088" t="str">
        <f>""</f>
        <v/>
      </c>
      <c r="O2088" t="str">
        <f>"8513"</f>
        <v>8513</v>
      </c>
      <c r="P2088" t="str">
        <f t="shared" si="775"/>
        <v>2017</v>
      </c>
      <c r="Q2088" t="str">
        <f>""</f>
        <v/>
      </c>
      <c r="R2088" t="str">
        <f>"N"</f>
        <v>N</v>
      </c>
      <c r="S2088" t="str">
        <f>""</f>
        <v/>
      </c>
      <c r="T2088" t="str">
        <f>"2515.38"</f>
        <v>2515.38</v>
      </c>
      <c r="U2088" t="str">
        <f>"122158.00"</f>
        <v>122158.00</v>
      </c>
      <c r="V2088" t="str">
        <f>"122158.00"</f>
        <v>122158.00</v>
      </c>
      <c r="W2088" t="str">
        <f t="shared" si="776"/>
        <v>2017</v>
      </c>
      <c r="X2088" t="str">
        <f>""</f>
        <v/>
      </c>
      <c r="Y2088" t="str">
        <f>"734.73"</f>
        <v>734.73</v>
      </c>
      <c r="Z2088" t="str">
        <f>""</f>
        <v/>
      </c>
      <c r="AA2088" t="str">
        <f>"134386.00"</f>
        <v>134386.00</v>
      </c>
      <c r="AB2088" t="str">
        <f t="shared" si="780"/>
        <v>Residential</v>
      </c>
      <c r="AC2088" t="str">
        <f t="shared" si="781"/>
        <v>0</v>
      </c>
      <c r="AD2088" t="str">
        <f t="shared" ref="AD2088:AD2093" si="785">"3"</f>
        <v>3</v>
      </c>
      <c r="AE2088" t="str">
        <f t="shared" ref="AE2088:AE2093" si="786">"MASONRY"</f>
        <v>MASONRY</v>
      </c>
      <c r="AF2088" t="str">
        <f t="shared" si="782"/>
        <v>001</v>
      </c>
      <c r="AG2088" t="str">
        <f t="shared" si="784"/>
        <v>FL</v>
      </c>
      <c r="AH2088" t="str">
        <f t="shared" ref="AH2088:AH2093" si="787">"11782.00"</f>
        <v>11782.00</v>
      </c>
      <c r="AI2088" t="str">
        <f t="shared" ref="AI2088:AI2093" si="788">"45422.00"</f>
        <v>45422.00</v>
      </c>
      <c r="AJ2088" t="str">
        <f>"C55-000-585-6520-1"</f>
        <v>C55-000-585-6520-1</v>
      </c>
      <c r="AK2088" t="str">
        <f>"45642"</f>
        <v>45642</v>
      </c>
      <c r="AL2088">
        <v>8</v>
      </c>
      <c r="AM2088">
        <v>2389</v>
      </c>
      <c r="AN2088">
        <v>769.87</v>
      </c>
      <c r="AQ2088" t="s">
        <v>20229</v>
      </c>
      <c r="AR2088" t="s">
        <v>20229</v>
      </c>
      <c r="AS2088" t="s">
        <v>20229</v>
      </c>
      <c r="AU2088" t="s">
        <v>396</v>
      </c>
      <c r="AV2088">
        <v>2017</v>
      </c>
      <c r="AW2088" t="str">
        <f>"00-00-31-150F-0007-0140 "</f>
        <v xml:space="preserve">00-00-31-150F-0007-0140 </v>
      </c>
      <c r="AX2088">
        <v>503</v>
      </c>
      <c r="AY2088" t="s">
        <v>18674</v>
      </c>
      <c r="AZ2088" t="s">
        <v>20230</v>
      </c>
      <c r="BA2088" t="s">
        <v>1942</v>
      </c>
      <c r="BD2088" t="s">
        <v>11749</v>
      </c>
      <c r="BE2088" t="s">
        <v>393</v>
      </c>
      <c r="BF2088">
        <v>32034</v>
      </c>
      <c r="BG2088" t="s">
        <v>20231</v>
      </c>
      <c r="BH2088" t="s">
        <v>11751</v>
      </c>
      <c r="BI2088">
        <v>-81.448904791093099</v>
      </c>
      <c r="BJ2088">
        <v>30.662840244622299</v>
      </c>
      <c r="BK2088" t="s">
        <v>20232</v>
      </c>
      <c r="BM2088" t="s">
        <v>20231</v>
      </c>
      <c r="BN2088" t="s">
        <v>3983</v>
      </c>
      <c r="BO2088">
        <v>32034</v>
      </c>
      <c r="BP2088" t="s">
        <v>416</v>
      </c>
      <c r="BQ2088">
        <v>100</v>
      </c>
      <c r="BR2088" t="s">
        <v>514</v>
      </c>
      <c r="BS2088">
        <v>1001</v>
      </c>
      <c r="BT2088" t="s">
        <v>515</v>
      </c>
      <c r="BU2088">
        <v>860</v>
      </c>
      <c r="BV2088">
        <v>1370</v>
      </c>
      <c r="BW2088">
        <v>11739</v>
      </c>
      <c r="BX2088" t="s">
        <v>407</v>
      </c>
      <c r="BY2088" t="s">
        <v>19842</v>
      </c>
      <c r="BZ2088">
        <v>3</v>
      </c>
      <c r="CA2088">
        <v>1957</v>
      </c>
      <c r="CB2088">
        <v>1</v>
      </c>
      <c r="CC2088">
        <v>1</v>
      </c>
      <c r="CD2088">
        <v>2017</v>
      </c>
      <c r="CE2088">
        <v>45422</v>
      </c>
      <c r="CF2088">
        <v>88964</v>
      </c>
      <c r="CG2088">
        <v>134386</v>
      </c>
      <c r="CH2088">
        <v>2017</v>
      </c>
      <c r="CI2088">
        <v>45422</v>
      </c>
      <c r="CJ2088">
        <v>88964</v>
      </c>
      <c r="CK2088">
        <v>134386</v>
      </c>
      <c r="CL2088">
        <v>2017</v>
      </c>
      <c r="CM2088">
        <v>2515.38</v>
      </c>
      <c r="DD2088" t="s">
        <v>11749</v>
      </c>
      <c r="DF2088">
        <v>14</v>
      </c>
      <c r="DG2088">
        <v>18</v>
      </c>
      <c r="DJ2088" t="s">
        <v>20233</v>
      </c>
      <c r="DL2088">
        <v>50101</v>
      </c>
      <c r="DM2088" t="s">
        <v>19854</v>
      </c>
      <c r="DO2088" t="s">
        <v>20234</v>
      </c>
      <c r="DP2088">
        <v>0</v>
      </c>
      <c r="DQ2088">
        <v>0</v>
      </c>
      <c r="DR2088" t="s">
        <v>411</v>
      </c>
    </row>
    <row r="2089" spans="1:284" x14ac:dyDescent="0.25">
      <c r="A2089">
        <v>16487096</v>
      </c>
      <c r="B2089">
        <v>2088</v>
      </c>
      <c r="C2089" t="s">
        <v>393</v>
      </c>
      <c r="D2089" t="s">
        <v>394</v>
      </c>
      <c r="F2089" t="str">
        <f>"00-00-31-150F-0007-0160"</f>
        <v>00-00-31-150F-0007-0160</v>
      </c>
      <c r="H2089" t="str">
        <f>"FEDERAL NATIONAL MORTGAGE ASSOCIATION"</f>
        <v>FEDERAL NATIONAL MORTGAGE ASSOCIATION</v>
      </c>
      <c r="I2089" t="str">
        <f>"950 EAST PACES FERRY RD 1900"</f>
        <v>950 EAST PACES FERRY RD 1900</v>
      </c>
      <c r="J2089" t="str">
        <f>"ATLANTA GA 30326"</f>
        <v>ATLANTA GA 30326</v>
      </c>
      <c r="K2089" t="str">
        <f>"505 17TH ST S"</f>
        <v>505 17TH ST S</v>
      </c>
      <c r="L2089" t="str">
        <f t="shared" si="779"/>
        <v>FERNANDINA BEACH FL 32034</v>
      </c>
      <c r="M2089" t="str">
        <f>"BLOCK 7 LOT 16 IN OR 1319/1648 OAK LAWN PARK 6 PB 3/40"</f>
        <v>BLOCK 7 LOT 16 IN OR 1319/1648 OAK LAWN PARK 6 PB 3/40</v>
      </c>
      <c r="N2089" t="str">
        <f>""</f>
        <v/>
      </c>
      <c r="O2089" t="str">
        <f>"8515"</f>
        <v>8515</v>
      </c>
      <c r="P2089" t="str">
        <f t="shared" si="775"/>
        <v>2017</v>
      </c>
      <c r="Q2089" t="str">
        <f>""</f>
        <v/>
      </c>
      <c r="R2089" t="str">
        <f>"N"</f>
        <v>N</v>
      </c>
      <c r="S2089" t="str">
        <f>""</f>
        <v/>
      </c>
      <c r="T2089" t="str">
        <f>"2767.00"</f>
        <v>2767.00</v>
      </c>
      <c r="U2089" t="str">
        <f>"133352.00"</f>
        <v>133352.00</v>
      </c>
      <c r="V2089" t="str">
        <f>"133352.00"</f>
        <v>133352.00</v>
      </c>
      <c r="W2089" t="str">
        <f t="shared" si="776"/>
        <v>2017</v>
      </c>
      <c r="X2089" t="str">
        <f>"14.50"</f>
        <v>14.50</v>
      </c>
      <c r="Y2089" t="str">
        <f>"2882.01"</f>
        <v>2882.01</v>
      </c>
      <c r="Z2089" t="str">
        <f>""</f>
        <v/>
      </c>
      <c r="AA2089" t="str">
        <f>"149902.00"</f>
        <v>149902.00</v>
      </c>
      <c r="AB2089" t="str">
        <f t="shared" si="780"/>
        <v>Residential</v>
      </c>
      <c r="AC2089" t="str">
        <f t="shared" si="781"/>
        <v>0</v>
      </c>
      <c r="AD2089" t="str">
        <f t="shared" si="785"/>
        <v>3</v>
      </c>
      <c r="AE2089" t="str">
        <f t="shared" si="786"/>
        <v>MASONRY</v>
      </c>
      <c r="AF2089" t="str">
        <f t="shared" si="782"/>
        <v>001</v>
      </c>
      <c r="AG2089" t="str">
        <f>"GA"</f>
        <v>GA</v>
      </c>
      <c r="AH2089" t="str">
        <f t="shared" si="787"/>
        <v>11782.00</v>
      </c>
      <c r="AI2089" t="str">
        <f t="shared" si="788"/>
        <v>45422.00</v>
      </c>
      <c r="AJ2089" t="str">
        <f>"C55-000-585-6522-7"</f>
        <v>C55-000-585-6522-7</v>
      </c>
      <c r="AK2089" t="str">
        <f>"45644"</f>
        <v>45644</v>
      </c>
      <c r="AL2089">
        <v>8</v>
      </c>
      <c r="AM2089">
        <v>2390</v>
      </c>
      <c r="AN2089">
        <v>3024.51</v>
      </c>
      <c r="AQ2089" t="s">
        <v>20235</v>
      </c>
      <c r="AR2089" t="s">
        <v>20235</v>
      </c>
      <c r="AS2089" t="s">
        <v>20235</v>
      </c>
      <c r="AU2089" t="s">
        <v>396</v>
      </c>
      <c r="AV2089">
        <v>2017</v>
      </c>
      <c r="AW2089" t="str">
        <f>"00-00-31-150F-0007-0160 "</f>
        <v xml:space="preserve">00-00-31-150F-0007-0160 </v>
      </c>
      <c r="AX2089">
        <v>505</v>
      </c>
      <c r="AZ2089" t="s">
        <v>20230</v>
      </c>
      <c r="BA2089" t="s">
        <v>1942</v>
      </c>
      <c r="BB2089" t="s">
        <v>18674</v>
      </c>
      <c r="BD2089" t="s">
        <v>11749</v>
      </c>
      <c r="BE2089" t="s">
        <v>393</v>
      </c>
      <c r="BF2089">
        <v>32034</v>
      </c>
      <c r="BG2089" t="s">
        <v>20236</v>
      </c>
      <c r="BH2089" t="s">
        <v>11751</v>
      </c>
      <c r="BI2089">
        <v>-81.448940374575102</v>
      </c>
      <c r="BJ2089">
        <v>30.662605806037401</v>
      </c>
      <c r="BK2089" t="s">
        <v>20237</v>
      </c>
      <c r="BM2089" t="s">
        <v>20238</v>
      </c>
      <c r="BN2089" t="s">
        <v>15589</v>
      </c>
      <c r="BO2089">
        <v>30326</v>
      </c>
      <c r="BP2089" t="s">
        <v>404</v>
      </c>
      <c r="BQ2089">
        <v>100</v>
      </c>
      <c r="BR2089" t="s">
        <v>514</v>
      </c>
      <c r="BS2089">
        <v>1001</v>
      </c>
      <c r="BT2089" t="s">
        <v>515</v>
      </c>
      <c r="BU2089">
        <v>860</v>
      </c>
      <c r="BV2089">
        <v>1370</v>
      </c>
      <c r="BW2089">
        <v>11739</v>
      </c>
      <c r="BX2089" t="s">
        <v>407</v>
      </c>
      <c r="BY2089" t="s">
        <v>19842</v>
      </c>
      <c r="BZ2089">
        <v>3</v>
      </c>
      <c r="CA2089">
        <v>1957</v>
      </c>
      <c r="CB2089">
        <v>1</v>
      </c>
      <c r="CC2089">
        <v>1</v>
      </c>
      <c r="CD2089">
        <v>2017</v>
      </c>
      <c r="CE2089">
        <v>45422</v>
      </c>
      <c r="CF2089">
        <v>104480</v>
      </c>
      <c r="CG2089">
        <v>149902</v>
      </c>
      <c r="CH2089">
        <v>2017</v>
      </c>
      <c r="CI2089">
        <v>45422</v>
      </c>
      <c r="CJ2089">
        <v>104480</v>
      </c>
      <c r="CK2089">
        <v>149902</v>
      </c>
      <c r="CL2089">
        <v>2017</v>
      </c>
      <c r="CM2089">
        <v>2767</v>
      </c>
      <c r="CN2089" s="1">
        <v>38496</v>
      </c>
      <c r="CZ2089" s="1">
        <v>38496</v>
      </c>
      <c r="DD2089" t="s">
        <v>11749</v>
      </c>
      <c r="DF2089">
        <v>16</v>
      </c>
      <c r="DG2089">
        <v>18</v>
      </c>
      <c r="DL2089">
        <v>50101</v>
      </c>
      <c r="DM2089" t="s">
        <v>19854</v>
      </c>
      <c r="DO2089" t="s">
        <v>20239</v>
      </c>
      <c r="DP2089">
        <v>0</v>
      </c>
      <c r="DQ2089">
        <v>0</v>
      </c>
      <c r="DR2089" t="s">
        <v>411</v>
      </c>
      <c r="DS2089" t="b">
        <v>1</v>
      </c>
      <c r="DT2089" t="s">
        <v>470</v>
      </c>
      <c r="DU2089" t="s">
        <v>471</v>
      </c>
      <c r="DV2089" t="s">
        <v>472</v>
      </c>
      <c r="DX2089">
        <v>-9999</v>
      </c>
      <c r="DZ2089" t="s">
        <v>447</v>
      </c>
      <c r="EA2089" t="s">
        <v>448</v>
      </c>
      <c r="EB2089" t="s">
        <v>14787</v>
      </c>
      <c r="EC2089">
        <v>20101217</v>
      </c>
      <c r="ED2089" t="s">
        <v>474</v>
      </c>
      <c r="EF2089">
        <v>1403.3</v>
      </c>
      <c r="EG2089">
        <v>1372.6</v>
      </c>
      <c r="EI2089">
        <v>20160407</v>
      </c>
      <c r="EJ2089">
        <v>0</v>
      </c>
      <c r="EK2089">
        <v>11</v>
      </c>
      <c r="EP2089" t="s">
        <v>421</v>
      </c>
      <c r="EQ2089" t="s">
        <v>452</v>
      </c>
      <c r="ER2089">
        <v>2</v>
      </c>
      <c r="ES2089">
        <v>5</v>
      </c>
      <c r="ET2089">
        <v>5537.98</v>
      </c>
      <c r="EU2089">
        <v>289.39999999999998</v>
      </c>
      <c r="EV2089">
        <v>5827.38</v>
      </c>
      <c r="EW2089" s="2">
        <v>43222</v>
      </c>
      <c r="EX2089" s="1">
        <v>42879</v>
      </c>
      <c r="EY2089">
        <v>2016</v>
      </c>
      <c r="EZ2089">
        <v>2768.99</v>
      </c>
      <c r="FA2089" t="s">
        <v>20240</v>
      </c>
      <c r="FB2089">
        <v>0.25</v>
      </c>
      <c r="FC2089" t="s">
        <v>424</v>
      </c>
      <c r="FD2089" t="s">
        <v>454</v>
      </c>
      <c r="FF2089">
        <v>12</v>
      </c>
      <c r="FG2089">
        <v>5856195</v>
      </c>
      <c r="FH2089" t="s">
        <v>1060</v>
      </c>
      <c r="FJ2089" s="1">
        <v>42879</v>
      </c>
      <c r="FK2089">
        <v>2016</v>
      </c>
      <c r="FL2089">
        <v>2768.99</v>
      </c>
      <c r="FM2089" t="s">
        <v>20240</v>
      </c>
      <c r="FN2089">
        <v>0.25</v>
      </c>
      <c r="FO2089" t="s">
        <v>424</v>
      </c>
      <c r="FP2089" t="s">
        <v>454</v>
      </c>
      <c r="FR2089">
        <v>12</v>
      </c>
      <c r="FS2089">
        <v>5890336</v>
      </c>
      <c r="FT2089" t="s">
        <v>20241</v>
      </c>
      <c r="FV2089" s="1">
        <v>42515</v>
      </c>
      <c r="FW2089">
        <v>2015</v>
      </c>
      <c r="FX2089">
        <v>2647.93</v>
      </c>
      <c r="FY2089" t="s">
        <v>20242</v>
      </c>
      <c r="FZ2089">
        <v>0.25</v>
      </c>
      <c r="GA2089" t="s">
        <v>424</v>
      </c>
      <c r="GB2089" t="s">
        <v>425</v>
      </c>
      <c r="GC2089" s="1">
        <v>42642</v>
      </c>
      <c r="GD2089">
        <v>4</v>
      </c>
      <c r="GE2089">
        <v>5894185</v>
      </c>
      <c r="GF2089" t="s">
        <v>7135</v>
      </c>
      <c r="GG2089" t="s">
        <v>458</v>
      </c>
      <c r="GH2089" s="1">
        <v>42515</v>
      </c>
      <c r="GI2089">
        <v>2015</v>
      </c>
      <c r="GJ2089">
        <v>2647.93</v>
      </c>
      <c r="GK2089" t="s">
        <v>20242</v>
      </c>
      <c r="GL2089">
        <v>0.25</v>
      </c>
      <c r="GM2089" t="s">
        <v>424</v>
      </c>
      <c r="GN2089" t="s">
        <v>425</v>
      </c>
      <c r="GP2089">
        <v>22</v>
      </c>
      <c r="GQ2089">
        <v>6168562</v>
      </c>
      <c r="GR2089" t="s">
        <v>20243</v>
      </c>
      <c r="GS2089" t="s">
        <v>458</v>
      </c>
      <c r="GT2089" s="1">
        <v>42151</v>
      </c>
      <c r="GU2089">
        <v>2014</v>
      </c>
      <c r="GV2089">
        <v>2452.87</v>
      </c>
      <c r="GW2089" t="s">
        <v>20244</v>
      </c>
      <c r="GX2089">
        <v>0.25</v>
      </c>
      <c r="GY2089" t="s">
        <v>424</v>
      </c>
      <c r="GZ2089" t="s">
        <v>425</v>
      </c>
      <c r="HB2089">
        <v>22</v>
      </c>
      <c r="HC2089">
        <v>2851116</v>
      </c>
      <c r="HD2089" t="s">
        <v>480</v>
      </c>
      <c r="HE2089" t="s">
        <v>458</v>
      </c>
      <c r="HF2089" s="1">
        <v>42151</v>
      </c>
      <c r="HG2089">
        <v>2014</v>
      </c>
      <c r="HH2089">
        <v>2452.87</v>
      </c>
      <c r="HI2089" t="s">
        <v>20244</v>
      </c>
      <c r="HJ2089">
        <v>0.25</v>
      </c>
      <c r="HK2089" t="s">
        <v>424</v>
      </c>
      <c r="HL2089" t="s">
        <v>425</v>
      </c>
      <c r="HN2089">
        <v>22</v>
      </c>
      <c r="HO2089">
        <v>5081219</v>
      </c>
      <c r="HP2089" t="s">
        <v>20245</v>
      </c>
      <c r="HQ2089" t="s">
        <v>458</v>
      </c>
      <c r="HR2089" s="1">
        <v>41787</v>
      </c>
      <c r="HS2089">
        <v>2013</v>
      </c>
      <c r="HT2089">
        <v>1986.59</v>
      </c>
      <c r="HU2089" t="s">
        <v>20246</v>
      </c>
      <c r="HV2089">
        <v>0.25</v>
      </c>
      <c r="HW2089" t="s">
        <v>424</v>
      </c>
      <c r="HX2089" t="s">
        <v>425</v>
      </c>
      <c r="HZ2089">
        <v>22</v>
      </c>
      <c r="IA2089">
        <v>2851116</v>
      </c>
      <c r="IB2089" t="s">
        <v>480</v>
      </c>
      <c r="IC2089" t="s">
        <v>458</v>
      </c>
    </row>
    <row r="2090" spans="1:284" x14ac:dyDescent="0.25">
      <c r="A2090">
        <v>16487097</v>
      </c>
      <c r="B2090">
        <v>2089</v>
      </c>
      <c r="C2090" t="s">
        <v>393</v>
      </c>
      <c r="D2090" t="s">
        <v>394</v>
      </c>
      <c r="F2090" t="str">
        <f>"00-00-31-150F-0007-0180"</f>
        <v>00-00-31-150F-0007-0180</v>
      </c>
      <c r="H2090" t="str">
        <f>"TAYLOR JIMMY R &amp; JEAN B"</f>
        <v>TAYLOR JIMMY R &amp; JEAN B</v>
      </c>
      <c r="I2090" t="str">
        <f>"507 S 17TH ST"</f>
        <v>507 S 17TH ST</v>
      </c>
      <c r="J2090" t="str">
        <f>"FERNANDINA BEACH FL 32034"</f>
        <v>FERNANDINA BEACH FL 32034</v>
      </c>
      <c r="K2090" t="str">
        <f>"507 17TH ST S"</f>
        <v>507 17TH ST S</v>
      </c>
      <c r="L2090" t="str">
        <f t="shared" si="779"/>
        <v>FERNANDINA BEACH FL 32034</v>
      </c>
      <c r="M2090" t="str">
        <f>"BLOCK 7 LOT 18 OAK LAWN PARK 6 PB3/40"</f>
        <v>BLOCK 7 LOT 18 OAK LAWN PARK 6 PB3/40</v>
      </c>
      <c r="N2090" t="str">
        <f>""</f>
        <v/>
      </c>
      <c r="O2090" t="str">
        <f>"8517"</f>
        <v>8517</v>
      </c>
      <c r="P2090" t="str">
        <f t="shared" si="775"/>
        <v>2017</v>
      </c>
      <c r="Q2090" t="str">
        <f>""</f>
        <v/>
      </c>
      <c r="R2090" t="str">
        <f>"Y"</f>
        <v>Y</v>
      </c>
      <c r="S2090" t="str">
        <f>""</f>
        <v/>
      </c>
      <c r="T2090" t="str">
        <f>"611.12"</f>
        <v>611.12</v>
      </c>
      <c r="U2090" t="str">
        <f>"67103.00"</f>
        <v>67103.00</v>
      </c>
      <c r="V2090" t="str">
        <f>"67103.00"</f>
        <v>67103.00</v>
      </c>
      <c r="W2090" t="str">
        <f t="shared" si="776"/>
        <v>2017</v>
      </c>
      <c r="X2090" t="str">
        <f>"10.00"</f>
        <v>10.00</v>
      </c>
      <c r="Y2090" t="str">
        <f>"661.45"</f>
        <v>661.45</v>
      </c>
      <c r="Z2090" t="str">
        <f>"25000.00"</f>
        <v>25000.00</v>
      </c>
      <c r="AA2090" t="str">
        <f>"42103.00"</f>
        <v>42103.00</v>
      </c>
      <c r="AB2090" t="str">
        <f t="shared" si="780"/>
        <v>Residential</v>
      </c>
      <c r="AC2090" t="str">
        <f t="shared" si="781"/>
        <v>0</v>
      </c>
      <c r="AD2090" t="str">
        <f t="shared" si="785"/>
        <v>3</v>
      </c>
      <c r="AE2090" t="str">
        <f t="shared" si="786"/>
        <v>MASONRY</v>
      </c>
      <c r="AF2090" t="str">
        <f t="shared" si="782"/>
        <v>001</v>
      </c>
      <c r="AG2090" t="str">
        <f t="shared" ref="AG2090:AG2098" si="789">"FL"</f>
        <v>FL</v>
      </c>
      <c r="AH2090" t="str">
        <f t="shared" si="787"/>
        <v>11782.00</v>
      </c>
      <c r="AI2090" t="str">
        <f t="shared" si="788"/>
        <v>45422.00</v>
      </c>
      <c r="AJ2090" t="str">
        <f>"C55-000-585-6524-3"</f>
        <v>C55-000-585-6524-3</v>
      </c>
      <c r="AK2090" t="str">
        <f>"45646"</f>
        <v>45646</v>
      </c>
      <c r="AL2090">
        <v>8</v>
      </c>
      <c r="AM2090">
        <v>2391</v>
      </c>
      <c r="AN2090">
        <v>692.92</v>
      </c>
      <c r="AQ2090" t="s">
        <v>20247</v>
      </c>
      <c r="AR2090" t="s">
        <v>20247</v>
      </c>
      <c r="AS2090" t="s">
        <v>20247</v>
      </c>
      <c r="AU2090" t="s">
        <v>396</v>
      </c>
      <c r="AV2090">
        <v>2017</v>
      </c>
      <c r="AW2090" t="str">
        <f>"00-00-31-150F-0007-0180 "</f>
        <v xml:space="preserve">00-00-31-150F-0007-0180 </v>
      </c>
      <c r="AX2090">
        <v>507</v>
      </c>
      <c r="AZ2090" t="s">
        <v>20230</v>
      </c>
      <c r="BA2090" t="s">
        <v>1942</v>
      </c>
      <c r="BB2090" t="s">
        <v>18674</v>
      </c>
      <c r="BD2090" t="s">
        <v>11749</v>
      </c>
      <c r="BE2090" t="s">
        <v>393</v>
      </c>
      <c r="BF2090">
        <v>32034</v>
      </c>
      <c r="BG2090" t="s">
        <v>20248</v>
      </c>
      <c r="BH2090" t="s">
        <v>11751</v>
      </c>
      <c r="BI2090">
        <v>-81.448975970045694</v>
      </c>
      <c r="BJ2090">
        <v>30.662371362595898</v>
      </c>
      <c r="BK2090" t="s">
        <v>20249</v>
      </c>
      <c r="BL2090" t="s">
        <v>20250</v>
      </c>
      <c r="BM2090" t="s">
        <v>19080</v>
      </c>
      <c r="BN2090" t="s">
        <v>3983</v>
      </c>
      <c r="BO2090">
        <v>32034</v>
      </c>
      <c r="BP2090" t="s">
        <v>416</v>
      </c>
      <c r="BQ2090">
        <v>100</v>
      </c>
      <c r="BR2090" t="s">
        <v>514</v>
      </c>
      <c r="BS2090">
        <v>1001</v>
      </c>
      <c r="BT2090" t="s">
        <v>515</v>
      </c>
      <c r="BU2090">
        <v>860</v>
      </c>
      <c r="BV2090">
        <v>1370</v>
      </c>
      <c r="BW2090">
        <v>11739</v>
      </c>
      <c r="BX2090" t="s">
        <v>407</v>
      </c>
      <c r="BY2090" t="s">
        <v>19842</v>
      </c>
      <c r="BZ2090">
        <v>3</v>
      </c>
      <c r="CA2090">
        <v>1957</v>
      </c>
      <c r="CB2090">
        <v>1</v>
      </c>
      <c r="CC2090">
        <v>1</v>
      </c>
      <c r="CD2090">
        <v>2017</v>
      </c>
      <c r="CG2090">
        <v>67103</v>
      </c>
      <c r="CH2090">
        <v>2017</v>
      </c>
      <c r="CI2090">
        <v>45422</v>
      </c>
      <c r="CJ2090">
        <v>71729</v>
      </c>
      <c r="CK2090">
        <v>117151</v>
      </c>
      <c r="CL2090">
        <v>2017</v>
      </c>
      <c r="CM2090">
        <v>611.12</v>
      </c>
      <c r="DD2090" t="s">
        <v>11749</v>
      </c>
      <c r="DF2090">
        <v>18</v>
      </c>
      <c r="DG2090">
        <v>18</v>
      </c>
      <c r="DJ2090" t="s">
        <v>20251</v>
      </c>
      <c r="DL2090">
        <v>50101</v>
      </c>
      <c r="DM2090" t="s">
        <v>19854</v>
      </c>
      <c r="DO2090" t="s">
        <v>20252</v>
      </c>
      <c r="DP2090">
        <v>0</v>
      </c>
      <c r="DQ2090">
        <v>0</v>
      </c>
      <c r="DR2090" t="s">
        <v>411</v>
      </c>
      <c r="EP2090" t="s">
        <v>421</v>
      </c>
      <c r="EQ2090" t="s">
        <v>422</v>
      </c>
      <c r="ER2090">
        <v>2</v>
      </c>
      <c r="ES2090">
        <v>2</v>
      </c>
      <c r="ET2090">
        <v>1389.92</v>
      </c>
      <c r="EU2090">
        <v>82</v>
      </c>
      <c r="EV2090">
        <v>1471.92</v>
      </c>
      <c r="EW2090" s="2">
        <v>43222</v>
      </c>
      <c r="EX2090" s="1">
        <v>42879</v>
      </c>
      <c r="EY2090">
        <v>2016</v>
      </c>
      <c r="EZ2090">
        <v>694.96</v>
      </c>
      <c r="FA2090" t="s">
        <v>20253</v>
      </c>
      <c r="FB2090">
        <v>0.25</v>
      </c>
      <c r="FC2090" t="s">
        <v>424</v>
      </c>
      <c r="FD2090" t="s">
        <v>454</v>
      </c>
      <c r="FF2090">
        <v>12</v>
      </c>
      <c r="FG2090">
        <v>11289</v>
      </c>
      <c r="FH2090" t="s">
        <v>787</v>
      </c>
      <c r="FJ2090" s="1">
        <v>42879</v>
      </c>
      <c r="FK2090">
        <v>2016</v>
      </c>
      <c r="FL2090">
        <v>694.96</v>
      </c>
      <c r="FM2090" t="s">
        <v>20253</v>
      </c>
      <c r="FN2090">
        <v>0.25</v>
      </c>
      <c r="FO2090" t="s">
        <v>424</v>
      </c>
      <c r="FP2090" t="s">
        <v>454</v>
      </c>
      <c r="FR2090">
        <v>12</v>
      </c>
      <c r="FS2090">
        <v>7186589</v>
      </c>
      <c r="FT2090" t="s">
        <v>20254</v>
      </c>
      <c r="FV2090" s="1">
        <v>41787</v>
      </c>
      <c r="FW2090">
        <v>2013</v>
      </c>
      <c r="FX2090">
        <v>676.27</v>
      </c>
      <c r="FY2090" t="s">
        <v>20255</v>
      </c>
      <c r="FZ2090">
        <v>0.25</v>
      </c>
      <c r="GA2090" t="s">
        <v>424</v>
      </c>
      <c r="GB2090" t="s">
        <v>425</v>
      </c>
      <c r="GC2090" s="1">
        <v>42080</v>
      </c>
      <c r="GD2090">
        <v>10</v>
      </c>
      <c r="GE2090">
        <v>2101382</v>
      </c>
      <c r="GF2090" t="s">
        <v>993</v>
      </c>
      <c r="GH2090" s="1">
        <v>40688</v>
      </c>
      <c r="GI2090">
        <v>2010</v>
      </c>
      <c r="GJ2090">
        <v>613.45000000000005</v>
      </c>
      <c r="GK2090" t="s">
        <v>20256</v>
      </c>
      <c r="GL2090">
        <v>0.25</v>
      </c>
      <c r="GM2090" t="s">
        <v>424</v>
      </c>
      <c r="GN2090" t="s">
        <v>425</v>
      </c>
      <c r="GO2090" s="1">
        <v>40969</v>
      </c>
      <c r="GP2090">
        <v>10</v>
      </c>
      <c r="GQ2090">
        <v>11177</v>
      </c>
      <c r="GR2090" t="s">
        <v>650</v>
      </c>
    </row>
    <row r="2091" spans="1:284" x14ac:dyDescent="0.25">
      <c r="A2091">
        <v>16487098</v>
      </c>
      <c r="B2091">
        <v>2090</v>
      </c>
      <c r="C2091" t="s">
        <v>393</v>
      </c>
      <c r="D2091" t="s">
        <v>394</v>
      </c>
      <c r="F2091" t="str">
        <f>"00-00-31-150F-0008-0050"</f>
        <v>00-00-31-150F-0008-0050</v>
      </c>
      <c r="H2091" t="str">
        <f>"PATTERSON EDWARD G JR"</f>
        <v>PATTERSON EDWARD G JR</v>
      </c>
      <c r="I2091" t="str">
        <f>"404 S 17TH ST"</f>
        <v>404 S 17TH ST</v>
      </c>
      <c r="J2091" t="str">
        <f>"FERNANDINA BEACH FL 32034"</f>
        <v>FERNANDINA BEACH FL 32034</v>
      </c>
      <c r="K2091" t="str">
        <f>"404 17TH ST S"</f>
        <v>404 17TH ST S</v>
      </c>
      <c r="L2091" t="str">
        <f t="shared" si="779"/>
        <v>FERNANDINA BEACH FL 32034</v>
      </c>
      <c r="M2091" t="str">
        <f>"BLOCK 8 LOT 5 IN OR 1984/1602 &amp; OR 1984/1604 OAK LAWN PARK 6 PB3/40"</f>
        <v>BLOCK 8 LOT 5 IN OR 1984/1602 &amp; OR 1984/1604 OAK LAWN PARK 6 PB3/40</v>
      </c>
      <c r="N2091" t="str">
        <f>""</f>
        <v/>
      </c>
      <c r="O2091" t="str">
        <f>"8522"</f>
        <v>8522</v>
      </c>
      <c r="P2091" t="str">
        <f t="shared" si="775"/>
        <v>2017</v>
      </c>
      <c r="Q2091" t="str">
        <f>""</f>
        <v/>
      </c>
      <c r="R2091" t="str">
        <f>"Y"</f>
        <v>Y</v>
      </c>
      <c r="S2091" t="str">
        <f>""</f>
        <v/>
      </c>
      <c r="T2091" t="str">
        <f>"779.74"</f>
        <v>779.74</v>
      </c>
      <c r="U2091" t="str">
        <f>"80847.00"</f>
        <v>80847.00</v>
      </c>
      <c r="V2091" t="str">
        <f>"80847.00"</f>
        <v>80847.00</v>
      </c>
      <c r="W2091" t="str">
        <f t="shared" si="776"/>
        <v>2017</v>
      </c>
      <c r="X2091" t="str">
        <f>"17.25"</f>
        <v>17.25</v>
      </c>
      <c r="Y2091" t="str">
        <f>"835.13"</f>
        <v>835.13</v>
      </c>
      <c r="Z2091" t="str">
        <f>"25000.00"</f>
        <v>25000.00</v>
      </c>
      <c r="AA2091" t="str">
        <f>"55847.00"</f>
        <v>55847.00</v>
      </c>
      <c r="AB2091" t="str">
        <f t="shared" si="780"/>
        <v>Residential</v>
      </c>
      <c r="AC2091" t="str">
        <f t="shared" si="781"/>
        <v>0</v>
      </c>
      <c r="AD2091" t="str">
        <f t="shared" si="785"/>
        <v>3</v>
      </c>
      <c r="AE2091" t="str">
        <f t="shared" si="786"/>
        <v>MASONRY</v>
      </c>
      <c r="AF2091" t="str">
        <f t="shared" si="782"/>
        <v>001</v>
      </c>
      <c r="AG2091" t="str">
        <f t="shared" si="789"/>
        <v>FL</v>
      </c>
      <c r="AH2091" t="str">
        <f t="shared" si="787"/>
        <v>11782.00</v>
      </c>
      <c r="AI2091" t="str">
        <f t="shared" si="788"/>
        <v>45422.00</v>
      </c>
      <c r="AJ2091" t="str">
        <f>"C55-000-585-6529-2"</f>
        <v>C55-000-585-6529-2</v>
      </c>
      <c r="AK2091" t="str">
        <f>"45651"</f>
        <v>45651</v>
      </c>
      <c r="AL2091">
        <v>8</v>
      </c>
      <c r="AM2091">
        <v>2392</v>
      </c>
      <c r="AN2091">
        <v>875.29</v>
      </c>
      <c r="AQ2091" t="s">
        <v>20257</v>
      </c>
      <c r="AR2091" t="s">
        <v>20257</v>
      </c>
      <c r="AS2091" t="s">
        <v>20257</v>
      </c>
      <c r="AU2091" t="s">
        <v>396</v>
      </c>
      <c r="AV2091">
        <v>2017</v>
      </c>
      <c r="AW2091" t="str">
        <f>"00-00-31-150F-0008-0050 "</f>
        <v xml:space="preserve">00-00-31-150F-0008-0050 </v>
      </c>
      <c r="AX2091">
        <v>404</v>
      </c>
      <c r="AZ2091" t="s">
        <v>20230</v>
      </c>
      <c r="BA2091" t="s">
        <v>1942</v>
      </c>
      <c r="BB2091" t="s">
        <v>18674</v>
      </c>
      <c r="BD2091" t="s">
        <v>11749</v>
      </c>
      <c r="BE2091" t="s">
        <v>393</v>
      </c>
      <c r="BF2091">
        <v>32034</v>
      </c>
      <c r="BG2091" t="s">
        <v>20258</v>
      </c>
      <c r="BH2091" t="s">
        <v>11751</v>
      </c>
      <c r="BI2091">
        <v>-81.4481427682733</v>
      </c>
      <c r="BJ2091">
        <v>30.663707706325798</v>
      </c>
      <c r="BK2091" t="s">
        <v>20259</v>
      </c>
      <c r="BM2091" t="s">
        <v>20260</v>
      </c>
      <c r="BN2091" t="s">
        <v>3983</v>
      </c>
      <c r="BO2091">
        <v>32034</v>
      </c>
      <c r="BP2091" t="s">
        <v>416</v>
      </c>
      <c r="BQ2091">
        <v>100</v>
      </c>
      <c r="BR2091" t="s">
        <v>514</v>
      </c>
      <c r="BS2091">
        <v>1001</v>
      </c>
      <c r="BT2091" t="s">
        <v>515</v>
      </c>
      <c r="BU2091">
        <v>860</v>
      </c>
      <c r="BV2091">
        <v>1370</v>
      </c>
      <c r="BW2091">
        <v>11740</v>
      </c>
      <c r="BX2091" t="s">
        <v>407</v>
      </c>
      <c r="BY2091" t="s">
        <v>19842</v>
      </c>
      <c r="BZ2091">
        <v>3</v>
      </c>
      <c r="CA2091">
        <v>1957</v>
      </c>
      <c r="CB2091">
        <v>1</v>
      </c>
      <c r="CC2091">
        <v>1</v>
      </c>
      <c r="CD2091">
        <v>2017</v>
      </c>
      <c r="CG2091">
        <v>80847</v>
      </c>
      <c r="CH2091">
        <v>2017</v>
      </c>
      <c r="CI2091">
        <v>45422</v>
      </c>
      <c r="CJ2091">
        <v>45541</v>
      </c>
      <c r="CK2091">
        <v>90963</v>
      </c>
      <c r="CL2091">
        <v>2017</v>
      </c>
      <c r="CM2091">
        <v>779.74</v>
      </c>
      <c r="CN2091" s="1">
        <v>42164</v>
      </c>
      <c r="CZ2091" s="1">
        <v>42164</v>
      </c>
      <c r="DD2091" t="s">
        <v>11749</v>
      </c>
      <c r="DF2091">
        <v>5</v>
      </c>
      <c r="DG2091">
        <v>18</v>
      </c>
      <c r="DL2091">
        <v>50101</v>
      </c>
      <c r="DM2091" t="s">
        <v>19854</v>
      </c>
      <c r="DO2091" t="s">
        <v>20261</v>
      </c>
      <c r="DP2091">
        <v>0</v>
      </c>
      <c r="DQ2091">
        <v>0</v>
      </c>
      <c r="DR2091" t="s">
        <v>411</v>
      </c>
      <c r="DS2091" t="b">
        <v>1</v>
      </c>
      <c r="DT2091" t="s">
        <v>470</v>
      </c>
      <c r="DU2091" t="s">
        <v>471</v>
      </c>
      <c r="DV2091" t="s">
        <v>472</v>
      </c>
      <c r="DX2091">
        <v>-9999</v>
      </c>
      <c r="DZ2091" t="s">
        <v>447</v>
      </c>
      <c r="EA2091" t="s">
        <v>448</v>
      </c>
      <c r="EB2091" t="s">
        <v>14787</v>
      </c>
      <c r="EC2091">
        <v>20101217</v>
      </c>
      <c r="ED2091" t="s">
        <v>474</v>
      </c>
      <c r="EF2091">
        <v>1292.2</v>
      </c>
      <c r="EG2091">
        <v>1285.4000000000001</v>
      </c>
      <c r="EI2091">
        <v>20160407</v>
      </c>
      <c r="EJ2091">
        <v>0</v>
      </c>
      <c r="EK2091">
        <v>0</v>
      </c>
      <c r="EP2091" t="s">
        <v>421</v>
      </c>
      <c r="EQ2091" t="s">
        <v>422</v>
      </c>
      <c r="ER2091">
        <v>2</v>
      </c>
      <c r="ES2091">
        <v>5</v>
      </c>
      <c r="ET2091">
        <v>1707.36</v>
      </c>
      <c r="EU2091">
        <v>97.87</v>
      </c>
      <c r="EV2091">
        <v>1805.23</v>
      </c>
      <c r="EW2091" s="2">
        <v>43222</v>
      </c>
      <c r="EX2091" s="1">
        <v>42879</v>
      </c>
      <c r="EY2091">
        <v>2016</v>
      </c>
      <c r="EZ2091">
        <v>853.68</v>
      </c>
      <c r="FA2091" t="s">
        <v>20262</v>
      </c>
      <c r="FB2091">
        <v>0.25</v>
      </c>
      <c r="FC2091" t="s">
        <v>424</v>
      </c>
      <c r="FD2091" t="s">
        <v>454</v>
      </c>
      <c r="FF2091">
        <v>12</v>
      </c>
      <c r="FG2091">
        <v>5857474</v>
      </c>
      <c r="FH2091" t="s">
        <v>900</v>
      </c>
      <c r="FJ2091" s="1">
        <v>42879</v>
      </c>
      <c r="FK2091">
        <v>2016</v>
      </c>
      <c r="FL2091">
        <v>853.68</v>
      </c>
      <c r="FM2091" t="s">
        <v>20262</v>
      </c>
      <c r="FN2091">
        <v>0.25</v>
      </c>
      <c r="FO2091" t="s">
        <v>424</v>
      </c>
      <c r="FP2091" t="s">
        <v>454</v>
      </c>
      <c r="FR2091">
        <v>12</v>
      </c>
      <c r="FS2091">
        <v>6410365</v>
      </c>
      <c r="FT2091" t="s">
        <v>20263</v>
      </c>
      <c r="FV2091" s="1">
        <v>42515</v>
      </c>
      <c r="FW2091">
        <v>2015</v>
      </c>
      <c r="FX2091">
        <v>1233.04</v>
      </c>
      <c r="FY2091" t="s">
        <v>20264</v>
      </c>
      <c r="FZ2091">
        <v>0.25</v>
      </c>
      <c r="GA2091" t="s">
        <v>424</v>
      </c>
      <c r="GB2091" t="s">
        <v>425</v>
      </c>
      <c r="GC2091" s="1">
        <v>43157</v>
      </c>
      <c r="GD2091">
        <v>21</v>
      </c>
      <c r="GE2091">
        <v>11289</v>
      </c>
      <c r="GF2091" t="s">
        <v>787</v>
      </c>
      <c r="GH2091" s="1">
        <v>42515</v>
      </c>
      <c r="GI2091">
        <v>2015</v>
      </c>
      <c r="GJ2091">
        <v>1233.04</v>
      </c>
      <c r="GK2091" t="s">
        <v>20264</v>
      </c>
      <c r="GL2091">
        <v>0.25</v>
      </c>
      <c r="GM2091" t="s">
        <v>424</v>
      </c>
      <c r="GN2091" t="s">
        <v>425</v>
      </c>
      <c r="GP2091">
        <v>22</v>
      </c>
      <c r="GQ2091">
        <v>7334851</v>
      </c>
      <c r="GR2091" t="s">
        <v>20265</v>
      </c>
      <c r="GT2091" s="1">
        <v>41787</v>
      </c>
      <c r="GU2091">
        <v>2013</v>
      </c>
      <c r="GV2091">
        <v>1222.81</v>
      </c>
      <c r="GW2091" t="s">
        <v>20266</v>
      </c>
      <c r="GX2091">
        <v>0.25</v>
      </c>
      <c r="GY2091" t="s">
        <v>424</v>
      </c>
      <c r="GZ2091" t="s">
        <v>425</v>
      </c>
      <c r="HA2091" s="1">
        <v>42138</v>
      </c>
      <c r="HB2091">
        <v>12</v>
      </c>
      <c r="HC2091">
        <v>2101382</v>
      </c>
      <c r="HD2091" t="s">
        <v>993</v>
      </c>
      <c r="HF2091" s="1">
        <v>41423</v>
      </c>
      <c r="HG2091">
        <v>2012</v>
      </c>
      <c r="HH2091">
        <v>1304</v>
      </c>
      <c r="HI2091" t="s">
        <v>20267</v>
      </c>
      <c r="HJ2091">
        <v>0.25</v>
      </c>
      <c r="HK2091" t="s">
        <v>424</v>
      </c>
      <c r="HL2091" t="s">
        <v>425</v>
      </c>
      <c r="HM2091" s="1">
        <v>42138</v>
      </c>
      <c r="HN2091">
        <v>24</v>
      </c>
      <c r="HO2091">
        <v>606981</v>
      </c>
      <c r="HP2091" t="s">
        <v>792</v>
      </c>
      <c r="HR2091" s="1">
        <v>40688</v>
      </c>
      <c r="HS2091">
        <v>2010</v>
      </c>
      <c r="HT2091">
        <v>397.18</v>
      </c>
      <c r="HU2091" t="s">
        <v>20268</v>
      </c>
      <c r="HV2091">
        <v>0.25</v>
      </c>
      <c r="HW2091" t="s">
        <v>424</v>
      </c>
      <c r="HX2091" t="s">
        <v>425</v>
      </c>
      <c r="HY2091" s="1">
        <v>41045</v>
      </c>
      <c r="HZ2091">
        <v>12</v>
      </c>
      <c r="IA2091">
        <v>11177</v>
      </c>
      <c r="IB2091" t="s">
        <v>650</v>
      </c>
    </row>
    <row r="2092" spans="1:284" x14ac:dyDescent="0.25">
      <c r="A2092">
        <v>16487099</v>
      </c>
      <c r="B2092">
        <v>2091</v>
      </c>
      <c r="C2092" t="s">
        <v>393</v>
      </c>
      <c r="D2092" t="s">
        <v>394</v>
      </c>
      <c r="F2092" t="str">
        <f>"00-00-31-150F-0008-0070"</f>
        <v>00-00-31-150F-0008-0070</v>
      </c>
      <c r="H2092" t="str">
        <f>"HORNSBY STACEY L"</f>
        <v>HORNSBY STACEY L</v>
      </c>
      <c r="I2092" t="str">
        <f>"404 S 17TH ST"</f>
        <v>404 S 17TH ST</v>
      </c>
      <c r="J2092" t="str">
        <f>"FERNANDINA BEACH FL 32034"</f>
        <v>FERNANDINA BEACH FL 32034</v>
      </c>
      <c r="K2092" t="str">
        <f>"406 17TH ST S"</f>
        <v>406 17TH ST S</v>
      </c>
      <c r="L2092" t="str">
        <f t="shared" si="779"/>
        <v>FERNANDINA BEACH FL 32034</v>
      </c>
      <c r="M2092" t="str">
        <f>"BLOCK 8 LOT 7 IN OR 2018/163 &amp; OR 2022/728 OAK LAWN PARK 6 PB 3/40"</f>
        <v>BLOCK 8 LOT 7 IN OR 2018/163 &amp; OR 2022/728 OAK LAWN PARK 6 PB 3/40</v>
      </c>
      <c r="N2092" t="str">
        <f>""</f>
        <v/>
      </c>
      <c r="O2092" t="str">
        <f>"8523"</f>
        <v>8523</v>
      </c>
      <c r="P2092" t="str">
        <f t="shared" si="775"/>
        <v>2017</v>
      </c>
      <c r="Q2092" t="str">
        <f>""</f>
        <v/>
      </c>
      <c r="R2092" t="str">
        <f>"Y"</f>
        <v>Y</v>
      </c>
      <c r="S2092" t="str">
        <f>""</f>
        <v/>
      </c>
      <c r="T2092" t="str">
        <f>"1206.39"</f>
        <v>1206.39</v>
      </c>
      <c r="U2092" t="str">
        <f>"102253.00"</f>
        <v>102253.00</v>
      </c>
      <c r="V2092" t="str">
        <f>"102253.00"</f>
        <v>102253.00</v>
      </c>
      <c r="W2092" t="str">
        <f t="shared" si="776"/>
        <v>2017</v>
      </c>
      <c r="X2092" t="str">
        <f>"1.00"</f>
        <v>1.00</v>
      </c>
      <c r="Y2092" t="str">
        <f>"1274.58"</f>
        <v>1274.58</v>
      </c>
      <c r="Z2092" t="str">
        <f>"25000.00"</f>
        <v>25000.00</v>
      </c>
      <c r="AA2092" t="str">
        <f>"77253.00"</f>
        <v>77253.00</v>
      </c>
      <c r="AB2092" t="str">
        <f t="shared" si="780"/>
        <v>Residential</v>
      </c>
      <c r="AC2092" t="str">
        <f t="shared" si="781"/>
        <v>0</v>
      </c>
      <c r="AD2092" t="str">
        <f t="shared" si="785"/>
        <v>3</v>
      </c>
      <c r="AE2092" t="str">
        <f t="shared" si="786"/>
        <v>MASONRY</v>
      </c>
      <c r="AF2092" t="str">
        <f t="shared" si="782"/>
        <v>001</v>
      </c>
      <c r="AG2092" t="str">
        <f t="shared" si="789"/>
        <v>FL</v>
      </c>
      <c r="AH2092" t="str">
        <f t="shared" si="787"/>
        <v>11782.00</v>
      </c>
      <c r="AI2092" t="str">
        <f t="shared" si="788"/>
        <v>45422.00</v>
      </c>
      <c r="AJ2092" t="str">
        <f>"C55-000-585-6530-0"</f>
        <v>C55-000-585-6530-0</v>
      </c>
      <c r="AK2092" t="str">
        <f>"45652"</f>
        <v>45652</v>
      </c>
      <c r="AL2092">
        <v>8</v>
      </c>
      <c r="AM2092">
        <v>2393</v>
      </c>
      <c r="AN2092">
        <v>1336.71</v>
      </c>
      <c r="AQ2092" t="s">
        <v>20269</v>
      </c>
      <c r="AR2092" t="s">
        <v>20269</v>
      </c>
      <c r="AS2092" t="s">
        <v>20269</v>
      </c>
      <c r="AU2092" t="s">
        <v>396</v>
      </c>
      <c r="AV2092">
        <v>2017</v>
      </c>
      <c r="AW2092" t="str">
        <f>"00-00-31-150F-0008-0070 "</f>
        <v xml:space="preserve">00-00-31-150F-0008-0070 </v>
      </c>
      <c r="AX2092">
        <v>406</v>
      </c>
      <c r="AZ2092" t="s">
        <v>20230</v>
      </c>
      <c r="BA2092" t="s">
        <v>1942</v>
      </c>
      <c r="BB2092" t="s">
        <v>18674</v>
      </c>
      <c r="BD2092" t="s">
        <v>11749</v>
      </c>
      <c r="BE2092" t="s">
        <v>393</v>
      </c>
      <c r="BF2092">
        <v>32034</v>
      </c>
      <c r="BG2092" t="s">
        <v>20270</v>
      </c>
      <c r="BH2092" t="s">
        <v>11751</v>
      </c>
      <c r="BI2092">
        <v>-81.448178366596494</v>
      </c>
      <c r="BJ2092">
        <v>30.663473263117499</v>
      </c>
      <c r="BK2092" t="s">
        <v>20271</v>
      </c>
      <c r="BM2092" t="s">
        <v>20260</v>
      </c>
      <c r="BN2092" t="s">
        <v>3983</v>
      </c>
      <c r="BO2092">
        <v>32034</v>
      </c>
      <c r="BP2092" t="s">
        <v>404</v>
      </c>
      <c r="BQ2092">
        <v>100</v>
      </c>
      <c r="BR2092" t="s">
        <v>514</v>
      </c>
      <c r="BS2092">
        <v>1001</v>
      </c>
      <c r="BT2092" t="s">
        <v>515</v>
      </c>
      <c r="BU2092">
        <v>860</v>
      </c>
      <c r="BV2092">
        <v>1370</v>
      </c>
      <c r="BW2092">
        <v>11739</v>
      </c>
      <c r="BX2092" t="s">
        <v>407</v>
      </c>
      <c r="BY2092" t="s">
        <v>19842</v>
      </c>
      <c r="BZ2092">
        <v>3</v>
      </c>
      <c r="CA2092">
        <v>1957</v>
      </c>
      <c r="CB2092">
        <v>1</v>
      </c>
      <c r="CC2092">
        <v>1</v>
      </c>
      <c r="CD2092">
        <v>2017</v>
      </c>
      <c r="CG2092">
        <v>102253</v>
      </c>
      <c r="CH2092">
        <v>2017</v>
      </c>
      <c r="CI2092">
        <v>45422</v>
      </c>
      <c r="CJ2092">
        <v>75738</v>
      </c>
      <c r="CK2092">
        <v>121160</v>
      </c>
      <c r="CL2092">
        <v>2017</v>
      </c>
      <c r="CM2092">
        <v>1206.3900000000001</v>
      </c>
      <c r="CN2092" s="1">
        <v>42376</v>
      </c>
      <c r="CZ2092" s="1">
        <v>42376</v>
      </c>
      <c r="DD2092" t="s">
        <v>11749</v>
      </c>
      <c r="DF2092">
        <v>7</v>
      </c>
      <c r="DG2092">
        <v>18</v>
      </c>
      <c r="DL2092">
        <v>50101</v>
      </c>
      <c r="DM2092" t="s">
        <v>19854</v>
      </c>
      <c r="DO2092" t="s">
        <v>20272</v>
      </c>
      <c r="DP2092">
        <v>0</v>
      </c>
      <c r="DQ2092">
        <v>0</v>
      </c>
      <c r="DR2092" t="s">
        <v>411</v>
      </c>
      <c r="DS2092" t="b">
        <v>1</v>
      </c>
      <c r="DT2092" t="s">
        <v>470</v>
      </c>
      <c r="DU2092" t="s">
        <v>471</v>
      </c>
      <c r="DV2092" t="s">
        <v>472</v>
      </c>
      <c r="DX2092">
        <v>-9999</v>
      </c>
      <c r="DZ2092" t="s">
        <v>447</v>
      </c>
      <c r="EA2092" t="s">
        <v>448</v>
      </c>
      <c r="EB2092" t="s">
        <v>14787</v>
      </c>
      <c r="EC2092">
        <v>20101217</v>
      </c>
      <c r="ED2092" t="s">
        <v>474</v>
      </c>
      <c r="EF2092">
        <v>1261</v>
      </c>
      <c r="EG2092">
        <v>1254.3</v>
      </c>
      <c r="EH2092" t="s">
        <v>451</v>
      </c>
      <c r="EI2092">
        <v>20140731</v>
      </c>
      <c r="EJ2092">
        <v>0</v>
      </c>
      <c r="EK2092">
        <v>0</v>
      </c>
      <c r="EP2092" t="s">
        <v>421</v>
      </c>
      <c r="EQ2092" t="s">
        <v>422</v>
      </c>
      <c r="ER2092">
        <v>0</v>
      </c>
      <c r="ES2092">
        <v>2</v>
      </c>
      <c r="ET2092">
        <v>0</v>
      </c>
      <c r="EU2092">
        <v>0</v>
      </c>
      <c r="EV2092">
        <v>0</v>
      </c>
      <c r="EW2092" s="2">
        <v>43222</v>
      </c>
      <c r="EX2092" s="1">
        <v>42151</v>
      </c>
      <c r="EY2092">
        <v>2014</v>
      </c>
      <c r="EZ2092">
        <v>738.79</v>
      </c>
      <c r="FA2092" t="s">
        <v>20273</v>
      </c>
      <c r="FB2092">
        <v>0.25</v>
      </c>
      <c r="FC2092" t="s">
        <v>424</v>
      </c>
      <c r="FD2092" t="s">
        <v>425</v>
      </c>
      <c r="FE2092" s="1">
        <v>42172</v>
      </c>
      <c r="FF2092">
        <v>1</v>
      </c>
      <c r="FG2092">
        <v>4975594</v>
      </c>
      <c r="FH2092" t="s">
        <v>457</v>
      </c>
      <c r="FJ2092" s="1">
        <v>42151</v>
      </c>
      <c r="FK2092">
        <v>2014</v>
      </c>
      <c r="FL2092">
        <v>738.79</v>
      </c>
      <c r="FM2092" t="s">
        <v>20273</v>
      </c>
      <c r="FN2092">
        <v>0.25</v>
      </c>
      <c r="FO2092" t="s">
        <v>424</v>
      </c>
      <c r="FP2092" t="s">
        <v>425</v>
      </c>
      <c r="FR2092">
        <v>22</v>
      </c>
      <c r="FS2092">
        <v>6583990</v>
      </c>
      <c r="FT2092" t="s">
        <v>20274</v>
      </c>
    </row>
    <row r="2093" spans="1:284" x14ac:dyDescent="0.25">
      <c r="A2093">
        <v>16487100</v>
      </c>
      <c r="B2093">
        <v>2092</v>
      </c>
      <c r="C2093" t="s">
        <v>393</v>
      </c>
      <c r="D2093" t="s">
        <v>394</v>
      </c>
      <c r="F2093" t="str">
        <f>"00-00-31-150F-0008-0110"</f>
        <v>00-00-31-150F-0008-0110</v>
      </c>
      <c r="H2093" t="str">
        <f>"EBENAL AMY R"</f>
        <v>EBENAL AMY R</v>
      </c>
      <c r="I2093" t="str">
        <f>"500 S 17TH ST"</f>
        <v>500 S 17TH ST</v>
      </c>
      <c r="J2093" t="str">
        <f>"FERNANDINA BEACH FL 32034"</f>
        <v>FERNANDINA BEACH FL 32034</v>
      </c>
      <c r="K2093" t="str">
        <f>"500 17TH ST S"</f>
        <v>500 17TH ST S</v>
      </c>
      <c r="L2093" t="str">
        <f t="shared" si="779"/>
        <v>FERNANDINA BEACH FL 32034</v>
      </c>
      <c r="M2093" t="str">
        <f>"BLOCK 8 LOT 11 IN OR 1511/1728 OAK LAWN PARK 6 PB 3/40"</f>
        <v>BLOCK 8 LOT 11 IN OR 1511/1728 OAK LAWN PARK 6 PB 3/40</v>
      </c>
      <c r="N2093" t="str">
        <f>""</f>
        <v/>
      </c>
      <c r="O2093" t="str">
        <f>"8525"</f>
        <v>8525</v>
      </c>
      <c r="P2093" t="str">
        <f t="shared" si="775"/>
        <v>2017</v>
      </c>
      <c r="Q2093" t="str">
        <f>""</f>
        <v/>
      </c>
      <c r="R2093" t="str">
        <f>"Y"</f>
        <v>Y</v>
      </c>
      <c r="S2093" t="str">
        <f>""</f>
        <v/>
      </c>
      <c r="T2093" t="str">
        <f>"629.11"</f>
        <v>629.11</v>
      </c>
      <c r="U2093" t="str">
        <f>"69831.00"</f>
        <v>69831.00</v>
      </c>
      <c r="V2093" t="str">
        <f>"69831.00"</f>
        <v>69831.00</v>
      </c>
      <c r="W2093" t="str">
        <f t="shared" si="776"/>
        <v>2017</v>
      </c>
      <c r="X2093" t="str">
        <f>"2.33"</f>
        <v>2.33</v>
      </c>
      <c r="Y2093" t="str">
        <f>"679.98"</f>
        <v>679.98</v>
      </c>
      <c r="Z2093" t="str">
        <f>"25000.00"</f>
        <v>25000.00</v>
      </c>
      <c r="AA2093" t="str">
        <f>"44831.00"</f>
        <v>44831.00</v>
      </c>
      <c r="AB2093" t="str">
        <f t="shared" si="780"/>
        <v>Residential</v>
      </c>
      <c r="AC2093" t="str">
        <f t="shared" si="781"/>
        <v>0</v>
      </c>
      <c r="AD2093" t="str">
        <f t="shared" si="785"/>
        <v>3</v>
      </c>
      <c r="AE2093" t="str">
        <f t="shared" si="786"/>
        <v>MASONRY</v>
      </c>
      <c r="AF2093" t="str">
        <f t="shared" si="782"/>
        <v>001</v>
      </c>
      <c r="AG2093" t="str">
        <f t="shared" si="789"/>
        <v>FL</v>
      </c>
      <c r="AH2093" t="str">
        <f t="shared" si="787"/>
        <v>11782.00</v>
      </c>
      <c r="AI2093" t="str">
        <f t="shared" si="788"/>
        <v>45422.00</v>
      </c>
      <c r="AJ2093" t="str">
        <f>"C55-000-585-6532-6"</f>
        <v>C55-000-585-6532-6</v>
      </c>
      <c r="AK2093" t="str">
        <f>"45654"</f>
        <v>45654</v>
      </c>
      <c r="AL2093">
        <v>8</v>
      </c>
      <c r="AM2093">
        <v>2394</v>
      </c>
      <c r="AN2093">
        <v>712.38</v>
      </c>
      <c r="AQ2093" t="s">
        <v>20275</v>
      </c>
      <c r="AR2093" t="s">
        <v>20275</v>
      </c>
      <c r="AS2093" t="s">
        <v>20275</v>
      </c>
      <c r="AU2093" t="s">
        <v>396</v>
      </c>
      <c r="AV2093">
        <v>2017</v>
      </c>
      <c r="AW2093" t="str">
        <f>"00-00-31-150F-0008-0110 "</f>
        <v xml:space="preserve">00-00-31-150F-0008-0110 </v>
      </c>
      <c r="AX2093">
        <v>500</v>
      </c>
      <c r="AZ2093" t="s">
        <v>20230</v>
      </c>
      <c r="BA2093" t="s">
        <v>1942</v>
      </c>
      <c r="BB2093" t="s">
        <v>18674</v>
      </c>
      <c r="BD2093" t="s">
        <v>11749</v>
      </c>
      <c r="BE2093" t="s">
        <v>393</v>
      </c>
      <c r="BF2093">
        <v>32034</v>
      </c>
      <c r="BG2093" t="s">
        <v>20276</v>
      </c>
      <c r="BH2093" t="s">
        <v>11751</v>
      </c>
      <c r="BI2093">
        <v>-81.448249542122099</v>
      </c>
      <c r="BJ2093">
        <v>30.663004387490801</v>
      </c>
      <c r="BK2093" t="s">
        <v>20277</v>
      </c>
      <c r="BM2093" t="s">
        <v>20278</v>
      </c>
      <c r="BN2093" t="s">
        <v>3983</v>
      </c>
      <c r="BO2093">
        <v>32034</v>
      </c>
      <c r="BP2093" t="s">
        <v>416</v>
      </c>
      <c r="BQ2093">
        <v>100</v>
      </c>
      <c r="BR2093" t="s">
        <v>514</v>
      </c>
      <c r="BS2093">
        <v>1001</v>
      </c>
      <c r="BT2093" t="s">
        <v>515</v>
      </c>
      <c r="BU2093">
        <v>860</v>
      </c>
      <c r="BV2093">
        <v>1370</v>
      </c>
      <c r="BW2093">
        <v>11739</v>
      </c>
      <c r="BX2093" t="s">
        <v>407</v>
      </c>
      <c r="BY2093" t="s">
        <v>19842</v>
      </c>
      <c r="BZ2093">
        <v>3</v>
      </c>
      <c r="CA2093">
        <v>1957</v>
      </c>
      <c r="CB2093">
        <v>1</v>
      </c>
      <c r="CC2093">
        <v>1</v>
      </c>
      <c r="CD2093">
        <v>2017</v>
      </c>
      <c r="CG2093">
        <v>69831</v>
      </c>
      <c r="CH2093">
        <v>2017</v>
      </c>
      <c r="CI2093">
        <v>45422</v>
      </c>
      <c r="CJ2093">
        <v>64761</v>
      </c>
      <c r="CK2093">
        <v>110183</v>
      </c>
      <c r="CL2093">
        <v>2017</v>
      </c>
      <c r="CM2093">
        <v>629.11</v>
      </c>
      <c r="CN2093" s="1">
        <v>39274</v>
      </c>
      <c r="CZ2093" s="1">
        <v>39274</v>
      </c>
      <c r="DD2093" t="s">
        <v>11749</v>
      </c>
      <c r="DF2093">
        <v>11</v>
      </c>
      <c r="DG2093">
        <v>18</v>
      </c>
      <c r="DJ2093" t="s">
        <v>20251</v>
      </c>
      <c r="DL2093">
        <v>50101</v>
      </c>
      <c r="DM2093" t="s">
        <v>19854</v>
      </c>
      <c r="DO2093" t="s">
        <v>20279</v>
      </c>
      <c r="DP2093">
        <v>0</v>
      </c>
      <c r="DQ2093">
        <v>0</v>
      </c>
      <c r="DR2093" t="s">
        <v>411</v>
      </c>
      <c r="DS2093" t="b">
        <v>1</v>
      </c>
      <c r="DT2093" t="s">
        <v>470</v>
      </c>
      <c r="DU2093" t="s">
        <v>471</v>
      </c>
      <c r="DV2093" t="s">
        <v>472</v>
      </c>
      <c r="DX2093">
        <v>-9999</v>
      </c>
      <c r="DZ2093" t="s">
        <v>447</v>
      </c>
      <c r="EA2093" t="s">
        <v>448</v>
      </c>
      <c r="EB2093" t="s">
        <v>14787</v>
      </c>
      <c r="EC2093">
        <v>20101217</v>
      </c>
      <c r="ED2093" t="s">
        <v>474</v>
      </c>
      <c r="EF2093">
        <v>1223.7</v>
      </c>
      <c r="EG2093">
        <v>1216.5999999999999</v>
      </c>
      <c r="EI2093">
        <v>20160407</v>
      </c>
      <c r="EJ2093">
        <v>0</v>
      </c>
      <c r="EK2093">
        <v>0</v>
      </c>
      <c r="EP2093" t="s">
        <v>421</v>
      </c>
      <c r="EQ2093" t="s">
        <v>422</v>
      </c>
      <c r="ER2093">
        <v>0</v>
      </c>
      <c r="ES2093">
        <v>4</v>
      </c>
      <c r="ET2093">
        <v>0</v>
      </c>
      <c r="EU2093">
        <v>0</v>
      </c>
      <c r="EV2093">
        <v>0</v>
      </c>
      <c r="EW2093" s="2">
        <v>43222</v>
      </c>
      <c r="EX2093" s="1">
        <v>42515</v>
      </c>
      <c r="EY2093">
        <v>2015</v>
      </c>
      <c r="EZ2093">
        <v>716.42</v>
      </c>
      <c r="FA2093" t="s">
        <v>20280</v>
      </c>
      <c r="FB2093">
        <v>0.25</v>
      </c>
      <c r="FC2093" t="s">
        <v>424</v>
      </c>
      <c r="FD2093" t="s">
        <v>425</v>
      </c>
      <c r="FE2093" s="1">
        <v>42594</v>
      </c>
      <c r="FF2093">
        <v>3</v>
      </c>
      <c r="FG2093">
        <v>2851116</v>
      </c>
      <c r="FH2093" t="s">
        <v>480</v>
      </c>
      <c r="FJ2093" s="1">
        <v>42515</v>
      </c>
      <c r="FK2093">
        <v>2015</v>
      </c>
      <c r="FL2093">
        <v>716.42</v>
      </c>
      <c r="FM2093" t="s">
        <v>20280</v>
      </c>
      <c r="FN2093">
        <v>0.25</v>
      </c>
      <c r="FO2093" t="s">
        <v>424</v>
      </c>
      <c r="FP2093" t="s">
        <v>425</v>
      </c>
      <c r="FR2093">
        <v>22</v>
      </c>
      <c r="FS2093">
        <v>5492193</v>
      </c>
      <c r="FT2093" t="s">
        <v>20281</v>
      </c>
      <c r="FV2093" s="1">
        <v>42151</v>
      </c>
      <c r="FW2093">
        <v>2014</v>
      </c>
      <c r="FX2093">
        <v>717.39</v>
      </c>
      <c r="FY2093" t="s">
        <v>20282</v>
      </c>
      <c r="FZ2093">
        <v>0.25</v>
      </c>
      <c r="GA2093" t="s">
        <v>424</v>
      </c>
      <c r="GB2093" t="s">
        <v>425</v>
      </c>
      <c r="GC2093" s="1">
        <v>42202</v>
      </c>
      <c r="GD2093">
        <v>2</v>
      </c>
      <c r="GE2093">
        <v>2851116</v>
      </c>
      <c r="GF2093" t="s">
        <v>480</v>
      </c>
      <c r="GH2093" s="1">
        <v>42151</v>
      </c>
      <c r="GI2093">
        <v>2014</v>
      </c>
      <c r="GJ2093">
        <v>717.39</v>
      </c>
      <c r="GK2093" t="s">
        <v>20282</v>
      </c>
      <c r="GL2093">
        <v>0.25</v>
      </c>
      <c r="GM2093" t="s">
        <v>424</v>
      </c>
      <c r="GN2093" t="s">
        <v>425</v>
      </c>
      <c r="GP2093">
        <v>22</v>
      </c>
      <c r="GQ2093">
        <v>5100138</v>
      </c>
      <c r="GR2093" t="s">
        <v>20283</v>
      </c>
    </row>
    <row r="2094" spans="1:284" x14ac:dyDescent="0.25">
      <c r="A2094">
        <v>16487101</v>
      </c>
      <c r="B2094">
        <v>2093</v>
      </c>
      <c r="C2094" t="s">
        <v>393</v>
      </c>
      <c r="D2094" t="s">
        <v>394</v>
      </c>
      <c r="F2094" t="str">
        <f>"00-00-31-1520-0003-0060"</f>
        <v>00-00-31-1520-0003-0060</v>
      </c>
      <c r="H2094" t="str">
        <f>"LASSERRE CURTISS H TRUSTEE OF CURTISS H LASSERRE REVOCABLE LIVING TRUST"</f>
        <v>LASSERRE CURTISS H TRUSTEE OF CURTISS H LASSERRE REVOCABLE LIVING TRUST</v>
      </c>
      <c r="I2094" t="str">
        <f>""</f>
        <v/>
      </c>
      <c r="J2094" t="str">
        <f>"FERNANDINA BEACH FL 32035"</f>
        <v>FERNANDINA BEACH FL 32035</v>
      </c>
      <c r="K2094" t="str">
        <f>"487 FLETCHER AVE S ABC"</f>
        <v>487 FLETCHER AVE S ABC</v>
      </c>
      <c r="L2094" t="str">
        <f t="shared" si="779"/>
        <v>FERNANDINA BEACH FL 32034</v>
      </c>
      <c r="M2094" t="str">
        <f>"BLK 3 LOT 6 OCEAN CITY NORTH PORTION R/P PBK 2/38"</f>
        <v>BLK 3 LOT 6 OCEAN CITY NORTH PORTION R/P PBK 2/38</v>
      </c>
      <c r="N2094" t="str">
        <f>""</f>
        <v/>
      </c>
      <c r="O2094" t="str">
        <f>"8571"</f>
        <v>8571</v>
      </c>
      <c r="P2094" t="str">
        <f t="shared" si="775"/>
        <v>2017</v>
      </c>
      <c r="Q2094" t="str">
        <f>""</f>
        <v/>
      </c>
      <c r="R2094" t="str">
        <f t="shared" ref="R2094:R2099" si="790">"N"</f>
        <v>N</v>
      </c>
      <c r="S2094" t="str">
        <f>""</f>
        <v/>
      </c>
      <c r="T2094" t="str">
        <f>"6604.00"</f>
        <v>6604.00</v>
      </c>
      <c r="U2094" t="str">
        <f>"330870.00"</f>
        <v>330870.00</v>
      </c>
      <c r="V2094" t="str">
        <f>"330870.00"</f>
        <v>330870.00</v>
      </c>
      <c r="W2094" t="str">
        <f t="shared" si="776"/>
        <v>2017</v>
      </c>
      <c r="X2094" t="str">
        <f>""</f>
        <v/>
      </c>
      <c r="Y2094" t="str">
        <f>"6834.12"</f>
        <v>6834.12</v>
      </c>
      <c r="Z2094" t="str">
        <f>""</f>
        <v/>
      </c>
      <c r="AA2094" t="str">
        <f>"332315.00"</f>
        <v>332315.00</v>
      </c>
      <c r="AB2094" t="str">
        <f t="shared" si="780"/>
        <v>Residential</v>
      </c>
      <c r="AC2094" t="str">
        <f t="shared" si="781"/>
        <v>0</v>
      </c>
      <c r="AD2094" t="str">
        <f>"4"</f>
        <v>4</v>
      </c>
      <c r="AE2094" t="str">
        <f>"WOOD (INCLUDE STEEL STUDS)"</f>
        <v>WOOD (INCLUDE STEEL STUDS)</v>
      </c>
      <c r="AF2094" t="str">
        <f>"008"</f>
        <v>008</v>
      </c>
      <c r="AG2094" t="str">
        <f t="shared" si="789"/>
        <v>FL</v>
      </c>
      <c r="AH2094" t="str">
        <f>"9975.00"</f>
        <v>9975.00</v>
      </c>
      <c r="AI2094" t="str">
        <f>"211331.00"</f>
        <v>211331.00</v>
      </c>
      <c r="AJ2094" t="str">
        <f>"C55-000-585-6576-3"</f>
        <v>C55-000-585-6576-3</v>
      </c>
      <c r="AK2094" t="str">
        <f>"45762"</f>
        <v>45762</v>
      </c>
      <c r="AL2094">
        <v>8</v>
      </c>
      <c r="AM2094">
        <v>2396</v>
      </c>
      <c r="AN2094">
        <v>7174.23</v>
      </c>
      <c r="AQ2094" t="s">
        <v>20284</v>
      </c>
      <c r="AR2094" t="s">
        <v>20284</v>
      </c>
      <c r="AS2094" t="s">
        <v>20284</v>
      </c>
      <c r="AU2094" t="s">
        <v>396</v>
      </c>
      <c r="AV2094">
        <v>2017</v>
      </c>
      <c r="AW2094" t="str">
        <f>"00-00-31-1520-0003-0060 "</f>
        <v xml:space="preserve">00-00-31-1520-0003-0060 </v>
      </c>
      <c r="AX2094">
        <v>487</v>
      </c>
      <c r="AZ2094" t="s">
        <v>20285</v>
      </c>
      <c r="BD2094" t="s">
        <v>11749</v>
      </c>
      <c r="BE2094" t="s">
        <v>393</v>
      </c>
      <c r="BF2094">
        <v>32034</v>
      </c>
      <c r="BG2094" t="s">
        <v>20286</v>
      </c>
      <c r="BH2094" t="s">
        <v>11751</v>
      </c>
      <c r="BI2094">
        <v>-81.432616440990202</v>
      </c>
      <c r="BJ2094">
        <v>30.660658400608501</v>
      </c>
      <c r="BK2094" t="s">
        <v>12956</v>
      </c>
      <c r="BL2094" t="s">
        <v>12957</v>
      </c>
      <c r="BM2094" t="s">
        <v>12958</v>
      </c>
      <c r="BN2094" t="s">
        <v>3983</v>
      </c>
      <c r="BO2094">
        <v>32035</v>
      </c>
      <c r="BP2094" t="s">
        <v>404</v>
      </c>
      <c r="BQ2094">
        <v>800</v>
      </c>
      <c r="BR2094" t="s">
        <v>5126</v>
      </c>
      <c r="BS2094">
        <v>1110</v>
      </c>
      <c r="BT2094" t="s">
        <v>5127</v>
      </c>
      <c r="BU2094">
        <v>750</v>
      </c>
      <c r="BV2094">
        <v>1330</v>
      </c>
      <c r="BW2094">
        <v>10325</v>
      </c>
      <c r="BX2094" t="s">
        <v>407</v>
      </c>
      <c r="BY2094" t="s">
        <v>5383</v>
      </c>
      <c r="BZ2094">
        <v>4</v>
      </c>
      <c r="CA2094">
        <v>1930</v>
      </c>
      <c r="CB2094">
        <v>3</v>
      </c>
      <c r="CC2094">
        <v>1</v>
      </c>
      <c r="CD2094">
        <v>2017</v>
      </c>
      <c r="CE2094">
        <v>211331</v>
      </c>
      <c r="CF2094">
        <v>120984</v>
      </c>
      <c r="CG2094">
        <v>332315</v>
      </c>
      <c r="CH2094">
        <v>2017</v>
      </c>
      <c r="CI2094">
        <v>211331</v>
      </c>
      <c r="CJ2094">
        <v>120984</v>
      </c>
      <c r="CK2094">
        <v>332315</v>
      </c>
      <c r="CL2094">
        <v>2017</v>
      </c>
      <c r="CM2094">
        <v>6604</v>
      </c>
      <c r="CN2094" s="1">
        <v>37378</v>
      </c>
      <c r="CO2094">
        <v>290000</v>
      </c>
      <c r="CV2094">
        <v>232000</v>
      </c>
      <c r="CZ2094" s="1">
        <v>37378</v>
      </c>
      <c r="DA2094">
        <v>0</v>
      </c>
      <c r="DD2094" t="s">
        <v>11749</v>
      </c>
      <c r="DF2094">
        <v>6</v>
      </c>
      <c r="DG2094">
        <v>13</v>
      </c>
      <c r="DI2094" t="s">
        <v>20287</v>
      </c>
      <c r="DJ2094" t="s">
        <v>19843</v>
      </c>
      <c r="DL2094">
        <v>50101</v>
      </c>
      <c r="DM2094" t="s">
        <v>19844</v>
      </c>
      <c r="DO2094" t="s">
        <v>20288</v>
      </c>
      <c r="DP2094">
        <v>0</v>
      </c>
      <c r="DQ2094">
        <v>0</v>
      </c>
      <c r="DR2094" t="s">
        <v>411</v>
      </c>
    </row>
    <row r="2095" spans="1:284" x14ac:dyDescent="0.25">
      <c r="A2095">
        <v>16487102</v>
      </c>
      <c r="B2095">
        <v>2094</v>
      </c>
      <c r="C2095" t="s">
        <v>393</v>
      </c>
      <c r="D2095" t="s">
        <v>394</v>
      </c>
      <c r="F2095" t="str">
        <f>"00-00-31-1540-0017-0010"</f>
        <v>00-00-31-1540-0017-0010</v>
      </c>
      <c r="H2095" t="str">
        <f>"J R HOLDINGS OF NORTH FLORIDA INC"</f>
        <v>J R HOLDINGS OF NORTH FLORIDA INC</v>
      </c>
      <c r="I2095" t="str">
        <f>"109 NORTH LIBERTY ST"</f>
        <v>109 NORTH LIBERTY ST</v>
      </c>
      <c r="J2095" t="str">
        <f>"JACKSONVILLE FL 32202"</f>
        <v>JACKSONVILLE FL 32202</v>
      </c>
      <c r="K2095" t="str">
        <f>"1060 JEAN LAFITTE AVE"</f>
        <v>1060 JEAN LAFITTE AVE</v>
      </c>
      <c r="L2095" t="str">
        <f t="shared" si="779"/>
        <v>FERNANDINA BEACH FL 32034</v>
      </c>
      <c r="M2095" t="str">
        <f>"PT BLKS 16 17 19 &amp; PT ABANDONED R/WS PT OR 1104/628 BEING PARCEL A (EX OR 1323/1944 OR 1876/1132 &amp; UTIL ESMT IN OR 839/1369) OCEAN CITY SUB DBK U/384"</f>
        <v>PT BLKS 16 17 19 &amp; PT ABANDONED R/WS PT OR 1104/628 BEING PARCEL A (EX OR 1323/1944 OR 1876/1132 &amp; UTIL ESMT IN OR 839/1369) OCEAN CITY SUB DBK U/384</v>
      </c>
      <c r="N2095" t="str">
        <f>""</f>
        <v/>
      </c>
      <c r="O2095" t="str">
        <f>"8707"</f>
        <v>8707</v>
      </c>
      <c r="P2095" t="str">
        <f t="shared" si="775"/>
        <v>2017</v>
      </c>
      <c r="Q2095" t="str">
        <f>""</f>
        <v/>
      </c>
      <c r="R2095" t="str">
        <f t="shared" si="790"/>
        <v>N</v>
      </c>
      <c r="S2095" t="str">
        <f>"2.47"</f>
        <v>2.47</v>
      </c>
      <c r="T2095" t="str">
        <f>"3513.86"</f>
        <v>3513.86</v>
      </c>
      <c r="U2095" t="str">
        <f>"171876.00"</f>
        <v>171876.00</v>
      </c>
      <c r="V2095" t="str">
        <f>"171876.00"</f>
        <v>171876.00</v>
      </c>
      <c r="W2095" t="str">
        <f t="shared" si="776"/>
        <v>2017</v>
      </c>
      <c r="X2095" t="str">
        <f>"11.63"</f>
        <v>11.63</v>
      </c>
      <c r="Y2095" t="str">
        <f>"3651.28"</f>
        <v>3651.28</v>
      </c>
      <c r="Z2095" t="str">
        <f>""</f>
        <v/>
      </c>
      <c r="AA2095" t="str">
        <f>"185250.00"</f>
        <v>185250.00</v>
      </c>
      <c r="AB2095" t="str">
        <f t="shared" si="780"/>
        <v>Residential</v>
      </c>
      <c r="AC2095" t="str">
        <f t="shared" si="781"/>
        <v>0</v>
      </c>
      <c r="AD2095" t="str">
        <f>""</f>
        <v/>
      </c>
      <c r="AE2095" t="str">
        <f>""</f>
        <v/>
      </c>
      <c r="AF2095" t="str">
        <f>"000"</f>
        <v>000</v>
      </c>
      <c r="AG2095" t="str">
        <f t="shared" si="789"/>
        <v>FL</v>
      </c>
      <c r="AH2095" t="str">
        <f>"107593.00"</f>
        <v>107593.00</v>
      </c>
      <c r="AI2095" t="str">
        <f>"185250.00"</f>
        <v>185250.00</v>
      </c>
      <c r="AJ2095" t="str">
        <f>"C55-000-585-6706-6"</f>
        <v>C55-000-585-6706-6</v>
      </c>
      <c r="AK2095" t="str">
        <f>"45828"</f>
        <v>45828</v>
      </c>
      <c r="AL2095">
        <v>8</v>
      </c>
      <c r="AM2095">
        <v>2397</v>
      </c>
      <c r="AN2095">
        <v>3832.24</v>
      </c>
      <c r="AQ2095" t="s">
        <v>20289</v>
      </c>
      <c r="AR2095" t="s">
        <v>20289</v>
      </c>
      <c r="AS2095" t="s">
        <v>20289</v>
      </c>
      <c r="AU2095" t="s">
        <v>396</v>
      </c>
      <c r="AV2095">
        <v>2017</v>
      </c>
      <c r="AW2095" t="str">
        <f>"00-00-31-1540-0017-0010 "</f>
        <v xml:space="preserve">00-00-31-1540-0017-0010 </v>
      </c>
      <c r="AX2095">
        <v>1060</v>
      </c>
      <c r="AZ2095" t="s">
        <v>20290</v>
      </c>
      <c r="BA2095" t="s">
        <v>1112</v>
      </c>
      <c r="BD2095" t="s">
        <v>11749</v>
      </c>
      <c r="BE2095" t="s">
        <v>393</v>
      </c>
      <c r="BF2095">
        <v>32034</v>
      </c>
      <c r="BG2095" t="s">
        <v>20291</v>
      </c>
      <c r="BH2095" t="s">
        <v>11751</v>
      </c>
      <c r="BI2095">
        <v>-81.4358852924085</v>
      </c>
      <c r="BJ2095">
        <v>30.651922416699499</v>
      </c>
      <c r="BK2095" t="s">
        <v>20292</v>
      </c>
      <c r="BM2095" t="s">
        <v>20293</v>
      </c>
      <c r="BN2095" t="s">
        <v>548</v>
      </c>
      <c r="BO2095">
        <v>32202</v>
      </c>
      <c r="BP2095" t="s">
        <v>404</v>
      </c>
      <c r="BQ2095">
        <v>0</v>
      </c>
      <c r="BR2095" t="s">
        <v>491</v>
      </c>
      <c r="BS2095">
        <v>8001</v>
      </c>
      <c r="BT2095" t="s">
        <v>492</v>
      </c>
      <c r="BW2095">
        <v>107593</v>
      </c>
      <c r="BX2095" t="s">
        <v>407</v>
      </c>
      <c r="CD2095">
        <v>2017</v>
      </c>
      <c r="CE2095">
        <v>185250</v>
      </c>
      <c r="CG2095">
        <v>185250</v>
      </c>
      <c r="CH2095">
        <v>2017</v>
      </c>
      <c r="CI2095">
        <v>185250</v>
      </c>
      <c r="CK2095">
        <v>185250</v>
      </c>
      <c r="CL2095">
        <v>2017</v>
      </c>
      <c r="CM2095">
        <v>3513.86</v>
      </c>
      <c r="CN2095" s="1">
        <v>41516</v>
      </c>
      <c r="CO2095">
        <v>177500</v>
      </c>
      <c r="CV2095">
        <v>0</v>
      </c>
      <c r="CZ2095" s="1">
        <v>41516</v>
      </c>
      <c r="DA2095">
        <v>0</v>
      </c>
      <c r="DD2095" t="s">
        <v>11749</v>
      </c>
      <c r="DG2095">
        <v>19</v>
      </c>
      <c r="DL2095">
        <v>50101</v>
      </c>
      <c r="DM2095" t="s">
        <v>20170</v>
      </c>
      <c r="DO2095" t="s">
        <v>20294</v>
      </c>
      <c r="DP2095">
        <v>0</v>
      </c>
      <c r="DQ2095">
        <v>0</v>
      </c>
      <c r="DR2095" t="s">
        <v>411</v>
      </c>
      <c r="DS2095" t="b">
        <v>1</v>
      </c>
      <c r="DT2095" t="s">
        <v>8902</v>
      </c>
      <c r="DV2095" t="s">
        <v>446</v>
      </c>
      <c r="DX2095">
        <v>9</v>
      </c>
      <c r="DY2095" t="s">
        <v>11438</v>
      </c>
      <c r="DZ2095" t="s">
        <v>447</v>
      </c>
      <c r="EA2095" t="s">
        <v>448</v>
      </c>
      <c r="EB2095" t="s">
        <v>19316</v>
      </c>
      <c r="EC2095">
        <v>20101217</v>
      </c>
      <c r="ED2095" t="s">
        <v>450</v>
      </c>
      <c r="EE2095">
        <v>5</v>
      </c>
      <c r="EF2095">
        <v>0</v>
      </c>
      <c r="EG2095">
        <v>0</v>
      </c>
      <c r="EI2095">
        <v>20160407</v>
      </c>
      <c r="EJ2095">
        <v>0</v>
      </c>
      <c r="EK2095">
        <v>0</v>
      </c>
      <c r="EP2095" t="s">
        <v>421</v>
      </c>
      <c r="EQ2095" t="s">
        <v>452</v>
      </c>
      <c r="ER2095">
        <v>0</v>
      </c>
      <c r="ES2095">
        <v>8</v>
      </c>
      <c r="ET2095">
        <v>0</v>
      </c>
      <c r="EU2095">
        <v>0</v>
      </c>
      <c r="EV2095">
        <v>0</v>
      </c>
      <c r="EW2095" s="2">
        <v>43222</v>
      </c>
      <c r="EX2095" s="1">
        <v>42515</v>
      </c>
      <c r="EY2095">
        <v>2015</v>
      </c>
      <c r="EZ2095">
        <v>3506.43</v>
      </c>
      <c r="FA2095" t="s">
        <v>20295</v>
      </c>
      <c r="FB2095">
        <v>0.25</v>
      </c>
      <c r="FC2095" t="s">
        <v>424</v>
      </c>
      <c r="FD2095" t="s">
        <v>425</v>
      </c>
      <c r="FE2095" s="1">
        <v>42836</v>
      </c>
      <c r="FF2095">
        <v>11</v>
      </c>
      <c r="FG2095">
        <v>11289</v>
      </c>
      <c r="FH2095" t="s">
        <v>787</v>
      </c>
      <c r="FI2095" t="s">
        <v>458</v>
      </c>
      <c r="FJ2095" s="1">
        <v>42515</v>
      </c>
      <c r="FK2095">
        <v>2015</v>
      </c>
      <c r="FL2095">
        <v>3506.43</v>
      </c>
      <c r="FM2095" t="s">
        <v>20295</v>
      </c>
      <c r="FN2095">
        <v>0.25</v>
      </c>
      <c r="FO2095" t="s">
        <v>424</v>
      </c>
      <c r="FP2095" t="s">
        <v>425</v>
      </c>
      <c r="FR2095">
        <v>22</v>
      </c>
      <c r="FS2095">
        <v>5116461</v>
      </c>
      <c r="FT2095" t="s">
        <v>20296</v>
      </c>
      <c r="FU2095" t="s">
        <v>458</v>
      </c>
      <c r="FV2095" s="1">
        <v>42151</v>
      </c>
      <c r="FW2095">
        <v>2014</v>
      </c>
      <c r="FX2095">
        <v>3344.22</v>
      </c>
      <c r="FY2095" t="s">
        <v>20297</v>
      </c>
      <c r="FZ2095">
        <v>0.25</v>
      </c>
      <c r="GA2095" t="s">
        <v>424</v>
      </c>
      <c r="GB2095" t="s">
        <v>425</v>
      </c>
      <c r="GD2095">
        <v>22</v>
      </c>
      <c r="GE2095">
        <v>2101382</v>
      </c>
      <c r="GF2095" t="s">
        <v>993</v>
      </c>
      <c r="GG2095" t="s">
        <v>458</v>
      </c>
      <c r="GH2095" s="1">
        <v>42151</v>
      </c>
      <c r="GI2095">
        <v>2014</v>
      </c>
      <c r="GJ2095">
        <v>3344.22</v>
      </c>
      <c r="GK2095" t="s">
        <v>20297</v>
      </c>
      <c r="GL2095">
        <v>0.25</v>
      </c>
      <c r="GM2095" t="s">
        <v>424</v>
      </c>
      <c r="GN2095" t="s">
        <v>425</v>
      </c>
      <c r="GP2095">
        <v>22</v>
      </c>
      <c r="GQ2095">
        <v>5473476</v>
      </c>
      <c r="GR2095" t="s">
        <v>20298</v>
      </c>
      <c r="GS2095" t="s">
        <v>458</v>
      </c>
      <c r="GT2095" s="1">
        <v>41787</v>
      </c>
      <c r="GU2095">
        <v>2013</v>
      </c>
      <c r="GV2095">
        <v>2555.77</v>
      </c>
      <c r="GW2095" t="s">
        <v>20299</v>
      </c>
      <c r="GX2095">
        <v>0.25</v>
      </c>
      <c r="GY2095" t="s">
        <v>424</v>
      </c>
      <c r="GZ2095" t="s">
        <v>425</v>
      </c>
      <c r="HA2095" s="1">
        <v>41850</v>
      </c>
      <c r="HB2095">
        <v>2</v>
      </c>
      <c r="HC2095">
        <v>2851116</v>
      </c>
      <c r="HD2095" t="s">
        <v>480</v>
      </c>
      <c r="HF2095" s="1">
        <v>41423</v>
      </c>
      <c r="HG2095">
        <v>2012</v>
      </c>
      <c r="HH2095">
        <v>2410.0500000000002</v>
      </c>
      <c r="HI2095" t="s">
        <v>20300</v>
      </c>
      <c r="HJ2095">
        <v>3.75</v>
      </c>
      <c r="HK2095" t="s">
        <v>424</v>
      </c>
      <c r="HL2095" t="s">
        <v>425</v>
      </c>
      <c r="HM2095" s="1">
        <v>41516</v>
      </c>
      <c r="HN2095">
        <v>3</v>
      </c>
      <c r="HO2095">
        <v>1625515</v>
      </c>
      <c r="HP2095" t="s">
        <v>487</v>
      </c>
      <c r="HR2095" s="1">
        <v>41052</v>
      </c>
      <c r="HS2095">
        <v>2011</v>
      </c>
      <c r="HT2095">
        <v>2214.09</v>
      </c>
      <c r="HU2095" t="s">
        <v>20301</v>
      </c>
      <c r="HV2095">
        <v>7.75</v>
      </c>
      <c r="HW2095" t="s">
        <v>424</v>
      </c>
      <c r="HX2095" t="s">
        <v>425</v>
      </c>
      <c r="HY2095" s="1">
        <v>41516</v>
      </c>
      <c r="HZ2095">
        <v>15</v>
      </c>
      <c r="IA2095">
        <v>11287</v>
      </c>
      <c r="IB2095" t="s">
        <v>511</v>
      </c>
      <c r="ID2095" s="1">
        <v>40688</v>
      </c>
      <c r="IE2095">
        <v>2010</v>
      </c>
      <c r="IF2095">
        <v>1815</v>
      </c>
      <c r="IG2095" t="s">
        <v>20302</v>
      </c>
      <c r="IH2095">
        <v>7.5</v>
      </c>
      <c r="II2095" t="s">
        <v>424</v>
      </c>
      <c r="IJ2095" t="s">
        <v>425</v>
      </c>
      <c r="IK2095" s="1">
        <v>41348</v>
      </c>
      <c r="IL2095">
        <v>22</v>
      </c>
      <c r="IM2095">
        <v>11064</v>
      </c>
      <c r="IN2095" t="s">
        <v>6946</v>
      </c>
    </row>
    <row r="2096" spans="1:284" x14ac:dyDescent="0.25">
      <c r="A2096">
        <v>16487103</v>
      </c>
      <c r="B2096">
        <v>2095</v>
      </c>
      <c r="C2096" t="s">
        <v>393</v>
      </c>
      <c r="D2096" t="s">
        <v>394</v>
      </c>
      <c r="F2096" t="str">
        <f>"00-00-31-155E-0008-0000"</f>
        <v>00-00-31-155E-0008-0000</v>
      </c>
      <c r="H2096" t="str">
        <f>"EVANS JOHN R LVG IRREV TRUST JOHN R &amp; ANN D EVANS TRUSTEES"</f>
        <v>EVANS JOHN R LVG IRREV TRUST JOHN R &amp; ANN D EVANS TRUSTEES</v>
      </c>
      <c r="I2096" t="str">
        <f>"2804 ST JOHNS BLUFF RD S"</f>
        <v>2804 ST JOHNS BLUFF RD S</v>
      </c>
      <c r="J2096" t="str">
        <f>"JACKSONVILLE FL 32246"</f>
        <v>JACKSONVILLE FL 32246</v>
      </c>
      <c r="K2096" t="str">
        <f>"1441 N FLETCHER AV"</f>
        <v>1441 N FLETCHER AV</v>
      </c>
      <c r="L2096" t="str">
        <f t="shared" si="779"/>
        <v>FERNANDINA BEACH FL 32034</v>
      </c>
      <c r="M2096" t="str">
        <f>"LOT 8 PT OR 2029/175 OCEANS EIGHT PB 5/41"</f>
        <v>LOT 8 PT OR 2029/175 OCEANS EIGHT PB 5/41</v>
      </c>
      <c r="N2096" t="str">
        <f>""</f>
        <v/>
      </c>
      <c r="O2096" t="str">
        <f>"8852"</f>
        <v>8852</v>
      </c>
      <c r="P2096" t="str">
        <f t="shared" si="775"/>
        <v>2017</v>
      </c>
      <c r="Q2096" t="str">
        <f>""</f>
        <v/>
      </c>
      <c r="R2096" t="str">
        <f t="shared" si="790"/>
        <v>N</v>
      </c>
      <c r="S2096" t="str">
        <f>""</f>
        <v/>
      </c>
      <c r="T2096" t="str">
        <f>"2989.62"</f>
        <v>2989.62</v>
      </c>
      <c r="U2096" t="str">
        <f>"150000.00"</f>
        <v>150000.00</v>
      </c>
      <c r="V2096" t="str">
        <f>"150000.00"</f>
        <v>150000.00</v>
      </c>
      <c r="W2096" t="str">
        <f t="shared" si="776"/>
        <v>2017</v>
      </c>
      <c r="X2096" t="str">
        <f>""</f>
        <v/>
      </c>
      <c r="Y2096" t="str">
        <f>"3111.31"</f>
        <v>3111.31</v>
      </c>
      <c r="Z2096" t="str">
        <f>""</f>
        <v/>
      </c>
      <c r="AA2096" t="str">
        <f>"150000.00"</f>
        <v>150000.00</v>
      </c>
      <c r="AB2096" t="str">
        <f t="shared" si="780"/>
        <v>Residential</v>
      </c>
      <c r="AC2096" t="str">
        <f t="shared" si="781"/>
        <v>0</v>
      </c>
      <c r="AD2096" t="str">
        <f>""</f>
        <v/>
      </c>
      <c r="AE2096" t="str">
        <f>""</f>
        <v/>
      </c>
      <c r="AF2096" t="str">
        <f>"000"</f>
        <v>000</v>
      </c>
      <c r="AG2096" t="str">
        <f t="shared" si="789"/>
        <v>FL</v>
      </c>
      <c r="AH2096" t="str">
        <f>"10850.00"</f>
        <v>10850.00</v>
      </c>
      <c r="AI2096" t="str">
        <f>"150000.00"</f>
        <v>150000.00</v>
      </c>
      <c r="AJ2096" t="str">
        <f>"C55-000-585-6828-8"</f>
        <v>C55-000-585-6828-8</v>
      </c>
      <c r="AK2096" t="str">
        <f>"45937"</f>
        <v>45937</v>
      </c>
      <c r="AL2096">
        <v>8</v>
      </c>
      <c r="AM2096">
        <v>2398</v>
      </c>
      <c r="AN2096">
        <v>3265.28</v>
      </c>
      <c r="AQ2096" t="s">
        <v>20303</v>
      </c>
      <c r="AR2096" t="s">
        <v>20303</v>
      </c>
      <c r="AS2096" t="s">
        <v>20303</v>
      </c>
      <c r="AU2096" t="s">
        <v>396</v>
      </c>
      <c r="AV2096">
        <v>2017</v>
      </c>
      <c r="AW2096" t="str">
        <f>"00-00-31-155E-0008-0000 "</f>
        <v xml:space="preserve">00-00-31-155E-0008-0000 </v>
      </c>
      <c r="AX2096">
        <v>1441</v>
      </c>
      <c r="AY2096" t="s">
        <v>404</v>
      </c>
      <c r="AZ2096" t="s">
        <v>18248</v>
      </c>
      <c r="BA2096" t="s">
        <v>1122</v>
      </c>
      <c r="BD2096" t="s">
        <v>11749</v>
      </c>
      <c r="BE2096" t="s">
        <v>393</v>
      </c>
      <c r="BF2096">
        <v>32034</v>
      </c>
      <c r="BG2096" t="s">
        <v>20304</v>
      </c>
      <c r="BH2096" t="s">
        <v>11751</v>
      </c>
      <c r="BI2096">
        <v>-81.429718744370902</v>
      </c>
      <c r="BJ2096">
        <v>30.685450632278599</v>
      </c>
      <c r="BK2096" t="s">
        <v>20305</v>
      </c>
      <c r="BL2096" t="s">
        <v>20306</v>
      </c>
      <c r="BM2096" t="s">
        <v>20307</v>
      </c>
      <c r="BN2096" t="s">
        <v>548</v>
      </c>
      <c r="BO2096">
        <v>32250</v>
      </c>
      <c r="BP2096" t="s">
        <v>404</v>
      </c>
      <c r="BQ2096">
        <v>0</v>
      </c>
      <c r="BR2096" t="s">
        <v>491</v>
      </c>
      <c r="BS2096">
        <v>8001</v>
      </c>
      <c r="BT2096" t="s">
        <v>492</v>
      </c>
      <c r="BU2096">
        <v>500</v>
      </c>
      <c r="BV2096">
        <v>0</v>
      </c>
      <c r="BW2096">
        <v>11974</v>
      </c>
      <c r="BX2096" t="s">
        <v>407</v>
      </c>
      <c r="CD2096">
        <v>2017</v>
      </c>
      <c r="CE2096">
        <v>150000</v>
      </c>
      <c r="CG2096">
        <v>150000</v>
      </c>
      <c r="CH2096">
        <v>2017</v>
      </c>
      <c r="CI2096">
        <v>150000</v>
      </c>
      <c r="CK2096">
        <v>150000</v>
      </c>
      <c r="CL2096">
        <v>2017</v>
      </c>
      <c r="CM2096">
        <v>2989.62</v>
      </c>
      <c r="CN2096" s="1">
        <v>42418</v>
      </c>
      <c r="CO2096">
        <v>175000</v>
      </c>
      <c r="CV2096">
        <v>0</v>
      </c>
      <c r="CZ2096" s="1">
        <v>42418</v>
      </c>
      <c r="DA2096">
        <v>0</v>
      </c>
      <c r="DD2096" t="s">
        <v>11749</v>
      </c>
      <c r="DF2096">
        <v>8</v>
      </c>
      <c r="DG2096">
        <v>13</v>
      </c>
      <c r="DJ2096" t="s">
        <v>20308</v>
      </c>
      <c r="DM2096" t="s">
        <v>19844</v>
      </c>
      <c r="DO2096" t="s">
        <v>20309</v>
      </c>
      <c r="DP2096">
        <v>0</v>
      </c>
      <c r="DQ2096">
        <v>0</v>
      </c>
      <c r="DR2096" t="s">
        <v>411</v>
      </c>
    </row>
    <row r="2097" spans="1:260" x14ac:dyDescent="0.25">
      <c r="A2097">
        <v>16487104</v>
      </c>
      <c r="B2097">
        <v>2096</v>
      </c>
      <c r="C2097" t="s">
        <v>393</v>
      </c>
      <c r="D2097" t="s">
        <v>394</v>
      </c>
      <c r="F2097" t="str">
        <f>"00-00-31-155I-2168-00A0"</f>
        <v>00-00-31-155I-2168-00A0</v>
      </c>
      <c r="H2097" t="str">
        <f>"DOUGLAS COMPANIES LLC"</f>
        <v>DOUGLAS COMPANIES LLC</v>
      </c>
      <c r="I2097" t="str">
        <f>"85352 BOSTICK WOOD DR"</f>
        <v>85352 BOSTICK WOOD DR</v>
      </c>
      <c r="J2097" t="str">
        <f>"FERNANDINA BEACH FL 32034"</f>
        <v>FERNANDINA BEACH FL 32034</v>
      </c>
      <c r="K2097" t="str">
        <f>"2168 1ST AVE A"</f>
        <v>2168 1ST AVE A</v>
      </c>
      <c r="L2097" t="str">
        <f t="shared" si="779"/>
        <v>FERNANDINA BEACH FL 32034</v>
      </c>
      <c r="M2097" t="str">
        <f>"NORTH UNIT AMELIA HILLS TOWNHOMES CONDO OR 1685/1241"</f>
        <v>NORTH UNIT AMELIA HILLS TOWNHOMES CONDO OR 1685/1241</v>
      </c>
      <c r="N2097" t="str">
        <f>""</f>
        <v/>
      </c>
      <c r="O2097" t="str">
        <f>"8868"</f>
        <v>8868</v>
      </c>
      <c r="P2097" t="str">
        <f t="shared" si="775"/>
        <v>2017</v>
      </c>
      <c r="Q2097" t="str">
        <f>""</f>
        <v/>
      </c>
      <c r="R2097" t="str">
        <f t="shared" si="790"/>
        <v>N</v>
      </c>
      <c r="S2097" t="str">
        <f>""</f>
        <v/>
      </c>
      <c r="T2097" t="str">
        <f>"4524.27"</f>
        <v>4524.27</v>
      </c>
      <c r="U2097" t="str">
        <f>"227000.00"</f>
        <v>227000.00</v>
      </c>
      <c r="V2097" t="str">
        <f>"227000.00"</f>
        <v>227000.00</v>
      </c>
      <c r="W2097" t="str">
        <f t="shared" si="776"/>
        <v>2017</v>
      </c>
      <c r="X2097" t="str">
        <f>""</f>
        <v/>
      </c>
      <c r="Y2097" t="str">
        <f>"4692.00"</f>
        <v>4692.00</v>
      </c>
      <c r="Z2097" t="str">
        <f>""</f>
        <v/>
      </c>
      <c r="AA2097" t="str">
        <f>"227000.00"</f>
        <v>227000.00</v>
      </c>
      <c r="AB2097" t="str">
        <f t="shared" si="780"/>
        <v>Residential</v>
      </c>
      <c r="AC2097" t="str">
        <f t="shared" si="781"/>
        <v>0</v>
      </c>
      <c r="AD2097" t="str">
        <f>""</f>
        <v/>
      </c>
      <c r="AE2097" t="str">
        <f>""</f>
        <v/>
      </c>
      <c r="AF2097" t="str">
        <f>"004"</f>
        <v>004</v>
      </c>
      <c r="AG2097" t="str">
        <f t="shared" si="789"/>
        <v>FL</v>
      </c>
      <c r="AH2097" t="str">
        <f>"-"</f>
        <v>-</v>
      </c>
      <c r="AI2097" t="str">
        <f>"-"</f>
        <v>-</v>
      </c>
      <c r="AJ2097" t="str">
        <f>"C55-001-072-1420-7"</f>
        <v>C55-001-072-1420-7</v>
      </c>
      <c r="AK2097" t="str">
        <f>"45951"</f>
        <v>45951</v>
      </c>
      <c r="AL2097">
        <v>8</v>
      </c>
      <c r="AM2097">
        <v>2399</v>
      </c>
      <c r="AN2097">
        <v>4925</v>
      </c>
      <c r="AQ2097" t="s">
        <v>20310</v>
      </c>
      <c r="AR2097" t="s">
        <v>20310</v>
      </c>
      <c r="AS2097" t="s">
        <v>20310</v>
      </c>
      <c r="AU2097" t="s">
        <v>396</v>
      </c>
      <c r="AV2097">
        <v>2017</v>
      </c>
      <c r="AW2097" t="str">
        <f>"00-00-31-155I-2168-00A0 "</f>
        <v xml:space="preserve">00-00-31-155I-2168-00A0 </v>
      </c>
      <c r="AX2097">
        <v>2168</v>
      </c>
      <c r="AZ2097" t="s">
        <v>19894</v>
      </c>
      <c r="BA2097" t="s">
        <v>1112</v>
      </c>
      <c r="BC2097" t="s">
        <v>396</v>
      </c>
      <c r="BD2097" t="s">
        <v>11749</v>
      </c>
      <c r="BE2097" t="s">
        <v>393</v>
      </c>
      <c r="BF2097">
        <v>32034</v>
      </c>
      <c r="BG2097" t="s">
        <v>20311</v>
      </c>
      <c r="BH2097" t="s">
        <v>11751</v>
      </c>
      <c r="BI2097">
        <v>-81.438215087924206</v>
      </c>
      <c r="BJ2097">
        <v>30.6364774462341</v>
      </c>
      <c r="BK2097" t="s">
        <v>20312</v>
      </c>
      <c r="BM2097" t="s">
        <v>20313</v>
      </c>
      <c r="BN2097" t="s">
        <v>3983</v>
      </c>
      <c r="BO2097">
        <v>32034</v>
      </c>
      <c r="BP2097" t="s">
        <v>404</v>
      </c>
      <c r="BQ2097">
        <v>400</v>
      </c>
      <c r="BR2097" t="s">
        <v>15097</v>
      </c>
      <c r="BS2097">
        <v>1004</v>
      </c>
      <c r="BT2097" t="s">
        <v>15098</v>
      </c>
      <c r="BW2097">
        <v>8629</v>
      </c>
      <c r="BX2097" t="s">
        <v>407</v>
      </c>
      <c r="CA2097">
        <v>2008</v>
      </c>
      <c r="CC2097">
        <v>1</v>
      </c>
      <c r="CD2097">
        <v>2017</v>
      </c>
      <c r="CF2097">
        <v>227000</v>
      </c>
      <c r="CG2097">
        <v>227000</v>
      </c>
      <c r="CH2097">
        <v>2017</v>
      </c>
      <c r="CJ2097">
        <v>227000</v>
      </c>
      <c r="CK2097">
        <v>227000</v>
      </c>
      <c r="CL2097">
        <v>2017</v>
      </c>
      <c r="CM2097">
        <v>4524.2700000000004</v>
      </c>
      <c r="DD2097" t="s">
        <v>11749</v>
      </c>
      <c r="DG2097">
        <v>20</v>
      </c>
      <c r="DI2097" t="s">
        <v>396</v>
      </c>
      <c r="DL2097">
        <v>50202</v>
      </c>
      <c r="DM2097" t="s">
        <v>19314</v>
      </c>
      <c r="DO2097" t="s">
        <v>20314</v>
      </c>
      <c r="DP2097">
        <v>0</v>
      </c>
      <c r="DQ2097">
        <v>0</v>
      </c>
      <c r="DR2097" t="s">
        <v>411</v>
      </c>
    </row>
    <row r="2098" spans="1:260" x14ac:dyDescent="0.25">
      <c r="A2098">
        <v>16487105</v>
      </c>
      <c r="B2098">
        <v>2097</v>
      </c>
      <c r="C2098" t="s">
        <v>393</v>
      </c>
      <c r="D2098" t="s">
        <v>394</v>
      </c>
      <c r="F2098" t="str">
        <f>"00-00-31-155I-2168-00B0"</f>
        <v>00-00-31-155I-2168-00B0</v>
      </c>
      <c r="H2098" t="str">
        <f>"DOUGLAS COMPANIES LLC"</f>
        <v>DOUGLAS COMPANIES LLC</v>
      </c>
      <c r="I2098" t="str">
        <f>"85352 BOSTICK WOOD DR"</f>
        <v>85352 BOSTICK WOOD DR</v>
      </c>
      <c r="J2098" t="str">
        <f>"FERNANDINA BEACH FL 32034"</f>
        <v>FERNANDINA BEACH FL 32034</v>
      </c>
      <c r="K2098" t="str">
        <f>"2168 1ST AVE B"</f>
        <v>2168 1ST AVE B</v>
      </c>
      <c r="L2098" t="str">
        <f t="shared" si="779"/>
        <v>FERNANDINA BEACH FL 32034</v>
      </c>
      <c r="M2098" t="str">
        <f>"SOUTH UNIT AMELIA HILLS TOWNHOMES CONDO OR 1685/1241"</f>
        <v>SOUTH UNIT AMELIA HILLS TOWNHOMES CONDO OR 1685/1241</v>
      </c>
      <c r="N2098" t="str">
        <f>""</f>
        <v/>
      </c>
      <c r="O2098" t="str">
        <f>"8869"</f>
        <v>8869</v>
      </c>
      <c r="P2098" t="str">
        <f t="shared" si="775"/>
        <v>2017</v>
      </c>
      <c r="Q2098" t="str">
        <f>""</f>
        <v/>
      </c>
      <c r="R2098" t="str">
        <f t="shared" si="790"/>
        <v>N</v>
      </c>
      <c r="S2098" t="str">
        <f>""</f>
        <v/>
      </c>
      <c r="T2098" t="str">
        <f>"4524.27"</f>
        <v>4524.27</v>
      </c>
      <c r="U2098" t="str">
        <f>"227000.00"</f>
        <v>227000.00</v>
      </c>
      <c r="V2098" t="str">
        <f>"227000.00"</f>
        <v>227000.00</v>
      </c>
      <c r="W2098" t="str">
        <f t="shared" si="776"/>
        <v>2017</v>
      </c>
      <c r="X2098" t="str">
        <f>""</f>
        <v/>
      </c>
      <c r="Y2098" t="str">
        <f>"4692.00"</f>
        <v>4692.00</v>
      </c>
      <c r="Z2098" t="str">
        <f>""</f>
        <v/>
      </c>
      <c r="AA2098" t="str">
        <f>"227000.00"</f>
        <v>227000.00</v>
      </c>
      <c r="AB2098" t="str">
        <f t="shared" si="780"/>
        <v>Residential</v>
      </c>
      <c r="AC2098" t="str">
        <f t="shared" si="781"/>
        <v>0</v>
      </c>
      <c r="AD2098" t="str">
        <f>""</f>
        <v/>
      </c>
      <c r="AE2098" t="str">
        <f>""</f>
        <v/>
      </c>
      <c r="AF2098" t="str">
        <f>"004"</f>
        <v>004</v>
      </c>
      <c r="AG2098" t="str">
        <f t="shared" si="789"/>
        <v>FL</v>
      </c>
      <c r="AH2098" t="str">
        <f>"-"</f>
        <v>-</v>
      </c>
      <c r="AI2098" t="str">
        <f>"-"</f>
        <v>-</v>
      </c>
      <c r="AJ2098" t="str">
        <f>"C55-001-072-1421-5"</f>
        <v>C55-001-072-1421-5</v>
      </c>
      <c r="AK2098" t="str">
        <f>"45952"</f>
        <v>45952</v>
      </c>
      <c r="AL2098">
        <v>8</v>
      </c>
      <c r="AM2098">
        <v>2400</v>
      </c>
      <c r="AN2098">
        <v>4925</v>
      </c>
      <c r="AQ2098" t="s">
        <v>20315</v>
      </c>
      <c r="AR2098" t="s">
        <v>20315</v>
      </c>
      <c r="AS2098" t="s">
        <v>20315</v>
      </c>
      <c r="AU2098" t="s">
        <v>396</v>
      </c>
      <c r="AV2098">
        <v>2017</v>
      </c>
      <c r="AW2098" t="str">
        <f>"00-00-31-155I-2168-00B0 "</f>
        <v xml:space="preserve">00-00-31-155I-2168-00B0 </v>
      </c>
      <c r="AX2098">
        <v>2168</v>
      </c>
      <c r="AZ2098" t="s">
        <v>19894</v>
      </c>
      <c r="BA2098" t="s">
        <v>1112</v>
      </c>
      <c r="BC2098" t="s">
        <v>20076</v>
      </c>
      <c r="BD2098" t="s">
        <v>11749</v>
      </c>
      <c r="BE2098" t="s">
        <v>393</v>
      </c>
      <c r="BF2098">
        <v>32034</v>
      </c>
      <c r="BG2098" t="s">
        <v>20316</v>
      </c>
      <c r="BH2098" t="s">
        <v>11751</v>
      </c>
      <c r="BI2098">
        <v>-81.438215087924206</v>
      </c>
      <c r="BJ2098">
        <v>30.6364774462341</v>
      </c>
      <c r="BK2098" t="s">
        <v>20312</v>
      </c>
      <c r="BM2098" t="s">
        <v>20313</v>
      </c>
      <c r="BN2098" t="s">
        <v>3983</v>
      </c>
      <c r="BO2098">
        <v>32034</v>
      </c>
      <c r="BP2098" t="s">
        <v>404</v>
      </c>
      <c r="BQ2098">
        <v>400</v>
      </c>
      <c r="BR2098" t="s">
        <v>15097</v>
      </c>
      <c r="BS2098">
        <v>1004</v>
      </c>
      <c r="BT2098" t="s">
        <v>15098</v>
      </c>
      <c r="BW2098">
        <v>8629</v>
      </c>
      <c r="BX2098" t="s">
        <v>407</v>
      </c>
      <c r="CA2098">
        <v>2008</v>
      </c>
      <c r="CC2098">
        <v>1</v>
      </c>
      <c r="CD2098">
        <v>2017</v>
      </c>
      <c r="CF2098">
        <v>227000</v>
      </c>
      <c r="CG2098">
        <v>227000</v>
      </c>
      <c r="CH2098">
        <v>2017</v>
      </c>
      <c r="CJ2098">
        <v>227000</v>
      </c>
      <c r="CK2098">
        <v>227000</v>
      </c>
      <c r="CL2098">
        <v>2017</v>
      </c>
      <c r="CM2098">
        <v>4524.2700000000004</v>
      </c>
      <c r="DD2098" t="s">
        <v>11749</v>
      </c>
      <c r="DG2098">
        <v>20</v>
      </c>
      <c r="DI2098" t="s">
        <v>20076</v>
      </c>
      <c r="DL2098">
        <v>50202</v>
      </c>
      <c r="DM2098" t="s">
        <v>19314</v>
      </c>
      <c r="DO2098" t="s">
        <v>20317</v>
      </c>
      <c r="DP2098">
        <v>0</v>
      </c>
      <c r="DQ2098">
        <v>0</v>
      </c>
      <c r="DR2098" t="s">
        <v>411</v>
      </c>
    </row>
    <row r="2099" spans="1:260" x14ac:dyDescent="0.25">
      <c r="A2099">
        <v>16487106</v>
      </c>
      <c r="B2099">
        <v>2098</v>
      </c>
      <c r="C2099" t="s">
        <v>393</v>
      </c>
      <c r="D2099" t="s">
        <v>394</v>
      </c>
      <c r="F2099" t="str">
        <f>"00-00-31-155R-0018-0000"</f>
        <v>00-00-31-155R-0018-0000</v>
      </c>
      <c r="H2099" t="str">
        <f>"MATNEY JIMMY L &amp; JILL A"</f>
        <v>MATNEY JIMMY L &amp; JILL A</v>
      </c>
      <c r="I2099" t="str">
        <f>"2703 MOORE CROSSING ROAD"</f>
        <v>2703 MOORE CROSSING ROAD</v>
      </c>
      <c r="J2099" t="str">
        <f>"VALDOSTA GA 31606"</f>
        <v>VALDOSTA GA 31606</v>
      </c>
      <c r="K2099" t="str">
        <f>"138 OCEAN RIDGE DR"</f>
        <v>138 OCEAN RIDGE DR</v>
      </c>
      <c r="L2099" t="str">
        <f t="shared" si="779"/>
        <v>FERNANDINA BEACH FL 32034</v>
      </c>
      <c r="M2099" t="str">
        <f>"LOT 18 IN OR 1766/1425 OCEAN RIDGE PB 5/103 &amp; 104"</f>
        <v>LOT 18 IN OR 1766/1425 OCEAN RIDGE PB 5/103 &amp; 104</v>
      </c>
      <c r="N2099" t="str">
        <f>""</f>
        <v/>
      </c>
      <c r="O2099" t="str">
        <f>"9059"</f>
        <v>9059</v>
      </c>
      <c r="P2099" t="str">
        <f t="shared" si="775"/>
        <v>2017</v>
      </c>
      <c r="Q2099" t="str">
        <f>""</f>
        <v/>
      </c>
      <c r="R2099" t="str">
        <f t="shared" si="790"/>
        <v>N</v>
      </c>
      <c r="S2099" t="str">
        <f>""</f>
        <v/>
      </c>
      <c r="T2099" t="str">
        <f>"4244.77"</f>
        <v>4244.77</v>
      </c>
      <c r="U2099" t="str">
        <f>"212977.00"</f>
        <v>212977.00</v>
      </c>
      <c r="V2099" t="str">
        <f>"212977.00"</f>
        <v>212977.00</v>
      </c>
      <c r="W2099" t="str">
        <f t="shared" si="776"/>
        <v>2017</v>
      </c>
      <c r="X2099" t="str">
        <f>""</f>
        <v/>
      </c>
      <c r="Y2099" t="str">
        <f>"4404.11"</f>
        <v>4404.11</v>
      </c>
      <c r="Z2099" t="str">
        <f>""</f>
        <v/>
      </c>
      <c r="AA2099" t="str">
        <f>"212977.00"</f>
        <v>212977.00</v>
      </c>
      <c r="AB2099" t="str">
        <f t="shared" ref="AB2099:AB2130" si="791">"Residential"</f>
        <v>Residential</v>
      </c>
      <c r="AC2099" t="str">
        <f t="shared" si="781"/>
        <v>0</v>
      </c>
      <c r="AD2099" t="str">
        <f>"4"</f>
        <v>4</v>
      </c>
      <c r="AE2099" t="str">
        <f>"WOOD (INCLUDE STEEL STUDS)"</f>
        <v>WOOD (INCLUDE STEEL STUDS)</v>
      </c>
      <c r="AF2099" t="str">
        <f>"001"</f>
        <v>001</v>
      </c>
      <c r="AG2099" t="str">
        <f>"GA"</f>
        <v>GA</v>
      </c>
      <c r="AH2099" t="str">
        <f>"-"</f>
        <v>-</v>
      </c>
      <c r="AI2099" t="str">
        <f>"85000.00"</f>
        <v>85000.00</v>
      </c>
      <c r="AJ2099" t="str">
        <f>"C55-000-585-7006-0"</f>
        <v>C55-000-585-7006-0</v>
      </c>
      <c r="AK2099" t="str">
        <f>"46139"</f>
        <v>46139</v>
      </c>
      <c r="AL2099">
        <v>8</v>
      </c>
      <c r="AM2099">
        <v>2401</v>
      </c>
      <c r="AN2099">
        <v>4622.72</v>
      </c>
      <c r="AQ2099" t="s">
        <v>20318</v>
      </c>
      <c r="AR2099" t="s">
        <v>20318</v>
      </c>
      <c r="AS2099" t="s">
        <v>20318</v>
      </c>
      <c r="AU2099" t="s">
        <v>396</v>
      </c>
      <c r="AV2099">
        <v>2017</v>
      </c>
      <c r="AW2099" t="str">
        <f>"00-00-31-155R-0018-0000 "</f>
        <v xml:space="preserve">00-00-31-155R-0018-0000 </v>
      </c>
      <c r="AX2099">
        <v>138</v>
      </c>
      <c r="AZ2099" t="s">
        <v>20319</v>
      </c>
      <c r="BA2099" t="s">
        <v>669</v>
      </c>
      <c r="BD2099" t="s">
        <v>11749</v>
      </c>
      <c r="BE2099" t="s">
        <v>393</v>
      </c>
      <c r="BF2099">
        <v>32034</v>
      </c>
      <c r="BG2099" t="s">
        <v>20320</v>
      </c>
      <c r="BH2099" t="s">
        <v>11751</v>
      </c>
      <c r="BI2099">
        <v>-81.443528848658005</v>
      </c>
      <c r="BJ2099">
        <v>30.620627051655099</v>
      </c>
      <c r="BK2099" t="s">
        <v>20321</v>
      </c>
      <c r="BL2099" t="s">
        <v>20322</v>
      </c>
      <c r="BM2099" t="s">
        <v>20323</v>
      </c>
      <c r="BN2099" t="s">
        <v>19537</v>
      </c>
      <c r="BO2099">
        <v>31606</v>
      </c>
      <c r="BP2099" t="s">
        <v>404</v>
      </c>
      <c r="BQ2099">
        <v>100</v>
      </c>
      <c r="BR2099" t="s">
        <v>514</v>
      </c>
      <c r="BS2099">
        <v>1001</v>
      </c>
      <c r="BT2099" t="s">
        <v>515</v>
      </c>
      <c r="BW2099">
        <v>15115</v>
      </c>
      <c r="BX2099" t="s">
        <v>407</v>
      </c>
      <c r="BZ2099">
        <v>4</v>
      </c>
      <c r="CA2099">
        <v>1989</v>
      </c>
      <c r="CB2099">
        <v>1</v>
      </c>
      <c r="CC2099">
        <v>1</v>
      </c>
      <c r="CD2099">
        <v>2017</v>
      </c>
      <c r="CE2099">
        <v>85000</v>
      </c>
      <c r="CF2099">
        <v>127977</v>
      </c>
      <c r="CG2099">
        <v>212977</v>
      </c>
      <c r="CH2099">
        <v>2017</v>
      </c>
      <c r="CI2099">
        <v>85000</v>
      </c>
      <c r="CJ2099">
        <v>127977</v>
      </c>
      <c r="CK2099">
        <v>212977</v>
      </c>
      <c r="CL2099">
        <v>2017</v>
      </c>
      <c r="CM2099">
        <v>4244.7700000000004</v>
      </c>
      <c r="CN2099" s="1">
        <v>40877</v>
      </c>
      <c r="CO2099">
        <v>200050</v>
      </c>
      <c r="CV2099">
        <v>0</v>
      </c>
      <c r="CZ2099" s="1">
        <v>40877</v>
      </c>
      <c r="DA2099">
        <v>0</v>
      </c>
      <c r="DD2099" t="s">
        <v>11749</v>
      </c>
      <c r="DF2099">
        <v>18</v>
      </c>
      <c r="DG2099">
        <v>2</v>
      </c>
      <c r="DJ2099" t="s">
        <v>20319</v>
      </c>
      <c r="DL2099">
        <v>50202</v>
      </c>
      <c r="DM2099" t="s">
        <v>19477</v>
      </c>
      <c r="DO2099" t="s">
        <v>20324</v>
      </c>
      <c r="DP2099">
        <v>0</v>
      </c>
      <c r="DQ2099">
        <v>1</v>
      </c>
      <c r="DR2099" t="s">
        <v>1174</v>
      </c>
      <c r="EP2099" t="s">
        <v>421</v>
      </c>
      <c r="EQ2099" t="s">
        <v>422</v>
      </c>
      <c r="ER2099">
        <v>2</v>
      </c>
      <c r="ES2099">
        <v>0</v>
      </c>
      <c r="ET2099">
        <v>8901.7000000000007</v>
      </c>
      <c r="EU2099">
        <v>457.59</v>
      </c>
      <c r="EV2099">
        <v>9359.2900000000009</v>
      </c>
      <c r="EW2099" s="2">
        <v>43222</v>
      </c>
      <c r="EX2099" s="1">
        <v>42879</v>
      </c>
      <c r="EY2099">
        <v>2016</v>
      </c>
      <c r="EZ2099">
        <v>4450.8500000000004</v>
      </c>
      <c r="FA2099" t="s">
        <v>20325</v>
      </c>
      <c r="FB2099">
        <v>0.25</v>
      </c>
      <c r="FC2099" t="s">
        <v>424</v>
      </c>
      <c r="FD2099" t="s">
        <v>454</v>
      </c>
      <c r="FF2099">
        <v>12</v>
      </c>
      <c r="FG2099">
        <v>5857474</v>
      </c>
      <c r="FH2099" t="s">
        <v>900</v>
      </c>
      <c r="FJ2099" s="1">
        <v>42879</v>
      </c>
      <c r="FK2099">
        <v>2016</v>
      </c>
      <c r="FL2099">
        <v>4450.8500000000004</v>
      </c>
      <c r="FM2099" t="s">
        <v>20325</v>
      </c>
      <c r="FN2099">
        <v>0.25</v>
      </c>
      <c r="FO2099" t="s">
        <v>424</v>
      </c>
      <c r="FP2099" t="s">
        <v>454</v>
      </c>
      <c r="FR2099">
        <v>12</v>
      </c>
      <c r="FS2099">
        <v>6285767</v>
      </c>
      <c r="FT2099" t="s">
        <v>20326</v>
      </c>
    </row>
    <row r="2100" spans="1:260" x14ac:dyDescent="0.25">
      <c r="A2100">
        <v>16487107</v>
      </c>
      <c r="B2100">
        <v>2099</v>
      </c>
      <c r="C2100" t="s">
        <v>393</v>
      </c>
      <c r="D2100" t="s">
        <v>394</v>
      </c>
      <c r="F2100" t="str">
        <f>"00-00-31-155S-0017-0000"</f>
        <v>00-00-31-155S-0017-0000</v>
      </c>
      <c r="H2100" t="str">
        <f>"TAYLOR MONTIE E &amp; CHERIE L"</f>
        <v>TAYLOR MONTIE E &amp; CHERIE L</v>
      </c>
      <c r="I2100" t="str">
        <f>"1417 SADLER RD 157"</f>
        <v>1417 SADLER RD 157</v>
      </c>
      <c r="J2100" t="str">
        <f>"FERNANDINA BEACH FL 32034"</f>
        <v>FERNANDINA BEACH FL 32034</v>
      </c>
      <c r="K2100" t="str">
        <f>"990 OCEAN OVERLOOK DR"</f>
        <v>990 OCEAN OVERLOOK DR</v>
      </c>
      <c r="L2100" t="str">
        <f t="shared" si="779"/>
        <v>FERNANDINA BEACH FL 32034</v>
      </c>
      <c r="M2100" t="str">
        <f>"LOT 17 IN OR 785/386 OCEAN SOUND PB 5/295"</f>
        <v>LOT 17 IN OR 785/386 OCEAN SOUND PB 5/295</v>
      </c>
      <c r="N2100" t="str">
        <f>""</f>
        <v/>
      </c>
      <c r="O2100" t="str">
        <f>"9110"</f>
        <v>9110</v>
      </c>
      <c r="P2100" t="str">
        <f t="shared" si="775"/>
        <v>2017</v>
      </c>
      <c r="Q2100" t="str">
        <f>""</f>
        <v/>
      </c>
      <c r="R2100" t="str">
        <f>"Y"</f>
        <v>Y</v>
      </c>
      <c r="S2100" t="str">
        <f>""</f>
        <v/>
      </c>
      <c r="T2100" t="str">
        <f>"2987.33"</f>
        <v>2987.33</v>
      </c>
      <c r="U2100" t="str">
        <f>"191610.00"</f>
        <v>191610.00</v>
      </c>
      <c r="V2100" t="str">
        <f>"191610.00"</f>
        <v>191610.00</v>
      </c>
      <c r="W2100" t="str">
        <f t="shared" si="776"/>
        <v>2017</v>
      </c>
      <c r="X2100" t="str">
        <f>""</f>
        <v/>
      </c>
      <c r="Y2100" t="str">
        <f>"3108.95"</f>
        <v>3108.95</v>
      </c>
      <c r="Z2100" t="str">
        <f>"25000.00"</f>
        <v>25000.00</v>
      </c>
      <c r="AA2100" t="str">
        <f>"166610.00"</f>
        <v>166610.00</v>
      </c>
      <c r="AB2100" t="str">
        <f t="shared" si="791"/>
        <v>Residential</v>
      </c>
      <c r="AC2100" t="str">
        <f t="shared" si="781"/>
        <v>0</v>
      </c>
      <c r="AD2100" t="str">
        <f>"4"</f>
        <v>4</v>
      </c>
      <c r="AE2100" t="str">
        <f>"WOOD (INCLUDE STEEL STUDS)"</f>
        <v>WOOD (INCLUDE STEEL STUDS)</v>
      </c>
      <c r="AF2100" t="str">
        <f>"001"</f>
        <v>001</v>
      </c>
      <c r="AG2100" t="str">
        <f t="shared" ref="AG2100:AG2119" si="792">"FL"</f>
        <v>FL</v>
      </c>
      <c r="AH2100" t="str">
        <f>"-"</f>
        <v>-</v>
      </c>
      <c r="AI2100" t="str">
        <f>"105000.00"</f>
        <v>105000.00</v>
      </c>
      <c r="AJ2100" t="str">
        <f>"C55-000-585-7056-5"</f>
        <v>C55-000-585-7056-5</v>
      </c>
      <c r="AK2100" t="str">
        <f>"46189"</f>
        <v>46189</v>
      </c>
      <c r="AL2100">
        <v>8</v>
      </c>
      <c r="AM2100">
        <v>2402</v>
      </c>
      <c r="AN2100">
        <v>3262.8</v>
      </c>
      <c r="AQ2100" t="s">
        <v>20327</v>
      </c>
      <c r="AR2100" t="s">
        <v>20327</v>
      </c>
      <c r="AS2100" t="s">
        <v>20327</v>
      </c>
      <c r="AU2100" t="s">
        <v>396</v>
      </c>
      <c r="AV2100">
        <v>2017</v>
      </c>
      <c r="AW2100" t="str">
        <f>"00-00-31-155S-0017-0000 "</f>
        <v xml:space="preserve">00-00-31-155S-0017-0000 </v>
      </c>
      <c r="AX2100">
        <v>990</v>
      </c>
      <c r="AZ2100" t="s">
        <v>20328</v>
      </c>
      <c r="BA2100" t="s">
        <v>669</v>
      </c>
      <c r="BD2100" t="s">
        <v>11749</v>
      </c>
      <c r="BE2100" t="s">
        <v>393</v>
      </c>
      <c r="BF2100">
        <v>32034</v>
      </c>
      <c r="BG2100" t="s">
        <v>20329</v>
      </c>
      <c r="BH2100" t="s">
        <v>11751</v>
      </c>
      <c r="BI2100">
        <v>-81.433560328645598</v>
      </c>
      <c r="BJ2100">
        <v>30.656914623982001</v>
      </c>
      <c r="BK2100" t="s">
        <v>20330</v>
      </c>
      <c r="BL2100" t="s">
        <v>20331</v>
      </c>
      <c r="BM2100" t="s">
        <v>20332</v>
      </c>
      <c r="BN2100" t="s">
        <v>3983</v>
      </c>
      <c r="BO2100">
        <v>32034</v>
      </c>
      <c r="BP2100" t="s">
        <v>404</v>
      </c>
      <c r="BQ2100">
        <v>100</v>
      </c>
      <c r="BR2100" t="s">
        <v>514</v>
      </c>
      <c r="BS2100">
        <v>1001</v>
      </c>
      <c r="BT2100" t="s">
        <v>515</v>
      </c>
      <c r="BW2100">
        <v>9894</v>
      </c>
      <c r="BX2100" t="s">
        <v>407</v>
      </c>
      <c r="BY2100" t="s">
        <v>19842</v>
      </c>
      <c r="BZ2100">
        <v>4</v>
      </c>
      <c r="CA2100">
        <v>1995</v>
      </c>
      <c r="CB2100">
        <v>1</v>
      </c>
      <c r="CC2100">
        <v>1</v>
      </c>
      <c r="CD2100">
        <v>2017</v>
      </c>
      <c r="CG2100">
        <v>191610</v>
      </c>
      <c r="CH2100">
        <v>2017</v>
      </c>
      <c r="CI2100">
        <v>105000</v>
      </c>
      <c r="CJ2100">
        <v>167875</v>
      </c>
      <c r="CK2100">
        <v>272875</v>
      </c>
      <c r="CL2100">
        <v>2017</v>
      </c>
      <c r="CM2100">
        <v>2987.33</v>
      </c>
      <c r="CN2100" s="1">
        <v>35480</v>
      </c>
      <c r="CO2100">
        <v>145000</v>
      </c>
      <c r="CZ2100" s="1">
        <v>35480</v>
      </c>
      <c r="DD2100" t="s">
        <v>11749</v>
      </c>
      <c r="DF2100">
        <v>17</v>
      </c>
      <c r="DG2100">
        <v>18</v>
      </c>
      <c r="DJ2100" t="s">
        <v>20333</v>
      </c>
      <c r="DL2100">
        <v>50101</v>
      </c>
      <c r="DM2100" t="s">
        <v>20334</v>
      </c>
      <c r="DO2100" t="s">
        <v>20335</v>
      </c>
      <c r="DP2100">
        <v>0</v>
      </c>
      <c r="DQ2100">
        <v>0</v>
      </c>
      <c r="DR2100" t="s">
        <v>411</v>
      </c>
    </row>
    <row r="2101" spans="1:260" x14ac:dyDescent="0.25">
      <c r="A2101">
        <v>16487108</v>
      </c>
      <c r="B2101">
        <v>2100</v>
      </c>
      <c r="C2101" t="s">
        <v>393</v>
      </c>
      <c r="D2101" t="s">
        <v>394</v>
      </c>
      <c r="F2101" t="str">
        <f>"00-00-31-1580-0023-0010"</f>
        <v>00-00-31-1580-0023-0010</v>
      </c>
      <c r="H2101" t="str">
        <f>"PAULS DEBORAH A &amp; MARTIN A"</f>
        <v>PAULS DEBORAH A &amp; MARTIN A</v>
      </c>
      <c r="I2101" t="str">
        <f>"6690 NW 33RD AVENUE"</f>
        <v>6690 NW 33RD AVENUE</v>
      </c>
      <c r="J2101" t="str">
        <f>"FT LAUDERDALE FL 33309"</f>
        <v>FT LAUDERDALE FL 33309</v>
      </c>
      <c r="K2101" t="str">
        <f>"1132 WHITE ST"</f>
        <v>1132 WHITE ST</v>
      </c>
      <c r="L2101" t="str">
        <f t="shared" si="779"/>
        <v>FERNANDINA BEACH FL 32034</v>
      </c>
      <c r="M2101" t="str">
        <f>"BLK 23 LOT 1 IN OR 2133/1779 OLD TOWN S/D UNR"</f>
        <v>BLK 23 LOT 1 IN OR 2133/1779 OLD TOWN S/D UNR</v>
      </c>
      <c r="N2101" t="str">
        <f>""</f>
        <v/>
      </c>
      <c r="O2101" t="str">
        <f>"56916"</f>
        <v>56916</v>
      </c>
      <c r="P2101" t="str">
        <f t="shared" si="775"/>
        <v>2017</v>
      </c>
      <c r="Q2101" t="str">
        <f>""</f>
        <v/>
      </c>
      <c r="R2101" t="str">
        <f>"N"</f>
        <v>N</v>
      </c>
      <c r="S2101" t="str">
        <f>""</f>
        <v/>
      </c>
      <c r="T2101" t="str">
        <f>"1114.53"</f>
        <v>1114.53</v>
      </c>
      <c r="U2101" t="str">
        <f>"55920.00"</f>
        <v>55920.00</v>
      </c>
      <c r="V2101" t="str">
        <f>"55920.00"</f>
        <v>55920.00</v>
      </c>
      <c r="W2101" t="str">
        <f t="shared" si="776"/>
        <v>2017</v>
      </c>
      <c r="X2101" t="str">
        <f>""</f>
        <v/>
      </c>
      <c r="Y2101" t="str">
        <f>"1179.97"</f>
        <v>1179.97</v>
      </c>
      <c r="Z2101" t="str">
        <f>""</f>
        <v/>
      </c>
      <c r="AA2101" t="str">
        <f>"55920.00"</f>
        <v>55920.00</v>
      </c>
      <c r="AB2101" t="str">
        <f t="shared" si="791"/>
        <v>Residential</v>
      </c>
      <c r="AC2101" t="str">
        <f t="shared" si="781"/>
        <v>0</v>
      </c>
      <c r="AD2101" t="str">
        <f>""</f>
        <v/>
      </c>
      <c r="AE2101" t="str">
        <f>""</f>
        <v/>
      </c>
      <c r="AF2101" t="str">
        <f>"000"</f>
        <v>000</v>
      </c>
      <c r="AG2101" t="str">
        <f t="shared" si="792"/>
        <v>FL</v>
      </c>
      <c r="AH2101" t="str">
        <f>"8626.00"</f>
        <v>8626.00</v>
      </c>
      <c r="AI2101" t="str">
        <f>"55920.00"</f>
        <v>55920.00</v>
      </c>
      <c r="AJ2101" t="str">
        <f>"C55-001-099-3077-6"</f>
        <v>C55-001-099-3077-6</v>
      </c>
      <c r="AK2101" t="str">
        <f>"46465"</f>
        <v>46465</v>
      </c>
      <c r="AL2101">
        <v>8</v>
      </c>
      <c r="AM2101">
        <v>2404</v>
      </c>
      <c r="AN2101">
        <v>1237.3699999999999</v>
      </c>
      <c r="AQ2101" t="s">
        <v>20336</v>
      </c>
      <c r="AR2101" t="s">
        <v>20336</v>
      </c>
      <c r="AS2101" t="s">
        <v>20336</v>
      </c>
      <c r="AU2101" t="s">
        <v>396</v>
      </c>
      <c r="AV2101">
        <v>2017</v>
      </c>
      <c r="AW2101" t="str">
        <f>"00-00-31-1580-0023-0010 "</f>
        <v xml:space="preserve">00-00-31-1580-0023-0010 </v>
      </c>
      <c r="AX2101">
        <v>1132</v>
      </c>
      <c r="AZ2101" t="s">
        <v>8545</v>
      </c>
      <c r="BA2101" t="s">
        <v>1942</v>
      </c>
      <c r="BD2101" t="s">
        <v>11749</v>
      </c>
      <c r="BE2101" t="s">
        <v>393</v>
      </c>
      <c r="BF2101">
        <v>32034</v>
      </c>
      <c r="BG2101" t="s">
        <v>20337</v>
      </c>
      <c r="BH2101" t="s">
        <v>11751</v>
      </c>
      <c r="BK2101" t="s">
        <v>20338</v>
      </c>
      <c r="BM2101" t="s">
        <v>20339</v>
      </c>
      <c r="BN2101" t="s">
        <v>20340</v>
      </c>
      <c r="BO2101">
        <v>33309</v>
      </c>
      <c r="BQ2101">
        <v>0</v>
      </c>
      <c r="BR2101" t="s">
        <v>491</v>
      </c>
      <c r="BS2101">
        <v>8001</v>
      </c>
      <c r="BT2101" t="s">
        <v>492</v>
      </c>
      <c r="BW2101">
        <v>8626</v>
      </c>
      <c r="BX2101" t="s">
        <v>407</v>
      </c>
      <c r="CD2101">
        <v>2017</v>
      </c>
      <c r="CE2101">
        <v>55920</v>
      </c>
      <c r="CG2101">
        <v>55920</v>
      </c>
      <c r="CH2101">
        <v>2017</v>
      </c>
      <c r="CI2101">
        <v>55920</v>
      </c>
      <c r="CK2101">
        <v>55920</v>
      </c>
      <c r="CL2101">
        <v>2017</v>
      </c>
      <c r="CM2101">
        <v>1114.53</v>
      </c>
      <c r="DD2101" t="s">
        <v>11749</v>
      </c>
      <c r="DM2101" t="s">
        <v>20341</v>
      </c>
      <c r="DO2101" t="s">
        <v>20342</v>
      </c>
    </row>
    <row r="2102" spans="1:260" x14ac:dyDescent="0.25">
      <c r="A2102">
        <v>16487109</v>
      </c>
      <c r="B2102">
        <v>2101</v>
      </c>
      <c r="C2102" t="s">
        <v>393</v>
      </c>
      <c r="D2102" t="s">
        <v>394</v>
      </c>
      <c r="F2102" t="str">
        <f>"00-00-31-1600-0002-0020"</f>
        <v>00-00-31-1600-0002-0020</v>
      </c>
      <c r="H2102" t="str">
        <f>"PARKIN PETER GORDON TRUSTEE OF PETER G PARKIN REV TRUSTE"</f>
        <v>PARKIN PETER GORDON TRUSTEE OF PETER G PARKIN REV TRUSTE</v>
      </c>
      <c r="I2102" t="str">
        <f>"1521 ALACHUA ST"</f>
        <v>1521 ALACHUA ST</v>
      </c>
      <c r="J2102" t="str">
        <f t="shared" ref="J2102:J2108" si="793">"FERNANDINA BEACH FL 32034"</f>
        <v>FERNANDINA BEACH FL 32034</v>
      </c>
      <c r="K2102" t="str">
        <f>"1521 ALACHUA ST"</f>
        <v>1521 ALACHUA ST</v>
      </c>
      <c r="L2102" t="str">
        <f t="shared" si="779"/>
        <v>FERNANDINA BEACH FL 32034</v>
      </c>
      <c r="M2102" t="str">
        <f>"OUT LOT E1/2 OF S1/2 OF 2 IN OR 2115/1396 OUT LOTS"</f>
        <v>OUT LOT E1/2 OF S1/2 OF 2 IN OR 2115/1396 OUT LOTS</v>
      </c>
      <c r="N2102" t="str">
        <f>""</f>
        <v/>
      </c>
      <c r="O2102" t="str">
        <f>"9371"</f>
        <v>9371</v>
      </c>
      <c r="P2102" t="str">
        <f t="shared" si="775"/>
        <v>2017</v>
      </c>
      <c r="Q2102" t="str">
        <f>""</f>
        <v/>
      </c>
      <c r="R2102" t="str">
        <f>"Y"</f>
        <v>Y</v>
      </c>
      <c r="S2102" t="str">
        <f>""</f>
        <v/>
      </c>
      <c r="T2102" t="str">
        <f>"3322.81"</f>
        <v>3322.81</v>
      </c>
      <c r="U2102" t="str">
        <f>"208441.00"</f>
        <v>208441.00</v>
      </c>
      <c r="V2102" t="str">
        <f>"208441.00"</f>
        <v>208441.00</v>
      </c>
      <c r="W2102" t="str">
        <f t="shared" si="776"/>
        <v>2017</v>
      </c>
      <c r="X2102" t="str">
        <f>"4.00"</f>
        <v>4.00</v>
      </c>
      <c r="Y2102" t="str">
        <f>"895.86"</f>
        <v>895.86</v>
      </c>
      <c r="Z2102" t="str">
        <f>"25000.00"</f>
        <v>25000.00</v>
      </c>
      <c r="AA2102" t="str">
        <f>"183441.00"</f>
        <v>183441.00</v>
      </c>
      <c r="AB2102" t="str">
        <f t="shared" si="791"/>
        <v>Residential</v>
      </c>
      <c r="AC2102" t="str">
        <f t="shared" si="781"/>
        <v>0</v>
      </c>
      <c r="AD2102" t="str">
        <f>"4"</f>
        <v>4</v>
      </c>
      <c r="AE2102" t="str">
        <f>"WOOD (INCLUDE STEEL STUDS)"</f>
        <v>WOOD (INCLUDE STEEL STUDS)</v>
      </c>
      <c r="AF2102" t="str">
        <f>"001"</f>
        <v>001</v>
      </c>
      <c r="AG2102" t="str">
        <f t="shared" si="792"/>
        <v>FL</v>
      </c>
      <c r="AH2102" t="str">
        <f>"22576.00"</f>
        <v>22576.00</v>
      </c>
      <c r="AI2102" t="str">
        <f>"93500.00"</f>
        <v>93500.00</v>
      </c>
      <c r="AJ2102" t="str">
        <f>"C55-000-585-7285-0"</f>
        <v>C55-000-585-7285-0</v>
      </c>
      <c r="AK2102" t="str">
        <f>"46493"</f>
        <v>46493</v>
      </c>
      <c r="AL2102">
        <v>8</v>
      </c>
      <c r="AM2102">
        <v>2405</v>
      </c>
      <c r="AN2102">
        <v>939.05</v>
      </c>
      <c r="AQ2102" t="s">
        <v>20343</v>
      </c>
      <c r="AR2102" t="s">
        <v>20343</v>
      </c>
      <c r="AS2102" t="s">
        <v>20343</v>
      </c>
      <c r="AU2102" t="s">
        <v>396</v>
      </c>
      <c r="AV2102">
        <v>2017</v>
      </c>
      <c r="AW2102" t="str">
        <f>"00-00-31-1600-0002-0020 "</f>
        <v xml:space="preserve">00-00-31-1600-0002-0020 </v>
      </c>
      <c r="AX2102">
        <v>1521</v>
      </c>
      <c r="AZ2102" t="s">
        <v>19857</v>
      </c>
      <c r="BA2102" t="s">
        <v>1942</v>
      </c>
      <c r="BD2102" t="s">
        <v>11749</v>
      </c>
      <c r="BE2102" t="s">
        <v>393</v>
      </c>
      <c r="BF2102">
        <v>32034</v>
      </c>
      <c r="BG2102" t="s">
        <v>20344</v>
      </c>
      <c r="BH2102" t="s">
        <v>11751</v>
      </c>
      <c r="BI2102">
        <v>-81.448717157955599</v>
      </c>
      <c r="BJ2102">
        <v>30.670853671953399</v>
      </c>
      <c r="BK2102" t="s">
        <v>20345</v>
      </c>
      <c r="BL2102" t="s">
        <v>20346</v>
      </c>
      <c r="BM2102" t="s">
        <v>20344</v>
      </c>
      <c r="BN2102" t="s">
        <v>3983</v>
      </c>
      <c r="BO2102">
        <v>32034</v>
      </c>
      <c r="BP2102" t="s">
        <v>416</v>
      </c>
      <c r="BQ2102">
        <v>100</v>
      </c>
      <c r="BR2102" t="s">
        <v>514</v>
      </c>
      <c r="BS2102">
        <v>1001</v>
      </c>
      <c r="BT2102" t="s">
        <v>515</v>
      </c>
      <c r="BW2102">
        <v>27723</v>
      </c>
      <c r="BX2102" t="s">
        <v>407</v>
      </c>
      <c r="BY2102" t="s">
        <v>20347</v>
      </c>
      <c r="BZ2102">
        <v>4</v>
      </c>
      <c r="CA2102">
        <v>1979</v>
      </c>
      <c r="CB2102">
        <v>1</v>
      </c>
      <c r="CC2102">
        <v>1</v>
      </c>
      <c r="CD2102">
        <v>2017</v>
      </c>
      <c r="CG2102">
        <v>208441</v>
      </c>
      <c r="CH2102">
        <v>2017</v>
      </c>
      <c r="CI2102">
        <v>93500</v>
      </c>
      <c r="CJ2102">
        <v>161226</v>
      </c>
      <c r="CK2102">
        <v>254726</v>
      </c>
      <c r="CL2102">
        <v>2017</v>
      </c>
      <c r="CM2102">
        <v>3322.81</v>
      </c>
      <c r="CN2102" s="1">
        <v>40960</v>
      </c>
      <c r="CO2102">
        <v>190000</v>
      </c>
      <c r="CV2102">
        <v>190000</v>
      </c>
      <c r="CX2102" t="s">
        <v>707</v>
      </c>
      <c r="CZ2102" s="1">
        <v>40960</v>
      </c>
      <c r="DA2102">
        <v>0</v>
      </c>
      <c r="DD2102" t="s">
        <v>11749</v>
      </c>
      <c r="DG2102">
        <v>18</v>
      </c>
      <c r="DL2102">
        <v>50102</v>
      </c>
      <c r="DM2102" t="s">
        <v>19854</v>
      </c>
      <c r="DO2102" t="s">
        <v>20348</v>
      </c>
      <c r="DP2102">
        <v>0</v>
      </c>
      <c r="DQ2102">
        <v>0</v>
      </c>
      <c r="DR2102" t="s">
        <v>411</v>
      </c>
      <c r="EP2102" t="s">
        <v>421</v>
      </c>
      <c r="EQ2102" t="s">
        <v>422</v>
      </c>
      <c r="ER2102">
        <v>0</v>
      </c>
      <c r="ES2102">
        <v>1</v>
      </c>
      <c r="ET2102">
        <v>0</v>
      </c>
      <c r="EU2102">
        <v>0</v>
      </c>
      <c r="EV2102">
        <v>0</v>
      </c>
      <c r="EW2102" s="2">
        <v>43222</v>
      </c>
      <c r="EX2102" s="1">
        <v>41423</v>
      </c>
      <c r="EY2102">
        <v>2012</v>
      </c>
      <c r="EZ2102">
        <v>3407.67</v>
      </c>
      <c r="FA2102" t="s">
        <v>20349</v>
      </c>
      <c r="FB2102">
        <v>0.25</v>
      </c>
      <c r="FC2102" t="s">
        <v>424</v>
      </c>
      <c r="FD2102" t="s">
        <v>425</v>
      </c>
      <c r="FE2102" s="1">
        <v>41521</v>
      </c>
      <c r="FF2102">
        <v>4</v>
      </c>
      <c r="FG2102">
        <v>15970</v>
      </c>
      <c r="FH2102" t="s">
        <v>1435</v>
      </c>
    </row>
    <row r="2103" spans="1:260" x14ac:dyDescent="0.25">
      <c r="A2103">
        <v>16487110</v>
      </c>
      <c r="B2103">
        <v>2102</v>
      </c>
      <c r="C2103" t="s">
        <v>393</v>
      </c>
      <c r="D2103" t="s">
        <v>394</v>
      </c>
      <c r="F2103" t="str">
        <f>"00-00-31-1600-0004-0040"</f>
        <v>00-00-31-1600-0004-0040</v>
      </c>
      <c r="H2103" t="str">
        <f>"BROWN PAMELA L &amp; BROWN MICHAEL D"</f>
        <v>BROWN PAMELA L &amp; BROWN MICHAEL D</v>
      </c>
      <c r="I2103" t="str">
        <f>"1503 BROOME STREET"</f>
        <v>1503 BROOME STREET</v>
      </c>
      <c r="J2103" t="str">
        <f t="shared" si="793"/>
        <v>FERNANDINA BEACH FL 32034</v>
      </c>
      <c r="K2103" t="str">
        <f>"1503 BROOME ST"</f>
        <v>1503 BROOME ST</v>
      </c>
      <c r="L2103" t="str">
        <f t="shared" si="779"/>
        <v>FERNANDINA BEACH FL 32034</v>
      </c>
      <c r="M2103" t="str">
        <f>"1/2 HX INT (S&amp;B) W72 FT OF E215 FT OF N136.5 FT OF S1/2 OF OUTLOT 4 IN OR 1616/1598 CASE 09-CP-68 OUTLOTS SUB U/R"</f>
        <v>1/2 HX INT (S&amp;B) W72 FT OF E215 FT OF N136.5 FT OF S1/2 OF OUTLOT 4 IN OR 1616/1598 CASE 09-CP-68 OUTLOTS SUB U/R</v>
      </c>
      <c r="N2103" t="str">
        <f>""</f>
        <v/>
      </c>
      <c r="O2103" t="str">
        <f>"9387"</f>
        <v>9387</v>
      </c>
      <c r="P2103" t="str">
        <f t="shared" si="775"/>
        <v>2017</v>
      </c>
      <c r="Q2103" t="str">
        <f>""</f>
        <v/>
      </c>
      <c r="R2103" t="str">
        <f>"Y"</f>
        <v>Y</v>
      </c>
      <c r="S2103" t="str">
        <f>""</f>
        <v/>
      </c>
      <c r="T2103" t="str">
        <f>"1847.19"</f>
        <v>1847.19</v>
      </c>
      <c r="U2103" t="str">
        <f>"116959.00"</f>
        <v>116959.00</v>
      </c>
      <c r="V2103" t="str">
        <f>"116959.00"</f>
        <v>116959.00</v>
      </c>
      <c r="W2103" t="str">
        <f t="shared" si="776"/>
        <v>2017</v>
      </c>
      <c r="X2103" t="str">
        <f>""</f>
        <v/>
      </c>
      <c r="Y2103" t="str">
        <f>"1934.61"</f>
        <v>1934.61</v>
      </c>
      <c r="Z2103" t="str">
        <f>"25000.00"</f>
        <v>25000.00</v>
      </c>
      <c r="AA2103" t="str">
        <f>"94141.00"</f>
        <v>94141.00</v>
      </c>
      <c r="AB2103" t="str">
        <f t="shared" si="791"/>
        <v>Residential</v>
      </c>
      <c r="AC2103" t="str">
        <f t="shared" si="781"/>
        <v>0</v>
      </c>
      <c r="AD2103" t="str">
        <f>"3"</f>
        <v>3</v>
      </c>
      <c r="AE2103" t="str">
        <f>"MASONRY"</f>
        <v>MASONRY</v>
      </c>
      <c r="AF2103" t="str">
        <f>"001"</f>
        <v>001</v>
      </c>
      <c r="AG2103" t="str">
        <f t="shared" si="792"/>
        <v>FL</v>
      </c>
      <c r="AH2103" t="str">
        <f>"9864.00"</f>
        <v>9864.00</v>
      </c>
      <c r="AI2103" t="str">
        <f>"59500.00"</f>
        <v>59500.00</v>
      </c>
      <c r="AJ2103" t="str">
        <f>"C55-000-585-7301-5"</f>
        <v>C55-000-585-7301-5</v>
      </c>
      <c r="AK2103" t="str">
        <f>"46509"</f>
        <v>46509</v>
      </c>
      <c r="AL2103">
        <v>8</v>
      </c>
      <c r="AM2103">
        <v>2406</v>
      </c>
      <c r="AN2103">
        <v>2029.74</v>
      </c>
      <c r="AQ2103" t="s">
        <v>20350</v>
      </c>
      <c r="AR2103" t="s">
        <v>20350</v>
      </c>
      <c r="AS2103" t="s">
        <v>20350</v>
      </c>
      <c r="AU2103" t="s">
        <v>396</v>
      </c>
      <c r="AV2103">
        <v>2017</v>
      </c>
      <c r="AW2103" t="str">
        <f>"00-00-31-1600-0004-0040 "</f>
        <v xml:space="preserve">00-00-31-1600-0004-0040 </v>
      </c>
      <c r="AX2103">
        <v>1503</v>
      </c>
      <c r="AZ2103" t="s">
        <v>20351</v>
      </c>
      <c r="BA2103" t="s">
        <v>1942</v>
      </c>
      <c r="BD2103" t="s">
        <v>11749</v>
      </c>
      <c r="BE2103" t="s">
        <v>393</v>
      </c>
      <c r="BF2103">
        <v>32034</v>
      </c>
      <c r="BG2103" t="s">
        <v>20352</v>
      </c>
      <c r="BH2103" t="s">
        <v>11751</v>
      </c>
      <c r="BI2103">
        <v>-81.448742427978402</v>
      </c>
      <c r="BJ2103">
        <v>30.672742561974999</v>
      </c>
      <c r="BK2103" t="s">
        <v>20353</v>
      </c>
      <c r="BL2103" t="s">
        <v>20354</v>
      </c>
      <c r="BM2103" t="s">
        <v>20352</v>
      </c>
      <c r="BN2103" t="s">
        <v>3983</v>
      </c>
      <c r="BO2103">
        <v>32034</v>
      </c>
      <c r="BP2103" t="s">
        <v>416</v>
      </c>
      <c r="BQ2103">
        <v>100</v>
      </c>
      <c r="BR2103" t="s">
        <v>514</v>
      </c>
      <c r="BS2103">
        <v>1001</v>
      </c>
      <c r="BT2103" t="s">
        <v>515</v>
      </c>
      <c r="BW2103">
        <v>9829</v>
      </c>
      <c r="BX2103" t="s">
        <v>407</v>
      </c>
      <c r="BY2103" t="s">
        <v>19842</v>
      </c>
      <c r="BZ2103">
        <v>3</v>
      </c>
      <c r="CA2103">
        <v>1955</v>
      </c>
      <c r="CB2103">
        <v>1</v>
      </c>
      <c r="CC2103">
        <v>1</v>
      </c>
      <c r="CD2103">
        <v>2017</v>
      </c>
      <c r="CG2103">
        <v>119141</v>
      </c>
      <c r="CH2103">
        <v>2017</v>
      </c>
      <c r="CI2103">
        <v>59500</v>
      </c>
      <c r="CJ2103">
        <v>80987</v>
      </c>
      <c r="CK2103">
        <v>140487</v>
      </c>
      <c r="CL2103">
        <v>2017</v>
      </c>
      <c r="CM2103">
        <v>1847.19</v>
      </c>
      <c r="DD2103" t="s">
        <v>11749</v>
      </c>
      <c r="DF2103">
        <v>4</v>
      </c>
      <c r="DG2103">
        <v>18</v>
      </c>
      <c r="DL2103">
        <v>50102</v>
      </c>
      <c r="DM2103" t="s">
        <v>19854</v>
      </c>
      <c r="DO2103" t="s">
        <v>20355</v>
      </c>
      <c r="DP2103">
        <v>0</v>
      </c>
      <c r="DQ2103">
        <v>0</v>
      </c>
      <c r="DR2103" t="s">
        <v>411</v>
      </c>
      <c r="DS2103" t="b">
        <v>1</v>
      </c>
      <c r="DT2103" t="s">
        <v>470</v>
      </c>
      <c r="DU2103" t="s">
        <v>471</v>
      </c>
      <c r="DV2103" t="s">
        <v>472</v>
      </c>
      <c r="DX2103">
        <v>-9999</v>
      </c>
      <c r="DZ2103" t="s">
        <v>447</v>
      </c>
      <c r="EA2103" t="s">
        <v>448</v>
      </c>
      <c r="EB2103" t="s">
        <v>14787</v>
      </c>
      <c r="EC2103">
        <v>20101217</v>
      </c>
      <c r="ED2103" t="s">
        <v>474</v>
      </c>
      <c r="EF2103">
        <v>907.8</v>
      </c>
      <c r="EG2103">
        <v>746.7</v>
      </c>
      <c r="EI2103">
        <v>20160407</v>
      </c>
      <c r="EJ2103">
        <v>0</v>
      </c>
      <c r="EK2103">
        <v>0</v>
      </c>
    </row>
    <row r="2104" spans="1:260" x14ac:dyDescent="0.25">
      <c r="A2104">
        <v>16487111</v>
      </c>
      <c r="B2104">
        <v>2103</v>
      </c>
      <c r="C2104" t="s">
        <v>393</v>
      </c>
      <c r="D2104" t="s">
        <v>394</v>
      </c>
      <c r="F2104" t="str">
        <f>"00-00-31-1600-0228-0020"</f>
        <v>00-00-31-1600-0228-0020</v>
      </c>
      <c r="H2104" t="str">
        <f>"DOBROSKY TERRANCE A"</f>
        <v>DOBROSKY TERRANCE A</v>
      </c>
      <c r="I2104" t="str">
        <f>"506 STARBOARD LNDG"</f>
        <v>506 STARBOARD LNDG</v>
      </c>
      <c r="J2104" t="str">
        <f t="shared" si="793"/>
        <v>FERNANDINA BEACH FL 32034</v>
      </c>
      <c r="K2104" t="str">
        <f>"1804 BEECH ST"</f>
        <v>1804 BEECH ST</v>
      </c>
      <c r="L2104" t="str">
        <f t="shared" si="779"/>
        <v>FERNANDINA BEACH FL 32034</v>
      </c>
      <c r="M2104" t="str">
        <f>"E 136.5 FT OF W 166.5 FT OF S 79 FT OF OUT LOT 228 IN OR 668 PG 1212 OUT LOTS"</f>
        <v>E 136.5 FT OF W 166.5 FT OF S 79 FT OF OUT LOT 228 IN OR 668 PG 1212 OUT LOTS</v>
      </c>
      <c r="N2104" t="str">
        <f>""</f>
        <v/>
      </c>
      <c r="O2104" t="str">
        <f>"9475"</f>
        <v>9475</v>
      </c>
      <c r="P2104" t="str">
        <f t="shared" si="775"/>
        <v>2017</v>
      </c>
      <c r="Q2104" t="str">
        <f>""</f>
        <v/>
      </c>
      <c r="R2104" t="str">
        <f t="shared" ref="R2104:R2121" si="794">"N"</f>
        <v>N</v>
      </c>
      <c r="S2104" t="str">
        <f>""</f>
        <v/>
      </c>
      <c r="T2104" t="str">
        <f>"2554.70"</f>
        <v>2554.70</v>
      </c>
      <c r="U2104" t="str">
        <f>"111187.00"</f>
        <v>111187.00</v>
      </c>
      <c r="V2104" t="str">
        <f>"111187.00"</f>
        <v>111187.00</v>
      </c>
      <c r="W2104" t="str">
        <f t="shared" si="776"/>
        <v>2017</v>
      </c>
      <c r="X2104" t="str">
        <f>"5.40"</f>
        <v>5.40</v>
      </c>
      <c r="Y2104" t="str">
        <f>"2663.34"</f>
        <v>2663.34</v>
      </c>
      <c r="Z2104" t="str">
        <f>""</f>
        <v/>
      </c>
      <c r="AA2104" t="str">
        <f>"162514.00"</f>
        <v>162514.00</v>
      </c>
      <c r="AB2104" t="str">
        <f t="shared" si="791"/>
        <v>Residential</v>
      </c>
      <c r="AC2104" t="str">
        <f t="shared" si="781"/>
        <v>0</v>
      </c>
      <c r="AD2104" t="str">
        <f>"4"</f>
        <v>4</v>
      </c>
      <c r="AE2104" t="str">
        <f>"WOOD (INCLUDE STEEL STUDS)"</f>
        <v>WOOD (INCLUDE STEEL STUDS)</v>
      </c>
      <c r="AF2104" t="str">
        <f>"001"</f>
        <v>001</v>
      </c>
      <c r="AG2104" t="str">
        <f t="shared" si="792"/>
        <v>FL</v>
      </c>
      <c r="AH2104" t="str">
        <f>"10823.00"</f>
        <v>10823.00</v>
      </c>
      <c r="AI2104" t="str">
        <f>"78210.00"</f>
        <v>78210.00</v>
      </c>
      <c r="AJ2104" t="str">
        <f>"C55-000-585-7379-1"</f>
        <v>C55-000-585-7379-1</v>
      </c>
      <c r="AK2104" t="str">
        <f>"46585"</f>
        <v>46585</v>
      </c>
      <c r="AL2104">
        <v>8</v>
      </c>
      <c r="AM2104">
        <v>2407</v>
      </c>
      <c r="AN2104">
        <v>2794.91</v>
      </c>
      <c r="AQ2104" t="s">
        <v>20356</v>
      </c>
      <c r="AR2104" t="s">
        <v>20356</v>
      </c>
      <c r="AS2104" t="s">
        <v>20356</v>
      </c>
      <c r="AU2104" t="s">
        <v>396</v>
      </c>
      <c r="AV2104">
        <v>2017</v>
      </c>
      <c r="AW2104" t="str">
        <f>"00-00-31-1600-0228-0020 "</f>
        <v xml:space="preserve">00-00-31-1600-0228-0020 </v>
      </c>
      <c r="AX2104">
        <v>1804</v>
      </c>
      <c r="AZ2104" t="s">
        <v>19911</v>
      </c>
      <c r="BA2104" t="s">
        <v>1942</v>
      </c>
      <c r="BD2104" t="s">
        <v>11749</v>
      </c>
      <c r="BE2104" t="s">
        <v>393</v>
      </c>
      <c r="BF2104">
        <v>32034</v>
      </c>
      <c r="BG2104" t="s">
        <v>20357</v>
      </c>
      <c r="BH2104" t="s">
        <v>11751</v>
      </c>
      <c r="BI2104">
        <v>-81.446639021836006</v>
      </c>
      <c r="BJ2104">
        <v>30.666575269110702</v>
      </c>
      <c r="BK2104" t="s">
        <v>20358</v>
      </c>
      <c r="BL2104" t="s">
        <v>20359</v>
      </c>
      <c r="BM2104" t="s">
        <v>20360</v>
      </c>
      <c r="BN2104" t="s">
        <v>3983</v>
      </c>
      <c r="BO2104">
        <v>32034</v>
      </c>
      <c r="BP2104" t="s">
        <v>404</v>
      </c>
      <c r="BQ2104">
        <v>100</v>
      </c>
      <c r="BR2104" t="s">
        <v>514</v>
      </c>
      <c r="BS2104">
        <v>1001</v>
      </c>
      <c r="BT2104" t="s">
        <v>515</v>
      </c>
      <c r="BU2104">
        <v>790</v>
      </c>
      <c r="BV2104">
        <v>1370</v>
      </c>
      <c r="BW2104">
        <v>10819</v>
      </c>
      <c r="BX2104" t="s">
        <v>407</v>
      </c>
      <c r="BY2104" t="s">
        <v>19842</v>
      </c>
      <c r="BZ2104">
        <v>4</v>
      </c>
      <c r="CA2104">
        <v>1948</v>
      </c>
      <c r="CB2104">
        <v>1</v>
      </c>
      <c r="CC2104">
        <v>1</v>
      </c>
      <c r="CD2104">
        <v>2017</v>
      </c>
      <c r="CE2104">
        <v>78210</v>
      </c>
      <c r="CF2104">
        <v>84304</v>
      </c>
      <c r="CG2104">
        <v>162514</v>
      </c>
      <c r="CH2104">
        <v>2017</v>
      </c>
      <c r="CI2104">
        <v>78210</v>
      </c>
      <c r="CJ2104">
        <v>84304</v>
      </c>
      <c r="CK2104">
        <v>162514</v>
      </c>
      <c r="CL2104">
        <v>2017</v>
      </c>
      <c r="CM2104">
        <v>2554.6999999999998</v>
      </c>
      <c r="CN2104" s="1">
        <v>33897</v>
      </c>
      <c r="CO2104">
        <v>68500</v>
      </c>
      <c r="CZ2104" s="1">
        <v>33897</v>
      </c>
      <c r="DD2104" t="s">
        <v>11749</v>
      </c>
      <c r="DF2104">
        <v>228</v>
      </c>
      <c r="DG2104">
        <v>18</v>
      </c>
      <c r="DL2104">
        <v>50101</v>
      </c>
      <c r="DM2104" t="s">
        <v>19854</v>
      </c>
      <c r="DO2104" t="s">
        <v>20361</v>
      </c>
      <c r="DP2104">
        <v>0</v>
      </c>
      <c r="DQ2104">
        <v>0</v>
      </c>
      <c r="DR2104" t="s">
        <v>411</v>
      </c>
      <c r="DS2104" t="b">
        <v>1</v>
      </c>
      <c r="DT2104" t="s">
        <v>470</v>
      </c>
      <c r="DU2104" t="s">
        <v>471</v>
      </c>
      <c r="DV2104" t="s">
        <v>472</v>
      </c>
      <c r="DX2104">
        <v>-9999</v>
      </c>
      <c r="DZ2104" t="s">
        <v>447</v>
      </c>
      <c r="EA2104" t="s">
        <v>448</v>
      </c>
      <c r="EB2104" t="s">
        <v>14787</v>
      </c>
      <c r="EC2104">
        <v>20101217</v>
      </c>
      <c r="ED2104" t="s">
        <v>474</v>
      </c>
      <c r="EF2104">
        <v>1473.1</v>
      </c>
      <c r="EG2104">
        <v>1342.7</v>
      </c>
      <c r="EI2104">
        <v>20160407</v>
      </c>
      <c r="EJ2104">
        <v>0</v>
      </c>
      <c r="EK2104">
        <v>0</v>
      </c>
      <c r="EP2104" t="s">
        <v>421</v>
      </c>
      <c r="EQ2104" t="s">
        <v>422</v>
      </c>
      <c r="ER2104">
        <v>0</v>
      </c>
      <c r="ES2104">
        <v>9</v>
      </c>
      <c r="ET2104">
        <v>0</v>
      </c>
      <c r="EU2104">
        <v>0</v>
      </c>
      <c r="EV2104">
        <v>0</v>
      </c>
      <c r="EW2104" s="2">
        <v>43222</v>
      </c>
      <c r="EX2104" s="1">
        <v>42879</v>
      </c>
      <c r="EY2104">
        <v>2016</v>
      </c>
      <c r="EZ2104">
        <v>2450.9</v>
      </c>
      <c r="FA2104" t="s">
        <v>20362</v>
      </c>
      <c r="FB2104">
        <v>0.25</v>
      </c>
      <c r="FC2104" t="s">
        <v>424</v>
      </c>
      <c r="FD2104" t="s">
        <v>425</v>
      </c>
      <c r="FE2104" s="1">
        <v>42907</v>
      </c>
      <c r="FF2104">
        <v>1</v>
      </c>
      <c r="FG2104">
        <v>11289</v>
      </c>
      <c r="FH2104" t="s">
        <v>787</v>
      </c>
      <c r="FJ2104" s="1">
        <v>42879</v>
      </c>
      <c r="FK2104">
        <v>2016</v>
      </c>
      <c r="FL2104">
        <v>2450.9</v>
      </c>
      <c r="FM2104" t="s">
        <v>20362</v>
      </c>
      <c r="FN2104">
        <v>0.25</v>
      </c>
      <c r="FO2104" t="s">
        <v>424</v>
      </c>
      <c r="FP2104" t="s">
        <v>425</v>
      </c>
      <c r="FR2104">
        <v>22</v>
      </c>
      <c r="FS2104">
        <v>7287547</v>
      </c>
      <c r="FT2104" t="s">
        <v>20363</v>
      </c>
      <c r="FV2104" s="1">
        <v>42515</v>
      </c>
      <c r="FW2104">
        <v>2015</v>
      </c>
      <c r="FX2104">
        <v>2169.42</v>
      </c>
      <c r="FY2104" t="s">
        <v>20364</v>
      </c>
      <c r="FZ2104">
        <v>0.25</v>
      </c>
      <c r="GA2104" t="s">
        <v>424</v>
      </c>
      <c r="GB2104" t="s">
        <v>425</v>
      </c>
      <c r="GC2104" s="1">
        <v>42605</v>
      </c>
      <c r="GD2104">
        <v>3</v>
      </c>
      <c r="GE2104">
        <v>2851116</v>
      </c>
      <c r="GF2104" t="s">
        <v>480</v>
      </c>
      <c r="GH2104" s="1">
        <v>42515</v>
      </c>
      <c r="GI2104">
        <v>2015</v>
      </c>
      <c r="GJ2104">
        <v>2169.42</v>
      </c>
      <c r="GK2104" t="s">
        <v>20364</v>
      </c>
      <c r="GL2104">
        <v>0.25</v>
      </c>
      <c r="GM2104" t="s">
        <v>424</v>
      </c>
      <c r="GN2104" t="s">
        <v>425</v>
      </c>
      <c r="GP2104">
        <v>22</v>
      </c>
      <c r="GQ2104">
        <v>5483055</v>
      </c>
      <c r="GR2104" t="s">
        <v>20365</v>
      </c>
      <c r="GT2104" s="1">
        <v>42151</v>
      </c>
      <c r="GU2104">
        <v>2014</v>
      </c>
      <c r="GV2104">
        <v>2022.81</v>
      </c>
      <c r="GW2104" t="s">
        <v>20366</v>
      </c>
      <c r="GX2104">
        <v>0.25</v>
      </c>
      <c r="GY2104" t="s">
        <v>424</v>
      </c>
      <c r="GZ2104" t="s">
        <v>425</v>
      </c>
      <c r="HB2104">
        <v>22</v>
      </c>
      <c r="HC2104">
        <v>15259</v>
      </c>
      <c r="HD2104" t="s">
        <v>891</v>
      </c>
      <c r="HF2104" s="1">
        <v>42151</v>
      </c>
      <c r="HG2104">
        <v>2014</v>
      </c>
      <c r="HH2104">
        <v>2022.81</v>
      </c>
      <c r="HI2104" t="s">
        <v>20366</v>
      </c>
      <c r="HJ2104">
        <v>0.25</v>
      </c>
      <c r="HK2104" t="s">
        <v>424</v>
      </c>
      <c r="HL2104" t="s">
        <v>425</v>
      </c>
      <c r="HN2104">
        <v>22</v>
      </c>
      <c r="HO2104">
        <v>6795327</v>
      </c>
      <c r="HP2104" t="s">
        <v>20367</v>
      </c>
      <c r="HR2104" s="1">
        <v>42151</v>
      </c>
      <c r="HS2104">
        <v>2014</v>
      </c>
      <c r="HT2104">
        <v>2022.81</v>
      </c>
      <c r="HU2104" t="s">
        <v>20366</v>
      </c>
      <c r="HV2104">
        <v>0.25</v>
      </c>
      <c r="HW2104" t="s">
        <v>424</v>
      </c>
      <c r="HX2104" t="s">
        <v>425</v>
      </c>
      <c r="HY2104" s="1">
        <v>42605</v>
      </c>
      <c r="HZ2104">
        <v>15</v>
      </c>
      <c r="IA2104">
        <v>7045049</v>
      </c>
      <c r="IB2104" t="s">
        <v>1335</v>
      </c>
      <c r="ID2104" s="1">
        <v>41787</v>
      </c>
      <c r="IE2104">
        <v>2013</v>
      </c>
      <c r="IF2104">
        <v>1660.03</v>
      </c>
      <c r="IG2104" t="s">
        <v>20368</v>
      </c>
      <c r="IH2104">
        <v>0.25</v>
      </c>
      <c r="II2104" t="s">
        <v>424</v>
      </c>
      <c r="IJ2104" t="s">
        <v>425</v>
      </c>
      <c r="IK2104" s="1">
        <v>41957</v>
      </c>
      <c r="IL2104">
        <v>6</v>
      </c>
      <c r="IM2104">
        <v>15401</v>
      </c>
      <c r="IN2104" t="s">
        <v>3776</v>
      </c>
      <c r="IP2104" s="1">
        <v>41423</v>
      </c>
      <c r="IQ2104">
        <v>2012</v>
      </c>
      <c r="IR2104">
        <v>878.29</v>
      </c>
      <c r="IS2104" t="s">
        <v>20369</v>
      </c>
      <c r="IT2104">
        <v>0.25</v>
      </c>
      <c r="IU2104" t="s">
        <v>424</v>
      </c>
      <c r="IV2104" t="s">
        <v>425</v>
      </c>
      <c r="IW2104" s="1">
        <v>41460</v>
      </c>
      <c r="IX2104">
        <v>2</v>
      </c>
      <c r="IY2104">
        <v>15259</v>
      </c>
      <c r="IZ2104" t="s">
        <v>891</v>
      </c>
    </row>
    <row r="2105" spans="1:260" x14ac:dyDescent="0.25">
      <c r="A2105">
        <v>16487112</v>
      </c>
      <c r="B2105">
        <v>2104</v>
      </c>
      <c r="C2105" t="s">
        <v>393</v>
      </c>
      <c r="D2105" t="s">
        <v>394</v>
      </c>
      <c r="F2105" t="str">
        <f>"00-00-31-1611-0003-0000"</f>
        <v>00-00-31-1611-0003-0000</v>
      </c>
      <c r="H2105" t="str">
        <f>"ESB INVESTMENTS LLC"</f>
        <v>ESB INVESTMENTS LLC</v>
      </c>
      <c r="I2105" t="str">
        <f>"95540 CLEMENTS RD"</f>
        <v>95540 CLEMENTS RD</v>
      </c>
      <c r="J2105" t="str">
        <f t="shared" si="793"/>
        <v>FERNANDINA BEACH FL 32034</v>
      </c>
      <c r="K2105" t="str">
        <f>"1512 COASTAL OAKS CIR"</f>
        <v>1512 COASTAL OAKS CIR</v>
      </c>
      <c r="L2105" t="str">
        <f t="shared" si="779"/>
        <v>FERNANDINA BEACH FL 32034</v>
      </c>
      <c r="M2105" t="str">
        <f>"LOT 3 IN OR 2032/1123 COASTAL OAKS PBK 8/109"</f>
        <v>LOT 3 IN OR 2032/1123 COASTAL OAKS PBK 8/109</v>
      </c>
      <c r="N2105" t="str">
        <f>""</f>
        <v/>
      </c>
      <c r="O2105" t="str">
        <f>"9506"</f>
        <v>9506</v>
      </c>
      <c r="P2105" t="str">
        <f t="shared" si="775"/>
        <v>2017</v>
      </c>
      <c r="Q2105" t="str">
        <f>""</f>
        <v/>
      </c>
      <c r="R2105" t="str">
        <f t="shared" si="794"/>
        <v>N</v>
      </c>
      <c r="S2105" t="str">
        <f>""</f>
        <v/>
      </c>
      <c r="T2105" t="str">
        <f>"1893.42"</f>
        <v>1893.42</v>
      </c>
      <c r="U2105" t="str">
        <f t="shared" ref="U2105:V2108" si="795">"95000.00"</f>
        <v>95000.00</v>
      </c>
      <c r="V2105" t="str">
        <f t="shared" si="795"/>
        <v>95000.00</v>
      </c>
      <c r="W2105" t="str">
        <f t="shared" si="776"/>
        <v>2017</v>
      </c>
      <c r="X2105" t="str">
        <f>""</f>
        <v/>
      </c>
      <c r="Y2105" t="str">
        <f>"1982.22"</f>
        <v>1982.22</v>
      </c>
      <c r="Z2105" t="str">
        <f>""</f>
        <v/>
      </c>
      <c r="AA2105" t="str">
        <f t="shared" ref="AA2105:AA2119" si="796">"95000.00"</f>
        <v>95000.00</v>
      </c>
      <c r="AB2105" t="str">
        <f t="shared" si="791"/>
        <v>Residential</v>
      </c>
      <c r="AC2105" t="str">
        <f t="shared" si="781"/>
        <v>0</v>
      </c>
      <c r="AD2105" t="str">
        <f>""</f>
        <v/>
      </c>
      <c r="AE2105" t="str">
        <f>""</f>
        <v/>
      </c>
      <c r="AF2105" t="str">
        <f t="shared" ref="AF2105:AF2119" si="797">"000"</f>
        <v>000</v>
      </c>
      <c r="AG2105" t="str">
        <f t="shared" si="792"/>
        <v>FL</v>
      </c>
      <c r="AH2105" t="str">
        <f>"9579.00"</f>
        <v>9579.00</v>
      </c>
      <c r="AI2105" t="str">
        <f t="shared" ref="AI2105:AI2119" si="798">"95000.00"</f>
        <v>95000.00</v>
      </c>
      <c r="AJ2105" t="str">
        <f>"C55-001-073-0001-4"</f>
        <v>C55-001-073-0001-4</v>
      </c>
      <c r="AK2105" t="str">
        <f>"46618"</f>
        <v>46618</v>
      </c>
      <c r="AL2105">
        <v>8</v>
      </c>
      <c r="AM2105">
        <v>2408</v>
      </c>
      <c r="AN2105">
        <v>2079.73</v>
      </c>
      <c r="AQ2105" t="s">
        <v>20370</v>
      </c>
      <c r="AR2105" t="s">
        <v>20370</v>
      </c>
      <c r="AS2105" t="s">
        <v>20370</v>
      </c>
      <c r="AU2105" t="s">
        <v>396</v>
      </c>
      <c r="AV2105">
        <v>2017</v>
      </c>
      <c r="AW2105" t="str">
        <f>"00-00-31-1611-0003-0000 "</f>
        <v xml:space="preserve">00-00-31-1611-0003-0000 </v>
      </c>
      <c r="AX2105">
        <v>1512</v>
      </c>
      <c r="AZ2105" t="s">
        <v>20371</v>
      </c>
      <c r="BA2105" t="s">
        <v>1799</v>
      </c>
      <c r="BD2105" t="s">
        <v>11749</v>
      </c>
      <c r="BE2105" t="s">
        <v>393</v>
      </c>
      <c r="BF2105">
        <v>32034</v>
      </c>
      <c r="BG2105" t="s">
        <v>20372</v>
      </c>
      <c r="BH2105" t="s">
        <v>11751</v>
      </c>
      <c r="BI2105">
        <v>-81.451346590369496</v>
      </c>
      <c r="BJ2105">
        <v>30.648475937155599</v>
      </c>
      <c r="BK2105" t="s">
        <v>16125</v>
      </c>
      <c r="BM2105" t="s">
        <v>16126</v>
      </c>
      <c r="BN2105" t="s">
        <v>3983</v>
      </c>
      <c r="BO2105">
        <v>32034</v>
      </c>
      <c r="BP2105" t="s">
        <v>404</v>
      </c>
      <c r="BQ2105">
        <v>0</v>
      </c>
      <c r="BR2105" t="s">
        <v>491</v>
      </c>
      <c r="BS2105">
        <v>8001</v>
      </c>
      <c r="BT2105" t="s">
        <v>492</v>
      </c>
      <c r="BW2105">
        <v>9579</v>
      </c>
      <c r="BX2105" t="s">
        <v>407</v>
      </c>
      <c r="BY2105" t="s">
        <v>18253</v>
      </c>
      <c r="CD2105">
        <v>2017</v>
      </c>
      <c r="CE2105">
        <v>95000</v>
      </c>
      <c r="CG2105">
        <v>95000</v>
      </c>
      <c r="CH2105">
        <v>2017</v>
      </c>
      <c r="CI2105">
        <v>95000</v>
      </c>
      <c r="CK2105">
        <v>95000</v>
      </c>
      <c r="CL2105">
        <v>2017</v>
      </c>
      <c r="CM2105">
        <v>1893.42</v>
      </c>
      <c r="CN2105" s="1">
        <v>42437</v>
      </c>
      <c r="CO2105">
        <v>525000</v>
      </c>
      <c r="CV2105">
        <v>427430</v>
      </c>
      <c r="CX2105" t="s">
        <v>675</v>
      </c>
      <c r="CZ2105" s="1">
        <v>42437</v>
      </c>
      <c r="DA2105">
        <v>0</v>
      </c>
      <c r="DD2105" t="s">
        <v>11749</v>
      </c>
      <c r="DG2105">
        <v>25</v>
      </c>
      <c r="DL2105">
        <v>50101</v>
      </c>
      <c r="DM2105" t="s">
        <v>20110</v>
      </c>
      <c r="DO2105" t="s">
        <v>20373</v>
      </c>
      <c r="DP2105">
        <v>0</v>
      </c>
      <c r="DQ2105">
        <v>0</v>
      </c>
      <c r="DR2105" t="s">
        <v>411</v>
      </c>
    </row>
    <row r="2106" spans="1:260" x14ac:dyDescent="0.25">
      <c r="A2106">
        <v>16487113</v>
      </c>
      <c r="B2106">
        <v>2105</v>
      </c>
      <c r="C2106" t="s">
        <v>393</v>
      </c>
      <c r="D2106" t="s">
        <v>394</v>
      </c>
      <c r="F2106" t="str">
        <f>"00-00-31-1611-0006-0000"</f>
        <v>00-00-31-1611-0006-0000</v>
      </c>
      <c r="H2106" t="str">
        <f>"ESB INVESTMENTS LLC"</f>
        <v>ESB INVESTMENTS LLC</v>
      </c>
      <c r="I2106" t="str">
        <f>"95540 CLEMENTS RD"</f>
        <v>95540 CLEMENTS RD</v>
      </c>
      <c r="J2106" t="str">
        <f t="shared" si="793"/>
        <v>FERNANDINA BEACH FL 32034</v>
      </c>
      <c r="K2106" t="str">
        <f>"1518 COASTAL OAKS CIR E"</f>
        <v>1518 COASTAL OAKS CIR E</v>
      </c>
      <c r="L2106" t="str">
        <f t="shared" si="779"/>
        <v>FERNANDINA BEACH FL 32034</v>
      </c>
      <c r="M2106" t="str">
        <f>"LOT 6 IN OR 2032/1123 COASTAL OAKS PBK 8/109"</f>
        <v>LOT 6 IN OR 2032/1123 COASTAL OAKS PBK 8/109</v>
      </c>
      <c r="N2106" t="str">
        <f>""</f>
        <v/>
      </c>
      <c r="O2106" t="str">
        <f>"9509"</f>
        <v>9509</v>
      </c>
      <c r="P2106" t="str">
        <f t="shared" si="775"/>
        <v>2017</v>
      </c>
      <c r="Q2106" t="str">
        <f>""</f>
        <v/>
      </c>
      <c r="R2106" t="str">
        <f t="shared" si="794"/>
        <v>N</v>
      </c>
      <c r="S2106" t="str">
        <f>""</f>
        <v/>
      </c>
      <c r="T2106" t="str">
        <f>"1893.42"</f>
        <v>1893.42</v>
      </c>
      <c r="U2106" t="str">
        <f t="shared" si="795"/>
        <v>95000.00</v>
      </c>
      <c r="V2106" t="str">
        <f t="shared" si="795"/>
        <v>95000.00</v>
      </c>
      <c r="W2106" t="str">
        <f t="shared" si="776"/>
        <v>2017</v>
      </c>
      <c r="X2106" t="str">
        <f>""</f>
        <v/>
      </c>
      <c r="Y2106" t="str">
        <f>"1982.22"</f>
        <v>1982.22</v>
      </c>
      <c r="Z2106" t="str">
        <f>""</f>
        <v/>
      </c>
      <c r="AA2106" t="str">
        <f t="shared" si="796"/>
        <v>95000.00</v>
      </c>
      <c r="AB2106" t="str">
        <f t="shared" si="791"/>
        <v>Residential</v>
      </c>
      <c r="AC2106" t="str">
        <f t="shared" si="781"/>
        <v>0</v>
      </c>
      <c r="AD2106" t="str">
        <f>""</f>
        <v/>
      </c>
      <c r="AE2106" t="str">
        <f>""</f>
        <v/>
      </c>
      <c r="AF2106" t="str">
        <f t="shared" si="797"/>
        <v>000</v>
      </c>
      <c r="AG2106" t="str">
        <f t="shared" si="792"/>
        <v>FL</v>
      </c>
      <c r="AH2106" t="str">
        <f>"7979.00"</f>
        <v>7979.00</v>
      </c>
      <c r="AI2106" t="str">
        <f t="shared" si="798"/>
        <v>95000.00</v>
      </c>
      <c r="AJ2106" t="str">
        <f>"C55-001-073-0004-8"</f>
        <v>C55-001-073-0004-8</v>
      </c>
      <c r="AK2106" t="str">
        <f>"46621"</f>
        <v>46621</v>
      </c>
      <c r="AL2106">
        <v>8</v>
      </c>
      <c r="AM2106">
        <v>2409</v>
      </c>
      <c r="AN2106">
        <v>2079.73</v>
      </c>
      <c r="AQ2106" t="s">
        <v>20374</v>
      </c>
      <c r="AR2106" t="s">
        <v>20374</v>
      </c>
      <c r="AS2106" t="s">
        <v>20374</v>
      </c>
      <c r="AU2106" t="s">
        <v>396</v>
      </c>
      <c r="AV2106">
        <v>2017</v>
      </c>
      <c r="AW2106" t="str">
        <f>"00-00-31-1611-0006-0000 "</f>
        <v xml:space="preserve">00-00-31-1611-0006-0000 </v>
      </c>
      <c r="AX2106">
        <v>1518</v>
      </c>
      <c r="AZ2106" t="s">
        <v>20371</v>
      </c>
      <c r="BA2106" t="s">
        <v>1799</v>
      </c>
      <c r="BB2106" t="s">
        <v>5265</v>
      </c>
      <c r="BD2106" t="s">
        <v>11749</v>
      </c>
      <c r="BE2106" t="s">
        <v>393</v>
      </c>
      <c r="BF2106">
        <v>32034</v>
      </c>
      <c r="BG2106" t="s">
        <v>20375</v>
      </c>
      <c r="BH2106" t="s">
        <v>11751</v>
      </c>
      <c r="BI2106">
        <v>-81.450890690774301</v>
      </c>
      <c r="BJ2106">
        <v>30.648828650326902</v>
      </c>
      <c r="BK2106" t="s">
        <v>16125</v>
      </c>
      <c r="BM2106" t="s">
        <v>16126</v>
      </c>
      <c r="BN2106" t="s">
        <v>3983</v>
      </c>
      <c r="BO2106">
        <v>32034</v>
      </c>
      <c r="BP2106" t="s">
        <v>404</v>
      </c>
      <c r="BQ2106">
        <v>0</v>
      </c>
      <c r="BR2106" t="s">
        <v>491</v>
      </c>
      <c r="BS2106">
        <v>8001</v>
      </c>
      <c r="BT2106" t="s">
        <v>492</v>
      </c>
      <c r="BW2106">
        <v>7979</v>
      </c>
      <c r="BX2106" t="s">
        <v>407</v>
      </c>
      <c r="BY2106" t="s">
        <v>18253</v>
      </c>
      <c r="CD2106">
        <v>2017</v>
      </c>
      <c r="CE2106">
        <v>95000</v>
      </c>
      <c r="CG2106">
        <v>95000</v>
      </c>
      <c r="CH2106">
        <v>2017</v>
      </c>
      <c r="CI2106">
        <v>95000</v>
      </c>
      <c r="CK2106">
        <v>95000</v>
      </c>
      <c r="CL2106">
        <v>2017</v>
      </c>
      <c r="CM2106">
        <v>1893.42</v>
      </c>
      <c r="CN2106" s="1">
        <v>42437</v>
      </c>
      <c r="CO2106">
        <v>525000</v>
      </c>
      <c r="CV2106">
        <v>427430</v>
      </c>
      <c r="CX2106" t="s">
        <v>675</v>
      </c>
      <c r="CZ2106" s="1">
        <v>42437</v>
      </c>
      <c r="DA2106">
        <v>0</v>
      </c>
      <c r="DD2106" t="s">
        <v>11749</v>
      </c>
      <c r="DG2106">
        <v>25</v>
      </c>
      <c r="DL2106">
        <v>50101</v>
      </c>
      <c r="DM2106" t="s">
        <v>20110</v>
      </c>
      <c r="DO2106" t="s">
        <v>20376</v>
      </c>
      <c r="DP2106">
        <v>0</v>
      </c>
      <c r="DQ2106">
        <v>0</v>
      </c>
      <c r="DR2106" t="s">
        <v>411</v>
      </c>
    </row>
    <row r="2107" spans="1:260" x14ac:dyDescent="0.25">
      <c r="A2107">
        <v>16487114</v>
      </c>
      <c r="B2107">
        <v>2106</v>
      </c>
      <c r="C2107" t="s">
        <v>393</v>
      </c>
      <c r="D2107" t="s">
        <v>394</v>
      </c>
      <c r="F2107" t="str">
        <f>"00-00-31-1611-0007-0000"</f>
        <v>00-00-31-1611-0007-0000</v>
      </c>
      <c r="H2107" t="str">
        <f>"ESB INVESTMENTS LLC"</f>
        <v>ESB INVESTMENTS LLC</v>
      </c>
      <c r="I2107" t="str">
        <f>"95540 CLEMENTS RD"</f>
        <v>95540 CLEMENTS RD</v>
      </c>
      <c r="J2107" t="str">
        <f t="shared" si="793"/>
        <v>FERNANDINA BEACH FL 32034</v>
      </c>
      <c r="K2107" t="str">
        <f>"1520 COASTAL OAKS CIR E"</f>
        <v>1520 COASTAL OAKS CIR E</v>
      </c>
      <c r="L2107" t="str">
        <f t="shared" si="779"/>
        <v>FERNANDINA BEACH FL 32034</v>
      </c>
      <c r="M2107" t="str">
        <f>"LOT 7 IN OR 2032/1123 COASTAL OAKS PBK 8/109"</f>
        <v>LOT 7 IN OR 2032/1123 COASTAL OAKS PBK 8/109</v>
      </c>
      <c r="N2107" t="str">
        <f>""</f>
        <v/>
      </c>
      <c r="O2107" t="str">
        <f>"9510"</f>
        <v>9510</v>
      </c>
      <c r="P2107" t="str">
        <f t="shared" si="775"/>
        <v>2017</v>
      </c>
      <c r="Q2107" t="str">
        <f>""</f>
        <v/>
      </c>
      <c r="R2107" t="str">
        <f t="shared" si="794"/>
        <v>N</v>
      </c>
      <c r="S2107" t="str">
        <f>""</f>
        <v/>
      </c>
      <c r="T2107" t="str">
        <f>"1893.42"</f>
        <v>1893.42</v>
      </c>
      <c r="U2107" t="str">
        <f t="shared" si="795"/>
        <v>95000.00</v>
      </c>
      <c r="V2107" t="str">
        <f t="shared" si="795"/>
        <v>95000.00</v>
      </c>
      <c r="W2107" t="str">
        <f t="shared" si="776"/>
        <v>2017</v>
      </c>
      <c r="X2107" t="str">
        <f>""</f>
        <v/>
      </c>
      <c r="Y2107" t="str">
        <f>"1982.22"</f>
        <v>1982.22</v>
      </c>
      <c r="Z2107" t="str">
        <f>""</f>
        <v/>
      </c>
      <c r="AA2107" t="str">
        <f t="shared" si="796"/>
        <v>95000.00</v>
      </c>
      <c r="AB2107" t="str">
        <f t="shared" si="791"/>
        <v>Residential</v>
      </c>
      <c r="AC2107" t="str">
        <f t="shared" si="781"/>
        <v>0</v>
      </c>
      <c r="AD2107" t="str">
        <f>""</f>
        <v/>
      </c>
      <c r="AE2107" t="str">
        <f>""</f>
        <v/>
      </c>
      <c r="AF2107" t="str">
        <f t="shared" si="797"/>
        <v>000</v>
      </c>
      <c r="AG2107" t="str">
        <f t="shared" si="792"/>
        <v>FL</v>
      </c>
      <c r="AH2107" t="str">
        <f>"6054.00"</f>
        <v>6054.00</v>
      </c>
      <c r="AI2107" t="str">
        <f t="shared" si="798"/>
        <v>95000.00</v>
      </c>
      <c r="AJ2107" t="str">
        <f>"C55-001-073-0005-5"</f>
        <v>C55-001-073-0005-5</v>
      </c>
      <c r="AK2107" t="str">
        <f>"46622"</f>
        <v>46622</v>
      </c>
      <c r="AL2107">
        <v>8</v>
      </c>
      <c r="AM2107">
        <v>2410</v>
      </c>
      <c r="AN2107">
        <v>2079.73</v>
      </c>
      <c r="AQ2107" t="s">
        <v>20377</v>
      </c>
      <c r="AR2107" t="s">
        <v>20377</v>
      </c>
      <c r="AS2107" t="s">
        <v>20377</v>
      </c>
      <c r="AU2107" t="s">
        <v>396</v>
      </c>
      <c r="AV2107">
        <v>2017</v>
      </c>
      <c r="AW2107" t="str">
        <f>"00-00-31-1611-0007-0000 "</f>
        <v xml:space="preserve">00-00-31-1611-0007-0000 </v>
      </c>
      <c r="AX2107">
        <v>1520</v>
      </c>
      <c r="AZ2107" t="s">
        <v>20371</v>
      </c>
      <c r="BA2107" t="s">
        <v>1799</v>
      </c>
      <c r="BB2107" t="s">
        <v>5265</v>
      </c>
      <c r="BD2107" t="s">
        <v>11749</v>
      </c>
      <c r="BE2107" t="s">
        <v>393</v>
      </c>
      <c r="BF2107">
        <v>32034</v>
      </c>
      <c r="BG2107" t="s">
        <v>20378</v>
      </c>
      <c r="BH2107" t="s">
        <v>11751</v>
      </c>
      <c r="BI2107">
        <v>-81.450877595174404</v>
      </c>
      <c r="BJ2107">
        <v>30.649003095848499</v>
      </c>
      <c r="BK2107" t="s">
        <v>16125</v>
      </c>
      <c r="BM2107" t="s">
        <v>16126</v>
      </c>
      <c r="BN2107" t="s">
        <v>3983</v>
      </c>
      <c r="BO2107">
        <v>32034</v>
      </c>
      <c r="BP2107" t="s">
        <v>404</v>
      </c>
      <c r="BQ2107">
        <v>0</v>
      </c>
      <c r="BR2107" t="s">
        <v>491</v>
      </c>
      <c r="BS2107">
        <v>8001</v>
      </c>
      <c r="BT2107" t="s">
        <v>492</v>
      </c>
      <c r="BW2107">
        <v>6054</v>
      </c>
      <c r="BX2107" t="s">
        <v>407</v>
      </c>
      <c r="BY2107" t="s">
        <v>18253</v>
      </c>
      <c r="CD2107">
        <v>2017</v>
      </c>
      <c r="CE2107">
        <v>95000</v>
      </c>
      <c r="CG2107">
        <v>95000</v>
      </c>
      <c r="CH2107">
        <v>2017</v>
      </c>
      <c r="CI2107">
        <v>95000</v>
      </c>
      <c r="CK2107">
        <v>95000</v>
      </c>
      <c r="CL2107">
        <v>2017</v>
      </c>
      <c r="CM2107">
        <v>1893.42</v>
      </c>
      <c r="CN2107" s="1">
        <v>42437</v>
      </c>
      <c r="CO2107">
        <v>525000</v>
      </c>
      <c r="CV2107">
        <v>427430</v>
      </c>
      <c r="CX2107" t="s">
        <v>675</v>
      </c>
      <c r="CZ2107" s="1">
        <v>42437</v>
      </c>
      <c r="DA2107">
        <v>0</v>
      </c>
      <c r="DD2107" t="s">
        <v>11749</v>
      </c>
      <c r="DG2107">
        <v>25</v>
      </c>
      <c r="DL2107">
        <v>50101</v>
      </c>
      <c r="DM2107" t="s">
        <v>20110</v>
      </c>
      <c r="DO2107" t="s">
        <v>20379</v>
      </c>
      <c r="DP2107">
        <v>0</v>
      </c>
      <c r="DQ2107">
        <v>0</v>
      </c>
      <c r="DR2107" t="s">
        <v>411</v>
      </c>
    </row>
    <row r="2108" spans="1:260" x14ac:dyDescent="0.25">
      <c r="A2108">
        <v>16487115</v>
      </c>
      <c r="B2108">
        <v>2107</v>
      </c>
      <c r="C2108" t="s">
        <v>393</v>
      </c>
      <c r="D2108" t="s">
        <v>394</v>
      </c>
      <c r="F2108" t="str">
        <f>"00-00-31-1611-0010-0000"</f>
        <v>00-00-31-1611-0010-0000</v>
      </c>
      <c r="H2108" t="str">
        <f>"ESB INVESTMENTS LLC"</f>
        <v>ESB INVESTMENTS LLC</v>
      </c>
      <c r="I2108" t="str">
        <f>"95540 CLEMENTS RD"</f>
        <v>95540 CLEMENTS RD</v>
      </c>
      <c r="J2108" t="str">
        <f t="shared" si="793"/>
        <v>FERNANDINA BEACH FL 32034</v>
      </c>
      <c r="K2108" t="str">
        <f>"1526 COASTAL OAKS CIR E"</f>
        <v>1526 COASTAL OAKS CIR E</v>
      </c>
      <c r="L2108" t="str">
        <f t="shared" si="779"/>
        <v>FERNANDINA BEACH FL 32034</v>
      </c>
      <c r="M2108" t="str">
        <f>"LOT 10 IN OR 2032/1123 COASTAL OAKS PBK 8/109"</f>
        <v>LOT 10 IN OR 2032/1123 COASTAL OAKS PBK 8/109</v>
      </c>
      <c r="N2108" t="str">
        <f>""</f>
        <v/>
      </c>
      <c r="O2108" t="str">
        <f>"9520"</f>
        <v>9520</v>
      </c>
      <c r="P2108" t="str">
        <f t="shared" si="775"/>
        <v>2017</v>
      </c>
      <c r="Q2108" t="str">
        <f>""</f>
        <v/>
      </c>
      <c r="R2108" t="str">
        <f t="shared" si="794"/>
        <v>N</v>
      </c>
      <c r="S2108" t="str">
        <f>""</f>
        <v/>
      </c>
      <c r="T2108" t="str">
        <f>"1893.42"</f>
        <v>1893.42</v>
      </c>
      <c r="U2108" t="str">
        <f t="shared" si="795"/>
        <v>95000.00</v>
      </c>
      <c r="V2108" t="str">
        <f t="shared" si="795"/>
        <v>95000.00</v>
      </c>
      <c r="W2108" t="str">
        <f t="shared" si="776"/>
        <v>2017</v>
      </c>
      <c r="X2108" t="str">
        <f>""</f>
        <v/>
      </c>
      <c r="Y2108" t="str">
        <f>"1982.22"</f>
        <v>1982.22</v>
      </c>
      <c r="Z2108" t="str">
        <f>""</f>
        <v/>
      </c>
      <c r="AA2108" t="str">
        <f t="shared" si="796"/>
        <v>95000.00</v>
      </c>
      <c r="AB2108" t="str">
        <f t="shared" si="791"/>
        <v>Residential</v>
      </c>
      <c r="AC2108" t="str">
        <f t="shared" si="781"/>
        <v>0</v>
      </c>
      <c r="AD2108" t="str">
        <f>""</f>
        <v/>
      </c>
      <c r="AE2108" t="str">
        <f>""</f>
        <v/>
      </c>
      <c r="AF2108" t="str">
        <f t="shared" si="797"/>
        <v>000</v>
      </c>
      <c r="AG2108" t="str">
        <f t="shared" si="792"/>
        <v>FL</v>
      </c>
      <c r="AH2108" t="str">
        <f>"7150.00"</f>
        <v>7150.00</v>
      </c>
      <c r="AI2108" t="str">
        <f t="shared" si="798"/>
        <v>95000.00</v>
      </c>
      <c r="AJ2108" t="str">
        <f>"C55-001-073-0015-4"</f>
        <v>C55-001-073-0015-4</v>
      </c>
      <c r="AK2108" t="str">
        <f>"46625"</f>
        <v>46625</v>
      </c>
      <c r="AL2108">
        <v>8</v>
      </c>
      <c r="AM2108">
        <v>2411</v>
      </c>
      <c r="AN2108">
        <v>2079.73</v>
      </c>
      <c r="AQ2108" t="s">
        <v>20380</v>
      </c>
      <c r="AR2108" t="s">
        <v>20380</v>
      </c>
      <c r="AS2108" t="s">
        <v>20380</v>
      </c>
      <c r="AU2108" t="s">
        <v>396</v>
      </c>
      <c r="AV2108">
        <v>2017</v>
      </c>
      <c r="AW2108" t="str">
        <f>"00-00-31-1611-0010-0000 "</f>
        <v xml:space="preserve">00-00-31-1611-0010-0000 </v>
      </c>
      <c r="AX2108">
        <v>1526</v>
      </c>
      <c r="AZ2108" t="s">
        <v>20371</v>
      </c>
      <c r="BA2108" t="s">
        <v>1799</v>
      </c>
      <c r="BB2108" t="s">
        <v>5265</v>
      </c>
      <c r="BD2108" t="s">
        <v>11749</v>
      </c>
      <c r="BE2108" t="s">
        <v>393</v>
      </c>
      <c r="BF2108">
        <v>32034</v>
      </c>
      <c r="BG2108" t="s">
        <v>20381</v>
      </c>
      <c r="BH2108" t="s">
        <v>11751</v>
      </c>
      <c r="BI2108">
        <v>-81.450796066137102</v>
      </c>
      <c r="BJ2108">
        <v>30.649526490482401</v>
      </c>
      <c r="BK2108" t="s">
        <v>16125</v>
      </c>
      <c r="BM2108" t="s">
        <v>16126</v>
      </c>
      <c r="BN2108" t="s">
        <v>3983</v>
      </c>
      <c r="BO2108">
        <v>32034</v>
      </c>
      <c r="BP2108" t="s">
        <v>404</v>
      </c>
      <c r="BQ2108">
        <v>0</v>
      </c>
      <c r="BR2108" t="s">
        <v>491</v>
      </c>
      <c r="BS2108">
        <v>8001</v>
      </c>
      <c r="BT2108" t="s">
        <v>492</v>
      </c>
      <c r="BW2108">
        <v>7150</v>
      </c>
      <c r="BX2108" t="s">
        <v>407</v>
      </c>
      <c r="BY2108" t="s">
        <v>18253</v>
      </c>
      <c r="CD2108">
        <v>2017</v>
      </c>
      <c r="CE2108">
        <v>95000</v>
      </c>
      <c r="CG2108">
        <v>95000</v>
      </c>
      <c r="CH2108">
        <v>2017</v>
      </c>
      <c r="CI2108">
        <v>95000</v>
      </c>
      <c r="CK2108">
        <v>95000</v>
      </c>
      <c r="CL2108">
        <v>2017</v>
      </c>
      <c r="CM2108">
        <v>1893.42</v>
      </c>
      <c r="CN2108" s="1">
        <v>42437</v>
      </c>
      <c r="CO2108">
        <v>525000</v>
      </c>
      <c r="CV2108">
        <v>427430</v>
      </c>
      <c r="CX2108" t="s">
        <v>675</v>
      </c>
      <c r="CZ2108" s="1">
        <v>42437</v>
      </c>
      <c r="DA2108">
        <v>0</v>
      </c>
      <c r="DD2108" t="s">
        <v>11749</v>
      </c>
      <c r="DG2108">
        <v>25</v>
      </c>
      <c r="DL2108">
        <v>50101</v>
      </c>
      <c r="DM2108" t="s">
        <v>20110</v>
      </c>
      <c r="DO2108" t="s">
        <v>20382</v>
      </c>
      <c r="DP2108">
        <v>0</v>
      </c>
      <c r="DQ2108">
        <v>0</v>
      </c>
      <c r="DR2108" t="s">
        <v>411</v>
      </c>
    </row>
    <row r="2109" spans="1:260" x14ac:dyDescent="0.25">
      <c r="A2109">
        <v>16487116</v>
      </c>
      <c r="B2109">
        <v>2108</v>
      </c>
      <c r="C2109" t="s">
        <v>393</v>
      </c>
      <c r="D2109" t="s">
        <v>394</v>
      </c>
      <c r="F2109" t="str">
        <f>"00-00-31-1611-0013-0000"</f>
        <v>00-00-31-1611-0013-0000</v>
      </c>
      <c r="H2109" t="str">
        <f>"ADVANTAGE HOME BUILDERS INC"</f>
        <v>ADVANTAGE HOME BUILDERS INC</v>
      </c>
      <c r="I2109" t="str">
        <f>"305 KINGSLEY LAKE DR SUITE 704"</f>
        <v>305 KINGSLEY LAKE DR SUITE 704</v>
      </c>
      <c r="J2109" t="str">
        <f>"SAINT AUGUSTINE FL 32092"</f>
        <v>SAINT AUGUSTINE FL 32092</v>
      </c>
      <c r="K2109" t="str">
        <f>"1532 COASTAL OAKS DR"</f>
        <v>1532 COASTAL OAKS DR</v>
      </c>
      <c r="L2109" t="str">
        <f t="shared" si="779"/>
        <v>FERNANDINA BEACH FL 32034</v>
      </c>
      <c r="M2109" t="str">
        <f>"LOT 13 IN OR 2100/284 COASTAL OAKS PBK 8/109"</f>
        <v>LOT 13 IN OR 2100/284 COASTAL OAKS PBK 8/109</v>
      </c>
      <c r="N2109" t="str">
        <f>""</f>
        <v/>
      </c>
      <c r="O2109" t="str">
        <f>"9523"</f>
        <v>9523</v>
      </c>
      <c r="P2109" t="str">
        <f t="shared" si="775"/>
        <v>2017</v>
      </c>
      <c r="Q2109" t="str">
        <f>""</f>
        <v/>
      </c>
      <c r="R2109" t="str">
        <f t="shared" si="794"/>
        <v>N</v>
      </c>
      <c r="S2109" t="str">
        <f>""</f>
        <v/>
      </c>
      <c r="T2109" t="str">
        <f>"872.16"</f>
        <v>872.16</v>
      </c>
      <c r="U2109" t="str">
        <f t="shared" ref="U2109:V2113" si="799">"18402.00"</f>
        <v>18402.00</v>
      </c>
      <c r="V2109" t="str">
        <f t="shared" si="799"/>
        <v>18402.00</v>
      </c>
      <c r="W2109" t="str">
        <f t="shared" si="776"/>
        <v>2017</v>
      </c>
      <c r="X2109" t="str">
        <f>""</f>
        <v/>
      </c>
      <c r="Y2109" t="str">
        <f>"930.32"</f>
        <v>930.32</v>
      </c>
      <c r="Z2109" t="str">
        <f>""</f>
        <v/>
      </c>
      <c r="AA2109" t="str">
        <f t="shared" si="796"/>
        <v>95000.00</v>
      </c>
      <c r="AB2109" t="str">
        <f t="shared" si="791"/>
        <v>Residential</v>
      </c>
      <c r="AC2109" t="str">
        <f t="shared" si="781"/>
        <v>0</v>
      </c>
      <c r="AD2109" t="str">
        <f>""</f>
        <v/>
      </c>
      <c r="AE2109" t="str">
        <f>""</f>
        <v/>
      </c>
      <c r="AF2109" t="str">
        <f t="shared" si="797"/>
        <v>000</v>
      </c>
      <c r="AG2109" t="str">
        <f t="shared" si="792"/>
        <v>FL</v>
      </c>
      <c r="AH2109" t="str">
        <f>"6771.00"</f>
        <v>6771.00</v>
      </c>
      <c r="AI2109" t="str">
        <f t="shared" si="798"/>
        <v>95000.00</v>
      </c>
      <c r="AJ2109" t="str">
        <f>"C55-001-073-0018-8"</f>
        <v>C55-001-073-0018-8</v>
      </c>
      <c r="AK2109" t="str">
        <f>"46628"</f>
        <v>46628</v>
      </c>
      <c r="AL2109">
        <v>8</v>
      </c>
      <c r="AM2109">
        <v>2412</v>
      </c>
      <c r="AN2109">
        <v>975.24</v>
      </c>
      <c r="AQ2109" t="s">
        <v>20383</v>
      </c>
      <c r="AR2109" t="s">
        <v>20383</v>
      </c>
      <c r="AS2109" t="s">
        <v>20383</v>
      </c>
      <c r="AU2109" t="s">
        <v>396</v>
      </c>
      <c r="AV2109">
        <v>2017</v>
      </c>
      <c r="AW2109" t="str">
        <f>"00-00-31-1611-0013-0000 "</f>
        <v xml:space="preserve">00-00-31-1611-0013-0000 </v>
      </c>
      <c r="AX2109">
        <v>1532</v>
      </c>
      <c r="AZ2109" t="s">
        <v>20371</v>
      </c>
      <c r="BA2109" t="s">
        <v>669</v>
      </c>
      <c r="BD2109" t="s">
        <v>11749</v>
      </c>
      <c r="BE2109" t="s">
        <v>393</v>
      </c>
      <c r="BF2109">
        <v>32034</v>
      </c>
      <c r="BG2109" t="s">
        <v>20384</v>
      </c>
      <c r="BH2109" t="s">
        <v>11751</v>
      </c>
      <c r="BI2109">
        <v>-81.451033174043005</v>
      </c>
      <c r="BJ2109">
        <v>30.650040042413298</v>
      </c>
      <c r="BK2109" t="s">
        <v>15203</v>
      </c>
      <c r="BM2109" t="s">
        <v>15204</v>
      </c>
      <c r="BN2109" t="s">
        <v>2756</v>
      </c>
      <c r="BO2109">
        <v>32092</v>
      </c>
      <c r="BP2109" t="s">
        <v>404</v>
      </c>
      <c r="BQ2109">
        <v>0</v>
      </c>
      <c r="BR2109" t="s">
        <v>491</v>
      </c>
      <c r="BS2109">
        <v>8001</v>
      </c>
      <c r="BT2109" t="s">
        <v>492</v>
      </c>
      <c r="BW2109">
        <v>6771</v>
      </c>
      <c r="BX2109" t="s">
        <v>407</v>
      </c>
      <c r="BY2109" t="s">
        <v>18253</v>
      </c>
      <c r="CD2109">
        <v>2017</v>
      </c>
      <c r="CE2109">
        <v>95000</v>
      </c>
      <c r="CG2109">
        <v>95000</v>
      </c>
      <c r="CH2109">
        <v>2017</v>
      </c>
      <c r="CI2109">
        <v>95000</v>
      </c>
      <c r="CK2109">
        <v>95000</v>
      </c>
      <c r="CL2109">
        <v>2017</v>
      </c>
      <c r="CM2109">
        <v>872.16</v>
      </c>
      <c r="CN2109" s="1">
        <v>42775</v>
      </c>
      <c r="CO2109">
        <v>110000</v>
      </c>
      <c r="CV2109">
        <v>314962</v>
      </c>
      <c r="CX2109" t="s">
        <v>675</v>
      </c>
      <c r="CZ2109" s="1">
        <v>42775</v>
      </c>
      <c r="DA2109">
        <v>0</v>
      </c>
      <c r="DD2109" t="s">
        <v>11749</v>
      </c>
      <c r="DG2109">
        <v>25</v>
      </c>
      <c r="DL2109">
        <v>50101</v>
      </c>
      <c r="DM2109" t="s">
        <v>20110</v>
      </c>
      <c r="DO2109" t="s">
        <v>20385</v>
      </c>
      <c r="DP2109">
        <v>0</v>
      </c>
      <c r="DQ2109">
        <v>0</v>
      </c>
      <c r="DR2109" t="s">
        <v>411</v>
      </c>
    </row>
    <row r="2110" spans="1:260" x14ac:dyDescent="0.25">
      <c r="A2110">
        <v>16487117</v>
      </c>
      <c r="B2110">
        <v>2109</v>
      </c>
      <c r="C2110" t="s">
        <v>393</v>
      </c>
      <c r="D2110" t="s">
        <v>394</v>
      </c>
      <c r="F2110" t="str">
        <f>"00-00-31-1611-0014-0000"</f>
        <v>00-00-31-1611-0014-0000</v>
      </c>
      <c r="H2110" t="str">
        <f>"HIGHSMITH DANIEL M IV &amp; KAREN"</f>
        <v>HIGHSMITH DANIEL M IV &amp; KAREN</v>
      </c>
      <c r="I2110" t="str">
        <f>"85165 ASHLEY AVENUE"</f>
        <v>85165 ASHLEY AVENUE</v>
      </c>
      <c r="J2110" t="str">
        <f>"ST AUGUSTINE FL 32092"</f>
        <v>ST AUGUSTINE FL 32092</v>
      </c>
      <c r="K2110" t="str">
        <f>"1534 COASTAL OAKS DR"</f>
        <v>1534 COASTAL OAKS DR</v>
      </c>
      <c r="L2110" t="str">
        <f t="shared" si="779"/>
        <v>FERNANDINA BEACH FL 32034</v>
      </c>
      <c r="M2110" t="str">
        <f>"LOT 14 IN OR 2115/384 COASTAL OAKS PBK 8/109"</f>
        <v>LOT 14 IN OR 2115/384 COASTAL OAKS PBK 8/109</v>
      </c>
      <c r="N2110" t="str">
        <f>""</f>
        <v/>
      </c>
      <c r="O2110" t="str">
        <f>"9524"</f>
        <v>9524</v>
      </c>
      <c r="P2110" t="str">
        <f t="shared" si="775"/>
        <v>2017</v>
      </c>
      <c r="Q2110" t="str">
        <f>""</f>
        <v/>
      </c>
      <c r="R2110" t="str">
        <f t="shared" si="794"/>
        <v>N</v>
      </c>
      <c r="S2110" t="str">
        <f>""</f>
        <v/>
      </c>
      <c r="T2110" t="str">
        <f>"872.16"</f>
        <v>872.16</v>
      </c>
      <c r="U2110" t="str">
        <f t="shared" si="799"/>
        <v>18402.00</v>
      </c>
      <c r="V2110" t="str">
        <f t="shared" si="799"/>
        <v>18402.00</v>
      </c>
      <c r="W2110" t="str">
        <f t="shared" si="776"/>
        <v>2017</v>
      </c>
      <c r="X2110" t="str">
        <f>""</f>
        <v/>
      </c>
      <c r="Y2110" t="str">
        <f>"930.32"</f>
        <v>930.32</v>
      </c>
      <c r="Z2110" t="str">
        <f>""</f>
        <v/>
      </c>
      <c r="AA2110" t="str">
        <f t="shared" si="796"/>
        <v>95000.00</v>
      </c>
      <c r="AB2110" t="str">
        <f t="shared" si="791"/>
        <v>Residential</v>
      </c>
      <c r="AC2110" t="str">
        <f t="shared" si="781"/>
        <v>0</v>
      </c>
      <c r="AD2110" t="str">
        <f>""</f>
        <v/>
      </c>
      <c r="AE2110" t="str">
        <f>""</f>
        <v/>
      </c>
      <c r="AF2110" t="str">
        <f t="shared" si="797"/>
        <v>000</v>
      </c>
      <c r="AG2110" t="str">
        <f t="shared" si="792"/>
        <v>FL</v>
      </c>
      <c r="AH2110" t="str">
        <f>"5750.00"</f>
        <v>5750.00</v>
      </c>
      <c r="AI2110" t="str">
        <f t="shared" si="798"/>
        <v>95000.00</v>
      </c>
      <c r="AJ2110" t="str">
        <f>"C55-001-073-0019-6"</f>
        <v>C55-001-073-0019-6</v>
      </c>
      <c r="AK2110" t="str">
        <f>"46629"</f>
        <v>46629</v>
      </c>
      <c r="AL2110">
        <v>8</v>
      </c>
      <c r="AM2110">
        <v>2413</v>
      </c>
      <c r="AN2110">
        <v>975.24</v>
      </c>
      <c r="AQ2110" t="s">
        <v>20386</v>
      </c>
      <c r="AR2110" t="s">
        <v>20386</v>
      </c>
      <c r="AS2110" t="s">
        <v>20386</v>
      </c>
      <c r="AU2110" t="s">
        <v>396</v>
      </c>
      <c r="AV2110">
        <v>2017</v>
      </c>
      <c r="AW2110" t="str">
        <f>"00-00-31-1611-0014-0000 "</f>
        <v xml:space="preserve">00-00-31-1611-0014-0000 </v>
      </c>
      <c r="AX2110">
        <v>1534</v>
      </c>
      <c r="AZ2110" t="s">
        <v>20371</v>
      </c>
      <c r="BA2110" t="s">
        <v>669</v>
      </c>
      <c r="BD2110" t="s">
        <v>11749</v>
      </c>
      <c r="BE2110" t="s">
        <v>393</v>
      </c>
      <c r="BF2110">
        <v>32034</v>
      </c>
      <c r="BG2110" t="s">
        <v>20387</v>
      </c>
      <c r="BH2110" t="s">
        <v>11751</v>
      </c>
      <c r="BI2110">
        <v>-81.450899408758403</v>
      </c>
      <c r="BJ2110">
        <v>30.650135567740499</v>
      </c>
      <c r="BK2110" t="s">
        <v>15203</v>
      </c>
      <c r="BM2110" t="s">
        <v>15204</v>
      </c>
      <c r="BN2110" t="s">
        <v>2756</v>
      </c>
      <c r="BO2110">
        <v>32092</v>
      </c>
      <c r="BP2110" t="s">
        <v>404</v>
      </c>
      <c r="BQ2110">
        <v>0</v>
      </c>
      <c r="BR2110" t="s">
        <v>491</v>
      </c>
      <c r="BS2110">
        <v>8001</v>
      </c>
      <c r="BT2110" t="s">
        <v>492</v>
      </c>
      <c r="BW2110">
        <v>5750</v>
      </c>
      <c r="BX2110" t="s">
        <v>407</v>
      </c>
      <c r="BY2110" t="s">
        <v>18253</v>
      </c>
      <c r="CD2110">
        <v>2017</v>
      </c>
      <c r="CE2110">
        <v>95000</v>
      </c>
      <c r="CG2110">
        <v>95000</v>
      </c>
      <c r="CH2110">
        <v>2017</v>
      </c>
      <c r="CI2110">
        <v>95000</v>
      </c>
      <c r="CK2110">
        <v>95000</v>
      </c>
      <c r="CL2110">
        <v>2017</v>
      </c>
      <c r="CM2110">
        <v>872.16</v>
      </c>
      <c r="CN2110" s="1">
        <v>42846</v>
      </c>
      <c r="CO2110">
        <v>110000</v>
      </c>
      <c r="CV2110">
        <v>325087</v>
      </c>
      <c r="CX2110" t="s">
        <v>3031</v>
      </c>
      <c r="CZ2110" s="1">
        <v>42846</v>
      </c>
      <c r="DA2110">
        <v>0</v>
      </c>
      <c r="DD2110" t="s">
        <v>11749</v>
      </c>
      <c r="DG2110">
        <v>25</v>
      </c>
      <c r="DL2110">
        <v>50101</v>
      </c>
      <c r="DM2110" t="s">
        <v>20110</v>
      </c>
      <c r="DO2110" t="s">
        <v>20388</v>
      </c>
      <c r="DP2110">
        <v>0</v>
      </c>
      <c r="DQ2110">
        <v>0</v>
      </c>
      <c r="DR2110" t="s">
        <v>411</v>
      </c>
    </row>
    <row r="2111" spans="1:260" x14ac:dyDescent="0.25">
      <c r="A2111">
        <v>16487118</v>
      </c>
      <c r="B2111">
        <v>2110</v>
      </c>
      <c r="C2111" t="s">
        <v>393</v>
      </c>
      <c r="D2111" t="s">
        <v>394</v>
      </c>
      <c r="F2111" t="str">
        <f>"00-00-31-1611-0016-0000"</f>
        <v>00-00-31-1611-0016-0000</v>
      </c>
      <c r="H2111" t="str">
        <f>"JONES LARRY K"</f>
        <v>JONES LARRY K</v>
      </c>
      <c r="I2111" t="str">
        <f>"235 TROUT RIVER DRIVE"</f>
        <v>235 TROUT RIVER DRIVE</v>
      </c>
      <c r="J2111" t="str">
        <f>"ST AUGUSTINE FL 32092"</f>
        <v>ST AUGUSTINE FL 32092</v>
      </c>
      <c r="K2111" t="str">
        <f>"1538 COASTAL OAKS DR"</f>
        <v>1538 COASTAL OAKS DR</v>
      </c>
      <c r="L2111" t="str">
        <f t="shared" si="779"/>
        <v>FERNANDINA BEACH FL 32034</v>
      </c>
      <c r="M2111" t="str">
        <f>"LOT 16 IN OR 2130/1641 COASTAL OAKS PBK 8/109"</f>
        <v>LOT 16 IN OR 2130/1641 COASTAL OAKS PBK 8/109</v>
      </c>
      <c r="N2111" t="str">
        <f>""</f>
        <v/>
      </c>
      <c r="O2111" t="str">
        <f>"9526"</f>
        <v>9526</v>
      </c>
      <c r="P2111" t="str">
        <f t="shared" si="775"/>
        <v>2017</v>
      </c>
      <c r="Q2111" t="str">
        <f>""</f>
        <v/>
      </c>
      <c r="R2111" t="str">
        <f t="shared" si="794"/>
        <v>N</v>
      </c>
      <c r="S2111" t="str">
        <f>""</f>
        <v/>
      </c>
      <c r="T2111" t="str">
        <f>"872.16"</f>
        <v>872.16</v>
      </c>
      <c r="U2111" t="str">
        <f t="shared" si="799"/>
        <v>18402.00</v>
      </c>
      <c r="V2111" t="str">
        <f t="shared" si="799"/>
        <v>18402.00</v>
      </c>
      <c r="W2111" t="str">
        <f t="shared" si="776"/>
        <v>2017</v>
      </c>
      <c r="X2111" t="str">
        <f>""</f>
        <v/>
      </c>
      <c r="Y2111" t="str">
        <f>"930.32"</f>
        <v>930.32</v>
      </c>
      <c r="Z2111" t="str">
        <f>""</f>
        <v/>
      </c>
      <c r="AA2111" t="str">
        <f t="shared" si="796"/>
        <v>95000.00</v>
      </c>
      <c r="AB2111" t="str">
        <f t="shared" si="791"/>
        <v>Residential</v>
      </c>
      <c r="AC2111" t="str">
        <f t="shared" si="781"/>
        <v>0</v>
      </c>
      <c r="AD2111" t="str">
        <f>""</f>
        <v/>
      </c>
      <c r="AE2111" t="str">
        <f>""</f>
        <v/>
      </c>
      <c r="AF2111" t="str">
        <f t="shared" si="797"/>
        <v>000</v>
      </c>
      <c r="AG2111" t="str">
        <f t="shared" si="792"/>
        <v>FL</v>
      </c>
      <c r="AH2111" t="str">
        <f>"6176.00"</f>
        <v>6176.00</v>
      </c>
      <c r="AI2111" t="str">
        <f t="shared" si="798"/>
        <v>95000.00</v>
      </c>
      <c r="AJ2111" t="str">
        <f>"C55-001-073-0021-2"</f>
        <v>C55-001-073-0021-2</v>
      </c>
      <c r="AK2111" t="str">
        <f>"46631"</f>
        <v>46631</v>
      </c>
      <c r="AL2111">
        <v>8</v>
      </c>
      <c r="AM2111">
        <v>2414</v>
      </c>
      <c r="AN2111">
        <v>975.24</v>
      </c>
      <c r="AQ2111" t="s">
        <v>20389</v>
      </c>
      <c r="AR2111" t="s">
        <v>20389</v>
      </c>
      <c r="AS2111" t="s">
        <v>20389</v>
      </c>
      <c r="AU2111" t="s">
        <v>396</v>
      </c>
      <c r="AV2111">
        <v>2017</v>
      </c>
      <c r="AW2111" t="str">
        <f>"00-00-31-1611-0016-0000 "</f>
        <v xml:space="preserve">00-00-31-1611-0016-0000 </v>
      </c>
      <c r="AX2111">
        <v>1538</v>
      </c>
      <c r="AZ2111" t="s">
        <v>20371</v>
      </c>
      <c r="BA2111" t="s">
        <v>669</v>
      </c>
      <c r="BD2111" t="s">
        <v>11749</v>
      </c>
      <c r="BE2111" t="s">
        <v>393</v>
      </c>
      <c r="BF2111">
        <v>32034</v>
      </c>
      <c r="BG2111" t="s">
        <v>20390</v>
      </c>
      <c r="BH2111" t="s">
        <v>11751</v>
      </c>
      <c r="BI2111">
        <v>-81.450652391716005</v>
      </c>
      <c r="BJ2111">
        <v>30.650315022183801</v>
      </c>
      <c r="BK2111" t="s">
        <v>15203</v>
      </c>
      <c r="BM2111" t="s">
        <v>15204</v>
      </c>
      <c r="BN2111" t="s">
        <v>2756</v>
      </c>
      <c r="BO2111">
        <v>32092</v>
      </c>
      <c r="BP2111" t="s">
        <v>404</v>
      </c>
      <c r="BQ2111">
        <v>0</v>
      </c>
      <c r="BR2111" t="s">
        <v>491</v>
      </c>
      <c r="BS2111">
        <v>8001</v>
      </c>
      <c r="BT2111" t="s">
        <v>492</v>
      </c>
      <c r="BW2111">
        <v>6176</v>
      </c>
      <c r="BX2111" t="s">
        <v>407</v>
      </c>
      <c r="BY2111" t="s">
        <v>18253</v>
      </c>
      <c r="CD2111">
        <v>2017</v>
      </c>
      <c r="CE2111">
        <v>95000</v>
      </c>
      <c r="CG2111">
        <v>95000</v>
      </c>
      <c r="CH2111">
        <v>2017</v>
      </c>
      <c r="CI2111">
        <v>95000</v>
      </c>
      <c r="CK2111">
        <v>95000</v>
      </c>
      <c r="CL2111">
        <v>2017</v>
      </c>
      <c r="CM2111">
        <v>872.16</v>
      </c>
      <c r="CN2111" s="1">
        <v>42919</v>
      </c>
      <c r="CO2111">
        <v>115000</v>
      </c>
      <c r="CV2111">
        <v>347850</v>
      </c>
      <c r="CX2111" t="s">
        <v>675</v>
      </c>
      <c r="CZ2111" s="1">
        <v>42919</v>
      </c>
      <c r="DA2111">
        <v>0</v>
      </c>
      <c r="DD2111" t="s">
        <v>11749</v>
      </c>
      <c r="DG2111">
        <v>25</v>
      </c>
      <c r="DL2111">
        <v>50101</v>
      </c>
      <c r="DM2111" t="s">
        <v>20110</v>
      </c>
      <c r="DO2111" t="s">
        <v>20391</v>
      </c>
      <c r="DP2111">
        <v>0</v>
      </c>
      <c r="DQ2111">
        <v>0</v>
      </c>
      <c r="DR2111" t="s">
        <v>411</v>
      </c>
    </row>
    <row r="2112" spans="1:260" x14ac:dyDescent="0.25">
      <c r="A2112">
        <v>16487119</v>
      </c>
      <c r="B2112">
        <v>2111</v>
      </c>
      <c r="C2112" t="s">
        <v>393</v>
      </c>
      <c r="D2112" t="s">
        <v>394</v>
      </c>
      <c r="F2112" t="str">
        <f>"00-00-31-1611-0019-0000"</f>
        <v>00-00-31-1611-0019-0000</v>
      </c>
      <c r="H2112" t="str">
        <f>"BROWN BRIAN D &amp; DIANIA L"</f>
        <v>BROWN BRIAN D &amp; DIANIA L</v>
      </c>
      <c r="I2112" t="str">
        <f>"85389 ASHLEY AVE"</f>
        <v>85389 ASHLEY AVE</v>
      </c>
      <c r="J2112" t="str">
        <f>"ST AUGUSTINE FL 32092"</f>
        <v>ST AUGUSTINE FL 32092</v>
      </c>
      <c r="K2112" t="str">
        <f>"1543 COASTAL OAKS DR"</f>
        <v>1543 COASTAL OAKS DR</v>
      </c>
      <c r="L2112" t="str">
        <f t="shared" si="779"/>
        <v>FERNANDINA BEACH FL 32034</v>
      </c>
      <c r="M2112" t="str">
        <f>"LOT 19 IN OR 2130/1572 COASTAL OAKS PBK 8/109"</f>
        <v>LOT 19 IN OR 2130/1572 COASTAL OAKS PBK 8/109</v>
      </c>
      <c r="N2112" t="str">
        <f>""</f>
        <v/>
      </c>
      <c r="O2112" t="str">
        <f>"9529"</f>
        <v>9529</v>
      </c>
      <c r="P2112" t="str">
        <f t="shared" si="775"/>
        <v>2017</v>
      </c>
      <c r="Q2112" t="str">
        <f>""</f>
        <v/>
      </c>
      <c r="R2112" t="str">
        <f t="shared" si="794"/>
        <v>N</v>
      </c>
      <c r="S2112" t="str">
        <f>""</f>
        <v/>
      </c>
      <c r="T2112" t="str">
        <f>"872.16"</f>
        <v>872.16</v>
      </c>
      <c r="U2112" t="str">
        <f t="shared" si="799"/>
        <v>18402.00</v>
      </c>
      <c r="V2112" t="str">
        <f t="shared" si="799"/>
        <v>18402.00</v>
      </c>
      <c r="W2112" t="str">
        <f t="shared" si="776"/>
        <v>2017</v>
      </c>
      <c r="X2112" t="str">
        <f>""</f>
        <v/>
      </c>
      <c r="Y2112" t="str">
        <f>"930.32"</f>
        <v>930.32</v>
      </c>
      <c r="Z2112" t="str">
        <f>""</f>
        <v/>
      </c>
      <c r="AA2112" t="str">
        <f t="shared" si="796"/>
        <v>95000.00</v>
      </c>
      <c r="AB2112" t="str">
        <f t="shared" si="791"/>
        <v>Residential</v>
      </c>
      <c r="AC2112" t="str">
        <f t="shared" si="781"/>
        <v>0</v>
      </c>
      <c r="AD2112" t="str">
        <f>""</f>
        <v/>
      </c>
      <c r="AE2112" t="str">
        <f>""</f>
        <v/>
      </c>
      <c r="AF2112" t="str">
        <f t="shared" si="797"/>
        <v>000</v>
      </c>
      <c r="AG2112" t="str">
        <f t="shared" si="792"/>
        <v>FL</v>
      </c>
      <c r="AH2112" t="str">
        <f>"7687.00"</f>
        <v>7687.00</v>
      </c>
      <c r="AI2112" t="str">
        <f t="shared" si="798"/>
        <v>95000.00</v>
      </c>
      <c r="AJ2112" t="str">
        <f>"C55-001-073-0024-6"</f>
        <v>C55-001-073-0024-6</v>
      </c>
      <c r="AK2112" t="str">
        <f>"46634"</f>
        <v>46634</v>
      </c>
      <c r="AL2112">
        <v>8</v>
      </c>
      <c r="AM2112">
        <v>2415</v>
      </c>
      <c r="AN2112">
        <v>975.24</v>
      </c>
      <c r="AQ2112" t="s">
        <v>20392</v>
      </c>
      <c r="AR2112" t="s">
        <v>20392</v>
      </c>
      <c r="AS2112" t="s">
        <v>20392</v>
      </c>
      <c r="AU2112" t="s">
        <v>396</v>
      </c>
      <c r="AV2112">
        <v>2017</v>
      </c>
      <c r="AW2112" t="str">
        <f>"00-00-31-1611-0019-0000 "</f>
        <v xml:space="preserve">00-00-31-1611-0019-0000 </v>
      </c>
      <c r="AX2112">
        <v>1543</v>
      </c>
      <c r="AZ2112" t="s">
        <v>20371</v>
      </c>
      <c r="BA2112" t="s">
        <v>669</v>
      </c>
      <c r="BD2112" t="s">
        <v>11749</v>
      </c>
      <c r="BE2112" t="s">
        <v>393</v>
      </c>
      <c r="BF2112">
        <v>32034</v>
      </c>
      <c r="BG2112" t="s">
        <v>20393</v>
      </c>
      <c r="BH2112" t="s">
        <v>11751</v>
      </c>
      <c r="BI2112">
        <v>-81.451044305773706</v>
      </c>
      <c r="BJ2112">
        <v>30.650833956049802</v>
      </c>
      <c r="BK2112" t="s">
        <v>15203</v>
      </c>
      <c r="BM2112" t="s">
        <v>15204</v>
      </c>
      <c r="BN2112" t="s">
        <v>2756</v>
      </c>
      <c r="BO2112">
        <v>32092</v>
      </c>
      <c r="BP2112" t="s">
        <v>404</v>
      </c>
      <c r="BQ2112">
        <v>0</v>
      </c>
      <c r="BR2112" t="s">
        <v>491</v>
      </c>
      <c r="BS2112">
        <v>8001</v>
      </c>
      <c r="BT2112" t="s">
        <v>492</v>
      </c>
      <c r="BW2112">
        <v>7687</v>
      </c>
      <c r="BX2112" t="s">
        <v>407</v>
      </c>
      <c r="BY2112" t="s">
        <v>18253</v>
      </c>
      <c r="CD2112">
        <v>2017</v>
      </c>
      <c r="CE2112">
        <v>95000</v>
      </c>
      <c r="CG2112">
        <v>95000</v>
      </c>
      <c r="CH2112">
        <v>2017</v>
      </c>
      <c r="CI2112">
        <v>95000</v>
      </c>
      <c r="CK2112">
        <v>95000</v>
      </c>
      <c r="CL2112">
        <v>2017</v>
      </c>
      <c r="CM2112">
        <v>872.16</v>
      </c>
      <c r="CN2112" s="1">
        <v>42919</v>
      </c>
      <c r="CO2112">
        <v>115000</v>
      </c>
      <c r="CV2112">
        <v>351220</v>
      </c>
      <c r="CX2112" t="s">
        <v>675</v>
      </c>
      <c r="CZ2112" s="1">
        <v>42919</v>
      </c>
      <c r="DA2112">
        <v>0</v>
      </c>
      <c r="DD2112" t="s">
        <v>11749</v>
      </c>
      <c r="DG2112">
        <v>25</v>
      </c>
      <c r="DL2112">
        <v>50101</v>
      </c>
      <c r="DM2112" t="s">
        <v>20110</v>
      </c>
      <c r="DO2112" t="s">
        <v>20394</v>
      </c>
      <c r="DP2112">
        <v>0</v>
      </c>
      <c r="DQ2112">
        <v>0</v>
      </c>
      <c r="DR2112" t="s">
        <v>411</v>
      </c>
    </row>
    <row r="2113" spans="1:248" x14ac:dyDescent="0.25">
      <c r="A2113">
        <v>16487120</v>
      </c>
      <c r="B2113">
        <v>2112</v>
      </c>
      <c r="C2113" t="s">
        <v>393</v>
      </c>
      <c r="D2113" t="s">
        <v>394</v>
      </c>
      <c r="F2113" t="str">
        <f>"00-00-31-1611-0024-0000"</f>
        <v>00-00-31-1611-0024-0000</v>
      </c>
      <c r="H2113" t="str">
        <f>"DAVIS MITCHELL W"</f>
        <v>DAVIS MITCHELL W</v>
      </c>
      <c r="I2113" t="str">
        <f>"409 FIR ST"</f>
        <v>409 FIR ST</v>
      </c>
      <c r="J2113" t="str">
        <f>"ST AUGUSTINE FL 32092"</f>
        <v>ST AUGUSTINE FL 32092</v>
      </c>
      <c r="K2113" t="str">
        <f>"1553 COASTAL OAKS CIR N"</f>
        <v>1553 COASTAL OAKS CIR N</v>
      </c>
      <c r="L2113" t="str">
        <f t="shared" si="779"/>
        <v>FERNANDINA BEACH FL 32034</v>
      </c>
      <c r="M2113" t="str">
        <f>"LOT 24 IN OR 2114/1134 COASTAL OAKS PBK 8/109"</f>
        <v>LOT 24 IN OR 2114/1134 COASTAL OAKS PBK 8/109</v>
      </c>
      <c r="N2113" t="str">
        <f>""</f>
        <v/>
      </c>
      <c r="O2113" t="str">
        <f>"9534"</f>
        <v>9534</v>
      </c>
      <c r="P2113" t="str">
        <f t="shared" si="775"/>
        <v>2017</v>
      </c>
      <c r="Q2113" t="str">
        <f>""</f>
        <v/>
      </c>
      <c r="R2113" t="str">
        <f t="shared" si="794"/>
        <v>N</v>
      </c>
      <c r="S2113" t="str">
        <f>""</f>
        <v/>
      </c>
      <c r="T2113" t="str">
        <f>"872.16"</f>
        <v>872.16</v>
      </c>
      <c r="U2113" t="str">
        <f t="shared" si="799"/>
        <v>18402.00</v>
      </c>
      <c r="V2113" t="str">
        <f t="shared" si="799"/>
        <v>18402.00</v>
      </c>
      <c r="W2113" t="str">
        <f t="shared" si="776"/>
        <v>2017</v>
      </c>
      <c r="X2113" t="str">
        <f>""</f>
        <v/>
      </c>
      <c r="Y2113" t="str">
        <f>"930.32"</f>
        <v>930.32</v>
      </c>
      <c r="Z2113" t="str">
        <f>""</f>
        <v/>
      </c>
      <c r="AA2113" t="str">
        <f t="shared" si="796"/>
        <v>95000.00</v>
      </c>
      <c r="AB2113" t="str">
        <f t="shared" si="791"/>
        <v>Residential</v>
      </c>
      <c r="AC2113" t="str">
        <f t="shared" si="781"/>
        <v>0</v>
      </c>
      <c r="AD2113" t="str">
        <f>""</f>
        <v/>
      </c>
      <c r="AE2113" t="str">
        <f>""</f>
        <v/>
      </c>
      <c r="AF2113" t="str">
        <f t="shared" si="797"/>
        <v>000</v>
      </c>
      <c r="AG2113" t="str">
        <f t="shared" si="792"/>
        <v>FL</v>
      </c>
      <c r="AH2113" t="str">
        <f>"10490.00"</f>
        <v>10490.00</v>
      </c>
      <c r="AI2113" t="str">
        <f t="shared" si="798"/>
        <v>95000.00</v>
      </c>
      <c r="AJ2113" t="str">
        <f>"C55-001-073-0029-5"</f>
        <v>C55-001-073-0029-5</v>
      </c>
      <c r="AK2113" t="str">
        <f>"46639"</f>
        <v>46639</v>
      </c>
      <c r="AL2113">
        <v>8</v>
      </c>
      <c r="AM2113">
        <v>2416</v>
      </c>
      <c r="AN2113">
        <v>975.24</v>
      </c>
      <c r="AQ2113" t="s">
        <v>20395</v>
      </c>
      <c r="AR2113" t="s">
        <v>20395</v>
      </c>
      <c r="AS2113" t="s">
        <v>20395</v>
      </c>
      <c r="AU2113" t="s">
        <v>396</v>
      </c>
      <c r="AV2113">
        <v>2017</v>
      </c>
      <c r="AW2113" t="str">
        <f>"00-00-31-1611-0024-0000 "</f>
        <v xml:space="preserve">00-00-31-1611-0024-0000 </v>
      </c>
      <c r="AX2113">
        <v>1553</v>
      </c>
      <c r="AZ2113" t="s">
        <v>20371</v>
      </c>
      <c r="BA2113" t="s">
        <v>1799</v>
      </c>
      <c r="BB2113" t="s">
        <v>404</v>
      </c>
      <c r="BD2113" t="s">
        <v>11749</v>
      </c>
      <c r="BE2113" t="s">
        <v>393</v>
      </c>
      <c r="BF2113">
        <v>32034</v>
      </c>
      <c r="BG2113" t="s">
        <v>20396</v>
      </c>
      <c r="BH2113" t="s">
        <v>11751</v>
      </c>
      <c r="BI2113">
        <v>-81.4518277144184</v>
      </c>
      <c r="BJ2113">
        <v>30.650694259258799</v>
      </c>
      <c r="BK2113" t="s">
        <v>15203</v>
      </c>
      <c r="BM2113" t="s">
        <v>15204</v>
      </c>
      <c r="BN2113" t="s">
        <v>2756</v>
      </c>
      <c r="BO2113">
        <v>32092</v>
      </c>
      <c r="BP2113" t="s">
        <v>404</v>
      </c>
      <c r="BQ2113">
        <v>0</v>
      </c>
      <c r="BR2113" t="s">
        <v>491</v>
      </c>
      <c r="BS2113">
        <v>8001</v>
      </c>
      <c r="BT2113" t="s">
        <v>492</v>
      </c>
      <c r="BW2113">
        <v>10490</v>
      </c>
      <c r="BX2113" t="s">
        <v>407</v>
      </c>
      <c r="BY2113" t="s">
        <v>18253</v>
      </c>
      <c r="CD2113">
        <v>2017</v>
      </c>
      <c r="CE2113">
        <v>95000</v>
      </c>
      <c r="CG2113">
        <v>95000</v>
      </c>
      <c r="CH2113">
        <v>2017</v>
      </c>
      <c r="CI2113">
        <v>95000</v>
      </c>
      <c r="CK2113">
        <v>95000</v>
      </c>
      <c r="CL2113">
        <v>2017</v>
      </c>
      <c r="CM2113">
        <v>872.16</v>
      </c>
      <c r="CN2113" s="1">
        <v>42844</v>
      </c>
      <c r="CO2113">
        <v>110000</v>
      </c>
      <c r="CV2113">
        <v>310486</v>
      </c>
      <c r="CX2113" t="s">
        <v>675</v>
      </c>
      <c r="CZ2113" s="1">
        <v>42844</v>
      </c>
      <c r="DA2113">
        <v>0</v>
      </c>
      <c r="DD2113" t="s">
        <v>11749</v>
      </c>
      <c r="DG2113">
        <v>25</v>
      </c>
      <c r="DL2113">
        <v>50101</v>
      </c>
      <c r="DM2113" t="s">
        <v>20110</v>
      </c>
      <c r="DO2113" t="s">
        <v>20397</v>
      </c>
      <c r="DP2113">
        <v>0</v>
      </c>
      <c r="DQ2113">
        <v>0</v>
      </c>
      <c r="DR2113" t="s">
        <v>411</v>
      </c>
    </row>
    <row r="2114" spans="1:248" x14ac:dyDescent="0.25">
      <c r="A2114">
        <v>16487121</v>
      </c>
      <c r="B2114">
        <v>2113</v>
      </c>
      <c r="C2114" t="s">
        <v>393</v>
      </c>
      <c r="D2114" t="s">
        <v>394</v>
      </c>
      <c r="F2114" t="str">
        <f>"00-00-31-1611-0026-0000"</f>
        <v>00-00-31-1611-0026-0000</v>
      </c>
      <c r="H2114" t="str">
        <f>"ESB INVESTMENTS LLC"</f>
        <v>ESB INVESTMENTS LLC</v>
      </c>
      <c r="I2114" t="str">
        <f>"95540 CLEMENTS RD"</f>
        <v>95540 CLEMENTS RD</v>
      </c>
      <c r="J2114" t="str">
        <f>"FERNANDINA BEACH FL 32034"</f>
        <v>FERNANDINA BEACH FL 32034</v>
      </c>
      <c r="K2114" t="str">
        <f>"1557 COASTAL OAKS CIR N"</f>
        <v>1557 COASTAL OAKS CIR N</v>
      </c>
      <c r="L2114" t="str">
        <f t="shared" si="779"/>
        <v>FERNANDINA BEACH FL 32034</v>
      </c>
      <c r="M2114" t="str">
        <f>"LOT 26 IN OR 2032/1123 COASTAL OAKS PBK 8/109"</f>
        <v>LOT 26 IN OR 2032/1123 COASTAL OAKS PBK 8/109</v>
      </c>
      <c r="N2114" t="str">
        <f>""</f>
        <v/>
      </c>
      <c r="O2114" t="str">
        <f>"9536"</f>
        <v>9536</v>
      </c>
      <c r="P2114" t="str">
        <f t="shared" ref="P2114:P2177" si="800">"2017"</f>
        <v>2017</v>
      </c>
      <c r="Q2114" t="str">
        <f>""</f>
        <v/>
      </c>
      <c r="R2114" t="str">
        <f t="shared" si="794"/>
        <v>N</v>
      </c>
      <c r="S2114" t="str">
        <f>""</f>
        <v/>
      </c>
      <c r="T2114" t="str">
        <f>"1893.42"</f>
        <v>1893.42</v>
      </c>
      <c r="U2114" t="str">
        <f>"95000.00"</f>
        <v>95000.00</v>
      </c>
      <c r="V2114" t="str">
        <f>"95000.00"</f>
        <v>95000.00</v>
      </c>
      <c r="W2114" t="str">
        <f t="shared" ref="W2114:W2177" si="801">"2017"</f>
        <v>2017</v>
      </c>
      <c r="X2114" t="str">
        <f>""</f>
        <v/>
      </c>
      <c r="Y2114" t="str">
        <f>"1982.22"</f>
        <v>1982.22</v>
      </c>
      <c r="Z2114" t="str">
        <f>""</f>
        <v/>
      </c>
      <c r="AA2114" t="str">
        <f t="shared" si="796"/>
        <v>95000.00</v>
      </c>
      <c r="AB2114" t="str">
        <f t="shared" si="791"/>
        <v>Residential</v>
      </c>
      <c r="AC2114" t="str">
        <f t="shared" si="781"/>
        <v>0</v>
      </c>
      <c r="AD2114" t="str">
        <f>""</f>
        <v/>
      </c>
      <c r="AE2114" t="str">
        <f>""</f>
        <v/>
      </c>
      <c r="AF2114" t="str">
        <f t="shared" si="797"/>
        <v>000</v>
      </c>
      <c r="AG2114" t="str">
        <f t="shared" si="792"/>
        <v>FL</v>
      </c>
      <c r="AH2114" t="str">
        <f>"13101.00"</f>
        <v>13101.00</v>
      </c>
      <c r="AI2114" t="str">
        <f t="shared" si="798"/>
        <v>95000.00</v>
      </c>
      <c r="AJ2114" t="str">
        <f>"C55-001-073-0031-1"</f>
        <v>C55-001-073-0031-1</v>
      </c>
      <c r="AK2114" t="str">
        <f>"46641"</f>
        <v>46641</v>
      </c>
      <c r="AL2114">
        <v>8</v>
      </c>
      <c r="AM2114">
        <v>2417</v>
      </c>
      <c r="AN2114">
        <v>2079.73</v>
      </c>
      <c r="AQ2114" t="s">
        <v>20398</v>
      </c>
      <c r="AR2114" t="s">
        <v>20398</v>
      </c>
      <c r="AS2114" t="s">
        <v>20398</v>
      </c>
      <c r="AU2114" t="s">
        <v>396</v>
      </c>
      <c r="AV2114">
        <v>2017</v>
      </c>
      <c r="AW2114" t="str">
        <f>"00-00-31-1611-0026-0000 "</f>
        <v xml:space="preserve">00-00-31-1611-0026-0000 </v>
      </c>
      <c r="AX2114">
        <v>1557</v>
      </c>
      <c r="AZ2114" t="s">
        <v>20371</v>
      </c>
      <c r="BA2114" t="s">
        <v>1799</v>
      </c>
      <c r="BB2114" t="s">
        <v>404</v>
      </c>
      <c r="BD2114" t="s">
        <v>11749</v>
      </c>
      <c r="BE2114" t="s">
        <v>393</v>
      </c>
      <c r="BF2114">
        <v>32034</v>
      </c>
      <c r="BG2114" t="s">
        <v>20399</v>
      </c>
      <c r="BH2114" t="s">
        <v>11751</v>
      </c>
      <c r="BI2114">
        <v>-81.452322476706897</v>
      </c>
      <c r="BJ2114">
        <v>30.650613271320399</v>
      </c>
      <c r="BK2114" t="s">
        <v>16125</v>
      </c>
      <c r="BM2114" t="s">
        <v>16126</v>
      </c>
      <c r="BN2114" t="s">
        <v>3983</v>
      </c>
      <c r="BO2114">
        <v>32034</v>
      </c>
      <c r="BP2114" t="s">
        <v>404</v>
      </c>
      <c r="BQ2114">
        <v>0</v>
      </c>
      <c r="BR2114" t="s">
        <v>491</v>
      </c>
      <c r="BS2114">
        <v>8001</v>
      </c>
      <c r="BT2114" t="s">
        <v>492</v>
      </c>
      <c r="BW2114">
        <v>13101</v>
      </c>
      <c r="BX2114" t="s">
        <v>407</v>
      </c>
      <c r="BY2114" t="s">
        <v>18253</v>
      </c>
      <c r="CD2114">
        <v>2017</v>
      </c>
      <c r="CE2114">
        <v>95000</v>
      </c>
      <c r="CG2114">
        <v>95000</v>
      </c>
      <c r="CH2114">
        <v>2017</v>
      </c>
      <c r="CI2114">
        <v>95000</v>
      </c>
      <c r="CK2114">
        <v>95000</v>
      </c>
      <c r="CL2114">
        <v>2017</v>
      </c>
      <c r="CM2114">
        <v>1893.42</v>
      </c>
      <c r="CN2114" s="1">
        <v>42437</v>
      </c>
      <c r="CO2114">
        <v>525000</v>
      </c>
      <c r="CV2114">
        <v>427430</v>
      </c>
      <c r="CX2114" t="s">
        <v>675</v>
      </c>
      <c r="CZ2114" s="1">
        <v>42437</v>
      </c>
      <c r="DA2114">
        <v>0</v>
      </c>
      <c r="DD2114" t="s">
        <v>11749</v>
      </c>
      <c r="DG2114">
        <v>25</v>
      </c>
      <c r="DL2114">
        <v>50101</v>
      </c>
      <c r="DM2114" t="s">
        <v>20110</v>
      </c>
      <c r="DO2114" t="s">
        <v>20400</v>
      </c>
      <c r="DP2114">
        <v>0</v>
      </c>
      <c r="DQ2114">
        <v>1</v>
      </c>
      <c r="DR2114" t="s">
        <v>411</v>
      </c>
    </row>
    <row r="2115" spans="1:248" x14ac:dyDescent="0.25">
      <c r="A2115">
        <v>16487122</v>
      </c>
      <c r="B2115">
        <v>2114</v>
      </c>
      <c r="C2115" t="s">
        <v>393</v>
      </c>
      <c r="D2115" t="s">
        <v>394</v>
      </c>
      <c r="F2115" t="str">
        <f>"00-00-31-1611-0027-0000"</f>
        <v>00-00-31-1611-0027-0000</v>
      </c>
      <c r="H2115" t="str">
        <f>"ADVANTAGE HOME BUILDERS INC"</f>
        <v>ADVANTAGE HOME BUILDERS INC</v>
      </c>
      <c r="I2115" t="str">
        <f>"305 KINGSLEY LAKE DR SUITE 704"</f>
        <v>305 KINGSLEY LAKE DR SUITE 704</v>
      </c>
      <c r="J2115" t="str">
        <f>"SAINT AUGUSTINE FL 32092"</f>
        <v>SAINT AUGUSTINE FL 32092</v>
      </c>
      <c r="K2115" t="str">
        <f>"1559 COASTAL OAKS CIR W"</f>
        <v>1559 COASTAL OAKS CIR W</v>
      </c>
      <c r="L2115" t="str">
        <f t="shared" si="779"/>
        <v>FERNANDINA BEACH FL 32034</v>
      </c>
      <c r="M2115" t="str">
        <f>"LOT 27 IN OR 2102/1392 COASTAL OAKS PBK 8/109"</f>
        <v>LOT 27 IN OR 2102/1392 COASTAL OAKS PBK 8/109</v>
      </c>
      <c r="N2115" t="str">
        <f>""</f>
        <v/>
      </c>
      <c r="O2115" t="str">
        <f>"9537"</f>
        <v>9537</v>
      </c>
      <c r="P2115" t="str">
        <f t="shared" si="800"/>
        <v>2017</v>
      </c>
      <c r="Q2115" t="str">
        <f>""</f>
        <v/>
      </c>
      <c r="R2115" t="str">
        <f t="shared" si="794"/>
        <v>N</v>
      </c>
      <c r="S2115" t="str">
        <f>""</f>
        <v/>
      </c>
      <c r="T2115" t="str">
        <f>"872.16"</f>
        <v>872.16</v>
      </c>
      <c r="U2115" t="str">
        <f t="shared" ref="U2115:V2119" si="802">"18402.00"</f>
        <v>18402.00</v>
      </c>
      <c r="V2115" t="str">
        <f t="shared" si="802"/>
        <v>18402.00</v>
      </c>
      <c r="W2115" t="str">
        <f t="shared" si="801"/>
        <v>2017</v>
      </c>
      <c r="X2115" t="str">
        <f>""</f>
        <v/>
      </c>
      <c r="Y2115" t="str">
        <f>"930.32"</f>
        <v>930.32</v>
      </c>
      <c r="Z2115" t="str">
        <f>""</f>
        <v/>
      </c>
      <c r="AA2115" t="str">
        <f t="shared" si="796"/>
        <v>95000.00</v>
      </c>
      <c r="AB2115" t="str">
        <f t="shared" si="791"/>
        <v>Residential</v>
      </c>
      <c r="AC2115" t="str">
        <f t="shared" si="781"/>
        <v>0</v>
      </c>
      <c r="AD2115" t="str">
        <f>""</f>
        <v/>
      </c>
      <c r="AE2115" t="str">
        <f>""</f>
        <v/>
      </c>
      <c r="AF2115" t="str">
        <f t="shared" si="797"/>
        <v>000</v>
      </c>
      <c r="AG2115" t="str">
        <f t="shared" si="792"/>
        <v>FL</v>
      </c>
      <c r="AH2115" t="str">
        <f>"10093.00"</f>
        <v>10093.00</v>
      </c>
      <c r="AI2115" t="str">
        <f t="shared" si="798"/>
        <v>95000.00</v>
      </c>
      <c r="AJ2115" t="str">
        <f>"C55-001-073-0032-9"</f>
        <v>C55-001-073-0032-9</v>
      </c>
      <c r="AK2115" t="str">
        <f>"46642"</f>
        <v>46642</v>
      </c>
      <c r="AL2115">
        <v>8</v>
      </c>
      <c r="AM2115">
        <v>2418</v>
      </c>
      <c r="AN2115">
        <v>975.24</v>
      </c>
      <c r="AQ2115" t="s">
        <v>20401</v>
      </c>
      <c r="AR2115" t="s">
        <v>20401</v>
      </c>
      <c r="AS2115" t="s">
        <v>20401</v>
      </c>
      <c r="AU2115" t="s">
        <v>396</v>
      </c>
      <c r="AV2115">
        <v>2017</v>
      </c>
      <c r="AW2115" t="str">
        <f>"00-00-31-1611-0027-0000 "</f>
        <v xml:space="preserve">00-00-31-1611-0027-0000 </v>
      </c>
      <c r="AX2115">
        <v>1559</v>
      </c>
      <c r="AZ2115" t="s">
        <v>20371</v>
      </c>
      <c r="BA2115" t="s">
        <v>1799</v>
      </c>
      <c r="BB2115" t="s">
        <v>4459</v>
      </c>
      <c r="BD2115" t="s">
        <v>11749</v>
      </c>
      <c r="BE2115" t="s">
        <v>393</v>
      </c>
      <c r="BF2115">
        <v>32034</v>
      </c>
      <c r="BG2115" t="s">
        <v>20402</v>
      </c>
      <c r="BH2115" t="s">
        <v>11751</v>
      </c>
      <c r="BI2115">
        <v>-81.4524152787194</v>
      </c>
      <c r="BJ2115">
        <v>30.650460893845999</v>
      </c>
      <c r="BK2115" t="s">
        <v>15203</v>
      </c>
      <c r="BM2115" t="s">
        <v>15204</v>
      </c>
      <c r="BN2115" t="s">
        <v>2756</v>
      </c>
      <c r="BO2115">
        <v>32092</v>
      </c>
      <c r="BP2115" t="s">
        <v>404</v>
      </c>
      <c r="BQ2115">
        <v>0</v>
      </c>
      <c r="BR2115" t="s">
        <v>491</v>
      </c>
      <c r="BS2115">
        <v>8001</v>
      </c>
      <c r="BT2115" t="s">
        <v>492</v>
      </c>
      <c r="BW2115">
        <v>10093</v>
      </c>
      <c r="BX2115" t="s">
        <v>407</v>
      </c>
      <c r="BY2115" t="s">
        <v>18253</v>
      </c>
      <c r="CD2115">
        <v>2017</v>
      </c>
      <c r="CE2115">
        <v>95000</v>
      </c>
      <c r="CG2115">
        <v>95000</v>
      </c>
      <c r="CH2115">
        <v>2017</v>
      </c>
      <c r="CI2115">
        <v>95000</v>
      </c>
      <c r="CK2115">
        <v>95000</v>
      </c>
      <c r="CL2115">
        <v>2017</v>
      </c>
      <c r="CM2115">
        <v>872.16</v>
      </c>
      <c r="CN2115" s="1">
        <v>42789</v>
      </c>
      <c r="CO2115">
        <v>110000</v>
      </c>
      <c r="CV2115">
        <v>319087</v>
      </c>
      <c r="CX2115" t="s">
        <v>3031</v>
      </c>
      <c r="CZ2115" s="1">
        <v>42789</v>
      </c>
      <c r="DA2115">
        <v>0</v>
      </c>
      <c r="DD2115" t="s">
        <v>11749</v>
      </c>
      <c r="DG2115">
        <v>25</v>
      </c>
      <c r="DL2115">
        <v>50101</v>
      </c>
      <c r="DM2115" t="s">
        <v>20110</v>
      </c>
      <c r="DO2115" t="s">
        <v>20403</v>
      </c>
      <c r="DP2115">
        <v>0</v>
      </c>
      <c r="DQ2115">
        <v>1</v>
      </c>
      <c r="DR2115" t="s">
        <v>411</v>
      </c>
      <c r="EP2115" t="s">
        <v>421</v>
      </c>
      <c r="EQ2115" t="s">
        <v>422</v>
      </c>
      <c r="ER2115">
        <v>1</v>
      </c>
      <c r="ES2115">
        <v>0</v>
      </c>
      <c r="ET2115">
        <v>393.3</v>
      </c>
      <c r="EU2115">
        <v>25.92</v>
      </c>
      <c r="EV2115">
        <v>419.22</v>
      </c>
      <c r="EW2115" s="2">
        <v>43222</v>
      </c>
      <c r="EX2115" s="1">
        <v>42879</v>
      </c>
      <c r="EY2115">
        <v>2016</v>
      </c>
      <c r="EZ2115">
        <v>393.3</v>
      </c>
      <c r="FA2115" t="s">
        <v>20404</v>
      </c>
      <c r="FB2115">
        <v>0.25</v>
      </c>
      <c r="FC2115" t="s">
        <v>424</v>
      </c>
      <c r="FD2115" t="s">
        <v>454</v>
      </c>
      <c r="FF2115">
        <v>12</v>
      </c>
      <c r="FG2115">
        <v>7336143</v>
      </c>
      <c r="FH2115" t="s">
        <v>539</v>
      </c>
    </row>
    <row r="2116" spans="1:248" x14ac:dyDescent="0.25">
      <c r="A2116">
        <v>16487123</v>
      </c>
      <c r="B2116">
        <v>2115</v>
      </c>
      <c r="C2116" t="s">
        <v>393</v>
      </c>
      <c r="D2116" t="s">
        <v>394</v>
      </c>
      <c r="F2116" t="str">
        <f>"00-00-31-1611-0028-0000"</f>
        <v>00-00-31-1611-0028-0000</v>
      </c>
      <c r="H2116" t="str">
        <f>"LIVINGSTON JENNIFER T"</f>
        <v>LIVINGSTON JENNIFER T</v>
      </c>
      <c r="I2116" t="str">
        <f>"85024 ASHLEY AVE"</f>
        <v>85024 ASHLEY AVE</v>
      </c>
      <c r="J2116" t="str">
        <f>"ST AUGUSTINE FL 32092"</f>
        <v>ST AUGUSTINE FL 32092</v>
      </c>
      <c r="K2116" t="str">
        <f>"1561 COASTAL OAKS CIR W"</f>
        <v>1561 COASTAL OAKS CIR W</v>
      </c>
      <c r="L2116" t="str">
        <f t="shared" si="779"/>
        <v>FERNANDINA BEACH FL 32034</v>
      </c>
      <c r="M2116" t="str">
        <f>"LOT 28 IN OR 2112/564 COASTAL OAKS PBK 8/109"</f>
        <v>LOT 28 IN OR 2112/564 COASTAL OAKS PBK 8/109</v>
      </c>
      <c r="N2116" t="str">
        <f>""</f>
        <v/>
      </c>
      <c r="O2116" t="str">
        <f>"9538"</f>
        <v>9538</v>
      </c>
      <c r="P2116" t="str">
        <f t="shared" si="800"/>
        <v>2017</v>
      </c>
      <c r="Q2116" t="str">
        <f>""</f>
        <v/>
      </c>
      <c r="R2116" t="str">
        <f t="shared" si="794"/>
        <v>N</v>
      </c>
      <c r="S2116" t="str">
        <f>""</f>
        <v/>
      </c>
      <c r="T2116" t="str">
        <f>"872.16"</f>
        <v>872.16</v>
      </c>
      <c r="U2116" t="str">
        <f t="shared" si="802"/>
        <v>18402.00</v>
      </c>
      <c r="V2116" t="str">
        <f t="shared" si="802"/>
        <v>18402.00</v>
      </c>
      <c r="W2116" t="str">
        <f t="shared" si="801"/>
        <v>2017</v>
      </c>
      <c r="X2116" t="str">
        <f>""</f>
        <v/>
      </c>
      <c r="Y2116" t="str">
        <f>"930.32"</f>
        <v>930.32</v>
      </c>
      <c r="Z2116" t="str">
        <f>""</f>
        <v/>
      </c>
      <c r="AA2116" t="str">
        <f t="shared" si="796"/>
        <v>95000.00</v>
      </c>
      <c r="AB2116" t="str">
        <f t="shared" si="791"/>
        <v>Residential</v>
      </c>
      <c r="AC2116" t="str">
        <f t="shared" si="781"/>
        <v>0</v>
      </c>
      <c r="AD2116" t="str">
        <f>""</f>
        <v/>
      </c>
      <c r="AE2116" t="str">
        <f>""</f>
        <v/>
      </c>
      <c r="AF2116" t="str">
        <f t="shared" si="797"/>
        <v>000</v>
      </c>
      <c r="AG2116" t="str">
        <f t="shared" si="792"/>
        <v>FL</v>
      </c>
      <c r="AH2116" t="str">
        <f>"8821.00"</f>
        <v>8821.00</v>
      </c>
      <c r="AI2116" t="str">
        <f t="shared" si="798"/>
        <v>95000.00</v>
      </c>
      <c r="AJ2116" t="str">
        <f>"C55-001-073-0033-7"</f>
        <v>C55-001-073-0033-7</v>
      </c>
      <c r="AK2116" t="str">
        <f>"46643"</f>
        <v>46643</v>
      </c>
      <c r="AL2116">
        <v>8</v>
      </c>
      <c r="AM2116">
        <v>2419</v>
      </c>
      <c r="AN2116">
        <v>975.24</v>
      </c>
      <c r="AQ2116" t="s">
        <v>20405</v>
      </c>
      <c r="AR2116" t="s">
        <v>20405</v>
      </c>
      <c r="AS2116" t="s">
        <v>20405</v>
      </c>
      <c r="AU2116" t="s">
        <v>396</v>
      </c>
      <c r="AV2116">
        <v>2017</v>
      </c>
      <c r="AW2116" t="str">
        <f>"00-00-31-1611-0028-0000 "</f>
        <v xml:space="preserve">00-00-31-1611-0028-0000 </v>
      </c>
      <c r="AX2116">
        <v>1561</v>
      </c>
      <c r="AZ2116" t="s">
        <v>20371</v>
      </c>
      <c r="BA2116" t="s">
        <v>1799</v>
      </c>
      <c r="BB2116" t="s">
        <v>4459</v>
      </c>
      <c r="BD2116" t="s">
        <v>11749</v>
      </c>
      <c r="BE2116" t="s">
        <v>393</v>
      </c>
      <c r="BF2116">
        <v>32034</v>
      </c>
      <c r="BG2116" t="s">
        <v>20406</v>
      </c>
      <c r="BH2116" t="s">
        <v>11751</v>
      </c>
      <c r="BI2116">
        <v>-81.452454260920703</v>
      </c>
      <c r="BJ2116">
        <v>30.6502627796322</v>
      </c>
      <c r="BK2116" t="s">
        <v>15203</v>
      </c>
      <c r="BM2116" t="s">
        <v>15204</v>
      </c>
      <c r="BN2116" t="s">
        <v>2756</v>
      </c>
      <c r="BO2116">
        <v>32092</v>
      </c>
      <c r="BP2116" t="s">
        <v>404</v>
      </c>
      <c r="BQ2116">
        <v>0</v>
      </c>
      <c r="BR2116" t="s">
        <v>491</v>
      </c>
      <c r="BS2116">
        <v>8001</v>
      </c>
      <c r="BT2116" t="s">
        <v>492</v>
      </c>
      <c r="BW2116">
        <v>8821</v>
      </c>
      <c r="BX2116" t="s">
        <v>407</v>
      </c>
      <c r="BY2116" t="s">
        <v>18253</v>
      </c>
      <c r="CD2116">
        <v>2017</v>
      </c>
      <c r="CE2116">
        <v>95000</v>
      </c>
      <c r="CG2116">
        <v>95000</v>
      </c>
      <c r="CH2116">
        <v>2017</v>
      </c>
      <c r="CI2116">
        <v>95000</v>
      </c>
      <c r="CK2116">
        <v>95000</v>
      </c>
      <c r="CL2116">
        <v>2017</v>
      </c>
      <c r="CM2116">
        <v>872.16</v>
      </c>
      <c r="CN2116" s="1">
        <v>42832</v>
      </c>
      <c r="CO2116">
        <v>110000</v>
      </c>
      <c r="CV2116">
        <v>334837</v>
      </c>
      <c r="CX2116" t="s">
        <v>675</v>
      </c>
      <c r="CZ2116" s="1">
        <v>42832</v>
      </c>
      <c r="DA2116">
        <v>0</v>
      </c>
      <c r="DD2116" t="s">
        <v>11749</v>
      </c>
      <c r="DG2116">
        <v>25</v>
      </c>
      <c r="DL2116">
        <v>50101</v>
      </c>
      <c r="DM2116" t="s">
        <v>20110</v>
      </c>
      <c r="DO2116" t="s">
        <v>20407</v>
      </c>
      <c r="DP2116">
        <v>0</v>
      </c>
      <c r="DQ2116">
        <v>1</v>
      </c>
      <c r="DR2116" t="s">
        <v>411</v>
      </c>
    </row>
    <row r="2117" spans="1:248" x14ac:dyDescent="0.25">
      <c r="A2117">
        <v>16487124</v>
      </c>
      <c r="B2117">
        <v>2116</v>
      </c>
      <c r="C2117" t="s">
        <v>393</v>
      </c>
      <c r="D2117" t="s">
        <v>394</v>
      </c>
      <c r="F2117" t="str">
        <f>"00-00-31-1611-0030-0000"</f>
        <v>00-00-31-1611-0030-0000</v>
      </c>
      <c r="H2117" t="str">
        <f>"BLAKE RHONDA MOBLEY"</f>
        <v>BLAKE RHONDA MOBLEY</v>
      </c>
      <c r="I2117" t="str">
        <f>"97289 PIRATES POINT ROAD"</f>
        <v>97289 PIRATES POINT ROAD</v>
      </c>
      <c r="J2117" t="str">
        <f>"ST AUGUSTINE FL 32092"</f>
        <v>ST AUGUSTINE FL 32092</v>
      </c>
      <c r="K2117" t="str">
        <f>"1565 COASTAL OAKS CIR W"</f>
        <v>1565 COASTAL OAKS CIR W</v>
      </c>
      <c r="L2117" t="str">
        <f t="shared" si="779"/>
        <v>FERNANDINA BEACH FL 32034</v>
      </c>
      <c r="M2117" t="str">
        <f>"LOT 30 IN OR 2144/1600 COASTAL OAKS PBK 8/109"</f>
        <v>LOT 30 IN OR 2144/1600 COASTAL OAKS PBK 8/109</v>
      </c>
      <c r="N2117" t="str">
        <f>""</f>
        <v/>
      </c>
      <c r="O2117" t="str">
        <f>"9540"</f>
        <v>9540</v>
      </c>
      <c r="P2117" t="str">
        <f t="shared" si="800"/>
        <v>2017</v>
      </c>
      <c r="Q2117" t="str">
        <f>""</f>
        <v/>
      </c>
      <c r="R2117" t="str">
        <f t="shared" si="794"/>
        <v>N</v>
      </c>
      <c r="S2117" t="str">
        <f>""</f>
        <v/>
      </c>
      <c r="T2117" t="str">
        <f>"872.16"</f>
        <v>872.16</v>
      </c>
      <c r="U2117" t="str">
        <f t="shared" si="802"/>
        <v>18402.00</v>
      </c>
      <c r="V2117" t="str">
        <f t="shared" si="802"/>
        <v>18402.00</v>
      </c>
      <c r="W2117" t="str">
        <f t="shared" si="801"/>
        <v>2017</v>
      </c>
      <c r="X2117" t="str">
        <f>""</f>
        <v/>
      </c>
      <c r="Y2117" t="str">
        <f>"930.32"</f>
        <v>930.32</v>
      </c>
      <c r="Z2117" t="str">
        <f>""</f>
        <v/>
      </c>
      <c r="AA2117" t="str">
        <f t="shared" si="796"/>
        <v>95000.00</v>
      </c>
      <c r="AB2117" t="str">
        <f t="shared" si="791"/>
        <v>Residential</v>
      </c>
      <c r="AC2117" t="str">
        <f t="shared" si="781"/>
        <v>0</v>
      </c>
      <c r="AD2117" t="str">
        <f>""</f>
        <v/>
      </c>
      <c r="AE2117" t="str">
        <f>""</f>
        <v/>
      </c>
      <c r="AF2117" t="str">
        <f t="shared" si="797"/>
        <v>000</v>
      </c>
      <c r="AG2117" t="str">
        <f t="shared" si="792"/>
        <v>FL</v>
      </c>
      <c r="AH2117" t="str">
        <f>"6250.00"</f>
        <v>6250.00</v>
      </c>
      <c r="AI2117" t="str">
        <f t="shared" si="798"/>
        <v>95000.00</v>
      </c>
      <c r="AJ2117" t="str">
        <f>"C55-001-073-0035-2"</f>
        <v>C55-001-073-0035-2</v>
      </c>
      <c r="AK2117" t="str">
        <f>"46645"</f>
        <v>46645</v>
      </c>
      <c r="AL2117">
        <v>8</v>
      </c>
      <c r="AM2117">
        <v>2420</v>
      </c>
      <c r="AN2117">
        <v>975.24</v>
      </c>
      <c r="AQ2117" t="s">
        <v>20408</v>
      </c>
      <c r="AR2117" t="s">
        <v>20408</v>
      </c>
      <c r="AS2117" t="s">
        <v>20408</v>
      </c>
      <c r="AU2117" t="s">
        <v>396</v>
      </c>
      <c r="AV2117">
        <v>2017</v>
      </c>
      <c r="AW2117" t="str">
        <f>"00-00-31-1611-0030-0000 "</f>
        <v xml:space="preserve">00-00-31-1611-0030-0000 </v>
      </c>
      <c r="AX2117">
        <v>1565</v>
      </c>
      <c r="AZ2117" t="s">
        <v>20371</v>
      </c>
      <c r="BA2117" t="s">
        <v>1799</v>
      </c>
      <c r="BB2117" t="s">
        <v>4459</v>
      </c>
      <c r="BD2117" t="s">
        <v>11749</v>
      </c>
      <c r="BE2117" t="s">
        <v>393</v>
      </c>
      <c r="BF2117">
        <v>32034</v>
      </c>
      <c r="BG2117" t="s">
        <v>20409</v>
      </c>
      <c r="BH2117" t="s">
        <v>11751</v>
      </c>
      <c r="BI2117">
        <v>-81.452486543992407</v>
      </c>
      <c r="BJ2117">
        <v>30.6499409734278</v>
      </c>
      <c r="BK2117" t="s">
        <v>15203</v>
      </c>
      <c r="BM2117" t="s">
        <v>15204</v>
      </c>
      <c r="BN2117" t="s">
        <v>2756</v>
      </c>
      <c r="BO2117">
        <v>32092</v>
      </c>
      <c r="BP2117" t="s">
        <v>404</v>
      </c>
      <c r="BQ2117">
        <v>0</v>
      </c>
      <c r="BR2117" t="s">
        <v>491</v>
      </c>
      <c r="BS2117">
        <v>8001</v>
      </c>
      <c r="BT2117" t="s">
        <v>492</v>
      </c>
      <c r="BW2117">
        <v>6250</v>
      </c>
      <c r="BX2117" t="s">
        <v>407</v>
      </c>
      <c r="BY2117" t="s">
        <v>18253</v>
      </c>
      <c r="CD2117">
        <v>2017</v>
      </c>
      <c r="CE2117">
        <v>95000</v>
      </c>
      <c r="CG2117">
        <v>95000</v>
      </c>
      <c r="CH2117">
        <v>2017</v>
      </c>
      <c r="CI2117">
        <v>95000</v>
      </c>
      <c r="CK2117">
        <v>95000</v>
      </c>
      <c r="CL2117">
        <v>2017</v>
      </c>
      <c r="CM2117">
        <v>872.16</v>
      </c>
      <c r="DD2117" t="s">
        <v>11749</v>
      </c>
      <c r="DG2117">
        <v>25</v>
      </c>
      <c r="DL2117">
        <v>50101</v>
      </c>
      <c r="DM2117" t="s">
        <v>20110</v>
      </c>
      <c r="DO2117" t="s">
        <v>20410</v>
      </c>
      <c r="DP2117">
        <v>0</v>
      </c>
      <c r="DQ2117">
        <v>1</v>
      </c>
      <c r="DR2117" t="s">
        <v>411</v>
      </c>
    </row>
    <row r="2118" spans="1:248" x14ac:dyDescent="0.25">
      <c r="A2118">
        <v>16487125</v>
      </c>
      <c r="B2118">
        <v>2117</v>
      </c>
      <c r="C2118" t="s">
        <v>393</v>
      </c>
      <c r="D2118" t="s">
        <v>394</v>
      </c>
      <c r="F2118" t="str">
        <f>"00-00-31-1611-0036-0000"</f>
        <v>00-00-31-1611-0036-0000</v>
      </c>
      <c r="H2118" t="str">
        <f>"VARGO DAVID JOSEPH &amp; CAROL S"</f>
        <v>VARGO DAVID JOSEPH &amp; CAROL S</v>
      </c>
      <c r="I2118" t="str">
        <f>"85221 TINYA ROAD"</f>
        <v>85221 TINYA ROAD</v>
      </c>
      <c r="J2118" t="str">
        <f>"ST AUGUSTINE FL 32092"</f>
        <v>ST AUGUSTINE FL 32092</v>
      </c>
      <c r="K2118" t="str">
        <f>"1505 COASTAL OAKS CIR"</f>
        <v>1505 COASTAL OAKS CIR</v>
      </c>
      <c r="L2118" t="str">
        <f t="shared" si="779"/>
        <v>FERNANDINA BEACH FL 32034</v>
      </c>
      <c r="M2118" t="str">
        <f>"LOT 36 IN OR 2124/1732 COASTAL OAKS PBK 8/109"</f>
        <v>LOT 36 IN OR 2124/1732 COASTAL OAKS PBK 8/109</v>
      </c>
      <c r="N2118" t="str">
        <f>""</f>
        <v/>
      </c>
      <c r="O2118" t="str">
        <f>"9546"</f>
        <v>9546</v>
      </c>
      <c r="P2118" t="str">
        <f t="shared" si="800"/>
        <v>2017</v>
      </c>
      <c r="Q2118" t="str">
        <f>""</f>
        <v/>
      </c>
      <c r="R2118" t="str">
        <f t="shared" si="794"/>
        <v>N</v>
      </c>
      <c r="S2118" t="str">
        <f>""</f>
        <v/>
      </c>
      <c r="T2118" t="str">
        <f>"872.16"</f>
        <v>872.16</v>
      </c>
      <c r="U2118" t="str">
        <f t="shared" si="802"/>
        <v>18402.00</v>
      </c>
      <c r="V2118" t="str">
        <f t="shared" si="802"/>
        <v>18402.00</v>
      </c>
      <c r="W2118" t="str">
        <f t="shared" si="801"/>
        <v>2017</v>
      </c>
      <c r="X2118" t="str">
        <f>""</f>
        <v/>
      </c>
      <c r="Y2118" t="str">
        <f>"930.32"</f>
        <v>930.32</v>
      </c>
      <c r="Z2118" t="str">
        <f>""</f>
        <v/>
      </c>
      <c r="AA2118" t="str">
        <f t="shared" si="796"/>
        <v>95000.00</v>
      </c>
      <c r="AB2118" t="str">
        <f t="shared" si="791"/>
        <v>Residential</v>
      </c>
      <c r="AC2118" t="str">
        <f t="shared" si="781"/>
        <v>0</v>
      </c>
      <c r="AD2118" t="str">
        <f>""</f>
        <v/>
      </c>
      <c r="AE2118" t="str">
        <f>""</f>
        <v/>
      </c>
      <c r="AF2118" t="str">
        <f t="shared" si="797"/>
        <v>000</v>
      </c>
      <c r="AG2118" t="str">
        <f t="shared" si="792"/>
        <v>FL</v>
      </c>
      <c r="AH2118" t="str">
        <f>"7582.00"</f>
        <v>7582.00</v>
      </c>
      <c r="AI2118" t="str">
        <f t="shared" si="798"/>
        <v>95000.00</v>
      </c>
      <c r="AJ2118" t="str">
        <f>"C55-001-073-0041-0"</f>
        <v>C55-001-073-0041-0</v>
      </c>
      <c r="AK2118" t="str">
        <f>"46651"</f>
        <v>46651</v>
      </c>
      <c r="AL2118">
        <v>8</v>
      </c>
      <c r="AM2118">
        <v>2421</v>
      </c>
      <c r="AN2118">
        <v>975.24</v>
      </c>
      <c r="AQ2118" t="s">
        <v>20411</v>
      </c>
      <c r="AR2118" t="s">
        <v>20411</v>
      </c>
      <c r="AS2118" t="s">
        <v>20411</v>
      </c>
      <c r="AU2118" t="s">
        <v>396</v>
      </c>
      <c r="AV2118">
        <v>2017</v>
      </c>
      <c r="AW2118" t="str">
        <f>"00-00-31-1611-0036-0000 "</f>
        <v xml:space="preserve">00-00-31-1611-0036-0000 </v>
      </c>
      <c r="AX2118">
        <v>1505</v>
      </c>
      <c r="AZ2118" t="s">
        <v>20371</v>
      </c>
      <c r="BA2118" t="s">
        <v>1799</v>
      </c>
      <c r="BD2118" t="s">
        <v>11749</v>
      </c>
      <c r="BE2118" t="s">
        <v>393</v>
      </c>
      <c r="BF2118">
        <v>32034</v>
      </c>
      <c r="BG2118" t="s">
        <v>20412</v>
      </c>
      <c r="BH2118" t="s">
        <v>11751</v>
      </c>
      <c r="BI2118">
        <v>-81.451860603757595</v>
      </c>
      <c r="BJ2118">
        <v>30.649069174843401</v>
      </c>
      <c r="BK2118" t="s">
        <v>15203</v>
      </c>
      <c r="BM2118" t="s">
        <v>15204</v>
      </c>
      <c r="BN2118" t="s">
        <v>2756</v>
      </c>
      <c r="BO2118">
        <v>32092</v>
      </c>
      <c r="BP2118" t="s">
        <v>404</v>
      </c>
      <c r="BQ2118">
        <v>0</v>
      </c>
      <c r="BR2118" t="s">
        <v>491</v>
      </c>
      <c r="BS2118">
        <v>8001</v>
      </c>
      <c r="BT2118" t="s">
        <v>492</v>
      </c>
      <c r="BW2118">
        <v>7582</v>
      </c>
      <c r="BX2118" t="s">
        <v>407</v>
      </c>
      <c r="BY2118" t="s">
        <v>18253</v>
      </c>
      <c r="CD2118">
        <v>2017</v>
      </c>
      <c r="CE2118">
        <v>95000</v>
      </c>
      <c r="CG2118">
        <v>95000</v>
      </c>
      <c r="CH2118">
        <v>2017</v>
      </c>
      <c r="CI2118">
        <v>95000</v>
      </c>
      <c r="CK2118">
        <v>95000</v>
      </c>
      <c r="CL2118">
        <v>2017</v>
      </c>
      <c r="CM2118">
        <v>872.16</v>
      </c>
      <c r="CN2118" s="1">
        <v>42893</v>
      </c>
      <c r="CO2118">
        <v>110000</v>
      </c>
      <c r="CV2118">
        <v>310486</v>
      </c>
      <c r="CX2118" t="s">
        <v>675</v>
      </c>
      <c r="CZ2118" s="1">
        <v>42893</v>
      </c>
      <c r="DA2118">
        <v>0</v>
      </c>
      <c r="DD2118" t="s">
        <v>11749</v>
      </c>
      <c r="DG2118">
        <v>25</v>
      </c>
      <c r="DL2118">
        <v>50101</v>
      </c>
      <c r="DM2118" t="s">
        <v>20110</v>
      </c>
      <c r="DO2118" t="s">
        <v>20413</v>
      </c>
      <c r="DP2118">
        <v>0</v>
      </c>
      <c r="DQ2118">
        <v>0</v>
      </c>
      <c r="DR2118" t="s">
        <v>411</v>
      </c>
    </row>
    <row r="2119" spans="1:248" x14ac:dyDescent="0.25">
      <c r="A2119">
        <v>16487126</v>
      </c>
      <c r="B2119">
        <v>2118</v>
      </c>
      <c r="C2119" t="s">
        <v>393</v>
      </c>
      <c r="D2119" t="s">
        <v>394</v>
      </c>
      <c r="F2119" t="str">
        <f>"00-00-31-1611-0040-0000"</f>
        <v>00-00-31-1611-0040-0000</v>
      </c>
      <c r="H2119" t="str">
        <f>"BRUSSELL DON S"</f>
        <v>BRUSSELL DON S</v>
      </c>
      <c r="I2119" t="str">
        <f>"86378 CALLAWAY ROAD"</f>
        <v>86378 CALLAWAY ROAD</v>
      </c>
      <c r="J2119" t="str">
        <f>"ST AUGUSTINE FL 32092"</f>
        <v>ST AUGUSTINE FL 32092</v>
      </c>
      <c r="K2119" t="str">
        <f>"1521 COASTAL OAKS CIR E"</f>
        <v>1521 COASTAL OAKS CIR E</v>
      </c>
      <c r="L2119" t="str">
        <f t="shared" si="779"/>
        <v>FERNANDINA BEACH FL 32034</v>
      </c>
      <c r="M2119" t="str">
        <f>"LOT 40 IN OR 2124/1760 COASTAL OAKS PBK 8/109"</f>
        <v>LOT 40 IN OR 2124/1760 COASTAL OAKS PBK 8/109</v>
      </c>
      <c r="N2119" t="str">
        <f>""</f>
        <v/>
      </c>
      <c r="O2119" t="str">
        <f>"9550"</f>
        <v>9550</v>
      </c>
      <c r="P2119" t="str">
        <f t="shared" si="800"/>
        <v>2017</v>
      </c>
      <c r="Q2119" t="str">
        <f>""</f>
        <v/>
      </c>
      <c r="R2119" t="str">
        <f t="shared" si="794"/>
        <v>N</v>
      </c>
      <c r="S2119" t="str">
        <f>""</f>
        <v/>
      </c>
      <c r="T2119" t="str">
        <f>"872.16"</f>
        <v>872.16</v>
      </c>
      <c r="U2119" t="str">
        <f t="shared" si="802"/>
        <v>18402.00</v>
      </c>
      <c r="V2119" t="str">
        <f t="shared" si="802"/>
        <v>18402.00</v>
      </c>
      <c r="W2119" t="str">
        <f t="shared" si="801"/>
        <v>2017</v>
      </c>
      <c r="X2119" t="str">
        <f>""</f>
        <v/>
      </c>
      <c r="Y2119" t="str">
        <f>"930.32"</f>
        <v>930.32</v>
      </c>
      <c r="Z2119" t="str">
        <f>""</f>
        <v/>
      </c>
      <c r="AA2119" t="str">
        <f t="shared" si="796"/>
        <v>95000.00</v>
      </c>
      <c r="AB2119" t="str">
        <f t="shared" si="791"/>
        <v>Residential</v>
      </c>
      <c r="AC2119" t="str">
        <f t="shared" si="781"/>
        <v>0</v>
      </c>
      <c r="AD2119" t="str">
        <f>""</f>
        <v/>
      </c>
      <c r="AE2119" t="str">
        <f>""</f>
        <v/>
      </c>
      <c r="AF2119" t="str">
        <f t="shared" si="797"/>
        <v>000</v>
      </c>
      <c r="AG2119" t="str">
        <f t="shared" si="792"/>
        <v>FL</v>
      </c>
      <c r="AH2119" t="str">
        <f>"8440.00"</f>
        <v>8440.00</v>
      </c>
      <c r="AI2119" t="str">
        <f t="shared" si="798"/>
        <v>95000.00</v>
      </c>
      <c r="AJ2119" t="str">
        <f>"C55-001-073-0045-1"</f>
        <v>C55-001-073-0045-1</v>
      </c>
      <c r="AK2119" t="str">
        <f>"46655"</f>
        <v>46655</v>
      </c>
      <c r="AL2119">
        <v>8</v>
      </c>
      <c r="AM2119">
        <v>2422</v>
      </c>
      <c r="AN2119">
        <v>975.24</v>
      </c>
      <c r="AQ2119" t="s">
        <v>20414</v>
      </c>
      <c r="AR2119" t="s">
        <v>20414</v>
      </c>
      <c r="AS2119" t="s">
        <v>20414</v>
      </c>
      <c r="AU2119" t="s">
        <v>396</v>
      </c>
      <c r="AV2119">
        <v>2017</v>
      </c>
      <c r="AW2119" t="str">
        <f>"00-00-31-1611-0040-0000 "</f>
        <v xml:space="preserve">00-00-31-1611-0040-0000 </v>
      </c>
      <c r="AX2119">
        <v>1521</v>
      </c>
      <c r="AZ2119" t="s">
        <v>20371</v>
      </c>
      <c r="BA2119" t="s">
        <v>1799</v>
      </c>
      <c r="BB2119" t="s">
        <v>5265</v>
      </c>
      <c r="BD2119" t="s">
        <v>11749</v>
      </c>
      <c r="BE2119" t="s">
        <v>393</v>
      </c>
      <c r="BF2119">
        <v>32034</v>
      </c>
      <c r="BG2119" t="s">
        <v>20415</v>
      </c>
      <c r="BH2119" t="s">
        <v>11751</v>
      </c>
      <c r="BI2119">
        <v>-81.451424019808002</v>
      </c>
      <c r="BJ2119">
        <v>30.649210432106798</v>
      </c>
      <c r="BK2119" t="s">
        <v>15203</v>
      </c>
      <c r="BM2119" t="s">
        <v>15204</v>
      </c>
      <c r="BN2119" t="s">
        <v>2756</v>
      </c>
      <c r="BO2119">
        <v>32092</v>
      </c>
      <c r="BP2119" t="s">
        <v>404</v>
      </c>
      <c r="BQ2119">
        <v>0</v>
      </c>
      <c r="BR2119" t="s">
        <v>491</v>
      </c>
      <c r="BS2119">
        <v>8001</v>
      </c>
      <c r="BT2119" t="s">
        <v>492</v>
      </c>
      <c r="BW2119">
        <v>8440</v>
      </c>
      <c r="BX2119" t="s">
        <v>407</v>
      </c>
      <c r="BY2119" t="s">
        <v>18253</v>
      </c>
      <c r="CD2119">
        <v>2017</v>
      </c>
      <c r="CE2119">
        <v>95000</v>
      </c>
      <c r="CG2119">
        <v>95000</v>
      </c>
      <c r="CH2119">
        <v>2017</v>
      </c>
      <c r="CI2119">
        <v>95000</v>
      </c>
      <c r="CK2119">
        <v>95000</v>
      </c>
      <c r="CL2119">
        <v>2017</v>
      </c>
      <c r="CM2119">
        <v>872.16</v>
      </c>
      <c r="CN2119" s="1">
        <v>42893</v>
      </c>
      <c r="CO2119">
        <v>110000</v>
      </c>
      <c r="CV2119">
        <v>310486</v>
      </c>
      <c r="CX2119" t="s">
        <v>3031</v>
      </c>
      <c r="CZ2119" s="1">
        <v>42893</v>
      </c>
      <c r="DA2119">
        <v>0</v>
      </c>
      <c r="DD2119" t="s">
        <v>11749</v>
      </c>
      <c r="DG2119">
        <v>25</v>
      </c>
      <c r="DL2119">
        <v>50101</v>
      </c>
      <c r="DM2119" t="s">
        <v>20110</v>
      </c>
      <c r="DO2119" t="s">
        <v>20416</v>
      </c>
      <c r="DP2119">
        <v>0</v>
      </c>
      <c r="DQ2119">
        <v>0</v>
      </c>
      <c r="DR2119" t="s">
        <v>411</v>
      </c>
    </row>
    <row r="2120" spans="1:248" x14ac:dyDescent="0.25">
      <c r="A2120">
        <v>16487127</v>
      </c>
      <c r="B2120">
        <v>2119</v>
      </c>
      <c r="C2120" t="s">
        <v>393</v>
      </c>
      <c r="D2120" t="s">
        <v>394</v>
      </c>
      <c r="F2120" t="str">
        <f>"00-00-31-1632-0407-0000"</f>
        <v>00-00-31-1632-0407-0000</v>
      </c>
      <c r="H2120" t="str">
        <f>"GRIFFIN LYNDA K TRUSTEE OF LYNDA K GRIFFIN REV TRUST"</f>
        <v>GRIFFIN LYNDA K TRUSTEE OF LYNDA K GRIFFIN REV TRUST</v>
      </c>
      <c r="I2120" t="str">
        <f>"8 ROCK CREST LANE"</f>
        <v>8 ROCK CREST LANE</v>
      </c>
      <c r="J2120" t="str">
        <f>"SIGNAL MOUNTAIN TN 37377"</f>
        <v>SIGNAL MOUNTAIN TN 37377</v>
      </c>
      <c r="K2120" t="str">
        <f>"3460 S FLETCHER AV 407"</f>
        <v>3460 S FLETCHER AV 407</v>
      </c>
      <c r="L2120" t="str">
        <f t="shared" si="779"/>
        <v>FERNANDINA BEACH FL 32034</v>
      </c>
      <c r="M2120" t="str">
        <f>"UNIT 407 IN OR 1755/733 THE PELICANS OR 454/407"</f>
        <v>UNIT 407 IN OR 1755/733 THE PELICANS OR 454/407</v>
      </c>
      <c r="N2120" t="str">
        <f>""</f>
        <v/>
      </c>
      <c r="O2120" t="str">
        <f>"9681"</f>
        <v>9681</v>
      </c>
      <c r="P2120" t="str">
        <f t="shared" si="800"/>
        <v>2017</v>
      </c>
      <c r="Q2120" t="str">
        <f>""</f>
        <v/>
      </c>
      <c r="R2120" t="str">
        <f t="shared" si="794"/>
        <v>N</v>
      </c>
      <c r="S2120" t="str">
        <f>""</f>
        <v/>
      </c>
      <c r="T2120" t="str">
        <f>"7778.13"</f>
        <v>7778.13</v>
      </c>
      <c r="U2120" t="str">
        <f>"377520.00"</f>
        <v>377520.00</v>
      </c>
      <c r="V2120" t="str">
        <f>"377520.00"</f>
        <v>377520.00</v>
      </c>
      <c r="W2120" t="str">
        <f t="shared" si="801"/>
        <v>2017</v>
      </c>
      <c r="X2120" t="str">
        <f>""</f>
        <v/>
      </c>
      <c r="Y2120" t="str">
        <f>"8043.47"</f>
        <v>8043.47</v>
      </c>
      <c r="Z2120" t="str">
        <f>""</f>
        <v/>
      </c>
      <c r="AA2120" t="str">
        <f>"416000.00"</f>
        <v>416000.00</v>
      </c>
      <c r="AB2120" t="str">
        <f t="shared" si="791"/>
        <v>Residential</v>
      </c>
      <c r="AC2120" t="str">
        <f t="shared" si="781"/>
        <v>0</v>
      </c>
      <c r="AD2120" t="str">
        <f>""</f>
        <v/>
      </c>
      <c r="AE2120" t="str">
        <f>""</f>
        <v/>
      </c>
      <c r="AF2120" t="str">
        <f>"004"</f>
        <v>004</v>
      </c>
      <c r="AG2120" t="str">
        <f>"TN"</f>
        <v>TN</v>
      </c>
      <c r="AH2120" t="str">
        <f>"-"</f>
        <v>-</v>
      </c>
      <c r="AI2120" t="str">
        <f>"-"</f>
        <v>-</v>
      </c>
      <c r="AJ2120" t="str">
        <f>"C55-000-585-7507-7"</f>
        <v>C55-000-585-7507-7</v>
      </c>
      <c r="AK2120" t="str">
        <f>"47000"</f>
        <v>47000</v>
      </c>
      <c r="AL2120">
        <v>8</v>
      </c>
      <c r="AM2120">
        <v>2423</v>
      </c>
      <c r="AN2120">
        <v>8444.0400000000009</v>
      </c>
      <c r="AQ2120" t="s">
        <v>20417</v>
      </c>
      <c r="AR2120" t="s">
        <v>20417</v>
      </c>
      <c r="AS2120" t="s">
        <v>20417</v>
      </c>
      <c r="AU2120" t="s">
        <v>396</v>
      </c>
      <c r="AV2120">
        <v>2017</v>
      </c>
      <c r="AW2120" t="str">
        <f>"00-00-31-1632-0407-0000 "</f>
        <v xml:space="preserve">00-00-31-1632-0407-0000 </v>
      </c>
      <c r="AX2120">
        <v>3460</v>
      </c>
      <c r="AY2120" t="s">
        <v>18674</v>
      </c>
      <c r="AZ2120" t="s">
        <v>18248</v>
      </c>
      <c r="BA2120" t="s">
        <v>1122</v>
      </c>
      <c r="BC2120">
        <v>407</v>
      </c>
      <c r="BD2120" t="s">
        <v>11749</v>
      </c>
      <c r="BE2120" t="s">
        <v>393</v>
      </c>
      <c r="BF2120">
        <v>32034</v>
      </c>
      <c r="BG2120" t="s">
        <v>20418</v>
      </c>
      <c r="BH2120" t="s">
        <v>11751</v>
      </c>
      <c r="BI2120">
        <v>-81.4404943098465</v>
      </c>
      <c r="BJ2120">
        <v>30.618005065275501</v>
      </c>
      <c r="BK2120" t="s">
        <v>20419</v>
      </c>
      <c r="BL2120" t="s">
        <v>20420</v>
      </c>
      <c r="BM2120" t="s">
        <v>20421</v>
      </c>
      <c r="BN2120" t="s">
        <v>20422</v>
      </c>
      <c r="BO2120">
        <v>37377</v>
      </c>
      <c r="BP2120" t="s">
        <v>404</v>
      </c>
      <c r="BQ2120">
        <v>400</v>
      </c>
      <c r="BR2120" t="s">
        <v>15097</v>
      </c>
      <c r="BS2120">
        <v>1004</v>
      </c>
      <c r="BT2120" t="s">
        <v>15098</v>
      </c>
      <c r="BW2120">
        <v>95100</v>
      </c>
      <c r="BX2120" t="s">
        <v>407</v>
      </c>
      <c r="CA2120">
        <v>1985</v>
      </c>
      <c r="CC2120">
        <v>1</v>
      </c>
      <c r="CD2120">
        <v>2017</v>
      </c>
      <c r="CF2120">
        <v>416000</v>
      </c>
      <c r="CG2120">
        <v>416000</v>
      </c>
      <c r="CH2120">
        <v>2017</v>
      </c>
      <c r="CJ2120">
        <v>416000</v>
      </c>
      <c r="CK2120">
        <v>416000</v>
      </c>
      <c r="CL2120">
        <v>2017</v>
      </c>
      <c r="CM2120">
        <v>7778.13</v>
      </c>
      <c r="CN2120" s="1">
        <v>40795</v>
      </c>
      <c r="CZ2120" s="1">
        <v>40795</v>
      </c>
      <c r="DD2120" t="s">
        <v>11749</v>
      </c>
      <c r="DG2120">
        <v>19</v>
      </c>
      <c r="DI2120">
        <v>407</v>
      </c>
      <c r="DJ2120" t="s">
        <v>20423</v>
      </c>
      <c r="DL2120">
        <v>50202</v>
      </c>
      <c r="DM2120" t="s">
        <v>20424</v>
      </c>
      <c r="DO2120" t="s">
        <v>20425</v>
      </c>
      <c r="DP2120">
        <v>0</v>
      </c>
      <c r="DQ2120">
        <v>7</v>
      </c>
      <c r="DR2120" t="s">
        <v>1479</v>
      </c>
    </row>
    <row r="2121" spans="1:248" x14ac:dyDescent="0.25">
      <c r="A2121">
        <v>16487128</v>
      </c>
      <c r="B2121">
        <v>2120</v>
      </c>
      <c r="C2121" t="s">
        <v>393</v>
      </c>
      <c r="D2121" t="s">
        <v>394</v>
      </c>
      <c r="F2121" t="str">
        <f>"00-00-31-163P-00E1-0000"</f>
        <v>00-00-31-163P-00E1-0000</v>
      </c>
      <c r="H2121" t="str">
        <f>"THOMAS CORY"</f>
        <v>THOMAS CORY</v>
      </c>
      <c r="I2121" t="str">
        <f>"1601 NECTARINE STREET E1"</f>
        <v>1601 NECTARINE STREET E1</v>
      </c>
      <c r="J2121" t="str">
        <f>"FERNANDINA BEACH FL 32034"</f>
        <v>FERNANDINA BEACH FL 32034</v>
      </c>
      <c r="K2121" t="str">
        <f>"1601 NECTARINE ST E1"</f>
        <v>1601 NECTARINE ST E1</v>
      </c>
      <c r="L2121" t="str">
        <f t="shared" si="779"/>
        <v>FERNANDINA BEACH FL 32034</v>
      </c>
      <c r="M2121" t="str">
        <f>"UNIT E1 IN OR 1991/703 THE PALMS AT AMELIA CONDO OR 1390/33"</f>
        <v>UNIT E1 IN OR 1991/703 THE PALMS AT AMELIA CONDO OR 1390/33</v>
      </c>
      <c r="N2121" t="str">
        <f>""</f>
        <v/>
      </c>
      <c r="O2121" t="str">
        <f>"9818"</f>
        <v>9818</v>
      </c>
      <c r="P2121" t="str">
        <f t="shared" si="800"/>
        <v>2017</v>
      </c>
      <c r="Q2121" t="str">
        <f>""</f>
        <v/>
      </c>
      <c r="R2121" t="str">
        <f t="shared" si="794"/>
        <v>N</v>
      </c>
      <c r="S2121" t="str">
        <f>""</f>
        <v/>
      </c>
      <c r="T2121" t="str">
        <f>"1993.07"</f>
        <v>1993.07</v>
      </c>
      <c r="U2121" t="str">
        <f>"100000.00"</f>
        <v>100000.00</v>
      </c>
      <c r="V2121" t="str">
        <f>"100000.00"</f>
        <v>100000.00</v>
      </c>
      <c r="W2121" t="str">
        <f t="shared" si="801"/>
        <v>2017</v>
      </c>
      <c r="X2121" t="str">
        <f>"18.67"</f>
        <v>18.67</v>
      </c>
      <c r="Y2121" t="str">
        <f>"578.79"</f>
        <v>578.79</v>
      </c>
      <c r="Z2121" t="str">
        <f>""</f>
        <v/>
      </c>
      <c r="AA2121" t="str">
        <f>"100000.00"</f>
        <v>100000.00</v>
      </c>
      <c r="AB2121" t="str">
        <f t="shared" si="791"/>
        <v>Residential</v>
      </c>
      <c r="AC2121" t="str">
        <f t="shared" si="781"/>
        <v>0</v>
      </c>
      <c r="AD2121" t="str">
        <f>""</f>
        <v/>
      </c>
      <c r="AE2121" t="str">
        <f>""</f>
        <v/>
      </c>
      <c r="AF2121" t="str">
        <f>"004"</f>
        <v>004</v>
      </c>
      <c r="AG2121" t="str">
        <f>"FL"</f>
        <v>FL</v>
      </c>
      <c r="AH2121" t="str">
        <f>"-"</f>
        <v>-</v>
      </c>
      <c r="AI2121" t="str">
        <f>"-"</f>
        <v>-</v>
      </c>
      <c r="AJ2121" t="str">
        <f>"C55-000-969-7080-1"</f>
        <v>C55-000-969-7080-1</v>
      </c>
      <c r="AK2121" t="str">
        <f>"46803"</f>
        <v>46803</v>
      </c>
      <c r="AL2121">
        <v>8</v>
      </c>
      <c r="AM2121">
        <v>2424</v>
      </c>
      <c r="AN2121">
        <v>606.13</v>
      </c>
      <c r="AQ2121" t="s">
        <v>20426</v>
      </c>
      <c r="AR2121" t="s">
        <v>20426</v>
      </c>
      <c r="AS2121" t="s">
        <v>20426</v>
      </c>
      <c r="AU2121" t="s">
        <v>396</v>
      </c>
      <c r="AV2121">
        <v>2017</v>
      </c>
      <c r="AW2121" t="str">
        <f>"00-00-31-163P-00E1-0000 "</f>
        <v xml:space="preserve">00-00-31-163P-00E1-0000 </v>
      </c>
      <c r="AX2121">
        <v>1601</v>
      </c>
      <c r="AZ2121" t="s">
        <v>20427</v>
      </c>
      <c r="BA2121" t="s">
        <v>1942</v>
      </c>
      <c r="BC2121" t="s">
        <v>20428</v>
      </c>
      <c r="BD2121" t="s">
        <v>11749</v>
      </c>
      <c r="BE2121" t="s">
        <v>393</v>
      </c>
      <c r="BF2121">
        <v>32034</v>
      </c>
      <c r="BG2121" t="s">
        <v>20429</v>
      </c>
      <c r="BH2121" t="s">
        <v>11751</v>
      </c>
      <c r="BI2121">
        <v>-81.451390806336406</v>
      </c>
      <c r="BJ2121">
        <v>30.652574141713199</v>
      </c>
      <c r="BK2121" t="s">
        <v>20430</v>
      </c>
      <c r="BM2121" t="s">
        <v>20431</v>
      </c>
      <c r="BN2121" t="s">
        <v>1778</v>
      </c>
      <c r="BO2121">
        <v>32097</v>
      </c>
      <c r="BP2121" t="s">
        <v>404</v>
      </c>
      <c r="BQ2121">
        <v>400</v>
      </c>
      <c r="BR2121" t="s">
        <v>15097</v>
      </c>
      <c r="BS2121">
        <v>1004</v>
      </c>
      <c r="BT2121" t="s">
        <v>15098</v>
      </c>
      <c r="BW2121">
        <v>200790</v>
      </c>
      <c r="BX2121" t="s">
        <v>407</v>
      </c>
      <c r="CA2121">
        <v>1999</v>
      </c>
      <c r="CC2121">
        <v>1</v>
      </c>
      <c r="CD2121">
        <v>2017</v>
      </c>
      <c r="CF2121">
        <v>100000</v>
      </c>
      <c r="CG2121">
        <v>100000</v>
      </c>
      <c r="CH2121">
        <v>2017</v>
      </c>
      <c r="CJ2121">
        <v>100000</v>
      </c>
      <c r="CK2121">
        <v>100000</v>
      </c>
      <c r="CL2121">
        <v>2017</v>
      </c>
      <c r="CM2121">
        <v>1993.07</v>
      </c>
      <c r="CN2121" s="1">
        <v>40634</v>
      </c>
      <c r="CO2121">
        <v>67500</v>
      </c>
      <c r="CV2121">
        <v>54000</v>
      </c>
      <c r="CX2121" t="s">
        <v>657</v>
      </c>
      <c r="CZ2121" s="1">
        <v>40634</v>
      </c>
      <c r="DA2121">
        <v>0</v>
      </c>
      <c r="DD2121" t="s">
        <v>11749</v>
      </c>
      <c r="DG2121">
        <v>25</v>
      </c>
      <c r="DI2121" t="s">
        <v>20428</v>
      </c>
      <c r="DJ2121" t="s">
        <v>15276</v>
      </c>
      <c r="DL2121">
        <v>50101</v>
      </c>
      <c r="DM2121" t="s">
        <v>20110</v>
      </c>
      <c r="DO2121" t="s">
        <v>20432</v>
      </c>
      <c r="DP2121">
        <v>0</v>
      </c>
      <c r="DQ2121">
        <v>4</v>
      </c>
      <c r="DR2121" t="s">
        <v>411</v>
      </c>
    </row>
    <row r="2122" spans="1:248" x14ac:dyDescent="0.25">
      <c r="A2122">
        <v>16487129</v>
      </c>
      <c r="B2122">
        <v>2121</v>
      </c>
      <c r="C2122" t="s">
        <v>393</v>
      </c>
      <c r="D2122" t="s">
        <v>394</v>
      </c>
      <c r="F2122" t="str">
        <f>"00-00-31-163V-0003-0000"</f>
        <v>00-00-31-163V-0003-0000</v>
      </c>
      <c r="H2122" t="str">
        <f>"CISCO ALETHA K"</f>
        <v>CISCO ALETHA K</v>
      </c>
      <c r="I2122" t="str">
        <f>"851 PARKVIEW PLACE W"</f>
        <v>851 PARKVIEW PLACE W</v>
      </c>
      <c r="J2122" t="str">
        <f>"FERNANDINA BEACH FL 32034"</f>
        <v>FERNANDINA BEACH FL 32034</v>
      </c>
      <c r="K2122" t="str">
        <f>"851 PARKVIEW PL W"</f>
        <v>851 PARKVIEW PL W</v>
      </c>
      <c r="L2122" t="str">
        <f t="shared" si="779"/>
        <v>FERNANDINA BEACH FL 32034</v>
      </c>
      <c r="M2122" t="str">
        <f>"LOT 3 IN OR 1240/1581 PARKVIEW PB 6/390"</f>
        <v>LOT 3 IN OR 1240/1581 PARKVIEW PB 6/390</v>
      </c>
      <c r="N2122" t="str">
        <f>""</f>
        <v/>
      </c>
      <c r="O2122" t="str">
        <f>"9869"</f>
        <v>9869</v>
      </c>
      <c r="P2122" t="str">
        <f t="shared" si="800"/>
        <v>2017</v>
      </c>
      <c r="Q2122" t="str">
        <f>""</f>
        <v/>
      </c>
      <c r="R2122" t="str">
        <f>"Y"</f>
        <v>Y</v>
      </c>
      <c r="S2122" t="str">
        <f>""</f>
        <v/>
      </c>
      <c r="T2122" t="str">
        <f>"3961.91"</f>
        <v>3961.91</v>
      </c>
      <c r="U2122" t="str">
        <f>"240508.00"</f>
        <v>240508.00</v>
      </c>
      <c r="V2122" t="str">
        <f>"240508.00"</f>
        <v>240508.00</v>
      </c>
      <c r="W2122" t="str">
        <f t="shared" si="801"/>
        <v>2017</v>
      </c>
      <c r="X2122" t="str">
        <f>"2.00"</f>
        <v>2.00</v>
      </c>
      <c r="Y2122" t="str">
        <f>"4112.77"</f>
        <v>4112.77</v>
      </c>
      <c r="Z2122" t="str">
        <f>"25000.00"</f>
        <v>25000.00</v>
      </c>
      <c r="AA2122" t="str">
        <f>"215508.00"</f>
        <v>215508.00</v>
      </c>
      <c r="AB2122" t="str">
        <f t="shared" si="791"/>
        <v>Residential</v>
      </c>
      <c r="AC2122" t="str">
        <f t="shared" si="781"/>
        <v>0</v>
      </c>
      <c r="AD2122" t="str">
        <f>"4"</f>
        <v>4</v>
      </c>
      <c r="AE2122" t="str">
        <f>"WOOD (INCLUDE STEEL STUDS)"</f>
        <v>WOOD (INCLUDE STEEL STUDS)</v>
      </c>
      <c r="AF2122" t="str">
        <f>"001"</f>
        <v>001</v>
      </c>
      <c r="AG2122" t="str">
        <f>"FL"</f>
        <v>FL</v>
      </c>
      <c r="AH2122" t="str">
        <f>"8000.00"</f>
        <v>8000.00</v>
      </c>
      <c r="AI2122" t="str">
        <f>"60000.00"</f>
        <v>60000.00</v>
      </c>
      <c r="AJ2122" t="str">
        <f>"C55-000-589-0497-0"</f>
        <v>C55-000-589-0497-0</v>
      </c>
      <c r="AK2122" t="str">
        <f>"46854"</f>
        <v>46854</v>
      </c>
      <c r="AL2122">
        <v>8</v>
      </c>
      <c r="AM2122">
        <v>2425</v>
      </c>
      <c r="AN2122">
        <v>4316.8100000000004</v>
      </c>
      <c r="AQ2122" t="s">
        <v>20433</v>
      </c>
      <c r="AR2122" t="s">
        <v>20433</v>
      </c>
      <c r="AS2122" t="s">
        <v>20433</v>
      </c>
      <c r="AU2122" t="s">
        <v>396</v>
      </c>
      <c r="AV2122">
        <v>2017</v>
      </c>
      <c r="AW2122" t="str">
        <f>"00-00-31-163V-0003-0000 "</f>
        <v xml:space="preserve">00-00-31-163V-0003-0000 </v>
      </c>
      <c r="AX2122">
        <v>851</v>
      </c>
      <c r="AZ2122" t="s">
        <v>20434</v>
      </c>
      <c r="BA2122" t="s">
        <v>641</v>
      </c>
      <c r="BB2122" t="s">
        <v>4459</v>
      </c>
      <c r="BD2122" t="s">
        <v>11749</v>
      </c>
      <c r="BE2122" t="s">
        <v>393</v>
      </c>
      <c r="BF2122">
        <v>32034</v>
      </c>
      <c r="BG2122" t="s">
        <v>19577</v>
      </c>
      <c r="BH2122" t="s">
        <v>11751</v>
      </c>
      <c r="BI2122">
        <v>-81.446956156422999</v>
      </c>
      <c r="BJ2122">
        <v>30.6585137054184</v>
      </c>
      <c r="BK2122" t="s">
        <v>20435</v>
      </c>
      <c r="BL2122" t="s">
        <v>20436</v>
      </c>
      <c r="BM2122" t="s">
        <v>19577</v>
      </c>
      <c r="BN2122" t="s">
        <v>3983</v>
      </c>
      <c r="BO2122">
        <v>32034</v>
      </c>
      <c r="BP2122" t="s">
        <v>416</v>
      </c>
      <c r="BQ2122">
        <v>100</v>
      </c>
      <c r="BR2122" t="s">
        <v>514</v>
      </c>
      <c r="BS2122">
        <v>1001</v>
      </c>
      <c r="BT2122" t="s">
        <v>515</v>
      </c>
      <c r="BW2122">
        <v>8002</v>
      </c>
      <c r="BX2122" t="s">
        <v>407</v>
      </c>
      <c r="BY2122" t="s">
        <v>19842</v>
      </c>
      <c r="BZ2122">
        <v>4</v>
      </c>
      <c r="CA2122">
        <v>2004</v>
      </c>
      <c r="CB2122">
        <v>1.5</v>
      </c>
      <c r="CC2122">
        <v>1</v>
      </c>
      <c r="CD2122">
        <v>2017</v>
      </c>
      <c r="CE2122">
        <v>60000</v>
      </c>
      <c r="CF2122">
        <v>180508</v>
      </c>
      <c r="CG2122">
        <v>240508</v>
      </c>
      <c r="CH2122">
        <v>2017</v>
      </c>
      <c r="CI2122">
        <v>60000</v>
      </c>
      <c r="CJ2122">
        <v>180508</v>
      </c>
      <c r="CK2122">
        <v>240508</v>
      </c>
      <c r="CL2122">
        <v>2017</v>
      </c>
      <c r="CM2122">
        <v>3961.91</v>
      </c>
      <c r="CN2122" s="1">
        <v>43178</v>
      </c>
      <c r="CO2122">
        <v>485000</v>
      </c>
      <c r="CV2122">
        <v>611573</v>
      </c>
      <c r="CX2122" t="s">
        <v>693</v>
      </c>
      <c r="CZ2122" s="1">
        <v>43178</v>
      </c>
      <c r="DA2122">
        <v>0</v>
      </c>
      <c r="DD2122" t="s">
        <v>11749</v>
      </c>
      <c r="DF2122">
        <v>3</v>
      </c>
      <c r="DG2122">
        <v>27</v>
      </c>
      <c r="DJ2122" t="s">
        <v>20434</v>
      </c>
      <c r="DL2122">
        <v>50101</v>
      </c>
      <c r="DM2122" t="s">
        <v>16992</v>
      </c>
      <c r="DO2122" t="s">
        <v>20437</v>
      </c>
      <c r="DP2122">
        <v>0</v>
      </c>
      <c r="DQ2122">
        <v>0</v>
      </c>
      <c r="DR2122" t="s">
        <v>411</v>
      </c>
      <c r="EP2122" t="s">
        <v>421</v>
      </c>
      <c r="EQ2122" t="s">
        <v>422</v>
      </c>
      <c r="ER2122">
        <v>0</v>
      </c>
      <c r="ES2122">
        <v>2</v>
      </c>
      <c r="ET2122">
        <v>0</v>
      </c>
      <c r="EU2122">
        <v>0</v>
      </c>
      <c r="EV2122">
        <v>0</v>
      </c>
      <c r="EW2122" s="2">
        <v>43222</v>
      </c>
      <c r="EX2122" s="1">
        <v>42879</v>
      </c>
      <c r="EY2122">
        <v>2016</v>
      </c>
      <c r="EZ2122">
        <v>5177.09</v>
      </c>
      <c r="FA2122" t="s">
        <v>20438</v>
      </c>
      <c r="FB2122">
        <v>0.25</v>
      </c>
      <c r="FC2122" t="s">
        <v>424</v>
      </c>
      <c r="FD2122" t="s">
        <v>425</v>
      </c>
      <c r="FE2122" s="1">
        <v>42929</v>
      </c>
      <c r="FF2122">
        <v>2</v>
      </c>
      <c r="FG2122">
        <v>2851116</v>
      </c>
      <c r="FH2122" t="s">
        <v>480</v>
      </c>
      <c r="FJ2122" s="1">
        <v>42879</v>
      </c>
      <c r="FK2122">
        <v>2016</v>
      </c>
      <c r="FL2122">
        <v>5177.09</v>
      </c>
      <c r="FM2122" t="s">
        <v>20438</v>
      </c>
      <c r="FN2122">
        <v>0.25</v>
      </c>
      <c r="FO2122" t="s">
        <v>424</v>
      </c>
      <c r="FP2122" t="s">
        <v>425</v>
      </c>
      <c r="FR2122">
        <v>22</v>
      </c>
      <c r="FS2122">
        <v>5425656</v>
      </c>
      <c r="FT2122" t="s">
        <v>20439</v>
      </c>
    </row>
    <row r="2123" spans="1:248" x14ac:dyDescent="0.25">
      <c r="A2123">
        <v>16487130</v>
      </c>
      <c r="B2123">
        <v>2122</v>
      </c>
      <c r="C2123" t="s">
        <v>393</v>
      </c>
      <c r="D2123" t="s">
        <v>394</v>
      </c>
      <c r="F2123" t="str">
        <f>"00-00-31-1652-0001-0000"</f>
        <v>00-00-31-1652-0001-0000</v>
      </c>
      <c r="H2123" t="str">
        <f>"WARNER BRETT C"</f>
        <v>WARNER BRETT C</v>
      </c>
      <c r="I2123" t="str">
        <f>"1417 SADLER 331"</f>
        <v>1417 SADLER 331</v>
      </c>
      <c r="J2123" t="str">
        <f>"FERNANDINA BEACH FL 32034"</f>
        <v>FERNANDINA BEACH FL 32034</v>
      </c>
      <c r="K2123" t="str">
        <f>"2763 LONG BOAT DR"</f>
        <v>2763 LONG BOAT DR</v>
      </c>
      <c r="L2123" t="str">
        <f t="shared" si="779"/>
        <v>FERNANDINA BEACH FL 32034</v>
      </c>
      <c r="M2123" t="str">
        <f>"LOT 1 &amp; PT OF LOT 42(S-1) THE RESIDENCE at AMELIA LANDING 1 PB 5/247 IN OR 934/1837 EX S-3 OF LOT 42 THE RESIDENCE at AMELIA LANDINGS 4 PB 6/29"</f>
        <v>LOT 1 &amp; PT OF LOT 42(S-1) THE RESIDENCE at AMELIA LANDING 1 PB 5/247 IN OR 934/1837 EX S-3 OF LOT 42 THE RESIDENCE at AMELIA LANDINGS 4 PB 6/29</v>
      </c>
      <c r="N2123" t="str">
        <f>""</f>
        <v/>
      </c>
      <c r="O2123" t="str">
        <f>"10142"</f>
        <v>10142</v>
      </c>
      <c r="P2123" t="str">
        <f t="shared" si="800"/>
        <v>2017</v>
      </c>
      <c r="Q2123" t="str">
        <f>""</f>
        <v/>
      </c>
      <c r="R2123" t="str">
        <f>"N"</f>
        <v>N</v>
      </c>
      <c r="S2123" t="str">
        <f>""</f>
        <v/>
      </c>
      <c r="T2123" t="str">
        <f>"6364.07"</f>
        <v>6364.07</v>
      </c>
      <c r="U2123" t="str">
        <f>"317934.00"</f>
        <v>317934.00</v>
      </c>
      <c r="V2123" t="str">
        <f>"317934.00"</f>
        <v>317934.00</v>
      </c>
      <c r="W2123" t="str">
        <f t="shared" si="801"/>
        <v>2017</v>
      </c>
      <c r="X2123" t="str">
        <f>""</f>
        <v/>
      </c>
      <c r="Y2123" t="str">
        <f>"6586.99"</f>
        <v>6586.99</v>
      </c>
      <c r="Z2123" t="str">
        <f>""</f>
        <v/>
      </c>
      <c r="AA2123" t="str">
        <f>"322091.00"</f>
        <v>322091.00</v>
      </c>
      <c r="AB2123" t="str">
        <f t="shared" si="791"/>
        <v>Residential</v>
      </c>
      <c r="AC2123" t="str">
        <f t="shared" si="781"/>
        <v>0</v>
      </c>
      <c r="AD2123" t="str">
        <f>"4"</f>
        <v>4</v>
      </c>
      <c r="AE2123" t="str">
        <f>"WOOD (INCLUDE STEEL STUDS)"</f>
        <v>WOOD (INCLUDE STEEL STUDS)</v>
      </c>
      <c r="AF2123" t="str">
        <f>"001"</f>
        <v>001</v>
      </c>
      <c r="AG2123" t="str">
        <f>"FL"</f>
        <v>FL</v>
      </c>
      <c r="AH2123" t="str">
        <f t="shared" ref="AH2123:AH2130" si="803">"-"</f>
        <v>-</v>
      </c>
      <c r="AI2123" t="str">
        <f>"110000.00"</f>
        <v>110000.00</v>
      </c>
      <c r="AJ2123" t="str">
        <f>"C55-000-585-7805-5"</f>
        <v>C55-000-585-7805-5</v>
      </c>
      <c r="AK2123" t="str">
        <f>"47246"</f>
        <v>47246</v>
      </c>
      <c r="AL2123">
        <v>8</v>
      </c>
      <c r="AM2123">
        <v>2426</v>
      </c>
      <c r="AN2123">
        <v>6914.74</v>
      </c>
      <c r="AQ2123" t="s">
        <v>20440</v>
      </c>
      <c r="AR2123" t="s">
        <v>20440</v>
      </c>
      <c r="AS2123" t="s">
        <v>20440</v>
      </c>
      <c r="AU2123" t="s">
        <v>396</v>
      </c>
      <c r="AV2123">
        <v>2017</v>
      </c>
      <c r="AW2123" t="str">
        <f>"00-00-31-1652-0001-0000 "</f>
        <v xml:space="preserve">00-00-31-1652-0001-0000 </v>
      </c>
      <c r="AX2123">
        <v>2763</v>
      </c>
      <c r="AZ2123" t="s">
        <v>20441</v>
      </c>
      <c r="BA2123" t="s">
        <v>669</v>
      </c>
      <c r="BD2123" t="s">
        <v>11749</v>
      </c>
      <c r="BE2123" t="s">
        <v>393</v>
      </c>
      <c r="BF2123">
        <v>32034</v>
      </c>
      <c r="BG2123" t="s">
        <v>20442</v>
      </c>
      <c r="BH2123" t="s">
        <v>11751</v>
      </c>
      <c r="BI2123">
        <v>-81.4390517636444</v>
      </c>
      <c r="BJ2123">
        <v>30.635223766159701</v>
      </c>
      <c r="BK2123" t="s">
        <v>20443</v>
      </c>
      <c r="BM2123" t="s">
        <v>20444</v>
      </c>
      <c r="BN2123" t="s">
        <v>3983</v>
      </c>
      <c r="BO2123">
        <v>32034</v>
      </c>
      <c r="BP2123" t="s">
        <v>404</v>
      </c>
      <c r="BQ2123">
        <v>100</v>
      </c>
      <c r="BR2123" t="s">
        <v>514</v>
      </c>
      <c r="BS2123">
        <v>1001</v>
      </c>
      <c r="BT2123" t="s">
        <v>515</v>
      </c>
      <c r="BW2123">
        <v>11931</v>
      </c>
      <c r="BX2123" t="s">
        <v>407</v>
      </c>
      <c r="BY2123" t="s">
        <v>3019</v>
      </c>
      <c r="BZ2123">
        <v>4</v>
      </c>
      <c r="CA2123">
        <v>1996</v>
      </c>
      <c r="CB2123">
        <v>2</v>
      </c>
      <c r="CC2123">
        <v>1</v>
      </c>
      <c r="CD2123">
        <v>2017</v>
      </c>
      <c r="CE2123">
        <v>110000</v>
      </c>
      <c r="CF2123">
        <v>212091</v>
      </c>
      <c r="CG2123">
        <v>322091</v>
      </c>
      <c r="CH2123">
        <v>2017</v>
      </c>
      <c r="CI2123">
        <v>110000</v>
      </c>
      <c r="CJ2123">
        <v>212091</v>
      </c>
      <c r="CK2123">
        <v>322091</v>
      </c>
      <c r="CL2123">
        <v>2017</v>
      </c>
      <c r="CM2123">
        <v>6364.07</v>
      </c>
      <c r="CN2123" s="1">
        <v>36679</v>
      </c>
      <c r="CO2123">
        <v>267900</v>
      </c>
      <c r="CV2123">
        <v>241110</v>
      </c>
      <c r="CZ2123" s="1">
        <v>36679</v>
      </c>
      <c r="DA2123">
        <v>0</v>
      </c>
      <c r="DD2123" t="s">
        <v>11749</v>
      </c>
      <c r="DF2123">
        <v>1</v>
      </c>
      <c r="DG2123">
        <v>20</v>
      </c>
      <c r="DJ2123" t="s">
        <v>20445</v>
      </c>
      <c r="DL2123">
        <v>50202</v>
      </c>
      <c r="DM2123" t="s">
        <v>19314</v>
      </c>
      <c r="DO2123" t="s">
        <v>20446</v>
      </c>
      <c r="DP2123">
        <v>0</v>
      </c>
      <c r="DQ2123">
        <v>0</v>
      </c>
      <c r="DR2123" t="s">
        <v>411</v>
      </c>
    </row>
    <row r="2124" spans="1:248" x14ac:dyDescent="0.25">
      <c r="A2124">
        <v>16487131</v>
      </c>
      <c r="B2124">
        <v>2123</v>
      </c>
      <c r="C2124" t="s">
        <v>393</v>
      </c>
      <c r="D2124" t="s">
        <v>394</v>
      </c>
      <c r="F2124" t="str">
        <f>"00-00-31-1665-0110-0000"</f>
        <v>00-00-31-1665-0110-0000</v>
      </c>
      <c r="H2124" t="str">
        <f>"TRAPNELL RALPH"</f>
        <v>TRAPNELL RALPH</v>
      </c>
      <c r="I2124" t="str">
        <f>"PO BOX 1409"</f>
        <v>PO BOX 1409</v>
      </c>
      <c r="J2124" t="str">
        <f>"JESUP GA 31598"</f>
        <v>JESUP GA 31598</v>
      </c>
      <c r="K2124" t="str">
        <f>"3056 FLETCHER AVE S 110"</f>
        <v>3056 FLETCHER AVE S 110</v>
      </c>
      <c r="L2124" t="str">
        <f t="shared" si="779"/>
        <v>FERNANDINA BEACH FL 32034</v>
      </c>
      <c r="M2124" t="str">
        <f>"UNIT 110 IN OR 1456/199 SAND DOLLAR VILLAS OR 358/475"</f>
        <v>UNIT 110 IN OR 1456/199 SAND DOLLAR VILLAS OR 358/475</v>
      </c>
      <c r="N2124" t="str">
        <f>""</f>
        <v/>
      </c>
      <c r="O2124" t="str">
        <f>"10218"</f>
        <v>10218</v>
      </c>
      <c r="P2124" t="str">
        <f t="shared" si="800"/>
        <v>2017</v>
      </c>
      <c r="Q2124" t="str">
        <f>""</f>
        <v/>
      </c>
      <c r="R2124" t="str">
        <f>"N"</f>
        <v>N</v>
      </c>
      <c r="S2124" t="str">
        <f>""</f>
        <v/>
      </c>
      <c r="T2124" t="str">
        <f>"4245.24"</f>
        <v>4245.24</v>
      </c>
      <c r="U2124" t="str">
        <f>"213000.00"</f>
        <v>213000.00</v>
      </c>
      <c r="V2124" t="str">
        <f>"213000.00"</f>
        <v>213000.00</v>
      </c>
      <c r="W2124" t="str">
        <f t="shared" si="801"/>
        <v>2017</v>
      </c>
      <c r="X2124" t="str">
        <f>""</f>
        <v/>
      </c>
      <c r="Y2124" t="str">
        <f>"4404.60"</f>
        <v>4404.60</v>
      </c>
      <c r="Z2124" t="str">
        <f>""</f>
        <v/>
      </c>
      <c r="AA2124" t="str">
        <f>"213000.00"</f>
        <v>213000.00</v>
      </c>
      <c r="AB2124" t="str">
        <f t="shared" si="791"/>
        <v>Residential</v>
      </c>
      <c r="AC2124" t="str">
        <f t="shared" si="781"/>
        <v>0</v>
      </c>
      <c r="AD2124" t="str">
        <f>""</f>
        <v/>
      </c>
      <c r="AE2124" t="str">
        <f>""</f>
        <v/>
      </c>
      <c r="AF2124" t="str">
        <f>"004"</f>
        <v>004</v>
      </c>
      <c r="AG2124" t="str">
        <f>"GA"</f>
        <v>GA</v>
      </c>
      <c r="AH2124" t="str">
        <f t="shared" si="803"/>
        <v>-</v>
      </c>
      <c r="AI2124" t="str">
        <f>"-"</f>
        <v>-</v>
      </c>
      <c r="AJ2124" t="str">
        <f>"C55-000-585-7863-4"</f>
        <v>C55-000-585-7863-4</v>
      </c>
      <c r="AK2124" t="str">
        <f>"47307"</f>
        <v>47307</v>
      </c>
      <c r="AL2124">
        <v>8</v>
      </c>
      <c r="AM2124">
        <v>2427</v>
      </c>
      <c r="AN2124">
        <v>4623.2299999999996</v>
      </c>
      <c r="AQ2124" t="s">
        <v>20447</v>
      </c>
      <c r="AR2124" t="s">
        <v>20447</v>
      </c>
      <c r="AS2124" t="s">
        <v>20447</v>
      </c>
      <c r="AU2124" t="s">
        <v>396</v>
      </c>
      <c r="AV2124">
        <v>2017</v>
      </c>
      <c r="AW2124" t="str">
        <f>"00-00-31-1665-0110-0000 "</f>
        <v xml:space="preserve">00-00-31-1665-0110-0000 </v>
      </c>
      <c r="AX2124">
        <v>3056</v>
      </c>
      <c r="AZ2124" t="s">
        <v>18248</v>
      </c>
      <c r="BA2124" t="s">
        <v>1112</v>
      </c>
      <c r="BB2124" t="s">
        <v>18674</v>
      </c>
      <c r="BC2124">
        <v>110</v>
      </c>
      <c r="BD2124" t="s">
        <v>11749</v>
      </c>
      <c r="BE2124" t="s">
        <v>393</v>
      </c>
      <c r="BF2124">
        <v>32034</v>
      </c>
      <c r="BG2124" t="s">
        <v>20448</v>
      </c>
      <c r="BH2124" t="s">
        <v>11751</v>
      </c>
      <c r="BI2124">
        <v>-81.4394066016458</v>
      </c>
      <c r="BJ2124">
        <v>30.623586586163501</v>
      </c>
      <c r="BK2124" t="s">
        <v>20449</v>
      </c>
      <c r="BM2124" t="s">
        <v>20450</v>
      </c>
      <c r="BN2124" t="s">
        <v>19614</v>
      </c>
      <c r="BO2124">
        <v>31598</v>
      </c>
      <c r="BP2124" t="s">
        <v>404</v>
      </c>
      <c r="BQ2124">
        <v>400</v>
      </c>
      <c r="BR2124" t="s">
        <v>15097</v>
      </c>
      <c r="BS2124">
        <v>1004</v>
      </c>
      <c r="BT2124" t="s">
        <v>15098</v>
      </c>
      <c r="BW2124">
        <v>93458</v>
      </c>
      <c r="BX2124" t="s">
        <v>407</v>
      </c>
      <c r="CA2124">
        <v>1982</v>
      </c>
      <c r="CC2124">
        <v>1</v>
      </c>
      <c r="CD2124">
        <v>2017</v>
      </c>
      <c r="CF2124">
        <v>213000</v>
      </c>
      <c r="CG2124">
        <v>213000</v>
      </c>
      <c r="CH2124">
        <v>2017</v>
      </c>
      <c r="CJ2124">
        <v>213000</v>
      </c>
      <c r="CK2124">
        <v>213000</v>
      </c>
      <c r="CL2124">
        <v>2017</v>
      </c>
      <c r="CM2124">
        <v>4245.24</v>
      </c>
      <c r="CN2124" s="1">
        <v>39022</v>
      </c>
      <c r="CO2124">
        <v>15000</v>
      </c>
      <c r="CV2124">
        <v>405173</v>
      </c>
      <c r="CX2124" t="s">
        <v>693</v>
      </c>
      <c r="CZ2124" s="1">
        <v>39022</v>
      </c>
      <c r="DA2124">
        <v>0</v>
      </c>
      <c r="DD2124" t="s">
        <v>11749</v>
      </c>
      <c r="DG2124">
        <v>6</v>
      </c>
      <c r="DI2124">
        <v>110</v>
      </c>
      <c r="DJ2124" t="s">
        <v>20451</v>
      </c>
      <c r="DL2124">
        <v>50202</v>
      </c>
      <c r="DM2124" t="s">
        <v>19579</v>
      </c>
      <c r="DO2124" t="s">
        <v>20452</v>
      </c>
      <c r="DP2124">
        <v>0</v>
      </c>
      <c r="DQ2124">
        <v>0</v>
      </c>
      <c r="DR2124" t="s">
        <v>411</v>
      </c>
      <c r="DS2124" t="b">
        <v>1</v>
      </c>
      <c r="DT2124" t="s">
        <v>15881</v>
      </c>
      <c r="DV2124" t="s">
        <v>446</v>
      </c>
      <c r="DX2124">
        <v>11</v>
      </c>
      <c r="DY2124" t="s">
        <v>11438</v>
      </c>
      <c r="DZ2124" t="s">
        <v>447</v>
      </c>
      <c r="EA2124" t="s">
        <v>448</v>
      </c>
      <c r="EB2124" t="s">
        <v>19581</v>
      </c>
      <c r="EC2124">
        <v>20101217</v>
      </c>
      <c r="ED2124" t="s">
        <v>450</v>
      </c>
      <c r="EE2124">
        <v>5</v>
      </c>
      <c r="EF2124">
        <v>0</v>
      </c>
      <c r="EG2124">
        <v>0</v>
      </c>
      <c r="EI2124">
        <v>20160407</v>
      </c>
      <c r="EJ2124">
        <v>0</v>
      </c>
      <c r="EK2124">
        <v>0</v>
      </c>
    </row>
    <row r="2125" spans="1:248" x14ac:dyDescent="0.25">
      <c r="A2125">
        <v>16487132</v>
      </c>
      <c r="B2125">
        <v>2124</v>
      </c>
      <c r="C2125" t="s">
        <v>393</v>
      </c>
      <c r="D2125" t="s">
        <v>394</v>
      </c>
      <c r="F2125" t="str">
        <f>"00-00-31-1665-0111-0000"</f>
        <v>00-00-31-1665-0111-0000</v>
      </c>
      <c r="H2125" t="str">
        <f>"JAMES LESLIE PROPERTIES LLC"</f>
        <v>JAMES LESLIE PROPERTIES LLC</v>
      </c>
      <c r="I2125" t="str">
        <f>"162 VIRGINIA AVENUE SOUTH"</f>
        <v>162 VIRGINIA AVENUE SOUTH</v>
      </c>
      <c r="J2125" t="str">
        <f>"TIFTON GA 31794"</f>
        <v>TIFTON GA 31794</v>
      </c>
      <c r="K2125" t="str">
        <f>"3056 FLETCHER AVE S 111"</f>
        <v>3056 FLETCHER AVE S 111</v>
      </c>
      <c r="L2125" t="str">
        <f t="shared" si="779"/>
        <v>FERNANDINA BEACH FL 32034</v>
      </c>
      <c r="M2125" t="str">
        <f>"UNIT 111 IN OR 2073/1490 SAND DOLLAR VILLAS OR 358/475"</f>
        <v>UNIT 111 IN OR 2073/1490 SAND DOLLAR VILLAS OR 358/475</v>
      </c>
      <c r="N2125" t="str">
        <f>""</f>
        <v/>
      </c>
      <c r="O2125" t="str">
        <f>"10219"</f>
        <v>10219</v>
      </c>
      <c r="P2125" t="str">
        <f t="shared" si="800"/>
        <v>2017</v>
      </c>
      <c r="Q2125" t="str">
        <f>""</f>
        <v/>
      </c>
      <c r="R2125" t="str">
        <f>"N"</f>
        <v>N</v>
      </c>
      <c r="S2125" t="str">
        <f>""</f>
        <v/>
      </c>
      <c r="T2125" t="str">
        <f>"4245.24"</f>
        <v>4245.24</v>
      </c>
      <c r="U2125" t="str">
        <f>"213000.00"</f>
        <v>213000.00</v>
      </c>
      <c r="V2125" t="str">
        <f>"213000.00"</f>
        <v>213000.00</v>
      </c>
      <c r="W2125" t="str">
        <f t="shared" si="801"/>
        <v>2017</v>
      </c>
      <c r="X2125" t="str">
        <f>""</f>
        <v/>
      </c>
      <c r="Y2125" t="str">
        <f>"4404.60"</f>
        <v>4404.60</v>
      </c>
      <c r="Z2125" t="str">
        <f>""</f>
        <v/>
      </c>
      <c r="AA2125" t="str">
        <f>"213000.00"</f>
        <v>213000.00</v>
      </c>
      <c r="AB2125" t="str">
        <f t="shared" si="791"/>
        <v>Residential</v>
      </c>
      <c r="AC2125" t="str">
        <f t="shared" si="781"/>
        <v>0</v>
      </c>
      <c r="AD2125" t="str">
        <f>""</f>
        <v/>
      </c>
      <c r="AE2125" t="str">
        <f>""</f>
        <v/>
      </c>
      <c r="AF2125" t="str">
        <f>"004"</f>
        <v>004</v>
      </c>
      <c r="AG2125" t="str">
        <f>"GA"</f>
        <v>GA</v>
      </c>
      <c r="AH2125" t="str">
        <f t="shared" si="803"/>
        <v>-</v>
      </c>
      <c r="AI2125" t="str">
        <f>"-"</f>
        <v>-</v>
      </c>
      <c r="AJ2125" t="str">
        <f>"C55-000-585-7864-2"</f>
        <v>C55-000-585-7864-2</v>
      </c>
      <c r="AK2125" t="str">
        <f>"47308"</f>
        <v>47308</v>
      </c>
      <c r="AL2125">
        <v>8</v>
      </c>
      <c r="AM2125">
        <v>2428</v>
      </c>
      <c r="AN2125">
        <v>4623.2299999999996</v>
      </c>
      <c r="AQ2125" t="s">
        <v>20453</v>
      </c>
      <c r="AR2125" t="s">
        <v>20453</v>
      </c>
      <c r="AS2125" t="s">
        <v>20453</v>
      </c>
      <c r="AU2125" t="s">
        <v>396</v>
      </c>
      <c r="AV2125">
        <v>2017</v>
      </c>
      <c r="AW2125" t="str">
        <f>"00-00-31-1665-0111-0000 "</f>
        <v xml:space="preserve">00-00-31-1665-0111-0000 </v>
      </c>
      <c r="AX2125">
        <v>3056</v>
      </c>
      <c r="AZ2125" t="s">
        <v>18248</v>
      </c>
      <c r="BA2125" t="s">
        <v>1112</v>
      </c>
      <c r="BB2125" t="s">
        <v>18674</v>
      </c>
      <c r="BC2125">
        <v>111</v>
      </c>
      <c r="BD2125" t="s">
        <v>11749</v>
      </c>
      <c r="BE2125" t="s">
        <v>393</v>
      </c>
      <c r="BF2125">
        <v>32034</v>
      </c>
      <c r="BG2125" t="s">
        <v>20454</v>
      </c>
      <c r="BH2125" t="s">
        <v>11751</v>
      </c>
      <c r="BI2125">
        <v>-81.4394066016458</v>
      </c>
      <c r="BJ2125">
        <v>30.623586586163501</v>
      </c>
      <c r="BK2125" t="s">
        <v>20455</v>
      </c>
      <c r="BM2125" t="s">
        <v>20456</v>
      </c>
      <c r="BN2125" t="s">
        <v>20457</v>
      </c>
      <c r="BO2125">
        <v>31794</v>
      </c>
      <c r="BP2125" t="s">
        <v>404</v>
      </c>
      <c r="BQ2125">
        <v>400</v>
      </c>
      <c r="BR2125" t="s">
        <v>15097</v>
      </c>
      <c r="BS2125">
        <v>1004</v>
      </c>
      <c r="BT2125" t="s">
        <v>15098</v>
      </c>
      <c r="BW2125">
        <v>93458</v>
      </c>
      <c r="BX2125" t="s">
        <v>407</v>
      </c>
      <c r="CA2125">
        <v>1982</v>
      </c>
      <c r="CC2125">
        <v>1</v>
      </c>
      <c r="CD2125">
        <v>2017</v>
      </c>
      <c r="CF2125">
        <v>213000</v>
      </c>
      <c r="CG2125">
        <v>213000</v>
      </c>
      <c r="CH2125">
        <v>2017</v>
      </c>
      <c r="CJ2125">
        <v>213000</v>
      </c>
      <c r="CK2125">
        <v>213000</v>
      </c>
      <c r="CL2125">
        <v>2017</v>
      </c>
      <c r="CM2125">
        <v>4245.24</v>
      </c>
      <c r="CN2125" s="1">
        <v>42636</v>
      </c>
      <c r="CO2125">
        <v>262500</v>
      </c>
      <c r="CV2125">
        <v>210000</v>
      </c>
      <c r="CX2125" t="s">
        <v>2042</v>
      </c>
      <c r="CZ2125" s="1">
        <v>42636</v>
      </c>
      <c r="DA2125">
        <v>0</v>
      </c>
      <c r="DD2125" t="s">
        <v>11749</v>
      </c>
      <c r="DG2125">
        <v>6</v>
      </c>
      <c r="DI2125">
        <v>111</v>
      </c>
      <c r="DJ2125" t="s">
        <v>20451</v>
      </c>
      <c r="DL2125">
        <v>50202</v>
      </c>
      <c r="DM2125" t="s">
        <v>19579</v>
      </c>
      <c r="DO2125" t="s">
        <v>20458</v>
      </c>
      <c r="DP2125">
        <v>0</v>
      </c>
      <c r="DQ2125">
        <v>0</v>
      </c>
      <c r="DR2125" t="s">
        <v>411</v>
      </c>
    </row>
    <row r="2126" spans="1:248" x14ac:dyDescent="0.25">
      <c r="A2126">
        <v>16487133</v>
      </c>
      <c r="B2126">
        <v>2125</v>
      </c>
      <c r="C2126" t="s">
        <v>393</v>
      </c>
      <c r="D2126" t="s">
        <v>394</v>
      </c>
      <c r="F2126" t="str">
        <f>"00-00-31-1665-0313-0000"</f>
        <v>00-00-31-1665-0313-0000</v>
      </c>
      <c r="H2126" t="str">
        <f>"SCARBORO JOHN &amp; FRANCES"</f>
        <v>SCARBORO JOHN &amp; FRANCES</v>
      </c>
      <c r="I2126" t="str">
        <f>"96510 BLACKROCK ROAD"</f>
        <v>96510 BLACKROCK ROAD</v>
      </c>
      <c r="J2126" t="str">
        <f t="shared" ref="J2126:J2131" si="804">"FERNANDINA BEACH FL 32034"</f>
        <v>FERNANDINA BEACH FL 32034</v>
      </c>
      <c r="K2126" t="str">
        <f>"3056 FLETCHER AVE S 313"</f>
        <v>3056 FLETCHER AVE S 313</v>
      </c>
      <c r="L2126" t="str">
        <f t="shared" si="779"/>
        <v>FERNANDINA BEACH FL 32034</v>
      </c>
      <c r="M2126" t="str">
        <f>"UNIT 313 IN OR 2144/1585 SAND DOLLAR VILLAS OR 358/475"</f>
        <v>UNIT 313 IN OR 2144/1585 SAND DOLLAR VILLAS OR 358/475</v>
      </c>
      <c r="N2126" t="str">
        <f>""</f>
        <v/>
      </c>
      <c r="O2126" t="str">
        <f>"10249"</f>
        <v>10249</v>
      </c>
      <c r="P2126" t="str">
        <f t="shared" si="800"/>
        <v>2017</v>
      </c>
      <c r="Q2126" t="str">
        <f>""</f>
        <v/>
      </c>
      <c r="R2126" t="str">
        <f>"Y"</f>
        <v>Y</v>
      </c>
      <c r="S2126" t="str">
        <f>""</f>
        <v/>
      </c>
      <c r="T2126" t="str">
        <f>"3442.79"</f>
        <v>3442.79</v>
      </c>
      <c r="U2126" t="str">
        <f>"247270.00"</f>
        <v>247270.00</v>
      </c>
      <c r="V2126" t="str">
        <f>"247270.00"</f>
        <v>247270.00</v>
      </c>
      <c r="W2126" t="str">
        <f t="shared" si="801"/>
        <v>2017</v>
      </c>
      <c r="X2126" t="str">
        <f>""</f>
        <v/>
      </c>
      <c r="Y2126" t="str">
        <f>"3578.07"</f>
        <v>3578.07</v>
      </c>
      <c r="Z2126" t="str">
        <f>"25500.00"</f>
        <v>25500.00</v>
      </c>
      <c r="AA2126" t="str">
        <f>"221770.00"</f>
        <v>221770.00</v>
      </c>
      <c r="AB2126" t="str">
        <f t="shared" si="791"/>
        <v>Residential</v>
      </c>
      <c r="AC2126" t="str">
        <f t="shared" si="781"/>
        <v>0</v>
      </c>
      <c r="AD2126" t="str">
        <f>""</f>
        <v/>
      </c>
      <c r="AE2126" t="str">
        <f>""</f>
        <v/>
      </c>
      <c r="AF2126" t="str">
        <f>"004"</f>
        <v>004</v>
      </c>
      <c r="AG2126" t="str">
        <f t="shared" ref="AG2126:AG2131" si="805">"FL"</f>
        <v>FL</v>
      </c>
      <c r="AH2126" t="str">
        <f t="shared" si="803"/>
        <v>-</v>
      </c>
      <c r="AI2126" t="str">
        <f>"-"</f>
        <v>-</v>
      </c>
      <c r="AJ2126" t="str">
        <f>"C55-000-585-7894-9"</f>
        <v>C55-000-585-7894-9</v>
      </c>
      <c r="AK2126" t="str">
        <f>"47338"</f>
        <v>47338</v>
      </c>
      <c r="AL2126">
        <v>8</v>
      </c>
      <c r="AM2126">
        <v>2429</v>
      </c>
      <c r="AN2126">
        <v>3755.37</v>
      </c>
      <c r="AQ2126" t="s">
        <v>20459</v>
      </c>
      <c r="AR2126" t="s">
        <v>20459</v>
      </c>
      <c r="AS2126" t="s">
        <v>20459</v>
      </c>
      <c r="AU2126" t="s">
        <v>396</v>
      </c>
      <c r="AV2126">
        <v>2017</v>
      </c>
      <c r="AW2126" t="str">
        <f>"00-00-31-1665-0313-0000 "</f>
        <v xml:space="preserve">00-00-31-1665-0313-0000 </v>
      </c>
      <c r="AX2126">
        <v>3056</v>
      </c>
      <c r="AZ2126" t="s">
        <v>18248</v>
      </c>
      <c r="BA2126" t="s">
        <v>1112</v>
      </c>
      <c r="BB2126" t="s">
        <v>18674</v>
      </c>
      <c r="BC2126">
        <v>313</v>
      </c>
      <c r="BD2126" t="s">
        <v>11749</v>
      </c>
      <c r="BE2126" t="s">
        <v>393</v>
      </c>
      <c r="BF2126">
        <v>32034</v>
      </c>
      <c r="BG2126" t="s">
        <v>20460</v>
      </c>
      <c r="BH2126" t="s">
        <v>11751</v>
      </c>
      <c r="BI2126">
        <v>-81.4394066016458</v>
      </c>
      <c r="BJ2126">
        <v>30.623586586163501</v>
      </c>
      <c r="BK2126" t="s">
        <v>20461</v>
      </c>
      <c r="BL2126" t="s">
        <v>20462</v>
      </c>
      <c r="BM2126" t="s">
        <v>18171</v>
      </c>
      <c r="BN2126" t="s">
        <v>3983</v>
      </c>
      <c r="BO2126">
        <v>32034</v>
      </c>
      <c r="BP2126" t="s">
        <v>404</v>
      </c>
      <c r="BQ2126">
        <v>400</v>
      </c>
      <c r="BR2126" t="s">
        <v>15097</v>
      </c>
      <c r="BS2126">
        <v>1004</v>
      </c>
      <c r="BT2126" t="s">
        <v>15098</v>
      </c>
      <c r="BW2126">
        <v>93458</v>
      </c>
      <c r="BX2126" t="s">
        <v>407</v>
      </c>
      <c r="CA2126">
        <v>1982</v>
      </c>
      <c r="CC2126">
        <v>1</v>
      </c>
      <c r="CD2126">
        <v>2017</v>
      </c>
      <c r="CG2126">
        <v>247270</v>
      </c>
      <c r="CH2126">
        <v>2017</v>
      </c>
      <c r="CJ2126">
        <v>255600</v>
      </c>
      <c r="CK2126">
        <v>255600</v>
      </c>
      <c r="CL2126">
        <v>2017</v>
      </c>
      <c r="CM2126">
        <v>3442.79</v>
      </c>
      <c r="CN2126" s="1">
        <v>42984</v>
      </c>
      <c r="CO2126">
        <v>348000</v>
      </c>
      <c r="CV2126">
        <v>0</v>
      </c>
      <c r="CZ2126" s="1">
        <v>42984</v>
      </c>
      <c r="DA2126">
        <v>0</v>
      </c>
      <c r="DD2126" t="s">
        <v>11749</v>
      </c>
      <c r="DG2126">
        <v>6</v>
      </c>
      <c r="DI2126">
        <v>313</v>
      </c>
      <c r="DJ2126" t="s">
        <v>20451</v>
      </c>
      <c r="DL2126">
        <v>50202</v>
      </c>
      <c r="DM2126" t="s">
        <v>19579</v>
      </c>
      <c r="DO2126" t="s">
        <v>20463</v>
      </c>
      <c r="DP2126">
        <v>0</v>
      </c>
      <c r="DQ2126">
        <v>0</v>
      </c>
      <c r="DR2126" t="s">
        <v>411</v>
      </c>
    </row>
    <row r="2127" spans="1:248" x14ac:dyDescent="0.25">
      <c r="A2127">
        <v>16487134</v>
      </c>
      <c r="B2127">
        <v>2126</v>
      </c>
      <c r="C2127" t="s">
        <v>393</v>
      </c>
      <c r="D2127" t="s">
        <v>394</v>
      </c>
      <c r="F2127" t="str">
        <f>"00-00-31-1670-0006-0000"</f>
        <v>00-00-31-1670-0006-0000</v>
      </c>
      <c r="H2127" t="str">
        <f>"CRIBBS JACK W &amp; REBECCA M"</f>
        <v>CRIBBS JACK W &amp; REBECCA M</v>
      </c>
      <c r="I2127" t="str">
        <f>"3165 S FLETCHER AVE 6"</f>
        <v>3165 S FLETCHER AVE 6</v>
      </c>
      <c r="J2127" t="str">
        <f t="shared" si="804"/>
        <v>FERNANDINA BEACH FL 32034</v>
      </c>
      <c r="K2127" t="str">
        <f>"3165 S FLETCHER AV 6"</f>
        <v>3165 S FLETCHER AV 6</v>
      </c>
      <c r="L2127" t="str">
        <f t="shared" si="779"/>
        <v>FERNANDINA BEACH FL 32034</v>
      </c>
      <c r="M2127" t="str">
        <f>"LOT 6 IN OR 736/1016 SEA CASTLES PB 4 PG 100"</f>
        <v>LOT 6 IN OR 736/1016 SEA CASTLES PB 4 PG 100</v>
      </c>
      <c r="N2127" t="str">
        <f>""</f>
        <v/>
      </c>
      <c r="O2127" t="str">
        <f>"10256"</f>
        <v>10256</v>
      </c>
      <c r="P2127" t="str">
        <f t="shared" si="800"/>
        <v>2017</v>
      </c>
      <c r="Q2127" t="str">
        <f>""</f>
        <v/>
      </c>
      <c r="R2127" t="str">
        <f>"Y"</f>
        <v>Y</v>
      </c>
      <c r="S2127" t="str">
        <f>""</f>
        <v/>
      </c>
      <c r="T2127" t="str">
        <f>"2631.64"</f>
        <v>2631.64</v>
      </c>
      <c r="U2127" t="str">
        <f>"173764.00"</f>
        <v>173764.00</v>
      </c>
      <c r="V2127" t="str">
        <f>"173764.00"</f>
        <v>173764.00</v>
      </c>
      <c r="W2127" t="str">
        <f t="shared" si="801"/>
        <v>2017</v>
      </c>
      <c r="X2127" t="str">
        <f>"21.75"</f>
        <v>21.75</v>
      </c>
      <c r="Y2127" t="str">
        <f>"2742.59"</f>
        <v>2742.59</v>
      </c>
      <c r="Z2127" t="str">
        <f>"25000.00"</f>
        <v>25000.00</v>
      </c>
      <c r="AA2127" t="str">
        <f>"148764.00"</f>
        <v>148764.00</v>
      </c>
      <c r="AB2127" t="str">
        <f t="shared" si="791"/>
        <v>Residential</v>
      </c>
      <c r="AC2127" t="str">
        <f t="shared" si="781"/>
        <v>0</v>
      </c>
      <c r="AD2127" t="str">
        <f>"4"</f>
        <v>4</v>
      </c>
      <c r="AE2127" t="str">
        <f>"WOOD (INCLUDE STEEL STUDS)"</f>
        <v>WOOD (INCLUDE STEEL STUDS)</v>
      </c>
      <c r="AF2127" t="str">
        <f>"001"</f>
        <v>001</v>
      </c>
      <c r="AG2127" t="str">
        <f t="shared" si="805"/>
        <v>FL</v>
      </c>
      <c r="AH2127" t="str">
        <f t="shared" si="803"/>
        <v>-</v>
      </c>
      <c r="AI2127" t="str">
        <f>"100000.00"</f>
        <v>100000.00</v>
      </c>
      <c r="AJ2127" t="str">
        <f>"C55-000-585-7900-4"</f>
        <v>C55-000-585-7900-4</v>
      </c>
      <c r="AK2127" t="str">
        <f>"47374"</f>
        <v>47374</v>
      </c>
      <c r="AL2127">
        <v>8</v>
      </c>
      <c r="AM2127">
        <v>2430</v>
      </c>
      <c r="AN2127">
        <v>2878.12</v>
      </c>
      <c r="AQ2127" t="s">
        <v>20464</v>
      </c>
      <c r="AR2127" t="s">
        <v>20464</v>
      </c>
      <c r="AS2127" t="s">
        <v>20464</v>
      </c>
      <c r="AU2127" t="s">
        <v>396</v>
      </c>
      <c r="AV2127">
        <v>2017</v>
      </c>
      <c r="AW2127" t="str">
        <f>"00-00-31-1670-0006-0000 "</f>
        <v xml:space="preserve">00-00-31-1670-0006-0000 </v>
      </c>
      <c r="AX2127">
        <v>3165</v>
      </c>
      <c r="AY2127" t="s">
        <v>18674</v>
      </c>
      <c r="AZ2127" t="s">
        <v>18248</v>
      </c>
      <c r="BA2127" t="s">
        <v>1122</v>
      </c>
      <c r="BC2127">
        <v>6</v>
      </c>
      <c r="BD2127" t="s">
        <v>11749</v>
      </c>
      <c r="BE2127" t="s">
        <v>393</v>
      </c>
      <c r="BF2127">
        <v>32034</v>
      </c>
      <c r="BG2127" t="s">
        <v>20465</v>
      </c>
      <c r="BH2127" t="s">
        <v>11751</v>
      </c>
      <c r="BI2127">
        <v>-81.440832187526695</v>
      </c>
      <c r="BJ2127">
        <v>30.6226239833106</v>
      </c>
      <c r="BK2127" t="s">
        <v>20466</v>
      </c>
      <c r="BL2127" t="s">
        <v>20467</v>
      </c>
      <c r="BM2127" t="s">
        <v>20468</v>
      </c>
      <c r="BN2127" t="s">
        <v>3983</v>
      </c>
      <c r="BO2127">
        <v>32034</v>
      </c>
      <c r="BP2127" t="s">
        <v>416</v>
      </c>
      <c r="BQ2127">
        <v>100</v>
      </c>
      <c r="BR2127" t="s">
        <v>514</v>
      </c>
      <c r="BS2127">
        <v>1001</v>
      </c>
      <c r="BT2127" t="s">
        <v>515</v>
      </c>
      <c r="BW2127">
        <v>1500</v>
      </c>
      <c r="BX2127" t="s">
        <v>407</v>
      </c>
      <c r="BZ2127">
        <v>4</v>
      </c>
      <c r="CA2127">
        <v>1981</v>
      </c>
      <c r="CB2127">
        <v>2</v>
      </c>
      <c r="CC2127">
        <v>1</v>
      </c>
      <c r="CD2127">
        <v>2017</v>
      </c>
      <c r="CG2127">
        <v>173764</v>
      </c>
      <c r="CH2127">
        <v>2017</v>
      </c>
      <c r="CI2127">
        <v>100000</v>
      </c>
      <c r="CJ2127">
        <v>96491</v>
      </c>
      <c r="CK2127">
        <v>196491</v>
      </c>
      <c r="CL2127">
        <v>2017</v>
      </c>
      <c r="CM2127">
        <v>2631.64</v>
      </c>
      <c r="CN2127" s="1">
        <v>34926</v>
      </c>
      <c r="CZ2127" s="1">
        <v>34926</v>
      </c>
      <c r="DD2127" t="s">
        <v>11749</v>
      </c>
      <c r="DF2127">
        <v>6</v>
      </c>
      <c r="DG2127">
        <v>6</v>
      </c>
      <c r="DI2127">
        <v>6</v>
      </c>
      <c r="DJ2127" t="s">
        <v>20469</v>
      </c>
      <c r="DL2127">
        <v>50202</v>
      </c>
      <c r="DM2127" t="s">
        <v>19579</v>
      </c>
      <c r="DO2127" t="s">
        <v>20470</v>
      </c>
      <c r="DP2127">
        <v>0</v>
      </c>
      <c r="DQ2127">
        <v>0</v>
      </c>
      <c r="DR2127" t="s">
        <v>411</v>
      </c>
      <c r="DS2127" t="b">
        <v>1</v>
      </c>
      <c r="DT2127" t="s">
        <v>470</v>
      </c>
      <c r="DU2127" t="s">
        <v>471</v>
      </c>
      <c r="DV2127" t="s">
        <v>472</v>
      </c>
      <c r="DX2127">
        <v>-9999</v>
      </c>
      <c r="DZ2127" t="s">
        <v>447</v>
      </c>
      <c r="EA2127" t="s">
        <v>448</v>
      </c>
      <c r="EB2127" t="s">
        <v>14787</v>
      </c>
      <c r="EC2127">
        <v>20101217</v>
      </c>
      <c r="ED2127" t="s">
        <v>474</v>
      </c>
      <c r="EF2127">
        <v>357.4</v>
      </c>
      <c r="EG2127">
        <v>357.4</v>
      </c>
      <c r="EI2127">
        <v>20160407</v>
      </c>
      <c r="EJ2127">
        <v>0</v>
      </c>
      <c r="EK2127">
        <v>0</v>
      </c>
      <c r="EP2127" t="s">
        <v>421</v>
      </c>
      <c r="EQ2127" t="s">
        <v>422</v>
      </c>
      <c r="ER2127">
        <v>2</v>
      </c>
      <c r="ES2127">
        <v>6</v>
      </c>
      <c r="ET2127">
        <v>5684.94</v>
      </c>
      <c r="EU2127">
        <v>296.75</v>
      </c>
      <c r="EV2127">
        <v>5981.69</v>
      </c>
      <c r="EW2127" s="2">
        <v>43222</v>
      </c>
      <c r="EX2127" s="1">
        <v>42879</v>
      </c>
      <c r="EY2127">
        <v>2016</v>
      </c>
      <c r="EZ2127">
        <v>2842.47</v>
      </c>
      <c r="FA2127" t="s">
        <v>20471</v>
      </c>
      <c r="FB2127">
        <v>0.25</v>
      </c>
      <c r="FC2127" t="s">
        <v>424</v>
      </c>
      <c r="FD2127" t="s">
        <v>454</v>
      </c>
      <c r="FF2127">
        <v>12</v>
      </c>
      <c r="FG2127">
        <v>7400234</v>
      </c>
      <c r="FH2127" t="s">
        <v>426</v>
      </c>
      <c r="FJ2127" s="1">
        <v>42879</v>
      </c>
      <c r="FK2127">
        <v>2016</v>
      </c>
      <c r="FL2127">
        <v>2842.47</v>
      </c>
      <c r="FM2127" t="s">
        <v>20471</v>
      </c>
      <c r="FN2127">
        <v>0.25</v>
      </c>
      <c r="FO2127" t="s">
        <v>424</v>
      </c>
      <c r="FP2127" t="s">
        <v>454</v>
      </c>
      <c r="FR2127">
        <v>12</v>
      </c>
      <c r="FS2127">
        <v>7468855</v>
      </c>
      <c r="FT2127" t="s">
        <v>20472</v>
      </c>
      <c r="FV2127" s="1">
        <v>42515</v>
      </c>
      <c r="FW2127">
        <v>2015</v>
      </c>
      <c r="FX2127">
        <v>2854.66</v>
      </c>
      <c r="FY2127" t="s">
        <v>20473</v>
      </c>
      <c r="FZ2127">
        <v>0.25</v>
      </c>
      <c r="GA2127" t="s">
        <v>424</v>
      </c>
      <c r="GB2127" t="s">
        <v>425</v>
      </c>
      <c r="GC2127" s="1">
        <v>43164</v>
      </c>
      <c r="GD2127">
        <v>22</v>
      </c>
      <c r="GE2127">
        <v>2851116</v>
      </c>
      <c r="GF2127" t="s">
        <v>480</v>
      </c>
      <c r="GH2127" s="1">
        <v>42515</v>
      </c>
      <c r="GI2127">
        <v>2015</v>
      </c>
      <c r="GJ2127">
        <v>2854.66</v>
      </c>
      <c r="GK2127" t="s">
        <v>20473</v>
      </c>
      <c r="GL2127">
        <v>0.25</v>
      </c>
      <c r="GM2127" t="s">
        <v>424</v>
      </c>
      <c r="GN2127" t="s">
        <v>425</v>
      </c>
      <c r="GP2127">
        <v>22</v>
      </c>
      <c r="GQ2127">
        <v>5547115</v>
      </c>
      <c r="GR2127" t="s">
        <v>20474</v>
      </c>
      <c r="GT2127" s="1">
        <v>42151</v>
      </c>
      <c r="GU2127">
        <v>2014</v>
      </c>
      <c r="GV2127">
        <v>2845.24</v>
      </c>
      <c r="GW2127" t="s">
        <v>20475</v>
      </c>
      <c r="GX2127">
        <v>0.25</v>
      </c>
      <c r="GY2127" t="s">
        <v>424</v>
      </c>
      <c r="GZ2127" t="s">
        <v>425</v>
      </c>
      <c r="HA2127" s="1">
        <v>42816</v>
      </c>
      <c r="HB2127">
        <v>22</v>
      </c>
      <c r="HC2127">
        <v>4844982</v>
      </c>
      <c r="HD2127" t="s">
        <v>5287</v>
      </c>
      <c r="HF2127" s="1">
        <v>42151</v>
      </c>
      <c r="HG2127">
        <v>2014</v>
      </c>
      <c r="HH2127">
        <v>2845.24</v>
      </c>
      <c r="HI2127" t="s">
        <v>20475</v>
      </c>
      <c r="HJ2127">
        <v>0.25</v>
      </c>
      <c r="HK2127" t="s">
        <v>424</v>
      </c>
      <c r="HL2127" t="s">
        <v>425</v>
      </c>
      <c r="HN2127">
        <v>22</v>
      </c>
      <c r="HO2127">
        <v>5751999</v>
      </c>
      <c r="HP2127" t="s">
        <v>20476</v>
      </c>
      <c r="HR2127" s="1">
        <v>41787</v>
      </c>
      <c r="HS2127">
        <v>2013</v>
      </c>
      <c r="HT2127">
        <v>2763.16</v>
      </c>
      <c r="HU2127" t="s">
        <v>20477</v>
      </c>
      <c r="HV2127">
        <v>0.25</v>
      </c>
      <c r="HW2127" t="s">
        <v>424</v>
      </c>
      <c r="HX2127" t="s">
        <v>425</v>
      </c>
      <c r="HY2127" s="1">
        <v>42457</v>
      </c>
      <c r="HZ2127">
        <v>22</v>
      </c>
      <c r="IA2127">
        <v>2662137</v>
      </c>
      <c r="IB2127" t="s">
        <v>916</v>
      </c>
      <c r="ID2127" s="1">
        <v>41423</v>
      </c>
      <c r="IE2127">
        <v>2012</v>
      </c>
      <c r="IF2127">
        <v>2855.29</v>
      </c>
      <c r="IG2127" t="s">
        <v>20478</v>
      </c>
      <c r="IH2127">
        <v>0.25</v>
      </c>
      <c r="II2127" t="s">
        <v>424</v>
      </c>
      <c r="IJ2127" t="s">
        <v>425</v>
      </c>
      <c r="IK2127" s="1">
        <v>42052</v>
      </c>
      <c r="IL2127">
        <v>21</v>
      </c>
      <c r="IM2127">
        <v>2101382</v>
      </c>
      <c r="IN2127" t="s">
        <v>993</v>
      </c>
    </row>
    <row r="2128" spans="1:248" x14ac:dyDescent="0.25">
      <c r="A2128">
        <v>16487135</v>
      </c>
      <c r="B2128">
        <v>2127</v>
      </c>
      <c r="C2128" t="s">
        <v>393</v>
      </c>
      <c r="D2128" t="s">
        <v>394</v>
      </c>
      <c r="F2128" t="str">
        <f>"00-00-31-1676-0034-0000"</f>
        <v>00-00-31-1676-0034-0000</v>
      </c>
      <c r="H2128" t="str">
        <f>"HANEY HALLE B"</f>
        <v>HANEY HALLE B</v>
      </c>
      <c r="I2128" t="str">
        <f>"2752 SEA GROVE LANE"</f>
        <v>2752 SEA GROVE LANE</v>
      </c>
      <c r="J2128" t="str">
        <f t="shared" si="804"/>
        <v>FERNANDINA BEACH FL 32034</v>
      </c>
      <c r="K2128" t="str">
        <f>"2752 SEA GROVE LN"</f>
        <v>2752 SEA GROVE LN</v>
      </c>
      <c r="L2128" t="str">
        <f t="shared" si="779"/>
        <v>FERNANDINA BEACH FL 32034</v>
      </c>
      <c r="M2128" t="str">
        <f>"LOT 34 IN OR 1519/1421 &amp; OR 1956/524 SEA GROVE PB 6/152-154"</f>
        <v>LOT 34 IN OR 1519/1421 &amp; OR 1956/524 SEA GROVE PB 6/152-154</v>
      </c>
      <c r="N2128" t="str">
        <f>""</f>
        <v/>
      </c>
      <c r="O2128" t="str">
        <f>"10316"</f>
        <v>10316</v>
      </c>
      <c r="P2128" t="str">
        <f t="shared" si="800"/>
        <v>2017</v>
      </c>
      <c r="Q2128" t="str">
        <f>""</f>
        <v/>
      </c>
      <c r="R2128" t="str">
        <f>"Y"</f>
        <v>Y</v>
      </c>
      <c r="S2128" t="str">
        <f>""</f>
        <v/>
      </c>
      <c r="T2128" t="str">
        <f>"6919.21"</f>
        <v>6919.21</v>
      </c>
      <c r="U2128" t="str">
        <f>"388888.00"</f>
        <v>388888.00</v>
      </c>
      <c r="V2128" t="str">
        <f>"388888.00"</f>
        <v>388888.00</v>
      </c>
      <c r="W2128" t="str">
        <f t="shared" si="801"/>
        <v>2017</v>
      </c>
      <c r="X2128" t="str">
        <f>"1.00"</f>
        <v>1.00</v>
      </c>
      <c r="Y2128" t="str">
        <f>"7158.79"</f>
        <v>7158.79</v>
      </c>
      <c r="Z2128" t="str">
        <f>"25000.00"</f>
        <v>25000.00</v>
      </c>
      <c r="AA2128" t="str">
        <f>"363888.00"</f>
        <v>363888.00</v>
      </c>
      <c r="AB2128" t="str">
        <f t="shared" si="791"/>
        <v>Residential</v>
      </c>
      <c r="AC2128" t="str">
        <f t="shared" si="781"/>
        <v>0</v>
      </c>
      <c r="AD2128" t="str">
        <f>"4"</f>
        <v>4</v>
      </c>
      <c r="AE2128" t="str">
        <f>"WOOD (INCLUDE STEEL STUDS)"</f>
        <v>WOOD (INCLUDE STEEL STUDS)</v>
      </c>
      <c r="AF2128" t="str">
        <f>"001"</f>
        <v>001</v>
      </c>
      <c r="AG2128" t="str">
        <f t="shared" si="805"/>
        <v>FL</v>
      </c>
      <c r="AH2128" t="str">
        <f t="shared" si="803"/>
        <v>-</v>
      </c>
      <c r="AI2128" t="str">
        <f>"125000.00"</f>
        <v>125000.00</v>
      </c>
      <c r="AJ2128" t="str">
        <f>"C55-000-585-7953-3"</f>
        <v>C55-000-585-7953-3</v>
      </c>
      <c r="AK2128" t="str">
        <f>"47431"</f>
        <v>47431</v>
      </c>
      <c r="AL2128">
        <v>8</v>
      </c>
      <c r="AM2128">
        <v>2431</v>
      </c>
      <c r="AN2128">
        <v>7515.13</v>
      </c>
      <c r="AQ2128" t="s">
        <v>20479</v>
      </c>
      <c r="AR2128" t="s">
        <v>20479</v>
      </c>
      <c r="AS2128" t="s">
        <v>20479</v>
      </c>
      <c r="AU2128" t="s">
        <v>396</v>
      </c>
      <c r="AV2128">
        <v>2017</v>
      </c>
      <c r="AW2128" t="str">
        <f>"00-00-31-1676-0034-0000 "</f>
        <v xml:space="preserve">00-00-31-1676-0034-0000 </v>
      </c>
      <c r="AX2128">
        <v>2752</v>
      </c>
      <c r="AZ2128" t="s">
        <v>20480</v>
      </c>
      <c r="BA2128" t="s">
        <v>653</v>
      </c>
      <c r="BD2128" t="s">
        <v>11749</v>
      </c>
      <c r="BE2128" t="s">
        <v>393</v>
      </c>
      <c r="BF2128">
        <v>32034</v>
      </c>
      <c r="BG2128" t="s">
        <v>20481</v>
      </c>
      <c r="BH2128" t="s">
        <v>11751</v>
      </c>
      <c r="BI2128">
        <v>-81.437852747077599</v>
      </c>
      <c r="BJ2128">
        <v>30.652370994299201</v>
      </c>
      <c r="BK2128" t="s">
        <v>20482</v>
      </c>
      <c r="BM2128" t="s">
        <v>20481</v>
      </c>
      <c r="BN2128" t="s">
        <v>3983</v>
      </c>
      <c r="BO2128">
        <v>32034</v>
      </c>
      <c r="BP2128" t="s">
        <v>416</v>
      </c>
      <c r="BQ2128">
        <v>100</v>
      </c>
      <c r="BR2128" t="s">
        <v>514</v>
      </c>
      <c r="BS2128">
        <v>1001</v>
      </c>
      <c r="BT2128" t="s">
        <v>515</v>
      </c>
      <c r="BW2128">
        <v>15786</v>
      </c>
      <c r="BX2128" t="s">
        <v>407</v>
      </c>
      <c r="BY2128" t="s">
        <v>20347</v>
      </c>
      <c r="BZ2128">
        <v>4</v>
      </c>
      <c r="CA2128">
        <v>2000</v>
      </c>
      <c r="CB2128">
        <v>1.5</v>
      </c>
      <c r="CC2128">
        <v>1</v>
      </c>
      <c r="CD2128">
        <v>2017</v>
      </c>
      <c r="CG2128">
        <v>388888</v>
      </c>
      <c r="CH2128">
        <v>2017</v>
      </c>
      <c r="CI2128">
        <v>125000</v>
      </c>
      <c r="CJ2128">
        <v>347234</v>
      </c>
      <c r="CK2128">
        <v>472234</v>
      </c>
      <c r="CL2128">
        <v>2017</v>
      </c>
      <c r="CM2128">
        <v>6919.21</v>
      </c>
      <c r="CN2128" s="1">
        <v>39311</v>
      </c>
      <c r="CO2128">
        <v>574900</v>
      </c>
      <c r="CV2128">
        <v>350000</v>
      </c>
      <c r="CX2128" t="s">
        <v>5513</v>
      </c>
      <c r="CZ2128" s="1">
        <v>39311</v>
      </c>
      <c r="DA2128">
        <v>0</v>
      </c>
      <c r="DD2128" t="s">
        <v>11749</v>
      </c>
      <c r="DF2128">
        <v>34</v>
      </c>
      <c r="DG2128">
        <v>6</v>
      </c>
      <c r="DJ2128" t="s">
        <v>20480</v>
      </c>
      <c r="DL2128">
        <v>50101</v>
      </c>
      <c r="DM2128" t="s">
        <v>19579</v>
      </c>
      <c r="DO2128" t="s">
        <v>20483</v>
      </c>
      <c r="DP2128">
        <v>0</v>
      </c>
      <c r="DQ2128">
        <v>0</v>
      </c>
      <c r="DR2128" t="s">
        <v>411</v>
      </c>
      <c r="EP2128" t="s">
        <v>421</v>
      </c>
      <c r="EQ2128" t="s">
        <v>422</v>
      </c>
      <c r="ER2128">
        <v>0</v>
      </c>
      <c r="ES2128">
        <v>2</v>
      </c>
      <c r="ET2128">
        <v>0</v>
      </c>
      <c r="EU2128">
        <v>0</v>
      </c>
      <c r="EV2128">
        <v>0</v>
      </c>
      <c r="EW2128" s="2">
        <v>43222</v>
      </c>
      <c r="EX2128" s="1">
        <v>42879</v>
      </c>
      <c r="EY2128">
        <v>2016</v>
      </c>
      <c r="EZ2128">
        <v>7456.11</v>
      </c>
      <c r="FA2128" t="s">
        <v>20484</v>
      </c>
      <c r="FB2128">
        <v>0.25</v>
      </c>
      <c r="FC2128" t="s">
        <v>424</v>
      </c>
      <c r="FD2128" t="s">
        <v>425</v>
      </c>
      <c r="FE2128" s="1">
        <v>42913</v>
      </c>
      <c r="FF2128">
        <v>1</v>
      </c>
      <c r="FG2128">
        <v>7336753</v>
      </c>
      <c r="FH2128" t="s">
        <v>1731</v>
      </c>
      <c r="FJ2128" s="1">
        <v>42879</v>
      </c>
      <c r="FK2128">
        <v>2016</v>
      </c>
      <c r="FL2128">
        <v>7456.11</v>
      </c>
      <c r="FM2128" t="s">
        <v>20484</v>
      </c>
      <c r="FN2128">
        <v>0.25</v>
      </c>
      <c r="FO2128" t="s">
        <v>424</v>
      </c>
      <c r="FP2128" t="s">
        <v>425</v>
      </c>
      <c r="FR2128">
        <v>22</v>
      </c>
      <c r="FS2128">
        <v>7389018</v>
      </c>
      <c r="FT2128" t="s">
        <v>20485</v>
      </c>
    </row>
    <row r="2129" spans="1:284" x14ac:dyDescent="0.25">
      <c r="A2129">
        <v>16487136</v>
      </c>
      <c r="B2129">
        <v>2128</v>
      </c>
      <c r="C2129" t="s">
        <v>393</v>
      </c>
      <c r="D2129" t="s">
        <v>394</v>
      </c>
      <c r="F2129" t="str">
        <f>"00-00-31-1678-0026-0000"</f>
        <v>00-00-31-1678-0026-0000</v>
      </c>
      <c r="H2129" t="str">
        <f>"PARKIN PETER GORDON TRUSTEE OF PETER G PARKIN REV TRUST"</f>
        <v>PARKIN PETER GORDON TRUSTEE OF PETER G PARKIN REV TRUST</v>
      </c>
      <c r="I2129" t="str">
        <f>"1521 ALACHUA ST"</f>
        <v>1521 ALACHUA ST</v>
      </c>
      <c r="J2129" t="str">
        <f t="shared" si="804"/>
        <v>FERNANDINA BEACH FL 32034</v>
      </c>
      <c r="K2129" t="str">
        <f>"MAGNOLIA WOODS CT"</f>
        <v>MAGNOLIA WOODS CT</v>
      </c>
      <c r="L2129" t="str">
        <f t="shared" si="779"/>
        <v>FERNANDINA BEACH FL 32034</v>
      </c>
      <c r="M2129" t="str">
        <f>"LOT 26 PT OR 2115/1398 SEA ISLAND PLANTATION PB5/275"</f>
        <v>LOT 26 PT OR 2115/1398 SEA ISLAND PLANTATION PB5/275</v>
      </c>
      <c r="N2129" t="str">
        <f>""</f>
        <v/>
      </c>
      <c r="O2129" t="str">
        <f>"10385"</f>
        <v>10385</v>
      </c>
      <c r="P2129" t="str">
        <f t="shared" si="800"/>
        <v>2017</v>
      </c>
      <c r="Q2129" t="str">
        <f>""</f>
        <v/>
      </c>
      <c r="R2129" t="str">
        <f t="shared" ref="R2129:R2137" si="806">"N"</f>
        <v>N</v>
      </c>
      <c r="S2129" t="str">
        <f>""</f>
        <v/>
      </c>
      <c r="T2129" t="str">
        <f>"2357.36"</f>
        <v>2357.36</v>
      </c>
      <c r="U2129" t="str">
        <f>"114950.00"</f>
        <v>114950.00</v>
      </c>
      <c r="V2129" t="str">
        <f>"114950.00"</f>
        <v>114950.00</v>
      </c>
      <c r="W2129" t="str">
        <f t="shared" si="801"/>
        <v>2017</v>
      </c>
      <c r="X2129" t="str">
        <f>""</f>
        <v/>
      </c>
      <c r="Y2129" t="str">
        <f>"2460.08"</f>
        <v>2460.08</v>
      </c>
      <c r="Z2129" t="str">
        <f>""</f>
        <v/>
      </c>
      <c r="AA2129" t="str">
        <f>"125000.00"</f>
        <v>125000.00</v>
      </c>
      <c r="AB2129" t="str">
        <f t="shared" si="791"/>
        <v>Residential</v>
      </c>
      <c r="AC2129" t="str">
        <f t="shared" si="781"/>
        <v>0</v>
      </c>
      <c r="AD2129" t="str">
        <f>""</f>
        <v/>
      </c>
      <c r="AE2129" t="str">
        <f>""</f>
        <v/>
      </c>
      <c r="AF2129" t="str">
        <f>"000"</f>
        <v>000</v>
      </c>
      <c r="AG2129" t="str">
        <f t="shared" si="805"/>
        <v>FL</v>
      </c>
      <c r="AH2129" t="str">
        <f t="shared" si="803"/>
        <v>-</v>
      </c>
      <c r="AI2129" t="str">
        <f>"125000.00"</f>
        <v>125000.00</v>
      </c>
      <c r="AJ2129" t="str">
        <f>"C55-000-585-7992-1"</f>
        <v>C55-000-585-7992-1</v>
      </c>
      <c r="AK2129" t="str">
        <f>"47497"</f>
        <v>47497</v>
      </c>
      <c r="AL2129">
        <v>8</v>
      </c>
      <c r="AM2129">
        <v>2432</v>
      </c>
      <c r="AN2129">
        <v>2581.48</v>
      </c>
      <c r="AQ2129" t="s">
        <v>20486</v>
      </c>
      <c r="AR2129" t="s">
        <v>20486</v>
      </c>
      <c r="AS2129" t="s">
        <v>20486</v>
      </c>
      <c r="AU2129" t="s">
        <v>396</v>
      </c>
      <c r="AV2129">
        <v>2017</v>
      </c>
      <c r="AW2129" t="str">
        <f>"00-00-31-1678-0026-0000 "</f>
        <v xml:space="preserve">00-00-31-1678-0026-0000 </v>
      </c>
      <c r="AZ2129" t="s">
        <v>20487</v>
      </c>
      <c r="BA2129" t="s">
        <v>3181</v>
      </c>
      <c r="BD2129" t="s">
        <v>11749</v>
      </c>
      <c r="BE2129" t="s">
        <v>393</v>
      </c>
      <c r="BF2129">
        <v>32034</v>
      </c>
      <c r="BG2129" t="s">
        <v>20488</v>
      </c>
      <c r="BH2129" t="s">
        <v>11751</v>
      </c>
      <c r="BI2129">
        <v>-81.433948973208601</v>
      </c>
      <c r="BJ2129">
        <v>30.655022237629801</v>
      </c>
      <c r="BK2129" t="s">
        <v>20345</v>
      </c>
      <c r="BL2129" t="s">
        <v>20346</v>
      </c>
      <c r="BM2129" t="s">
        <v>20344</v>
      </c>
      <c r="BN2129" t="s">
        <v>3983</v>
      </c>
      <c r="BO2129">
        <v>32034</v>
      </c>
      <c r="BP2129" t="s">
        <v>404</v>
      </c>
      <c r="BQ2129">
        <v>0</v>
      </c>
      <c r="BR2129" t="s">
        <v>491</v>
      </c>
      <c r="BS2129">
        <v>8001</v>
      </c>
      <c r="BT2129" t="s">
        <v>492</v>
      </c>
      <c r="BW2129">
        <v>10283</v>
      </c>
      <c r="BX2129" t="s">
        <v>407</v>
      </c>
      <c r="CD2129">
        <v>2017</v>
      </c>
      <c r="CE2129">
        <v>125000</v>
      </c>
      <c r="CG2129">
        <v>125000</v>
      </c>
      <c r="CH2129">
        <v>2017</v>
      </c>
      <c r="CI2129">
        <v>125000</v>
      </c>
      <c r="CK2129">
        <v>125000</v>
      </c>
      <c r="CL2129">
        <v>2017</v>
      </c>
      <c r="CM2129">
        <v>2357.36</v>
      </c>
      <c r="CN2129" s="1">
        <v>42795</v>
      </c>
      <c r="CO2129">
        <v>100000</v>
      </c>
      <c r="CV2129">
        <v>0</v>
      </c>
      <c r="CZ2129" s="1">
        <v>42795</v>
      </c>
      <c r="DA2129">
        <v>0</v>
      </c>
      <c r="DD2129" t="s">
        <v>11749</v>
      </c>
      <c r="DF2129">
        <v>26</v>
      </c>
      <c r="DG2129">
        <v>18</v>
      </c>
      <c r="DJ2129" t="s">
        <v>20489</v>
      </c>
      <c r="DL2129">
        <v>50101</v>
      </c>
      <c r="DM2129" t="s">
        <v>20334</v>
      </c>
      <c r="DO2129" t="s">
        <v>20490</v>
      </c>
      <c r="DP2129">
        <v>0</v>
      </c>
      <c r="DQ2129">
        <v>0</v>
      </c>
      <c r="DR2129" t="s">
        <v>411</v>
      </c>
    </row>
    <row r="2130" spans="1:284" x14ac:dyDescent="0.25">
      <c r="A2130">
        <v>16487137</v>
      </c>
      <c r="B2130">
        <v>2129</v>
      </c>
      <c r="C2130" t="s">
        <v>393</v>
      </c>
      <c r="D2130" t="s">
        <v>394</v>
      </c>
      <c r="F2130" t="str">
        <f>"00-00-31-167C-0009-0000"</f>
        <v>00-00-31-167C-0009-0000</v>
      </c>
      <c r="H2130" t="str">
        <f>"HARTLEY CHRISTOPHER C"</f>
        <v>HARTLEY CHRISTOPHER C</v>
      </c>
      <c r="I2130" t="str">
        <f>"2410 SAFE HARBOR"</f>
        <v>2410 SAFE HARBOR</v>
      </c>
      <c r="J2130" t="str">
        <f t="shared" si="804"/>
        <v>FERNANDINA BEACH FL 32034</v>
      </c>
      <c r="K2130" t="str">
        <f>"SAFE HARBOR LN"</f>
        <v>SAFE HARBOR LN</v>
      </c>
      <c r="L2130" t="str">
        <f t="shared" si="779"/>
        <v>FERNANDINA BEACH FL 32034</v>
      </c>
      <c r="M2130" t="str">
        <f>"LOT 9 IN OR 2132/1357 SCHOONER LANDING PB 6/246"</f>
        <v>LOT 9 IN OR 2132/1357 SCHOONER LANDING PB 6/246</v>
      </c>
      <c r="N2130" t="str">
        <f>""</f>
        <v/>
      </c>
      <c r="O2130" t="str">
        <f>"10485"</f>
        <v>10485</v>
      </c>
      <c r="P2130" t="str">
        <f t="shared" si="800"/>
        <v>2017</v>
      </c>
      <c r="Q2130" t="str">
        <f>""</f>
        <v/>
      </c>
      <c r="R2130" t="str">
        <f t="shared" si="806"/>
        <v>N</v>
      </c>
      <c r="S2130" t="str">
        <f>""</f>
        <v/>
      </c>
      <c r="T2130" t="str">
        <f>"1373.29"</f>
        <v>1373.29</v>
      </c>
      <c r="U2130" t="str">
        <f>"65885.00"</f>
        <v>65885.00</v>
      </c>
      <c r="V2130" t="str">
        <f>"65885.00"</f>
        <v>65885.00</v>
      </c>
      <c r="W2130" t="str">
        <f t="shared" si="801"/>
        <v>2017</v>
      </c>
      <c r="X2130" t="str">
        <f>""</f>
        <v/>
      </c>
      <c r="Y2130" t="str">
        <f>"1446.49"</f>
        <v>1446.49</v>
      </c>
      <c r="Z2130" t="str">
        <f>""</f>
        <v/>
      </c>
      <c r="AA2130" t="str">
        <f>"75000.00"</f>
        <v>75000.00</v>
      </c>
      <c r="AB2130" t="str">
        <f t="shared" si="791"/>
        <v>Residential</v>
      </c>
      <c r="AC2130" t="str">
        <f t="shared" si="781"/>
        <v>0</v>
      </c>
      <c r="AD2130" t="str">
        <f>""</f>
        <v/>
      </c>
      <c r="AE2130" t="str">
        <f>""</f>
        <v/>
      </c>
      <c r="AF2130" t="str">
        <f>"000"</f>
        <v>000</v>
      </c>
      <c r="AG2130" t="str">
        <f t="shared" si="805"/>
        <v>FL</v>
      </c>
      <c r="AH2130" t="str">
        <f t="shared" si="803"/>
        <v>-</v>
      </c>
      <c r="AI2130" t="str">
        <f>"75000.00"</f>
        <v>75000.00</v>
      </c>
      <c r="AJ2130" t="str">
        <f>"C55-000-585-8088-7"</f>
        <v>C55-000-585-8088-7</v>
      </c>
      <c r="AK2130" t="str">
        <f>"47349"</f>
        <v>47349</v>
      </c>
      <c r="AL2130">
        <v>8</v>
      </c>
      <c r="AM2130">
        <v>2433</v>
      </c>
      <c r="AN2130">
        <v>1517.21</v>
      </c>
      <c r="AQ2130" t="s">
        <v>20491</v>
      </c>
      <c r="AR2130" t="s">
        <v>20491</v>
      </c>
      <c r="AS2130" t="s">
        <v>20491</v>
      </c>
      <c r="AU2130" t="s">
        <v>396</v>
      </c>
      <c r="AV2130">
        <v>2017</v>
      </c>
      <c r="AW2130" t="str">
        <f>"00-00-31-167C-0009-0000 "</f>
        <v xml:space="preserve">00-00-31-167C-0009-0000 </v>
      </c>
      <c r="AZ2130" t="s">
        <v>20492</v>
      </c>
      <c r="BA2130" t="s">
        <v>653</v>
      </c>
      <c r="BD2130" t="s">
        <v>11749</v>
      </c>
      <c r="BE2130" t="s">
        <v>393</v>
      </c>
      <c r="BF2130">
        <v>32034</v>
      </c>
      <c r="BG2130" t="s">
        <v>20493</v>
      </c>
      <c r="BH2130" t="s">
        <v>11751</v>
      </c>
      <c r="BI2130">
        <v>-81.446198473231505</v>
      </c>
      <c r="BJ2130">
        <v>30.634305461031701</v>
      </c>
      <c r="BK2130" t="s">
        <v>20494</v>
      </c>
      <c r="BM2130" t="s">
        <v>12982</v>
      </c>
      <c r="BN2130" t="s">
        <v>3983</v>
      </c>
      <c r="BO2130">
        <v>32034</v>
      </c>
      <c r="BP2130" t="s">
        <v>404</v>
      </c>
      <c r="BQ2130">
        <v>0</v>
      </c>
      <c r="BR2130" t="s">
        <v>491</v>
      </c>
      <c r="BS2130">
        <v>8001</v>
      </c>
      <c r="BT2130" t="s">
        <v>492</v>
      </c>
      <c r="BW2130">
        <v>7185</v>
      </c>
      <c r="BX2130" t="s">
        <v>407</v>
      </c>
      <c r="BY2130" t="s">
        <v>20347</v>
      </c>
      <c r="CD2130">
        <v>2017</v>
      </c>
      <c r="CE2130">
        <v>75000</v>
      </c>
      <c r="CG2130">
        <v>75000</v>
      </c>
      <c r="CH2130">
        <v>2017</v>
      </c>
      <c r="CI2130">
        <v>75000</v>
      </c>
      <c r="CK2130">
        <v>75000</v>
      </c>
      <c r="CL2130">
        <v>2017</v>
      </c>
      <c r="CM2130">
        <v>1373.29</v>
      </c>
      <c r="CN2130" s="1">
        <v>42928</v>
      </c>
      <c r="CO2130">
        <v>80000</v>
      </c>
      <c r="CV2130">
        <v>0</v>
      </c>
      <c r="CZ2130" s="1">
        <v>42928</v>
      </c>
      <c r="DA2130">
        <v>0</v>
      </c>
      <c r="DD2130" t="s">
        <v>11749</v>
      </c>
      <c r="DF2130">
        <v>9</v>
      </c>
      <c r="DG2130">
        <v>32</v>
      </c>
      <c r="DJ2130" t="s">
        <v>20495</v>
      </c>
      <c r="DL2130">
        <v>50202</v>
      </c>
      <c r="DM2130" t="s">
        <v>20496</v>
      </c>
      <c r="DO2130" t="s">
        <v>20497</v>
      </c>
      <c r="DP2130">
        <v>0</v>
      </c>
      <c r="DQ2130">
        <v>0</v>
      </c>
      <c r="DR2130" t="s">
        <v>411</v>
      </c>
    </row>
    <row r="2131" spans="1:284" x14ac:dyDescent="0.25">
      <c r="A2131">
        <v>16487138</v>
      </c>
      <c r="B2131">
        <v>2130</v>
      </c>
      <c r="C2131" t="s">
        <v>393</v>
      </c>
      <c r="D2131" t="s">
        <v>394</v>
      </c>
      <c r="F2131" t="str">
        <f>"00-00-31-1680-0010-0120"</f>
        <v>00-00-31-1680-0010-0120</v>
      </c>
      <c r="H2131" t="str">
        <f>"DYE AMY L"</f>
        <v>DYE AMY L</v>
      </c>
      <c r="I2131" t="str">
        <f>"96044 PINEY ISLAND DRIVE"</f>
        <v>96044 PINEY ISLAND DRIVE</v>
      </c>
      <c r="J2131" t="str">
        <f t="shared" si="804"/>
        <v>FERNANDINA BEACH FL 32034</v>
      </c>
      <c r="K2131" t="str">
        <f>"3381 FLETCHER AVE S"</f>
        <v>3381 FLETCHER AVE S</v>
      </c>
      <c r="L2131" t="str">
        <f t="shared" ref="L2131:L2194" si="807">"FERNANDINA BEACH FL 32034"</f>
        <v>FERNANDINA BEACH FL 32034</v>
      </c>
      <c r="M2131" t="str">
        <f>"BLOCK 10 LOTS 12 13 18 19 &amp; 50 FT STRIP E OF LOTS IN OR 1523/964 SEAVIEW SUB PB 1/7"</f>
        <v>BLOCK 10 LOTS 12 13 18 19 &amp; 50 FT STRIP E OF LOTS IN OR 1523/964 SEAVIEW SUB PB 1/7</v>
      </c>
      <c r="N2131" t="str">
        <f>""</f>
        <v/>
      </c>
      <c r="O2131" t="str">
        <f>"10545"</f>
        <v>10545</v>
      </c>
      <c r="P2131" t="str">
        <f t="shared" si="800"/>
        <v>2017</v>
      </c>
      <c r="Q2131" t="str">
        <f>""</f>
        <v/>
      </c>
      <c r="R2131" t="str">
        <f t="shared" si="806"/>
        <v>N</v>
      </c>
      <c r="S2131" t="str">
        <f>""</f>
        <v/>
      </c>
      <c r="T2131" t="str">
        <f>"5901.41"</f>
        <v>5901.41</v>
      </c>
      <c r="U2131" t="str">
        <f>"296096.00"</f>
        <v>296096.00</v>
      </c>
      <c r="V2131" t="str">
        <f>"296096.00"</f>
        <v>296096.00</v>
      </c>
      <c r="W2131" t="str">
        <f t="shared" si="801"/>
        <v>2017</v>
      </c>
      <c r="X2131" t="str">
        <f>"21.75"</f>
        <v>21.75</v>
      </c>
      <c r="Y2131" t="str">
        <f>"6110.45"</f>
        <v>6110.45</v>
      </c>
      <c r="Z2131" t="str">
        <f>""</f>
        <v/>
      </c>
      <c r="AA2131" t="str">
        <f>"296096.00"</f>
        <v>296096.00</v>
      </c>
      <c r="AB2131" t="str">
        <f>"Commercial"</f>
        <v>Commercial</v>
      </c>
      <c r="AC2131" t="str">
        <f t="shared" si="781"/>
        <v>0</v>
      </c>
      <c r="AD2131" t="str">
        <f>"4"</f>
        <v>4</v>
      </c>
      <c r="AE2131" t="str">
        <f>"WOOD (INCLUDE STEEL STUDS)"</f>
        <v>WOOD (INCLUDE STEEL STUDS)</v>
      </c>
      <c r="AF2131" t="str">
        <f>"011"</f>
        <v>011</v>
      </c>
      <c r="AG2131" t="str">
        <f t="shared" si="805"/>
        <v>FL</v>
      </c>
      <c r="AH2131" t="str">
        <f>"11500.00"</f>
        <v>11500.00</v>
      </c>
      <c r="AI2131" t="str">
        <f>"207000.00"</f>
        <v>207000.00</v>
      </c>
      <c r="AJ2131" t="str">
        <f>"C55-000-585-8143-0"</f>
        <v>C55-000-585-8143-0</v>
      </c>
      <c r="AK2131" t="str">
        <f>"47630"</f>
        <v>47630</v>
      </c>
      <c r="AL2131">
        <v>8</v>
      </c>
      <c r="AM2131">
        <v>2435</v>
      </c>
      <c r="AN2131">
        <v>6414.37</v>
      </c>
      <c r="AQ2131" t="s">
        <v>20498</v>
      </c>
      <c r="AR2131" t="s">
        <v>20498</v>
      </c>
      <c r="AS2131" t="s">
        <v>20498</v>
      </c>
      <c r="AU2131" t="s">
        <v>396</v>
      </c>
      <c r="AV2131">
        <v>2017</v>
      </c>
      <c r="AW2131" t="str">
        <f>"00-00-31-1680-0010-0120 "</f>
        <v xml:space="preserve">00-00-31-1680-0010-0120 </v>
      </c>
      <c r="AX2131">
        <v>3381</v>
      </c>
      <c r="AZ2131" t="s">
        <v>18248</v>
      </c>
      <c r="BA2131" t="s">
        <v>1112</v>
      </c>
      <c r="BB2131" t="s">
        <v>18674</v>
      </c>
      <c r="BD2131" t="s">
        <v>11749</v>
      </c>
      <c r="BE2131" t="s">
        <v>393</v>
      </c>
      <c r="BF2131">
        <v>32034</v>
      </c>
      <c r="BG2131" t="s">
        <v>20499</v>
      </c>
      <c r="BH2131" t="s">
        <v>11751</v>
      </c>
      <c r="BI2131">
        <v>-81.441646852547905</v>
      </c>
      <c r="BJ2131">
        <v>30.619286668307101</v>
      </c>
      <c r="BK2131" t="s">
        <v>16053</v>
      </c>
      <c r="BL2131" t="s">
        <v>20500</v>
      </c>
      <c r="BM2131" t="s">
        <v>16052</v>
      </c>
      <c r="BN2131" t="s">
        <v>3983</v>
      </c>
      <c r="BO2131">
        <v>32034</v>
      </c>
      <c r="BP2131" t="s">
        <v>404</v>
      </c>
      <c r="BQ2131">
        <v>1100</v>
      </c>
      <c r="BR2131" t="s">
        <v>4474</v>
      </c>
      <c r="BS2131">
        <v>2000</v>
      </c>
      <c r="BT2131" t="s">
        <v>4475</v>
      </c>
      <c r="BW2131">
        <v>11343</v>
      </c>
      <c r="BX2131" t="s">
        <v>407</v>
      </c>
      <c r="BZ2131">
        <v>4</v>
      </c>
      <c r="CA2131">
        <v>1972</v>
      </c>
      <c r="CB2131">
        <v>2</v>
      </c>
      <c r="CD2131">
        <v>2017</v>
      </c>
      <c r="CE2131">
        <v>207000</v>
      </c>
      <c r="CF2131">
        <v>89096</v>
      </c>
      <c r="CG2131">
        <v>296096</v>
      </c>
      <c r="CH2131">
        <v>2017</v>
      </c>
      <c r="CI2131">
        <v>207000</v>
      </c>
      <c r="CJ2131">
        <v>89096</v>
      </c>
      <c r="CK2131">
        <v>296096</v>
      </c>
      <c r="CL2131">
        <v>2017</v>
      </c>
      <c r="CM2131">
        <v>5901.41</v>
      </c>
      <c r="CN2131" s="1">
        <v>38932</v>
      </c>
      <c r="CO2131">
        <v>356000</v>
      </c>
      <c r="CV2131">
        <v>360744</v>
      </c>
      <c r="CX2131" t="s">
        <v>2312</v>
      </c>
      <c r="CZ2131" s="1">
        <v>38932</v>
      </c>
      <c r="DA2131">
        <v>0</v>
      </c>
      <c r="DD2131" t="s">
        <v>11749</v>
      </c>
      <c r="DG2131">
        <v>9</v>
      </c>
      <c r="DL2131">
        <v>50202</v>
      </c>
      <c r="DM2131" t="s">
        <v>19796</v>
      </c>
      <c r="DO2131" t="s">
        <v>20501</v>
      </c>
      <c r="DP2131">
        <v>0</v>
      </c>
      <c r="DQ2131">
        <v>6</v>
      </c>
      <c r="DR2131" t="s">
        <v>1174</v>
      </c>
      <c r="DS2131" t="b">
        <v>1</v>
      </c>
      <c r="DT2131" t="s">
        <v>470</v>
      </c>
      <c r="DU2131" t="s">
        <v>471</v>
      </c>
      <c r="DV2131" t="s">
        <v>472</v>
      </c>
      <c r="DX2131">
        <v>-9999</v>
      </c>
      <c r="DZ2131" t="s">
        <v>447</v>
      </c>
      <c r="EA2131" t="s">
        <v>448</v>
      </c>
      <c r="EB2131" t="s">
        <v>14787</v>
      </c>
      <c r="EC2131">
        <v>20101217</v>
      </c>
      <c r="ED2131" t="s">
        <v>474</v>
      </c>
      <c r="EF2131">
        <v>467.3</v>
      </c>
      <c r="EG2131">
        <v>467.3</v>
      </c>
      <c r="EI2131">
        <v>20160407</v>
      </c>
      <c r="EJ2131">
        <v>0</v>
      </c>
      <c r="EK2131">
        <v>0</v>
      </c>
      <c r="EP2131" t="s">
        <v>421</v>
      </c>
      <c r="EQ2131" t="s">
        <v>422</v>
      </c>
      <c r="ER2131">
        <v>2</v>
      </c>
      <c r="ES2131">
        <v>6</v>
      </c>
      <c r="ET2131">
        <v>12978.9</v>
      </c>
      <c r="EU2131">
        <v>661.44</v>
      </c>
      <c r="EV2131">
        <v>13640.34</v>
      </c>
      <c r="EW2131" s="2">
        <v>43222</v>
      </c>
      <c r="EX2131" s="1">
        <v>42879</v>
      </c>
      <c r="EY2131">
        <v>2016</v>
      </c>
      <c r="EZ2131">
        <v>6489.45</v>
      </c>
      <c r="FA2131" t="s">
        <v>20502</v>
      </c>
      <c r="FB2131">
        <v>0.25</v>
      </c>
      <c r="FC2131" t="s">
        <v>424</v>
      </c>
      <c r="FD2131" t="s">
        <v>454</v>
      </c>
      <c r="FF2131">
        <v>12</v>
      </c>
      <c r="FG2131">
        <v>5856194</v>
      </c>
      <c r="FH2131" t="s">
        <v>2685</v>
      </c>
      <c r="FJ2131" s="1">
        <v>42879</v>
      </c>
      <c r="FK2131">
        <v>2016</v>
      </c>
      <c r="FL2131">
        <v>6489.45</v>
      </c>
      <c r="FM2131" t="s">
        <v>20502</v>
      </c>
      <c r="FN2131">
        <v>0.25</v>
      </c>
      <c r="FO2131" t="s">
        <v>424</v>
      </c>
      <c r="FP2131" t="s">
        <v>454</v>
      </c>
      <c r="FR2131">
        <v>12</v>
      </c>
      <c r="FS2131">
        <v>6164701</v>
      </c>
      <c r="FT2131" t="s">
        <v>20503</v>
      </c>
      <c r="FV2131" s="1">
        <v>42515</v>
      </c>
      <c r="FW2131">
        <v>2015</v>
      </c>
      <c r="FX2131">
        <v>5962.27</v>
      </c>
      <c r="FY2131" t="s">
        <v>20504</v>
      </c>
      <c r="FZ2131">
        <v>0.25</v>
      </c>
      <c r="GA2131" t="s">
        <v>424</v>
      </c>
      <c r="GB2131" t="s">
        <v>425</v>
      </c>
      <c r="GC2131" s="1">
        <v>43151</v>
      </c>
      <c r="GD2131">
        <v>21</v>
      </c>
      <c r="GE2131">
        <v>7045074</v>
      </c>
      <c r="GF2131" t="s">
        <v>580</v>
      </c>
      <c r="GH2131" s="1">
        <v>42515</v>
      </c>
      <c r="GI2131">
        <v>2015</v>
      </c>
      <c r="GJ2131">
        <v>5962.27</v>
      </c>
      <c r="GK2131" t="s">
        <v>20504</v>
      </c>
      <c r="GL2131">
        <v>0.25</v>
      </c>
      <c r="GM2131" t="s">
        <v>424</v>
      </c>
      <c r="GN2131" t="s">
        <v>425</v>
      </c>
      <c r="GP2131">
        <v>22</v>
      </c>
      <c r="GQ2131">
        <v>6314759</v>
      </c>
      <c r="GR2131" t="s">
        <v>20505</v>
      </c>
      <c r="GT2131" s="1">
        <v>42151</v>
      </c>
      <c r="GU2131">
        <v>2014</v>
      </c>
      <c r="GV2131">
        <v>5894.62</v>
      </c>
      <c r="GW2131" t="s">
        <v>20506</v>
      </c>
      <c r="GX2131">
        <v>0.25</v>
      </c>
      <c r="GY2131" t="s">
        <v>424</v>
      </c>
      <c r="GZ2131" t="s">
        <v>425</v>
      </c>
      <c r="HA2131" s="1">
        <v>42825</v>
      </c>
      <c r="HB2131">
        <v>22</v>
      </c>
      <c r="HC2131">
        <v>2851116</v>
      </c>
      <c r="HD2131" t="s">
        <v>480</v>
      </c>
      <c r="HF2131" s="1">
        <v>42151</v>
      </c>
      <c r="HG2131">
        <v>2014</v>
      </c>
      <c r="HH2131">
        <v>5894.62</v>
      </c>
      <c r="HI2131" t="s">
        <v>20506</v>
      </c>
      <c r="HJ2131">
        <v>0.25</v>
      </c>
      <c r="HK2131" t="s">
        <v>424</v>
      </c>
      <c r="HL2131" t="s">
        <v>425</v>
      </c>
      <c r="HN2131">
        <v>22</v>
      </c>
      <c r="HO2131">
        <v>5058717</v>
      </c>
      <c r="HP2131" t="s">
        <v>20507</v>
      </c>
      <c r="HR2131" s="1">
        <v>41787</v>
      </c>
      <c r="HS2131">
        <v>2013</v>
      </c>
      <c r="HT2131">
        <v>5739.25</v>
      </c>
      <c r="HU2131" t="s">
        <v>20508</v>
      </c>
      <c r="HV2131">
        <v>0.25</v>
      </c>
      <c r="HW2131" t="s">
        <v>424</v>
      </c>
      <c r="HX2131" t="s">
        <v>425</v>
      </c>
      <c r="HY2131" s="1">
        <v>42432</v>
      </c>
      <c r="HZ2131">
        <v>22</v>
      </c>
      <c r="IA2131">
        <v>2757457</v>
      </c>
      <c r="IB2131" t="s">
        <v>648</v>
      </c>
      <c r="ID2131" s="1">
        <v>41052</v>
      </c>
      <c r="IE2131">
        <v>2011</v>
      </c>
      <c r="IF2131">
        <v>7565.74</v>
      </c>
      <c r="IG2131" t="s">
        <v>20509</v>
      </c>
      <c r="IH2131">
        <v>0.25</v>
      </c>
      <c r="II2131" t="s">
        <v>424</v>
      </c>
      <c r="IJ2131" t="s">
        <v>425</v>
      </c>
      <c r="IK2131" s="1">
        <v>41726</v>
      </c>
      <c r="IL2131">
        <v>22</v>
      </c>
      <c r="IM2131">
        <v>13244</v>
      </c>
      <c r="IN2131" t="s">
        <v>20510</v>
      </c>
    </row>
    <row r="2132" spans="1:284" x14ac:dyDescent="0.25">
      <c r="A2132">
        <v>16487139</v>
      </c>
      <c r="B2132">
        <v>2131</v>
      </c>
      <c r="C2132" t="s">
        <v>393</v>
      </c>
      <c r="D2132" t="s">
        <v>394</v>
      </c>
      <c r="F2132" t="str">
        <f>"00-00-31-1680-0013-0110"</f>
        <v>00-00-31-1680-0013-0110</v>
      </c>
      <c r="H2132" t="str">
        <f>"URIE ANTHONY M"</f>
        <v>URIE ANTHONY M</v>
      </c>
      <c r="I2132" t="str">
        <f>"18130 MIDVALE AVE NORTH"</f>
        <v>18130 MIDVALE AVE NORTH</v>
      </c>
      <c r="J2132" t="str">
        <f>"SHORELINE WA 98133"</f>
        <v>SHORELINE WA 98133</v>
      </c>
      <c r="K2132" t="str">
        <f>"3635 FLETCHER AVE S"</f>
        <v>3635 FLETCHER AVE S</v>
      </c>
      <c r="L2132" t="str">
        <f t="shared" si="807"/>
        <v>FERNANDINA BEACH FL 32034</v>
      </c>
      <c r="M2132" t="str">
        <f>"BLOCK 13 LOTS 11 &amp; 12 &amp; PT ABANDONED R/W IN OR 1422/802 SEAVIEW SUB PB 1/7"</f>
        <v>BLOCK 13 LOTS 11 &amp; 12 &amp; PT ABANDONED R/W IN OR 1422/802 SEAVIEW SUB PB 1/7</v>
      </c>
      <c r="N2132" t="str">
        <f>""</f>
        <v/>
      </c>
      <c r="O2132" t="str">
        <f>"10573"</f>
        <v>10573</v>
      </c>
      <c r="P2132" t="str">
        <f t="shared" si="800"/>
        <v>2017</v>
      </c>
      <c r="Q2132" t="str">
        <f>""</f>
        <v/>
      </c>
      <c r="R2132" t="str">
        <f t="shared" si="806"/>
        <v>N</v>
      </c>
      <c r="S2132" t="str">
        <f>""</f>
        <v/>
      </c>
      <c r="T2132" t="str">
        <f>"8454.84"</f>
        <v>8454.84</v>
      </c>
      <c r="U2132" t="str">
        <f>"424212.00"</f>
        <v>424212.00</v>
      </c>
      <c r="V2132" t="str">
        <f>"424212.00"</f>
        <v>424212.00</v>
      </c>
      <c r="W2132" t="str">
        <f t="shared" si="801"/>
        <v>2017</v>
      </c>
      <c r="X2132" t="str">
        <f>"7.75"</f>
        <v>7.75</v>
      </c>
      <c r="Y2132" t="str">
        <f>"8740.49"</f>
        <v>8740.49</v>
      </c>
      <c r="Z2132" t="str">
        <f>""</f>
        <v/>
      </c>
      <c r="AA2132" t="str">
        <f>"424212.00"</f>
        <v>424212.00</v>
      </c>
      <c r="AB2132" t="str">
        <f>"Residential"</f>
        <v>Residential</v>
      </c>
      <c r="AC2132" t="str">
        <f t="shared" si="781"/>
        <v>0</v>
      </c>
      <c r="AD2132" t="str">
        <f>"4"</f>
        <v>4</v>
      </c>
      <c r="AE2132" t="str">
        <f>"WOOD (INCLUDE STEEL STUDS)"</f>
        <v>WOOD (INCLUDE STEEL STUDS)</v>
      </c>
      <c r="AF2132" t="str">
        <f>"001"</f>
        <v>001</v>
      </c>
      <c r="AG2132" t="str">
        <f>"WA"</f>
        <v>WA</v>
      </c>
      <c r="AH2132" t="str">
        <f>"6250.00"</f>
        <v>6250.00</v>
      </c>
      <c r="AI2132" t="str">
        <f>"190750.00"</f>
        <v>190750.00</v>
      </c>
      <c r="AJ2132" t="str">
        <f>"C55-000-585-8170-3"</f>
        <v>C55-000-585-8170-3</v>
      </c>
      <c r="AK2132" t="str">
        <f>"47657"</f>
        <v>47657</v>
      </c>
      <c r="AL2132">
        <v>8</v>
      </c>
      <c r="AM2132">
        <v>2436</v>
      </c>
      <c r="AN2132">
        <v>9175.91</v>
      </c>
      <c r="AQ2132" t="s">
        <v>20511</v>
      </c>
      <c r="AR2132" t="s">
        <v>20511</v>
      </c>
      <c r="AS2132" t="s">
        <v>20511</v>
      </c>
      <c r="AU2132" t="s">
        <v>396</v>
      </c>
      <c r="AV2132">
        <v>2017</v>
      </c>
      <c r="AW2132" t="str">
        <f>"00-00-31-1680-0013-0110 "</f>
        <v xml:space="preserve">00-00-31-1680-0013-0110 </v>
      </c>
      <c r="AX2132">
        <v>3635</v>
      </c>
      <c r="AZ2132" t="s">
        <v>18248</v>
      </c>
      <c r="BA2132" t="s">
        <v>1112</v>
      </c>
      <c r="BB2132" t="s">
        <v>18674</v>
      </c>
      <c r="BD2132" t="s">
        <v>11749</v>
      </c>
      <c r="BE2132" t="s">
        <v>393</v>
      </c>
      <c r="BF2132">
        <v>32034</v>
      </c>
      <c r="BG2132" t="s">
        <v>20512</v>
      </c>
      <c r="BH2132" t="s">
        <v>11751</v>
      </c>
      <c r="BI2132">
        <v>-81.442025835276397</v>
      </c>
      <c r="BJ2132">
        <v>30.615804605719401</v>
      </c>
      <c r="BK2132" t="s">
        <v>20513</v>
      </c>
      <c r="BM2132" t="s">
        <v>20514</v>
      </c>
      <c r="BN2132" t="s">
        <v>20515</v>
      </c>
      <c r="BO2132">
        <v>98133</v>
      </c>
      <c r="BP2132" t="s">
        <v>404</v>
      </c>
      <c r="BQ2132">
        <v>100</v>
      </c>
      <c r="BR2132" t="s">
        <v>514</v>
      </c>
      <c r="BS2132">
        <v>1001</v>
      </c>
      <c r="BT2132" t="s">
        <v>515</v>
      </c>
      <c r="BU2132">
        <v>500</v>
      </c>
      <c r="BV2132">
        <v>1250</v>
      </c>
      <c r="BW2132">
        <v>6173</v>
      </c>
      <c r="BX2132" t="s">
        <v>407</v>
      </c>
      <c r="BZ2132">
        <v>4</v>
      </c>
      <c r="CA2132">
        <v>2000</v>
      </c>
      <c r="CB2132">
        <v>3</v>
      </c>
      <c r="CC2132">
        <v>1</v>
      </c>
      <c r="CD2132">
        <v>2017</v>
      </c>
      <c r="CE2132">
        <v>190750</v>
      </c>
      <c r="CF2132">
        <v>233462</v>
      </c>
      <c r="CG2132">
        <v>424212</v>
      </c>
      <c r="CH2132">
        <v>2017</v>
      </c>
      <c r="CI2132">
        <v>190750</v>
      </c>
      <c r="CJ2132">
        <v>233462</v>
      </c>
      <c r="CK2132">
        <v>424212</v>
      </c>
      <c r="CL2132">
        <v>2017</v>
      </c>
      <c r="CM2132">
        <v>8454.84</v>
      </c>
      <c r="CN2132" s="1">
        <v>38890</v>
      </c>
      <c r="CO2132">
        <v>922500</v>
      </c>
      <c r="CV2132">
        <v>0</v>
      </c>
      <c r="CZ2132" s="1">
        <v>38890</v>
      </c>
      <c r="DA2132">
        <v>0</v>
      </c>
      <c r="DD2132" t="s">
        <v>11749</v>
      </c>
      <c r="DG2132">
        <v>9</v>
      </c>
      <c r="DL2132">
        <v>50202</v>
      </c>
      <c r="DM2132" t="s">
        <v>19796</v>
      </c>
      <c r="DO2132" t="s">
        <v>20516</v>
      </c>
      <c r="DP2132">
        <v>0</v>
      </c>
      <c r="DQ2132">
        <v>2</v>
      </c>
      <c r="DR2132" t="s">
        <v>1174</v>
      </c>
      <c r="DS2132" t="b">
        <v>1</v>
      </c>
      <c r="DT2132" t="s">
        <v>470</v>
      </c>
      <c r="DU2132" t="s">
        <v>471</v>
      </c>
      <c r="DV2132" t="s">
        <v>472</v>
      </c>
      <c r="DX2132">
        <v>-9999</v>
      </c>
      <c r="DZ2132" t="s">
        <v>447</v>
      </c>
      <c r="EA2132" t="s">
        <v>448</v>
      </c>
      <c r="EB2132" t="s">
        <v>14787</v>
      </c>
      <c r="EC2132">
        <v>20101217</v>
      </c>
      <c r="ED2132" t="s">
        <v>474</v>
      </c>
      <c r="EF2132">
        <v>383.5</v>
      </c>
      <c r="EG2132">
        <v>383.5</v>
      </c>
      <c r="EH2132" t="s">
        <v>451</v>
      </c>
      <c r="EI2132">
        <v>20140731</v>
      </c>
      <c r="EJ2132">
        <v>0</v>
      </c>
      <c r="EK2132">
        <v>0</v>
      </c>
      <c r="EP2132" t="s">
        <v>421</v>
      </c>
      <c r="EQ2132" t="s">
        <v>422</v>
      </c>
      <c r="ER2132">
        <v>0</v>
      </c>
      <c r="ES2132">
        <v>5</v>
      </c>
      <c r="ET2132">
        <v>0</v>
      </c>
      <c r="EU2132">
        <v>0</v>
      </c>
      <c r="EV2132">
        <v>0</v>
      </c>
      <c r="EW2132" s="2">
        <v>43222</v>
      </c>
      <c r="EX2132" s="1">
        <v>42151</v>
      </c>
      <c r="EY2132">
        <v>2014</v>
      </c>
      <c r="EZ2132">
        <v>8150.89</v>
      </c>
      <c r="FA2132" t="s">
        <v>20517</v>
      </c>
      <c r="FB2132">
        <v>0.25</v>
      </c>
      <c r="FC2132" t="s">
        <v>424</v>
      </c>
      <c r="FD2132" t="s">
        <v>425</v>
      </c>
      <c r="FE2132" s="1">
        <v>42332</v>
      </c>
      <c r="FF2132">
        <v>6</v>
      </c>
      <c r="FG2132">
        <v>4844982</v>
      </c>
      <c r="FH2132" t="s">
        <v>5287</v>
      </c>
      <c r="FJ2132" s="1">
        <v>42151</v>
      </c>
      <c r="FK2132">
        <v>2014</v>
      </c>
      <c r="FL2132">
        <v>8150.89</v>
      </c>
      <c r="FM2132" t="s">
        <v>20517</v>
      </c>
      <c r="FN2132">
        <v>0.25</v>
      </c>
      <c r="FO2132" t="s">
        <v>424</v>
      </c>
      <c r="FP2132" t="s">
        <v>425</v>
      </c>
      <c r="FR2132">
        <v>22</v>
      </c>
      <c r="FS2132">
        <v>5709483</v>
      </c>
      <c r="FT2132" t="s">
        <v>20518</v>
      </c>
      <c r="FV2132" s="1">
        <v>41787</v>
      </c>
      <c r="FW2132">
        <v>2013</v>
      </c>
      <c r="FX2132">
        <v>7144.09</v>
      </c>
      <c r="FY2132" t="s">
        <v>20519</v>
      </c>
      <c r="FZ2132">
        <v>0.25</v>
      </c>
      <c r="GA2132" t="s">
        <v>424</v>
      </c>
      <c r="GB2132" t="s">
        <v>425</v>
      </c>
      <c r="GC2132" s="1">
        <v>42033</v>
      </c>
      <c r="GD2132">
        <v>8</v>
      </c>
      <c r="GE2132">
        <v>2662137</v>
      </c>
      <c r="GF2132" t="s">
        <v>916</v>
      </c>
      <c r="GH2132" s="1">
        <v>41423</v>
      </c>
      <c r="GI2132">
        <v>2012</v>
      </c>
      <c r="GJ2132">
        <v>8343.18</v>
      </c>
      <c r="GK2132" t="s">
        <v>20520</v>
      </c>
      <c r="GL2132">
        <v>0.25</v>
      </c>
      <c r="GM2132" t="s">
        <v>424</v>
      </c>
      <c r="GN2132" t="s">
        <v>425</v>
      </c>
      <c r="GO2132" s="1">
        <v>41681</v>
      </c>
      <c r="GP2132">
        <v>9</v>
      </c>
      <c r="GQ2132">
        <v>606981</v>
      </c>
      <c r="GR2132" t="s">
        <v>792</v>
      </c>
      <c r="GT2132" s="1">
        <v>40688</v>
      </c>
      <c r="GU2132">
        <v>2010</v>
      </c>
      <c r="GV2132">
        <v>9337.99</v>
      </c>
      <c r="GW2132" t="s">
        <v>20521</v>
      </c>
      <c r="GX2132">
        <v>0.25</v>
      </c>
      <c r="GY2132" t="s">
        <v>424</v>
      </c>
      <c r="GZ2132" t="s">
        <v>425</v>
      </c>
      <c r="HA2132" s="1">
        <v>41065</v>
      </c>
      <c r="HB2132">
        <v>13</v>
      </c>
      <c r="HC2132">
        <v>11289</v>
      </c>
      <c r="HD2132" t="s">
        <v>787</v>
      </c>
    </row>
    <row r="2133" spans="1:284" x14ac:dyDescent="0.25">
      <c r="A2133">
        <v>16487140</v>
      </c>
      <c r="B2133">
        <v>2132</v>
      </c>
      <c r="C2133" t="s">
        <v>393</v>
      </c>
      <c r="D2133" t="s">
        <v>394</v>
      </c>
      <c r="F2133" t="str">
        <f>"00-00-31-1680-0013-0290"</f>
        <v>00-00-31-1680-0013-0290</v>
      </c>
      <c r="H2133" t="str">
        <f>"BATES ROGER TODD &amp; BATES JENNIFER WRIGHT (JT/RS)"</f>
        <v>BATES ROGER TODD &amp; BATES JENNIFER WRIGHT (JT/RS)</v>
      </c>
      <c r="I2133" t="str">
        <f>"3580 FIRST AVE"</f>
        <v>3580 FIRST AVE</v>
      </c>
      <c r="J2133" t="str">
        <f>"FERNANDINA BEACH FL 32034"</f>
        <v>FERNANDINA BEACH FL 32034</v>
      </c>
      <c r="K2133" t="str">
        <f>"3580 1ST AVE"</f>
        <v>3580 1ST AVE</v>
      </c>
      <c r="L2133" t="str">
        <f t="shared" si="807"/>
        <v>FERNANDINA BEACH FL 32034</v>
      </c>
      <c r="M2133" t="str">
        <f>"BLOCK 13 LOTS 29 30 31 32 IN OR 2073/1574 SEAVIEW SUB PB 1/7"</f>
        <v>BLOCK 13 LOTS 29 30 31 32 IN OR 2073/1574 SEAVIEW SUB PB 1/7</v>
      </c>
      <c r="N2133" t="str">
        <f>""</f>
        <v/>
      </c>
      <c r="O2133" t="str">
        <f>"10579"</f>
        <v>10579</v>
      </c>
      <c r="P2133" t="str">
        <f t="shared" si="800"/>
        <v>2017</v>
      </c>
      <c r="Q2133" t="str">
        <f>""</f>
        <v/>
      </c>
      <c r="R2133" t="str">
        <f t="shared" si="806"/>
        <v>N</v>
      </c>
      <c r="S2133" t="str">
        <f>""</f>
        <v/>
      </c>
      <c r="T2133" t="str">
        <f>"8576.44"</f>
        <v>8576.44</v>
      </c>
      <c r="U2133" t="str">
        <f>"430313.00"</f>
        <v>430313.00</v>
      </c>
      <c r="V2133" t="str">
        <f>"430313.00"</f>
        <v>430313.00</v>
      </c>
      <c r="W2133" t="str">
        <f t="shared" si="801"/>
        <v>2017</v>
      </c>
      <c r="X2133" t="str">
        <f>"20.25"</f>
        <v>20.25</v>
      </c>
      <c r="Y2133" t="str">
        <f>"8865.73"</f>
        <v>8865.73</v>
      </c>
      <c r="Z2133" t="str">
        <f>""</f>
        <v/>
      </c>
      <c r="AA2133" t="str">
        <f>"430313.00"</f>
        <v>430313.00</v>
      </c>
      <c r="AB2133" t="str">
        <f>"Residential"</f>
        <v>Residential</v>
      </c>
      <c r="AC2133" t="str">
        <f t="shared" si="781"/>
        <v>0</v>
      </c>
      <c r="AD2133" t="str">
        <f>"4"</f>
        <v>4</v>
      </c>
      <c r="AE2133" t="str">
        <f>"WOOD (INCLUDE STEEL STUDS)"</f>
        <v>WOOD (INCLUDE STEEL STUDS)</v>
      </c>
      <c r="AF2133" t="str">
        <f>"001"</f>
        <v>001</v>
      </c>
      <c r="AG2133" t="str">
        <f t="shared" ref="AG2133:AG2140" si="808">"FL"</f>
        <v>FL</v>
      </c>
      <c r="AH2133" t="str">
        <f>"10000.00"</f>
        <v>10000.00</v>
      </c>
      <c r="AI2133" t="str">
        <f>"175000.00"</f>
        <v>175000.00</v>
      </c>
      <c r="AJ2133" t="str">
        <f>"C55-000-585-8176-0"</f>
        <v>C55-000-585-8176-0</v>
      </c>
      <c r="AK2133" t="str">
        <f>"47663"</f>
        <v>47663</v>
      </c>
      <c r="AL2133">
        <v>8</v>
      </c>
      <c r="AM2133">
        <v>2437</v>
      </c>
      <c r="AN2133">
        <v>9307.42</v>
      </c>
      <c r="AQ2133" t="s">
        <v>20522</v>
      </c>
      <c r="AR2133" t="s">
        <v>20522</v>
      </c>
      <c r="AS2133" t="s">
        <v>20522</v>
      </c>
      <c r="AU2133" t="s">
        <v>396</v>
      </c>
      <c r="AV2133">
        <v>2017</v>
      </c>
      <c r="AW2133" t="str">
        <f>"00-00-31-1680-0013-0290 "</f>
        <v xml:space="preserve">00-00-31-1680-0013-0290 </v>
      </c>
      <c r="AX2133">
        <v>3580</v>
      </c>
      <c r="AZ2133" t="s">
        <v>19894</v>
      </c>
      <c r="BA2133" t="s">
        <v>1112</v>
      </c>
      <c r="BD2133" t="s">
        <v>11749</v>
      </c>
      <c r="BE2133" t="s">
        <v>393</v>
      </c>
      <c r="BF2133">
        <v>32034</v>
      </c>
      <c r="BG2133" t="s">
        <v>20523</v>
      </c>
      <c r="BH2133" t="s">
        <v>11751</v>
      </c>
      <c r="BI2133">
        <v>-81.442284308056998</v>
      </c>
      <c r="BJ2133">
        <v>30.616455819048198</v>
      </c>
      <c r="BK2133" t="s">
        <v>20524</v>
      </c>
      <c r="BM2133" t="s">
        <v>20525</v>
      </c>
      <c r="BN2133" t="s">
        <v>19614</v>
      </c>
      <c r="BO2133">
        <v>31546</v>
      </c>
      <c r="BP2133" t="s">
        <v>404</v>
      </c>
      <c r="BQ2133">
        <v>100</v>
      </c>
      <c r="BR2133" t="s">
        <v>514</v>
      </c>
      <c r="BS2133">
        <v>1001</v>
      </c>
      <c r="BT2133" t="s">
        <v>515</v>
      </c>
      <c r="BU2133">
        <v>1000</v>
      </c>
      <c r="BV2133">
        <v>1000</v>
      </c>
      <c r="BW2133">
        <v>10000</v>
      </c>
      <c r="BX2133" t="s">
        <v>407</v>
      </c>
      <c r="BZ2133">
        <v>4</v>
      </c>
      <c r="CA2133">
        <v>1987</v>
      </c>
      <c r="CB2133">
        <v>2</v>
      </c>
      <c r="CC2133">
        <v>1</v>
      </c>
      <c r="CD2133">
        <v>2017</v>
      </c>
      <c r="CE2133">
        <v>175000</v>
      </c>
      <c r="CF2133">
        <v>255313</v>
      </c>
      <c r="CG2133">
        <v>430313</v>
      </c>
      <c r="CH2133">
        <v>2017</v>
      </c>
      <c r="CI2133">
        <v>175000</v>
      </c>
      <c r="CJ2133">
        <v>255313</v>
      </c>
      <c r="CK2133">
        <v>430313</v>
      </c>
      <c r="CL2133">
        <v>2017</v>
      </c>
      <c r="CM2133">
        <v>8576.44</v>
      </c>
      <c r="CN2133" s="1">
        <v>42353</v>
      </c>
      <c r="CO2133">
        <v>209000</v>
      </c>
      <c r="CV2133">
        <v>0</v>
      </c>
      <c r="CZ2133" s="1">
        <v>42353</v>
      </c>
      <c r="DA2133">
        <v>0</v>
      </c>
      <c r="DD2133" t="s">
        <v>11749</v>
      </c>
      <c r="DG2133">
        <v>9</v>
      </c>
      <c r="DJ2133" t="s">
        <v>20526</v>
      </c>
      <c r="DL2133">
        <v>50202</v>
      </c>
      <c r="DM2133" t="s">
        <v>19796</v>
      </c>
      <c r="DO2133" t="s">
        <v>20527</v>
      </c>
      <c r="DP2133">
        <v>0</v>
      </c>
      <c r="DQ2133">
        <v>2</v>
      </c>
      <c r="DR2133" t="s">
        <v>1174</v>
      </c>
      <c r="EP2133" t="s">
        <v>421</v>
      </c>
      <c r="EQ2133" t="s">
        <v>452</v>
      </c>
      <c r="ER2133">
        <v>0</v>
      </c>
      <c r="ES2133">
        <v>6</v>
      </c>
      <c r="ET2133">
        <v>0</v>
      </c>
      <c r="EU2133">
        <v>0</v>
      </c>
      <c r="EV2133">
        <v>0</v>
      </c>
      <c r="EW2133" s="2">
        <v>43222</v>
      </c>
      <c r="EX2133" s="1">
        <v>41787</v>
      </c>
      <c r="EY2133">
        <v>2013</v>
      </c>
      <c r="EZ2133">
        <v>6721.48</v>
      </c>
      <c r="FA2133" t="s">
        <v>20528</v>
      </c>
      <c r="FB2133">
        <v>0.25</v>
      </c>
      <c r="FC2133" t="s">
        <v>424</v>
      </c>
      <c r="FD2133" t="s">
        <v>425</v>
      </c>
      <c r="FF2133">
        <v>22</v>
      </c>
      <c r="FG2133">
        <v>11289</v>
      </c>
      <c r="FH2133" t="s">
        <v>787</v>
      </c>
      <c r="FI2133" t="s">
        <v>458</v>
      </c>
      <c r="FJ2133" s="1">
        <v>41787</v>
      </c>
      <c r="FK2133">
        <v>2013</v>
      </c>
      <c r="FL2133">
        <v>6721.48</v>
      </c>
      <c r="FM2133" t="s">
        <v>20528</v>
      </c>
      <c r="FN2133">
        <v>0.25</v>
      </c>
      <c r="FO2133" t="s">
        <v>424</v>
      </c>
      <c r="FP2133" t="s">
        <v>425</v>
      </c>
      <c r="FQ2133" s="1">
        <v>42115</v>
      </c>
      <c r="FR2133">
        <v>11</v>
      </c>
      <c r="FS2133">
        <v>4844954</v>
      </c>
      <c r="FT2133" t="s">
        <v>1719</v>
      </c>
      <c r="FU2133" t="s">
        <v>458</v>
      </c>
      <c r="FV2133" s="1">
        <v>41423</v>
      </c>
      <c r="FW2133">
        <v>2012</v>
      </c>
      <c r="FX2133">
        <v>7625.41</v>
      </c>
      <c r="FY2133" t="s">
        <v>20529</v>
      </c>
      <c r="FZ2133">
        <v>0.25</v>
      </c>
      <c r="GA2133" t="s">
        <v>424</v>
      </c>
      <c r="GB2133" t="s">
        <v>425</v>
      </c>
      <c r="GD2133">
        <v>22</v>
      </c>
      <c r="GE2133">
        <v>11303</v>
      </c>
      <c r="GF2133" t="s">
        <v>918</v>
      </c>
      <c r="GG2133" t="s">
        <v>458</v>
      </c>
      <c r="GH2133" s="1">
        <v>41423</v>
      </c>
      <c r="GI2133">
        <v>2012</v>
      </c>
      <c r="GJ2133">
        <v>7625.41</v>
      </c>
      <c r="GK2133" t="s">
        <v>20529</v>
      </c>
      <c r="GL2133">
        <v>0.25</v>
      </c>
      <c r="GM2133" t="s">
        <v>424</v>
      </c>
      <c r="GN2133" t="s">
        <v>425</v>
      </c>
      <c r="GP2133">
        <v>22</v>
      </c>
      <c r="GQ2133">
        <v>4844956</v>
      </c>
      <c r="GR2133" t="s">
        <v>919</v>
      </c>
      <c r="GS2133" t="s">
        <v>458</v>
      </c>
      <c r="GT2133" s="1">
        <v>41423</v>
      </c>
      <c r="GU2133">
        <v>2011</v>
      </c>
      <c r="GV2133">
        <v>9723.77</v>
      </c>
      <c r="GW2133" t="s">
        <v>20530</v>
      </c>
      <c r="GX2133">
        <v>0.25</v>
      </c>
      <c r="GY2133" t="s">
        <v>424</v>
      </c>
      <c r="GZ2133" t="s">
        <v>425</v>
      </c>
      <c r="HA2133" s="1">
        <v>42115</v>
      </c>
      <c r="HB2133">
        <v>23</v>
      </c>
      <c r="HC2133">
        <v>15259</v>
      </c>
      <c r="HD2133" t="s">
        <v>891</v>
      </c>
      <c r="HE2133" t="s">
        <v>458</v>
      </c>
      <c r="HF2133" s="1">
        <v>40688</v>
      </c>
      <c r="HG2133">
        <v>2010</v>
      </c>
      <c r="HH2133">
        <v>9112.23</v>
      </c>
      <c r="HI2133" t="s">
        <v>20531</v>
      </c>
      <c r="HJ2133">
        <v>0.25</v>
      </c>
      <c r="HK2133" t="s">
        <v>424</v>
      </c>
      <c r="HL2133" t="s">
        <v>425</v>
      </c>
      <c r="HM2133" s="1">
        <v>41396</v>
      </c>
      <c r="HN2133">
        <v>24</v>
      </c>
      <c r="HO2133">
        <v>11289</v>
      </c>
      <c r="HP2133" t="s">
        <v>787</v>
      </c>
    </row>
    <row r="2134" spans="1:284" x14ac:dyDescent="0.25">
      <c r="A2134">
        <v>16487141</v>
      </c>
      <c r="B2134">
        <v>2133</v>
      </c>
      <c r="C2134" t="s">
        <v>393</v>
      </c>
      <c r="D2134" t="s">
        <v>394</v>
      </c>
      <c r="F2134" t="str">
        <f>"00-00-31-1680-0019-0110"</f>
        <v>00-00-31-1680-0019-0110</v>
      </c>
      <c r="H2134" t="str">
        <f>"RIVER GREEN ESTATES LLC"</f>
        <v>RIVER GREEN ESTATES LLC</v>
      </c>
      <c r="I2134" t="str">
        <f>"11323 PHILLIPS HWY DR E STE 7"</f>
        <v>11323 PHILLIPS HWY DR E STE 7</v>
      </c>
      <c r="J2134" t="str">
        <f>"JACKSONVILLE FL 32256"</f>
        <v>JACKSONVILLE FL 32256</v>
      </c>
      <c r="K2134" t="str">
        <f>"MINNALOTA AV"</f>
        <v>MINNALOTA AV</v>
      </c>
      <c r="L2134" t="str">
        <f t="shared" si="807"/>
        <v>FERNANDINA BEACH FL 32034</v>
      </c>
      <c r="M2134" t="str">
        <f>"BLOCK 19 LOT 11 PT OR 2055/1607 SEAVIEW SUB PB 1/7"</f>
        <v>BLOCK 19 LOT 11 PT OR 2055/1607 SEAVIEW SUB PB 1/7</v>
      </c>
      <c r="N2134" t="str">
        <f>""</f>
        <v/>
      </c>
      <c r="O2134" t="str">
        <f>"10620"</f>
        <v>10620</v>
      </c>
      <c r="P2134" t="str">
        <f t="shared" si="800"/>
        <v>2017</v>
      </c>
      <c r="Q2134" t="str">
        <f>""</f>
        <v/>
      </c>
      <c r="R2134" t="str">
        <f t="shared" si="806"/>
        <v>N</v>
      </c>
      <c r="S2134" t="str">
        <f>""</f>
        <v/>
      </c>
      <c r="T2134" t="str">
        <f>"871.97"</f>
        <v>871.97</v>
      </c>
      <c r="U2134" t="str">
        <f>"43750.00"</f>
        <v>43750.00</v>
      </c>
      <c r="V2134" t="str">
        <f>"43750.00"</f>
        <v>43750.00</v>
      </c>
      <c r="W2134" t="str">
        <f t="shared" si="801"/>
        <v>2017</v>
      </c>
      <c r="X2134" t="str">
        <f>""</f>
        <v/>
      </c>
      <c r="Y2134" t="str">
        <f>"930.13"</f>
        <v>930.13</v>
      </c>
      <c r="Z2134" t="str">
        <f>""</f>
        <v/>
      </c>
      <c r="AA2134" t="str">
        <f>"43750.00"</f>
        <v>43750.00</v>
      </c>
      <c r="AB2134" t="str">
        <f>"Residential"</f>
        <v>Residential</v>
      </c>
      <c r="AC2134" t="str">
        <f t="shared" si="781"/>
        <v>0</v>
      </c>
      <c r="AD2134" t="str">
        <f>""</f>
        <v/>
      </c>
      <c r="AE2134" t="str">
        <f>""</f>
        <v/>
      </c>
      <c r="AF2134" t="str">
        <f>"000"</f>
        <v>000</v>
      </c>
      <c r="AG2134" t="str">
        <f t="shared" si="808"/>
        <v>FL</v>
      </c>
      <c r="AH2134" t="str">
        <f>"2500.00"</f>
        <v>2500.00</v>
      </c>
      <c r="AI2134" t="str">
        <f>"43750.00"</f>
        <v>43750.00</v>
      </c>
      <c r="AJ2134" t="str">
        <f>"C55-000-585-8212-3"</f>
        <v>C55-000-585-8212-3</v>
      </c>
      <c r="AK2134" t="str">
        <f>"47700"</f>
        <v>47700</v>
      </c>
      <c r="AL2134">
        <v>8</v>
      </c>
      <c r="AM2134">
        <v>2438</v>
      </c>
      <c r="AN2134">
        <v>975.04</v>
      </c>
      <c r="AQ2134" t="s">
        <v>20532</v>
      </c>
      <c r="AR2134" t="s">
        <v>20532</v>
      </c>
      <c r="AS2134" t="s">
        <v>20532</v>
      </c>
      <c r="AU2134" t="s">
        <v>396</v>
      </c>
      <c r="AV2134">
        <v>2017</v>
      </c>
      <c r="AW2134" t="str">
        <f>"00-00-31-1680-0019-0110 "</f>
        <v xml:space="preserve">00-00-31-1680-0019-0110 </v>
      </c>
      <c r="AZ2134" t="s">
        <v>20533</v>
      </c>
      <c r="BA2134" t="s">
        <v>1122</v>
      </c>
      <c r="BD2134" t="s">
        <v>11749</v>
      </c>
      <c r="BE2134" t="s">
        <v>393</v>
      </c>
      <c r="BF2134">
        <v>32034</v>
      </c>
      <c r="BG2134" t="s">
        <v>20534</v>
      </c>
      <c r="BH2134" t="s">
        <v>11751</v>
      </c>
      <c r="BI2134">
        <v>-81.442324679409197</v>
      </c>
      <c r="BJ2134">
        <v>30.619329702055001</v>
      </c>
      <c r="BK2134" t="s">
        <v>20099</v>
      </c>
      <c r="BM2134" t="s">
        <v>20535</v>
      </c>
      <c r="BN2134" t="s">
        <v>548</v>
      </c>
      <c r="BO2134">
        <v>32256</v>
      </c>
      <c r="BP2134" t="s">
        <v>404</v>
      </c>
      <c r="BQ2134">
        <v>0</v>
      </c>
      <c r="BR2134" t="s">
        <v>491</v>
      </c>
      <c r="BS2134">
        <v>8001</v>
      </c>
      <c r="BT2134" t="s">
        <v>492</v>
      </c>
      <c r="BU2134">
        <v>250</v>
      </c>
      <c r="BV2134">
        <v>1000</v>
      </c>
      <c r="BW2134">
        <v>2500</v>
      </c>
      <c r="BX2134" t="s">
        <v>407</v>
      </c>
      <c r="CD2134">
        <v>2017</v>
      </c>
      <c r="CE2134">
        <v>43750</v>
      </c>
      <c r="CG2134">
        <v>43750</v>
      </c>
      <c r="CH2134">
        <v>2017</v>
      </c>
      <c r="CI2134">
        <v>43750</v>
      </c>
      <c r="CK2134">
        <v>43750</v>
      </c>
      <c r="CL2134">
        <v>2017</v>
      </c>
      <c r="CM2134">
        <v>871.97</v>
      </c>
      <c r="CN2134" s="1">
        <v>42550</v>
      </c>
      <c r="CO2134">
        <v>200000</v>
      </c>
      <c r="CZ2134" s="1">
        <v>42550</v>
      </c>
      <c r="DD2134" t="s">
        <v>11749</v>
      </c>
      <c r="DF2134">
        <v>11</v>
      </c>
      <c r="DG2134">
        <v>9</v>
      </c>
      <c r="DJ2134" t="s">
        <v>20526</v>
      </c>
      <c r="DL2134">
        <v>50202</v>
      </c>
      <c r="DM2134" t="s">
        <v>19796</v>
      </c>
      <c r="DO2134" t="s">
        <v>20536</v>
      </c>
      <c r="DP2134">
        <v>0</v>
      </c>
      <c r="DQ2134">
        <v>5</v>
      </c>
      <c r="DR2134" t="s">
        <v>1174</v>
      </c>
      <c r="EP2134" t="s">
        <v>421</v>
      </c>
      <c r="EQ2134" t="s">
        <v>422</v>
      </c>
      <c r="ER2134">
        <v>1</v>
      </c>
      <c r="ES2134">
        <v>0</v>
      </c>
      <c r="ET2134">
        <v>848.14</v>
      </c>
      <c r="EU2134">
        <v>52.9</v>
      </c>
      <c r="EV2134">
        <v>901.04</v>
      </c>
      <c r="EW2134" s="2">
        <v>43222</v>
      </c>
      <c r="EX2134" s="1">
        <v>42879</v>
      </c>
      <c r="EY2134">
        <v>2016</v>
      </c>
      <c r="EZ2134">
        <v>848.14</v>
      </c>
      <c r="FA2134" t="s">
        <v>20537</v>
      </c>
      <c r="FB2134">
        <v>5.5</v>
      </c>
      <c r="FC2134" t="s">
        <v>424</v>
      </c>
      <c r="FD2134" t="s">
        <v>454</v>
      </c>
      <c r="FF2134">
        <v>12</v>
      </c>
      <c r="FG2134">
        <v>7336143</v>
      </c>
      <c r="FH2134" t="s">
        <v>539</v>
      </c>
    </row>
    <row r="2135" spans="1:284" x14ac:dyDescent="0.25">
      <c r="A2135">
        <v>16487142</v>
      </c>
      <c r="B2135">
        <v>2134</v>
      </c>
      <c r="C2135" t="s">
        <v>393</v>
      </c>
      <c r="D2135" t="s">
        <v>394</v>
      </c>
      <c r="F2135" t="str">
        <f>"00-00-31-1680-0019-0120"</f>
        <v>00-00-31-1680-0019-0120</v>
      </c>
      <c r="H2135" t="str">
        <f>"RIVER GREEN ESTATES LLC"</f>
        <v>RIVER GREEN ESTATES LLC</v>
      </c>
      <c r="I2135" t="str">
        <f>"11323 PHILLIPS HWY DR E STE 7"</f>
        <v>11323 PHILLIPS HWY DR E STE 7</v>
      </c>
      <c r="J2135" t="str">
        <f>"JACKSONVILLE FL 32256"</f>
        <v>JACKSONVILLE FL 32256</v>
      </c>
      <c r="K2135" t="str">
        <f>"1ST AV"</f>
        <v>1ST AV</v>
      </c>
      <c r="L2135" t="str">
        <f t="shared" si="807"/>
        <v>FERNANDINA BEACH FL 32034</v>
      </c>
      <c r="M2135" t="str">
        <f>"BLOCK 19 LOTS 12 13 PT OR 2055/1607 SEAVIEW SUB PB 1/7"</f>
        <v>BLOCK 19 LOTS 12 13 PT OR 2055/1607 SEAVIEW SUB PB 1/7</v>
      </c>
      <c r="N2135" t="str">
        <f>""</f>
        <v/>
      </c>
      <c r="O2135" t="str">
        <f>"10621"</f>
        <v>10621</v>
      </c>
      <c r="P2135" t="str">
        <f t="shared" si="800"/>
        <v>2017</v>
      </c>
      <c r="Q2135" t="str">
        <f>""</f>
        <v/>
      </c>
      <c r="R2135" t="str">
        <f t="shared" si="806"/>
        <v>N</v>
      </c>
      <c r="S2135" t="str">
        <f>""</f>
        <v/>
      </c>
      <c r="T2135" t="str">
        <f>"1743.94"</f>
        <v>1743.94</v>
      </c>
      <c r="U2135" t="str">
        <f>"87500.00"</f>
        <v>87500.00</v>
      </c>
      <c r="V2135" t="str">
        <f>"87500.00"</f>
        <v>87500.00</v>
      </c>
      <c r="W2135" t="str">
        <f t="shared" si="801"/>
        <v>2017</v>
      </c>
      <c r="X2135" t="str">
        <f>""</f>
        <v/>
      </c>
      <c r="Y2135" t="str">
        <f>"1828.26"</f>
        <v>1828.26</v>
      </c>
      <c r="Z2135" t="str">
        <f>""</f>
        <v/>
      </c>
      <c r="AA2135" t="str">
        <f>"87500.00"</f>
        <v>87500.00</v>
      </c>
      <c r="AB2135" t="str">
        <f>"Residential"</f>
        <v>Residential</v>
      </c>
      <c r="AC2135" t="str">
        <f t="shared" si="781"/>
        <v>0</v>
      </c>
      <c r="AD2135" t="str">
        <f>""</f>
        <v/>
      </c>
      <c r="AE2135" t="str">
        <f>""</f>
        <v/>
      </c>
      <c r="AF2135" t="str">
        <f>"000"</f>
        <v>000</v>
      </c>
      <c r="AG2135" t="str">
        <f t="shared" si="808"/>
        <v>FL</v>
      </c>
      <c r="AH2135" t="str">
        <f>"5000.00"</f>
        <v>5000.00</v>
      </c>
      <c r="AI2135" t="str">
        <f>"87500.00"</f>
        <v>87500.00</v>
      </c>
      <c r="AJ2135" t="str">
        <f>"C55-000-585-8213-1"</f>
        <v>C55-000-585-8213-1</v>
      </c>
      <c r="AK2135" t="str">
        <f>"47701"</f>
        <v>47701</v>
      </c>
      <c r="AL2135">
        <v>8</v>
      </c>
      <c r="AM2135">
        <v>2439</v>
      </c>
      <c r="AN2135">
        <v>1918.07</v>
      </c>
      <c r="AQ2135" t="s">
        <v>20538</v>
      </c>
      <c r="AR2135" t="s">
        <v>20538</v>
      </c>
      <c r="AS2135" t="s">
        <v>20538</v>
      </c>
      <c r="AU2135" t="s">
        <v>396</v>
      </c>
      <c r="AV2135">
        <v>2017</v>
      </c>
      <c r="AW2135" t="str">
        <f>"00-00-31-1680-0019-0120 "</f>
        <v xml:space="preserve">00-00-31-1680-0019-0120 </v>
      </c>
      <c r="AZ2135" t="s">
        <v>19894</v>
      </c>
      <c r="BA2135" t="s">
        <v>1122</v>
      </c>
      <c r="BD2135" t="s">
        <v>11749</v>
      </c>
      <c r="BE2135" t="s">
        <v>393</v>
      </c>
      <c r="BF2135">
        <v>32034</v>
      </c>
      <c r="BG2135" t="s">
        <v>20098</v>
      </c>
      <c r="BH2135" t="s">
        <v>11751</v>
      </c>
      <c r="BI2135">
        <v>-81.442340351320297</v>
      </c>
      <c r="BJ2135">
        <v>30.6192274908801</v>
      </c>
      <c r="BK2135" t="s">
        <v>20099</v>
      </c>
      <c r="BM2135" t="s">
        <v>20539</v>
      </c>
      <c r="BN2135" t="s">
        <v>548</v>
      </c>
      <c r="BO2135">
        <v>32256</v>
      </c>
      <c r="BP2135" t="s">
        <v>404</v>
      </c>
      <c r="BQ2135">
        <v>0</v>
      </c>
      <c r="BR2135" t="s">
        <v>491</v>
      </c>
      <c r="BS2135">
        <v>8001</v>
      </c>
      <c r="BT2135" t="s">
        <v>492</v>
      </c>
      <c r="BU2135">
        <v>500</v>
      </c>
      <c r="BV2135">
        <v>1000</v>
      </c>
      <c r="BW2135">
        <v>5000</v>
      </c>
      <c r="BX2135" t="s">
        <v>407</v>
      </c>
      <c r="CD2135">
        <v>2017</v>
      </c>
      <c r="CE2135">
        <v>87500</v>
      </c>
      <c r="CG2135">
        <v>87500</v>
      </c>
      <c r="CH2135">
        <v>2017</v>
      </c>
      <c r="CI2135">
        <v>87500</v>
      </c>
      <c r="CK2135">
        <v>87500</v>
      </c>
      <c r="CL2135">
        <v>2017</v>
      </c>
      <c r="CM2135">
        <v>1743.94</v>
      </c>
      <c r="CN2135" s="1">
        <v>42551</v>
      </c>
      <c r="CO2135">
        <v>200000</v>
      </c>
      <c r="CV2135">
        <v>200000</v>
      </c>
      <c r="CX2135" t="s">
        <v>675</v>
      </c>
      <c r="CZ2135" s="1">
        <v>42551</v>
      </c>
      <c r="DA2135">
        <v>0</v>
      </c>
      <c r="DD2135" t="s">
        <v>11749</v>
      </c>
      <c r="DG2135">
        <v>9</v>
      </c>
      <c r="DJ2135" t="s">
        <v>20526</v>
      </c>
      <c r="DL2135">
        <v>50202</v>
      </c>
      <c r="DM2135" t="s">
        <v>19796</v>
      </c>
      <c r="DO2135" t="s">
        <v>20540</v>
      </c>
      <c r="DP2135">
        <v>0</v>
      </c>
      <c r="DQ2135">
        <v>5</v>
      </c>
      <c r="DR2135" t="s">
        <v>1174</v>
      </c>
      <c r="EP2135" t="s">
        <v>421</v>
      </c>
      <c r="EQ2135" t="s">
        <v>422</v>
      </c>
      <c r="ER2135">
        <v>2</v>
      </c>
      <c r="ES2135">
        <v>0</v>
      </c>
      <c r="ET2135">
        <v>3338.56</v>
      </c>
      <c r="EU2135">
        <v>179.43</v>
      </c>
      <c r="EV2135">
        <v>3517.99</v>
      </c>
      <c r="EW2135" s="2">
        <v>43222</v>
      </c>
      <c r="EX2135" s="1">
        <v>42879</v>
      </c>
      <c r="EY2135">
        <v>2016</v>
      </c>
      <c r="EZ2135">
        <v>1669.28</v>
      </c>
      <c r="FA2135" t="s">
        <v>20541</v>
      </c>
      <c r="FB2135">
        <v>0.25</v>
      </c>
      <c r="FC2135" t="s">
        <v>424</v>
      </c>
      <c r="FD2135" t="s">
        <v>454</v>
      </c>
      <c r="FF2135">
        <v>12</v>
      </c>
      <c r="FG2135">
        <v>2851116</v>
      </c>
      <c r="FH2135" t="s">
        <v>480</v>
      </c>
      <c r="FJ2135" s="1">
        <v>42879</v>
      </c>
      <c r="FK2135">
        <v>2016</v>
      </c>
      <c r="FL2135">
        <v>1669.28</v>
      </c>
      <c r="FM2135" t="s">
        <v>20541</v>
      </c>
      <c r="FN2135">
        <v>0.25</v>
      </c>
      <c r="FO2135" t="s">
        <v>424</v>
      </c>
      <c r="FP2135" t="s">
        <v>454</v>
      </c>
      <c r="FR2135">
        <v>12</v>
      </c>
      <c r="FS2135">
        <v>5363242</v>
      </c>
      <c r="FT2135" t="s">
        <v>20542</v>
      </c>
    </row>
    <row r="2136" spans="1:284" x14ac:dyDescent="0.25">
      <c r="A2136">
        <v>16487143</v>
      </c>
      <c r="B2136">
        <v>2135</v>
      </c>
      <c r="C2136" t="s">
        <v>393</v>
      </c>
      <c r="D2136" t="s">
        <v>394</v>
      </c>
      <c r="F2136" t="str">
        <f>"00-00-31-1681-0004-0000"</f>
        <v>00-00-31-1681-0004-0000</v>
      </c>
      <c r="H2136" t="str">
        <f>"ALPHA INVESTMENTS OF ST AUGUSTINE LLC"</f>
        <v>ALPHA INVESTMENTS OF ST AUGUSTINE LLC</v>
      </c>
      <c r="I2136" t="str">
        <f>"242 OCEAN CAY BLVD"</f>
        <v>242 OCEAN CAY BLVD</v>
      </c>
      <c r="J2136" t="str">
        <f>"ST AUGUSTINE FL 32080"</f>
        <v>ST AUGUSTINE FL 32080</v>
      </c>
      <c r="K2136" t="str">
        <f>"3978 1ST AV"</f>
        <v>3978 1ST AV</v>
      </c>
      <c r="L2136" t="str">
        <f t="shared" si="807"/>
        <v>FERNANDINA BEACH FL 32034</v>
      </c>
      <c r="M2136" t="str">
        <f>"LOT 4 IN OR 2079/765 SEAVIEW SUB 2 PB 5/26"</f>
        <v>LOT 4 IN OR 2079/765 SEAVIEW SUB 2 PB 5/26</v>
      </c>
      <c r="N2136" t="str">
        <f>""</f>
        <v/>
      </c>
      <c r="O2136" t="str">
        <f>"10673"</f>
        <v>10673</v>
      </c>
      <c r="P2136" t="str">
        <f t="shared" si="800"/>
        <v>2017</v>
      </c>
      <c r="Q2136" t="str">
        <f>""</f>
        <v/>
      </c>
      <c r="R2136" t="str">
        <f t="shared" si="806"/>
        <v>N</v>
      </c>
      <c r="S2136" t="str">
        <f>""</f>
        <v/>
      </c>
      <c r="T2136" t="str">
        <f>"5254.31"</f>
        <v>5254.31</v>
      </c>
      <c r="U2136" t="str">
        <f>"263629.00"</f>
        <v>263629.00</v>
      </c>
      <c r="V2136" t="str">
        <f>"263629.00"</f>
        <v>263629.00</v>
      </c>
      <c r="W2136" t="str">
        <f t="shared" si="801"/>
        <v>2017</v>
      </c>
      <c r="X2136" t="str">
        <f>"10.00"</f>
        <v>10.00</v>
      </c>
      <c r="Y2136" t="str">
        <f>"5443.94"</f>
        <v>5443.94</v>
      </c>
      <c r="Z2136" t="str">
        <f>""</f>
        <v/>
      </c>
      <c r="AA2136" t="str">
        <f>"263629.00"</f>
        <v>263629.00</v>
      </c>
      <c r="AB2136" t="str">
        <f>"Residential"</f>
        <v>Residential</v>
      </c>
      <c r="AC2136" t="str">
        <f t="shared" si="781"/>
        <v>0</v>
      </c>
      <c r="AD2136" t="str">
        <f>"4"</f>
        <v>4</v>
      </c>
      <c r="AE2136" t="str">
        <f>"WOOD (INCLUDE STEEL STUDS)"</f>
        <v>WOOD (INCLUDE STEEL STUDS)</v>
      </c>
      <c r="AF2136" t="str">
        <f>"001"</f>
        <v>001</v>
      </c>
      <c r="AG2136" t="str">
        <f t="shared" si="808"/>
        <v>FL</v>
      </c>
      <c r="AH2136" t="str">
        <f>"8500.00"</f>
        <v>8500.00</v>
      </c>
      <c r="AI2136" t="str">
        <f>"148750.00"</f>
        <v>148750.00</v>
      </c>
      <c r="AJ2136" t="str">
        <f>"C55-000-585-8260-2"</f>
        <v>C55-000-585-8260-2</v>
      </c>
      <c r="AK2136" t="str">
        <f>"47749"</f>
        <v>47749</v>
      </c>
      <c r="AL2136">
        <v>8</v>
      </c>
      <c r="AM2136">
        <v>2440</v>
      </c>
      <c r="AN2136">
        <v>5714.54</v>
      </c>
      <c r="AQ2136" t="s">
        <v>20543</v>
      </c>
      <c r="AR2136" t="s">
        <v>20543</v>
      </c>
      <c r="AS2136" t="s">
        <v>20543</v>
      </c>
      <c r="AU2136" t="s">
        <v>396</v>
      </c>
      <c r="AV2136">
        <v>2017</v>
      </c>
      <c r="AW2136" t="str">
        <f>"00-00-31-1681-0004-0000 "</f>
        <v xml:space="preserve">00-00-31-1681-0004-0000 </v>
      </c>
      <c r="AX2136">
        <v>3978</v>
      </c>
      <c r="AZ2136" t="s">
        <v>19894</v>
      </c>
      <c r="BA2136" t="s">
        <v>1122</v>
      </c>
      <c r="BD2136" t="s">
        <v>11749</v>
      </c>
      <c r="BE2136" t="s">
        <v>393</v>
      </c>
      <c r="BF2136">
        <v>32034</v>
      </c>
      <c r="BG2136" t="s">
        <v>20544</v>
      </c>
      <c r="BH2136" t="s">
        <v>11751</v>
      </c>
      <c r="BI2136">
        <v>-81.443103112851603</v>
      </c>
      <c r="BJ2136">
        <v>30.6109505718413</v>
      </c>
      <c r="BK2136" t="s">
        <v>20545</v>
      </c>
      <c r="BM2136" t="s">
        <v>20546</v>
      </c>
      <c r="BN2136" t="s">
        <v>2756</v>
      </c>
      <c r="BO2136">
        <v>32080</v>
      </c>
      <c r="BP2136" t="s">
        <v>404</v>
      </c>
      <c r="BQ2136">
        <v>100</v>
      </c>
      <c r="BR2136" t="s">
        <v>514</v>
      </c>
      <c r="BS2136">
        <v>1001</v>
      </c>
      <c r="BT2136" t="s">
        <v>515</v>
      </c>
      <c r="BU2136">
        <v>850</v>
      </c>
      <c r="BV2136">
        <v>1000</v>
      </c>
      <c r="BW2136">
        <v>8500</v>
      </c>
      <c r="BX2136" t="s">
        <v>407</v>
      </c>
      <c r="BY2136" t="s">
        <v>20347</v>
      </c>
      <c r="BZ2136">
        <v>4</v>
      </c>
      <c r="CA2136">
        <v>1983</v>
      </c>
      <c r="CB2136">
        <v>1.5</v>
      </c>
      <c r="CC2136">
        <v>1</v>
      </c>
      <c r="CD2136">
        <v>2017</v>
      </c>
      <c r="CE2136">
        <v>148750</v>
      </c>
      <c r="CF2136">
        <v>114879</v>
      </c>
      <c r="CG2136">
        <v>263629</v>
      </c>
      <c r="CH2136">
        <v>2017</v>
      </c>
      <c r="CI2136">
        <v>148750</v>
      </c>
      <c r="CJ2136">
        <v>114879</v>
      </c>
      <c r="CK2136">
        <v>263629</v>
      </c>
      <c r="CL2136">
        <v>2017</v>
      </c>
      <c r="CM2136">
        <v>5254.31</v>
      </c>
      <c r="CN2136" s="1">
        <v>42668</v>
      </c>
      <c r="CO2136">
        <v>295000</v>
      </c>
      <c r="CV2136">
        <v>0</v>
      </c>
      <c r="CZ2136" s="1">
        <v>42668</v>
      </c>
      <c r="DA2136">
        <v>0</v>
      </c>
      <c r="DD2136" t="s">
        <v>11749</v>
      </c>
      <c r="DF2136">
        <v>4</v>
      </c>
      <c r="DG2136">
        <v>8</v>
      </c>
      <c r="DJ2136" t="s">
        <v>20526</v>
      </c>
      <c r="DL2136">
        <v>50202</v>
      </c>
      <c r="DM2136" t="s">
        <v>20547</v>
      </c>
      <c r="DO2136" t="s">
        <v>20548</v>
      </c>
      <c r="DP2136">
        <v>0</v>
      </c>
      <c r="DQ2136">
        <v>1</v>
      </c>
      <c r="DR2136" t="s">
        <v>1174</v>
      </c>
      <c r="EP2136" t="s">
        <v>421</v>
      </c>
      <c r="EQ2136" t="s">
        <v>422</v>
      </c>
      <c r="ER2136">
        <v>0</v>
      </c>
      <c r="ES2136">
        <v>2</v>
      </c>
      <c r="ET2136">
        <v>0</v>
      </c>
      <c r="EU2136">
        <v>0</v>
      </c>
      <c r="EV2136">
        <v>0</v>
      </c>
      <c r="EW2136" s="2">
        <v>43222</v>
      </c>
      <c r="EX2136" s="1">
        <v>42879</v>
      </c>
      <c r="EY2136">
        <v>2016</v>
      </c>
      <c r="EZ2136">
        <v>5298.84</v>
      </c>
      <c r="FA2136" t="s">
        <v>20549</v>
      </c>
      <c r="FB2136">
        <v>0.25</v>
      </c>
      <c r="FC2136" t="s">
        <v>424</v>
      </c>
      <c r="FD2136" t="s">
        <v>425</v>
      </c>
      <c r="FE2136" s="1">
        <v>43163</v>
      </c>
      <c r="FF2136">
        <v>10</v>
      </c>
      <c r="FG2136">
        <v>5856195</v>
      </c>
      <c r="FH2136" t="s">
        <v>1060</v>
      </c>
      <c r="FJ2136" s="1">
        <v>42879</v>
      </c>
      <c r="FK2136">
        <v>2016</v>
      </c>
      <c r="FL2136">
        <v>5298.84</v>
      </c>
      <c r="FM2136" t="s">
        <v>20549</v>
      </c>
      <c r="FN2136">
        <v>0.25</v>
      </c>
      <c r="FO2136" t="s">
        <v>424</v>
      </c>
      <c r="FP2136" t="s">
        <v>425</v>
      </c>
      <c r="FR2136">
        <v>22</v>
      </c>
      <c r="FS2136">
        <v>5980528</v>
      </c>
      <c r="FT2136" t="s">
        <v>20550</v>
      </c>
    </row>
    <row r="2137" spans="1:284" x14ac:dyDescent="0.25">
      <c r="A2137">
        <v>16487144</v>
      </c>
      <c r="B2137">
        <v>2136</v>
      </c>
      <c r="C2137" t="s">
        <v>393</v>
      </c>
      <c r="D2137" t="s">
        <v>394</v>
      </c>
      <c r="F2137" t="str">
        <f>"00-00-31-1690-0004-0000"</f>
        <v>00-00-31-1690-0004-0000</v>
      </c>
      <c r="H2137" t="str">
        <f>"PEACOCK JAMES C JR"</f>
        <v>PEACOCK JAMES C JR</v>
      </c>
      <c r="I2137" t="str">
        <f>"34 NORTH 14TH STREET"</f>
        <v>34 NORTH 14TH STREET</v>
      </c>
      <c r="J2137" t="str">
        <f>"FERNANDINA BEACH FL 32034"</f>
        <v>FERNANDINA BEACH FL 32034</v>
      </c>
      <c r="K2137" t="str">
        <f>"34 14TH ST N"</f>
        <v>34 14TH ST N</v>
      </c>
      <c r="L2137" t="str">
        <f t="shared" si="807"/>
        <v>FERNANDINA BEACH FL 32034</v>
      </c>
      <c r="M2137" t="str">
        <f>"LOTS 4 &amp; 5 PT OR 1916/1497 SORENSEN TERRACE REPLAT PB 2/59"</f>
        <v>LOTS 4 &amp; 5 PT OR 1916/1497 SORENSEN TERRACE REPLAT PB 2/59</v>
      </c>
      <c r="N2137" t="str">
        <f>""</f>
        <v/>
      </c>
      <c r="O2137" t="str">
        <f>"10785"</f>
        <v>10785</v>
      </c>
      <c r="P2137" t="str">
        <f t="shared" si="800"/>
        <v>2017</v>
      </c>
      <c r="Q2137" t="str">
        <f>""</f>
        <v/>
      </c>
      <c r="R2137" t="str">
        <f t="shared" si="806"/>
        <v>N</v>
      </c>
      <c r="S2137" t="str">
        <f>""</f>
        <v/>
      </c>
      <c r="T2137" t="str">
        <f>"2720.92"</f>
        <v>2720.92</v>
      </c>
      <c r="U2137" t="str">
        <f>"136519.00"</f>
        <v>136519.00</v>
      </c>
      <c r="V2137" t="str">
        <f>"136519.00"</f>
        <v>136519.00</v>
      </c>
      <c r="W2137" t="str">
        <f t="shared" si="801"/>
        <v>2017</v>
      </c>
      <c r="X2137" t="str">
        <f>"21.67"</f>
        <v>21.67</v>
      </c>
      <c r="Y2137" t="str">
        <f>"2834.55"</f>
        <v>2834.55</v>
      </c>
      <c r="Z2137" t="str">
        <f>""</f>
        <v/>
      </c>
      <c r="AA2137" t="str">
        <f>"136519.00"</f>
        <v>136519.00</v>
      </c>
      <c r="AB2137" t="str">
        <f>"Commercial"</f>
        <v>Commercial</v>
      </c>
      <c r="AC2137" t="str">
        <f t="shared" si="781"/>
        <v>0</v>
      </c>
      <c r="AD2137" t="str">
        <f>"3"</f>
        <v>3</v>
      </c>
      <c r="AE2137" t="str">
        <f>"MASONRY"</f>
        <v>MASONRY</v>
      </c>
      <c r="AF2137" t="str">
        <f>"017"</f>
        <v>017</v>
      </c>
      <c r="AG2137" t="str">
        <f t="shared" si="808"/>
        <v>FL</v>
      </c>
      <c r="AH2137" t="str">
        <f>"12200.00"</f>
        <v>12200.00</v>
      </c>
      <c r="AI2137" t="str">
        <f>"85400.00"</f>
        <v>85400.00</v>
      </c>
      <c r="AJ2137" t="str">
        <f>"C55-000-585-8351-9"</f>
        <v>C55-000-585-8351-9</v>
      </c>
      <c r="AK2137" t="str">
        <f>"47867"</f>
        <v>47867</v>
      </c>
      <c r="AL2137">
        <v>8</v>
      </c>
      <c r="AM2137">
        <v>2441</v>
      </c>
      <c r="AN2137">
        <v>2974.68</v>
      </c>
      <c r="AQ2137" t="s">
        <v>20551</v>
      </c>
      <c r="AR2137" t="s">
        <v>20551</v>
      </c>
      <c r="AS2137" t="s">
        <v>20551</v>
      </c>
      <c r="AU2137" t="s">
        <v>396</v>
      </c>
      <c r="AV2137">
        <v>2017</v>
      </c>
      <c r="AW2137" t="str">
        <f>"00-00-31-1690-0004-0000 "</f>
        <v xml:space="preserve">00-00-31-1690-0004-0000 </v>
      </c>
      <c r="AX2137">
        <v>34</v>
      </c>
      <c r="AZ2137" t="s">
        <v>19750</v>
      </c>
      <c r="BA2137" t="s">
        <v>1942</v>
      </c>
      <c r="BB2137" t="s">
        <v>404</v>
      </c>
      <c r="BD2137" t="s">
        <v>11749</v>
      </c>
      <c r="BE2137" t="s">
        <v>393</v>
      </c>
      <c r="BF2137">
        <v>32034</v>
      </c>
      <c r="BG2137" t="s">
        <v>20552</v>
      </c>
      <c r="BH2137" t="s">
        <v>11751</v>
      </c>
      <c r="BI2137">
        <v>-81.4509875466767</v>
      </c>
      <c r="BJ2137">
        <v>30.671077717013901</v>
      </c>
      <c r="BK2137" t="s">
        <v>18017</v>
      </c>
      <c r="BM2137" t="s">
        <v>18018</v>
      </c>
      <c r="BN2137" t="s">
        <v>3983</v>
      </c>
      <c r="BO2137">
        <v>32034</v>
      </c>
      <c r="BP2137" t="s">
        <v>404</v>
      </c>
      <c r="BQ2137">
        <v>1700</v>
      </c>
      <c r="BR2137" t="s">
        <v>3686</v>
      </c>
      <c r="BS2137">
        <v>3003</v>
      </c>
      <c r="BT2137" t="s">
        <v>3687</v>
      </c>
      <c r="BW2137">
        <v>12200</v>
      </c>
      <c r="BX2137" t="s">
        <v>407</v>
      </c>
      <c r="BY2137" t="s">
        <v>20553</v>
      </c>
      <c r="BZ2137">
        <v>3</v>
      </c>
      <c r="CA2137">
        <v>1960</v>
      </c>
      <c r="CB2137">
        <v>1</v>
      </c>
      <c r="CD2137">
        <v>2017</v>
      </c>
      <c r="CE2137">
        <v>85400</v>
      </c>
      <c r="CF2137">
        <v>51119</v>
      </c>
      <c r="CG2137">
        <v>136519</v>
      </c>
      <c r="CH2137">
        <v>2017</v>
      </c>
      <c r="CI2137">
        <v>85400</v>
      </c>
      <c r="CJ2137">
        <v>51119</v>
      </c>
      <c r="CK2137">
        <v>136519</v>
      </c>
      <c r="CL2137">
        <v>2017</v>
      </c>
      <c r="CM2137">
        <v>2720.92</v>
      </c>
      <c r="CN2137" s="1">
        <v>40469</v>
      </c>
      <c r="CO2137">
        <v>35000</v>
      </c>
      <c r="CV2137">
        <v>0</v>
      </c>
      <c r="CZ2137" s="1">
        <v>40469</v>
      </c>
      <c r="DA2137">
        <v>0</v>
      </c>
      <c r="DD2137" t="s">
        <v>11749</v>
      </c>
      <c r="DG2137">
        <v>22</v>
      </c>
      <c r="DL2137">
        <v>50102</v>
      </c>
      <c r="DM2137" t="s">
        <v>20208</v>
      </c>
      <c r="DO2137" t="s">
        <v>20554</v>
      </c>
      <c r="DP2137">
        <v>0</v>
      </c>
      <c r="DQ2137">
        <v>0</v>
      </c>
      <c r="DR2137" t="s">
        <v>411</v>
      </c>
      <c r="DS2137" t="b">
        <v>1</v>
      </c>
      <c r="DT2137" t="s">
        <v>470</v>
      </c>
      <c r="DU2137" t="s">
        <v>471</v>
      </c>
      <c r="DV2137" t="s">
        <v>472</v>
      </c>
      <c r="DX2137">
        <v>-9999</v>
      </c>
      <c r="DZ2137" t="s">
        <v>447</v>
      </c>
      <c r="EA2137" t="s">
        <v>448</v>
      </c>
      <c r="EB2137" t="s">
        <v>14787</v>
      </c>
      <c r="EC2137">
        <v>20101217</v>
      </c>
      <c r="ED2137" t="s">
        <v>474</v>
      </c>
      <c r="EF2137">
        <v>863.7</v>
      </c>
      <c r="EG2137">
        <v>785</v>
      </c>
      <c r="EI2137">
        <v>20160407</v>
      </c>
      <c r="EJ2137">
        <v>0</v>
      </c>
      <c r="EK2137">
        <v>0</v>
      </c>
      <c r="EP2137" t="s">
        <v>421</v>
      </c>
      <c r="EQ2137" t="s">
        <v>422</v>
      </c>
      <c r="ER2137">
        <v>2</v>
      </c>
      <c r="ES2137">
        <v>7</v>
      </c>
      <c r="ET2137">
        <v>5986.38</v>
      </c>
      <c r="EU2137">
        <v>311.82</v>
      </c>
      <c r="EV2137">
        <v>6298.2</v>
      </c>
      <c r="EW2137" s="2">
        <v>43222</v>
      </c>
      <c r="EX2137" s="1">
        <v>42879</v>
      </c>
      <c r="EY2137">
        <v>2016</v>
      </c>
      <c r="EZ2137">
        <v>2993.19</v>
      </c>
      <c r="FA2137" t="s">
        <v>20555</v>
      </c>
      <c r="FB2137">
        <v>0.25</v>
      </c>
      <c r="FC2137" t="s">
        <v>424</v>
      </c>
      <c r="FD2137" t="s">
        <v>454</v>
      </c>
      <c r="FF2137">
        <v>12</v>
      </c>
      <c r="FG2137">
        <v>7336671</v>
      </c>
      <c r="FH2137" t="s">
        <v>437</v>
      </c>
      <c r="FJ2137" s="1">
        <v>42879</v>
      </c>
      <c r="FK2137">
        <v>2016</v>
      </c>
      <c r="FL2137">
        <v>2993.19</v>
      </c>
      <c r="FM2137" t="s">
        <v>20555</v>
      </c>
      <c r="FN2137">
        <v>0.25</v>
      </c>
      <c r="FO2137" t="s">
        <v>424</v>
      </c>
      <c r="FP2137" t="s">
        <v>454</v>
      </c>
      <c r="FR2137">
        <v>12</v>
      </c>
      <c r="FS2137">
        <v>6876816</v>
      </c>
      <c r="FT2137" t="s">
        <v>20556</v>
      </c>
      <c r="FV2137" s="1">
        <v>42515</v>
      </c>
      <c r="FW2137">
        <v>2015</v>
      </c>
      <c r="FX2137">
        <v>2800.27</v>
      </c>
      <c r="FY2137" t="s">
        <v>20557</v>
      </c>
      <c r="FZ2137">
        <v>0.25</v>
      </c>
      <c r="GA2137" t="s">
        <v>424</v>
      </c>
      <c r="GB2137" t="s">
        <v>425</v>
      </c>
      <c r="GC2137" s="1">
        <v>43187</v>
      </c>
      <c r="GD2137">
        <v>22</v>
      </c>
      <c r="GE2137">
        <v>2851116</v>
      </c>
      <c r="GF2137" t="s">
        <v>480</v>
      </c>
      <c r="GH2137" s="1">
        <v>42515</v>
      </c>
      <c r="GI2137">
        <v>2015</v>
      </c>
      <c r="GJ2137">
        <v>2800.27</v>
      </c>
      <c r="GK2137" t="s">
        <v>20557</v>
      </c>
      <c r="GL2137">
        <v>0.25</v>
      </c>
      <c r="GM2137" t="s">
        <v>424</v>
      </c>
      <c r="GN2137" t="s">
        <v>425</v>
      </c>
      <c r="GP2137">
        <v>22</v>
      </c>
      <c r="GQ2137">
        <v>5597389</v>
      </c>
      <c r="GR2137" t="s">
        <v>20558</v>
      </c>
      <c r="GT2137" s="1">
        <v>42151</v>
      </c>
      <c r="GU2137">
        <v>2014</v>
      </c>
      <c r="GV2137">
        <v>2890.26</v>
      </c>
      <c r="GW2137" t="s">
        <v>20559</v>
      </c>
      <c r="GX2137">
        <v>0.25</v>
      </c>
      <c r="GY2137" t="s">
        <v>424</v>
      </c>
      <c r="GZ2137" t="s">
        <v>425</v>
      </c>
      <c r="HA2137" s="1">
        <v>42794</v>
      </c>
      <c r="HB2137">
        <v>21</v>
      </c>
      <c r="HC2137">
        <v>2101382</v>
      </c>
      <c r="HD2137" t="s">
        <v>993</v>
      </c>
      <c r="HF2137" s="1">
        <v>42151</v>
      </c>
      <c r="HG2137">
        <v>2014</v>
      </c>
      <c r="HH2137">
        <v>2890.26</v>
      </c>
      <c r="HI2137" t="s">
        <v>20559</v>
      </c>
      <c r="HJ2137">
        <v>0.25</v>
      </c>
      <c r="HK2137" t="s">
        <v>424</v>
      </c>
      <c r="HL2137" t="s">
        <v>425</v>
      </c>
      <c r="HN2137">
        <v>22</v>
      </c>
      <c r="HO2137">
        <v>5437936</v>
      </c>
      <c r="HP2137" t="s">
        <v>20560</v>
      </c>
      <c r="HR2137" s="1">
        <v>41787</v>
      </c>
      <c r="HS2137">
        <v>2013</v>
      </c>
      <c r="HT2137">
        <v>2850.15</v>
      </c>
      <c r="HU2137" t="s">
        <v>20561</v>
      </c>
      <c r="HV2137">
        <v>0.25</v>
      </c>
      <c r="HW2137" t="s">
        <v>424</v>
      </c>
      <c r="HX2137" t="s">
        <v>425</v>
      </c>
      <c r="HY2137" s="1">
        <v>42459</v>
      </c>
      <c r="HZ2137">
        <v>22</v>
      </c>
      <c r="IA2137">
        <v>2101382</v>
      </c>
      <c r="IB2137" t="s">
        <v>993</v>
      </c>
      <c r="ID2137" s="1">
        <v>41423</v>
      </c>
      <c r="IE2137">
        <v>2012</v>
      </c>
      <c r="IF2137">
        <v>2847.83</v>
      </c>
      <c r="IG2137" t="s">
        <v>20562</v>
      </c>
      <c r="IH2137">
        <v>0.25</v>
      </c>
      <c r="II2137" t="s">
        <v>424</v>
      </c>
      <c r="IJ2137" t="s">
        <v>425</v>
      </c>
      <c r="IK2137" s="1">
        <v>42089</v>
      </c>
      <c r="IL2137">
        <v>22</v>
      </c>
      <c r="IM2137">
        <v>436</v>
      </c>
      <c r="IN2137" t="s">
        <v>1607</v>
      </c>
      <c r="IP2137" s="1">
        <v>41052</v>
      </c>
      <c r="IQ2137">
        <v>2011</v>
      </c>
      <c r="IR2137">
        <v>3397.53</v>
      </c>
      <c r="IS2137" t="s">
        <v>20563</v>
      </c>
      <c r="IT2137">
        <v>0.25</v>
      </c>
      <c r="IU2137" t="s">
        <v>424</v>
      </c>
      <c r="IV2137" t="s">
        <v>425</v>
      </c>
      <c r="IW2137" s="1">
        <v>41725</v>
      </c>
      <c r="IX2137">
        <v>22</v>
      </c>
      <c r="IY2137">
        <v>13231</v>
      </c>
      <c r="IZ2137" t="s">
        <v>20564</v>
      </c>
    </row>
    <row r="2138" spans="1:284" x14ac:dyDescent="0.25">
      <c r="A2138">
        <v>16487145</v>
      </c>
      <c r="B2138">
        <v>2137</v>
      </c>
      <c r="C2138" t="s">
        <v>393</v>
      </c>
      <c r="D2138" t="s">
        <v>394</v>
      </c>
      <c r="F2138" t="str">
        <f>"00-00-31-1700-0023-0000"</f>
        <v>00-00-31-1700-0023-0000</v>
      </c>
      <c r="H2138" t="str">
        <f>"TUTEN FRANK DAVID"</f>
        <v>TUTEN FRANK DAVID</v>
      </c>
      <c r="I2138" t="str">
        <f>"843 MARY ST"</f>
        <v>843 MARY ST</v>
      </c>
      <c r="J2138" t="str">
        <f>"FERNANDINA BEACH FL 32034"</f>
        <v>FERNANDINA BEACH FL 32034</v>
      </c>
      <c r="K2138" t="str">
        <f>"843 MARY ST"</f>
        <v>843 MARY ST</v>
      </c>
      <c r="L2138" t="str">
        <f t="shared" si="807"/>
        <v>FERNANDINA BEACH FL 32034</v>
      </c>
      <c r="M2138" t="str">
        <f>"LOT 23 (EX SO 6 FT) &amp; S 6 FT OF LOT 24 IN OR 421/451 &amp; OR 426/630 SORENSENS OCEAN TERRACE UNR"</f>
        <v>LOT 23 (EX SO 6 FT) &amp; S 6 FT OF LOT 24 IN OR 421/451 &amp; OR 426/630 SORENSENS OCEAN TERRACE UNR</v>
      </c>
      <c r="N2138" t="str">
        <f>""</f>
        <v/>
      </c>
      <c r="O2138" t="str">
        <f>"10861"</f>
        <v>10861</v>
      </c>
      <c r="P2138" t="str">
        <f t="shared" si="800"/>
        <v>2017</v>
      </c>
      <c r="Q2138" t="str">
        <f>""</f>
        <v/>
      </c>
      <c r="R2138" t="str">
        <f>"Y"</f>
        <v>Y</v>
      </c>
      <c r="S2138" t="str">
        <f>""</f>
        <v/>
      </c>
      <c r="T2138" t="str">
        <f>"2621.89"</f>
        <v>2621.89</v>
      </c>
      <c r="U2138" t="str">
        <f>"169934.00"</f>
        <v>169934.00</v>
      </c>
      <c r="V2138" t="str">
        <f>"169934.00"</f>
        <v>169934.00</v>
      </c>
      <c r="W2138" t="str">
        <f t="shared" si="801"/>
        <v>2017</v>
      </c>
      <c r="X2138" t="str">
        <f>"7.27"</f>
        <v>7.27</v>
      </c>
      <c r="Y2138" t="str">
        <f>"2732.55"</f>
        <v>2732.55</v>
      </c>
      <c r="Z2138" t="str">
        <f>"25000.00"</f>
        <v>25000.00</v>
      </c>
      <c r="AA2138" t="str">
        <f>"155022.00"</f>
        <v>155022.00</v>
      </c>
      <c r="AB2138" t="str">
        <f>"Residential"</f>
        <v>Residential</v>
      </c>
      <c r="AC2138" t="str">
        <f t="shared" si="781"/>
        <v>0</v>
      </c>
      <c r="AD2138" t="str">
        <f>"3"</f>
        <v>3</v>
      </c>
      <c r="AE2138" t="str">
        <f>"MASONRY"</f>
        <v>MASONRY</v>
      </c>
      <c r="AF2138" t="str">
        <f>"008"</f>
        <v>008</v>
      </c>
      <c r="AG2138" t="str">
        <f t="shared" si="808"/>
        <v>FL</v>
      </c>
      <c r="AH2138" t="str">
        <f>"6000.00"</f>
        <v>6000.00</v>
      </c>
      <c r="AI2138" t="str">
        <f>"100000.00"</f>
        <v>100000.00</v>
      </c>
      <c r="AJ2138" t="str">
        <f>"C55-000-585-8415-2"</f>
        <v>C55-000-585-8415-2</v>
      </c>
      <c r="AK2138" t="str">
        <f>"47900"</f>
        <v>47900</v>
      </c>
      <c r="AL2138">
        <v>8</v>
      </c>
      <c r="AM2138">
        <v>2444</v>
      </c>
      <c r="AN2138">
        <v>2867.58</v>
      </c>
      <c r="AQ2138" t="s">
        <v>20565</v>
      </c>
      <c r="AR2138" t="s">
        <v>20565</v>
      </c>
      <c r="AS2138" t="s">
        <v>20565</v>
      </c>
      <c r="AU2138" t="s">
        <v>396</v>
      </c>
      <c r="AV2138">
        <v>2017</v>
      </c>
      <c r="AW2138" t="str">
        <f>"00-00-31-1700-0023-0000 "</f>
        <v xml:space="preserve">00-00-31-1700-0023-0000 </v>
      </c>
      <c r="AX2138">
        <v>843</v>
      </c>
      <c r="AZ2138" t="s">
        <v>4029</v>
      </c>
      <c r="BA2138" t="s">
        <v>1942</v>
      </c>
      <c r="BD2138" t="s">
        <v>11749</v>
      </c>
      <c r="BE2138" t="s">
        <v>393</v>
      </c>
      <c r="BF2138">
        <v>32034</v>
      </c>
      <c r="BG2138" t="s">
        <v>20566</v>
      </c>
      <c r="BH2138" t="s">
        <v>11751</v>
      </c>
      <c r="BI2138">
        <v>-81.431985903145303</v>
      </c>
      <c r="BJ2138">
        <v>30.6785006079377</v>
      </c>
      <c r="BK2138" t="s">
        <v>20567</v>
      </c>
      <c r="BM2138" t="s">
        <v>20566</v>
      </c>
      <c r="BN2138" t="s">
        <v>3983</v>
      </c>
      <c r="BO2138">
        <v>32034</v>
      </c>
      <c r="BP2138" t="s">
        <v>416</v>
      </c>
      <c r="BQ2138">
        <v>800</v>
      </c>
      <c r="BR2138" t="s">
        <v>5126</v>
      </c>
      <c r="BS2138">
        <v>1110</v>
      </c>
      <c r="BT2138" t="s">
        <v>5127</v>
      </c>
      <c r="BW2138">
        <v>6001</v>
      </c>
      <c r="BX2138" t="s">
        <v>407</v>
      </c>
      <c r="BY2138" t="s">
        <v>18253</v>
      </c>
      <c r="BZ2138">
        <v>3</v>
      </c>
      <c r="CA2138">
        <v>1985</v>
      </c>
      <c r="CB2138">
        <v>2</v>
      </c>
      <c r="CC2138">
        <v>1</v>
      </c>
      <c r="CD2138">
        <v>2017</v>
      </c>
      <c r="CG2138">
        <v>180022</v>
      </c>
      <c r="CH2138">
        <v>2017</v>
      </c>
      <c r="CI2138">
        <v>100000</v>
      </c>
      <c r="CJ2138">
        <v>192575</v>
      </c>
      <c r="CK2138">
        <v>292575</v>
      </c>
      <c r="CL2138">
        <v>2017</v>
      </c>
      <c r="CM2138">
        <v>2621.89</v>
      </c>
      <c r="CN2138" s="1">
        <v>30834</v>
      </c>
      <c r="CZ2138" s="1">
        <v>30834</v>
      </c>
      <c r="DD2138" t="s">
        <v>11749</v>
      </c>
      <c r="DF2138">
        <v>23</v>
      </c>
      <c r="DG2138">
        <v>9</v>
      </c>
      <c r="DL2138">
        <v>50102</v>
      </c>
      <c r="DM2138" t="s">
        <v>18254</v>
      </c>
      <c r="DO2138" t="s">
        <v>20568</v>
      </c>
      <c r="DP2138">
        <v>0</v>
      </c>
      <c r="DQ2138">
        <v>0</v>
      </c>
      <c r="DR2138" t="s">
        <v>411</v>
      </c>
      <c r="DS2138" t="b">
        <v>1</v>
      </c>
      <c r="DT2138" t="s">
        <v>470</v>
      </c>
      <c r="DU2138" t="s">
        <v>471</v>
      </c>
      <c r="DV2138" t="s">
        <v>472</v>
      </c>
      <c r="DX2138">
        <v>-9999</v>
      </c>
      <c r="DZ2138" t="s">
        <v>447</v>
      </c>
      <c r="EA2138" t="s">
        <v>448</v>
      </c>
      <c r="EB2138" t="s">
        <v>19924</v>
      </c>
      <c r="EC2138">
        <v>20101217</v>
      </c>
      <c r="ED2138" t="s">
        <v>474</v>
      </c>
      <c r="EF2138">
        <v>192.6</v>
      </c>
      <c r="EG2138">
        <v>150.69999999999999</v>
      </c>
      <c r="EI2138">
        <v>20160407</v>
      </c>
      <c r="EJ2138">
        <v>0</v>
      </c>
      <c r="EK2138">
        <v>0</v>
      </c>
      <c r="EP2138" t="s">
        <v>421</v>
      </c>
      <c r="EQ2138" t="s">
        <v>422</v>
      </c>
      <c r="ER2138">
        <v>0</v>
      </c>
      <c r="ES2138">
        <v>10</v>
      </c>
      <c r="ET2138">
        <v>0</v>
      </c>
      <c r="EU2138">
        <v>0</v>
      </c>
      <c r="EV2138">
        <v>0</v>
      </c>
      <c r="EW2138" s="2">
        <v>43222</v>
      </c>
      <c r="EX2138" s="1">
        <v>42879</v>
      </c>
      <c r="EY2138">
        <v>2016</v>
      </c>
      <c r="EZ2138">
        <v>2788.47</v>
      </c>
      <c r="FA2138" t="s">
        <v>20569</v>
      </c>
      <c r="FB2138">
        <v>0.25</v>
      </c>
      <c r="FC2138" t="s">
        <v>424</v>
      </c>
      <c r="FD2138" t="s">
        <v>425</v>
      </c>
      <c r="FE2138" s="1">
        <v>43152</v>
      </c>
      <c r="FF2138">
        <v>9</v>
      </c>
      <c r="FG2138">
        <v>5856195</v>
      </c>
      <c r="FH2138" t="s">
        <v>1060</v>
      </c>
      <c r="FJ2138" s="1">
        <v>42879</v>
      </c>
      <c r="FK2138">
        <v>2016</v>
      </c>
      <c r="FL2138">
        <v>2788.47</v>
      </c>
      <c r="FM2138" t="s">
        <v>20569</v>
      </c>
      <c r="FN2138">
        <v>0.25</v>
      </c>
      <c r="FO2138" t="s">
        <v>424</v>
      </c>
      <c r="FP2138" t="s">
        <v>425</v>
      </c>
      <c r="FR2138">
        <v>22</v>
      </c>
      <c r="FS2138">
        <v>6052708</v>
      </c>
      <c r="FT2138" t="s">
        <v>20570</v>
      </c>
      <c r="FV2138" s="1">
        <v>42515</v>
      </c>
      <c r="FW2138">
        <v>2015</v>
      </c>
      <c r="FX2138">
        <v>2591.27</v>
      </c>
      <c r="FY2138" t="s">
        <v>20571</v>
      </c>
      <c r="FZ2138">
        <v>0.25</v>
      </c>
      <c r="GA2138" t="s">
        <v>424</v>
      </c>
      <c r="GB2138" t="s">
        <v>425</v>
      </c>
      <c r="GC2138" s="1">
        <v>42755</v>
      </c>
      <c r="GD2138">
        <v>8</v>
      </c>
      <c r="GE2138">
        <v>11289</v>
      </c>
      <c r="GF2138" t="s">
        <v>787</v>
      </c>
      <c r="GH2138" s="1">
        <v>42515</v>
      </c>
      <c r="GI2138">
        <v>2015</v>
      </c>
      <c r="GJ2138">
        <v>2591.27</v>
      </c>
      <c r="GK2138" t="s">
        <v>20571</v>
      </c>
      <c r="GL2138">
        <v>0.25</v>
      </c>
      <c r="GM2138" t="s">
        <v>424</v>
      </c>
      <c r="GN2138" t="s">
        <v>425</v>
      </c>
      <c r="GP2138">
        <v>22</v>
      </c>
      <c r="GQ2138">
        <v>7056870</v>
      </c>
      <c r="GR2138" t="s">
        <v>20572</v>
      </c>
      <c r="GT2138" s="1">
        <v>42151</v>
      </c>
      <c r="GU2138">
        <v>2014</v>
      </c>
      <c r="GV2138">
        <v>2595.8000000000002</v>
      </c>
      <c r="GW2138" t="s">
        <v>20573</v>
      </c>
      <c r="GX2138">
        <v>0.25</v>
      </c>
      <c r="GY2138" t="s">
        <v>424</v>
      </c>
      <c r="GZ2138" t="s">
        <v>425</v>
      </c>
      <c r="HA2138" s="1">
        <v>42368</v>
      </c>
      <c r="HB2138">
        <v>7</v>
      </c>
      <c r="HC2138">
        <v>4975594</v>
      </c>
      <c r="HD2138" t="s">
        <v>457</v>
      </c>
      <c r="HF2138" s="1">
        <v>42151</v>
      </c>
      <c r="HG2138">
        <v>2014</v>
      </c>
      <c r="HH2138">
        <v>2595.8000000000002</v>
      </c>
      <c r="HI2138" t="s">
        <v>20573</v>
      </c>
      <c r="HJ2138">
        <v>0.25</v>
      </c>
      <c r="HK2138" t="s">
        <v>424</v>
      </c>
      <c r="HL2138" t="s">
        <v>425</v>
      </c>
      <c r="HN2138">
        <v>22</v>
      </c>
      <c r="HO2138">
        <v>6626291</v>
      </c>
      <c r="HP2138" t="s">
        <v>20574</v>
      </c>
      <c r="HR2138" s="1">
        <v>41787</v>
      </c>
      <c r="HS2138">
        <v>2013</v>
      </c>
      <c r="HT2138">
        <v>2488.27</v>
      </c>
      <c r="HU2138" t="s">
        <v>20575</v>
      </c>
      <c r="HV2138">
        <v>0.25</v>
      </c>
      <c r="HW2138" t="s">
        <v>424</v>
      </c>
      <c r="HX2138" t="s">
        <v>425</v>
      </c>
      <c r="HY2138" s="1">
        <v>42002</v>
      </c>
      <c r="HZ2138">
        <v>7</v>
      </c>
      <c r="IA2138">
        <v>2675455</v>
      </c>
      <c r="IB2138" t="s">
        <v>1981</v>
      </c>
      <c r="ID2138" s="1">
        <v>41423</v>
      </c>
      <c r="IE2138">
        <v>2012</v>
      </c>
      <c r="IF2138">
        <v>2621.11</v>
      </c>
      <c r="IG2138" t="s">
        <v>20576</v>
      </c>
      <c r="IH2138">
        <v>0.25</v>
      </c>
      <c r="II2138" t="s">
        <v>424</v>
      </c>
      <c r="IJ2138" t="s">
        <v>425</v>
      </c>
      <c r="IK2138" s="1">
        <v>41634</v>
      </c>
      <c r="IL2138">
        <v>7</v>
      </c>
      <c r="IM2138">
        <v>2101382</v>
      </c>
      <c r="IN2138" t="s">
        <v>993</v>
      </c>
      <c r="IP2138" s="1">
        <v>41052</v>
      </c>
      <c r="IQ2138">
        <v>2011</v>
      </c>
      <c r="IR2138">
        <v>2488.21</v>
      </c>
      <c r="IS2138" t="s">
        <v>20577</v>
      </c>
      <c r="IT2138">
        <v>0.25</v>
      </c>
      <c r="IU2138" t="s">
        <v>424</v>
      </c>
      <c r="IV2138" t="s">
        <v>425</v>
      </c>
      <c r="IW2138" s="1">
        <v>41271</v>
      </c>
      <c r="IX2138">
        <v>7</v>
      </c>
      <c r="IY2138">
        <v>13230</v>
      </c>
      <c r="IZ2138" t="s">
        <v>20578</v>
      </c>
      <c r="JB2138" s="1">
        <v>40688</v>
      </c>
      <c r="JC2138">
        <v>2010</v>
      </c>
      <c r="JD2138">
        <v>2403.1999999999998</v>
      </c>
      <c r="JE2138" t="s">
        <v>20579</v>
      </c>
      <c r="JF2138">
        <v>0.25</v>
      </c>
      <c r="JG2138" t="s">
        <v>424</v>
      </c>
      <c r="JH2138" t="s">
        <v>425</v>
      </c>
      <c r="JI2138" s="1">
        <v>40907</v>
      </c>
      <c r="JJ2138">
        <v>7</v>
      </c>
      <c r="JK2138">
        <v>11177</v>
      </c>
      <c r="JL2138" t="s">
        <v>650</v>
      </c>
    </row>
    <row r="2139" spans="1:284" x14ac:dyDescent="0.25">
      <c r="A2139">
        <v>16487146</v>
      </c>
      <c r="B2139">
        <v>2138</v>
      </c>
      <c r="C2139" t="s">
        <v>393</v>
      </c>
      <c r="D2139" t="s">
        <v>394</v>
      </c>
      <c r="F2139" t="str">
        <f>"00-00-31-1720-000A-0110"</f>
        <v>00-00-31-1720-000A-0110</v>
      </c>
      <c r="H2139" t="str">
        <f>"RIVER GREEN ESTATES LLC"</f>
        <v>RIVER GREEN ESTATES LLC</v>
      </c>
      <c r="I2139" t="str">
        <f>"11323 PHILLIPS PKWY DR E STE 7"</f>
        <v>11323 PHILLIPS PKWY DR E STE 7</v>
      </c>
      <c r="J2139" t="str">
        <f>"JACKSONVILLE FL 32256"</f>
        <v>JACKSONVILLE FL 32256</v>
      </c>
      <c r="K2139" t="str">
        <f>"3075 1ST AVE"</f>
        <v>3075 1ST AVE</v>
      </c>
      <c r="L2139" t="str">
        <f t="shared" si="807"/>
        <v>FERNANDINA BEACH FL 32034</v>
      </c>
      <c r="M2139" t="str">
        <f>"PT OF TRACT A IN OR 2068/203 SOUTH BEACH SUB PB 3/11"</f>
        <v>PT OF TRACT A IN OR 2068/203 SOUTH BEACH SUB PB 3/11</v>
      </c>
      <c r="N2139" t="str">
        <f>""</f>
        <v/>
      </c>
      <c r="O2139" t="str">
        <f>"10969"</f>
        <v>10969</v>
      </c>
      <c r="P2139" t="str">
        <f t="shared" si="800"/>
        <v>2017</v>
      </c>
      <c r="Q2139" t="str">
        <f>""</f>
        <v/>
      </c>
      <c r="R2139" t="str">
        <f>"N"</f>
        <v>N</v>
      </c>
      <c r="S2139" t="str">
        <f>""</f>
        <v/>
      </c>
      <c r="T2139" t="str">
        <f>"4479.07"</f>
        <v>4479.07</v>
      </c>
      <c r="U2139" t="str">
        <f>"224731.00"</f>
        <v>224731.00</v>
      </c>
      <c r="V2139" t="str">
        <f>"224731.00"</f>
        <v>224731.00</v>
      </c>
      <c r="W2139" t="str">
        <f t="shared" si="801"/>
        <v>2017</v>
      </c>
      <c r="X2139" t="str">
        <f>""</f>
        <v/>
      </c>
      <c r="Y2139" t="str">
        <f>"4645.44"</f>
        <v>4645.44</v>
      </c>
      <c r="Z2139" t="str">
        <f>""</f>
        <v/>
      </c>
      <c r="AA2139" t="str">
        <f>"224731.00"</f>
        <v>224731.00</v>
      </c>
      <c r="AB2139" t="str">
        <f>"Residential"</f>
        <v>Residential</v>
      </c>
      <c r="AC2139" t="str">
        <f t="shared" si="781"/>
        <v>0</v>
      </c>
      <c r="AD2139" t="str">
        <f>"4"</f>
        <v>4</v>
      </c>
      <c r="AE2139" t="str">
        <f>"WOOD (INCLUDE STEEL STUDS)"</f>
        <v>WOOD (INCLUDE STEEL STUDS)</v>
      </c>
      <c r="AF2139" t="str">
        <f>"001"</f>
        <v>001</v>
      </c>
      <c r="AG2139" t="str">
        <f t="shared" si="808"/>
        <v>FL</v>
      </c>
      <c r="AH2139" t="str">
        <f>"10200.00"</f>
        <v>10200.00</v>
      </c>
      <c r="AI2139" t="str">
        <f>"196875.00"</f>
        <v>196875.00</v>
      </c>
      <c r="AJ2139" t="str">
        <f>"C55-000-585-8515-9"</f>
        <v>C55-000-585-8515-9</v>
      </c>
      <c r="AK2139" t="str">
        <f>"47942"</f>
        <v>47942</v>
      </c>
      <c r="AL2139">
        <v>8</v>
      </c>
      <c r="AM2139">
        <v>2445</v>
      </c>
      <c r="AN2139">
        <v>4876.1099999999997</v>
      </c>
      <c r="AQ2139" t="s">
        <v>20580</v>
      </c>
      <c r="AR2139" t="s">
        <v>20580</v>
      </c>
      <c r="AS2139" t="s">
        <v>20580</v>
      </c>
      <c r="AU2139" t="s">
        <v>396</v>
      </c>
      <c r="AV2139">
        <v>2017</v>
      </c>
      <c r="AW2139" t="str">
        <f>"00-00-31-1720-000A-0110 "</f>
        <v xml:space="preserve">00-00-31-1720-000A-0110 </v>
      </c>
      <c r="AX2139">
        <v>3075</v>
      </c>
      <c r="AZ2139" t="s">
        <v>19894</v>
      </c>
      <c r="BA2139" t="s">
        <v>1112</v>
      </c>
      <c r="BD2139" t="s">
        <v>11749</v>
      </c>
      <c r="BE2139" t="s">
        <v>393</v>
      </c>
      <c r="BF2139">
        <v>32034</v>
      </c>
      <c r="BG2139" t="s">
        <v>20581</v>
      </c>
      <c r="BH2139" t="s">
        <v>11751</v>
      </c>
      <c r="BI2139">
        <v>-81.441413149429494</v>
      </c>
      <c r="BJ2139">
        <v>30.623703741324999</v>
      </c>
      <c r="BK2139" t="s">
        <v>20582</v>
      </c>
      <c r="BM2139" t="s">
        <v>20583</v>
      </c>
      <c r="BN2139" t="s">
        <v>548</v>
      </c>
      <c r="BO2139">
        <v>32256</v>
      </c>
      <c r="BP2139" t="s">
        <v>404</v>
      </c>
      <c r="BQ2139">
        <v>100</v>
      </c>
      <c r="BR2139" t="s">
        <v>514</v>
      </c>
      <c r="BS2139">
        <v>1001</v>
      </c>
      <c r="BT2139" t="s">
        <v>515</v>
      </c>
      <c r="BU2139">
        <v>1500</v>
      </c>
      <c r="BV2139">
        <v>680</v>
      </c>
      <c r="BW2139">
        <v>15078</v>
      </c>
      <c r="BX2139" t="s">
        <v>407</v>
      </c>
      <c r="BZ2139">
        <v>4</v>
      </c>
      <c r="CA2139">
        <v>1940</v>
      </c>
      <c r="CB2139">
        <v>1</v>
      </c>
      <c r="CC2139">
        <v>1</v>
      </c>
      <c r="CD2139">
        <v>2017</v>
      </c>
      <c r="CE2139">
        <v>196875</v>
      </c>
      <c r="CF2139">
        <v>27856</v>
      </c>
      <c r="CG2139">
        <v>224731</v>
      </c>
      <c r="CH2139">
        <v>2017</v>
      </c>
      <c r="CI2139">
        <v>196875</v>
      </c>
      <c r="CJ2139">
        <v>27856</v>
      </c>
      <c r="CK2139">
        <v>224731</v>
      </c>
      <c r="CL2139">
        <v>2017</v>
      </c>
      <c r="CM2139">
        <v>4479.07</v>
      </c>
      <c r="CN2139" s="1">
        <v>42608</v>
      </c>
      <c r="CO2139">
        <v>314000</v>
      </c>
      <c r="CV2139">
        <v>315500</v>
      </c>
      <c r="CX2139" t="s">
        <v>675</v>
      </c>
      <c r="CZ2139" s="1">
        <v>42608</v>
      </c>
      <c r="DA2139">
        <v>0</v>
      </c>
      <c r="DD2139" t="s">
        <v>11749</v>
      </c>
      <c r="DG2139">
        <v>6</v>
      </c>
      <c r="DJ2139" t="s">
        <v>20101</v>
      </c>
      <c r="DL2139">
        <v>50202</v>
      </c>
      <c r="DM2139" t="s">
        <v>19579</v>
      </c>
      <c r="DO2139" t="s">
        <v>20584</v>
      </c>
      <c r="DP2139">
        <v>0</v>
      </c>
      <c r="DQ2139">
        <v>0</v>
      </c>
      <c r="DR2139" t="s">
        <v>411</v>
      </c>
      <c r="EP2139" t="s">
        <v>421</v>
      </c>
      <c r="EQ2139" t="s">
        <v>422</v>
      </c>
      <c r="ER2139">
        <v>2</v>
      </c>
      <c r="ES2139">
        <v>0</v>
      </c>
      <c r="ET2139">
        <v>8671.5</v>
      </c>
      <c r="EU2139">
        <v>446.08</v>
      </c>
      <c r="EV2139">
        <v>9117.58</v>
      </c>
      <c r="EW2139" s="2">
        <v>43222</v>
      </c>
      <c r="EX2139" s="1">
        <v>42879</v>
      </c>
      <c r="EY2139">
        <v>2016</v>
      </c>
      <c r="EZ2139">
        <v>4335.75</v>
      </c>
      <c r="FA2139" t="s">
        <v>20585</v>
      </c>
      <c r="FB2139">
        <v>0.25</v>
      </c>
      <c r="FC2139" t="s">
        <v>424</v>
      </c>
      <c r="FD2139" t="s">
        <v>454</v>
      </c>
      <c r="FF2139">
        <v>12</v>
      </c>
      <c r="FG2139">
        <v>7336671</v>
      </c>
      <c r="FH2139" t="s">
        <v>437</v>
      </c>
      <c r="FJ2139" s="1">
        <v>42879</v>
      </c>
      <c r="FK2139">
        <v>2016</v>
      </c>
      <c r="FL2139">
        <v>4335.75</v>
      </c>
      <c r="FM2139" t="s">
        <v>20585</v>
      </c>
      <c r="FN2139">
        <v>0.25</v>
      </c>
      <c r="FO2139" t="s">
        <v>424</v>
      </c>
      <c r="FP2139" t="s">
        <v>454</v>
      </c>
      <c r="FR2139">
        <v>12</v>
      </c>
      <c r="FS2139">
        <v>5151852</v>
      </c>
      <c r="FT2139" t="s">
        <v>20586</v>
      </c>
    </row>
    <row r="2140" spans="1:284" x14ac:dyDescent="0.25">
      <c r="A2140">
        <v>16487147</v>
      </c>
      <c r="B2140">
        <v>2139</v>
      </c>
      <c r="C2140" t="s">
        <v>393</v>
      </c>
      <c r="D2140" t="s">
        <v>394</v>
      </c>
      <c r="F2140" t="str">
        <f>"00-00-31-1720-000A-0140"</f>
        <v>00-00-31-1720-000A-0140</v>
      </c>
      <c r="H2140" t="str">
        <f>"RIVER GREEN ESTATES LLC"</f>
        <v>RIVER GREEN ESTATES LLC</v>
      </c>
      <c r="I2140" t="str">
        <f>"11323 PHILIPS PKWY DR E STE 7"</f>
        <v>11323 PHILIPS PKWY DR E STE 7</v>
      </c>
      <c r="J2140" t="str">
        <f>"JACKSONVILLE FL 32256"</f>
        <v>JACKSONVILLE FL 32256</v>
      </c>
      <c r="K2140" t="str">
        <f>"3094 1ST AVE"</f>
        <v>3094 1ST AVE</v>
      </c>
      <c r="L2140" t="str">
        <f t="shared" si="807"/>
        <v>FERNANDINA BEACH FL 32034</v>
      </c>
      <c r="M2140" t="str">
        <f>"PT OF TRACT A IN OR 2004/1970 ESMT IN OR 362 PG 147 SOUTH BEACH SUB PB 3/11"</f>
        <v>PT OF TRACT A IN OR 2004/1970 ESMT IN OR 362 PG 147 SOUTH BEACH SUB PB 3/11</v>
      </c>
      <c r="N2140" t="str">
        <f>""</f>
        <v/>
      </c>
      <c r="O2140" t="str">
        <f>"10972"</f>
        <v>10972</v>
      </c>
      <c r="P2140" t="str">
        <f t="shared" si="800"/>
        <v>2017</v>
      </c>
      <c r="Q2140" t="str">
        <f>""</f>
        <v/>
      </c>
      <c r="R2140" t="str">
        <f>"N"</f>
        <v>N</v>
      </c>
      <c r="S2140" t="str">
        <f>""</f>
        <v/>
      </c>
      <c r="T2140" t="str">
        <f>"1677.27"</f>
        <v>1677.27</v>
      </c>
      <c r="U2140" t="str">
        <f>"82500.00"</f>
        <v>82500.00</v>
      </c>
      <c r="V2140" t="str">
        <f>"82500.00"</f>
        <v>82500.00</v>
      </c>
      <c r="W2140" t="str">
        <f t="shared" si="801"/>
        <v>2017</v>
      </c>
      <c r="X2140" t="str">
        <f>""</f>
        <v/>
      </c>
      <c r="Y2140" t="str">
        <f>"1759.59"</f>
        <v>1759.59</v>
      </c>
      <c r="Z2140" t="str">
        <f>""</f>
        <v/>
      </c>
      <c r="AA2140" t="str">
        <f>"87500.00"</f>
        <v>87500.00</v>
      </c>
      <c r="AB2140" t="str">
        <f>"Residential"</f>
        <v>Residential</v>
      </c>
      <c r="AC2140" t="str">
        <f t="shared" si="781"/>
        <v>0</v>
      </c>
      <c r="AD2140" t="str">
        <f>""</f>
        <v/>
      </c>
      <c r="AE2140" t="str">
        <f>""</f>
        <v/>
      </c>
      <c r="AF2140" t="str">
        <f>"000"</f>
        <v>000</v>
      </c>
      <c r="AG2140" t="str">
        <f t="shared" si="808"/>
        <v>FL</v>
      </c>
      <c r="AH2140" t="str">
        <f>"6000.00"</f>
        <v>6000.00</v>
      </c>
      <c r="AI2140" t="str">
        <f>"87500.00"</f>
        <v>87500.00</v>
      </c>
      <c r="AJ2140" t="str">
        <f>"C55-000-585-8518-3"</f>
        <v>C55-000-585-8518-3</v>
      </c>
      <c r="AK2140" t="str">
        <f>"47945"</f>
        <v>47945</v>
      </c>
      <c r="AL2140">
        <v>8</v>
      </c>
      <c r="AM2140">
        <v>2446</v>
      </c>
      <c r="AN2140">
        <v>1845.97</v>
      </c>
      <c r="AQ2140" t="s">
        <v>20587</v>
      </c>
      <c r="AR2140" t="s">
        <v>20587</v>
      </c>
      <c r="AS2140" t="s">
        <v>20587</v>
      </c>
      <c r="AU2140" t="s">
        <v>396</v>
      </c>
      <c r="AV2140">
        <v>2017</v>
      </c>
      <c r="AW2140" t="str">
        <f>"00-00-31-1720-000A-0140 "</f>
        <v xml:space="preserve">00-00-31-1720-000A-0140 </v>
      </c>
      <c r="AX2140">
        <v>3094</v>
      </c>
      <c r="AZ2140" t="s">
        <v>19894</v>
      </c>
      <c r="BA2140" t="s">
        <v>1112</v>
      </c>
      <c r="BD2140" t="s">
        <v>11749</v>
      </c>
      <c r="BE2140" t="s">
        <v>393</v>
      </c>
      <c r="BF2140">
        <v>32034</v>
      </c>
      <c r="BG2140" t="s">
        <v>20588</v>
      </c>
      <c r="BH2140" t="s">
        <v>11751</v>
      </c>
      <c r="BI2140">
        <v>-81.440970638155903</v>
      </c>
      <c r="BJ2140">
        <v>30.623346551909801</v>
      </c>
      <c r="BK2140" t="s">
        <v>20099</v>
      </c>
      <c r="BM2140" t="s">
        <v>20589</v>
      </c>
      <c r="BN2140" t="s">
        <v>548</v>
      </c>
      <c r="BO2140">
        <v>32256</v>
      </c>
      <c r="BP2140" t="s">
        <v>404</v>
      </c>
      <c r="BQ2140">
        <v>0</v>
      </c>
      <c r="BR2140" t="s">
        <v>491</v>
      </c>
      <c r="BS2140">
        <v>8001</v>
      </c>
      <c r="BT2140" t="s">
        <v>492</v>
      </c>
      <c r="BU2140">
        <v>500</v>
      </c>
      <c r="BV2140">
        <v>1200</v>
      </c>
      <c r="BW2140">
        <v>5952</v>
      </c>
      <c r="BX2140" t="s">
        <v>407</v>
      </c>
      <c r="CD2140">
        <v>2017</v>
      </c>
      <c r="CE2140">
        <v>87500</v>
      </c>
      <c r="CG2140">
        <v>87500</v>
      </c>
      <c r="CH2140">
        <v>2017</v>
      </c>
      <c r="CI2140">
        <v>87500</v>
      </c>
      <c r="CK2140">
        <v>87500</v>
      </c>
      <c r="CL2140">
        <v>2017</v>
      </c>
      <c r="CM2140">
        <v>1677.27</v>
      </c>
      <c r="CN2140" s="1">
        <v>42272</v>
      </c>
      <c r="CO2140">
        <v>80000</v>
      </c>
      <c r="CV2140">
        <v>382000</v>
      </c>
      <c r="CX2140" t="s">
        <v>693</v>
      </c>
      <c r="CZ2140" s="1">
        <v>42272</v>
      </c>
      <c r="DA2140">
        <v>0</v>
      </c>
      <c r="DD2140" t="s">
        <v>11749</v>
      </c>
      <c r="DG2140">
        <v>6</v>
      </c>
      <c r="DL2140">
        <v>50202</v>
      </c>
      <c r="DM2140" t="s">
        <v>19579</v>
      </c>
      <c r="DO2140" t="s">
        <v>20590</v>
      </c>
      <c r="DP2140">
        <v>0</v>
      </c>
      <c r="DQ2140">
        <v>0</v>
      </c>
      <c r="DR2140" t="s">
        <v>411</v>
      </c>
      <c r="DS2140" t="b">
        <v>1</v>
      </c>
      <c r="DT2140" t="s">
        <v>470</v>
      </c>
      <c r="DU2140" t="s">
        <v>471</v>
      </c>
      <c r="DV2140" t="s">
        <v>472</v>
      </c>
      <c r="DX2140">
        <v>-9999</v>
      </c>
      <c r="DZ2140" t="s">
        <v>447</v>
      </c>
      <c r="EA2140" t="s">
        <v>448</v>
      </c>
      <c r="EB2140" t="s">
        <v>14787</v>
      </c>
      <c r="EC2140">
        <v>20101217</v>
      </c>
      <c r="ED2140" t="s">
        <v>474</v>
      </c>
      <c r="EF2140">
        <v>449.6</v>
      </c>
      <c r="EG2140">
        <v>449.6</v>
      </c>
      <c r="EI2140">
        <v>20160407</v>
      </c>
      <c r="EJ2140">
        <v>0</v>
      </c>
      <c r="EK2140">
        <v>0</v>
      </c>
      <c r="EP2140" t="s">
        <v>421</v>
      </c>
      <c r="EQ2140" t="s">
        <v>422</v>
      </c>
      <c r="ER2140">
        <v>4</v>
      </c>
      <c r="ES2140">
        <v>0</v>
      </c>
      <c r="ET2140">
        <v>6299.1</v>
      </c>
      <c r="EU2140">
        <v>339.96</v>
      </c>
      <c r="EV2140">
        <v>6639.06</v>
      </c>
      <c r="EW2140" s="2">
        <v>43222</v>
      </c>
      <c r="EX2140" s="1">
        <v>42879</v>
      </c>
      <c r="EY2140">
        <v>2016</v>
      </c>
      <c r="EZ2140">
        <v>1669.28</v>
      </c>
      <c r="FA2140" t="s">
        <v>20591</v>
      </c>
      <c r="FB2140">
        <v>0.25</v>
      </c>
      <c r="FC2140" t="s">
        <v>424</v>
      </c>
      <c r="FD2140" t="s">
        <v>454</v>
      </c>
      <c r="FF2140">
        <v>12</v>
      </c>
      <c r="FG2140">
        <v>7400234</v>
      </c>
      <c r="FH2140" t="s">
        <v>426</v>
      </c>
      <c r="FJ2140" s="1">
        <v>42879</v>
      </c>
      <c r="FK2140">
        <v>2016</v>
      </c>
      <c r="FL2140">
        <v>1669.28</v>
      </c>
      <c r="FM2140" t="s">
        <v>20591</v>
      </c>
      <c r="FN2140">
        <v>0.25</v>
      </c>
      <c r="FO2140" t="s">
        <v>424</v>
      </c>
      <c r="FP2140" t="s">
        <v>454</v>
      </c>
      <c r="FR2140">
        <v>12</v>
      </c>
      <c r="FS2140">
        <v>7563316</v>
      </c>
      <c r="FT2140" t="s">
        <v>20592</v>
      </c>
      <c r="FV2140" s="1">
        <v>42515</v>
      </c>
      <c r="FW2140">
        <v>2015</v>
      </c>
      <c r="FX2140">
        <v>1480.27</v>
      </c>
      <c r="FY2140" t="s">
        <v>20593</v>
      </c>
      <c r="FZ2140">
        <v>0.25</v>
      </c>
      <c r="GA2140" t="s">
        <v>424</v>
      </c>
      <c r="GB2140" t="s">
        <v>454</v>
      </c>
      <c r="GD2140">
        <v>24</v>
      </c>
      <c r="GE2140">
        <v>2851116</v>
      </c>
      <c r="GF2140" t="s">
        <v>480</v>
      </c>
      <c r="GH2140" s="1">
        <v>42515</v>
      </c>
      <c r="GI2140">
        <v>2015</v>
      </c>
      <c r="GJ2140">
        <v>1480.27</v>
      </c>
      <c r="GK2140" t="s">
        <v>20593</v>
      </c>
      <c r="GL2140">
        <v>0.25</v>
      </c>
      <c r="GM2140" t="s">
        <v>424</v>
      </c>
      <c r="GN2140" t="s">
        <v>454</v>
      </c>
      <c r="GP2140">
        <v>24</v>
      </c>
      <c r="GQ2140">
        <v>5681525</v>
      </c>
      <c r="GR2140" t="s">
        <v>20594</v>
      </c>
    </row>
    <row r="2141" spans="1:284" x14ac:dyDescent="0.25">
      <c r="A2141">
        <v>16487148</v>
      </c>
      <c r="B2141">
        <v>2140</v>
      </c>
      <c r="C2141" t="s">
        <v>393</v>
      </c>
      <c r="D2141" t="s">
        <v>394</v>
      </c>
      <c r="F2141" t="str">
        <f>"00-00-31-1741-0001-0010"</f>
        <v>00-00-31-1741-0001-0010</v>
      </c>
      <c r="H2141" t="str">
        <f>"TOLBERT CARLTON E JR &amp; WILSON-TOLBERT ROBIN G (38.6%) &amp; WILSON KATHLEEN LIV TST ETAL"</f>
        <v>TOLBERT CARLTON E JR &amp; WILSON-TOLBERT ROBIN G (38.6%) &amp; WILSON KATHLEEN LIV TST ETAL</v>
      </c>
      <c r="I2141" t="str">
        <f>""</f>
        <v/>
      </c>
      <c r="J2141" t="str">
        <f>"PHILADELPHIA PA 19119"</f>
        <v>PHILADELPHIA PA 19119</v>
      </c>
      <c r="K2141" t="str">
        <f>"3205 EVENTIDE CT"</f>
        <v>3205 EVENTIDE CT</v>
      </c>
      <c r="L2141" t="str">
        <f t="shared" si="807"/>
        <v>FERNANDINA BEACH FL 32034</v>
      </c>
      <c r="M2141" t="str">
        <f>"LOT 1-1 INOR 1698/1339 &amp; INOR 2141/23 SURF UNIT ONE PB 7/300"</f>
        <v>LOT 1-1 INOR 1698/1339 &amp; INOR 2141/23 SURF UNIT ONE PB 7/300</v>
      </c>
      <c r="N2141" t="str">
        <f>""</f>
        <v/>
      </c>
      <c r="O2141" t="str">
        <f>"11005"</f>
        <v>11005</v>
      </c>
      <c r="P2141" t="str">
        <f t="shared" si="800"/>
        <v>2017</v>
      </c>
      <c r="Q2141" t="str">
        <f>""</f>
        <v/>
      </c>
      <c r="R2141" t="str">
        <f>"N"</f>
        <v>N</v>
      </c>
      <c r="S2141" t="str">
        <f>""</f>
        <v/>
      </c>
      <c r="T2141" t="str">
        <f>"8299.10"</f>
        <v>8299.10</v>
      </c>
      <c r="U2141" t="str">
        <f>"416398.00"</f>
        <v>416398.00</v>
      </c>
      <c r="V2141" t="str">
        <f>"416398.00"</f>
        <v>416398.00</v>
      </c>
      <c r="W2141" t="str">
        <f t="shared" si="801"/>
        <v>2017</v>
      </c>
      <c r="X2141" t="str">
        <f>"5.00"</f>
        <v>5.00</v>
      </c>
      <c r="Y2141" t="str">
        <f>"8580.07"</f>
        <v>8580.07</v>
      </c>
      <c r="Z2141" t="str">
        <f>""</f>
        <v/>
      </c>
      <c r="AA2141" t="str">
        <f>"416398.00"</f>
        <v>416398.00</v>
      </c>
      <c r="AB2141" t="str">
        <f>"Residential"</f>
        <v>Residential</v>
      </c>
      <c r="AC2141" t="str">
        <f t="shared" si="781"/>
        <v>0</v>
      </c>
      <c r="AD2141" t="str">
        <f>"4"</f>
        <v>4</v>
      </c>
      <c r="AE2141" t="str">
        <f>"WOOD (INCLUDE STEEL STUDS)"</f>
        <v>WOOD (INCLUDE STEEL STUDS)</v>
      </c>
      <c r="AF2141" t="str">
        <f>"001"</f>
        <v>001</v>
      </c>
      <c r="AG2141" t="str">
        <f>"PA"</f>
        <v>PA</v>
      </c>
      <c r="AH2141" t="str">
        <f>"-"</f>
        <v>-</v>
      </c>
      <c r="AI2141" t="str">
        <f>"160000.00"</f>
        <v>160000.00</v>
      </c>
      <c r="AJ2141" t="str">
        <f>"C55-001-011-2734-8"</f>
        <v>C55-001-011-2734-8</v>
      </c>
      <c r="AK2141" t="str">
        <f>"48015"</f>
        <v>48015</v>
      </c>
      <c r="AL2141">
        <v>8</v>
      </c>
      <c r="AM2141">
        <v>2447</v>
      </c>
      <c r="AN2141">
        <v>9007.4699999999993</v>
      </c>
      <c r="AQ2141" t="s">
        <v>20595</v>
      </c>
      <c r="AR2141" t="s">
        <v>20595</v>
      </c>
      <c r="AS2141" t="s">
        <v>20595</v>
      </c>
      <c r="AU2141" t="s">
        <v>396</v>
      </c>
      <c r="AV2141">
        <v>2017</v>
      </c>
      <c r="AW2141" t="str">
        <f>"00-00-31-1741-0001-0010 "</f>
        <v xml:space="preserve">00-00-31-1741-0001-0010 </v>
      </c>
      <c r="AX2141">
        <v>3205</v>
      </c>
      <c r="AZ2141" t="s">
        <v>20596</v>
      </c>
      <c r="BA2141" t="s">
        <v>3181</v>
      </c>
      <c r="BD2141" t="s">
        <v>11749</v>
      </c>
      <c r="BE2141" t="s">
        <v>393</v>
      </c>
      <c r="BF2141">
        <v>32034</v>
      </c>
      <c r="BG2141" t="s">
        <v>20597</v>
      </c>
      <c r="BH2141" t="s">
        <v>11751</v>
      </c>
      <c r="BI2141">
        <v>-81.441104187610193</v>
      </c>
      <c r="BJ2141">
        <v>30.6210985963694</v>
      </c>
      <c r="BK2141" t="s">
        <v>20598</v>
      </c>
      <c r="BM2141" t="s">
        <v>20599</v>
      </c>
      <c r="BN2141" t="s">
        <v>16603</v>
      </c>
      <c r="BO2141">
        <v>19119</v>
      </c>
      <c r="BP2141" t="s">
        <v>404</v>
      </c>
      <c r="BQ2141">
        <v>100</v>
      </c>
      <c r="BR2141" t="s">
        <v>514</v>
      </c>
      <c r="BS2141">
        <v>1001</v>
      </c>
      <c r="BT2141" t="s">
        <v>515</v>
      </c>
      <c r="BW2141">
        <v>3395</v>
      </c>
      <c r="BX2141" t="s">
        <v>407</v>
      </c>
      <c r="BY2141" t="s">
        <v>5383</v>
      </c>
      <c r="BZ2141">
        <v>4</v>
      </c>
      <c r="CA2141">
        <v>2009</v>
      </c>
      <c r="CB2141">
        <v>2</v>
      </c>
      <c r="CC2141">
        <v>1</v>
      </c>
      <c r="CD2141">
        <v>2017</v>
      </c>
      <c r="CE2141">
        <v>160000</v>
      </c>
      <c r="CF2141">
        <v>256398</v>
      </c>
      <c r="CG2141">
        <v>416398</v>
      </c>
      <c r="CH2141">
        <v>2017</v>
      </c>
      <c r="CI2141">
        <v>160000</v>
      </c>
      <c r="CJ2141">
        <v>256398</v>
      </c>
      <c r="CK2141">
        <v>416398</v>
      </c>
      <c r="CL2141">
        <v>2017</v>
      </c>
      <c r="CM2141">
        <v>8299.1</v>
      </c>
      <c r="CN2141" s="1">
        <v>40434</v>
      </c>
      <c r="CO2141">
        <v>228750</v>
      </c>
      <c r="CV2141">
        <v>0</v>
      </c>
      <c r="CZ2141" s="1">
        <v>40434</v>
      </c>
      <c r="DA2141">
        <v>0</v>
      </c>
      <c r="DD2141" t="s">
        <v>11749</v>
      </c>
      <c r="DF2141" s="4">
        <v>43101</v>
      </c>
      <c r="DG2141">
        <v>6</v>
      </c>
      <c r="DI2141">
        <v>1</v>
      </c>
      <c r="DJ2141" t="s">
        <v>20600</v>
      </c>
      <c r="DL2141">
        <v>50202</v>
      </c>
      <c r="DM2141" t="s">
        <v>19579</v>
      </c>
      <c r="DO2141" t="s">
        <v>20601</v>
      </c>
      <c r="DP2141">
        <v>0</v>
      </c>
      <c r="DQ2141">
        <v>1</v>
      </c>
      <c r="DR2141" t="s">
        <v>1174</v>
      </c>
      <c r="EP2141" t="s">
        <v>421</v>
      </c>
      <c r="EQ2141" t="s">
        <v>422</v>
      </c>
      <c r="ER2141">
        <v>0</v>
      </c>
      <c r="ES2141">
        <v>1</v>
      </c>
      <c r="ET2141">
        <v>0</v>
      </c>
      <c r="EU2141">
        <v>0</v>
      </c>
      <c r="EV2141">
        <v>0</v>
      </c>
      <c r="EW2141" s="2">
        <v>43222</v>
      </c>
      <c r="EX2141" s="1">
        <v>41423</v>
      </c>
      <c r="EY2141">
        <v>2012</v>
      </c>
      <c r="EZ2141">
        <v>7441.23</v>
      </c>
      <c r="FA2141" t="s">
        <v>20602</v>
      </c>
      <c r="FB2141">
        <v>0.25</v>
      </c>
      <c r="FC2141" t="s">
        <v>424</v>
      </c>
      <c r="FD2141" t="s">
        <v>425</v>
      </c>
      <c r="FE2141" s="1">
        <v>41565</v>
      </c>
      <c r="FF2141">
        <v>5</v>
      </c>
      <c r="FG2141">
        <v>15259</v>
      </c>
      <c r="FH2141" t="s">
        <v>891</v>
      </c>
    </row>
    <row r="2142" spans="1:284" x14ac:dyDescent="0.25">
      <c r="A2142">
        <v>16487149</v>
      </c>
      <c r="B2142">
        <v>2141</v>
      </c>
      <c r="C2142" t="s">
        <v>393</v>
      </c>
      <c r="D2142" t="s">
        <v>394</v>
      </c>
      <c r="F2142" t="str">
        <f>"00-00-31-1760-0005-0020"</f>
        <v>00-00-31-1760-0005-0020</v>
      </c>
      <c r="H2142" t="str">
        <f>"LEIBMAN MARILYN C"</f>
        <v>LEIBMAN MARILYN C</v>
      </c>
      <c r="I2142" t="str">
        <f>"P O BOX 150"</f>
        <v>P O BOX 150</v>
      </c>
      <c r="J2142" t="str">
        <f>"SOUND BEACH NY 11789"</f>
        <v>SOUND BEACH NY 11789</v>
      </c>
      <c r="K2142" t="str">
        <f>"201 FRONT ST N"</f>
        <v>201 FRONT ST N</v>
      </c>
      <c r="L2142" t="str">
        <f t="shared" si="807"/>
        <v>FERNANDINA BEACH FL 32034</v>
      </c>
      <c r="M2142" t="str">
        <f>"PT LOT 5 IN OR 788/1368 FNDA BCH WATER LOTS SUB UNR"</f>
        <v>PT LOT 5 IN OR 788/1368 FNDA BCH WATER LOTS SUB UNR</v>
      </c>
      <c r="N2142" t="str">
        <f>""</f>
        <v/>
      </c>
      <c r="O2142" t="str">
        <f>"11031"</f>
        <v>11031</v>
      </c>
      <c r="P2142" t="str">
        <f t="shared" si="800"/>
        <v>2017</v>
      </c>
      <c r="Q2142" t="str">
        <f>""</f>
        <v/>
      </c>
      <c r="R2142" t="str">
        <f>"N"</f>
        <v>N</v>
      </c>
      <c r="S2142" t="str">
        <f>""</f>
        <v/>
      </c>
      <c r="T2142" t="str">
        <f>"4642.78"</f>
        <v>4642.78</v>
      </c>
      <c r="U2142" t="str">
        <f>"159495.00"</f>
        <v>159495.00</v>
      </c>
      <c r="V2142" t="str">
        <f>"159495.00"</f>
        <v>159495.00</v>
      </c>
      <c r="W2142" t="str">
        <f t="shared" si="801"/>
        <v>2017</v>
      </c>
      <c r="X2142" t="str">
        <f>"21.22"</f>
        <v>21.22</v>
      </c>
      <c r="Y2142" t="str">
        <f>"4814.06"</f>
        <v>4814.06</v>
      </c>
      <c r="Z2142" t="str">
        <f>""</f>
        <v/>
      </c>
      <c r="AA2142" t="str">
        <f>"381372.00"</f>
        <v>381372.00</v>
      </c>
      <c r="AB2142" t="str">
        <f>"Commercial"</f>
        <v>Commercial</v>
      </c>
      <c r="AC2142" t="str">
        <f t="shared" ref="AC2142:AC2205" si="809">"0"</f>
        <v>0</v>
      </c>
      <c r="AD2142" t="str">
        <f>"4"</f>
        <v>4</v>
      </c>
      <c r="AE2142" t="str">
        <f>"WOOD (INCLUDE STEEL STUDS)"</f>
        <v>WOOD (INCLUDE STEEL STUDS)</v>
      </c>
      <c r="AF2142" t="str">
        <f>"029"</f>
        <v>029</v>
      </c>
      <c r="AG2142" t="str">
        <f>"NY"</f>
        <v>NY</v>
      </c>
      <c r="AH2142" t="str">
        <f>"24442.00"</f>
        <v>24442.00</v>
      </c>
      <c r="AI2142" t="str">
        <f>"366630.00"</f>
        <v>366630.00</v>
      </c>
      <c r="AJ2142" t="str">
        <f>"C55-000-585-8539-9"</f>
        <v>C55-000-585-8539-9</v>
      </c>
      <c r="AK2142" t="str">
        <f>"48053"</f>
        <v>48053</v>
      </c>
      <c r="AL2142">
        <v>8</v>
      </c>
      <c r="AM2142">
        <v>2448</v>
      </c>
      <c r="AN2142">
        <v>5053.16</v>
      </c>
      <c r="AQ2142" t="s">
        <v>20603</v>
      </c>
      <c r="AR2142" t="s">
        <v>20603</v>
      </c>
      <c r="AS2142" t="s">
        <v>20603</v>
      </c>
      <c r="AU2142" t="s">
        <v>396</v>
      </c>
      <c r="AV2142">
        <v>2017</v>
      </c>
      <c r="AW2142" t="str">
        <f>"00-00-31-1760-0005-0020 "</f>
        <v xml:space="preserve">00-00-31-1760-0005-0020 </v>
      </c>
      <c r="AX2142">
        <v>201</v>
      </c>
      <c r="AZ2142" t="s">
        <v>20604</v>
      </c>
      <c r="BA2142" t="s">
        <v>1942</v>
      </c>
      <c r="BB2142" t="s">
        <v>404</v>
      </c>
      <c r="BD2142" t="s">
        <v>11749</v>
      </c>
      <c r="BE2142" t="s">
        <v>393</v>
      </c>
      <c r="BF2142">
        <v>32034</v>
      </c>
      <c r="BG2142" t="s">
        <v>20605</v>
      </c>
      <c r="BH2142" t="s">
        <v>11751</v>
      </c>
      <c r="BI2142">
        <v>-81.464736062329393</v>
      </c>
      <c r="BJ2142">
        <v>30.674188261434299</v>
      </c>
      <c r="BK2142" t="s">
        <v>17175</v>
      </c>
      <c r="BM2142" t="s">
        <v>17176</v>
      </c>
      <c r="BN2142" t="s">
        <v>17177</v>
      </c>
      <c r="BO2142">
        <v>11789</v>
      </c>
      <c r="BP2142" t="s">
        <v>404</v>
      </c>
      <c r="BQ2142">
        <v>2900</v>
      </c>
      <c r="BR2142" t="s">
        <v>20606</v>
      </c>
      <c r="BS2142">
        <v>2029</v>
      </c>
      <c r="BT2142" t="s">
        <v>20607</v>
      </c>
      <c r="BU2142">
        <v>1500</v>
      </c>
      <c r="BV2142">
        <v>1600</v>
      </c>
      <c r="BW2142">
        <v>24442</v>
      </c>
      <c r="BX2142" t="s">
        <v>407</v>
      </c>
      <c r="BY2142" t="s">
        <v>11188</v>
      </c>
      <c r="BZ2142">
        <v>4</v>
      </c>
      <c r="CA2142">
        <v>1940</v>
      </c>
      <c r="CB2142">
        <v>1</v>
      </c>
      <c r="CD2142">
        <v>2017</v>
      </c>
      <c r="CE2142">
        <v>366630</v>
      </c>
      <c r="CF2142">
        <v>14742</v>
      </c>
      <c r="CG2142">
        <v>381372</v>
      </c>
      <c r="CH2142">
        <v>2017</v>
      </c>
      <c r="CI2142">
        <v>366630</v>
      </c>
      <c r="CJ2142">
        <v>14742</v>
      </c>
      <c r="CK2142">
        <v>381372</v>
      </c>
      <c r="CL2142">
        <v>2017</v>
      </c>
      <c r="CM2142">
        <v>4642.78</v>
      </c>
      <c r="CN2142" s="1">
        <v>35520</v>
      </c>
      <c r="CO2142">
        <v>298000</v>
      </c>
      <c r="CZ2142" s="1">
        <v>35520</v>
      </c>
      <c r="DD2142" t="s">
        <v>11749</v>
      </c>
      <c r="DF2142" t="s">
        <v>20608</v>
      </c>
      <c r="DG2142">
        <v>6</v>
      </c>
      <c r="DL2142">
        <v>50101</v>
      </c>
      <c r="DM2142" t="s">
        <v>20609</v>
      </c>
      <c r="DO2142" t="s">
        <v>20610</v>
      </c>
      <c r="DP2142">
        <v>0</v>
      </c>
      <c r="DQ2142">
        <v>15</v>
      </c>
      <c r="DR2142" t="s">
        <v>1174</v>
      </c>
      <c r="DS2142" t="b">
        <v>1</v>
      </c>
      <c r="DT2142" t="s">
        <v>8902</v>
      </c>
      <c r="DV2142" t="s">
        <v>446</v>
      </c>
      <c r="DX2142">
        <v>10</v>
      </c>
      <c r="DY2142" t="s">
        <v>11438</v>
      </c>
      <c r="DZ2142" t="s">
        <v>447</v>
      </c>
      <c r="EA2142" t="s">
        <v>448</v>
      </c>
      <c r="EB2142" t="s">
        <v>18370</v>
      </c>
      <c r="EC2142">
        <v>20101217</v>
      </c>
      <c r="ED2142" t="s">
        <v>450</v>
      </c>
      <c r="EE2142">
        <v>5</v>
      </c>
      <c r="EF2142">
        <v>0</v>
      </c>
      <c r="EG2142">
        <v>0</v>
      </c>
      <c r="EI2142">
        <v>20160407</v>
      </c>
      <c r="EJ2142">
        <v>0</v>
      </c>
      <c r="EK2142">
        <v>0</v>
      </c>
      <c r="EP2142" t="s">
        <v>421</v>
      </c>
      <c r="EQ2142" t="s">
        <v>422</v>
      </c>
      <c r="ER2142">
        <v>2</v>
      </c>
      <c r="ES2142">
        <v>8</v>
      </c>
      <c r="ET2142">
        <v>9802.6</v>
      </c>
      <c r="EU2142">
        <v>502.63</v>
      </c>
      <c r="EV2142">
        <v>10305.23</v>
      </c>
      <c r="EW2142" s="2">
        <v>43222</v>
      </c>
      <c r="EX2142" s="1">
        <v>42879</v>
      </c>
      <c r="EY2142">
        <v>2016</v>
      </c>
      <c r="EZ2142">
        <v>4901.3</v>
      </c>
      <c r="FA2142" t="s">
        <v>20611</v>
      </c>
      <c r="FB2142">
        <v>0.25</v>
      </c>
      <c r="FC2142" t="s">
        <v>424</v>
      </c>
      <c r="FD2142" t="s">
        <v>454</v>
      </c>
      <c r="FF2142">
        <v>12</v>
      </c>
      <c r="FG2142">
        <v>7400234</v>
      </c>
      <c r="FH2142" t="s">
        <v>426</v>
      </c>
      <c r="FJ2142" s="1">
        <v>42879</v>
      </c>
      <c r="FK2142">
        <v>2016</v>
      </c>
      <c r="FL2142">
        <v>4901.3</v>
      </c>
      <c r="FM2142" t="s">
        <v>20611</v>
      </c>
      <c r="FN2142">
        <v>0.25</v>
      </c>
      <c r="FO2142" t="s">
        <v>424</v>
      </c>
      <c r="FP2142" t="s">
        <v>454</v>
      </c>
      <c r="FR2142">
        <v>12</v>
      </c>
      <c r="FS2142">
        <v>7551206</v>
      </c>
      <c r="FT2142" t="s">
        <v>20612</v>
      </c>
      <c r="FV2142" s="1">
        <v>42515</v>
      </c>
      <c r="FW2142">
        <v>2015</v>
      </c>
      <c r="FX2142">
        <v>2941.93</v>
      </c>
      <c r="FY2142" t="s">
        <v>20613</v>
      </c>
      <c r="FZ2142">
        <v>0.25</v>
      </c>
      <c r="GA2142" t="s">
        <v>424</v>
      </c>
      <c r="GB2142" t="s">
        <v>425</v>
      </c>
      <c r="GC2142" s="1">
        <v>43159</v>
      </c>
      <c r="GD2142">
        <v>21</v>
      </c>
      <c r="GE2142">
        <v>2851116</v>
      </c>
      <c r="GF2142" t="s">
        <v>480</v>
      </c>
      <c r="GH2142" s="1">
        <v>42515</v>
      </c>
      <c r="GI2142">
        <v>2015</v>
      </c>
      <c r="GJ2142">
        <v>2941.93</v>
      </c>
      <c r="GK2142" t="s">
        <v>20613</v>
      </c>
      <c r="GL2142">
        <v>0.25</v>
      </c>
      <c r="GM2142" t="s">
        <v>424</v>
      </c>
      <c r="GN2142" t="s">
        <v>425</v>
      </c>
      <c r="GP2142">
        <v>22</v>
      </c>
      <c r="GQ2142">
        <v>5413553</v>
      </c>
      <c r="GR2142" t="s">
        <v>20614</v>
      </c>
      <c r="GT2142" s="1">
        <v>42151</v>
      </c>
      <c r="GU2142">
        <v>2014</v>
      </c>
      <c r="GV2142">
        <v>3543.41</v>
      </c>
      <c r="GW2142" t="s">
        <v>20615</v>
      </c>
      <c r="GX2142">
        <v>0.25</v>
      </c>
      <c r="GY2142" t="s">
        <v>424</v>
      </c>
      <c r="GZ2142" t="s">
        <v>425</v>
      </c>
      <c r="HA2142" s="1">
        <v>42794</v>
      </c>
      <c r="HB2142">
        <v>21</v>
      </c>
      <c r="HC2142">
        <v>2851116</v>
      </c>
      <c r="HD2142" t="s">
        <v>480</v>
      </c>
      <c r="HF2142" s="1">
        <v>42151</v>
      </c>
      <c r="HG2142">
        <v>2014</v>
      </c>
      <c r="HH2142">
        <v>3543.41</v>
      </c>
      <c r="HI2142" t="s">
        <v>20615</v>
      </c>
      <c r="HJ2142">
        <v>0.25</v>
      </c>
      <c r="HK2142" t="s">
        <v>424</v>
      </c>
      <c r="HL2142" t="s">
        <v>425</v>
      </c>
      <c r="HN2142">
        <v>22</v>
      </c>
      <c r="HO2142">
        <v>5355094</v>
      </c>
      <c r="HP2142" t="s">
        <v>20616</v>
      </c>
      <c r="HR2142" s="1">
        <v>41787</v>
      </c>
      <c r="HS2142">
        <v>2013</v>
      </c>
      <c r="HT2142">
        <v>3454.92</v>
      </c>
      <c r="HU2142" t="s">
        <v>20617</v>
      </c>
      <c r="HV2142">
        <v>0.25</v>
      </c>
      <c r="HW2142" t="s">
        <v>424</v>
      </c>
      <c r="HX2142" t="s">
        <v>425</v>
      </c>
      <c r="HY2142" s="1">
        <v>42458</v>
      </c>
      <c r="HZ2142">
        <v>22</v>
      </c>
      <c r="IA2142">
        <v>2851116</v>
      </c>
      <c r="IB2142" t="s">
        <v>480</v>
      </c>
      <c r="ID2142" s="1">
        <v>41423</v>
      </c>
      <c r="IE2142">
        <v>2012</v>
      </c>
      <c r="IF2142">
        <v>3568.25</v>
      </c>
      <c r="IG2142" t="s">
        <v>20618</v>
      </c>
      <c r="IH2142">
        <v>0.25</v>
      </c>
      <c r="II2142" t="s">
        <v>424</v>
      </c>
      <c r="IJ2142" t="s">
        <v>425</v>
      </c>
      <c r="IK2142" s="1">
        <v>42075</v>
      </c>
      <c r="IL2142">
        <v>22</v>
      </c>
      <c r="IM2142">
        <v>606981</v>
      </c>
      <c r="IN2142" t="s">
        <v>792</v>
      </c>
      <c r="IP2142" s="1">
        <v>41052</v>
      </c>
      <c r="IQ2142">
        <v>2011</v>
      </c>
      <c r="IR2142">
        <v>4340.45</v>
      </c>
      <c r="IS2142" t="s">
        <v>20619</v>
      </c>
      <c r="IT2142">
        <v>5</v>
      </c>
      <c r="IU2142" t="s">
        <v>424</v>
      </c>
      <c r="IV2142" t="s">
        <v>425</v>
      </c>
      <c r="IW2142" s="1">
        <v>41725</v>
      </c>
      <c r="IX2142">
        <v>22</v>
      </c>
      <c r="IY2142">
        <v>10125</v>
      </c>
      <c r="IZ2142" t="s">
        <v>440</v>
      </c>
      <c r="JB2142" s="1">
        <v>40688</v>
      </c>
      <c r="JC2142">
        <v>2010</v>
      </c>
      <c r="JD2142">
        <v>4245.3900000000003</v>
      </c>
      <c r="JE2142" t="s">
        <v>20620</v>
      </c>
      <c r="JF2142">
        <v>5.25</v>
      </c>
      <c r="JG2142" t="s">
        <v>424</v>
      </c>
      <c r="JH2142" t="s">
        <v>425</v>
      </c>
      <c r="JI2142" s="1">
        <v>41358</v>
      </c>
      <c r="JJ2142">
        <v>22</v>
      </c>
      <c r="JK2142">
        <v>10579</v>
      </c>
      <c r="JL2142" t="s">
        <v>488</v>
      </c>
    </row>
    <row r="2143" spans="1:284" x14ac:dyDescent="0.25">
      <c r="A2143">
        <v>16487150</v>
      </c>
      <c r="B2143">
        <v>2142</v>
      </c>
      <c r="C2143" t="s">
        <v>393</v>
      </c>
      <c r="D2143" t="s">
        <v>394</v>
      </c>
      <c r="F2143" t="str">
        <f>"00-00-31-179D-348B-0000"</f>
        <v>00-00-31-179D-348B-0000</v>
      </c>
      <c r="H2143" t="str">
        <f>"LEE MICHAEL PAUL"</f>
        <v>LEE MICHAEL PAUL</v>
      </c>
      <c r="I2143" t="str">
        <f>"348B S FLETCHER AV"</f>
        <v>348B S FLETCHER AV</v>
      </c>
      <c r="J2143" t="str">
        <f>"FERNANDINA BEACH FL 32034"</f>
        <v>FERNANDINA BEACH FL 32034</v>
      </c>
      <c r="K2143" t="str">
        <f>"348 FLETCHER AVE S B"</f>
        <v>348 FLETCHER AVE S B</v>
      </c>
      <c r="L2143" t="str">
        <f t="shared" si="807"/>
        <v>FERNANDINA BEACH FL 32034</v>
      </c>
      <c r="M2143" t="str">
        <f>"LOT 348-B IN OR 580/1297 WINDWARD DUPLEXES OR 551/150 F/N/A PT LOTS 3-5 &amp; S 12.5 FT OF ADJ R/W STRATHMORE PLACE PB 3/10"</f>
        <v>LOT 348-B IN OR 580/1297 WINDWARD DUPLEXES OR 551/150 F/N/A PT LOTS 3-5 &amp; S 12.5 FT OF ADJ R/W STRATHMORE PLACE PB 3/10</v>
      </c>
      <c r="N2143" t="str">
        <f>""</f>
        <v/>
      </c>
      <c r="O2143" t="str">
        <f>"11130"</f>
        <v>11130</v>
      </c>
      <c r="P2143" t="str">
        <f t="shared" si="800"/>
        <v>2017</v>
      </c>
      <c r="Q2143" t="str">
        <f>""</f>
        <v/>
      </c>
      <c r="R2143" t="str">
        <f>"Y"</f>
        <v>Y</v>
      </c>
      <c r="S2143" t="str">
        <f>""</f>
        <v/>
      </c>
      <c r="T2143" t="str">
        <f>"2531.65"</f>
        <v>2531.65</v>
      </c>
      <c r="U2143" t="str">
        <f>"168747.00"</f>
        <v>168747.00</v>
      </c>
      <c r="V2143" t="str">
        <f>"168747.00"</f>
        <v>168747.00</v>
      </c>
      <c r="W2143" t="str">
        <f t="shared" si="801"/>
        <v>2017</v>
      </c>
      <c r="X2143" t="str">
        <f>"10.00"</f>
        <v>10.00</v>
      </c>
      <c r="Y2143" t="str">
        <f>"2639.60"</f>
        <v>2639.60</v>
      </c>
      <c r="Z2143" t="str">
        <f>"25000.00"</f>
        <v>25000.00</v>
      </c>
      <c r="AA2143" t="str">
        <f>"143747.00"</f>
        <v>143747.00</v>
      </c>
      <c r="AB2143" t="str">
        <f>"Residential"</f>
        <v>Residential</v>
      </c>
      <c r="AC2143" t="str">
        <f t="shared" si="809"/>
        <v>0</v>
      </c>
      <c r="AD2143" t="str">
        <f>"2"</f>
        <v>2</v>
      </c>
      <c r="AE2143" t="str">
        <f>"REINFORCED CONCRETE"</f>
        <v>REINFORCED CONCRETE</v>
      </c>
      <c r="AF2143" t="str">
        <f>"001"</f>
        <v>001</v>
      </c>
      <c r="AG2143" t="str">
        <f>"FL"</f>
        <v>FL</v>
      </c>
      <c r="AH2143" t="str">
        <f>"6000.00"</f>
        <v>6000.00</v>
      </c>
      <c r="AI2143" t="str">
        <f>"252697.00"</f>
        <v>252697.00</v>
      </c>
      <c r="AJ2143" t="str">
        <f>"C55-000-585-8607-4"</f>
        <v>C55-000-585-8607-4</v>
      </c>
      <c r="AK2143" t="str">
        <f>"48125"</f>
        <v>48125</v>
      </c>
      <c r="AL2143">
        <v>8</v>
      </c>
      <c r="AM2143">
        <v>2449</v>
      </c>
      <c r="AN2143">
        <v>2769.98</v>
      </c>
      <c r="AQ2143" t="s">
        <v>20621</v>
      </c>
      <c r="AR2143" t="s">
        <v>20621</v>
      </c>
      <c r="AS2143" t="s">
        <v>20621</v>
      </c>
      <c r="AU2143" t="s">
        <v>396</v>
      </c>
      <c r="AV2143">
        <v>2017</v>
      </c>
      <c r="AW2143" t="str">
        <f>"00-00-31-179D-348B-0000 "</f>
        <v xml:space="preserve">00-00-31-179D-348B-0000 </v>
      </c>
      <c r="AX2143">
        <v>348</v>
      </c>
      <c r="AZ2143" t="s">
        <v>18248</v>
      </c>
      <c r="BA2143" t="s">
        <v>1112</v>
      </c>
      <c r="BB2143" t="s">
        <v>18674</v>
      </c>
      <c r="BC2143" t="s">
        <v>20076</v>
      </c>
      <c r="BD2143" t="s">
        <v>11749</v>
      </c>
      <c r="BE2143" t="s">
        <v>393</v>
      </c>
      <c r="BF2143">
        <v>32034</v>
      </c>
      <c r="BG2143" t="s">
        <v>20622</v>
      </c>
      <c r="BH2143" t="s">
        <v>11751</v>
      </c>
      <c r="BI2143">
        <v>-81.431859315653298</v>
      </c>
      <c r="BJ2143">
        <v>30.662765204692999</v>
      </c>
      <c r="BK2143" t="s">
        <v>20623</v>
      </c>
      <c r="BM2143" t="s">
        <v>20624</v>
      </c>
      <c r="BN2143" t="s">
        <v>3983</v>
      </c>
      <c r="BO2143">
        <v>32034</v>
      </c>
      <c r="BP2143" t="s">
        <v>416</v>
      </c>
      <c r="BQ2143">
        <v>100</v>
      </c>
      <c r="BR2143" t="s">
        <v>514</v>
      </c>
      <c r="BS2143">
        <v>1001</v>
      </c>
      <c r="BT2143" t="s">
        <v>515</v>
      </c>
      <c r="BU2143">
        <v>306</v>
      </c>
      <c r="BV2143">
        <v>2000</v>
      </c>
      <c r="BW2143">
        <v>28154</v>
      </c>
      <c r="BX2143" t="s">
        <v>407</v>
      </c>
      <c r="BY2143" t="s">
        <v>5383</v>
      </c>
      <c r="BZ2143">
        <v>2</v>
      </c>
      <c r="CA2143">
        <v>1989</v>
      </c>
      <c r="CB2143">
        <v>2.5</v>
      </c>
      <c r="CC2143">
        <v>1</v>
      </c>
      <c r="CD2143">
        <v>2017</v>
      </c>
      <c r="CG2143">
        <v>168747</v>
      </c>
      <c r="CH2143">
        <v>2017</v>
      </c>
      <c r="CI2143">
        <v>252697</v>
      </c>
      <c r="CJ2143">
        <v>125919</v>
      </c>
      <c r="CK2143">
        <v>378616</v>
      </c>
      <c r="CL2143">
        <v>2017</v>
      </c>
      <c r="CM2143">
        <v>2531.65</v>
      </c>
      <c r="CN2143" s="1">
        <v>32785</v>
      </c>
      <c r="CO2143">
        <v>144000</v>
      </c>
      <c r="CZ2143" s="1">
        <v>32785</v>
      </c>
      <c r="DD2143" t="s">
        <v>11749</v>
      </c>
      <c r="DF2143" t="s">
        <v>20625</v>
      </c>
      <c r="DG2143">
        <v>13</v>
      </c>
      <c r="DI2143" t="s">
        <v>20076</v>
      </c>
      <c r="DJ2143" t="s">
        <v>20626</v>
      </c>
      <c r="DL2143">
        <v>50101</v>
      </c>
      <c r="DM2143" t="s">
        <v>19844</v>
      </c>
      <c r="DO2143" t="s">
        <v>20627</v>
      </c>
      <c r="DP2143">
        <v>0</v>
      </c>
      <c r="DQ2143">
        <v>0</v>
      </c>
      <c r="DR2143" t="s">
        <v>411</v>
      </c>
    </row>
    <row r="2144" spans="1:284" x14ac:dyDescent="0.25">
      <c r="A2144">
        <v>16487151</v>
      </c>
      <c r="B2144">
        <v>2143</v>
      </c>
      <c r="C2144" t="s">
        <v>393</v>
      </c>
      <c r="D2144" t="s">
        <v>394</v>
      </c>
      <c r="F2144" t="str">
        <f>"00-00-31-1800-0001-0012"</f>
        <v>00-00-31-1800-0001-0012</v>
      </c>
      <c r="H2144" t="str">
        <f>"TOUNDAS PATRICIA C"</f>
        <v>TOUNDAS PATRICIA C</v>
      </c>
      <c r="I2144" t="str">
        <f>"96213 BLACKROCK ROAD"</f>
        <v>96213 BLACKROCK ROAD</v>
      </c>
      <c r="J2144" t="str">
        <f>"YULEE FL 32097"</f>
        <v>YULEE FL 32097</v>
      </c>
      <c r="K2144" t="str">
        <f>"101 CENTRE ST"</f>
        <v>101 CENTRE ST</v>
      </c>
      <c r="L2144" t="str">
        <f t="shared" si="807"/>
        <v>FERNANDINA BEACH FL 32034</v>
      </c>
      <c r="M2144" t="str">
        <f>"BLK 1 W1/2 OF LOTS 1 2 3 &amp; 4 IN OR 1558/1447 CITY OF FDNA BEACH"</f>
        <v>BLK 1 W1/2 OF LOTS 1 2 3 &amp; 4 IN OR 1558/1447 CITY OF FDNA BEACH</v>
      </c>
      <c r="N2144" t="str">
        <f>""</f>
        <v/>
      </c>
      <c r="O2144" t="str">
        <f>"11133"</f>
        <v>11133</v>
      </c>
      <c r="P2144" t="str">
        <f t="shared" si="800"/>
        <v>2017</v>
      </c>
      <c r="Q2144" t="str">
        <f>""</f>
        <v/>
      </c>
      <c r="R2144" t="str">
        <f>"N"</f>
        <v>N</v>
      </c>
      <c r="S2144" t="str">
        <f>""</f>
        <v/>
      </c>
      <c r="T2144" t="str">
        <f>"10250.35"</f>
        <v>10250.35</v>
      </c>
      <c r="U2144" t="str">
        <f>"609202.00"</f>
        <v>609202.00</v>
      </c>
      <c r="V2144" t="str">
        <f>"609202.00"</f>
        <v>609202.00</v>
      </c>
      <c r="W2144" t="str">
        <f t="shared" si="801"/>
        <v>2017</v>
      </c>
      <c r="X2144" t="str">
        <f>"16.75"</f>
        <v>16.75</v>
      </c>
      <c r="Y2144" t="str">
        <f>"10589.86"</f>
        <v>10589.86</v>
      </c>
      <c r="Z2144" t="str">
        <f>""</f>
        <v/>
      </c>
      <c r="AA2144" t="str">
        <f>"609202.00"</f>
        <v>609202.00</v>
      </c>
      <c r="AB2144" t="str">
        <f>"Commercial"</f>
        <v>Commercial</v>
      </c>
      <c r="AC2144" t="str">
        <f t="shared" si="809"/>
        <v>0</v>
      </c>
      <c r="AD2144" t="str">
        <f>"3"</f>
        <v>3</v>
      </c>
      <c r="AE2144" t="str">
        <f>"MASONRY"</f>
        <v>MASONRY</v>
      </c>
      <c r="AF2144" t="str">
        <f>"021"</f>
        <v>021</v>
      </c>
      <c r="AG2144" t="str">
        <f>"FL"</f>
        <v>FL</v>
      </c>
      <c r="AH2144" t="str">
        <f>"5000.00"</f>
        <v>5000.00</v>
      </c>
      <c r="AI2144" t="str">
        <f>"350000.00"</f>
        <v>350000.00</v>
      </c>
      <c r="AJ2144" t="str">
        <f>"C55-000-585-8609-0"</f>
        <v>C55-000-585-8609-0</v>
      </c>
      <c r="AK2144" t="str">
        <f>"48139"</f>
        <v>48139</v>
      </c>
      <c r="AL2144">
        <v>8</v>
      </c>
      <c r="AM2144">
        <v>2450</v>
      </c>
      <c r="AN2144">
        <v>11117.75</v>
      </c>
      <c r="AQ2144" t="s">
        <v>20628</v>
      </c>
      <c r="AR2144" t="s">
        <v>20628</v>
      </c>
      <c r="AS2144" t="s">
        <v>20628</v>
      </c>
      <c r="AU2144" t="s">
        <v>396</v>
      </c>
      <c r="AV2144">
        <v>2017</v>
      </c>
      <c r="AW2144" t="str">
        <f>"00-00-31-1800-0001-0012 "</f>
        <v xml:space="preserve">00-00-31-1800-0001-0012 </v>
      </c>
      <c r="AX2144">
        <v>101</v>
      </c>
      <c r="AZ2144" t="s">
        <v>20629</v>
      </c>
      <c r="BA2144" t="s">
        <v>1942</v>
      </c>
      <c r="BD2144" t="s">
        <v>11749</v>
      </c>
      <c r="BE2144" t="s">
        <v>393</v>
      </c>
      <c r="BF2144">
        <v>32034</v>
      </c>
      <c r="BG2144" t="s">
        <v>20630</v>
      </c>
      <c r="BH2144" t="s">
        <v>11751</v>
      </c>
      <c r="BI2144">
        <v>-81.464578681293403</v>
      </c>
      <c r="BJ2144">
        <v>30.671626759941301</v>
      </c>
      <c r="BK2144" t="s">
        <v>20631</v>
      </c>
      <c r="BM2144" t="s">
        <v>20632</v>
      </c>
      <c r="BN2144" t="s">
        <v>1778</v>
      </c>
      <c r="BO2144">
        <v>32097</v>
      </c>
      <c r="BP2144" t="s">
        <v>404</v>
      </c>
      <c r="BQ2144">
        <v>2100</v>
      </c>
      <c r="BR2144" t="s">
        <v>15062</v>
      </c>
      <c r="BS2144">
        <v>2012</v>
      </c>
      <c r="BT2144" t="s">
        <v>15063</v>
      </c>
      <c r="BW2144">
        <v>4988</v>
      </c>
      <c r="BX2144" t="s">
        <v>407</v>
      </c>
      <c r="BY2144" t="s">
        <v>20633</v>
      </c>
      <c r="BZ2144">
        <v>3</v>
      </c>
      <c r="CA2144">
        <v>1882</v>
      </c>
      <c r="CB2144">
        <v>2</v>
      </c>
      <c r="CD2144">
        <v>2017</v>
      </c>
      <c r="CE2144">
        <v>350000</v>
      </c>
      <c r="CF2144">
        <v>259202</v>
      </c>
      <c r="CG2144">
        <v>609202</v>
      </c>
      <c r="CH2144">
        <v>2017</v>
      </c>
      <c r="CI2144">
        <v>350000</v>
      </c>
      <c r="CJ2144">
        <v>259202</v>
      </c>
      <c r="CK2144">
        <v>609202</v>
      </c>
      <c r="CL2144">
        <v>2017</v>
      </c>
      <c r="CM2144">
        <v>10250.35</v>
      </c>
      <c r="CN2144" s="1">
        <v>39539</v>
      </c>
      <c r="CZ2144" s="1">
        <v>39539</v>
      </c>
      <c r="DD2144" t="s">
        <v>11749</v>
      </c>
      <c r="DG2144">
        <v>21</v>
      </c>
      <c r="DJ2144" t="s">
        <v>20634</v>
      </c>
      <c r="DL2144">
        <v>50102</v>
      </c>
      <c r="DM2144" t="s">
        <v>20609</v>
      </c>
      <c r="DO2144" t="s">
        <v>20635</v>
      </c>
      <c r="DP2144">
        <v>0</v>
      </c>
      <c r="DQ2144">
        <v>75</v>
      </c>
      <c r="DR2144" t="s">
        <v>1174</v>
      </c>
      <c r="DS2144" t="b">
        <v>1</v>
      </c>
      <c r="DT2144" t="s">
        <v>8902</v>
      </c>
      <c r="DV2144" t="s">
        <v>446</v>
      </c>
      <c r="DX2144">
        <v>10</v>
      </c>
      <c r="DY2144" t="s">
        <v>11438</v>
      </c>
      <c r="DZ2144" t="s">
        <v>447</v>
      </c>
      <c r="EA2144" t="s">
        <v>448</v>
      </c>
      <c r="EB2144" t="s">
        <v>18370</v>
      </c>
      <c r="EC2144">
        <v>20101217</v>
      </c>
      <c r="ED2144" t="s">
        <v>450</v>
      </c>
      <c r="EE2144">
        <v>5</v>
      </c>
      <c r="EF2144">
        <v>0</v>
      </c>
      <c r="EG2144">
        <v>0</v>
      </c>
      <c r="EI2144">
        <v>20160407</v>
      </c>
      <c r="EJ2144">
        <v>0</v>
      </c>
      <c r="EK2144">
        <v>0</v>
      </c>
      <c r="EP2144" t="s">
        <v>421</v>
      </c>
      <c r="EQ2144" t="s">
        <v>422</v>
      </c>
      <c r="ER2144">
        <v>2</v>
      </c>
      <c r="ES2144">
        <v>9</v>
      </c>
      <c r="ET2144">
        <v>20190.52</v>
      </c>
      <c r="EU2144">
        <v>1022.03</v>
      </c>
      <c r="EV2144">
        <v>21212.55</v>
      </c>
      <c r="EW2144" s="2">
        <v>43222</v>
      </c>
      <c r="EX2144" s="1">
        <v>42879</v>
      </c>
      <c r="EY2144">
        <v>2016</v>
      </c>
      <c r="EZ2144">
        <v>10095.26</v>
      </c>
      <c r="FA2144" t="s">
        <v>20636</v>
      </c>
      <c r="FB2144">
        <v>0.25</v>
      </c>
      <c r="FC2144" t="s">
        <v>424</v>
      </c>
      <c r="FD2144" t="s">
        <v>454</v>
      </c>
      <c r="FF2144">
        <v>12</v>
      </c>
      <c r="FG2144">
        <v>5856195</v>
      </c>
      <c r="FH2144" t="s">
        <v>1060</v>
      </c>
      <c r="FJ2144" s="1">
        <v>42879</v>
      </c>
      <c r="FK2144">
        <v>2016</v>
      </c>
      <c r="FL2144">
        <v>10095.26</v>
      </c>
      <c r="FM2144" t="s">
        <v>20636</v>
      </c>
      <c r="FN2144">
        <v>0.25</v>
      </c>
      <c r="FO2144" t="s">
        <v>424</v>
      </c>
      <c r="FP2144" t="s">
        <v>454</v>
      </c>
      <c r="FR2144">
        <v>12</v>
      </c>
      <c r="FS2144">
        <v>7646213</v>
      </c>
      <c r="FT2144" t="s">
        <v>20637</v>
      </c>
      <c r="FV2144" s="1">
        <v>42515</v>
      </c>
      <c r="FW2144">
        <v>2015</v>
      </c>
      <c r="FX2144">
        <v>9238.26</v>
      </c>
      <c r="FY2144" t="s">
        <v>20638</v>
      </c>
      <c r="FZ2144">
        <v>0.25</v>
      </c>
      <c r="GA2144" t="s">
        <v>424</v>
      </c>
      <c r="GB2144" t="s">
        <v>425</v>
      </c>
      <c r="GC2144" s="1">
        <v>43193</v>
      </c>
      <c r="GD2144">
        <v>23</v>
      </c>
      <c r="GE2144">
        <v>7336671</v>
      </c>
      <c r="GF2144" t="s">
        <v>437</v>
      </c>
      <c r="GH2144" s="1">
        <v>42515</v>
      </c>
      <c r="GI2144">
        <v>2015</v>
      </c>
      <c r="GJ2144">
        <v>9238.26</v>
      </c>
      <c r="GK2144" t="s">
        <v>20638</v>
      </c>
      <c r="GL2144">
        <v>0.25</v>
      </c>
      <c r="GM2144" t="s">
        <v>424</v>
      </c>
      <c r="GN2144" t="s">
        <v>425</v>
      </c>
      <c r="GP2144">
        <v>22</v>
      </c>
      <c r="GQ2144">
        <v>6865085</v>
      </c>
      <c r="GR2144" t="s">
        <v>20639</v>
      </c>
      <c r="GT2144" s="1">
        <v>42151</v>
      </c>
      <c r="GU2144">
        <v>2014</v>
      </c>
      <c r="GV2144">
        <v>9173.77</v>
      </c>
      <c r="GW2144" t="s">
        <v>20640</v>
      </c>
      <c r="GX2144">
        <v>0.25</v>
      </c>
      <c r="GY2144" t="s">
        <v>424</v>
      </c>
      <c r="GZ2144" t="s">
        <v>425</v>
      </c>
      <c r="HA2144" s="1">
        <v>42858</v>
      </c>
      <c r="HB2144">
        <v>24</v>
      </c>
      <c r="HC2144">
        <v>4975594</v>
      </c>
      <c r="HD2144" t="s">
        <v>457</v>
      </c>
      <c r="HF2144" s="1">
        <v>42151</v>
      </c>
      <c r="HG2144">
        <v>2014</v>
      </c>
      <c r="HH2144">
        <v>9173.77</v>
      </c>
      <c r="HI2144" t="s">
        <v>20640</v>
      </c>
      <c r="HJ2144">
        <v>0.25</v>
      </c>
      <c r="HK2144" t="s">
        <v>424</v>
      </c>
      <c r="HL2144" t="s">
        <v>425</v>
      </c>
      <c r="HN2144">
        <v>22</v>
      </c>
      <c r="HO2144">
        <v>6639482</v>
      </c>
      <c r="HP2144" t="s">
        <v>20641</v>
      </c>
      <c r="HR2144" s="1">
        <v>41787</v>
      </c>
      <c r="HS2144">
        <v>2013</v>
      </c>
      <c r="HT2144">
        <v>8334.06</v>
      </c>
      <c r="HU2144" t="s">
        <v>20642</v>
      </c>
      <c r="HV2144">
        <v>0.25</v>
      </c>
      <c r="HW2144" t="s">
        <v>424</v>
      </c>
      <c r="HX2144" t="s">
        <v>425</v>
      </c>
      <c r="HZ2144">
        <v>22</v>
      </c>
      <c r="IA2144">
        <v>11289</v>
      </c>
      <c r="IB2144" t="s">
        <v>787</v>
      </c>
      <c r="ID2144" s="1">
        <v>41787</v>
      </c>
      <c r="IE2144">
        <v>2013</v>
      </c>
      <c r="IF2144">
        <v>8334.06</v>
      </c>
      <c r="IG2144" t="s">
        <v>20642</v>
      </c>
      <c r="IH2144">
        <v>0.25</v>
      </c>
      <c r="II2144" t="s">
        <v>424</v>
      </c>
      <c r="IJ2144" t="s">
        <v>425</v>
      </c>
      <c r="IK2144" s="1">
        <v>42458</v>
      </c>
      <c r="IL2144">
        <v>22</v>
      </c>
      <c r="IM2144">
        <v>4844954</v>
      </c>
      <c r="IN2144" t="s">
        <v>1719</v>
      </c>
      <c r="IP2144" s="1">
        <v>41423</v>
      </c>
      <c r="IQ2144">
        <v>2012</v>
      </c>
      <c r="IR2144">
        <v>8298.15</v>
      </c>
      <c r="IS2144" t="s">
        <v>20643</v>
      </c>
      <c r="IT2144">
        <v>0.25</v>
      </c>
      <c r="IU2144" t="s">
        <v>424</v>
      </c>
      <c r="IV2144" t="s">
        <v>425</v>
      </c>
      <c r="IW2144" s="1">
        <v>41649</v>
      </c>
      <c r="IX2144">
        <v>8</v>
      </c>
      <c r="IY2144">
        <v>606981</v>
      </c>
      <c r="IZ2144" t="s">
        <v>792</v>
      </c>
      <c r="JB2144" s="1">
        <v>41052</v>
      </c>
      <c r="JC2144">
        <v>2011</v>
      </c>
      <c r="JD2144">
        <v>9854.06</v>
      </c>
      <c r="JE2144" t="s">
        <v>20644</v>
      </c>
      <c r="JF2144">
        <v>0.25</v>
      </c>
      <c r="JG2144" t="s">
        <v>424</v>
      </c>
      <c r="JH2144" t="s">
        <v>425</v>
      </c>
      <c r="JI2144" s="1">
        <v>41444</v>
      </c>
      <c r="JJ2144">
        <v>13</v>
      </c>
      <c r="JK2144">
        <v>12422</v>
      </c>
      <c r="JL2144" t="s">
        <v>18466</v>
      </c>
      <c r="JN2144" s="1">
        <v>40688</v>
      </c>
      <c r="JO2144">
        <v>2010</v>
      </c>
      <c r="JP2144">
        <v>9641.3700000000008</v>
      </c>
      <c r="JQ2144" t="s">
        <v>20645</v>
      </c>
      <c r="JR2144">
        <v>4.75</v>
      </c>
      <c r="JS2144" t="s">
        <v>424</v>
      </c>
      <c r="JT2144" t="s">
        <v>425</v>
      </c>
      <c r="JU2144" s="1">
        <v>41333</v>
      </c>
      <c r="JV2144">
        <v>21</v>
      </c>
      <c r="JW2144">
        <v>11287</v>
      </c>
      <c r="JX2144" t="s">
        <v>511</v>
      </c>
    </row>
    <row r="2145" spans="1:248" x14ac:dyDescent="0.25">
      <c r="A2145">
        <v>16487152</v>
      </c>
      <c r="B2145">
        <v>2144</v>
      </c>
      <c r="C2145" t="s">
        <v>393</v>
      </c>
      <c r="D2145" t="s">
        <v>394</v>
      </c>
      <c r="F2145" t="str">
        <f>"00-00-31-1800-0008-0020"</f>
        <v>00-00-31-1800-0008-0020</v>
      </c>
      <c r="H2145" t="str">
        <f>"LEIBMAN MARILYN C"</f>
        <v>LEIBMAN MARILYN C</v>
      </c>
      <c r="I2145" t="str">
        <f>"P O BOX 150"</f>
        <v>P O BOX 150</v>
      </c>
      <c r="J2145" t="str">
        <f>"SOUND BEACH NY 11789"</f>
        <v>SOUND BEACH NY 11789</v>
      </c>
      <c r="K2145" t="str">
        <f>"N 2ND ST"</f>
        <v>N 2ND ST</v>
      </c>
      <c r="L2145" t="str">
        <f t="shared" si="807"/>
        <v>FERNANDINA BEACH FL 32034</v>
      </c>
      <c r="M2145" t="str">
        <f>"BLOCK 8 LOTS 2 THRU 4 IN OR 932/135 CITY OF FDNA BEACH"</f>
        <v>BLOCK 8 LOTS 2 THRU 4 IN OR 932/135 CITY OF FDNA BEACH</v>
      </c>
      <c r="N2145" t="str">
        <f>""</f>
        <v/>
      </c>
      <c r="O2145" t="str">
        <f>"11165"</f>
        <v>11165</v>
      </c>
      <c r="P2145" t="str">
        <f t="shared" si="800"/>
        <v>2017</v>
      </c>
      <c r="Q2145" t="str">
        <f>""</f>
        <v/>
      </c>
      <c r="R2145" t="str">
        <f>"N"</f>
        <v>N</v>
      </c>
      <c r="S2145" t="str">
        <f>""</f>
        <v/>
      </c>
      <c r="T2145" t="str">
        <f>"798.36"</f>
        <v>798.36</v>
      </c>
      <c r="U2145" t="str">
        <f>"40057.00"</f>
        <v>40057.00</v>
      </c>
      <c r="V2145" t="str">
        <f>"40057.00"</f>
        <v>40057.00</v>
      </c>
      <c r="W2145" t="str">
        <f t="shared" si="801"/>
        <v>2017</v>
      </c>
      <c r="X2145" t="str">
        <f>"21.00"</f>
        <v>21.00</v>
      </c>
      <c r="Y2145" t="str">
        <f>"854.31"</f>
        <v>854.31</v>
      </c>
      <c r="Z2145" t="str">
        <f>""</f>
        <v/>
      </c>
      <c r="AA2145" t="str">
        <f>"40057.00"</f>
        <v>40057.00</v>
      </c>
      <c r="AB2145" t="str">
        <f>"Industrial"</f>
        <v>Industrial</v>
      </c>
      <c r="AC2145" t="str">
        <f t="shared" si="809"/>
        <v>0</v>
      </c>
      <c r="AD2145" t="str">
        <f>""</f>
        <v/>
      </c>
      <c r="AE2145" t="str">
        <f>""</f>
        <v/>
      </c>
      <c r="AF2145" t="str">
        <f>"040"</f>
        <v>040</v>
      </c>
      <c r="AG2145" t="str">
        <f>"NY"</f>
        <v>NY</v>
      </c>
      <c r="AH2145" t="str">
        <f>"9375.00"</f>
        <v>9375.00</v>
      </c>
      <c r="AI2145" t="str">
        <f>"40057.00"</f>
        <v>40057.00</v>
      </c>
      <c r="AJ2145" t="str">
        <f>"C55-000-585-8639-7"</f>
        <v>C55-000-585-8639-7</v>
      </c>
      <c r="AK2145" t="str">
        <f>"48167"</f>
        <v>48167</v>
      </c>
      <c r="AL2145">
        <v>8</v>
      </c>
      <c r="AM2145">
        <v>2451</v>
      </c>
      <c r="AN2145">
        <v>895.43</v>
      </c>
      <c r="AQ2145" t="s">
        <v>20646</v>
      </c>
      <c r="AR2145" t="s">
        <v>20646</v>
      </c>
      <c r="AS2145" t="s">
        <v>20646</v>
      </c>
      <c r="AU2145" t="s">
        <v>396</v>
      </c>
      <c r="AV2145">
        <v>2017</v>
      </c>
      <c r="AW2145" t="str">
        <f>"00-00-31-1800-0008-0020 "</f>
        <v xml:space="preserve">00-00-31-1800-0008-0020 </v>
      </c>
      <c r="AY2145" t="s">
        <v>404</v>
      </c>
      <c r="AZ2145" t="s">
        <v>20647</v>
      </c>
      <c r="BA2145" t="s">
        <v>1942</v>
      </c>
      <c r="BD2145" t="s">
        <v>11749</v>
      </c>
      <c r="BE2145" t="s">
        <v>393</v>
      </c>
      <c r="BF2145">
        <v>32034</v>
      </c>
      <c r="BG2145" t="s">
        <v>20648</v>
      </c>
      <c r="BH2145" t="s">
        <v>11751</v>
      </c>
      <c r="BI2145">
        <v>-81.463156586238597</v>
      </c>
      <c r="BJ2145">
        <v>30.674258390683299</v>
      </c>
      <c r="BK2145" t="s">
        <v>17175</v>
      </c>
      <c r="BM2145" t="s">
        <v>17176</v>
      </c>
      <c r="BN2145" t="s">
        <v>17177</v>
      </c>
      <c r="BO2145">
        <v>11789</v>
      </c>
      <c r="BP2145" t="s">
        <v>404</v>
      </c>
      <c r="BQ2145">
        <v>4000</v>
      </c>
      <c r="BR2145" t="s">
        <v>5453</v>
      </c>
      <c r="BS2145">
        <v>8003</v>
      </c>
      <c r="BT2145" t="s">
        <v>5454</v>
      </c>
      <c r="BU2145">
        <v>750</v>
      </c>
      <c r="BV2145">
        <v>1250</v>
      </c>
      <c r="BW2145">
        <v>9540</v>
      </c>
      <c r="BX2145" t="s">
        <v>407</v>
      </c>
      <c r="BY2145" t="s">
        <v>20649</v>
      </c>
      <c r="CD2145">
        <v>2017</v>
      </c>
      <c r="CE2145">
        <v>40057</v>
      </c>
      <c r="CG2145">
        <v>40057</v>
      </c>
      <c r="CH2145">
        <v>2017</v>
      </c>
      <c r="CI2145">
        <v>40057</v>
      </c>
      <c r="CK2145">
        <v>40057</v>
      </c>
      <c r="CL2145">
        <v>2017</v>
      </c>
      <c r="CM2145">
        <v>798.36</v>
      </c>
      <c r="CN2145" s="1">
        <v>36658</v>
      </c>
      <c r="CO2145">
        <v>50000</v>
      </c>
      <c r="CV2145">
        <v>32000</v>
      </c>
      <c r="CZ2145" s="1">
        <v>36658</v>
      </c>
      <c r="DA2145">
        <v>0</v>
      </c>
      <c r="DD2145" t="s">
        <v>11749</v>
      </c>
      <c r="DG2145">
        <v>21</v>
      </c>
      <c r="DJ2145" t="s">
        <v>20634</v>
      </c>
      <c r="DL2145">
        <v>50102</v>
      </c>
      <c r="DM2145" t="s">
        <v>20609</v>
      </c>
      <c r="DO2145" t="s">
        <v>20650</v>
      </c>
      <c r="DP2145">
        <v>0</v>
      </c>
      <c r="DQ2145">
        <v>5</v>
      </c>
      <c r="DR2145" t="s">
        <v>1174</v>
      </c>
      <c r="DS2145" t="b">
        <v>1</v>
      </c>
      <c r="DT2145" t="s">
        <v>470</v>
      </c>
      <c r="DU2145" t="s">
        <v>471</v>
      </c>
      <c r="DV2145" t="s">
        <v>472</v>
      </c>
      <c r="DX2145">
        <v>-9999</v>
      </c>
      <c r="DZ2145" t="s">
        <v>447</v>
      </c>
      <c r="EA2145" t="s">
        <v>448</v>
      </c>
      <c r="EB2145" t="s">
        <v>14787</v>
      </c>
      <c r="EC2145">
        <v>20101217</v>
      </c>
      <c r="ED2145" t="s">
        <v>474</v>
      </c>
      <c r="EF2145">
        <v>76.900000000000006</v>
      </c>
      <c r="EG2145">
        <v>57.8</v>
      </c>
      <c r="EI2145">
        <v>20160407</v>
      </c>
      <c r="EJ2145">
        <v>0</v>
      </c>
      <c r="EK2145">
        <v>0</v>
      </c>
      <c r="EP2145" t="s">
        <v>421</v>
      </c>
      <c r="EQ2145" t="s">
        <v>422</v>
      </c>
      <c r="ER2145">
        <v>1</v>
      </c>
      <c r="ES2145">
        <v>6</v>
      </c>
      <c r="ET2145">
        <v>904.11</v>
      </c>
      <c r="EU2145">
        <v>87.62</v>
      </c>
      <c r="EV2145">
        <v>991.73</v>
      </c>
      <c r="EW2145" s="2">
        <v>43222</v>
      </c>
      <c r="EX2145" s="1">
        <v>42879</v>
      </c>
      <c r="EY2145">
        <v>2016</v>
      </c>
      <c r="EZ2145">
        <v>904.11</v>
      </c>
      <c r="FA2145" t="s">
        <v>20651</v>
      </c>
      <c r="FB2145">
        <v>9</v>
      </c>
      <c r="FC2145" t="s">
        <v>424</v>
      </c>
      <c r="FD2145" t="s">
        <v>454</v>
      </c>
      <c r="FF2145">
        <v>12</v>
      </c>
      <c r="FG2145">
        <v>10125</v>
      </c>
      <c r="FH2145" t="s">
        <v>440</v>
      </c>
      <c r="FJ2145" s="1">
        <v>42515</v>
      </c>
      <c r="FK2145">
        <v>2015</v>
      </c>
      <c r="FL2145">
        <v>910.34</v>
      </c>
      <c r="FM2145" t="s">
        <v>20652</v>
      </c>
      <c r="FN2145">
        <v>14.75</v>
      </c>
      <c r="FO2145" t="s">
        <v>424</v>
      </c>
      <c r="FP2145" t="s">
        <v>425</v>
      </c>
      <c r="FQ2145" s="1">
        <v>43159</v>
      </c>
      <c r="FR2145">
        <v>21</v>
      </c>
      <c r="FS2145">
        <v>2035919</v>
      </c>
      <c r="FT2145" t="s">
        <v>507</v>
      </c>
      <c r="FV2145" s="1">
        <v>42151</v>
      </c>
      <c r="FW2145">
        <v>2014</v>
      </c>
      <c r="FX2145">
        <v>916.68</v>
      </c>
      <c r="FY2145" t="s">
        <v>20653</v>
      </c>
      <c r="FZ2145">
        <v>18</v>
      </c>
      <c r="GA2145" t="s">
        <v>424</v>
      </c>
      <c r="GB2145" t="s">
        <v>425</v>
      </c>
      <c r="GC2145" s="1">
        <v>42794</v>
      </c>
      <c r="GD2145">
        <v>21</v>
      </c>
      <c r="GE2145">
        <v>7045027</v>
      </c>
      <c r="GF2145" t="s">
        <v>16141</v>
      </c>
      <c r="GH2145" s="1">
        <v>41787</v>
      </c>
      <c r="GI2145">
        <v>2013</v>
      </c>
      <c r="GJ2145">
        <v>886.01</v>
      </c>
      <c r="GK2145" t="s">
        <v>20654</v>
      </c>
      <c r="GL2145">
        <v>3</v>
      </c>
      <c r="GM2145" t="s">
        <v>424</v>
      </c>
      <c r="GN2145" t="s">
        <v>425</v>
      </c>
      <c r="GO2145" s="1">
        <v>42426</v>
      </c>
      <c r="GP2145">
        <v>21</v>
      </c>
      <c r="GQ2145">
        <v>10125</v>
      </c>
      <c r="GR2145" t="s">
        <v>440</v>
      </c>
      <c r="GT2145" s="1">
        <v>41423</v>
      </c>
      <c r="GU2145">
        <v>2012</v>
      </c>
      <c r="GV2145">
        <v>885.02</v>
      </c>
      <c r="GW2145" t="s">
        <v>20655</v>
      </c>
      <c r="GX2145">
        <v>0.75</v>
      </c>
      <c r="GY2145" t="s">
        <v>424</v>
      </c>
      <c r="GZ2145" t="s">
        <v>425</v>
      </c>
      <c r="HA2145" s="1">
        <v>42075</v>
      </c>
      <c r="HB2145">
        <v>22</v>
      </c>
      <c r="HC2145">
        <v>10125</v>
      </c>
      <c r="HD2145" t="s">
        <v>440</v>
      </c>
      <c r="HF2145" s="1">
        <v>41052</v>
      </c>
      <c r="HG2145">
        <v>2011</v>
      </c>
      <c r="HH2145">
        <v>850.61</v>
      </c>
      <c r="HI2145" t="s">
        <v>20656</v>
      </c>
      <c r="HJ2145">
        <v>5.75</v>
      </c>
      <c r="HK2145" t="s">
        <v>424</v>
      </c>
      <c r="HL2145" t="s">
        <v>425</v>
      </c>
      <c r="HM2145" s="1">
        <v>41725</v>
      </c>
      <c r="HN2145">
        <v>22</v>
      </c>
      <c r="HO2145">
        <v>10125</v>
      </c>
      <c r="HP2145" t="s">
        <v>440</v>
      </c>
      <c r="HR2145" s="1">
        <v>40688</v>
      </c>
      <c r="HS2145">
        <v>2010</v>
      </c>
      <c r="HT2145">
        <v>948.33</v>
      </c>
      <c r="HU2145" t="s">
        <v>20657</v>
      </c>
      <c r="HV2145">
        <v>5.75</v>
      </c>
      <c r="HW2145" t="s">
        <v>424</v>
      </c>
      <c r="HX2145" t="s">
        <v>425</v>
      </c>
      <c r="HY2145" s="1">
        <v>41333</v>
      </c>
      <c r="HZ2145">
        <v>21</v>
      </c>
      <c r="IA2145">
        <v>305</v>
      </c>
      <c r="IB2145" t="s">
        <v>1078</v>
      </c>
    </row>
    <row r="2146" spans="1:248" x14ac:dyDescent="0.25">
      <c r="A2146">
        <v>16487153</v>
      </c>
      <c r="B2146">
        <v>2145</v>
      </c>
      <c r="C2146" t="s">
        <v>393</v>
      </c>
      <c r="D2146" t="s">
        <v>394</v>
      </c>
      <c r="F2146" t="str">
        <f>"00-00-31-1800-0008-0310"</f>
        <v>00-00-31-1800-0008-0310</v>
      </c>
      <c r="H2146" t="str">
        <f>"CLAYTON KERSTIN (3/16%) &amp; HOLMES WM O &amp; LAWRENCE &amp; HOLMES THEODORE ETAL"</f>
        <v>CLAYTON KERSTIN (3/16%) &amp; HOLMES WM O &amp; LAWRENCE &amp; HOLMES THEODORE ETAL</v>
      </c>
      <c r="I2146" t="str">
        <f>""</f>
        <v/>
      </c>
      <c r="J2146" t="str">
        <f>"FERNANDINA BEACH FL 32034"</f>
        <v>FERNANDINA BEACH FL 32034</v>
      </c>
      <c r="K2146" t="str">
        <f>"211 BROOME ST"</f>
        <v>211 BROOME ST</v>
      </c>
      <c r="L2146" t="str">
        <f t="shared" si="807"/>
        <v>FERNANDINA BEACH FL 32034</v>
      </c>
      <c r="M2146" t="str">
        <f>"BLOCK 8 LOTS 31 &amp; 32 &amp; N1/2 OF LOT 30 (EX E7 FT) PT OR 1172/1741 &amp; OR 1104/446 18.75 HX INT CITY OF FDNA BEACH"</f>
        <v>BLOCK 8 LOTS 31 &amp; 32 &amp; N1/2 OF LOT 30 (EX E7 FT) PT OR 1172/1741 &amp; OR 1104/446 18.75 HX INT CITY OF FDNA BEACH</v>
      </c>
      <c r="N2146" t="str">
        <f>""</f>
        <v/>
      </c>
      <c r="O2146" t="str">
        <f>"11178"</f>
        <v>11178</v>
      </c>
      <c r="P2146" t="str">
        <f t="shared" si="800"/>
        <v>2017</v>
      </c>
      <c r="Q2146" t="str">
        <f>""</f>
        <v/>
      </c>
      <c r="R2146" t="str">
        <f>"Y"</f>
        <v>Y</v>
      </c>
      <c r="S2146" t="str">
        <f>""</f>
        <v/>
      </c>
      <c r="T2146" t="str">
        <f>"2932.73"</f>
        <v>2932.73</v>
      </c>
      <c r="U2146" t="str">
        <f>"172146.00"</f>
        <v>172146.00</v>
      </c>
      <c r="V2146" t="str">
        <f>"172146.00"</f>
        <v>172146.00</v>
      </c>
      <c r="W2146" t="str">
        <f t="shared" si="801"/>
        <v>2017</v>
      </c>
      <c r="X2146" t="str">
        <f>"5.00"</f>
        <v>5.00</v>
      </c>
      <c r="Y2146" t="str">
        <f>"3052.71"</f>
        <v>3052.71</v>
      </c>
      <c r="Z2146" t="str">
        <f>"25000.00"</f>
        <v>25000.00</v>
      </c>
      <c r="AA2146" t="str">
        <f>"147146.00"</f>
        <v>147146.00</v>
      </c>
      <c r="AB2146" t="str">
        <f t="shared" ref="AB2146:AB2154" si="810">"Residential"</f>
        <v>Residential</v>
      </c>
      <c r="AC2146" t="str">
        <f t="shared" si="809"/>
        <v>0</v>
      </c>
      <c r="AD2146" t="str">
        <f>"4"</f>
        <v>4</v>
      </c>
      <c r="AE2146" t="str">
        <f>"WOOD (INCLUDE STEEL STUDS)"</f>
        <v>WOOD (INCLUDE STEEL STUDS)</v>
      </c>
      <c r="AF2146" t="str">
        <f>"001"</f>
        <v>001</v>
      </c>
      <c r="AG2146" t="str">
        <f>"FL"</f>
        <v>FL</v>
      </c>
      <c r="AH2146" t="str">
        <f>"5900.00"</f>
        <v>5900.00</v>
      </c>
      <c r="AI2146" t="str">
        <f>"87262.00"</f>
        <v>87262.00</v>
      </c>
      <c r="AJ2146" t="str">
        <f>"C55-000-585-8651-2"</f>
        <v>C55-000-585-8651-2</v>
      </c>
      <c r="AK2146" t="str">
        <f>"48179"</f>
        <v>48179</v>
      </c>
      <c r="AL2146">
        <v>8</v>
      </c>
      <c r="AM2146">
        <v>2452</v>
      </c>
      <c r="AN2146">
        <v>3203.75</v>
      </c>
      <c r="AQ2146" t="s">
        <v>20658</v>
      </c>
      <c r="AR2146" t="s">
        <v>20658</v>
      </c>
      <c r="AS2146" t="s">
        <v>20658</v>
      </c>
      <c r="AU2146" t="s">
        <v>396</v>
      </c>
      <c r="AV2146">
        <v>2017</v>
      </c>
      <c r="AW2146" t="str">
        <f>"00-00-31-1800-0008-0310 "</f>
        <v xml:space="preserve">00-00-31-1800-0008-0310 </v>
      </c>
      <c r="AX2146">
        <v>211</v>
      </c>
      <c r="AZ2146" t="s">
        <v>20351</v>
      </c>
      <c r="BA2146" t="s">
        <v>1942</v>
      </c>
      <c r="BD2146" t="s">
        <v>11749</v>
      </c>
      <c r="BE2146" t="s">
        <v>393</v>
      </c>
      <c r="BF2146">
        <v>32034</v>
      </c>
      <c r="BG2146" t="s">
        <v>20659</v>
      </c>
      <c r="BH2146" t="s">
        <v>11751</v>
      </c>
      <c r="BI2146">
        <v>-81.463056553276502</v>
      </c>
      <c r="BJ2146">
        <v>30.674013733525001</v>
      </c>
      <c r="BK2146" t="s">
        <v>20660</v>
      </c>
      <c r="BM2146" t="s">
        <v>20659</v>
      </c>
      <c r="BN2146" t="s">
        <v>3983</v>
      </c>
      <c r="BO2146">
        <v>32034</v>
      </c>
      <c r="BP2146" t="s">
        <v>416</v>
      </c>
      <c r="BQ2146">
        <v>100</v>
      </c>
      <c r="BR2146" t="s">
        <v>514</v>
      </c>
      <c r="BS2146">
        <v>1001</v>
      </c>
      <c r="BT2146" t="s">
        <v>515</v>
      </c>
      <c r="BW2146">
        <v>5906</v>
      </c>
      <c r="BX2146" t="s">
        <v>407</v>
      </c>
      <c r="BY2146" t="s">
        <v>20649</v>
      </c>
      <c r="BZ2146">
        <v>4</v>
      </c>
      <c r="CA2146">
        <v>1900</v>
      </c>
      <c r="CB2146">
        <v>1</v>
      </c>
      <c r="CC2146">
        <v>1</v>
      </c>
      <c r="CD2146">
        <v>2017</v>
      </c>
      <c r="CG2146">
        <v>172146</v>
      </c>
      <c r="CH2146">
        <v>2017</v>
      </c>
      <c r="CI2146">
        <v>87262</v>
      </c>
      <c r="CJ2146">
        <v>93252</v>
      </c>
      <c r="CK2146">
        <v>180514</v>
      </c>
      <c r="CL2146">
        <v>2017</v>
      </c>
      <c r="CM2146">
        <v>2932.73</v>
      </c>
      <c r="CN2146" s="1">
        <v>37882</v>
      </c>
      <c r="CZ2146" s="1">
        <v>37882</v>
      </c>
      <c r="DD2146" t="s">
        <v>11749</v>
      </c>
      <c r="DF2146">
        <v>30</v>
      </c>
      <c r="DG2146">
        <v>21</v>
      </c>
      <c r="DL2146">
        <v>50102</v>
      </c>
      <c r="DM2146" t="s">
        <v>20609</v>
      </c>
      <c r="DO2146" t="s">
        <v>20661</v>
      </c>
      <c r="DP2146">
        <v>0</v>
      </c>
      <c r="DQ2146">
        <v>2</v>
      </c>
      <c r="DR2146" t="s">
        <v>1174</v>
      </c>
      <c r="DS2146" t="b">
        <v>1</v>
      </c>
      <c r="DT2146" t="s">
        <v>470</v>
      </c>
      <c r="DU2146" t="s">
        <v>471</v>
      </c>
      <c r="DV2146" t="s">
        <v>472</v>
      </c>
      <c r="DX2146">
        <v>-9999</v>
      </c>
      <c r="DZ2146" t="s">
        <v>447</v>
      </c>
      <c r="EA2146" t="s">
        <v>448</v>
      </c>
      <c r="EB2146" t="s">
        <v>14787</v>
      </c>
      <c r="EC2146">
        <v>20101217</v>
      </c>
      <c r="ED2146" t="s">
        <v>474</v>
      </c>
      <c r="EF2146">
        <v>73</v>
      </c>
      <c r="EG2146">
        <v>52.4</v>
      </c>
      <c r="EI2146">
        <v>20160407</v>
      </c>
      <c r="EJ2146">
        <v>0</v>
      </c>
      <c r="EK2146">
        <v>0</v>
      </c>
      <c r="EP2146" t="s">
        <v>421</v>
      </c>
      <c r="EQ2146" t="s">
        <v>422</v>
      </c>
      <c r="ER2146">
        <v>0</v>
      </c>
      <c r="ES2146">
        <v>7</v>
      </c>
      <c r="ET2146">
        <v>0</v>
      </c>
      <c r="EU2146">
        <v>0</v>
      </c>
      <c r="EV2146">
        <v>0</v>
      </c>
      <c r="EW2146" s="2">
        <v>43222</v>
      </c>
      <c r="EX2146" s="1">
        <v>42879</v>
      </c>
      <c r="EY2146">
        <v>2016</v>
      </c>
      <c r="EZ2146">
        <v>2950.77</v>
      </c>
      <c r="FA2146" t="s">
        <v>20662</v>
      </c>
      <c r="FB2146">
        <v>0.25</v>
      </c>
      <c r="FC2146" t="s">
        <v>424</v>
      </c>
      <c r="FD2146" t="s">
        <v>425</v>
      </c>
      <c r="FE2146" s="1">
        <v>43038</v>
      </c>
      <c r="FF2146">
        <v>5</v>
      </c>
      <c r="FG2146">
        <v>7336671</v>
      </c>
      <c r="FH2146" t="s">
        <v>437</v>
      </c>
      <c r="FJ2146" s="1">
        <v>42879</v>
      </c>
      <c r="FK2146">
        <v>2016</v>
      </c>
      <c r="FL2146">
        <v>2950.77</v>
      </c>
      <c r="FM2146" t="s">
        <v>20662</v>
      </c>
      <c r="FN2146">
        <v>0.25</v>
      </c>
      <c r="FO2146" t="s">
        <v>424</v>
      </c>
      <c r="FP2146" t="s">
        <v>425</v>
      </c>
      <c r="FR2146">
        <v>22</v>
      </c>
      <c r="FS2146">
        <v>7021411</v>
      </c>
      <c r="FT2146" t="s">
        <v>20663</v>
      </c>
      <c r="FV2146" s="1">
        <v>42515</v>
      </c>
      <c r="FW2146">
        <v>2015</v>
      </c>
      <c r="FX2146">
        <v>2896.12</v>
      </c>
      <c r="FY2146" t="s">
        <v>20664</v>
      </c>
      <c r="FZ2146">
        <v>0.25</v>
      </c>
      <c r="GA2146" t="s">
        <v>424</v>
      </c>
      <c r="GB2146" t="s">
        <v>425</v>
      </c>
      <c r="GC2146" s="1">
        <v>42628</v>
      </c>
      <c r="GD2146">
        <v>4</v>
      </c>
      <c r="GE2146">
        <v>2851116</v>
      </c>
      <c r="GF2146" t="s">
        <v>480</v>
      </c>
      <c r="GH2146" s="1">
        <v>42515</v>
      </c>
      <c r="GI2146">
        <v>2015</v>
      </c>
      <c r="GJ2146">
        <v>2896.12</v>
      </c>
      <c r="GK2146" t="s">
        <v>20664</v>
      </c>
      <c r="GL2146">
        <v>0.25</v>
      </c>
      <c r="GM2146" t="s">
        <v>424</v>
      </c>
      <c r="GN2146" t="s">
        <v>425</v>
      </c>
      <c r="GP2146">
        <v>22</v>
      </c>
      <c r="GQ2146">
        <v>5242672</v>
      </c>
      <c r="GR2146" t="s">
        <v>20665</v>
      </c>
      <c r="GT2146" s="1">
        <v>42151</v>
      </c>
      <c r="GU2146">
        <v>2014</v>
      </c>
      <c r="GV2146">
        <v>2700.97</v>
      </c>
      <c r="GW2146" t="s">
        <v>20666</v>
      </c>
      <c r="GX2146">
        <v>0.25</v>
      </c>
      <c r="GY2146" t="s">
        <v>424</v>
      </c>
      <c r="GZ2146" t="s">
        <v>425</v>
      </c>
      <c r="HA2146" s="1">
        <v>42306</v>
      </c>
      <c r="HB2146">
        <v>5</v>
      </c>
      <c r="HC2146">
        <v>4975594</v>
      </c>
      <c r="HD2146" t="s">
        <v>457</v>
      </c>
      <c r="HF2146" s="1">
        <v>42151</v>
      </c>
      <c r="HG2146">
        <v>2014</v>
      </c>
      <c r="HH2146">
        <v>2700.97</v>
      </c>
      <c r="HI2146" t="s">
        <v>20666</v>
      </c>
      <c r="HJ2146">
        <v>0.25</v>
      </c>
      <c r="HK2146" t="s">
        <v>424</v>
      </c>
      <c r="HL2146" t="s">
        <v>425</v>
      </c>
      <c r="HN2146">
        <v>22</v>
      </c>
      <c r="HO2146">
        <v>6389662</v>
      </c>
      <c r="HP2146" t="s">
        <v>20667</v>
      </c>
      <c r="HR2146" s="1">
        <v>41787</v>
      </c>
      <c r="HS2146">
        <v>2013</v>
      </c>
      <c r="HT2146">
        <v>2288.67</v>
      </c>
      <c r="HU2146" t="s">
        <v>20668</v>
      </c>
      <c r="HV2146">
        <v>0.25</v>
      </c>
      <c r="HW2146" t="s">
        <v>424</v>
      </c>
      <c r="HX2146" t="s">
        <v>425</v>
      </c>
      <c r="HY2146" s="1">
        <v>41969</v>
      </c>
      <c r="HZ2146">
        <v>6</v>
      </c>
      <c r="IA2146">
        <v>2757457</v>
      </c>
      <c r="IB2146" t="s">
        <v>648</v>
      </c>
    </row>
    <row r="2147" spans="1:248" x14ac:dyDescent="0.25">
      <c r="A2147">
        <v>16487154</v>
      </c>
      <c r="B2147">
        <v>2146</v>
      </c>
      <c r="C2147" t="s">
        <v>393</v>
      </c>
      <c r="D2147" t="s">
        <v>394</v>
      </c>
      <c r="F2147" t="str">
        <f>"00-00-31-1800-0011-0240"</f>
        <v>00-00-31-1800-0011-0240</v>
      </c>
      <c r="H2147" t="str">
        <f>"VILLANI NICHOLAS"</f>
        <v>VILLANI NICHOLAS</v>
      </c>
      <c r="I2147" t="str">
        <f>"7838 GRANITE WALK AV"</f>
        <v>7838 GRANITE WALK AV</v>
      </c>
      <c r="J2147" t="str">
        <f>"LAS VEGAS NV 89178"</f>
        <v>LAS VEGAS NV 89178</v>
      </c>
      <c r="K2147" t="str">
        <f>"211 S 4TH ST"</f>
        <v>211 S 4TH ST</v>
      </c>
      <c r="L2147" t="str">
        <f t="shared" si="807"/>
        <v>FERNANDINA BEACH FL 32034</v>
      </c>
      <c r="M2147" t="str">
        <f>"BLOCK 11 LOTS 24 THRU 30 INC IN OR 1225/862 CITY OF FDNA BEACH"</f>
        <v>BLOCK 11 LOTS 24 THRU 30 INC IN OR 1225/862 CITY OF FDNA BEACH</v>
      </c>
      <c r="N2147" t="str">
        <f>""</f>
        <v/>
      </c>
      <c r="O2147" t="str">
        <f>"11221"</f>
        <v>11221</v>
      </c>
      <c r="P2147" t="str">
        <f t="shared" si="800"/>
        <v>2017</v>
      </c>
      <c r="Q2147" t="str">
        <f>""</f>
        <v/>
      </c>
      <c r="R2147" t="str">
        <f t="shared" ref="R2147:R2161" si="811">"N"</f>
        <v>N</v>
      </c>
      <c r="S2147" t="str">
        <f>""</f>
        <v/>
      </c>
      <c r="T2147" t="str">
        <f>"3597.41"</f>
        <v>3597.41</v>
      </c>
      <c r="U2147" t="str">
        <f>"117719.00"</f>
        <v>117719.00</v>
      </c>
      <c r="V2147" t="str">
        <f>"117719.00"</f>
        <v>117719.00</v>
      </c>
      <c r="W2147" t="str">
        <f t="shared" si="801"/>
        <v>2017</v>
      </c>
      <c r="X2147" t="str">
        <f>"4.00"</f>
        <v>4.00</v>
      </c>
      <c r="Y2147" t="str">
        <f>"3737.33"</f>
        <v>3737.33</v>
      </c>
      <c r="Z2147" t="str">
        <f>""</f>
        <v/>
      </c>
      <c r="AA2147" t="str">
        <f>"307349.00"</f>
        <v>307349.00</v>
      </c>
      <c r="AB2147" t="str">
        <f t="shared" si="810"/>
        <v>Residential</v>
      </c>
      <c r="AC2147" t="str">
        <f t="shared" si="809"/>
        <v>0</v>
      </c>
      <c r="AD2147" t="str">
        <f>"4"</f>
        <v>4</v>
      </c>
      <c r="AE2147" t="str">
        <f>"WOOD (INCLUDE STEEL STUDS)"</f>
        <v>WOOD (INCLUDE STEEL STUDS)</v>
      </c>
      <c r="AF2147" t="str">
        <f>"001"</f>
        <v>001</v>
      </c>
      <c r="AG2147" t="str">
        <f>"NV"</f>
        <v>NV</v>
      </c>
      <c r="AH2147" t="str">
        <f>"27500.00"</f>
        <v>27500.00</v>
      </c>
      <c r="AI2147" t="str">
        <f>"288750.00"</f>
        <v>288750.00</v>
      </c>
      <c r="AJ2147" t="str">
        <f>"C55-000-585-8691-8"</f>
        <v>C55-000-585-8691-8</v>
      </c>
      <c r="AK2147" t="str">
        <f>"48220"</f>
        <v>48220</v>
      </c>
      <c r="AL2147">
        <v>8</v>
      </c>
      <c r="AM2147">
        <v>2454</v>
      </c>
      <c r="AN2147">
        <v>3922.6</v>
      </c>
      <c r="AQ2147" t="s">
        <v>20669</v>
      </c>
      <c r="AR2147" t="s">
        <v>20669</v>
      </c>
      <c r="AS2147" t="s">
        <v>20669</v>
      </c>
      <c r="AU2147" t="s">
        <v>396</v>
      </c>
      <c r="AV2147">
        <v>2017</v>
      </c>
      <c r="AW2147" t="str">
        <f>"00-00-31-1800-0011-0240 "</f>
        <v xml:space="preserve">00-00-31-1800-0011-0240 </v>
      </c>
      <c r="AX2147">
        <v>211</v>
      </c>
      <c r="AY2147" t="s">
        <v>18674</v>
      </c>
      <c r="AZ2147" t="s">
        <v>20670</v>
      </c>
      <c r="BA2147" t="s">
        <v>1942</v>
      </c>
      <c r="BD2147" t="s">
        <v>11749</v>
      </c>
      <c r="BE2147" t="s">
        <v>393</v>
      </c>
      <c r="BF2147">
        <v>32034</v>
      </c>
      <c r="BG2147" t="s">
        <v>20671</v>
      </c>
      <c r="BH2147" t="s">
        <v>11751</v>
      </c>
      <c r="BI2147">
        <v>-81.462780418238097</v>
      </c>
      <c r="BJ2147">
        <v>30.668261922444799</v>
      </c>
      <c r="BK2147" t="s">
        <v>20672</v>
      </c>
      <c r="BM2147" t="s">
        <v>20673</v>
      </c>
      <c r="BN2147" t="s">
        <v>20674</v>
      </c>
      <c r="BO2147">
        <v>89178</v>
      </c>
      <c r="BP2147" t="s">
        <v>404</v>
      </c>
      <c r="BQ2147">
        <v>100</v>
      </c>
      <c r="BR2147" t="s">
        <v>514</v>
      </c>
      <c r="BS2147">
        <v>1001</v>
      </c>
      <c r="BT2147" t="s">
        <v>515</v>
      </c>
      <c r="BU2147">
        <v>1000</v>
      </c>
      <c r="BV2147">
        <v>1750</v>
      </c>
      <c r="BW2147">
        <v>17500</v>
      </c>
      <c r="BX2147" t="s">
        <v>407</v>
      </c>
      <c r="BY2147" t="s">
        <v>18253</v>
      </c>
      <c r="BZ2147">
        <v>4</v>
      </c>
      <c r="CA2147">
        <v>1949</v>
      </c>
      <c r="CB2147">
        <v>1</v>
      </c>
      <c r="CC2147">
        <v>1</v>
      </c>
      <c r="CD2147">
        <v>2017</v>
      </c>
      <c r="CE2147">
        <v>288750</v>
      </c>
      <c r="CF2147">
        <v>18599</v>
      </c>
      <c r="CG2147">
        <v>307349</v>
      </c>
      <c r="CH2147">
        <v>2017</v>
      </c>
      <c r="CI2147">
        <v>288750</v>
      </c>
      <c r="CJ2147">
        <v>18599</v>
      </c>
      <c r="CK2147">
        <v>307349</v>
      </c>
      <c r="CL2147">
        <v>2017</v>
      </c>
      <c r="CM2147">
        <v>3597.41</v>
      </c>
      <c r="CN2147" s="1">
        <v>38104</v>
      </c>
      <c r="CO2147">
        <v>242000</v>
      </c>
      <c r="CV2147">
        <v>0</v>
      </c>
      <c r="CZ2147" s="1">
        <v>38104</v>
      </c>
      <c r="DA2147">
        <v>0</v>
      </c>
      <c r="DD2147" t="s">
        <v>11749</v>
      </c>
      <c r="DG2147">
        <v>22</v>
      </c>
      <c r="DJ2147" t="s">
        <v>20634</v>
      </c>
      <c r="DL2147">
        <v>50101</v>
      </c>
      <c r="DM2147" t="s">
        <v>20208</v>
      </c>
      <c r="DO2147" t="s">
        <v>20675</v>
      </c>
      <c r="DP2147">
        <v>0</v>
      </c>
      <c r="DQ2147">
        <v>2</v>
      </c>
      <c r="DR2147" t="s">
        <v>1479</v>
      </c>
      <c r="EP2147" t="s">
        <v>421</v>
      </c>
      <c r="EQ2147" t="s">
        <v>422</v>
      </c>
      <c r="ER2147">
        <v>0</v>
      </c>
      <c r="ES2147">
        <v>1</v>
      </c>
      <c r="ET2147">
        <v>0</v>
      </c>
      <c r="EU2147">
        <v>0</v>
      </c>
      <c r="EV2147">
        <v>0</v>
      </c>
      <c r="EW2147" s="2">
        <v>43222</v>
      </c>
      <c r="EX2147" s="1">
        <v>41423</v>
      </c>
      <c r="EY2147">
        <v>2012</v>
      </c>
      <c r="EZ2147">
        <v>3349.49</v>
      </c>
      <c r="FA2147" t="s">
        <v>20676</v>
      </c>
      <c r="FB2147">
        <v>0.25</v>
      </c>
      <c r="FC2147" t="s">
        <v>424</v>
      </c>
      <c r="FD2147" t="s">
        <v>425</v>
      </c>
      <c r="FE2147" s="1">
        <v>41526</v>
      </c>
      <c r="FF2147">
        <v>4</v>
      </c>
      <c r="FG2147">
        <v>2101382</v>
      </c>
      <c r="FH2147" t="s">
        <v>993</v>
      </c>
    </row>
    <row r="2148" spans="1:248" x14ac:dyDescent="0.25">
      <c r="A2148">
        <v>16487155</v>
      </c>
      <c r="B2148">
        <v>2147</v>
      </c>
      <c r="C2148" t="s">
        <v>393</v>
      </c>
      <c r="D2148" t="s">
        <v>394</v>
      </c>
      <c r="F2148" t="str">
        <f>"00-00-31-1800-0017-0180"</f>
        <v>00-00-31-1800-0017-0180</v>
      </c>
      <c r="H2148" t="str">
        <f>"TAYLOR MAMIE EST C/O RAYMOND T TAYLOR"</f>
        <v>TAYLOR MAMIE EST C/O RAYMOND T TAYLOR</v>
      </c>
      <c r="I2148" t="str">
        <f>"841 MARY STREET APT A"</f>
        <v>841 MARY STREET APT A</v>
      </c>
      <c r="J2148" t="str">
        <f>"FERNANDINA BEACH FL 32034"</f>
        <v>FERNANDINA BEACH FL 32034</v>
      </c>
      <c r="K2148" t="str">
        <f>"331 4TH ST N"</f>
        <v>331 4TH ST N</v>
      </c>
      <c r="L2148" t="str">
        <f t="shared" si="807"/>
        <v>FERNANDINA BEACH FL 32034</v>
      </c>
      <c r="M2148" t="str">
        <f>"BLOCK 17 LOT 18 CITY OF FDNA BEACH"</f>
        <v>BLOCK 17 LOT 18 CITY OF FDNA BEACH</v>
      </c>
      <c r="N2148" t="str">
        <f>""</f>
        <v/>
      </c>
      <c r="O2148" t="str">
        <f>"11296"</f>
        <v>11296</v>
      </c>
      <c r="P2148" t="str">
        <f t="shared" si="800"/>
        <v>2017</v>
      </c>
      <c r="Q2148" t="str">
        <f>""</f>
        <v/>
      </c>
      <c r="R2148" t="str">
        <f t="shared" si="811"/>
        <v>N</v>
      </c>
      <c r="S2148" t="str">
        <f>""</f>
        <v/>
      </c>
      <c r="T2148" t="str">
        <f>"384.54"</f>
        <v>384.54</v>
      </c>
      <c r="U2148" t="str">
        <f>"18634.00"</f>
        <v>18634.00</v>
      </c>
      <c r="V2148" t="str">
        <f>"18634.00"</f>
        <v>18634.00</v>
      </c>
      <c r="W2148" t="str">
        <f t="shared" si="801"/>
        <v>2017</v>
      </c>
      <c r="X2148" t="str">
        <f>"30.00"</f>
        <v>30.00</v>
      </c>
      <c r="Y2148" t="str">
        <f>"428.08"</f>
        <v>428.08</v>
      </c>
      <c r="Z2148" t="str">
        <f>""</f>
        <v/>
      </c>
      <c r="AA2148" t="str">
        <f>"20625.00"</f>
        <v>20625.00</v>
      </c>
      <c r="AB2148" t="str">
        <f t="shared" si="810"/>
        <v>Residential</v>
      </c>
      <c r="AC2148" t="str">
        <f t="shared" si="809"/>
        <v>0</v>
      </c>
      <c r="AD2148" t="str">
        <f>""</f>
        <v/>
      </c>
      <c r="AE2148" t="str">
        <f>""</f>
        <v/>
      </c>
      <c r="AF2148" t="str">
        <f>"000"</f>
        <v>000</v>
      </c>
      <c r="AG2148" t="str">
        <f>"FL"</f>
        <v>FL</v>
      </c>
      <c r="AH2148" t="str">
        <f>"2500.00"</f>
        <v>2500.00</v>
      </c>
      <c r="AI2148" t="str">
        <f>"20625.00"</f>
        <v>20625.00</v>
      </c>
      <c r="AJ2148" t="str">
        <f>"C55-000-585-8756-9"</f>
        <v>C55-000-585-8756-9</v>
      </c>
      <c r="AK2148" t="str">
        <f>"48290"</f>
        <v>48290</v>
      </c>
      <c r="AL2148">
        <v>8</v>
      </c>
      <c r="AM2148">
        <v>2455</v>
      </c>
      <c r="AN2148">
        <v>447.88</v>
      </c>
      <c r="AQ2148" t="s">
        <v>20677</v>
      </c>
      <c r="AR2148" t="s">
        <v>20677</v>
      </c>
      <c r="AS2148" t="s">
        <v>20677</v>
      </c>
      <c r="AU2148" t="s">
        <v>396</v>
      </c>
      <c r="AV2148">
        <v>2017</v>
      </c>
      <c r="AW2148" t="str">
        <f>"00-00-31-1800-0017-0180 "</f>
        <v xml:space="preserve">00-00-31-1800-0017-0180 </v>
      </c>
      <c r="AX2148">
        <v>331</v>
      </c>
      <c r="AZ2148" t="s">
        <v>20670</v>
      </c>
      <c r="BA2148" t="s">
        <v>1942</v>
      </c>
      <c r="BB2148" t="s">
        <v>404</v>
      </c>
      <c r="BD2148" t="s">
        <v>11749</v>
      </c>
      <c r="BE2148" t="s">
        <v>393</v>
      </c>
      <c r="BF2148">
        <v>32034</v>
      </c>
      <c r="BG2148" t="s">
        <v>20678</v>
      </c>
      <c r="BH2148" t="s">
        <v>11751</v>
      </c>
      <c r="BI2148">
        <v>-81.461506599533493</v>
      </c>
      <c r="BJ2148">
        <v>30.675943435953499</v>
      </c>
      <c r="BK2148" t="s">
        <v>20679</v>
      </c>
      <c r="BM2148" t="s">
        <v>20680</v>
      </c>
      <c r="BN2148" t="s">
        <v>3983</v>
      </c>
      <c r="BO2148">
        <v>32034</v>
      </c>
      <c r="BP2148" t="s">
        <v>404</v>
      </c>
      <c r="BQ2148">
        <v>0</v>
      </c>
      <c r="BR2148" t="s">
        <v>491</v>
      </c>
      <c r="BS2148">
        <v>8001</v>
      </c>
      <c r="BT2148" t="s">
        <v>492</v>
      </c>
      <c r="BU2148">
        <v>250</v>
      </c>
      <c r="BV2148">
        <v>1000</v>
      </c>
      <c r="BW2148">
        <v>2356</v>
      </c>
      <c r="BX2148" t="s">
        <v>407</v>
      </c>
      <c r="BY2148" t="s">
        <v>18253</v>
      </c>
      <c r="CD2148">
        <v>2017</v>
      </c>
      <c r="CE2148">
        <v>20625</v>
      </c>
      <c r="CG2148">
        <v>20625</v>
      </c>
      <c r="CH2148">
        <v>2017</v>
      </c>
      <c r="CI2148">
        <v>20625</v>
      </c>
      <c r="CK2148">
        <v>20625</v>
      </c>
      <c r="CL2148">
        <v>2017</v>
      </c>
      <c r="CM2148">
        <v>384.54</v>
      </c>
      <c r="DD2148" t="s">
        <v>11749</v>
      </c>
      <c r="DF2148">
        <v>18</v>
      </c>
      <c r="DG2148">
        <v>21</v>
      </c>
      <c r="DJ2148" t="s">
        <v>20634</v>
      </c>
      <c r="DL2148">
        <v>50102</v>
      </c>
      <c r="DM2148" t="s">
        <v>20609</v>
      </c>
      <c r="DO2148" t="s">
        <v>20681</v>
      </c>
      <c r="DP2148">
        <v>0</v>
      </c>
      <c r="DQ2148">
        <v>4</v>
      </c>
      <c r="DR2148" t="s">
        <v>1479</v>
      </c>
      <c r="DS2148" t="b">
        <v>1</v>
      </c>
      <c r="DT2148" t="s">
        <v>470</v>
      </c>
      <c r="DU2148" t="s">
        <v>471</v>
      </c>
      <c r="DV2148" t="s">
        <v>472</v>
      </c>
      <c r="DX2148">
        <v>-9999</v>
      </c>
      <c r="DZ2148" t="s">
        <v>447</v>
      </c>
      <c r="EA2148" t="s">
        <v>448</v>
      </c>
      <c r="EB2148" t="s">
        <v>14787</v>
      </c>
      <c r="EC2148">
        <v>20101217</v>
      </c>
      <c r="ED2148" t="s">
        <v>474</v>
      </c>
      <c r="EF2148">
        <v>76.2</v>
      </c>
      <c r="EG2148">
        <v>11.6</v>
      </c>
      <c r="EI2148">
        <v>20160407</v>
      </c>
      <c r="EJ2148">
        <v>0</v>
      </c>
      <c r="EK2148">
        <v>0</v>
      </c>
      <c r="EP2148" t="s">
        <v>421</v>
      </c>
      <c r="EQ2148" t="s">
        <v>452</v>
      </c>
      <c r="ER2148">
        <v>3</v>
      </c>
      <c r="ES2148">
        <v>4</v>
      </c>
      <c r="ET2148">
        <v>1190.1400000000001</v>
      </c>
      <c r="EU2148">
        <v>101.9</v>
      </c>
      <c r="EV2148">
        <v>1292.04</v>
      </c>
      <c r="EW2148" s="2">
        <v>43222</v>
      </c>
      <c r="EX2148" s="1">
        <v>42879</v>
      </c>
      <c r="EY2148">
        <v>2016</v>
      </c>
      <c r="EZ2148">
        <v>411.24</v>
      </c>
      <c r="FA2148" t="s">
        <v>20682</v>
      </c>
      <c r="FB2148">
        <v>10.75</v>
      </c>
      <c r="FC2148" t="s">
        <v>424</v>
      </c>
      <c r="FD2148" t="s">
        <v>454</v>
      </c>
      <c r="FF2148">
        <v>12</v>
      </c>
      <c r="FG2148">
        <v>10003</v>
      </c>
      <c r="FH2148" t="s">
        <v>4341</v>
      </c>
      <c r="FJ2148" s="1">
        <v>42515</v>
      </c>
      <c r="FK2148">
        <v>2015</v>
      </c>
      <c r="FL2148">
        <v>389.45</v>
      </c>
      <c r="FM2148" t="s">
        <v>20683</v>
      </c>
      <c r="FN2148">
        <v>0.25</v>
      </c>
      <c r="FO2148" t="s">
        <v>424</v>
      </c>
      <c r="FP2148" t="s">
        <v>454</v>
      </c>
      <c r="FR2148">
        <v>24</v>
      </c>
      <c r="FS2148">
        <v>7336671</v>
      </c>
      <c r="FT2148" t="s">
        <v>437</v>
      </c>
      <c r="FV2148" s="1">
        <v>42515</v>
      </c>
      <c r="FW2148">
        <v>2015</v>
      </c>
      <c r="FX2148">
        <v>389.45</v>
      </c>
      <c r="FY2148" t="s">
        <v>20683</v>
      </c>
      <c r="FZ2148">
        <v>0.25</v>
      </c>
      <c r="GA2148" t="s">
        <v>424</v>
      </c>
      <c r="GB2148" t="s">
        <v>454</v>
      </c>
      <c r="GD2148">
        <v>24</v>
      </c>
      <c r="GE2148">
        <v>6938157</v>
      </c>
      <c r="GF2148" t="s">
        <v>20684</v>
      </c>
      <c r="GH2148" s="1">
        <v>41787</v>
      </c>
      <c r="GI2148">
        <v>2013</v>
      </c>
      <c r="GJ2148">
        <v>323.97000000000003</v>
      </c>
      <c r="GK2148" t="s">
        <v>20685</v>
      </c>
      <c r="GL2148">
        <v>12.5</v>
      </c>
      <c r="GM2148" t="s">
        <v>424</v>
      </c>
      <c r="GN2148" t="s">
        <v>425</v>
      </c>
      <c r="GO2148" s="1">
        <v>41961</v>
      </c>
      <c r="GP2148">
        <v>6</v>
      </c>
      <c r="GQ2148">
        <v>10125</v>
      </c>
      <c r="GR2148" t="s">
        <v>440</v>
      </c>
      <c r="GS2148" t="s">
        <v>458</v>
      </c>
      <c r="GT2148" s="1">
        <v>41423</v>
      </c>
      <c r="GU2148">
        <v>2012</v>
      </c>
      <c r="GV2148">
        <v>323.62</v>
      </c>
      <c r="GW2148" t="s">
        <v>20686</v>
      </c>
      <c r="GX2148">
        <v>1.75</v>
      </c>
      <c r="GY2148" t="s">
        <v>424</v>
      </c>
      <c r="GZ2148" t="s">
        <v>425</v>
      </c>
      <c r="HA2148" s="1">
        <v>41961</v>
      </c>
      <c r="HB2148">
        <v>18</v>
      </c>
      <c r="HC2148">
        <v>10125</v>
      </c>
      <c r="HD2148" t="s">
        <v>440</v>
      </c>
      <c r="HE2148" t="s">
        <v>458</v>
      </c>
      <c r="HF2148" s="1">
        <v>41052</v>
      </c>
      <c r="HG2148">
        <v>2011</v>
      </c>
      <c r="HH2148">
        <v>306.39</v>
      </c>
      <c r="HI2148" t="s">
        <v>20687</v>
      </c>
      <c r="HJ2148">
        <v>8.75</v>
      </c>
      <c r="HK2148" t="s">
        <v>424</v>
      </c>
      <c r="HL2148" t="s">
        <v>425</v>
      </c>
      <c r="HM2148" s="1">
        <v>41961</v>
      </c>
      <c r="HN2148">
        <v>30</v>
      </c>
      <c r="HO2148">
        <v>10125</v>
      </c>
      <c r="HP2148" t="s">
        <v>440</v>
      </c>
      <c r="HQ2148" t="s">
        <v>458</v>
      </c>
      <c r="HR2148" s="1">
        <v>40688</v>
      </c>
      <c r="HS2148">
        <v>2010</v>
      </c>
      <c r="HT2148">
        <v>299.02</v>
      </c>
      <c r="HU2148" t="s">
        <v>20688</v>
      </c>
      <c r="HV2148">
        <v>5</v>
      </c>
      <c r="HW2148" t="s">
        <v>424</v>
      </c>
      <c r="HX2148" t="s">
        <v>425</v>
      </c>
      <c r="HZ2148">
        <v>22</v>
      </c>
      <c r="IA2148">
        <v>10003</v>
      </c>
      <c r="IB2148" t="s">
        <v>4341</v>
      </c>
      <c r="IC2148" t="s">
        <v>458</v>
      </c>
    </row>
    <row r="2149" spans="1:248" x14ac:dyDescent="0.25">
      <c r="A2149">
        <v>16487156</v>
      </c>
      <c r="B2149">
        <v>2148</v>
      </c>
      <c r="C2149" t="s">
        <v>393</v>
      </c>
      <c r="D2149" t="s">
        <v>394</v>
      </c>
      <c r="F2149" t="str">
        <f>"00-00-31-1800-0019-0020"</f>
        <v>00-00-31-1800-0019-0020</v>
      </c>
      <c r="H2149" t="str">
        <f>"HOWARD JAMES W ESTATE C/O STEWART WILLIAM E"</f>
        <v>HOWARD JAMES W ESTATE C/O STEWART WILLIAM E</v>
      </c>
      <c r="I2149" t="str">
        <f>"PO BOX 1151"</f>
        <v>PO BOX 1151</v>
      </c>
      <c r="J2149" t="str">
        <f>"CALLAHAN FL 32011"</f>
        <v>CALLAHAN FL 32011</v>
      </c>
      <c r="K2149" t="str">
        <f>"N 4TH ST"</f>
        <v>N 4TH ST</v>
      </c>
      <c r="L2149" t="str">
        <f t="shared" si="807"/>
        <v>FERNANDINA BEACH FL 32034</v>
      </c>
      <c r="M2149" t="str">
        <f>"BLOCK 19 LOT 2 IN OR 1244/1386 CITY OF FDNA BEACH"</f>
        <v>BLOCK 19 LOT 2 IN OR 1244/1386 CITY OF FDNA BEACH</v>
      </c>
      <c r="N2149" t="str">
        <f>""</f>
        <v/>
      </c>
      <c r="O2149" t="str">
        <f>"11314"</f>
        <v>11314</v>
      </c>
      <c r="P2149" t="str">
        <f t="shared" si="800"/>
        <v>2017</v>
      </c>
      <c r="Q2149" t="str">
        <f>""</f>
        <v/>
      </c>
      <c r="R2149" t="str">
        <f t="shared" si="811"/>
        <v>N</v>
      </c>
      <c r="S2149" t="str">
        <f>""</f>
        <v/>
      </c>
      <c r="T2149" t="str">
        <f>"912.87"</f>
        <v>912.87</v>
      </c>
      <c r="U2149" t="str">
        <f>"41250.00"</f>
        <v>41250.00</v>
      </c>
      <c r="V2149" t="str">
        <f>"41250.00"</f>
        <v>41250.00</v>
      </c>
      <c r="W2149" t="str">
        <f t="shared" si="801"/>
        <v>2017</v>
      </c>
      <c r="X2149" t="str">
        <f>"18.40"</f>
        <v>18.40</v>
      </c>
      <c r="Y2149" t="str">
        <f>"972.26"</f>
        <v>972.26</v>
      </c>
      <c r="Z2149" t="str">
        <f>""</f>
        <v/>
      </c>
      <c r="AA2149" t="str">
        <f>"55000.00"</f>
        <v>55000.00</v>
      </c>
      <c r="AB2149" t="str">
        <f t="shared" si="810"/>
        <v>Residential</v>
      </c>
      <c r="AC2149" t="str">
        <f t="shared" si="809"/>
        <v>0</v>
      </c>
      <c r="AD2149" t="str">
        <f>""</f>
        <v/>
      </c>
      <c r="AE2149" t="str">
        <f>""</f>
        <v/>
      </c>
      <c r="AF2149" t="str">
        <f>"000"</f>
        <v>000</v>
      </c>
      <c r="AG2149" t="str">
        <f>"FL"</f>
        <v>FL</v>
      </c>
      <c r="AH2149" t="str">
        <f>"5000.00"</f>
        <v>5000.00</v>
      </c>
      <c r="AI2149" t="str">
        <f>"55000.00"</f>
        <v>55000.00</v>
      </c>
      <c r="AJ2149" t="str">
        <f>"C55-000-585-8772-6"</f>
        <v>C55-000-585-8772-6</v>
      </c>
      <c r="AK2149" t="str">
        <f>"48305"</f>
        <v>48305</v>
      </c>
      <c r="AL2149">
        <v>8</v>
      </c>
      <c r="AM2149">
        <v>2456</v>
      </c>
      <c r="AN2149">
        <v>1019.27</v>
      </c>
      <c r="AQ2149" t="s">
        <v>20689</v>
      </c>
      <c r="AR2149" t="s">
        <v>20689</v>
      </c>
      <c r="AS2149" t="s">
        <v>20689</v>
      </c>
      <c r="AU2149" t="s">
        <v>396</v>
      </c>
      <c r="AV2149">
        <v>2017</v>
      </c>
      <c r="AW2149" t="str">
        <f>"00-00-31-1800-0019-0020 "</f>
        <v xml:space="preserve">00-00-31-1800-0019-0020 </v>
      </c>
      <c r="AY2149" t="s">
        <v>404</v>
      </c>
      <c r="AZ2149" t="s">
        <v>20670</v>
      </c>
      <c r="BA2149" t="s">
        <v>1942</v>
      </c>
      <c r="BD2149" t="s">
        <v>11749</v>
      </c>
      <c r="BE2149" t="s">
        <v>393</v>
      </c>
      <c r="BF2149">
        <v>32034</v>
      </c>
      <c r="BG2149" t="s">
        <v>20690</v>
      </c>
      <c r="BH2149" t="s">
        <v>11751</v>
      </c>
      <c r="BI2149">
        <v>-81.461005537142</v>
      </c>
      <c r="BJ2149">
        <v>30.676563215177602</v>
      </c>
      <c r="BK2149" t="s">
        <v>20691</v>
      </c>
      <c r="BM2149" t="s">
        <v>2846</v>
      </c>
      <c r="BN2149" t="s">
        <v>928</v>
      </c>
      <c r="BO2149">
        <v>32011</v>
      </c>
      <c r="BP2149" t="s">
        <v>404</v>
      </c>
      <c r="BQ2149">
        <v>0</v>
      </c>
      <c r="BR2149" t="s">
        <v>491</v>
      </c>
      <c r="BS2149">
        <v>8001</v>
      </c>
      <c r="BT2149" t="s">
        <v>492</v>
      </c>
      <c r="BU2149">
        <v>500</v>
      </c>
      <c r="BV2149">
        <v>1000</v>
      </c>
      <c r="BW2149">
        <v>5000</v>
      </c>
      <c r="BX2149" t="s">
        <v>407</v>
      </c>
      <c r="BY2149" t="s">
        <v>18253</v>
      </c>
      <c r="CD2149">
        <v>2017</v>
      </c>
      <c r="CE2149">
        <v>55000</v>
      </c>
      <c r="CG2149">
        <v>55000</v>
      </c>
      <c r="CH2149">
        <v>2017</v>
      </c>
      <c r="CI2149">
        <v>55000</v>
      </c>
      <c r="CK2149">
        <v>55000</v>
      </c>
      <c r="CL2149">
        <v>2017</v>
      </c>
      <c r="CM2149">
        <v>912.87</v>
      </c>
      <c r="CN2149" s="1">
        <v>38180</v>
      </c>
      <c r="CO2149">
        <v>2000</v>
      </c>
      <c r="CZ2149" s="1">
        <v>38180</v>
      </c>
      <c r="DD2149" t="s">
        <v>11749</v>
      </c>
      <c r="DF2149">
        <v>2</v>
      </c>
      <c r="DG2149">
        <v>21</v>
      </c>
      <c r="DL2149">
        <v>50102</v>
      </c>
      <c r="DM2149" t="s">
        <v>20609</v>
      </c>
      <c r="DO2149" t="s">
        <v>20692</v>
      </c>
      <c r="DP2149">
        <v>0</v>
      </c>
      <c r="DQ2149">
        <v>2</v>
      </c>
      <c r="DR2149" t="s">
        <v>1479</v>
      </c>
      <c r="DS2149" t="b">
        <v>1</v>
      </c>
      <c r="DT2149" t="s">
        <v>470</v>
      </c>
      <c r="DU2149" t="s">
        <v>471</v>
      </c>
      <c r="DV2149" t="s">
        <v>472</v>
      </c>
      <c r="DX2149">
        <v>-9999</v>
      </c>
      <c r="DZ2149" t="s">
        <v>447</v>
      </c>
      <c r="EA2149" t="s">
        <v>448</v>
      </c>
      <c r="EB2149" t="s">
        <v>14787</v>
      </c>
      <c r="EC2149">
        <v>20101217</v>
      </c>
      <c r="ED2149" t="s">
        <v>474</v>
      </c>
      <c r="EF2149">
        <v>35.299999999999997</v>
      </c>
      <c r="EG2149">
        <v>9.9</v>
      </c>
      <c r="EI2149">
        <v>20160407</v>
      </c>
      <c r="EJ2149">
        <v>0</v>
      </c>
      <c r="EK2149">
        <v>0</v>
      </c>
      <c r="EP2149" t="s">
        <v>421</v>
      </c>
      <c r="EQ2149" t="s">
        <v>452</v>
      </c>
      <c r="ER2149">
        <v>1</v>
      </c>
      <c r="ES2149">
        <v>7</v>
      </c>
      <c r="ET2149">
        <v>848.14</v>
      </c>
      <c r="EU2149">
        <v>52.9</v>
      </c>
      <c r="EV2149">
        <v>901.04</v>
      </c>
      <c r="EW2149" s="2">
        <v>43222</v>
      </c>
      <c r="EX2149" s="1">
        <v>42879</v>
      </c>
      <c r="EY2149">
        <v>2016</v>
      </c>
      <c r="EZ2149">
        <v>848.14</v>
      </c>
      <c r="FA2149" t="s">
        <v>20693</v>
      </c>
      <c r="FB2149">
        <v>5.5</v>
      </c>
      <c r="FC2149" t="s">
        <v>424</v>
      </c>
      <c r="FD2149" t="s">
        <v>454</v>
      </c>
      <c r="FF2149">
        <v>12</v>
      </c>
      <c r="FG2149">
        <v>10125</v>
      </c>
      <c r="FH2149" t="s">
        <v>440</v>
      </c>
      <c r="FJ2149" s="1">
        <v>42515</v>
      </c>
      <c r="FK2149">
        <v>2015</v>
      </c>
      <c r="FL2149">
        <v>820.43</v>
      </c>
      <c r="FM2149" t="s">
        <v>20694</v>
      </c>
      <c r="FN2149">
        <v>0.25</v>
      </c>
      <c r="FO2149" t="s">
        <v>424</v>
      </c>
      <c r="FP2149" t="s">
        <v>425</v>
      </c>
      <c r="FQ2149" s="1">
        <v>43158</v>
      </c>
      <c r="FR2149">
        <v>21</v>
      </c>
      <c r="FS2149">
        <v>7336671</v>
      </c>
      <c r="FT2149" t="s">
        <v>437</v>
      </c>
      <c r="FV2149" s="1">
        <v>42515</v>
      </c>
      <c r="FW2149">
        <v>2015</v>
      </c>
      <c r="FX2149">
        <v>820.43</v>
      </c>
      <c r="FY2149" t="s">
        <v>20694</v>
      </c>
      <c r="FZ2149">
        <v>0.25</v>
      </c>
      <c r="GA2149" t="s">
        <v>424</v>
      </c>
      <c r="GB2149" t="s">
        <v>425</v>
      </c>
      <c r="GD2149">
        <v>22</v>
      </c>
      <c r="GE2149">
        <v>7025004</v>
      </c>
      <c r="GF2149" t="s">
        <v>20695</v>
      </c>
      <c r="GH2149" s="1">
        <v>42151</v>
      </c>
      <c r="GI2149">
        <v>2014</v>
      </c>
      <c r="GJ2149">
        <v>736.74</v>
      </c>
      <c r="GK2149" t="s">
        <v>20696</v>
      </c>
      <c r="GL2149">
        <v>14</v>
      </c>
      <c r="GM2149" t="s">
        <v>424</v>
      </c>
      <c r="GN2149" t="s">
        <v>425</v>
      </c>
      <c r="GO2149" s="1">
        <v>42256</v>
      </c>
      <c r="GP2149">
        <v>4</v>
      </c>
      <c r="GQ2149">
        <v>4844942</v>
      </c>
      <c r="GR2149" t="s">
        <v>2472</v>
      </c>
      <c r="GS2149" t="s">
        <v>458</v>
      </c>
      <c r="GT2149" s="1">
        <v>41787</v>
      </c>
      <c r="GU2149">
        <v>2013</v>
      </c>
      <c r="GV2149">
        <v>712.24</v>
      </c>
      <c r="GW2149" t="s">
        <v>20697</v>
      </c>
      <c r="GX2149">
        <v>3</v>
      </c>
      <c r="GY2149" t="s">
        <v>424</v>
      </c>
      <c r="GZ2149" t="s">
        <v>425</v>
      </c>
      <c r="HB2149">
        <v>22</v>
      </c>
      <c r="HC2149">
        <v>10125</v>
      </c>
      <c r="HD2149" t="s">
        <v>440</v>
      </c>
      <c r="HE2149" t="s">
        <v>458</v>
      </c>
      <c r="HF2149" s="1">
        <v>41423</v>
      </c>
      <c r="HG2149">
        <v>2012</v>
      </c>
      <c r="HH2149">
        <v>711.42</v>
      </c>
      <c r="HI2149" t="s">
        <v>20698</v>
      </c>
      <c r="HJ2149">
        <v>0.75</v>
      </c>
      <c r="HK2149" t="s">
        <v>424</v>
      </c>
      <c r="HL2149" t="s">
        <v>425</v>
      </c>
      <c r="HN2149">
        <v>22</v>
      </c>
      <c r="HO2149">
        <v>10125</v>
      </c>
      <c r="HP2149" t="s">
        <v>440</v>
      </c>
      <c r="HQ2149" t="s">
        <v>458</v>
      </c>
      <c r="HR2149" s="1">
        <v>41052</v>
      </c>
      <c r="HS2149">
        <v>2011</v>
      </c>
      <c r="HT2149">
        <v>682.31</v>
      </c>
      <c r="HU2149" t="s">
        <v>20699</v>
      </c>
      <c r="HV2149">
        <v>6.75</v>
      </c>
      <c r="HW2149" t="s">
        <v>424</v>
      </c>
      <c r="HX2149" t="s">
        <v>425</v>
      </c>
      <c r="HY2149" s="1">
        <v>41725</v>
      </c>
      <c r="HZ2149">
        <v>22</v>
      </c>
      <c r="IA2149">
        <v>10125</v>
      </c>
      <c r="IB2149" t="s">
        <v>440</v>
      </c>
      <c r="ID2149" s="1">
        <v>40688</v>
      </c>
      <c r="IE2149">
        <v>2010</v>
      </c>
      <c r="IF2149">
        <v>666.78</v>
      </c>
      <c r="IG2149" t="s">
        <v>20700</v>
      </c>
      <c r="IH2149">
        <v>5.5</v>
      </c>
      <c r="II2149" t="s">
        <v>424</v>
      </c>
      <c r="IJ2149" t="s">
        <v>425</v>
      </c>
      <c r="IK2149" s="1">
        <v>41313</v>
      </c>
      <c r="IL2149">
        <v>21</v>
      </c>
      <c r="IM2149">
        <v>10003</v>
      </c>
      <c r="IN2149" t="s">
        <v>4341</v>
      </c>
    </row>
    <row r="2150" spans="1:248" x14ac:dyDescent="0.25">
      <c r="A2150">
        <v>16487157</v>
      </c>
      <c r="B2150">
        <v>2149</v>
      </c>
      <c r="C2150" t="s">
        <v>393</v>
      </c>
      <c r="D2150" t="s">
        <v>394</v>
      </c>
      <c r="F2150" t="str">
        <f>"00-00-31-1800-0019-0130"</f>
        <v>00-00-31-1800-0019-0130</v>
      </c>
      <c r="H2150" t="str">
        <f>"STEWART WILLIAM E"</f>
        <v>STEWART WILLIAM E</v>
      </c>
      <c r="I2150" t="str">
        <f>"PO BOX 1151"</f>
        <v>PO BOX 1151</v>
      </c>
      <c r="J2150" t="str">
        <f>"CALLAHAN FL 32011"</f>
        <v>CALLAHAN FL 32011</v>
      </c>
      <c r="K2150" t="str">
        <f>"N 5TH ST"</f>
        <v>N 5TH ST</v>
      </c>
      <c r="L2150" t="str">
        <f t="shared" si="807"/>
        <v>FERNANDINA BEACH FL 32034</v>
      </c>
      <c r="M2150" t="str">
        <f>"BLOCK 19 LOT 13 IN OR 1253/481 CITY OF FDNA BEACH"</f>
        <v>BLOCK 19 LOT 13 IN OR 1253/481 CITY OF FDNA BEACH</v>
      </c>
      <c r="N2150" t="str">
        <f>""</f>
        <v/>
      </c>
      <c r="O2150" t="str">
        <f>"11321"</f>
        <v>11321</v>
      </c>
      <c r="P2150" t="str">
        <f t="shared" si="800"/>
        <v>2017</v>
      </c>
      <c r="Q2150" t="str">
        <f>""</f>
        <v/>
      </c>
      <c r="R2150" t="str">
        <f t="shared" si="811"/>
        <v>N</v>
      </c>
      <c r="S2150" t="str">
        <f>""</f>
        <v/>
      </c>
      <c r="T2150" t="str">
        <f>"139.93"</f>
        <v>139.93</v>
      </c>
      <c r="U2150" t="str">
        <f>"2330.00"</f>
        <v>2330.00</v>
      </c>
      <c r="V2150" t="str">
        <f>"2330.00"</f>
        <v>2330.00</v>
      </c>
      <c r="W2150" t="str">
        <f t="shared" si="801"/>
        <v>2017</v>
      </c>
      <c r="X2150" t="str">
        <f>"19.40"</f>
        <v>19.40</v>
      </c>
      <c r="Y2150" t="str">
        <f>"176.13"</f>
        <v>176.13</v>
      </c>
      <c r="Z2150" t="str">
        <f>""</f>
        <v/>
      </c>
      <c r="AA2150" t="str">
        <f>"16500.00"</f>
        <v>16500.00</v>
      </c>
      <c r="AB2150" t="str">
        <f t="shared" si="810"/>
        <v>Residential</v>
      </c>
      <c r="AC2150" t="str">
        <f t="shared" si="809"/>
        <v>0</v>
      </c>
      <c r="AD2150" t="str">
        <f>""</f>
        <v/>
      </c>
      <c r="AE2150" t="str">
        <f>""</f>
        <v/>
      </c>
      <c r="AF2150" t="str">
        <f>"000"</f>
        <v>000</v>
      </c>
      <c r="AG2150" t="str">
        <f>"FL"</f>
        <v>FL</v>
      </c>
      <c r="AH2150" t="str">
        <f>"5000.00"</f>
        <v>5000.00</v>
      </c>
      <c r="AI2150" t="str">
        <f>"16500.00"</f>
        <v>16500.00</v>
      </c>
      <c r="AJ2150" t="str">
        <f>"C55-000-585-8779-1"</f>
        <v>C55-000-585-8779-1</v>
      </c>
      <c r="AK2150" t="str">
        <f>"48312"</f>
        <v>48312</v>
      </c>
      <c r="AL2150">
        <v>8</v>
      </c>
      <c r="AM2150">
        <v>2457</v>
      </c>
      <c r="AN2150">
        <v>183.34</v>
      </c>
      <c r="AQ2150" t="s">
        <v>20701</v>
      </c>
      <c r="AR2150" t="s">
        <v>20701</v>
      </c>
      <c r="AS2150" t="s">
        <v>20701</v>
      </c>
      <c r="AU2150" t="s">
        <v>396</v>
      </c>
      <c r="AV2150">
        <v>2017</v>
      </c>
      <c r="AW2150" t="str">
        <f>"00-00-31-1800-0019-0130 "</f>
        <v xml:space="preserve">00-00-31-1800-0019-0130 </v>
      </c>
      <c r="AY2150" t="s">
        <v>404</v>
      </c>
      <c r="AZ2150" t="s">
        <v>20702</v>
      </c>
      <c r="BA2150" t="s">
        <v>1942</v>
      </c>
      <c r="BD2150" t="s">
        <v>11749</v>
      </c>
      <c r="BE2150" t="s">
        <v>393</v>
      </c>
      <c r="BF2150">
        <v>32034</v>
      </c>
      <c r="BG2150" t="s">
        <v>20703</v>
      </c>
      <c r="BH2150" t="s">
        <v>11751</v>
      </c>
      <c r="BI2150">
        <v>-81.460685332457999</v>
      </c>
      <c r="BJ2150">
        <v>30.676528862854099</v>
      </c>
      <c r="BK2150" t="s">
        <v>20704</v>
      </c>
      <c r="BM2150" t="s">
        <v>2846</v>
      </c>
      <c r="BN2150" t="s">
        <v>928</v>
      </c>
      <c r="BO2150">
        <v>32011</v>
      </c>
      <c r="BP2150" t="s">
        <v>404</v>
      </c>
      <c r="BQ2150">
        <v>0</v>
      </c>
      <c r="BR2150" t="s">
        <v>491</v>
      </c>
      <c r="BS2150">
        <v>8001</v>
      </c>
      <c r="BT2150" t="s">
        <v>492</v>
      </c>
      <c r="BU2150">
        <v>500</v>
      </c>
      <c r="BV2150">
        <v>1000</v>
      </c>
      <c r="BW2150">
        <v>5143</v>
      </c>
      <c r="BX2150" t="s">
        <v>407</v>
      </c>
      <c r="BY2150" t="s">
        <v>18253</v>
      </c>
      <c r="CD2150">
        <v>2017</v>
      </c>
      <c r="CE2150">
        <v>16500</v>
      </c>
      <c r="CG2150">
        <v>16500</v>
      </c>
      <c r="CH2150">
        <v>2017</v>
      </c>
      <c r="CI2150">
        <v>16500</v>
      </c>
      <c r="CK2150">
        <v>16500</v>
      </c>
      <c r="CL2150">
        <v>2017</v>
      </c>
      <c r="CM2150">
        <v>139.93</v>
      </c>
      <c r="CN2150" s="1">
        <v>38216</v>
      </c>
      <c r="CO2150">
        <v>6000</v>
      </c>
      <c r="CZ2150" s="1">
        <v>38216</v>
      </c>
      <c r="DD2150" t="s">
        <v>11749</v>
      </c>
      <c r="DF2150">
        <v>13</v>
      </c>
      <c r="DG2150">
        <v>21</v>
      </c>
      <c r="DL2150">
        <v>50102</v>
      </c>
      <c r="DM2150" t="s">
        <v>20609</v>
      </c>
      <c r="DO2150" t="s">
        <v>20705</v>
      </c>
      <c r="DP2150">
        <v>0</v>
      </c>
      <c r="DQ2150">
        <v>0</v>
      </c>
      <c r="DR2150" t="s">
        <v>411</v>
      </c>
      <c r="DS2150" t="b">
        <v>1</v>
      </c>
      <c r="DT2150" t="s">
        <v>8902</v>
      </c>
      <c r="DV2150" t="s">
        <v>446</v>
      </c>
      <c r="DX2150">
        <v>9</v>
      </c>
      <c r="DY2150" t="s">
        <v>11438</v>
      </c>
      <c r="DZ2150" t="s">
        <v>447</v>
      </c>
      <c r="EA2150" t="s">
        <v>448</v>
      </c>
      <c r="EB2150" t="s">
        <v>20706</v>
      </c>
      <c r="EC2150">
        <v>20101217</v>
      </c>
      <c r="ED2150" t="s">
        <v>450</v>
      </c>
      <c r="EE2150">
        <v>5</v>
      </c>
      <c r="EF2150">
        <v>0</v>
      </c>
      <c r="EG2150">
        <v>0</v>
      </c>
      <c r="EI2150">
        <v>20160407</v>
      </c>
      <c r="EJ2150">
        <v>0</v>
      </c>
      <c r="EK2150">
        <v>0</v>
      </c>
      <c r="EP2150" t="s">
        <v>421</v>
      </c>
      <c r="EQ2150" t="s">
        <v>422</v>
      </c>
      <c r="ER2150">
        <v>1</v>
      </c>
      <c r="ES2150">
        <v>7</v>
      </c>
      <c r="ET2150">
        <v>140.49</v>
      </c>
      <c r="EU2150">
        <v>22.76</v>
      </c>
      <c r="EV2150">
        <v>163.25</v>
      </c>
      <c r="EW2150" s="2">
        <v>43222</v>
      </c>
      <c r="EX2150" s="1">
        <v>42879</v>
      </c>
      <c r="EY2150">
        <v>2016</v>
      </c>
      <c r="EZ2150">
        <v>140.49</v>
      </c>
      <c r="FA2150" t="s">
        <v>20707</v>
      </c>
      <c r="FB2150">
        <v>11.75</v>
      </c>
      <c r="FC2150" t="s">
        <v>424</v>
      </c>
      <c r="FD2150" t="s">
        <v>454</v>
      </c>
      <c r="FF2150">
        <v>12</v>
      </c>
      <c r="FG2150">
        <v>6516843</v>
      </c>
      <c r="FH2150" t="s">
        <v>601</v>
      </c>
      <c r="FJ2150" s="1">
        <v>42515</v>
      </c>
      <c r="FK2150">
        <v>2015</v>
      </c>
      <c r="FL2150">
        <v>136.84</v>
      </c>
      <c r="FM2150" t="s">
        <v>20708</v>
      </c>
      <c r="FN2150">
        <v>0.25</v>
      </c>
      <c r="FO2150" t="s">
        <v>424</v>
      </c>
      <c r="FP2150" t="s">
        <v>425</v>
      </c>
      <c r="FQ2150" s="1">
        <v>43158</v>
      </c>
      <c r="FR2150">
        <v>21</v>
      </c>
      <c r="FS2150">
        <v>7336671</v>
      </c>
      <c r="FT2150" t="s">
        <v>437</v>
      </c>
      <c r="FV2150" s="1">
        <v>42515</v>
      </c>
      <c r="FW2150">
        <v>2015</v>
      </c>
      <c r="FX2150">
        <v>136.84</v>
      </c>
      <c r="FY2150" t="s">
        <v>20708</v>
      </c>
      <c r="FZ2150">
        <v>0.25</v>
      </c>
      <c r="GA2150" t="s">
        <v>424</v>
      </c>
      <c r="GB2150" t="s">
        <v>425</v>
      </c>
      <c r="GD2150">
        <v>22</v>
      </c>
      <c r="GE2150">
        <v>6769643</v>
      </c>
      <c r="GF2150" t="s">
        <v>20709</v>
      </c>
      <c r="GH2150" s="1">
        <v>42151</v>
      </c>
      <c r="GI2150">
        <v>2014</v>
      </c>
      <c r="GJ2150">
        <v>61.08</v>
      </c>
      <c r="GK2150" t="s">
        <v>20710</v>
      </c>
      <c r="GL2150">
        <v>15.25</v>
      </c>
      <c r="GM2150" t="s">
        <v>424</v>
      </c>
      <c r="GN2150" t="s">
        <v>425</v>
      </c>
      <c r="GO2150" s="1">
        <v>42396</v>
      </c>
      <c r="GP2150">
        <v>8</v>
      </c>
      <c r="GQ2150">
        <v>10125</v>
      </c>
      <c r="GR2150" t="s">
        <v>440</v>
      </c>
      <c r="GT2150" s="1">
        <v>41787</v>
      </c>
      <c r="GU2150">
        <v>2013</v>
      </c>
      <c r="GV2150">
        <v>59.75</v>
      </c>
      <c r="GW2150" t="s">
        <v>20711</v>
      </c>
      <c r="GX2150">
        <v>18</v>
      </c>
      <c r="GY2150" t="s">
        <v>424</v>
      </c>
      <c r="GZ2150" t="s">
        <v>425</v>
      </c>
      <c r="HA2150" s="1">
        <v>42396</v>
      </c>
      <c r="HB2150">
        <v>20</v>
      </c>
      <c r="HC2150">
        <v>10017</v>
      </c>
      <c r="HD2150" t="s">
        <v>534</v>
      </c>
      <c r="HF2150" s="1">
        <v>41423</v>
      </c>
      <c r="HG2150">
        <v>2012</v>
      </c>
      <c r="HH2150">
        <v>59.71</v>
      </c>
      <c r="HI2150" t="s">
        <v>20712</v>
      </c>
      <c r="HJ2150">
        <v>7.5</v>
      </c>
      <c r="HK2150" t="s">
        <v>424</v>
      </c>
      <c r="HL2150" t="s">
        <v>425</v>
      </c>
      <c r="HM2150" s="1">
        <v>42396</v>
      </c>
      <c r="HN2150">
        <v>32</v>
      </c>
      <c r="HO2150">
        <v>10125</v>
      </c>
      <c r="HP2150" t="s">
        <v>440</v>
      </c>
      <c r="HR2150" s="1">
        <v>41052</v>
      </c>
      <c r="HS2150">
        <v>2011</v>
      </c>
      <c r="HT2150">
        <v>97.55</v>
      </c>
      <c r="HU2150" t="s">
        <v>20713</v>
      </c>
      <c r="HV2150">
        <v>16.5</v>
      </c>
      <c r="HW2150" t="s">
        <v>424</v>
      </c>
      <c r="HX2150" t="s">
        <v>425</v>
      </c>
      <c r="HY2150" s="1">
        <v>41725</v>
      </c>
      <c r="HZ2150">
        <v>22</v>
      </c>
      <c r="IA2150">
        <v>10125</v>
      </c>
      <c r="IB2150" t="s">
        <v>440</v>
      </c>
      <c r="ID2150" s="1">
        <v>40688</v>
      </c>
      <c r="IE2150">
        <v>2010</v>
      </c>
      <c r="IF2150">
        <v>94.72</v>
      </c>
      <c r="IG2150" t="s">
        <v>20714</v>
      </c>
      <c r="IH2150">
        <v>11</v>
      </c>
      <c r="II2150" t="s">
        <v>424</v>
      </c>
      <c r="IJ2150" t="s">
        <v>425</v>
      </c>
      <c r="IK2150" s="1">
        <v>41313</v>
      </c>
      <c r="IL2150">
        <v>21</v>
      </c>
      <c r="IM2150">
        <v>10125</v>
      </c>
      <c r="IN2150" t="s">
        <v>440</v>
      </c>
    </row>
    <row r="2151" spans="1:248" x14ac:dyDescent="0.25">
      <c r="A2151">
        <v>16487158</v>
      </c>
      <c r="B2151">
        <v>2150</v>
      </c>
      <c r="C2151" t="s">
        <v>393</v>
      </c>
      <c r="D2151" t="s">
        <v>394</v>
      </c>
      <c r="F2151" t="str">
        <f>"00-00-31-1800-0019-0140"</f>
        <v>00-00-31-1800-0019-0140</v>
      </c>
      <c r="H2151" t="str">
        <f>"STEWART WILLIAM ELSWORTH"</f>
        <v>STEWART WILLIAM ELSWORTH</v>
      </c>
      <c r="I2151" t="str">
        <f>"PO BOX 1151"</f>
        <v>PO BOX 1151</v>
      </c>
      <c r="J2151" t="str">
        <f>"CALLAHAN FL 32011"</f>
        <v>CALLAHAN FL 32011</v>
      </c>
      <c r="K2151" t="str">
        <f>"DADE ST"</f>
        <v>DADE ST</v>
      </c>
      <c r="L2151" t="str">
        <f t="shared" si="807"/>
        <v>FERNANDINA BEACH FL 32034</v>
      </c>
      <c r="M2151" t="str">
        <f>"BLOCK 19 LOTS 14 &amp; 15 IN OR 1288/91 CITY OF FDNA BEACH"</f>
        <v>BLOCK 19 LOTS 14 &amp; 15 IN OR 1288/91 CITY OF FDNA BEACH</v>
      </c>
      <c r="N2151" t="str">
        <f>""</f>
        <v/>
      </c>
      <c r="O2151" t="str">
        <f>"11322"</f>
        <v>11322</v>
      </c>
      <c r="P2151" t="str">
        <f t="shared" si="800"/>
        <v>2017</v>
      </c>
      <c r="Q2151" t="str">
        <f>""</f>
        <v/>
      </c>
      <c r="R2151" t="str">
        <f t="shared" si="811"/>
        <v>N</v>
      </c>
      <c r="S2151" t="str">
        <f>""</f>
        <v/>
      </c>
      <c r="T2151" t="str">
        <f>"365.15"</f>
        <v>365.15</v>
      </c>
      <c r="U2151" t="str">
        <f>"16500.00"</f>
        <v>16500.00</v>
      </c>
      <c r="V2151" t="str">
        <f>"16500.00"</f>
        <v>16500.00</v>
      </c>
      <c r="W2151" t="str">
        <f t="shared" si="801"/>
        <v>2017</v>
      </c>
      <c r="X2151" t="str">
        <f>"18.20"</f>
        <v>18.20</v>
      </c>
      <c r="Y2151" t="str">
        <f>"408.10"</f>
        <v>408.10</v>
      </c>
      <c r="Z2151" t="str">
        <f>""</f>
        <v/>
      </c>
      <c r="AA2151" t="str">
        <f>"22000.00"</f>
        <v>22000.00</v>
      </c>
      <c r="AB2151" t="str">
        <f t="shared" si="810"/>
        <v>Residential</v>
      </c>
      <c r="AC2151" t="str">
        <f t="shared" si="809"/>
        <v>0</v>
      </c>
      <c r="AD2151" t="str">
        <f>""</f>
        <v/>
      </c>
      <c r="AE2151" t="str">
        <f>""</f>
        <v/>
      </c>
      <c r="AF2151" t="str">
        <f>"000"</f>
        <v>000</v>
      </c>
      <c r="AG2151" t="str">
        <f>"FL"</f>
        <v>FL</v>
      </c>
      <c r="AH2151" t="str">
        <f>"10000.00"</f>
        <v>10000.00</v>
      </c>
      <c r="AI2151" t="str">
        <f>"22000.00"</f>
        <v>22000.00</v>
      </c>
      <c r="AJ2151" t="str">
        <f>"C55-000-585-8780-9"</f>
        <v>C55-000-585-8780-9</v>
      </c>
      <c r="AK2151" t="str">
        <f>"48313"</f>
        <v>48313</v>
      </c>
      <c r="AL2151">
        <v>8</v>
      </c>
      <c r="AM2151">
        <v>2458</v>
      </c>
      <c r="AN2151">
        <v>426.91</v>
      </c>
      <c r="AQ2151" t="s">
        <v>20715</v>
      </c>
      <c r="AR2151" t="s">
        <v>20715</v>
      </c>
      <c r="AS2151" t="s">
        <v>20715</v>
      </c>
      <c r="AU2151" t="s">
        <v>396</v>
      </c>
      <c r="AV2151">
        <v>2017</v>
      </c>
      <c r="AW2151" t="str">
        <f>"00-00-31-1800-0019-0140 "</f>
        <v xml:space="preserve">00-00-31-1800-0019-0140 </v>
      </c>
      <c r="AZ2151" t="s">
        <v>20716</v>
      </c>
      <c r="BA2151" t="s">
        <v>1942</v>
      </c>
      <c r="BD2151" t="s">
        <v>11749</v>
      </c>
      <c r="BE2151" t="s">
        <v>393</v>
      </c>
      <c r="BF2151">
        <v>32034</v>
      </c>
      <c r="BG2151" t="s">
        <v>20717</v>
      </c>
      <c r="BH2151" t="s">
        <v>11751</v>
      </c>
      <c r="BI2151">
        <v>-81.460717011736193</v>
      </c>
      <c r="BJ2151">
        <v>30.676324476956101</v>
      </c>
      <c r="BK2151" t="s">
        <v>17703</v>
      </c>
      <c r="BM2151" t="s">
        <v>2846</v>
      </c>
      <c r="BN2151" t="s">
        <v>928</v>
      </c>
      <c r="BO2151">
        <v>32011</v>
      </c>
      <c r="BP2151" t="s">
        <v>404</v>
      </c>
      <c r="BQ2151">
        <v>0</v>
      </c>
      <c r="BR2151" t="s">
        <v>491</v>
      </c>
      <c r="BS2151">
        <v>8001</v>
      </c>
      <c r="BT2151" t="s">
        <v>492</v>
      </c>
      <c r="BU2151">
        <v>1000</v>
      </c>
      <c r="BV2151">
        <v>1000</v>
      </c>
      <c r="BW2151">
        <v>10286</v>
      </c>
      <c r="BX2151" t="s">
        <v>407</v>
      </c>
      <c r="BY2151" t="s">
        <v>18253</v>
      </c>
      <c r="CD2151">
        <v>2017</v>
      </c>
      <c r="CE2151">
        <v>22000</v>
      </c>
      <c r="CG2151">
        <v>22000</v>
      </c>
      <c r="CH2151">
        <v>2017</v>
      </c>
      <c r="CI2151">
        <v>22000</v>
      </c>
      <c r="CK2151">
        <v>22000</v>
      </c>
      <c r="CL2151">
        <v>2017</v>
      </c>
      <c r="CM2151">
        <v>365.15</v>
      </c>
      <c r="CN2151" s="1">
        <v>38370</v>
      </c>
      <c r="CO2151">
        <v>26800</v>
      </c>
      <c r="CZ2151" s="1">
        <v>38370</v>
      </c>
      <c r="DD2151" t="s">
        <v>11749</v>
      </c>
      <c r="DG2151">
        <v>21</v>
      </c>
      <c r="DJ2151" t="s">
        <v>20634</v>
      </c>
      <c r="DL2151">
        <v>50102</v>
      </c>
      <c r="DM2151" t="s">
        <v>20609</v>
      </c>
      <c r="DO2151" t="s">
        <v>20718</v>
      </c>
      <c r="DP2151">
        <v>0</v>
      </c>
      <c r="DQ2151">
        <v>1</v>
      </c>
      <c r="DR2151" t="s">
        <v>411</v>
      </c>
      <c r="DS2151" t="b">
        <v>1</v>
      </c>
      <c r="DT2151" t="s">
        <v>8902</v>
      </c>
      <c r="DV2151" t="s">
        <v>446</v>
      </c>
      <c r="DX2151">
        <v>9</v>
      </c>
      <c r="DY2151" t="s">
        <v>11438</v>
      </c>
      <c r="DZ2151" t="s">
        <v>447</v>
      </c>
      <c r="EA2151" t="s">
        <v>448</v>
      </c>
      <c r="EB2151" t="s">
        <v>20706</v>
      </c>
      <c r="EC2151">
        <v>20101217</v>
      </c>
      <c r="ED2151" t="s">
        <v>450</v>
      </c>
      <c r="EE2151">
        <v>5</v>
      </c>
      <c r="EF2151">
        <v>0</v>
      </c>
      <c r="EG2151">
        <v>0</v>
      </c>
      <c r="EI2151">
        <v>20160407</v>
      </c>
      <c r="EJ2151">
        <v>0</v>
      </c>
      <c r="EK2151">
        <v>0</v>
      </c>
      <c r="EP2151" t="s">
        <v>421</v>
      </c>
      <c r="EQ2151" t="s">
        <v>452</v>
      </c>
      <c r="ER2151">
        <v>1</v>
      </c>
      <c r="ES2151">
        <v>7</v>
      </c>
      <c r="ET2151">
        <v>355.45</v>
      </c>
      <c r="EU2151">
        <v>56.01</v>
      </c>
      <c r="EV2151">
        <v>411.46</v>
      </c>
      <c r="EW2151" s="2">
        <v>43222</v>
      </c>
      <c r="EX2151" s="1">
        <v>42879</v>
      </c>
      <c r="EY2151">
        <v>2016</v>
      </c>
      <c r="EZ2151">
        <v>355.45</v>
      </c>
      <c r="FA2151" t="s">
        <v>20719</v>
      </c>
      <c r="FB2151">
        <v>14</v>
      </c>
      <c r="FC2151" t="s">
        <v>424</v>
      </c>
      <c r="FD2151" t="s">
        <v>454</v>
      </c>
      <c r="FF2151">
        <v>12</v>
      </c>
      <c r="FG2151">
        <v>10021</v>
      </c>
      <c r="FH2151" t="s">
        <v>597</v>
      </c>
      <c r="FJ2151" s="1">
        <v>42515</v>
      </c>
      <c r="FK2151">
        <v>2015</v>
      </c>
      <c r="FL2151">
        <v>354.66</v>
      </c>
      <c r="FM2151" t="s">
        <v>20720</v>
      </c>
      <c r="FN2151">
        <v>0.25</v>
      </c>
      <c r="FO2151" t="s">
        <v>424</v>
      </c>
      <c r="FP2151" t="s">
        <v>425</v>
      </c>
      <c r="FQ2151" s="1">
        <v>43158</v>
      </c>
      <c r="FR2151">
        <v>21</v>
      </c>
      <c r="FS2151">
        <v>7336671</v>
      </c>
      <c r="FT2151" t="s">
        <v>437</v>
      </c>
      <c r="FV2151" s="1">
        <v>42515</v>
      </c>
      <c r="FW2151">
        <v>2015</v>
      </c>
      <c r="FX2151">
        <v>354.66</v>
      </c>
      <c r="FY2151" t="s">
        <v>20720</v>
      </c>
      <c r="FZ2151">
        <v>0.25</v>
      </c>
      <c r="GA2151" t="s">
        <v>424</v>
      </c>
      <c r="GB2151" t="s">
        <v>425</v>
      </c>
      <c r="GD2151">
        <v>22</v>
      </c>
      <c r="GE2151">
        <v>6866756</v>
      </c>
      <c r="GF2151" t="s">
        <v>20721</v>
      </c>
      <c r="GH2151" s="1">
        <v>42151</v>
      </c>
      <c r="GI2151">
        <v>2014</v>
      </c>
      <c r="GJ2151">
        <v>334.69</v>
      </c>
      <c r="GK2151" t="s">
        <v>20722</v>
      </c>
      <c r="GL2151">
        <v>15.5</v>
      </c>
      <c r="GM2151" t="s">
        <v>424</v>
      </c>
      <c r="GN2151" t="s">
        <v>425</v>
      </c>
      <c r="GP2151">
        <v>22</v>
      </c>
      <c r="GQ2151">
        <v>10125</v>
      </c>
      <c r="GR2151" t="s">
        <v>440</v>
      </c>
      <c r="GS2151" t="s">
        <v>458</v>
      </c>
      <c r="GT2151" s="1">
        <v>41787</v>
      </c>
      <c r="GU2151">
        <v>2013</v>
      </c>
      <c r="GV2151">
        <v>323.97000000000003</v>
      </c>
      <c r="GW2151" t="s">
        <v>20723</v>
      </c>
      <c r="GX2151">
        <v>3</v>
      </c>
      <c r="GY2151" t="s">
        <v>424</v>
      </c>
      <c r="GZ2151" t="s">
        <v>425</v>
      </c>
      <c r="HB2151">
        <v>22</v>
      </c>
      <c r="HC2151">
        <v>10125</v>
      </c>
      <c r="HD2151" t="s">
        <v>440</v>
      </c>
      <c r="HE2151" t="s">
        <v>458</v>
      </c>
      <c r="HF2151" s="1">
        <v>41423</v>
      </c>
      <c r="HG2151">
        <v>2012</v>
      </c>
      <c r="HH2151">
        <v>323.62</v>
      </c>
      <c r="HI2151" t="s">
        <v>20724</v>
      </c>
      <c r="HJ2151">
        <v>3.25</v>
      </c>
      <c r="HK2151" t="s">
        <v>424</v>
      </c>
      <c r="HL2151" t="s">
        <v>425</v>
      </c>
      <c r="HN2151">
        <v>22</v>
      </c>
      <c r="HO2151">
        <v>10125</v>
      </c>
      <c r="HP2151" t="s">
        <v>440</v>
      </c>
      <c r="HQ2151" t="s">
        <v>458</v>
      </c>
      <c r="HR2151" s="1">
        <v>41052</v>
      </c>
      <c r="HS2151">
        <v>2011</v>
      </c>
      <c r="HT2151">
        <v>415.01</v>
      </c>
      <c r="HU2151" t="s">
        <v>20725</v>
      </c>
      <c r="HV2151">
        <v>7</v>
      </c>
      <c r="HW2151" t="s">
        <v>424</v>
      </c>
      <c r="HX2151" t="s">
        <v>425</v>
      </c>
      <c r="HY2151" s="1">
        <v>41725</v>
      </c>
      <c r="HZ2151">
        <v>22</v>
      </c>
      <c r="IA2151">
        <v>10125</v>
      </c>
      <c r="IB2151" t="s">
        <v>440</v>
      </c>
      <c r="ID2151" s="1">
        <v>40688</v>
      </c>
      <c r="IE2151">
        <v>2010</v>
      </c>
      <c r="IF2151">
        <v>405.27</v>
      </c>
      <c r="IG2151" t="s">
        <v>20726</v>
      </c>
      <c r="IH2151">
        <v>6.5</v>
      </c>
      <c r="II2151" t="s">
        <v>424</v>
      </c>
      <c r="IJ2151" t="s">
        <v>425</v>
      </c>
      <c r="IK2151" s="1">
        <v>41313</v>
      </c>
      <c r="IL2151">
        <v>21</v>
      </c>
      <c r="IM2151">
        <v>10003</v>
      </c>
      <c r="IN2151" t="s">
        <v>4341</v>
      </c>
    </row>
    <row r="2152" spans="1:248" x14ac:dyDescent="0.25">
      <c r="A2152">
        <v>16487159</v>
      </c>
      <c r="B2152">
        <v>2151</v>
      </c>
      <c r="C2152" t="s">
        <v>393</v>
      </c>
      <c r="D2152" t="s">
        <v>394</v>
      </c>
      <c r="F2152" t="str">
        <f>"00-00-31-1800-0023-0130"</f>
        <v>00-00-31-1800-0023-0130</v>
      </c>
      <c r="H2152" t="str">
        <f>"WHITMIRE JENNIFER N"</f>
        <v>WHITMIRE JENNIFER N</v>
      </c>
      <c r="I2152" t="str">
        <f>"4045 BRANDYWINE POINTE BLVD"</f>
        <v>4045 BRANDYWINE POINTE BLVD</v>
      </c>
      <c r="J2152" t="str">
        <f>"OLD HICKORY TN 37138"</f>
        <v>OLD HICKORY TN 37138</v>
      </c>
      <c r="K2152" t="str">
        <f>"415 CENTRE ST"</f>
        <v>415 CENTRE ST</v>
      </c>
      <c r="L2152" t="str">
        <f t="shared" si="807"/>
        <v>FERNANDINA BEACH FL 32034</v>
      </c>
      <c r="M2152" t="str">
        <f>"BLK 23 LOT 14 &amp; E 30FT OF LOT 15 &amp; E 80FT LOT 13 IN OR 1980/1094 CITY OF FDNA BEACH OF SEC 22-3N-28E U/R"</f>
        <v>BLK 23 LOT 14 &amp; E 30FT OF LOT 15 &amp; E 80FT LOT 13 IN OR 1980/1094 CITY OF FDNA BEACH OF SEC 22-3N-28E U/R</v>
      </c>
      <c r="N2152" t="str">
        <f>""</f>
        <v/>
      </c>
      <c r="O2152" t="str">
        <f>"11357"</f>
        <v>11357</v>
      </c>
      <c r="P2152" t="str">
        <f t="shared" si="800"/>
        <v>2017</v>
      </c>
      <c r="Q2152" t="str">
        <f>""</f>
        <v/>
      </c>
      <c r="R2152" t="str">
        <f t="shared" si="811"/>
        <v>N</v>
      </c>
      <c r="S2152" t="str">
        <f>""</f>
        <v/>
      </c>
      <c r="T2152" t="str">
        <f>"17982.97"</f>
        <v>17982.97</v>
      </c>
      <c r="U2152" t="str">
        <f>"902275.00"</f>
        <v>902275.00</v>
      </c>
      <c r="V2152" t="str">
        <f>"902275.00"</f>
        <v>902275.00</v>
      </c>
      <c r="W2152" t="str">
        <f t="shared" si="801"/>
        <v>2017</v>
      </c>
      <c r="X2152" t="str">
        <f>""</f>
        <v/>
      </c>
      <c r="Y2152" t="str">
        <f>"18554.46"</f>
        <v>18554.46</v>
      </c>
      <c r="Z2152" t="str">
        <f>""</f>
        <v/>
      </c>
      <c r="AA2152" t="str">
        <f>"902275.00"</f>
        <v>902275.00</v>
      </c>
      <c r="AB2152" t="str">
        <f t="shared" si="810"/>
        <v>Residential</v>
      </c>
      <c r="AC2152" t="str">
        <f t="shared" si="809"/>
        <v>0</v>
      </c>
      <c r="AD2152" t="str">
        <f>"4"</f>
        <v>4</v>
      </c>
      <c r="AE2152" t="str">
        <f>"WOOD (INCLUDE STEEL STUDS)"</f>
        <v>WOOD (INCLUDE STEEL STUDS)</v>
      </c>
      <c r="AF2152" t="str">
        <f>"001"</f>
        <v>001</v>
      </c>
      <c r="AG2152" t="str">
        <f>"TN"</f>
        <v>TN</v>
      </c>
      <c r="AH2152" t="str">
        <f>"12000.00"</f>
        <v>12000.00</v>
      </c>
      <c r="AI2152" t="str">
        <f>"650000.00"</f>
        <v>650000.00</v>
      </c>
      <c r="AJ2152" t="str">
        <f>"C55-000-585-8810-4"</f>
        <v>C55-000-585-8810-4</v>
      </c>
      <c r="AK2152" t="str">
        <f>"48345"</f>
        <v>48345</v>
      </c>
      <c r="AL2152">
        <v>8</v>
      </c>
      <c r="AM2152">
        <v>2459</v>
      </c>
      <c r="AN2152">
        <v>19480.580000000002</v>
      </c>
      <c r="AQ2152" t="s">
        <v>20727</v>
      </c>
      <c r="AR2152" t="s">
        <v>20727</v>
      </c>
      <c r="AS2152" t="s">
        <v>20727</v>
      </c>
      <c r="AU2152" t="s">
        <v>396</v>
      </c>
      <c r="AV2152">
        <v>2017</v>
      </c>
      <c r="AW2152" t="str">
        <f>"00-00-31-1800-0023-0130 "</f>
        <v xml:space="preserve">00-00-31-1800-0023-0130 </v>
      </c>
      <c r="AX2152">
        <v>415</v>
      </c>
      <c r="AZ2152" t="s">
        <v>20629</v>
      </c>
      <c r="BA2152" t="s">
        <v>1942</v>
      </c>
      <c r="BD2152" t="s">
        <v>11749</v>
      </c>
      <c r="BE2152" t="s">
        <v>393</v>
      </c>
      <c r="BF2152">
        <v>32034</v>
      </c>
      <c r="BG2152" t="s">
        <v>20728</v>
      </c>
      <c r="BH2152" t="s">
        <v>11751</v>
      </c>
      <c r="BI2152">
        <v>-81.461455346033205</v>
      </c>
      <c r="BJ2152">
        <v>30.6713645340181</v>
      </c>
      <c r="BK2152" t="s">
        <v>20729</v>
      </c>
      <c r="BM2152" t="s">
        <v>20730</v>
      </c>
      <c r="BN2152" t="s">
        <v>20731</v>
      </c>
      <c r="BO2152">
        <v>37138</v>
      </c>
      <c r="BP2152" t="s">
        <v>404</v>
      </c>
      <c r="BQ2152">
        <v>100</v>
      </c>
      <c r="BR2152" t="s">
        <v>514</v>
      </c>
      <c r="BS2152">
        <v>1001</v>
      </c>
      <c r="BT2152" t="s">
        <v>515</v>
      </c>
      <c r="BW2152">
        <v>12000</v>
      </c>
      <c r="BX2152" t="s">
        <v>407</v>
      </c>
      <c r="BY2152" t="s">
        <v>20633</v>
      </c>
      <c r="BZ2152">
        <v>4</v>
      </c>
      <c r="CA2152">
        <v>1900</v>
      </c>
      <c r="CB2152">
        <v>2</v>
      </c>
      <c r="CC2152">
        <v>1</v>
      </c>
      <c r="CD2152">
        <v>2017</v>
      </c>
      <c r="CE2152">
        <v>650000</v>
      </c>
      <c r="CF2152">
        <v>252275</v>
      </c>
      <c r="CG2152">
        <v>902275</v>
      </c>
      <c r="CH2152">
        <v>2017</v>
      </c>
      <c r="CI2152">
        <v>650000</v>
      </c>
      <c r="CJ2152">
        <v>252275</v>
      </c>
      <c r="CK2152">
        <v>902275</v>
      </c>
      <c r="CL2152">
        <v>2017</v>
      </c>
      <c r="CM2152">
        <v>17982.97</v>
      </c>
      <c r="CN2152" s="1">
        <v>42142</v>
      </c>
      <c r="CO2152">
        <v>750000</v>
      </c>
      <c r="CZ2152" s="1">
        <v>42142</v>
      </c>
      <c r="DD2152" t="s">
        <v>11749</v>
      </c>
      <c r="DF2152">
        <v>15</v>
      </c>
      <c r="DG2152">
        <v>22</v>
      </c>
      <c r="DL2152">
        <v>50102</v>
      </c>
      <c r="DM2152" t="s">
        <v>20208</v>
      </c>
      <c r="DO2152" t="s">
        <v>20732</v>
      </c>
      <c r="DP2152">
        <v>0</v>
      </c>
      <c r="DQ2152">
        <v>2</v>
      </c>
      <c r="DR2152" t="s">
        <v>1479</v>
      </c>
      <c r="EP2152" t="s">
        <v>421</v>
      </c>
      <c r="EQ2152" t="s">
        <v>422</v>
      </c>
      <c r="ER2152">
        <v>2</v>
      </c>
      <c r="ES2152">
        <v>0</v>
      </c>
      <c r="ET2152">
        <v>39631.300000000003</v>
      </c>
      <c r="EU2152">
        <v>1994.07</v>
      </c>
      <c r="EV2152">
        <v>41625.370000000003</v>
      </c>
      <c r="EW2152" s="2">
        <v>43222</v>
      </c>
      <c r="EX2152" s="1">
        <v>42879</v>
      </c>
      <c r="EY2152">
        <v>2016</v>
      </c>
      <c r="EZ2152">
        <v>19815.650000000001</v>
      </c>
      <c r="FA2152" t="s">
        <v>20733</v>
      </c>
      <c r="FB2152">
        <v>0.25</v>
      </c>
      <c r="FC2152" t="s">
        <v>424</v>
      </c>
      <c r="FD2152" t="s">
        <v>454</v>
      </c>
      <c r="FF2152">
        <v>12</v>
      </c>
      <c r="FG2152">
        <v>2851116</v>
      </c>
      <c r="FH2152" t="s">
        <v>480</v>
      </c>
      <c r="FJ2152" s="1">
        <v>42879</v>
      </c>
      <c r="FK2152">
        <v>2016</v>
      </c>
      <c r="FL2152">
        <v>19815.650000000001</v>
      </c>
      <c r="FM2152" t="s">
        <v>20733</v>
      </c>
      <c r="FN2152">
        <v>0.25</v>
      </c>
      <c r="FO2152" t="s">
        <v>424</v>
      </c>
      <c r="FP2152" t="s">
        <v>454</v>
      </c>
      <c r="FR2152">
        <v>12</v>
      </c>
      <c r="FS2152">
        <v>4999360</v>
      </c>
      <c r="FT2152" t="s">
        <v>20734</v>
      </c>
    </row>
    <row r="2153" spans="1:248" x14ac:dyDescent="0.25">
      <c r="A2153">
        <v>16487160</v>
      </c>
      <c r="B2153">
        <v>2152</v>
      </c>
      <c r="C2153" t="s">
        <v>393</v>
      </c>
      <c r="D2153" t="s">
        <v>394</v>
      </c>
      <c r="F2153" t="str">
        <f>"00-00-31-1800-0026-0020"</f>
        <v>00-00-31-1800-0026-0020</v>
      </c>
      <c r="H2153" t="str">
        <f>"RICHO JEROME &amp; PRENTICE DARIUS"</f>
        <v>RICHO JEROME &amp; PRENTICE DARIUS</v>
      </c>
      <c r="I2153" t="str">
        <f>"330 S 12TH STREET"</f>
        <v>330 S 12TH STREET</v>
      </c>
      <c r="J2153" t="str">
        <f>"FERNANDINA BEACH FL 32034"</f>
        <v>FERNANDINA BEACH FL 32034</v>
      </c>
      <c r="K2153" t="str">
        <f>"216 4TH ST S A&amp;B"</f>
        <v>216 4TH ST S A&amp;B</v>
      </c>
      <c r="L2153" t="str">
        <f t="shared" si="807"/>
        <v>FERNANDINA BEACH FL 32034</v>
      </c>
      <c r="M2153" t="str">
        <f>"BLOCK 26 LOT 2 &amp; N1/2 OF 3 IN OR 2116/522 CITY OF FDNA BEACH"</f>
        <v>BLOCK 26 LOT 2 &amp; N1/2 OF 3 IN OR 2116/522 CITY OF FDNA BEACH</v>
      </c>
      <c r="N2153" t="str">
        <f>""</f>
        <v/>
      </c>
      <c r="O2153" t="str">
        <f>"11384"</f>
        <v>11384</v>
      </c>
      <c r="P2153" t="str">
        <f t="shared" si="800"/>
        <v>2017</v>
      </c>
      <c r="Q2153" t="str">
        <f>""</f>
        <v/>
      </c>
      <c r="R2153" t="str">
        <f t="shared" si="811"/>
        <v>N</v>
      </c>
      <c r="S2153" t="str">
        <f>""</f>
        <v/>
      </c>
      <c r="T2153" t="str">
        <f>"3107.90"</f>
        <v>3107.90</v>
      </c>
      <c r="U2153" t="str">
        <f>"136335.00"</f>
        <v>136335.00</v>
      </c>
      <c r="V2153" t="str">
        <f>"136335.00"</f>
        <v>136335.00</v>
      </c>
      <c r="W2153" t="str">
        <f t="shared" si="801"/>
        <v>2017</v>
      </c>
      <c r="X2153" t="str">
        <f>""</f>
        <v/>
      </c>
      <c r="Y2153" t="str">
        <f>"3233.14"</f>
        <v>3233.14</v>
      </c>
      <c r="Z2153" t="str">
        <f>""</f>
        <v/>
      </c>
      <c r="AA2153" t="str">
        <f>"195542.00"</f>
        <v>195542.00</v>
      </c>
      <c r="AB2153" t="str">
        <f t="shared" si="810"/>
        <v>Residential</v>
      </c>
      <c r="AC2153" t="str">
        <f t="shared" si="809"/>
        <v>0</v>
      </c>
      <c r="AD2153" t="str">
        <f>"4"</f>
        <v>4</v>
      </c>
      <c r="AE2153" t="str">
        <f>"WOOD (INCLUDE STEEL STUDS)"</f>
        <v>WOOD (INCLUDE STEEL STUDS)</v>
      </c>
      <c r="AF2153" t="str">
        <f>"008"</f>
        <v>008</v>
      </c>
      <c r="AG2153" t="str">
        <f>"FL"</f>
        <v>FL</v>
      </c>
      <c r="AH2153" t="str">
        <f>"7500.00"</f>
        <v>7500.00</v>
      </c>
      <c r="AI2153" t="str">
        <f>"123750.00"</f>
        <v>123750.00</v>
      </c>
      <c r="AJ2153" t="str">
        <f>"C55-000-585-8835-1"</f>
        <v>C55-000-585-8835-1</v>
      </c>
      <c r="AK2153" t="str">
        <f>"48372"</f>
        <v>48372</v>
      </c>
      <c r="AL2153">
        <v>8</v>
      </c>
      <c r="AM2153">
        <v>2460</v>
      </c>
      <c r="AN2153">
        <v>3393.2</v>
      </c>
      <c r="AQ2153" t="s">
        <v>20735</v>
      </c>
      <c r="AR2153" t="s">
        <v>20735</v>
      </c>
      <c r="AS2153" t="s">
        <v>20735</v>
      </c>
      <c r="AU2153" t="s">
        <v>396</v>
      </c>
      <c r="AV2153">
        <v>2017</v>
      </c>
      <c r="AW2153" t="str">
        <f>"00-00-31-1800-0026-0020 "</f>
        <v xml:space="preserve">00-00-31-1800-0026-0020 </v>
      </c>
      <c r="AX2153">
        <v>216</v>
      </c>
      <c r="AZ2153" t="s">
        <v>20736</v>
      </c>
      <c r="BC2153" t="s">
        <v>20737</v>
      </c>
      <c r="BD2153" t="s">
        <v>11749</v>
      </c>
      <c r="BE2153" t="s">
        <v>393</v>
      </c>
      <c r="BF2153">
        <v>32034</v>
      </c>
      <c r="BG2153" t="s">
        <v>20738</v>
      </c>
      <c r="BH2153" t="s">
        <v>11751</v>
      </c>
      <c r="BI2153">
        <v>-81.462296159570599</v>
      </c>
      <c r="BJ2153">
        <v>30.668068854161</v>
      </c>
      <c r="BK2153" t="s">
        <v>20739</v>
      </c>
      <c r="BL2153" t="s">
        <v>20740</v>
      </c>
      <c r="BM2153" t="s">
        <v>20741</v>
      </c>
      <c r="BN2153" t="s">
        <v>3983</v>
      </c>
      <c r="BO2153">
        <v>32034</v>
      </c>
      <c r="BP2153" t="s">
        <v>404</v>
      </c>
      <c r="BQ2153">
        <v>800</v>
      </c>
      <c r="BR2153" t="s">
        <v>5126</v>
      </c>
      <c r="BS2153">
        <v>1110</v>
      </c>
      <c r="BT2153" t="s">
        <v>5127</v>
      </c>
      <c r="BU2153">
        <v>750</v>
      </c>
      <c r="BV2153">
        <v>1000</v>
      </c>
      <c r="BW2153">
        <v>7487</v>
      </c>
      <c r="BX2153" t="s">
        <v>407</v>
      </c>
      <c r="BY2153" t="s">
        <v>18253</v>
      </c>
      <c r="BZ2153">
        <v>4</v>
      </c>
      <c r="CA2153">
        <v>1960</v>
      </c>
      <c r="CB2153">
        <v>1</v>
      </c>
      <c r="CC2153">
        <v>1</v>
      </c>
      <c r="CD2153">
        <v>2017</v>
      </c>
      <c r="CE2153">
        <v>123750</v>
      </c>
      <c r="CF2153">
        <v>71792</v>
      </c>
      <c r="CG2153">
        <v>195542</v>
      </c>
      <c r="CH2153">
        <v>2017</v>
      </c>
      <c r="CI2153">
        <v>123750</v>
      </c>
      <c r="CJ2153">
        <v>71792</v>
      </c>
      <c r="CK2153">
        <v>195542</v>
      </c>
      <c r="CL2153">
        <v>2017</v>
      </c>
      <c r="CM2153">
        <v>3107.9</v>
      </c>
      <c r="CN2153" s="1">
        <v>29129</v>
      </c>
      <c r="CO2153">
        <v>4800</v>
      </c>
      <c r="CZ2153" s="1">
        <v>29129</v>
      </c>
      <c r="DD2153" t="s">
        <v>11749</v>
      </c>
      <c r="DF2153">
        <v>2</v>
      </c>
      <c r="DG2153">
        <v>23</v>
      </c>
      <c r="DI2153" t="s">
        <v>396</v>
      </c>
      <c r="DL2153">
        <v>50101</v>
      </c>
      <c r="DM2153" t="s">
        <v>20742</v>
      </c>
      <c r="DO2153" t="s">
        <v>20743</v>
      </c>
      <c r="DP2153">
        <v>0</v>
      </c>
      <c r="DQ2153">
        <v>0</v>
      </c>
      <c r="DR2153" t="s">
        <v>411</v>
      </c>
    </row>
    <row r="2154" spans="1:248" x14ac:dyDescent="0.25">
      <c r="A2154">
        <v>16487161</v>
      </c>
      <c r="B2154">
        <v>2153</v>
      </c>
      <c r="C2154" t="s">
        <v>393</v>
      </c>
      <c r="D2154" t="s">
        <v>394</v>
      </c>
      <c r="F2154" t="str">
        <f>"00-00-31-1800-0026-0050"</f>
        <v>00-00-31-1800-0026-0050</v>
      </c>
      <c r="H2154" t="str">
        <f>"EARNEST &amp; KHEMANI PROPERTIES LLC"</f>
        <v>EARNEST &amp; KHEMANI PROPERTIES LLC</v>
      </c>
      <c r="I2154" t="str">
        <f>"4896 HUGH HOWELL ROAD"</f>
        <v>4896 HUGH HOWELL ROAD</v>
      </c>
      <c r="J2154" t="str">
        <f>"STONE MOUNTAIN GA 30087"</f>
        <v>STONE MOUNTAIN GA 30087</v>
      </c>
      <c r="K2154" t="str">
        <f>"222 4TH ST S"</f>
        <v>222 4TH ST S</v>
      </c>
      <c r="L2154" t="str">
        <f t="shared" si="807"/>
        <v>FERNANDINA BEACH FL 32034</v>
      </c>
      <c r="M2154" t="str">
        <f>"BLOCK 26 LOT N45 FT OF 5 &amp; S5 FT OF E1/2 OF 5 IN OR 1532/909 CITY OF FDNA BEACH"</f>
        <v>BLOCK 26 LOT N45 FT OF 5 &amp; S5 FT OF E1/2 OF 5 IN OR 1532/909 CITY OF FDNA BEACH</v>
      </c>
      <c r="N2154" t="str">
        <f>""</f>
        <v/>
      </c>
      <c r="O2154" t="str">
        <f>"11386"</f>
        <v>11386</v>
      </c>
      <c r="P2154" t="str">
        <f t="shared" si="800"/>
        <v>2017</v>
      </c>
      <c r="Q2154" t="str">
        <f>""</f>
        <v/>
      </c>
      <c r="R2154" t="str">
        <f t="shared" si="811"/>
        <v>N</v>
      </c>
      <c r="S2154" t="str">
        <f>""</f>
        <v/>
      </c>
      <c r="T2154" t="str">
        <f>"1452.77"</f>
        <v>1452.77</v>
      </c>
      <c r="U2154" t="str">
        <f>"62053.00"</f>
        <v>62053.00</v>
      </c>
      <c r="V2154" t="str">
        <f>"62053.00"</f>
        <v>62053.00</v>
      </c>
      <c r="W2154" t="str">
        <f t="shared" si="801"/>
        <v>2017</v>
      </c>
      <c r="X2154" t="str">
        <f>""</f>
        <v/>
      </c>
      <c r="Y2154" t="str">
        <f>"1528.35"</f>
        <v>1528.35</v>
      </c>
      <c r="Z2154" t="str">
        <f>""</f>
        <v/>
      </c>
      <c r="AA2154" t="str">
        <f>"94791.00"</f>
        <v>94791.00</v>
      </c>
      <c r="AB2154" t="str">
        <f t="shared" si="810"/>
        <v>Residential</v>
      </c>
      <c r="AC2154" t="str">
        <f t="shared" si="809"/>
        <v>0</v>
      </c>
      <c r="AD2154" t="str">
        <f>"4"</f>
        <v>4</v>
      </c>
      <c r="AE2154" t="str">
        <f>"WOOD (INCLUDE STEEL STUDS)"</f>
        <v>WOOD (INCLUDE STEEL STUDS)</v>
      </c>
      <c r="AF2154" t="str">
        <f>"001"</f>
        <v>001</v>
      </c>
      <c r="AG2154" t="str">
        <f>"GA"</f>
        <v>GA</v>
      </c>
      <c r="AH2154" t="str">
        <f>"4750.00"</f>
        <v>4750.00</v>
      </c>
      <c r="AI2154" t="str">
        <f>"82500.00"</f>
        <v>82500.00</v>
      </c>
      <c r="AJ2154" t="str">
        <f>"C55-000-585-8837-7"</f>
        <v>C55-000-585-8837-7</v>
      </c>
      <c r="AK2154" t="str">
        <f>"48374"</f>
        <v>48374</v>
      </c>
      <c r="AL2154">
        <v>8</v>
      </c>
      <c r="AM2154">
        <v>2461</v>
      </c>
      <c r="AN2154">
        <v>1603.17</v>
      </c>
      <c r="AQ2154" t="s">
        <v>20744</v>
      </c>
      <c r="AR2154" t="s">
        <v>20744</v>
      </c>
      <c r="AS2154" t="s">
        <v>20744</v>
      </c>
      <c r="AU2154" t="s">
        <v>396</v>
      </c>
      <c r="AV2154">
        <v>2017</v>
      </c>
      <c r="AW2154" t="str">
        <f>"00-00-31-1800-0026-0050 "</f>
        <v xml:space="preserve">00-00-31-1800-0026-0050 </v>
      </c>
      <c r="AX2154">
        <v>222</v>
      </c>
      <c r="AZ2154" t="s">
        <v>20670</v>
      </c>
      <c r="BA2154" t="s">
        <v>1942</v>
      </c>
      <c r="BB2154" t="s">
        <v>18674</v>
      </c>
      <c r="BD2154" t="s">
        <v>11749</v>
      </c>
      <c r="BE2154" t="s">
        <v>393</v>
      </c>
      <c r="BF2154">
        <v>32034</v>
      </c>
      <c r="BG2154" t="s">
        <v>20745</v>
      </c>
      <c r="BH2154" t="s">
        <v>11751</v>
      </c>
      <c r="BI2154">
        <v>-81.462348525445407</v>
      </c>
      <c r="BJ2154">
        <v>30.667696811660399</v>
      </c>
      <c r="BK2154" t="s">
        <v>20746</v>
      </c>
      <c r="BM2154" t="s">
        <v>20747</v>
      </c>
      <c r="BN2154" t="s">
        <v>20748</v>
      </c>
      <c r="BO2154">
        <v>30087</v>
      </c>
      <c r="BP2154" t="s">
        <v>404</v>
      </c>
      <c r="BQ2154">
        <v>100</v>
      </c>
      <c r="BR2154" t="s">
        <v>514</v>
      </c>
      <c r="BS2154">
        <v>1001</v>
      </c>
      <c r="BT2154" t="s">
        <v>515</v>
      </c>
      <c r="BW2154">
        <v>4746</v>
      </c>
      <c r="BX2154" t="s">
        <v>407</v>
      </c>
      <c r="BY2154" t="s">
        <v>18253</v>
      </c>
      <c r="BZ2154">
        <v>4</v>
      </c>
      <c r="CA2154">
        <v>1978</v>
      </c>
      <c r="CB2154">
        <v>1</v>
      </c>
      <c r="CC2154">
        <v>1</v>
      </c>
      <c r="CD2154">
        <v>2017</v>
      </c>
      <c r="CE2154">
        <v>82500</v>
      </c>
      <c r="CF2154">
        <v>12291</v>
      </c>
      <c r="CG2154">
        <v>94791</v>
      </c>
      <c r="CH2154">
        <v>2017</v>
      </c>
      <c r="CI2154">
        <v>82500</v>
      </c>
      <c r="CJ2154">
        <v>12291</v>
      </c>
      <c r="CK2154">
        <v>94791</v>
      </c>
      <c r="CL2154">
        <v>2017</v>
      </c>
      <c r="CM2154">
        <v>1452.77</v>
      </c>
      <c r="CN2154" s="1">
        <v>38929</v>
      </c>
      <c r="CO2154">
        <v>17500</v>
      </c>
      <c r="CV2154">
        <v>0</v>
      </c>
      <c r="CZ2154" s="1">
        <v>38929</v>
      </c>
      <c r="DA2154">
        <v>0</v>
      </c>
      <c r="DD2154" t="s">
        <v>11749</v>
      </c>
      <c r="DF2154" t="s">
        <v>20749</v>
      </c>
      <c r="DG2154">
        <v>23</v>
      </c>
      <c r="DL2154">
        <v>50101</v>
      </c>
      <c r="DM2154" t="s">
        <v>20742</v>
      </c>
      <c r="DO2154" t="s">
        <v>20750</v>
      </c>
      <c r="DP2154">
        <v>0</v>
      </c>
      <c r="DQ2154">
        <v>0</v>
      </c>
      <c r="DR2154" t="s">
        <v>411</v>
      </c>
    </row>
    <row r="2155" spans="1:248" x14ac:dyDescent="0.25">
      <c r="A2155">
        <v>16487162</v>
      </c>
      <c r="B2155">
        <v>2154</v>
      </c>
      <c r="C2155" t="s">
        <v>393</v>
      </c>
      <c r="D2155" t="s">
        <v>394</v>
      </c>
      <c r="F2155" t="str">
        <f>"00-00-31-1800-0026-0140"</f>
        <v>00-00-31-1800-0026-0140</v>
      </c>
      <c r="H2155" t="str">
        <f>"BREAKER MARY L L/E FAREEDAH T JONES"</f>
        <v>BREAKER MARY L L/E FAREEDAH T JONES</v>
      </c>
      <c r="I2155" t="str">
        <f>"1619 W 30TH ST"</f>
        <v>1619 W 30TH ST</v>
      </c>
      <c r="J2155" t="str">
        <f>"JACKSONVILLE FL 32209"</f>
        <v>JACKSONVILLE FL 32209</v>
      </c>
      <c r="K2155" t="str">
        <f>"410 BEECH ST"</f>
        <v>410 BEECH ST</v>
      </c>
      <c r="L2155" t="str">
        <f t="shared" si="807"/>
        <v>FERNANDINA BEACH FL 32034</v>
      </c>
      <c r="M2155" t="str">
        <f>"BLOCK 26 LOT 14 OR 455/588 &amp; OR 458/557 L/E IN OR 843/1632 CITY OF FDNA BEACH"</f>
        <v>BLOCK 26 LOT 14 OR 455/588 &amp; OR 458/557 L/E IN OR 843/1632 CITY OF FDNA BEACH</v>
      </c>
      <c r="N2155" t="str">
        <f>""</f>
        <v/>
      </c>
      <c r="O2155" t="str">
        <f>"11396"</f>
        <v>11396</v>
      </c>
      <c r="P2155" t="str">
        <f t="shared" si="800"/>
        <v>2017</v>
      </c>
      <c r="Q2155" t="str">
        <f>""</f>
        <v/>
      </c>
      <c r="R2155" t="str">
        <f t="shared" si="811"/>
        <v>N</v>
      </c>
      <c r="S2155" t="str">
        <f>""</f>
        <v/>
      </c>
      <c r="T2155" t="str">
        <f>"2733.52"</f>
        <v>2733.52</v>
      </c>
      <c r="U2155" t="str">
        <f>"137151.00"</f>
        <v>137151.00</v>
      </c>
      <c r="V2155" t="str">
        <f>"137151.00"</f>
        <v>137151.00</v>
      </c>
      <c r="W2155" t="str">
        <f t="shared" si="801"/>
        <v>2017</v>
      </c>
      <c r="X2155" t="str">
        <f>""</f>
        <v/>
      </c>
      <c r="Y2155" t="str">
        <f>"2847.53"</f>
        <v>2847.53</v>
      </c>
      <c r="Z2155" t="str">
        <f>""</f>
        <v/>
      </c>
      <c r="AA2155" t="str">
        <f>"137151.00"</f>
        <v>137151.00</v>
      </c>
      <c r="AB2155" t="str">
        <f>"Institutional"</f>
        <v>Institutional</v>
      </c>
      <c r="AC2155" t="str">
        <f t="shared" si="809"/>
        <v>0</v>
      </c>
      <c r="AD2155" t="str">
        <f>"4"</f>
        <v>4</v>
      </c>
      <c r="AE2155" t="str">
        <f>"WOOD (INCLUDE STEEL STUDS)"</f>
        <v>WOOD (INCLUDE STEEL STUDS)</v>
      </c>
      <c r="AF2155" t="str">
        <f>"076"</f>
        <v>076</v>
      </c>
      <c r="AG2155" t="str">
        <f>"FL"</f>
        <v>FL</v>
      </c>
      <c r="AH2155" t="str">
        <f>"5000.00"</f>
        <v>5000.00</v>
      </c>
      <c r="AI2155" t="str">
        <f>"44000.00"</f>
        <v>44000.00</v>
      </c>
      <c r="AJ2155" t="str">
        <f>"C55-000-585-8847-6"</f>
        <v>C55-000-585-8847-6</v>
      </c>
      <c r="AK2155" t="str">
        <f>"48382"</f>
        <v>48382</v>
      </c>
      <c r="AL2155">
        <v>8</v>
      </c>
      <c r="AM2155">
        <v>2462</v>
      </c>
      <c r="AN2155">
        <v>2988.31</v>
      </c>
      <c r="AQ2155" t="s">
        <v>20751</v>
      </c>
      <c r="AR2155" t="s">
        <v>20751</v>
      </c>
      <c r="AS2155" t="s">
        <v>20751</v>
      </c>
      <c r="AU2155" t="s">
        <v>396</v>
      </c>
      <c r="AV2155">
        <v>2017</v>
      </c>
      <c r="AW2155" t="str">
        <f>"00-00-31-1800-0026-0140 "</f>
        <v xml:space="preserve">00-00-31-1800-0026-0140 </v>
      </c>
      <c r="AX2155">
        <v>410</v>
      </c>
      <c r="AZ2155" t="s">
        <v>19911</v>
      </c>
      <c r="BA2155" t="s">
        <v>1942</v>
      </c>
      <c r="BD2155" t="s">
        <v>11749</v>
      </c>
      <c r="BE2155" t="s">
        <v>393</v>
      </c>
      <c r="BF2155">
        <v>32034</v>
      </c>
      <c r="BG2155" t="s">
        <v>20752</v>
      </c>
      <c r="BH2155" t="s">
        <v>11751</v>
      </c>
      <c r="BI2155">
        <v>-81.461865588462203</v>
      </c>
      <c r="BJ2155">
        <v>30.668265772239401</v>
      </c>
      <c r="BK2155" t="s">
        <v>20753</v>
      </c>
      <c r="BM2155" t="s">
        <v>20754</v>
      </c>
      <c r="BN2155" t="s">
        <v>548</v>
      </c>
      <c r="BO2155">
        <v>32209</v>
      </c>
      <c r="BP2155" t="s">
        <v>404</v>
      </c>
      <c r="BQ2155">
        <v>7600</v>
      </c>
      <c r="BR2155" t="s">
        <v>9087</v>
      </c>
      <c r="BS2155">
        <v>9109</v>
      </c>
      <c r="BT2155" t="s">
        <v>9088</v>
      </c>
      <c r="BU2155">
        <v>500</v>
      </c>
      <c r="BV2155">
        <v>1000</v>
      </c>
      <c r="BW2155">
        <v>5000</v>
      </c>
      <c r="BX2155" t="s">
        <v>407</v>
      </c>
      <c r="BY2155" t="s">
        <v>18253</v>
      </c>
      <c r="BZ2155">
        <v>4</v>
      </c>
      <c r="CA2155">
        <v>1946</v>
      </c>
      <c r="CB2155">
        <v>1</v>
      </c>
      <c r="CD2155">
        <v>2017</v>
      </c>
      <c r="CE2155">
        <v>44000</v>
      </c>
      <c r="CF2155">
        <v>93151</v>
      </c>
      <c r="CG2155">
        <v>137151</v>
      </c>
      <c r="CH2155">
        <v>2017</v>
      </c>
      <c r="CI2155">
        <v>44000</v>
      </c>
      <c r="CJ2155">
        <v>93151</v>
      </c>
      <c r="CK2155">
        <v>137151</v>
      </c>
      <c r="CL2155">
        <v>2017</v>
      </c>
      <c r="CM2155">
        <v>2733.52</v>
      </c>
      <c r="CN2155" s="1">
        <v>36012</v>
      </c>
      <c r="CZ2155" s="1">
        <v>36012</v>
      </c>
      <c r="DD2155" t="s">
        <v>11749</v>
      </c>
      <c r="DF2155">
        <v>14</v>
      </c>
      <c r="DG2155">
        <v>23</v>
      </c>
      <c r="DL2155">
        <v>50101</v>
      </c>
      <c r="DM2155" t="s">
        <v>20742</v>
      </c>
      <c r="DO2155" t="s">
        <v>20755</v>
      </c>
      <c r="DP2155">
        <v>0</v>
      </c>
      <c r="DQ2155">
        <v>0</v>
      </c>
      <c r="DR2155" t="s">
        <v>411</v>
      </c>
      <c r="EP2155" t="s">
        <v>421</v>
      </c>
      <c r="EQ2155" t="s">
        <v>422</v>
      </c>
      <c r="ER2155">
        <v>2</v>
      </c>
      <c r="ES2155">
        <v>0</v>
      </c>
      <c r="ET2155">
        <v>5528.82</v>
      </c>
      <c r="EU2155">
        <v>288.94</v>
      </c>
      <c r="EV2155">
        <v>5817.76</v>
      </c>
      <c r="EW2155" s="2">
        <v>43222</v>
      </c>
      <c r="EX2155" s="1">
        <v>42879</v>
      </c>
      <c r="EY2155">
        <v>2016</v>
      </c>
      <c r="EZ2155">
        <v>2764.41</v>
      </c>
      <c r="FA2155" t="s">
        <v>20756</v>
      </c>
      <c r="FB2155">
        <v>0.25</v>
      </c>
      <c r="FC2155" t="s">
        <v>424</v>
      </c>
      <c r="FD2155" t="s">
        <v>454</v>
      </c>
      <c r="FF2155">
        <v>12</v>
      </c>
      <c r="FG2155">
        <v>2851116</v>
      </c>
      <c r="FH2155" t="s">
        <v>480</v>
      </c>
      <c r="FJ2155" s="1">
        <v>42879</v>
      </c>
      <c r="FK2155">
        <v>2016</v>
      </c>
      <c r="FL2155">
        <v>2764.41</v>
      </c>
      <c r="FM2155" t="s">
        <v>20756</v>
      </c>
      <c r="FN2155">
        <v>0.25</v>
      </c>
      <c r="FO2155" t="s">
        <v>424</v>
      </c>
      <c r="FP2155" t="s">
        <v>454</v>
      </c>
      <c r="FR2155">
        <v>12</v>
      </c>
      <c r="FS2155">
        <v>5692974</v>
      </c>
      <c r="FT2155" t="s">
        <v>20757</v>
      </c>
    </row>
    <row r="2156" spans="1:248" x14ac:dyDescent="0.25">
      <c r="A2156">
        <v>16487163</v>
      </c>
      <c r="B2156">
        <v>2155</v>
      </c>
      <c r="C2156" t="s">
        <v>393</v>
      </c>
      <c r="D2156" t="s">
        <v>394</v>
      </c>
      <c r="F2156" t="str">
        <f>"00-00-31-1800-0026-0150"</f>
        <v>00-00-31-1800-0026-0150</v>
      </c>
      <c r="H2156" t="str">
        <f>"BREAKER MARY LOUISE L/E FAREEDAH T JONES"</f>
        <v>BREAKER MARY LOUISE L/E FAREEDAH T JONES</v>
      </c>
      <c r="I2156" t="str">
        <f>"1619 W 30TH ST"</f>
        <v>1619 W 30TH ST</v>
      </c>
      <c r="J2156" t="str">
        <f>"JACKSONVILLE FL 32209"</f>
        <v>JACKSONVILLE FL 32209</v>
      </c>
      <c r="K2156" t="str">
        <f>"410 BEECH ST"</f>
        <v>410 BEECH ST</v>
      </c>
      <c r="L2156" t="str">
        <f t="shared" si="807"/>
        <v>FERNANDINA BEACH FL 32034</v>
      </c>
      <c r="M2156" t="str">
        <f>"BLOCK 26 LOT 15 OR 455/588 &amp; OR 458/557 L/E IN OR 843/1632 HUFF &amp; BATTISE FUNERAL HOME CITY OF FDNA BEACH"</f>
        <v>BLOCK 26 LOT 15 OR 455/588 &amp; OR 458/557 L/E IN OR 843/1632 HUFF &amp; BATTISE FUNERAL HOME CITY OF FDNA BEACH</v>
      </c>
      <c r="N2156" t="str">
        <f>""</f>
        <v/>
      </c>
      <c r="O2156" t="str">
        <f>"11397"</f>
        <v>11397</v>
      </c>
      <c r="P2156" t="str">
        <f t="shared" si="800"/>
        <v>2017</v>
      </c>
      <c r="Q2156" t="str">
        <f>""</f>
        <v/>
      </c>
      <c r="R2156" t="str">
        <f t="shared" si="811"/>
        <v>N</v>
      </c>
      <c r="S2156" t="str">
        <f>""</f>
        <v/>
      </c>
      <c r="T2156" t="str">
        <f>"876.96"</f>
        <v>876.96</v>
      </c>
      <c r="U2156" t="str">
        <f>"44000.00"</f>
        <v>44000.00</v>
      </c>
      <c r="V2156" t="str">
        <f>"44000.00"</f>
        <v>44000.00</v>
      </c>
      <c r="W2156" t="str">
        <f t="shared" si="801"/>
        <v>2017</v>
      </c>
      <c r="X2156" t="str">
        <f>""</f>
        <v/>
      </c>
      <c r="Y2156" t="str">
        <f>"935.27"</f>
        <v>935.27</v>
      </c>
      <c r="Z2156" t="str">
        <f>""</f>
        <v/>
      </c>
      <c r="AA2156" t="str">
        <f>"44000.00"</f>
        <v>44000.00</v>
      </c>
      <c r="AB2156" t="str">
        <f>"Institutional"</f>
        <v>Institutional</v>
      </c>
      <c r="AC2156" t="str">
        <f t="shared" si="809"/>
        <v>0</v>
      </c>
      <c r="AD2156" t="str">
        <f>""</f>
        <v/>
      </c>
      <c r="AE2156" t="str">
        <f>""</f>
        <v/>
      </c>
      <c r="AF2156" t="str">
        <f>"076"</f>
        <v>076</v>
      </c>
      <c r="AG2156" t="str">
        <f>"FL"</f>
        <v>FL</v>
      </c>
      <c r="AH2156" t="str">
        <f>"5000.00"</f>
        <v>5000.00</v>
      </c>
      <c r="AI2156" t="str">
        <f>"44000.00"</f>
        <v>44000.00</v>
      </c>
      <c r="AJ2156" t="str">
        <f>"C55-000-585-8848-4"</f>
        <v>C55-000-585-8848-4</v>
      </c>
      <c r="AK2156" t="str">
        <f>"48383"</f>
        <v>48383</v>
      </c>
      <c r="AL2156">
        <v>8</v>
      </c>
      <c r="AM2156">
        <v>2463</v>
      </c>
      <c r="AN2156">
        <v>980.43</v>
      </c>
      <c r="AQ2156" t="s">
        <v>20758</v>
      </c>
      <c r="AR2156" t="s">
        <v>20758</v>
      </c>
      <c r="AS2156" t="s">
        <v>20758</v>
      </c>
      <c r="AU2156" t="s">
        <v>396</v>
      </c>
      <c r="AV2156">
        <v>2017</v>
      </c>
      <c r="AW2156" t="str">
        <f>"00-00-31-1800-0026-0150 "</f>
        <v xml:space="preserve">00-00-31-1800-0026-0150 </v>
      </c>
      <c r="AX2156">
        <v>410</v>
      </c>
      <c r="AZ2156" t="s">
        <v>19911</v>
      </c>
      <c r="BA2156" t="s">
        <v>1942</v>
      </c>
      <c r="BD2156" t="s">
        <v>11749</v>
      </c>
      <c r="BE2156" t="s">
        <v>393</v>
      </c>
      <c r="BF2156">
        <v>32034</v>
      </c>
      <c r="BG2156" t="s">
        <v>20752</v>
      </c>
      <c r="BH2156" t="s">
        <v>11751</v>
      </c>
      <c r="BI2156">
        <v>-81.462023459556306</v>
      </c>
      <c r="BJ2156">
        <v>30.668282434528798</v>
      </c>
      <c r="BK2156" t="s">
        <v>10856</v>
      </c>
      <c r="BM2156" t="s">
        <v>20754</v>
      </c>
      <c r="BN2156" t="s">
        <v>548</v>
      </c>
      <c r="BO2156">
        <v>32209</v>
      </c>
      <c r="BP2156" t="s">
        <v>404</v>
      </c>
      <c r="BQ2156">
        <v>7600</v>
      </c>
      <c r="BR2156" t="s">
        <v>9087</v>
      </c>
      <c r="BS2156">
        <v>9109</v>
      </c>
      <c r="BT2156" t="s">
        <v>9088</v>
      </c>
      <c r="BU2156">
        <v>500</v>
      </c>
      <c r="BV2156">
        <v>1000</v>
      </c>
      <c r="BW2156">
        <v>5000</v>
      </c>
      <c r="BX2156" t="s">
        <v>407</v>
      </c>
      <c r="BY2156" t="s">
        <v>18253</v>
      </c>
      <c r="CD2156">
        <v>2017</v>
      </c>
      <c r="CE2156">
        <v>44000</v>
      </c>
      <c r="CG2156">
        <v>44000</v>
      </c>
      <c r="CH2156">
        <v>2017</v>
      </c>
      <c r="CI2156">
        <v>44000</v>
      </c>
      <c r="CK2156">
        <v>44000</v>
      </c>
      <c r="CL2156">
        <v>2017</v>
      </c>
      <c r="CM2156">
        <v>876.96</v>
      </c>
      <c r="CN2156" s="1">
        <v>36012</v>
      </c>
      <c r="CZ2156" s="1">
        <v>36012</v>
      </c>
      <c r="DD2156" t="s">
        <v>11749</v>
      </c>
      <c r="DF2156">
        <v>15</v>
      </c>
      <c r="DG2156">
        <v>23</v>
      </c>
      <c r="DL2156">
        <v>50101</v>
      </c>
      <c r="DM2156" t="s">
        <v>20742</v>
      </c>
      <c r="DO2156" t="s">
        <v>20759</v>
      </c>
      <c r="DP2156">
        <v>0</v>
      </c>
      <c r="DQ2156">
        <v>0</v>
      </c>
      <c r="DR2156" t="s">
        <v>411</v>
      </c>
      <c r="EP2156" t="s">
        <v>421</v>
      </c>
      <c r="EQ2156" t="s">
        <v>422</v>
      </c>
      <c r="ER2156">
        <v>2</v>
      </c>
      <c r="ES2156">
        <v>0</v>
      </c>
      <c r="ET2156">
        <v>1805.76</v>
      </c>
      <c r="EU2156">
        <v>102.79</v>
      </c>
      <c r="EV2156">
        <v>1908.55</v>
      </c>
      <c r="EW2156" s="2">
        <v>43222</v>
      </c>
      <c r="EX2156" s="1">
        <v>42879</v>
      </c>
      <c r="EY2156">
        <v>2016</v>
      </c>
      <c r="EZ2156">
        <v>902.88</v>
      </c>
      <c r="FA2156" t="s">
        <v>20760</v>
      </c>
      <c r="FB2156">
        <v>0.25</v>
      </c>
      <c r="FC2156" t="s">
        <v>424</v>
      </c>
      <c r="FD2156" t="s">
        <v>454</v>
      </c>
      <c r="FF2156">
        <v>12</v>
      </c>
      <c r="FG2156">
        <v>7400234</v>
      </c>
      <c r="FH2156" t="s">
        <v>426</v>
      </c>
      <c r="FJ2156" s="1">
        <v>42879</v>
      </c>
      <c r="FK2156">
        <v>2016</v>
      </c>
      <c r="FL2156">
        <v>902.88</v>
      </c>
      <c r="FM2156" t="s">
        <v>20760</v>
      </c>
      <c r="FN2156">
        <v>0.25</v>
      </c>
      <c r="FO2156" t="s">
        <v>424</v>
      </c>
      <c r="FP2156" t="s">
        <v>454</v>
      </c>
      <c r="FR2156">
        <v>12</v>
      </c>
      <c r="FS2156">
        <v>7513636</v>
      </c>
      <c r="FT2156" t="s">
        <v>20761</v>
      </c>
    </row>
    <row r="2157" spans="1:248" x14ac:dyDescent="0.25">
      <c r="A2157">
        <v>16487164</v>
      </c>
      <c r="B2157">
        <v>2156</v>
      </c>
      <c r="C2157" t="s">
        <v>393</v>
      </c>
      <c r="D2157" t="s">
        <v>394</v>
      </c>
      <c r="F2157" t="str">
        <f>"00-00-31-1800-0027-0041"</f>
        <v>00-00-31-1800-0027-0041</v>
      </c>
      <c r="H2157" t="str">
        <f>"CHAMPION WALTER EST"</f>
        <v>CHAMPION WALTER EST</v>
      </c>
      <c r="I2157" t="str">
        <f>"221 S 5TH ST"</f>
        <v>221 S 5TH ST</v>
      </c>
      <c r="J2157" t="str">
        <f>"FERNANDINA BEACH FL 32034"</f>
        <v>FERNANDINA BEACH FL 32034</v>
      </c>
      <c r="K2157" t="str">
        <f>"S 5TH ST"</f>
        <v>S 5TH ST</v>
      </c>
      <c r="L2157" t="str">
        <f t="shared" si="807"/>
        <v>FERNANDINA BEACH FL 32034</v>
      </c>
      <c r="M2157" t="str">
        <f>"S 5 OF E 40 OF LOT 4 PT OR 108/750 CITY OF FDNA BEACH"</f>
        <v>S 5 OF E 40 OF LOT 4 PT OR 108/750 CITY OF FDNA BEACH</v>
      </c>
      <c r="N2157" t="str">
        <f>""</f>
        <v/>
      </c>
      <c r="O2157" t="str">
        <f>"11404"</f>
        <v>11404</v>
      </c>
      <c r="P2157" t="str">
        <f t="shared" si="800"/>
        <v>2017</v>
      </c>
      <c r="Q2157" t="str">
        <f>""</f>
        <v/>
      </c>
      <c r="R2157" t="str">
        <f t="shared" si="811"/>
        <v>N</v>
      </c>
      <c r="S2157" t="str">
        <f>""</f>
        <v/>
      </c>
      <c r="T2157" t="str">
        <f>"15.35"</f>
        <v>15.35</v>
      </c>
      <c r="U2157" t="str">
        <f>"770.00"</f>
        <v>770.00</v>
      </c>
      <c r="V2157" t="str">
        <f>"770.00"</f>
        <v>770.00</v>
      </c>
      <c r="W2157" t="str">
        <f t="shared" si="801"/>
        <v>2017</v>
      </c>
      <c r="X2157" t="str">
        <f>""</f>
        <v/>
      </c>
      <c r="Y2157" t="str">
        <f>"47.81"</f>
        <v>47.81</v>
      </c>
      <c r="Z2157" t="str">
        <f>""</f>
        <v/>
      </c>
      <c r="AA2157" t="str">
        <f>"770.00"</f>
        <v>770.00</v>
      </c>
      <c r="AB2157" t="str">
        <f>"Residential"</f>
        <v>Residential</v>
      </c>
      <c r="AC2157" t="str">
        <f t="shared" si="809"/>
        <v>0</v>
      </c>
      <c r="AD2157" t="str">
        <f>""</f>
        <v/>
      </c>
      <c r="AE2157" t="str">
        <f>""</f>
        <v/>
      </c>
      <c r="AF2157" t="str">
        <f>"000"</f>
        <v>000</v>
      </c>
      <c r="AG2157" t="str">
        <f>"FL"</f>
        <v>FL</v>
      </c>
      <c r="AH2157" t="str">
        <f>"-"</f>
        <v>-</v>
      </c>
      <c r="AI2157" t="str">
        <f>"770.00"</f>
        <v>770.00</v>
      </c>
      <c r="AJ2157" t="str">
        <f>"C55-000-585-8855-9"</f>
        <v>C55-000-585-8855-9</v>
      </c>
      <c r="AK2157" t="str">
        <f>"48390"</f>
        <v>48390</v>
      </c>
      <c r="AL2157">
        <v>8</v>
      </c>
      <c r="AM2157">
        <v>2464</v>
      </c>
      <c r="AN2157">
        <v>48.6</v>
      </c>
      <c r="AQ2157" t="s">
        <v>20762</v>
      </c>
      <c r="AR2157" t="s">
        <v>20762</v>
      </c>
      <c r="AS2157" t="s">
        <v>20762</v>
      </c>
      <c r="AU2157" t="s">
        <v>396</v>
      </c>
      <c r="AV2157">
        <v>2017</v>
      </c>
      <c r="AW2157" t="str">
        <f>"00-00-31-1800-0027-0041 "</f>
        <v xml:space="preserve">00-00-31-1800-0027-0041 </v>
      </c>
      <c r="AY2157" t="s">
        <v>18674</v>
      </c>
      <c r="AZ2157" t="s">
        <v>20702</v>
      </c>
      <c r="BA2157" t="s">
        <v>1942</v>
      </c>
      <c r="BD2157" t="s">
        <v>11749</v>
      </c>
      <c r="BE2157" t="s">
        <v>393</v>
      </c>
      <c r="BF2157">
        <v>32034</v>
      </c>
      <c r="BG2157" t="s">
        <v>20763</v>
      </c>
      <c r="BH2157" t="s">
        <v>11751</v>
      </c>
      <c r="BI2157">
        <v>-81.461426580374095</v>
      </c>
      <c r="BJ2157">
        <v>30.667670847271001</v>
      </c>
      <c r="BK2157" t="s">
        <v>20764</v>
      </c>
      <c r="BM2157" t="s">
        <v>20765</v>
      </c>
      <c r="BN2157" t="s">
        <v>3983</v>
      </c>
      <c r="BO2157">
        <v>32034</v>
      </c>
      <c r="BP2157" t="s">
        <v>404</v>
      </c>
      <c r="BQ2157">
        <v>0</v>
      </c>
      <c r="BR2157" t="s">
        <v>491</v>
      </c>
      <c r="BS2157">
        <v>8001</v>
      </c>
      <c r="BT2157" t="s">
        <v>492</v>
      </c>
      <c r="BW2157">
        <v>200</v>
      </c>
      <c r="BX2157" t="s">
        <v>407</v>
      </c>
      <c r="BY2157" t="s">
        <v>18253</v>
      </c>
      <c r="CD2157">
        <v>2017</v>
      </c>
      <c r="CE2157">
        <v>770</v>
      </c>
      <c r="CG2157">
        <v>770</v>
      </c>
      <c r="CH2157">
        <v>2017</v>
      </c>
      <c r="CI2157">
        <v>770</v>
      </c>
      <c r="CK2157">
        <v>770</v>
      </c>
      <c r="CL2157">
        <v>2017</v>
      </c>
      <c r="CM2157">
        <v>15.35</v>
      </c>
      <c r="DD2157" t="s">
        <v>11749</v>
      </c>
      <c r="DF2157">
        <v>4</v>
      </c>
      <c r="DG2157">
        <v>23</v>
      </c>
      <c r="DJ2157" t="s">
        <v>20634</v>
      </c>
      <c r="DL2157">
        <v>50101</v>
      </c>
      <c r="DM2157" t="s">
        <v>20742</v>
      </c>
      <c r="DO2157" t="s">
        <v>20766</v>
      </c>
      <c r="DP2157">
        <v>0</v>
      </c>
      <c r="DQ2157">
        <v>0</v>
      </c>
      <c r="DR2157" t="s">
        <v>411</v>
      </c>
    </row>
    <row r="2158" spans="1:248" x14ac:dyDescent="0.25">
      <c r="A2158">
        <v>16487165</v>
      </c>
      <c r="B2158">
        <v>2157</v>
      </c>
      <c r="C2158" t="s">
        <v>393</v>
      </c>
      <c r="D2158" t="s">
        <v>394</v>
      </c>
      <c r="F2158" t="str">
        <f>"00-00-31-1800-0030-0014"</f>
        <v>00-00-31-1800-0030-0014</v>
      </c>
      <c r="H2158" t="str">
        <f>"NORTHWOODS LLC"</f>
        <v>NORTHWOODS LLC</v>
      </c>
      <c r="I2158" t="str">
        <f>"3190 NORTHEAST EXPRESSWAY 120"</f>
        <v>3190 NORTHEAST EXPRESSWAY 120</v>
      </c>
      <c r="J2158" t="str">
        <f>"ATLANTA GA 30341"</f>
        <v>ATLANTA GA 30341</v>
      </c>
      <c r="K2158" t="str">
        <f>"CENTRE ST"</f>
        <v>CENTRE ST</v>
      </c>
      <c r="L2158" t="str">
        <f t="shared" si="807"/>
        <v>FERNANDINA BEACH FL 32034</v>
      </c>
      <c r="M2158" t="str">
        <f>"BLK 30 E 3.40FT OF W 35FT OF LOT 1 &amp; E 3.4FT OF W 35FT OF S 30FT OF LOT 2 CITY OF FDNA BEACH OF SEC 22-3N-28E S/D UNR"</f>
        <v>BLK 30 E 3.40FT OF W 35FT OF LOT 1 &amp; E 3.4FT OF W 35FT OF S 30FT OF LOT 2 CITY OF FDNA BEACH OF SEC 22-3N-28E S/D UNR</v>
      </c>
      <c r="N2158" t="str">
        <f>""</f>
        <v/>
      </c>
      <c r="O2158" t="str">
        <f>"11444"</f>
        <v>11444</v>
      </c>
      <c r="P2158" t="str">
        <f t="shared" si="800"/>
        <v>2017</v>
      </c>
      <c r="Q2158" t="str">
        <f>""</f>
        <v/>
      </c>
      <c r="R2158" t="str">
        <f t="shared" si="811"/>
        <v>N</v>
      </c>
      <c r="S2158" t="str">
        <f>""</f>
        <v/>
      </c>
      <c r="T2158" t="str">
        <f>"313.48"</f>
        <v>313.48</v>
      </c>
      <c r="U2158" t="str">
        <f>"15728.00"</f>
        <v>15728.00</v>
      </c>
      <c r="V2158" t="str">
        <f>"15728.00"</f>
        <v>15728.00</v>
      </c>
      <c r="W2158" t="str">
        <f t="shared" si="801"/>
        <v>2017</v>
      </c>
      <c r="X2158" t="str">
        <f>"21.29"</f>
        <v>21.29</v>
      </c>
      <c r="Y2158" t="str">
        <f>"354.88"</f>
        <v>354.88</v>
      </c>
      <c r="Z2158" t="str">
        <f>""</f>
        <v/>
      </c>
      <c r="AA2158" t="str">
        <f>"15728.00"</f>
        <v>15728.00</v>
      </c>
      <c r="AB2158" t="str">
        <f>"Commercial"</f>
        <v>Commercial</v>
      </c>
      <c r="AC2158" t="str">
        <f t="shared" si="809"/>
        <v>0</v>
      </c>
      <c r="AD2158" t="str">
        <f>""</f>
        <v/>
      </c>
      <c r="AE2158" t="str">
        <f>""</f>
        <v/>
      </c>
      <c r="AF2158" t="str">
        <f>"010"</f>
        <v>010</v>
      </c>
      <c r="AG2158" t="str">
        <f>"GA"</f>
        <v>GA</v>
      </c>
      <c r="AH2158" t="str">
        <f>"442.00"</f>
        <v>442.00</v>
      </c>
      <c r="AI2158" t="str">
        <f>"15470.00"</f>
        <v>15470.00</v>
      </c>
      <c r="AJ2158" t="str">
        <f>"C55-000-585-8895-5"</f>
        <v>C55-000-585-8895-5</v>
      </c>
      <c r="AK2158" t="str">
        <f>"48428"</f>
        <v>48428</v>
      </c>
      <c r="AL2158">
        <v>8</v>
      </c>
      <c r="AM2158">
        <v>2465</v>
      </c>
      <c r="AN2158">
        <v>371.02</v>
      </c>
      <c r="AQ2158" t="s">
        <v>20767</v>
      </c>
      <c r="AR2158" t="s">
        <v>20767</v>
      </c>
      <c r="AS2158" t="s">
        <v>20767</v>
      </c>
      <c r="AU2158" t="s">
        <v>396</v>
      </c>
      <c r="AV2158">
        <v>2017</v>
      </c>
      <c r="AW2158" t="str">
        <f>"00-00-31-1800-0030-0014 "</f>
        <v xml:space="preserve">00-00-31-1800-0030-0014 </v>
      </c>
      <c r="AZ2158" t="s">
        <v>20629</v>
      </c>
      <c r="BA2158" t="s">
        <v>1942</v>
      </c>
      <c r="BD2158" t="s">
        <v>11749</v>
      </c>
      <c r="BE2158" t="s">
        <v>393</v>
      </c>
      <c r="BF2158">
        <v>32034</v>
      </c>
      <c r="BG2158" t="s">
        <v>20768</v>
      </c>
      <c r="BH2158" t="s">
        <v>11751</v>
      </c>
      <c r="BI2158">
        <v>-81.461027976325099</v>
      </c>
      <c r="BJ2158">
        <v>30.6712813845289</v>
      </c>
      <c r="BK2158" t="s">
        <v>20769</v>
      </c>
      <c r="BM2158" t="s">
        <v>20770</v>
      </c>
      <c r="BN2158" t="s">
        <v>15589</v>
      </c>
      <c r="BO2158">
        <v>30341</v>
      </c>
      <c r="BP2158" t="s">
        <v>404</v>
      </c>
      <c r="BQ2158">
        <v>1001</v>
      </c>
      <c r="BR2158" t="s">
        <v>2391</v>
      </c>
      <c r="BS2158">
        <v>8002</v>
      </c>
      <c r="BT2158" t="s">
        <v>2392</v>
      </c>
      <c r="BW2158">
        <v>442</v>
      </c>
      <c r="BX2158" t="s">
        <v>407</v>
      </c>
      <c r="BY2158" t="s">
        <v>20633</v>
      </c>
      <c r="CD2158">
        <v>2017</v>
      </c>
      <c r="CE2158">
        <v>15470</v>
      </c>
      <c r="CF2158">
        <v>258</v>
      </c>
      <c r="CG2158">
        <v>15728</v>
      </c>
      <c r="CH2158">
        <v>2017</v>
      </c>
      <c r="CI2158">
        <v>15470</v>
      </c>
      <c r="CJ2158">
        <v>258</v>
      </c>
      <c r="CK2158">
        <v>15728</v>
      </c>
      <c r="CL2158">
        <v>2017</v>
      </c>
      <c r="CM2158">
        <v>313.48</v>
      </c>
      <c r="CN2158" s="1">
        <v>39302</v>
      </c>
      <c r="CO2158">
        <v>1350000</v>
      </c>
      <c r="CZ2158" s="1">
        <v>39302</v>
      </c>
      <c r="DD2158" t="s">
        <v>11749</v>
      </c>
      <c r="DF2158">
        <v>1</v>
      </c>
      <c r="DG2158">
        <v>22</v>
      </c>
      <c r="DL2158">
        <v>50102</v>
      </c>
      <c r="DM2158" t="s">
        <v>20208</v>
      </c>
      <c r="DO2158" t="s">
        <v>20771</v>
      </c>
      <c r="DP2158">
        <v>0</v>
      </c>
      <c r="DQ2158">
        <v>1</v>
      </c>
      <c r="DR2158" t="s">
        <v>1479</v>
      </c>
      <c r="DS2158" t="b">
        <v>1</v>
      </c>
      <c r="DT2158" t="s">
        <v>470</v>
      </c>
      <c r="DU2158" t="s">
        <v>471</v>
      </c>
      <c r="DV2158" t="s">
        <v>472</v>
      </c>
      <c r="DX2158">
        <v>-9999</v>
      </c>
      <c r="DZ2158" t="s">
        <v>447</v>
      </c>
      <c r="EA2158" t="s">
        <v>448</v>
      </c>
      <c r="EB2158" t="s">
        <v>14787</v>
      </c>
      <c r="EC2158">
        <v>20101217</v>
      </c>
      <c r="ED2158" t="s">
        <v>474</v>
      </c>
      <c r="EF2158">
        <v>402.7</v>
      </c>
      <c r="EG2158">
        <v>263.3</v>
      </c>
      <c r="EI2158">
        <v>20160407</v>
      </c>
      <c r="EJ2158">
        <v>0</v>
      </c>
      <c r="EK2158">
        <v>0</v>
      </c>
      <c r="EP2158" t="s">
        <v>421</v>
      </c>
      <c r="EQ2158" t="s">
        <v>452</v>
      </c>
      <c r="ER2158">
        <v>0</v>
      </c>
      <c r="ES2158">
        <v>5</v>
      </c>
      <c r="ET2158">
        <v>0</v>
      </c>
      <c r="EU2158">
        <v>0</v>
      </c>
      <c r="EV2158">
        <v>0</v>
      </c>
      <c r="EW2158" s="2">
        <v>43222</v>
      </c>
      <c r="EX2158" s="1">
        <v>42515</v>
      </c>
      <c r="EY2158">
        <v>2015</v>
      </c>
      <c r="EZ2158">
        <v>330.91</v>
      </c>
      <c r="FA2158" t="s">
        <v>20772</v>
      </c>
      <c r="FB2158">
        <v>14.75</v>
      </c>
      <c r="FC2158" t="s">
        <v>424</v>
      </c>
      <c r="FD2158" t="s">
        <v>425</v>
      </c>
      <c r="FE2158" s="1">
        <v>42584</v>
      </c>
      <c r="FF2158">
        <v>3</v>
      </c>
      <c r="FG2158">
        <v>5100525</v>
      </c>
      <c r="FH2158" t="s">
        <v>6804</v>
      </c>
      <c r="FI2158" t="s">
        <v>458</v>
      </c>
      <c r="FJ2158" s="1">
        <v>42151</v>
      </c>
      <c r="FK2158">
        <v>2014</v>
      </c>
      <c r="FL2158">
        <v>333.35</v>
      </c>
      <c r="FM2158" t="s">
        <v>20773</v>
      </c>
      <c r="FN2158">
        <v>15.5</v>
      </c>
      <c r="FO2158" t="s">
        <v>424</v>
      </c>
      <c r="FP2158" t="s">
        <v>425</v>
      </c>
      <c r="FQ2158" s="1">
        <v>42584</v>
      </c>
      <c r="FR2158">
        <v>15</v>
      </c>
      <c r="FS2158">
        <v>7045026</v>
      </c>
      <c r="FT2158" t="s">
        <v>18882</v>
      </c>
      <c r="FU2158" t="s">
        <v>458</v>
      </c>
      <c r="FV2158" s="1">
        <v>41787</v>
      </c>
      <c r="FW2158">
        <v>2013</v>
      </c>
      <c r="FX2158">
        <v>322.89999999999998</v>
      </c>
      <c r="FY2158" t="s">
        <v>20774</v>
      </c>
      <c r="FZ2158">
        <v>3</v>
      </c>
      <c r="GA2158" t="s">
        <v>424</v>
      </c>
      <c r="GB2158" t="s">
        <v>425</v>
      </c>
      <c r="GD2158">
        <v>22</v>
      </c>
      <c r="GE2158">
        <v>10125</v>
      </c>
      <c r="GF2158" t="s">
        <v>440</v>
      </c>
      <c r="GG2158" t="s">
        <v>458</v>
      </c>
      <c r="GH2158" s="1">
        <v>41052</v>
      </c>
      <c r="GI2158">
        <v>2011</v>
      </c>
      <c r="GJ2158">
        <v>305.82</v>
      </c>
      <c r="GK2158" t="s">
        <v>20775</v>
      </c>
      <c r="GL2158">
        <v>16.5</v>
      </c>
      <c r="GM2158" t="s">
        <v>424</v>
      </c>
      <c r="GN2158" t="s">
        <v>425</v>
      </c>
      <c r="GO2158" s="1">
        <v>41305</v>
      </c>
      <c r="GP2158">
        <v>8</v>
      </c>
      <c r="GQ2158">
        <v>10125</v>
      </c>
      <c r="GR2158" t="s">
        <v>440</v>
      </c>
      <c r="GT2158" s="1">
        <v>40688</v>
      </c>
      <c r="GU2158">
        <v>2010</v>
      </c>
      <c r="GV2158">
        <v>299</v>
      </c>
      <c r="GW2158" t="s">
        <v>20776</v>
      </c>
      <c r="GX2158">
        <v>9.75</v>
      </c>
      <c r="GY2158" t="s">
        <v>424</v>
      </c>
      <c r="GZ2158" t="s">
        <v>425</v>
      </c>
      <c r="HA2158" s="1">
        <v>41305</v>
      </c>
      <c r="HB2158">
        <v>20</v>
      </c>
      <c r="HC2158">
        <v>11135</v>
      </c>
      <c r="HD2158" t="s">
        <v>1137</v>
      </c>
    </row>
    <row r="2159" spans="1:248" x14ac:dyDescent="0.25">
      <c r="A2159">
        <v>16487166</v>
      </c>
      <c r="B2159">
        <v>2158</v>
      </c>
      <c r="C2159" t="s">
        <v>393</v>
      </c>
      <c r="D2159" t="s">
        <v>394</v>
      </c>
      <c r="F2159" t="str">
        <f>"00-00-31-1800-0033-0130"</f>
        <v>00-00-31-1800-0033-0130</v>
      </c>
      <c r="H2159" t="str">
        <f>"HARRIS CHARLES E JR"</f>
        <v>HARRIS CHARLES E JR</v>
      </c>
      <c r="I2159" t="str">
        <f>"1280 NW 58TH TERRACE"</f>
        <v>1280 NW 58TH TERRACE</v>
      </c>
      <c r="J2159" t="str">
        <f>"SUNRISE FL 33313"</f>
        <v>SUNRISE FL 33313</v>
      </c>
      <c r="K2159" t="str">
        <f>"N 6TH ST"</f>
        <v>N 6TH ST</v>
      </c>
      <c r="L2159" t="str">
        <f t="shared" si="807"/>
        <v>FERNANDINA BEACH FL 32034</v>
      </c>
      <c r="M2159" t="str">
        <f>"BLOCK 33 LOT 13 IN OR 2094/1270 CITY OF FDNA BEACH"</f>
        <v>BLOCK 33 LOT 13 IN OR 2094/1270 CITY OF FDNA BEACH</v>
      </c>
      <c r="N2159" t="str">
        <f>""</f>
        <v/>
      </c>
      <c r="O2159" t="str">
        <f>"11478"</f>
        <v>11478</v>
      </c>
      <c r="P2159" t="str">
        <f t="shared" si="800"/>
        <v>2017</v>
      </c>
      <c r="Q2159" t="str">
        <f>""</f>
        <v/>
      </c>
      <c r="R2159" t="str">
        <f t="shared" si="811"/>
        <v>N</v>
      </c>
      <c r="S2159" t="str">
        <f>""</f>
        <v/>
      </c>
      <c r="T2159" t="str">
        <f>"1096.19"</f>
        <v>1096.19</v>
      </c>
      <c r="U2159" t="str">
        <f>"55000.00"</f>
        <v>55000.00</v>
      </c>
      <c r="V2159" t="str">
        <f>"55000.00"</f>
        <v>55000.00</v>
      </c>
      <c r="W2159" t="str">
        <f t="shared" si="801"/>
        <v>2017</v>
      </c>
      <c r="X2159" t="str">
        <f>"23.30"</f>
        <v>23.30</v>
      </c>
      <c r="Y2159" t="str">
        <f>"1161.08"</f>
        <v>1161.08</v>
      </c>
      <c r="Z2159" t="str">
        <f>""</f>
        <v/>
      </c>
      <c r="AA2159" t="str">
        <f>"55000.00"</f>
        <v>55000.00</v>
      </c>
      <c r="AB2159" t="str">
        <f t="shared" ref="AB2159:AB2165" si="812">"Residential"</f>
        <v>Residential</v>
      </c>
      <c r="AC2159" t="str">
        <f t="shared" si="809"/>
        <v>0</v>
      </c>
      <c r="AD2159" t="str">
        <f>""</f>
        <v/>
      </c>
      <c r="AE2159" t="str">
        <f>""</f>
        <v/>
      </c>
      <c r="AF2159" t="str">
        <f>"000"</f>
        <v>000</v>
      </c>
      <c r="AG2159" t="str">
        <f t="shared" ref="AG2159:AG2171" si="813">"FL"</f>
        <v>FL</v>
      </c>
      <c r="AH2159" t="str">
        <f>"5000.00"</f>
        <v>5000.00</v>
      </c>
      <c r="AI2159" t="str">
        <f>"55000.00"</f>
        <v>55000.00</v>
      </c>
      <c r="AJ2159" t="str">
        <f>"C55-000-585-8926-8"</f>
        <v>C55-000-585-8926-8</v>
      </c>
      <c r="AK2159" t="str">
        <f>"48462"</f>
        <v>48462</v>
      </c>
      <c r="AL2159">
        <v>8</v>
      </c>
      <c r="AM2159">
        <v>2466</v>
      </c>
      <c r="AN2159">
        <v>1217.53</v>
      </c>
      <c r="AQ2159" t="s">
        <v>20777</v>
      </c>
      <c r="AR2159" t="s">
        <v>20777</v>
      </c>
      <c r="AS2159" t="s">
        <v>20777</v>
      </c>
      <c r="AU2159" t="s">
        <v>396</v>
      </c>
      <c r="AV2159">
        <v>2017</v>
      </c>
      <c r="AW2159" t="str">
        <f>"00-00-31-1800-0033-0130 "</f>
        <v xml:space="preserve">00-00-31-1800-0033-0130 </v>
      </c>
      <c r="AY2159" t="s">
        <v>404</v>
      </c>
      <c r="AZ2159" t="s">
        <v>20778</v>
      </c>
      <c r="BA2159" t="s">
        <v>1942</v>
      </c>
      <c r="BD2159" t="s">
        <v>11749</v>
      </c>
      <c r="BE2159" t="s">
        <v>393</v>
      </c>
      <c r="BF2159">
        <v>32034</v>
      </c>
      <c r="BG2159" t="s">
        <v>20779</v>
      </c>
      <c r="BH2159" t="s">
        <v>11751</v>
      </c>
      <c r="BI2159">
        <v>-81.460067052862797</v>
      </c>
      <c r="BJ2159">
        <v>30.675163807639802</v>
      </c>
      <c r="BK2159" t="s">
        <v>20780</v>
      </c>
      <c r="BM2159" t="s">
        <v>18890</v>
      </c>
      <c r="BN2159" t="s">
        <v>18891</v>
      </c>
      <c r="BO2159">
        <v>33313</v>
      </c>
      <c r="BP2159" t="s">
        <v>404</v>
      </c>
      <c r="BQ2159">
        <v>0</v>
      </c>
      <c r="BR2159" t="s">
        <v>491</v>
      </c>
      <c r="BS2159">
        <v>8001</v>
      </c>
      <c r="BT2159" t="s">
        <v>492</v>
      </c>
      <c r="BU2159">
        <v>500</v>
      </c>
      <c r="BV2159">
        <v>1000</v>
      </c>
      <c r="BW2159">
        <v>5094</v>
      </c>
      <c r="BX2159" t="s">
        <v>407</v>
      </c>
      <c r="BY2159" t="s">
        <v>18253</v>
      </c>
      <c r="CD2159">
        <v>2017</v>
      </c>
      <c r="CE2159">
        <v>55000</v>
      </c>
      <c r="CG2159">
        <v>55000</v>
      </c>
      <c r="CH2159">
        <v>2017</v>
      </c>
      <c r="CI2159">
        <v>55000</v>
      </c>
      <c r="CK2159">
        <v>55000</v>
      </c>
      <c r="CL2159">
        <v>2017</v>
      </c>
      <c r="CM2159">
        <v>1096.19</v>
      </c>
      <c r="CN2159" s="1">
        <v>35184</v>
      </c>
      <c r="CZ2159" s="1">
        <v>35184</v>
      </c>
      <c r="DD2159" t="s">
        <v>11749</v>
      </c>
      <c r="DF2159">
        <v>13</v>
      </c>
      <c r="DG2159">
        <v>21</v>
      </c>
      <c r="DL2159">
        <v>50102</v>
      </c>
      <c r="DM2159" t="s">
        <v>20609</v>
      </c>
      <c r="DO2159" t="s">
        <v>20781</v>
      </c>
      <c r="DP2159">
        <v>0</v>
      </c>
      <c r="DQ2159">
        <v>1</v>
      </c>
      <c r="DR2159" t="s">
        <v>1479</v>
      </c>
      <c r="DS2159" t="b">
        <v>1</v>
      </c>
      <c r="DT2159" t="s">
        <v>470</v>
      </c>
      <c r="DU2159" t="s">
        <v>471</v>
      </c>
      <c r="DV2159" t="s">
        <v>472</v>
      </c>
      <c r="DX2159">
        <v>-9999</v>
      </c>
      <c r="DZ2159" t="s">
        <v>447</v>
      </c>
      <c r="EA2159" t="s">
        <v>448</v>
      </c>
      <c r="EB2159" t="s">
        <v>14787</v>
      </c>
      <c r="EC2159">
        <v>20101217</v>
      </c>
      <c r="ED2159" t="s">
        <v>474</v>
      </c>
      <c r="EF2159">
        <v>60.2</v>
      </c>
      <c r="EG2159">
        <v>38</v>
      </c>
      <c r="EI2159">
        <v>20160407</v>
      </c>
      <c r="EJ2159">
        <v>0</v>
      </c>
      <c r="EK2159">
        <v>0</v>
      </c>
      <c r="EP2159" t="s">
        <v>421</v>
      </c>
      <c r="EQ2159" t="s">
        <v>422</v>
      </c>
      <c r="ER2159">
        <v>1</v>
      </c>
      <c r="ES2159">
        <v>6</v>
      </c>
      <c r="ET2159">
        <v>848.14</v>
      </c>
      <c r="EU2159">
        <v>124.99</v>
      </c>
      <c r="EV2159">
        <v>973.13</v>
      </c>
      <c r="EW2159" s="2">
        <v>43222</v>
      </c>
      <c r="EX2159" s="1">
        <v>42879</v>
      </c>
      <c r="EY2159">
        <v>2016</v>
      </c>
      <c r="EZ2159">
        <v>848.14</v>
      </c>
      <c r="FA2159" t="s">
        <v>20782</v>
      </c>
      <c r="FB2159">
        <v>14</v>
      </c>
      <c r="FC2159" t="s">
        <v>424</v>
      </c>
      <c r="FD2159" t="s">
        <v>454</v>
      </c>
      <c r="FF2159">
        <v>12</v>
      </c>
      <c r="FG2159">
        <v>10125</v>
      </c>
      <c r="FH2159" t="s">
        <v>440</v>
      </c>
      <c r="FJ2159" s="1">
        <v>42515</v>
      </c>
      <c r="FK2159">
        <v>2015</v>
      </c>
      <c r="FL2159">
        <v>853.65</v>
      </c>
      <c r="FM2159" t="s">
        <v>20783</v>
      </c>
      <c r="FN2159">
        <v>14.75</v>
      </c>
      <c r="FO2159" t="s">
        <v>424</v>
      </c>
      <c r="FP2159" t="s">
        <v>425</v>
      </c>
      <c r="FQ2159" s="1">
        <v>43188</v>
      </c>
      <c r="FR2159">
        <v>22</v>
      </c>
      <c r="FS2159">
        <v>2035919</v>
      </c>
      <c r="FT2159" t="s">
        <v>507</v>
      </c>
      <c r="FV2159" s="1">
        <v>42151</v>
      </c>
      <c r="FW2159">
        <v>2014</v>
      </c>
      <c r="FX2159">
        <v>1010.86</v>
      </c>
      <c r="FY2159" t="s">
        <v>20784</v>
      </c>
      <c r="FZ2159">
        <v>15.5</v>
      </c>
      <c r="GA2159" t="s">
        <v>424</v>
      </c>
      <c r="GB2159" t="s">
        <v>425</v>
      </c>
      <c r="GC2159" s="1">
        <v>42822</v>
      </c>
      <c r="GD2159">
        <v>22</v>
      </c>
      <c r="GE2159">
        <v>10628</v>
      </c>
      <c r="GF2159" t="s">
        <v>943</v>
      </c>
      <c r="GH2159" s="1">
        <v>41787</v>
      </c>
      <c r="GI2159">
        <v>2013</v>
      </c>
      <c r="GJ2159">
        <v>904.81</v>
      </c>
      <c r="GK2159" t="s">
        <v>20785</v>
      </c>
      <c r="GL2159">
        <v>3</v>
      </c>
      <c r="GM2159" t="s">
        <v>424</v>
      </c>
      <c r="GN2159" t="s">
        <v>425</v>
      </c>
      <c r="GO2159" s="1">
        <v>42461</v>
      </c>
      <c r="GP2159">
        <v>23</v>
      </c>
      <c r="GQ2159">
        <v>10125</v>
      </c>
      <c r="GR2159" t="s">
        <v>440</v>
      </c>
      <c r="GT2159" s="1">
        <v>41423</v>
      </c>
      <c r="GU2159">
        <v>2012</v>
      </c>
      <c r="GV2159">
        <v>797.62</v>
      </c>
      <c r="GW2159" t="s">
        <v>20786</v>
      </c>
      <c r="GX2159">
        <v>0.75</v>
      </c>
      <c r="GY2159" t="s">
        <v>424</v>
      </c>
      <c r="GZ2159" t="s">
        <v>425</v>
      </c>
      <c r="HA2159" s="1">
        <v>42095</v>
      </c>
      <c r="HB2159">
        <v>23</v>
      </c>
      <c r="HC2159">
        <v>10125</v>
      </c>
      <c r="HD2159" t="s">
        <v>440</v>
      </c>
      <c r="HF2159" s="1">
        <v>41052</v>
      </c>
      <c r="HG2159">
        <v>2011</v>
      </c>
      <c r="HH2159">
        <v>765.87</v>
      </c>
      <c r="HI2159" t="s">
        <v>20787</v>
      </c>
      <c r="HJ2159">
        <v>16.5</v>
      </c>
      <c r="HK2159" t="s">
        <v>424</v>
      </c>
      <c r="HL2159" t="s">
        <v>425</v>
      </c>
      <c r="HM2159" s="1">
        <v>41730</v>
      </c>
      <c r="HN2159">
        <v>23</v>
      </c>
      <c r="HO2159">
        <v>10125</v>
      </c>
      <c r="HP2159" t="s">
        <v>440</v>
      </c>
      <c r="HR2159" s="1">
        <v>40688</v>
      </c>
      <c r="HS2159">
        <v>2010</v>
      </c>
      <c r="HT2159">
        <v>748.5</v>
      </c>
      <c r="HU2159" t="s">
        <v>20788</v>
      </c>
      <c r="HV2159">
        <v>7</v>
      </c>
      <c r="HW2159" t="s">
        <v>424</v>
      </c>
      <c r="HX2159" t="s">
        <v>425</v>
      </c>
      <c r="HY2159" s="1">
        <v>41360</v>
      </c>
      <c r="HZ2159">
        <v>22</v>
      </c>
      <c r="IA2159">
        <v>10579</v>
      </c>
      <c r="IB2159" t="s">
        <v>488</v>
      </c>
    </row>
    <row r="2160" spans="1:248" x14ac:dyDescent="0.25">
      <c r="A2160">
        <v>16487167</v>
      </c>
      <c r="B2160">
        <v>2159</v>
      </c>
      <c r="C2160" t="s">
        <v>393</v>
      </c>
      <c r="D2160" t="s">
        <v>394</v>
      </c>
      <c r="F2160" t="str">
        <f>"00-00-31-1800-0041-0030"</f>
        <v>00-00-31-1800-0041-0030</v>
      </c>
      <c r="H2160" t="str">
        <f>"LASSERRE CURTISS H TRUSTEE OF CURTISS H LASSERRE REVOCABLE LIVING TRUST"</f>
        <v>LASSERRE CURTISS H TRUSTEE OF CURTISS H LASSERRE REVOCABLE LIVING TRUST</v>
      </c>
      <c r="I2160" t="str">
        <f>""</f>
        <v/>
      </c>
      <c r="J2160" t="str">
        <f>"FERNANDINA BEACH FL 32035"</f>
        <v>FERNANDINA BEACH FL 32035</v>
      </c>
      <c r="K2160" t="str">
        <f>"S 7TH ST"</f>
        <v>S 7TH ST</v>
      </c>
      <c r="L2160" t="str">
        <f t="shared" si="807"/>
        <v>FERNANDINA BEACH FL 32034</v>
      </c>
      <c r="M2160" t="str">
        <f>"BLK 41 LOT 3 PT OR 2004/377 BEING PARCEL 18 CITY OF FDNA BEACH"</f>
        <v>BLK 41 LOT 3 PT OR 2004/377 BEING PARCEL 18 CITY OF FDNA BEACH</v>
      </c>
      <c r="N2160" t="str">
        <f>""</f>
        <v/>
      </c>
      <c r="O2160" t="str">
        <f>"11553"</f>
        <v>11553</v>
      </c>
      <c r="P2160" t="str">
        <f t="shared" si="800"/>
        <v>2017</v>
      </c>
      <c r="Q2160" t="str">
        <f>""</f>
        <v/>
      </c>
      <c r="R2160" t="str">
        <f t="shared" si="811"/>
        <v>N</v>
      </c>
      <c r="S2160" t="str">
        <f>""</f>
        <v/>
      </c>
      <c r="T2160" t="str">
        <f>"2832.22"</f>
        <v>2832.22</v>
      </c>
      <c r="U2160" t="str">
        <f>"131270.00"</f>
        <v>131270.00</v>
      </c>
      <c r="V2160" t="str">
        <f>"131270.00"</f>
        <v>131270.00</v>
      </c>
      <c r="W2160" t="str">
        <f t="shared" si="801"/>
        <v>2017</v>
      </c>
      <c r="X2160" t="str">
        <f>""</f>
        <v/>
      </c>
      <c r="Y2160" t="str">
        <f>"2949.19"</f>
        <v>2949.19</v>
      </c>
      <c r="Z2160" t="str">
        <f>""</f>
        <v/>
      </c>
      <c r="AA2160" t="str">
        <f>"163995.00"</f>
        <v>163995.00</v>
      </c>
      <c r="AB2160" t="str">
        <f t="shared" si="812"/>
        <v>Residential</v>
      </c>
      <c r="AC2160" t="str">
        <f t="shared" si="809"/>
        <v>0</v>
      </c>
      <c r="AD2160" t="str">
        <f>""</f>
        <v/>
      </c>
      <c r="AE2160" t="str">
        <f>""</f>
        <v/>
      </c>
      <c r="AF2160" t="str">
        <f>"000"</f>
        <v>000</v>
      </c>
      <c r="AG2160" t="str">
        <f t="shared" si="813"/>
        <v>FL</v>
      </c>
      <c r="AH2160" t="str">
        <f>"10000.00"</f>
        <v>10000.00</v>
      </c>
      <c r="AI2160" t="str">
        <f>"163625.00"</f>
        <v>163625.00</v>
      </c>
      <c r="AJ2160" t="str">
        <f>"C55-000-585-9003-5"</f>
        <v>C55-000-585-9003-5</v>
      </c>
      <c r="AK2160" t="str">
        <f>"48535"</f>
        <v>48535</v>
      </c>
      <c r="AL2160">
        <v>8</v>
      </c>
      <c r="AM2160">
        <v>2467</v>
      </c>
      <c r="AN2160">
        <v>3095.05</v>
      </c>
      <c r="AQ2160" t="s">
        <v>20789</v>
      </c>
      <c r="AR2160" t="s">
        <v>20789</v>
      </c>
      <c r="AS2160" t="s">
        <v>20789</v>
      </c>
      <c r="AU2160" t="s">
        <v>396</v>
      </c>
      <c r="AV2160">
        <v>2017</v>
      </c>
      <c r="AW2160" t="str">
        <f>"00-00-31-1800-0041-0030 "</f>
        <v xml:space="preserve">00-00-31-1800-0041-0030 </v>
      </c>
      <c r="AY2160" t="s">
        <v>18674</v>
      </c>
      <c r="AZ2160" t="s">
        <v>20790</v>
      </c>
      <c r="BA2160" t="s">
        <v>1942</v>
      </c>
      <c r="BD2160" t="s">
        <v>11749</v>
      </c>
      <c r="BE2160" t="s">
        <v>393</v>
      </c>
      <c r="BF2160">
        <v>32034</v>
      </c>
      <c r="BG2160" t="s">
        <v>20791</v>
      </c>
      <c r="BH2160" t="s">
        <v>11751</v>
      </c>
      <c r="BI2160">
        <v>-81.4596872103468</v>
      </c>
      <c r="BJ2160">
        <v>30.668756753432401</v>
      </c>
      <c r="BK2160" t="s">
        <v>12956</v>
      </c>
      <c r="BL2160" t="s">
        <v>12957</v>
      </c>
      <c r="BM2160" t="s">
        <v>12958</v>
      </c>
      <c r="BN2160" t="s">
        <v>3983</v>
      </c>
      <c r="BO2160">
        <v>32035</v>
      </c>
      <c r="BP2160" t="s">
        <v>404</v>
      </c>
      <c r="BQ2160">
        <v>1</v>
      </c>
      <c r="BR2160" t="s">
        <v>491</v>
      </c>
      <c r="BS2160">
        <v>8001</v>
      </c>
      <c r="BT2160" t="s">
        <v>492</v>
      </c>
      <c r="BU2160">
        <v>1000</v>
      </c>
      <c r="BV2160">
        <v>1000</v>
      </c>
      <c r="BW2160">
        <v>10111</v>
      </c>
      <c r="BX2160" t="s">
        <v>407</v>
      </c>
      <c r="BY2160" t="s">
        <v>18253</v>
      </c>
      <c r="CD2160">
        <v>2017</v>
      </c>
      <c r="CE2160">
        <v>163625</v>
      </c>
      <c r="CF2160">
        <v>370</v>
      </c>
      <c r="CG2160">
        <v>163995</v>
      </c>
      <c r="CH2160">
        <v>2017</v>
      </c>
      <c r="CI2160">
        <v>163625</v>
      </c>
      <c r="CJ2160">
        <v>370</v>
      </c>
      <c r="CK2160">
        <v>163995</v>
      </c>
      <c r="CL2160">
        <v>2017</v>
      </c>
      <c r="CM2160">
        <v>2832.22</v>
      </c>
      <c r="CN2160" s="1">
        <v>42248</v>
      </c>
      <c r="CZ2160" s="1">
        <v>42248</v>
      </c>
      <c r="DD2160" t="s">
        <v>11749</v>
      </c>
      <c r="DF2160">
        <v>3</v>
      </c>
      <c r="DG2160">
        <v>23</v>
      </c>
      <c r="DJ2160" t="s">
        <v>20634</v>
      </c>
      <c r="DL2160">
        <v>50101</v>
      </c>
      <c r="DM2160" t="s">
        <v>20742</v>
      </c>
      <c r="DO2160" t="s">
        <v>20792</v>
      </c>
      <c r="DP2160">
        <v>0</v>
      </c>
      <c r="DQ2160">
        <v>5</v>
      </c>
      <c r="DR2160" t="s">
        <v>1479</v>
      </c>
    </row>
    <row r="2161" spans="1:284" x14ac:dyDescent="0.25">
      <c r="A2161">
        <v>16487168</v>
      </c>
      <c r="B2161">
        <v>2160</v>
      </c>
      <c r="C2161" t="s">
        <v>393</v>
      </c>
      <c r="D2161" t="s">
        <v>394</v>
      </c>
      <c r="F2161" t="str">
        <f>"00-00-31-1800-0048-0031"</f>
        <v>00-00-31-1800-0048-0031</v>
      </c>
      <c r="H2161" t="str">
        <f>"MACEDONIA A M E CHURCH"</f>
        <v>MACEDONIA A M E CHURCH</v>
      </c>
      <c r="I2161" t="str">
        <f>"P O BOX 6216"</f>
        <v>P O BOX 6216</v>
      </c>
      <c r="J2161" t="str">
        <f>"FERNANDINA BEACH FL 32035"</f>
        <v>FERNANDINA BEACH FL 32035</v>
      </c>
      <c r="K2161" t="str">
        <f>"218 9TH ST S"</f>
        <v>218 9TH ST S</v>
      </c>
      <c r="L2161" t="str">
        <f t="shared" si="807"/>
        <v>FERNANDINA BEACH FL 32034</v>
      </c>
      <c r="M2161" t="str">
        <f>"BLOCK 48 N1/2 OF LOT 3 IN OR 1341/1107 CITY OF FDNA BEACH"</f>
        <v>BLOCK 48 N1/2 OF LOT 3 IN OR 1341/1107 CITY OF FDNA BEACH</v>
      </c>
      <c r="N2161" t="str">
        <f>""</f>
        <v/>
      </c>
      <c r="O2161" t="str">
        <f>"11602"</f>
        <v>11602</v>
      </c>
      <c r="P2161" t="str">
        <f t="shared" si="800"/>
        <v>2017</v>
      </c>
      <c r="Q2161" t="str">
        <f>""</f>
        <v/>
      </c>
      <c r="R2161" t="str">
        <f t="shared" si="811"/>
        <v>N</v>
      </c>
      <c r="S2161" t="str">
        <f>""</f>
        <v/>
      </c>
      <c r="T2161" t="str">
        <f>"1608.54"</f>
        <v>1608.54</v>
      </c>
      <c r="U2161" t="str">
        <f>"80273.00"</f>
        <v>80273.00</v>
      </c>
      <c r="V2161" t="str">
        <f>"80273.00"</f>
        <v>80273.00</v>
      </c>
      <c r="W2161" t="str">
        <f t="shared" si="801"/>
        <v>2017</v>
      </c>
      <c r="X2161" t="str">
        <f>"12.00"</f>
        <v>12.00</v>
      </c>
      <c r="Y2161" t="str">
        <f>"1688.80"</f>
        <v>1688.80</v>
      </c>
      <c r="Z2161" t="str">
        <f>""</f>
        <v/>
      </c>
      <c r="AA2161" t="str">
        <f>"81582.00"</f>
        <v>81582.00</v>
      </c>
      <c r="AB2161" t="str">
        <f t="shared" si="812"/>
        <v>Residential</v>
      </c>
      <c r="AC2161" t="str">
        <f t="shared" si="809"/>
        <v>0</v>
      </c>
      <c r="AD2161" t="str">
        <f>"3"</f>
        <v>3</v>
      </c>
      <c r="AE2161" t="str">
        <f>"MASONRY"</f>
        <v>MASONRY</v>
      </c>
      <c r="AF2161" t="str">
        <f>"001"</f>
        <v>001</v>
      </c>
      <c r="AG2161" t="str">
        <f t="shared" si="813"/>
        <v>FL</v>
      </c>
      <c r="AH2161" t="str">
        <f>"4955.00"</f>
        <v>4955.00</v>
      </c>
      <c r="AI2161" t="str">
        <f>"19076.00"</f>
        <v>19076.00</v>
      </c>
      <c r="AJ2161" t="str">
        <f>"C55-000-585-9054-8"</f>
        <v>C55-000-585-9054-8</v>
      </c>
      <c r="AK2161" t="str">
        <f>"48580"</f>
        <v>48580</v>
      </c>
      <c r="AL2161">
        <v>8</v>
      </c>
      <c r="AM2161">
        <v>2468</v>
      </c>
      <c r="AN2161">
        <v>1771.64</v>
      </c>
      <c r="AQ2161" t="s">
        <v>20793</v>
      </c>
      <c r="AR2161" t="s">
        <v>20793</v>
      </c>
      <c r="AS2161" t="s">
        <v>20793</v>
      </c>
      <c r="AU2161" t="s">
        <v>396</v>
      </c>
      <c r="AV2161">
        <v>2017</v>
      </c>
      <c r="AW2161" t="str">
        <f>"00-00-31-1800-0048-0031 "</f>
        <v xml:space="preserve">00-00-31-1800-0048-0031 </v>
      </c>
      <c r="AX2161">
        <v>218</v>
      </c>
      <c r="AZ2161" t="s">
        <v>20794</v>
      </c>
      <c r="BA2161" t="s">
        <v>1942</v>
      </c>
      <c r="BB2161" t="s">
        <v>18674</v>
      </c>
      <c r="BD2161" t="s">
        <v>11749</v>
      </c>
      <c r="BE2161" t="s">
        <v>393</v>
      </c>
      <c r="BF2161">
        <v>32034</v>
      </c>
      <c r="BG2161" t="s">
        <v>20795</v>
      </c>
      <c r="BH2161" t="s">
        <v>11751</v>
      </c>
      <c r="BI2161">
        <v>-81.458228919567304</v>
      </c>
      <c r="BJ2161">
        <v>30.6673767545985</v>
      </c>
      <c r="BK2161" t="s">
        <v>20796</v>
      </c>
      <c r="BM2161" t="s">
        <v>20797</v>
      </c>
      <c r="BN2161" t="s">
        <v>3983</v>
      </c>
      <c r="BO2161">
        <v>32035</v>
      </c>
      <c r="BP2161" t="s">
        <v>404</v>
      </c>
      <c r="BQ2161">
        <v>100</v>
      </c>
      <c r="BR2161" t="s">
        <v>514</v>
      </c>
      <c r="BS2161">
        <v>1001</v>
      </c>
      <c r="BT2161" t="s">
        <v>515</v>
      </c>
      <c r="BW2161">
        <v>4957</v>
      </c>
      <c r="BX2161" t="s">
        <v>407</v>
      </c>
      <c r="BY2161" t="s">
        <v>20798</v>
      </c>
      <c r="BZ2161">
        <v>3</v>
      </c>
      <c r="CA2161">
        <v>1967</v>
      </c>
      <c r="CB2161">
        <v>1</v>
      </c>
      <c r="CC2161">
        <v>1</v>
      </c>
      <c r="CD2161">
        <v>2017</v>
      </c>
      <c r="CE2161">
        <v>19076</v>
      </c>
      <c r="CF2161">
        <v>62506</v>
      </c>
      <c r="CG2161">
        <v>81582</v>
      </c>
      <c r="CH2161">
        <v>2017</v>
      </c>
      <c r="CI2161">
        <v>19076</v>
      </c>
      <c r="CJ2161">
        <v>62506</v>
      </c>
      <c r="CK2161">
        <v>81582</v>
      </c>
      <c r="CL2161">
        <v>2017</v>
      </c>
      <c r="CM2161">
        <v>1608.54</v>
      </c>
      <c r="CN2161" s="1">
        <v>38576</v>
      </c>
      <c r="CO2161">
        <v>70000</v>
      </c>
      <c r="CV2161">
        <v>0</v>
      </c>
      <c r="CZ2161" s="1">
        <v>38576</v>
      </c>
      <c r="DA2161">
        <v>0</v>
      </c>
      <c r="DD2161" t="s">
        <v>11749</v>
      </c>
      <c r="DF2161">
        <v>3</v>
      </c>
      <c r="DG2161">
        <v>23</v>
      </c>
      <c r="DJ2161" t="s">
        <v>20634</v>
      </c>
      <c r="DL2161">
        <v>50101</v>
      </c>
      <c r="DM2161" t="s">
        <v>20742</v>
      </c>
      <c r="DO2161" t="s">
        <v>20799</v>
      </c>
      <c r="DP2161">
        <v>0</v>
      </c>
      <c r="DQ2161">
        <v>5</v>
      </c>
      <c r="DR2161" t="s">
        <v>1479</v>
      </c>
      <c r="DS2161" t="b">
        <v>1</v>
      </c>
      <c r="DT2161" t="s">
        <v>470</v>
      </c>
      <c r="DU2161" t="s">
        <v>471</v>
      </c>
      <c r="DV2161" t="s">
        <v>472</v>
      </c>
      <c r="DX2161">
        <v>-9999</v>
      </c>
      <c r="DZ2161" t="s">
        <v>447</v>
      </c>
      <c r="EA2161" t="s">
        <v>448</v>
      </c>
      <c r="EB2161" t="s">
        <v>14787</v>
      </c>
      <c r="EC2161">
        <v>20101217</v>
      </c>
      <c r="ED2161" t="s">
        <v>474</v>
      </c>
      <c r="EF2161">
        <v>1418.3</v>
      </c>
      <c r="EG2161">
        <v>1228.5999999999999</v>
      </c>
      <c r="EI2161">
        <v>20160407</v>
      </c>
      <c r="EJ2161">
        <v>0</v>
      </c>
      <c r="EK2161">
        <v>0</v>
      </c>
      <c r="EP2161" t="s">
        <v>421</v>
      </c>
      <c r="EQ2161" t="s">
        <v>422</v>
      </c>
      <c r="ER2161">
        <v>2</v>
      </c>
      <c r="ES2161">
        <v>5</v>
      </c>
      <c r="ET2161">
        <v>3272.04</v>
      </c>
      <c r="EU2161">
        <v>176.1</v>
      </c>
      <c r="EV2161">
        <v>3448.14</v>
      </c>
      <c r="EW2161" s="2">
        <v>43222</v>
      </c>
      <c r="EX2161" s="1">
        <v>42879</v>
      </c>
      <c r="EY2161">
        <v>2016</v>
      </c>
      <c r="EZ2161">
        <v>1636.02</v>
      </c>
      <c r="FA2161" t="s">
        <v>20800</v>
      </c>
      <c r="FB2161">
        <v>0.25</v>
      </c>
      <c r="FC2161" t="s">
        <v>424</v>
      </c>
      <c r="FD2161" t="s">
        <v>454</v>
      </c>
      <c r="FF2161">
        <v>12</v>
      </c>
      <c r="FG2161">
        <v>7400234</v>
      </c>
      <c r="FH2161" t="s">
        <v>426</v>
      </c>
      <c r="FJ2161" s="1">
        <v>42879</v>
      </c>
      <c r="FK2161">
        <v>2016</v>
      </c>
      <c r="FL2161">
        <v>1636.02</v>
      </c>
      <c r="FM2161" t="s">
        <v>20800</v>
      </c>
      <c r="FN2161">
        <v>0.25</v>
      </c>
      <c r="FO2161" t="s">
        <v>424</v>
      </c>
      <c r="FP2161" t="s">
        <v>454</v>
      </c>
      <c r="FR2161">
        <v>12</v>
      </c>
      <c r="FS2161">
        <v>7474909</v>
      </c>
      <c r="FT2161" t="s">
        <v>20801</v>
      </c>
      <c r="FV2161" s="1">
        <v>42515</v>
      </c>
      <c r="FW2161">
        <v>2015</v>
      </c>
      <c r="FX2161">
        <v>1558.72</v>
      </c>
      <c r="FY2161" t="s">
        <v>20802</v>
      </c>
      <c r="FZ2161">
        <v>0.25</v>
      </c>
      <c r="GA2161" t="s">
        <v>424</v>
      </c>
      <c r="GB2161" t="s">
        <v>425</v>
      </c>
      <c r="GC2161" s="1">
        <v>43003</v>
      </c>
      <c r="GD2161">
        <v>16</v>
      </c>
      <c r="GE2161">
        <v>2851116</v>
      </c>
      <c r="GF2161" t="s">
        <v>480</v>
      </c>
      <c r="GH2161" s="1">
        <v>42515</v>
      </c>
      <c r="GI2161">
        <v>2015</v>
      </c>
      <c r="GJ2161">
        <v>1558.72</v>
      </c>
      <c r="GK2161" t="s">
        <v>20802</v>
      </c>
      <c r="GL2161">
        <v>0.25</v>
      </c>
      <c r="GM2161" t="s">
        <v>424</v>
      </c>
      <c r="GN2161" t="s">
        <v>425</v>
      </c>
      <c r="GP2161">
        <v>22</v>
      </c>
      <c r="GQ2161">
        <v>5538174</v>
      </c>
      <c r="GR2161" t="s">
        <v>20803</v>
      </c>
      <c r="GT2161" s="1">
        <v>41787</v>
      </c>
      <c r="GU2161">
        <v>2013</v>
      </c>
      <c r="GV2161">
        <v>1204.58</v>
      </c>
      <c r="GW2161" t="s">
        <v>20804</v>
      </c>
      <c r="GX2161">
        <v>0.25</v>
      </c>
      <c r="GY2161" t="s">
        <v>424</v>
      </c>
      <c r="GZ2161" t="s">
        <v>425</v>
      </c>
      <c r="HA2161" s="1">
        <v>42135</v>
      </c>
      <c r="HB2161">
        <v>12</v>
      </c>
      <c r="HC2161">
        <v>2851116</v>
      </c>
      <c r="HD2161" t="s">
        <v>480</v>
      </c>
      <c r="HF2161" s="1">
        <v>41052</v>
      </c>
      <c r="HG2161">
        <v>2011</v>
      </c>
      <c r="HH2161">
        <v>1507.96</v>
      </c>
      <c r="HI2161" t="s">
        <v>20805</v>
      </c>
      <c r="HJ2161">
        <v>0.25</v>
      </c>
      <c r="HK2161" t="s">
        <v>424</v>
      </c>
      <c r="HL2161" t="s">
        <v>425</v>
      </c>
      <c r="HM2161" s="1">
        <v>41282</v>
      </c>
      <c r="HN2161">
        <v>8</v>
      </c>
      <c r="HO2161">
        <v>13297</v>
      </c>
      <c r="HP2161" t="s">
        <v>1471</v>
      </c>
      <c r="HR2161" s="1">
        <v>41052</v>
      </c>
      <c r="HS2161">
        <v>2011</v>
      </c>
      <c r="HT2161">
        <v>1507.96</v>
      </c>
      <c r="HU2161" t="s">
        <v>20805</v>
      </c>
      <c r="HV2161">
        <v>0.25</v>
      </c>
      <c r="HW2161" t="s">
        <v>424</v>
      </c>
      <c r="HX2161" t="s">
        <v>425</v>
      </c>
      <c r="HZ2161">
        <v>22</v>
      </c>
      <c r="IA2161">
        <v>13588</v>
      </c>
      <c r="IB2161" t="s">
        <v>6680</v>
      </c>
    </row>
    <row r="2162" spans="1:284" x14ac:dyDescent="0.25">
      <c r="A2162">
        <v>16487169</v>
      </c>
      <c r="B2162">
        <v>2161</v>
      </c>
      <c r="C2162" t="s">
        <v>393</v>
      </c>
      <c r="D2162" t="s">
        <v>394</v>
      </c>
      <c r="F2162" t="str">
        <f>"00-00-31-1800-0048-0041"</f>
        <v>00-00-31-1800-0048-0041</v>
      </c>
      <c r="H2162" t="str">
        <f>"BLUE QUINTIN O"</f>
        <v>BLUE QUINTIN O</v>
      </c>
      <c r="I2162" t="str">
        <f>"905 CEDAR ST"</f>
        <v>905 CEDAR ST</v>
      </c>
      <c r="J2162" t="str">
        <f>"FERNANDINA BEACH FL 32034"</f>
        <v>FERNANDINA BEACH FL 32034</v>
      </c>
      <c r="K2162" t="str">
        <f>"905 CEDAR ST"</f>
        <v>905 CEDAR ST</v>
      </c>
      <c r="L2162" t="str">
        <f t="shared" si="807"/>
        <v>FERNANDINA BEACH FL 32034</v>
      </c>
      <c r="M2162" t="str">
        <f>"BLOCK 48 LOT E1/2 OF 4 IN OR 1243/614 CITY OF FDNA BEACH"</f>
        <v>BLOCK 48 LOT E1/2 OF 4 IN OR 1243/614 CITY OF FDNA BEACH</v>
      </c>
      <c r="N2162" t="str">
        <f>""</f>
        <v/>
      </c>
      <c r="O2162" t="str">
        <f>"11604"</f>
        <v>11604</v>
      </c>
      <c r="P2162" t="str">
        <f t="shared" si="800"/>
        <v>2017</v>
      </c>
      <c r="Q2162" t="str">
        <f>""</f>
        <v/>
      </c>
      <c r="R2162" t="str">
        <f>"Y"</f>
        <v>Y</v>
      </c>
      <c r="S2162" t="str">
        <f>""</f>
        <v/>
      </c>
      <c r="T2162" t="str">
        <f>"559.84"</f>
        <v>559.84</v>
      </c>
      <c r="U2162" t="str">
        <f>"59331.00"</f>
        <v>59331.00</v>
      </c>
      <c r="V2162" t="str">
        <f>"59331.00"</f>
        <v>59331.00</v>
      </c>
      <c r="W2162" t="str">
        <f t="shared" si="801"/>
        <v>2017</v>
      </c>
      <c r="X2162" t="str">
        <f>"36.00"</f>
        <v>36.00</v>
      </c>
      <c r="Y2162" t="str">
        <f>"608.64"</f>
        <v>608.64</v>
      </c>
      <c r="Z2162" t="str">
        <f>"25000.00"</f>
        <v>25000.00</v>
      </c>
      <c r="AA2162" t="str">
        <f>"34331.00"</f>
        <v>34331.00</v>
      </c>
      <c r="AB2162" t="str">
        <f t="shared" si="812"/>
        <v>Residential</v>
      </c>
      <c r="AC2162" t="str">
        <f t="shared" si="809"/>
        <v>0</v>
      </c>
      <c r="AD2162" t="str">
        <f>"4"</f>
        <v>4</v>
      </c>
      <c r="AE2162" t="str">
        <f>"WOOD (INCLUDE STEEL STUDS)"</f>
        <v>WOOD (INCLUDE STEEL STUDS)</v>
      </c>
      <c r="AF2162" t="str">
        <f>"001"</f>
        <v>001</v>
      </c>
      <c r="AG2162" t="str">
        <f t="shared" si="813"/>
        <v>FL</v>
      </c>
      <c r="AH2162" t="str">
        <f>"5017.00"</f>
        <v>5017.00</v>
      </c>
      <c r="AI2162" t="str">
        <f>"19315.00"</f>
        <v>19315.00</v>
      </c>
      <c r="AJ2162" t="str">
        <f>"C55-000-585-9056-3"</f>
        <v>C55-000-585-9056-3</v>
      </c>
      <c r="AK2162" t="str">
        <f>"48582"</f>
        <v>48582</v>
      </c>
      <c r="AL2162">
        <v>8</v>
      </c>
      <c r="AM2162">
        <v>2469</v>
      </c>
      <c r="AN2162">
        <v>637.47</v>
      </c>
      <c r="AQ2162" t="s">
        <v>20806</v>
      </c>
      <c r="AR2162" t="s">
        <v>20806</v>
      </c>
      <c r="AS2162" t="s">
        <v>20806</v>
      </c>
      <c r="AU2162" t="s">
        <v>396</v>
      </c>
      <c r="AV2162">
        <v>2017</v>
      </c>
      <c r="AW2162" t="str">
        <f>"00-00-31-1800-0048-0041 "</f>
        <v xml:space="preserve">00-00-31-1800-0048-0041 </v>
      </c>
      <c r="AX2162">
        <v>905</v>
      </c>
      <c r="AZ2162" t="s">
        <v>20807</v>
      </c>
      <c r="BA2162" t="s">
        <v>1942</v>
      </c>
      <c r="BD2162" t="s">
        <v>11749</v>
      </c>
      <c r="BE2162" t="s">
        <v>393</v>
      </c>
      <c r="BF2162">
        <v>32034</v>
      </c>
      <c r="BG2162" t="s">
        <v>20808</v>
      </c>
      <c r="BH2162" t="s">
        <v>11751</v>
      </c>
      <c r="BI2162">
        <v>-81.458203180734401</v>
      </c>
      <c r="BJ2162">
        <v>30.667024765878399</v>
      </c>
      <c r="BK2162" t="s">
        <v>20809</v>
      </c>
      <c r="BM2162" t="s">
        <v>20808</v>
      </c>
      <c r="BN2162" t="s">
        <v>3983</v>
      </c>
      <c r="BO2162">
        <v>32034</v>
      </c>
      <c r="BP2162" t="s">
        <v>416</v>
      </c>
      <c r="BQ2162">
        <v>100</v>
      </c>
      <c r="BR2162" t="s">
        <v>514</v>
      </c>
      <c r="BS2162">
        <v>1001</v>
      </c>
      <c r="BT2162" t="s">
        <v>515</v>
      </c>
      <c r="BW2162">
        <v>5018</v>
      </c>
      <c r="BX2162" t="s">
        <v>407</v>
      </c>
      <c r="BY2162" t="s">
        <v>20798</v>
      </c>
      <c r="BZ2162">
        <v>4</v>
      </c>
      <c r="CA2162">
        <v>1982</v>
      </c>
      <c r="CB2162">
        <v>1</v>
      </c>
      <c r="CC2162">
        <v>1</v>
      </c>
      <c r="CD2162">
        <v>2017</v>
      </c>
      <c r="CG2162">
        <v>59331</v>
      </c>
      <c r="CH2162">
        <v>2017</v>
      </c>
      <c r="CI2162">
        <v>19315</v>
      </c>
      <c r="CJ2162">
        <v>61160</v>
      </c>
      <c r="CK2162">
        <v>80475</v>
      </c>
      <c r="CL2162">
        <v>2017</v>
      </c>
      <c r="CM2162">
        <v>559.84</v>
      </c>
      <c r="CN2162" s="1">
        <v>38174</v>
      </c>
      <c r="CZ2162" s="1">
        <v>38174</v>
      </c>
      <c r="DD2162" t="s">
        <v>11749</v>
      </c>
      <c r="DG2162">
        <v>23</v>
      </c>
      <c r="DJ2162" t="s">
        <v>20634</v>
      </c>
      <c r="DL2162">
        <v>50101</v>
      </c>
      <c r="DM2162" t="s">
        <v>20742</v>
      </c>
      <c r="DO2162" t="s">
        <v>20810</v>
      </c>
      <c r="DP2162">
        <v>0</v>
      </c>
      <c r="DQ2162">
        <v>8</v>
      </c>
      <c r="DR2162" t="s">
        <v>1479</v>
      </c>
      <c r="DS2162" t="b">
        <v>1</v>
      </c>
      <c r="DT2162" t="s">
        <v>470</v>
      </c>
      <c r="DU2162" t="s">
        <v>471</v>
      </c>
      <c r="DV2162" t="s">
        <v>472</v>
      </c>
      <c r="DX2162">
        <v>-9999</v>
      </c>
      <c r="DZ2162" t="s">
        <v>447</v>
      </c>
      <c r="EA2162" t="s">
        <v>448</v>
      </c>
      <c r="EB2162" t="s">
        <v>14787</v>
      </c>
      <c r="EC2162">
        <v>20101217</v>
      </c>
      <c r="ED2162" t="s">
        <v>474</v>
      </c>
      <c r="EF2162">
        <v>1444.6</v>
      </c>
      <c r="EG2162">
        <v>1262.4000000000001</v>
      </c>
      <c r="EI2162">
        <v>20160407</v>
      </c>
      <c r="EJ2162">
        <v>0</v>
      </c>
      <c r="EK2162">
        <v>0</v>
      </c>
      <c r="EP2162" t="s">
        <v>421</v>
      </c>
      <c r="EQ2162" t="s">
        <v>422</v>
      </c>
      <c r="ER2162">
        <v>2</v>
      </c>
      <c r="ES2162">
        <v>2</v>
      </c>
      <c r="ET2162">
        <v>1268.06</v>
      </c>
      <c r="EU2162">
        <v>75.900000000000006</v>
      </c>
      <c r="EV2162">
        <v>1343.96</v>
      </c>
      <c r="EW2162" s="2">
        <v>43222</v>
      </c>
      <c r="EX2162" s="1">
        <v>42879</v>
      </c>
      <c r="EY2162">
        <v>2016</v>
      </c>
      <c r="EZ2162">
        <v>634.03</v>
      </c>
      <c r="FA2162" t="s">
        <v>20811</v>
      </c>
      <c r="FB2162">
        <v>0.25</v>
      </c>
      <c r="FC2162" t="s">
        <v>424</v>
      </c>
      <c r="FD2162" t="s">
        <v>454</v>
      </c>
      <c r="FF2162">
        <v>12</v>
      </c>
      <c r="FG2162">
        <v>11289</v>
      </c>
      <c r="FH2162" t="s">
        <v>787</v>
      </c>
      <c r="FJ2162" s="1">
        <v>42879</v>
      </c>
      <c r="FK2162">
        <v>2016</v>
      </c>
      <c r="FL2162">
        <v>634.03</v>
      </c>
      <c r="FM2162" t="s">
        <v>20811</v>
      </c>
      <c r="FN2162">
        <v>0.25</v>
      </c>
      <c r="FO2162" t="s">
        <v>424</v>
      </c>
      <c r="FP2162" t="s">
        <v>454</v>
      </c>
      <c r="FR2162">
        <v>12</v>
      </c>
      <c r="FS2162">
        <v>7273633</v>
      </c>
      <c r="FT2162" t="s">
        <v>20812</v>
      </c>
      <c r="FV2162" s="1">
        <v>42151</v>
      </c>
      <c r="FW2162">
        <v>2014</v>
      </c>
      <c r="FX2162">
        <v>636.97</v>
      </c>
      <c r="FY2162" t="s">
        <v>20813</v>
      </c>
      <c r="FZ2162">
        <v>0.25</v>
      </c>
      <c r="GA2162" t="s">
        <v>424</v>
      </c>
      <c r="GB2162" t="s">
        <v>425</v>
      </c>
      <c r="GC2162" s="1">
        <v>42191</v>
      </c>
      <c r="GD2162">
        <v>2</v>
      </c>
      <c r="GE2162">
        <v>4975594</v>
      </c>
      <c r="GF2162" t="s">
        <v>457</v>
      </c>
      <c r="GH2162" s="1">
        <v>42151</v>
      </c>
      <c r="GI2162">
        <v>2014</v>
      </c>
      <c r="GJ2162">
        <v>636.97</v>
      </c>
      <c r="GK2162" t="s">
        <v>20813</v>
      </c>
      <c r="GL2162">
        <v>0.25</v>
      </c>
      <c r="GM2162" t="s">
        <v>424</v>
      </c>
      <c r="GN2162" t="s">
        <v>425</v>
      </c>
      <c r="GP2162">
        <v>22</v>
      </c>
      <c r="GQ2162">
        <v>6482581</v>
      </c>
      <c r="GR2162" t="s">
        <v>20814</v>
      </c>
    </row>
    <row r="2163" spans="1:284" x14ac:dyDescent="0.25">
      <c r="A2163">
        <v>16487170</v>
      </c>
      <c r="B2163">
        <v>2162</v>
      </c>
      <c r="C2163" t="s">
        <v>393</v>
      </c>
      <c r="D2163" t="s">
        <v>394</v>
      </c>
      <c r="F2163" t="str">
        <f>"00-00-31-1800-0048-0042"</f>
        <v>00-00-31-1800-0048-0042</v>
      </c>
      <c r="H2163" t="str">
        <f>"MACEDONIA A M E CHURCH"</f>
        <v>MACEDONIA A M E CHURCH</v>
      </c>
      <c r="I2163" t="str">
        <f>"PO BOX 6216"</f>
        <v>PO BOX 6216</v>
      </c>
      <c r="J2163" t="str">
        <f>"FERNANDINA BEACH FL 32035"</f>
        <v>FERNANDINA BEACH FL 32035</v>
      </c>
      <c r="K2163" t="str">
        <f>"901 CEDAR ST"</f>
        <v>901 CEDAR ST</v>
      </c>
      <c r="L2163" t="str">
        <f t="shared" si="807"/>
        <v>FERNANDINA BEACH FL 32034</v>
      </c>
      <c r="M2163" t="str">
        <f>"BLOCK 48 LOT W1/2 OF 4 IN OR 1501/731 CITY OF FDNA BEACH"</f>
        <v>BLOCK 48 LOT W1/2 OF 4 IN OR 1501/731 CITY OF FDNA BEACH</v>
      </c>
      <c r="N2163" t="str">
        <f>""</f>
        <v/>
      </c>
      <c r="O2163" t="str">
        <f>"11605"</f>
        <v>11605</v>
      </c>
      <c r="P2163" t="str">
        <f t="shared" si="800"/>
        <v>2017</v>
      </c>
      <c r="Q2163" t="str">
        <f>""</f>
        <v/>
      </c>
      <c r="R2163" t="str">
        <f>"N"</f>
        <v>N</v>
      </c>
      <c r="S2163" t="str">
        <f>""</f>
        <v/>
      </c>
      <c r="T2163" t="str">
        <f>"1579.39"</f>
        <v>1579.39</v>
      </c>
      <c r="U2163" t="str">
        <f>"79243.00"</f>
        <v>79243.00</v>
      </c>
      <c r="V2163" t="str">
        <f>"79243.00"</f>
        <v>79243.00</v>
      </c>
      <c r="W2163" t="str">
        <f t="shared" si="801"/>
        <v>2017</v>
      </c>
      <c r="X2163" t="str">
        <f>"9.67"</f>
        <v>9.67</v>
      </c>
      <c r="Y2163" t="str">
        <f>"1658.77"</f>
        <v>1658.77</v>
      </c>
      <c r="Z2163" t="str">
        <f>""</f>
        <v/>
      </c>
      <c r="AA2163" t="str">
        <f>"79243.00"</f>
        <v>79243.00</v>
      </c>
      <c r="AB2163" t="str">
        <f t="shared" si="812"/>
        <v>Residential</v>
      </c>
      <c r="AC2163" t="str">
        <f t="shared" si="809"/>
        <v>0</v>
      </c>
      <c r="AD2163" t="str">
        <f>"3"</f>
        <v>3</v>
      </c>
      <c r="AE2163" t="str">
        <f>"MASONRY"</f>
        <v>MASONRY</v>
      </c>
      <c r="AF2163" t="str">
        <f>"001"</f>
        <v>001</v>
      </c>
      <c r="AG2163" t="str">
        <f t="shared" si="813"/>
        <v>FL</v>
      </c>
      <c r="AH2163" t="str">
        <f>"4860.00"</f>
        <v>4860.00</v>
      </c>
      <c r="AI2163" t="str">
        <f>"18711.00"</f>
        <v>18711.00</v>
      </c>
      <c r="AJ2163" t="str">
        <f>"C55-000-585-9057-1"</f>
        <v>C55-000-585-9057-1</v>
      </c>
      <c r="AK2163" t="str">
        <f>"48583"</f>
        <v>48583</v>
      </c>
      <c r="AL2163">
        <v>8</v>
      </c>
      <c r="AM2163">
        <v>2470</v>
      </c>
      <c r="AN2163">
        <v>1740.11</v>
      </c>
      <c r="AQ2163" t="s">
        <v>20815</v>
      </c>
      <c r="AR2163" t="s">
        <v>20815</v>
      </c>
      <c r="AS2163" t="s">
        <v>20815</v>
      </c>
      <c r="AU2163" t="s">
        <v>396</v>
      </c>
      <c r="AV2163">
        <v>2017</v>
      </c>
      <c r="AW2163" t="str">
        <f>"00-00-31-1800-0048-0042 "</f>
        <v xml:space="preserve">00-00-31-1800-0048-0042 </v>
      </c>
      <c r="AX2163">
        <v>901</v>
      </c>
      <c r="AZ2163" t="s">
        <v>20807</v>
      </c>
      <c r="BA2163" t="s">
        <v>1942</v>
      </c>
      <c r="BD2163" t="s">
        <v>11749</v>
      </c>
      <c r="BE2163" t="s">
        <v>393</v>
      </c>
      <c r="BF2163">
        <v>32034</v>
      </c>
      <c r="BG2163" t="s">
        <v>20816</v>
      </c>
      <c r="BH2163" t="s">
        <v>11751</v>
      </c>
      <c r="BI2163">
        <v>-81.458358318379496</v>
      </c>
      <c r="BJ2163">
        <v>30.6670425418455</v>
      </c>
      <c r="BK2163" t="s">
        <v>20817</v>
      </c>
      <c r="BM2163" t="s">
        <v>20797</v>
      </c>
      <c r="BN2163" t="s">
        <v>3983</v>
      </c>
      <c r="BO2163">
        <v>32035</v>
      </c>
      <c r="BP2163" t="s">
        <v>404</v>
      </c>
      <c r="BQ2163">
        <v>100</v>
      </c>
      <c r="BR2163" t="s">
        <v>514</v>
      </c>
      <c r="BS2163">
        <v>1001</v>
      </c>
      <c r="BT2163" t="s">
        <v>515</v>
      </c>
      <c r="BW2163">
        <v>4861</v>
      </c>
      <c r="BX2163" t="s">
        <v>407</v>
      </c>
      <c r="BY2163" t="s">
        <v>20798</v>
      </c>
      <c r="BZ2163">
        <v>3</v>
      </c>
      <c r="CA2163">
        <v>1982</v>
      </c>
      <c r="CB2163">
        <v>1</v>
      </c>
      <c r="CC2163">
        <v>1</v>
      </c>
      <c r="CD2163">
        <v>2017</v>
      </c>
      <c r="CE2163">
        <v>18711</v>
      </c>
      <c r="CF2163">
        <v>60532</v>
      </c>
      <c r="CG2163">
        <v>79243</v>
      </c>
      <c r="CH2163">
        <v>2017</v>
      </c>
      <c r="CI2163">
        <v>18711</v>
      </c>
      <c r="CJ2163">
        <v>60532</v>
      </c>
      <c r="CK2163">
        <v>79243</v>
      </c>
      <c r="CL2163">
        <v>2017</v>
      </c>
      <c r="CM2163">
        <v>1579.39</v>
      </c>
      <c r="CN2163" s="1">
        <v>39227</v>
      </c>
      <c r="CO2163">
        <v>110000</v>
      </c>
      <c r="CV2163">
        <v>0</v>
      </c>
      <c r="CZ2163" s="1">
        <v>39227</v>
      </c>
      <c r="DA2163">
        <v>0</v>
      </c>
      <c r="DD2163" t="s">
        <v>11749</v>
      </c>
      <c r="DG2163">
        <v>23</v>
      </c>
      <c r="DL2163">
        <v>50101</v>
      </c>
      <c r="DM2163" t="s">
        <v>20742</v>
      </c>
      <c r="DO2163" t="s">
        <v>20818</v>
      </c>
      <c r="DP2163">
        <v>0</v>
      </c>
      <c r="DQ2163">
        <v>8</v>
      </c>
      <c r="DR2163" t="s">
        <v>1479</v>
      </c>
      <c r="DS2163" t="b">
        <v>1</v>
      </c>
      <c r="DT2163" t="s">
        <v>470</v>
      </c>
      <c r="DU2163" t="s">
        <v>471</v>
      </c>
      <c r="DV2163" t="s">
        <v>472</v>
      </c>
      <c r="DX2163">
        <v>-9999</v>
      </c>
      <c r="DZ2163" t="s">
        <v>447</v>
      </c>
      <c r="EA2163" t="s">
        <v>448</v>
      </c>
      <c r="EB2163" t="s">
        <v>14787</v>
      </c>
      <c r="EC2163">
        <v>20101217</v>
      </c>
      <c r="ED2163" t="s">
        <v>474</v>
      </c>
      <c r="EF2163">
        <v>1396.2</v>
      </c>
      <c r="EG2163">
        <v>1213.5</v>
      </c>
      <c r="EI2163">
        <v>20160407</v>
      </c>
      <c r="EJ2163">
        <v>0</v>
      </c>
      <c r="EK2163">
        <v>0</v>
      </c>
      <c r="EP2163" t="s">
        <v>421</v>
      </c>
      <c r="EQ2163" t="s">
        <v>422</v>
      </c>
      <c r="ER2163">
        <v>2</v>
      </c>
      <c r="ES2163">
        <v>5</v>
      </c>
      <c r="ET2163">
        <v>3222.74</v>
      </c>
      <c r="EU2163">
        <v>173.64</v>
      </c>
      <c r="EV2163">
        <v>3396.38</v>
      </c>
      <c r="EW2163" s="2">
        <v>43222</v>
      </c>
      <c r="EX2163" s="1">
        <v>42879</v>
      </c>
      <c r="EY2163">
        <v>2016</v>
      </c>
      <c r="EZ2163">
        <v>1611.37</v>
      </c>
      <c r="FA2163" t="s">
        <v>20819</v>
      </c>
      <c r="FB2163">
        <v>0.25</v>
      </c>
      <c r="FC2163" t="s">
        <v>424</v>
      </c>
      <c r="FD2163" t="s">
        <v>454</v>
      </c>
      <c r="FF2163">
        <v>12</v>
      </c>
      <c r="FG2163">
        <v>7336671</v>
      </c>
      <c r="FH2163" t="s">
        <v>437</v>
      </c>
      <c r="FJ2163" s="1">
        <v>42879</v>
      </c>
      <c r="FK2163">
        <v>2016</v>
      </c>
      <c r="FL2163">
        <v>1611.37</v>
      </c>
      <c r="FM2163" t="s">
        <v>20819</v>
      </c>
      <c r="FN2163">
        <v>0.25</v>
      </c>
      <c r="FO2163" t="s">
        <v>424</v>
      </c>
      <c r="FP2163" t="s">
        <v>454</v>
      </c>
      <c r="FR2163">
        <v>12</v>
      </c>
      <c r="FS2163">
        <v>6782500</v>
      </c>
      <c r="FT2163" t="s">
        <v>20820</v>
      </c>
      <c r="FV2163" s="1">
        <v>42515</v>
      </c>
      <c r="FW2163">
        <v>2015</v>
      </c>
      <c r="FX2163">
        <v>1540.42</v>
      </c>
      <c r="FY2163" t="s">
        <v>20821</v>
      </c>
      <c r="FZ2163">
        <v>0.25</v>
      </c>
      <c r="GA2163" t="s">
        <v>424</v>
      </c>
      <c r="GB2163" t="s">
        <v>425</v>
      </c>
      <c r="GC2163" s="1">
        <v>43003</v>
      </c>
      <c r="GD2163">
        <v>16</v>
      </c>
      <c r="GE2163">
        <v>11289</v>
      </c>
      <c r="GF2163" t="s">
        <v>787</v>
      </c>
      <c r="GH2163" s="1">
        <v>42515</v>
      </c>
      <c r="GI2163">
        <v>2015</v>
      </c>
      <c r="GJ2163">
        <v>1540.42</v>
      </c>
      <c r="GK2163" t="s">
        <v>20821</v>
      </c>
      <c r="GL2163">
        <v>0.25</v>
      </c>
      <c r="GM2163" t="s">
        <v>424</v>
      </c>
      <c r="GN2163" t="s">
        <v>425</v>
      </c>
      <c r="GP2163">
        <v>22</v>
      </c>
      <c r="GQ2163">
        <v>7156345</v>
      </c>
      <c r="GR2163" t="s">
        <v>20822</v>
      </c>
      <c r="GT2163" s="1">
        <v>42151</v>
      </c>
      <c r="GU2163">
        <v>2014</v>
      </c>
      <c r="GV2163">
        <v>1439.91</v>
      </c>
      <c r="GW2163" t="s">
        <v>20823</v>
      </c>
      <c r="GX2163">
        <v>0.25</v>
      </c>
      <c r="GY2163" t="s">
        <v>424</v>
      </c>
      <c r="GZ2163" t="s">
        <v>425</v>
      </c>
      <c r="HA2163" s="1">
        <v>42514</v>
      </c>
      <c r="HB2163">
        <v>12</v>
      </c>
      <c r="HC2163">
        <v>4975594</v>
      </c>
      <c r="HD2163" t="s">
        <v>457</v>
      </c>
      <c r="HF2163" s="1">
        <v>42151</v>
      </c>
      <c r="HG2163">
        <v>2014</v>
      </c>
      <c r="HH2163">
        <v>1439.91</v>
      </c>
      <c r="HI2163" t="s">
        <v>20823</v>
      </c>
      <c r="HJ2163">
        <v>0.25</v>
      </c>
      <c r="HK2163" t="s">
        <v>424</v>
      </c>
      <c r="HL2163" t="s">
        <v>425</v>
      </c>
      <c r="HN2163">
        <v>22</v>
      </c>
      <c r="HO2163">
        <v>6691115</v>
      </c>
      <c r="HP2163" t="s">
        <v>20824</v>
      </c>
      <c r="HR2163" s="1">
        <v>41787</v>
      </c>
      <c r="HS2163">
        <v>2013</v>
      </c>
      <c r="HT2163">
        <v>1202.02</v>
      </c>
      <c r="HU2163" t="s">
        <v>20825</v>
      </c>
      <c r="HV2163">
        <v>0.25</v>
      </c>
      <c r="HW2163" t="s">
        <v>424</v>
      </c>
      <c r="HX2163" t="s">
        <v>425</v>
      </c>
      <c r="HY2163" s="1">
        <v>41806</v>
      </c>
      <c r="HZ2163">
        <v>1</v>
      </c>
      <c r="IA2163">
        <v>2851116</v>
      </c>
      <c r="IB2163" t="s">
        <v>480</v>
      </c>
    </row>
    <row r="2164" spans="1:284" x14ac:dyDescent="0.25">
      <c r="A2164">
        <v>16487171</v>
      </c>
      <c r="B2164">
        <v>2163</v>
      </c>
      <c r="C2164" t="s">
        <v>393</v>
      </c>
      <c r="D2164" t="s">
        <v>394</v>
      </c>
      <c r="F2164" t="str">
        <f>"00-00-31-1800-0048-0051"</f>
        <v>00-00-31-1800-0048-0051</v>
      </c>
      <c r="H2164" t="str">
        <f>"JOHNSON GEORGIA L EST &amp; SPAULDING LOURYNE &amp; ANNETTE &amp; HUGHLEY JEANNETTE ET AL"</f>
        <v>JOHNSON GEORGIA L EST &amp; SPAULDING LOURYNE &amp; ANNETTE &amp; HUGHLEY JEANNETTE ET AL</v>
      </c>
      <c r="I2164" t="str">
        <f>""</f>
        <v/>
      </c>
      <c r="J2164" t="str">
        <f>"FERNANDINA BEACH FL 32034"</f>
        <v>FERNANDINA BEACH FL 32034</v>
      </c>
      <c r="K2164" t="str">
        <f>"913 CEDAR ST"</f>
        <v>913 CEDAR ST</v>
      </c>
      <c r="L2164" t="str">
        <f t="shared" si="807"/>
        <v>FERNANDINA BEACH FL 32034</v>
      </c>
      <c r="M2164" t="str">
        <f>"BLOCK 48 LOT E1/2 OF 5 IN OR 1934/282 CITY OF FDNA BEACH 1/5 HX INT"</f>
        <v>BLOCK 48 LOT E1/2 OF 5 IN OR 1934/282 CITY OF FDNA BEACH 1/5 HX INT</v>
      </c>
      <c r="N2164" t="str">
        <f>""</f>
        <v/>
      </c>
      <c r="O2164" t="str">
        <f>"11606"</f>
        <v>11606</v>
      </c>
      <c r="P2164" t="str">
        <f t="shared" si="800"/>
        <v>2017</v>
      </c>
      <c r="Q2164" t="str">
        <f>""</f>
        <v/>
      </c>
      <c r="R2164" t="str">
        <f>"N"</f>
        <v>N</v>
      </c>
      <c r="S2164" t="str">
        <f>""</f>
        <v/>
      </c>
      <c r="T2164" t="str">
        <f>"1171.71"</f>
        <v>1171.71</v>
      </c>
      <c r="U2164" t="str">
        <f>"57273.00"</f>
        <v>57273.00</v>
      </c>
      <c r="V2164" t="str">
        <f>"57273.00"</f>
        <v>57273.00</v>
      </c>
      <c r="W2164" t="str">
        <f t="shared" si="801"/>
        <v>2017</v>
      </c>
      <c r="X2164" t="str">
        <f>"2.67"</f>
        <v>2.67</v>
      </c>
      <c r="Y2164" t="str">
        <f>"417.78"</f>
        <v>417.78</v>
      </c>
      <c r="Z2164" t="str">
        <f>""</f>
        <v/>
      </c>
      <c r="AA2164" t="str">
        <f>"61853.00"</f>
        <v>61853.00</v>
      </c>
      <c r="AB2164" t="str">
        <f t="shared" si="812"/>
        <v>Residential</v>
      </c>
      <c r="AC2164" t="str">
        <f t="shared" si="809"/>
        <v>0</v>
      </c>
      <c r="AD2164" t="str">
        <f>"4"</f>
        <v>4</v>
      </c>
      <c r="AE2164" t="str">
        <f>"WOOD (INCLUDE STEEL STUDS)"</f>
        <v>WOOD (INCLUDE STEEL STUDS)</v>
      </c>
      <c r="AF2164" t="str">
        <f>"001"</f>
        <v>001</v>
      </c>
      <c r="AG2164" t="str">
        <f t="shared" si="813"/>
        <v>FL</v>
      </c>
      <c r="AH2164" t="str">
        <f>"5000.00"</f>
        <v>5000.00</v>
      </c>
      <c r="AI2164" t="str">
        <f>"24750.00"</f>
        <v>24750.00</v>
      </c>
      <c r="AJ2164" t="str">
        <f>"C55-000-585-9058-9"</f>
        <v>C55-000-585-9058-9</v>
      </c>
      <c r="AK2164" t="str">
        <f>"48584"</f>
        <v>48584</v>
      </c>
      <c r="AL2164">
        <v>8</v>
      </c>
      <c r="AM2164">
        <v>2471</v>
      </c>
      <c r="AN2164">
        <v>437.07</v>
      </c>
      <c r="AQ2164" t="s">
        <v>20826</v>
      </c>
      <c r="AR2164" t="s">
        <v>20826</v>
      </c>
      <c r="AS2164" t="s">
        <v>20826</v>
      </c>
      <c r="AU2164" t="s">
        <v>396</v>
      </c>
      <c r="AV2164">
        <v>2017</v>
      </c>
      <c r="AW2164" t="str">
        <f>"00-00-31-1800-0048-0051 "</f>
        <v xml:space="preserve">00-00-31-1800-0048-0051 </v>
      </c>
      <c r="AX2164">
        <v>913</v>
      </c>
      <c r="AZ2164" t="s">
        <v>20807</v>
      </c>
      <c r="BA2164" t="s">
        <v>1942</v>
      </c>
      <c r="BD2164" t="s">
        <v>11749</v>
      </c>
      <c r="BE2164" t="s">
        <v>393</v>
      </c>
      <c r="BF2164">
        <v>32034</v>
      </c>
      <c r="BG2164" t="s">
        <v>20827</v>
      </c>
      <c r="BH2164" t="s">
        <v>11751</v>
      </c>
      <c r="BI2164">
        <v>-81.457887796499605</v>
      </c>
      <c r="BJ2164">
        <v>30.666989159122</v>
      </c>
      <c r="BK2164" t="s">
        <v>20828</v>
      </c>
      <c r="BM2164" t="s">
        <v>20827</v>
      </c>
      <c r="BN2164" t="s">
        <v>3983</v>
      </c>
      <c r="BO2164">
        <v>32034</v>
      </c>
      <c r="BP2164" t="s">
        <v>416</v>
      </c>
      <c r="BQ2164">
        <v>100</v>
      </c>
      <c r="BR2164" t="s">
        <v>514</v>
      </c>
      <c r="BS2164">
        <v>1001</v>
      </c>
      <c r="BT2164" t="s">
        <v>515</v>
      </c>
      <c r="BU2164">
        <v>500</v>
      </c>
      <c r="BV2164">
        <v>1000</v>
      </c>
      <c r="BW2164">
        <v>5012</v>
      </c>
      <c r="BX2164" t="s">
        <v>407</v>
      </c>
      <c r="BY2164" t="s">
        <v>18253</v>
      </c>
      <c r="BZ2164">
        <v>4</v>
      </c>
      <c r="CA2164">
        <v>1925</v>
      </c>
      <c r="CB2164">
        <v>1</v>
      </c>
      <c r="CC2164">
        <v>1</v>
      </c>
      <c r="CD2164">
        <v>2017</v>
      </c>
      <c r="CE2164">
        <v>24750</v>
      </c>
      <c r="CF2164">
        <v>37103</v>
      </c>
      <c r="CG2164">
        <v>61853</v>
      </c>
      <c r="CH2164">
        <v>2017</v>
      </c>
      <c r="CI2164">
        <v>24750</v>
      </c>
      <c r="CJ2164">
        <v>37103</v>
      </c>
      <c r="CK2164">
        <v>61853</v>
      </c>
      <c r="CL2164">
        <v>2017</v>
      </c>
      <c r="CM2164">
        <v>1171.71</v>
      </c>
      <c r="DD2164" t="s">
        <v>11749</v>
      </c>
      <c r="DG2164">
        <v>23</v>
      </c>
      <c r="DJ2164" t="s">
        <v>20634</v>
      </c>
      <c r="DL2164">
        <v>50101</v>
      </c>
      <c r="DM2164" t="s">
        <v>20742</v>
      </c>
      <c r="DO2164" t="s">
        <v>20829</v>
      </c>
      <c r="DP2164">
        <v>0</v>
      </c>
      <c r="DQ2164">
        <v>4</v>
      </c>
      <c r="DR2164" t="s">
        <v>1479</v>
      </c>
      <c r="EP2164" t="s">
        <v>421</v>
      </c>
      <c r="EQ2164" t="s">
        <v>422</v>
      </c>
      <c r="ER2164">
        <v>0</v>
      </c>
      <c r="ES2164">
        <v>1</v>
      </c>
      <c r="ET2164">
        <v>0</v>
      </c>
      <c r="EU2164">
        <v>0</v>
      </c>
      <c r="EV2164">
        <v>0</v>
      </c>
      <c r="EW2164" s="2">
        <v>43222</v>
      </c>
      <c r="EX2164" s="1">
        <v>40688</v>
      </c>
      <c r="EY2164">
        <v>2010</v>
      </c>
      <c r="EZ2164">
        <v>858.58</v>
      </c>
      <c r="FA2164" t="s">
        <v>20830</v>
      </c>
      <c r="FB2164">
        <v>0.25</v>
      </c>
      <c r="FC2164" t="s">
        <v>424</v>
      </c>
      <c r="FD2164" t="s">
        <v>425</v>
      </c>
      <c r="FE2164" s="1">
        <v>40805</v>
      </c>
      <c r="FF2164">
        <v>4</v>
      </c>
      <c r="FG2164">
        <v>11287</v>
      </c>
      <c r="FH2164" t="s">
        <v>511</v>
      </c>
    </row>
    <row r="2165" spans="1:284" x14ac:dyDescent="0.25">
      <c r="A2165">
        <v>16487172</v>
      </c>
      <c r="B2165">
        <v>2164</v>
      </c>
      <c r="C2165" t="s">
        <v>393</v>
      </c>
      <c r="D2165" t="s">
        <v>394</v>
      </c>
      <c r="F2165" t="str">
        <f>"00-00-31-1800-0049-0010"</f>
        <v>00-00-31-1800-0049-0010</v>
      </c>
      <c r="H2165" t="str">
        <f>"DAVIS-TAYLOR CECILIA M"</f>
        <v>DAVIS-TAYLOR CECILIA M</v>
      </c>
      <c r="I2165" t="str">
        <f>"112 S 9TH ST"</f>
        <v>112 S 9TH ST</v>
      </c>
      <c r="J2165" t="str">
        <f>"FERNANDINA BEACH FL 32034"</f>
        <v>FERNANDINA BEACH FL 32034</v>
      </c>
      <c r="K2165" t="str">
        <f>"112 9TH ST S"</f>
        <v>112 9TH ST S</v>
      </c>
      <c r="L2165" t="str">
        <f t="shared" si="807"/>
        <v>FERNANDINA BEACH FL 32034</v>
      </c>
      <c r="M2165" t="str">
        <f>"BLOCK 49 LOTS 1 2 &amp; 7 IN OR 1335/1202 CITY OF FDNA BEACH"</f>
        <v>BLOCK 49 LOTS 1 2 &amp; 7 IN OR 1335/1202 CITY OF FDNA BEACH</v>
      </c>
      <c r="N2165" t="str">
        <f>""</f>
        <v/>
      </c>
      <c r="O2165" t="str">
        <f>"11613"</f>
        <v>11613</v>
      </c>
      <c r="P2165" t="str">
        <f t="shared" si="800"/>
        <v>2017</v>
      </c>
      <c r="Q2165" t="str">
        <f>""</f>
        <v/>
      </c>
      <c r="R2165" t="str">
        <f>"Y"</f>
        <v>Y</v>
      </c>
      <c r="S2165" t="str">
        <f>""</f>
        <v/>
      </c>
      <c r="T2165" t="str">
        <f>"2265.46"</f>
        <v>2265.46</v>
      </c>
      <c r="U2165" t="str">
        <f>"155390.00"</f>
        <v>155390.00</v>
      </c>
      <c r="V2165" t="str">
        <f>"155390.00"</f>
        <v>155390.00</v>
      </c>
      <c r="W2165" t="str">
        <f t="shared" si="801"/>
        <v>2017</v>
      </c>
      <c r="X2165" t="str">
        <f>"18.75"</f>
        <v>18.75</v>
      </c>
      <c r="Y2165" t="str">
        <f>"2365.42"</f>
        <v>2365.42</v>
      </c>
      <c r="Z2165" t="str">
        <f>"25000.00"</f>
        <v>25000.00</v>
      </c>
      <c r="AA2165" t="str">
        <f>"130390.00"</f>
        <v>130390.00</v>
      </c>
      <c r="AB2165" t="str">
        <f t="shared" si="812"/>
        <v>Residential</v>
      </c>
      <c r="AC2165" t="str">
        <f t="shared" si="809"/>
        <v>0</v>
      </c>
      <c r="AD2165" t="str">
        <f>"4"</f>
        <v>4</v>
      </c>
      <c r="AE2165" t="str">
        <f>"WOOD (INCLUDE STEEL STUDS)"</f>
        <v>WOOD (INCLUDE STEEL STUDS)</v>
      </c>
      <c r="AF2165" t="str">
        <f>"001"</f>
        <v>001</v>
      </c>
      <c r="AG2165" t="str">
        <f t="shared" si="813"/>
        <v>FL</v>
      </c>
      <c r="AH2165" t="str">
        <f>"30492.00"</f>
        <v>30492.00</v>
      </c>
      <c r="AI2165" t="str">
        <f>"327625.00"</f>
        <v>327625.00</v>
      </c>
      <c r="AJ2165" t="str">
        <f>"C55-000-585-9065-4"</f>
        <v>C55-000-585-9065-4</v>
      </c>
      <c r="AK2165" t="str">
        <f>"48591"</f>
        <v>48591</v>
      </c>
      <c r="AL2165">
        <v>8</v>
      </c>
      <c r="AM2165">
        <v>2472</v>
      </c>
      <c r="AN2165">
        <v>2482.09</v>
      </c>
      <c r="AQ2165" t="s">
        <v>20831</v>
      </c>
      <c r="AR2165" t="s">
        <v>20831</v>
      </c>
      <c r="AS2165" t="s">
        <v>20831</v>
      </c>
      <c r="AU2165" t="s">
        <v>396</v>
      </c>
      <c r="AV2165">
        <v>2017</v>
      </c>
      <c r="AW2165" t="str">
        <f>"00-00-31-1800-0049-0010 "</f>
        <v xml:space="preserve">00-00-31-1800-0049-0010 </v>
      </c>
      <c r="AX2165">
        <v>112</v>
      </c>
      <c r="AZ2165" t="s">
        <v>20794</v>
      </c>
      <c r="BA2165" t="s">
        <v>1942</v>
      </c>
      <c r="BB2165" t="s">
        <v>18674</v>
      </c>
      <c r="BD2165" t="s">
        <v>11749</v>
      </c>
      <c r="BE2165" t="s">
        <v>393</v>
      </c>
      <c r="BF2165">
        <v>32034</v>
      </c>
      <c r="BG2165" t="s">
        <v>20832</v>
      </c>
      <c r="BH2165" t="s">
        <v>11751</v>
      </c>
      <c r="BI2165">
        <v>-81.457887214506997</v>
      </c>
      <c r="BJ2165">
        <v>30.668924312781101</v>
      </c>
      <c r="BK2165" t="s">
        <v>20833</v>
      </c>
      <c r="BM2165" t="s">
        <v>20834</v>
      </c>
      <c r="BN2165" t="s">
        <v>3983</v>
      </c>
      <c r="BO2165">
        <v>32034</v>
      </c>
      <c r="BP2165" t="s">
        <v>416</v>
      </c>
      <c r="BQ2165">
        <v>100</v>
      </c>
      <c r="BR2165" t="s">
        <v>514</v>
      </c>
      <c r="BS2165">
        <v>1001</v>
      </c>
      <c r="BT2165" t="s">
        <v>515</v>
      </c>
      <c r="BW2165">
        <v>30492</v>
      </c>
      <c r="BX2165" t="s">
        <v>407</v>
      </c>
      <c r="BY2165" t="s">
        <v>20633</v>
      </c>
      <c r="BZ2165">
        <v>4</v>
      </c>
      <c r="CA2165">
        <v>1924</v>
      </c>
      <c r="CB2165">
        <v>1.5</v>
      </c>
      <c r="CC2165">
        <v>1</v>
      </c>
      <c r="CD2165">
        <v>2017</v>
      </c>
      <c r="CG2165">
        <v>155390</v>
      </c>
      <c r="CH2165">
        <v>2017</v>
      </c>
      <c r="CI2165">
        <v>327625</v>
      </c>
      <c r="CJ2165">
        <v>137368</v>
      </c>
      <c r="CK2165">
        <v>464993</v>
      </c>
      <c r="CL2165">
        <v>2017</v>
      </c>
      <c r="CM2165">
        <v>2265.46</v>
      </c>
      <c r="CN2165" s="1">
        <v>38555</v>
      </c>
      <c r="CZ2165" s="1">
        <v>38555</v>
      </c>
      <c r="DD2165" t="s">
        <v>11749</v>
      </c>
      <c r="DG2165">
        <v>23</v>
      </c>
      <c r="DJ2165" t="s">
        <v>20634</v>
      </c>
      <c r="DL2165">
        <v>50101</v>
      </c>
      <c r="DM2165" t="s">
        <v>20742</v>
      </c>
      <c r="DO2165" t="s">
        <v>20835</v>
      </c>
      <c r="DP2165">
        <v>0</v>
      </c>
      <c r="DQ2165">
        <v>5</v>
      </c>
      <c r="DR2165" t="s">
        <v>1479</v>
      </c>
      <c r="DS2165" t="b">
        <v>1</v>
      </c>
      <c r="DT2165" t="s">
        <v>470</v>
      </c>
      <c r="DU2165" t="s">
        <v>471</v>
      </c>
      <c r="DV2165" t="s">
        <v>472</v>
      </c>
      <c r="DX2165">
        <v>-9999</v>
      </c>
      <c r="DZ2165" t="s">
        <v>447</v>
      </c>
      <c r="EA2165" t="s">
        <v>448</v>
      </c>
      <c r="EB2165" t="s">
        <v>14787</v>
      </c>
      <c r="EC2165">
        <v>20101217</v>
      </c>
      <c r="ED2165" t="s">
        <v>474</v>
      </c>
      <c r="EF2165">
        <v>1036.3</v>
      </c>
      <c r="EG2165">
        <v>772.9</v>
      </c>
      <c r="EI2165">
        <v>20160407</v>
      </c>
      <c r="EJ2165">
        <v>0</v>
      </c>
      <c r="EK2165">
        <v>0</v>
      </c>
      <c r="EP2165" t="s">
        <v>421</v>
      </c>
      <c r="EQ2165" t="s">
        <v>422</v>
      </c>
      <c r="ER2165">
        <v>2</v>
      </c>
      <c r="ES2165">
        <v>6</v>
      </c>
      <c r="ET2165">
        <v>4896.82</v>
      </c>
      <c r="EU2165">
        <v>257.33999999999997</v>
      </c>
      <c r="EV2165">
        <v>5154.16</v>
      </c>
      <c r="EW2165" s="2">
        <v>43222</v>
      </c>
      <c r="EX2165" s="1">
        <v>42879</v>
      </c>
      <c r="EY2165">
        <v>2016</v>
      </c>
      <c r="EZ2165">
        <v>2448.41</v>
      </c>
      <c r="FA2165" t="s">
        <v>20836</v>
      </c>
      <c r="FB2165">
        <v>0.25</v>
      </c>
      <c r="FC2165" t="s">
        <v>424</v>
      </c>
      <c r="FD2165" t="s">
        <v>454</v>
      </c>
      <c r="FF2165">
        <v>12</v>
      </c>
      <c r="FG2165">
        <v>2851116</v>
      </c>
      <c r="FH2165" t="s">
        <v>480</v>
      </c>
      <c r="FJ2165" s="1">
        <v>42879</v>
      </c>
      <c r="FK2165">
        <v>2016</v>
      </c>
      <c r="FL2165">
        <v>2448.41</v>
      </c>
      <c r="FM2165" t="s">
        <v>20836</v>
      </c>
      <c r="FN2165">
        <v>0.25</v>
      </c>
      <c r="FO2165" t="s">
        <v>424</v>
      </c>
      <c r="FP2165" t="s">
        <v>454</v>
      </c>
      <c r="FR2165">
        <v>12</v>
      </c>
      <c r="FS2165">
        <v>5736059</v>
      </c>
      <c r="FT2165" t="s">
        <v>20837</v>
      </c>
      <c r="FV2165" s="1">
        <v>42515</v>
      </c>
      <c r="FW2165">
        <v>2015</v>
      </c>
      <c r="FX2165">
        <v>2458.3000000000002</v>
      </c>
      <c r="FY2165" t="s">
        <v>20838</v>
      </c>
      <c r="FZ2165">
        <v>0.25</v>
      </c>
      <c r="GA2165" t="s">
        <v>424</v>
      </c>
      <c r="GB2165" t="s">
        <v>425</v>
      </c>
      <c r="GC2165" s="1">
        <v>43152</v>
      </c>
      <c r="GD2165">
        <v>21</v>
      </c>
      <c r="GE2165">
        <v>7336671</v>
      </c>
      <c r="GF2165" t="s">
        <v>437</v>
      </c>
      <c r="GH2165" s="1">
        <v>42515</v>
      </c>
      <c r="GI2165">
        <v>2015</v>
      </c>
      <c r="GJ2165">
        <v>2458.3000000000002</v>
      </c>
      <c r="GK2165" t="s">
        <v>20838</v>
      </c>
      <c r="GL2165">
        <v>0.25</v>
      </c>
      <c r="GM2165" t="s">
        <v>424</v>
      </c>
      <c r="GN2165" t="s">
        <v>425</v>
      </c>
      <c r="GP2165">
        <v>22</v>
      </c>
      <c r="GQ2165">
        <v>6817160</v>
      </c>
      <c r="GR2165" t="s">
        <v>20839</v>
      </c>
      <c r="GT2165" s="1">
        <v>42151</v>
      </c>
      <c r="GU2165">
        <v>2014</v>
      </c>
      <c r="GV2165">
        <v>2449.25</v>
      </c>
      <c r="GW2165" t="s">
        <v>20840</v>
      </c>
      <c r="GX2165">
        <v>0.25</v>
      </c>
      <c r="GY2165" t="s">
        <v>424</v>
      </c>
      <c r="GZ2165" t="s">
        <v>425</v>
      </c>
      <c r="HA2165" s="1">
        <v>42794</v>
      </c>
      <c r="HB2165">
        <v>21</v>
      </c>
      <c r="HC2165">
        <v>4975594</v>
      </c>
      <c r="HD2165" t="s">
        <v>457</v>
      </c>
      <c r="HF2165" s="1">
        <v>42151</v>
      </c>
      <c r="HG2165">
        <v>2014</v>
      </c>
      <c r="HH2165">
        <v>2449.25</v>
      </c>
      <c r="HI2165" t="s">
        <v>20840</v>
      </c>
      <c r="HJ2165">
        <v>0.25</v>
      </c>
      <c r="HK2165" t="s">
        <v>424</v>
      </c>
      <c r="HL2165" t="s">
        <v>425</v>
      </c>
      <c r="HN2165">
        <v>22</v>
      </c>
      <c r="HO2165">
        <v>6685646</v>
      </c>
      <c r="HP2165" t="s">
        <v>20841</v>
      </c>
      <c r="HR2165" s="1">
        <v>41787</v>
      </c>
      <c r="HS2165">
        <v>2013</v>
      </c>
      <c r="HT2165">
        <v>2328.77</v>
      </c>
      <c r="HU2165" t="s">
        <v>20842</v>
      </c>
      <c r="HV2165">
        <v>0.25</v>
      </c>
      <c r="HW2165" t="s">
        <v>424</v>
      </c>
      <c r="HX2165" t="s">
        <v>425</v>
      </c>
      <c r="HY2165" s="1">
        <v>42426</v>
      </c>
      <c r="HZ2165">
        <v>21</v>
      </c>
      <c r="IA2165">
        <v>2675455</v>
      </c>
      <c r="IB2165" t="s">
        <v>1981</v>
      </c>
      <c r="ID2165" s="1">
        <v>41423</v>
      </c>
      <c r="IE2165">
        <v>2012</v>
      </c>
      <c r="IF2165">
        <v>2278.14</v>
      </c>
      <c r="IG2165" t="s">
        <v>20843</v>
      </c>
      <c r="IH2165">
        <v>0.25</v>
      </c>
      <c r="II2165" t="s">
        <v>424</v>
      </c>
      <c r="IJ2165" t="s">
        <v>425</v>
      </c>
      <c r="IK2165" s="1">
        <v>42060</v>
      </c>
      <c r="IL2165">
        <v>21</v>
      </c>
      <c r="IM2165">
        <v>15259</v>
      </c>
      <c r="IN2165" t="s">
        <v>891</v>
      </c>
    </row>
    <row r="2166" spans="1:284" x14ac:dyDescent="0.25">
      <c r="A2166">
        <v>16487173</v>
      </c>
      <c r="B2166">
        <v>2165</v>
      </c>
      <c r="C2166" t="s">
        <v>393</v>
      </c>
      <c r="D2166" t="s">
        <v>394</v>
      </c>
      <c r="F2166" t="str">
        <f>"00-00-31-1800-0051-0060"</f>
        <v>00-00-31-1800-0051-0060</v>
      </c>
      <c r="H2166" t="str">
        <f>"BAKER INEZ EST C/O GREEN HENRY D"</f>
        <v>BAKER INEZ EST C/O GREEN HENRY D</v>
      </c>
      <c r="I2166" t="str">
        <f>"923 VERNON ST"</f>
        <v>923 VERNON ST</v>
      </c>
      <c r="J2166" t="str">
        <f>"FERNANDINA BEACH FL 32034"</f>
        <v>FERNANDINA BEACH FL 32034</v>
      </c>
      <c r="K2166" t="str">
        <f>"N 10TH ST"</f>
        <v>N 10TH ST</v>
      </c>
      <c r="L2166" t="str">
        <f t="shared" si="807"/>
        <v>FERNANDINA BEACH FL 32034</v>
      </c>
      <c r="M2166" t="str">
        <f>"BLOCK 51 LOTS 6 7 CITY OF FDNA BEACH"</f>
        <v>BLOCK 51 LOTS 6 7 CITY OF FDNA BEACH</v>
      </c>
      <c r="N2166" t="str">
        <f>""</f>
        <v/>
      </c>
      <c r="O2166" t="str">
        <f>"11639"</f>
        <v>11639</v>
      </c>
      <c r="P2166" t="str">
        <f t="shared" si="800"/>
        <v>2017</v>
      </c>
      <c r="Q2166" t="str">
        <f>""</f>
        <v/>
      </c>
      <c r="R2166" t="str">
        <f>"N"</f>
        <v>N</v>
      </c>
      <c r="S2166" t="str">
        <f>""</f>
        <v/>
      </c>
      <c r="T2166" t="str">
        <f>"306.92"</f>
        <v>306.92</v>
      </c>
      <c r="U2166" t="str">
        <f>"15400.00"</f>
        <v>15400.00</v>
      </c>
      <c r="V2166" t="str">
        <f>"15400.00"</f>
        <v>15400.00</v>
      </c>
      <c r="W2166" t="str">
        <f t="shared" si="801"/>
        <v>2017</v>
      </c>
      <c r="X2166" t="str">
        <f>"13.00"</f>
        <v>13.00</v>
      </c>
      <c r="Y2166" t="str">
        <f>"348.13"</f>
        <v>348.13</v>
      </c>
      <c r="Z2166" t="str">
        <f>""</f>
        <v/>
      </c>
      <c r="AA2166" t="str">
        <f>"15400.00"</f>
        <v>15400.00</v>
      </c>
      <c r="AB2166" t="str">
        <f>"Commercial"</f>
        <v>Commercial</v>
      </c>
      <c r="AC2166" t="str">
        <f t="shared" si="809"/>
        <v>0</v>
      </c>
      <c r="AD2166" t="str">
        <f>""</f>
        <v/>
      </c>
      <c r="AE2166" t="str">
        <f>""</f>
        <v/>
      </c>
      <c r="AF2166" t="str">
        <f>"010"</f>
        <v>010</v>
      </c>
      <c r="AG2166" t="str">
        <f t="shared" si="813"/>
        <v>FL</v>
      </c>
      <c r="AH2166" t="str">
        <f>"20000.00"</f>
        <v>20000.00</v>
      </c>
      <c r="AI2166" t="str">
        <f>"15400.00"</f>
        <v>15400.00</v>
      </c>
      <c r="AJ2166" t="str">
        <f>"C55-000-585-9086-0"</f>
        <v>C55-000-585-9086-0</v>
      </c>
      <c r="AK2166" t="str">
        <f>"48613"</f>
        <v>48613</v>
      </c>
      <c r="AL2166">
        <v>8</v>
      </c>
      <c r="AM2166">
        <v>2473</v>
      </c>
      <c r="AN2166">
        <v>363.94</v>
      </c>
      <c r="AQ2166" t="s">
        <v>20844</v>
      </c>
      <c r="AR2166" t="s">
        <v>20844</v>
      </c>
      <c r="AS2166" t="s">
        <v>20844</v>
      </c>
      <c r="AU2166" t="s">
        <v>396</v>
      </c>
      <c r="AV2166">
        <v>2017</v>
      </c>
      <c r="AW2166" t="str">
        <f>"00-00-31-1800-0051-0060 "</f>
        <v xml:space="preserve">00-00-31-1800-0051-0060 </v>
      </c>
      <c r="AY2166" t="s">
        <v>404</v>
      </c>
      <c r="AZ2166" t="s">
        <v>5188</v>
      </c>
      <c r="BA2166" t="s">
        <v>1942</v>
      </c>
      <c r="BD2166" t="s">
        <v>11749</v>
      </c>
      <c r="BE2166" t="s">
        <v>393</v>
      </c>
      <c r="BF2166">
        <v>32034</v>
      </c>
      <c r="BG2166" t="s">
        <v>20845</v>
      </c>
      <c r="BH2166" t="s">
        <v>11751</v>
      </c>
      <c r="BI2166">
        <v>-81.4573200468907</v>
      </c>
      <c r="BJ2166">
        <v>30.671242166406099</v>
      </c>
      <c r="BK2166" t="s">
        <v>20846</v>
      </c>
      <c r="BM2166" t="s">
        <v>20847</v>
      </c>
      <c r="BN2166" t="s">
        <v>3983</v>
      </c>
      <c r="BO2166">
        <v>32034</v>
      </c>
      <c r="BP2166" t="s">
        <v>404</v>
      </c>
      <c r="BQ2166">
        <v>1000</v>
      </c>
      <c r="BR2166" t="s">
        <v>2391</v>
      </c>
      <c r="BS2166">
        <v>8002</v>
      </c>
      <c r="BT2166" t="s">
        <v>2392</v>
      </c>
      <c r="BW2166">
        <v>20051</v>
      </c>
      <c r="BX2166" t="s">
        <v>407</v>
      </c>
      <c r="BY2166" t="s">
        <v>20633</v>
      </c>
      <c r="CD2166">
        <v>2017</v>
      </c>
      <c r="CE2166">
        <v>15400</v>
      </c>
      <c r="CG2166">
        <v>15400</v>
      </c>
      <c r="CH2166">
        <v>2017</v>
      </c>
      <c r="CI2166">
        <v>15400</v>
      </c>
      <c r="CK2166">
        <v>15400</v>
      </c>
      <c r="CL2166">
        <v>2017</v>
      </c>
      <c r="CM2166">
        <v>306.92</v>
      </c>
      <c r="DD2166" t="s">
        <v>11749</v>
      </c>
      <c r="DG2166">
        <v>22</v>
      </c>
      <c r="DL2166">
        <v>50102</v>
      </c>
      <c r="DM2166" t="s">
        <v>20208</v>
      </c>
      <c r="DO2166" t="s">
        <v>20848</v>
      </c>
      <c r="DP2166">
        <v>0</v>
      </c>
      <c r="DQ2166">
        <v>11</v>
      </c>
      <c r="DR2166" t="s">
        <v>1479</v>
      </c>
      <c r="DS2166" t="b">
        <v>1</v>
      </c>
      <c r="DT2166" t="s">
        <v>470</v>
      </c>
      <c r="DU2166" t="s">
        <v>471</v>
      </c>
      <c r="DV2166" t="s">
        <v>472</v>
      </c>
      <c r="DX2166">
        <v>-9999</v>
      </c>
      <c r="DZ2166" t="s">
        <v>447</v>
      </c>
      <c r="EA2166" t="s">
        <v>448</v>
      </c>
      <c r="EB2166" t="s">
        <v>14787</v>
      </c>
      <c r="EC2166">
        <v>20101217</v>
      </c>
      <c r="ED2166" t="s">
        <v>474</v>
      </c>
      <c r="EF2166">
        <v>355.3</v>
      </c>
      <c r="EG2166">
        <v>8.8000000000000007</v>
      </c>
      <c r="EI2166">
        <v>20160407</v>
      </c>
      <c r="EJ2166">
        <v>0</v>
      </c>
      <c r="EK2166">
        <v>0</v>
      </c>
      <c r="EP2166" t="s">
        <v>421</v>
      </c>
      <c r="EQ2166" t="s">
        <v>422</v>
      </c>
      <c r="ER2166">
        <v>1</v>
      </c>
      <c r="ES2166">
        <v>6</v>
      </c>
      <c r="ET2166">
        <v>333.55</v>
      </c>
      <c r="EU2166">
        <v>34.6</v>
      </c>
      <c r="EV2166">
        <v>368.15</v>
      </c>
      <c r="EW2166" s="2">
        <v>43222</v>
      </c>
      <c r="EX2166" s="1">
        <v>42879</v>
      </c>
      <c r="EY2166">
        <v>2016</v>
      </c>
      <c r="EZ2166">
        <v>333.55</v>
      </c>
      <c r="FA2166" t="s">
        <v>20849</v>
      </c>
      <c r="FB2166">
        <v>8.5</v>
      </c>
      <c r="FC2166" t="s">
        <v>424</v>
      </c>
      <c r="FD2166" t="s">
        <v>454</v>
      </c>
      <c r="FF2166">
        <v>12</v>
      </c>
      <c r="FG2166">
        <v>10003</v>
      </c>
      <c r="FH2166" t="s">
        <v>4341</v>
      </c>
      <c r="FJ2166" s="1">
        <v>42515</v>
      </c>
      <c r="FK2166">
        <v>2015</v>
      </c>
      <c r="FL2166">
        <v>332.47</v>
      </c>
      <c r="FM2166" t="s">
        <v>20850</v>
      </c>
      <c r="FN2166">
        <v>6</v>
      </c>
      <c r="FO2166" t="s">
        <v>424</v>
      </c>
      <c r="FP2166" t="s">
        <v>425</v>
      </c>
      <c r="FQ2166" s="1">
        <v>43146</v>
      </c>
      <c r="FR2166">
        <v>21</v>
      </c>
      <c r="FS2166">
        <v>10003</v>
      </c>
      <c r="FT2166" t="s">
        <v>4341</v>
      </c>
      <c r="FV2166" s="1">
        <v>42151</v>
      </c>
      <c r="FW2166">
        <v>2014</v>
      </c>
      <c r="FX2166">
        <v>334.69</v>
      </c>
      <c r="FY2166" t="s">
        <v>20851</v>
      </c>
      <c r="FZ2166">
        <v>5.25</v>
      </c>
      <c r="GA2166" t="s">
        <v>424</v>
      </c>
      <c r="GB2166" t="s">
        <v>425</v>
      </c>
      <c r="GC2166" s="1">
        <v>42853</v>
      </c>
      <c r="GD2166">
        <v>23</v>
      </c>
      <c r="GE2166">
        <v>7045028</v>
      </c>
      <c r="GF2166" t="s">
        <v>8439</v>
      </c>
      <c r="GH2166" s="1">
        <v>41787</v>
      </c>
      <c r="GI2166">
        <v>2013</v>
      </c>
      <c r="GJ2166">
        <v>367.11</v>
      </c>
      <c r="GK2166" t="s">
        <v>20852</v>
      </c>
      <c r="GL2166">
        <v>3</v>
      </c>
      <c r="GM2166" t="s">
        <v>424</v>
      </c>
      <c r="GN2166" t="s">
        <v>425</v>
      </c>
      <c r="GO2166" s="1">
        <v>42117</v>
      </c>
      <c r="GP2166">
        <v>11</v>
      </c>
      <c r="GQ2166">
        <v>10125</v>
      </c>
      <c r="GR2166" t="s">
        <v>440</v>
      </c>
      <c r="GT2166" s="1">
        <v>41423</v>
      </c>
      <c r="GU2166">
        <v>2012</v>
      </c>
      <c r="GV2166">
        <v>366.7</v>
      </c>
      <c r="GW2166" t="s">
        <v>20853</v>
      </c>
      <c r="GX2166">
        <v>3.25</v>
      </c>
      <c r="GY2166" t="s">
        <v>424</v>
      </c>
      <c r="GZ2166" t="s">
        <v>425</v>
      </c>
      <c r="HA2166" s="1">
        <v>41480</v>
      </c>
      <c r="HB2166">
        <v>2</v>
      </c>
      <c r="HC2166">
        <v>10125</v>
      </c>
      <c r="HD2166" t="s">
        <v>440</v>
      </c>
      <c r="HF2166" s="1">
        <v>41052</v>
      </c>
      <c r="HG2166">
        <v>2011</v>
      </c>
      <c r="HH2166">
        <v>348.16</v>
      </c>
      <c r="HI2166" t="s">
        <v>20854</v>
      </c>
      <c r="HJ2166">
        <v>7</v>
      </c>
      <c r="HK2166" t="s">
        <v>424</v>
      </c>
      <c r="HL2166" t="s">
        <v>425</v>
      </c>
      <c r="HM2166" s="1">
        <v>41088</v>
      </c>
      <c r="HN2166">
        <v>1</v>
      </c>
      <c r="HO2166">
        <v>10125</v>
      </c>
      <c r="HP2166" t="s">
        <v>440</v>
      </c>
      <c r="HR2166" s="1">
        <v>40688</v>
      </c>
      <c r="HS2166">
        <v>2010</v>
      </c>
      <c r="HT2166">
        <v>339.89</v>
      </c>
      <c r="HU2166" t="s">
        <v>20855</v>
      </c>
      <c r="HV2166">
        <v>4</v>
      </c>
      <c r="HW2166" t="s">
        <v>424</v>
      </c>
      <c r="HX2166" t="s">
        <v>425</v>
      </c>
      <c r="HY2166" s="1">
        <v>41088</v>
      </c>
      <c r="HZ2166">
        <v>13</v>
      </c>
      <c r="IA2166">
        <v>10003</v>
      </c>
      <c r="IB2166" t="s">
        <v>4341</v>
      </c>
    </row>
    <row r="2167" spans="1:284" x14ac:dyDescent="0.25">
      <c r="A2167">
        <v>16487174</v>
      </c>
      <c r="B2167">
        <v>2166</v>
      </c>
      <c r="C2167" t="s">
        <v>393</v>
      </c>
      <c r="D2167" t="s">
        <v>394</v>
      </c>
      <c r="F2167" t="str">
        <f>"00-00-31-1800-0052-0021"</f>
        <v>00-00-31-1800-0052-0021</v>
      </c>
      <c r="H2167" t="str">
        <f>"RICHO CATHERINE SUSIE &amp; RICHO EDDIE JR &amp; JACKSON AMBLER MARIE RICHO"</f>
        <v>RICHO CATHERINE SUSIE &amp; RICHO EDDIE JR &amp; JACKSON AMBLER MARIE RICHO</v>
      </c>
      <c r="I2167" t="str">
        <f>""</f>
        <v/>
      </c>
      <c r="J2167" t="str">
        <f>"FERNANDINA BEACH FL 32034"</f>
        <v>FERNANDINA BEACH FL 32034</v>
      </c>
      <c r="K2167" t="str">
        <f>"16 10TH ST N"</f>
        <v>16 10TH ST N</v>
      </c>
      <c r="L2167" t="str">
        <f t="shared" si="807"/>
        <v>FERNANDINA BEACH FL 32034</v>
      </c>
      <c r="M2167" t="str">
        <f>"BLOCK 52 LOT N1/2 OF 2 IN OR 714/1457 CITY OF FDNA BEACH 1/3 HX INT"</f>
        <v>BLOCK 52 LOT N1/2 OF 2 IN OR 714/1457 CITY OF FDNA BEACH 1/3 HX INT</v>
      </c>
      <c r="N2167" t="str">
        <f>""</f>
        <v/>
      </c>
      <c r="O2167" t="str">
        <f>"11641"</f>
        <v>11641</v>
      </c>
      <c r="P2167" t="str">
        <f t="shared" si="800"/>
        <v>2017</v>
      </c>
      <c r="Q2167" t="str">
        <f>""</f>
        <v/>
      </c>
      <c r="R2167" t="str">
        <f>"N"</f>
        <v>N</v>
      </c>
      <c r="S2167" t="str">
        <f>""</f>
        <v/>
      </c>
      <c r="T2167" t="str">
        <f>"2137.30"</f>
        <v>2137.30</v>
      </c>
      <c r="U2167" t="str">
        <f>"107157.00"</f>
        <v>107157.00</v>
      </c>
      <c r="V2167" t="str">
        <f>"107157.00"</f>
        <v>107157.00</v>
      </c>
      <c r="W2167" t="str">
        <f t="shared" si="801"/>
        <v>2017</v>
      </c>
      <c r="X2167" t="str">
        <f>"17.86"</f>
        <v>17.86</v>
      </c>
      <c r="Y2167" t="str">
        <f>"2233.42"</f>
        <v>2233.42</v>
      </c>
      <c r="Z2167" t="str">
        <f>""</f>
        <v/>
      </c>
      <c r="AA2167" t="str">
        <f>"107398.00"</f>
        <v>107398.00</v>
      </c>
      <c r="AB2167" t="str">
        <f t="shared" ref="AB2167:AB2173" si="814">"Residential"</f>
        <v>Residential</v>
      </c>
      <c r="AC2167" t="str">
        <f t="shared" si="809"/>
        <v>0</v>
      </c>
      <c r="AD2167" t="str">
        <f>"3"</f>
        <v>3</v>
      </c>
      <c r="AE2167" t="str">
        <f>"MASONRY"</f>
        <v>MASONRY</v>
      </c>
      <c r="AF2167" t="str">
        <f>"001"</f>
        <v>001</v>
      </c>
      <c r="AG2167" t="str">
        <f t="shared" si="813"/>
        <v>FL</v>
      </c>
      <c r="AH2167" t="str">
        <f>"5000.00"</f>
        <v>5000.00</v>
      </c>
      <c r="AI2167" t="str">
        <f>"44000.00"</f>
        <v>44000.00</v>
      </c>
      <c r="AJ2167" t="str">
        <f>"C55-000-585-9088-6"</f>
        <v>C55-000-585-9088-6</v>
      </c>
      <c r="AK2167" t="str">
        <f>"48615"</f>
        <v>48615</v>
      </c>
      <c r="AL2167">
        <v>8</v>
      </c>
      <c r="AM2167">
        <v>2474</v>
      </c>
      <c r="AN2167">
        <v>2343.4899999999998</v>
      </c>
      <c r="AQ2167" t="s">
        <v>20856</v>
      </c>
      <c r="AR2167" t="s">
        <v>20856</v>
      </c>
      <c r="AS2167" t="s">
        <v>20856</v>
      </c>
      <c r="AU2167" t="s">
        <v>396</v>
      </c>
      <c r="AV2167">
        <v>2017</v>
      </c>
      <c r="AW2167" t="str">
        <f>"00-00-31-1800-0052-0021 "</f>
        <v xml:space="preserve">00-00-31-1800-0052-0021 </v>
      </c>
      <c r="AX2167">
        <v>16</v>
      </c>
      <c r="AZ2167" t="s">
        <v>5188</v>
      </c>
      <c r="BA2167" t="s">
        <v>1942</v>
      </c>
      <c r="BB2167" t="s">
        <v>404</v>
      </c>
      <c r="BD2167" t="s">
        <v>11749</v>
      </c>
      <c r="BE2167" t="s">
        <v>393</v>
      </c>
      <c r="BF2167">
        <v>32034</v>
      </c>
      <c r="BG2167" t="s">
        <v>20857</v>
      </c>
      <c r="BH2167" t="s">
        <v>11751</v>
      </c>
      <c r="BI2167">
        <v>-81.456827249574204</v>
      </c>
      <c r="BJ2167">
        <v>30.671116585282899</v>
      </c>
      <c r="BK2167" t="s">
        <v>20858</v>
      </c>
      <c r="BM2167" t="s">
        <v>20859</v>
      </c>
      <c r="BN2167" t="s">
        <v>3983</v>
      </c>
      <c r="BO2167">
        <v>32034</v>
      </c>
      <c r="BP2167" t="s">
        <v>416</v>
      </c>
      <c r="BQ2167">
        <v>100</v>
      </c>
      <c r="BR2167" t="s">
        <v>514</v>
      </c>
      <c r="BS2167">
        <v>1001</v>
      </c>
      <c r="BT2167" t="s">
        <v>515</v>
      </c>
      <c r="BW2167">
        <v>4944</v>
      </c>
      <c r="BX2167" t="s">
        <v>407</v>
      </c>
      <c r="BY2167" t="s">
        <v>20633</v>
      </c>
      <c r="BZ2167">
        <v>3</v>
      </c>
      <c r="CA2167">
        <v>1958</v>
      </c>
      <c r="CB2167">
        <v>1</v>
      </c>
      <c r="CC2167">
        <v>1</v>
      </c>
      <c r="CD2167">
        <v>2017</v>
      </c>
      <c r="CE2167">
        <v>44000</v>
      </c>
      <c r="CF2167">
        <v>63398</v>
      </c>
      <c r="CG2167">
        <v>107398</v>
      </c>
      <c r="CH2167">
        <v>2017</v>
      </c>
      <c r="CI2167">
        <v>44000</v>
      </c>
      <c r="CJ2167">
        <v>63398</v>
      </c>
      <c r="CK2167">
        <v>107398</v>
      </c>
      <c r="CL2167">
        <v>2017</v>
      </c>
      <c r="CM2167">
        <v>2137.3000000000002</v>
      </c>
      <c r="CN2167" s="1">
        <v>34600</v>
      </c>
      <c r="CZ2167" s="1">
        <v>34600</v>
      </c>
      <c r="DD2167" t="s">
        <v>11749</v>
      </c>
      <c r="DG2167">
        <v>22</v>
      </c>
      <c r="DL2167">
        <v>50102</v>
      </c>
      <c r="DM2167" t="s">
        <v>20208</v>
      </c>
      <c r="DO2167" t="s">
        <v>20860</v>
      </c>
      <c r="DP2167">
        <v>0</v>
      </c>
      <c r="DQ2167">
        <v>8</v>
      </c>
      <c r="DR2167" t="s">
        <v>1174</v>
      </c>
      <c r="DS2167" t="b">
        <v>1</v>
      </c>
      <c r="DT2167" t="s">
        <v>470</v>
      </c>
      <c r="DU2167" t="s">
        <v>471</v>
      </c>
      <c r="DV2167" t="s">
        <v>472</v>
      </c>
      <c r="DX2167">
        <v>-9999</v>
      </c>
      <c r="DZ2167" t="s">
        <v>447</v>
      </c>
      <c r="EA2167" t="s">
        <v>448</v>
      </c>
      <c r="EB2167" t="s">
        <v>14787</v>
      </c>
      <c r="EC2167">
        <v>20101217</v>
      </c>
      <c r="ED2167" t="s">
        <v>474</v>
      </c>
      <c r="EF2167">
        <v>506.8</v>
      </c>
      <c r="EG2167">
        <v>168.7</v>
      </c>
      <c r="EI2167">
        <v>20160407</v>
      </c>
      <c r="EJ2167">
        <v>0</v>
      </c>
      <c r="EK2167">
        <v>0</v>
      </c>
      <c r="EP2167" t="s">
        <v>421</v>
      </c>
      <c r="EQ2167" t="s">
        <v>422</v>
      </c>
      <c r="ER2167">
        <v>2</v>
      </c>
      <c r="ES2167">
        <v>9</v>
      </c>
      <c r="ET2167">
        <v>2909.18</v>
      </c>
      <c r="EU2167">
        <v>157.96</v>
      </c>
      <c r="EV2167">
        <v>3067.14</v>
      </c>
      <c r="EW2167" s="2">
        <v>43222</v>
      </c>
      <c r="EX2167" s="1">
        <v>42879</v>
      </c>
      <c r="EY2167">
        <v>2016</v>
      </c>
      <c r="EZ2167">
        <v>1454.59</v>
      </c>
      <c r="FA2167" t="s">
        <v>20861</v>
      </c>
      <c r="FB2167">
        <v>0.25</v>
      </c>
      <c r="FC2167" t="s">
        <v>424</v>
      </c>
      <c r="FD2167" t="s">
        <v>454</v>
      </c>
      <c r="FF2167">
        <v>12</v>
      </c>
      <c r="FG2167">
        <v>7336671</v>
      </c>
      <c r="FH2167" t="s">
        <v>437</v>
      </c>
      <c r="FJ2167" s="1">
        <v>42879</v>
      </c>
      <c r="FK2167">
        <v>2016</v>
      </c>
      <c r="FL2167">
        <v>1454.59</v>
      </c>
      <c r="FM2167" t="s">
        <v>20861</v>
      </c>
      <c r="FN2167">
        <v>0.25</v>
      </c>
      <c r="FO2167" t="s">
        <v>424</v>
      </c>
      <c r="FP2167" t="s">
        <v>454</v>
      </c>
      <c r="FR2167">
        <v>12</v>
      </c>
      <c r="FS2167">
        <v>5166207</v>
      </c>
      <c r="FT2167" t="s">
        <v>20862</v>
      </c>
      <c r="FV2167" s="1">
        <v>42515</v>
      </c>
      <c r="FW2167">
        <v>2015</v>
      </c>
      <c r="FX2167">
        <v>1462.58</v>
      </c>
      <c r="FY2167" t="s">
        <v>20863</v>
      </c>
      <c r="FZ2167">
        <v>0.25</v>
      </c>
      <c r="GA2167" t="s">
        <v>424</v>
      </c>
      <c r="GB2167" t="s">
        <v>425</v>
      </c>
      <c r="GC2167" s="1">
        <v>42899</v>
      </c>
      <c r="GD2167">
        <v>13</v>
      </c>
      <c r="GE2167">
        <v>7045074</v>
      </c>
      <c r="GF2167" t="s">
        <v>580</v>
      </c>
      <c r="GH2167" s="1">
        <v>42515</v>
      </c>
      <c r="GI2167">
        <v>2015</v>
      </c>
      <c r="GJ2167">
        <v>1462.58</v>
      </c>
      <c r="GK2167" t="s">
        <v>20863</v>
      </c>
      <c r="GL2167">
        <v>0.25</v>
      </c>
      <c r="GM2167" t="s">
        <v>424</v>
      </c>
      <c r="GN2167" t="s">
        <v>425</v>
      </c>
      <c r="GP2167">
        <v>22</v>
      </c>
      <c r="GQ2167">
        <v>6368019</v>
      </c>
      <c r="GR2167" t="s">
        <v>20864</v>
      </c>
      <c r="GT2167" s="1">
        <v>42151</v>
      </c>
      <c r="GU2167">
        <v>2014</v>
      </c>
      <c r="GV2167">
        <v>1368.42</v>
      </c>
      <c r="GW2167" t="s">
        <v>20865</v>
      </c>
      <c r="GX2167">
        <v>0.25</v>
      </c>
      <c r="GY2167" t="s">
        <v>424</v>
      </c>
      <c r="GZ2167" t="s">
        <v>425</v>
      </c>
      <c r="HA2167" s="1">
        <v>42899</v>
      </c>
      <c r="HB2167">
        <v>25</v>
      </c>
      <c r="HC2167">
        <v>4975594</v>
      </c>
      <c r="HD2167" t="s">
        <v>457</v>
      </c>
      <c r="HF2167" s="1">
        <v>42151</v>
      </c>
      <c r="HG2167">
        <v>2014</v>
      </c>
      <c r="HH2167">
        <v>1368.42</v>
      </c>
      <c r="HI2167" t="s">
        <v>20865</v>
      </c>
      <c r="HJ2167">
        <v>0.25</v>
      </c>
      <c r="HK2167" t="s">
        <v>424</v>
      </c>
      <c r="HL2167" t="s">
        <v>425</v>
      </c>
      <c r="HN2167">
        <v>22</v>
      </c>
      <c r="HO2167">
        <v>6269661</v>
      </c>
      <c r="HP2167" t="s">
        <v>20866</v>
      </c>
      <c r="HR2167" s="1">
        <v>41787</v>
      </c>
      <c r="HS2167">
        <v>2013</v>
      </c>
      <c r="HT2167">
        <v>1174.9000000000001</v>
      </c>
      <c r="HU2167" t="s">
        <v>20867</v>
      </c>
      <c r="HV2167">
        <v>0.25</v>
      </c>
      <c r="HW2167" t="s">
        <v>424</v>
      </c>
      <c r="HX2167" t="s">
        <v>425</v>
      </c>
      <c r="HY2167" s="1">
        <v>42093</v>
      </c>
      <c r="HZ2167">
        <v>10</v>
      </c>
      <c r="IA2167">
        <v>15259</v>
      </c>
      <c r="IB2167" t="s">
        <v>891</v>
      </c>
      <c r="ID2167" s="1">
        <v>41423</v>
      </c>
      <c r="IE2167">
        <v>2012</v>
      </c>
      <c r="IF2167">
        <v>1151.5999999999999</v>
      </c>
      <c r="IG2167" t="s">
        <v>20868</v>
      </c>
      <c r="IH2167">
        <v>0.25</v>
      </c>
      <c r="II2167" t="s">
        <v>424</v>
      </c>
      <c r="IJ2167" t="s">
        <v>425</v>
      </c>
      <c r="IK2167" s="1">
        <v>42093</v>
      </c>
      <c r="IL2167">
        <v>22</v>
      </c>
      <c r="IM2167">
        <v>15259</v>
      </c>
      <c r="IN2167" t="s">
        <v>891</v>
      </c>
      <c r="IP2167" s="1">
        <v>41052</v>
      </c>
      <c r="IQ2167">
        <v>2011</v>
      </c>
      <c r="IR2167">
        <v>1167.81</v>
      </c>
      <c r="IS2167" t="s">
        <v>20869</v>
      </c>
      <c r="IT2167">
        <v>0.25</v>
      </c>
      <c r="IU2167" t="s">
        <v>424</v>
      </c>
      <c r="IV2167" t="s">
        <v>425</v>
      </c>
      <c r="IW2167" s="1">
        <v>41389</v>
      </c>
      <c r="IX2167">
        <v>11</v>
      </c>
      <c r="IY2167">
        <v>13104</v>
      </c>
      <c r="IZ2167" t="s">
        <v>888</v>
      </c>
      <c r="JB2167" s="1">
        <v>41052</v>
      </c>
      <c r="JC2167">
        <v>2011</v>
      </c>
      <c r="JD2167">
        <v>1167.81</v>
      </c>
      <c r="JE2167" t="s">
        <v>20869</v>
      </c>
      <c r="JF2167">
        <v>0.25</v>
      </c>
      <c r="JG2167" t="s">
        <v>424</v>
      </c>
      <c r="JH2167" t="s">
        <v>425</v>
      </c>
      <c r="JJ2167">
        <v>22</v>
      </c>
      <c r="JK2167">
        <v>13709</v>
      </c>
      <c r="JL2167" t="s">
        <v>20870</v>
      </c>
      <c r="JN2167" s="1">
        <v>40688</v>
      </c>
      <c r="JO2167">
        <v>2010</v>
      </c>
      <c r="JP2167">
        <v>1214.24</v>
      </c>
      <c r="JQ2167" t="s">
        <v>20871</v>
      </c>
      <c r="JR2167">
        <v>0.25</v>
      </c>
      <c r="JS2167" t="s">
        <v>424</v>
      </c>
      <c r="JT2167" t="s">
        <v>425</v>
      </c>
      <c r="JU2167" s="1">
        <v>41389</v>
      </c>
      <c r="JV2167">
        <v>23</v>
      </c>
      <c r="JW2167">
        <v>11296</v>
      </c>
      <c r="JX2167" t="s">
        <v>4008</v>
      </c>
    </row>
    <row r="2168" spans="1:284" x14ac:dyDescent="0.25">
      <c r="A2168">
        <v>16487175</v>
      </c>
      <c r="B2168">
        <v>2167</v>
      </c>
      <c r="C2168" t="s">
        <v>393</v>
      </c>
      <c r="D2168" t="s">
        <v>394</v>
      </c>
      <c r="F2168" t="str">
        <f>"00-00-31-1800-0054-0051"</f>
        <v>00-00-31-1800-0054-0051</v>
      </c>
      <c r="H2168" t="str">
        <f>"BLUE ROBERT ELLIOTT JR &amp; SHUNTAY LAWANNA BLUE BETTY JEAN LAMPKINS GUARDIAN"</f>
        <v>BLUE ROBERT ELLIOTT JR &amp; SHUNTAY LAWANNA BLUE BETTY JEAN LAMPKINS GUARDIAN</v>
      </c>
      <c r="I2168" t="str">
        <f>""</f>
        <v/>
      </c>
      <c r="J2168" t="str">
        <f>"FERNANDINA BEACH FL 32035"</f>
        <v>FERNANDINA BEACH FL 32035</v>
      </c>
      <c r="K2168" t="str">
        <f>"125 11TH ST S"</f>
        <v>125 11TH ST S</v>
      </c>
      <c r="L2168" t="str">
        <f t="shared" si="807"/>
        <v>FERNANDINA BEACH FL 32034</v>
      </c>
      <c r="M2168" t="str">
        <f>"BLK 54 E 50 &amp; E 25 OF N35 OF W 1/2 OF LOT 5 BY WILL EX S65 OF E50 OF LOT 5 CITY OF FDNA BEACH"</f>
        <v>BLK 54 E 50 &amp; E 25 OF N35 OF W 1/2 OF LOT 5 BY WILL EX S65 OF E50 OF LOT 5 CITY OF FDNA BEACH</v>
      </c>
      <c r="N2168" t="str">
        <f>""</f>
        <v/>
      </c>
      <c r="O2168" t="str">
        <f>"11664"</f>
        <v>11664</v>
      </c>
      <c r="P2168" t="str">
        <f t="shared" si="800"/>
        <v>2017</v>
      </c>
      <c r="Q2168" t="str">
        <f>""</f>
        <v/>
      </c>
      <c r="R2168" t="str">
        <f>"N"</f>
        <v>N</v>
      </c>
      <c r="S2168" t="str">
        <f>""</f>
        <v/>
      </c>
      <c r="T2168" t="str">
        <f>"814.16"</f>
        <v>814.16</v>
      </c>
      <c r="U2168" t="str">
        <f>"38602.00"</f>
        <v>38602.00</v>
      </c>
      <c r="V2168" t="str">
        <f>"38602.00"</f>
        <v>38602.00</v>
      </c>
      <c r="W2168" t="str">
        <f t="shared" si="801"/>
        <v>2017</v>
      </c>
      <c r="X2168" t="str">
        <f>"30.24"</f>
        <v>30.24</v>
      </c>
      <c r="Y2168" t="str">
        <f>"870.58"</f>
        <v>870.58</v>
      </c>
      <c r="Z2168" t="str">
        <f>""</f>
        <v/>
      </c>
      <c r="AA2168" t="str">
        <f>"45391.00"</f>
        <v>45391.00</v>
      </c>
      <c r="AB2168" t="str">
        <f t="shared" si="814"/>
        <v>Residential</v>
      </c>
      <c r="AC2168" t="str">
        <f t="shared" si="809"/>
        <v>0</v>
      </c>
      <c r="AD2168" t="str">
        <f>"4"</f>
        <v>4</v>
      </c>
      <c r="AE2168" t="str">
        <f>"WOOD (INCLUDE STEEL STUDS)"</f>
        <v>WOOD (INCLUDE STEEL STUDS)</v>
      </c>
      <c r="AF2168" t="str">
        <f>"001"</f>
        <v>001</v>
      </c>
      <c r="AG2168" t="str">
        <f t="shared" si="813"/>
        <v>FL</v>
      </c>
      <c r="AH2168" t="str">
        <f>"5875.00"</f>
        <v>5875.00</v>
      </c>
      <c r="AI2168" t="str">
        <f>"33495.00"</f>
        <v>33495.00</v>
      </c>
      <c r="AJ2168" t="str">
        <f>"C55-000-585-9108-2"</f>
        <v>C55-000-585-9108-2</v>
      </c>
      <c r="AK2168" t="str">
        <f>"48637"</f>
        <v>48637</v>
      </c>
      <c r="AL2168">
        <v>8</v>
      </c>
      <c r="AM2168">
        <v>2476</v>
      </c>
      <c r="AN2168">
        <v>912.51</v>
      </c>
      <c r="AQ2168" t="s">
        <v>20872</v>
      </c>
      <c r="AR2168" t="s">
        <v>20872</v>
      </c>
      <c r="AS2168" t="s">
        <v>20872</v>
      </c>
      <c r="AU2168" t="s">
        <v>396</v>
      </c>
      <c r="AV2168">
        <v>2017</v>
      </c>
      <c r="AW2168" t="str">
        <f>"00-00-31-1800-0054-0051 "</f>
        <v xml:space="preserve">00-00-31-1800-0054-0051 </v>
      </c>
      <c r="AX2168">
        <v>125</v>
      </c>
      <c r="AZ2168" t="s">
        <v>5153</v>
      </c>
      <c r="BA2168" t="s">
        <v>1942</v>
      </c>
      <c r="BB2168" t="s">
        <v>18674</v>
      </c>
      <c r="BD2168" t="s">
        <v>11749</v>
      </c>
      <c r="BE2168" t="s">
        <v>393</v>
      </c>
      <c r="BF2168">
        <v>32034</v>
      </c>
      <c r="BG2168" t="s">
        <v>20873</v>
      </c>
      <c r="BH2168" t="s">
        <v>11751</v>
      </c>
      <c r="BI2168">
        <v>-81.456900646250105</v>
      </c>
      <c r="BJ2168">
        <v>30.668250585121299</v>
      </c>
      <c r="BK2168" t="s">
        <v>20874</v>
      </c>
      <c r="BL2168" t="s">
        <v>20875</v>
      </c>
      <c r="BM2168" t="s">
        <v>20876</v>
      </c>
      <c r="BN2168" t="s">
        <v>3983</v>
      </c>
      <c r="BO2168">
        <v>32035</v>
      </c>
      <c r="BP2168" t="s">
        <v>404</v>
      </c>
      <c r="BQ2168">
        <v>100</v>
      </c>
      <c r="BR2168" t="s">
        <v>514</v>
      </c>
      <c r="BS2168">
        <v>1001</v>
      </c>
      <c r="BT2168" t="s">
        <v>515</v>
      </c>
      <c r="BU2168">
        <v>350</v>
      </c>
      <c r="BV2168">
        <v>0</v>
      </c>
      <c r="BW2168">
        <v>2562</v>
      </c>
      <c r="BX2168" t="s">
        <v>407</v>
      </c>
      <c r="BY2168" t="s">
        <v>18253</v>
      </c>
      <c r="BZ2168">
        <v>4</v>
      </c>
      <c r="CA2168">
        <v>1900</v>
      </c>
      <c r="CB2168">
        <v>1</v>
      </c>
      <c r="CC2168">
        <v>1</v>
      </c>
      <c r="CD2168">
        <v>2017</v>
      </c>
      <c r="CE2168">
        <v>33495</v>
      </c>
      <c r="CF2168">
        <v>11896</v>
      </c>
      <c r="CG2168">
        <v>45391</v>
      </c>
      <c r="CH2168">
        <v>2017</v>
      </c>
      <c r="CI2168">
        <v>33495</v>
      </c>
      <c r="CJ2168">
        <v>11896</v>
      </c>
      <c r="CK2168">
        <v>45391</v>
      </c>
      <c r="CL2168">
        <v>2017</v>
      </c>
      <c r="CM2168">
        <v>814.16</v>
      </c>
      <c r="DD2168" t="s">
        <v>11749</v>
      </c>
      <c r="DF2168">
        <v>5</v>
      </c>
      <c r="DG2168">
        <v>23</v>
      </c>
      <c r="DL2168">
        <v>50101</v>
      </c>
      <c r="DM2168" t="s">
        <v>20742</v>
      </c>
      <c r="DO2168" t="s">
        <v>20877</v>
      </c>
      <c r="DP2168">
        <v>0</v>
      </c>
      <c r="DQ2168">
        <v>0</v>
      </c>
      <c r="DR2168" t="s">
        <v>411</v>
      </c>
      <c r="DS2168" t="b">
        <v>1</v>
      </c>
      <c r="DT2168" t="s">
        <v>470</v>
      </c>
      <c r="DU2168" t="s">
        <v>471</v>
      </c>
      <c r="DV2168" t="s">
        <v>472</v>
      </c>
      <c r="DX2168">
        <v>-9999</v>
      </c>
      <c r="DZ2168" t="s">
        <v>447</v>
      </c>
      <c r="EA2168" t="s">
        <v>448</v>
      </c>
      <c r="EB2168" t="s">
        <v>14787</v>
      </c>
      <c r="EC2168">
        <v>20101217</v>
      </c>
      <c r="ED2168" t="s">
        <v>474</v>
      </c>
      <c r="EF2168">
        <v>1379.8</v>
      </c>
      <c r="EG2168">
        <v>1036.0999999999999</v>
      </c>
      <c r="EI2168">
        <v>20160407</v>
      </c>
      <c r="EJ2168">
        <v>0</v>
      </c>
      <c r="EK2168">
        <v>0</v>
      </c>
      <c r="EP2168" t="s">
        <v>421</v>
      </c>
      <c r="EQ2168" t="s">
        <v>452</v>
      </c>
      <c r="ER2168">
        <v>1</v>
      </c>
      <c r="ES2168">
        <v>6</v>
      </c>
      <c r="ET2168">
        <v>361.48</v>
      </c>
      <c r="EU2168">
        <v>24.32</v>
      </c>
      <c r="EV2168">
        <v>385.8</v>
      </c>
      <c r="EW2168" s="2">
        <v>43222</v>
      </c>
      <c r="EX2168" s="1">
        <v>42879</v>
      </c>
      <c r="EY2168">
        <v>2016</v>
      </c>
      <c r="EZ2168">
        <v>361.48</v>
      </c>
      <c r="FA2168" t="s">
        <v>20878</v>
      </c>
      <c r="FB2168">
        <v>4.75</v>
      </c>
      <c r="FC2168" t="s">
        <v>424</v>
      </c>
      <c r="FD2168" t="s">
        <v>454</v>
      </c>
      <c r="FF2168">
        <v>12</v>
      </c>
      <c r="FG2168">
        <v>2035919</v>
      </c>
      <c r="FH2168" t="s">
        <v>507</v>
      </c>
      <c r="FJ2168" s="1">
        <v>42515</v>
      </c>
      <c r="FK2168">
        <v>2015</v>
      </c>
      <c r="FL2168">
        <v>313.51</v>
      </c>
      <c r="FM2168" t="s">
        <v>20879</v>
      </c>
      <c r="FN2168">
        <v>18</v>
      </c>
      <c r="FO2168" t="s">
        <v>424</v>
      </c>
      <c r="FP2168" t="s">
        <v>425</v>
      </c>
      <c r="FQ2168" s="1">
        <v>42584</v>
      </c>
      <c r="FR2168">
        <v>3</v>
      </c>
      <c r="FS2168">
        <v>7045045</v>
      </c>
      <c r="FT2168" t="s">
        <v>2475</v>
      </c>
      <c r="FU2168" t="s">
        <v>458</v>
      </c>
      <c r="FV2168" s="1">
        <v>42151</v>
      </c>
      <c r="FW2168">
        <v>2014</v>
      </c>
      <c r="FX2168">
        <v>300.41000000000003</v>
      </c>
      <c r="FY2168" t="s">
        <v>20880</v>
      </c>
      <c r="FZ2168">
        <v>18</v>
      </c>
      <c r="GA2168" t="s">
        <v>424</v>
      </c>
      <c r="GB2168" t="s">
        <v>425</v>
      </c>
      <c r="GC2168" s="1">
        <v>42584</v>
      </c>
      <c r="GD2168">
        <v>15</v>
      </c>
      <c r="GE2168">
        <v>10628</v>
      </c>
      <c r="GF2168" t="s">
        <v>943</v>
      </c>
      <c r="GG2168" t="s">
        <v>458</v>
      </c>
      <c r="GH2168" s="1">
        <v>41787</v>
      </c>
      <c r="GI2168">
        <v>2013</v>
      </c>
      <c r="GJ2168">
        <v>264.42</v>
      </c>
      <c r="GK2168" t="s">
        <v>20881</v>
      </c>
      <c r="GL2168">
        <v>2.75</v>
      </c>
      <c r="GM2168" t="s">
        <v>424</v>
      </c>
      <c r="GN2168" t="s">
        <v>425</v>
      </c>
      <c r="GP2168">
        <v>22</v>
      </c>
      <c r="GQ2168">
        <v>10125</v>
      </c>
      <c r="GR2168" t="s">
        <v>440</v>
      </c>
      <c r="GS2168" t="s">
        <v>458</v>
      </c>
      <c r="GT2168" s="1">
        <v>41423</v>
      </c>
      <c r="GU2168">
        <v>2012</v>
      </c>
      <c r="GV2168">
        <v>283.11</v>
      </c>
      <c r="GW2168" t="s">
        <v>20882</v>
      </c>
      <c r="GX2168">
        <v>0.25</v>
      </c>
      <c r="GY2168" t="s">
        <v>424</v>
      </c>
      <c r="GZ2168" t="s">
        <v>425</v>
      </c>
      <c r="HA2168" s="1">
        <v>42303</v>
      </c>
      <c r="HB2168">
        <v>29</v>
      </c>
      <c r="HC2168">
        <v>15407</v>
      </c>
      <c r="HD2168" t="s">
        <v>1134</v>
      </c>
      <c r="HF2168" s="1">
        <v>41052</v>
      </c>
      <c r="HG2168">
        <v>2011</v>
      </c>
      <c r="HH2168">
        <v>357.44</v>
      </c>
      <c r="HI2168" t="s">
        <v>20883</v>
      </c>
      <c r="HJ2168">
        <v>8.75</v>
      </c>
      <c r="HK2168" t="s">
        <v>424</v>
      </c>
      <c r="HL2168" t="s">
        <v>425</v>
      </c>
      <c r="HM2168" s="1">
        <v>42429</v>
      </c>
      <c r="HN2168">
        <v>45</v>
      </c>
      <c r="HO2168">
        <v>10125</v>
      </c>
      <c r="HP2168" t="s">
        <v>440</v>
      </c>
      <c r="HR2168" s="1">
        <v>40688</v>
      </c>
      <c r="HS2168">
        <v>2010</v>
      </c>
      <c r="HT2168">
        <v>374.02</v>
      </c>
      <c r="HU2168" t="s">
        <v>20884</v>
      </c>
      <c r="HV2168">
        <v>7</v>
      </c>
      <c r="HW2168" t="s">
        <v>424</v>
      </c>
      <c r="HX2168" t="s">
        <v>425</v>
      </c>
      <c r="HY2168" s="1">
        <v>41365</v>
      </c>
      <c r="HZ2168">
        <v>23</v>
      </c>
      <c r="IA2168">
        <v>10003</v>
      </c>
      <c r="IB2168" t="s">
        <v>4341</v>
      </c>
    </row>
    <row r="2169" spans="1:284" x14ac:dyDescent="0.25">
      <c r="A2169">
        <v>16487176</v>
      </c>
      <c r="B2169">
        <v>2168</v>
      </c>
      <c r="C2169" t="s">
        <v>393</v>
      </c>
      <c r="D2169" t="s">
        <v>394</v>
      </c>
      <c r="F2169" t="str">
        <f>"00-00-31-1800-0054-0052"</f>
        <v>00-00-31-1800-0054-0052</v>
      </c>
      <c r="H2169" t="str">
        <f>"BLUE SHUNTAY LAWANNA"</f>
        <v>BLUE SHUNTAY LAWANNA</v>
      </c>
      <c r="I2169" t="str">
        <f>"PO BOX 579"</f>
        <v>PO BOX 579</v>
      </c>
      <c r="J2169" t="str">
        <f>"FERNANDINA BEACH FL 32035"</f>
        <v>FERNANDINA BEACH FL 32035</v>
      </c>
      <c r="K2169" t="str">
        <f>"1015 BEECH ST"</f>
        <v>1015 BEECH ST</v>
      </c>
      <c r="L2169" t="str">
        <f t="shared" si="807"/>
        <v>FERNANDINA BEACH FL 32034</v>
      </c>
      <c r="M2169" t="str">
        <f>"BLOCK 54 LOT S65FT OF E50 OF LOT 5 IN OR 770/247 CITY OF FDNA BEACH"</f>
        <v>BLOCK 54 LOT S65FT OF E50 OF LOT 5 IN OR 770/247 CITY OF FDNA BEACH</v>
      </c>
      <c r="N2169" t="str">
        <f>""</f>
        <v/>
      </c>
      <c r="O2169" t="str">
        <f>"11665"</f>
        <v>11665</v>
      </c>
      <c r="P2169" t="str">
        <f t="shared" si="800"/>
        <v>2017</v>
      </c>
      <c r="Q2169" t="str">
        <f>""</f>
        <v/>
      </c>
      <c r="R2169" t="str">
        <f>"Y"</f>
        <v>Y</v>
      </c>
      <c r="S2169" t="str">
        <f>""</f>
        <v/>
      </c>
      <c r="T2169" t="str">
        <f>"357.55"</f>
        <v>357.55</v>
      </c>
      <c r="U2169" t="str">
        <f>"42940.00"</f>
        <v>42940.00</v>
      </c>
      <c r="V2169" t="str">
        <f>"42940.00"</f>
        <v>42940.00</v>
      </c>
      <c r="W2169" t="str">
        <f t="shared" si="801"/>
        <v>2017</v>
      </c>
      <c r="X2169" t="str">
        <f>"29.92"</f>
        <v>29.92</v>
      </c>
      <c r="Y2169" t="str">
        <f>"400.28"</f>
        <v>400.28</v>
      </c>
      <c r="Z2169" t="str">
        <f>"25000.00"</f>
        <v>25000.00</v>
      </c>
      <c r="AA2169" t="str">
        <f>"17940.00"</f>
        <v>17940.00</v>
      </c>
      <c r="AB2169" t="str">
        <f t="shared" si="814"/>
        <v>Residential</v>
      </c>
      <c r="AC2169" t="str">
        <f t="shared" si="809"/>
        <v>0</v>
      </c>
      <c r="AD2169" t="str">
        <f>"4"</f>
        <v>4</v>
      </c>
      <c r="AE2169" t="str">
        <f>"WOOD (INCLUDE STEEL STUDS)"</f>
        <v>WOOD (INCLUDE STEEL STUDS)</v>
      </c>
      <c r="AF2169" t="str">
        <f>"001"</f>
        <v>001</v>
      </c>
      <c r="AG2169" t="str">
        <f t="shared" si="813"/>
        <v>FL</v>
      </c>
      <c r="AH2169" t="str">
        <f>"3250.00"</f>
        <v>3250.00</v>
      </c>
      <c r="AI2169" t="str">
        <f>"45650.00"</f>
        <v>45650.00</v>
      </c>
      <c r="AJ2169" t="str">
        <f>"C55-000-585-9109-0"</f>
        <v>C55-000-585-9109-0</v>
      </c>
      <c r="AK2169" t="str">
        <f>"48638"</f>
        <v>48638</v>
      </c>
      <c r="AL2169">
        <v>8</v>
      </c>
      <c r="AM2169">
        <v>2477</v>
      </c>
      <c r="AN2169">
        <v>418.69</v>
      </c>
      <c r="AQ2169" t="s">
        <v>20885</v>
      </c>
      <c r="AR2169" t="s">
        <v>20885</v>
      </c>
      <c r="AS2169" t="s">
        <v>20885</v>
      </c>
      <c r="AU2169" t="s">
        <v>396</v>
      </c>
      <c r="AV2169">
        <v>2017</v>
      </c>
      <c r="AW2169" t="str">
        <f>"00-00-31-1800-0054-0052 "</f>
        <v xml:space="preserve">00-00-31-1800-0054-0052 </v>
      </c>
      <c r="AX2169">
        <v>1015</v>
      </c>
      <c r="AZ2169" t="s">
        <v>19911</v>
      </c>
      <c r="BA2169" t="s">
        <v>1942</v>
      </c>
      <c r="BD2169" t="s">
        <v>11749</v>
      </c>
      <c r="BE2169" t="s">
        <v>393</v>
      </c>
      <c r="BF2169">
        <v>32034</v>
      </c>
      <c r="BG2169" t="s">
        <v>20886</v>
      </c>
      <c r="BH2169" t="s">
        <v>11751</v>
      </c>
      <c r="BI2169">
        <v>-81.456884945993394</v>
      </c>
      <c r="BJ2169">
        <v>30.668109428615399</v>
      </c>
      <c r="BK2169" t="s">
        <v>20887</v>
      </c>
      <c r="BM2169" t="s">
        <v>20876</v>
      </c>
      <c r="BN2169" t="s">
        <v>3983</v>
      </c>
      <c r="BO2169">
        <v>32035</v>
      </c>
      <c r="BP2169" t="s">
        <v>404</v>
      </c>
      <c r="BQ2169">
        <v>100</v>
      </c>
      <c r="BR2169" t="s">
        <v>514</v>
      </c>
      <c r="BS2169">
        <v>1001</v>
      </c>
      <c r="BT2169" t="s">
        <v>515</v>
      </c>
      <c r="BU2169">
        <v>500</v>
      </c>
      <c r="BV2169">
        <v>0</v>
      </c>
      <c r="BW2169">
        <v>3275</v>
      </c>
      <c r="BX2169" t="s">
        <v>407</v>
      </c>
      <c r="BY2169" t="s">
        <v>18253</v>
      </c>
      <c r="BZ2169">
        <v>4</v>
      </c>
      <c r="CA2169">
        <v>1900</v>
      </c>
      <c r="CB2169">
        <v>1</v>
      </c>
      <c r="CC2169">
        <v>1</v>
      </c>
      <c r="CD2169">
        <v>2017</v>
      </c>
      <c r="CG2169">
        <v>42940</v>
      </c>
      <c r="CH2169">
        <v>2017</v>
      </c>
      <c r="CI2169">
        <v>45650</v>
      </c>
      <c r="CJ2169">
        <v>28067</v>
      </c>
      <c r="CK2169">
        <v>73717</v>
      </c>
      <c r="CL2169">
        <v>2017</v>
      </c>
      <c r="CM2169">
        <v>357.55</v>
      </c>
      <c r="CN2169" s="1">
        <v>35312</v>
      </c>
      <c r="CZ2169" s="1">
        <v>35312</v>
      </c>
      <c r="DD2169" t="s">
        <v>11749</v>
      </c>
      <c r="DG2169">
        <v>23</v>
      </c>
      <c r="DL2169">
        <v>50101</v>
      </c>
      <c r="DM2169" t="s">
        <v>20742</v>
      </c>
      <c r="DO2169" t="s">
        <v>20888</v>
      </c>
      <c r="DP2169">
        <v>0</v>
      </c>
      <c r="DQ2169">
        <v>0</v>
      </c>
      <c r="DR2169" t="s">
        <v>411</v>
      </c>
      <c r="DS2169" t="b">
        <v>1</v>
      </c>
      <c r="DT2169" t="s">
        <v>470</v>
      </c>
      <c r="DU2169" t="s">
        <v>471</v>
      </c>
      <c r="DV2169" t="s">
        <v>472</v>
      </c>
      <c r="DX2169">
        <v>-9999</v>
      </c>
      <c r="DZ2169" t="s">
        <v>447</v>
      </c>
      <c r="EA2169" t="s">
        <v>448</v>
      </c>
      <c r="EB2169" t="s">
        <v>14787</v>
      </c>
      <c r="EC2169">
        <v>20101217</v>
      </c>
      <c r="ED2169" t="s">
        <v>474</v>
      </c>
      <c r="EF2169">
        <v>1434.1</v>
      </c>
      <c r="EG2169">
        <v>1091</v>
      </c>
      <c r="EH2169" t="s">
        <v>451</v>
      </c>
      <c r="EI2169">
        <v>20140731</v>
      </c>
      <c r="EJ2169">
        <v>7</v>
      </c>
      <c r="EK2169">
        <v>0</v>
      </c>
      <c r="EP2169" t="s">
        <v>595</v>
      </c>
      <c r="EQ2169" t="s">
        <v>452</v>
      </c>
      <c r="ER2169">
        <v>2</v>
      </c>
      <c r="ES2169">
        <v>6</v>
      </c>
      <c r="ET2169">
        <v>801.02</v>
      </c>
      <c r="EU2169">
        <v>52.55</v>
      </c>
      <c r="EV2169">
        <v>853.57</v>
      </c>
      <c r="EW2169" s="2">
        <v>43222</v>
      </c>
      <c r="EX2169" s="1">
        <v>42879</v>
      </c>
      <c r="EY2169">
        <v>2016</v>
      </c>
      <c r="EZ2169">
        <v>400.51</v>
      </c>
      <c r="FA2169" t="s">
        <v>20889</v>
      </c>
      <c r="FB2169">
        <v>0.25</v>
      </c>
      <c r="FC2169" t="s">
        <v>424</v>
      </c>
      <c r="FD2169" t="s">
        <v>454</v>
      </c>
      <c r="FF2169">
        <v>12</v>
      </c>
      <c r="FG2169">
        <v>2851116</v>
      </c>
      <c r="FH2169" t="s">
        <v>480</v>
      </c>
      <c r="FJ2169" s="1">
        <v>42879</v>
      </c>
      <c r="FK2169">
        <v>2016</v>
      </c>
      <c r="FL2169">
        <v>400.51</v>
      </c>
      <c r="FM2169" t="s">
        <v>20889</v>
      </c>
      <c r="FN2169">
        <v>0.25</v>
      </c>
      <c r="FO2169" t="s">
        <v>424</v>
      </c>
      <c r="FP2169" t="s">
        <v>454</v>
      </c>
      <c r="FR2169">
        <v>12</v>
      </c>
      <c r="FS2169">
        <v>5244754</v>
      </c>
      <c r="FT2169" t="s">
        <v>20890</v>
      </c>
      <c r="FV2169" s="1">
        <v>42151</v>
      </c>
      <c r="FW2169">
        <v>2014</v>
      </c>
      <c r="FX2169">
        <v>389.06</v>
      </c>
      <c r="FY2169" t="s">
        <v>20891</v>
      </c>
      <c r="FZ2169">
        <v>18</v>
      </c>
      <c r="GA2169" t="s">
        <v>603</v>
      </c>
      <c r="GB2169" t="s">
        <v>425</v>
      </c>
      <c r="GD2169">
        <v>22</v>
      </c>
      <c r="GE2169">
        <v>9999999</v>
      </c>
      <c r="GF2169" t="s">
        <v>604</v>
      </c>
      <c r="GG2169" t="s">
        <v>458</v>
      </c>
      <c r="GH2169" s="1">
        <v>42151</v>
      </c>
      <c r="GI2169">
        <v>2014</v>
      </c>
      <c r="GJ2169">
        <v>406.98</v>
      </c>
      <c r="GK2169" t="s">
        <v>20891</v>
      </c>
      <c r="GL2169">
        <v>18</v>
      </c>
      <c r="GM2169" t="s">
        <v>424</v>
      </c>
      <c r="GN2169" t="s">
        <v>425</v>
      </c>
      <c r="GO2169" s="1">
        <v>42299</v>
      </c>
      <c r="GP2169">
        <v>5</v>
      </c>
      <c r="GQ2169">
        <v>10647</v>
      </c>
      <c r="GR2169" t="s">
        <v>4602</v>
      </c>
      <c r="GS2169" t="s">
        <v>458</v>
      </c>
      <c r="GT2169" s="1">
        <v>41787</v>
      </c>
      <c r="GU2169">
        <v>2013</v>
      </c>
      <c r="GV2169">
        <v>363.28</v>
      </c>
      <c r="GW2169" t="s">
        <v>20892</v>
      </c>
      <c r="GX2169">
        <v>2.75</v>
      </c>
      <c r="GY2169" t="s">
        <v>424</v>
      </c>
      <c r="GZ2169" t="s">
        <v>425</v>
      </c>
      <c r="HA2169" s="1">
        <v>42299</v>
      </c>
      <c r="HB2169">
        <v>17</v>
      </c>
      <c r="HC2169">
        <v>10125</v>
      </c>
      <c r="HD2169" t="s">
        <v>440</v>
      </c>
      <c r="HE2169" t="s">
        <v>458</v>
      </c>
      <c r="HF2169" s="1">
        <v>41423</v>
      </c>
      <c r="HG2169">
        <v>2012</v>
      </c>
      <c r="HH2169">
        <v>348.18</v>
      </c>
      <c r="HI2169" t="s">
        <v>20893</v>
      </c>
      <c r="HJ2169">
        <v>0.25</v>
      </c>
      <c r="HK2169" t="s">
        <v>424</v>
      </c>
      <c r="HL2169" t="s">
        <v>425</v>
      </c>
      <c r="HN2169">
        <v>22</v>
      </c>
      <c r="HO2169">
        <v>15407</v>
      </c>
      <c r="HP2169" t="s">
        <v>1134</v>
      </c>
      <c r="HQ2169" t="s">
        <v>458</v>
      </c>
      <c r="HR2169" s="1">
        <v>41052</v>
      </c>
      <c r="HS2169">
        <v>2011</v>
      </c>
      <c r="HT2169">
        <v>305.8</v>
      </c>
      <c r="HU2169" t="s">
        <v>20894</v>
      </c>
      <c r="HV2169">
        <v>7</v>
      </c>
      <c r="HW2169" t="s">
        <v>424</v>
      </c>
      <c r="HX2169" t="s">
        <v>425</v>
      </c>
      <c r="HY2169" s="1">
        <v>42299</v>
      </c>
      <c r="HZ2169">
        <v>41</v>
      </c>
      <c r="IA2169">
        <v>10125</v>
      </c>
      <c r="IB2169" t="s">
        <v>440</v>
      </c>
      <c r="IC2169" t="s">
        <v>458</v>
      </c>
      <c r="ID2169" s="1">
        <v>40688</v>
      </c>
      <c r="IE2169">
        <v>2010</v>
      </c>
      <c r="IF2169">
        <v>286.67</v>
      </c>
      <c r="IG2169" t="s">
        <v>20895</v>
      </c>
      <c r="IH2169">
        <v>9.75</v>
      </c>
      <c r="II2169" t="s">
        <v>424</v>
      </c>
      <c r="IJ2169" t="s">
        <v>425</v>
      </c>
      <c r="IK2169" s="1">
        <v>42299</v>
      </c>
      <c r="IL2169">
        <v>53</v>
      </c>
      <c r="IM2169">
        <v>11346</v>
      </c>
      <c r="IN2169" t="s">
        <v>18122</v>
      </c>
      <c r="IO2169" t="s">
        <v>458</v>
      </c>
    </row>
    <row r="2170" spans="1:284" x14ac:dyDescent="0.25">
      <c r="A2170">
        <v>16487177</v>
      </c>
      <c r="B2170">
        <v>2169</v>
      </c>
      <c r="C2170" t="s">
        <v>393</v>
      </c>
      <c r="D2170" t="s">
        <v>394</v>
      </c>
      <c r="F2170" t="str">
        <f>"00-00-31-1800-0054-0053"</f>
        <v>00-00-31-1800-0054-0053</v>
      </c>
      <c r="H2170" t="str">
        <f>"RAYSOR SHUNTAY B &amp; MCGAHEE WENDALL K"</f>
        <v>RAYSOR SHUNTAY B &amp; MCGAHEE WENDALL K</v>
      </c>
      <c r="I2170" t="str">
        <f>"PO BOX 579"</f>
        <v>PO BOX 579</v>
      </c>
      <c r="J2170" t="str">
        <f>"FERNANDINA BEACH FL 32035"</f>
        <v>FERNANDINA BEACH FL 32035</v>
      </c>
      <c r="K2170" t="str">
        <f>"BEECH ST"</f>
        <v>BEECH ST</v>
      </c>
      <c r="L2170" t="str">
        <f t="shared" si="807"/>
        <v>FERNANDINA BEACH FL 32034</v>
      </c>
      <c r="M2170" t="str">
        <f>"BLOCK 54 W 50 OFF W 65 &amp; W 25 FT OF N 35 FT OF LOT 5 IN OR 1705/457 CITY OF FDNA BEACH"</f>
        <v>BLOCK 54 W 50 OFF W 65 &amp; W 25 FT OF N 35 FT OF LOT 5 IN OR 1705/457 CITY OF FDNA BEACH</v>
      </c>
      <c r="N2170" t="str">
        <f>""</f>
        <v/>
      </c>
      <c r="O2170" t="str">
        <f>"11666"</f>
        <v>11666</v>
      </c>
      <c r="P2170" t="str">
        <f t="shared" si="800"/>
        <v>2017</v>
      </c>
      <c r="Q2170" t="str">
        <f>""</f>
        <v/>
      </c>
      <c r="R2170" t="str">
        <f t="shared" ref="R2170:R2185" si="815">"N"</f>
        <v>N</v>
      </c>
      <c r="S2170" t="str">
        <f>""</f>
        <v/>
      </c>
      <c r="T2170" t="str">
        <f>"697.26"</f>
        <v>697.26</v>
      </c>
      <c r="U2170" t="str">
        <f>"27528.00"</f>
        <v>27528.00</v>
      </c>
      <c r="V2170" t="str">
        <f>"27528.00"</f>
        <v>27528.00</v>
      </c>
      <c r="W2170" t="str">
        <f t="shared" si="801"/>
        <v>2017</v>
      </c>
      <c r="X2170" t="str">
        <f>"13.40"</f>
        <v>13.40</v>
      </c>
      <c r="Y2170" t="str">
        <f>"750.18"</f>
        <v>750.18</v>
      </c>
      <c r="Z2170" t="str">
        <f>""</f>
        <v/>
      </c>
      <c r="AA2170" t="str">
        <f>"50050.00"</f>
        <v>50050.00</v>
      </c>
      <c r="AB2170" t="str">
        <f t="shared" si="814"/>
        <v>Residential</v>
      </c>
      <c r="AC2170" t="str">
        <f t="shared" si="809"/>
        <v>0</v>
      </c>
      <c r="AD2170" t="str">
        <f>""</f>
        <v/>
      </c>
      <c r="AE2170" t="str">
        <f>""</f>
        <v/>
      </c>
      <c r="AF2170" t="str">
        <f>"000"</f>
        <v>000</v>
      </c>
      <c r="AG2170" t="str">
        <f t="shared" si="813"/>
        <v>FL</v>
      </c>
      <c r="AH2170" t="str">
        <f>"6650.00"</f>
        <v>6650.00</v>
      </c>
      <c r="AI2170" t="str">
        <f>"50050.00"</f>
        <v>50050.00</v>
      </c>
      <c r="AJ2170" t="str">
        <f>"C55-000-585-9110-8"</f>
        <v>C55-000-585-9110-8</v>
      </c>
      <c r="AK2170" t="str">
        <f>"48639"</f>
        <v>48639</v>
      </c>
      <c r="AL2170">
        <v>8</v>
      </c>
      <c r="AM2170">
        <v>2478</v>
      </c>
      <c r="AN2170">
        <v>786.09</v>
      </c>
      <c r="AQ2170" t="s">
        <v>20896</v>
      </c>
      <c r="AR2170" t="s">
        <v>20896</v>
      </c>
      <c r="AS2170" t="s">
        <v>20896</v>
      </c>
      <c r="AU2170" t="s">
        <v>396</v>
      </c>
      <c r="AV2170">
        <v>2017</v>
      </c>
      <c r="AW2170" t="str">
        <f>"00-00-31-1800-0054-0053 "</f>
        <v xml:space="preserve">00-00-31-1800-0054-0053 </v>
      </c>
      <c r="AZ2170" t="s">
        <v>19911</v>
      </c>
      <c r="BA2170" t="s">
        <v>1942</v>
      </c>
      <c r="BD2170" t="s">
        <v>11749</v>
      </c>
      <c r="BE2170" t="s">
        <v>393</v>
      </c>
      <c r="BF2170">
        <v>32034</v>
      </c>
      <c r="BG2170" t="s">
        <v>20897</v>
      </c>
      <c r="BH2170" t="s">
        <v>11751</v>
      </c>
      <c r="BI2170">
        <v>-81.457045497816793</v>
      </c>
      <c r="BJ2170">
        <v>30.6681582566905</v>
      </c>
      <c r="BK2170" t="s">
        <v>20898</v>
      </c>
      <c r="BL2170" t="s">
        <v>20899</v>
      </c>
      <c r="BM2170" t="s">
        <v>20876</v>
      </c>
      <c r="BN2170" t="s">
        <v>3983</v>
      </c>
      <c r="BO2170">
        <v>32035</v>
      </c>
      <c r="BP2170" t="s">
        <v>404</v>
      </c>
      <c r="BQ2170">
        <v>0</v>
      </c>
      <c r="BR2170" t="s">
        <v>491</v>
      </c>
      <c r="BS2170">
        <v>8001</v>
      </c>
      <c r="BT2170" t="s">
        <v>492</v>
      </c>
      <c r="BU2170">
        <v>500</v>
      </c>
      <c r="BV2170">
        <v>0</v>
      </c>
      <c r="BW2170">
        <v>4174</v>
      </c>
      <c r="BX2170" t="s">
        <v>407</v>
      </c>
      <c r="BY2170" t="s">
        <v>18253</v>
      </c>
      <c r="CD2170">
        <v>2017</v>
      </c>
      <c r="CE2170">
        <v>50050</v>
      </c>
      <c r="CG2170">
        <v>50050</v>
      </c>
      <c r="CH2170">
        <v>2017</v>
      </c>
      <c r="CI2170">
        <v>50050</v>
      </c>
      <c r="CK2170">
        <v>50050</v>
      </c>
      <c r="CL2170">
        <v>2017</v>
      </c>
      <c r="CM2170">
        <v>697.26</v>
      </c>
      <c r="CN2170" s="1">
        <v>40451</v>
      </c>
      <c r="CZ2170" s="1">
        <v>40451</v>
      </c>
      <c r="DD2170" t="s">
        <v>11749</v>
      </c>
      <c r="DF2170">
        <v>5</v>
      </c>
      <c r="DG2170">
        <v>23</v>
      </c>
      <c r="DL2170">
        <v>50101</v>
      </c>
      <c r="DM2170" t="s">
        <v>20742</v>
      </c>
      <c r="DO2170" t="s">
        <v>20900</v>
      </c>
      <c r="DP2170">
        <v>0</v>
      </c>
      <c r="DQ2170">
        <v>0</v>
      </c>
      <c r="DR2170" t="s">
        <v>411</v>
      </c>
      <c r="DS2170" t="b">
        <v>1</v>
      </c>
      <c r="DT2170" t="s">
        <v>470</v>
      </c>
      <c r="DU2170" t="s">
        <v>471</v>
      </c>
      <c r="DV2170" t="s">
        <v>472</v>
      </c>
      <c r="DX2170">
        <v>-9999</v>
      </c>
      <c r="DZ2170" t="s">
        <v>447</v>
      </c>
      <c r="EA2170" t="s">
        <v>448</v>
      </c>
      <c r="EB2170" t="s">
        <v>14787</v>
      </c>
      <c r="EC2170">
        <v>20101217</v>
      </c>
      <c r="ED2170" t="s">
        <v>474</v>
      </c>
      <c r="EF2170">
        <v>1393.8</v>
      </c>
      <c r="EG2170">
        <v>1060.5999999999999</v>
      </c>
      <c r="EI2170">
        <v>20160407</v>
      </c>
      <c r="EJ2170">
        <v>0</v>
      </c>
      <c r="EK2170">
        <v>0</v>
      </c>
      <c r="EP2170" t="s">
        <v>421</v>
      </c>
      <c r="EQ2170" t="s">
        <v>452</v>
      </c>
      <c r="ER2170">
        <v>1</v>
      </c>
      <c r="ES2170">
        <v>7</v>
      </c>
      <c r="ET2170">
        <v>641.84</v>
      </c>
      <c r="EU2170">
        <v>41.55</v>
      </c>
      <c r="EV2170">
        <v>683.39</v>
      </c>
      <c r="EW2170" s="2">
        <v>43222</v>
      </c>
      <c r="EX2170" s="1">
        <v>42879</v>
      </c>
      <c r="EY2170">
        <v>2016</v>
      </c>
      <c r="EZ2170">
        <v>641.84</v>
      </c>
      <c r="FA2170" t="s">
        <v>20901</v>
      </c>
      <c r="FB2170">
        <v>5.5</v>
      </c>
      <c r="FC2170" t="s">
        <v>424</v>
      </c>
      <c r="FD2170" t="s">
        <v>454</v>
      </c>
      <c r="FF2170">
        <v>12</v>
      </c>
      <c r="FG2170">
        <v>10125</v>
      </c>
      <c r="FH2170" t="s">
        <v>440</v>
      </c>
      <c r="FJ2170" s="1">
        <v>42515</v>
      </c>
      <c r="FK2170">
        <v>2015</v>
      </c>
      <c r="FL2170">
        <v>526.54</v>
      </c>
      <c r="FM2170" t="s">
        <v>20902</v>
      </c>
      <c r="FN2170">
        <v>17.75</v>
      </c>
      <c r="FO2170" t="s">
        <v>424</v>
      </c>
      <c r="FP2170" t="s">
        <v>425</v>
      </c>
      <c r="FQ2170" s="1">
        <v>42584</v>
      </c>
      <c r="FR2170">
        <v>3</v>
      </c>
      <c r="FS2170">
        <v>7336143</v>
      </c>
      <c r="FT2170" t="s">
        <v>539</v>
      </c>
      <c r="FU2170" t="s">
        <v>458</v>
      </c>
      <c r="FV2170" s="1">
        <v>42151</v>
      </c>
      <c r="FW2170">
        <v>2014</v>
      </c>
      <c r="FX2170">
        <v>530.14</v>
      </c>
      <c r="FY2170" t="s">
        <v>20903</v>
      </c>
      <c r="FZ2170">
        <v>15.5</v>
      </c>
      <c r="GA2170" t="s">
        <v>424</v>
      </c>
      <c r="GB2170" t="s">
        <v>425</v>
      </c>
      <c r="GC2170" s="1">
        <v>42584</v>
      </c>
      <c r="GD2170">
        <v>15</v>
      </c>
      <c r="GE2170">
        <v>10628</v>
      </c>
      <c r="GF2170" t="s">
        <v>943</v>
      </c>
      <c r="GG2170" t="s">
        <v>458</v>
      </c>
      <c r="GH2170" s="1">
        <v>41787</v>
      </c>
      <c r="GI2170">
        <v>2013</v>
      </c>
      <c r="GJ2170">
        <v>512.71</v>
      </c>
      <c r="GK2170" t="s">
        <v>20904</v>
      </c>
      <c r="GL2170">
        <v>3</v>
      </c>
      <c r="GM2170" t="s">
        <v>424</v>
      </c>
      <c r="GN2170" t="s">
        <v>425</v>
      </c>
      <c r="GP2170">
        <v>22</v>
      </c>
      <c r="GQ2170">
        <v>10125</v>
      </c>
      <c r="GR2170" t="s">
        <v>440</v>
      </c>
      <c r="GS2170" t="s">
        <v>458</v>
      </c>
      <c r="GT2170" s="1">
        <v>41423</v>
      </c>
      <c r="GU2170">
        <v>2012</v>
      </c>
      <c r="GV2170">
        <v>512.16</v>
      </c>
      <c r="GW2170" t="s">
        <v>20905</v>
      </c>
      <c r="GX2170">
        <v>0.25</v>
      </c>
      <c r="GY2170" t="s">
        <v>424</v>
      </c>
      <c r="GZ2170" t="s">
        <v>425</v>
      </c>
      <c r="HA2170" s="1">
        <v>41551</v>
      </c>
      <c r="HB2170">
        <v>5</v>
      </c>
      <c r="HC2170">
        <v>1625549</v>
      </c>
      <c r="HD2170" t="s">
        <v>7607</v>
      </c>
      <c r="HE2170" t="s">
        <v>458</v>
      </c>
      <c r="HF2170" s="1">
        <v>41052</v>
      </c>
      <c r="HG2170">
        <v>2011</v>
      </c>
      <c r="HH2170">
        <v>726.72</v>
      </c>
      <c r="HI2170" t="s">
        <v>20906</v>
      </c>
      <c r="HJ2170">
        <v>6.75</v>
      </c>
      <c r="HK2170" t="s">
        <v>424</v>
      </c>
      <c r="HL2170" t="s">
        <v>425</v>
      </c>
      <c r="HM2170" s="1">
        <v>41551</v>
      </c>
      <c r="HN2170">
        <v>17</v>
      </c>
      <c r="HO2170">
        <v>10125</v>
      </c>
      <c r="HP2170" t="s">
        <v>440</v>
      </c>
      <c r="HQ2170" t="s">
        <v>458</v>
      </c>
      <c r="HR2170" s="1">
        <v>40688</v>
      </c>
      <c r="HS2170">
        <v>2010</v>
      </c>
      <c r="HT2170">
        <v>756.69</v>
      </c>
      <c r="HU2170" t="s">
        <v>20907</v>
      </c>
      <c r="HV2170">
        <v>7</v>
      </c>
      <c r="HW2170" t="s">
        <v>424</v>
      </c>
      <c r="HX2170" t="s">
        <v>425</v>
      </c>
      <c r="HZ2170">
        <v>22</v>
      </c>
      <c r="IA2170">
        <v>1122</v>
      </c>
      <c r="IB2170" t="s">
        <v>7609</v>
      </c>
      <c r="IC2170" t="s">
        <v>458</v>
      </c>
      <c r="ID2170" s="1">
        <v>40688</v>
      </c>
      <c r="IE2170">
        <v>2010</v>
      </c>
      <c r="IF2170">
        <v>756.69</v>
      </c>
      <c r="IG2170" t="s">
        <v>20907</v>
      </c>
      <c r="IH2170">
        <v>7</v>
      </c>
      <c r="II2170" t="s">
        <v>424</v>
      </c>
      <c r="IJ2170" t="s">
        <v>425</v>
      </c>
      <c r="IL2170">
        <v>22</v>
      </c>
      <c r="IM2170">
        <v>10579</v>
      </c>
      <c r="IN2170" t="s">
        <v>488</v>
      </c>
      <c r="IO2170" t="s">
        <v>458</v>
      </c>
    </row>
    <row r="2171" spans="1:284" x14ac:dyDescent="0.25">
      <c r="A2171">
        <v>16487178</v>
      </c>
      <c r="B2171">
        <v>2170</v>
      </c>
      <c r="C2171" t="s">
        <v>393</v>
      </c>
      <c r="D2171" t="s">
        <v>394</v>
      </c>
      <c r="F2171" t="str">
        <f>"00-00-31-1800-0055-0032"</f>
        <v>00-00-31-1800-0055-0032</v>
      </c>
      <c r="H2171" t="str">
        <f>"TURNER CYNTHIA E DAVIS"</f>
        <v>TURNER CYNTHIA E DAVIS</v>
      </c>
      <c r="I2171" t="str">
        <f>"P O BOX 1260"</f>
        <v>P O BOX 1260</v>
      </c>
      <c r="J2171" t="str">
        <f>"FERNANDINA BEACH FL 32035"</f>
        <v>FERNANDINA BEACH FL 32035</v>
      </c>
      <c r="K2171" t="str">
        <f>"222 10TH ST S"</f>
        <v>222 10TH ST S</v>
      </c>
      <c r="L2171" t="str">
        <f t="shared" si="807"/>
        <v>FERNANDINA BEACH FL 32034</v>
      </c>
      <c r="M2171" t="str">
        <f>"BLOCK 55 LOT S1/2 OF 3 IN OR 1544/1869 CITY OF FDNA BEACH"</f>
        <v>BLOCK 55 LOT S1/2 OF 3 IN OR 1544/1869 CITY OF FDNA BEACH</v>
      </c>
      <c r="N2171" t="str">
        <f>""</f>
        <v/>
      </c>
      <c r="O2171" t="str">
        <f>"11674"</f>
        <v>11674</v>
      </c>
      <c r="P2171" t="str">
        <f t="shared" si="800"/>
        <v>2017</v>
      </c>
      <c r="Q2171" t="str">
        <f>""</f>
        <v/>
      </c>
      <c r="R2171" t="str">
        <f t="shared" si="815"/>
        <v>N</v>
      </c>
      <c r="S2171" t="str">
        <f>""</f>
        <v/>
      </c>
      <c r="T2171" t="str">
        <f>"1181.66"</f>
        <v>1181.66</v>
      </c>
      <c r="U2171" t="str">
        <f>"58365.00"</f>
        <v>58365.00</v>
      </c>
      <c r="V2171" t="str">
        <f>"58365.00"</f>
        <v>58365.00</v>
      </c>
      <c r="W2171" t="str">
        <f t="shared" si="801"/>
        <v>2017</v>
      </c>
      <c r="X2171" t="str">
        <f>"22.00"</f>
        <v>22.00</v>
      </c>
      <c r="Y2171" t="str">
        <f>"1249.11"</f>
        <v>1249.11</v>
      </c>
      <c r="Z2171" t="str">
        <f>""</f>
        <v/>
      </c>
      <c r="AA2171" t="str">
        <f>"61154.00"</f>
        <v>61154.00</v>
      </c>
      <c r="AB2171" t="str">
        <f t="shared" si="814"/>
        <v>Residential</v>
      </c>
      <c r="AC2171" t="str">
        <f t="shared" si="809"/>
        <v>0</v>
      </c>
      <c r="AD2171" t="str">
        <f>"4"</f>
        <v>4</v>
      </c>
      <c r="AE2171" t="str">
        <f>"WOOD (INCLUDE STEEL STUDS)"</f>
        <v>WOOD (INCLUDE STEEL STUDS)</v>
      </c>
      <c r="AF2171" t="str">
        <f>"001"</f>
        <v>001</v>
      </c>
      <c r="AG2171" t="str">
        <f t="shared" si="813"/>
        <v>FL</v>
      </c>
      <c r="AH2171" t="str">
        <f>"5000.00"</f>
        <v>5000.00</v>
      </c>
      <c r="AI2171" t="str">
        <f>"24750.00"</f>
        <v>24750.00</v>
      </c>
      <c r="AJ2171" t="str">
        <f>"C55-000-585-9118-1"</f>
        <v>C55-000-585-9118-1</v>
      </c>
      <c r="AK2171" t="str">
        <f>"48647"</f>
        <v>48647</v>
      </c>
      <c r="AL2171">
        <v>8</v>
      </c>
      <c r="AM2171">
        <v>2479</v>
      </c>
      <c r="AN2171">
        <v>1309.97</v>
      </c>
      <c r="AQ2171" t="s">
        <v>20908</v>
      </c>
      <c r="AR2171" t="s">
        <v>20908</v>
      </c>
      <c r="AS2171" t="s">
        <v>20908</v>
      </c>
      <c r="AU2171" t="s">
        <v>396</v>
      </c>
      <c r="AV2171">
        <v>2017</v>
      </c>
      <c r="AW2171" t="str">
        <f>"00-00-31-1800-0055-0032 "</f>
        <v xml:space="preserve">00-00-31-1800-0055-0032 </v>
      </c>
      <c r="AX2171">
        <v>222</v>
      </c>
      <c r="AZ2171" t="s">
        <v>5188</v>
      </c>
      <c r="BA2171" t="s">
        <v>1942</v>
      </c>
      <c r="BB2171" t="s">
        <v>18674</v>
      </c>
      <c r="BD2171" t="s">
        <v>11749</v>
      </c>
      <c r="BE2171" t="s">
        <v>393</v>
      </c>
      <c r="BF2171">
        <v>32034</v>
      </c>
      <c r="BG2171" t="s">
        <v>20909</v>
      </c>
      <c r="BH2171" t="s">
        <v>11751</v>
      </c>
      <c r="BI2171">
        <v>-81.457431077761498</v>
      </c>
      <c r="BJ2171">
        <v>30.667146705162299</v>
      </c>
      <c r="BK2171" t="s">
        <v>20910</v>
      </c>
      <c r="BL2171" t="s">
        <v>20911</v>
      </c>
      <c r="BM2171" t="s">
        <v>20912</v>
      </c>
      <c r="BN2171" t="s">
        <v>3983</v>
      </c>
      <c r="BO2171">
        <v>32035</v>
      </c>
      <c r="BP2171" t="s">
        <v>404</v>
      </c>
      <c r="BQ2171">
        <v>100</v>
      </c>
      <c r="BR2171" t="s">
        <v>514</v>
      </c>
      <c r="BS2171">
        <v>1001</v>
      </c>
      <c r="BT2171" t="s">
        <v>515</v>
      </c>
      <c r="BU2171">
        <v>500</v>
      </c>
      <c r="BV2171">
        <v>1000</v>
      </c>
      <c r="BW2171">
        <v>5070</v>
      </c>
      <c r="BX2171" t="s">
        <v>407</v>
      </c>
      <c r="BY2171" t="s">
        <v>18253</v>
      </c>
      <c r="BZ2171">
        <v>4</v>
      </c>
      <c r="CA2171">
        <v>1930</v>
      </c>
      <c r="CB2171">
        <v>1</v>
      </c>
      <c r="CC2171">
        <v>1</v>
      </c>
      <c r="CD2171">
        <v>2017</v>
      </c>
      <c r="CE2171">
        <v>24750</v>
      </c>
      <c r="CF2171">
        <v>36404</v>
      </c>
      <c r="CG2171">
        <v>61154</v>
      </c>
      <c r="CH2171">
        <v>2017</v>
      </c>
      <c r="CI2171">
        <v>24750</v>
      </c>
      <c r="CJ2171">
        <v>36404</v>
      </c>
      <c r="CK2171">
        <v>61154</v>
      </c>
      <c r="CL2171">
        <v>2017</v>
      </c>
      <c r="CM2171">
        <v>1181.6600000000001</v>
      </c>
      <c r="CN2171" s="1">
        <v>39454</v>
      </c>
      <c r="CZ2171" s="1">
        <v>39454</v>
      </c>
      <c r="DD2171" t="s">
        <v>11749</v>
      </c>
      <c r="DG2171">
        <v>23</v>
      </c>
      <c r="DL2171">
        <v>50101</v>
      </c>
      <c r="DM2171" t="s">
        <v>20742</v>
      </c>
      <c r="DO2171" t="s">
        <v>20913</v>
      </c>
      <c r="DP2171">
        <v>0</v>
      </c>
      <c r="DQ2171">
        <v>1</v>
      </c>
      <c r="DR2171" t="s">
        <v>1479</v>
      </c>
      <c r="DS2171" t="b">
        <v>1</v>
      </c>
      <c r="DT2171" t="s">
        <v>470</v>
      </c>
      <c r="DU2171" t="s">
        <v>471</v>
      </c>
      <c r="DV2171" t="s">
        <v>472</v>
      </c>
      <c r="DX2171">
        <v>-9999</v>
      </c>
      <c r="DZ2171" t="s">
        <v>447</v>
      </c>
      <c r="EA2171" t="s">
        <v>448</v>
      </c>
      <c r="EB2171" t="s">
        <v>14787</v>
      </c>
      <c r="EC2171">
        <v>20101217</v>
      </c>
      <c r="ED2171" t="s">
        <v>474</v>
      </c>
      <c r="EF2171">
        <v>1682.1</v>
      </c>
      <c r="EG2171">
        <v>1415.1</v>
      </c>
      <c r="EI2171">
        <v>20160407</v>
      </c>
      <c r="EJ2171">
        <v>0</v>
      </c>
      <c r="EK2171">
        <v>0</v>
      </c>
      <c r="EP2171" t="s">
        <v>421</v>
      </c>
      <c r="EQ2171" t="s">
        <v>422</v>
      </c>
      <c r="ER2171">
        <v>2</v>
      </c>
      <c r="ES2171">
        <v>7</v>
      </c>
      <c r="ET2171">
        <v>2417.34</v>
      </c>
      <c r="EU2171">
        <v>133.37</v>
      </c>
      <c r="EV2171">
        <v>2550.71</v>
      </c>
      <c r="EW2171" s="2">
        <v>43222</v>
      </c>
      <c r="EX2171" s="1">
        <v>42879</v>
      </c>
      <c r="EY2171">
        <v>2016</v>
      </c>
      <c r="EZ2171">
        <v>1208.67</v>
      </c>
      <c r="FA2171" t="s">
        <v>20914</v>
      </c>
      <c r="FB2171">
        <v>0.25</v>
      </c>
      <c r="FC2171" t="s">
        <v>424</v>
      </c>
      <c r="FD2171" t="s">
        <v>454</v>
      </c>
      <c r="FF2171">
        <v>12</v>
      </c>
      <c r="FG2171">
        <v>7336671</v>
      </c>
      <c r="FH2171" t="s">
        <v>437</v>
      </c>
      <c r="FJ2171" s="1">
        <v>42879</v>
      </c>
      <c r="FK2171">
        <v>2016</v>
      </c>
      <c r="FL2171">
        <v>1208.67</v>
      </c>
      <c r="FM2171" t="s">
        <v>20914</v>
      </c>
      <c r="FN2171">
        <v>0.25</v>
      </c>
      <c r="FO2171" t="s">
        <v>424</v>
      </c>
      <c r="FP2171" t="s">
        <v>454</v>
      </c>
      <c r="FR2171">
        <v>12</v>
      </c>
      <c r="FS2171">
        <v>6879938</v>
      </c>
      <c r="FT2171" t="s">
        <v>20915</v>
      </c>
      <c r="FV2171" s="1">
        <v>42515</v>
      </c>
      <c r="FW2171">
        <v>2015</v>
      </c>
      <c r="FX2171">
        <v>1113.33</v>
      </c>
      <c r="FY2171" t="s">
        <v>20916</v>
      </c>
      <c r="FZ2171">
        <v>0.25</v>
      </c>
      <c r="GA2171" t="s">
        <v>424</v>
      </c>
      <c r="GB2171" t="s">
        <v>425</v>
      </c>
      <c r="GC2171" s="1">
        <v>43187</v>
      </c>
      <c r="GD2171">
        <v>22</v>
      </c>
      <c r="GE2171">
        <v>2851116</v>
      </c>
      <c r="GF2171" t="s">
        <v>480</v>
      </c>
      <c r="GH2171" s="1">
        <v>42515</v>
      </c>
      <c r="GI2171">
        <v>2015</v>
      </c>
      <c r="GJ2171">
        <v>1113.33</v>
      </c>
      <c r="GK2171" t="s">
        <v>20916</v>
      </c>
      <c r="GL2171">
        <v>0.25</v>
      </c>
      <c r="GM2171" t="s">
        <v>424</v>
      </c>
      <c r="GN2171" t="s">
        <v>425</v>
      </c>
      <c r="GP2171">
        <v>22</v>
      </c>
      <c r="GQ2171">
        <v>5358604</v>
      </c>
      <c r="GR2171" t="s">
        <v>20917</v>
      </c>
      <c r="GT2171" s="1">
        <v>42151</v>
      </c>
      <c r="GU2171">
        <v>2014</v>
      </c>
      <c r="GV2171">
        <v>1033.49</v>
      </c>
      <c r="GW2171" t="s">
        <v>20918</v>
      </c>
      <c r="GX2171">
        <v>0.25</v>
      </c>
      <c r="GY2171" t="s">
        <v>424</v>
      </c>
      <c r="GZ2171" t="s">
        <v>425</v>
      </c>
      <c r="HA2171" s="1">
        <v>42824</v>
      </c>
      <c r="HB2171">
        <v>22</v>
      </c>
      <c r="HC2171">
        <v>2851116</v>
      </c>
      <c r="HD2171" t="s">
        <v>480</v>
      </c>
      <c r="HF2171" s="1">
        <v>42151</v>
      </c>
      <c r="HG2171">
        <v>2014</v>
      </c>
      <c r="HH2171">
        <v>1033.49</v>
      </c>
      <c r="HI2171" t="s">
        <v>20918</v>
      </c>
      <c r="HJ2171">
        <v>0.25</v>
      </c>
      <c r="HK2171" t="s">
        <v>424</v>
      </c>
      <c r="HL2171" t="s">
        <v>425</v>
      </c>
      <c r="HN2171">
        <v>22</v>
      </c>
      <c r="HO2171">
        <v>4937379</v>
      </c>
      <c r="HP2171" t="s">
        <v>20919</v>
      </c>
      <c r="HR2171" s="1">
        <v>41787</v>
      </c>
      <c r="HS2171">
        <v>2013</v>
      </c>
      <c r="HT2171">
        <v>881.86</v>
      </c>
      <c r="HU2171" t="s">
        <v>20920</v>
      </c>
      <c r="HV2171">
        <v>0.25</v>
      </c>
      <c r="HW2171" t="s">
        <v>424</v>
      </c>
      <c r="HX2171" t="s">
        <v>425</v>
      </c>
      <c r="HY2171" s="1">
        <v>42458</v>
      </c>
      <c r="HZ2171">
        <v>22</v>
      </c>
      <c r="IA2171">
        <v>10125</v>
      </c>
      <c r="IB2171" t="s">
        <v>440</v>
      </c>
      <c r="ID2171" s="1">
        <v>41423</v>
      </c>
      <c r="IE2171">
        <v>2012</v>
      </c>
      <c r="IF2171">
        <v>841.55</v>
      </c>
      <c r="IG2171" t="s">
        <v>20921</v>
      </c>
      <c r="IH2171">
        <v>0.25</v>
      </c>
      <c r="II2171" t="s">
        <v>424</v>
      </c>
      <c r="IJ2171" t="s">
        <v>425</v>
      </c>
      <c r="IK2171" s="1">
        <v>42093</v>
      </c>
      <c r="IL2171">
        <v>22</v>
      </c>
      <c r="IM2171">
        <v>10096</v>
      </c>
      <c r="IN2171" t="s">
        <v>1983</v>
      </c>
      <c r="IP2171" s="1">
        <v>41052</v>
      </c>
      <c r="IQ2171">
        <v>2011</v>
      </c>
      <c r="IR2171">
        <v>1060.1400000000001</v>
      </c>
      <c r="IS2171" t="s">
        <v>20922</v>
      </c>
      <c r="IT2171">
        <v>4.75</v>
      </c>
      <c r="IU2171" t="s">
        <v>424</v>
      </c>
      <c r="IV2171" t="s">
        <v>425</v>
      </c>
      <c r="IW2171" s="1">
        <v>41725</v>
      </c>
      <c r="IX2171">
        <v>22</v>
      </c>
      <c r="IY2171">
        <v>11141</v>
      </c>
      <c r="IZ2171" t="s">
        <v>1723</v>
      </c>
    </row>
    <row r="2172" spans="1:284" x14ac:dyDescent="0.25">
      <c r="A2172">
        <v>16487179</v>
      </c>
      <c r="B2172">
        <v>2171</v>
      </c>
      <c r="C2172" t="s">
        <v>393</v>
      </c>
      <c r="D2172" t="s">
        <v>394</v>
      </c>
      <c r="F2172" t="str">
        <f>"00-00-31-1800-0065-0011"</f>
        <v>00-00-31-1800-0065-0011</v>
      </c>
      <c r="H2172" t="str">
        <f>"SHINE CELESTINE EST"</f>
        <v>SHINE CELESTINE EST</v>
      </c>
      <c r="I2172" t="str">
        <f>"2304 JOHNS CT"</f>
        <v>2304 JOHNS CT</v>
      </c>
      <c r="J2172" t="str">
        <f>"ANTIOCH CA 94531"</f>
        <v>ANTIOCH CA 94531</v>
      </c>
      <c r="K2172" t="str">
        <f>"432 ESCAMBIA ST"</f>
        <v>432 ESCAMBIA ST</v>
      </c>
      <c r="L2172" t="str">
        <f t="shared" si="807"/>
        <v>FERNANDINA BEACH FL 32034</v>
      </c>
      <c r="M2172" t="str">
        <f>"BLOCK 65 LOT E1/2 OF 1 CITY OF FDNA BEACH"</f>
        <v>BLOCK 65 LOT E1/2 OF 1 CITY OF FDNA BEACH</v>
      </c>
      <c r="N2172" t="str">
        <f>""</f>
        <v/>
      </c>
      <c r="O2172" t="str">
        <f>"11703"</f>
        <v>11703</v>
      </c>
      <c r="P2172" t="str">
        <f t="shared" si="800"/>
        <v>2017</v>
      </c>
      <c r="Q2172" t="str">
        <f>""</f>
        <v/>
      </c>
      <c r="R2172" t="str">
        <f t="shared" si="815"/>
        <v>N</v>
      </c>
      <c r="S2172" t="str">
        <f>""</f>
        <v/>
      </c>
      <c r="T2172" t="str">
        <f>"447.52"</f>
        <v>447.52</v>
      </c>
      <c r="U2172" t="str">
        <f>"18061.00"</f>
        <v>18061.00</v>
      </c>
      <c r="V2172" t="str">
        <f>"18061.00"</f>
        <v>18061.00</v>
      </c>
      <c r="W2172" t="str">
        <f t="shared" si="801"/>
        <v>2017</v>
      </c>
      <c r="X2172" t="str">
        <f>"21.75"</f>
        <v>21.75</v>
      </c>
      <c r="Y2172" t="str">
        <f>"492.95"</f>
        <v>492.95</v>
      </c>
      <c r="Z2172" t="str">
        <f>""</f>
        <v/>
      </c>
      <c r="AA2172" t="str">
        <f>"31329.00"</f>
        <v>31329.00</v>
      </c>
      <c r="AB2172" t="str">
        <f t="shared" si="814"/>
        <v>Residential</v>
      </c>
      <c r="AC2172" t="str">
        <f t="shared" si="809"/>
        <v>0</v>
      </c>
      <c r="AD2172" t="str">
        <f>"4"</f>
        <v>4</v>
      </c>
      <c r="AE2172" t="str">
        <f>"WOOD (INCLUDE STEEL STUDS)"</f>
        <v>WOOD (INCLUDE STEEL STUDS)</v>
      </c>
      <c r="AF2172" t="str">
        <f>"001"</f>
        <v>001</v>
      </c>
      <c r="AG2172" t="str">
        <f>"CA"</f>
        <v>CA</v>
      </c>
      <c r="AH2172" t="str">
        <f>"5000.00"</f>
        <v>5000.00</v>
      </c>
      <c r="AI2172" t="str">
        <f>"20625.00"</f>
        <v>20625.00</v>
      </c>
      <c r="AJ2172" t="str">
        <f>"C55-000-585-9146-2"</f>
        <v>C55-000-585-9146-2</v>
      </c>
      <c r="AK2172" t="str">
        <f>"48676"</f>
        <v>48676</v>
      </c>
      <c r="AL2172">
        <v>8</v>
      </c>
      <c r="AM2172">
        <v>2480</v>
      </c>
      <c r="AN2172">
        <v>516</v>
      </c>
      <c r="AQ2172" t="s">
        <v>20923</v>
      </c>
      <c r="AR2172" t="s">
        <v>20923</v>
      </c>
      <c r="AS2172" t="s">
        <v>20923</v>
      </c>
      <c r="AU2172" t="s">
        <v>396</v>
      </c>
      <c r="AV2172">
        <v>2017</v>
      </c>
      <c r="AW2172" t="str">
        <f>"00-00-31-1800-0065-0011 "</f>
        <v xml:space="preserve">00-00-31-1800-0065-0011 </v>
      </c>
      <c r="AX2172">
        <v>432</v>
      </c>
      <c r="AZ2172" t="s">
        <v>20924</v>
      </c>
      <c r="BA2172" t="s">
        <v>1942</v>
      </c>
      <c r="BD2172" t="s">
        <v>11749</v>
      </c>
      <c r="BE2172" t="s">
        <v>393</v>
      </c>
      <c r="BF2172">
        <v>32034</v>
      </c>
      <c r="BG2172" t="s">
        <v>20925</v>
      </c>
      <c r="BH2172" t="s">
        <v>11751</v>
      </c>
      <c r="BI2172">
        <v>-81.458316489123604</v>
      </c>
      <c r="BJ2172">
        <v>30.6773189393104</v>
      </c>
      <c r="BK2172" t="s">
        <v>20926</v>
      </c>
      <c r="BM2172" t="s">
        <v>20927</v>
      </c>
      <c r="BN2172" t="s">
        <v>3983</v>
      </c>
      <c r="BO2172">
        <v>32035</v>
      </c>
      <c r="BP2172" t="s">
        <v>404</v>
      </c>
      <c r="BQ2172">
        <v>100</v>
      </c>
      <c r="BR2172" t="s">
        <v>514</v>
      </c>
      <c r="BS2172">
        <v>1001</v>
      </c>
      <c r="BT2172" t="s">
        <v>515</v>
      </c>
      <c r="BU2172">
        <v>500</v>
      </c>
      <c r="BV2172">
        <v>1000</v>
      </c>
      <c r="BW2172">
        <v>5000</v>
      </c>
      <c r="BX2172" t="s">
        <v>407</v>
      </c>
      <c r="BY2172" t="s">
        <v>20649</v>
      </c>
      <c r="BZ2172">
        <v>4</v>
      </c>
      <c r="CA2172">
        <v>1949</v>
      </c>
      <c r="CB2172">
        <v>1</v>
      </c>
      <c r="CC2172">
        <v>1</v>
      </c>
      <c r="CD2172">
        <v>2017</v>
      </c>
      <c r="CE2172">
        <v>20625</v>
      </c>
      <c r="CF2172">
        <v>10704</v>
      </c>
      <c r="CG2172">
        <v>31329</v>
      </c>
      <c r="CH2172">
        <v>2017</v>
      </c>
      <c r="CI2172">
        <v>20625</v>
      </c>
      <c r="CJ2172">
        <v>10704</v>
      </c>
      <c r="CK2172">
        <v>31329</v>
      </c>
      <c r="CL2172">
        <v>2017</v>
      </c>
      <c r="CM2172">
        <v>447.52</v>
      </c>
      <c r="DD2172" t="s">
        <v>11749</v>
      </c>
      <c r="DG2172">
        <v>18</v>
      </c>
      <c r="DJ2172" t="s">
        <v>20634</v>
      </c>
      <c r="DL2172">
        <v>50102</v>
      </c>
      <c r="DM2172" t="s">
        <v>19854</v>
      </c>
      <c r="DO2172" t="s">
        <v>20928</v>
      </c>
      <c r="DP2172">
        <v>0</v>
      </c>
      <c r="DQ2172">
        <v>3</v>
      </c>
      <c r="DR2172" t="s">
        <v>1479</v>
      </c>
      <c r="DS2172" t="b">
        <v>1</v>
      </c>
      <c r="DT2172" t="s">
        <v>470</v>
      </c>
      <c r="DU2172" t="s">
        <v>10249</v>
      </c>
      <c r="DV2172" t="s">
        <v>472</v>
      </c>
      <c r="DX2172">
        <v>-9999</v>
      </c>
      <c r="DZ2172" t="s">
        <v>447</v>
      </c>
      <c r="EA2172" t="s">
        <v>448</v>
      </c>
      <c r="EB2172" t="s">
        <v>20929</v>
      </c>
      <c r="EC2172">
        <v>20101217</v>
      </c>
      <c r="ED2172" t="s">
        <v>10251</v>
      </c>
      <c r="EE2172">
        <v>5</v>
      </c>
      <c r="EF2172">
        <v>21.6</v>
      </c>
      <c r="EG2172">
        <v>0</v>
      </c>
      <c r="EI2172">
        <v>20160407</v>
      </c>
      <c r="EJ2172">
        <v>0</v>
      </c>
      <c r="EK2172">
        <v>0</v>
      </c>
      <c r="EP2172" t="s">
        <v>421</v>
      </c>
      <c r="EQ2172" t="s">
        <v>422</v>
      </c>
      <c r="ER2172">
        <v>1</v>
      </c>
      <c r="ES2172">
        <v>6</v>
      </c>
      <c r="ET2172">
        <v>467.54</v>
      </c>
      <c r="EU2172">
        <v>29.63</v>
      </c>
      <c r="EV2172">
        <v>497.17</v>
      </c>
      <c r="EW2172" s="2">
        <v>43222</v>
      </c>
      <c r="EX2172" s="1">
        <v>42879</v>
      </c>
      <c r="EY2172">
        <v>2016</v>
      </c>
      <c r="EZ2172">
        <v>467.54</v>
      </c>
      <c r="FA2172" t="s">
        <v>20930</v>
      </c>
      <c r="FB2172">
        <v>4.75</v>
      </c>
      <c r="FC2172" t="s">
        <v>424</v>
      </c>
      <c r="FD2172" t="s">
        <v>454</v>
      </c>
      <c r="FF2172">
        <v>12</v>
      </c>
      <c r="FG2172">
        <v>10003</v>
      </c>
      <c r="FH2172" t="s">
        <v>4341</v>
      </c>
      <c r="FJ2172" s="1">
        <v>42515</v>
      </c>
      <c r="FK2172">
        <v>2015</v>
      </c>
      <c r="FL2172">
        <v>362.56</v>
      </c>
      <c r="FM2172" t="s">
        <v>20931</v>
      </c>
      <c r="FN2172">
        <v>14.75</v>
      </c>
      <c r="FO2172" t="s">
        <v>424</v>
      </c>
      <c r="FP2172" t="s">
        <v>425</v>
      </c>
      <c r="FQ2172" s="1">
        <v>43146</v>
      </c>
      <c r="FR2172">
        <v>21</v>
      </c>
      <c r="FS2172">
        <v>10003</v>
      </c>
      <c r="FT2172" t="s">
        <v>4341</v>
      </c>
      <c r="FV2172" s="1">
        <v>42151</v>
      </c>
      <c r="FW2172">
        <v>2014</v>
      </c>
      <c r="FX2172">
        <v>336.6</v>
      </c>
      <c r="FY2172" t="s">
        <v>20932</v>
      </c>
      <c r="FZ2172">
        <v>15.5</v>
      </c>
      <c r="GA2172" t="s">
        <v>424</v>
      </c>
      <c r="GB2172" t="s">
        <v>425</v>
      </c>
      <c r="GC2172" s="1">
        <v>42738</v>
      </c>
      <c r="GD2172">
        <v>20</v>
      </c>
      <c r="GE2172">
        <v>10003</v>
      </c>
      <c r="GF2172" t="s">
        <v>4341</v>
      </c>
      <c r="GH2172" s="1">
        <v>41787</v>
      </c>
      <c r="GI2172">
        <v>2013</v>
      </c>
      <c r="GJ2172">
        <v>288.08</v>
      </c>
      <c r="GK2172" t="s">
        <v>20933</v>
      </c>
      <c r="GL2172">
        <v>11.5</v>
      </c>
      <c r="GM2172" t="s">
        <v>424</v>
      </c>
      <c r="GN2172" t="s">
        <v>425</v>
      </c>
      <c r="GO2172" s="1">
        <v>42695</v>
      </c>
      <c r="GP2172">
        <v>30</v>
      </c>
      <c r="GQ2172">
        <v>10125</v>
      </c>
      <c r="GR2172" t="s">
        <v>440</v>
      </c>
      <c r="GT2172" s="1">
        <v>41423</v>
      </c>
      <c r="GU2172">
        <v>2012</v>
      </c>
      <c r="GV2172">
        <v>281.26</v>
      </c>
      <c r="GW2172" t="s">
        <v>20934</v>
      </c>
      <c r="GX2172">
        <v>3.25</v>
      </c>
      <c r="GY2172" t="s">
        <v>424</v>
      </c>
      <c r="GZ2172" t="s">
        <v>425</v>
      </c>
      <c r="HA2172" s="1">
        <v>41802</v>
      </c>
      <c r="HB2172">
        <v>13</v>
      </c>
      <c r="HC2172">
        <v>10125</v>
      </c>
      <c r="HD2172" t="s">
        <v>440</v>
      </c>
      <c r="HF2172" s="1">
        <v>41052</v>
      </c>
      <c r="HG2172">
        <v>2011</v>
      </c>
      <c r="HH2172">
        <v>278.76</v>
      </c>
      <c r="HI2172" t="s">
        <v>20935</v>
      </c>
      <c r="HJ2172">
        <v>7</v>
      </c>
      <c r="HK2172" t="s">
        <v>424</v>
      </c>
      <c r="HL2172" t="s">
        <v>425</v>
      </c>
      <c r="HM2172" s="1">
        <v>41802</v>
      </c>
      <c r="HN2172">
        <v>25</v>
      </c>
      <c r="HO2172">
        <v>10125</v>
      </c>
      <c r="HP2172" t="s">
        <v>440</v>
      </c>
      <c r="HR2172" s="1">
        <v>40688</v>
      </c>
      <c r="HS2172">
        <v>2010</v>
      </c>
      <c r="HT2172">
        <v>283.5</v>
      </c>
      <c r="HU2172" t="s">
        <v>20936</v>
      </c>
      <c r="HV2172">
        <v>6</v>
      </c>
      <c r="HW2172" t="s">
        <v>424</v>
      </c>
      <c r="HX2172" t="s">
        <v>425</v>
      </c>
      <c r="HY2172" s="1">
        <v>41352</v>
      </c>
      <c r="HZ2172">
        <v>22</v>
      </c>
      <c r="IA2172">
        <v>10003</v>
      </c>
      <c r="IB2172" t="s">
        <v>4341</v>
      </c>
    </row>
    <row r="2173" spans="1:284" x14ac:dyDescent="0.25">
      <c r="A2173">
        <v>16487180</v>
      </c>
      <c r="B2173">
        <v>2172</v>
      </c>
      <c r="C2173" t="s">
        <v>393</v>
      </c>
      <c r="D2173" t="s">
        <v>394</v>
      </c>
      <c r="F2173" t="str">
        <f>"00-00-31-1800-0067-0080"</f>
        <v>00-00-31-1800-0067-0080</v>
      </c>
      <c r="H2173" t="str">
        <f>"OCONNER JAMES PRATT &amp; OCONNER JAMES MITCHELL &amp; MOONEY TRACY OCONNER"</f>
        <v>OCONNER JAMES PRATT &amp; OCONNER JAMES MITCHELL &amp; MOONEY TRACY OCONNER</v>
      </c>
      <c r="I2173" t="str">
        <f>""</f>
        <v/>
      </c>
      <c r="J2173" t="str">
        <f>"FERNANDINA BEACH FL 32035"</f>
        <v>FERNANDINA BEACH FL 32035</v>
      </c>
      <c r="K2173" t="str">
        <f>"N 8TH ST"</f>
        <v>N 8TH ST</v>
      </c>
      <c r="L2173" t="str">
        <f t="shared" si="807"/>
        <v>FERNANDINA BEACH FL 32034</v>
      </c>
      <c r="M2173" t="str">
        <f>"BLOCK 67 LOT 8 EX N 10 FT PT OR 1488/1658 CITY OF FDNA BEACH"</f>
        <v>BLOCK 67 LOT 8 EX N 10 FT PT OR 1488/1658 CITY OF FDNA BEACH</v>
      </c>
      <c r="N2173" t="str">
        <f>""</f>
        <v/>
      </c>
      <c r="O2173" t="str">
        <f>"11716"</f>
        <v>11716</v>
      </c>
      <c r="P2173" t="str">
        <f t="shared" si="800"/>
        <v>2017</v>
      </c>
      <c r="Q2173" t="str">
        <f>""</f>
        <v/>
      </c>
      <c r="R2173" t="str">
        <f t="shared" si="815"/>
        <v>N</v>
      </c>
      <c r="S2173" t="str">
        <f>""</f>
        <v/>
      </c>
      <c r="T2173" t="str">
        <f>"137.92"</f>
        <v>137.92</v>
      </c>
      <c r="U2173" t="str">
        <f>"5445.00"</f>
        <v>5445.00</v>
      </c>
      <c r="V2173" t="str">
        <f>"5445.00"</f>
        <v>5445.00</v>
      </c>
      <c r="W2173" t="str">
        <f t="shared" si="801"/>
        <v>2017</v>
      </c>
      <c r="X2173" t="str">
        <f>"26.25"</f>
        <v>26.25</v>
      </c>
      <c r="Y2173" t="str">
        <f>"174.06"</f>
        <v>174.06</v>
      </c>
      <c r="Z2173" t="str">
        <f>""</f>
        <v/>
      </c>
      <c r="AA2173" t="str">
        <f>"9900.00"</f>
        <v>9900.00</v>
      </c>
      <c r="AB2173" t="str">
        <f t="shared" si="814"/>
        <v>Residential</v>
      </c>
      <c r="AC2173" t="str">
        <f t="shared" si="809"/>
        <v>0</v>
      </c>
      <c r="AD2173" t="str">
        <f>""</f>
        <v/>
      </c>
      <c r="AE2173" t="str">
        <f>""</f>
        <v/>
      </c>
      <c r="AF2173" t="str">
        <f>"000"</f>
        <v>000</v>
      </c>
      <c r="AG2173" t="str">
        <f t="shared" ref="AG2173:AG2182" si="816">"FL"</f>
        <v>FL</v>
      </c>
      <c r="AH2173" t="str">
        <f>"9000.00"</f>
        <v>9000.00</v>
      </c>
      <c r="AI2173" t="str">
        <f>"9900.00"</f>
        <v>9900.00</v>
      </c>
      <c r="AJ2173" t="str">
        <f>"C55-000-585-9159-5"</f>
        <v>C55-000-585-9159-5</v>
      </c>
      <c r="AK2173" t="str">
        <f>"48689"</f>
        <v>48689</v>
      </c>
      <c r="AL2173">
        <v>8</v>
      </c>
      <c r="AM2173">
        <v>2481</v>
      </c>
      <c r="AN2173">
        <v>181.16</v>
      </c>
      <c r="AQ2173" t="s">
        <v>20937</v>
      </c>
      <c r="AR2173" t="s">
        <v>20937</v>
      </c>
      <c r="AS2173" t="s">
        <v>20937</v>
      </c>
      <c r="AU2173" t="s">
        <v>396</v>
      </c>
      <c r="AV2173">
        <v>2017</v>
      </c>
      <c r="AW2173" t="str">
        <f>"00-00-31-1800-0067-0080 "</f>
        <v xml:space="preserve">00-00-31-1800-0067-0080 </v>
      </c>
      <c r="AY2173" t="s">
        <v>404</v>
      </c>
      <c r="AZ2173" t="s">
        <v>18673</v>
      </c>
      <c r="BA2173" t="s">
        <v>1942</v>
      </c>
      <c r="BD2173" t="s">
        <v>11749</v>
      </c>
      <c r="BE2173" t="s">
        <v>393</v>
      </c>
      <c r="BF2173">
        <v>32034</v>
      </c>
      <c r="BG2173" t="s">
        <v>20938</v>
      </c>
      <c r="BH2173" t="s">
        <v>11751</v>
      </c>
      <c r="BI2173">
        <v>-81.458457029096905</v>
      </c>
      <c r="BJ2173">
        <v>30.674766761509499</v>
      </c>
      <c r="BK2173" t="s">
        <v>19248</v>
      </c>
      <c r="BL2173" t="s">
        <v>19249</v>
      </c>
      <c r="BM2173" t="s">
        <v>19250</v>
      </c>
      <c r="BN2173" t="s">
        <v>3983</v>
      </c>
      <c r="BO2173">
        <v>32035</v>
      </c>
      <c r="BP2173" t="s">
        <v>404</v>
      </c>
      <c r="BQ2173">
        <v>0</v>
      </c>
      <c r="BR2173" t="s">
        <v>491</v>
      </c>
      <c r="BS2173">
        <v>8001</v>
      </c>
      <c r="BT2173" t="s">
        <v>492</v>
      </c>
      <c r="BU2173">
        <v>900</v>
      </c>
      <c r="BV2173">
        <v>1000</v>
      </c>
      <c r="BW2173">
        <v>9001</v>
      </c>
      <c r="BX2173" t="s">
        <v>407</v>
      </c>
      <c r="BY2173" t="s">
        <v>18253</v>
      </c>
      <c r="CD2173">
        <v>2017</v>
      </c>
      <c r="CE2173">
        <v>9900</v>
      </c>
      <c r="CG2173">
        <v>9900</v>
      </c>
      <c r="CH2173">
        <v>2017</v>
      </c>
      <c r="CI2173">
        <v>9900</v>
      </c>
      <c r="CK2173">
        <v>9900</v>
      </c>
      <c r="CL2173">
        <v>2017</v>
      </c>
      <c r="CM2173">
        <v>137.91999999999999</v>
      </c>
      <c r="CN2173" s="1">
        <v>39170</v>
      </c>
      <c r="CZ2173" s="1">
        <v>39170</v>
      </c>
      <c r="DD2173" t="s">
        <v>11749</v>
      </c>
      <c r="DF2173">
        <v>8</v>
      </c>
      <c r="DG2173">
        <v>21</v>
      </c>
      <c r="DJ2173" t="s">
        <v>20634</v>
      </c>
      <c r="DL2173">
        <v>50102</v>
      </c>
      <c r="DM2173" t="s">
        <v>20609</v>
      </c>
      <c r="DO2173" t="s">
        <v>20939</v>
      </c>
      <c r="DP2173">
        <v>0</v>
      </c>
      <c r="DQ2173">
        <v>0</v>
      </c>
      <c r="DR2173" t="s">
        <v>411</v>
      </c>
      <c r="DS2173" t="b">
        <v>1</v>
      </c>
      <c r="DT2173" t="s">
        <v>8902</v>
      </c>
      <c r="DV2173" t="s">
        <v>446</v>
      </c>
      <c r="DX2173">
        <v>9</v>
      </c>
      <c r="DY2173" t="s">
        <v>11438</v>
      </c>
      <c r="DZ2173" t="s">
        <v>447</v>
      </c>
      <c r="EA2173" t="s">
        <v>448</v>
      </c>
      <c r="EB2173" t="s">
        <v>20706</v>
      </c>
      <c r="EC2173">
        <v>20101217</v>
      </c>
      <c r="ED2173" t="s">
        <v>450</v>
      </c>
      <c r="EE2173">
        <v>5</v>
      </c>
      <c r="EF2173">
        <v>0</v>
      </c>
      <c r="EG2173">
        <v>0</v>
      </c>
      <c r="EI2173">
        <v>20160407</v>
      </c>
      <c r="EJ2173">
        <v>0</v>
      </c>
      <c r="EK2173">
        <v>0</v>
      </c>
      <c r="EP2173" t="s">
        <v>595</v>
      </c>
      <c r="EQ2173" t="s">
        <v>422</v>
      </c>
      <c r="ER2173">
        <v>1</v>
      </c>
      <c r="ES2173">
        <v>7</v>
      </c>
      <c r="ET2173">
        <v>148.63</v>
      </c>
      <c r="EU2173">
        <v>32.630000000000003</v>
      </c>
      <c r="EV2173">
        <v>181.26</v>
      </c>
      <c r="EW2173" s="2">
        <v>43222</v>
      </c>
      <c r="EX2173" s="1">
        <v>42879</v>
      </c>
      <c r="EY2173">
        <v>2016</v>
      </c>
      <c r="EZ2173">
        <v>148.63</v>
      </c>
      <c r="FA2173" t="s">
        <v>20940</v>
      </c>
      <c r="FB2173">
        <v>17.75</v>
      </c>
      <c r="FC2173" t="s">
        <v>424</v>
      </c>
      <c r="FD2173" t="s">
        <v>454</v>
      </c>
      <c r="FF2173">
        <v>12</v>
      </c>
      <c r="FG2173">
        <v>6516843</v>
      </c>
      <c r="FH2173" t="s">
        <v>601</v>
      </c>
      <c r="FJ2173" s="1">
        <v>42515</v>
      </c>
      <c r="FK2173">
        <v>2015</v>
      </c>
      <c r="FL2173">
        <v>121.79</v>
      </c>
      <c r="FM2173" t="s">
        <v>20941</v>
      </c>
      <c r="FN2173">
        <v>18</v>
      </c>
      <c r="FO2173" t="s">
        <v>603</v>
      </c>
      <c r="FP2173" t="s">
        <v>425</v>
      </c>
      <c r="FR2173">
        <v>22</v>
      </c>
      <c r="FS2173">
        <v>9999999</v>
      </c>
      <c r="FT2173" t="s">
        <v>604</v>
      </c>
      <c r="FV2173" s="1">
        <v>42515</v>
      </c>
      <c r="FW2173">
        <v>2015</v>
      </c>
      <c r="FX2173">
        <v>129.87</v>
      </c>
      <c r="FY2173" t="s">
        <v>20941</v>
      </c>
      <c r="FZ2173">
        <v>18</v>
      </c>
      <c r="GA2173" t="s">
        <v>424</v>
      </c>
      <c r="GB2173" t="s">
        <v>425</v>
      </c>
      <c r="GC2173" s="1">
        <v>43158</v>
      </c>
      <c r="GD2173">
        <v>21</v>
      </c>
      <c r="GE2173">
        <v>10647</v>
      </c>
      <c r="GF2173" t="s">
        <v>4602</v>
      </c>
      <c r="GH2173" s="1">
        <v>42151</v>
      </c>
      <c r="GI2173">
        <v>2014</v>
      </c>
      <c r="GJ2173">
        <v>122.52</v>
      </c>
      <c r="GK2173" t="s">
        <v>20942</v>
      </c>
      <c r="GL2173">
        <v>18</v>
      </c>
      <c r="GM2173" t="s">
        <v>424</v>
      </c>
      <c r="GN2173" t="s">
        <v>425</v>
      </c>
      <c r="GO2173" s="1">
        <v>43158</v>
      </c>
      <c r="GP2173">
        <v>33</v>
      </c>
      <c r="GQ2173">
        <v>5100525</v>
      </c>
      <c r="GR2173" t="s">
        <v>6804</v>
      </c>
      <c r="GT2173" s="1">
        <v>41787</v>
      </c>
      <c r="GU2173">
        <v>2013</v>
      </c>
      <c r="GV2173">
        <v>119.07</v>
      </c>
      <c r="GW2173" t="s">
        <v>20943</v>
      </c>
      <c r="GX2173">
        <v>13.75</v>
      </c>
      <c r="GY2173" t="s">
        <v>424</v>
      </c>
      <c r="GZ2173" t="s">
        <v>425</v>
      </c>
      <c r="HA2173" s="1">
        <v>42424</v>
      </c>
      <c r="HB2173">
        <v>21</v>
      </c>
      <c r="HC2173">
        <v>10125</v>
      </c>
      <c r="HD2173" t="s">
        <v>440</v>
      </c>
      <c r="HF2173" s="1">
        <v>41423</v>
      </c>
      <c r="HG2173">
        <v>2012</v>
      </c>
      <c r="HH2173">
        <v>118.95</v>
      </c>
      <c r="HI2173" t="s">
        <v>20944</v>
      </c>
      <c r="HJ2173">
        <v>9.75</v>
      </c>
      <c r="HK2173" t="s">
        <v>424</v>
      </c>
      <c r="HL2173" t="s">
        <v>425</v>
      </c>
      <c r="HM2173" s="1">
        <v>42123</v>
      </c>
      <c r="HN2173">
        <v>23</v>
      </c>
      <c r="HO2173">
        <v>10125</v>
      </c>
      <c r="HP2173" t="s">
        <v>440</v>
      </c>
      <c r="HR2173" s="1">
        <v>41052</v>
      </c>
      <c r="HS2173">
        <v>2011</v>
      </c>
      <c r="HT2173">
        <v>154.97999999999999</v>
      </c>
      <c r="HU2173" t="s">
        <v>20945</v>
      </c>
      <c r="HV2173">
        <v>16.5</v>
      </c>
      <c r="HW2173" t="s">
        <v>424</v>
      </c>
      <c r="HX2173" t="s">
        <v>425</v>
      </c>
      <c r="HY2173" s="1">
        <v>41681</v>
      </c>
      <c r="HZ2173">
        <v>21</v>
      </c>
      <c r="IA2173">
        <v>10125</v>
      </c>
      <c r="IB2173" t="s">
        <v>440</v>
      </c>
      <c r="ID2173" s="1">
        <v>40688</v>
      </c>
      <c r="IE2173">
        <v>2010</v>
      </c>
      <c r="IF2173">
        <v>160.09</v>
      </c>
      <c r="IG2173" t="s">
        <v>20946</v>
      </c>
      <c r="IH2173">
        <v>11</v>
      </c>
      <c r="II2173" t="s">
        <v>424</v>
      </c>
      <c r="IJ2173" t="s">
        <v>425</v>
      </c>
      <c r="IK2173" s="1">
        <v>42123</v>
      </c>
      <c r="IL2173">
        <v>47</v>
      </c>
      <c r="IM2173">
        <v>10125</v>
      </c>
      <c r="IN2173" t="s">
        <v>440</v>
      </c>
    </row>
    <row r="2174" spans="1:284" x14ac:dyDescent="0.25">
      <c r="A2174">
        <v>16487181</v>
      </c>
      <c r="B2174">
        <v>2173</v>
      </c>
      <c r="C2174" t="s">
        <v>393</v>
      </c>
      <c r="D2174" t="s">
        <v>394</v>
      </c>
      <c r="F2174" t="str">
        <f>"00-00-31-1800-0068-0040"</f>
        <v>00-00-31-1800-0068-0040</v>
      </c>
      <c r="H2174" t="str">
        <f>"SNIPE VIOLA &amp; SIMMONS LOUIS"</f>
        <v>SNIPE VIOLA &amp; SIMMONS LOUIS</v>
      </c>
      <c r="I2174" t="str">
        <f>"914 CALHOUN ST"</f>
        <v>914 CALHOUN ST</v>
      </c>
      <c r="J2174" t="str">
        <f>"FERNANDINA BEACH FL 32034"</f>
        <v>FERNANDINA BEACH FL 32034</v>
      </c>
      <c r="K2174" t="str">
        <f>"CALHOUN ST"</f>
        <v>CALHOUN ST</v>
      </c>
      <c r="L2174" t="str">
        <f t="shared" si="807"/>
        <v>FERNANDINA BEACH FL 32034</v>
      </c>
      <c r="M2174" t="str">
        <f>"BLOCK 68 LOT 4 CITY OF FDNA BEACH"</f>
        <v>BLOCK 68 LOT 4 CITY OF FDNA BEACH</v>
      </c>
      <c r="N2174" t="str">
        <f>""</f>
        <v/>
      </c>
      <c r="O2174" t="str">
        <f>"11721"</f>
        <v>11721</v>
      </c>
      <c r="P2174" t="str">
        <f t="shared" si="800"/>
        <v>2017</v>
      </c>
      <c r="Q2174" t="str">
        <f>""</f>
        <v/>
      </c>
      <c r="R2174" t="str">
        <f t="shared" si="815"/>
        <v>N</v>
      </c>
      <c r="S2174" t="str">
        <f>""</f>
        <v/>
      </c>
      <c r="T2174" t="str">
        <f>"10.97"</f>
        <v>10.97</v>
      </c>
      <c r="U2174" t="str">
        <f>"550.00"</f>
        <v>550.00</v>
      </c>
      <c r="V2174" t="str">
        <f>"550.00"</f>
        <v>550.00</v>
      </c>
      <c r="W2174" t="str">
        <f t="shared" si="801"/>
        <v>2017</v>
      </c>
      <c r="X2174" t="str">
        <f>"58.00"</f>
        <v>58.00</v>
      </c>
      <c r="Y2174" t="str">
        <f>"43.30"</f>
        <v>43.30</v>
      </c>
      <c r="Z2174" t="str">
        <f>""</f>
        <v/>
      </c>
      <c r="AA2174" t="str">
        <f>"550.00"</f>
        <v>550.00</v>
      </c>
      <c r="AB2174" t="str">
        <f>"Miscellaneous"</f>
        <v>Miscellaneous</v>
      </c>
      <c r="AC2174" t="str">
        <f t="shared" si="809"/>
        <v>0</v>
      </c>
      <c r="AD2174" t="str">
        <f>""</f>
        <v/>
      </c>
      <c r="AE2174" t="str">
        <f>""</f>
        <v/>
      </c>
      <c r="AF2174" t="str">
        <f>"096"</f>
        <v>096</v>
      </c>
      <c r="AG2174" t="str">
        <f t="shared" si="816"/>
        <v>FL</v>
      </c>
      <c r="AH2174" t="str">
        <f>"10000.00"</f>
        <v>10000.00</v>
      </c>
      <c r="AI2174" t="str">
        <f>"550.00"</f>
        <v>550.00</v>
      </c>
      <c r="AJ2174" t="str">
        <f>"C55-000-585-9164-5"</f>
        <v>C55-000-585-9164-5</v>
      </c>
      <c r="AK2174" t="str">
        <f>"48694"</f>
        <v>48694</v>
      </c>
      <c r="AL2174">
        <v>8</v>
      </c>
      <c r="AM2174">
        <v>2482</v>
      </c>
      <c r="AN2174">
        <v>43.87</v>
      </c>
      <c r="AQ2174" t="s">
        <v>20947</v>
      </c>
      <c r="AR2174" t="s">
        <v>20947</v>
      </c>
      <c r="AS2174" t="s">
        <v>20947</v>
      </c>
      <c r="AU2174" t="s">
        <v>396</v>
      </c>
      <c r="AV2174">
        <v>2017</v>
      </c>
      <c r="AW2174" t="str">
        <f>"00-00-31-1800-0068-0040 "</f>
        <v xml:space="preserve">00-00-31-1800-0068-0040 </v>
      </c>
      <c r="AZ2174" t="s">
        <v>16337</v>
      </c>
      <c r="BA2174" t="s">
        <v>1942</v>
      </c>
      <c r="BD2174" t="s">
        <v>11749</v>
      </c>
      <c r="BE2174" t="s">
        <v>393</v>
      </c>
      <c r="BF2174">
        <v>32034</v>
      </c>
      <c r="BG2174" t="s">
        <v>20948</v>
      </c>
      <c r="BH2174" t="s">
        <v>11751</v>
      </c>
      <c r="BI2174">
        <v>-81.458831909467307</v>
      </c>
      <c r="BJ2174">
        <v>30.674383408065101</v>
      </c>
      <c r="BK2174" t="s">
        <v>20949</v>
      </c>
      <c r="BL2174" t="s">
        <v>20950</v>
      </c>
      <c r="BM2174" t="s">
        <v>20951</v>
      </c>
      <c r="BN2174" t="s">
        <v>3983</v>
      </c>
      <c r="BO2174">
        <v>32034</v>
      </c>
      <c r="BP2174" t="s">
        <v>416</v>
      </c>
      <c r="BQ2174">
        <v>9600</v>
      </c>
      <c r="BR2174" t="s">
        <v>12330</v>
      </c>
      <c r="BS2174">
        <v>6013</v>
      </c>
      <c r="BT2174" t="s">
        <v>12331</v>
      </c>
      <c r="BU2174">
        <v>1000</v>
      </c>
      <c r="BV2174">
        <v>1000</v>
      </c>
      <c r="BW2174">
        <v>9844</v>
      </c>
      <c r="BX2174" t="s">
        <v>407</v>
      </c>
      <c r="BY2174" t="s">
        <v>18253</v>
      </c>
      <c r="CD2174">
        <v>2017</v>
      </c>
      <c r="CE2174">
        <v>550</v>
      </c>
      <c r="CG2174">
        <v>550</v>
      </c>
      <c r="CH2174">
        <v>2017</v>
      </c>
      <c r="CI2174">
        <v>550</v>
      </c>
      <c r="CK2174">
        <v>550</v>
      </c>
      <c r="CL2174">
        <v>2017</v>
      </c>
      <c r="CM2174">
        <v>10.97</v>
      </c>
      <c r="DD2174" t="s">
        <v>11749</v>
      </c>
      <c r="DF2174">
        <v>4</v>
      </c>
      <c r="DG2174">
        <v>21</v>
      </c>
      <c r="DJ2174" t="s">
        <v>20634</v>
      </c>
      <c r="DL2174">
        <v>50102</v>
      </c>
      <c r="DM2174" t="s">
        <v>20609</v>
      </c>
      <c r="DO2174" t="s">
        <v>20952</v>
      </c>
      <c r="DP2174">
        <v>0</v>
      </c>
      <c r="DQ2174">
        <v>0</v>
      </c>
      <c r="DR2174" t="s">
        <v>411</v>
      </c>
      <c r="DS2174" t="b">
        <v>1</v>
      </c>
      <c r="DT2174" t="s">
        <v>8902</v>
      </c>
      <c r="DV2174" t="s">
        <v>446</v>
      </c>
      <c r="DX2174">
        <v>9</v>
      </c>
      <c r="DY2174" t="s">
        <v>11438</v>
      </c>
      <c r="DZ2174" t="s">
        <v>447</v>
      </c>
      <c r="EA2174" t="s">
        <v>448</v>
      </c>
      <c r="EB2174" t="s">
        <v>20706</v>
      </c>
      <c r="EC2174">
        <v>20101217</v>
      </c>
      <c r="ED2174" t="s">
        <v>450</v>
      </c>
      <c r="EE2174">
        <v>5</v>
      </c>
      <c r="EF2174">
        <v>0</v>
      </c>
      <c r="EG2174">
        <v>0</v>
      </c>
      <c r="EI2174">
        <v>20160407</v>
      </c>
      <c r="EJ2174">
        <v>0</v>
      </c>
      <c r="EK2174">
        <v>0</v>
      </c>
      <c r="EP2174" t="s">
        <v>595</v>
      </c>
      <c r="EQ2174" t="s">
        <v>422</v>
      </c>
      <c r="ER2174">
        <v>8</v>
      </c>
      <c r="ES2174">
        <v>0</v>
      </c>
      <c r="ET2174">
        <v>258.32</v>
      </c>
      <c r="EU2174">
        <v>184.41</v>
      </c>
      <c r="EV2174">
        <v>442.73</v>
      </c>
      <c r="EW2174" s="2">
        <v>43222</v>
      </c>
      <c r="EX2174" s="1">
        <v>42879</v>
      </c>
      <c r="EY2174">
        <v>2016</v>
      </c>
      <c r="EZ2174">
        <v>37.93</v>
      </c>
      <c r="FA2174" t="s">
        <v>20953</v>
      </c>
      <c r="FB2174">
        <v>18</v>
      </c>
      <c r="FC2174" t="s">
        <v>424</v>
      </c>
      <c r="FD2174" t="s">
        <v>454</v>
      </c>
      <c r="FF2174">
        <v>12</v>
      </c>
      <c r="FG2174">
        <v>7685287</v>
      </c>
      <c r="FH2174" t="s">
        <v>6806</v>
      </c>
      <c r="FJ2174" s="1">
        <v>42515</v>
      </c>
      <c r="FK2174">
        <v>2015</v>
      </c>
      <c r="FL2174">
        <v>33.08</v>
      </c>
      <c r="FM2174" t="s">
        <v>20954</v>
      </c>
      <c r="FN2174">
        <v>18</v>
      </c>
      <c r="FO2174" t="s">
        <v>424</v>
      </c>
      <c r="FP2174" t="s">
        <v>454</v>
      </c>
      <c r="FR2174">
        <v>24</v>
      </c>
      <c r="FS2174">
        <v>10003</v>
      </c>
      <c r="FT2174" t="s">
        <v>4341</v>
      </c>
      <c r="FV2174" s="1">
        <v>42151</v>
      </c>
      <c r="FW2174">
        <v>2014</v>
      </c>
      <c r="FX2174">
        <v>33.159999999999997</v>
      </c>
      <c r="FY2174" t="s">
        <v>20955</v>
      </c>
      <c r="FZ2174">
        <v>18</v>
      </c>
      <c r="GA2174" t="s">
        <v>424</v>
      </c>
      <c r="GB2174" t="s">
        <v>454</v>
      </c>
      <c r="GD2174">
        <v>36</v>
      </c>
      <c r="GE2174">
        <v>5100525</v>
      </c>
      <c r="GF2174" t="s">
        <v>6804</v>
      </c>
      <c r="GH2174" s="1">
        <v>41787</v>
      </c>
      <c r="GI2174">
        <v>2013</v>
      </c>
      <c r="GJ2174">
        <v>32.770000000000003</v>
      </c>
      <c r="GK2174" t="s">
        <v>20956</v>
      </c>
      <c r="GL2174">
        <v>18</v>
      </c>
      <c r="GM2174" t="s">
        <v>603</v>
      </c>
      <c r="GN2174" t="s">
        <v>454</v>
      </c>
      <c r="GP2174">
        <v>48</v>
      </c>
      <c r="GQ2174">
        <v>9999999</v>
      </c>
      <c r="GR2174" t="s">
        <v>604</v>
      </c>
      <c r="GT2174" s="1">
        <v>41787</v>
      </c>
      <c r="GU2174">
        <v>2013</v>
      </c>
      <c r="GV2174">
        <v>43.94</v>
      </c>
      <c r="GW2174" t="s">
        <v>20956</v>
      </c>
      <c r="GX2174">
        <v>18</v>
      </c>
      <c r="GY2174" t="s">
        <v>424</v>
      </c>
      <c r="GZ2174" t="s">
        <v>454</v>
      </c>
      <c r="HB2174">
        <v>48</v>
      </c>
      <c r="HC2174">
        <v>4844972</v>
      </c>
      <c r="HD2174" t="s">
        <v>20957</v>
      </c>
      <c r="HF2174" s="1">
        <v>41423</v>
      </c>
      <c r="HG2174">
        <v>2012</v>
      </c>
      <c r="HH2174">
        <v>32.56</v>
      </c>
      <c r="HI2174" t="s">
        <v>20958</v>
      </c>
      <c r="HJ2174">
        <v>9.75</v>
      </c>
      <c r="HK2174" t="s">
        <v>424</v>
      </c>
      <c r="HL2174" t="s">
        <v>454</v>
      </c>
      <c r="HN2174">
        <v>60</v>
      </c>
      <c r="HO2174">
        <v>10125</v>
      </c>
      <c r="HP2174" t="s">
        <v>440</v>
      </c>
      <c r="HR2174" s="1">
        <v>41052</v>
      </c>
      <c r="HS2174">
        <v>2011</v>
      </c>
      <c r="HT2174">
        <v>23.71</v>
      </c>
      <c r="HU2174" t="s">
        <v>20959</v>
      </c>
      <c r="HV2174">
        <v>18</v>
      </c>
      <c r="HW2174" t="s">
        <v>424</v>
      </c>
      <c r="HX2174" t="s">
        <v>454</v>
      </c>
      <c r="HZ2174">
        <v>72</v>
      </c>
      <c r="IA2174">
        <v>10125</v>
      </c>
      <c r="IB2174" t="s">
        <v>440</v>
      </c>
      <c r="ID2174" s="1">
        <v>40688</v>
      </c>
      <c r="IE2174">
        <v>2010</v>
      </c>
      <c r="IF2174">
        <v>21.17</v>
      </c>
      <c r="IG2174" t="s">
        <v>20960</v>
      </c>
      <c r="IH2174">
        <v>0.25</v>
      </c>
      <c r="II2174" t="s">
        <v>424</v>
      </c>
      <c r="IJ2174" t="s">
        <v>454</v>
      </c>
      <c r="IL2174">
        <v>84</v>
      </c>
      <c r="IM2174">
        <v>389</v>
      </c>
      <c r="IN2174" t="s">
        <v>609</v>
      </c>
    </row>
    <row r="2175" spans="1:284" x14ac:dyDescent="0.25">
      <c r="A2175">
        <v>16487182</v>
      </c>
      <c r="B2175">
        <v>2174</v>
      </c>
      <c r="C2175" t="s">
        <v>393</v>
      </c>
      <c r="D2175" t="s">
        <v>394</v>
      </c>
      <c r="F2175" t="str">
        <f>"00-00-31-1800-0071-0031"</f>
        <v>00-00-31-1800-0071-0031</v>
      </c>
      <c r="H2175" t="str">
        <f t="shared" ref="H2175:H2182" si="817">"OCONNER JAMES PRATT &amp; OCONNER JAMES MITCHELL &amp; MOONEY TRACY OCONNER"</f>
        <v>OCONNER JAMES PRATT &amp; OCONNER JAMES MITCHELL &amp; MOONEY TRACY OCONNER</v>
      </c>
      <c r="I2175" t="str">
        <f>""</f>
        <v/>
      </c>
      <c r="J2175" t="str">
        <f t="shared" ref="J2175:J2182" si="818">"FERNANDINA BEACH FL 32035"</f>
        <v>FERNANDINA BEACH FL 32035</v>
      </c>
      <c r="K2175" t="str">
        <f>"222 N 8TH ST"</f>
        <v>222 N 8TH ST</v>
      </c>
      <c r="L2175" t="str">
        <f t="shared" si="807"/>
        <v>FERNANDINA BEACH FL 32034</v>
      </c>
      <c r="M2175" t="str">
        <f>"BLOCK 71 LOT N 1/3 OF 3 PT OR 1488/1658 CITY OF FDNA BEACH"</f>
        <v>BLOCK 71 LOT N 1/3 OF 3 PT OR 1488/1658 CITY OF FDNA BEACH</v>
      </c>
      <c r="N2175" t="str">
        <f>""</f>
        <v/>
      </c>
      <c r="O2175" t="str">
        <f>"11737"</f>
        <v>11737</v>
      </c>
      <c r="P2175" t="str">
        <f t="shared" si="800"/>
        <v>2017</v>
      </c>
      <c r="Q2175" t="str">
        <f>""</f>
        <v/>
      </c>
      <c r="R2175" t="str">
        <f t="shared" si="815"/>
        <v>N</v>
      </c>
      <c r="S2175" t="str">
        <f>""</f>
        <v/>
      </c>
      <c r="T2175" t="str">
        <f>"505.70"</f>
        <v>505.70</v>
      </c>
      <c r="U2175" t="str">
        <f>"19965.00"</f>
        <v>19965.00</v>
      </c>
      <c r="V2175" t="str">
        <f>"19965.00"</f>
        <v>19965.00</v>
      </c>
      <c r="W2175" t="str">
        <f t="shared" si="801"/>
        <v>2017</v>
      </c>
      <c r="X2175" t="str">
        <f>"26.71"</f>
        <v>26.71</v>
      </c>
      <c r="Y2175" t="str">
        <f>"552.87"</f>
        <v>552.87</v>
      </c>
      <c r="Z2175" t="str">
        <f>""</f>
        <v/>
      </c>
      <c r="AA2175" t="str">
        <f>"36300.00"</f>
        <v>36300.00</v>
      </c>
      <c r="AB2175" t="str">
        <f t="shared" ref="AB2175:AB2190" si="819">"Residential"</f>
        <v>Residential</v>
      </c>
      <c r="AC2175" t="str">
        <f t="shared" si="809"/>
        <v>0</v>
      </c>
      <c r="AD2175" t="str">
        <f>""</f>
        <v/>
      </c>
      <c r="AE2175" t="str">
        <f>""</f>
        <v/>
      </c>
      <c r="AF2175" t="str">
        <f t="shared" ref="AF2175:AF2182" si="820">"000"</f>
        <v>000</v>
      </c>
      <c r="AG2175" t="str">
        <f t="shared" si="816"/>
        <v>FL</v>
      </c>
      <c r="AH2175" t="str">
        <f>"3300.00"</f>
        <v>3300.00</v>
      </c>
      <c r="AI2175" t="str">
        <f>"36300.00"</f>
        <v>36300.00</v>
      </c>
      <c r="AJ2175" t="str">
        <f>"C55-000-585-9180-1"</f>
        <v>C55-000-585-9180-1</v>
      </c>
      <c r="AK2175" t="str">
        <f>"48710"</f>
        <v>48710</v>
      </c>
      <c r="AL2175">
        <v>8</v>
      </c>
      <c r="AM2175">
        <v>2483</v>
      </c>
      <c r="AN2175">
        <v>578.91</v>
      </c>
      <c r="AQ2175" t="s">
        <v>20961</v>
      </c>
      <c r="AR2175" t="s">
        <v>20961</v>
      </c>
      <c r="AS2175" t="s">
        <v>20961</v>
      </c>
      <c r="AU2175" t="s">
        <v>396</v>
      </c>
      <c r="AV2175">
        <v>2017</v>
      </c>
      <c r="AW2175" t="str">
        <f>"00-00-31-1800-0071-0031 "</f>
        <v xml:space="preserve">00-00-31-1800-0071-0031 </v>
      </c>
      <c r="AX2175">
        <v>222</v>
      </c>
      <c r="AY2175" t="s">
        <v>404</v>
      </c>
      <c r="AZ2175" t="s">
        <v>18673</v>
      </c>
      <c r="BA2175" t="s">
        <v>1942</v>
      </c>
      <c r="BD2175" t="s">
        <v>11749</v>
      </c>
      <c r="BE2175" t="s">
        <v>393</v>
      </c>
      <c r="BF2175">
        <v>32034</v>
      </c>
      <c r="BG2175" t="s">
        <v>20962</v>
      </c>
      <c r="BH2175" t="s">
        <v>11751</v>
      </c>
      <c r="BI2175">
        <v>-81.458037956591895</v>
      </c>
      <c r="BJ2175">
        <v>30.6741072091374</v>
      </c>
      <c r="BK2175" t="s">
        <v>19248</v>
      </c>
      <c r="BL2175" t="s">
        <v>19249</v>
      </c>
      <c r="BM2175" t="s">
        <v>19250</v>
      </c>
      <c r="BN2175" t="s">
        <v>3983</v>
      </c>
      <c r="BO2175">
        <v>32035</v>
      </c>
      <c r="BP2175" t="s">
        <v>404</v>
      </c>
      <c r="BQ2175">
        <v>0</v>
      </c>
      <c r="BR2175" t="s">
        <v>491</v>
      </c>
      <c r="BS2175">
        <v>8001</v>
      </c>
      <c r="BT2175" t="s">
        <v>492</v>
      </c>
      <c r="BU2175">
        <v>330</v>
      </c>
      <c r="BV2175">
        <v>1000</v>
      </c>
      <c r="BW2175">
        <v>3332</v>
      </c>
      <c r="BX2175" t="s">
        <v>407</v>
      </c>
      <c r="BY2175" t="s">
        <v>18253</v>
      </c>
      <c r="CD2175">
        <v>2017</v>
      </c>
      <c r="CE2175">
        <v>36300</v>
      </c>
      <c r="CG2175">
        <v>36300</v>
      </c>
      <c r="CH2175">
        <v>2017</v>
      </c>
      <c r="CI2175">
        <v>36300</v>
      </c>
      <c r="CK2175">
        <v>36300</v>
      </c>
      <c r="CL2175">
        <v>2017</v>
      </c>
      <c r="CM2175">
        <v>505.7</v>
      </c>
      <c r="CN2175" s="1">
        <v>39170</v>
      </c>
      <c r="CZ2175" s="1">
        <v>39170</v>
      </c>
      <c r="DD2175" t="s">
        <v>11749</v>
      </c>
      <c r="DF2175" t="s">
        <v>404</v>
      </c>
      <c r="DG2175">
        <v>21</v>
      </c>
      <c r="DJ2175" t="s">
        <v>20634</v>
      </c>
      <c r="DL2175">
        <v>50102</v>
      </c>
      <c r="DM2175" t="s">
        <v>20609</v>
      </c>
      <c r="DO2175" t="s">
        <v>20963</v>
      </c>
      <c r="DP2175">
        <v>0</v>
      </c>
      <c r="DQ2175">
        <v>0</v>
      </c>
      <c r="DR2175" t="s">
        <v>411</v>
      </c>
      <c r="DS2175" t="b">
        <v>1</v>
      </c>
      <c r="DT2175" t="s">
        <v>8902</v>
      </c>
      <c r="DV2175" t="s">
        <v>446</v>
      </c>
      <c r="DX2175">
        <v>9</v>
      </c>
      <c r="DY2175" t="s">
        <v>11438</v>
      </c>
      <c r="DZ2175" t="s">
        <v>447</v>
      </c>
      <c r="EA2175" t="s">
        <v>448</v>
      </c>
      <c r="EB2175" t="s">
        <v>20706</v>
      </c>
      <c r="EC2175">
        <v>20101217</v>
      </c>
      <c r="ED2175" t="s">
        <v>450</v>
      </c>
      <c r="EE2175">
        <v>5</v>
      </c>
      <c r="EF2175">
        <v>0</v>
      </c>
      <c r="EG2175">
        <v>0</v>
      </c>
      <c r="EI2175">
        <v>20160407</v>
      </c>
      <c r="EJ2175">
        <v>0</v>
      </c>
      <c r="EK2175">
        <v>0</v>
      </c>
      <c r="EP2175" t="s">
        <v>421</v>
      </c>
      <c r="EQ2175" t="s">
        <v>422</v>
      </c>
      <c r="ER2175">
        <v>1</v>
      </c>
      <c r="ES2175">
        <v>6</v>
      </c>
      <c r="ET2175">
        <v>472.92</v>
      </c>
      <c r="EU2175">
        <v>72.459999999999994</v>
      </c>
      <c r="EV2175">
        <v>545.38</v>
      </c>
      <c r="EW2175" s="2">
        <v>43222</v>
      </c>
      <c r="EX2175" s="1">
        <v>42879</v>
      </c>
      <c r="EY2175">
        <v>2016</v>
      </c>
      <c r="EZ2175">
        <v>472.92</v>
      </c>
      <c r="FA2175" t="s">
        <v>20964</v>
      </c>
      <c r="FB2175">
        <v>14</v>
      </c>
      <c r="FC2175" t="s">
        <v>424</v>
      </c>
      <c r="FD2175" t="s">
        <v>454</v>
      </c>
      <c r="FF2175">
        <v>12</v>
      </c>
      <c r="FG2175">
        <v>6516843</v>
      </c>
      <c r="FH2175" t="s">
        <v>601</v>
      </c>
      <c r="FJ2175" s="1">
        <v>42515</v>
      </c>
      <c r="FK2175">
        <v>2015</v>
      </c>
      <c r="FL2175">
        <v>387.93</v>
      </c>
      <c r="FM2175" t="s">
        <v>20965</v>
      </c>
      <c r="FN2175">
        <v>18</v>
      </c>
      <c r="FO2175" t="s">
        <v>424</v>
      </c>
      <c r="FP2175" t="s">
        <v>425</v>
      </c>
      <c r="FQ2175" s="1">
        <v>43158</v>
      </c>
      <c r="FR2175">
        <v>21</v>
      </c>
      <c r="FS2175">
        <v>7336677</v>
      </c>
      <c r="FT2175" t="s">
        <v>5826</v>
      </c>
      <c r="FV2175" s="1">
        <v>42151</v>
      </c>
      <c r="FW2175">
        <v>2014</v>
      </c>
      <c r="FX2175">
        <v>390.53</v>
      </c>
      <c r="FY2175" t="s">
        <v>20966</v>
      </c>
      <c r="FZ2175">
        <v>18</v>
      </c>
      <c r="GA2175" t="s">
        <v>424</v>
      </c>
      <c r="GB2175" t="s">
        <v>425</v>
      </c>
      <c r="GC2175" s="1">
        <v>43158</v>
      </c>
      <c r="GD2175">
        <v>33</v>
      </c>
      <c r="GE2175">
        <v>7045027</v>
      </c>
      <c r="GF2175" t="s">
        <v>16141</v>
      </c>
      <c r="GH2175" s="1">
        <v>41787</v>
      </c>
      <c r="GI2175">
        <v>2013</v>
      </c>
      <c r="GJ2175">
        <v>377.9</v>
      </c>
      <c r="GK2175" t="s">
        <v>20967</v>
      </c>
      <c r="GL2175">
        <v>3.75</v>
      </c>
      <c r="GM2175" t="s">
        <v>424</v>
      </c>
      <c r="GN2175" t="s">
        <v>425</v>
      </c>
      <c r="GO2175" s="1">
        <v>42424</v>
      </c>
      <c r="GP2175">
        <v>21</v>
      </c>
      <c r="GQ2175">
        <v>10125</v>
      </c>
      <c r="GR2175" t="s">
        <v>440</v>
      </c>
      <c r="GT2175" s="1">
        <v>41423</v>
      </c>
      <c r="GU2175">
        <v>2012</v>
      </c>
      <c r="GV2175">
        <v>377.5</v>
      </c>
      <c r="GW2175" t="s">
        <v>20968</v>
      </c>
      <c r="GX2175">
        <v>4.75</v>
      </c>
      <c r="GY2175" t="s">
        <v>424</v>
      </c>
      <c r="GZ2175" t="s">
        <v>425</v>
      </c>
      <c r="HA2175" s="1">
        <v>42123</v>
      </c>
      <c r="HB2175">
        <v>23</v>
      </c>
      <c r="HC2175">
        <v>10125</v>
      </c>
      <c r="HD2175" t="s">
        <v>440</v>
      </c>
      <c r="HF2175" s="1">
        <v>41052</v>
      </c>
      <c r="HG2175">
        <v>2011</v>
      </c>
      <c r="HH2175">
        <v>530.91999999999996</v>
      </c>
      <c r="HI2175" t="s">
        <v>20969</v>
      </c>
      <c r="HJ2175">
        <v>6.75</v>
      </c>
      <c r="HK2175" t="s">
        <v>424</v>
      </c>
      <c r="HL2175" t="s">
        <v>425</v>
      </c>
      <c r="HM2175" s="1">
        <v>41681</v>
      </c>
      <c r="HN2175">
        <v>21</v>
      </c>
      <c r="HO2175">
        <v>10125</v>
      </c>
      <c r="HP2175" t="s">
        <v>440</v>
      </c>
      <c r="HR2175" s="1">
        <v>40688</v>
      </c>
      <c r="HS2175">
        <v>2010</v>
      </c>
      <c r="HT2175">
        <v>552.39</v>
      </c>
      <c r="HU2175" t="s">
        <v>20970</v>
      </c>
      <c r="HV2175">
        <v>7.5</v>
      </c>
      <c r="HW2175" t="s">
        <v>424</v>
      </c>
      <c r="HX2175" t="s">
        <v>425</v>
      </c>
      <c r="HY2175" s="1">
        <v>42123</v>
      </c>
      <c r="HZ2175">
        <v>47</v>
      </c>
      <c r="IA2175">
        <v>11064</v>
      </c>
      <c r="IB2175" t="s">
        <v>6946</v>
      </c>
    </row>
    <row r="2176" spans="1:284" x14ac:dyDescent="0.25">
      <c r="A2176">
        <v>16487183</v>
      </c>
      <c r="B2176">
        <v>2175</v>
      </c>
      <c r="C2176" t="s">
        <v>393</v>
      </c>
      <c r="D2176" t="s">
        <v>394</v>
      </c>
      <c r="F2176" t="str">
        <f>"00-00-31-1800-0072-0011"</f>
        <v>00-00-31-1800-0072-0011</v>
      </c>
      <c r="H2176" t="str">
        <f t="shared" si="817"/>
        <v>OCONNER JAMES PRATT &amp; OCONNER JAMES MITCHELL &amp; MOONEY TRACY OCONNER</v>
      </c>
      <c r="I2176" t="str">
        <f>""</f>
        <v/>
      </c>
      <c r="J2176" t="str">
        <f t="shared" si="818"/>
        <v>FERNANDINA BEACH FL 32035</v>
      </c>
      <c r="K2176" t="str">
        <f>"316 N 8TH ST"</f>
        <v>316 N 8TH ST</v>
      </c>
      <c r="L2176" t="str">
        <f t="shared" si="807"/>
        <v>FERNANDINA BEACH FL 32034</v>
      </c>
      <c r="M2176" t="str">
        <f>"BLOCK 72 LOT N 25 FT OF 1 PT OR 1488/1658 CITY OF FDNA BEACH"</f>
        <v>BLOCK 72 LOT N 25 FT OF 1 PT OR 1488/1658 CITY OF FDNA BEACH</v>
      </c>
      <c r="N2176" t="str">
        <f>""</f>
        <v/>
      </c>
      <c r="O2176" t="str">
        <f>"11743"</f>
        <v>11743</v>
      </c>
      <c r="P2176" t="str">
        <f t="shared" si="800"/>
        <v>2017</v>
      </c>
      <c r="Q2176" t="str">
        <f>""</f>
        <v/>
      </c>
      <c r="R2176" t="str">
        <f t="shared" si="815"/>
        <v>N</v>
      </c>
      <c r="S2176" t="str">
        <f>""</f>
        <v/>
      </c>
      <c r="T2176" t="str">
        <f>"38.32"</f>
        <v>38.32</v>
      </c>
      <c r="U2176" t="str">
        <f>"1513.00"</f>
        <v>1513.00</v>
      </c>
      <c r="V2176" t="str">
        <f>"1513.00"</f>
        <v>1513.00</v>
      </c>
      <c r="W2176" t="str">
        <f t="shared" si="801"/>
        <v>2017</v>
      </c>
      <c r="X2176" t="str">
        <f>"26.25"</f>
        <v>26.25</v>
      </c>
      <c r="Y2176" t="str">
        <f>"71.47"</f>
        <v>71.47</v>
      </c>
      <c r="Z2176" t="str">
        <f>""</f>
        <v/>
      </c>
      <c r="AA2176" t="str">
        <f>"2750.00"</f>
        <v>2750.00</v>
      </c>
      <c r="AB2176" t="str">
        <f t="shared" si="819"/>
        <v>Residential</v>
      </c>
      <c r="AC2176" t="str">
        <f t="shared" si="809"/>
        <v>0</v>
      </c>
      <c r="AD2176" t="str">
        <f>""</f>
        <v/>
      </c>
      <c r="AE2176" t="str">
        <f>""</f>
        <v/>
      </c>
      <c r="AF2176" t="str">
        <f t="shared" si="820"/>
        <v>000</v>
      </c>
      <c r="AG2176" t="str">
        <f t="shared" si="816"/>
        <v>FL</v>
      </c>
      <c r="AH2176" t="str">
        <f>"2500.00"</f>
        <v>2500.00</v>
      </c>
      <c r="AI2176" t="str">
        <f>"2750.00"</f>
        <v>2750.00</v>
      </c>
      <c r="AJ2176" t="str">
        <f>"C55-000-585-9186-8"</f>
        <v>C55-000-585-9186-8</v>
      </c>
      <c r="AK2176" t="str">
        <f>"48716"</f>
        <v>48716</v>
      </c>
      <c r="AL2176">
        <v>8</v>
      </c>
      <c r="AM2176">
        <v>2484</v>
      </c>
      <c r="AN2176">
        <v>73.44</v>
      </c>
      <c r="AQ2176" t="s">
        <v>20971</v>
      </c>
      <c r="AR2176" t="s">
        <v>20971</v>
      </c>
      <c r="AS2176" t="s">
        <v>20971</v>
      </c>
      <c r="AU2176" t="s">
        <v>396</v>
      </c>
      <c r="AV2176">
        <v>2017</v>
      </c>
      <c r="AW2176" t="str">
        <f>"00-00-31-1800-0072-0011 "</f>
        <v xml:space="preserve">00-00-31-1800-0072-0011 </v>
      </c>
      <c r="AX2176">
        <v>316</v>
      </c>
      <c r="AY2176" t="s">
        <v>404</v>
      </c>
      <c r="AZ2176" t="s">
        <v>18673</v>
      </c>
      <c r="BA2176" t="s">
        <v>1942</v>
      </c>
      <c r="BD2176" t="s">
        <v>11749</v>
      </c>
      <c r="BE2176" t="s">
        <v>393</v>
      </c>
      <c r="BF2176">
        <v>32034</v>
      </c>
      <c r="BG2176" t="s">
        <v>20972</v>
      </c>
      <c r="BH2176" t="s">
        <v>11751</v>
      </c>
      <c r="BI2176">
        <v>-81.457934215897694</v>
      </c>
      <c r="BJ2176">
        <v>30.674816605343299</v>
      </c>
      <c r="BK2176" t="s">
        <v>19248</v>
      </c>
      <c r="BL2176" t="s">
        <v>19249</v>
      </c>
      <c r="BM2176" t="s">
        <v>19250</v>
      </c>
      <c r="BN2176" t="s">
        <v>3983</v>
      </c>
      <c r="BO2176">
        <v>32035</v>
      </c>
      <c r="BP2176" t="s">
        <v>404</v>
      </c>
      <c r="BQ2176">
        <v>0</v>
      </c>
      <c r="BR2176" t="s">
        <v>491</v>
      </c>
      <c r="BS2176">
        <v>8001</v>
      </c>
      <c r="BT2176" t="s">
        <v>492</v>
      </c>
      <c r="BU2176">
        <v>250</v>
      </c>
      <c r="BV2176">
        <v>1000</v>
      </c>
      <c r="BW2176">
        <v>2547</v>
      </c>
      <c r="BX2176" t="s">
        <v>407</v>
      </c>
      <c r="BY2176" t="s">
        <v>18253</v>
      </c>
      <c r="CD2176">
        <v>2017</v>
      </c>
      <c r="CE2176">
        <v>2750</v>
      </c>
      <c r="CG2176">
        <v>2750</v>
      </c>
      <c r="CH2176">
        <v>2017</v>
      </c>
      <c r="CI2176">
        <v>2750</v>
      </c>
      <c r="CK2176">
        <v>2750</v>
      </c>
      <c r="CL2176">
        <v>2017</v>
      </c>
      <c r="CM2176">
        <v>38.32</v>
      </c>
      <c r="CN2176" s="1">
        <v>39170</v>
      </c>
      <c r="CZ2176" s="1">
        <v>39170</v>
      </c>
      <c r="DD2176" t="s">
        <v>11749</v>
      </c>
      <c r="DF2176" t="s">
        <v>404</v>
      </c>
      <c r="DG2176">
        <v>21</v>
      </c>
      <c r="DL2176">
        <v>50102</v>
      </c>
      <c r="DM2176" t="s">
        <v>20609</v>
      </c>
      <c r="DO2176" t="s">
        <v>20973</v>
      </c>
      <c r="DP2176">
        <v>0</v>
      </c>
      <c r="DQ2176">
        <v>0</v>
      </c>
      <c r="DR2176" t="s">
        <v>411</v>
      </c>
      <c r="DS2176" t="b">
        <v>1</v>
      </c>
      <c r="DT2176" t="s">
        <v>8902</v>
      </c>
      <c r="DV2176" t="s">
        <v>446</v>
      </c>
      <c r="DX2176">
        <v>9</v>
      </c>
      <c r="DY2176" t="s">
        <v>11438</v>
      </c>
      <c r="DZ2176" t="s">
        <v>447</v>
      </c>
      <c r="EA2176" t="s">
        <v>448</v>
      </c>
      <c r="EB2176" t="s">
        <v>20706</v>
      </c>
      <c r="EC2176">
        <v>20101217</v>
      </c>
      <c r="ED2176" t="s">
        <v>450</v>
      </c>
      <c r="EE2176">
        <v>5</v>
      </c>
      <c r="EF2176">
        <v>0</v>
      </c>
      <c r="EG2176">
        <v>0</v>
      </c>
      <c r="EI2176">
        <v>20160407</v>
      </c>
      <c r="EJ2176">
        <v>0</v>
      </c>
      <c r="EK2176">
        <v>0</v>
      </c>
      <c r="EP2176" t="s">
        <v>595</v>
      </c>
      <c r="EQ2176" t="s">
        <v>422</v>
      </c>
      <c r="ER2176">
        <v>1</v>
      </c>
      <c r="ES2176">
        <v>7</v>
      </c>
      <c r="ET2176">
        <v>60.78</v>
      </c>
      <c r="EU2176">
        <v>17.04</v>
      </c>
      <c r="EV2176">
        <v>77.819999999999993</v>
      </c>
      <c r="EW2176" s="2">
        <v>43222</v>
      </c>
      <c r="EX2176" s="1">
        <v>42879</v>
      </c>
      <c r="EY2176">
        <v>2016</v>
      </c>
      <c r="EZ2176">
        <v>60.78</v>
      </c>
      <c r="FA2176" t="s">
        <v>20974</v>
      </c>
      <c r="FB2176">
        <v>17.75</v>
      </c>
      <c r="FC2176" t="s">
        <v>424</v>
      </c>
      <c r="FD2176" t="s">
        <v>454</v>
      </c>
      <c r="FF2176">
        <v>12</v>
      </c>
      <c r="FG2176">
        <v>6516843</v>
      </c>
      <c r="FH2176" t="s">
        <v>601</v>
      </c>
      <c r="FJ2176" s="1">
        <v>42515</v>
      </c>
      <c r="FK2176">
        <v>2015</v>
      </c>
      <c r="FL2176">
        <v>49.73</v>
      </c>
      <c r="FM2176" t="s">
        <v>20975</v>
      </c>
      <c r="FN2176">
        <v>18</v>
      </c>
      <c r="FO2176" t="s">
        <v>424</v>
      </c>
      <c r="FP2176" t="s">
        <v>425</v>
      </c>
      <c r="FQ2176" s="1">
        <v>43158</v>
      </c>
      <c r="FR2176">
        <v>21</v>
      </c>
      <c r="FS2176">
        <v>6516843</v>
      </c>
      <c r="FT2176" t="s">
        <v>601</v>
      </c>
      <c r="FV2176" s="1">
        <v>42151</v>
      </c>
      <c r="FW2176">
        <v>2014</v>
      </c>
      <c r="FX2176">
        <v>49.93</v>
      </c>
      <c r="FY2176" t="s">
        <v>20976</v>
      </c>
      <c r="FZ2176">
        <v>18</v>
      </c>
      <c r="GA2176" t="s">
        <v>424</v>
      </c>
      <c r="GB2176" t="s">
        <v>425</v>
      </c>
      <c r="GC2176" s="1">
        <v>43158</v>
      </c>
      <c r="GD2176">
        <v>33</v>
      </c>
      <c r="GE2176">
        <v>5100525</v>
      </c>
      <c r="GF2176" t="s">
        <v>6804</v>
      </c>
      <c r="GH2176" s="1">
        <v>41787</v>
      </c>
      <c r="GI2176">
        <v>2013</v>
      </c>
      <c r="GJ2176">
        <v>48.96</v>
      </c>
      <c r="GK2176" t="s">
        <v>20977</v>
      </c>
      <c r="GL2176">
        <v>18</v>
      </c>
      <c r="GM2176" t="s">
        <v>603</v>
      </c>
      <c r="GN2176" t="s">
        <v>425</v>
      </c>
      <c r="GP2176">
        <v>22</v>
      </c>
      <c r="GQ2176">
        <v>9999999</v>
      </c>
      <c r="GR2176" t="s">
        <v>604</v>
      </c>
      <c r="GT2176" s="1">
        <v>41787</v>
      </c>
      <c r="GU2176">
        <v>2013</v>
      </c>
      <c r="GV2176">
        <v>62.55</v>
      </c>
      <c r="GW2176" t="s">
        <v>20977</v>
      </c>
      <c r="GX2176">
        <v>18</v>
      </c>
      <c r="GY2176" t="s">
        <v>424</v>
      </c>
      <c r="GZ2176" t="s">
        <v>425</v>
      </c>
      <c r="HA2176" s="1">
        <v>42424</v>
      </c>
      <c r="HB2176">
        <v>21</v>
      </c>
      <c r="HC2176">
        <v>4844972</v>
      </c>
      <c r="HD2176" t="s">
        <v>20957</v>
      </c>
      <c r="HF2176" s="1">
        <v>41423</v>
      </c>
      <c r="HG2176">
        <v>2012</v>
      </c>
      <c r="HH2176">
        <v>48.92</v>
      </c>
      <c r="HI2176" t="s">
        <v>20978</v>
      </c>
      <c r="HJ2176">
        <v>9.75</v>
      </c>
      <c r="HK2176" t="s">
        <v>424</v>
      </c>
      <c r="HL2176" t="s">
        <v>425</v>
      </c>
      <c r="HM2176" s="1">
        <v>42123</v>
      </c>
      <c r="HN2176">
        <v>23</v>
      </c>
      <c r="HO2176">
        <v>10125</v>
      </c>
      <c r="HP2176" t="s">
        <v>440</v>
      </c>
      <c r="HR2176" s="1">
        <v>41052</v>
      </c>
      <c r="HS2176">
        <v>2011</v>
      </c>
      <c r="HT2176">
        <v>53.15</v>
      </c>
      <c r="HU2176" t="s">
        <v>20979</v>
      </c>
      <c r="HV2176">
        <v>16.5</v>
      </c>
      <c r="HW2176" t="s">
        <v>424</v>
      </c>
      <c r="HX2176" t="s">
        <v>425</v>
      </c>
      <c r="HY2176" s="1">
        <v>41681</v>
      </c>
      <c r="HZ2176">
        <v>21</v>
      </c>
      <c r="IA2176">
        <v>10125</v>
      </c>
      <c r="IB2176" t="s">
        <v>440</v>
      </c>
      <c r="ID2176" s="1">
        <v>40688</v>
      </c>
      <c r="IE2176">
        <v>2010</v>
      </c>
      <c r="IF2176">
        <v>53.85</v>
      </c>
      <c r="IG2176" t="s">
        <v>20980</v>
      </c>
      <c r="IH2176">
        <v>17</v>
      </c>
      <c r="II2176" t="s">
        <v>424</v>
      </c>
      <c r="IJ2176" t="s">
        <v>425</v>
      </c>
      <c r="IK2176" s="1">
        <v>42123</v>
      </c>
      <c r="IL2176">
        <v>47</v>
      </c>
      <c r="IM2176">
        <v>11056</v>
      </c>
      <c r="IN2176" t="s">
        <v>20981</v>
      </c>
    </row>
    <row r="2177" spans="1:272" x14ac:dyDescent="0.25">
      <c r="A2177">
        <v>16487184</v>
      </c>
      <c r="B2177">
        <v>2176</v>
      </c>
      <c r="C2177" t="s">
        <v>393</v>
      </c>
      <c r="D2177" t="s">
        <v>394</v>
      </c>
      <c r="F2177" t="str">
        <f>"00-00-31-1800-0072-0012"</f>
        <v>00-00-31-1800-0072-0012</v>
      </c>
      <c r="H2177" t="str">
        <f t="shared" si="817"/>
        <v>OCONNER JAMES PRATT &amp; OCONNER JAMES MITCHELL &amp; MOONEY TRACY OCONNER</v>
      </c>
      <c r="I2177" t="str">
        <f>""</f>
        <v/>
      </c>
      <c r="J2177" t="str">
        <f t="shared" si="818"/>
        <v>FERNANDINA BEACH FL 32035</v>
      </c>
      <c r="K2177" t="str">
        <f>"CALHOUN ST"</f>
        <v>CALHOUN ST</v>
      </c>
      <c r="L2177" t="str">
        <f t="shared" si="807"/>
        <v>FERNANDINA BEACH FL 32034</v>
      </c>
      <c r="M2177" t="str">
        <f>"BLOCK 72 LOT S 75 FT OF 1 (EX S-3) PT OR 1488/1658 CITY OF FDNA BEACH"</f>
        <v>BLOCK 72 LOT S 75 FT OF 1 (EX S-3) PT OR 1488/1658 CITY OF FDNA BEACH</v>
      </c>
      <c r="N2177" t="str">
        <f>""</f>
        <v/>
      </c>
      <c r="O2177" t="str">
        <f>"11744"</f>
        <v>11744</v>
      </c>
      <c r="P2177" t="str">
        <f t="shared" si="800"/>
        <v>2017</v>
      </c>
      <c r="Q2177" t="str">
        <f>""</f>
        <v/>
      </c>
      <c r="R2177" t="str">
        <f t="shared" si="815"/>
        <v>N</v>
      </c>
      <c r="S2177" t="str">
        <f>""</f>
        <v/>
      </c>
      <c r="T2177" t="str">
        <f>"66.65"</f>
        <v>66.65</v>
      </c>
      <c r="U2177" t="str">
        <f>"2632.00"</f>
        <v>2632.00</v>
      </c>
      <c r="V2177" t="str">
        <f>"2632.00"</f>
        <v>2632.00</v>
      </c>
      <c r="W2177" t="str">
        <f t="shared" si="801"/>
        <v>2017</v>
      </c>
      <c r="X2177" t="str">
        <f>"26.25"</f>
        <v>26.25</v>
      </c>
      <c r="Y2177" t="str">
        <f>"100.65"</f>
        <v>100.65</v>
      </c>
      <c r="Z2177" t="str">
        <f>""</f>
        <v/>
      </c>
      <c r="AA2177" t="str">
        <f>"4785.00"</f>
        <v>4785.00</v>
      </c>
      <c r="AB2177" t="str">
        <f t="shared" si="819"/>
        <v>Residential</v>
      </c>
      <c r="AC2177" t="str">
        <f t="shared" si="809"/>
        <v>0</v>
      </c>
      <c r="AD2177" t="str">
        <f>""</f>
        <v/>
      </c>
      <c r="AE2177" t="str">
        <f>""</f>
        <v/>
      </c>
      <c r="AF2177" t="str">
        <f t="shared" si="820"/>
        <v>000</v>
      </c>
      <c r="AG2177" t="str">
        <f t="shared" si="816"/>
        <v>FL</v>
      </c>
      <c r="AH2177" t="str">
        <f>"3750.00"</f>
        <v>3750.00</v>
      </c>
      <c r="AI2177" t="str">
        <f>"4785.00"</f>
        <v>4785.00</v>
      </c>
      <c r="AJ2177" t="str">
        <f>"C55-000-585-9187-6"</f>
        <v>C55-000-585-9187-6</v>
      </c>
      <c r="AK2177" t="str">
        <f>"48717"</f>
        <v>48717</v>
      </c>
      <c r="AL2177">
        <v>8</v>
      </c>
      <c r="AM2177">
        <v>2485</v>
      </c>
      <c r="AN2177">
        <v>104.08</v>
      </c>
      <c r="AQ2177" t="s">
        <v>20982</v>
      </c>
      <c r="AR2177" t="s">
        <v>20982</v>
      </c>
      <c r="AS2177" t="s">
        <v>20982</v>
      </c>
      <c r="AU2177" t="s">
        <v>396</v>
      </c>
      <c r="AV2177">
        <v>2017</v>
      </c>
      <c r="AW2177" t="str">
        <f>"00-00-31-1800-0072-0012 "</f>
        <v xml:space="preserve">00-00-31-1800-0072-0012 </v>
      </c>
      <c r="AZ2177" t="s">
        <v>16337</v>
      </c>
      <c r="BA2177" t="s">
        <v>1942</v>
      </c>
      <c r="BD2177" t="s">
        <v>11749</v>
      </c>
      <c r="BE2177" t="s">
        <v>393</v>
      </c>
      <c r="BF2177">
        <v>32034</v>
      </c>
      <c r="BG2177" t="s">
        <v>20948</v>
      </c>
      <c r="BH2177" t="s">
        <v>11751</v>
      </c>
      <c r="BI2177">
        <v>-81.457872469997696</v>
      </c>
      <c r="BJ2177">
        <v>30.674674743032199</v>
      </c>
      <c r="BK2177" t="s">
        <v>19248</v>
      </c>
      <c r="BL2177" t="s">
        <v>19249</v>
      </c>
      <c r="BM2177" t="s">
        <v>19250</v>
      </c>
      <c r="BN2177" t="s">
        <v>3983</v>
      </c>
      <c r="BO2177">
        <v>32035</v>
      </c>
      <c r="BP2177" t="s">
        <v>404</v>
      </c>
      <c r="BQ2177">
        <v>0</v>
      </c>
      <c r="BR2177" t="s">
        <v>491</v>
      </c>
      <c r="BS2177">
        <v>8001</v>
      </c>
      <c r="BT2177" t="s">
        <v>492</v>
      </c>
      <c r="BU2177">
        <v>500</v>
      </c>
      <c r="BV2177">
        <v>0</v>
      </c>
      <c r="BW2177">
        <v>3601</v>
      </c>
      <c r="BX2177" t="s">
        <v>407</v>
      </c>
      <c r="BY2177" t="s">
        <v>18253</v>
      </c>
      <c r="CD2177">
        <v>2017</v>
      </c>
      <c r="CE2177">
        <v>4785</v>
      </c>
      <c r="CG2177">
        <v>4785</v>
      </c>
      <c r="CH2177">
        <v>2017</v>
      </c>
      <c r="CI2177">
        <v>4785</v>
      </c>
      <c r="CK2177">
        <v>4785</v>
      </c>
      <c r="CL2177">
        <v>2017</v>
      </c>
      <c r="CM2177">
        <v>66.650000000000006</v>
      </c>
      <c r="CN2177" s="1">
        <v>39170</v>
      </c>
      <c r="CZ2177" s="1">
        <v>39170</v>
      </c>
      <c r="DD2177" t="s">
        <v>11749</v>
      </c>
      <c r="DF2177" t="s">
        <v>18674</v>
      </c>
      <c r="DG2177">
        <v>21</v>
      </c>
      <c r="DL2177">
        <v>50102</v>
      </c>
      <c r="DM2177" t="s">
        <v>20609</v>
      </c>
      <c r="DO2177" t="s">
        <v>20983</v>
      </c>
      <c r="DP2177">
        <v>0</v>
      </c>
      <c r="DQ2177">
        <v>0</v>
      </c>
      <c r="DR2177" t="s">
        <v>411</v>
      </c>
      <c r="DS2177" t="b">
        <v>1</v>
      </c>
      <c r="DT2177" t="s">
        <v>8902</v>
      </c>
      <c r="DV2177" t="s">
        <v>446</v>
      </c>
      <c r="DX2177">
        <v>9</v>
      </c>
      <c r="DY2177" t="s">
        <v>11438</v>
      </c>
      <c r="DZ2177" t="s">
        <v>447</v>
      </c>
      <c r="EA2177" t="s">
        <v>448</v>
      </c>
      <c r="EB2177" t="s">
        <v>20706</v>
      </c>
      <c r="EC2177">
        <v>20101217</v>
      </c>
      <c r="ED2177" t="s">
        <v>450</v>
      </c>
      <c r="EE2177">
        <v>5</v>
      </c>
      <c r="EF2177">
        <v>0</v>
      </c>
      <c r="EG2177">
        <v>0</v>
      </c>
      <c r="EI2177">
        <v>20160407</v>
      </c>
      <c r="EJ2177">
        <v>0</v>
      </c>
      <c r="EK2177">
        <v>0</v>
      </c>
      <c r="EP2177" t="s">
        <v>595</v>
      </c>
      <c r="EQ2177" t="s">
        <v>422</v>
      </c>
      <c r="ER2177">
        <v>1</v>
      </c>
      <c r="ES2177">
        <v>8</v>
      </c>
      <c r="ET2177">
        <v>85.79</v>
      </c>
      <c r="EU2177">
        <v>18.899999999999999</v>
      </c>
      <c r="EV2177">
        <v>104.69</v>
      </c>
      <c r="EW2177" s="2">
        <v>43222</v>
      </c>
      <c r="EX2177" s="1">
        <v>42879</v>
      </c>
      <c r="EY2177">
        <v>2016</v>
      </c>
      <c r="EZ2177">
        <v>85.79</v>
      </c>
      <c r="FA2177" t="s">
        <v>20984</v>
      </c>
      <c r="FB2177">
        <v>14.75</v>
      </c>
      <c r="FC2177" t="s">
        <v>424</v>
      </c>
      <c r="FD2177" t="s">
        <v>454</v>
      </c>
      <c r="FF2177">
        <v>12</v>
      </c>
      <c r="FG2177">
        <v>6516843</v>
      </c>
      <c r="FH2177" t="s">
        <v>601</v>
      </c>
      <c r="FJ2177" s="1">
        <v>42515</v>
      </c>
      <c r="FK2177">
        <v>2015</v>
      </c>
      <c r="FL2177">
        <v>70.239999999999995</v>
      </c>
      <c r="FM2177" t="s">
        <v>20985</v>
      </c>
      <c r="FN2177">
        <v>18</v>
      </c>
      <c r="FO2177" t="s">
        <v>424</v>
      </c>
      <c r="FP2177" t="s">
        <v>425</v>
      </c>
      <c r="FQ2177" s="1">
        <v>43158</v>
      </c>
      <c r="FR2177">
        <v>21</v>
      </c>
      <c r="FS2177">
        <v>6516843</v>
      </c>
      <c r="FT2177" t="s">
        <v>601</v>
      </c>
      <c r="FV2177" s="1">
        <v>42151</v>
      </c>
      <c r="FW2177">
        <v>2014</v>
      </c>
      <c r="FX2177">
        <v>70.569999999999993</v>
      </c>
      <c r="FY2177" t="s">
        <v>20986</v>
      </c>
      <c r="FZ2177">
        <v>15.25</v>
      </c>
      <c r="GA2177" t="s">
        <v>424</v>
      </c>
      <c r="GB2177" t="s">
        <v>425</v>
      </c>
      <c r="GC2177" s="1">
        <v>43158</v>
      </c>
      <c r="GD2177">
        <v>33</v>
      </c>
      <c r="GE2177">
        <v>10125</v>
      </c>
      <c r="GF2177" t="s">
        <v>440</v>
      </c>
      <c r="GH2177" s="1">
        <v>41787</v>
      </c>
      <c r="GI2177">
        <v>2013</v>
      </c>
      <c r="GJ2177">
        <v>68.91</v>
      </c>
      <c r="GK2177" t="s">
        <v>20987</v>
      </c>
      <c r="GL2177">
        <v>18</v>
      </c>
      <c r="GM2177" t="s">
        <v>603</v>
      </c>
      <c r="GN2177" t="s">
        <v>425</v>
      </c>
      <c r="GP2177">
        <v>22</v>
      </c>
      <c r="GQ2177">
        <v>9999999</v>
      </c>
      <c r="GR2177" t="s">
        <v>604</v>
      </c>
      <c r="GT2177" s="1">
        <v>41787</v>
      </c>
      <c r="GU2177">
        <v>2013</v>
      </c>
      <c r="GV2177">
        <v>86.53</v>
      </c>
      <c r="GW2177" t="s">
        <v>20987</v>
      </c>
      <c r="GX2177">
        <v>18</v>
      </c>
      <c r="GY2177" t="s">
        <v>424</v>
      </c>
      <c r="GZ2177" t="s">
        <v>425</v>
      </c>
      <c r="HA2177" s="1">
        <v>42424</v>
      </c>
      <c r="HB2177">
        <v>21</v>
      </c>
      <c r="HC2177">
        <v>4844975</v>
      </c>
      <c r="HD2177" t="s">
        <v>20988</v>
      </c>
      <c r="HF2177" s="1">
        <v>41423</v>
      </c>
      <c r="HG2177">
        <v>2012</v>
      </c>
      <c r="HH2177">
        <v>68.86</v>
      </c>
      <c r="HI2177" t="s">
        <v>20989</v>
      </c>
      <c r="HJ2177">
        <v>9.75</v>
      </c>
      <c r="HK2177" t="s">
        <v>424</v>
      </c>
      <c r="HL2177" t="s">
        <v>425</v>
      </c>
      <c r="HM2177" s="1">
        <v>42123</v>
      </c>
      <c r="HN2177">
        <v>23</v>
      </c>
      <c r="HO2177">
        <v>10125</v>
      </c>
      <c r="HP2177" t="s">
        <v>440</v>
      </c>
      <c r="HR2177" s="1">
        <v>41052</v>
      </c>
      <c r="HS2177">
        <v>2011</v>
      </c>
      <c r="HT2177">
        <v>82.12</v>
      </c>
      <c r="HU2177" t="s">
        <v>20990</v>
      </c>
      <c r="HV2177">
        <v>4.75</v>
      </c>
      <c r="HW2177" t="s">
        <v>424</v>
      </c>
      <c r="HX2177" t="s">
        <v>425</v>
      </c>
      <c r="HY2177" s="1">
        <v>41681</v>
      </c>
      <c r="HZ2177">
        <v>21</v>
      </c>
      <c r="IA2177">
        <v>15038</v>
      </c>
      <c r="IB2177" t="s">
        <v>14795</v>
      </c>
      <c r="ID2177" s="1">
        <v>41052</v>
      </c>
      <c r="IE2177">
        <v>2011</v>
      </c>
      <c r="IF2177">
        <v>82.12</v>
      </c>
      <c r="IG2177" t="s">
        <v>20990</v>
      </c>
      <c r="IH2177">
        <v>4.75</v>
      </c>
      <c r="II2177" t="s">
        <v>424</v>
      </c>
      <c r="IJ2177" t="s">
        <v>425</v>
      </c>
      <c r="IL2177">
        <v>22</v>
      </c>
      <c r="IM2177">
        <v>10995</v>
      </c>
      <c r="IN2177" t="s">
        <v>14796</v>
      </c>
      <c r="IP2177" s="1">
        <v>40688</v>
      </c>
      <c r="IQ2177">
        <v>2010</v>
      </c>
      <c r="IR2177">
        <v>84.1</v>
      </c>
      <c r="IS2177" t="s">
        <v>20991</v>
      </c>
      <c r="IT2177">
        <v>17</v>
      </c>
      <c r="IU2177" t="s">
        <v>424</v>
      </c>
      <c r="IV2177" t="s">
        <v>425</v>
      </c>
      <c r="IW2177" s="1">
        <v>42123</v>
      </c>
      <c r="IX2177">
        <v>47</v>
      </c>
      <c r="IY2177">
        <v>11056</v>
      </c>
      <c r="IZ2177" t="s">
        <v>20981</v>
      </c>
    </row>
    <row r="2178" spans="1:272" x14ac:dyDescent="0.25">
      <c r="A2178">
        <v>16487185</v>
      </c>
      <c r="B2178">
        <v>2177</v>
      </c>
      <c r="C2178" t="s">
        <v>393</v>
      </c>
      <c r="D2178" t="s">
        <v>394</v>
      </c>
      <c r="F2178" t="str">
        <f>"00-00-31-1800-0072-0013"</f>
        <v>00-00-31-1800-0072-0013</v>
      </c>
      <c r="H2178" t="str">
        <f t="shared" si="817"/>
        <v>OCONNER JAMES PRATT &amp; OCONNER JAMES MITCHELL &amp; MOONEY TRACY OCONNER</v>
      </c>
      <c r="I2178" t="str">
        <f>""</f>
        <v/>
      </c>
      <c r="J2178" t="str">
        <f t="shared" si="818"/>
        <v>FERNANDINA BEACH FL 32035</v>
      </c>
      <c r="K2178" t="str">
        <f>"CALHOUN ST"</f>
        <v>CALHOUN ST</v>
      </c>
      <c r="L2178" t="str">
        <f t="shared" si="807"/>
        <v>FERNANDINA BEACH FL 32034</v>
      </c>
      <c r="M2178" t="str">
        <f>"BLOCK 72 S75 OF W1/2 OF LOT 1 PT OR 1488/1658 CITY OF FDNA BEACH"</f>
        <v>BLOCK 72 S75 OF W1/2 OF LOT 1 PT OR 1488/1658 CITY OF FDNA BEACH</v>
      </c>
      <c r="N2178" t="str">
        <f>""</f>
        <v/>
      </c>
      <c r="O2178" t="str">
        <f>"11745"</f>
        <v>11745</v>
      </c>
      <c r="P2178" t="str">
        <f t="shared" ref="P2178:P2241" si="821">"2017"</f>
        <v>2017</v>
      </c>
      <c r="Q2178" t="str">
        <f>""</f>
        <v/>
      </c>
      <c r="R2178" t="str">
        <f t="shared" si="815"/>
        <v>N</v>
      </c>
      <c r="S2178" t="str">
        <f>""</f>
        <v/>
      </c>
      <c r="T2178" t="str">
        <f>"666.61"</f>
        <v>666.61</v>
      </c>
      <c r="U2178" t="str">
        <f>"26318.00"</f>
        <v>26318.00</v>
      </c>
      <c r="V2178" t="str">
        <f>"26318.00"</f>
        <v>26318.00</v>
      </c>
      <c r="W2178" t="str">
        <f t="shared" ref="W2178:W2241" si="822">"2017"</f>
        <v>2017</v>
      </c>
      <c r="X2178" t="str">
        <f>"25.14"</f>
        <v>25.14</v>
      </c>
      <c r="Y2178" t="str">
        <f>"718.61"</f>
        <v>718.61</v>
      </c>
      <c r="Z2178" t="str">
        <f>""</f>
        <v/>
      </c>
      <c r="AA2178" t="str">
        <f>"47850.00"</f>
        <v>47850.00</v>
      </c>
      <c r="AB2178" t="str">
        <f t="shared" si="819"/>
        <v>Residential</v>
      </c>
      <c r="AC2178" t="str">
        <f t="shared" si="809"/>
        <v>0</v>
      </c>
      <c r="AD2178" t="str">
        <f>""</f>
        <v/>
      </c>
      <c r="AE2178" t="str">
        <f>""</f>
        <v/>
      </c>
      <c r="AF2178" t="str">
        <f t="shared" si="820"/>
        <v>000</v>
      </c>
      <c r="AG2178" t="str">
        <f t="shared" si="816"/>
        <v>FL</v>
      </c>
      <c r="AH2178" t="str">
        <f>"3750.00"</f>
        <v>3750.00</v>
      </c>
      <c r="AI2178" t="str">
        <f>"47850.00"</f>
        <v>47850.00</v>
      </c>
      <c r="AJ2178" t="str">
        <f>"C55-000-585-9188-4"</f>
        <v>C55-000-585-9188-4</v>
      </c>
      <c r="AK2178" t="str">
        <f>"48718"</f>
        <v>48718</v>
      </c>
      <c r="AL2178">
        <v>8</v>
      </c>
      <c r="AM2178">
        <v>2486</v>
      </c>
      <c r="AN2178">
        <v>752.94</v>
      </c>
      <c r="AQ2178" t="s">
        <v>20992</v>
      </c>
      <c r="AR2178" t="s">
        <v>20992</v>
      </c>
      <c r="AS2178" t="s">
        <v>20992</v>
      </c>
      <c r="AU2178" t="s">
        <v>396</v>
      </c>
      <c r="AV2178">
        <v>2017</v>
      </c>
      <c r="AW2178" t="str">
        <f>"00-00-31-1800-0072-0013 "</f>
        <v xml:space="preserve">00-00-31-1800-0072-0013 </v>
      </c>
      <c r="AZ2178" t="s">
        <v>16337</v>
      </c>
      <c r="BA2178" t="s">
        <v>1942</v>
      </c>
      <c r="BD2178" t="s">
        <v>11749</v>
      </c>
      <c r="BE2178" t="s">
        <v>393</v>
      </c>
      <c r="BF2178">
        <v>32034</v>
      </c>
      <c r="BG2178" t="s">
        <v>20948</v>
      </c>
      <c r="BH2178" t="s">
        <v>11751</v>
      </c>
      <c r="BI2178">
        <v>-81.458032482875595</v>
      </c>
      <c r="BJ2178">
        <v>30.674693249026799</v>
      </c>
      <c r="BK2178" t="s">
        <v>19248</v>
      </c>
      <c r="BL2178" t="s">
        <v>19249</v>
      </c>
      <c r="BM2178" t="s">
        <v>19250</v>
      </c>
      <c r="BN2178" t="s">
        <v>3983</v>
      </c>
      <c r="BO2178">
        <v>32035</v>
      </c>
      <c r="BP2178" t="s">
        <v>404</v>
      </c>
      <c r="BQ2178">
        <v>0</v>
      </c>
      <c r="BR2178" t="s">
        <v>491</v>
      </c>
      <c r="BS2178">
        <v>8001</v>
      </c>
      <c r="BT2178" t="s">
        <v>492</v>
      </c>
      <c r="BU2178">
        <v>500</v>
      </c>
      <c r="BV2178">
        <v>0</v>
      </c>
      <c r="BW2178">
        <v>3727</v>
      </c>
      <c r="BX2178" t="s">
        <v>407</v>
      </c>
      <c r="CD2178">
        <v>2017</v>
      </c>
      <c r="CE2178">
        <v>47850</v>
      </c>
      <c r="CG2178">
        <v>47850</v>
      </c>
      <c r="CH2178">
        <v>2017</v>
      </c>
      <c r="CI2178">
        <v>47850</v>
      </c>
      <c r="CK2178">
        <v>47850</v>
      </c>
      <c r="CL2178">
        <v>2017</v>
      </c>
      <c r="CM2178">
        <v>666.61</v>
      </c>
      <c r="CN2178" s="1">
        <v>39170</v>
      </c>
      <c r="CZ2178" s="1">
        <v>39170</v>
      </c>
      <c r="DD2178" t="s">
        <v>11749</v>
      </c>
      <c r="DF2178">
        <v>1</v>
      </c>
      <c r="DG2178">
        <v>21</v>
      </c>
      <c r="DL2178">
        <v>50102</v>
      </c>
      <c r="DM2178" t="s">
        <v>20609</v>
      </c>
      <c r="DO2178" t="s">
        <v>20993</v>
      </c>
      <c r="DP2178">
        <v>0</v>
      </c>
      <c r="DQ2178">
        <v>0</v>
      </c>
      <c r="DR2178" t="s">
        <v>411</v>
      </c>
      <c r="DS2178" t="b">
        <v>1</v>
      </c>
      <c r="DT2178" t="s">
        <v>8902</v>
      </c>
      <c r="DV2178" t="s">
        <v>446</v>
      </c>
      <c r="DX2178">
        <v>9</v>
      </c>
      <c r="DY2178" t="s">
        <v>11438</v>
      </c>
      <c r="DZ2178" t="s">
        <v>447</v>
      </c>
      <c r="EA2178" t="s">
        <v>448</v>
      </c>
      <c r="EB2178" t="s">
        <v>20706</v>
      </c>
      <c r="EC2178">
        <v>20101217</v>
      </c>
      <c r="ED2178" t="s">
        <v>450</v>
      </c>
      <c r="EE2178">
        <v>5</v>
      </c>
      <c r="EF2178">
        <v>0</v>
      </c>
      <c r="EG2178">
        <v>0</v>
      </c>
      <c r="EI2178">
        <v>20160407</v>
      </c>
      <c r="EJ2178">
        <v>0</v>
      </c>
      <c r="EK2178">
        <v>0</v>
      </c>
      <c r="EP2178" t="s">
        <v>421</v>
      </c>
      <c r="EQ2178" t="s">
        <v>422</v>
      </c>
      <c r="ER2178">
        <v>1</v>
      </c>
      <c r="ES2178">
        <v>8</v>
      </c>
      <c r="ET2178">
        <v>614.82000000000005</v>
      </c>
      <c r="EU2178">
        <v>36.99</v>
      </c>
      <c r="EV2178">
        <v>651.80999999999995</v>
      </c>
      <c r="EW2178" s="2">
        <v>43222</v>
      </c>
      <c r="EX2178" s="1">
        <v>42879</v>
      </c>
      <c r="EY2178">
        <v>2016</v>
      </c>
      <c r="EZ2178">
        <v>614.82000000000005</v>
      </c>
      <c r="FA2178" t="s">
        <v>20994</v>
      </c>
      <c r="FB2178">
        <v>4.75</v>
      </c>
      <c r="FC2178" t="s">
        <v>424</v>
      </c>
      <c r="FD2178" t="s">
        <v>454</v>
      </c>
      <c r="FF2178">
        <v>12</v>
      </c>
      <c r="FG2178">
        <v>6516843</v>
      </c>
      <c r="FH2178" t="s">
        <v>601</v>
      </c>
      <c r="FJ2178" s="1">
        <v>42515</v>
      </c>
      <c r="FK2178">
        <v>2015</v>
      </c>
      <c r="FL2178">
        <v>504.36</v>
      </c>
      <c r="FM2178" t="s">
        <v>20995</v>
      </c>
      <c r="FN2178">
        <v>14.75</v>
      </c>
      <c r="FO2178" t="s">
        <v>424</v>
      </c>
      <c r="FP2178" t="s">
        <v>425</v>
      </c>
      <c r="FQ2178" s="1">
        <v>43158</v>
      </c>
      <c r="FR2178">
        <v>21</v>
      </c>
      <c r="FS2178">
        <v>6516843</v>
      </c>
      <c r="FT2178" t="s">
        <v>601</v>
      </c>
      <c r="FV2178" s="1">
        <v>42151</v>
      </c>
      <c r="FW2178">
        <v>2014</v>
      </c>
      <c r="FX2178">
        <v>507.8</v>
      </c>
      <c r="FY2178" t="s">
        <v>20996</v>
      </c>
      <c r="FZ2178">
        <v>15.5</v>
      </c>
      <c r="GA2178" t="s">
        <v>424</v>
      </c>
      <c r="GB2178" t="s">
        <v>425</v>
      </c>
      <c r="GC2178" s="1">
        <v>43158</v>
      </c>
      <c r="GD2178">
        <v>33</v>
      </c>
      <c r="GE2178">
        <v>10628</v>
      </c>
      <c r="GF2178" t="s">
        <v>943</v>
      </c>
      <c r="GH2178" s="1">
        <v>41787</v>
      </c>
      <c r="GI2178">
        <v>2013</v>
      </c>
      <c r="GJ2178">
        <v>491.14</v>
      </c>
      <c r="GK2178" t="s">
        <v>20997</v>
      </c>
      <c r="GL2178">
        <v>3.75</v>
      </c>
      <c r="GM2178" t="s">
        <v>424</v>
      </c>
      <c r="GN2178" t="s">
        <v>425</v>
      </c>
      <c r="GO2178" s="1">
        <v>42424</v>
      </c>
      <c r="GP2178">
        <v>21</v>
      </c>
      <c r="GQ2178">
        <v>10125</v>
      </c>
      <c r="GR2178" t="s">
        <v>440</v>
      </c>
      <c r="GT2178" s="1">
        <v>41423</v>
      </c>
      <c r="GU2178">
        <v>2012</v>
      </c>
      <c r="GV2178">
        <v>490.59</v>
      </c>
      <c r="GW2178" t="s">
        <v>20998</v>
      </c>
      <c r="GX2178">
        <v>4.75</v>
      </c>
      <c r="GY2178" t="s">
        <v>424</v>
      </c>
      <c r="GZ2178" t="s">
        <v>425</v>
      </c>
      <c r="HA2178" s="1">
        <v>42123</v>
      </c>
      <c r="HB2178">
        <v>23</v>
      </c>
      <c r="HC2178">
        <v>10125</v>
      </c>
      <c r="HD2178" t="s">
        <v>440</v>
      </c>
      <c r="HF2178" s="1">
        <v>41052</v>
      </c>
      <c r="HG2178">
        <v>2011</v>
      </c>
      <c r="HH2178">
        <v>695.39</v>
      </c>
      <c r="HI2178" t="s">
        <v>20999</v>
      </c>
      <c r="HJ2178">
        <v>6.75</v>
      </c>
      <c r="HK2178" t="s">
        <v>424</v>
      </c>
      <c r="HL2178" t="s">
        <v>425</v>
      </c>
      <c r="HM2178" s="1">
        <v>41681</v>
      </c>
      <c r="HN2178">
        <v>21</v>
      </c>
      <c r="HO2178">
        <v>10125</v>
      </c>
      <c r="HP2178" t="s">
        <v>440</v>
      </c>
      <c r="HR2178" s="1">
        <v>40688</v>
      </c>
      <c r="HS2178">
        <v>2010</v>
      </c>
      <c r="HT2178">
        <v>723.99</v>
      </c>
      <c r="HU2178" t="s">
        <v>21000</v>
      </c>
      <c r="HV2178">
        <v>7</v>
      </c>
      <c r="HW2178" t="s">
        <v>424</v>
      </c>
      <c r="HX2178" t="s">
        <v>425</v>
      </c>
      <c r="HY2178" s="1">
        <v>41772</v>
      </c>
      <c r="HZ2178">
        <v>36</v>
      </c>
      <c r="IA2178">
        <v>14996</v>
      </c>
      <c r="IB2178" t="s">
        <v>3439</v>
      </c>
      <c r="ID2178" s="1">
        <v>40688</v>
      </c>
      <c r="IE2178">
        <v>2010</v>
      </c>
      <c r="IF2178">
        <v>723.99</v>
      </c>
      <c r="IG2178" t="s">
        <v>21000</v>
      </c>
      <c r="IH2178">
        <v>7</v>
      </c>
      <c r="II2178" t="s">
        <v>424</v>
      </c>
      <c r="IJ2178" t="s">
        <v>425</v>
      </c>
      <c r="IL2178">
        <v>22</v>
      </c>
      <c r="IM2178">
        <v>10579</v>
      </c>
      <c r="IN2178" t="s">
        <v>488</v>
      </c>
      <c r="IP2178" s="1">
        <v>40688</v>
      </c>
      <c r="IQ2178">
        <v>2010</v>
      </c>
      <c r="IR2178">
        <v>723.99</v>
      </c>
      <c r="IS2178" t="s">
        <v>21000</v>
      </c>
      <c r="IT2178">
        <v>7</v>
      </c>
      <c r="IU2178" t="s">
        <v>424</v>
      </c>
      <c r="IV2178" t="s">
        <v>425</v>
      </c>
      <c r="IX2178">
        <v>22</v>
      </c>
      <c r="IY2178">
        <v>10198</v>
      </c>
      <c r="IZ2178" t="s">
        <v>5883</v>
      </c>
    </row>
    <row r="2179" spans="1:272" x14ac:dyDescent="0.25">
      <c r="A2179">
        <v>16487186</v>
      </c>
      <c r="B2179">
        <v>2178</v>
      </c>
      <c r="C2179" t="s">
        <v>393</v>
      </c>
      <c r="D2179" t="s">
        <v>394</v>
      </c>
      <c r="F2179" t="str">
        <f>"00-00-31-1800-0072-0020"</f>
        <v>00-00-31-1800-0072-0020</v>
      </c>
      <c r="H2179" t="str">
        <f t="shared" si="817"/>
        <v>OCONNER JAMES PRATT &amp; OCONNER JAMES MITCHELL &amp; MOONEY TRACY OCONNER</v>
      </c>
      <c r="I2179" t="str">
        <f>""</f>
        <v/>
      </c>
      <c r="J2179" t="str">
        <f t="shared" si="818"/>
        <v>FERNANDINA BEACH FL 32035</v>
      </c>
      <c r="K2179" t="str">
        <f>"N 8TH ST"</f>
        <v>N 8TH ST</v>
      </c>
      <c r="L2179" t="str">
        <f t="shared" si="807"/>
        <v>FERNANDINA BEACH FL 32034</v>
      </c>
      <c r="M2179" t="str">
        <f>"BLOCK 72 LOT 2 PT OR 1488/1658 CITY OF FDNA BEACH"</f>
        <v>BLOCK 72 LOT 2 PT OR 1488/1658 CITY OF FDNA BEACH</v>
      </c>
      <c r="N2179" t="str">
        <f>""</f>
        <v/>
      </c>
      <c r="O2179" t="str">
        <f>"11746"</f>
        <v>11746</v>
      </c>
      <c r="P2179" t="str">
        <f t="shared" si="821"/>
        <v>2017</v>
      </c>
      <c r="Q2179" t="str">
        <f>""</f>
        <v/>
      </c>
      <c r="R2179" t="str">
        <f t="shared" si="815"/>
        <v>N</v>
      </c>
      <c r="S2179" t="str">
        <f>""</f>
        <v/>
      </c>
      <c r="T2179" t="str">
        <f>"1149.31"</f>
        <v>1149.31</v>
      </c>
      <c r="U2179" t="str">
        <f>"45375.00"</f>
        <v>45375.00</v>
      </c>
      <c r="V2179" t="str">
        <f>"45375.00"</f>
        <v>45375.00</v>
      </c>
      <c r="W2179" t="str">
        <f t="shared" si="822"/>
        <v>2017</v>
      </c>
      <c r="X2179" t="str">
        <f>"24.44"</f>
        <v>24.44</v>
      </c>
      <c r="Y2179" t="str">
        <f>"1215.79"</f>
        <v>1215.79</v>
      </c>
      <c r="Z2179" t="str">
        <f>""</f>
        <v/>
      </c>
      <c r="AA2179" t="str">
        <f>"82500.00"</f>
        <v>82500.00</v>
      </c>
      <c r="AB2179" t="str">
        <f t="shared" si="819"/>
        <v>Residential</v>
      </c>
      <c r="AC2179" t="str">
        <f t="shared" si="809"/>
        <v>0</v>
      </c>
      <c r="AD2179" t="str">
        <f>""</f>
        <v/>
      </c>
      <c r="AE2179" t="str">
        <f>""</f>
        <v/>
      </c>
      <c r="AF2179" t="str">
        <f t="shared" si="820"/>
        <v>000</v>
      </c>
      <c r="AG2179" t="str">
        <f t="shared" si="816"/>
        <v>FL</v>
      </c>
      <c r="AH2179" t="str">
        <f>"10000.00"</f>
        <v>10000.00</v>
      </c>
      <c r="AI2179" t="str">
        <f>"82500.00"</f>
        <v>82500.00</v>
      </c>
      <c r="AJ2179" t="str">
        <f>"C55-000-585-9189-2"</f>
        <v>C55-000-585-9189-2</v>
      </c>
      <c r="AK2179" t="str">
        <f>"48719"</f>
        <v>48719</v>
      </c>
      <c r="AL2179">
        <v>8</v>
      </c>
      <c r="AM2179">
        <v>2487</v>
      </c>
      <c r="AN2179">
        <v>1274.98</v>
      </c>
      <c r="AQ2179" t="s">
        <v>21001</v>
      </c>
      <c r="AR2179" t="s">
        <v>21001</v>
      </c>
      <c r="AS2179" t="s">
        <v>21001</v>
      </c>
      <c r="AU2179" t="s">
        <v>396</v>
      </c>
      <c r="AV2179">
        <v>2017</v>
      </c>
      <c r="AW2179" t="str">
        <f>"00-00-31-1800-0072-0020 "</f>
        <v xml:space="preserve">00-00-31-1800-0072-0020 </v>
      </c>
      <c r="AY2179" t="s">
        <v>404</v>
      </c>
      <c r="AZ2179" t="s">
        <v>18673</v>
      </c>
      <c r="BA2179" t="s">
        <v>1942</v>
      </c>
      <c r="BD2179" t="s">
        <v>11749</v>
      </c>
      <c r="BE2179" t="s">
        <v>393</v>
      </c>
      <c r="BF2179">
        <v>32034</v>
      </c>
      <c r="BG2179" t="s">
        <v>20938</v>
      </c>
      <c r="BH2179" t="s">
        <v>11751</v>
      </c>
      <c r="BI2179">
        <v>-81.457909003715301</v>
      </c>
      <c r="BJ2179">
        <v>30.674989154532799</v>
      </c>
      <c r="BK2179" t="s">
        <v>19248</v>
      </c>
      <c r="BL2179" t="s">
        <v>19249</v>
      </c>
      <c r="BM2179" t="s">
        <v>19250</v>
      </c>
      <c r="BN2179" t="s">
        <v>3983</v>
      </c>
      <c r="BO2179">
        <v>32035</v>
      </c>
      <c r="BP2179" t="s">
        <v>404</v>
      </c>
      <c r="BQ2179">
        <v>0</v>
      </c>
      <c r="BR2179" t="s">
        <v>491</v>
      </c>
      <c r="BS2179">
        <v>8001</v>
      </c>
      <c r="BT2179" t="s">
        <v>492</v>
      </c>
      <c r="BU2179">
        <v>1000</v>
      </c>
      <c r="BV2179">
        <v>1000</v>
      </c>
      <c r="BW2179">
        <v>10377</v>
      </c>
      <c r="BX2179" t="s">
        <v>407</v>
      </c>
      <c r="BY2179" t="s">
        <v>18253</v>
      </c>
      <c r="CD2179">
        <v>2017</v>
      </c>
      <c r="CE2179">
        <v>82500</v>
      </c>
      <c r="CG2179">
        <v>82500</v>
      </c>
      <c r="CH2179">
        <v>2017</v>
      </c>
      <c r="CI2179">
        <v>82500</v>
      </c>
      <c r="CK2179">
        <v>82500</v>
      </c>
      <c r="CL2179">
        <v>2017</v>
      </c>
      <c r="CM2179">
        <v>1149.31</v>
      </c>
      <c r="CN2179" s="1">
        <v>39170</v>
      </c>
      <c r="CZ2179" s="1">
        <v>39170</v>
      </c>
      <c r="DD2179" t="s">
        <v>11749</v>
      </c>
      <c r="DF2179">
        <v>2</v>
      </c>
      <c r="DG2179">
        <v>21</v>
      </c>
      <c r="DJ2179" t="s">
        <v>20634</v>
      </c>
      <c r="DL2179">
        <v>50102</v>
      </c>
      <c r="DM2179" t="s">
        <v>20609</v>
      </c>
      <c r="DO2179" t="s">
        <v>21002</v>
      </c>
      <c r="DP2179">
        <v>1</v>
      </c>
      <c r="DQ2179">
        <v>2</v>
      </c>
      <c r="DR2179" t="s">
        <v>1174</v>
      </c>
      <c r="DS2179" t="b">
        <v>1</v>
      </c>
      <c r="DT2179" t="s">
        <v>470</v>
      </c>
      <c r="DU2179" t="s">
        <v>471</v>
      </c>
      <c r="DV2179" t="s">
        <v>472</v>
      </c>
      <c r="DX2179">
        <v>-9999</v>
      </c>
      <c r="DZ2179" t="s">
        <v>447</v>
      </c>
      <c r="EA2179" t="s">
        <v>448</v>
      </c>
      <c r="EB2179" t="s">
        <v>14787</v>
      </c>
      <c r="EC2179">
        <v>20101217</v>
      </c>
      <c r="ED2179" t="s">
        <v>474</v>
      </c>
      <c r="EF2179">
        <v>45.6</v>
      </c>
      <c r="EG2179">
        <v>17.8</v>
      </c>
      <c r="EI2179">
        <v>20160407</v>
      </c>
      <c r="EJ2179">
        <v>0</v>
      </c>
      <c r="EK2179">
        <v>0</v>
      </c>
      <c r="EP2179" t="s">
        <v>421</v>
      </c>
      <c r="EQ2179" t="s">
        <v>422</v>
      </c>
      <c r="ER2179">
        <v>1</v>
      </c>
      <c r="ES2179">
        <v>8</v>
      </c>
      <c r="ET2179">
        <v>1040.46</v>
      </c>
      <c r="EU2179">
        <v>58.27</v>
      </c>
      <c r="EV2179">
        <v>1098.73</v>
      </c>
      <c r="EW2179" s="2">
        <v>43222</v>
      </c>
      <c r="EX2179" s="1">
        <v>42879</v>
      </c>
      <c r="EY2179">
        <v>2016</v>
      </c>
      <c r="EZ2179">
        <v>1040.46</v>
      </c>
      <c r="FA2179" t="s">
        <v>21003</v>
      </c>
      <c r="FB2179">
        <v>0.25</v>
      </c>
      <c r="FC2179" t="s">
        <v>424</v>
      </c>
      <c r="FD2179" t="s">
        <v>454</v>
      </c>
      <c r="FF2179">
        <v>12</v>
      </c>
      <c r="FG2179">
        <v>2035919</v>
      </c>
      <c r="FH2179" t="s">
        <v>507</v>
      </c>
      <c r="FJ2179" s="1">
        <v>42515</v>
      </c>
      <c r="FK2179">
        <v>2015</v>
      </c>
      <c r="FL2179">
        <v>853.65</v>
      </c>
      <c r="FM2179" t="s">
        <v>21004</v>
      </c>
      <c r="FN2179">
        <v>0.25</v>
      </c>
      <c r="FO2179" t="s">
        <v>424</v>
      </c>
      <c r="FP2179" t="s">
        <v>425</v>
      </c>
      <c r="FQ2179" s="1">
        <v>43158</v>
      </c>
      <c r="FR2179">
        <v>21</v>
      </c>
      <c r="FS2179">
        <v>2035919</v>
      </c>
      <c r="FT2179" t="s">
        <v>507</v>
      </c>
      <c r="FV2179" s="1">
        <v>42151</v>
      </c>
      <c r="FW2179">
        <v>2014</v>
      </c>
      <c r="FX2179">
        <v>859.59</v>
      </c>
      <c r="FY2179" t="s">
        <v>21005</v>
      </c>
      <c r="FZ2179">
        <v>15.5</v>
      </c>
      <c r="GA2179" t="s">
        <v>424</v>
      </c>
      <c r="GB2179" t="s">
        <v>425</v>
      </c>
      <c r="GC2179" s="1">
        <v>43158</v>
      </c>
      <c r="GD2179">
        <v>33</v>
      </c>
      <c r="GE2179">
        <v>10628</v>
      </c>
      <c r="GF2179" t="s">
        <v>943</v>
      </c>
      <c r="GH2179" s="1">
        <v>41787</v>
      </c>
      <c r="GI2179">
        <v>2013</v>
      </c>
      <c r="GJ2179">
        <v>830.87</v>
      </c>
      <c r="GK2179" t="s">
        <v>21006</v>
      </c>
      <c r="GL2179">
        <v>3</v>
      </c>
      <c r="GM2179" t="s">
        <v>424</v>
      </c>
      <c r="GN2179" t="s">
        <v>425</v>
      </c>
      <c r="GO2179" s="1">
        <v>42424</v>
      </c>
      <c r="GP2179">
        <v>21</v>
      </c>
      <c r="GQ2179">
        <v>10125</v>
      </c>
      <c r="GR2179" t="s">
        <v>440</v>
      </c>
      <c r="GT2179" s="1">
        <v>41423</v>
      </c>
      <c r="GU2179">
        <v>2012</v>
      </c>
      <c r="GV2179">
        <v>829.92</v>
      </c>
      <c r="GW2179" t="s">
        <v>21007</v>
      </c>
      <c r="GX2179">
        <v>4.25</v>
      </c>
      <c r="GY2179" t="s">
        <v>424</v>
      </c>
      <c r="GZ2179" t="s">
        <v>425</v>
      </c>
      <c r="HA2179" s="1">
        <v>42123</v>
      </c>
      <c r="HB2179">
        <v>23</v>
      </c>
      <c r="HC2179">
        <v>10125</v>
      </c>
      <c r="HD2179" t="s">
        <v>440</v>
      </c>
      <c r="HF2179" s="1">
        <v>41052</v>
      </c>
      <c r="HG2179">
        <v>2011</v>
      </c>
      <c r="HH2179">
        <v>1188.8</v>
      </c>
      <c r="HI2179" t="s">
        <v>21008</v>
      </c>
      <c r="HJ2179">
        <v>6.75</v>
      </c>
      <c r="HK2179" t="s">
        <v>424</v>
      </c>
      <c r="HL2179" t="s">
        <v>425</v>
      </c>
      <c r="HM2179" s="1">
        <v>41697</v>
      </c>
      <c r="HN2179">
        <v>21</v>
      </c>
      <c r="HO2179">
        <v>10125</v>
      </c>
      <c r="HP2179" t="s">
        <v>440</v>
      </c>
      <c r="HR2179" s="1">
        <v>40688</v>
      </c>
      <c r="HS2179">
        <v>2010</v>
      </c>
      <c r="HT2179">
        <v>1238.8399999999999</v>
      </c>
      <c r="HU2179" t="s">
        <v>21009</v>
      </c>
      <c r="HV2179">
        <v>7</v>
      </c>
      <c r="HW2179" t="s">
        <v>424</v>
      </c>
      <c r="HX2179" t="s">
        <v>425</v>
      </c>
      <c r="HY2179" s="1">
        <v>41772</v>
      </c>
      <c r="HZ2179">
        <v>36</v>
      </c>
      <c r="IA2179">
        <v>14996</v>
      </c>
      <c r="IB2179" t="s">
        <v>3439</v>
      </c>
      <c r="ID2179" s="1">
        <v>40688</v>
      </c>
      <c r="IE2179">
        <v>2010</v>
      </c>
      <c r="IF2179">
        <v>1238.8399999999999</v>
      </c>
      <c r="IG2179" t="s">
        <v>21009</v>
      </c>
      <c r="IH2179">
        <v>7</v>
      </c>
      <c r="II2179" t="s">
        <v>424</v>
      </c>
      <c r="IJ2179" t="s">
        <v>425</v>
      </c>
      <c r="IL2179">
        <v>22</v>
      </c>
      <c r="IM2179">
        <v>10579</v>
      </c>
      <c r="IN2179" t="s">
        <v>488</v>
      </c>
      <c r="IP2179" s="1">
        <v>40688</v>
      </c>
      <c r="IQ2179">
        <v>2010</v>
      </c>
      <c r="IR2179">
        <v>1238.8399999999999</v>
      </c>
      <c r="IS2179" t="s">
        <v>21009</v>
      </c>
      <c r="IT2179">
        <v>7</v>
      </c>
      <c r="IU2179" t="s">
        <v>424</v>
      </c>
      <c r="IV2179" t="s">
        <v>425</v>
      </c>
      <c r="IX2179">
        <v>22</v>
      </c>
      <c r="IY2179">
        <v>10198</v>
      </c>
      <c r="IZ2179" t="s">
        <v>5883</v>
      </c>
    </row>
    <row r="2180" spans="1:272" x14ac:dyDescent="0.25">
      <c r="A2180">
        <v>16487187</v>
      </c>
      <c r="B2180">
        <v>2179</v>
      </c>
      <c r="C2180" t="s">
        <v>393</v>
      </c>
      <c r="D2180" t="s">
        <v>394</v>
      </c>
      <c r="F2180" t="str">
        <f>"00-00-31-1800-0072-0030"</f>
        <v>00-00-31-1800-0072-0030</v>
      </c>
      <c r="H2180" t="str">
        <f t="shared" si="817"/>
        <v>OCONNER JAMES PRATT &amp; OCONNER JAMES MITCHELL &amp; MOONEY TRACY OCONNER</v>
      </c>
      <c r="I2180" t="str">
        <f>""</f>
        <v/>
      </c>
      <c r="J2180" t="str">
        <f t="shared" si="818"/>
        <v>FERNANDINA BEACH FL 32035</v>
      </c>
      <c r="K2180" t="str">
        <f>"N 8TH ST"</f>
        <v>N 8TH ST</v>
      </c>
      <c r="L2180" t="str">
        <f t="shared" si="807"/>
        <v>FERNANDINA BEACH FL 32034</v>
      </c>
      <c r="M2180" t="str">
        <f>"BLOCK 72 LOT 3 PT OR 1488/1658 CITY OF FDNA BEACH"</f>
        <v>BLOCK 72 LOT 3 PT OR 1488/1658 CITY OF FDNA BEACH</v>
      </c>
      <c r="N2180" t="str">
        <f>""</f>
        <v/>
      </c>
      <c r="O2180" t="str">
        <f>"11747"</f>
        <v>11747</v>
      </c>
      <c r="P2180" t="str">
        <f t="shared" si="821"/>
        <v>2017</v>
      </c>
      <c r="Q2180" t="str">
        <f>""</f>
        <v/>
      </c>
      <c r="R2180" t="str">
        <f t="shared" si="815"/>
        <v>N</v>
      </c>
      <c r="S2180" t="str">
        <f>""</f>
        <v/>
      </c>
      <c r="T2180" t="str">
        <f>"1149.31"</f>
        <v>1149.31</v>
      </c>
      <c r="U2180" t="str">
        <f>"45375.00"</f>
        <v>45375.00</v>
      </c>
      <c r="V2180" t="str">
        <f>"45375.00"</f>
        <v>45375.00</v>
      </c>
      <c r="W2180" t="str">
        <f t="shared" si="822"/>
        <v>2017</v>
      </c>
      <c r="X2180" t="str">
        <f>"25.14"</f>
        <v>25.14</v>
      </c>
      <c r="Y2180" t="str">
        <f>"1215.79"</f>
        <v>1215.79</v>
      </c>
      <c r="Z2180" t="str">
        <f>""</f>
        <v/>
      </c>
      <c r="AA2180" t="str">
        <f>"82500.00"</f>
        <v>82500.00</v>
      </c>
      <c r="AB2180" t="str">
        <f t="shared" si="819"/>
        <v>Residential</v>
      </c>
      <c r="AC2180" t="str">
        <f t="shared" si="809"/>
        <v>0</v>
      </c>
      <c r="AD2180" t="str">
        <f>""</f>
        <v/>
      </c>
      <c r="AE2180" t="str">
        <f>""</f>
        <v/>
      </c>
      <c r="AF2180" t="str">
        <f t="shared" si="820"/>
        <v>000</v>
      </c>
      <c r="AG2180" t="str">
        <f t="shared" si="816"/>
        <v>FL</v>
      </c>
      <c r="AH2180" t="str">
        <f>"10000.00"</f>
        <v>10000.00</v>
      </c>
      <c r="AI2180" t="str">
        <f>"82500.00"</f>
        <v>82500.00</v>
      </c>
      <c r="AJ2180" t="str">
        <f>"C55-000-585-9190-0"</f>
        <v>C55-000-585-9190-0</v>
      </c>
      <c r="AK2180" t="str">
        <f>"48720"</f>
        <v>48720</v>
      </c>
      <c r="AL2180">
        <v>8</v>
      </c>
      <c r="AM2180">
        <v>2488</v>
      </c>
      <c r="AN2180">
        <v>1274.98</v>
      </c>
      <c r="AQ2180" t="s">
        <v>21010</v>
      </c>
      <c r="AR2180" t="s">
        <v>21010</v>
      </c>
      <c r="AS2180" t="s">
        <v>21010</v>
      </c>
      <c r="AU2180" t="s">
        <v>396</v>
      </c>
      <c r="AV2180">
        <v>2017</v>
      </c>
      <c r="AW2180" t="str">
        <f>"00-00-31-1800-0072-0030 "</f>
        <v xml:space="preserve">00-00-31-1800-0072-0030 </v>
      </c>
      <c r="AY2180" t="s">
        <v>404</v>
      </c>
      <c r="AZ2180" t="s">
        <v>18673</v>
      </c>
      <c r="BA2180" t="s">
        <v>1942</v>
      </c>
      <c r="BD2180" t="s">
        <v>11749</v>
      </c>
      <c r="BE2180" t="s">
        <v>393</v>
      </c>
      <c r="BF2180">
        <v>32034</v>
      </c>
      <c r="BG2180" t="s">
        <v>20938</v>
      </c>
      <c r="BH2180" t="s">
        <v>11751</v>
      </c>
      <c r="BI2180">
        <v>-81.457868563941403</v>
      </c>
      <c r="BJ2180">
        <v>30.675265747167799</v>
      </c>
      <c r="BK2180" t="s">
        <v>19248</v>
      </c>
      <c r="BL2180" t="s">
        <v>19249</v>
      </c>
      <c r="BM2180" t="s">
        <v>19250</v>
      </c>
      <c r="BN2180" t="s">
        <v>3983</v>
      </c>
      <c r="BO2180">
        <v>32035</v>
      </c>
      <c r="BP2180" t="s">
        <v>404</v>
      </c>
      <c r="BQ2180">
        <v>0</v>
      </c>
      <c r="BR2180" t="s">
        <v>491</v>
      </c>
      <c r="BS2180">
        <v>8001</v>
      </c>
      <c r="BT2180" t="s">
        <v>492</v>
      </c>
      <c r="BU2180">
        <v>1000</v>
      </c>
      <c r="BV2180">
        <v>1000</v>
      </c>
      <c r="BW2180">
        <v>10454</v>
      </c>
      <c r="BX2180" t="s">
        <v>407</v>
      </c>
      <c r="BY2180" t="s">
        <v>18253</v>
      </c>
      <c r="CD2180">
        <v>2017</v>
      </c>
      <c r="CE2180">
        <v>82500</v>
      </c>
      <c r="CG2180">
        <v>82500</v>
      </c>
      <c r="CH2180">
        <v>2017</v>
      </c>
      <c r="CI2180">
        <v>82500</v>
      </c>
      <c r="CK2180">
        <v>82500</v>
      </c>
      <c r="CL2180">
        <v>2017</v>
      </c>
      <c r="CM2180">
        <v>1149.31</v>
      </c>
      <c r="CN2180" s="1">
        <v>39170</v>
      </c>
      <c r="CZ2180" s="1">
        <v>39170</v>
      </c>
      <c r="DD2180" t="s">
        <v>11749</v>
      </c>
      <c r="DF2180">
        <v>3</v>
      </c>
      <c r="DG2180">
        <v>21</v>
      </c>
      <c r="DL2180">
        <v>50102</v>
      </c>
      <c r="DM2180" t="s">
        <v>20609</v>
      </c>
      <c r="DO2180" t="s">
        <v>21011</v>
      </c>
      <c r="DP2180">
        <v>1</v>
      </c>
      <c r="DQ2180">
        <v>2</v>
      </c>
      <c r="DR2180" t="s">
        <v>1174</v>
      </c>
      <c r="DS2180" t="b">
        <v>1</v>
      </c>
      <c r="DT2180" t="s">
        <v>470</v>
      </c>
      <c r="DU2180" t="s">
        <v>471</v>
      </c>
      <c r="DV2180" t="s">
        <v>472</v>
      </c>
      <c r="DX2180">
        <v>-9999</v>
      </c>
      <c r="DZ2180" t="s">
        <v>447</v>
      </c>
      <c r="EA2180" t="s">
        <v>448</v>
      </c>
      <c r="EB2180" t="s">
        <v>14787</v>
      </c>
      <c r="EC2180">
        <v>20101217</v>
      </c>
      <c r="ED2180" t="s">
        <v>474</v>
      </c>
      <c r="EF2180">
        <v>60.2</v>
      </c>
      <c r="EG2180">
        <v>50.8</v>
      </c>
      <c r="EI2180">
        <v>20160407</v>
      </c>
      <c r="EJ2180">
        <v>0</v>
      </c>
      <c r="EK2180">
        <v>0</v>
      </c>
      <c r="EP2180" t="s">
        <v>421</v>
      </c>
      <c r="EQ2180" t="s">
        <v>422</v>
      </c>
      <c r="ER2180">
        <v>1</v>
      </c>
      <c r="ES2180">
        <v>8</v>
      </c>
      <c r="ET2180">
        <v>1040.46</v>
      </c>
      <c r="EU2180">
        <v>58.27</v>
      </c>
      <c r="EV2180">
        <v>1098.73</v>
      </c>
      <c r="EW2180" s="2">
        <v>43222</v>
      </c>
      <c r="EX2180" s="1">
        <v>42879</v>
      </c>
      <c r="EY2180">
        <v>2016</v>
      </c>
      <c r="EZ2180">
        <v>1040.46</v>
      </c>
      <c r="FA2180" t="s">
        <v>21012</v>
      </c>
      <c r="FB2180">
        <v>0.25</v>
      </c>
      <c r="FC2180" t="s">
        <v>424</v>
      </c>
      <c r="FD2180" t="s">
        <v>454</v>
      </c>
      <c r="FF2180">
        <v>12</v>
      </c>
      <c r="FG2180">
        <v>6516843</v>
      </c>
      <c r="FH2180" t="s">
        <v>601</v>
      </c>
      <c r="FJ2180" s="1">
        <v>42515</v>
      </c>
      <c r="FK2180">
        <v>2015</v>
      </c>
      <c r="FL2180">
        <v>853.65</v>
      </c>
      <c r="FM2180" t="s">
        <v>21013</v>
      </c>
      <c r="FN2180">
        <v>0.25</v>
      </c>
      <c r="FO2180" t="s">
        <v>424</v>
      </c>
      <c r="FP2180" t="s">
        <v>425</v>
      </c>
      <c r="FQ2180" s="1">
        <v>43158</v>
      </c>
      <c r="FR2180">
        <v>21</v>
      </c>
      <c r="FS2180">
        <v>6516843</v>
      </c>
      <c r="FT2180" t="s">
        <v>601</v>
      </c>
      <c r="FV2180" s="1">
        <v>42151</v>
      </c>
      <c r="FW2180">
        <v>2014</v>
      </c>
      <c r="FX2180">
        <v>859.59</v>
      </c>
      <c r="FY2180" t="s">
        <v>21014</v>
      </c>
      <c r="FZ2180">
        <v>15.5</v>
      </c>
      <c r="GA2180" t="s">
        <v>424</v>
      </c>
      <c r="GB2180" t="s">
        <v>425</v>
      </c>
      <c r="GC2180" s="1">
        <v>43158</v>
      </c>
      <c r="GD2180">
        <v>33</v>
      </c>
      <c r="GE2180">
        <v>10628</v>
      </c>
      <c r="GF2180" t="s">
        <v>943</v>
      </c>
      <c r="GH2180" s="1">
        <v>41787</v>
      </c>
      <c r="GI2180">
        <v>2013</v>
      </c>
      <c r="GJ2180">
        <v>830.87</v>
      </c>
      <c r="GK2180" t="s">
        <v>21015</v>
      </c>
      <c r="GL2180">
        <v>3</v>
      </c>
      <c r="GM2180" t="s">
        <v>424</v>
      </c>
      <c r="GN2180" t="s">
        <v>425</v>
      </c>
      <c r="GO2180" s="1">
        <v>42424</v>
      </c>
      <c r="GP2180">
        <v>21</v>
      </c>
      <c r="GQ2180">
        <v>10125</v>
      </c>
      <c r="GR2180" t="s">
        <v>440</v>
      </c>
      <c r="GT2180" s="1">
        <v>41423</v>
      </c>
      <c r="GU2180">
        <v>2012</v>
      </c>
      <c r="GV2180">
        <v>829.92</v>
      </c>
      <c r="GW2180" t="s">
        <v>21016</v>
      </c>
      <c r="GX2180">
        <v>4.5</v>
      </c>
      <c r="GY2180" t="s">
        <v>424</v>
      </c>
      <c r="GZ2180" t="s">
        <v>425</v>
      </c>
      <c r="HA2180" s="1">
        <v>42123</v>
      </c>
      <c r="HB2180">
        <v>23</v>
      </c>
      <c r="HC2180">
        <v>10125</v>
      </c>
      <c r="HD2180" t="s">
        <v>440</v>
      </c>
      <c r="HF2180" s="1">
        <v>41052</v>
      </c>
      <c r="HG2180">
        <v>2011</v>
      </c>
      <c r="HH2180">
        <v>1188.8</v>
      </c>
      <c r="HI2180" t="s">
        <v>21017</v>
      </c>
      <c r="HJ2180">
        <v>6.75</v>
      </c>
      <c r="HK2180" t="s">
        <v>424</v>
      </c>
      <c r="HL2180" t="s">
        <v>425</v>
      </c>
      <c r="HM2180" s="1">
        <v>41697</v>
      </c>
      <c r="HN2180">
        <v>21</v>
      </c>
      <c r="HO2180">
        <v>10125</v>
      </c>
      <c r="HP2180" t="s">
        <v>440</v>
      </c>
      <c r="HR2180" s="1">
        <v>40688</v>
      </c>
      <c r="HS2180">
        <v>2010</v>
      </c>
      <c r="HT2180">
        <v>1238.8399999999999</v>
      </c>
      <c r="HU2180" t="s">
        <v>21018</v>
      </c>
      <c r="HV2180">
        <v>7</v>
      </c>
      <c r="HW2180" t="s">
        <v>424</v>
      </c>
      <c r="HX2180" t="s">
        <v>425</v>
      </c>
      <c r="HY2180" s="1">
        <v>41772</v>
      </c>
      <c r="HZ2180">
        <v>36</v>
      </c>
      <c r="IA2180">
        <v>14996</v>
      </c>
      <c r="IB2180" t="s">
        <v>3439</v>
      </c>
      <c r="ID2180" s="1">
        <v>40688</v>
      </c>
      <c r="IE2180">
        <v>2010</v>
      </c>
      <c r="IF2180">
        <v>1238.8399999999999</v>
      </c>
      <c r="IG2180" t="s">
        <v>21018</v>
      </c>
      <c r="IH2180">
        <v>7</v>
      </c>
      <c r="II2180" t="s">
        <v>424</v>
      </c>
      <c r="IJ2180" t="s">
        <v>425</v>
      </c>
      <c r="IL2180">
        <v>22</v>
      </c>
      <c r="IM2180">
        <v>10579</v>
      </c>
      <c r="IN2180" t="s">
        <v>488</v>
      </c>
      <c r="IP2180" s="1">
        <v>40688</v>
      </c>
      <c r="IQ2180">
        <v>2010</v>
      </c>
      <c r="IR2180">
        <v>1238.8399999999999</v>
      </c>
      <c r="IS2180" t="s">
        <v>21018</v>
      </c>
      <c r="IT2180">
        <v>7</v>
      </c>
      <c r="IU2180" t="s">
        <v>424</v>
      </c>
      <c r="IV2180" t="s">
        <v>425</v>
      </c>
      <c r="IX2180">
        <v>22</v>
      </c>
      <c r="IY2180">
        <v>10198</v>
      </c>
      <c r="IZ2180" t="s">
        <v>5883</v>
      </c>
    </row>
    <row r="2181" spans="1:272" x14ac:dyDescent="0.25">
      <c r="A2181">
        <v>16487188</v>
      </c>
      <c r="B2181">
        <v>2180</v>
      </c>
      <c r="C2181" t="s">
        <v>393</v>
      </c>
      <c r="D2181" t="s">
        <v>394</v>
      </c>
      <c r="F2181" t="str">
        <f>"00-00-31-1800-0072-0071"</f>
        <v>00-00-31-1800-0072-0071</v>
      </c>
      <c r="H2181" t="str">
        <f t="shared" si="817"/>
        <v>OCONNER JAMES PRATT &amp; OCONNER JAMES MITCHELL &amp; MOONEY TRACY OCONNER</v>
      </c>
      <c r="I2181" t="str">
        <f>""</f>
        <v/>
      </c>
      <c r="J2181" t="str">
        <f t="shared" si="818"/>
        <v>FERNANDINA BEACH FL 32035</v>
      </c>
      <c r="K2181" t="str">
        <f>"319 N 9TH ST"</f>
        <v>319 N 9TH ST</v>
      </c>
      <c r="L2181" t="str">
        <f t="shared" si="807"/>
        <v>FERNANDINA BEACH FL 32034</v>
      </c>
      <c r="M2181" t="str">
        <f>"BLOCK 72 LOT N1/2 OF 7 PT OR 1488/1658 CITY OF FDNA BEACH"</f>
        <v>BLOCK 72 LOT N1/2 OF 7 PT OR 1488/1658 CITY OF FDNA BEACH</v>
      </c>
      <c r="N2181" t="str">
        <f>""</f>
        <v/>
      </c>
      <c r="O2181" t="str">
        <f>"11751"</f>
        <v>11751</v>
      </c>
      <c r="P2181" t="str">
        <f t="shared" si="821"/>
        <v>2017</v>
      </c>
      <c r="Q2181" t="str">
        <f>""</f>
        <v/>
      </c>
      <c r="R2181" t="str">
        <f t="shared" si="815"/>
        <v>N</v>
      </c>
      <c r="S2181" t="str">
        <f>""</f>
        <v/>
      </c>
      <c r="T2181" t="str">
        <f>"118.70"</f>
        <v>118.70</v>
      </c>
      <c r="U2181" t="str">
        <f>"5500.00"</f>
        <v>5500.00</v>
      </c>
      <c r="V2181" t="str">
        <f>"5500.00"</f>
        <v>5500.00</v>
      </c>
      <c r="W2181" t="str">
        <f t="shared" si="822"/>
        <v>2017</v>
      </c>
      <c r="X2181" t="str">
        <f>"26.25"</f>
        <v>26.25</v>
      </c>
      <c r="Y2181" t="str">
        <f>"154.26"</f>
        <v>154.26</v>
      </c>
      <c r="Z2181" t="str">
        <f>""</f>
        <v/>
      </c>
      <c r="AA2181" t="str">
        <f>"6875.00"</f>
        <v>6875.00</v>
      </c>
      <c r="AB2181" t="str">
        <f t="shared" si="819"/>
        <v>Residential</v>
      </c>
      <c r="AC2181" t="str">
        <f t="shared" si="809"/>
        <v>0</v>
      </c>
      <c r="AD2181" t="str">
        <f>""</f>
        <v/>
      </c>
      <c r="AE2181" t="str">
        <f>""</f>
        <v/>
      </c>
      <c r="AF2181" t="str">
        <f t="shared" si="820"/>
        <v>000</v>
      </c>
      <c r="AG2181" t="str">
        <f t="shared" si="816"/>
        <v>FL</v>
      </c>
      <c r="AH2181" t="str">
        <f>"5000.00"</f>
        <v>5000.00</v>
      </c>
      <c r="AI2181" t="str">
        <f>"6875.00"</f>
        <v>6875.00</v>
      </c>
      <c r="AJ2181" t="str">
        <f>"C55-000-585-9194-2"</f>
        <v>C55-000-585-9194-2</v>
      </c>
      <c r="AK2181" t="str">
        <f>"48724"</f>
        <v>48724</v>
      </c>
      <c r="AL2181">
        <v>8</v>
      </c>
      <c r="AM2181">
        <v>2489</v>
      </c>
      <c r="AN2181">
        <v>160.37</v>
      </c>
      <c r="AQ2181" t="s">
        <v>21019</v>
      </c>
      <c r="AR2181" t="s">
        <v>21019</v>
      </c>
      <c r="AS2181" t="s">
        <v>21019</v>
      </c>
      <c r="AU2181" t="s">
        <v>396</v>
      </c>
      <c r="AV2181">
        <v>2017</v>
      </c>
      <c r="AW2181" t="str">
        <f>"00-00-31-1800-0072-0071 "</f>
        <v xml:space="preserve">00-00-31-1800-0072-0071 </v>
      </c>
      <c r="AX2181">
        <v>319</v>
      </c>
      <c r="AY2181" t="s">
        <v>404</v>
      </c>
      <c r="AZ2181" t="s">
        <v>20794</v>
      </c>
      <c r="BA2181" t="s">
        <v>1942</v>
      </c>
      <c r="BD2181" t="s">
        <v>11749</v>
      </c>
      <c r="BE2181" t="s">
        <v>393</v>
      </c>
      <c r="BF2181">
        <v>32034</v>
      </c>
      <c r="BG2181" t="s">
        <v>21020</v>
      </c>
      <c r="BH2181" t="s">
        <v>11751</v>
      </c>
      <c r="BI2181">
        <v>-81.457573546585607</v>
      </c>
      <c r="BJ2181">
        <v>30.675020865042899</v>
      </c>
      <c r="BK2181" t="s">
        <v>19248</v>
      </c>
      <c r="BL2181" t="s">
        <v>19249</v>
      </c>
      <c r="BM2181" t="s">
        <v>19250</v>
      </c>
      <c r="BN2181" t="s">
        <v>3983</v>
      </c>
      <c r="BO2181">
        <v>32035</v>
      </c>
      <c r="BP2181" t="s">
        <v>404</v>
      </c>
      <c r="BQ2181">
        <v>0</v>
      </c>
      <c r="BR2181" t="s">
        <v>491</v>
      </c>
      <c r="BS2181">
        <v>8001</v>
      </c>
      <c r="BT2181" t="s">
        <v>492</v>
      </c>
      <c r="BU2181">
        <v>500</v>
      </c>
      <c r="BV2181">
        <v>1000</v>
      </c>
      <c r="BW2181">
        <v>5191</v>
      </c>
      <c r="BX2181" t="s">
        <v>407</v>
      </c>
      <c r="BY2181" t="s">
        <v>18253</v>
      </c>
      <c r="CD2181">
        <v>2017</v>
      </c>
      <c r="CE2181">
        <v>6875</v>
      </c>
      <c r="CG2181">
        <v>6875</v>
      </c>
      <c r="CH2181">
        <v>2017</v>
      </c>
      <c r="CI2181">
        <v>6875</v>
      </c>
      <c r="CK2181">
        <v>6875</v>
      </c>
      <c r="CL2181">
        <v>2017</v>
      </c>
      <c r="CM2181">
        <v>118.7</v>
      </c>
      <c r="CN2181" s="1">
        <v>39170</v>
      </c>
      <c r="CZ2181" s="1">
        <v>39170</v>
      </c>
      <c r="DD2181" t="s">
        <v>11749</v>
      </c>
      <c r="DG2181">
        <v>21</v>
      </c>
      <c r="DL2181">
        <v>50102</v>
      </c>
      <c r="DM2181" t="s">
        <v>20609</v>
      </c>
      <c r="DO2181" t="s">
        <v>21021</v>
      </c>
      <c r="DP2181">
        <v>0</v>
      </c>
      <c r="DQ2181">
        <v>0</v>
      </c>
      <c r="DR2181" t="s">
        <v>411</v>
      </c>
      <c r="DS2181" t="b">
        <v>1</v>
      </c>
      <c r="DT2181" t="s">
        <v>470</v>
      </c>
      <c r="DU2181" t="s">
        <v>471</v>
      </c>
      <c r="DV2181" t="s">
        <v>472</v>
      </c>
      <c r="DX2181">
        <v>-9999</v>
      </c>
      <c r="DZ2181" t="s">
        <v>447</v>
      </c>
      <c r="EA2181" t="s">
        <v>448</v>
      </c>
      <c r="EB2181" t="s">
        <v>14787</v>
      </c>
      <c r="EC2181">
        <v>20101217</v>
      </c>
      <c r="ED2181" t="s">
        <v>474</v>
      </c>
      <c r="EF2181">
        <v>117.6</v>
      </c>
      <c r="EG2181">
        <v>94.5</v>
      </c>
      <c r="EI2181">
        <v>20160407</v>
      </c>
      <c r="EJ2181">
        <v>0</v>
      </c>
      <c r="EK2181">
        <v>0</v>
      </c>
      <c r="EP2181" t="s">
        <v>595</v>
      </c>
      <c r="EQ2181" t="s">
        <v>422</v>
      </c>
      <c r="ER2181">
        <v>1</v>
      </c>
      <c r="ES2181">
        <v>8</v>
      </c>
      <c r="ET2181">
        <v>136.47999999999999</v>
      </c>
      <c r="EU2181">
        <v>26.38</v>
      </c>
      <c r="EV2181">
        <v>162.86000000000001</v>
      </c>
      <c r="EW2181" s="2">
        <v>43222</v>
      </c>
      <c r="EX2181" s="1">
        <v>42879</v>
      </c>
      <c r="EY2181">
        <v>2016</v>
      </c>
      <c r="EZ2181">
        <v>136.47999999999999</v>
      </c>
      <c r="FA2181" t="s">
        <v>21022</v>
      </c>
      <c r="FB2181">
        <v>14.75</v>
      </c>
      <c r="FC2181" t="s">
        <v>424</v>
      </c>
      <c r="FD2181" t="s">
        <v>454</v>
      </c>
      <c r="FF2181">
        <v>12</v>
      </c>
      <c r="FG2181">
        <v>6516843</v>
      </c>
      <c r="FH2181" t="s">
        <v>601</v>
      </c>
      <c r="FJ2181" s="1">
        <v>42515</v>
      </c>
      <c r="FK2181">
        <v>2015</v>
      </c>
      <c r="FL2181">
        <v>132.9</v>
      </c>
      <c r="FM2181" t="s">
        <v>21023</v>
      </c>
      <c r="FN2181">
        <v>18</v>
      </c>
      <c r="FO2181" t="s">
        <v>603</v>
      </c>
      <c r="FP2181" t="s">
        <v>425</v>
      </c>
      <c r="FR2181">
        <v>22</v>
      </c>
      <c r="FS2181">
        <v>9999999</v>
      </c>
      <c r="FT2181" t="s">
        <v>604</v>
      </c>
      <c r="FV2181" s="1">
        <v>42515</v>
      </c>
      <c r="FW2181">
        <v>2015</v>
      </c>
      <c r="FX2181">
        <v>141.13999999999999</v>
      </c>
      <c r="FY2181" t="s">
        <v>21023</v>
      </c>
      <c r="FZ2181">
        <v>18</v>
      </c>
      <c r="GA2181" t="s">
        <v>424</v>
      </c>
      <c r="GB2181" t="s">
        <v>425</v>
      </c>
      <c r="GC2181" s="1">
        <v>43158</v>
      </c>
      <c r="GD2181">
        <v>21</v>
      </c>
      <c r="GE2181">
        <v>10647</v>
      </c>
      <c r="GF2181" t="s">
        <v>4602</v>
      </c>
      <c r="GH2181" s="1">
        <v>42151</v>
      </c>
      <c r="GI2181">
        <v>2014</v>
      </c>
      <c r="GJ2181">
        <v>133.68</v>
      </c>
      <c r="GK2181" t="s">
        <v>21024</v>
      </c>
      <c r="GL2181">
        <v>18</v>
      </c>
      <c r="GM2181" t="s">
        <v>603</v>
      </c>
      <c r="GN2181" t="s">
        <v>425</v>
      </c>
      <c r="GP2181">
        <v>22</v>
      </c>
      <c r="GQ2181">
        <v>9999999</v>
      </c>
      <c r="GR2181" t="s">
        <v>604</v>
      </c>
      <c r="GT2181" s="1">
        <v>42151</v>
      </c>
      <c r="GU2181">
        <v>2014</v>
      </c>
      <c r="GV2181">
        <v>143.94</v>
      </c>
      <c r="GW2181" t="s">
        <v>21024</v>
      </c>
      <c r="GX2181">
        <v>18</v>
      </c>
      <c r="GY2181" t="s">
        <v>424</v>
      </c>
      <c r="GZ2181" t="s">
        <v>425</v>
      </c>
      <c r="HA2181" s="1">
        <v>43158</v>
      </c>
      <c r="HB2181">
        <v>33</v>
      </c>
      <c r="HC2181">
        <v>10647</v>
      </c>
      <c r="HD2181" t="s">
        <v>4602</v>
      </c>
      <c r="HF2181" s="1">
        <v>41787</v>
      </c>
      <c r="HG2181">
        <v>2013</v>
      </c>
      <c r="HH2181">
        <v>129.86000000000001</v>
      </c>
      <c r="HI2181" t="s">
        <v>21025</v>
      </c>
      <c r="HJ2181">
        <v>3.75</v>
      </c>
      <c r="HK2181" t="s">
        <v>424</v>
      </c>
      <c r="HL2181" t="s">
        <v>425</v>
      </c>
      <c r="HM2181" s="1">
        <v>42424</v>
      </c>
      <c r="HN2181">
        <v>21</v>
      </c>
      <c r="HO2181">
        <v>10125</v>
      </c>
      <c r="HP2181" t="s">
        <v>440</v>
      </c>
      <c r="HR2181" s="1">
        <v>41423</v>
      </c>
      <c r="HS2181">
        <v>2012</v>
      </c>
      <c r="HT2181">
        <v>129.74</v>
      </c>
      <c r="HU2181" t="s">
        <v>21026</v>
      </c>
      <c r="HV2181">
        <v>4.75</v>
      </c>
      <c r="HW2181" t="s">
        <v>424</v>
      </c>
      <c r="HX2181" t="s">
        <v>425</v>
      </c>
      <c r="HY2181" s="1">
        <v>42123</v>
      </c>
      <c r="HZ2181">
        <v>23</v>
      </c>
      <c r="IA2181">
        <v>10125</v>
      </c>
      <c r="IB2181" t="s">
        <v>440</v>
      </c>
      <c r="ID2181" s="1">
        <v>41052</v>
      </c>
      <c r="IE2181">
        <v>2011</v>
      </c>
      <c r="IF2181">
        <v>118.45</v>
      </c>
      <c r="IG2181" t="s">
        <v>21027</v>
      </c>
      <c r="IH2181">
        <v>16.5</v>
      </c>
      <c r="II2181" t="s">
        <v>424</v>
      </c>
      <c r="IJ2181" t="s">
        <v>425</v>
      </c>
      <c r="IK2181" s="1">
        <v>41681</v>
      </c>
      <c r="IL2181">
        <v>21</v>
      </c>
      <c r="IM2181">
        <v>10125</v>
      </c>
      <c r="IN2181" t="s">
        <v>440</v>
      </c>
      <c r="IP2181" s="1">
        <v>40688</v>
      </c>
      <c r="IQ2181">
        <v>2010</v>
      </c>
      <c r="IR2181">
        <v>115.17</v>
      </c>
      <c r="IS2181" t="s">
        <v>21028</v>
      </c>
      <c r="IT2181">
        <v>11</v>
      </c>
      <c r="IU2181" t="s">
        <v>424</v>
      </c>
      <c r="IV2181" t="s">
        <v>425</v>
      </c>
      <c r="IW2181" s="1">
        <v>42123</v>
      </c>
      <c r="IX2181">
        <v>47</v>
      </c>
      <c r="IY2181">
        <v>10125</v>
      </c>
      <c r="IZ2181" t="s">
        <v>440</v>
      </c>
    </row>
    <row r="2182" spans="1:272" x14ac:dyDescent="0.25">
      <c r="A2182">
        <v>16487189</v>
      </c>
      <c r="B2182">
        <v>2181</v>
      </c>
      <c r="C2182" t="s">
        <v>393</v>
      </c>
      <c r="D2182" t="s">
        <v>394</v>
      </c>
      <c r="F2182" t="str">
        <f>"00-00-31-1800-0072-0072"</f>
        <v>00-00-31-1800-0072-0072</v>
      </c>
      <c r="H2182" t="str">
        <f t="shared" si="817"/>
        <v>OCONNER JAMES PRATT &amp; OCONNER JAMES MITCHELL &amp; MOONEY TRACY OCONNER</v>
      </c>
      <c r="I2182" t="str">
        <f>""</f>
        <v/>
      </c>
      <c r="J2182" t="str">
        <f t="shared" si="818"/>
        <v>FERNANDINA BEACH FL 32035</v>
      </c>
      <c r="K2182" t="str">
        <f>"N 9TH ST"</f>
        <v>N 9TH ST</v>
      </c>
      <c r="L2182" t="str">
        <f t="shared" si="807"/>
        <v>FERNANDINA BEACH FL 32034</v>
      </c>
      <c r="M2182" t="str">
        <f>"BLOCK 72 LOT S1/2 OF 7 PT OR 1488/1658 CITY OF FDNA BEACH"</f>
        <v>BLOCK 72 LOT S1/2 OF 7 PT OR 1488/1658 CITY OF FDNA BEACH</v>
      </c>
      <c r="N2182" t="str">
        <f>""</f>
        <v/>
      </c>
      <c r="O2182" t="str">
        <f>"11752"</f>
        <v>11752</v>
      </c>
      <c r="P2182" t="str">
        <f t="shared" si="821"/>
        <v>2017</v>
      </c>
      <c r="Q2182" t="str">
        <f>""</f>
        <v/>
      </c>
      <c r="R2182" t="str">
        <f t="shared" si="815"/>
        <v>N</v>
      </c>
      <c r="S2182" t="str">
        <f>""</f>
        <v/>
      </c>
      <c r="T2182" t="str">
        <f>"118.70"</f>
        <v>118.70</v>
      </c>
      <c r="U2182" t="str">
        <f>"5500.00"</f>
        <v>5500.00</v>
      </c>
      <c r="V2182" t="str">
        <f>"5500.00"</f>
        <v>5500.00</v>
      </c>
      <c r="W2182" t="str">
        <f t="shared" si="822"/>
        <v>2017</v>
      </c>
      <c r="X2182" t="str">
        <f>"26.25"</f>
        <v>26.25</v>
      </c>
      <c r="Y2182" t="str">
        <f>"154.26"</f>
        <v>154.26</v>
      </c>
      <c r="Z2182" t="str">
        <f>""</f>
        <v/>
      </c>
      <c r="AA2182" t="str">
        <f>"6875.00"</f>
        <v>6875.00</v>
      </c>
      <c r="AB2182" t="str">
        <f t="shared" si="819"/>
        <v>Residential</v>
      </c>
      <c r="AC2182" t="str">
        <f t="shared" si="809"/>
        <v>0</v>
      </c>
      <c r="AD2182" t="str">
        <f>""</f>
        <v/>
      </c>
      <c r="AE2182" t="str">
        <f>""</f>
        <v/>
      </c>
      <c r="AF2182" t="str">
        <f t="shared" si="820"/>
        <v>000</v>
      </c>
      <c r="AG2182" t="str">
        <f t="shared" si="816"/>
        <v>FL</v>
      </c>
      <c r="AH2182" t="str">
        <f>"5000.00"</f>
        <v>5000.00</v>
      </c>
      <c r="AI2182" t="str">
        <f>"6875.00"</f>
        <v>6875.00</v>
      </c>
      <c r="AJ2182" t="str">
        <f>"C55-000-585-9195-9"</f>
        <v>C55-000-585-9195-9</v>
      </c>
      <c r="AK2182" t="str">
        <f>"48725"</f>
        <v>48725</v>
      </c>
      <c r="AL2182">
        <v>8</v>
      </c>
      <c r="AM2182">
        <v>2490</v>
      </c>
      <c r="AN2182">
        <v>160.37</v>
      </c>
      <c r="AQ2182" t="s">
        <v>21029</v>
      </c>
      <c r="AR2182" t="s">
        <v>21029</v>
      </c>
      <c r="AS2182" t="s">
        <v>21029</v>
      </c>
      <c r="AU2182" t="s">
        <v>396</v>
      </c>
      <c r="AV2182">
        <v>2017</v>
      </c>
      <c r="AW2182" t="str">
        <f>"00-00-31-1800-0072-0072 "</f>
        <v xml:space="preserve">00-00-31-1800-0072-0072 </v>
      </c>
      <c r="AY2182" t="s">
        <v>404</v>
      </c>
      <c r="AZ2182" t="s">
        <v>20794</v>
      </c>
      <c r="BA2182" t="s">
        <v>1942</v>
      </c>
      <c r="BD2182" t="s">
        <v>11749</v>
      </c>
      <c r="BE2182" t="s">
        <v>393</v>
      </c>
      <c r="BF2182">
        <v>32034</v>
      </c>
      <c r="BG2182" t="s">
        <v>21030</v>
      </c>
      <c r="BH2182" t="s">
        <v>11751</v>
      </c>
      <c r="BI2182">
        <v>-81.457594842002194</v>
      </c>
      <c r="BJ2182">
        <v>30.674882699883501</v>
      </c>
      <c r="BK2182" t="s">
        <v>19248</v>
      </c>
      <c r="BL2182" t="s">
        <v>19249</v>
      </c>
      <c r="BM2182" t="s">
        <v>19250</v>
      </c>
      <c r="BN2182" t="s">
        <v>3983</v>
      </c>
      <c r="BO2182">
        <v>32035</v>
      </c>
      <c r="BP2182" t="s">
        <v>404</v>
      </c>
      <c r="BQ2182">
        <v>0</v>
      </c>
      <c r="BR2182" t="s">
        <v>491</v>
      </c>
      <c r="BS2182">
        <v>8001</v>
      </c>
      <c r="BT2182" t="s">
        <v>492</v>
      </c>
      <c r="BU2182">
        <v>500</v>
      </c>
      <c r="BV2182">
        <v>1000</v>
      </c>
      <c r="BW2182">
        <v>5321</v>
      </c>
      <c r="BX2182" t="s">
        <v>407</v>
      </c>
      <c r="BY2182" t="s">
        <v>18253</v>
      </c>
      <c r="CD2182">
        <v>2017</v>
      </c>
      <c r="CE2182">
        <v>6875</v>
      </c>
      <c r="CG2182">
        <v>6875</v>
      </c>
      <c r="CH2182">
        <v>2017</v>
      </c>
      <c r="CI2182">
        <v>6875</v>
      </c>
      <c r="CK2182">
        <v>6875</v>
      </c>
      <c r="CL2182">
        <v>2017</v>
      </c>
      <c r="CM2182">
        <v>118.7</v>
      </c>
      <c r="CN2182" s="1">
        <v>39170</v>
      </c>
      <c r="CZ2182" s="1">
        <v>39170</v>
      </c>
      <c r="DD2182" t="s">
        <v>11749</v>
      </c>
      <c r="DG2182">
        <v>21</v>
      </c>
      <c r="DJ2182" t="s">
        <v>20634</v>
      </c>
      <c r="DL2182">
        <v>50102</v>
      </c>
      <c r="DM2182" t="s">
        <v>20609</v>
      </c>
      <c r="DO2182" t="s">
        <v>21031</v>
      </c>
      <c r="DP2182">
        <v>0</v>
      </c>
      <c r="DQ2182">
        <v>0</v>
      </c>
      <c r="DR2182" t="s">
        <v>411</v>
      </c>
      <c r="DS2182" t="b">
        <v>1</v>
      </c>
      <c r="DT2182" t="s">
        <v>470</v>
      </c>
      <c r="DU2182" t="s">
        <v>471</v>
      </c>
      <c r="DV2182" t="s">
        <v>472</v>
      </c>
      <c r="DX2182">
        <v>-9999</v>
      </c>
      <c r="DZ2182" t="s">
        <v>447</v>
      </c>
      <c r="EA2182" t="s">
        <v>448</v>
      </c>
      <c r="EB2182" t="s">
        <v>14787</v>
      </c>
      <c r="EC2182">
        <v>20101217</v>
      </c>
      <c r="ED2182" t="s">
        <v>474</v>
      </c>
      <c r="EF2182">
        <v>81.099999999999994</v>
      </c>
      <c r="EG2182">
        <v>57.8</v>
      </c>
      <c r="EI2182">
        <v>20160407</v>
      </c>
      <c r="EJ2182">
        <v>0</v>
      </c>
      <c r="EK2182">
        <v>0</v>
      </c>
      <c r="EP2182" t="s">
        <v>595</v>
      </c>
      <c r="EQ2182" t="s">
        <v>422</v>
      </c>
      <c r="ER2182">
        <v>1</v>
      </c>
      <c r="ES2182">
        <v>8</v>
      </c>
      <c r="ET2182">
        <v>136.47999999999999</v>
      </c>
      <c r="EU2182">
        <v>27.75</v>
      </c>
      <c r="EV2182">
        <v>164.23</v>
      </c>
      <c r="EW2182" s="2">
        <v>43222</v>
      </c>
      <c r="EX2182" s="1">
        <v>42879</v>
      </c>
      <c r="EY2182">
        <v>2016</v>
      </c>
      <c r="EZ2182">
        <v>136.47999999999999</v>
      </c>
      <c r="FA2182" t="s">
        <v>21032</v>
      </c>
      <c r="FB2182">
        <v>15.75</v>
      </c>
      <c r="FC2182" t="s">
        <v>424</v>
      </c>
      <c r="FD2182" t="s">
        <v>454</v>
      </c>
      <c r="FF2182">
        <v>12</v>
      </c>
      <c r="FG2182">
        <v>6516843</v>
      </c>
      <c r="FH2182" t="s">
        <v>601</v>
      </c>
      <c r="FJ2182" s="1">
        <v>42515</v>
      </c>
      <c r="FK2182">
        <v>2015</v>
      </c>
      <c r="FL2182">
        <v>132.9</v>
      </c>
      <c r="FM2182" t="s">
        <v>21033</v>
      </c>
      <c r="FN2182">
        <v>18</v>
      </c>
      <c r="FO2182" t="s">
        <v>603</v>
      </c>
      <c r="FP2182" t="s">
        <v>425</v>
      </c>
      <c r="FR2182">
        <v>22</v>
      </c>
      <c r="FS2182">
        <v>9999999</v>
      </c>
      <c r="FT2182" t="s">
        <v>604</v>
      </c>
      <c r="FV2182" s="1">
        <v>42515</v>
      </c>
      <c r="FW2182">
        <v>2015</v>
      </c>
      <c r="FX2182">
        <v>141.13999999999999</v>
      </c>
      <c r="FY2182" t="s">
        <v>21033</v>
      </c>
      <c r="FZ2182">
        <v>18</v>
      </c>
      <c r="GA2182" t="s">
        <v>424</v>
      </c>
      <c r="GB2182" t="s">
        <v>425</v>
      </c>
      <c r="GC2182" s="1">
        <v>43158</v>
      </c>
      <c r="GD2182">
        <v>21</v>
      </c>
      <c r="GE2182">
        <v>10647</v>
      </c>
      <c r="GF2182" t="s">
        <v>4602</v>
      </c>
      <c r="GH2182" s="1">
        <v>42151</v>
      </c>
      <c r="GI2182">
        <v>2014</v>
      </c>
      <c r="GJ2182">
        <v>133.68</v>
      </c>
      <c r="GK2182" t="s">
        <v>21034</v>
      </c>
      <c r="GL2182">
        <v>18</v>
      </c>
      <c r="GM2182" t="s">
        <v>603</v>
      </c>
      <c r="GN2182" t="s">
        <v>425</v>
      </c>
      <c r="GP2182">
        <v>22</v>
      </c>
      <c r="GQ2182">
        <v>9999999</v>
      </c>
      <c r="GR2182" t="s">
        <v>604</v>
      </c>
      <c r="GT2182" s="1">
        <v>42151</v>
      </c>
      <c r="GU2182">
        <v>2014</v>
      </c>
      <c r="GV2182">
        <v>143.94</v>
      </c>
      <c r="GW2182" t="s">
        <v>21034</v>
      </c>
      <c r="GX2182">
        <v>18</v>
      </c>
      <c r="GY2182" t="s">
        <v>424</v>
      </c>
      <c r="GZ2182" t="s">
        <v>425</v>
      </c>
      <c r="HA2182" s="1">
        <v>43158</v>
      </c>
      <c r="HB2182">
        <v>33</v>
      </c>
      <c r="HC2182">
        <v>10647</v>
      </c>
      <c r="HD2182" t="s">
        <v>4602</v>
      </c>
      <c r="HF2182" s="1">
        <v>41787</v>
      </c>
      <c r="HG2182">
        <v>2013</v>
      </c>
      <c r="HH2182">
        <v>129.86000000000001</v>
      </c>
      <c r="HI2182" t="s">
        <v>21035</v>
      </c>
      <c r="HJ2182">
        <v>3.75</v>
      </c>
      <c r="HK2182" t="s">
        <v>424</v>
      </c>
      <c r="HL2182" t="s">
        <v>425</v>
      </c>
      <c r="HM2182" s="1">
        <v>42424</v>
      </c>
      <c r="HN2182">
        <v>21</v>
      </c>
      <c r="HO2182">
        <v>10125</v>
      </c>
      <c r="HP2182" t="s">
        <v>440</v>
      </c>
      <c r="HR2182" s="1">
        <v>41423</v>
      </c>
      <c r="HS2182">
        <v>2012</v>
      </c>
      <c r="HT2182">
        <v>129.74</v>
      </c>
      <c r="HU2182" t="s">
        <v>21036</v>
      </c>
      <c r="HV2182">
        <v>4.75</v>
      </c>
      <c r="HW2182" t="s">
        <v>424</v>
      </c>
      <c r="HX2182" t="s">
        <v>425</v>
      </c>
      <c r="HY2182" s="1">
        <v>42123</v>
      </c>
      <c r="HZ2182">
        <v>23</v>
      </c>
      <c r="IA2182">
        <v>10125</v>
      </c>
      <c r="IB2182" t="s">
        <v>440</v>
      </c>
      <c r="ID2182" s="1">
        <v>41052</v>
      </c>
      <c r="IE2182">
        <v>2011</v>
      </c>
      <c r="IF2182">
        <v>118.45</v>
      </c>
      <c r="IG2182" t="s">
        <v>21037</v>
      </c>
      <c r="IH2182">
        <v>16.5</v>
      </c>
      <c r="II2182" t="s">
        <v>424</v>
      </c>
      <c r="IJ2182" t="s">
        <v>425</v>
      </c>
      <c r="IK2182" s="1">
        <v>41681</v>
      </c>
      <c r="IL2182">
        <v>21</v>
      </c>
      <c r="IM2182">
        <v>10125</v>
      </c>
      <c r="IN2182" t="s">
        <v>440</v>
      </c>
      <c r="IP2182" s="1">
        <v>40688</v>
      </c>
      <c r="IQ2182">
        <v>2010</v>
      </c>
      <c r="IR2182">
        <v>115.17</v>
      </c>
      <c r="IS2182" t="s">
        <v>21038</v>
      </c>
      <c r="IT2182">
        <v>10</v>
      </c>
      <c r="IU2182" t="s">
        <v>424</v>
      </c>
      <c r="IV2182" t="s">
        <v>425</v>
      </c>
      <c r="IW2182" s="1">
        <v>42123</v>
      </c>
      <c r="IX2182">
        <v>47</v>
      </c>
      <c r="IY2182">
        <v>10125</v>
      </c>
      <c r="IZ2182" t="s">
        <v>440</v>
      </c>
    </row>
    <row r="2183" spans="1:272" x14ac:dyDescent="0.25">
      <c r="A2183">
        <v>16487190</v>
      </c>
      <c r="B2183">
        <v>2182</v>
      </c>
      <c r="C2183" t="s">
        <v>393</v>
      </c>
      <c r="D2183" t="s">
        <v>394</v>
      </c>
      <c r="F2183" t="str">
        <f>"00-00-31-1800-0077-0031"</f>
        <v>00-00-31-1800-0077-0031</v>
      </c>
      <c r="H2183" t="str">
        <f>"WRIGHT LOIS"</f>
        <v>WRIGHT LOIS</v>
      </c>
      <c r="I2183" t="str">
        <f>"1372 WASHINGTON AV 13E"</f>
        <v>1372 WASHINGTON AV 13E</v>
      </c>
      <c r="J2183" t="str">
        <f>"BRONX NY 10456"</f>
        <v>BRONX NY 10456</v>
      </c>
      <c r="K2183" t="str">
        <f>"320 9TH ST N"</f>
        <v>320 9TH ST N</v>
      </c>
      <c r="L2183" t="str">
        <f t="shared" si="807"/>
        <v>FERNANDINA BEACH FL 32034</v>
      </c>
      <c r="M2183" t="str">
        <f>"BLOCK 77 N 1/2 OF LOT 3 IN OR 1913/648 CITY OF FERNANDINA BCH"</f>
        <v>BLOCK 77 N 1/2 OF LOT 3 IN OR 1913/648 CITY OF FERNANDINA BCH</v>
      </c>
      <c r="N2183" t="str">
        <f>""</f>
        <v/>
      </c>
      <c r="O2183" t="str">
        <f>"11768"</f>
        <v>11768</v>
      </c>
      <c r="P2183" t="str">
        <f t="shared" si="821"/>
        <v>2017</v>
      </c>
      <c r="Q2183" t="str">
        <f>""</f>
        <v/>
      </c>
      <c r="R2183" t="str">
        <f t="shared" si="815"/>
        <v>N</v>
      </c>
      <c r="S2183" t="str">
        <f>""</f>
        <v/>
      </c>
      <c r="T2183" t="str">
        <f>"626.48"</f>
        <v>626.48</v>
      </c>
      <c r="U2183" t="str">
        <f>"29612.00"</f>
        <v>29612.00</v>
      </c>
      <c r="V2183" t="str">
        <f>"29612.00"</f>
        <v>29612.00</v>
      </c>
      <c r="W2183" t="str">
        <f t="shared" si="822"/>
        <v>2017</v>
      </c>
      <c r="X2183" t="str">
        <f>"15.20"</f>
        <v>15.20</v>
      </c>
      <c r="Y2183" t="str">
        <f>"677.27"</f>
        <v>677.27</v>
      </c>
      <c r="Z2183" t="str">
        <f>""</f>
        <v/>
      </c>
      <c r="AA2183" t="str">
        <f>"35112.00"</f>
        <v>35112.00</v>
      </c>
      <c r="AB2183" t="str">
        <f t="shared" si="819"/>
        <v>Residential</v>
      </c>
      <c r="AC2183" t="str">
        <f t="shared" si="809"/>
        <v>0</v>
      </c>
      <c r="AD2183" t="str">
        <f>"4"</f>
        <v>4</v>
      </c>
      <c r="AE2183" t="str">
        <f>"WOOD (INCLUDE STEEL STUDS)"</f>
        <v>WOOD (INCLUDE STEEL STUDS)</v>
      </c>
      <c r="AF2183" t="str">
        <f>"001"</f>
        <v>001</v>
      </c>
      <c r="AG2183" t="str">
        <f>"NY"</f>
        <v>NY</v>
      </c>
      <c r="AH2183" t="str">
        <f>"5000.00"</f>
        <v>5000.00</v>
      </c>
      <c r="AI2183" t="str">
        <f>"27500.00"</f>
        <v>27500.00</v>
      </c>
      <c r="AJ2183" t="str">
        <f>"C55-000-585-9210-6"</f>
        <v>C55-000-585-9210-6</v>
      </c>
      <c r="AK2183" t="str">
        <f>"48740"</f>
        <v>48740</v>
      </c>
      <c r="AL2183">
        <v>8</v>
      </c>
      <c r="AM2183">
        <v>2491</v>
      </c>
      <c r="AN2183">
        <v>709.53</v>
      </c>
      <c r="AQ2183" t="s">
        <v>21039</v>
      </c>
      <c r="AR2183" t="s">
        <v>21039</v>
      </c>
      <c r="AS2183" t="s">
        <v>21039</v>
      </c>
      <c r="AU2183" t="s">
        <v>396</v>
      </c>
      <c r="AV2183">
        <v>2017</v>
      </c>
      <c r="AW2183" t="str">
        <f>"00-00-31-1800-0077-0031 "</f>
        <v xml:space="preserve">00-00-31-1800-0077-0031 </v>
      </c>
      <c r="AX2183">
        <v>320</v>
      </c>
      <c r="AZ2183" t="s">
        <v>20794</v>
      </c>
      <c r="BA2183" t="s">
        <v>1942</v>
      </c>
      <c r="BB2183" t="s">
        <v>404</v>
      </c>
      <c r="BD2183" t="s">
        <v>11749</v>
      </c>
      <c r="BE2183" t="s">
        <v>393</v>
      </c>
      <c r="BF2183">
        <v>32034</v>
      </c>
      <c r="BG2183" t="s">
        <v>21040</v>
      </c>
      <c r="BH2183" t="s">
        <v>11751</v>
      </c>
      <c r="BI2183">
        <v>-81.457019948899003</v>
      </c>
      <c r="BJ2183">
        <v>30.6752351045916</v>
      </c>
      <c r="BK2183" t="s">
        <v>21041</v>
      </c>
      <c r="BM2183" t="s">
        <v>21042</v>
      </c>
      <c r="BN2183" t="s">
        <v>21043</v>
      </c>
      <c r="BO2183">
        <v>10456</v>
      </c>
      <c r="BP2183" t="s">
        <v>404</v>
      </c>
      <c r="BQ2183">
        <v>100</v>
      </c>
      <c r="BR2183" t="s">
        <v>514</v>
      </c>
      <c r="BS2183">
        <v>1001</v>
      </c>
      <c r="BT2183" t="s">
        <v>515</v>
      </c>
      <c r="BU2183">
        <v>500</v>
      </c>
      <c r="BV2183">
        <v>1000</v>
      </c>
      <c r="BW2183">
        <v>5139</v>
      </c>
      <c r="BX2183" t="s">
        <v>407</v>
      </c>
      <c r="BY2183" t="s">
        <v>18253</v>
      </c>
      <c r="BZ2183">
        <v>4</v>
      </c>
      <c r="CA2183">
        <v>1900</v>
      </c>
      <c r="CB2183">
        <v>1</v>
      </c>
      <c r="CC2183">
        <v>1</v>
      </c>
      <c r="CD2183">
        <v>2017</v>
      </c>
      <c r="CE2183">
        <v>27500</v>
      </c>
      <c r="CF2183">
        <v>7612</v>
      </c>
      <c r="CG2183">
        <v>35112</v>
      </c>
      <c r="CH2183">
        <v>2017</v>
      </c>
      <c r="CI2183">
        <v>27500</v>
      </c>
      <c r="CJ2183">
        <v>7612</v>
      </c>
      <c r="CK2183">
        <v>35112</v>
      </c>
      <c r="CL2183">
        <v>2017</v>
      </c>
      <c r="CM2183">
        <v>626.48</v>
      </c>
      <c r="CN2183" s="1">
        <v>41751</v>
      </c>
      <c r="CV2183">
        <v>0</v>
      </c>
      <c r="CZ2183" s="1">
        <v>41751</v>
      </c>
      <c r="DA2183">
        <v>0</v>
      </c>
      <c r="DD2183" t="s">
        <v>11749</v>
      </c>
      <c r="DF2183">
        <v>3</v>
      </c>
      <c r="DG2183">
        <v>21</v>
      </c>
      <c r="DL2183">
        <v>50102</v>
      </c>
      <c r="DM2183" t="s">
        <v>20609</v>
      </c>
      <c r="DO2183" t="s">
        <v>21044</v>
      </c>
      <c r="DP2183">
        <v>0</v>
      </c>
      <c r="DQ2183">
        <v>0</v>
      </c>
      <c r="DR2183" t="s">
        <v>411</v>
      </c>
      <c r="DS2183" t="b">
        <v>1</v>
      </c>
      <c r="DT2183" t="s">
        <v>470</v>
      </c>
      <c r="DU2183" t="s">
        <v>471</v>
      </c>
      <c r="DV2183" t="s">
        <v>472</v>
      </c>
      <c r="DX2183">
        <v>-9999</v>
      </c>
      <c r="DZ2183" t="s">
        <v>447</v>
      </c>
      <c r="EA2183" t="s">
        <v>448</v>
      </c>
      <c r="EB2183" t="s">
        <v>14787</v>
      </c>
      <c r="EC2183">
        <v>20101217</v>
      </c>
      <c r="ED2183" t="s">
        <v>474</v>
      </c>
      <c r="EF2183">
        <v>184.7</v>
      </c>
      <c r="EG2183">
        <v>175.4</v>
      </c>
      <c r="EI2183">
        <v>20160407</v>
      </c>
      <c r="EJ2183">
        <v>0</v>
      </c>
      <c r="EK2183">
        <v>0</v>
      </c>
      <c r="EP2183" t="s">
        <v>421</v>
      </c>
      <c r="EQ2183" t="s">
        <v>422</v>
      </c>
      <c r="ER2183">
        <v>0</v>
      </c>
      <c r="ES2183">
        <v>7</v>
      </c>
      <c r="ET2183">
        <v>0</v>
      </c>
      <c r="EU2183">
        <v>0</v>
      </c>
      <c r="EV2183">
        <v>0</v>
      </c>
      <c r="EW2183" s="2">
        <v>43222</v>
      </c>
      <c r="EX2183" s="1">
        <v>42879</v>
      </c>
      <c r="EY2183">
        <v>2016</v>
      </c>
      <c r="EZ2183">
        <v>616.46</v>
      </c>
      <c r="FA2183" t="s">
        <v>21045</v>
      </c>
      <c r="FB2183">
        <v>4.75</v>
      </c>
      <c r="FC2183" t="s">
        <v>424</v>
      </c>
      <c r="FD2183" t="s">
        <v>425</v>
      </c>
      <c r="FE2183" s="1">
        <v>42893</v>
      </c>
      <c r="FF2183">
        <v>1</v>
      </c>
      <c r="FG2183">
        <v>7336669</v>
      </c>
      <c r="FH2183" t="s">
        <v>2230</v>
      </c>
      <c r="FJ2183" s="1">
        <v>42515</v>
      </c>
      <c r="FK2183">
        <v>2015</v>
      </c>
      <c r="FL2183">
        <v>619</v>
      </c>
      <c r="FM2183" t="s">
        <v>21046</v>
      </c>
      <c r="FN2183">
        <v>9.75</v>
      </c>
      <c r="FO2183" t="s">
        <v>424</v>
      </c>
      <c r="FP2183" t="s">
        <v>425</v>
      </c>
      <c r="FQ2183" s="1">
        <v>42885</v>
      </c>
      <c r="FR2183">
        <v>12</v>
      </c>
      <c r="FS2183">
        <v>7336669</v>
      </c>
      <c r="FT2183" t="s">
        <v>2230</v>
      </c>
      <c r="FV2183" s="1">
        <v>42151</v>
      </c>
      <c r="FW2183">
        <v>2014</v>
      </c>
      <c r="FX2183">
        <v>607.82000000000005</v>
      </c>
      <c r="FY2183" t="s">
        <v>21047</v>
      </c>
      <c r="FZ2183">
        <v>15.5</v>
      </c>
      <c r="GA2183" t="s">
        <v>424</v>
      </c>
      <c r="GB2183" t="s">
        <v>425</v>
      </c>
      <c r="GC2183" s="1">
        <v>42222</v>
      </c>
      <c r="GD2183">
        <v>3</v>
      </c>
      <c r="GE2183">
        <v>10628</v>
      </c>
      <c r="GF2183" t="s">
        <v>943</v>
      </c>
      <c r="GH2183" s="1">
        <v>41787</v>
      </c>
      <c r="GI2183">
        <v>2013</v>
      </c>
      <c r="GJ2183">
        <v>551.20000000000005</v>
      </c>
      <c r="GK2183" t="s">
        <v>21048</v>
      </c>
      <c r="GL2183">
        <v>2.25</v>
      </c>
      <c r="GM2183" t="s">
        <v>424</v>
      </c>
      <c r="GN2183" t="s">
        <v>425</v>
      </c>
      <c r="GO2183" s="1">
        <v>42054</v>
      </c>
      <c r="GP2183">
        <v>9</v>
      </c>
      <c r="GQ2183">
        <v>10125</v>
      </c>
      <c r="GR2183" t="s">
        <v>440</v>
      </c>
      <c r="GT2183" s="1">
        <v>41423</v>
      </c>
      <c r="GU2183">
        <v>2012</v>
      </c>
      <c r="GV2183">
        <v>704.05</v>
      </c>
      <c r="GW2183" t="s">
        <v>21049</v>
      </c>
      <c r="GX2183">
        <v>0.25</v>
      </c>
      <c r="GY2183" t="s">
        <v>424</v>
      </c>
      <c r="GZ2183" t="s">
        <v>425</v>
      </c>
      <c r="HA2183" s="1">
        <v>42054</v>
      </c>
      <c r="HB2183">
        <v>21</v>
      </c>
      <c r="HC2183">
        <v>10125</v>
      </c>
      <c r="HD2183" t="s">
        <v>440</v>
      </c>
      <c r="HF2183" s="1">
        <v>41052</v>
      </c>
      <c r="HG2183">
        <v>2011</v>
      </c>
      <c r="HH2183">
        <v>703.62</v>
      </c>
      <c r="HI2183" t="s">
        <v>21050</v>
      </c>
      <c r="HJ2183">
        <v>5</v>
      </c>
      <c r="HK2183" t="s">
        <v>424</v>
      </c>
      <c r="HL2183" t="s">
        <v>425</v>
      </c>
      <c r="HM2183" s="1">
        <v>41695</v>
      </c>
      <c r="HN2183">
        <v>21</v>
      </c>
      <c r="HO2183">
        <v>10125</v>
      </c>
      <c r="HP2183" t="s">
        <v>440</v>
      </c>
      <c r="HR2183" s="1">
        <v>40688</v>
      </c>
      <c r="HS2183">
        <v>2010</v>
      </c>
      <c r="HT2183">
        <v>712.68</v>
      </c>
      <c r="HU2183" t="s">
        <v>21051</v>
      </c>
      <c r="HV2183">
        <v>6</v>
      </c>
      <c r="HW2183" t="s">
        <v>424</v>
      </c>
      <c r="HX2183" t="s">
        <v>425</v>
      </c>
      <c r="HY2183" s="1">
        <v>41331</v>
      </c>
      <c r="HZ2183">
        <v>21</v>
      </c>
      <c r="IA2183">
        <v>10579</v>
      </c>
      <c r="IB2183" t="s">
        <v>488</v>
      </c>
    </row>
    <row r="2184" spans="1:272" x14ac:dyDescent="0.25">
      <c r="A2184">
        <v>16487191</v>
      </c>
      <c r="B2184">
        <v>2183</v>
      </c>
      <c r="C2184" t="s">
        <v>393</v>
      </c>
      <c r="D2184" t="s">
        <v>394</v>
      </c>
      <c r="F2184" t="str">
        <f>"00-00-31-1800-0077-0071"</f>
        <v>00-00-31-1800-0077-0071</v>
      </c>
      <c r="H2184" t="str">
        <f>"TIFTON NASSAU LLC"</f>
        <v>TIFTON NASSAU LLC</v>
      </c>
      <c r="I2184" t="str">
        <f>"PO BOX 15163"</f>
        <v>PO BOX 15163</v>
      </c>
      <c r="J2184" t="str">
        <f>"FERNANDINA BEACH FL 32035"</f>
        <v>FERNANDINA BEACH FL 32035</v>
      </c>
      <c r="K2184" t="str">
        <f>"N 10TH ST"</f>
        <v>N 10TH ST</v>
      </c>
      <c r="L2184" t="str">
        <f t="shared" si="807"/>
        <v>FERNANDINA BEACH FL 32034</v>
      </c>
      <c r="M2184" t="str">
        <f>"BLOCK 77 N1/2 OF LOT 7 PT OR 1751/1277 CITY OF FDNA BEACH"</f>
        <v>BLOCK 77 N1/2 OF LOT 7 PT OR 1751/1277 CITY OF FDNA BEACH</v>
      </c>
      <c r="N2184" t="str">
        <f>""</f>
        <v/>
      </c>
      <c r="O2184" t="str">
        <f>"11772"</f>
        <v>11772</v>
      </c>
      <c r="P2184" t="str">
        <f t="shared" si="821"/>
        <v>2017</v>
      </c>
      <c r="Q2184" t="str">
        <f>""</f>
        <v/>
      </c>
      <c r="R2184" t="str">
        <f t="shared" si="815"/>
        <v>N</v>
      </c>
      <c r="S2184" t="str">
        <f>""</f>
        <v/>
      </c>
      <c r="T2184" t="str">
        <f>"118.70"</f>
        <v>118.70</v>
      </c>
      <c r="U2184" t="str">
        <f>"5500.00"</f>
        <v>5500.00</v>
      </c>
      <c r="V2184" t="str">
        <f>"5500.00"</f>
        <v>5500.00</v>
      </c>
      <c r="W2184" t="str">
        <f t="shared" si="822"/>
        <v>2017</v>
      </c>
      <c r="X2184" t="str">
        <f>"6.75"</f>
        <v>6.75</v>
      </c>
      <c r="Y2184" t="str">
        <f>"154.26"</f>
        <v>154.26</v>
      </c>
      <c r="Z2184" t="str">
        <f>""</f>
        <v/>
      </c>
      <c r="AA2184" t="str">
        <f>"6875.00"</f>
        <v>6875.00</v>
      </c>
      <c r="AB2184" t="str">
        <f t="shared" si="819"/>
        <v>Residential</v>
      </c>
      <c r="AC2184" t="str">
        <f t="shared" si="809"/>
        <v>0</v>
      </c>
      <c r="AD2184" t="str">
        <f>""</f>
        <v/>
      </c>
      <c r="AE2184" t="str">
        <f>""</f>
        <v/>
      </c>
      <c r="AF2184" t="str">
        <f>"000"</f>
        <v>000</v>
      </c>
      <c r="AG2184" t="str">
        <f>"FL"</f>
        <v>FL</v>
      </c>
      <c r="AH2184" t="str">
        <f>"5000.00"</f>
        <v>5000.00</v>
      </c>
      <c r="AI2184" t="str">
        <f>"6875.00"</f>
        <v>6875.00</v>
      </c>
      <c r="AJ2184" t="str">
        <f>"C55-000-585-9214-8"</f>
        <v>C55-000-585-9214-8</v>
      </c>
      <c r="AK2184" t="str">
        <f>"48744"</f>
        <v>48744</v>
      </c>
      <c r="AL2184">
        <v>8</v>
      </c>
      <c r="AM2184">
        <v>2492</v>
      </c>
      <c r="AN2184">
        <v>160.37</v>
      </c>
      <c r="AQ2184" t="s">
        <v>21052</v>
      </c>
      <c r="AR2184" t="s">
        <v>21052</v>
      </c>
      <c r="AS2184" t="s">
        <v>21052</v>
      </c>
      <c r="AU2184" t="s">
        <v>396</v>
      </c>
      <c r="AV2184">
        <v>2017</v>
      </c>
      <c r="AW2184" t="str">
        <f>"00-00-31-1800-0077-0071 "</f>
        <v xml:space="preserve">00-00-31-1800-0077-0071 </v>
      </c>
      <c r="AY2184" t="s">
        <v>404</v>
      </c>
      <c r="AZ2184" t="s">
        <v>5188</v>
      </c>
      <c r="BA2184" t="s">
        <v>1942</v>
      </c>
      <c r="BD2184" t="s">
        <v>11749</v>
      </c>
      <c r="BE2184" t="s">
        <v>393</v>
      </c>
      <c r="BF2184">
        <v>32034</v>
      </c>
      <c r="BG2184" t="s">
        <v>20845</v>
      </c>
      <c r="BH2184" t="s">
        <v>11751</v>
      </c>
      <c r="BI2184">
        <v>-81.456748027682806</v>
      </c>
      <c r="BJ2184">
        <v>30.674923710771299</v>
      </c>
      <c r="BK2184" t="s">
        <v>21053</v>
      </c>
      <c r="BM2184" t="s">
        <v>21054</v>
      </c>
      <c r="BN2184" t="s">
        <v>3983</v>
      </c>
      <c r="BO2184">
        <v>32035</v>
      </c>
      <c r="BP2184" t="s">
        <v>404</v>
      </c>
      <c r="BQ2184">
        <v>0</v>
      </c>
      <c r="BR2184" t="s">
        <v>491</v>
      </c>
      <c r="BS2184">
        <v>8001</v>
      </c>
      <c r="BT2184" t="s">
        <v>492</v>
      </c>
      <c r="BU2184">
        <v>500</v>
      </c>
      <c r="BV2184">
        <v>1000</v>
      </c>
      <c r="BW2184">
        <v>5001</v>
      </c>
      <c r="BX2184" t="s">
        <v>407</v>
      </c>
      <c r="BY2184" t="s">
        <v>18253</v>
      </c>
      <c r="CD2184">
        <v>2017</v>
      </c>
      <c r="CE2184">
        <v>6875</v>
      </c>
      <c r="CG2184">
        <v>6875</v>
      </c>
      <c r="CH2184">
        <v>2017</v>
      </c>
      <c r="CI2184">
        <v>6875</v>
      </c>
      <c r="CK2184">
        <v>6875</v>
      </c>
      <c r="CL2184">
        <v>2017</v>
      </c>
      <c r="CM2184">
        <v>118.7</v>
      </c>
      <c r="CN2184" s="1">
        <v>40798</v>
      </c>
      <c r="CO2184">
        <v>1000</v>
      </c>
      <c r="CV2184">
        <v>0</v>
      </c>
      <c r="CZ2184" s="1">
        <v>40798</v>
      </c>
      <c r="DA2184">
        <v>0</v>
      </c>
      <c r="DD2184" t="s">
        <v>11749</v>
      </c>
      <c r="DF2184">
        <v>7</v>
      </c>
      <c r="DG2184">
        <v>21</v>
      </c>
      <c r="DL2184">
        <v>50102</v>
      </c>
      <c r="DM2184" t="s">
        <v>20609</v>
      </c>
      <c r="DO2184" t="s">
        <v>21055</v>
      </c>
      <c r="DP2184">
        <v>0</v>
      </c>
      <c r="DQ2184">
        <v>0</v>
      </c>
      <c r="DR2184" t="s">
        <v>411</v>
      </c>
      <c r="DS2184" t="b">
        <v>1</v>
      </c>
      <c r="DT2184" t="s">
        <v>470</v>
      </c>
      <c r="DU2184" t="s">
        <v>471</v>
      </c>
      <c r="DV2184" t="s">
        <v>472</v>
      </c>
      <c r="DX2184">
        <v>-9999</v>
      </c>
      <c r="DZ2184" t="s">
        <v>447</v>
      </c>
      <c r="EA2184" t="s">
        <v>448</v>
      </c>
      <c r="EB2184" t="s">
        <v>14787</v>
      </c>
      <c r="EC2184">
        <v>20101217</v>
      </c>
      <c r="ED2184" t="s">
        <v>474</v>
      </c>
      <c r="EF2184">
        <v>133.4</v>
      </c>
      <c r="EG2184">
        <v>116.9</v>
      </c>
      <c r="EI2184">
        <v>20160407</v>
      </c>
      <c r="EJ2184">
        <v>0</v>
      </c>
      <c r="EK2184">
        <v>0</v>
      </c>
      <c r="EP2184" t="s">
        <v>421</v>
      </c>
      <c r="EQ2184" t="s">
        <v>422</v>
      </c>
      <c r="ER2184">
        <v>0</v>
      </c>
      <c r="ES2184">
        <v>1</v>
      </c>
      <c r="ET2184">
        <v>0</v>
      </c>
      <c r="EU2184">
        <v>0</v>
      </c>
      <c r="EV2184">
        <v>0</v>
      </c>
      <c r="EW2184" s="2">
        <v>43222</v>
      </c>
      <c r="EX2184" s="1">
        <v>40688</v>
      </c>
      <c r="EY2184">
        <v>2010</v>
      </c>
      <c r="EZ2184">
        <v>115.17</v>
      </c>
      <c r="FA2184" t="s">
        <v>21056</v>
      </c>
      <c r="FB2184">
        <v>10</v>
      </c>
      <c r="FC2184" t="s">
        <v>424</v>
      </c>
      <c r="FD2184" t="s">
        <v>425</v>
      </c>
      <c r="FE2184" s="1">
        <v>40738</v>
      </c>
      <c r="FF2184">
        <v>2</v>
      </c>
      <c r="FG2184">
        <v>10486</v>
      </c>
      <c r="FH2184" t="s">
        <v>6351</v>
      </c>
    </row>
    <row r="2185" spans="1:272" x14ac:dyDescent="0.25">
      <c r="A2185">
        <v>16487192</v>
      </c>
      <c r="B2185">
        <v>2184</v>
      </c>
      <c r="C2185" t="s">
        <v>393</v>
      </c>
      <c r="D2185" t="s">
        <v>394</v>
      </c>
      <c r="F2185" t="str">
        <f>"00-00-31-1800-0078-0020"</f>
        <v>00-00-31-1800-0078-0020</v>
      </c>
      <c r="H2185" t="str">
        <f>"SWANN S A EST C/O MRS E C OCONNOR"</f>
        <v>SWANN S A EST C/O MRS E C OCONNOR</v>
      </c>
      <c r="I2185" t="str">
        <f>"36 LYMAN RD"</f>
        <v>36 LYMAN RD</v>
      </c>
      <c r="J2185" t="str">
        <f>"NORTHAMPTON MA 01060"</f>
        <v>NORTHAMPTON MA 01060</v>
      </c>
      <c r="K2185" t="str">
        <f>"N 10TH ST"</f>
        <v>N 10TH ST</v>
      </c>
      <c r="L2185" t="str">
        <f t="shared" si="807"/>
        <v>FERNANDINA BEACH FL 32034</v>
      </c>
      <c r="M2185" t="str">
        <f>"BLOCK 78 LOTS 2 3 6 CITY OF FDNA BEACH"</f>
        <v>BLOCK 78 LOTS 2 3 6 CITY OF FDNA BEACH</v>
      </c>
      <c r="N2185" t="str">
        <f>""</f>
        <v/>
      </c>
      <c r="O2185" t="str">
        <f>"11777"</f>
        <v>11777</v>
      </c>
      <c r="P2185" t="str">
        <f t="shared" si="821"/>
        <v>2017</v>
      </c>
      <c r="Q2185" t="str">
        <f>""</f>
        <v/>
      </c>
      <c r="R2185" t="str">
        <f t="shared" si="815"/>
        <v>N</v>
      </c>
      <c r="S2185" t="str">
        <f>""</f>
        <v/>
      </c>
      <c r="T2185" t="str">
        <f>"670.15"</f>
        <v>670.15</v>
      </c>
      <c r="U2185" t="str">
        <f>"31075.00"</f>
        <v>31075.00</v>
      </c>
      <c r="V2185" t="str">
        <f>"31075.00"</f>
        <v>31075.00</v>
      </c>
      <c r="W2185" t="str">
        <f t="shared" si="822"/>
        <v>2017</v>
      </c>
      <c r="X2185" t="str">
        <f>""</f>
        <v/>
      </c>
      <c r="Y2185" t="str">
        <f>"722.25"</f>
        <v>722.25</v>
      </c>
      <c r="Z2185" t="str">
        <f>""</f>
        <v/>
      </c>
      <c r="AA2185" t="str">
        <f>"38775.00"</f>
        <v>38775.00</v>
      </c>
      <c r="AB2185" t="str">
        <f t="shared" si="819"/>
        <v>Residential</v>
      </c>
      <c r="AC2185" t="str">
        <f t="shared" si="809"/>
        <v>0</v>
      </c>
      <c r="AD2185" t="str">
        <f>""</f>
        <v/>
      </c>
      <c r="AE2185" t="str">
        <f>""</f>
        <v/>
      </c>
      <c r="AF2185" t="str">
        <f>"000"</f>
        <v>000</v>
      </c>
      <c r="AG2185" t="str">
        <f>"MA"</f>
        <v>MA</v>
      </c>
      <c r="AH2185" t="str">
        <f>"20000.00"</f>
        <v>20000.00</v>
      </c>
      <c r="AI2185" t="str">
        <f>"38775.00"</f>
        <v>38775.00</v>
      </c>
      <c r="AJ2185" t="str">
        <f>"C55-000-585-9219-7"</f>
        <v>C55-000-585-9219-7</v>
      </c>
      <c r="AK2185" t="str">
        <f>"48749"</f>
        <v>48749</v>
      </c>
      <c r="AL2185">
        <v>8</v>
      </c>
      <c r="AM2185">
        <v>2493</v>
      </c>
      <c r="AN2185">
        <v>756.76</v>
      </c>
      <c r="AQ2185" t="s">
        <v>21057</v>
      </c>
      <c r="AR2185" t="s">
        <v>21057</v>
      </c>
      <c r="AS2185" t="s">
        <v>21057</v>
      </c>
      <c r="AU2185" t="s">
        <v>396</v>
      </c>
      <c r="AV2185">
        <v>2017</v>
      </c>
      <c r="AW2185" t="str">
        <f>"00-00-31-1800-0078-0020 "</f>
        <v xml:space="preserve">00-00-31-1800-0078-0020 </v>
      </c>
      <c r="AY2185" t="s">
        <v>404</v>
      </c>
      <c r="AZ2185" t="s">
        <v>5188</v>
      </c>
      <c r="BA2185" t="s">
        <v>1942</v>
      </c>
      <c r="BD2185" t="s">
        <v>11749</v>
      </c>
      <c r="BE2185" t="s">
        <v>393</v>
      </c>
      <c r="BF2185">
        <v>32034</v>
      </c>
      <c r="BG2185" t="s">
        <v>20845</v>
      </c>
      <c r="BH2185" t="s">
        <v>11751</v>
      </c>
      <c r="BI2185">
        <v>-81.457136754068003</v>
      </c>
      <c r="BJ2185">
        <v>30.673816186162501</v>
      </c>
      <c r="BK2185" t="s">
        <v>18241</v>
      </c>
      <c r="BM2185" t="s">
        <v>18242</v>
      </c>
      <c r="BN2185" t="s">
        <v>18243</v>
      </c>
      <c r="BO2185">
        <v>1060</v>
      </c>
      <c r="BP2185" t="s">
        <v>404</v>
      </c>
      <c r="BQ2185">
        <v>0</v>
      </c>
      <c r="BR2185" t="s">
        <v>491</v>
      </c>
      <c r="BS2185">
        <v>8001</v>
      </c>
      <c r="BT2185" t="s">
        <v>492</v>
      </c>
      <c r="BW2185">
        <v>29999</v>
      </c>
      <c r="BX2185" t="s">
        <v>407</v>
      </c>
      <c r="BY2185" t="s">
        <v>18253</v>
      </c>
      <c r="CD2185">
        <v>2017</v>
      </c>
      <c r="CE2185">
        <v>38775</v>
      </c>
      <c r="CG2185">
        <v>38775</v>
      </c>
      <c r="CH2185">
        <v>2017</v>
      </c>
      <c r="CI2185">
        <v>38775</v>
      </c>
      <c r="CK2185">
        <v>38775</v>
      </c>
      <c r="CL2185">
        <v>2017</v>
      </c>
      <c r="CM2185">
        <v>670.15</v>
      </c>
      <c r="DD2185" t="s">
        <v>11749</v>
      </c>
      <c r="DG2185">
        <v>21</v>
      </c>
      <c r="DJ2185" t="s">
        <v>20634</v>
      </c>
      <c r="DL2185">
        <v>50102</v>
      </c>
      <c r="DM2185" t="s">
        <v>20609</v>
      </c>
      <c r="DO2185" t="s">
        <v>21058</v>
      </c>
      <c r="DP2185">
        <v>0</v>
      </c>
      <c r="DQ2185">
        <v>0</v>
      </c>
      <c r="DR2185" t="s">
        <v>411</v>
      </c>
      <c r="EP2185" t="s">
        <v>421</v>
      </c>
      <c r="EQ2185" t="s">
        <v>422</v>
      </c>
      <c r="ER2185">
        <v>1</v>
      </c>
      <c r="ES2185">
        <v>0</v>
      </c>
      <c r="ET2185">
        <v>645.58000000000004</v>
      </c>
      <c r="EU2185">
        <v>38.53</v>
      </c>
      <c r="EV2185">
        <v>684.11</v>
      </c>
      <c r="EW2185" s="2">
        <v>43222</v>
      </c>
      <c r="EX2185" s="1">
        <v>42879</v>
      </c>
      <c r="EY2185">
        <v>2016</v>
      </c>
      <c r="EZ2185">
        <v>645.58000000000004</v>
      </c>
      <c r="FA2185" t="s">
        <v>21059</v>
      </c>
      <c r="FB2185">
        <v>0.25</v>
      </c>
      <c r="FC2185" t="s">
        <v>424</v>
      </c>
      <c r="FD2185" t="s">
        <v>454</v>
      </c>
      <c r="FF2185">
        <v>12</v>
      </c>
      <c r="FG2185">
        <v>7045081</v>
      </c>
      <c r="FH2185" t="s">
        <v>4351</v>
      </c>
    </row>
    <row r="2186" spans="1:272" x14ac:dyDescent="0.25">
      <c r="A2186">
        <v>16487193</v>
      </c>
      <c r="B2186">
        <v>2185</v>
      </c>
      <c r="C2186" t="s">
        <v>393</v>
      </c>
      <c r="D2186" t="s">
        <v>394</v>
      </c>
      <c r="F2186" t="str">
        <f>"00-00-31-1800-0081-0030"</f>
        <v>00-00-31-1800-0081-0030</v>
      </c>
      <c r="H2186" t="str">
        <f>"DAVIS JOHN L EST C/O LAURINE MURRAY DAVIS"</f>
        <v>DAVIS JOHN L EST C/O LAURINE MURRAY DAVIS</v>
      </c>
      <c r="I2186" t="str">
        <f>"222 N 10TH ST"</f>
        <v>222 N 10TH ST</v>
      </c>
      <c r="J2186" t="str">
        <f t="shared" ref="J2186:J2192" si="823">"FERNANDINA BEACH FL 32034"</f>
        <v>FERNANDINA BEACH FL 32034</v>
      </c>
      <c r="K2186" t="str">
        <f>"222 10TH ST N"</f>
        <v>222 10TH ST N</v>
      </c>
      <c r="L2186" t="str">
        <f t="shared" si="807"/>
        <v>FERNANDINA BEACH FL 32034</v>
      </c>
      <c r="M2186" t="str">
        <f>"BLOCK 81 LOT 3 OR 130/615 CITY OF FDNA BEACH"</f>
        <v>BLOCK 81 LOT 3 OR 130/615 CITY OF FDNA BEACH</v>
      </c>
      <c r="N2186" t="str">
        <f>""</f>
        <v/>
      </c>
      <c r="O2186" t="str">
        <f>"11815"</f>
        <v>11815</v>
      </c>
      <c r="P2186" t="str">
        <f t="shared" si="821"/>
        <v>2017</v>
      </c>
      <c r="Q2186" t="str">
        <f>""</f>
        <v/>
      </c>
      <c r="R2186" t="str">
        <f>"Y"</f>
        <v>Y</v>
      </c>
      <c r="S2186" t="str">
        <f>""</f>
        <v/>
      </c>
      <c r="T2186" t="str">
        <f>"994.14"</f>
        <v>994.14</v>
      </c>
      <c r="U2186" t="str">
        <f>"92104.00"</f>
        <v>92104.00</v>
      </c>
      <c r="V2186" t="str">
        <f>"92104.00"</f>
        <v>92104.00</v>
      </c>
      <c r="W2186" t="str">
        <f t="shared" si="822"/>
        <v>2017</v>
      </c>
      <c r="X2186" t="str">
        <f>"11.00"</f>
        <v>11.00</v>
      </c>
      <c r="Y2186" t="str">
        <f>"1055.96"</f>
        <v>1055.96</v>
      </c>
      <c r="Z2186" t="str">
        <f>"25500.00"</f>
        <v>25500.00</v>
      </c>
      <c r="AA2186" t="str">
        <f>"66604.00"</f>
        <v>66604.00</v>
      </c>
      <c r="AB2186" t="str">
        <f t="shared" si="819"/>
        <v>Residential</v>
      </c>
      <c r="AC2186" t="str">
        <f t="shared" si="809"/>
        <v>0</v>
      </c>
      <c r="AD2186" t="str">
        <f>"3"</f>
        <v>3</v>
      </c>
      <c r="AE2186" t="str">
        <f>"MASONRY"</f>
        <v>MASONRY</v>
      </c>
      <c r="AF2186" t="str">
        <f>"001"</f>
        <v>001</v>
      </c>
      <c r="AG2186" t="str">
        <f t="shared" ref="AG2186:AG2192" si="824">"FL"</f>
        <v>FL</v>
      </c>
      <c r="AH2186" t="str">
        <f>"10000.00"</f>
        <v>10000.00</v>
      </c>
      <c r="AI2186" t="str">
        <f>"46750.00"</f>
        <v>46750.00</v>
      </c>
      <c r="AJ2186" t="str">
        <f>"C55-000-585-9256-9"</f>
        <v>C55-000-585-9256-9</v>
      </c>
      <c r="AK2186" t="str">
        <f>"48787"</f>
        <v>48787</v>
      </c>
      <c r="AL2186">
        <v>8</v>
      </c>
      <c r="AM2186">
        <v>2495</v>
      </c>
      <c r="AN2186">
        <v>1107.1600000000001</v>
      </c>
      <c r="AQ2186" t="s">
        <v>21060</v>
      </c>
      <c r="AR2186" t="s">
        <v>21060</v>
      </c>
      <c r="AS2186" t="s">
        <v>21060</v>
      </c>
      <c r="AU2186" t="s">
        <v>396</v>
      </c>
      <c r="AV2186">
        <v>2017</v>
      </c>
      <c r="AW2186" t="str">
        <f>"00-00-31-1800-0081-0030 "</f>
        <v xml:space="preserve">00-00-31-1800-0081-0030 </v>
      </c>
      <c r="AX2186">
        <v>222</v>
      </c>
      <c r="AZ2186" t="s">
        <v>5188</v>
      </c>
      <c r="BA2186" t="s">
        <v>1942</v>
      </c>
      <c r="BB2186" t="s">
        <v>404</v>
      </c>
      <c r="BD2186" t="s">
        <v>11749</v>
      </c>
      <c r="BE2186" t="s">
        <v>393</v>
      </c>
      <c r="BF2186">
        <v>32034</v>
      </c>
      <c r="BG2186" t="s">
        <v>21061</v>
      </c>
      <c r="BH2186" t="s">
        <v>11751</v>
      </c>
      <c r="BI2186">
        <v>-81.4564157937142</v>
      </c>
      <c r="BJ2186">
        <v>30.673823855126901</v>
      </c>
      <c r="BK2186" t="s">
        <v>21062</v>
      </c>
      <c r="BL2186" t="s">
        <v>21063</v>
      </c>
      <c r="BM2186" t="s">
        <v>21064</v>
      </c>
      <c r="BN2186" t="s">
        <v>3983</v>
      </c>
      <c r="BO2186">
        <v>32034</v>
      </c>
      <c r="BP2186" t="s">
        <v>416</v>
      </c>
      <c r="BQ2186">
        <v>100</v>
      </c>
      <c r="BR2186" t="s">
        <v>514</v>
      </c>
      <c r="BS2186">
        <v>1001</v>
      </c>
      <c r="BT2186" t="s">
        <v>515</v>
      </c>
      <c r="BU2186">
        <v>1000</v>
      </c>
      <c r="BV2186">
        <v>1000</v>
      </c>
      <c r="BW2186">
        <v>9507</v>
      </c>
      <c r="BX2186" t="s">
        <v>407</v>
      </c>
      <c r="BY2186" t="s">
        <v>18253</v>
      </c>
      <c r="BZ2186">
        <v>3</v>
      </c>
      <c r="CA2186">
        <v>1973</v>
      </c>
      <c r="CB2186">
        <v>1</v>
      </c>
      <c r="CC2186">
        <v>1</v>
      </c>
      <c r="CD2186">
        <v>2017</v>
      </c>
      <c r="CG2186">
        <v>92104</v>
      </c>
      <c r="CH2186">
        <v>2017</v>
      </c>
      <c r="CI2186">
        <v>46750</v>
      </c>
      <c r="CJ2186">
        <v>106009</v>
      </c>
      <c r="CK2186">
        <v>152759</v>
      </c>
      <c r="CL2186">
        <v>2017</v>
      </c>
      <c r="CM2186">
        <v>994.14</v>
      </c>
      <c r="CN2186" s="1">
        <v>26299</v>
      </c>
      <c r="CO2186">
        <v>800</v>
      </c>
      <c r="CZ2186" s="1">
        <v>26299</v>
      </c>
      <c r="DD2186" t="s">
        <v>11749</v>
      </c>
      <c r="DF2186">
        <v>3</v>
      </c>
      <c r="DG2186">
        <v>21</v>
      </c>
      <c r="DL2186">
        <v>50102</v>
      </c>
      <c r="DM2186" t="s">
        <v>20609</v>
      </c>
      <c r="DO2186" t="s">
        <v>21065</v>
      </c>
      <c r="DP2186">
        <v>0</v>
      </c>
      <c r="DQ2186">
        <v>0</v>
      </c>
      <c r="DR2186" t="s">
        <v>411</v>
      </c>
      <c r="DS2186" t="b">
        <v>1</v>
      </c>
      <c r="DT2186" t="s">
        <v>470</v>
      </c>
      <c r="DU2186" t="s">
        <v>471</v>
      </c>
      <c r="DV2186" t="s">
        <v>472</v>
      </c>
      <c r="DX2186">
        <v>-9999</v>
      </c>
      <c r="DZ2186" t="s">
        <v>447</v>
      </c>
      <c r="EA2186" t="s">
        <v>448</v>
      </c>
      <c r="EB2186" t="s">
        <v>14787</v>
      </c>
      <c r="EC2186">
        <v>20101217</v>
      </c>
      <c r="ED2186" t="s">
        <v>474</v>
      </c>
      <c r="EF2186">
        <v>203.6</v>
      </c>
      <c r="EG2186">
        <v>167.2</v>
      </c>
      <c r="EI2186">
        <v>20160407</v>
      </c>
      <c r="EJ2186">
        <v>0</v>
      </c>
      <c r="EK2186">
        <v>0</v>
      </c>
      <c r="EP2186" t="s">
        <v>421</v>
      </c>
      <c r="EQ2186" t="s">
        <v>422</v>
      </c>
      <c r="ER2186">
        <v>2</v>
      </c>
      <c r="ES2186">
        <v>3</v>
      </c>
      <c r="ET2186">
        <v>2160.44</v>
      </c>
      <c r="EU2186">
        <v>120.52</v>
      </c>
      <c r="EV2186">
        <v>2280.96</v>
      </c>
      <c r="EW2186" s="2">
        <v>43222</v>
      </c>
      <c r="EX2186" s="1">
        <v>42879</v>
      </c>
      <c r="EY2186">
        <v>2016</v>
      </c>
      <c r="EZ2186">
        <v>1080.22</v>
      </c>
      <c r="FA2186" t="s">
        <v>21066</v>
      </c>
      <c r="FB2186">
        <v>0.25</v>
      </c>
      <c r="FC2186" t="s">
        <v>424</v>
      </c>
      <c r="FD2186" t="s">
        <v>454</v>
      </c>
      <c r="FF2186">
        <v>12</v>
      </c>
      <c r="FG2186">
        <v>5857474</v>
      </c>
      <c r="FH2186" t="s">
        <v>900</v>
      </c>
      <c r="FJ2186" s="1">
        <v>42879</v>
      </c>
      <c r="FK2186">
        <v>2016</v>
      </c>
      <c r="FL2186">
        <v>1080.22</v>
      </c>
      <c r="FM2186" t="s">
        <v>21066</v>
      </c>
      <c r="FN2186">
        <v>0.25</v>
      </c>
      <c r="FO2186" t="s">
        <v>424</v>
      </c>
      <c r="FP2186" t="s">
        <v>454</v>
      </c>
      <c r="FR2186">
        <v>12</v>
      </c>
      <c r="FS2186">
        <v>6660852</v>
      </c>
      <c r="FT2186" t="s">
        <v>21067</v>
      </c>
      <c r="FV2186" s="1">
        <v>42151</v>
      </c>
      <c r="FW2186">
        <v>2014</v>
      </c>
      <c r="FX2186">
        <v>1074.1600000000001</v>
      </c>
      <c r="FY2186" t="s">
        <v>21068</v>
      </c>
      <c r="FZ2186">
        <v>0.25</v>
      </c>
      <c r="GA2186" t="s">
        <v>424</v>
      </c>
      <c r="GB2186" t="s">
        <v>425</v>
      </c>
      <c r="GC2186" s="1">
        <v>42507</v>
      </c>
      <c r="GD2186">
        <v>12</v>
      </c>
      <c r="GE2186">
        <v>4975594</v>
      </c>
      <c r="GF2186" t="s">
        <v>457</v>
      </c>
      <c r="GH2186" s="1">
        <v>42151</v>
      </c>
      <c r="GI2186">
        <v>2014</v>
      </c>
      <c r="GJ2186">
        <v>1074.1600000000001</v>
      </c>
      <c r="GK2186" t="s">
        <v>21068</v>
      </c>
      <c r="GL2186">
        <v>0.25</v>
      </c>
      <c r="GM2186" t="s">
        <v>424</v>
      </c>
      <c r="GN2186" t="s">
        <v>425</v>
      </c>
      <c r="GP2186">
        <v>22</v>
      </c>
      <c r="GQ2186">
        <v>6206917</v>
      </c>
      <c r="GR2186" t="s">
        <v>21069</v>
      </c>
      <c r="GT2186" s="1">
        <v>40688</v>
      </c>
      <c r="GU2186">
        <v>2010</v>
      </c>
      <c r="GV2186">
        <v>874.87</v>
      </c>
      <c r="GW2186" t="s">
        <v>21070</v>
      </c>
      <c r="GX2186">
        <v>0.25</v>
      </c>
      <c r="GY2186" t="s">
        <v>424</v>
      </c>
      <c r="GZ2186" t="s">
        <v>425</v>
      </c>
      <c r="HA2186" s="1">
        <v>40994</v>
      </c>
      <c r="HB2186">
        <v>10</v>
      </c>
      <c r="HC2186">
        <v>11177</v>
      </c>
      <c r="HD2186" t="s">
        <v>650</v>
      </c>
    </row>
    <row r="2187" spans="1:272" x14ac:dyDescent="0.25">
      <c r="A2187">
        <v>16487194</v>
      </c>
      <c r="B2187">
        <v>2186</v>
      </c>
      <c r="C2187" t="s">
        <v>393</v>
      </c>
      <c r="D2187" t="s">
        <v>394</v>
      </c>
      <c r="F2187" t="str">
        <f>"00-00-31-1800-0082-0050"</f>
        <v>00-00-31-1800-0082-0050</v>
      </c>
      <c r="H2187" t="str">
        <f>"ALBERTIE GREGORY K &amp; KATHERINE"</f>
        <v>ALBERTIE GREGORY K &amp; KATHERINE</v>
      </c>
      <c r="I2187" t="str">
        <f>"319 NORTH 11TH ST"</f>
        <v>319 NORTH 11TH ST</v>
      </c>
      <c r="J2187" t="str">
        <f t="shared" si="823"/>
        <v>FERNANDINA BEACH FL 32034</v>
      </c>
      <c r="K2187" t="str">
        <f>"N 11TH ST"</f>
        <v>N 11TH ST</v>
      </c>
      <c r="L2187" t="str">
        <f t="shared" si="807"/>
        <v>FERNANDINA BEACH FL 32034</v>
      </c>
      <c r="M2187" t="str">
        <f>"BLOCK 82 LOT 5 PT OR 792/887 CITY OF FDNA BEACH"</f>
        <v>BLOCK 82 LOT 5 PT OR 792/887 CITY OF FDNA BEACH</v>
      </c>
      <c r="N2187" t="str">
        <f>""</f>
        <v/>
      </c>
      <c r="O2187" t="str">
        <f>"11827"</f>
        <v>11827</v>
      </c>
      <c r="P2187" t="str">
        <f t="shared" si="821"/>
        <v>2017</v>
      </c>
      <c r="Q2187" t="str">
        <f>""</f>
        <v/>
      </c>
      <c r="R2187" t="str">
        <f>"N"</f>
        <v>N</v>
      </c>
      <c r="S2187" t="str">
        <f>""</f>
        <v/>
      </c>
      <c r="T2187" t="str">
        <f>"94.95"</f>
        <v>94.95</v>
      </c>
      <c r="U2187" t="str">
        <f>"4400.00"</f>
        <v>4400.00</v>
      </c>
      <c r="V2187" t="str">
        <f>"4400.00"</f>
        <v>4400.00</v>
      </c>
      <c r="W2187" t="str">
        <f t="shared" si="822"/>
        <v>2017</v>
      </c>
      <c r="X2187" t="str">
        <f>"12.13"</f>
        <v>12.13</v>
      </c>
      <c r="Y2187" t="str">
        <f>"129.80"</f>
        <v>129.80</v>
      </c>
      <c r="Z2187" t="str">
        <f>""</f>
        <v/>
      </c>
      <c r="AA2187" t="str">
        <f>"5500.00"</f>
        <v>5500.00</v>
      </c>
      <c r="AB2187" t="str">
        <f t="shared" si="819"/>
        <v>Residential</v>
      </c>
      <c r="AC2187" t="str">
        <f t="shared" si="809"/>
        <v>0</v>
      </c>
      <c r="AD2187" t="str">
        <f>""</f>
        <v/>
      </c>
      <c r="AE2187" t="str">
        <f>""</f>
        <v/>
      </c>
      <c r="AF2187" t="str">
        <f>"000"</f>
        <v>000</v>
      </c>
      <c r="AG2187" t="str">
        <f t="shared" si="824"/>
        <v>FL</v>
      </c>
      <c r="AH2187" t="str">
        <f>"20000.00"</f>
        <v>20000.00</v>
      </c>
      <c r="AI2187" t="str">
        <f>"5500.00"</f>
        <v>5500.00</v>
      </c>
      <c r="AJ2187" t="str">
        <f>"C55-000-585-9268-4"</f>
        <v>C55-000-585-9268-4</v>
      </c>
      <c r="AK2187" t="str">
        <f>"48797"</f>
        <v>48797</v>
      </c>
      <c r="AL2187">
        <v>8</v>
      </c>
      <c r="AM2187">
        <v>2496</v>
      </c>
      <c r="AN2187">
        <v>134.69</v>
      </c>
      <c r="AQ2187" t="s">
        <v>21071</v>
      </c>
      <c r="AR2187" t="s">
        <v>21071</v>
      </c>
      <c r="AS2187" t="s">
        <v>21071</v>
      </c>
      <c r="AU2187" t="s">
        <v>396</v>
      </c>
      <c r="AV2187">
        <v>2017</v>
      </c>
      <c r="AW2187" t="str">
        <f>"00-00-31-1800-0082-0050 "</f>
        <v xml:space="preserve">00-00-31-1800-0082-0050 </v>
      </c>
      <c r="AY2187" t="s">
        <v>404</v>
      </c>
      <c r="AZ2187" t="s">
        <v>5153</v>
      </c>
      <c r="BA2187" t="s">
        <v>1942</v>
      </c>
      <c r="BD2187" t="s">
        <v>11749</v>
      </c>
      <c r="BE2187" t="s">
        <v>393</v>
      </c>
      <c r="BF2187">
        <v>32034</v>
      </c>
      <c r="BG2187" t="s">
        <v>21072</v>
      </c>
      <c r="BH2187" t="s">
        <v>11751</v>
      </c>
      <c r="BI2187">
        <v>-81.455874717282299</v>
      </c>
      <c r="BJ2187">
        <v>30.675305107777099</v>
      </c>
      <c r="BK2187" t="s">
        <v>21073</v>
      </c>
      <c r="BL2187" t="s">
        <v>21074</v>
      </c>
      <c r="BM2187" t="s">
        <v>21075</v>
      </c>
      <c r="BN2187" t="s">
        <v>3983</v>
      </c>
      <c r="BO2187">
        <v>32034</v>
      </c>
      <c r="BP2187" t="s">
        <v>404</v>
      </c>
      <c r="BQ2187">
        <v>0</v>
      </c>
      <c r="BR2187" t="s">
        <v>491</v>
      </c>
      <c r="BS2187">
        <v>8001</v>
      </c>
      <c r="BT2187" t="s">
        <v>492</v>
      </c>
      <c r="BU2187">
        <v>1000</v>
      </c>
      <c r="BV2187">
        <v>1000</v>
      </c>
      <c r="BW2187">
        <v>9270</v>
      </c>
      <c r="BX2187" t="s">
        <v>407</v>
      </c>
      <c r="BY2187" t="s">
        <v>18253</v>
      </c>
      <c r="CD2187">
        <v>2017</v>
      </c>
      <c r="CE2187">
        <v>5500</v>
      </c>
      <c r="CG2187">
        <v>5500</v>
      </c>
      <c r="CH2187">
        <v>2017</v>
      </c>
      <c r="CI2187">
        <v>5500</v>
      </c>
      <c r="CK2187">
        <v>5500</v>
      </c>
      <c r="CL2187">
        <v>2017</v>
      </c>
      <c r="CM2187">
        <v>94.95</v>
      </c>
      <c r="CN2187" s="1">
        <v>35556</v>
      </c>
      <c r="CO2187">
        <v>83000</v>
      </c>
      <c r="CZ2187" s="1">
        <v>35556</v>
      </c>
      <c r="DD2187" t="s">
        <v>11749</v>
      </c>
      <c r="DF2187">
        <v>5</v>
      </c>
      <c r="DG2187">
        <v>21</v>
      </c>
      <c r="DL2187">
        <v>50102</v>
      </c>
      <c r="DM2187" t="s">
        <v>20609</v>
      </c>
      <c r="DO2187" t="s">
        <v>21076</v>
      </c>
      <c r="DP2187">
        <v>0</v>
      </c>
      <c r="DQ2187">
        <v>0</v>
      </c>
      <c r="DR2187" t="s">
        <v>411</v>
      </c>
      <c r="DS2187" t="b">
        <v>1</v>
      </c>
      <c r="DT2187" t="s">
        <v>8902</v>
      </c>
      <c r="DV2187" t="s">
        <v>446</v>
      </c>
      <c r="DX2187">
        <v>9</v>
      </c>
      <c r="DY2187" t="s">
        <v>11438</v>
      </c>
      <c r="DZ2187" t="s">
        <v>447</v>
      </c>
      <c r="EA2187" t="s">
        <v>448</v>
      </c>
      <c r="EB2187" t="s">
        <v>20706</v>
      </c>
      <c r="EC2187">
        <v>20101217</v>
      </c>
      <c r="ED2187" t="s">
        <v>450</v>
      </c>
      <c r="EE2187">
        <v>5</v>
      </c>
      <c r="EF2187">
        <v>0</v>
      </c>
      <c r="EG2187">
        <v>0</v>
      </c>
      <c r="EI2187">
        <v>20160407</v>
      </c>
      <c r="EJ2187">
        <v>0</v>
      </c>
      <c r="EK2187">
        <v>0</v>
      </c>
      <c r="EP2187" t="s">
        <v>421</v>
      </c>
      <c r="EQ2187" t="s">
        <v>422</v>
      </c>
      <c r="ER2187">
        <v>1</v>
      </c>
      <c r="ES2187">
        <v>5</v>
      </c>
      <c r="ET2187">
        <v>114.57</v>
      </c>
      <c r="EU2187">
        <v>12.55</v>
      </c>
      <c r="EV2187">
        <v>127.12</v>
      </c>
      <c r="EW2187" s="2">
        <v>43222</v>
      </c>
      <c r="EX2187" s="1">
        <v>42879</v>
      </c>
      <c r="EY2187">
        <v>2016</v>
      </c>
      <c r="EZ2187">
        <v>114.57</v>
      </c>
      <c r="FA2187" t="s">
        <v>21077</v>
      </c>
      <c r="FB2187">
        <v>5.5</v>
      </c>
      <c r="FC2187" t="s">
        <v>424</v>
      </c>
      <c r="FD2187" t="s">
        <v>454</v>
      </c>
      <c r="FF2187">
        <v>12</v>
      </c>
      <c r="FG2187">
        <v>10003</v>
      </c>
      <c r="FH2187" t="s">
        <v>4341</v>
      </c>
      <c r="FJ2187" s="1">
        <v>42515</v>
      </c>
      <c r="FK2187">
        <v>2015</v>
      </c>
      <c r="FL2187">
        <v>110.71</v>
      </c>
      <c r="FM2187" t="s">
        <v>21078</v>
      </c>
      <c r="FN2187">
        <v>9.75</v>
      </c>
      <c r="FO2187" t="s">
        <v>424</v>
      </c>
      <c r="FP2187" t="s">
        <v>425</v>
      </c>
      <c r="FQ2187" s="1">
        <v>42566</v>
      </c>
      <c r="FR2187">
        <v>2</v>
      </c>
      <c r="FS2187">
        <v>10003</v>
      </c>
      <c r="FT2187" t="s">
        <v>4341</v>
      </c>
      <c r="FV2187" s="1">
        <v>42515</v>
      </c>
      <c r="FW2187">
        <v>2014</v>
      </c>
      <c r="FX2187">
        <v>126.97</v>
      </c>
      <c r="FY2187" t="s">
        <v>21079</v>
      </c>
      <c r="FZ2187">
        <v>18</v>
      </c>
      <c r="GA2187" t="s">
        <v>424</v>
      </c>
      <c r="GB2187" t="s">
        <v>425</v>
      </c>
      <c r="GC2187" s="1">
        <v>42566</v>
      </c>
      <c r="GD2187">
        <v>2</v>
      </c>
      <c r="GE2187">
        <v>13139</v>
      </c>
      <c r="GF2187" t="s">
        <v>955</v>
      </c>
      <c r="GH2187" s="1">
        <v>42515</v>
      </c>
      <c r="GI2187">
        <v>2013</v>
      </c>
      <c r="GJ2187">
        <v>138.41999999999999</v>
      </c>
      <c r="GK2187" t="s">
        <v>21080</v>
      </c>
      <c r="GL2187">
        <v>13.25</v>
      </c>
      <c r="GM2187" t="s">
        <v>424</v>
      </c>
      <c r="GN2187" t="s">
        <v>425</v>
      </c>
      <c r="GO2187" s="1">
        <v>42566</v>
      </c>
      <c r="GP2187">
        <v>2</v>
      </c>
      <c r="GQ2187">
        <v>13139</v>
      </c>
      <c r="GR2187" t="s">
        <v>955</v>
      </c>
      <c r="GT2187" s="1">
        <v>42515</v>
      </c>
      <c r="GU2187">
        <v>2012</v>
      </c>
      <c r="GV2187">
        <v>153.37</v>
      </c>
      <c r="GW2187" t="s">
        <v>21081</v>
      </c>
      <c r="GX2187">
        <v>13.25</v>
      </c>
      <c r="GY2187" t="s">
        <v>424</v>
      </c>
      <c r="GZ2187" t="s">
        <v>425</v>
      </c>
      <c r="HA2187" s="1">
        <v>42566</v>
      </c>
      <c r="HB2187">
        <v>2</v>
      </c>
      <c r="HC2187">
        <v>13139</v>
      </c>
      <c r="HD2187" t="s">
        <v>955</v>
      </c>
      <c r="HF2187" s="1">
        <v>41052</v>
      </c>
      <c r="HG2187">
        <v>2011</v>
      </c>
      <c r="HH2187">
        <v>97.55</v>
      </c>
      <c r="HI2187" t="s">
        <v>21082</v>
      </c>
      <c r="HJ2187">
        <v>11</v>
      </c>
      <c r="HK2187" t="s">
        <v>424</v>
      </c>
      <c r="HL2187" t="s">
        <v>425</v>
      </c>
      <c r="HM2187" s="1">
        <v>41814</v>
      </c>
      <c r="HN2187">
        <v>25</v>
      </c>
      <c r="HO2187">
        <v>10125</v>
      </c>
      <c r="HP2187" t="s">
        <v>440</v>
      </c>
    </row>
    <row r="2188" spans="1:272" x14ac:dyDescent="0.25">
      <c r="A2188">
        <v>16487195</v>
      </c>
      <c r="B2188">
        <v>2187</v>
      </c>
      <c r="C2188" t="s">
        <v>393</v>
      </c>
      <c r="D2188" t="s">
        <v>394</v>
      </c>
      <c r="F2188" t="str">
        <f>"00-00-31-1800-0082-0080"</f>
        <v>00-00-31-1800-0082-0080</v>
      </c>
      <c r="H2188" t="str">
        <f>"BOOTH SHARON H"</f>
        <v>BOOTH SHARON H</v>
      </c>
      <c r="I2188" t="str">
        <f>"1009 CALHOUN ST"</f>
        <v>1009 CALHOUN ST</v>
      </c>
      <c r="J2188" t="str">
        <f t="shared" si="823"/>
        <v>FERNANDINA BEACH FL 32034</v>
      </c>
      <c r="K2188" t="str">
        <f>"1009 CALHOUN ST"</f>
        <v>1009 CALHOUN ST</v>
      </c>
      <c r="L2188" t="str">
        <f t="shared" si="807"/>
        <v>FERNANDINA BEACH FL 32034</v>
      </c>
      <c r="M2188" t="str">
        <f>"BLOCK 82 W1/2 OF LOT 8 IN OR 1414/1133 CITY OF FDNA BEACH"</f>
        <v>BLOCK 82 W1/2 OF LOT 8 IN OR 1414/1133 CITY OF FDNA BEACH</v>
      </c>
      <c r="N2188" t="str">
        <f>""</f>
        <v/>
      </c>
      <c r="O2188" t="str">
        <f>"11830"</f>
        <v>11830</v>
      </c>
      <c r="P2188" t="str">
        <f t="shared" si="821"/>
        <v>2017</v>
      </c>
      <c r="Q2188" t="str">
        <f>""</f>
        <v/>
      </c>
      <c r="R2188" t="str">
        <f>"N"</f>
        <v>N</v>
      </c>
      <c r="S2188" t="str">
        <f>""</f>
        <v/>
      </c>
      <c r="T2188" t="str">
        <f>"1471.39"</f>
        <v>1471.39</v>
      </c>
      <c r="U2188" t="str">
        <f>"72096.00"</f>
        <v>72096.00</v>
      </c>
      <c r="V2188" t="str">
        <f>"72096.00"</f>
        <v>72096.00</v>
      </c>
      <c r="W2188" t="str">
        <f t="shared" si="822"/>
        <v>2017</v>
      </c>
      <c r="X2188" t="str">
        <f>"12.43"</f>
        <v>12.43</v>
      </c>
      <c r="Y2188" t="str">
        <f>"1547.53"</f>
        <v>1547.53</v>
      </c>
      <c r="Z2188" t="str">
        <f>""</f>
        <v/>
      </c>
      <c r="AA2188" t="str">
        <f>"77319.00"</f>
        <v>77319.00</v>
      </c>
      <c r="AB2188" t="str">
        <f t="shared" si="819"/>
        <v>Residential</v>
      </c>
      <c r="AC2188" t="str">
        <f t="shared" si="809"/>
        <v>0</v>
      </c>
      <c r="AD2188" t="str">
        <f>"4"</f>
        <v>4</v>
      </c>
      <c r="AE2188" t="str">
        <f>"WOOD (INCLUDE STEEL STUDS)"</f>
        <v>WOOD (INCLUDE STEEL STUDS)</v>
      </c>
      <c r="AF2188" t="str">
        <f>"001"</f>
        <v>001</v>
      </c>
      <c r="AG2188" t="str">
        <f t="shared" si="824"/>
        <v>FL</v>
      </c>
      <c r="AH2188" t="str">
        <f>"5000.00"</f>
        <v>5000.00</v>
      </c>
      <c r="AI2188" t="str">
        <f>"27500.00"</f>
        <v>27500.00</v>
      </c>
      <c r="AJ2188" t="str">
        <f>"C55-000-585-9271-8"</f>
        <v>C55-000-585-9271-8</v>
      </c>
      <c r="AK2188" t="str">
        <f>"48800"</f>
        <v>48800</v>
      </c>
      <c r="AL2188">
        <v>8</v>
      </c>
      <c r="AM2188">
        <v>2497</v>
      </c>
      <c r="AN2188">
        <v>1623.31</v>
      </c>
      <c r="AQ2188" t="s">
        <v>21083</v>
      </c>
      <c r="AR2188" t="s">
        <v>21083</v>
      </c>
      <c r="AS2188" t="s">
        <v>21083</v>
      </c>
      <c r="AU2188" t="s">
        <v>396</v>
      </c>
      <c r="AV2188">
        <v>2017</v>
      </c>
      <c r="AW2188" t="str">
        <f>"00-00-31-1800-0082-0080 "</f>
        <v xml:space="preserve">00-00-31-1800-0082-0080 </v>
      </c>
      <c r="AX2188">
        <v>1009</v>
      </c>
      <c r="AZ2188" t="s">
        <v>16337</v>
      </c>
      <c r="BA2188" t="s">
        <v>1942</v>
      </c>
      <c r="BD2188" t="s">
        <v>11749</v>
      </c>
      <c r="BE2188" t="s">
        <v>393</v>
      </c>
      <c r="BF2188">
        <v>32034</v>
      </c>
      <c r="BG2188" t="s">
        <v>21084</v>
      </c>
      <c r="BH2188" t="s">
        <v>11751</v>
      </c>
      <c r="BI2188">
        <v>-81.456079467342406</v>
      </c>
      <c r="BJ2188">
        <v>30.674500031889501</v>
      </c>
      <c r="BK2188" t="s">
        <v>21085</v>
      </c>
      <c r="BM2188" t="s">
        <v>21084</v>
      </c>
      <c r="BN2188" t="s">
        <v>3983</v>
      </c>
      <c r="BO2188">
        <v>32034</v>
      </c>
      <c r="BP2188" t="s">
        <v>416</v>
      </c>
      <c r="BQ2188">
        <v>100</v>
      </c>
      <c r="BR2188" t="s">
        <v>514</v>
      </c>
      <c r="BS2188">
        <v>1001</v>
      </c>
      <c r="BT2188" t="s">
        <v>515</v>
      </c>
      <c r="BU2188">
        <v>500</v>
      </c>
      <c r="BV2188">
        <v>1000</v>
      </c>
      <c r="BW2188">
        <v>4603</v>
      </c>
      <c r="BX2188" t="s">
        <v>407</v>
      </c>
      <c r="BY2188" t="s">
        <v>18253</v>
      </c>
      <c r="BZ2188">
        <v>4</v>
      </c>
      <c r="CA2188">
        <v>1961</v>
      </c>
      <c r="CB2188">
        <v>1</v>
      </c>
      <c r="CC2188">
        <v>1</v>
      </c>
      <c r="CD2188">
        <v>2017</v>
      </c>
      <c r="CE2188">
        <v>27500</v>
      </c>
      <c r="CF2188">
        <v>49819</v>
      </c>
      <c r="CG2188">
        <v>77319</v>
      </c>
      <c r="CH2188">
        <v>2017</v>
      </c>
      <c r="CI2188">
        <v>27500</v>
      </c>
      <c r="CJ2188">
        <v>49819</v>
      </c>
      <c r="CK2188">
        <v>77319</v>
      </c>
      <c r="CL2188">
        <v>2017</v>
      </c>
      <c r="CM2188">
        <v>1471.39</v>
      </c>
      <c r="CN2188" s="1">
        <v>38860</v>
      </c>
      <c r="CO2188">
        <v>144900</v>
      </c>
      <c r="CV2188">
        <v>0</v>
      </c>
      <c r="CZ2188" s="1">
        <v>38860</v>
      </c>
      <c r="DA2188">
        <v>0</v>
      </c>
      <c r="DD2188" t="s">
        <v>11749</v>
      </c>
      <c r="DF2188">
        <v>8</v>
      </c>
      <c r="DG2188">
        <v>21</v>
      </c>
      <c r="DL2188">
        <v>50102</v>
      </c>
      <c r="DM2188" t="s">
        <v>20609</v>
      </c>
      <c r="DO2188" t="s">
        <v>21086</v>
      </c>
      <c r="DP2188">
        <v>0</v>
      </c>
      <c r="DQ2188">
        <v>0</v>
      </c>
      <c r="DR2188" t="s">
        <v>411</v>
      </c>
      <c r="DS2188" t="b">
        <v>1</v>
      </c>
      <c r="DT2188" t="s">
        <v>470</v>
      </c>
      <c r="DU2188" t="s">
        <v>471</v>
      </c>
      <c r="DV2188" t="s">
        <v>472</v>
      </c>
      <c r="DX2188">
        <v>-9999</v>
      </c>
      <c r="DZ2188" t="s">
        <v>447</v>
      </c>
      <c r="EA2188" t="s">
        <v>448</v>
      </c>
      <c r="EB2188" t="s">
        <v>14787</v>
      </c>
      <c r="EC2188">
        <v>20101217</v>
      </c>
      <c r="ED2188" t="s">
        <v>474</v>
      </c>
      <c r="EF2188">
        <v>139.1</v>
      </c>
      <c r="EG2188">
        <v>121.9</v>
      </c>
      <c r="EI2188">
        <v>20160407</v>
      </c>
      <c r="EJ2188">
        <v>0</v>
      </c>
      <c r="EK2188">
        <v>0</v>
      </c>
      <c r="EP2188" t="s">
        <v>421</v>
      </c>
      <c r="EQ2188" t="s">
        <v>422</v>
      </c>
      <c r="ER2188">
        <v>2</v>
      </c>
      <c r="ES2188">
        <v>8</v>
      </c>
      <c r="ET2188">
        <v>2924.3</v>
      </c>
      <c r="EU2188">
        <v>158.72</v>
      </c>
      <c r="EV2188">
        <v>3083.02</v>
      </c>
      <c r="EW2188" s="2">
        <v>43222</v>
      </c>
      <c r="EX2188" s="1">
        <v>42879</v>
      </c>
      <c r="EY2188">
        <v>2016</v>
      </c>
      <c r="EZ2188">
        <v>1462.15</v>
      </c>
      <c r="FA2188" t="s">
        <v>21087</v>
      </c>
      <c r="FB2188">
        <v>0.25</v>
      </c>
      <c r="FC2188" t="s">
        <v>424</v>
      </c>
      <c r="FD2188" t="s">
        <v>454</v>
      </c>
      <c r="FF2188">
        <v>12</v>
      </c>
      <c r="FG2188">
        <v>2851116</v>
      </c>
      <c r="FH2188" t="s">
        <v>480</v>
      </c>
      <c r="FJ2188" s="1">
        <v>42879</v>
      </c>
      <c r="FK2188">
        <v>2016</v>
      </c>
      <c r="FL2188">
        <v>1462.15</v>
      </c>
      <c r="FM2188" t="s">
        <v>21087</v>
      </c>
      <c r="FN2188">
        <v>0.25</v>
      </c>
      <c r="FO2188" t="s">
        <v>424</v>
      </c>
      <c r="FP2188" t="s">
        <v>454</v>
      </c>
      <c r="FR2188">
        <v>12</v>
      </c>
      <c r="FS2188">
        <v>4869644</v>
      </c>
      <c r="FT2188" t="s">
        <v>21088</v>
      </c>
      <c r="FV2188" s="1">
        <v>42515</v>
      </c>
      <c r="FW2188">
        <v>2015</v>
      </c>
      <c r="FX2188">
        <v>1410.54</v>
      </c>
      <c r="FY2188" t="s">
        <v>21089</v>
      </c>
      <c r="FZ2188">
        <v>0.25</v>
      </c>
      <c r="GA2188" t="s">
        <v>424</v>
      </c>
      <c r="GB2188" t="s">
        <v>425</v>
      </c>
      <c r="GC2188" s="1">
        <v>43070</v>
      </c>
      <c r="GD2188">
        <v>19</v>
      </c>
      <c r="GE2188">
        <v>11289</v>
      </c>
      <c r="GF2188" t="s">
        <v>787</v>
      </c>
      <c r="GH2188" s="1">
        <v>42515</v>
      </c>
      <c r="GI2188">
        <v>2015</v>
      </c>
      <c r="GJ2188">
        <v>1410.54</v>
      </c>
      <c r="GK2188" t="s">
        <v>21089</v>
      </c>
      <c r="GL2188">
        <v>0.25</v>
      </c>
      <c r="GM2188" t="s">
        <v>424</v>
      </c>
      <c r="GN2188" t="s">
        <v>425</v>
      </c>
      <c r="GP2188">
        <v>22</v>
      </c>
      <c r="GQ2188">
        <v>5199958</v>
      </c>
      <c r="GR2188" t="s">
        <v>21090</v>
      </c>
      <c r="GT2188" s="1">
        <v>42151</v>
      </c>
      <c r="GU2188">
        <v>2014</v>
      </c>
      <c r="GV2188">
        <v>1306.0999999999999</v>
      </c>
      <c r="GW2188" t="s">
        <v>21091</v>
      </c>
      <c r="GX2188">
        <v>0.25</v>
      </c>
      <c r="GY2188" t="s">
        <v>424</v>
      </c>
      <c r="GZ2188" t="s">
        <v>425</v>
      </c>
      <c r="HA2188" s="1">
        <v>42193</v>
      </c>
      <c r="HB2188">
        <v>2</v>
      </c>
      <c r="HC2188">
        <v>4975594</v>
      </c>
      <c r="HD2188" t="s">
        <v>457</v>
      </c>
      <c r="HF2188" s="1">
        <v>42151</v>
      </c>
      <c r="HG2188">
        <v>2014</v>
      </c>
      <c r="HH2188">
        <v>1306.0999999999999</v>
      </c>
      <c r="HI2188" t="s">
        <v>21091</v>
      </c>
      <c r="HJ2188">
        <v>0.25</v>
      </c>
      <c r="HK2188" t="s">
        <v>424</v>
      </c>
      <c r="HL2188" t="s">
        <v>425</v>
      </c>
      <c r="HN2188">
        <v>22</v>
      </c>
      <c r="HO2188">
        <v>6593175</v>
      </c>
      <c r="HP2188" t="s">
        <v>21092</v>
      </c>
      <c r="HR2188" s="1">
        <v>41787</v>
      </c>
      <c r="HS2188">
        <v>2013</v>
      </c>
      <c r="HT2188">
        <v>1107.74</v>
      </c>
      <c r="HU2188" t="s">
        <v>21093</v>
      </c>
      <c r="HV2188">
        <v>0.25</v>
      </c>
      <c r="HW2188" t="s">
        <v>424</v>
      </c>
      <c r="HX2188" t="s">
        <v>425</v>
      </c>
      <c r="HY2188" s="1">
        <v>42193</v>
      </c>
      <c r="HZ2188">
        <v>14</v>
      </c>
      <c r="IA2188">
        <v>2851116</v>
      </c>
      <c r="IB2188" t="s">
        <v>480</v>
      </c>
      <c r="ID2188" s="1">
        <v>41423</v>
      </c>
      <c r="IE2188">
        <v>2012</v>
      </c>
      <c r="IF2188">
        <v>1061.3499999999999</v>
      </c>
      <c r="IG2188" t="s">
        <v>21094</v>
      </c>
      <c r="IH2188">
        <v>0.25</v>
      </c>
      <c r="II2188" t="s">
        <v>424</v>
      </c>
      <c r="IJ2188" t="s">
        <v>425</v>
      </c>
      <c r="IK2188" s="1">
        <v>41774</v>
      </c>
      <c r="IL2188">
        <v>12</v>
      </c>
      <c r="IM2188">
        <v>606981</v>
      </c>
      <c r="IN2188" t="s">
        <v>792</v>
      </c>
      <c r="IP2188" s="1">
        <v>41052</v>
      </c>
      <c r="IQ2188">
        <v>2011</v>
      </c>
      <c r="IR2188">
        <v>1087.99</v>
      </c>
      <c r="IS2188" t="s">
        <v>21095</v>
      </c>
      <c r="IT2188">
        <v>5</v>
      </c>
      <c r="IU2188" t="s">
        <v>424</v>
      </c>
      <c r="IV2188" t="s">
        <v>425</v>
      </c>
      <c r="IW2188" s="1">
        <v>41530</v>
      </c>
      <c r="IX2188">
        <v>16</v>
      </c>
      <c r="IY2188">
        <v>13027</v>
      </c>
      <c r="IZ2188" t="s">
        <v>826</v>
      </c>
      <c r="JB2188" s="1">
        <v>40688</v>
      </c>
      <c r="JC2188">
        <v>2010</v>
      </c>
      <c r="JD2188">
        <v>1109.32</v>
      </c>
      <c r="JE2188" t="s">
        <v>21096</v>
      </c>
      <c r="JF2188">
        <v>0.25</v>
      </c>
      <c r="JG2188" t="s">
        <v>424</v>
      </c>
      <c r="JH2188" t="s">
        <v>425</v>
      </c>
      <c r="JI2188" s="1">
        <v>41318</v>
      </c>
      <c r="JJ2188">
        <v>21</v>
      </c>
      <c r="JK2188">
        <v>11287</v>
      </c>
      <c r="JL2188" t="s">
        <v>511</v>
      </c>
    </row>
    <row r="2189" spans="1:272" x14ac:dyDescent="0.25">
      <c r="A2189">
        <v>16487196</v>
      </c>
      <c r="B2189">
        <v>2188</v>
      </c>
      <c r="C2189" t="s">
        <v>393</v>
      </c>
      <c r="D2189" t="s">
        <v>394</v>
      </c>
      <c r="F2189" t="str">
        <f>"00-00-31-1800-0084-0040"</f>
        <v>00-00-31-1800-0084-0040</v>
      </c>
      <c r="H2189" t="str">
        <f>"RILEY FANNIE MAE EST C/O REBECCA LESTER"</f>
        <v>RILEY FANNIE MAE EST C/O REBECCA LESTER</v>
      </c>
      <c r="I2189" t="str">
        <f>"1012 FRANKLIN ST"</f>
        <v>1012 FRANKLIN ST</v>
      </c>
      <c r="J2189" t="str">
        <f t="shared" si="823"/>
        <v>FERNANDINA BEACH FL 32034</v>
      </c>
      <c r="K2189" t="str">
        <f>"1012 FRANKLIN ST"</f>
        <v>1012 FRANKLIN ST</v>
      </c>
      <c r="L2189" t="str">
        <f t="shared" si="807"/>
        <v>FERNANDINA BEACH FL 32034</v>
      </c>
      <c r="M2189" t="str">
        <f>"BLOCK 84 LOT 4 2/6 HX INT CITY OF FDNA BEACH"</f>
        <v>BLOCK 84 LOT 4 2/6 HX INT CITY OF FDNA BEACH</v>
      </c>
      <c r="N2189" t="str">
        <f>""</f>
        <v/>
      </c>
      <c r="O2189" t="str">
        <f>"11835"</f>
        <v>11835</v>
      </c>
      <c r="P2189" t="str">
        <f t="shared" si="821"/>
        <v>2017</v>
      </c>
      <c r="Q2189" t="str">
        <f>""</f>
        <v/>
      </c>
      <c r="R2189" t="str">
        <f>"Y"</f>
        <v>Y</v>
      </c>
      <c r="S2189" t="str">
        <f>""</f>
        <v/>
      </c>
      <c r="T2189" t="str">
        <f>"1319.87"</f>
        <v>1319.87</v>
      </c>
      <c r="U2189" t="str">
        <f>"78303.00"</f>
        <v>78303.00</v>
      </c>
      <c r="V2189" t="str">
        <f>"78303.00"</f>
        <v>78303.00</v>
      </c>
      <c r="W2189" t="str">
        <f t="shared" si="822"/>
        <v>2017</v>
      </c>
      <c r="X2189" t="str">
        <f>"13.71"</f>
        <v>13.71</v>
      </c>
      <c r="Y2189" t="str">
        <f>"1391.47"</f>
        <v>1391.47</v>
      </c>
      <c r="Z2189" t="str">
        <f>"12508.00"</f>
        <v>12508.00</v>
      </c>
      <c r="AA2189" t="str">
        <f>"67085.00"</f>
        <v>67085.00</v>
      </c>
      <c r="AB2189" t="str">
        <f t="shared" si="819"/>
        <v>Residential</v>
      </c>
      <c r="AC2189" t="str">
        <f t="shared" si="809"/>
        <v>0</v>
      </c>
      <c r="AD2189" t="str">
        <f>"4"</f>
        <v>4</v>
      </c>
      <c r="AE2189" t="str">
        <f>"WOOD (INCLUDE STEEL STUDS)"</f>
        <v>WOOD (INCLUDE STEEL STUDS)</v>
      </c>
      <c r="AF2189" t="str">
        <f>"001"</f>
        <v>001</v>
      </c>
      <c r="AG2189" t="str">
        <f t="shared" si="824"/>
        <v>FL</v>
      </c>
      <c r="AH2189" t="str">
        <f>"10000.00"</f>
        <v>10000.00</v>
      </c>
      <c r="AI2189" t="str">
        <f>"44000.00"</f>
        <v>44000.00</v>
      </c>
      <c r="AJ2189" t="str">
        <f>"C55-000-585-9276-7"</f>
        <v>C55-000-585-9276-7</v>
      </c>
      <c r="AK2189" t="str">
        <f>"48805"</f>
        <v>48805</v>
      </c>
      <c r="AL2189">
        <v>8</v>
      </c>
      <c r="AM2189">
        <v>2498</v>
      </c>
      <c r="AN2189">
        <v>1459.44</v>
      </c>
      <c r="AQ2189" t="s">
        <v>21097</v>
      </c>
      <c r="AR2189" t="s">
        <v>21097</v>
      </c>
      <c r="AS2189" t="s">
        <v>21097</v>
      </c>
      <c r="AU2189" t="s">
        <v>396</v>
      </c>
      <c r="AV2189">
        <v>2017</v>
      </c>
      <c r="AW2189" t="str">
        <f>"00-00-31-1800-0084-0040 "</f>
        <v xml:space="preserve">00-00-31-1800-0084-0040 </v>
      </c>
      <c r="AX2189">
        <v>1012</v>
      </c>
      <c r="AZ2189" t="s">
        <v>21098</v>
      </c>
      <c r="BA2189" t="s">
        <v>1942</v>
      </c>
      <c r="BD2189" t="s">
        <v>11749</v>
      </c>
      <c r="BE2189" t="s">
        <v>393</v>
      </c>
      <c r="BF2189">
        <v>32034</v>
      </c>
      <c r="BG2189" t="s">
        <v>21099</v>
      </c>
      <c r="BH2189" t="s">
        <v>11751</v>
      </c>
      <c r="BI2189">
        <v>-81.455779108857001</v>
      </c>
      <c r="BJ2189">
        <v>30.677859902422501</v>
      </c>
      <c r="BK2189" t="s">
        <v>21100</v>
      </c>
      <c r="BM2189" t="s">
        <v>21099</v>
      </c>
      <c r="BN2189" t="s">
        <v>3983</v>
      </c>
      <c r="BO2189">
        <v>32034</v>
      </c>
      <c r="BP2189" t="s">
        <v>416</v>
      </c>
      <c r="BQ2189">
        <v>100</v>
      </c>
      <c r="BR2189" t="s">
        <v>514</v>
      </c>
      <c r="BS2189">
        <v>1001</v>
      </c>
      <c r="BT2189" t="s">
        <v>515</v>
      </c>
      <c r="BU2189">
        <v>1000</v>
      </c>
      <c r="BV2189">
        <v>1000</v>
      </c>
      <c r="BW2189">
        <v>10037</v>
      </c>
      <c r="BX2189" t="s">
        <v>407</v>
      </c>
      <c r="BY2189" t="s">
        <v>20798</v>
      </c>
      <c r="BZ2189">
        <v>4</v>
      </c>
      <c r="CA2189">
        <v>1959</v>
      </c>
      <c r="CB2189">
        <v>1</v>
      </c>
      <c r="CC2189">
        <v>1</v>
      </c>
      <c r="CD2189">
        <v>2017</v>
      </c>
      <c r="CG2189">
        <v>79593</v>
      </c>
      <c r="CH2189">
        <v>2017</v>
      </c>
      <c r="CI2189">
        <v>44000</v>
      </c>
      <c r="CJ2189">
        <v>36826</v>
      </c>
      <c r="CK2189">
        <v>80826</v>
      </c>
      <c r="CL2189">
        <v>2017</v>
      </c>
      <c r="CM2189">
        <v>1319.87</v>
      </c>
      <c r="CN2189" s="1">
        <v>24108</v>
      </c>
      <c r="CO2189">
        <v>7500</v>
      </c>
      <c r="CZ2189" s="1">
        <v>24108</v>
      </c>
      <c r="DD2189" t="s">
        <v>11749</v>
      </c>
      <c r="DF2189">
        <v>4</v>
      </c>
      <c r="DG2189">
        <v>18</v>
      </c>
      <c r="DJ2189" t="s">
        <v>20634</v>
      </c>
      <c r="DL2189">
        <v>50102</v>
      </c>
      <c r="DM2189" t="s">
        <v>19854</v>
      </c>
      <c r="DO2189" t="s">
        <v>21101</v>
      </c>
      <c r="DP2189">
        <v>0</v>
      </c>
      <c r="DQ2189">
        <v>0</v>
      </c>
      <c r="DR2189" t="s">
        <v>411</v>
      </c>
      <c r="DS2189" t="b">
        <v>1</v>
      </c>
      <c r="DT2189" t="s">
        <v>470</v>
      </c>
      <c r="DU2189" t="s">
        <v>471</v>
      </c>
      <c r="DV2189" t="s">
        <v>472</v>
      </c>
      <c r="DX2189">
        <v>-9999</v>
      </c>
      <c r="DZ2189" t="s">
        <v>447</v>
      </c>
      <c r="EA2189" t="s">
        <v>448</v>
      </c>
      <c r="EB2189" t="s">
        <v>14787</v>
      </c>
      <c r="EC2189">
        <v>20101217</v>
      </c>
      <c r="ED2189" t="s">
        <v>474</v>
      </c>
      <c r="EF2189">
        <v>263.10000000000002</v>
      </c>
      <c r="EG2189">
        <v>220.6</v>
      </c>
      <c r="EH2189" t="s">
        <v>451</v>
      </c>
      <c r="EI2189">
        <v>20140731</v>
      </c>
      <c r="EJ2189">
        <v>0</v>
      </c>
      <c r="EK2189">
        <v>0</v>
      </c>
      <c r="EP2189" t="s">
        <v>421</v>
      </c>
      <c r="EQ2189" t="s">
        <v>422</v>
      </c>
      <c r="ER2189">
        <v>0</v>
      </c>
      <c r="ES2189">
        <v>9</v>
      </c>
      <c r="ET2189">
        <v>0</v>
      </c>
      <c r="EU2189">
        <v>0</v>
      </c>
      <c r="EV2189">
        <v>0</v>
      </c>
      <c r="EW2189" s="2">
        <v>43222</v>
      </c>
      <c r="EX2189" s="1">
        <v>42879</v>
      </c>
      <c r="EY2189">
        <v>2016</v>
      </c>
      <c r="EZ2189">
        <v>1336.74</v>
      </c>
      <c r="FA2189" t="s">
        <v>21102</v>
      </c>
      <c r="FB2189">
        <v>0.25</v>
      </c>
      <c r="FC2189" t="s">
        <v>424</v>
      </c>
      <c r="FD2189" t="s">
        <v>425</v>
      </c>
      <c r="FE2189" s="1">
        <v>43139</v>
      </c>
      <c r="FF2189">
        <v>9</v>
      </c>
      <c r="FG2189">
        <v>2851116</v>
      </c>
      <c r="FH2189" t="s">
        <v>480</v>
      </c>
      <c r="FJ2189" s="1">
        <v>42879</v>
      </c>
      <c r="FK2189">
        <v>2016</v>
      </c>
      <c r="FL2189">
        <v>1336.74</v>
      </c>
      <c r="FM2189" t="s">
        <v>21102</v>
      </c>
      <c r="FN2189">
        <v>0.25</v>
      </c>
      <c r="FO2189" t="s">
        <v>424</v>
      </c>
      <c r="FP2189" t="s">
        <v>425</v>
      </c>
      <c r="FR2189">
        <v>22</v>
      </c>
      <c r="FS2189">
        <v>5047233</v>
      </c>
      <c r="FT2189" t="s">
        <v>21103</v>
      </c>
      <c r="FV2189" s="1">
        <v>42151</v>
      </c>
      <c r="FW2189">
        <v>2014</v>
      </c>
      <c r="FX2189">
        <v>1034.4000000000001</v>
      </c>
      <c r="FY2189" t="s">
        <v>21104</v>
      </c>
      <c r="FZ2189">
        <v>0.25</v>
      </c>
      <c r="GA2189" t="s">
        <v>424</v>
      </c>
      <c r="GB2189" t="s">
        <v>425</v>
      </c>
      <c r="GC2189" s="1">
        <v>42332</v>
      </c>
      <c r="GD2189">
        <v>6</v>
      </c>
      <c r="GE2189">
        <v>2851116</v>
      </c>
      <c r="GF2189" t="s">
        <v>480</v>
      </c>
      <c r="GH2189" s="1">
        <v>42151</v>
      </c>
      <c r="GI2189">
        <v>2014</v>
      </c>
      <c r="GJ2189">
        <v>1034.4000000000001</v>
      </c>
      <c r="GK2189" t="s">
        <v>21104</v>
      </c>
      <c r="GL2189">
        <v>0.25</v>
      </c>
      <c r="GM2189" t="s">
        <v>424</v>
      </c>
      <c r="GN2189" t="s">
        <v>425</v>
      </c>
      <c r="GP2189">
        <v>22</v>
      </c>
      <c r="GQ2189">
        <v>5262222</v>
      </c>
      <c r="GR2189" t="s">
        <v>21105</v>
      </c>
      <c r="GT2189" s="1">
        <v>41787</v>
      </c>
      <c r="GU2189">
        <v>2013</v>
      </c>
      <c r="GV2189">
        <v>904.49</v>
      </c>
      <c r="GW2189" t="s">
        <v>21106</v>
      </c>
      <c r="GX2189">
        <v>0.25</v>
      </c>
      <c r="GY2189" t="s">
        <v>424</v>
      </c>
      <c r="GZ2189" t="s">
        <v>425</v>
      </c>
      <c r="HA2189" s="1">
        <v>41803</v>
      </c>
      <c r="HB2189">
        <v>1</v>
      </c>
      <c r="HC2189">
        <v>2101382</v>
      </c>
      <c r="HD2189" t="s">
        <v>993</v>
      </c>
      <c r="HF2189" s="1">
        <v>41423</v>
      </c>
      <c r="HG2189">
        <v>2012</v>
      </c>
      <c r="HH2189">
        <v>952.03</v>
      </c>
      <c r="HI2189" t="s">
        <v>21107</v>
      </c>
      <c r="HJ2189">
        <v>0.25</v>
      </c>
      <c r="HK2189" t="s">
        <v>424</v>
      </c>
      <c r="HL2189" t="s">
        <v>425</v>
      </c>
      <c r="HM2189" s="1">
        <v>41803</v>
      </c>
      <c r="HN2189">
        <v>13</v>
      </c>
      <c r="HO2189">
        <v>10125</v>
      </c>
      <c r="HP2189" t="s">
        <v>440</v>
      </c>
      <c r="HR2189" s="1">
        <v>41052</v>
      </c>
      <c r="HS2189">
        <v>2011</v>
      </c>
      <c r="HT2189">
        <v>1003.98</v>
      </c>
      <c r="HU2189" t="s">
        <v>21108</v>
      </c>
      <c r="HV2189">
        <v>4.75</v>
      </c>
      <c r="HW2189" t="s">
        <v>424</v>
      </c>
      <c r="HX2189" t="s">
        <v>425</v>
      </c>
      <c r="HY2189" s="1">
        <v>41697</v>
      </c>
      <c r="HZ2189">
        <v>21</v>
      </c>
      <c r="IA2189">
        <v>11141</v>
      </c>
      <c r="IB2189" t="s">
        <v>1723</v>
      </c>
      <c r="ID2189" s="1">
        <v>40688</v>
      </c>
      <c r="IE2189">
        <v>2010</v>
      </c>
      <c r="IF2189">
        <v>1019.83</v>
      </c>
      <c r="IG2189" t="s">
        <v>21109</v>
      </c>
      <c r="IH2189">
        <v>4.25</v>
      </c>
      <c r="II2189" t="s">
        <v>424</v>
      </c>
      <c r="IJ2189" t="s">
        <v>425</v>
      </c>
      <c r="IK2189" s="1">
        <v>41752</v>
      </c>
      <c r="IL2189">
        <v>35</v>
      </c>
      <c r="IM2189">
        <v>15395</v>
      </c>
      <c r="IN2189" t="s">
        <v>21110</v>
      </c>
      <c r="IP2189" s="1">
        <v>40688</v>
      </c>
      <c r="IQ2189">
        <v>2010</v>
      </c>
      <c r="IR2189">
        <v>1019.83</v>
      </c>
      <c r="IS2189" t="s">
        <v>21109</v>
      </c>
      <c r="IT2189">
        <v>4.25</v>
      </c>
      <c r="IU2189" t="s">
        <v>424</v>
      </c>
      <c r="IV2189" t="s">
        <v>425</v>
      </c>
      <c r="IX2189">
        <v>22</v>
      </c>
      <c r="IY2189">
        <v>11244</v>
      </c>
      <c r="IZ2189" t="s">
        <v>3585</v>
      </c>
    </row>
    <row r="2190" spans="1:272" x14ac:dyDescent="0.25">
      <c r="A2190">
        <v>16487197</v>
      </c>
      <c r="B2190">
        <v>2189</v>
      </c>
      <c r="C2190" t="s">
        <v>393</v>
      </c>
      <c r="D2190" t="s">
        <v>394</v>
      </c>
      <c r="F2190" t="str">
        <f>"00-00-31-1800-0084-0051"</f>
        <v>00-00-31-1800-0084-0051</v>
      </c>
      <c r="H2190" t="str">
        <f>"RILEY IDA MAE &amp; RILELY IRA &amp; REBECCA &amp; HELEN M RILEY ANNIE R &amp; DORTHEY ETAL"</f>
        <v>RILEY IDA MAE &amp; RILELY IRA &amp; REBECCA &amp; HELEN M RILEY ANNIE R &amp; DORTHEY ETAL</v>
      </c>
      <c r="I2190" t="str">
        <f>""</f>
        <v/>
      </c>
      <c r="J2190" t="str">
        <f t="shared" si="823"/>
        <v>FERNANDINA BEACH FL 32034</v>
      </c>
      <c r="K2190" t="str">
        <f>"N 11TH ST"</f>
        <v>N 11TH ST</v>
      </c>
      <c r="L2190" t="str">
        <f t="shared" si="807"/>
        <v>FERNANDINA BEACH FL 32034</v>
      </c>
      <c r="M2190" t="str">
        <f>"BLOCK 84 LOT N 1/2 OF 5 L/E OR 254/177 CITY OF FDNA BEACH"</f>
        <v>BLOCK 84 LOT N 1/2 OF 5 L/E OR 254/177 CITY OF FDNA BEACH</v>
      </c>
      <c r="N2190" t="str">
        <f>""</f>
        <v/>
      </c>
      <c r="O2190" t="str">
        <f>"11836"</f>
        <v>11836</v>
      </c>
      <c r="P2190" t="str">
        <f t="shared" si="821"/>
        <v>2017</v>
      </c>
      <c r="Q2190" t="str">
        <f>""</f>
        <v/>
      </c>
      <c r="R2190" t="str">
        <f t="shared" ref="R2190:R2196" si="825">"N"</f>
        <v>N</v>
      </c>
      <c r="S2190" t="str">
        <f>""</f>
        <v/>
      </c>
      <c r="T2190" t="str">
        <f>"533.44"</f>
        <v>533.44</v>
      </c>
      <c r="U2190" t="str">
        <f>"26400.00"</f>
        <v>26400.00</v>
      </c>
      <c r="V2190" t="str">
        <f>"26400.00"</f>
        <v>26400.00</v>
      </c>
      <c r="W2190" t="str">
        <f t="shared" si="822"/>
        <v>2017</v>
      </c>
      <c r="X2190" t="str">
        <f>"20.83"</f>
        <v>20.83</v>
      </c>
      <c r="Y2190" t="str">
        <f>"581.44"</f>
        <v>581.44</v>
      </c>
      <c r="Z2190" t="str">
        <f>""</f>
        <v/>
      </c>
      <c r="AA2190" t="str">
        <f>"27500.00"</f>
        <v>27500.00</v>
      </c>
      <c r="AB2190" t="str">
        <f t="shared" si="819"/>
        <v>Residential</v>
      </c>
      <c r="AC2190" t="str">
        <f t="shared" si="809"/>
        <v>0</v>
      </c>
      <c r="AD2190" t="str">
        <f>""</f>
        <v/>
      </c>
      <c r="AE2190" t="str">
        <f>""</f>
        <v/>
      </c>
      <c r="AF2190" t="str">
        <f>"000"</f>
        <v>000</v>
      </c>
      <c r="AG2190" t="str">
        <f t="shared" si="824"/>
        <v>FL</v>
      </c>
      <c r="AH2190" t="str">
        <f>"5000.00"</f>
        <v>5000.00</v>
      </c>
      <c r="AI2190" t="str">
        <f>"27500.00"</f>
        <v>27500.00</v>
      </c>
      <c r="AJ2190" t="str">
        <f>"C55-000-585-9277-5"</f>
        <v>C55-000-585-9277-5</v>
      </c>
      <c r="AK2190" t="str">
        <f>"48806"</f>
        <v>48806</v>
      </c>
      <c r="AL2190">
        <v>8</v>
      </c>
      <c r="AM2190">
        <v>2499</v>
      </c>
      <c r="AN2190">
        <v>608.91</v>
      </c>
      <c r="AQ2190" t="s">
        <v>21111</v>
      </c>
      <c r="AR2190" t="s">
        <v>21111</v>
      </c>
      <c r="AS2190" t="s">
        <v>21111</v>
      </c>
      <c r="AU2190" t="s">
        <v>396</v>
      </c>
      <c r="AV2190">
        <v>2017</v>
      </c>
      <c r="AW2190" t="str">
        <f>"00-00-31-1800-0084-0051 "</f>
        <v xml:space="preserve">00-00-31-1800-0084-0051 </v>
      </c>
      <c r="AY2190" t="s">
        <v>404</v>
      </c>
      <c r="AZ2190" t="s">
        <v>5153</v>
      </c>
      <c r="BA2190" t="s">
        <v>1942</v>
      </c>
      <c r="BD2190" t="s">
        <v>11749</v>
      </c>
      <c r="BE2190" t="s">
        <v>393</v>
      </c>
      <c r="BF2190">
        <v>32034</v>
      </c>
      <c r="BG2190" t="s">
        <v>21072</v>
      </c>
      <c r="BH2190" t="s">
        <v>11751</v>
      </c>
      <c r="BI2190">
        <v>-81.455466566573307</v>
      </c>
      <c r="BJ2190">
        <v>30.677893032034198</v>
      </c>
      <c r="BK2190" t="s">
        <v>21112</v>
      </c>
      <c r="BM2190" t="s">
        <v>21099</v>
      </c>
      <c r="BN2190" t="s">
        <v>3983</v>
      </c>
      <c r="BO2190">
        <v>32034</v>
      </c>
      <c r="BP2190" t="s">
        <v>404</v>
      </c>
      <c r="BQ2190">
        <v>0</v>
      </c>
      <c r="BR2190" t="s">
        <v>491</v>
      </c>
      <c r="BS2190">
        <v>8001</v>
      </c>
      <c r="BT2190" t="s">
        <v>492</v>
      </c>
      <c r="BU2190">
        <v>500</v>
      </c>
      <c r="BV2190">
        <v>1000</v>
      </c>
      <c r="BW2190">
        <v>5415</v>
      </c>
      <c r="BX2190" t="s">
        <v>407</v>
      </c>
      <c r="BY2190" t="s">
        <v>20798</v>
      </c>
      <c r="CD2190">
        <v>2017</v>
      </c>
      <c r="CE2190">
        <v>27500</v>
      </c>
      <c r="CG2190">
        <v>27500</v>
      </c>
      <c r="CH2190">
        <v>2017</v>
      </c>
      <c r="CI2190">
        <v>27500</v>
      </c>
      <c r="CK2190">
        <v>27500</v>
      </c>
      <c r="CL2190">
        <v>2017</v>
      </c>
      <c r="CM2190">
        <v>533.44000000000005</v>
      </c>
      <c r="CN2190" s="1">
        <v>25934</v>
      </c>
      <c r="CO2190">
        <v>500</v>
      </c>
      <c r="CZ2190" s="1">
        <v>25934</v>
      </c>
      <c r="DD2190" t="s">
        <v>11749</v>
      </c>
      <c r="DF2190" t="s">
        <v>404</v>
      </c>
      <c r="DG2190">
        <v>18</v>
      </c>
      <c r="DL2190">
        <v>50102</v>
      </c>
      <c r="DM2190" t="s">
        <v>19854</v>
      </c>
      <c r="DO2190" t="s">
        <v>21113</v>
      </c>
      <c r="DP2190">
        <v>0</v>
      </c>
      <c r="DQ2190">
        <v>0</v>
      </c>
      <c r="DR2190" t="s">
        <v>411</v>
      </c>
      <c r="DS2190" t="b">
        <v>1</v>
      </c>
      <c r="DT2190" t="s">
        <v>470</v>
      </c>
      <c r="DU2190" t="s">
        <v>471</v>
      </c>
      <c r="DV2190" t="s">
        <v>472</v>
      </c>
      <c r="DX2190">
        <v>-9999</v>
      </c>
      <c r="DZ2190" t="s">
        <v>447</v>
      </c>
      <c r="EA2190" t="s">
        <v>448</v>
      </c>
      <c r="EB2190" t="s">
        <v>14787</v>
      </c>
      <c r="EC2190">
        <v>20101217</v>
      </c>
      <c r="ED2190" t="s">
        <v>474</v>
      </c>
      <c r="EF2190">
        <v>319.10000000000002</v>
      </c>
      <c r="EG2190">
        <v>278.60000000000002</v>
      </c>
      <c r="EI2190">
        <v>20160407</v>
      </c>
      <c r="EJ2190">
        <v>0</v>
      </c>
      <c r="EK2190">
        <v>0</v>
      </c>
      <c r="EP2190" t="s">
        <v>421</v>
      </c>
      <c r="EQ2190" t="s">
        <v>422</v>
      </c>
      <c r="ER2190">
        <v>1</v>
      </c>
      <c r="ES2190">
        <v>5</v>
      </c>
      <c r="ET2190">
        <v>552.53</v>
      </c>
      <c r="EU2190">
        <v>83.6</v>
      </c>
      <c r="EV2190">
        <v>636.13</v>
      </c>
      <c r="EW2190" s="2">
        <v>43222</v>
      </c>
      <c r="EX2190" s="1">
        <v>42879</v>
      </c>
      <c r="EY2190">
        <v>2016</v>
      </c>
      <c r="EZ2190">
        <v>552.53</v>
      </c>
      <c r="FA2190" t="s">
        <v>21114</v>
      </c>
      <c r="FB2190">
        <v>14</v>
      </c>
      <c r="FC2190" t="s">
        <v>424</v>
      </c>
      <c r="FD2190" t="s">
        <v>454</v>
      </c>
      <c r="FF2190">
        <v>12</v>
      </c>
      <c r="FG2190">
        <v>10003</v>
      </c>
      <c r="FH2190" t="s">
        <v>4341</v>
      </c>
      <c r="FJ2190" s="1">
        <v>42515</v>
      </c>
      <c r="FK2190">
        <v>2015</v>
      </c>
      <c r="FL2190">
        <v>554.26</v>
      </c>
      <c r="FM2190" t="s">
        <v>21115</v>
      </c>
      <c r="FN2190">
        <v>14.75</v>
      </c>
      <c r="FO2190" t="s">
        <v>424</v>
      </c>
      <c r="FP2190" t="s">
        <v>425</v>
      </c>
      <c r="FQ2190" s="1">
        <v>43139</v>
      </c>
      <c r="FR2190">
        <v>21</v>
      </c>
      <c r="FS2190">
        <v>10003</v>
      </c>
      <c r="FT2190" t="s">
        <v>4341</v>
      </c>
      <c r="FV2190" s="1">
        <v>42151</v>
      </c>
      <c r="FW2190">
        <v>2014</v>
      </c>
      <c r="FX2190">
        <v>558.04999999999995</v>
      </c>
      <c r="FY2190" t="s">
        <v>21116</v>
      </c>
      <c r="FZ2190">
        <v>14</v>
      </c>
      <c r="GA2190" t="s">
        <v>424</v>
      </c>
      <c r="GB2190" t="s">
        <v>425</v>
      </c>
      <c r="GC2190" s="1">
        <v>43139</v>
      </c>
      <c r="GD2190">
        <v>33</v>
      </c>
      <c r="GE2190">
        <v>10003</v>
      </c>
      <c r="GF2190" t="s">
        <v>4341</v>
      </c>
      <c r="GH2190" s="1">
        <v>41787</v>
      </c>
      <c r="GI2190">
        <v>2013</v>
      </c>
      <c r="GJ2190">
        <v>539.67999999999995</v>
      </c>
      <c r="GK2190" t="s">
        <v>21117</v>
      </c>
      <c r="GL2190">
        <v>2.75</v>
      </c>
      <c r="GM2190" t="s">
        <v>424</v>
      </c>
      <c r="GN2190" t="s">
        <v>425</v>
      </c>
      <c r="GO2190" s="1">
        <v>42332</v>
      </c>
      <c r="GP2190">
        <v>18</v>
      </c>
      <c r="GQ2190">
        <v>10125</v>
      </c>
      <c r="GR2190" t="s">
        <v>440</v>
      </c>
      <c r="GT2190" s="1">
        <v>41423</v>
      </c>
      <c r="GU2190">
        <v>2012</v>
      </c>
      <c r="GV2190">
        <v>539.07000000000005</v>
      </c>
      <c r="GW2190" t="s">
        <v>21118</v>
      </c>
      <c r="GX2190">
        <v>0.75</v>
      </c>
      <c r="GY2190" t="s">
        <v>424</v>
      </c>
      <c r="GZ2190" t="s">
        <v>425</v>
      </c>
      <c r="HA2190" s="1">
        <v>42059</v>
      </c>
      <c r="HB2190">
        <v>21</v>
      </c>
      <c r="HC2190">
        <v>10125</v>
      </c>
      <c r="HD2190" t="s">
        <v>440</v>
      </c>
      <c r="HF2190" s="1">
        <v>41052</v>
      </c>
      <c r="HG2190">
        <v>2011</v>
      </c>
      <c r="HH2190">
        <v>515.24</v>
      </c>
      <c r="HI2190" t="s">
        <v>21119</v>
      </c>
      <c r="HJ2190">
        <v>6.75</v>
      </c>
      <c r="HK2190" t="s">
        <v>424</v>
      </c>
      <c r="HL2190" t="s">
        <v>425</v>
      </c>
      <c r="HM2190" s="1">
        <v>41697</v>
      </c>
      <c r="HN2190">
        <v>21</v>
      </c>
      <c r="HO2190">
        <v>10125</v>
      </c>
      <c r="HP2190" t="s">
        <v>440</v>
      </c>
    </row>
    <row r="2191" spans="1:272" x14ac:dyDescent="0.25">
      <c r="A2191">
        <v>16487198</v>
      </c>
      <c r="B2191">
        <v>2190</v>
      </c>
      <c r="C2191" t="s">
        <v>393</v>
      </c>
      <c r="D2191" t="s">
        <v>394</v>
      </c>
      <c r="F2191" t="str">
        <f>"00-00-31-1800-0129-0030"</f>
        <v>00-00-31-1800-0129-0030</v>
      </c>
      <c r="H2191" t="str">
        <f>"BUILDING AMELIA LLC"</f>
        <v>BUILDING AMELIA LLC</v>
      </c>
      <c r="I2191" t="str">
        <f>"1035 ISLE OF PALMS LN"</f>
        <v>1035 ISLE OF PALMS LN</v>
      </c>
      <c r="J2191" t="str">
        <f t="shared" si="823"/>
        <v>FERNANDINA BEACH FL 32034</v>
      </c>
      <c r="K2191" t="str">
        <f>"320 8TH ST S"</f>
        <v>320 8TH ST S</v>
      </c>
      <c r="L2191" t="str">
        <f t="shared" si="807"/>
        <v>FERNANDINA BEACH FL 32034</v>
      </c>
      <c r="M2191" t="str">
        <f>"BLOCK 129 LOT 3 PT OR 2001/1010 CITY OF FDNA BEACH"</f>
        <v>BLOCK 129 LOT 3 PT OR 2001/1010 CITY OF FDNA BEACH</v>
      </c>
      <c r="N2191" t="str">
        <f>""</f>
        <v/>
      </c>
      <c r="O2191" t="str">
        <f>"11894"</f>
        <v>11894</v>
      </c>
      <c r="P2191" t="str">
        <f t="shared" si="821"/>
        <v>2017</v>
      </c>
      <c r="Q2191" t="str">
        <f>""</f>
        <v/>
      </c>
      <c r="R2191" t="str">
        <f t="shared" si="825"/>
        <v>N</v>
      </c>
      <c r="S2191" t="str">
        <f>""</f>
        <v/>
      </c>
      <c r="T2191" t="str">
        <f>"3591.56"</f>
        <v>3591.56</v>
      </c>
      <c r="U2191" t="str">
        <f>"180202.00"</f>
        <v>180202.00</v>
      </c>
      <c r="V2191" t="str">
        <f>"180202.00"</f>
        <v>180202.00</v>
      </c>
      <c r="W2191" t="str">
        <f t="shared" si="822"/>
        <v>2017</v>
      </c>
      <c r="X2191" t="str">
        <f>""</f>
        <v/>
      </c>
      <c r="Y2191" t="str">
        <f>"3731.31"</f>
        <v>3731.31</v>
      </c>
      <c r="Z2191" t="str">
        <f>""</f>
        <v/>
      </c>
      <c r="AA2191" t="str">
        <f>"180202.00"</f>
        <v>180202.00</v>
      </c>
      <c r="AB2191" t="str">
        <f>"Commercial"</f>
        <v>Commercial</v>
      </c>
      <c r="AC2191" t="str">
        <f t="shared" si="809"/>
        <v>0</v>
      </c>
      <c r="AD2191" t="str">
        <f>"3"</f>
        <v>3</v>
      </c>
      <c r="AE2191" t="str">
        <f>"MASONRY"</f>
        <v>MASONRY</v>
      </c>
      <c r="AF2191" t="str">
        <f>"033"</f>
        <v>033</v>
      </c>
      <c r="AG2191" t="str">
        <f t="shared" si="824"/>
        <v>FL</v>
      </c>
      <c r="AH2191" t="str">
        <f>"10000.00"</f>
        <v>10000.00</v>
      </c>
      <c r="AI2191" t="str">
        <f>"100000.00"</f>
        <v>100000.00</v>
      </c>
      <c r="AJ2191" t="str">
        <f>"C55-000-585-9335-1"</f>
        <v>C55-000-585-9335-1</v>
      </c>
      <c r="AK2191" t="str">
        <f>"48864"</f>
        <v>48864</v>
      </c>
      <c r="AL2191">
        <v>8</v>
      </c>
      <c r="AM2191">
        <v>2501</v>
      </c>
      <c r="AN2191">
        <v>3916.28</v>
      </c>
      <c r="AQ2191" t="s">
        <v>21120</v>
      </c>
      <c r="AR2191" t="s">
        <v>21120</v>
      </c>
      <c r="AS2191" t="s">
        <v>21120</v>
      </c>
      <c r="AU2191" t="s">
        <v>396</v>
      </c>
      <c r="AV2191">
        <v>2017</v>
      </c>
      <c r="AW2191" t="str">
        <f>"00-00-31-1800-0129-0030 "</f>
        <v xml:space="preserve">00-00-31-1800-0129-0030 </v>
      </c>
      <c r="AX2191">
        <v>320</v>
      </c>
      <c r="AZ2191" t="s">
        <v>18673</v>
      </c>
      <c r="BA2191" t="s">
        <v>1942</v>
      </c>
      <c r="BB2191" t="s">
        <v>18674</v>
      </c>
      <c r="BD2191" t="s">
        <v>11749</v>
      </c>
      <c r="BE2191" t="s">
        <v>393</v>
      </c>
      <c r="BF2191">
        <v>32034</v>
      </c>
      <c r="BG2191" t="s">
        <v>21121</v>
      </c>
      <c r="BH2191" t="s">
        <v>11751</v>
      </c>
      <c r="BI2191">
        <v>-81.459241727447093</v>
      </c>
      <c r="BJ2191">
        <v>30.666146532360699</v>
      </c>
      <c r="BK2191" t="s">
        <v>21122</v>
      </c>
      <c r="BM2191" t="s">
        <v>20107</v>
      </c>
      <c r="BN2191" t="s">
        <v>3983</v>
      </c>
      <c r="BO2191">
        <v>32034</v>
      </c>
      <c r="BP2191" t="s">
        <v>404</v>
      </c>
      <c r="BQ2191">
        <v>3300</v>
      </c>
      <c r="BR2191" t="s">
        <v>5616</v>
      </c>
      <c r="BS2191">
        <v>2048</v>
      </c>
      <c r="BT2191" t="s">
        <v>5617</v>
      </c>
      <c r="BW2191">
        <v>10319</v>
      </c>
      <c r="BX2191" t="s">
        <v>407</v>
      </c>
      <c r="BY2191" t="s">
        <v>21123</v>
      </c>
      <c r="BZ2191">
        <v>3</v>
      </c>
      <c r="CA2191">
        <v>1950</v>
      </c>
      <c r="CB2191">
        <v>1</v>
      </c>
      <c r="CD2191">
        <v>2017</v>
      </c>
      <c r="CE2191">
        <v>100000</v>
      </c>
      <c r="CF2191">
        <v>80202</v>
      </c>
      <c r="CG2191">
        <v>180202</v>
      </c>
      <c r="CH2191">
        <v>2017</v>
      </c>
      <c r="CI2191">
        <v>100000</v>
      </c>
      <c r="CJ2191">
        <v>80202</v>
      </c>
      <c r="CK2191">
        <v>180202</v>
      </c>
      <c r="CL2191">
        <v>2017</v>
      </c>
      <c r="CM2191">
        <v>3591.56</v>
      </c>
      <c r="CN2191" s="1">
        <v>42255</v>
      </c>
      <c r="CO2191">
        <v>230000</v>
      </c>
      <c r="CV2191">
        <v>0</v>
      </c>
      <c r="CZ2191" s="1">
        <v>42255</v>
      </c>
      <c r="DA2191">
        <v>0</v>
      </c>
      <c r="DD2191" t="s">
        <v>11749</v>
      </c>
      <c r="DF2191">
        <v>3</v>
      </c>
      <c r="DG2191">
        <v>23</v>
      </c>
      <c r="DJ2191" t="s">
        <v>20634</v>
      </c>
      <c r="DL2191">
        <v>50101</v>
      </c>
      <c r="DM2191" t="s">
        <v>20742</v>
      </c>
      <c r="DO2191" t="s">
        <v>21124</v>
      </c>
      <c r="DP2191">
        <v>0</v>
      </c>
      <c r="DQ2191">
        <v>9</v>
      </c>
      <c r="DR2191" t="s">
        <v>1479</v>
      </c>
    </row>
    <row r="2192" spans="1:272" x14ac:dyDescent="0.25">
      <c r="A2192">
        <v>16487199</v>
      </c>
      <c r="B2192">
        <v>2191</v>
      </c>
      <c r="C2192" t="s">
        <v>393</v>
      </c>
      <c r="D2192" t="s">
        <v>394</v>
      </c>
      <c r="F2192" t="str">
        <f>"00-00-31-1800-0129-0062"</f>
        <v>00-00-31-1800-0129-0062</v>
      </c>
      <c r="H2192" t="str">
        <f>"BUILDING AMELIA LLC"</f>
        <v>BUILDING AMELIA LLC</v>
      </c>
      <c r="I2192" t="str">
        <f>"1035 ISLE OF PALMS LN"</f>
        <v>1035 ISLE OF PALMS LN</v>
      </c>
      <c r="J2192" t="str">
        <f t="shared" si="823"/>
        <v>FERNANDINA BEACH FL 32034</v>
      </c>
      <c r="K2192" t="str">
        <f>"323 S 9TH ST"</f>
        <v>323 S 9TH ST</v>
      </c>
      <c r="L2192" t="str">
        <f t="shared" si="807"/>
        <v>FERNANDINA BEACH FL 32034</v>
      </c>
      <c r="M2192" t="str">
        <f>"BLOCK 129 LOT S1/2 OF 6 IN OR 2001/1010 CITY OF FDNA BEACH"</f>
        <v>BLOCK 129 LOT S1/2 OF 6 IN OR 2001/1010 CITY OF FDNA BEACH</v>
      </c>
      <c r="N2192" t="str">
        <f>""</f>
        <v/>
      </c>
      <c r="O2192" t="str">
        <f>"11898"</f>
        <v>11898</v>
      </c>
      <c r="P2192" t="str">
        <f t="shared" si="821"/>
        <v>2017</v>
      </c>
      <c r="Q2192" t="str">
        <f>""</f>
        <v/>
      </c>
      <c r="R2192" t="str">
        <f t="shared" si="825"/>
        <v>N</v>
      </c>
      <c r="S2192" t="str">
        <f>""</f>
        <v/>
      </c>
      <c r="T2192" t="str">
        <f>"383.67"</f>
        <v>383.67</v>
      </c>
      <c r="U2192" t="str">
        <f>"19250.00"</f>
        <v>19250.00</v>
      </c>
      <c r="V2192" t="str">
        <f>"19250.00"</f>
        <v>19250.00</v>
      </c>
      <c r="W2192" t="str">
        <f t="shared" si="822"/>
        <v>2017</v>
      </c>
      <c r="X2192" t="str">
        <f>"31.00"</f>
        <v>31.00</v>
      </c>
      <c r="Y2192" t="str">
        <f>"427.18"</f>
        <v>427.18</v>
      </c>
      <c r="Z2192" t="str">
        <f>""</f>
        <v/>
      </c>
      <c r="AA2192" t="str">
        <f>"19250.00"</f>
        <v>19250.00</v>
      </c>
      <c r="AB2192" t="str">
        <f>"Commercial"</f>
        <v>Commercial</v>
      </c>
      <c r="AC2192" t="str">
        <f t="shared" si="809"/>
        <v>0</v>
      </c>
      <c r="AD2192" t="str">
        <f>""</f>
        <v/>
      </c>
      <c r="AE2192" t="str">
        <f>""</f>
        <v/>
      </c>
      <c r="AF2192" t="str">
        <f>"010"</f>
        <v>010</v>
      </c>
      <c r="AG2192" t="str">
        <f t="shared" si="824"/>
        <v>FL</v>
      </c>
      <c r="AH2192" t="str">
        <f>"5000.00"</f>
        <v>5000.00</v>
      </c>
      <c r="AI2192" t="str">
        <f>"19250.00"</f>
        <v>19250.00</v>
      </c>
      <c r="AJ2192" t="str">
        <f>"C55-000-585-9339-3"</f>
        <v>C55-000-585-9339-3</v>
      </c>
      <c r="AK2192" t="str">
        <f>"48868"</f>
        <v>48868</v>
      </c>
      <c r="AL2192">
        <v>8</v>
      </c>
      <c r="AM2192">
        <v>2502</v>
      </c>
      <c r="AN2192">
        <v>446.94</v>
      </c>
      <c r="AQ2192" t="s">
        <v>21125</v>
      </c>
      <c r="AR2192" t="s">
        <v>21125</v>
      </c>
      <c r="AS2192" t="s">
        <v>21125</v>
      </c>
      <c r="AU2192" t="s">
        <v>396</v>
      </c>
      <c r="AV2192">
        <v>2017</v>
      </c>
      <c r="AW2192" t="str">
        <f>"00-00-31-1800-0129-0062 "</f>
        <v xml:space="preserve">00-00-31-1800-0129-0062 </v>
      </c>
      <c r="AX2192">
        <v>323</v>
      </c>
      <c r="AY2192" t="s">
        <v>18674</v>
      </c>
      <c r="AZ2192" t="s">
        <v>20794</v>
      </c>
      <c r="BA2192" t="s">
        <v>1942</v>
      </c>
      <c r="BD2192" t="s">
        <v>11749</v>
      </c>
      <c r="BE2192" t="s">
        <v>393</v>
      </c>
      <c r="BF2192">
        <v>32034</v>
      </c>
      <c r="BG2192" t="s">
        <v>21126</v>
      </c>
      <c r="BH2192" t="s">
        <v>11751</v>
      </c>
      <c r="BI2192">
        <v>-81.458932756379298</v>
      </c>
      <c r="BJ2192">
        <v>30.666041289559999</v>
      </c>
      <c r="BK2192" t="s">
        <v>21122</v>
      </c>
      <c r="BM2192" t="s">
        <v>20107</v>
      </c>
      <c r="BN2192" t="s">
        <v>3983</v>
      </c>
      <c r="BO2192">
        <v>32034</v>
      </c>
      <c r="BP2192" t="s">
        <v>404</v>
      </c>
      <c r="BQ2192">
        <v>1000</v>
      </c>
      <c r="BR2192" t="s">
        <v>2391</v>
      </c>
      <c r="BS2192">
        <v>8002</v>
      </c>
      <c r="BT2192" t="s">
        <v>2392</v>
      </c>
      <c r="BW2192">
        <v>5001</v>
      </c>
      <c r="BX2192" t="s">
        <v>407</v>
      </c>
      <c r="BY2192" t="s">
        <v>20798</v>
      </c>
      <c r="CD2192">
        <v>2017</v>
      </c>
      <c r="CE2192">
        <v>19250</v>
      </c>
      <c r="CG2192">
        <v>19250</v>
      </c>
      <c r="CH2192">
        <v>2017</v>
      </c>
      <c r="CI2192">
        <v>19250</v>
      </c>
      <c r="CK2192">
        <v>19250</v>
      </c>
      <c r="CL2192">
        <v>2017</v>
      </c>
      <c r="CM2192">
        <v>383.67</v>
      </c>
      <c r="CN2192" s="1">
        <v>42255</v>
      </c>
      <c r="CO2192">
        <v>230000</v>
      </c>
      <c r="CV2192">
        <v>0</v>
      </c>
      <c r="CZ2192" s="1">
        <v>42255</v>
      </c>
      <c r="DA2192">
        <v>0</v>
      </c>
      <c r="DD2192" t="s">
        <v>11749</v>
      </c>
      <c r="DG2192">
        <v>23</v>
      </c>
      <c r="DJ2192" t="s">
        <v>20634</v>
      </c>
      <c r="DL2192">
        <v>50101</v>
      </c>
      <c r="DM2192" t="s">
        <v>20742</v>
      </c>
      <c r="DO2192" t="s">
        <v>21127</v>
      </c>
      <c r="DP2192">
        <v>0</v>
      </c>
      <c r="DQ2192">
        <v>9</v>
      </c>
      <c r="DR2192" t="s">
        <v>1479</v>
      </c>
      <c r="EP2192" t="s">
        <v>421</v>
      </c>
      <c r="EQ2192" t="s">
        <v>452</v>
      </c>
      <c r="ER2192">
        <v>0</v>
      </c>
      <c r="ES2192">
        <v>2</v>
      </c>
      <c r="ET2192">
        <v>0</v>
      </c>
      <c r="EU2192">
        <v>0</v>
      </c>
      <c r="EV2192">
        <v>0</v>
      </c>
      <c r="EW2192" s="2">
        <v>43222</v>
      </c>
      <c r="EX2192" s="1">
        <v>41052</v>
      </c>
      <c r="EY2192">
        <v>2011</v>
      </c>
      <c r="EZ2192">
        <v>797.21</v>
      </c>
      <c r="FA2192" t="s">
        <v>21128</v>
      </c>
      <c r="FB2192">
        <v>8.75</v>
      </c>
      <c r="FC2192" t="s">
        <v>424</v>
      </c>
      <c r="FD2192" t="s">
        <v>425</v>
      </c>
      <c r="FE2192" s="1">
        <v>41261</v>
      </c>
      <c r="FF2192">
        <v>7</v>
      </c>
      <c r="FG2192">
        <v>10125</v>
      </c>
      <c r="FH2192" t="s">
        <v>440</v>
      </c>
      <c r="FI2192" t="s">
        <v>458</v>
      </c>
      <c r="FJ2192" s="1">
        <v>40688</v>
      </c>
      <c r="FK2192">
        <v>2010</v>
      </c>
      <c r="FL2192">
        <v>779.15</v>
      </c>
      <c r="FM2192" t="s">
        <v>21129</v>
      </c>
      <c r="FN2192">
        <v>6</v>
      </c>
      <c r="FO2192" t="s">
        <v>424</v>
      </c>
      <c r="FP2192" t="s">
        <v>425</v>
      </c>
      <c r="FQ2192" s="1">
        <v>41261</v>
      </c>
      <c r="FR2192">
        <v>19</v>
      </c>
      <c r="FS2192">
        <v>10003</v>
      </c>
      <c r="FT2192" t="s">
        <v>4341</v>
      </c>
      <c r="FU2192" t="s">
        <v>458</v>
      </c>
    </row>
    <row r="2193" spans="1:284" x14ac:dyDescent="0.25">
      <c r="A2193">
        <v>16487200</v>
      </c>
      <c r="B2193">
        <v>2192</v>
      </c>
      <c r="C2193" t="s">
        <v>393</v>
      </c>
      <c r="D2193" t="s">
        <v>394</v>
      </c>
      <c r="F2193" t="str">
        <f>"00-00-31-1800-0130-0022"</f>
        <v>00-00-31-1800-0130-0022</v>
      </c>
      <c r="H2193" t="str">
        <f>"LEIBMAN MARILYN C"</f>
        <v>LEIBMAN MARILYN C</v>
      </c>
      <c r="I2193" t="str">
        <f>"PO BOX 150"</f>
        <v>PO BOX 150</v>
      </c>
      <c r="J2193" t="str">
        <f>"SOUND BEACH NY 11789"</f>
        <v>SOUND BEACH NY 11789</v>
      </c>
      <c r="K2193" t="str">
        <f>"316 9TH ST S U&amp;D"</f>
        <v>316 9TH ST S U&amp;D</v>
      </c>
      <c r="L2193" t="str">
        <f t="shared" si="807"/>
        <v>FERNANDINA BEACH FL 32034</v>
      </c>
      <c r="M2193" t="str">
        <f>"BLOCK 130 S1/2 OF LOT 2 IN OR 1207/1645 CITY OF FDNA BEACH"</f>
        <v>BLOCK 130 S1/2 OF LOT 2 IN OR 1207/1645 CITY OF FDNA BEACH</v>
      </c>
      <c r="N2193" t="str">
        <f>""</f>
        <v/>
      </c>
      <c r="O2193" t="str">
        <f>"11905"</f>
        <v>11905</v>
      </c>
      <c r="P2193" t="str">
        <f t="shared" si="821"/>
        <v>2017</v>
      </c>
      <c r="Q2193" t="str">
        <f>""</f>
        <v/>
      </c>
      <c r="R2193" t="str">
        <f t="shared" si="825"/>
        <v>N</v>
      </c>
      <c r="S2193" t="str">
        <f>""</f>
        <v/>
      </c>
      <c r="T2193" t="str">
        <f>"1782.76"</f>
        <v>1782.76</v>
      </c>
      <c r="U2193" t="str">
        <f>"87548.00"</f>
        <v>87548.00</v>
      </c>
      <c r="V2193" t="str">
        <f>"87548.00"</f>
        <v>87548.00</v>
      </c>
      <c r="W2193" t="str">
        <f t="shared" si="822"/>
        <v>2017</v>
      </c>
      <c r="X2193" t="str">
        <f>"21.11"</f>
        <v>21.11</v>
      </c>
      <c r="Y2193" t="str">
        <f>"1868.24"</f>
        <v>1868.24</v>
      </c>
      <c r="Z2193" t="str">
        <f>""</f>
        <v/>
      </c>
      <c r="AA2193" t="str">
        <f>"93286.00"</f>
        <v>93286.00</v>
      </c>
      <c r="AB2193" t="str">
        <f>"Residential"</f>
        <v>Residential</v>
      </c>
      <c r="AC2193" t="str">
        <f t="shared" si="809"/>
        <v>0</v>
      </c>
      <c r="AD2193" t="str">
        <f>"4"</f>
        <v>4</v>
      </c>
      <c r="AE2193" t="str">
        <f>"WOOD (INCLUDE STEEL STUDS)"</f>
        <v>WOOD (INCLUDE STEEL STUDS)</v>
      </c>
      <c r="AF2193" t="str">
        <f>"008"</f>
        <v>008</v>
      </c>
      <c r="AG2193" t="str">
        <f>"NY"</f>
        <v>NY</v>
      </c>
      <c r="AH2193" t="str">
        <f>"4930.00"</f>
        <v>4930.00</v>
      </c>
      <c r="AI2193" t="str">
        <f>"18980.00"</f>
        <v>18980.00</v>
      </c>
      <c r="AJ2193" t="str">
        <f>"C55-000-585-9346-8"</f>
        <v>C55-000-585-9346-8</v>
      </c>
      <c r="AK2193" t="str">
        <f>"48875"</f>
        <v>48875</v>
      </c>
      <c r="AL2193">
        <v>8</v>
      </c>
      <c r="AM2193">
        <v>2503</v>
      </c>
      <c r="AN2193">
        <v>1960.05</v>
      </c>
      <c r="AQ2193" t="s">
        <v>21130</v>
      </c>
      <c r="AR2193" t="s">
        <v>21130</v>
      </c>
      <c r="AS2193" t="s">
        <v>21130</v>
      </c>
      <c r="AU2193" t="s">
        <v>396</v>
      </c>
      <c r="AV2193">
        <v>2017</v>
      </c>
      <c r="AW2193" t="str">
        <f>"00-00-31-1800-0130-0022 "</f>
        <v xml:space="preserve">00-00-31-1800-0130-0022 </v>
      </c>
      <c r="AX2193">
        <v>316</v>
      </c>
      <c r="AZ2193" t="s">
        <v>21131</v>
      </c>
      <c r="BC2193" t="s">
        <v>20064</v>
      </c>
      <c r="BD2193" t="s">
        <v>11749</v>
      </c>
      <c r="BE2193" t="s">
        <v>393</v>
      </c>
      <c r="BF2193">
        <v>32034</v>
      </c>
      <c r="BG2193" t="s">
        <v>21132</v>
      </c>
      <c r="BH2193" t="s">
        <v>11751</v>
      </c>
      <c r="BI2193">
        <v>-81.458393195829103</v>
      </c>
      <c r="BJ2193">
        <v>30.666261629064</v>
      </c>
      <c r="BK2193" t="s">
        <v>17175</v>
      </c>
      <c r="BM2193" t="s">
        <v>17176</v>
      </c>
      <c r="BN2193" t="s">
        <v>17177</v>
      </c>
      <c r="BO2193">
        <v>11789</v>
      </c>
      <c r="BP2193" t="s">
        <v>404</v>
      </c>
      <c r="BQ2193">
        <v>800</v>
      </c>
      <c r="BR2193" t="s">
        <v>5126</v>
      </c>
      <c r="BS2193">
        <v>1110</v>
      </c>
      <c r="BT2193" t="s">
        <v>5127</v>
      </c>
      <c r="BW2193">
        <v>4931</v>
      </c>
      <c r="BX2193" t="s">
        <v>407</v>
      </c>
      <c r="BY2193" t="s">
        <v>20798</v>
      </c>
      <c r="BZ2193">
        <v>4</v>
      </c>
      <c r="CA2193">
        <v>1900</v>
      </c>
      <c r="CB2193">
        <v>1.5</v>
      </c>
      <c r="CC2193">
        <v>1</v>
      </c>
      <c r="CD2193">
        <v>2017</v>
      </c>
      <c r="CE2193">
        <v>18980</v>
      </c>
      <c r="CF2193">
        <v>74306</v>
      </c>
      <c r="CG2193">
        <v>93286</v>
      </c>
      <c r="CH2193">
        <v>2017</v>
      </c>
      <c r="CI2193">
        <v>18980</v>
      </c>
      <c r="CJ2193">
        <v>74306</v>
      </c>
      <c r="CK2193">
        <v>93286</v>
      </c>
      <c r="CL2193">
        <v>2017</v>
      </c>
      <c r="CM2193">
        <v>1782.76</v>
      </c>
      <c r="CN2193" s="1">
        <v>38028</v>
      </c>
      <c r="CO2193">
        <v>55000</v>
      </c>
      <c r="CV2193">
        <v>0</v>
      </c>
      <c r="CZ2193" s="1">
        <v>38028</v>
      </c>
      <c r="DA2193">
        <v>0</v>
      </c>
      <c r="DD2193" t="s">
        <v>11749</v>
      </c>
      <c r="DF2193">
        <v>2</v>
      </c>
      <c r="DG2193">
        <v>23</v>
      </c>
      <c r="DI2193" t="s">
        <v>20068</v>
      </c>
      <c r="DJ2193" t="s">
        <v>20634</v>
      </c>
      <c r="DL2193">
        <v>50101</v>
      </c>
      <c r="DM2193" t="s">
        <v>20742</v>
      </c>
      <c r="DO2193" t="s">
        <v>21133</v>
      </c>
      <c r="DP2193">
        <v>0</v>
      </c>
      <c r="DQ2193">
        <v>7</v>
      </c>
      <c r="DR2193" t="s">
        <v>1479</v>
      </c>
      <c r="DS2193" t="b">
        <v>1</v>
      </c>
      <c r="DT2193" t="s">
        <v>470</v>
      </c>
      <c r="DU2193" t="s">
        <v>471</v>
      </c>
      <c r="DV2193" t="s">
        <v>472</v>
      </c>
      <c r="DX2193">
        <v>-9999</v>
      </c>
      <c r="DZ2193" t="s">
        <v>447</v>
      </c>
      <c r="EA2193" t="s">
        <v>448</v>
      </c>
      <c r="EB2193" t="s">
        <v>14787</v>
      </c>
      <c r="EC2193">
        <v>20101217</v>
      </c>
      <c r="ED2193" t="s">
        <v>474</v>
      </c>
      <c r="EF2193">
        <v>1399.5</v>
      </c>
      <c r="EG2193">
        <v>1236.9000000000001</v>
      </c>
      <c r="EI2193">
        <v>20160407</v>
      </c>
      <c r="EJ2193">
        <v>0</v>
      </c>
      <c r="EK2193">
        <v>0</v>
      </c>
      <c r="EP2193" t="s">
        <v>421</v>
      </c>
      <c r="EQ2193" t="s">
        <v>422</v>
      </c>
      <c r="ER2193">
        <v>2</v>
      </c>
      <c r="ES2193">
        <v>9</v>
      </c>
      <c r="ET2193">
        <v>3623.1</v>
      </c>
      <c r="EU2193">
        <v>193.66</v>
      </c>
      <c r="EV2193">
        <v>3816.76</v>
      </c>
      <c r="EW2193" s="2">
        <v>43222</v>
      </c>
      <c r="EX2193" s="1">
        <v>42879</v>
      </c>
      <c r="EY2193">
        <v>2016</v>
      </c>
      <c r="EZ2193">
        <v>1811.55</v>
      </c>
      <c r="FA2193" t="s">
        <v>21134</v>
      </c>
      <c r="FB2193">
        <v>0.25</v>
      </c>
      <c r="FC2193" t="s">
        <v>424</v>
      </c>
      <c r="FD2193" t="s">
        <v>454</v>
      </c>
      <c r="FF2193">
        <v>12</v>
      </c>
      <c r="FG2193">
        <v>2851116</v>
      </c>
      <c r="FH2193" t="s">
        <v>480</v>
      </c>
      <c r="FJ2193" s="1">
        <v>42879</v>
      </c>
      <c r="FK2193">
        <v>2016</v>
      </c>
      <c r="FL2193">
        <v>1811.55</v>
      </c>
      <c r="FM2193" t="s">
        <v>21134</v>
      </c>
      <c r="FN2193">
        <v>0.25</v>
      </c>
      <c r="FO2193" t="s">
        <v>424</v>
      </c>
      <c r="FP2193" t="s">
        <v>454</v>
      </c>
      <c r="FR2193">
        <v>12</v>
      </c>
      <c r="FS2193">
        <v>5335070</v>
      </c>
      <c r="FT2193" t="s">
        <v>21135</v>
      </c>
      <c r="FV2193" s="1">
        <v>42515</v>
      </c>
      <c r="FW2193">
        <v>2015</v>
      </c>
      <c r="FX2193">
        <v>1626.61</v>
      </c>
      <c r="FY2193" t="s">
        <v>21136</v>
      </c>
      <c r="FZ2193">
        <v>0.25</v>
      </c>
      <c r="GA2193" t="s">
        <v>424</v>
      </c>
      <c r="GB2193" t="s">
        <v>425</v>
      </c>
      <c r="GC2193" s="1">
        <v>43159</v>
      </c>
      <c r="GD2193">
        <v>21</v>
      </c>
      <c r="GE2193">
        <v>2851116</v>
      </c>
      <c r="GF2193" t="s">
        <v>480</v>
      </c>
      <c r="GH2193" s="1">
        <v>42515</v>
      </c>
      <c r="GI2193">
        <v>2015</v>
      </c>
      <c r="GJ2193">
        <v>1626.61</v>
      </c>
      <c r="GK2193" t="s">
        <v>21136</v>
      </c>
      <c r="GL2193">
        <v>0.25</v>
      </c>
      <c r="GM2193" t="s">
        <v>424</v>
      </c>
      <c r="GN2193" t="s">
        <v>425</v>
      </c>
      <c r="GP2193">
        <v>22</v>
      </c>
      <c r="GQ2193">
        <v>4918295</v>
      </c>
      <c r="GR2193" t="s">
        <v>21137</v>
      </c>
      <c r="GT2193" s="1">
        <v>42151</v>
      </c>
      <c r="GU2193">
        <v>2014</v>
      </c>
      <c r="GV2193">
        <v>1582.55</v>
      </c>
      <c r="GW2193" t="s">
        <v>21138</v>
      </c>
      <c r="GX2193">
        <v>0.25</v>
      </c>
      <c r="GY2193" t="s">
        <v>424</v>
      </c>
      <c r="GZ2193" t="s">
        <v>425</v>
      </c>
      <c r="HA2193" s="1">
        <v>42794</v>
      </c>
      <c r="HB2193">
        <v>21</v>
      </c>
      <c r="HC2193">
        <v>4975594</v>
      </c>
      <c r="HD2193" t="s">
        <v>457</v>
      </c>
      <c r="HF2193" s="1">
        <v>42151</v>
      </c>
      <c r="HG2193">
        <v>2014</v>
      </c>
      <c r="HH2193">
        <v>1582.55</v>
      </c>
      <c r="HI2193" t="s">
        <v>21138</v>
      </c>
      <c r="HJ2193">
        <v>0.25</v>
      </c>
      <c r="HK2193" t="s">
        <v>424</v>
      </c>
      <c r="HL2193" t="s">
        <v>425</v>
      </c>
      <c r="HN2193">
        <v>22</v>
      </c>
      <c r="HO2193">
        <v>6228079</v>
      </c>
      <c r="HP2193" t="s">
        <v>21139</v>
      </c>
      <c r="HR2193" s="1">
        <v>41787</v>
      </c>
      <c r="HS2193">
        <v>2013</v>
      </c>
      <c r="HT2193">
        <v>1359.97</v>
      </c>
      <c r="HU2193" t="s">
        <v>21140</v>
      </c>
      <c r="HV2193">
        <v>0.25</v>
      </c>
      <c r="HW2193" t="s">
        <v>424</v>
      </c>
      <c r="HX2193" t="s">
        <v>425</v>
      </c>
      <c r="HY2193" s="1">
        <v>42426</v>
      </c>
      <c r="HZ2193">
        <v>21</v>
      </c>
      <c r="IA2193">
        <v>2101382</v>
      </c>
      <c r="IB2193" t="s">
        <v>993</v>
      </c>
      <c r="ID2193" s="1">
        <v>41423</v>
      </c>
      <c r="IE2193">
        <v>2012</v>
      </c>
      <c r="IF2193">
        <v>1398.94</v>
      </c>
      <c r="IG2193" t="s">
        <v>21141</v>
      </c>
      <c r="IH2193">
        <v>0.25</v>
      </c>
      <c r="II2193" t="s">
        <v>424</v>
      </c>
      <c r="IJ2193" t="s">
        <v>425</v>
      </c>
      <c r="IK2193" s="1">
        <v>42075</v>
      </c>
      <c r="IL2193">
        <v>22</v>
      </c>
      <c r="IM2193">
        <v>606981</v>
      </c>
      <c r="IN2193" t="s">
        <v>792</v>
      </c>
      <c r="IP2193" s="1">
        <v>41052</v>
      </c>
      <c r="IQ2193">
        <v>2011</v>
      </c>
      <c r="IR2193">
        <v>1660.81</v>
      </c>
      <c r="IS2193" t="s">
        <v>21142</v>
      </c>
      <c r="IT2193">
        <v>0.25</v>
      </c>
      <c r="IU2193" t="s">
        <v>424</v>
      </c>
      <c r="IV2193" t="s">
        <v>425</v>
      </c>
      <c r="IW2193" s="1">
        <v>41725</v>
      </c>
      <c r="IX2193">
        <v>22</v>
      </c>
      <c r="IY2193">
        <v>13104</v>
      </c>
      <c r="IZ2193" t="s">
        <v>888</v>
      </c>
      <c r="JB2193" s="1">
        <v>41052</v>
      </c>
      <c r="JC2193">
        <v>2011</v>
      </c>
      <c r="JD2193">
        <v>1660.81</v>
      </c>
      <c r="JE2193" t="s">
        <v>21142</v>
      </c>
      <c r="JF2193">
        <v>0.25</v>
      </c>
      <c r="JG2193" t="s">
        <v>424</v>
      </c>
      <c r="JH2193" t="s">
        <v>425</v>
      </c>
      <c r="JJ2193">
        <v>22</v>
      </c>
      <c r="JK2193">
        <v>13667</v>
      </c>
      <c r="JL2193" t="s">
        <v>21143</v>
      </c>
      <c r="JN2193" s="1">
        <v>40688</v>
      </c>
      <c r="JO2193">
        <v>2010</v>
      </c>
      <c r="JP2193">
        <v>1717.63</v>
      </c>
      <c r="JQ2193" t="s">
        <v>21144</v>
      </c>
      <c r="JR2193">
        <v>5</v>
      </c>
      <c r="JS2193" t="s">
        <v>424</v>
      </c>
      <c r="JT2193" t="s">
        <v>425</v>
      </c>
      <c r="JU2193" s="1">
        <v>41360</v>
      </c>
      <c r="JV2193">
        <v>22</v>
      </c>
      <c r="JW2193">
        <v>11177</v>
      </c>
      <c r="JX2193" t="s">
        <v>650</v>
      </c>
    </row>
    <row r="2194" spans="1:284" x14ac:dyDescent="0.25">
      <c r="A2194">
        <v>16487201</v>
      </c>
      <c r="B2194">
        <v>2193</v>
      </c>
      <c r="C2194" t="s">
        <v>393</v>
      </c>
      <c r="D2194" t="s">
        <v>394</v>
      </c>
      <c r="F2194" t="str">
        <f>"00-00-31-1800-0130-0060"</f>
        <v>00-00-31-1800-0130-0060</v>
      </c>
      <c r="H2194" t="str">
        <f>"TOLBERT CARLTON E"</f>
        <v>TOLBERT CARLTON E</v>
      </c>
      <c r="I2194" t="str">
        <f>"45 WEST DURHAM ST"</f>
        <v>45 WEST DURHAM ST</v>
      </c>
      <c r="J2194" t="str">
        <f>"PHILADELPHIA PA 19119"</f>
        <v>PHILADELPHIA PA 19119</v>
      </c>
      <c r="K2194" t="str">
        <f>"317 10TH ST S"</f>
        <v>317 10TH ST S</v>
      </c>
      <c r="L2194" t="str">
        <f t="shared" si="807"/>
        <v>FERNANDINA BEACH FL 32034</v>
      </c>
      <c r="M2194" t="str">
        <f>"BLOCK 130 LOT 6 (EX S-1) IN OR 1829/602 CITY OF FDNA BEACH"</f>
        <v>BLOCK 130 LOT 6 (EX S-1) IN OR 1829/602 CITY OF FDNA BEACH</v>
      </c>
      <c r="N2194" t="str">
        <f>""</f>
        <v/>
      </c>
      <c r="O2194" t="str">
        <f>"11912"</f>
        <v>11912</v>
      </c>
      <c r="P2194" t="str">
        <f t="shared" si="821"/>
        <v>2017</v>
      </c>
      <c r="Q2194" t="str">
        <f>""</f>
        <v/>
      </c>
      <c r="R2194" t="str">
        <f t="shared" si="825"/>
        <v>N</v>
      </c>
      <c r="S2194" t="str">
        <f>""</f>
        <v/>
      </c>
      <c r="T2194" t="str">
        <f>"445.63"</f>
        <v>445.63</v>
      </c>
      <c r="U2194" t="str">
        <f>"21175.00"</f>
        <v>21175.00</v>
      </c>
      <c r="V2194" t="str">
        <f>"21175.00"</f>
        <v>21175.00</v>
      </c>
      <c r="W2194" t="str">
        <f t="shared" si="822"/>
        <v>2017</v>
      </c>
      <c r="X2194" t="str">
        <f>""</f>
        <v/>
      </c>
      <c r="Y2194" t="str">
        <f>"491.00"</f>
        <v>491.00</v>
      </c>
      <c r="Z2194" t="str">
        <f>""</f>
        <v/>
      </c>
      <c r="AA2194" t="str">
        <f>"24750.00"</f>
        <v>24750.00</v>
      </c>
      <c r="AB2194" t="str">
        <f>"Residential"</f>
        <v>Residential</v>
      </c>
      <c r="AC2194" t="str">
        <f t="shared" si="809"/>
        <v>0</v>
      </c>
      <c r="AD2194" t="str">
        <f>""</f>
        <v/>
      </c>
      <c r="AE2194" t="str">
        <f>""</f>
        <v/>
      </c>
      <c r="AF2194" t="str">
        <f>"000"</f>
        <v>000</v>
      </c>
      <c r="AG2194" t="str">
        <f>"PA"</f>
        <v>PA</v>
      </c>
      <c r="AH2194" t="str">
        <f>"5000.00"</f>
        <v>5000.00</v>
      </c>
      <c r="AI2194" t="str">
        <f>"24750.00"</f>
        <v>24750.00</v>
      </c>
      <c r="AJ2194" t="str">
        <f>"C55-000-585-9353-4"</f>
        <v>C55-000-585-9353-4</v>
      </c>
      <c r="AK2194" t="str">
        <f>"48881"</f>
        <v>48881</v>
      </c>
      <c r="AL2194">
        <v>8</v>
      </c>
      <c r="AM2194">
        <v>2505</v>
      </c>
      <c r="AN2194">
        <v>513.95000000000005</v>
      </c>
      <c r="AQ2194" t="s">
        <v>21145</v>
      </c>
      <c r="AR2194" t="s">
        <v>21145</v>
      </c>
      <c r="AS2194" t="s">
        <v>21145</v>
      </c>
      <c r="AU2194" t="s">
        <v>396</v>
      </c>
      <c r="AV2194">
        <v>2017</v>
      </c>
      <c r="AW2194" t="str">
        <f>"00-00-31-1800-0130-0060 "</f>
        <v xml:space="preserve">00-00-31-1800-0130-0060 </v>
      </c>
      <c r="AX2194">
        <v>317</v>
      </c>
      <c r="AZ2194" t="s">
        <v>5188</v>
      </c>
      <c r="BA2194" t="s">
        <v>1942</v>
      </c>
      <c r="BB2194" t="s">
        <v>18674</v>
      </c>
      <c r="BD2194" t="s">
        <v>11749</v>
      </c>
      <c r="BE2194" t="s">
        <v>393</v>
      </c>
      <c r="BF2194">
        <v>32034</v>
      </c>
      <c r="BG2194" t="s">
        <v>21146</v>
      </c>
      <c r="BH2194" t="s">
        <v>11751</v>
      </c>
      <c r="BI2194">
        <v>-81.4581241322484</v>
      </c>
      <c r="BJ2194">
        <v>30.665951578743002</v>
      </c>
      <c r="BK2194" t="s">
        <v>21147</v>
      </c>
      <c r="BM2194" t="s">
        <v>20599</v>
      </c>
      <c r="BN2194" t="s">
        <v>16603</v>
      </c>
      <c r="BO2194">
        <v>19119</v>
      </c>
      <c r="BP2194" t="s">
        <v>404</v>
      </c>
      <c r="BQ2194">
        <v>0</v>
      </c>
      <c r="BR2194" t="s">
        <v>491</v>
      </c>
      <c r="BS2194">
        <v>8001</v>
      </c>
      <c r="BT2194" t="s">
        <v>492</v>
      </c>
      <c r="BU2194">
        <v>500</v>
      </c>
      <c r="BV2194">
        <v>1000</v>
      </c>
      <c r="BW2194">
        <v>5090</v>
      </c>
      <c r="BX2194" t="s">
        <v>407</v>
      </c>
      <c r="BY2194" t="s">
        <v>18253</v>
      </c>
      <c r="CD2194">
        <v>2017</v>
      </c>
      <c r="CE2194">
        <v>24750</v>
      </c>
      <c r="CG2194">
        <v>24750</v>
      </c>
      <c r="CH2194">
        <v>2017</v>
      </c>
      <c r="CI2194">
        <v>24750</v>
      </c>
      <c r="CK2194">
        <v>24750</v>
      </c>
      <c r="CL2194">
        <v>2017</v>
      </c>
      <c r="CM2194">
        <v>445.63</v>
      </c>
      <c r="CN2194" s="1">
        <v>41254</v>
      </c>
      <c r="CO2194">
        <v>9000</v>
      </c>
      <c r="CV2194">
        <v>0</v>
      </c>
      <c r="CZ2194" s="1">
        <v>41254</v>
      </c>
      <c r="DA2194">
        <v>0</v>
      </c>
      <c r="DD2194" t="s">
        <v>11749</v>
      </c>
      <c r="DF2194">
        <v>6</v>
      </c>
      <c r="DG2194">
        <v>23</v>
      </c>
      <c r="DJ2194" t="s">
        <v>20634</v>
      </c>
      <c r="DL2194">
        <v>50101</v>
      </c>
      <c r="DM2194" t="s">
        <v>20742</v>
      </c>
      <c r="DO2194" t="s">
        <v>21148</v>
      </c>
      <c r="DP2194">
        <v>0</v>
      </c>
      <c r="DQ2194">
        <v>7</v>
      </c>
      <c r="DR2194" t="s">
        <v>1479</v>
      </c>
    </row>
    <row r="2195" spans="1:284" x14ac:dyDescent="0.25">
      <c r="A2195">
        <v>16487202</v>
      </c>
      <c r="B2195">
        <v>2194</v>
      </c>
      <c r="C2195" t="s">
        <v>393</v>
      </c>
      <c r="D2195" t="s">
        <v>394</v>
      </c>
      <c r="F2195" t="str">
        <f>"00-00-31-1800-0130-0071"</f>
        <v>00-00-31-1800-0130-0071</v>
      </c>
      <c r="H2195" t="str">
        <f>"TOLBERT CARLTON E &amp; WILSON-TOLBERT ROBIN (H&amp;W)"</f>
        <v>TOLBERT CARLTON E &amp; WILSON-TOLBERT ROBIN (H&amp;W)</v>
      </c>
      <c r="I2195" t="str">
        <f>"45 W DURHAM ST"</f>
        <v>45 W DURHAM ST</v>
      </c>
      <c r="J2195" t="str">
        <f>"PHILADELPHIA PA 19119"</f>
        <v>PHILADELPHIA PA 19119</v>
      </c>
      <c r="K2195" t="str">
        <f>"311 10TH ST S"</f>
        <v>311 10TH ST S</v>
      </c>
      <c r="L2195" t="str">
        <f t="shared" ref="L2195:L2258" si="826">"FERNANDINA BEACH FL 32034"</f>
        <v>FERNANDINA BEACH FL 32034</v>
      </c>
      <c r="M2195" t="str">
        <f>"BLOCK 130 N1/2 OF LOT 7 IN OR 1743/226 CITY OF FDNA BEACH"</f>
        <v>BLOCK 130 N1/2 OF LOT 7 IN OR 1743/226 CITY OF FDNA BEACH</v>
      </c>
      <c r="N2195" t="str">
        <f>""</f>
        <v/>
      </c>
      <c r="O2195" t="str">
        <f>"11914"</f>
        <v>11914</v>
      </c>
      <c r="P2195" t="str">
        <f t="shared" si="821"/>
        <v>2017</v>
      </c>
      <c r="Q2195" t="str">
        <f>""</f>
        <v/>
      </c>
      <c r="R2195" t="str">
        <f t="shared" si="825"/>
        <v>N</v>
      </c>
      <c r="S2195" t="str">
        <f>""</f>
        <v/>
      </c>
      <c r="T2195" t="str">
        <f>"1400.22"</f>
        <v>1400.22</v>
      </c>
      <c r="U2195" t="str">
        <f>"70255.00"</f>
        <v>70255.00</v>
      </c>
      <c r="V2195" t="str">
        <f>"70255.00"</f>
        <v>70255.00</v>
      </c>
      <c r="W2195" t="str">
        <f t="shared" si="822"/>
        <v>2017</v>
      </c>
      <c r="X2195" t="str">
        <f>"6.00"</f>
        <v>6.00</v>
      </c>
      <c r="Y2195" t="str">
        <f>"1474.23"</f>
        <v>1474.23</v>
      </c>
      <c r="Z2195" t="str">
        <f>""</f>
        <v/>
      </c>
      <c r="AA2195" t="str">
        <f>"70255.00"</f>
        <v>70255.00</v>
      </c>
      <c r="AB2195" t="str">
        <f>"Residential"</f>
        <v>Residential</v>
      </c>
      <c r="AC2195" t="str">
        <f t="shared" si="809"/>
        <v>0</v>
      </c>
      <c r="AD2195" t="str">
        <f>"3"</f>
        <v>3</v>
      </c>
      <c r="AE2195" t="str">
        <f>"MASONRY"</f>
        <v>MASONRY</v>
      </c>
      <c r="AF2195" t="str">
        <f>"001"</f>
        <v>001</v>
      </c>
      <c r="AG2195" t="str">
        <f>"PA"</f>
        <v>PA</v>
      </c>
      <c r="AH2195" t="str">
        <f>"5000.00"</f>
        <v>5000.00</v>
      </c>
      <c r="AI2195" t="str">
        <f>"24750.00"</f>
        <v>24750.00</v>
      </c>
      <c r="AJ2195" t="str">
        <f>"C55-000-585-9354-2"</f>
        <v>C55-000-585-9354-2</v>
      </c>
      <c r="AK2195" t="str">
        <f>"48883"</f>
        <v>48883</v>
      </c>
      <c r="AL2195">
        <v>8</v>
      </c>
      <c r="AM2195">
        <v>2506</v>
      </c>
      <c r="AN2195">
        <v>1546.34</v>
      </c>
      <c r="AQ2195" t="s">
        <v>21149</v>
      </c>
      <c r="AR2195" t="s">
        <v>21149</v>
      </c>
      <c r="AS2195" t="s">
        <v>21149</v>
      </c>
      <c r="AU2195" t="s">
        <v>396</v>
      </c>
      <c r="AV2195">
        <v>2017</v>
      </c>
      <c r="AW2195" t="str">
        <f>"00-00-31-1800-0130-0071 "</f>
        <v xml:space="preserve">00-00-31-1800-0130-0071 </v>
      </c>
      <c r="AX2195">
        <v>311</v>
      </c>
      <c r="AZ2195" t="s">
        <v>5188</v>
      </c>
      <c r="BA2195" t="s">
        <v>1942</v>
      </c>
      <c r="BB2195" t="s">
        <v>18674</v>
      </c>
      <c r="BD2195" t="s">
        <v>11749</v>
      </c>
      <c r="BE2195" t="s">
        <v>393</v>
      </c>
      <c r="BF2195">
        <v>32034</v>
      </c>
      <c r="BG2195" t="s">
        <v>21150</v>
      </c>
      <c r="BH2195" t="s">
        <v>11751</v>
      </c>
      <c r="BI2195">
        <v>-81.458062034589702</v>
      </c>
      <c r="BJ2195">
        <v>30.6663642184811</v>
      </c>
      <c r="BK2195" t="s">
        <v>21147</v>
      </c>
      <c r="BL2195" t="s">
        <v>21151</v>
      </c>
      <c r="BM2195" t="s">
        <v>20599</v>
      </c>
      <c r="BN2195" t="s">
        <v>16603</v>
      </c>
      <c r="BO2195">
        <v>19119</v>
      </c>
      <c r="BP2195" t="s">
        <v>404</v>
      </c>
      <c r="BQ2195">
        <v>100</v>
      </c>
      <c r="BR2195" t="s">
        <v>514</v>
      </c>
      <c r="BS2195">
        <v>1001</v>
      </c>
      <c r="BT2195" t="s">
        <v>515</v>
      </c>
      <c r="BU2195">
        <v>500</v>
      </c>
      <c r="BV2195">
        <v>1000</v>
      </c>
      <c r="BW2195">
        <v>5001</v>
      </c>
      <c r="BX2195" t="s">
        <v>407</v>
      </c>
      <c r="BY2195" t="s">
        <v>18253</v>
      </c>
      <c r="BZ2195">
        <v>3</v>
      </c>
      <c r="CA2195">
        <v>1989</v>
      </c>
      <c r="CB2195">
        <v>1</v>
      </c>
      <c r="CC2195">
        <v>1</v>
      </c>
      <c r="CD2195">
        <v>2017</v>
      </c>
      <c r="CE2195">
        <v>24750</v>
      </c>
      <c r="CF2195">
        <v>45505</v>
      </c>
      <c r="CG2195">
        <v>70255</v>
      </c>
      <c r="CH2195">
        <v>2017</v>
      </c>
      <c r="CI2195">
        <v>24750</v>
      </c>
      <c r="CJ2195">
        <v>45505</v>
      </c>
      <c r="CK2195">
        <v>70255</v>
      </c>
      <c r="CL2195">
        <v>2017</v>
      </c>
      <c r="CM2195">
        <v>1400.22</v>
      </c>
      <c r="CN2195" s="1">
        <v>40710</v>
      </c>
      <c r="CO2195">
        <v>27000</v>
      </c>
      <c r="CV2195">
        <v>0</v>
      </c>
      <c r="CZ2195" s="1">
        <v>40710</v>
      </c>
      <c r="DA2195">
        <v>0</v>
      </c>
      <c r="DD2195" t="s">
        <v>11749</v>
      </c>
      <c r="DF2195">
        <v>7</v>
      </c>
      <c r="DG2195">
        <v>23</v>
      </c>
      <c r="DL2195">
        <v>50101</v>
      </c>
      <c r="DM2195" t="s">
        <v>20742</v>
      </c>
      <c r="DO2195" t="s">
        <v>21152</v>
      </c>
      <c r="DP2195">
        <v>0</v>
      </c>
      <c r="DQ2195">
        <v>7</v>
      </c>
      <c r="DR2195" t="s">
        <v>1479</v>
      </c>
      <c r="EP2195" t="s">
        <v>421</v>
      </c>
      <c r="EQ2195" t="s">
        <v>422</v>
      </c>
      <c r="ER2195">
        <v>0</v>
      </c>
      <c r="ES2195">
        <v>1</v>
      </c>
      <c r="ET2195">
        <v>0</v>
      </c>
      <c r="EU2195">
        <v>0</v>
      </c>
      <c r="EV2195">
        <v>0</v>
      </c>
      <c r="EW2195" s="2">
        <v>43222</v>
      </c>
      <c r="EX2195" s="1">
        <v>41423</v>
      </c>
      <c r="EY2195">
        <v>2012</v>
      </c>
      <c r="EZ2195">
        <v>1063.98</v>
      </c>
      <c r="FA2195" t="s">
        <v>21153</v>
      </c>
      <c r="FB2195">
        <v>0.25</v>
      </c>
      <c r="FC2195" t="s">
        <v>424</v>
      </c>
      <c r="FD2195" t="s">
        <v>425</v>
      </c>
      <c r="FE2195" s="1">
        <v>41592</v>
      </c>
      <c r="FF2195">
        <v>6</v>
      </c>
      <c r="FG2195">
        <v>606981</v>
      </c>
      <c r="FH2195" t="s">
        <v>792</v>
      </c>
    </row>
    <row r="2196" spans="1:284" x14ac:dyDescent="0.25">
      <c r="A2196">
        <v>16487203</v>
      </c>
      <c r="B2196">
        <v>2195</v>
      </c>
      <c r="C2196" t="s">
        <v>393</v>
      </c>
      <c r="D2196" t="s">
        <v>394</v>
      </c>
      <c r="F2196" t="str">
        <f>"00-00-31-1800-0133-0060"</f>
        <v>00-00-31-1800-0133-0060</v>
      </c>
      <c r="H2196" t="str">
        <f>"YOUMAN EARL TRAEYE PATRICIA &amp; MIDDLETON PHILIP (JTRS)"</f>
        <v>YOUMAN EARL TRAEYE PATRICIA &amp; MIDDLETON PHILIP (JTRS)</v>
      </c>
      <c r="I2196" t="str">
        <f>""</f>
        <v/>
      </c>
      <c r="J2196" t="str">
        <f t="shared" ref="J2196:J2202" si="827">"FERNANDINA BEACH FL 32034"</f>
        <v>FERNANDINA BEACH FL 32034</v>
      </c>
      <c r="K2196" t="str">
        <f>"S 10TH ST"</f>
        <v>S 10TH ST</v>
      </c>
      <c r="L2196" t="str">
        <f t="shared" si="826"/>
        <v>FERNANDINA BEACH FL 32034</v>
      </c>
      <c r="M2196" t="str">
        <f>"BLK 133 LOT 6 (EX PT IN OR 1043/1134) CITY OF FDNA BEACH OF SEC 23-3N-28E"</f>
        <v>BLK 133 LOT 6 (EX PT IN OR 1043/1134) CITY OF FDNA BEACH OF SEC 23-3N-28E</v>
      </c>
      <c r="N2196" t="str">
        <f>""</f>
        <v/>
      </c>
      <c r="O2196" t="str">
        <f>"11951"</f>
        <v>11951</v>
      </c>
      <c r="P2196" t="str">
        <f t="shared" si="821"/>
        <v>2017</v>
      </c>
      <c r="Q2196" t="str">
        <f>""</f>
        <v/>
      </c>
      <c r="R2196" t="str">
        <f t="shared" si="825"/>
        <v>N</v>
      </c>
      <c r="S2196" t="str">
        <f>""</f>
        <v/>
      </c>
      <c r="T2196" t="str">
        <f>"445.63"</f>
        <v>445.63</v>
      </c>
      <c r="U2196" t="str">
        <f>"21175.00"</f>
        <v>21175.00</v>
      </c>
      <c r="V2196" t="str">
        <f>"21175.00"</f>
        <v>21175.00</v>
      </c>
      <c r="W2196" t="str">
        <f t="shared" si="822"/>
        <v>2017</v>
      </c>
      <c r="X2196" t="str">
        <f>"6.00"</f>
        <v>6.00</v>
      </c>
      <c r="Y2196" t="str">
        <f>"491.00"</f>
        <v>491.00</v>
      </c>
      <c r="Z2196" t="str">
        <f>""</f>
        <v/>
      </c>
      <c r="AA2196" t="str">
        <f>"24750.00"</f>
        <v>24750.00</v>
      </c>
      <c r="AB2196" t="str">
        <f>"Residential"</f>
        <v>Residential</v>
      </c>
      <c r="AC2196" t="str">
        <f t="shared" si="809"/>
        <v>0</v>
      </c>
      <c r="AD2196" t="str">
        <f>""</f>
        <v/>
      </c>
      <c r="AE2196" t="str">
        <f>""</f>
        <v/>
      </c>
      <c r="AF2196" t="str">
        <f>"000"</f>
        <v>000</v>
      </c>
      <c r="AG2196" t="str">
        <f t="shared" ref="AG2196:AG2203" si="828">"FL"</f>
        <v>FL</v>
      </c>
      <c r="AH2196" t="str">
        <f>"5000.00"</f>
        <v>5000.00</v>
      </c>
      <c r="AI2196" t="str">
        <f>"24750.00"</f>
        <v>24750.00</v>
      </c>
      <c r="AJ2196" t="str">
        <f>"C55-000-585-9390-6"</f>
        <v>C55-000-585-9390-6</v>
      </c>
      <c r="AK2196" t="str">
        <f>"48918"</f>
        <v>48918</v>
      </c>
      <c r="AL2196">
        <v>8</v>
      </c>
      <c r="AM2196">
        <v>2507</v>
      </c>
      <c r="AN2196">
        <v>513.95000000000005</v>
      </c>
      <c r="AQ2196" t="s">
        <v>21154</v>
      </c>
      <c r="AR2196" t="s">
        <v>21154</v>
      </c>
      <c r="AS2196" t="s">
        <v>21154</v>
      </c>
      <c r="AU2196" t="s">
        <v>396</v>
      </c>
      <c r="AV2196">
        <v>2017</v>
      </c>
      <c r="AW2196" t="str">
        <f>"00-00-31-1800-0133-0060 "</f>
        <v xml:space="preserve">00-00-31-1800-0133-0060 </v>
      </c>
      <c r="AY2196" t="s">
        <v>18674</v>
      </c>
      <c r="AZ2196" t="s">
        <v>5188</v>
      </c>
      <c r="BA2196" t="s">
        <v>1942</v>
      </c>
      <c r="BD2196" t="s">
        <v>11749</v>
      </c>
      <c r="BE2196" t="s">
        <v>393</v>
      </c>
      <c r="BF2196">
        <v>32034</v>
      </c>
      <c r="BG2196" t="s">
        <v>21155</v>
      </c>
      <c r="BH2196" t="s">
        <v>11751</v>
      </c>
      <c r="BI2196">
        <v>-81.458292890647797</v>
      </c>
      <c r="BJ2196">
        <v>30.664827757706501</v>
      </c>
      <c r="BK2196" t="s">
        <v>21156</v>
      </c>
      <c r="BM2196" t="s">
        <v>21157</v>
      </c>
      <c r="BN2196" t="s">
        <v>3983</v>
      </c>
      <c r="BO2196">
        <v>32034</v>
      </c>
      <c r="BP2196" t="s">
        <v>404</v>
      </c>
      <c r="BQ2196">
        <v>0</v>
      </c>
      <c r="BR2196" t="s">
        <v>491</v>
      </c>
      <c r="BS2196">
        <v>8001</v>
      </c>
      <c r="BT2196" t="s">
        <v>492</v>
      </c>
      <c r="BU2196">
        <v>500</v>
      </c>
      <c r="BV2196">
        <v>1000</v>
      </c>
      <c r="BW2196">
        <v>5058</v>
      </c>
      <c r="BX2196" t="s">
        <v>407</v>
      </c>
      <c r="BY2196" t="s">
        <v>18253</v>
      </c>
      <c r="CD2196">
        <v>2017</v>
      </c>
      <c r="CE2196">
        <v>24750</v>
      </c>
      <c r="CG2196">
        <v>24750</v>
      </c>
      <c r="CH2196">
        <v>2017</v>
      </c>
      <c r="CI2196">
        <v>24750</v>
      </c>
      <c r="CK2196">
        <v>24750</v>
      </c>
      <c r="CL2196">
        <v>2017</v>
      </c>
      <c r="CM2196">
        <v>445.63</v>
      </c>
      <c r="CN2196" s="1">
        <v>39185</v>
      </c>
      <c r="CZ2196" s="1">
        <v>39185</v>
      </c>
      <c r="DD2196" t="s">
        <v>11749</v>
      </c>
      <c r="DF2196">
        <v>6</v>
      </c>
      <c r="DG2196">
        <v>23</v>
      </c>
      <c r="DL2196">
        <v>50101</v>
      </c>
      <c r="DM2196" t="s">
        <v>20742</v>
      </c>
      <c r="DO2196" t="s">
        <v>21158</v>
      </c>
      <c r="DP2196">
        <v>0</v>
      </c>
      <c r="DQ2196">
        <v>8</v>
      </c>
      <c r="DR2196" t="s">
        <v>1479</v>
      </c>
      <c r="DS2196" t="b">
        <v>1</v>
      </c>
      <c r="DT2196" t="s">
        <v>470</v>
      </c>
      <c r="DU2196" t="s">
        <v>471</v>
      </c>
      <c r="DV2196" t="s">
        <v>472</v>
      </c>
      <c r="DX2196">
        <v>-9999</v>
      </c>
      <c r="DZ2196" t="s">
        <v>447</v>
      </c>
      <c r="EA2196" t="s">
        <v>448</v>
      </c>
      <c r="EB2196" t="s">
        <v>14787</v>
      </c>
      <c r="EC2196">
        <v>20101217</v>
      </c>
      <c r="ED2196" t="s">
        <v>474</v>
      </c>
      <c r="EF2196">
        <v>1333.3</v>
      </c>
      <c r="EG2196">
        <v>1169.3</v>
      </c>
      <c r="EI2196">
        <v>20160407</v>
      </c>
      <c r="EJ2196">
        <v>0</v>
      </c>
      <c r="EK2196">
        <v>0</v>
      </c>
      <c r="EP2196" t="s">
        <v>421</v>
      </c>
      <c r="EQ2196" t="s">
        <v>422</v>
      </c>
      <c r="ER2196">
        <v>7</v>
      </c>
      <c r="ES2196">
        <v>3</v>
      </c>
      <c r="ET2196">
        <v>3323.67</v>
      </c>
      <c r="EU2196">
        <v>254.81</v>
      </c>
      <c r="EV2196">
        <v>3578.48</v>
      </c>
      <c r="EW2196" s="2">
        <v>43222</v>
      </c>
      <c r="EX2196" s="1">
        <v>42879</v>
      </c>
      <c r="EY2196">
        <v>2016</v>
      </c>
      <c r="EZ2196">
        <v>472.39</v>
      </c>
      <c r="FA2196" t="s">
        <v>21159</v>
      </c>
      <c r="FB2196">
        <v>14.5</v>
      </c>
      <c r="FC2196" t="s">
        <v>424</v>
      </c>
      <c r="FD2196" t="s">
        <v>454</v>
      </c>
      <c r="FF2196">
        <v>12</v>
      </c>
      <c r="FG2196">
        <v>10628</v>
      </c>
      <c r="FH2196" t="s">
        <v>943</v>
      </c>
      <c r="FJ2196" s="1">
        <v>42515</v>
      </c>
      <c r="FK2196">
        <v>2015</v>
      </c>
      <c r="FL2196">
        <v>410.11</v>
      </c>
      <c r="FM2196" t="s">
        <v>21160</v>
      </c>
      <c r="FN2196">
        <v>0.25</v>
      </c>
      <c r="FO2196" t="s">
        <v>424</v>
      </c>
      <c r="FP2196" t="s">
        <v>454</v>
      </c>
      <c r="FR2196">
        <v>24</v>
      </c>
      <c r="FS2196">
        <v>11289</v>
      </c>
      <c r="FT2196" t="s">
        <v>787</v>
      </c>
      <c r="FV2196" s="1">
        <v>42515</v>
      </c>
      <c r="FW2196">
        <v>2015</v>
      </c>
      <c r="FX2196">
        <v>410.11</v>
      </c>
      <c r="FY2196" t="s">
        <v>21160</v>
      </c>
      <c r="FZ2196">
        <v>0.25</v>
      </c>
      <c r="GA2196" t="s">
        <v>424</v>
      </c>
      <c r="GB2196" t="s">
        <v>454</v>
      </c>
      <c r="GD2196">
        <v>24</v>
      </c>
      <c r="GE2196">
        <v>5141693</v>
      </c>
      <c r="GF2196" t="s">
        <v>21161</v>
      </c>
      <c r="GH2196" s="1">
        <v>42151</v>
      </c>
      <c r="GI2196">
        <v>2014</v>
      </c>
      <c r="GJ2196">
        <v>512.35</v>
      </c>
      <c r="GK2196" t="s">
        <v>21162</v>
      </c>
      <c r="GL2196">
        <v>0.25</v>
      </c>
      <c r="GM2196" t="s">
        <v>424</v>
      </c>
      <c r="GN2196" t="s">
        <v>454</v>
      </c>
      <c r="GP2196">
        <v>36</v>
      </c>
      <c r="GQ2196">
        <v>2851116</v>
      </c>
      <c r="GR2196" t="s">
        <v>480</v>
      </c>
      <c r="GT2196" s="1">
        <v>42151</v>
      </c>
      <c r="GU2196">
        <v>2014</v>
      </c>
      <c r="GV2196">
        <v>512.35</v>
      </c>
      <c r="GW2196" t="s">
        <v>21162</v>
      </c>
      <c r="GX2196">
        <v>0.25</v>
      </c>
      <c r="GY2196" t="s">
        <v>424</v>
      </c>
      <c r="GZ2196" t="s">
        <v>454</v>
      </c>
      <c r="HB2196">
        <v>36</v>
      </c>
      <c r="HC2196">
        <v>5310425</v>
      </c>
      <c r="HD2196" t="s">
        <v>21163</v>
      </c>
      <c r="HF2196" s="1">
        <v>42515</v>
      </c>
      <c r="HG2196">
        <v>2014</v>
      </c>
      <c r="HH2196">
        <v>503.18</v>
      </c>
      <c r="HI2196" t="s">
        <v>21164</v>
      </c>
      <c r="HJ2196">
        <v>0.25</v>
      </c>
      <c r="HK2196" t="s">
        <v>424</v>
      </c>
      <c r="HL2196" t="s">
        <v>454</v>
      </c>
      <c r="HN2196">
        <v>24</v>
      </c>
      <c r="HO2196">
        <v>11289</v>
      </c>
      <c r="HP2196" t="s">
        <v>787</v>
      </c>
      <c r="HR2196" s="1">
        <v>42515</v>
      </c>
      <c r="HS2196">
        <v>2014</v>
      </c>
      <c r="HT2196">
        <v>503.18</v>
      </c>
      <c r="HU2196" t="s">
        <v>21164</v>
      </c>
      <c r="HV2196">
        <v>0.25</v>
      </c>
      <c r="HW2196" t="s">
        <v>424</v>
      </c>
      <c r="HX2196" t="s">
        <v>454</v>
      </c>
      <c r="HZ2196">
        <v>24</v>
      </c>
      <c r="IA2196">
        <v>7077768</v>
      </c>
      <c r="IB2196" t="s">
        <v>21165</v>
      </c>
      <c r="ID2196" s="1">
        <v>41787</v>
      </c>
      <c r="IE2196">
        <v>2013</v>
      </c>
      <c r="IF2196">
        <v>480.54</v>
      </c>
      <c r="IG2196" t="s">
        <v>21166</v>
      </c>
      <c r="IH2196">
        <v>0.25</v>
      </c>
      <c r="II2196" t="s">
        <v>424</v>
      </c>
      <c r="IJ2196" t="s">
        <v>425</v>
      </c>
      <c r="IK2196" s="1">
        <v>41929</v>
      </c>
      <c r="IL2196">
        <v>5</v>
      </c>
      <c r="IM2196">
        <v>2101382</v>
      </c>
      <c r="IN2196" t="s">
        <v>993</v>
      </c>
      <c r="IP2196" s="1">
        <v>41423</v>
      </c>
      <c r="IQ2196">
        <v>2012</v>
      </c>
      <c r="IR2196">
        <v>537.55999999999995</v>
      </c>
      <c r="IS2196" t="s">
        <v>21167</v>
      </c>
      <c r="IT2196">
        <v>0.25</v>
      </c>
      <c r="IU2196" t="s">
        <v>424</v>
      </c>
      <c r="IV2196" t="s">
        <v>425</v>
      </c>
      <c r="IW2196" s="1">
        <v>41929</v>
      </c>
      <c r="IX2196">
        <v>17</v>
      </c>
      <c r="IY2196">
        <v>10125</v>
      </c>
      <c r="IZ2196" t="s">
        <v>440</v>
      </c>
      <c r="JB2196" s="1">
        <v>40688</v>
      </c>
      <c r="JC2196">
        <v>2010</v>
      </c>
      <c r="JD2196">
        <v>651.45000000000005</v>
      </c>
      <c r="JE2196" t="s">
        <v>21168</v>
      </c>
      <c r="JF2196">
        <v>0.25</v>
      </c>
      <c r="JG2196" t="s">
        <v>424</v>
      </c>
      <c r="JH2196" t="s">
        <v>425</v>
      </c>
      <c r="JI2196" s="1">
        <v>40697</v>
      </c>
      <c r="JJ2196">
        <v>1</v>
      </c>
      <c r="JK2196">
        <v>11141</v>
      </c>
      <c r="JL2196" t="s">
        <v>1723</v>
      </c>
    </row>
    <row r="2197" spans="1:284" x14ac:dyDescent="0.25">
      <c r="A2197">
        <v>16487204</v>
      </c>
      <c r="B2197">
        <v>2196</v>
      </c>
      <c r="C2197" t="s">
        <v>393</v>
      </c>
      <c r="D2197" t="s">
        <v>394</v>
      </c>
      <c r="F2197" t="str">
        <f>"00-00-31-1800-0134-0062"</f>
        <v>00-00-31-1800-0134-0062</v>
      </c>
      <c r="H2197" t="str">
        <f>"RAYSOR ROBIN R"</f>
        <v>RAYSOR ROBIN R</v>
      </c>
      <c r="I2197" t="str">
        <f>"423 S 9TH ST"</f>
        <v>423 S 9TH ST</v>
      </c>
      <c r="J2197" t="str">
        <f t="shared" si="827"/>
        <v>FERNANDINA BEACH FL 32034</v>
      </c>
      <c r="K2197" t="str">
        <f>"423 9TH ST S"</f>
        <v>423 9TH ST S</v>
      </c>
      <c r="L2197" t="str">
        <f t="shared" si="826"/>
        <v>FERNANDINA BEACH FL 32034</v>
      </c>
      <c r="M2197" t="str">
        <f>"BLOCK 134 LOT S1/2 OF 6 IN OR 1993/1083 CITY OF FDNA BEACH"</f>
        <v>BLOCK 134 LOT S1/2 OF 6 IN OR 1993/1083 CITY OF FDNA BEACH</v>
      </c>
      <c r="N2197" t="str">
        <f>""</f>
        <v/>
      </c>
      <c r="O2197" t="str">
        <f>"11960"</f>
        <v>11960</v>
      </c>
      <c r="P2197" t="str">
        <f t="shared" si="821"/>
        <v>2017</v>
      </c>
      <c r="Q2197" t="str">
        <f>""</f>
        <v/>
      </c>
      <c r="R2197" t="str">
        <f>"Y"</f>
        <v>Y</v>
      </c>
      <c r="S2197" t="str">
        <f>""</f>
        <v/>
      </c>
      <c r="T2197" t="str">
        <f>"512.44"</f>
        <v>512.44</v>
      </c>
      <c r="U2197" t="str">
        <f>"52147.00"</f>
        <v>52147.00</v>
      </c>
      <c r="V2197" t="str">
        <f>"52147.00"</f>
        <v>52147.00</v>
      </c>
      <c r="W2197" t="str">
        <f t="shared" si="822"/>
        <v>2017</v>
      </c>
      <c r="X2197" t="str">
        <f>"11.11"</f>
        <v>11.11</v>
      </c>
      <c r="Y2197" t="str">
        <f>"559.81"</f>
        <v>559.81</v>
      </c>
      <c r="Z2197" t="str">
        <f>"25000.00"</f>
        <v>25000.00</v>
      </c>
      <c r="AA2197" t="str">
        <f>"27147.00"</f>
        <v>27147.00</v>
      </c>
      <c r="AB2197" t="str">
        <f>"Residential"</f>
        <v>Residential</v>
      </c>
      <c r="AC2197" t="str">
        <f t="shared" si="809"/>
        <v>0</v>
      </c>
      <c r="AD2197" t="str">
        <f>"4"</f>
        <v>4</v>
      </c>
      <c r="AE2197" t="str">
        <f>"WOOD (INCLUDE STEEL STUDS)"</f>
        <v>WOOD (INCLUDE STEEL STUDS)</v>
      </c>
      <c r="AF2197" t="str">
        <f>"001"</f>
        <v>001</v>
      </c>
      <c r="AG2197" t="str">
        <f t="shared" si="828"/>
        <v>FL</v>
      </c>
      <c r="AH2197" t="str">
        <f>"5188.00"</f>
        <v>5188.00</v>
      </c>
      <c r="AI2197" t="str">
        <f>"19973.00"</f>
        <v>19973.00</v>
      </c>
      <c r="AJ2197" t="str">
        <f>"C55-000-585-9400-3"</f>
        <v>C55-000-585-9400-3</v>
      </c>
      <c r="AK2197" t="str">
        <f>"48926"</f>
        <v>48926</v>
      </c>
      <c r="AL2197">
        <v>8</v>
      </c>
      <c r="AM2197">
        <v>2508</v>
      </c>
      <c r="AN2197">
        <v>586.20000000000005</v>
      </c>
      <c r="AQ2197" t="s">
        <v>21169</v>
      </c>
      <c r="AR2197" t="s">
        <v>21169</v>
      </c>
      <c r="AS2197" t="s">
        <v>21169</v>
      </c>
      <c r="AU2197" t="s">
        <v>396</v>
      </c>
      <c r="AV2197">
        <v>2017</v>
      </c>
      <c r="AW2197" t="str">
        <f>"00-00-31-1800-0134-0062 "</f>
        <v xml:space="preserve">00-00-31-1800-0134-0062 </v>
      </c>
      <c r="AX2197">
        <v>423</v>
      </c>
      <c r="AZ2197" t="s">
        <v>20794</v>
      </c>
      <c r="BA2197" t="s">
        <v>1942</v>
      </c>
      <c r="BB2197" t="s">
        <v>18674</v>
      </c>
      <c r="BD2197" t="s">
        <v>11749</v>
      </c>
      <c r="BE2197" t="s">
        <v>393</v>
      </c>
      <c r="BF2197">
        <v>32034</v>
      </c>
      <c r="BG2197" t="s">
        <v>21170</v>
      </c>
      <c r="BH2197" t="s">
        <v>11751</v>
      </c>
      <c r="BI2197">
        <v>-81.459124359393002</v>
      </c>
      <c r="BJ2197">
        <v>30.664782087213698</v>
      </c>
      <c r="BK2197" t="s">
        <v>21171</v>
      </c>
      <c r="BM2197" t="s">
        <v>21172</v>
      </c>
      <c r="BN2197" t="s">
        <v>3983</v>
      </c>
      <c r="BO2197">
        <v>32034</v>
      </c>
      <c r="BP2197" t="s">
        <v>416</v>
      </c>
      <c r="BQ2197">
        <v>100</v>
      </c>
      <c r="BR2197" t="s">
        <v>514</v>
      </c>
      <c r="BS2197">
        <v>1001</v>
      </c>
      <c r="BT2197" t="s">
        <v>515</v>
      </c>
      <c r="BW2197">
        <v>5188</v>
      </c>
      <c r="BX2197" t="s">
        <v>407</v>
      </c>
      <c r="BY2197" t="s">
        <v>20798</v>
      </c>
      <c r="BZ2197">
        <v>4</v>
      </c>
      <c r="CA2197">
        <v>1940</v>
      </c>
      <c r="CB2197">
        <v>1</v>
      </c>
      <c r="CC2197">
        <v>1</v>
      </c>
      <c r="CD2197">
        <v>2017</v>
      </c>
      <c r="CG2197">
        <v>52147</v>
      </c>
      <c r="CH2197">
        <v>2017</v>
      </c>
      <c r="CI2197">
        <v>19973</v>
      </c>
      <c r="CJ2197">
        <v>42832</v>
      </c>
      <c r="CK2197">
        <v>62805</v>
      </c>
      <c r="CL2197">
        <v>2017</v>
      </c>
      <c r="CM2197">
        <v>512.44000000000005</v>
      </c>
      <c r="CN2197" s="1">
        <v>42203</v>
      </c>
      <c r="CZ2197" s="1">
        <v>42203</v>
      </c>
      <c r="DD2197" t="s">
        <v>11749</v>
      </c>
      <c r="DG2197">
        <v>23</v>
      </c>
      <c r="DJ2197" t="s">
        <v>20634</v>
      </c>
      <c r="DL2197">
        <v>50101</v>
      </c>
      <c r="DM2197" t="s">
        <v>20742</v>
      </c>
      <c r="DO2197" t="s">
        <v>21173</v>
      </c>
      <c r="DP2197">
        <v>0</v>
      </c>
      <c r="DQ2197">
        <v>8</v>
      </c>
      <c r="DR2197" t="s">
        <v>1479</v>
      </c>
      <c r="DS2197" t="b">
        <v>1</v>
      </c>
      <c r="DT2197" t="s">
        <v>470</v>
      </c>
      <c r="DU2197" t="s">
        <v>471</v>
      </c>
      <c r="DV2197" t="s">
        <v>472</v>
      </c>
      <c r="DX2197">
        <v>-9999</v>
      </c>
      <c r="DZ2197" t="s">
        <v>447</v>
      </c>
      <c r="EA2197" t="s">
        <v>448</v>
      </c>
      <c r="EB2197" t="s">
        <v>14787</v>
      </c>
      <c r="EC2197">
        <v>20101217</v>
      </c>
      <c r="ED2197" t="s">
        <v>474</v>
      </c>
      <c r="EF2197">
        <v>1077.8</v>
      </c>
      <c r="EG2197">
        <v>923.2</v>
      </c>
      <c r="EH2197" t="s">
        <v>451</v>
      </c>
      <c r="EI2197">
        <v>20140731</v>
      </c>
      <c r="EJ2197">
        <v>0</v>
      </c>
      <c r="EK2197">
        <v>0</v>
      </c>
      <c r="EP2197" t="s">
        <v>421</v>
      </c>
      <c r="EQ2197" t="s">
        <v>422</v>
      </c>
      <c r="ER2197">
        <v>0</v>
      </c>
      <c r="ES2197">
        <v>7</v>
      </c>
      <c r="ET2197">
        <v>0</v>
      </c>
      <c r="EU2197">
        <v>0</v>
      </c>
      <c r="EV2197">
        <v>0</v>
      </c>
      <c r="EW2197" s="2">
        <v>43222</v>
      </c>
      <c r="EX2197" s="1">
        <v>42879</v>
      </c>
      <c r="EY2197">
        <v>2016</v>
      </c>
      <c r="EZ2197">
        <v>582.32000000000005</v>
      </c>
      <c r="FA2197" t="s">
        <v>21174</v>
      </c>
      <c r="FB2197">
        <v>0.25</v>
      </c>
      <c r="FC2197" t="s">
        <v>424</v>
      </c>
      <c r="FD2197" t="s">
        <v>425</v>
      </c>
      <c r="FE2197" s="1">
        <v>43066</v>
      </c>
      <c r="FF2197">
        <v>6</v>
      </c>
      <c r="FG2197">
        <v>2851116</v>
      </c>
      <c r="FH2197" t="s">
        <v>480</v>
      </c>
      <c r="FJ2197" s="1">
        <v>42879</v>
      </c>
      <c r="FK2197">
        <v>2016</v>
      </c>
      <c r="FL2197">
        <v>582.32000000000005</v>
      </c>
      <c r="FM2197" t="s">
        <v>21174</v>
      </c>
      <c r="FN2197">
        <v>0.25</v>
      </c>
      <c r="FO2197" t="s">
        <v>424</v>
      </c>
      <c r="FP2197" t="s">
        <v>425</v>
      </c>
      <c r="FR2197">
        <v>22</v>
      </c>
      <c r="FS2197">
        <v>5054608</v>
      </c>
      <c r="FT2197" t="s">
        <v>21175</v>
      </c>
      <c r="FV2197" s="1">
        <v>42151</v>
      </c>
      <c r="FW2197">
        <v>2014</v>
      </c>
      <c r="FX2197">
        <v>580.6</v>
      </c>
      <c r="FY2197" t="s">
        <v>21176</v>
      </c>
      <c r="FZ2197">
        <v>0.25</v>
      </c>
      <c r="GA2197" t="s">
        <v>424</v>
      </c>
      <c r="GB2197" t="s">
        <v>425</v>
      </c>
      <c r="GC2197" s="1">
        <v>42174</v>
      </c>
      <c r="GD2197">
        <v>1</v>
      </c>
      <c r="GE2197">
        <v>2101382</v>
      </c>
      <c r="GF2197" t="s">
        <v>993</v>
      </c>
      <c r="GH2197" s="1">
        <v>42151</v>
      </c>
      <c r="GI2197">
        <v>2014</v>
      </c>
      <c r="GJ2197">
        <v>580.6</v>
      </c>
      <c r="GK2197" t="s">
        <v>21176</v>
      </c>
      <c r="GL2197">
        <v>0.25</v>
      </c>
      <c r="GM2197" t="s">
        <v>424</v>
      </c>
      <c r="GN2197" t="s">
        <v>425</v>
      </c>
      <c r="GP2197">
        <v>22</v>
      </c>
      <c r="GQ2197">
        <v>5454025</v>
      </c>
      <c r="GR2197" t="s">
        <v>21177</v>
      </c>
      <c r="GT2197" s="1">
        <v>41423</v>
      </c>
      <c r="GU2197">
        <v>2012</v>
      </c>
      <c r="GV2197">
        <v>490.1</v>
      </c>
      <c r="GW2197" t="s">
        <v>21178</v>
      </c>
      <c r="GX2197">
        <v>0.25</v>
      </c>
      <c r="GY2197" t="s">
        <v>424</v>
      </c>
      <c r="GZ2197" t="s">
        <v>425</v>
      </c>
      <c r="HA2197" s="1">
        <v>41558</v>
      </c>
      <c r="HB2197">
        <v>5</v>
      </c>
      <c r="HC2197">
        <v>10125</v>
      </c>
      <c r="HD2197" t="s">
        <v>440</v>
      </c>
      <c r="HF2197" s="1">
        <v>41052</v>
      </c>
      <c r="HG2197">
        <v>2011</v>
      </c>
      <c r="HH2197">
        <v>662.13</v>
      </c>
      <c r="HI2197" t="s">
        <v>21179</v>
      </c>
      <c r="HJ2197">
        <v>4.75</v>
      </c>
      <c r="HK2197" t="s">
        <v>424</v>
      </c>
      <c r="HL2197" t="s">
        <v>425</v>
      </c>
      <c r="HM2197" s="1">
        <v>41346</v>
      </c>
      <c r="HN2197">
        <v>10</v>
      </c>
      <c r="HO2197">
        <v>11141</v>
      </c>
      <c r="HP2197" t="s">
        <v>1723</v>
      </c>
      <c r="HR2197" s="1">
        <v>40688</v>
      </c>
      <c r="HS2197">
        <v>2010</v>
      </c>
      <c r="HT2197">
        <v>695.23</v>
      </c>
      <c r="HU2197" t="s">
        <v>21180</v>
      </c>
      <c r="HV2197">
        <v>3.75</v>
      </c>
      <c r="HW2197" t="s">
        <v>424</v>
      </c>
      <c r="HX2197" t="s">
        <v>425</v>
      </c>
      <c r="HY2197" s="1">
        <v>41011</v>
      </c>
      <c r="HZ2197">
        <v>11</v>
      </c>
      <c r="IA2197">
        <v>11141</v>
      </c>
      <c r="IB2197" t="s">
        <v>1723</v>
      </c>
    </row>
    <row r="2198" spans="1:284" x14ac:dyDescent="0.25">
      <c r="A2198">
        <v>16487205</v>
      </c>
      <c r="B2198">
        <v>2197</v>
      </c>
      <c r="C2198" t="s">
        <v>393</v>
      </c>
      <c r="D2198" t="s">
        <v>394</v>
      </c>
      <c r="F2198" t="str">
        <f>"00-00-31-1800-0135-0050"</f>
        <v>00-00-31-1800-0135-0050</v>
      </c>
      <c r="H2198" t="str">
        <f>"HAIR TONY R &amp; VIRGINIA G"</f>
        <v>HAIR TONY R &amp; VIRGINIA G</v>
      </c>
      <c r="I2198" t="str">
        <f>"2638 MCGREGOR BLVD"</f>
        <v>2638 MCGREGOR BLVD</v>
      </c>
      <c r="J2198" t="str">
        <f t="shared" si="827"/>
        <v>FERNANDINA BEACH FL 32034</v>
      </c>
      <c r="K2198" t="str">
        <f>"425 S 8TH ST"</f>
        <v>425 S 8TH ST</v>
      </c>
      <c r="L2198" t="str">
        <f t="shared" si="826"/>
        <v>FERNANDINA BEACH FL 32034</v>
      </c>
      <c r="M2198" t="str">
        <f>"BLOCK 135 LOTS 5 &amp; 6 PT OR 1019/1866 CITY OF FDNA BEACH"</f>
        <v>BLOCK 135 LOTS 5 &amp; 6 PT OR 1019/1866 CITY OF FDNA BEACH</v>
      </c>
      <c r="N2198" t="str">
        <f>""</f>
        <v/>
      </c>
      <c r="O2198" t="str">
        <f>"11968"</f>
        <v>11968</v>
      </c>
      <c r="P2198" t="str">
        <f t="shared" si="821"/>
        <v>2017</v>
      </c>
      <c r="Q2198" t="str">
        <f>""</f>
        <v/>
      </c>
      <c r="R2198" t="str">
        <f>"N"</f>
        <v>N</v>
      </c>
      <c r="S2198" t="str">
        <f>""</f>
        <v/>
      </c>
      <c r="T2198" t="str">
        <f>"4999.89"</f>
        <v>4999.89</v>
      </c>
      <c r="U2198" t="str">
        <f>"250864.00"</f>
        <v>250864.00</v>
      </c>
      <c r="V2198" t="str">
        <f>"250864.00"</f>
        <v>250864.00</v>
      </c>
      <c r="W2198" t="str">
        <f t="shared" si="822"/>
        <v>2017</v>
      </c>
      <c r="X2198" t="str">
        <f>"16.83"</f>
        <v>16.83</v>
      </c>
      <c r="Y2198" t="str">
        <f>"5181.89"</f>
        <v>5181.89</v>
      </c>
      <c r="Z2198" t="str">
        <f>""</f>
        <v/>
      </c>
      <c r="AA2198" t="str">
        <f>"250864.00"</f>
        <v>250864.00</v>
      </c>
      <c r="AB2198" t="str">
        <f>"Commercial"</f>
        <v>Commercial</v>
      </c>
      <c r="AC2198" t="str">
        <f t="shared" si="809"/>
        <v>0</v>
      </c>
      <c r="AD2198" t="str">
        <f>"5"</f>
        <v>5</v>
      </c>
      <c r="AE2198" t="str">
        <f>"STEEL FRAME/INCOMBUSTIBLE WALLS/ROOF"</f>
        <v>STEEL FRAME/INCOMBUSTIBLE WALLS/ROOF</v>
      </c>
      <c r="AF2198" t="str">
        <f>"027"</f>
        <v>027</v>
      </c>
      <c r="AG2198" t="str">
        <f t="shared" si="828"/>
        <v>FL</v>
      </c>
      <c r="AH2198" t="str">
        <f>"20000.00"</f>
        <v>20000.00</v>
      </c>
      <c r="AI2198" t="str">
        <f>"140000.00"</f>
        <v>140000.00</v>
      </c>
      <c r="AJ2198" t="str">
        <f>"C55-000-585-9409-4"</f>
        <v>C55-000-585-9409-4</v>
      </c>
      <c r="AK2198" t="str">
        <f>"48934"</f>
        <v>48934</v>
      </c>
      <c r="AL2198">
        <v>8</v>
      </c>
      <c r="AM2198">
        <v>2509</v>
      </c>
      <c r="AN2198">
        <v>5439.38</v>
      </c>
      <c r="AQ2198" t="s">
        <v>21181</v>
      </c>
      <c r="AR2198" t="s">
        <v>21181</v>
      </c>
      <c r="AS2198" t="s">
        <v>21181</v>
      </c>
      <c r="AU2198" t="s">
        <v>396</v>
      </c>
      <c r="AV2198">
        <v>2017</v>
      </c>
      <c r="AW2198" t="str">
        <f>"00-00-31-1800-0135-0050 "</f>
        <v xml:space="preserve">00-00-31-1800-0135-0050 </v>
      </c>
      <c r="AX2198">
        <v>425</v>
      </c>
      <c r="AY2198" t="s">
        <v>18674</v>
      </c>
      <c r="AZ2198" t="s">
        <v>18673</v>
      </c>
      <c r="BA2198" t="s">
        <v>1942</v>
      </c>
      <c r="BD2198" t="s">
        <v>11749</v>
      </c>
      <c r="BE2198" t="s">
        <v>393</v>
      </c>
      <c r="BF2198">
        <v>32034</v>
      </c>
      <c r="BG2198" t="s">
        <v>21182</v>
      </c>
      <c r="BH2198" t="s">
        <v>11751</v>
      </c>
      <c r="BI2198">
        <v>-81.4599643018976</v>
      </c>
      <c r="BJ2198">
        <v>30.6648040681008</v>
      </c>
      <c r="BK2198" t="s">
        <v>21183</v>
      </c>
      <c r="BL2198" t="s">
        <v>21184</v>
      </c>
      <c r="BM2198" t="s">
        <v>12025</v>
      </c>
      <c r="BN2198" t="s">
        <v>3983</v>
      </c>
      <c r="BO2198">
        <v>32034</v>
      </c>
      <c r="BP2198" t="s">
        <v>404</v>
      </c>
      <c r="BQ2198">
        <v>2700</v>
      </c>
      <c r="BR2198" t="s">
        <v>4567</v>
      </c>
      <c r="BS2198">
        <v>2023</v>
      </c>
      <c r="BT2198" t="s">
        <v>4568</v>
      </c>
      <c r="BW2198">
        <v>20377</v>
      </c>
      <c r="BX2198" t="s">
        <v>407</v>
      </c>
      <c r="BY2198" t="s">
        <v>21123</v>
      </c>
      <c r="BZ2198">
        <v>5</v>
      </c>
      <c r="CA2198">
        <v>2003</v>
      </c>
      <c r="CB2198">
        <v>1.5</v>
      </c>
      <c r="CD2198">
        <v>2017</v>
      </c>
      <c r="CE2198">
        <v>140000</v>
      </c>
      <c r="CF2198">
        <v>110864</v>
      </c>
      <c r="CG2198">
        <v>250864</v>
      </c>
      <c r="CH2198">
        <v>2017</v>
      </c>
      <c r="CI2198">
        <v>140000</v>
      </c>
      <c r="CJ2198">
        <v>110864</v>
      </c>
      <c r="CK2198">
        <v>250864</v>
      </c>
      <c r="CL2198">
        <v>2017</v>
      </c>
      <c r="CM2198">
        <v>4999.8900000000003</v>
      </c>
      <c r="CN2198" s="1">
        <v>37211</v>
      </c>
      <c r="CO2198">
        <v>235000</v>
      </c>
      <c r="CV2198">
        <v>229000</v>
      </c>
      <c r="CX2198" t="s">
        <v>707</v>
      </c>
      <c r="CZ2198" s="1">
        <v>37211</v>
      </c>
      <c r="DA2198">
        <v>0</v>
      </c>
      <c r="DD2198" t="s">
        <v>11749</v>
      </c>
      <c r="DG2198">
        <v>23</v>
      </c>
      <c r="DL2198">
        <v>50101</v>
      </c>
      <c r="DM2198" t="s">
        <v>20742</v>
      </c>
      <c r="DO2198" t="s">
        <v>21185</v>
      </c>
      <c r="DP2198">
        <v>0</v>
      </c>
      <c r="DQ2198">
        <v>11</v>
      </c>
      <c r="DR2198" t="s">
        <v>1479</v>
      </c>
      <c r="DS2198" t="b">
        <v>1</v>
      </c>
      <c r="DT2198" t="s">
        <v>470</v>
      </c>
      <c r="DU2198" t="s">
        <v>471</v>
      </c>
      <c r="DV2198" t="s">
        <v>472</v>
      </c>
      <c r="DX2198">
        <v>-9999</v>
      </c>
      <c r="DZ2198" t="s">
        <v>447</v>
      </c>
      <c r="EA2198" t="s">
        <v>448</v>
      </c>
      <c r="EB2198" t="s">
        <v>14787</v>
      </c>
      <c r="EC2198">
        <v>20101217</v>
      </c>
      <c r="ED2198" t="s">
        <v>474</v>
      </c>
      <c r="EF2198">
        <v>828.9</v>
      </c>
      <c r="EG2198">
        <v>682.1</v>
      </c>
      <c r="EI2198">
        <v>20160407</v>
      </c>
      <c r="EJ2198">
        <v>0</v>
      </c>
      <c r="EK2198">
        <v>0</v>
      </c>
      <c r="EP2198" t="s">
        <v>421</v>
      </c>
      <c r="EQ2198" t="s">
        <v>422</v>
      </c>
      <c r="ER2198">
        <v>2</v>
      </c>
      <c r="ES2198">
        <v>7</v>
      </c>
      <c r="ET2198">
        <v>11160.96</v>
      </c>
      <c r="EU2198">
        <v>570.54999999999995</v>
      </c>
      <c r="EV2198">
        <v>11731.51</v>
      </c>
      <c r="EW2198" s="2">
        <v>43222</v>
      </c>
      <c r="EX2198" s="1">
        <v>42879</v>
      </c>
      <c r="EY2198">
        <v>2016</v>
      </c>
      <c r="EZ2198">
        <v>5580.48</v>
      </c>
      <c r="FA2198" t="s">
        <v>21186</v>
      </c>
      <c r="FB2198">
        <v>0.25</v>
      </c>
      <c r="FC2198" t="s">
        <v>424</v>
      </c>
      <c r="FD2198" t="s">
        <v>454</v>
      </c>
      <c r="FF2198">
        <v>12</v>
      </c>
      <c r="FG2198">
        <v>7400234</v>
      </c>
      <c r="FH2198" t="s">
        <v>426</v>
      </c>
      <c r="FJ2198" s="1">
        <v>42879</v>
      </c>
      <c r="FK2198">
        <v>2016</v>
      </c>
      <c r="FL2198">
        <v>5580.48</v>
      </c>
      <c r="FM2198" t="s">
        <v>21186</v>
      </c>
      <c r="FN2198">
        <v>0.25</v>
      </c>
      <c r="FO2198" t="s">
        <v>424</v>
      </c>
      <c r="FP2198" t="s">
        <v>454</v>
      </c>
      <c r="FR2198">
        <v>12</v>
      </c>
      <c r="FS2198">
        <v>7507818</v>
      </c>
      <c r="FT2198" t="s">
        <v>21187</v>
      </c>
      <c r="FV2198" s="1">
        <v>42515</v>
      </c>
      <c r="FW2198">
        <v>2015</v>
      </c>
      <c r="FX2198">
        <v>5671.3</v>
      </c>
      <c r="FY2198" t="s">
        <v>21188</v>
      </c>
      <c r="FZ2198">
        <v>0.25</v>
      </c>
      <c r="GA2198" t="s">
        <v>424</v>
      </c>
      <c r="GB2198" t="s">
        <v>425</v>
      </c>
      <c r="GC2198" s="1">
        <v>42747</v>
      </c>
      <c r="GD2198">
        <v>8</v>
      </c>
      <c r="GE2198">
        <v>2851116</v>
      </c>
      <c r="GF2198" t="s">
        <v>480</v>
      </c>
      <c r="GH2198" s="1">
        <v>42515</v>
      </c>
      <c r="GI2198">
        <v>2015</v>
      </c>
      <c r="GJ2198">
        <v>5671.3</v>
      </c>
      <c r="GK2198" t="s">
        <v>21188</v>
      </c>
      <c r="GL2198">
        <v>0.25</v>
      </c>
      <c r="GM2198" t="s">
        <v>424</v>
      </c>
      <c r="GN2198" t="s">
        <v>425</v>
      </c>
      <c r="GP2198">
        <v>22</v>
      </c>
      <c r="GQ2198">
        <v>5097205</v>
      </c>
      <c r="GR2198" t="s">
        <v>21189</v>
      </c>
      <c r="GT2198" s="1">
        <v>42151</v>
      </c>
      <c r="GU2198">
        <v>2014</v>
      </c>
      <c r="GV2198">
        <v>5717.38</v>
      </c>
      <c r="GW2198" t="s">
        <v>21190</v>
      </c>
      <c r="GX2198">
        <v>0.25</v>
      </c>
      <c r="GY2198" t="s">
        <v>424</v>
      </c>
      <c r="GZ2198" t="s">
        <v>425</v>
      </c>
      <c r="HA2198" s="1">
        <v>42416</v>
      </c>
      <c r="HB2198">
        <v>9</v>
      </c>
      <c r="HC2198">
        <v>2851116</v>
      </c>
      <c r="HD2198" t="s">
        <v>480</v>
      </c>
      <c r="HF2198" s="1">
        <v>42151</v>
      </c>
      <c r="HG2198">
        <v>2014</v>
      </c>
      <c r="HH2198">
        <v>5717.38</v>
      </c>
      <c r="HI2198" t="s">
        <v>21190</v>
      </c>
      <c r="HJ2198">
        <v>0.25</v>
      </c>
      <c r="HK2198" t="s">
        <v>424</v>
      </c>
      <c r="HL2198" t="s">
        <v>425</v>
      </c>
      <c r="HN2198">
        <v>22</v>
      </c>
      <c r="HO2198">
        <v>4916240</v>
      </c>
      <c r="HP2198" t="s">
        <v>21191</v>
      </c>
      <c r="HR2198" s="1">
        <v>41787</v>
      </c>
      <c r="HS2198">
        <v>2013</v>
      </c>
      <c r="HT2198">
        <v>5655.38</v>
      </c>
      <c r="HU2198" t="s">
        <v>21192</v>
      </c>
      <c r="HV2198">
        <v>0.25</v>
      </c>
      <c r="HW2198" t="s">
        <v>424</v>
      </c>
      <c r="HX2198" t="s">
        <v>425</v>
      </c>
      <c r="HY2198" s="1">
        <v>42416</v>
      </c>
      <c r="HZ2198">
        <v>21</v>
      </c>
      <c r="IA2198">
        <v>2719956</v>
      </c>
      <c r="IB2198" t="s">
        <v>5473</v>
      </c>
      <c r="ID2198" s="1">
        <v>41052</v>
      </c>
      <c r="IE2198">
        <v>2011</v>
      </c>
      <c r="IF2198">
        <v>5645.16</v>
      </c>
      <c r="IG2198" t="s">
        <v>21193</v>
      </c>
      <c r="IH2198">
        <v>6.25</v>
      </c>
      <c r="II2198" t="s">
        <v>424</v>
      </c>
      <c r="IJ2198" t="s">
        <v>425</v>
      </c>
      <c r="IK2198" s="1">
        <v>41355</v>
      </c>
      <c r="IL2198">
        <v>10</v>
      </c>
      <c r="IM2198">
        <v>10125</v>
      </c>
      <c r="IN2198" t="s">
        <v>440</v>
      </c>
      <c r="IP2198" s="1">
        <v>40688</v>
      </c>
      <c r="IQ2198">
        <v>2010</v>
      </c>
      <c r="IR2198">
        <v>5891.92</v>
      </c>
      <c r="IS2198" t="s">
        <v>21194</v>
      </c>
      <c r="IT2198">
        <v>5.25</v>
      </c>
      <c r="IU2198" t="s">
        <v>424</v>
      </c>
      <c r="IV2198" t="s">
        <v>425</v>
      </c>
      <c r="IW2198" s="1">
        <v>41355</v>
      </c>
      <c r="IX2198">
        <v>22</v>
      </c>
      <c r="IY2198">
        <v>10579</v>
      </c>
      <c r="IZ2198" t="s">
        <v>488</v>
      </c>
    </row>
    <row r="2199" spans="1:284" x14ac:dyDescent="0.25">
      <c r="A2199">
        <v>16487206</v>
      </c>
      <c r="B2199">
        <v>2198</v>
      </c>
      <c r="C2199" t="s">
        <v>393</v>
      </c>
      <c r="D2199" t="s">
        <v>394</v>
      </c>
      <c r="F2199" t="str">
        <f>"00-00-31-1800-0135-0070"</f>
        <v>00-00-31-1800-0135-0070</v>
      </c>
      <c r="H2199" t="str">
        <f>"HAIR TONY R &amp; VIRGINIA G"</f>
        <v>HAIR TONY R &amp; VIRGINIA G</v>
      </c>
      <c r="I2199" t="str">
        <f>"2638 MCGREGOR BLVD"</f>
        <v>2638 MCGREGOR BLVD</v>
      </c>
      <c r="J2199" t="str">
        <f t="shared" si="827"/>
        <v>FERNANDINA BEACH FL 32034</v>
      </c>
      <c r="K2199" t="str">
        <f>"425 8TH ST S"</f>
        <v>425 8TH ST S</v>
      </c>
      <c r="L2199" t="str">
        <f t="shared" si="826"/>
        <v>FERNANDINA BEACH FL 32034</v>
      </c>
      <c r="M2199" t="str">
        <f>"BLOCK 135 LOT 7 PT OR 1019/1866 ESMT PT OR 1020/522 FDNA OF FDNA BEACH"</f>
        <v>BLOCK 135 LOT 7 PT OR 1019/1866 ESMT PT OR 1020/522 FDNA OF FDNA BEACH</v>
      </c>
      <c r="N2199" t="str">
        <f>""</f>
        <v/>
      </c>
      <c r="O2199" t="str">
        <f>"11969"</f>
        <v>11969</v>
      </c>
      <c r="P2199" t="str">
        <f t="shared" si="821"/>
        <v>2017</v>
      </c>
      <c r="Q2199" t="str">
        <f>""</f>
        <v/>
      </c>
      <c r="R2199" t="str">
        <f>"N"</f>
        <v>N</v>
      </c>
      <c r="S2199" t="str">
        <f>""</f>
        <v/>
      </c>
      <c r="T2199" t="str">
        <f>"1395.16"</f>
        <v>1395.16</v>
      </c>
      <c r="U2199" t="str">
        <f>"70000.00"</f>
        <v>70000.00</v>
      </c>
      <c r="V2199" t="str">
        <f>"70000.00"</f>
        <v>70000.00</v>
      </c>
      <c r="W2199" t="str">
        <f t="shared" si="822"/>
        <v>2017</v>
      </c>
      <c r="X2199" t="str">
        <f>"15.00"</f>
        <v>15.00</v>
      </c>
      <c r="Y2199" t="str">
        <f>"1469.01"</f>
        <v>1469.01</v>
      </c>
      <c r="Z2199" t="str">
        <f>""</f>
        <v/>
      </c>
      <c r="AA2199" t="str">
        <f>"70000.00"</f>
        <v>70000.00</v>
      </c>
      <c r="AB2199" t="str">
        <f>"Commercial"</f>
        <v>Commercial</v>
      </c>
      <c r="AC2199" t="str">
        <f t="shared" si="809"/>
        <v>0</v>
      </c>
      <c r="AD2199" t="str">
        <f>""</f>
        <v/>
      </c>
      <c r="AE2199" t="str">
        <f>""</f>
        <v/>
      </c>
      <c r="AF2199" t="str">
        <f>"010"</f>
        <v>010</v>
      </c>
      <c r="AG2199" t="str">
        <f t="shared" si="828"/>
        <v>FL</v>
      </c>
      <c r="AH2199" t="str">
        <f>"10000.00"</f>
        <v>10000.00</v>
      </c>
      <c r="AI2199" t="str">
        <f>"70000.00"</f>
        <v>70000.00</v>
      </c>
      <c r="AJ2199" t="str">
        <f>"C55-000-585-9410-2"</f>
        <v>C55-000-585-9410-2</v>
      </c>
      <c r="AK2199" t="str">
        <f>"48935"</f>
        <v>48935</v>
      </c>
      <c r="AL2199">
        <v>8</v>
      </c>
      <c r="AM2199">
        <v>2510</v>
      </c>
      <c r="AN2199">
        <v>1540.86</v>
      </c>
      <c r="AQ2199" t="s">
        <v>21195</v>
      </c>
      <c r="AR2199" t="s">
        <v>21195</v>
      </c>
      <c r="AS2199" t="s">
        <v>21195</v>
      </c>
      <c r="AU2199" t="s">
        <v>396</v>
      </c>
      <c r="AV2199">
        <v>2017</v>
      </c>
      <c r="AW2199" t="str">
        <f>"00-00-31-1800-0135-0070 "</f>
        <v xml:space="preserve">00-00-31-1800-0135-0070 </v>
      </c>
      <c r="AX2199">
        <v>425</v>
      </c>
      <c r="AZ2199" t="s">
        <v>18673</v>
      </c>
      <c r="BA2199" t="s">
        <v>1942</v>
      </c>
      <c r="BB2199" t="s">
        <v>18674</v>
      </c>
      <c r="BD2199" t="s">
        <v>11749</v>
      </c>
      <c r="BE2199" t="s">
        <v>393</v>
      </c>
      <c r="BF2199">
        <v>32034</v>
      </c>
      <c r="BG2199" t="s">
        <v>21196</v>
      </c>
      <c r="BH2199" t="s">
        <v>11751</v>
      </c>
      <c r="BI2199">
        <v>-81.459899731214307</v>
      </c>
      <c r="BJ2199">
        <v>30.665220516182099</v>
      </c>
      <c r="BK2199" t="s">
        <v>21183</v>
      </c>
      <c r="BL2199" t="s">
        <v>21184</v>
      </c>
      <c r="BM2199" t="s">
        <v>12025</v>
      </c>
      <c r="BN2199" t="s">
        <v>3983</v>
      </c>
      <c r="BO2199">
        <v>32034</v>
      </c>
      <c r="BP2199" t="s">
        <v>404</v>
      </c>
      <c r="BQ2199">
        <v>1000</v>
      </c>
      <c r="BR2199" t="s">
        <v>2391</v>
      </c>
      <c r="BS2199">
        <v>8002</v>
      </c>
      <c r="BT2199" t="s">
        <v>2392</v>
      </c>
      <c r="BW2199">
        <v>10189</v>
      </c>
      <c r="BX2199" t="s">
        <v>407</v>
      </c>
      <c r="BY2199" t="s">
        <v>21123</v>
      </c>
      <c r="CD2199">
        <v>2017</v>
      </c>
      <c r="CE2199">
        <v>70000</v>
      </c>
      <c r="CG2199">
        <v>70000</v>
      </c>
      <c r="CH2199">
        <v>2017</v>
      </c>
      <c r="CI2199">
        <v>70000</v>
      </c>
      <c r="CK2199">
        <v>70000</v>
      </c>
      <c r="CL2199">
        <v>2017</v>
      </c>
      <c r="CM2199">
        <v>1395.16</v>
      </c>
      <c r="CN2199" s="1">
        <v>37211</v>
      </c>
      <c r="CO2199">
        <v>235000</v>
      </c>
      <c r="CV2199">
        <v>229000</v>
      </c>
      <c r="CX2199" t="s">
        <v>707</v>
      </c>
      <c r="CZ2199" s="1">
        <v>37211</v>
      </c>
      <c r="DA2199">
        <v>0</v>
      </c>
      <c r="DD2199" t="s">
        <v>11749</v>
      </c>
      <c r="DF2199">
        <v>7</v>
      </c>
      <c r="DG2199">
        <v>23</v>
      </c>
      <c r="DL2199">
        <v>50101</v>
      </c>
      <c r="DM2199" t="s">
        <v>20742</v>
      </c>
      <c r="DO2199" t="s">
        <v>21197</v>
      </c>
      <c r="DP2199">
        <v>0</v>
      </c>
      <c r="DQ2199">
        <v>11</v>
      </c>
      <c r="DR2199" t="s">
        <v>1479</v>
      </c>
      <c r="DS2199" t="b">
        <v>1</v>
      </c>
      <c r="DT2199" t="s">
        <v>470</v>
      </c>
      <c r="DU2199" t="s">
        <v>471</v>
      </c>
      <c r="DV2199" t="s">
        <v>472</v>
      </c>
      <c r="DX2199">
        <v>-9999</v>
      </c>
      <c r="DZ2199" t="s">
        <v>447</v>
      </c>
      <c r="EA2199" t="s">
        <v>448</v>
      </c>
      <c r="EB2199" t="s">
        <v>14787</v>
      </c>
      <c r="EC2199">
        <v>20101217</v>
      </c>
      <c r="ED2199" t="s">
        <v>474</v>
      </c>
      <c r="EF2199">
        <v>829.8</v>
      </c>
      <c r="EG2199">
        <v>682.8</v>
      </c>
      <c r="EH2199" t="s">
        <v>451</v>
      </c>
      <c r="EI2199">
        <v>20140731</v>
      </c>
      <c r="EJ2199">
        <v>0</v>
      </c>
      <c r="EK2199">
        <v>0</v>
      </c>
      <c r="EP2199" t="s">
        <v>421</v>
      </c>
      <c r="EQ2199" t="s">
        <v>452</v>
      </c>
      <c r="ER2199">
        <v>2</v>
      </c>
      <c r="ES2199">
        <v>5</v>
      </c>
      <c r="ET2199">
        <v>3119.56</v>
      </c>
      <c r="EU2199">
        <v>168.48</v>
      </c>
      <c r="EV2199">
        <v>3288.04</v>
      </c>
      <c r="EW2199" s="2">
        <v>43222</v>
      </c>
      <c r="EX2199" s="1">
        <v>42879</v>
      </c>
      <c r="EY2199">
        <v>2016</v>
      </c>
      <c r="EZ2199">
        <v>1559.78</v>
      </c>
      <c r="FA2199" t="s">
        <v>21198</v>
      </c>
      <c r="FB2199">
        <v>0.25</v>
      </c>
      <c r="FC2199" t="s">
        <v>424</v>
      </c>
      <c r="FD2199" t="s">
        <v>454</v>
      </c>
      <c r="FF2199">
        <v>12</v>
      </c>
      <c r="FG2199">
        <v>7336671</v>
      </c>
      <c r="FH2199" t="s">
        <v>437</v>
      </c>
      <c r="FJ2199" s="1">
        <v>42879</v>
      </c>
      <c r="FK2199">
        <v>2016</v>
      </c>
      <c r="FL2199">
        <v>1559.78</v>
      </c>
      <c r="FM2199" t="s">
        <v>21198</v>
      </c>
      <c r="FN2199">
        <v>0.25</v>
      </c>
      <c r="FO2199" t="s">
        <v>424</v>
      </c>
      <c r="FP2199" t="s">
        <v>454</v>
      </c>
      <c r="FR2199">
        <v>12</v>
      </c>
      <c r="FS2199">
        <v>7044948</v>
      </c>
      <c r="FT2199" t="s">
        <v>21199</v>
      </c>
      <c r="FV2199" s="1">
        <v>42151</v>
      </c>
      <c r="FW2199">
        <v>2014</v>
      </c>
      <c r="FX2199">
        <v>1585.49</v>
      </c>
      <c r="FY2199" t="s">
        <v>21200</v>
      </c>
      <c r="FZ2199">
        <v>15.5</v>
      </c>
      <c r="GA2199" t="s">
        <v>424</v>
      </c>
      <c r="GB2199" t="s">
        <v>425</v>
      </c>
      <c r="GC2199" s="1">
        <v>42486</v>
      </c>
      <c r="GD2199">
        <v>11</v>
      </c>
      <c r="GE2199">
        <v>10628</v>
      </c>
      <c r="GF2199" t="s">
        <v>943</v>
      </c>
      <c r="GG2199" t="s">
        <v>458</v>
      </c>
      <c r="GH2199" s="1">
        <v>41787</v>
      </c>
      <c r="GI2199">
        <v>2013</v>
      </c>
      <c r="GJ2199">
        <v>1531.88</v>
      </c>
      <c r="GK2199" t="s">
        <v>21201</v>
      </c>
      <c r="GL2199">
        <v>0.25</v>
      </c>
      <c r="GM2199" t="s">
        <v>424</v>
      </c>
      <c r="GN2199" t="s">
        <v>425</v>
      </c>
      <c r="GP2199">
        <v>22</v>
      </c>
      <c r="GQ2199">
        <v>15259</v>
      </c>
      <c r="GR2199" t="s">
        <v>891</v>
      </c>
      <c r="GS2199" t="s">
        <v>458</v>
      </c>
      <c r="GT2199" s="1">
        <v>41787</v>
      </c>
      <c r="GU2199">
        <v>2013</v>
      </c>
      <c r="GV2199">
        <v>1531.88</v>
      </c>
      <c r="GW2199" t="s">
        <v>21201</v>
      </c>
      <c r="GX2199">
        <v>0.25</v>
      </c>
      <c r="GY2199" t="s">
        <v>424</v>
      </c>
      <c r="GZ2199" t="s">
        <v>425</v>
      </c>
      <c r="HB2199">
        <v>22</v>
      </c>
      <c r="HC2199">
        <v>7045049</v>
      </c>
      <c r="HD2199" t="s">
        <v>1335</v>
      </c>
      <c r="HE2199" t="s">
        <v>458</v>
      </c>
      <c r="HF2199" s="1">
        <v>41052</v>
      </c>
      <c r="HG2199">
        <v>2011</v>
      </c>
      <c r="HH2199">
        <v>1517.73</v>
      </c>
      <c r="HI2199" t="s">
        <v>21202</v>
      </c>
      <c r="HJ2199">
        <v>8.75</v>
      </c>
      <c r="HK2199" t="s">
        <v>424</v>
      </c>
      <c r="HL2199" t="s">
        <v>425</v>
      </c>
      <c r="HM2199" s="1">
        <v>41261</v>
      </c>
      <c r="HN2199">
        <v>7</v>
      </c>
      <c r="HO2199">
        <v>10125</v>
      </c>
      <c r="HP2199" t="s">
        <v>440</v>
      </c>
      <c r="HQ2199" t="s">
        <v>458</v>
      </c>
      <c r="HR2199" s="1">
        <v>40688</v>
      </c>
      <c r="HS2199">
        <v>2010</v>
      </c>
      <c r="HT2199">
        <v>1647.46</v>
      </c>
      <c r="HU2199" t="s">
        <v>21203</v>
      </c>
      <c r="HV2199">
        <v>6.75</v>
      </c>
      <c r="HW2199" t="s">
        <v>424</v>
      </c>
      <c r="HX2199" t="s">
        <v>425</v>
      </c>
      <c r="HY2199" s="1">
        <v>41261</v>
      </c>
      <c r="HZ2199">
        <v>19</v>
      </c>
      <c r="IA2199">
        <v>10579</v>
      </c>
      <c r="IB2199" t="s">
        <v>488</v>
      </c>
      <c r="IC2199" t="s">
        <v>458</v>
      </c>
    </row>
    <row r="2200" spans="1:284" x14ac:dyDescent="0.25">
      <c r="A2200">
        <v>16487207</v>
      </c>
      <c r="B2200">
        <v>2199</v>
      </c>
      <c r="C2200" t="s">
        <v>393</v>
      </c>
      <c r="D2200" t="s">
        <v>394</v>
      </c>
      <c r="F2200" t="str">
        <f>"00-00-31-1800-0139-0080"</f>
        <v>00-00-31-1800-0139-0080</v>
      </c>
      <c r="H2200" t="str">
        <f>"JONES TERRY &amp; ANDREA RACHAEL"</f>
        <v>JONES TERRY &amp; ANDREA RACHAEL</v>
      </c>
      <c r="I2200" t="str">
        <f>"531 S 6TH ST"</f>
        <v>531 S 6TH ST</v>
      </c>
      <c r="J2200" t="str">
        <f t="shared" si="827"/>
        <v>FERNANDINA BEACH FL 32034</v>
      </c>
      <c r="K2200" t="str">
        <f>"531 6TH ST S"</f>
        <v>531 6TH ST S</v>
      </c>
      <c r="L2200" t="str">
        <f t="shared" si="826"/>
        <v>FERNANDINA BEACH FL 32034</v>
      </c>
      <c r="M2200" t="str">
        <f>"BLOCK 139 LOTS 8 &amp; 9 IN OR 523 PG 19 (1/2 INT HX) CITY OF FDNA BEACH"</f>
        <v>BLOCK 139 LOTS 8 &amp; 9 IN OR 523 PG 19 (1/2 INT HX) CITY OF FDNA BEACH</v>
      </c>
      <c r="N2200" t="str">
        <f>""</f>
        <v/>
      </c>
      <c r="O2200" t="str">
        <f>"12016"</f>
        <v>12016</v>
      </c>
      <c r="P2200" t="str">
        <f t="shared" si="821"/>
        <v>2017</v>
      </c>
      <c r="Q2200" t="str">
        <f>""</f>
        <v/>
      </c>
      <c r="R2200" t="str">
        <f>"Y"</f>
        <v>Y</v>
      </c>
      <c r="S2200" t="str">
        <f>""</f>
        <v/>
      </c>
      <c r="T2200" t="str">
        <f>"1724.13"</f>
        <v>1724.13</v>
      </c>
      <c r="U2200" t="str">
        <f>"108465.00"</f>
        <v>108465.00</v>
      </c>
      <c r="V2200" t="str">
        <f>"108465.00"</f>
        <v>108465.00</v>
      </c>
      <c r="W2200" t="str">
        <f t="shared" si="822"/>
        <v>2017</v>
      </c>
      <c r="X2200" t="str">
        <f>"15.63"</f>
        <v>15.63</v>
      </c>
      <c r="Y2200" t="str">
        <f>"1807.85"</f>
        <v>1807.85</v>
      </c>
      <c r="Z2200" t="str">
        <f>"25000.00"</f>
        <v>25000.00</v>
      </c>
      <c r="AA2200" t="str">
        <f>"92653.00"</f>
        <v>92653.00</v>
      </c>
      <c r="AB2200" t="str">
        <f>"Residential"</f>
        <v>Residential</v>
      </c>
      <c r="AC2200" t="str">
        <f t="shared" si="809"/>
        <v>0</v>
      </c>
      <c r="AD2200" t="str">
        <f>"4"</f>
        <v>4</v>
      </c>
      <c r="AE2200" t="str">
        <f>"WOOD (INCLUDE STEEL STUDS)"</f>
        <v>WOOD (INCLUDE STEEL STUDS)</v>
      </c>
      <c r="AF2200" t="str">
        <f>"001"</f>
        <v>001</v>
      </c>
      <c r="AG2200" t="str">
        <f t="shared" si="828"/>
        <v>FL</v>
      </c>
      <c r="AH2200" t="str">
        <f>"10000.00"</f>
        <v>10000.00</v>
      </c>
      <c r="AI2200" t="str">
        <f>"77000.00"</f>
        <v>77000.00</v>
      </c>
      <c r="AJ2200" t="str">
        <f>"C55-000-585-9456-5"</f>
        <v>C55-000-585-9456-5</v>
      </c>
      <c r="AK2200" t="str">
        <f>"48982"</f>
        <v>48982</v>
      </c>
      <c r="AL2200">
        <v>8</v>
      </c>
      <c r="AM2200">
        <v>2511</v>
      </c>
      <c r="AN2200">
        <v>1896.64</v>
      </c>
      <c r="AQ2200" t="s">
        <v>21204</v>
      </c>
      <c r="AR2200" t="s">
        <v>21204</v>
      </c>
      <c r="AS2200" t="s">
        <v>21204</v>
      </c>
      <c r="AU2200" t="s">
        <v>396</v>
      </c>
      <c r="AV2200">
        <v>2017</v>
      </c>
      <c r="AW2200" t="str">
        <f>"00-00-31-1800-0139-0080 "</f>
        <v xml:space="preserve">00-00-31-1800-0139-0080 </v>
      </c>
      <c r="AX2200">
        <v>531</v>
      </c>
      <c r="AZ2200" t="s">
        <v>20778</v>
      </c>
      <c r="BA2200" t="s">
        <v>1942</v>
      </c>
      <c r="BB2200" t="s">
        <v>18674</v>
      </c>
      <c r="BD2200" t="s">
        <v>11749</v>
      </c>
      <c r="BE2200" t="s">
        <v>393</v>
      </c>
      <c r="BF2200">
        <v>32034</v>
      </c>
      <c r="BG2200" t="s">
        <v>21205</v>
      </c>
      <c r="BH2200" t="s">
        <v>11751</v>
      </c>
      <c r="BI2200">
        <v>-81.461831391502898</v>
      </c>
      <c r="BJ2200">
        <v>30.663592991513202</v>
      </c>
      <c r="BK2200" t="s">
        <v>17949</v>
      </c>
      <c r="BL2200" t="s">
        <v>21206</v>
      </c>
      <c r="BM2200" t="s">
        <v>17950</v>
      </c>
      <c r="BN2200" t="s">
        <v>3983</v>
      </c>
      <c r="BO2200">
        <v>32034</v>
      </c>
      <c r="BP2200" t="s">
        <v>416</v>
      </c>
      <c r="BQ2200">
        <v>100</v>
      </c>
      <c r="BR2200" t="s">
        <v>514</v>
      </c>
      <c r="BS2200">
        <v>1001</v>
      </c>
      <c r="BT2200" t="s">
        <v>515</v>
      </c>
      <c r="BU2200">
        <v>1000</v>
      </c>
      <c r="BV2200">
        <v>1000</v>
      </c>
      <c r="BW2200">
        <v>10005</v>
      </c>
      <c r="BX2200" t="s">
        <v>407</v>
      </c>
      <c r="BY2200" t="s">
        <v>18253</v>
      </c>
      <c r="BZ2200">
        <v>4</v>
      </c>
      <c r="CA2200">
        <v>1946</v>
      </c>
      <c r="CB2200">
        <v>1</v>
      </c>
      <c r="CC2200">
        <v>1</v>
      </c>
      <c r="CD2200">
        <v>2017</v>
      </c>
      <c r="CG2200">
        <v>117653</v>
      </c>
      <c r="CH2200">
        <v>2017</v>
      </c>
      <c r="CI2200">
        <v>77000</v>
      </c>
      <c r="CJ2200">
        <v>81805</v>
      </c>
      <c r="CK2200">
        <v>158805</v>
      </c>
      <c r="CL2200">
        <v>2017</v>
      </c>
      <c r="CM2200">
        <v>1724.13</v>
      </c>
      <c r="CN2200" s="1">
        <v>38609</v>
      </c>
      <c r="CZ2200" s="1">
        <v>38609</v>
      </c>
      <c r="DD2200" t="s">
        <v>11749</v>
      </c>
      <c r="DG2200">
        <v>23</v>
      </c>
      <c r="DJ2200" t="s">
        <v>20634</v>
      </c>
      <c r="DL2200">
        <v>50101</v>
      </c>
      <c r="DM2200" t="s">
        <v>20742</v>
      </c>
      <c r="DO2200" t="s">
        <v>21207</v>
      </c>
      <c r="DP2200">
        <v>0</v>
      </c>
      <c r="DQ2200">
        <v>0</v>
      </c>
      <c r="DR2200" t="s">
        <v>411</v>
      </c>
      <c r="DS2200" t="b">
        <v>1</v>
      </c>
      <c r="DT2200" t="s">
        <v>470</v>
      </c>
      <c r="DU2200" t="s">
        <v>471</v>
      </c>
      <c r="DV2200" t="s">
        <v>472</v>
      </c>
      <c r="DX2200">
        <v>-9999</v>
      </c>
      <c r="DZ2200" t="s">
        <v>447</v>
      </c>
      <c r="EA2200" t="s">
        <v>448</v>
      </c>
      <c r="EB2200" t="s">
        <v>14787</v>
      </c>
      <c r="EC2200">
        <v>20101217</v>
      </c>
      <c r="ED2200" t="s">
        <v>474</v>
      </c>
      <c r="EF2200">
        <v>195</v>
      </c>
      <c r="EG2200">
        <v>13.1</v>
      </c>
      <c r="EI2200">
        <v>20160407</v>
      </c>
      <c r="EJ2200">
        <v>0</v>
      </c>
      <c r="EK2200">
        <v>0</v>
      </c>
      <c r="EP2200" t="s">
        <v>421</v>
      </c>
      <c r="EQ2200" t="s">
        <v>422</v>
      </c>
      <c r="ER2200">
        <v>0</v>
      </c>
      <c r="ES2200">
        <v>6</v>
      </c>
      <c r="ET2200">
        <v>0</v>
      </c>
      <c r="EU2200">
        <v>0</v>
      </c>
      <c r="EV2200">
        <v>0</v>
      </c>
      <c r="EW2200" s="2">
        <v>43222</v>
      </c>
      <c r="EX2200" s="1">
        <v>42515</v>
      </c>
      <c r="EY2200">
        <v>2015</v>
      </c>
      <c r="EZ2200">
        <v>1688.49</v>
      </c>
      <c r="FA2200" t="s">
        <v>21208</v>
      </c>
      <c r="FB2200">
        <v>0.25</v>
      </c>
      <c r="FC2200" t="s">
        <v>424</v>
      </c>
      <c r="FD2200" t="s">
        <v>425</v>
      </c>
      <c r="FE2200" s="1">
        <v>42766</v>
      </c>
      <c r="FF2200">
        <v>8</v>
      </c>
      <c r="FG2200">
        <v>7045074</v>
      </c>
      <c r="FH2200" t="s">
        <v>580</v>
      </c>
      <c r="FJ2200" s="1">
        <v>42515</v>
      </c>
      <c r="FK2200">
        <v>2015</v>
      </c>
      <c r="FL2200">
        <v>1688.49</v>
      </c>
      <c r="FM2200" t="s">
        <v>21208</v>
      </c>
      <c r="FN2200">
        <v>0.25</v>
      </c>
      <c r="FO2200" t="s">
        <v>424</v>
      </c>
      <c r="FP2200" t="s">
        <v>425</v>
      </c>
      <c r="FR2200">
        <v>22</v>
      </c>
      <c r="FS2200">
        <v>6540329</v>
      </c>
      <c r="FT2200" t="s">
        <v>21209</v>
      </c>
      <c r="FV2200" s="1">
        <v>41787</v>
      </c>
      <c r="FW2200">
        <v>2013</v>
      </c>
      <c r="FX2200">
        <v>1511.53</v>
      </c>
      <c r="FY2200" t="s">
        <v>21210</v>
      </c>
      <c r="FZ2200">
        <v>0.25</v>
      </c>
      <c r="GA2200" t="s">
        <v>424</v>
      </c>
      <c r="GB2200" t="s">
        <v>425</v>
      </c>
      <c r="GC2200" s="1">
        <v>42004</v>
      </c>
      <c r="GD2200">
        <v>7</v>
      </c>
      <c r="GE2200">
        <v>2757457</v>
      </c>
      <c r="GF2200" t="s">
        <v>648</v>
      </c>
      <c r="GH2200" s="1">
        <v>41423</v>
      </c>
      <c r="GI2200">
        <v>2012</v>
      </c>
      <c r="GJ2200">
        <v>1503.74</v>
      </c>
      <c r="GK2200" t="s">
        <v>21211</v>
      </c>
      <c r="GL2200">
        <v>0.25</v>
      </c>
      <c r="GM2200" t="s">
        <v>424</v>
      </c>
      <c r="GN2200" t="s">
        <v>425</v>
      </c>
      <c r="GO2200" s="1">
        <v>42004</v>
      </c>
      <c r="GP2200">
        <v>19</v>
      </c>
      <c r="GQ2200">
        <v>15972</v>
      </c>
      <c r="GR2200" t="s">
        <v>2572</v>
      </c>
      <c r="GT2200" s="1">
        <v>41052</v>
      </c>
      <c r="GU2200">
        <v>2011</v>
      </c>
      <c r="GV2200">
        <v>1699.05</v>
      </c>
      <c r="GW2200" t="s">
        <v>21212</v>
      </c>
      <c r="GX2200">
        <v>0.25</v>
      </c>
      <c r="GY2200" t="s">
        <v>424</v>
      </c>
      <c r="GZ2200" t="s">
        <v>425</v>
      </c>
      <c r="HA2200" s="1">
        <v>41698</v>
      </c>
      <c r="HB2200">
        <v>21</v>
      </c>
      <c r="HC2200">
        <v>13104</v>
      </c>
      <c r="HD2200" t="s">
        <v>888</v>
      </c>
      <c r="HF2200" s="1">
        <v>41052</v>
      </c>
      <c r="HG2200">
        <v>2011</v>
      </c>
      <c r="HH2200">
        <v>1699.05</v>
      </c>
      <c r="HI2200" t="s">
        <v>21212</v>
      </c>
      <c r="HJ2200">
        <v>0.25</v>
      </c>
      <c r="HK2200" t="s">
        <v>424</v>
      </c>
      <c r="HL2200" t="s">
        <v>425</v>
      </c>
      <c r="HN2200">
        <v>22</v>
      </c>
      <c r="HO2200">
        <v>13724</v>
      </c>
      <c r="HP2200" t="s">
        <v>21213</v>
      </c>
    </row>
    <row r="2201" spans="1:284" x14ac:dyDescent="0.25">
      <c r="A2201">
        <v>16487208</v>
      </c>
      <c r="B2201">
        <v>2200</v>
      </c>
      <c r="C2201" t="s">
        <v>393</v>
      </c>
      <c r="D2201" t="s">
        <v>394</v>
      </c>
      <c r="F2201" t="str">
        <f>"00-00-31-1800-0139-0130"</f>
        <v>00-00-31-1800-0139-0130</v>
      </c>
      <c r="H2201" t="str">
        <f>"BROWN ALDO R EST"</f>
        <v>BROWN ALDO R EST</v>
      </c>
      <c r="I2201" t="str">
        <f>"511 S 6TH ST"</f>
        <v>511 S 6TH ST</v>
      </c>
      <c r="J2201" t="str">
        <f t="shared" si="827"/>
        <v>FERNANDINA BEACH FL 32034</v>
      </c>
      <c r="K2201" t="str">
        <f>"511 6TH ST S"</f>
        <v>511 6TH ST S</v>
      </c>
      <c r="L2201" t="str">
        <f t="shared" si="826"/>
        <v>FERNANDINA BEACH FL 32034</v>
      </c>
      <c r="M2201" t="str">
        <f>"BLOCK 139 LOT 13 CITY OF FDNA BEACH"</f>
        <v>BLOCK 139 LOT 13 CITY OF FDNA BEACH</v>
      </c>
      <c r="N2201" t="str">
        <f>""</f>
        <v/>
      </c>
      <c r="O2201" t="str">
        <f>"12020"</f>
        <v>12020</v>
      </c>
      <c r="P2201" t="str">
        <f t="shared" si="821"/>
        <v>2017</v>
      </c>
      <c r="Q2201" t="str">
        <f>""</f>
        <v/>
      </c>
      <c r="R2201" t="str">
        <f>"N"</f>
        <v>N</v>
      </c>
      <c r="S2201" t="str">
        <f>""</f>
        <v/>
      </c>
      <c r="T2201" t="str">
        <f>"1511.16"</f>
        <v>1511.16</v>
      </c>
      <c r="U2201" t="str">
        <f>"68638.00"</f>
        <v>68638.00</v>
      </c>
      <c r="V2201" t="str">
        <f>"68638.00"</f>
        <v>68638.00</v>
      </c>
      <c r="W2201" t="str">
        <f t="shared" si="822"/>
        <v>2017</v>
      </c>
      <c r="X2201" t="str">
        <f>"18.60"</f>
        <v>18.60</v>
      </c>
      <c r="Y2201" t="str">
        <f>"1588.49"</f>
        <v>1588.49</v>
      </c>
      <c r="Z2201" t="str">
        <f>""</f>
        <v/>
      </c>
      <c r="AA2201" t="str">
        <f>"90334.00"</f>
        <v>90334.00</v>
      </c>
      <c r="AB2201" t="str">
        <f>"Residential"</f>
        <v>Residential</v>
      </c>
      <c r="AC2201" t="str">
        <f t="shared" si="809"/>
        <v>0</v>
      </c>
      <c r="AD2201" t="str">
        <f>"4"</f>
        <v>4</v>
      </c>
      <c r="AE2201" t="str">
        <f>"WOOD (INCLUDE STEEL STUDS)"</f>
        <v>WOOD (INCLUDE STEEL STUDS)</v>
      </c>
      <c r="AF2201" t="str">
        <f>"001"</f>
        <v>001</v>
      </c>
      <c r="AG2201" t="str">
        <f t="shared" si="828"/>
        <v>FL</v>
      </c>
      <c r="AH2201" t="str">
        <f>"5000.00"</f>
        <v>5000.00</v>
      </c>
      <c r="AI2201" t="str">
        <f>"55000.00"</f>
        <v>55000.00</v>
      </c>
      <c r="AJ2201" t="str">
        <f>"C55-000-585-9459-9"</f>
        <v>C55-000-585-9459-9</v>
      </c>
      <c r="AK2201" t="str">
        <f>"48986"</f>
        <v>48986</v>
      </c>
      <c r="AL2201">
        <v>8</v>
      </c>
      <c r="AM2201">
        <v>2512</v>
      </c>
      <c r="AN2201">
        <v>1666.31</v>
      </c>
      <c r="AQ2201" t="s">
        <v>21214</v>
      </c>
      <c r="AR2201" t="s">
        <v>21214</v>
      </c>
      <c r="AS2201" t="s">
        <v>21214</v>
      </c>
      <c r="AU2201" t="s">
        <v>396</v>
      </c>
      <c r="AV2201">
        <v>2017</v>
      </c>
      <c r="AW2201" t="str">
        <f>"00-00-31-1800-0139-0130 "</f>
        <v xml:space="preserve">00-00-31-1800-0139-0130 </v>
      </c>
      <c r="AX2201">
        <v>511</v>
      </c>
      <c r="AZ2201" t="s">
        <v>20778</v>
      </c>
      <c r="BA2201" t="s">
        <v>1942</v>
      </c>
      <c r="BB2201" t="s">
        <v>18674</v>
      </c>
      <c r="BD2201" t="s">
        <v>11749</v>
      </c>
      <c r="BE2201" t="s">
        <v>393</v>
      </c>
      <c r="BF2201">
        <v>32034</v>
      </c>
      <c r="BG2201" t="s">
        <v>21215</v>
      </c>
      <c r="BH2201" t="s">
        <v>11751</v>
      </c>
      <c r="BI2201">
        <v>-81.461730551541507</v>
      </c>
      <c r="BJ2201">
        <v>30.664205567402501</v>
      </c>
      <c r="BK2201" t="s">
        <v>21216</v>
      </c>
      <c r="BM2201" t="s">
        <v>21217</v>
      </c>
      <c r="BN2201" t="s">
        <v>3983</v>
      </c>
      <c r="BO2201">
        <v>32034</v>
      </c>
      <c r="BP2201" t="s">
        <v>416</v>
      </c>
      <c r="BQ2201">
        <v>100</v>
      </c>
      <c r="BR2201" t="s">
        <v>514</v>
      </c>
      <c r="BS2201">
        <v>1001</v>
      </c>
      <c r="BT2201" t="s">
        <v>515</v>
      </c>
      <c r="BU2201">
        <v>500</v>
      </c>
      <c r="BV2201">
        <v>1000</v>
      </c>
      <c r="BW2201">
        <v>5000</v>
      </c>
      <c r="BX2201" t="s">
        <v>407</v>
      </c>
      <c r="BY2201" t="s">
        <v>18253</v>
      </c>
      <c r="BZ2201">
        <v>4</v>
      </c>
      <c r="CA2201">
        <v>1930</v>
      </c>
      <c r="CB2201">
        <v>1</v>
      </c>
      <c r="CC2201">
        <v>1</v>
      </c>
      <c r="CD2201">
        <v>2017</v>
      </c>
      <c r="CE2201">
        <v>55000</v>
      </c>
      <c r="CF2201">
        <v>35334</v>
      </c>
      <c r="CG2201">
        <v>90334</v>
      </c>
      <c r="CH2201">
        <v>2017</v>
      </c>
      <c r="CI2201">
        <v>55000</v>
      </c>
      <c r="CJ2201">
        <v>35334</v>
      </c>
      <c r="CK2201">
        <v>90334</v>
      </c>
      <c r="CL2201">
        <v>2017</v>
      </c>
      <c r="CM2201">
        <v>1511.16</v>
      </c>
      <c r="DD2201" t="s">
        <v>11749</v>
      </c>
      <c r="DF2201">
        <v>13</v>
      </c>
      <c r="DG2201">
        <v>23</v>
      </c>
      <c r="DJ2201" t="s">
        <v>20634</v>
      </c>
      <c r="DL2201">
        <v>50101</v>
      </c>
      <c r="DM2201" t="s">
        <v>20742</v>
      </c>
      <c r="DO2201" t="s">
        <v>21218</v>
      </c>
      <c r="DP2201">
        <v>0</v>
      </c>
      <c r="DQ2201">
        <v>0</v>
      </c>
      <c r="DR2201" t="s">
        <v>411</v>
      </c>
      <c r="DS2201" t="b">
        <v>1</v>
      </c>
      <c r="DT2201" t="s">
        <v>470</v>
      </c>
      <c r="DU2201" t="s">
        <v>471</v>
      </c>
      <c r="DV2201" t="s">
        <v>472</v>
      </c>
      <c r="DX2201">
        <v>-9999</v>
      </c>
      <c r="DZ2201" t="s">
        <v>447</v>
      </c>
      <c r="EA2201" t="s">
        <v>448</v>
      </c>
      <c r="EB2201" t="s">
        <v>14787</v>
      </c>
      <c r="EC2201">
        <v>20101217</v>
      </c>
      <c r="ED2201" t="s">
        <v>474</v>
      </c>
      <c r="EF2201">
        <v>232.8</v>
      </c>
      <c r="EG2201">
        <v>86</v>
      </c>
      <c r="EI2201">
        <v>20160407</v>
      </c>
      <c r="EJ2201">
        <v>0</v>
      </c>
      <c r="EK2201">
        <v>0</v>
      </c>
      <c r="EP2201" t="s">
        <v>421</v>
      </c>
      <c r="EQ2201" t="s">
        <v>422</v>
      </c>
      <c r="ER2201">
        <v>2</v>
      </c>
      <c r="ES2201">
        <v>7</v>
      </c>
      <c r="ET2201">
        <v>2897.1</v>
      </c>
      <c r="EU2201">
        <v>157.36000000000001</v>
      </c>
      <c r="EV2201">
        <v>3054.46</v>
      </c>
      <c r="EW2201" s="2">
        <v>43222</v>
      </c>
      <c r="EX2201" s="1">
        <v>42879</v>
      </c>
      <c r="EY2201">
        <v>2016</v>
      </c>
      <c r="EZ2201">
        <v>1448.55</v>
      </c>
      <c r="FA2201" t="s">
        <v>21219</v>
      </c>
      <c r="FB2201">
        <v>0.25</v>
      </c>
      <c r="FC2201" t="s">
        <v>424</v>
      </c>
      <c r="FD2201" t="s">
        <v>454</v>
      </c>
      <c r="FF2201">
        <v>12</v>
      </c>
      <c r="FG2201">
        <v>2851116</v>
      </c>
      <c r="FH2201" t="s">
        <v>480</v>
      </c>
      <c r="FJ2201" s="1">
        <v>42879</v>
      </c>
      <c r="FK2201">
        <v>2016</v>
      </c>
      <c r="FL2201">
        <v>1448.55</v>
      </c>
      <c r="FM2201" t="s">
        <v>21219</v>
      </c>
      <c r="FN2201">
        <v>0.25</v>
      </c>
      <c r="FO2201" t="s">
        <v>424</v>
      </c>
      <c r="FP2201" t="s">
        <v>454</v>
      </c>
      <c r="FR2201">
        <v>12</v>
      </c>
      <c r="FS2201">
        <v>5229525</v>
      </c>
      <c r="FT2201" t="s">
        <v>21220</v>
      </c>
      <c r="FV2201" s="1">
        <v>42515</v>
      </c>
      <c r="FW2201">
        <v>2015</v>
      </c>
      <c r="FX2201">
        <v>1287.6199999999999</v>
      </c>
      <c r="FY2201" t="s">
        <v>21221</v>
      </c>
      <c r="FZ2201">
        <v>0.25</v>
      </c>
      <c r="GA2201" t="s">
        <v>424</v>
      </c>
      <c r="GB2201" t="s">
        <v>425</v>
      </c>
      <c r="GC2201" s="1">
        <v>43158</v>
      </c>
      <c r="GD2201">
        <v>21</v>
      </c>
      <c r="GE2201">
        <v>7336671</v>
      </c>
      <c r="GF2201" t="s">
        <v>437</v>
      </c>
      <c r="GH2201" s="1">
        <v>42515</v>
      </c>
      <c r="GI2201">
        <v>2015</v>
      </c>
      <c r="GJ2201">
        <v>1287.6199999999999</v>
      </c>
      <c r="GK2201" t="s">
        <v>21221</v>
      </c>
      <c r="GL2201">
        <v>0.25</v>
      </c>
      <c r="GM2201" t="s">
        <v>424</v>
      </c>
      <c r="GN2201" t="s">
        <v>425</v>
      </c>
      <c r="GP2201">
        <v>22</v>
      </c>
      <c r="GQ2201">
        <v>6875015</v>
      </c>
      <c r="GR2201" t="s">
        <v>21222</v>
      </c>
      <c r="GT2201" s="1">
        <v>42151</v>
      </c>
      <c r="GU2201">
        <v>2014</v>
      </c>
      <c r="GV2201">
        <v>1198.4000000000001</v>
      </c>
      <c r="GW2201" t="s">
        <v>21223</v>
      </c>
      <c r="GX2201">
        <v>0.25</v>
      </c>
      <c r="GY2201" t="s">
        <v>424</v>
      </c>
      <c r="GZ2201" t="s">
        <v>425</v>
      </c>
      <c r="HA2201" s="1">
        <v>42794</v>
      </c>
      <c r="HB2201">
        <v>21</v>
      </c>
      <c r="HC2201">
        <v>2101382</v>
      </c>
      <c r="HD2201" t="s">
        <v>993</v>
      </c>
      <c r="HF2201" s="1">
        <v>42151</v>
      </c>
      <c r="HG2201">
        <v>2014</v>
      </c>
      <c r="HH2201">
        <v>1198.4000000000001</v>
      </c>
      <c r="HI2201" t="s">
        <v>21223</v>
      </c>
      <c r="HJ2201">
        <v>0.25</v>
      </c>
      <c r="HK2201" t="s">
        <v>424</v>
      </c>
      <c r="HL2201" t="s">
        <v>425</v>
      </c>
      <c r="HN2201">
        <v>22</v>
      </c>
      <c r="HO2201">
        <v>5436060</v>
      </c>
      <c r="HP2201" t="s">
        <v>21224</v>
      </c>
      <c r="HR2201" s="1">
        <v>41787</v>
      </c>
      <c r="HS2201">
        <v>2013</v>
      </c>
      <c r="HT2201">
        <v>1033.18</v>
      </c>
      <c r="HU2201" t="s">
        <v>21225</v>
      </c>
      <c r="HV2201">
        <v>0.25</v>
      </c>
      <c r="HW2201" t="s">
        <v>424</v>
      </c>
      <c r="HX2201" t="s">
        <v>425</v>
      </c>
      <c r="HY2201" s="1">
        <v>42422</v>
      </c>
      <c r="HZ2201">
        <v>21</v>
      </c>
      <c r="IA2201">
        <v>2851116</v>
      </c>
      <c r="IB2201" t="s">
        <v>480</v>
      </c>
      <c r="ID2201" s="1">
        <v>41423</v>
      </c>
      <c r="IE2201">
        <v>2012</v>
      </c>
      <c r="IF2201">
        <v>1458.13</v>
      </c>
      <c r="IG2201" t="s">
        <v>21226</v>
      </c>
      <c r="IH2201">
        <v>0.25</v>
      </c>
      <c r="II2201" t="s">
        <v>424</v>
      </c>
      <c r="IJ2201" t="s">
        <v>425</v>
      </c>
      <c r="IK2201" s="1">
        <v>42060</v>
      </c>
      <c r="IL2201">
        <v>21</v>
      </c>
      <c r="IM2201">
        <v>606981</v>
      </c>
      <c r="IN2201" t="s">
        <v>792</v>
      </c>
      <c r="IP2201" s="1">
        <v>40688</v>
      </c>
      <c r="IQ2201">
        <v>2010</v>
      </c>
      <c r="IR2201">
        <v>149.66999999999999</v>
      </c>
      <c r="IS2201" t="s">
        <v>21227</v>
      </c>
      <c r="IT2201">
        <v>5.25</v>
      </c>
      <c r="IU2201" t="s">
        <v>424</v>
      </c>
      <c r="IV2201" t="s">
        <v>425</v>
      </c>
      <c r="IW2201" s="1">
        <v>40968</v>
      </c>
      <c r="IX2201">
        <v>9</v>
      </c>
      <c r="IY2201">
        <v>10003</v>
      </c>
      <c r="IZ2201" t="s">
        <v>4341</v>
      </c>
    </row>
    <row r="2202" spans="1:284" x14ac:dyDescent="0.25">
      <c r="A2202">
        <v>16487209</v>
      </c>
      <c r="B2202">
        <v>2201</v>
      </c>
      <c r="C2202" t="s">
        <v>393</v>
      </c>
      <c r="D2202" t="s">
        <v>394</v>
      </c>
      <c r="F2202" t="str">
        <f>"00-00-31-1800-0140-0070"</f>
        <v>00-00-31-1800-0140-0070</v>
      </c>
      <c r="H2202" t="str">
        <f>"TESTON RASTUS T JR"</f>
        <v>TESTON RASTUS T JR</v>
      </c>
      <c r="I2202" t="str">
        <f>"517 S 7TH ST"</f>
        <v>517 S 7TH ST</v>
      </c>
      <c r="J2202" t="str">
        <f t="shared" si="827"/>
        <v>FERNANDINA BEACH FL 32034</v>
      </c>
      <c r="K2202" t="str">
        <f>"517 7TH ST S"</f>
        <v>517 7TH ST S</v>
      </c>
      <c r="L2202" t="str">
        <f t="shared" si="826"/>
        <v>FERNANDINA BEACH FL 32034</v>
      </c>
      <c r="M2202" t="str">
        <f>"BLOCK 140 LOT 7 OR 554/555 &amp; OR 841/1249 CITY OF FDNA BEACH"</f>
        <v>BLOCK 140 LOT 7 OR 554/555 &amp; OR 841/1249 CITY OF FDNA BEACH</v>
      </c>
      <c r="N2202" t="str">
        <f>""</f>
        <v/>
      </c>
      <c r="O2202" t="str">
        <f>"12033"</f>
        <v>12033</v>
      </c>
      <c r="P2202" t="str">
        <f t="shared" si="821"/>
        <v>2017</v>
      </c>
      <c r="Q2202" t="str">
        <f>""</f>
        <v/>
      </c>
      <c r="R2202" t="str">
        <f>"Y"</f>
        <v>Y</v>
      </c>
      <c r="S2202" t="str">
        <f>""</f>
        <v/>
      </c>
      <c r="T2202" t="str">
        <f>"803.77"</f>
        <v>803.77</v>
      </c>
      <c r="U2202" t="str">
        <f>"82052.00"</f>
        <v>82052.00</v>
      </c>
      <c r="V2202" t="str">
        <f>"82052.00"</f>
        <v>82052.00</v>
      </c>
      <c r="W2202" t="str">
        <f t="shared" si="822"/>
        <v>2017</v>
      </c>
      <c r="X2202" t="str">
        <f>"14.63"</f>
        <v>14.63</v>
      </c>
      <c r="Y2202" t="str">
        <f>"859.88"</f>
        <v>859.88</v>
      </c>
      <c r="Z2202" t="str">
        <f>"25000.00"</f>
        <v>25000.00</v>
      </c>
      <c r="AA2202" t="str">
        <f>"57052.00"</f>
        <v>57052.00</v>
      </c>
      <c r="AB2202" t="str">
        <f>"Residential"</f>
        <v>Residential</v>
      </c>
      <c r="AC2202" t="str">
        <f t="shared" si="809"/>
        <v>0</v>
      </c>
      <c r="AD2202" t="str">
        <f>"3"</f>
        <v>3</v>
      </c>
      <c r="AE2202" t="str">
        <f>"MASONRY"</f>
        <v>MASONRY</v>
      </c>
      <c r="AF2202" t="str">
        <f>"001"</f>
        <v>001</v>
      </c>
      <c r="AG2202" t="str">
        <f t="shared" si="828"/>
        <v>FL</v>
      </c>
      <c r="AH2202" t="str">
        <f>"10000.00"</f>
        <v>10000.00</v>
      </c>
      <c r="AI2202" t="str">
        <f>"110000.00"</f>
        <v>110000.00</v>
      </c>
      <c r="AJ2202" t="str">
        <f>"C55-000-585-9472-2"</f>
        <v>C55-000-585-9472-2</v>
      </c>
      <c r="AK2202" t="str">
        <f>"48999"</f>
        <v>48999</v>
      </c>
      <c r="AL2202">
        <v>8</v>
      </c>
      <c r="AM2202">
        <v>2513</v>
      </c>
      <c r="AN2202">
        <v>901.27</v>
      </c>
      <c r="AQ2202" t="s">
        <v>21228</v>
      </c>
      <c r="AR2202" t="s">
        <v>21228</v>
      </c>
      <c r="AS2202" t="s">
        <v>21228</v>
      </c>
      <c r="AU2202" t="s">
        <v>396</v>
      </c>
      <c r="AV2202">
        <v>2017</v>
      </c>
      <c r="AW2202" t="str">
        <f>"00-00-31-1800-0140-0070 "</f>
        <v xml:space="preserve">00-00-31-1800-0140-0070 </v>
      </c>
      <c r="AX2202">
        <v>517</v>
      </c>
      <c r="AZ2202" t="s">
        <v>20790</v>
      </c>
      <c r="BA2202" t="s">
        <v>1942</v>
      </c>
      <c r="BB2202" t="s">
        <v>18674</v>
      </c>
      <c r="BD2202" t="s">
        <v>11749</v>
      </c>
      <c r="BE2202" t="s">
        <v>393</v>
      </c>
      <c r="BF2202">
        <v>32034</v>
      </c>
      <c r="BG2202" t="s">
        <v>21229</v>
      </c>
      <c r="BH2202" t="s">
        <v>11751</v>
      </c>
      <c r="BI2202">
        <v>-81.460921576591602</v>
      </c>
      <c r="BJ2202">
        <v>30.664046429601299</v>
      </c>
      <c r="BK2202" t="s">
        <v>21230</v>
      </c>
      <c r="BM2202" t="s">
        <v>21231</v>
      </c>
      <c r="BN2202" t="s">
        <v>3983</v>
      </c>
      <c r="BO2202">
        <v>32034</v>
      </c>
      <c r="BP2202" t="s">
        <v>416</v>
      </c>
      <c r="BQ2202">
        <v>100</v>
      </c>
      <c r="BR2202" t="s">
        <v>514</v>
      </c>
      <c r="BS2202">
        <v>1001</v>
      </c>
      <c r="BT2202" t="s">
        <v>515</v>
      </c>
      <c r="BU2202">
        <v>1000</v>
      </c>
      <c r="BV2202">
        <v>1000</v>
      </c>
      <c r="BW2202">
        <v>10001</v>
      </c>
      <c r="BX2202" t="s">
        <v>407</v>
      </c>
      <c r="BY2202" t="s">
        <v>18253</v>
      </c>
      <c r="BZ2202">
        <v>3</v>
      </c>
      <c r="CA2202">
        <v>1955</v>
      </c>
      <c r="CB2202">
        <v>1</v>
      </c>
      <c r="CC2202">
        <v>1</v>
      </c>
      <c r="CD2202">
        <v>2017</v>
      </c>
      <c r="CG2202">
        <v>82052</v>
      </c>
      <c r="CH2202">
        <v>2017</v>
      </c>
      <c r="CI2202">
        <v>110000</v>
      </c>
      <c r="CJ2202">
        <v>60397</v>
      </c>
      <c r="CK2202">
        <v>170397</v>
      </c>
      <c r="CL2202">
        <v>2017</v>
      </c>
      <c r="CM2202">
        <v>803.77</v>
      </c>
      <c r="CN2202" s="1">
        <v>35996</v>
      </c>
      <c r="CZ2202" s="1">
        <v>35996</v>
      </c>
      <c r="DD2202" t="s">
        <v>11749</v>
      </c>
      <c r="DF2202">
        <v>7</v>
      </c>
      <c r="DG2202">
        <v>23</v>
      </c>
      <c r="DL2202">
        <v>50101</v>
      </c>
      <c r="DM2202" t="s">
        <v>20742</v>
      </c>
      <c r="DO2202" t="s">
        <v>21232</v>
      </c>
      <c r="DP2202">
        <v>0</v>
      </c>
      <c r="DQ2202">
        <v>3</v>
      </c>
      <c r="DR2202" t="s">
        <v>411</v>
      </c>
      <c r="DS2202" t="b">
        <v>1</v>
      </c>
      <c r="DT2202" t="s">
        <v>470</v>
      </c>
      <c r="DU2202" t="s">
        <v>471</v>
      </c>
      <c r="DV2202" t="s">
        <v>472</v>
      </c>
      <c r="DX2202">
        <v>-9999</v>
      </c>
      <c r="DZ2202" t="s">
        <v>447</v>
      </c>
      <c r="EA2202" t="s">
        <v>448</v>
      </c>
      <c r="EB2202" t="s">
        <v>14787</v>
      </c>
      <c r="EC2202">
        <v>20101217</v>
      </c>
      <c r="ED2202" t="s">
        <v>474</v>
      </c>
      <c r="EF2202">
        <v>464</v>
      </c>
      <c r="EG2202">
        <v>297</v>
      </c>
      <c r="EI2202">
        <v>20160407</v>
      </c>
      <c r="EJ2202">
        <v>0</v>
      </c>
      <c r="EK2202">
        <v>0</v>
      </c>
      <c r="EP2202" t="s">
        <v>421</v>
      </c>
      <c r="EQ2202" t="s">
        <v>422</v>
      </c>
      <c r="ER2202">
        <v>0</v>
      </c>
      <c r="ES2202">
        <v>9</v>
      </c>
      <c r="ET2202">
        <v>0</v>
      </c>
      <c r="EU2202">
        <v>0</v>
      </c>
      <c r="EV2202">
        <v>0</v>
      </c>
      <c r="EW2202" s="2">
        <v>43222</v>
      </c>
      <c r="EX2202" s="1">
        <v>42879</v>
      </c>
      <c r="EY2202">
        <v>2016</v>
      </c>
      <c r="EZ2202">
        <v>875.56</v>
      </c>
      <c r="FA2202" t="s">
        <v>21233</v>
      </c>
      <c r="FB2202">
        <v>0.25</v>
      </c>
      <c r="FC2202" t="s">
        <v>424</v>
      </c>
      <c r="FD2202" t="s">
        <v>425</v>
      </c>
      <c r="FE2202" s="1">
        <v>42969</v>
      </c>
      <c r="FF2202">
        <v>3</v>
      </c>
      <c r="FG2202">
        <v>2851116</v>
      </c>
      <c r="FH2202" t="s">
        <v>480</v>
      </c>
      <c r="FJ2202" s="1">
        <v>42879</v>
      </c>
      <c r="FK2202">
        <v>2016</v>
      </c>
      <c r="FL2202">
        <v>875.56</v>
      </c>
      <c r="FM2202" t="s">
        <v>21233</v>
      </c>
      <c r="FN2202">
        <v>0.25</v>
      </c>
      <c r="FO2202" t="s">
        <v>424</v>
      </c>
      <c r="FP2202" t="s">
        <v>425</v>
      </c>
      <c r="FR2202">
        <v>22</v>
      </c>
      <c r="FS2202">
        <v>5338375</v>
      </c>
      <c r="FT2202" t="s">
        <v>21234</v>
      </c>
      <c r="FV2202" s="1">
        <v>42515</v>
      </c>
      <c r="FW2202">
        <v>2015</v>
      </c>
      <c r="FX2202">
        <v>876.39</v>
      </c>
      <c r="FY2202" t="s">
        <v>21235</v>
      </c>
      <c r="FZ2202">
        <v>0.25</v>
      </c>
      <c r="GA2202" t="s">
        <v>424</v>
      </c>
      <c r="GB2202" t="s">
        <v>425</v>
      </c>
      <c r="GC2202" s="1">
        <v>42969</v>
      </c>
      <c r="GD2202">
        <v>15</v>
      </c>
      <c r="GE2202">
        <v>7336671</v>
      </c>
      <c r="GF2202" t="s">
        <v>437</v>
      </c>
      <c r="GH2202" s="1">
        <v>42515</v>
      </c>
      <c r="GI2202">
        <v>2015</v>
      </c>
      <c r="GJ2202">
        <v>876.39</v>
      </c>
      <c r="GK2202" t="s">
        <v>21235</v>
      </c>
      <c r="GL2202">
        <v>0.25</v>
      </c>
      <c r="GM2202" t="s">
        <v>424</v>
      </c>
      <c r="GN2202" t="s">
        <v>425</v>
      </c>
      <c r="GP2202">
        <v>22</v>
      </c>
      <c r="GQ2202">
        <v>6882651</v>
      </c>
      <c r="GR2202" t="s">
        <v>21236</v>
      </c>
      <c r="GT2202" s="1">
        <v>42151</v>
      </c>
      <c r="GU2202">
        <v>2014</v>
      </c>
      <c r="GV2202">
        <v>868.68</v>
      </c>
      <c r="GW2202" t="s">
        <v>21237</v>
      </c>
      <c r="GX2202">
        <v>0.25</v>
      </c>
      <c r="GY2202" t="s">
        <v>424</v>
      </c>
      <c r="GZ2202" t="s">
        <v>425</v>
      </c>
      <c r="HA2202" s="1">
        <v>42506</v>
      </c>
      <c r="HB2202">
        <v>12</v>
      </c>
      <c r="HC2202">
        <v>4844984</v>
      </c>
      <c r="HD2202" t="s">
        <v>1323</v>
      </c>
      <c r="HF2202" s="1">
        <v>42151</v>
      </c>
      <c r="HG2202">
        <v>2014</v>
      </c>
      <c r="HH2202">
        <v>868.68</v>
      </c>
      <c r="HI2202" t="s">
        <v>21237</v>
      </c>
      <c r="HJ2202">
        <v>0.25</v>
      </c>
      <c r="HK2202" t="s">
        <v>424</v>
      </c>
      <c r="HL2202" t="s">
        <v>425</v>
      </c>
      <c r="HN2202">
        <v>22</v>
      </c>
      <c r="HO2202">
        <v>5988399</v>
      </c>
      <c r="HP2202" t="s">
        <v>21238</v>
      </c>
      <c r="HR2202" s="1">
        <v>41423</v>
      </c>
      <c r="HS2202">
        <v>2012</v>
      </c>
      <c r="HT2202">
        <v>1125.1400000000001</v>
      </c>
      <c r="HU2202" t="s">
        <v>21239</v>
      </c>
      <c r="HV2202">
        <v>0.25</v>
      </c>
      <c r="HW2202" t="s">
        <v>424</v>
      </c>
      <c r="HX2202" t="s">
        <v>425</v>
      </c>
      <c r="HY2202" s="1">
        <v>41738</v>
      </c>
      <c r="HZ2202">
        <v>11</v>
      </c>
      <c r="IA2202">
        <v>15972</v>
      </c>
      <c r="IB2202" t="s">
        <v>2572</v>
      </c>
      <c r="ID2202" s="1">
        <v>41052</v>
      </c>
      <c r="IE2202">
        <v>2011</v>
      </c>
      <c r="IF2202">
        <v>1364.56</v>
      </c>
      <c r="IG2202" t="s">
        <v>21240</v>
      </c>
      <c r="IH2202">
        <v>0.25</v>
      </c>
      <c r="II2202" t="s">
        <v>424</v>
      </c>
      <c r="IJ2202" t="s">
        <v>425</v>
      </c>
      <c r="IK2202" s="1">
        <v>41738</v>
      </c>
      <c r="IL2202">
        <v>23</v>
      </c>
      <c r="IM2202">
        <v>11289</v>
      </c>
      <c r="IN2202" t="s">
        <v>787</v>
      </c>
      <c r="IP2202" s="1">
        <v>41052</v>
      </c>
      <c r="IQ2202">
        <v>2011</v>
      </c>
      <c r="IR2202">
        <v>1364.56</v>
      </c>
      <c r="IS2202" t="s">
        <v>21240</v>
      </c>
      <c r="IT2202">
        <v>0.25</v>
      </c>
      <c r="IU2202" t="s">
        <v>424</v>
      </c>
      <c r="IV2202" t="s">
        <v>425</v>
      </c>
      <c r="IX2202">
        <v>22</v>
      </c>
      <c r="IY2202">
        <v>13170</v>
      </c>
      <c r="IZ2202" t="s">
        <v>8778</v>
      </c>
    </row>
    <row r="2203" spans="1:284" x14ac:dyDescent="0.25">
      <c r="A2203">
        <v>16487210</v>
      </c>
      <c r="B2203">
        <v>2202</v>
      </c>
      <c r="C2203" t="s">
        <v>393</v>
      </c>
      <c r="D2203" t="s">
        <v>394</v>
      </c>
      <c r="F2203" t="str">
        <f>"00-00-31-1800-0143-0022"</f>
        <v>00-00-31-1800-0143-0022</v>
      </c>
      <c r="H2203" t="str">
        <f>"GILBERT WARREN EST C/O TRANELL B GILBERT"</f>
        <v>GILBERT WARREN EST C/O TRANELL B GILBERT</v>
      </c>
      <c r="I2203" t="str">
        <f>"PO BOX 16763"</f>
        <v>PO BOX 16763</v>
      </c>
      <c r="J2203" t="str">
        <f>"FERNANDINA BEACH FL 32035"</f>
        <v>FERNANDINA BEACH FL 32035</v>
      </c>
      <c r="K2203" t="str">
        <f>"514 9TH ST S"</f>
        <v>514 9TH ST S</v>
      </c>
      <c r="L2203" t="str">
        <f t="shared" si="826"/>
        <v>FERNANDINA BEACH FL 32034</v>
      </c>
      <c r="M2203" t="str">
        <f>"BLOCK 143 LOT S1/2 OF 2 CITY OF FDNA BEACH"</f>
        <v>BLOCK 143 LOT S1/2 OF 2 CITY OF FDNA BEACH</v>
      </c>
      <c r="N2203" t="str">
        <f>""</f>
        <v/>
      </c>
      <c r="O2203" t="str">
        <f>"12056"</f>
        <v>12056</v>
      </c>
      <c r="P2203" t="str">
        <f t="shared" si="821"/>
        <v>2017</v>
      </c>
      <c r="Q2203" t="str">
        <f>""</f>
        <v/>
      </c>
      <c r="R2203" t="str">
        <f>"N"</f>
        <v>N</v>
      </c>
      <c r="S2203" t="str">
        <f>""</f>
        <v/>
      </c>
      <c r="T2203" t="str">
        <f>"632.12"</f>
        <v>632.12</v>
      </c>
      <c r="U2203" t="str">
        <f>"31716.00"</f>
        <v>31716.00</v>
      </c>
      <c r="V2203" t="str">
        <f>"31716.00"</f>
        <v>31716.00</v>
      </c>
      <c r="W2203" t="str">
        <f t="shared" si="822"/>
        <v>2017</v>
      </c>
      <c r="X2203" t="str">
        <f>"14.14"</f>
        <v>14.14</v>
      </c>
      <c r="Y2203" t="str">
        <f>"683.08"</f>
        <v>683.08</v>
      </c>
      <c r="Z2203" t="str">
        <f>""</f>
        <v/>
      </c>
      <c r="AA2203" t="str">
        <f>"31716.00"</f>
        <v>31716.00</v>
      </c>
      <c r="AB2203" t="str">
        <f>"Residential"</f>
        <v>Residential</v>
      </c>
      <c r="AC2203" t="str">
        <f t="shared" si="809"/>
        <v>0</v>
      </c>
      <c r="AD2203" t="str">
        <f>"3"</f>
        <v>3</v>
      </c>
      <c r="AE2203" t="str">
        <f>"MASONRY"</f>
        <v>MASONRY</v>
      </c>
      <c r="AF2203" t="str">
        <f>"001"</f>
        <v>001</v>
      </c>
      <c r="AG2203" t="str">
        <f t="shared" si="828"/>
        <v>FL</v>
      </c>
      <c r="AH2203" t="str">
        <f>"4878.00"</f>
        <v>4878.00</v>
      </c>
      <c r="AI2203" t="str">
        <f>"18780.00"</f>
        <v>18780.00</v>
      </c>
      <c r="AJ2203" t="str">
        <f>"C55-000-585-9495-3"</f>
        <v>C55-000-585-9495-3</v>
      </c>
      <c r="AK2203" t="str">
        <f>"49021"</f>
        <v>49021</v>
      </c>
      <c r="AL2203">
        <v>8</v>
      </c>
      <c r="AM2203">
        <v>2515</v>
      </c>
      <c r="AN2203">
        <v>715.63</v>
      </c>
      <c r="AQ2203" t="s">
        <v>21241</v>
      </c>
      <c r="AR2203" t="s">
        <v>21241</v>
      </c>
      <c r="AS2203" t="s">
        <v>21241</v>
      </c>
      <c r="AU2203" t="s">
        <v>396</v>
      </c>
      <c r="AV2203">
        <v>2017</v>
      </c>
      <c r="AW2203" t="str">
        <f>"00-00-31-1800-0143-0022 "</f>
        <v xml:space="preserve">00-00-31-1800-0143-0022 </v>
      </c>
      <c r="AX2203">
        <v>514</v>
      </c>
      <c r="AZ2203" t="s">
        <v>20794</v>
      </c>
      <c r="BA2203" t="s">
        <v>1942</v>
      </c>
      <c r="BB2203" t="s">
        <v>18674</v>
      </c>
      <c r="BD2203" t="s">
        <v>11749</v>
      </c>
      <c r="BE2203" t="s">
        <v>393</v>
      </c>
      <c r="BF2203">
        <v>32034</v>
      </c>
      <c r="BG2203" t="s">
        <v>21242</v>
      </c>
      <c r="BH2203" t="s">
        <v>11751</v>
      </c>
      <c r="BI2203">
        <v>-81.458780742543297</v>
      </c>
      <c r="BJ2203">
        <v>30.663737752937202</v>
      </c>
      <c r="BK2203" t="s">
        <v>21243</v>
      </c>
      <c r="BM2203" t="s">
        <v>21244</v>
      </c>
      <c r="BN2203" t="s">
        <v>3983</v>
      </c>
      <c r="BO2203">
        <v>32035</v>
      </c>
      <c r="BP2203" t="s">
        <v>404</v>
      </c>
      <c r="BQ2203">
        <v>100</v>
      </c>
      <c r="BR2203" t="s">
        <v>514</v>
      </c>
      <c r="BS2203">
        <v>1001</v>
      </c>
      <c r="BT2203" t="s">
        <v>515</v>
      </c>
      <c r="BW2203">
        <v>4879</v>
      </c>
      <c r="BX2203" t="s">
        <v>407</v>
      </c>
      <c r="BY2203" t="s">
        <v>20798</v>
      </c>
      <c r="BZ2203">
        <v>3</v>
      </c>
      <c r="CA2203">
        <v>1940</v>
      </c>
      <c r="CB2203">
        <v>1</v>
      </c>
      <c r="CC2203">
        <v>1</v>
      </c>
      <c r="CD2203">
        <v>2017</v>
      </c>
      <c r="CE2203">
        <v>18780</v>
      </c>
      <c r="CF2203">
        <v>12936</v>
      </c>
      <c r="CG2203">
        <v>31716</v>
      </c>
      <c r="CH2203">
        <v>2017</v>
      </c>
      <c r="CI2203">
        <v>18780</v>
      </c>
      <c r="CJ2203">
        <v>12936</v>
      </c>
      <c r="CK2203">
        <v>31716</v>
      </c>
      <c r="CL2203">
        <v>2017</v>
      </c>
      <c r="CM2203">
        <v>632.12</v>
      </c>
      <c r="DD2203" t="s">
        <v>11749</v>
      </c>
      <c r="DG2203">
        <v>23</v>
      </c>
      <c r="DL2203">
        <v>50101</v>
      </c>
      <c r="DM2203" t="s">
        <v>20742</v>
      </c>
      <c r="DO2203" t="s">
        <v>21245</v>
      </c>
      <c r="DP2203">
        <v>0</v>
      </c>
      <c r="DQ2203">
        <v>11</v>
      </c>
      <c r="DR2203" t="s">
        <v>1479</v>
      </c>
      <c r="DS2203" t="b">
        <v>1</v>
      </c>
      <c r="DT2203" t="s">
        <v>470</v>
      </c>
      <c r="DU2203" t="s">
        <v>471</v>
      </c>
      <c r="DV2203" t="s">
        <v>472</v>
      </c>
      <c r="DX2203">
        <v>-9999</v>
      </c>
      <c r="DZ2203" t="s">
        <v>447</v>
      </c>
      <c r="EA2203" t="s">
        <v>448</v>
      </c>
      <c r="EB2203" t="s">
        <v>14787</v>
      </c>
      <c r="EC2203">
        <v>20101217</v>
      </c>
      <c r="ED2203" t="s">
        <v>474</v>
      </c>
      <c r="EF2203">
        <v>1132.2</v>
      </c>
      <c r="EG2203">
        <v>939.9</v>
      </c>
      <c r="EI2203">
        <v>20160407</v>
      </c>
      <c r="EJ2203">
        <v>0</v>
      </c>
      <c r="EK2203">
        <v>0</v>
      </c>
      <c r="EP2203" t="s">
        <v>421</v>
      </c>
      <c r="EQ2203" t="s">
        <v>422</v>
      </c>
      <c r="ER2203">
        <v>0</v>
      </c>
      <c r="ES2203">
        <v>8</v>
      </c>
      <c r="ET2203">
        <v>0</v>
      </c>
      <c r="EU2203">
        <v>0</v>
      </c>
      <c r="EV2203">
        <v>0</v>
      </c>
      <c r="EW2203" s="2">
        <v>43222</v>
      </c>
      <c r="EX2203" s="1">
        <v>42879</v>
      </c>
      <c r="EY2203">
        <v>2016</v>
      </c>
      <c r="EZ2203">
        <v>658.96</v>
      </c>
      <c r="FA2203" t="s">
        <v>21246</v>
      </c>
      <c r="FB2203">
        <v>4.75</v>
      </c>
      <c r="FC2203" t="s">
        <v>424</v>
      </c>
      <c r="FD2203" t="s">
        <v>425</v>
      </c>
      <c r="FE2203" s="1">
        <v>43186</v>
      </c>
      <c r="FF2203">
        <v>10</v>
      </c>
      <c r="FG2203">
        <v>2035919</v>
      </c>
      <c r="FH2203" t="s">
        <v>507</v>
      </c>
      <c r="FJ2203" s="1">
        <v>42515</v>
      </c>
      <c r="FK2203">
        <v>2015</v>
      </c>
      <c r="FL2203">
        <v>662.65</v>
      </c>
      <c r="FM2203" t="s">
        <v>21247</v>
      </c>
      <c r="FN2203">
        <v>14.75</v>
      </c>
      <c r="FO2203" t="s">
        <v>424</v>
      </c>
      <c r="FP2203" t="s">
        <v>425</v>
      </c>
      <c r="FQ2203" s="1">
        <v>43186</v>
      </c>
      <c r="FR2203">
        <v>22</v>
      </c>
      <c r="FS2203">
        <v>10003</v>
      </c>
      <c r="FT2203" t="s">
        <v>4341</v>
      </c>
      <c r="FV2203" s="1">
        <v>42151</v>
      </c>
      <c r="FW2203">
        <v>2014</v>
      </c>
      <c r="FX2203">
        <v>643.53</v>
      </c>
      <c r="FY2203" t="s">
        <v>21248</v>
      </c>
      <c r="FZ2203">
        <v>4</v>
      </c>
      <c r="GA2203" t="s">
        <v>424</v>
      </c>
      <c r="GB2203" t="s">
        <v>425</v>
      </c>
      <c r="GD2203">
        <v>22</v>
      </c>
      <c r="GE2203">
        <v>15399</v>
      </c>
      <c r="GF2203" t="s">
        <v>485</v>
      </c>
      <c r="GH2203" s="1">
        <v>42151</v>
      </c>
      <c r="GI2203">
        <v>2014</v>
      </c>
      <c r="GJ2203">
        <v>643.53</v>
      </c>
      <c r="GK2203" t="s">
        <v>21248</v>
      </c>
      <c r="GL2203">
        <v>4</v>
      </c>
      <c r="GM2203" t="s">
        <v>424</v>
      </c>
      <c r="GN2203" t="s">
        <v>425</v>
      </c>
      <c r="GP2203">
        <v>22</v>
      </c>
      <c r="GQ2203">
        <v>7045019</v>
      </c>
      <c r="GR2203" t="s">
        <v>1489</v>
      </c>
      <c r="GT2203" s="1">
        <v>42151</v>
      </c>
      <c r="GU2203">
        <v>2014</v>
      </c>
      <c r="GV2203">
        <v>643.53</v>
      </c>
      <c r="GW2203" t="s">
        <v>21248</v>
      </c>
      <c r="GX2203">
        <v>4</v>
      </c>
      <c r="GY2203" t="s">
        <v>424</v>
      </c>
      <c r="GZ2203" t="s">
        <v>425</v>
      </c>
      <c r="HB2203">
        <v>22</v>
      </c>
      <c r="HC2203">
        <v>7336692</v>
      </c>
      <c r="HD2203" t="s">
        <v>822</v>
      </c>
      <c r="HF2203" s="1">
        <v>42151</v>
      </c>
      <c r="HG2203">
        <v>2014</v>
      </c>
      <c r="HH2203">
        <v>643.53</v>
      </c>
      <c r="HI2203" t="s">
        <v>21248</v>
      </c>
      <c r="HJ2203">
        <v>4</v>
      </c>
      <c r="HK2203" t="s">
        <v>424</v>
      </c>
      <c r="HL2203" t="s">
        <v>425</v>
      </c>
      <c r="HM2203" s="1">
        <v>42678</v>
      </c>
      <c r="HN2203">
        <v>18</v>
      </c>
      <c r="HO2203">
        <v>7336698</v>
      </c>
      <c r="HP2203" t="s">
        <v>823</v>
      </c>
      <c r="HR2203" s="1">
        <v>41787</v>
      </c>
      <c r="HS2203">
        <v>2013</v>
      </c>
      <c r="HT2203">
        <v>772.61</v>
      </c>
      <c r="HU2203" t="s">
        <v>21249</v>
      </c>
      <c r="HV2203">
        <v>0.25</v>
      </c>
      <c r="HW2203" t="s">
        <v>424</v>
      </c>
      <c r="HX2203" t="s">
        <v>425</v>
      </c>
      <c r="HY2203" s="1">
        <v>42060</v>
      </c>
      <c r="HZ2203">
        <v>9</v>
      </c>
      <c r="IA2203">
        <v>13026</v>
      </c>
      <c r="IB2203" t="s">
        <v>2129</v>
      </c>
      <c r="ID2203" s="1">
        <v>41423</v>
      </c>
      <c r="IE2203">
        <v>2012</v>
      </c>
      <c r="IF2203">
        <v>823.11</v>
      </c>
      <c r="IG2203" t="s">
        <v>21250</v>
      </c>
      <c r="IH2203">
        <v>0.25</v>
      </c>
      <c r="II2203" t="s">
        <v>424</v>
      </c>
      <c r="IJ2203" t="s">
        <v>425</v>
      </c>
      <c r="IK2203" s="1">
        <v>41688</v>
      </c>
      <c r="IL2203">
        <v>9</v>
      </c>
      <c r="IM2203">
        <v>10125</v>
      </c>
      <c r="IN2203" t="s">
        <v>440</v>
      </c>
    </row>
    <row r="2204" spans="1:284" x14ac:dyDescent="0.25">
      <c r="A2204">
        <v>16487211</v>
      </c>
      <c r="B2204">
        <v>2203</v>
      </c>
      <c r="C2204" t="s">
        <v>393</v>
      </c>
      <c r="D2204" t="s">
        <v>394</v>
      </c>
      <c r="F2204" t="str">
        <f>"00-00-31-1800-0143-0042"</f>
        <v>00-00-31-1800-0143-0042</v>
      </c>
      <c r="H2204" t="str">
        <f>"LEIBMAN MARILYN C"</f>
        <v>LEIBMAN MARILYN C</v>
      </c>
      <c r="I2204" t="str">
        <f>"PO BOX 150"</f>
        <v>PO BOX 150</v>
      </c>
      <c r="J2204" t="str">
        <f>"SOUND BEACH NY 11789"</f>
        <v>SOUND BEACH NY 11789</v>
      </c>
      <c r="K2204" t="str">
        <f>"530 9TH ST S A&amp;B"</f>
        <v>530 9TH ST S A&amp;B</v>
      </c>
      <c r="L2204" t="str">
        <f t="shared" si="826"/>
        <v>FERNANDINA BEACH FL 32034</v>
      </c>
      <c r="M2204" t="str">
        <f>"BLOCK 143 LOT S1/2 OF 4 IN OR 1279/1351 CITY OF FDNA BEACH"</f>
        <v>BLOCK 143 LOT S1/2 OF 4 IN OR 1279/1351 CITY OF FDNA BEACH</v>
      </c>
      <c r="N2204" t="str">
        <f>""</f>
        <v/>
      </c>
      <c r="O2204" t="str">
        <f>"12060"</f>
        <v>12060</v>
      </c>
      <c r="P2204" t="str">
        <f t="shared" si="821"/>
        <v>2017</v>
      </c>
      <c r="Q2204" t="str">
        <f>""</f>
        <v/>
      </c>
      <c r="R2204" t="str">
        <f>"N"</f>
        <v>N</v>
      </c>
      <c r="S2204" t="str">
        <f>""</f>
        <v/>
      </c>
      <c r="T2204" t="str">
        <f>"382.65"</f>
        <v>382.65</v>
      </c>
      <c r="U2204" t="str">
        <f>"19199.00"</f>
        <v>19199.00</v>
      </c>
      <c r="V2204" t="str">
        <f>"19199.00"</f>
        <v>19199.00</v>
      </c>
      <c r="W2204" t="str">
        <f t="shared" si="822"/>
        <v>2017</v>
      </c>
      <c r="X2204" t="str">
        <f>"21.11"</f>
        <v>21.11</v>
      </c>
      <c r="Y2204" t="str">
        <f>"426.13"</f>
        <v>426.13</v>
      </c>
      <c r="Z2204" t="str">
        <f>""</f>
        <v/>
      </c>
      <c r="AA2204" t="str">
        <f>"19199.00"</f>
        <v>19199.00</v>
      </c>
      <c r="AB2204" t="str">
        <f>"Residential"</f>
        <v>Residential</v>
      </c>
      <c r="AC2204" t="str">
        <f t="shared" si="809"/>
        <v>0</v>
      </c>
      <c r="AD2204" t="str">
        <f>""</f>
        <v/>
      </c>
      <c r="AE2204" t="str">
        <f>""</f>
        <v/>
      </c>
      <c r="AF2204" t="str">
        <f>"000"</f>
        <v>000</v>
      </c>
      <c r="AG2204" t="str">
        <f>"NY"</f>
        <v>NY</v>
      </c>
      <c r="AH2204" t="str">
        <f>"4987.00"</f>
        <v>4987.00</v>
      </c>
      <c r="AI2204" t="str">
        <f>"19199.00"</f>
        <v>19199.00</v>
      </c>
      <c r="AJ2204" t="str">
        <f>"C55-000-585-9499-5"</f>
        <v>C55-000-585-9499-5</v>
      </c>
      <c r="AK2204" t="str">
        <f>"49025"</f>
        <v>49025</v>
      </c>
      <c r="AL2204">
        <v>8</v>
      </c>
      <c r="AM2204">
        <v>2516</v>
      </c>
      <c r="AN2204">
        <v>445.84</v>
      </c>
      <c r="AQ2204" t="s">
        <v>21251</v>
      </c>
      <c r="AR2204" t="s">
        <v>21251</v>
      </c>
      <c r="AS2204" t="s">
        <v>21251</v>
      </c>
      <c r="AU2204" t="s">
        <v>396</v>
      </c>
      <c r="AV2204">
        <v>2017</v>
      </c>
      <c r="AW2204" t="str">
        <f>"00-00-31-1800-0143-0042 "</f>
        <v xml:space="preserve">00-00-31-1800-0143-0042 </v>
      </c>
      <c r="AX2204">
        <v>530</v>
      </c>
      <c r="AZ2204" t="s">
        <v>21252</v>
      </c>
      <c r="BC2204" t="s">
        <v>20737</v>
      </c>
      <c r="BD2204" t="s">
        <v>11749</v>
      </c>
      <c r="BE2204" t="s">
        <v>393</v>
      </c>
      <c r="BF2204">
        <v>32034</v>
      </c>
      <c r="BG2204" t="s">
        <v>21253</v>
      </c>
      <c r="BH2204" t="s">
        <v>11751</v>
      </c>
      <c r="BI2204">
        <v>-81.458866893768601</v>
      </c>
      <c r="BJ2204">
        <v>30.663192930177299</v>
      </c>
      <c r="BK2204" t="s">
        <v>17175</v>
      </c>
      <c r="BM2204" t="s">
        <v>17176</v>
      </c>
      <c r="BN2204" t="s">
        <v>17177</v>
      </c>
      <c r="BO2204">
        <v>11789</v>
      </c>
      <c r="BP2204" t="s">
        <v>404</v>
      </c>
      <c r="BQ2204">
        <v>0</v>
      </c>
      <c r="BR2204" t="s">
        <v>491</v>
      </c>
      <c r="BS2204">
        <v>8001</v>
      </c>
      <c r="BT2204" t="s">
        <v>492</v>
      </c>
      <c r="BW2204">
        <v>4988</v>
      </c>
      <c r="BX2204" t="s">
        <v>407</v>
      </c>
      <c r="BY2204" t="s">
        <v>20798</v>
      </c>
      <c r="CB2204">
        <v>1</v>
      </c>
      <c r="CD2204">
        <v>2017</v>
      </c>
      <c r="CE2204">
        <v>19199</v>
      </c>
      <c r="CG2204">
        <v>19199</v>
      </c>
      <c r="CH2204">
        <v>2017</v>
      </c>
      <c r="CI2204">
        <v>19199</v>
      </c>
      <c r="CK2204">
        <v>19199</v>
      </c>
      <c r="CL2204">
        <v>2017</v>
      </c>
      <c r="CM2204">
        <v>382.65</v>
      </c>
      <c r="CN2204" s="1">
        <v>38330</v>
      </c>
      <c r="CO2204">
        <v>49900</v>
      </c>
      <c r="CV2204">
        <v>0</v>
      </c>
      <c r="CZ2204" s="1">
        <v>38330</v>
      </c>
      <c r="DA2204">
        <v>0</v>
      </c>
      <c r="DD2204" t="s">
        <v>11749</v>
      </c>
      <c r="DG2204">
        <v>23</v>
      </c>
      <c r="DI2204" t="s">
        <v>396</v>
      </c>
      <c r="DL2204">
        <v>50101</v>
      </c>
      <c r="DM2204" t="s">
        <v>20742</v>
      </c>
      <c r="DO2204" t="s">
        <v>21254</v>
      </c>
      <c r="DP2204">
        <v>0</v>
      </c>
      <c r="DQ2204">
        <v>10</v>
      </c>
      <c r="DR2204" t="s">
        <v>1174</v>
      </c>
      <c r="DS2204" t="b">
        <v>1</v>
      </c>
      <c r="DT2204" t="s">
        <v>470</v>
      </c>
      <c r="DU2204" t="s">
        <v>471</v>
      </c>
      <c r="DV2204" t="s">
        <v>472</v>
      </c>
      <c r="DX2204">
        <v>-9999</v>
      </c>
      <c r="DZ2204" t="s">
        <v>447</v>
      </c>
      <c r="EA2204" t="s">
        <v>448</v>
      </c>
      <c r="EB2204" t="s">
        <v>14787</v>
      </c>
      <c r="EC2204">
        <v>20101217</v>
      </c>
      <c r="ED2204" t="s">
        <v>474</v>
      </c>
      <c r="EF2204">
        <v>1129.9000000000001</v>
      </c>
      <c r="EG2204">
        <v>930</v>
      </c>
      <c r="EI2204">
        <v>20160407</v>
      </c>
      <c r="EJ2204">
        <v>0</v>
      </c>
      <c r="EK2204">
        <v>0</v>
      </c>
      <c r="EP2204" t="s">
        <v>421</v>
      </c>
      <c r="EQ2204" t="s">
        <v>422</v>
      </c>
      <c r="ER2204">
        <v>1</v>
      </c>
      <c r="ES2204">
        <v>9</v>
      </c>
      <c r="ET2204">
        <v>653.29</v>
      </c>
      <c r="EU2204">
        <v>38.909999999999997</v>
      </c>
      <c r="EV2204">
        <v>692.2</v>
      </c>
      <c r="EW2204" s="2">
        <v>43222</v>
      </c>
      <c r="EX2204" s="1">
        <v>42879</v>
      </c>
      <c r="EY2204">
        <v>2016</v>
      </c>
      <c r="EZ2204">
        <v>653.29</v>
      </c>
      <c r="FA2204" t="s">
        <v>21255</v>
      </c>
      <c r="FB2204">
        <v>4.75</v>
      </c>
      <c r="FC2204" t="s">
        <v>424</v>
      </c>
      <c r="FD2204" t="s">
        <v>454</v>
      </c>
      <c r="FF2204">
        <v>12</v>
      </c>
      <c r="FG2204">
        <v>2035919</v>
      </c>
      <c r="FH2204" t="s">
        <v>507</v>
      </c>
      <c r="FJ2204" s="1">
        <v>42515</v>
      </c>
      <c r="FK2204">
        <v>2015</v>
      </c>
      <c r="FL2204">
        <v>606.84</v>
      </c>
      <c r="FM2204" t="s">
        <v>21256</v>
      </c>
      <c r="FN2204">
        <v>15</v>
      </c>
      <c r="FO2204" t="s">
        <v>424</v>
      </c>
      <c r="FP2204" t="s">
        <v>425</v>
      </c>
      <c r="FQ2204" s="1">
        <v>43159</v>
      </c>
      <c r="FR2204">
        <v>21</v>
      </c>
      <c r="FS2204">
        <v>10628</v>
      </c>
      <c r="FT2204" t="s">
        <v>943</v>
      </c>
      <c r="FV2204" s="1">
        <v>42151</v>
      </c>
      <c r="FW2204">
        <v>2014</v>
      </c>
      <c r="FX2204">
        <v>611.02</v>
      </c>
      <c r="FY2204" t="s">
        <v>21257</v>
      </c>
      <c r="FZ2204">
        <v>0.25</v>
      </c>
      <c r="GA2204" t="s">
        <v>424</v>
      </c>
      <c r="GB2204" t="s">
        <v>425</v>
      </c>
      <c r="GD2204">
        <v>22</v>
      </c>
      <c r="GE2204">
        <v>15399</v>
      </c>
      <c r="GF2204" t="s">
        <v>485</v>
      </c>
      <c r="GH2204" s="1">
        <v>42151</v>
      </c>
      <c r="GI2204">
        <v>2014</v>
      </c>
      <c r="GJ2204">
        <v>611.02</v>
      </c>
      <c r="GK2204" t="s">
        <v>21257</v>
      </c>
      <c r="GL2204">
        <v>0.25</v>
      </c>
      <c r="GM2204" t="s">
        <v>424</v>
      </c>
      <c r="GN2204" t="s">
        <v>425</v>
      </c>
      <c r="GP2204">
        <v>22</v>
      </c>
      <c r="GQ2204">
        <v>7045019</v>
      </c>
      <c r="GR2204" t="s">
        <v>1489</v>
      </c>
      <c r="GT2204" s="1">
        <v>42151</v>
      </c>
      <c r="GU2204">
        <v>2014</v>
      </c>
      <c r="GV2204">
        <v>611.02</v>
      </c>
      <c r="GW2204" t="s">
        <v>21257</v>
      </c>
      <c r="GX2204">
        <v>0.25</v>
      </c>
      <c r="GY2204" t="s">
        <v>424</v>
      </c>
      <c r="GZ2204" t="s">
        <v>425</v>
      </c>
      <c r="HB2204">
        <v>22</v>
      </c>
      <c r="HC2204">
        <v>7336692</v>
      </c>
      <c r="HD2204" t="s">
        <v>822</v>
      </c>
      <c r="HF2204" s="1">
        <v>42151</v>
      </c>
      <c r="HG2204">
        <v>2014</v>
      </c>
      <c r="HH2204">
        <v>611.02</v>
      </c>
      <c r="HI2204" t="s">
        <v>21257</v>
      </c>
      <c r="HJ2204">
        <v>0.25</v>
      </c>
      <c r="HK2204" t="s">
        <v>424</v>
      </c>
      <c r="HL2204" t="s">
        <v>425</v>
      </c>
      <c r="HM2204" s="1">
        <v>42794</v>
      </c>
      <c r="HN2204">
        <v>21</v>
      </c>
      <c r="HO2204">
        <v>7336698</v>
      </c>
      <c r="HP2204" t="s">
        <v>823</v>
      </c>
      <c r="HR2204" s="1">
        <v>41787</v>
      </c>
      <c r="HS2204">
        <v>2013</v>
      </c>
      <c r="HT2204">
        <v>548.35</v>
      </c>
      <c r="HU2204" t="s">
        <v>21258</v>
      </c>
      <c r="HV2204">
        <v>1.75</v>
      </c>
      <c r="HW2204" t="s">
        <v>424</v>
      </c>
      <c r="HX2204" t="s">
        <v>425</v>
      </c>
      <c r="HY2204" s="1">
        <v>42458</v>
      </c>
      <c r="HZ2204">
        <v>22</v>
      </c>
      <c r="IA2204">
        <v>10125</v>
      </c>
      <c r="IB2204" t="s">
        <v>440</v>
      </c>
      <c r="ID2204" s="1">
        <v>41423</v>
      </c>
      <c r="IE2204">
        <v>2012</v>
      </c>
      <c r="IF2204">
        <v>601.6</v>
      </c>
      <c r="IG2204" t="s">
        <v>21259</v>
      </c>
      <c r="IH2204">
        <v>0.25</v>
      </c>
      <c r="II2204" t="s">
        <v>424</v>
      </c>
      <c r="IJ2204" t="s">
        <v>425</v>
      </c>
      <c r="IK2204" s="1">
        <v>42075</v>
      </c>
      <c r="IL2204">
        <v>22</v>
      </c>
      <c r="IM2204">
        <v>15399</v>
      </c>
      <c r="IN2204" t="s">
        <v>485</v>
      </c>
      <c r="IP2204" s="1">
        <v>41052</v>
      </c>
      <c r="IQ2204">
        <v>2011</v>
      </c>
      <c r="IR2204">
        <v>800.12</v>
      </c>
      <c r="IS2204" t="s">
        <v>21260</v>
      </c>
      <c r="IT2204">
        <v>5.75</v>
      </c>
      <c r="IU2204" t="s">
        <v>424</v>
      </c>
      <c r="IV2204" t="s">
        <v>425</v>
      </c>
      <c r="IW2204" s="1">
        <v>41725</v>
      </c>
      <c r="IX2204">
        <v>22</v>
      </c>
      <c r="IY2204">
        <v>10125</v>
      </c>
      <c r="IZ2204" t="s">
        <v>440</v>
      </c>
      <c r="JB2204" s="1">
        <v>40688</v>
      </c>
      <c r="JC2204">
        <v>2010</v>
      </c>
      <c r="JD2204">
        <v>795.16</v>
      </c>
      <c r="JE2204" t="s">
        <v>21261</v>
      </c>
      <c r="JF2204">
        <v>5.5</v>
      </c>
      <c r="JG2204" t="s">
        <v>424</v>
      </c>
      <c r="JH2204" t="s">
        <v>425</v>
      </c>
      <c r="JI2204" s="1">
        <v>41333</v>
      </c>
      <c r="JJ2204">
        <v>21</v>
      </c>
      <c r="JK2204">
        <v>10579</v>
      </c>
      <c r="JL2204" t="s">
        <v>488</v>
      </c>
    </row>
    <row r="2205" spans="1:284" x14ac:dyDescent="0.25">
      <c r="A2205">
        <v>16487212</v>
      </c>
      <c r="B2205">
        <v>2204</v>
      </c>
      <c r="C2205" t="s">
        <v>393</v>
      </c>
      <c r="D2205" t="s">
        <v>394</v>
      </c>
      <c r="F2205" t="str">
        <f>"00-00-31-1800-0146-0022"</f>
        <v>00-00-31-1800-0146-0022</v>
      </c>
      <c r="H2205" t="str">
        <f>"RIVER GREEN ESTATES LLC"</f>
        <v>RIVER GREEN ESTATES LLC</v>
      </c>
      <c r="I2205" t="str">
        <f>"11323 PHILLIPS PKWY DR STE 7"</f>
        <v>11323 PHILLIPS PKWY DR STE 7</v>
      </c>
      <c r="J2205" t="str">
        <f>"JACKSONVILLE FL 32256"</f>
        <v>JACKSONVILLE FL 32256</v>
      </c>
      <c r="K2205" t="str">
        <f>"S 9TH ST"</f>
        <v>S 9TH ST</v>
      </c>
      <c r="L2205" t="str">
        <f t="shared" si="826"/>
        <v>FERNANDINA BEACH FL 32034</v>
      </c>
      <c r="M2205" t="str">
        <f>"BLOCK 146 LOT S1/2 OF 2 IN OR 2144/1597 CITY OF FDNA BEACH"</f>
        <v>BLOCK 146 LOT S1/2 OF 2 IN OR 2144/1597 CITY OF FDNA BEACH</v>
      </c>
      <c r="N2205" t="str">
        <f>""</f>
        <v/>
      </c>
      <c r="O2205" t="str">
        <f>"12074"</f>
        <v>12074</v>
      </c>
      <c r="P2205" t="str">
        <f t="shared" si="821"/>
        <v>2017</v>
      </c>
      <c r="Q2205" t="str">
        <f>""</f>
        <v/>
      </c>
      <c r="R2205" t="str">
        <f>"N"</f>
        <v>N</v>
      </c>
      <c r="S2205" t="str">
        <f>""</f>
        <v/>
      </c>
      <c r="T2205" t="str">
        <f>"395.89"</f>
        <v>395.89</v>
      </c>
      <c r="U2205" t="str">
        <f>"19863.00"</f>
        <v>19863.00</v>
      </c>
      <c r="V2205" t="str">
        <f>"19863.00"</f>
        <v>19863.00</v>
      </c>
      <c r="W2205" t="str">
        <f t="shared" si="822"/>
        <v>2017</v>
      </c>
      <c r="X2205" t="str">
        <f>"19.00"</f>
        <v>19.00</v>
      </c>
      <c r="Y2205" t="str">
        <f>"439.77"</f>
        <v>439.77</v>
      </c>
      <c r="Z2205" t="str">
        <f>""</f>
        <v/>
      </c>
      <c r="AA2205" t="str">
        <f>"19863.00"</f>
        <v>19863.00</v>
      </c>
      <c r="AB2205" t="str">
        <f>"Commercial"</f>
        <v>Commercial</v>
      </c>
      <c r="AC2205" t="str">
        <f t="shared" si="809"/>
        <v>0</v>
      </c>
      <c r="AD2205" t="str">
        <f>""</f>
        <v/>
      </c>
      <c r="AE2205" t="str">
        <f>""</f>
        <v/>
      </c>
      <c r="AF2205" t="str">
        <f>"010"</f>
        <v>010</v>
      </c>
      <c r="AG2205" t="str">
        <f>"FL"</f>
        <v>FL</v>
      </c>
      <c r="AH2205" t="str">
        <f>"4999.00"</f>
        <v>4999.00</v>
      </c>
      <c r="AI2205" t="str">
        <f>"19246.00"</f>
        <v>19246.00</v>
      </c>
      <c r="AJ2205" t="str">
        <f>"C55-000-585-9512-5"</f>
        <v>C55-000-585-9512-5</v>
      </c>
      <c r="AK2205" t="str">
        <f>"49038"</f>
        <v>49038</v>
      </c>
      <c r="AL2205">
        <v>8</v>
      </c>
      <c r="AM2205">
        <v>2517</v>
      </c>
      <c r="AN2205">
        <v>460.16</v>
      </c>
      <c r="AQ2205" t="s">
        <v>21262</v>
      </c>
      <c r="AR2205" t="s">
        <v>21262</v>
      </c>
      <c r="AS2205" t="s">
        <v>21262</v>
      </c>
      <c r="AU2205" t="s">
        <v>396</v>
      </c>
      <c r="AV2205">
        <v>2017</v>
      </c>
      <c r="AW2205" t="str">
        <f>"00-00-31-1800-0146-0022 "</f>
        <v xml:space="preserve">00-00-31-1800-0146-0022 </v>
      </c>
      <c r="AY2205" t="s">
        <v>18674</v>
      </c>
      <c r="AZ2205" t="s">
        <v>20794</v>
      </c>
      <c r="BA2205" t="s">
        <v>1942</v>
      </c>
      <c r="BD2205" t="s">
        <v>11749</v>
      </c>
      <c r="BE2205" t="s">
        <v>393</v>
      </c>
      <c r="BF2205">
        <v>32034</v>
      </c>
      <c r="BG2205" t="s">
        <v>21263</v>
      </c>
      <c r="BH2205" t="s">
        <v>11751</v>
      </c>
      <c r="BI2205">
        <v>-81.458974828178299</v>
      </c>
      <c r="BJ2205">
        <v>30.662484256534999</v>
      </c>
      <c r="BK2205" t="s">
        <v>21264</v>
      </c>
      <c r="BM2205" t="s">
        <v>21265</v>
      </c>
      <c r="BN2205" t="s">
        <v>548</v>
      </c>
      <c r="BO2205">
        <v>32256</v>
      </c>
      <c r="BP2205" t="s">
        <v>404</v>
      </c>
      <c r="BQ2205">
        <v>1001</v>
      </c>
      <c r="BR2205" t="s">
        <v>2391</v>
      </c>
      <c r="BS2205">
        <v>8002</v>
      </c>
      <c r="BT2205" t="s">
        <v>2392</v>
      </c>
      <c r="BW2205">
        <v>5001</v>
      </c>
      <c r="BX2205" t="s">
        <v>407</v>
      </c>
      <c r="BY2205" t="s">
        <v>20798</v>
      </c>
      <c r="CD2205">
        <v>2017</v>
      </c>
      <c r="CE2205">
        <v>19246</v>
      </c>
      <c r="CF2205">
        <v>617</v>
      </c>
      <c r="CG2205">
        <v>19863</v>
      </c>
      <c r="CH2205">
        <v>2017</v>
      </c>
      <c r="CI2205">
        <v>19246</v>
      </c>
      <c r="CJ2205">
        <v>617</v>
      </c>
      <c r="CK2205">
        <v>19863</v>
      </c>
      <c r="CL2205">
        <v>2017</v>
      </c>
      <c r="CM2205">
        <v>395.89</v>
      </c>
      <c r="CN2205" s="1">
        <v>42984</v>
      </c>
      <c r="CO2205">
        <v>35000</v>
      </c>
      <c r="CV2205">
        <v>0</v>
      </c>
      <c r="CZ2205" s="1">
        <v>42984</v>
      </c>
      <c r="DA2205">
        <v>0</v>
      </c>
      <c r="DD2205" t="s">
        <v>11749</v>
      </c>
      <c r="DG2205">
        <v>23</v>
      </c>
      <c r="DJ2205" t="s">
        <v>20634</v>
      </c>
      <c r="DL2205">
        <v>50101</v>
      </c>
      <c r="DM2205" t="s">
        <v>20742</v>
      </c>
      <c r="DO2205" t="s">
        <v>21266</v>
      </c>
      <c r="DP2205">
        <v>0</v>
      </c>
      <c r="DQ2205">
        <v>10</v>
      </c>
      <c r="DR2205" t="s">
        <v>1174</v>
      </c>
      <c r="EP2205" t="s">
        <v>421</v>
      </c>
      <c r="EQ2205" t="s">
        <v>422</v>
      </c>
      <c r="ER2205">
        <v>0</v>
      </c>
      <c r="ES2205">
        <v>3</v>
      </c>
      <c r="ET2205">
        <v>0</v>
      </c>
      <c r="EU2205">
        <v>0</v>
      </c>
      <c r="EV2205">
        <v>0</v>
      </c>
      <c r="EW2205" s="2">
        <v>43222</v>
      </c>
      <c r="EX2205" s="1">
        <v>41787</v>
      </c>
      <c r="EY2205">
        <v>2013</v>
      </c>
      <c r="EZ2205">
        <v>412.79</v>
      </c>
      <c r="FA2205" t="s">
        <v>21267</v>
      </c>
      <c r="FB2205">
        <v>2.75</v>
      </c>
      <c r="FC2205" t="s">
        <v>424</v>
      </c>
      <c r="FD2205" t="s">
        <v>425</v>
      </c>
      <c r="FE2205" s="1">
        <v>42124</v>
      </c>
      <c r="FF2205">
        <v>11</v>
      </c>
      <c r="FG2205">
        <v>10125</v>
      </c>
      <c r="FH2205" t="s">
        <v>440</v>
      </c>
      <c r="FJ2205" s="1">
        <v>41052</v>
      </c>
      <c r="FK2205">
        <v>2011</v>
      </c>
      <c r="FL2205">
        <v>656.37</v>
      </c>
      <c r="FM2205" t="s">
        <v>21268</v>
      </c>
      <c r="FN2205">
        <v>16.5</v>
      </c>
      <c r="FO2205" t="s">
        <v>424</v>
      </c>
      <c r="FP2205" t="s">
        <v>425</v>
      </c>
      <c r="FQ2205" s="1">
        <v>41758</v>
      </c>
      <c r="FR2205">
        <v>23</v>
      </c>
      <c r="FS2205">
        <v>10125</v>
      </c>
      <c r="FT2205" t="s">
        <v>440</v>
      </c>
      <c r="FV2205" s="1">
        <v>40688</v>
      </c>
      <c r="FW2205">
        <v>2010</v>
      </c>
      <c r="FX2205">
        <v>643.67999999999995</v>
      </c>
      <c r="FY2205" t="s">
        <v>21269</v>
      </c>
      <c r="FZ2205">
        <v>5</v>
      </c>
      <c r="GA2205" t="s">
        <v>424</v>
      </c>
      <c r="GB2205" t="s">
        <v>425</v>
      </c>
      <c r="GC2205" s="1">
        <v>41145</v>
      </c>
      <c r="GD2205">
        <v>15</v>
      </c>
      <c r="GE2205">
        <v>10003</v>
      </c>
      <c r="GF2205" t="s">
        <v>4341</v>
      </c>
    </row>
    <row r="2206" spans="1:284" x14ac:dyDescent="0.25">
      <c r="A2206">
        <v>16487213</v>
      </c>
      <c r="B2206">
        <v>2205</v>
      </c>
      <c r="C2206" t="s">
        <v>393</v>
      </c>
      <c r="D2206" t="s">
        <v>394</v>
      </c>
      <c r="F2206" t="str">
        <f>"00-00-31-1800-0146-0061"</f>
        <v>00-00-31-1800-0146-0061</v>
      </c>
      <c r="H2206" t="str">
        <f>"HOLCEY MARK C &amp; HOLCEY CARLOS D &amp; CHERRELL M &amp; HOLCEY GUS A"</f>
        <v>HOLCEY MARK C &amp; HOLCEY CARLOS D &amp; CHERRELL M &amp; HOLCEY GUS A</v>
      </c>
      <c r="I2206" t="str">
        <f>""</f>
        <v/>
      </c>
      <c r="J2206" t="str">
        <f>"FERNANDINA BEACH FL 32034"</f>
        <v>FERNANDINA BEACH FL 32034</v>
      </c>
      <c r="K2206" t="str">
        <f>"619 10TH ST S"</f>
        <v>619 10TH ST S</v>
      </c>
      <c r="L2206" t="str">
        <f t="shared" si="826"/>
        <v>FERNANDINA BEACH FL 32034</v>
      </c>
      <c r="M2206" t="str">
        <f>"BLOCK 146 N1/2 OF LOT 6 IN OR 1658/96 CITY OF FDNA BEACH 1/4 HX INT"</f>
        <v>BLOCK 146 N1/2 OF LOT 6 IN OR 1658/96 CITY OF FDNA BEACH 1/4 HX INT</v>
      </c>
      <c r="N2206" t="str">
        <f>""</f>
        <v/>
      </c>
      <c r="O2206" t="str">
        <f>"12080"</f>
        <v>12080</v>
      </c>
      <c r="P2206" t="str">
        <f t="shared" si="821"/>
        <v>2017</v>
      </c>
      <c r="Q2206" t="str">
        <f>""</f>
        <v/>
      </c>
      <c r="R2206" t="str">
        <f>"Y"</f>
        <v>Y</v>
      </c>
      <c r="S2206" t="str">
        <f>""</f>
        <v/>
      </c>
      <c r="T2206" t="str">
        <f>"1376.01"</f>
        <v>1376.01</v>
      </c>
      <c r="U2206" t="str">
        <f>"83735.00"</f>
        <v>83735.00</v>
      </c>
      <c r="V2206" t="str">
        <f>"83735.00"</f>
        <v>83735.00</v>
      </c>
      <c r="W2206" t="str">
        <f t="shared" si="822"/>
        <v>2017</v>
      </c>
      <c r="X2206" t="str">
        <f>"13.33"</f>
        <v>13.33</v>
      </c>
      <c r="Y2206" t="str">
        <f>"1449.29"</f>
        <v>1449.29</v>
      </c>
      <c r="Z2206" t="str">
        <f>"16180.00"</f>
        <v>16180.00</v>
      </c>
      <c r="AA2206" t="str">
        <f>"72040.00"</f>
        <v>72040.00</v>
      </c>
      <c r="AB2206" t="str">
        <f>"Residential"</f>
        <v>Residential</v>
      </c>
      <c r="AC2206" t="str">
        <f t="shared" ref="AC2206:AC2269" si="829">"0"</f>
        <v>0</v>
      </c>
      <c r="AD2206" t="str">
        <f>"4"</f>
        <v>4</v>
      </c>
      <c r="AE2206" t="str">
        <f>"WOOD (INCLUDE STEEL STUDS)"</f>
        <v>WOOD (INCLUDE STEEL STUDS)</v>
      </c>
      <c r="AF2206" t="str">
        <f>"001"</f>
        <v>001</v>
      </c>
      <c r="AG2206" t="str">
        <f>"FL"</f>
        <v>FL</v>
      </c>
      <c r="AH2206" t="str">
        <f>"5000.00"</f>
        <v>5000.00</v>
      </c>
      <c r="AI2206" t="str">
        <f>"24750.00"</f>
        <v>24750.00</v>
      </c>
      <c r="AJ2206" t="str">
        <f>"C55-000-585-9518-2"</f>
        <v>C55-000-585-9518-2</v>
      </c>
      <c r="AK2206" t="str">
        <f>"49044"</f>
        <v>49044</v>
      </c>
      <c r="AL2206">
        <v>8</v>
      </c>
      <c r="AM2206">
        <v>2518</v>
      </c>
      <c r="AN2206">
        <v>1520.15</v>
      </c>
      <c r="AQ2206" t="s">
        <v>21270</v>
      </c>
      <c r="AR2206" t="s">
        <v>21270</v>
      </c>
      <c r="AS2206" t="s">
        <v>21270</v>
      </c>
      <c r="AU2206" t="s">
        <v>396</v>
      </c>
      <c r="AV2206">
        <v>2017</v>
      </c>
      <c r="AW2206" t="str">
        <f>"00-00-31-1800-0146-0061 "</f>
        <v xml:space="preserve">00-00-31-1800-0146-0061 </v>
      </c>
      <c r="AX2206">
        <v>619</v>
      </c>
      <c r="AZ2206" t="s">
        <v>5188</v>
      </c>
      <c r="BA2206" t="s">
        <v>1942</v>
      </c>
      <c r="BB2206" t="s">
        <v>18674</v>
      </c>
      <c r="BD2206" t="s">
        <v>11749</v>
      </c>
      <c r="BE2206" t="s">
        <v>393</v>
      </c>
      <c r="BF2206">
        <v>32034</v>
      </c>
      <c r="BG2206" t="s">
        <v>21271</v>
      </c>
      <c r="BH2206" t="s">
        <v>11751</v>
      </c>
      <c r="BI2206">
        <v>-81.4586783091125</v>
      </c>
      <c r="BJ2206">
        <v>30.662312458869099</v>
      </c>
      <c r="BK2206" t="s">
        <v>21272</v>
      </c>
      <c r="BM2206" t="s">
        <v>21273</v>
      </c>
      <c r="BN2206" t="s">
        <v>3983</v>
      </c>
      <c r="BO2206">
        <v>32034</v>
      </c>
      <c r="BP2206" t="s">
        <v>416</v>
      </c>
      <c r="BQ2206">
        <v>100</v>
      </c>
      <c r="BR2206" t="s">
        <v>514</v>
      </c>
      <c r="BS2206">
        <v>1001</v>
      </c>
      <c r="BT2206" t="s">
        <v>515</v>
      </c>
      <c r="BU2206">
        <v>500</v>
      </c>
      <c r="BV2206">
        <v>1000</v>
      </c>
      <c r="BW2206">
        <v>5057</v>
      </c>
      <c r="BX2206" t="s">
        <v>407</v>
      </c>
      <c r="BY2206" t="s">
        <v>18253</v>
      </c>
      <c r="BZ2206">
        <v>4</v>
      </c>
      <c r="CA2206">
        <v>1943</v>
      </c>
      <c r="CB2206">
        <v>1</v>
      </c>
      <c r="CC2206">
        <v>1</v>
      </c>
      <c r="CD2206">
        <v>2017</v>
      </c>
      <c r="CG2206">
        <v>88220</v>
      </c>
      <c r="CH2206">
        <v>2017</v>
      </c>
      <c r="CI2206">
        <v>24750</v>
      </c>
      <c r="CJ2206">
        <v>71305</v>
      </c>
      <c r="CK2206">
        <v>96055</v>
      </c>
      <c r="CL2206">
        <v>2017</v>
      </c>
      <c r="CM2206">
        <v>1376.01</v>
      </c>
      <c r="CN2206" s="1">
        <v>29160</v>
      </c>
      <c r="CO2206">
        <v>11000</v>
      </c>
      <c r="CZ2206" s="1">
        <v>29160</v>
      </c>
      <c r="DD2206" t="s">
        <v>11749</v>
      </c>
      <c r="DF2206">
        <v>6</v>
      </c>
      <c r="DG2206">
        <v>23</v>
      </c>
      <c r="DL2206">
        <v>50101</v>
      </c>
      <c r="DM2206" t="s">
        <v>20742</v>
      </c>
      <c r="DO2206" t="s">
        <v>21274</v>
      </c>
      <c r="DP2206">
        <v>0</v>
      </c>
      <c r="DQ2206">
        <v>7</v>
      </c>
      <c r="DR2206" t="s">
        <v>1174</v>
      </c>
      <c r="EP2206" t="s">
        <v>421</v>
      </c>
      <c r="EQ2206" t="s">
        <v>452</v>
      </c>
      <c r="ER2206">
        <v>2</v>
      </c>
      <c r="ES2206">
        <v>4</v>
      </c>
      <c r="ET2206">
        <v>2807.96</v>
      </c>
      <c r="EU2206">
        <v>152.9</v>
      </c>
      <c r="EV2206">
        <v>2960.86</v>
      </c>
      <c r="EW2206" s="2">
        <v>43222</v>
      </c>
      <c r="EX2206" s="1">
        <v>42879</v>
      </c>
      <c r="EY2206">
        <v>2016</v>
      </c>
      <c r="EZ2206">
        <v>1403.98</v>
      </c>
      <c r="FA2206" t="s">
        <v>21275</v>
      </c>
      <c r="FB2206">
        <v>0.25</v>
      </c>
      <c r="FC2206" t="s">
        <v>424</v>
      </c>
      <c r="FD2206" t="s">
        <v>454</v>
      </c>
      <c r="FF2206">
        <v>12</v>
      </c>
      <c r="FG2206">
        <v>2851116</v>
      </c>
      <c r="FH2206" t="s">
        <v>480</v>
      </c>
      <c r="FJ2206" s="1">
        <v>42879</v>
      </c>
      <c r="FK2206">
        <v>2016</v>
      </c>
      <c r="FL2206">
        <v>1403.98</v>
      </c>
      <c r="FM2206" t="s">
        <v>21275</v>
      </c>
      <c r="FN2206">
        <v>0.25</v>
      </c>
      <c r="FO2206" t="s">
        <v>424</v>
      </c>
      <c r="FP2206" t="s">
        <v>454</v>
      </c>
      <c r="FR2206">
        <v>12</v>
      </c>
      <c r="FS2206">
        <v>4978443</v>
      </c>
      <c r="FT2206" t="s">
        <v>21276</v>
      </c>
      <c r="FV2206" s="1">
        <v>41423</v>
      </c>
      <c r="FW2206">
        <v>2012</v>
      </c>
      <c r="FX2206">
        <v>1060.8399999999999</v>
      </c>
      <c r="FY2206" t="s">
        <v>21277</v>
      </c>
      <c r="FZ2206">
        <v>0.25</v>
      </c>
      <c r="GA2206" t="s">
        <v>424</v>
      </c>
      <c r="GB2206" t="s">
        <v>425</v>
      </c>
      <c r="GC2206" s="1">
        <v>41761</v>
      </c>
      <c r="GD2206">
        <v>12</v>
      </c>
      <c r="GE2206">
        <v>11153</v>
      </c>
      <c r="GF2206" t="s">
        <v>3643</v>
      </c>
      <c r="GG2206" t="s">
        <v>458</v>
      </c>
      <c r="GH2206" s="1">
        <v>41052</v>
      </c>
      <c r="GI2206">
        <v>2011</v>
      </c>
      <c r="GJ2206">
        <v>1667.34</v>
      </c>
      <c r="GK2206" t="s">
        <v>21278</v>
      </c>
      <c r="GL2206">
        <v>0.25</v>
      </c>
      <c r="GM2206" t="s">
        <v>424</v>
      </c>
      <c r="GN2206" t="s">
        <v>425</v>
      </c>
      <c r="GP2206">
        <v>22</v>
      </c>
      <c r="GQ2206">
        <v>13104</v>
      </c>
      <c r="GR2206" t="s">
        <v>888</v>
      </c>
      <c r="GS2206" t="s">
        <v>458</v>
      </c>
      <c r="GT2206" s="1">
        <v>41052</v>
      </c>
      <c r="GU2206">
        <v>2011</v>
      </c>
      <c r="GV2206">
        <v>1667.34</v>
      </c>
      <c r="GW2206" t="s">
        <v>21278</v>
      </c>
      <c r="GX2206">
        <v>0.25</v>
      </c>
      <c r="GY2206" t="s">
        <v>424</v>
      </c>
      <c r="GZ2206" t="s">
        <v>425</v>
      </c>
      <c r="HB2206">
        <v>22</v>
      </c>
      <c r="HC2206">
        <v>13715</v>
      </c>
      <c r="HD2206" t="s">
        <v>21279</v>
      </c>
      <c r="HE2206" t="s">
        <v>458</v>
      </c>
      <c r="HF2206" s="1">
        <v>40688</v>
      </c>
      <c r="HG2206">
        <v>2010</v>
      </c>
      <c r="HH2206">
        <v>1719.2</v>
      </c>
      <c r="HI2206" t="s">
        <v>21280</v>
      </c>
      <c r="HJ2206">
        <v>0.25</v>
      </c>
      <c r="HK2206" t="s">
        <v>424</v>
      </c>
      <c r="HL2206" t="s">
        <v>425</v>
      </c>
      <c r="HM2206" s="1">
        <v>41332</v>
      </c>
      <c r="HN2206">
        <v>21</v>
      </c>
      <c r="HO2206">
        <v>11177</v>
      </c>
      <c r="HP2206" t="s">
        <v>650</v>
      </c>
    </row>
    <row r="2207" spans="1:284" x14ac:dyDescent="0.25">
      <c r="A2207">
        <v>16487214</v>
      </c>
      <c r="B2207">
        <v>2206</v>
      </c>
      <c r="C2207" t="s">
        <v>393</v>
      </c>
      <c r="D2207" t="s">
        <v>394</v>
      </c>
      <c r="F2207" t="str">
        <f>"00-00-31-1800-0156-0270"</f>
        <v>00-00-31-1800-0156-0270</v>
      </c>
      <c r="H2207" t="str">
        <f>"TYLER ONEAL JR TRUSTEE OF ONEAL TYLER SR FAMILY IRREVOCABLE TRUST"</f>
        <v>TYLER ONEAL JR TRUSTEE OF ONEAL TYLER SR FAMILY IRREVOCABLE TRUST</v>
      </c>
      <c r="I2207" t="str">
        <f>""</f>
        <v/>
      </c>
      <c r="J2207" t="str">
        <f>"COLUMBIA SC 29229"</f>
        <v>COLUMBIA SC 29229</v>
      </c>
      <c r="K2207" t="str">
        <f>"1012 GUM ST"</f>
        <v>1012 GUM ST</v>
      </c>
      <c r="L2207" t="str">
        <f t="shared" si="826"/>
        <v>FERNANDINA BEACH FL 32034</v>
      </c>
      <c r="M2207" t="str">
        <f>"BLOCK 156 LOTS 27 28 29 30 31 &amp; 32 PT OR 1500/927 CITY OF FDNA BEACH"</f>
        <v>BLOCK 156 LOTS 27 28 29 30 31 &amp; 32 PT OR 1500/927 CITY OF FDNA BEACH</v>
      </c>
      <c r="N2207" t="str">
        <f>""</f>
        <v/>
      </c>
      <c r="O2207" t="str">
        <f>"12181"</f>
        <v>12181</v>
      </c>
      <c r="P2207" t="str">
        <f t="shared" si="821"/>
        <v>2017</v>
      </c>
      <c r="Q2207" t="str">
        <f>""</f>
        <v/>
      </c>
      <c r="R2207" t="str">
        <f t="shared" ref="R2207:R2213" si="830">"N"</f>
        <v>N</v>
      </c>
      <c r="S2207" t="str">
        <f>""</f>
        <v/>
      </c>
      <c r="T2207" t="str">
        <f>"3746.41"</f>
        <v>3746.41</v>
      </c>
      <c r="U2207" t="str">
        <f>"184342.00"</f>
        <v>184342.00</v>
      </c>
      <c r="V2207" t="str">
        <f>"184342.00"</f>
        <v>184342.00</v>
      </c>
      <c r="W2207" t="str">
        <f t="shared" si="822"/>
        <v>2017</v>
      </c>
      <c r="X2207" t="str">
        <f>"22.00"</f>
        <v>22.00</v>
      </c>
      <c r="Y2207" t="str">
        <f>"3890.80"</f>
        <v>3890.80</v>
      </c>
      <c r="Z2207" t="str">
        <f>""</f>
        <v/>
      </c>
      <c r="AA2207" t="str">
        <f>"195308.00"</f>
        <v>195308.00</v>
      </c>
      <c r="AB2207" t="str">
        <f>"Residential"</f>
        <v>Residential</v>
      </c>
      <c r="AC2207" t="str">
        <f t="shared" si="829"/>
        <v>0</v>
      </c>
      <c r="AD2207" t="str">
        <f>"3"</f>
        <v>3</v>
      </c>
      <c r="AE2207" t="str">
        <f>"MASONRY"</f>
        <v>MASONRY</v>
      </c>
      <c r="AF2207" t="str">
        <f>"001"</f>
        <v>001</v>
      </c>
      <c r="AG2207" t="str">
        <f>"SC"</f>
        <v>SC</v>
      </c>
      <c r="AH2207" t="str">
        <f>"15000.00"</f>
        <v>15000.00</v>
      </c>
      <c r="AI2207" t="str">
        <f>"51975.00"</f>
        <v>51975.00</v>
      </c>
      <c r="AJ2207" t="str">
        <f>"C55-000-585-9610-7"</f>
        <v>C55-000-585-9610-7</v>
      </c>
      <c r="AK2207" t="str">
        <f>"49131"</f>
        <v>49131</v>
      </c>
      <c r="AL2207">
        <v>8</v>
      </c>
      <c r="AM2207">
        <v>2519</v>
      </c>
      <c r="AN2207">
        <v>4083.74</v>
      </c>
      <c r="AQ2207" t="s">
        <v>21281</v>
      </c>
      <c r="AR2207" t="s">
        <v>21281</v>
      </c>
      <c r="AS2207" t="s">
        <v>21281</v>
      </c>
      <c r="AU2207" t="s">
        <v>396</v>
      </c>
      <c r="AV2207">
        <v>2017</v>
      </c>
      <c r="AW2207" t="str">
        <f>"00-00-31-1800-0156-0270 "</f>
        <v xml:space="preserve">00-00-31-1800-0156-0270 </v>
      </c>
      <c r="AX2207">
        <v>1012</v>
      </c>
      <c r="AZ2207" t="s">
        <v>21282</v>
      </c>
      <c r="BA2207" t="s">
        <v>1942</v>
      </c>
      <c r="BD2207" t="s">
        <v>11749</v>
      </c>
      <c r="BE2207" t="s">
        <v>393</v>
      </c>
      <c r="BF2207">
        <v>32034</v>
      </c>
      <c r="BG2207" t="s">
        <v>21283</v>
      </c>
      <c r="BH2207" t="s">
        <v>11751</v>
      </c>
      <c r="BI2207">
        <v>-81.457984012955606</v>
      </c>
      <c r="BJ2207">
        <v>30.6613754609794</v>
      </c>
      <c r="BK2207" t="s">
        <v>21284</v>
      </c>
      <c r="BM2207" t="s">
        <v>21285</v>
      </c>
      <c r="BN2207" t="s">
        <v>21286</v>
      </c>
      <c r="BO2207">
        <v>29229</v>
      </c>
      <c r="BP2207" t="s">
        <v>404</v>
      </c>
      <c r="BQ2207">
        <v>100</v>
      </c>
      <c r="BR2207" t="s">
        <v>514</v>
      </c>
      <c r="BS2207">
        <v>1001</v>
      </c>
      <c r="BT2207" t="s">
        <v>515</v>
      </c>
      <c r="BU2207">
        <v>1500</v>
      </c>
      <c r="BV2207">
        <v>1000</v>
      </c>
      <c r="BW2207">
        <v>14438</v>
      </c>
      <c r="BX2207" t="s">
        <v>407</v>
      </c>
      <c r="BY2207" t="s">
        <v>18253</v>
      </c>
      <c r="BZ2207">
        <v>3</v>
      </c>
      <c r="CA2207">
        <v>1966</v>
      </c>
      <c r="CB2207">
        <v>1.5</v>
      </c>
      <c r="CC2207">
        <v>1</v>
      </c>
      <c r="CD2207">
        <v>2017</v>
      </c>
      <c r="CE2207">
        <v>51975</v>
      </c>
      <c r="CF2207">
        <v>143333</v>
      </c>
      <c r="CG2207">
        <v>195308</v>
      </c>
      <c r="CH2207">
        <v>2017</v>
      </c>
      <c r="CI2207">
        <v>51975</v>
      </c>
      <c r="CJ2207">
        <v>143333</v>
      </c>
      <c r="CK2207">
        <v>195308</v>
      </c>
      <c r="CL2207">
        <v>2017</v>
      </c>
      <c r="CM2207">
        <v>3746.41</v>
      </c>
      <c r="CN2207" s="1">
        <v>39224</v>
      </c>
      <c r="CZ2207" s="1">
        <v>39224</v>
      </c>
      <c r="DD2207" t="s">
        <v>11749</v>
      </c>
      <c r="DG2207">
        <v>24</v>
      </c>
      <c r="DL2207">
        <v>50101</v>
      </c>
      <c r="DM2207" t="s">
        <v>15205</v>
      </c>
      <c r="DO2207" t="s">
        <v>21287</v>
      </c>
      <c r="DP2207">
        <v>0</v>
      </c>
      <c r="DQ2207">
        <v>2</v>
      </c>
      <c r="DR2207" t="s">
        <v>1174</v>
      </c>
      <c r="DS2207" t="b">
        <v>1</v>
      </c>
      <c r="DT2207" t="s">
        <v>470</v>
      </c>
      <c r="DU2207" t="s">
        <v>471</v>
      </c>
      <c r="DV2207" t="s">
        <v>472</v>
      </c>
      <c r="DX2207">
        <v>-9999</v>
      </c>
      <c r="DZ2207" t="s">
        <v>447</v>
      </c>
      <c r="EA2207" t="s">
        <v>448</v>
      </c>
      <c r="EB2207" t="s">
        <v>14787</v>
      </c>
      <c r="EC2207">
        <v>20101217</v>
      </c>
      <c r="ED2207" t="s">
        <v>474</v>
      </c>
      <c r="EF2207">
        <v>1302.5</v>
      </c>
      <c r="EG2207">
        <v>1218</v>
      </c>
      <c r="EI2207">
        <v>20160407</v>
      </c>
      <c r="EJ2207">
        <v>0</v>
      </c>
      <c r="EK2207">
        <v>0</v>
      </c>
      <c r="EP2207" t="s">
        <v>421</v>
      </c>
      <c r="EQ2207" t="s">
        <v>422</v>
      </c>
      <c r="ER2207">
        <v>2</v>
      </c>
      <c r="ES2207">
        <v>9</v>
      </c>
      <c r="ET2207">
        <v>7555.28</v>
      </c>
      <c r="EU2207">
        <v>390.26</v>
      </c>
      <c r="EV2207">
        <v>7945.54</v>
      </c>
      <c r="EW2207" s="2">
        <v>43222</v>
      </c>
      <c r="EX2207" s="1">
        <v>42879</v>
      </c>
      <c r="EY2207">
        <v>2016</v>
      </c>
      <c r="EZ2207">
        <v>3777.64</v>
      </c>
      <c r="FA2207" t="s">
        <v>21288</v>
      </c>
      <c r="FB2207">
        <v>0.25</v>
      </c>
      <c r="FC2207" t="s">
        <v>424</v>
      </c>
      <c r="FD2207" t="s">
        <v>454</v>
      </c>
      <c r="FF2207">
        <v>12</v>
      </c>
      <c r="FG2207">
        <v>2851116</v>
      </c>
      <c r="FH2207" t="s">
        <v>480</v>
      </c>
      <c r="FJ2207" s="1">
        <v>42879</v>
      </c>
      <c r="FK2207">
        <v>2016</v>
      </c>
      <c r="FL2207">
        <v>3777.64</v>
      </c>
      <c r="FM2207" t="s">
        <v>21288</v>
      </c>
      <c r="FN2207">
        <v>0.25</v>
      </c>
      <c r="FO2207" t="s">
        <v>424</v>
      </c>
      <c r="FP2207" t="s">
        <v>454</v>
      </c>
      <c r="FR2207">
        <v>12</v>
      </c>
      <c r="FS2207">
        <v>5251189</v>
      </c>
      <c r="FT2207" t="s">
        <v>21289</v>
      </c>
      <c r="FV2207" s="1">
        <v>42515</v>
      </c>
      <c r="FW2207">
        <v>2015</v>
      </c>
      <c r="FX2207">
        <v>3531.15</v>
      </c>
      <c r="FY2207" t="s">
        <v>21290</v>
      </c>
      <c r="FZ2207">
        <v>0.25</v>
      </c>
      <c r="GA2207" t="s">
        <v>424</v>
      </c>
      <c r="GB2207" t="s">
        <v>425</v>
      </c>
      <c r="GC2207" s="1">
        <v>43180</v>
      </c>
      <c r="GD2207">
        <v>22</v>
      </c>
      <c r="GE2207">
        <v>7336671</v>
      </c>
      <c r="GF2207" t="s">
        <v>437</v>
      </c>
      <c r="GH2207" s="1">
        <v>42515</v>
      </c>
      <c r="GI2207">
        <v>2015</v>
      </c>
      <c r="GJ2207">
        <v>3531.15</v>
      </c>
      <c r="GK2207" t="s">
        <v>21290</v>
      </c>
      <c r="GL2207">
        <v>0.25</v>
      </c>
      <c r="GM2207" t="s">
        <v>424</v>
      </c>
      <c r="GN2207" t="s">
        <v>425</v>
      </c>
      <c r="GP2207">
        <v>22</v>
      </c>
      <c r="GQ2207">
        <v>7027672</v>
      </c>
      <c r="GR2207" t="s">
        <v>21291</v>
      </c>
      <c r="GT2207" s="1">
        <v>42151</v>
      </c>
      <c r="GU2207">
        <v>2014</v>
      </c>
      <c r="GV2207">
        <v>3261.55</v>
      </c>
      <c r="GW2207" t="s">
        <v>21292</v>
      </c>
      <c r="GX2207">
        <v>0.25</v>
      </c>
      <c r="GY2207" t="s">
        <v>424</v>
      </c>
      <c r="GZ2207" t="s">
        <v>425</v>
      </c>
      <c r="HA2207" s="1">
        <v>42817</v>
      </c>
      <c r="HB2207">
        <v>22</v>
      </c>
      <c r="HC2207">
        <v>2851116</v>
      </c>
      <c r="HD2207" t="s">
        <v>480</v>
      </c>
      <c r="HF2207" s="1">
        <v>42151</v>
      </c>
      <c r="HG2207">
        <v>2014</v>
      </c>
      <c r="HH2207">
        <v>3261.55</v>
      </c>
      <c r="HI2207" t="s">
        <v>21292</v>
      </c>
      <c r="HJ2207">
        <v>0.25</v>
      </c>
      <c r="HK2207" t="s">
        <v>424</v>
      </c>
      <c r="HL2207" t="s">
        <v>425</v>
      </c>
      <c r="HN2207">
        <v>22</v>
      </c>
      <c r="HO2207">
        <v>4869015</v>
      </c>
      <c r="HP2207" t="s">
        <v>21293</v>
      </c>
      <c r="HR2207" s="1">
        <v>41787</v>
      </c>
      <c r="HS2207">
        <v>2013</v>
      </c>
      <c r="HT2207">
        <v>2737.79</v>
      </c>
      <c r="HU2207" t="s">
        <v>21294</v>
      </c>
      <c r="HV2207">
        <v>0.25</v>
      </c>
      <c r="HW2207" t="s">
        <v>424</v>
      </c>
      <c r="HX2207" t="s">
        <v>425</v>
      </c>
      <c r="HY2207" s="1">
        <v>42451</v>
      </c>
      <c r="HZ2207">
        <v>22</v>
      </c>
      <c r="IA2207">
        <v>2851116</v>
      </c>
      <c r="IB2207" t="s">
        <v>480</v>
      </c>
      <c r="ID2207" s="1">
        <v>41423</v>
      </c>
      <c r="IE2207">
        <v>2012</v>
      </c>
      <c r="IF2207">
        <v>2863.49</v>
      </c>
      <c r="IG2207" t="s">
        <v>21295</v>
      </c>
      <c r="IH2207">
        <v>0.25</v>
      </c>
      <c r="II2207" t="s">
        <v>424</v>
      </c>
      <c r="IJ2207" t="s">
        <v>425</v>
      </c>
      <c r="IK2207" s="1">
        <v>42094</v>
      </c>
      <c r="IL2207">
        <v>22</v>
      </c>
      <c r="IM2207">
        <v>15398</v>
      </c>
      <c r="IN2207" t="s">
        <v>1180</v>
      </c>
      <c r="IP2207" s="1">
        <v>41052</v>
      </c>
      <c r="IQ2207">
        <v>2011</v>
      </c>
      <c r="IR2207">
        <v>3594.42</v>
      </c>
      <c r="IS2207" t="s">
        <v>21296</v>
      </c>
      <c r="IT2207">
        <v>0.25</v>
      </c>
      <c r="IU2207" t="s">
        <v>424</v>
      </c>
      <c r="IV2207" t="s">
        <v>425</v>
      </c>
      <c r="IW2207" s="1">
        <v>41724</v>
      </c>
      <c r="IX2207">
        <v>22</v>
      </c>
      <c r="IY2207">
        <v>13104</v>
      </c>
      <c r="IZ2207" t="s">
        <v>888</v>
      </c>
      <c r="JB2207" s="1">
        <v>41052</v>
      </c>
      <c r="JC2207">
        <v>2011</v>
      </c>
      <c r="JD2207">
        <v>3594.42</v>
      </c>
      <c r="JE2207" t="s">
        <v>21296</v>
      </c>
      <c r="JF2207">
        <v>0.25</v>
      </c>
      <c r="JG2207" t="s">
        <v>424</v>
      </c>
      <c r="JH2207" t="s">
        <v>425</v>
      </c>
      <c r="JJ2207">
        <v>22</v>
      </c>
      <c r="JK2207">
        <v>13693</v>
      </c>
      <c r="JL2207" t="s">
        <v>20157</v>
      </c>
      <c r="JN2207" s="1">
        <v>40688</v>
      </c>
      <c r="JO2207">
        <v>2010</v>
      </c>
      <c r="JP2207">
        <v>3720.97</v>
      </c>
      <c r="JQ2207" t="s">
        <v>21297</v>
      </c>
      <c r="JR2207">
        <v>3.75</v>
      </c>
      <c r="JS2207" t="s">
        <v>424</v>
      </c>
      <c r="JT2207" t="s">
        <v>425</v>
      </c>
      <c r="JU2207" s="1">
        <v>41358</v>
      </c>
      <c r="JV2207">
        <v>22</v>
      </c>
      <c r="JW2207">
        <v>11141</v>
      </c>
      <c r="JX2207" t="s">
        <v>1723</v>
      </c>
    </row>
    <row r="2208" spans="1:284" x14ac:dyDescent="0.25">
      <c r="A2208">
        <v>16487215</v>
      </c>
      <c r="B2208">
        <v>2207</v>
      </c>
      <c r="C2208" t="s">
        <v>393</v>
      </c>
      <c r="D2208" t="s">
        <v>394</v>
      </c>
      <c r="F2208" t="str">
        <f>"00-00-31-1800-0157-0011"</f>
        <v>00-00-31-1800-0157-0011</v>
      </c>
      <c r="H2208" t="str">
        <f>"JGSP INVESTMENTS LLC"</f>
        <v>JGSP INVESTMENTS LLC</v>
      </c>
      <c r="I2208" t="str">
        <f>"330 S 12TH STREET"</f>
        <v>330 S 12TH STREET</v>
      </c>
      <c r="J2208" t="str">
        <f>"FERNANDINA BEACH FL 32034"</f>
        <v>FERNANDINA BEACH FL 32034</v>
      </c>
      <c r="K2208" t="str">
        <f>"1010 HICKORY ST A&amp;B"</f>
        <v>1010 HICKORY ST A&amp;B</v>
      </c>
      <c r="L2208" t="str">
        <f t="shared" si="826"/>
        <v>FERNANDINA BEACH FL 32034</v>
      </c>
      <c r="M2208" t="str">
        <f>"BLOCK 157 E1/2 OF LOTS 1 2 3 4 IN OR 2138/1008 CITY OF FDNA BEACH"</f>
        <v>BLOCK 157 E1/2 OF LOTS 1 2 3 4 IN OR 2138/1008 CITY OF FDNA BEACH</v>
      </c>
      <c r="N2208" t="str">
        <f>""</f>
        <v/>
      </c>
      <c r="O2208" t="str">
        <f>"12182"</f>
        <v>12182</v>
      </c>
      <c r="P2208" t="str">
        <f t="shared" si="821"/>
        <v>2017</v>
      </c>
      <c r="Q2208" t="str">
        <f>""</f>
        <v/>
      </c>
      <c r="R2208" t="str">
        <f t="shared" si="830"/>
        <v>N</v>
      </c>
      <c r="S2208" t="str">
        <f>""</f>
        <v/>
      </c>
      <c r="T2208" t="str">
        <f>"1766.37"</f>
        <v>1766.37</v>
      </c>
      <c r="U2208" t="str">
        <f>"84865.00"</f>
        <v>84865.00</v>
      </c>
      <c r="V2208" t="str">
        <f>"84865.00"</f>
        <v>84865.00</v>
      </c>
      <c r="W2208" t="str">
        <f t="shared" si="822"/>
        <v>2017</v>
      </c>
      <c r="X2208" t="str">
        <f>""</f>
        <v/>
      </c>
      <c r="Y2208" t="str">
        <f>"1851.36"</f>
        <v>1851.36</v>
      </c>
      <c r="Z2208" t="str">
        <f>""</f>
        <v/>
      </c>
      <c r="AA2208" t="str">
        <f>"96224.00"</f>
        <v>96224.00</v>
      </c>
      <c r="AB2208" t="str">
        <f>"Residential"</f>
        <v>Residential</v>
      </c>
      <c r="AC2208" t="str">
        <f t="shared" si="829"/>
        <v>0</v>
      </c>
      <c r="AD2208" t="str">
        <f>"4"</f>
        <v>4</v>
      </c>
      <c r="AE2208" t="str">
        <f>"WOOD (INCLUDE STEEL STUDS)"</f>
        <v>WOOD (INCLUDE STEEL STUDS)</v>
      </c>
      <c r="AF2208" t="str">
        <f>"008"</f>
        <v>008</v>
      </c>
      <c r="AG2208" t="str">
        <f>"FL"</f>
        <v>FL</v>
      </c>
      <c r="AH2208" t="str">
        <f>"5000.00"</f>
        <v>5000.00</v>
      </c>
      <c r="AI2208" t="str">
        <f>"24750.00"</f>
        <v>24750.00</v>
      </c>
      <c r="AJ2208" t="str">
        <f>"C55-000-585-9611-5"</f>
        <v>C55-000-585-9611-5</v>
      </c>
      <c r="AK2208" t="str">
        <f>"49132"</f>
        <v>49132</v>
      </c>
      <c r="AL2208">
        <v>8</v>
      </c>
      <c r="AM2208">
        <v>2520</v>
      </c>
      <c r="AN2208">
        <v>1942.33</v>
      </c>
      <c r="AQ2208" t="s">
        <v>21298</v>
      </c>
      <c r="AR2208" t="s">
        <v>21298</v>
      </c>
      <c r="AS2208" t="s">
        <v>21298</v>
      </c>
      <c r="AU2208" t="s">
        <v>396</v>
      </c>
      <c r="AV2208">
        <v>2017</v>
      </c>
      <c r="AW2208" t="str">
        <f>"00-00-31-1800-0157-0011 "</f>
        <v xml:space="preserve">00-00-31-1800-0157-0011 </v>
      </c>
      <c r="AX2208">
        <v>1010</v>
      </c>
      <c r="AZ2208" t="s">
        <v>21299</v>
      </c>
      <c r="BC2208" t="s">
        <v>20737</v>
      </c>
      <c r="BD2208" t="s">
        <v>11749</v>
      </c>
      <c r="BE2208" t="s">
        <v>393</v>
      </c>
      <c r="BF2208">
        <v>32034</v>
      </c>
      <c r="BG2208" t="s">
        <v>21300</v>
      </c>
      <c r="BH2208" t="s">
        <v>11751</v>
      </c>
      <c r="BI2208">
        <v>-81.458409424669298</v>
      </c>
      <c r="BJ2208">
        <v>30.660220171775102</v>
      </c>
      <c r="BK2208" t="s">
        <v>21301</v>
      </c>
      <c r="BM2208" t="s">
        <v>20741</v>
      </c>
      <c r="BN2208" t="s">
        <v>3983</v>
      </c>
      <c r="BO2208">
        <v>32034</v>
      </c>
      <c r="BP2208" t="s">
        <v>404</v>
      </c>
      <c r="BQ2208">
        <v>800</v>
      </c>
      <c r="BR2208" t="s">
        <v>5126</v>
      </c>
      <c r="BS2208">
        <v>1110</v>
      </c>
      <c r="BT2208" t="s">
        <v>5127</v>
      </c>
      <c r="BU2208">
        <v>500</v>
      </c>
      <c r="BV2208">
        <v>1000</v>
      </c>
      <c r="BW2208">
        <v>4888</v>
      </c>
      <c r="BX2208" t="s">
        <v>407</v>
      </c>
      <c r="BY2208" t="s">
        <v>18253</v>
      </c>
      <c r="BZ2208">
        <v>4</v>
      </c>
      <c r="CA2208">
        <v>1952</v>
      </c>
      <c r="CB2208">
        <v>1</v>
      </c>
      <c r="CC2208">
        <v>1</v>
      </c>
      <c r="CD2208">
        <v>2017</v>
      </c>
      <c r="CE2208">
        <v>24750</v>
      </c>
      <c r="CF2208">
        <v>71474</v>
      </c>
      <c r="CG2208">
        <v>96224</v>
      </c>
      <c r="CH2208">
        <v>2017</v>
      </c>
      <c r="CI2208">
        <v>24750</v>
      </c>
      <c r="CJ2208">
        <v>71474</v>
      </c>
      <c r="CK2208">
        <v>96224</v>
      </c>
      <c r="CL2208">
        <v>2017</v>
      </c>
      <c r="CM2208">
        <v>1766.37</v>
      </c>
      <c r="CN2208" s="1">
        <v>42954</v>
      </c>
      <c r="CV2208">
        <v>70000</v>
      </c>
      <c r="CX2208" t="s">
        <v>2042</v>
      </c>
      <c r="CZ2208" s="1">
        <v>42954</v>
      </c>
      <c r="DA2208">
        <v>0</v>
      </c>
      <c r="DD2208" t="s">
        <v>11749</v>
      </c>
      <c r="DG2208">
        <v>24</v>
      </c>
      <c r="DI2208" t="s">
        <v>396</v>
      </c>
      <c r="DL2208">
        <v>50101</v>
      </c>
      <c r="DM2208" t="s">
        <v>15205</v>
      </c>
      <c r="DO2208" t="s">
        <v>21302</v>
      </c>
      <c r="DP2208">
        <v>0</v>
      </c>
      <c r="DQ2208">
        <v>0</v>
      </c>
      <c r="DR2208" t="s">
        <v>411</v>
      </c>
    </row>
    <row r="2209" spans="1:356" x14ac:dyDescent="0.25">
      <c r="A2209">
        <v>16487216</v>
      </c>
      <c r="B2209">
        <v>2208</v>
      </c>
      <c r="C2209" t="s">
        <v>393</v>
      </c>
      <c r="D2209" t="s">
        <v>394</v>
      </c>
      <c r="F2209" t="str">
        <f>"00-00-31-1800-0158-0070"</f>
        <v>00-00-31-1800-0158-0070</v>
      </c>
      <c r="H2209" t="str">
        <f>"EVANS JESSIE H EST C/O BONNIE WILLIAMS"</f>
        <v>EVANS JESSIE H EST C/O BONNIE WILLIAMS</v>
      </c>
      <c r="I2209" t="str">
        <f>"3501 T AVENUE"</f>
        <v>3501 T AVENUE</v>
      </c>
      <c r="J2209" t="str">
        <f>"RIVIERA BEACH FL 33404"</f>
        <v>RIVIERA BEACH FL 33404</v>
      </c>
      <c r="K2209" t="str">
        <f>"806 S 9TH ST"</f>
        <v>806 S 9TH ST</v>
      </c>
      <c r="L2209" t="str">
        <f t="shared" si="826"/>
        <v>FERNANDINA BEACH FL 32034</v>
      </c>
      <c r="M2209" t="str">
        <f>"BLOCK 158 LOT 7 CITY OF FDNA BEACH"</f>
        <v>BLOCK 158 LOT 7 CITY OF FDNA BEACH</v>
      </c>
      <c r="N2209" t="str">
        <f>""</f>
        <v/>
      </c>
      <c r="O2209" t="str">
        <f>"12200"</f>
        <v>12200</v>
      </c>
      <c r="P2209" t="str">
        <f t="shared" si="821"/>
        <v>2017</v>
      </c>
      <c r="Q2209" t="str">
        <f>""</f>
        <v/>
      </c>
      <c r="R2209" t="str">
        <f t="shared" si="830"/>
        <v>N</v>
      </c>
      <c r="S2209" t="str">
        <f>""</f>
        <v/>
      </c>
      <c r="T2209" t="str">
        <f>"203.57"</f>
        <v>203.57</v>
      </c>
      <c r="U2209" t="str">
        <f>"10214.00"</f>
        <v>10214.00</v>
      </c>
      <c r="V2209" t="str">
        <f>"10214.00"</f>
        <v>10214.00</v>
      </c>
      <c r="W2209" t="str">
        <f t="shared" si="822"/>
        <v>2017</v>
      </c>
      <c r="X2209" t="str">
        <f>"1.00"</f>
        <v>1.00</v>
      </c>
      <c r="Y2209" t="str">
        <f>"241.68"</f>
        <v>241.68</v>
      </c>
      <c r="Z2209" t="str">
        <f>""</f>
        <v/>
      </c>
      <c r="AA2209" t="str">
        <f>"10214.00"</f>
        <v>10214.00</v>
      </c>
      <c r="AB2209" t="str">
        <f>"Commercial"</f>
        <v>Commercial</v>
      </c>
      <c r="AC2209" t="str">
        <f t="shared" si="829"/>
        <v>0</v>
      </c>
      <c r="AD2209" t="str">
        <f>""</f>
        <v/>
      </c>
      <c r="AE2209" t="str">
        <f>""</f>
        <v/>
      </c>
      <c r="AF2209" t="str">
        <f>"010"</f>
        <v>010</v>
      </c>
      <c r="AG2209" t="str">
        <f>"FL"</f>
        <v>FL</v>
      </c>
      <c r="AH2209" t="str">
        <f>"2653.00"</f>
        <v>2653.00</v>
      </c>
      <c r="AI2209" t="str">
        <f>"10214.00"</f>
        <v>10214.00</v>
      </c>
      <c r="AJ2209" t="str">
        <f>"C55-000-585-9624-8"</f>
        <v>C55-000-585-9624-8</v>
      </c>
      <c r="AK2209" t="str">
        <f>"49147"</f>
        <v>49147</v>
      </c>
      <c r="AL2209">
        <v>8</v>
      </c>
      <c r="AM2209">
        <v>2521</v>
      </c>
      <c r="AN2209">
        <v>252.16</v>
      </c>
      <c r="AQ2209" t="s">
        <v>21303</v>
      </c>
      <c r="AR2209" t="s">
        <v>21303</v>
      </c>
      <c r="AS2209" t="s">
        <v>21303</v>
      </c>
      <c r="AU2209" t="s">
        <v>396</v>
      </c>
      <c r="AV2209">
        <v>2017</v>
      </c>
      <c r="AW2209" t="str">
        <f>"00-00-31-1800-0158-0070 "</f>
        <v xml:space="preserve">00-00-31-1800-0158-0070 </v>
      </c>
      <c r="AX2209">
        <v>806</v>
      </c>
      <c r="AY2209" t="s">
        <v>18674</v>
      </c>
      <c r="AZ2209" t="s">
        <v>20794</v>
      </c>
      <c r="BA2209" t="s">
        <v>1942</v>
      </c>
      <c r="BD2209" t="s">
        <v>11749</v>
      </c>
      <c r="BE2209" t="s">
        <v>393</v>
      </c>
      <c r="BF2209">
        <v>32034</v>
      </c>
      <c r="BG2209" t="s">
        <v>21304</v>
      </c>
      <c r="BH2209" t="s">
        <v>11751</v>
      </c>
      <c r="BI2209">
        <v>-81.459353790821893</v>
      </c>
      <c r="BJ2209">
        <v>30.6600107391946</v>
      </c>
      <c r="BK2209" t="s">
        <v>21305</v>
      </c>
      <c r="BM2209" t="s">
        <v>21306</v>
      </c>
      <c r="BN2209" t="s">
        <v>21307</v>
      </c>
      <c r="BO2209">
        <v>33404</v>
      </c>
      <c r="BP2209" t="s">
        <v>404</v>
      </c>
      <c r="BQ2209">
        <v>1000</v>
      </c>
      <c r="BR2209" t="s">
        <v>2391</v>
      </c>
      <c r="BS2209">
        <v>8002</v>
      </c>
      <c r="BT2209" t="s">
        <v>2392</v>
      </c>
      <c r="BW2209">
        <v>2653</v>
      </c>
      <c r="BX2209" t="s">
        <v>407</v>
      </c>
      <c r="BY2209" t="s">
        <v>20798</v>
      </c>
      <c r="CD2209">
        <v>2017</v>
      </c>
      <c r="CE2209">
        <v>10214</v>
      </c>
      <c r="CG2209">
        <v>10214</v>
      </c>
      <c r="CH2209">
        <v>2017</v>
      </c>
      <c r="CI2209">
        <v>10214</v>
      </c>
      <c r="CK2209">
        <v>10214</v>
      </c>
      <c r="CL2209">
        <v>2017</v>
      </c>
      <c r="CM2209">
        <v>203.57</v>
      </c>
      <c r="DD2209" t="s">
        <v>11749</v>
      </c>
      <c r="DF2209">
        <v>7</v>
      </c>
      <c r="DG2209">
        <v>24</v>
      </c>
      <c r="DL2209">
        <v>50101</v>
      </c>
      <c r="DM2209" t="s">
        <v>15205</v>
      </c>
      <c r="DO2209" t="s">
        <v>21308</v>
      </c>
      <c r="DP2209">
        <v>0</v>
      </c>
      <c r="DQ2209">
        <v>5</v>
      </c>
      <c r="DR2209" t="s">
        <v>1174</v>
      </c>
      <c r="EP2209" t="s">
        <v>421</v>
      </c>
      <c r="EQ2209" t="s">
        <v>422</v>
      </c>
      <c r="ER2209">
        <v>0</v>
      </c>
      <c r="ES2209">
        <v>1</v>
      </c>
      <c r="ET2209">
        <v>0</v>
      </c>
      <c r="EU2209">
        <v>0</v>
      </c>
      <c r="EV2209">
        <v>0</v>
      </c>
      <c r="EW2209" s="2">
        <v>43222</v>
      </c>
      <c r="EX2209" s="1">
        <v>42879</v>
      </c>
      <c r="EY2209">
        <v>2016</v>
      </c>
      <c r="EZ2209">
        <v>230.3</v>
      </c>
      <c r="FA2209" t="s">
        <v>21309</v>
      </c>
      <c r="FB2209">
        <v>5.5</v>
      </c>
      <c r="FC2209" t="s">
        <v>424</v>
      </c>
      <c r="FD2209" t="s">
        <v>425</v>
      </c>
      <c r="FE2209" s="1">
        <v>42893</v>
      </c>
      <c r="FF2209">
        <v>1</v>
      </c>
      <c r="FG2209">
        <v>10003</v>
      </c>
      <c r="FH2209" t="s">
        <v>4341</v>
      </c>
    </row>
    <row r="2210" spans="1:356" x14ac:dyDescent="0.25">
      <c r="A2210">
        <v>16487217</v>
      </c>
      <c r="B2210">
        <v>2209</v>
      </c>
      <c r="C2210" t="s">
        <v>393</v>
      </c>
      <c r="D2210" t="s">
        <v>394</v>
      </c>
      <c r="F2210" t="str">
        <f>"00-00-31-1800-0168-0090"</f>
        <v>00-00-31-1800-0168-0090</v>
      </c>
      <c r="H2210" t="str">
        <f>"MCCOY BERTHA EST C/O MCNEAR THELMA &amp; BAPTIST RACHEL &amp; SMITH BARBARA"</f>
        <v>MCCOY BERTHA EST C/O MCNEAR THELMA &amp; BAPTIST RACHEL &amp; SMITH BARBARA</v>
      </c>
      <c r="I2210" t="str">
        <f>""</f>
        <v/>
      </c>
      <c r="J2210" t="str">
        <f>"FERNANDINA BEACH FL 32034"</f>
        <v>FERNANDINA BEACH FL 32034</v>
      </c>
      <c r="K2210" t="str">
        <f>"S 9TH ST"</f>
        <v>S 9TH ST</v>
      </c>
      <c r="L2210" t="str">
        <f t="shared" si="826"/>
        <v>FERNANDINA BEACH FL 32034</v>
      </c>
      <c r="M2210" t="str">
        <f>"BLOCK 168 LOTS 9 10 CITY OF FDNA BEACH"</f>
        <v>BLOCK 168 LOTS 9 10 CITY OF FDNA BEACH</v>
      </c>
      <c r="N2210" t="str">
        <f>""</f>
        <v/>
      </c>
      <c r="O2210" t="str">
        <f>"12270"</f>
        <v>12270</v>
      </c>
      <c r="P2210" t="str">
        <f t="shared" si="821"/>
        <v>2017</v>
      </c>
      <c r="Q2210" t="str">
        <f>""</f>
        <v/>
      </c>
      <c r="R2210" t="str">
        <f t="shared" si="830"/>
        <v>N</v>
      </c>
      <c r="S2210" t="str">
        <f>""</f>
        <v/>
      </c>
      <c r="T2210" t="str">
        <f>"404.91"</f>
        <v>404.91</v>
      </c>
      <c r="U2210" t="str">
        <f>"20316.00"</f>
        <v>20316.00</v>
      </c>
      <c r="V2210" t="str">
        <f>"20316.00"</f>
        <v>20316.00</v>
      </c>
      <c r="W2210" t="str">
        <f t="shared" si="822"/>
        <v>2017</v>
      </c>
      <c r="X2210" t="str">
        <f>"13.67"</f>
        <v>13.67</v>
      </c>
      <c r="Y2210" t="str">
        <f>"449.06"</f>
        <v>449.06</v>
      </c>
      <c r="Z2210" t="str">
        <f>""</f>
        <v/>
      </c>
      <c r="AA2210" t="str">
        <f>"20316.00"</f>
        <v>20316.00</v>
      </c>
      <c r="AB2210" t="str">
        <f t="shared" ref="AB2210:AB2222" si="831">"Residential"</f>
        <v>Residential</v>
      </c>
      <c r="AC2210" t="str">
        <f t="shared" si="829"/>
        <v>0</v>
      </c>
      <c r="AD2210" t="str">
        <f>""</f>
        <v/>
      </c>
      <c r="AE2210" t="str">
        <f>""</f>
        <v/>
      </c>
      <c r="AF2210" t="str">
        <f>"000"</f>
        <v>000</v>
      </c>
      <c r="AG2210" t="str">
        <f>"FL"</f>
        <v>FL</v>
      </c>
      <c r="AH2210" t="str">
        <f>"5277.00"</f>
        <v>5277.00</v>
      </c>
      <c r="AI2210" t="str">
        <f>"20316.00"</f>
        <v>20316.00</v>
      </c>
      <c r="AJ2210" t="str">
        <f>"C55-000-585-9691-7"</f>
        <v>C55-000-585-9691-7</v>
      </c>
      <c r="AK2210" t="str">
        <f>"49209"</f>
        <v>49209</v>
      </c>
      <c r="AL2210">
        <v>8</v>
      </c>
      <c r="AM2210">
        <v>2523</v>
      </c>
      <c r="AN2210">
        <v>469.91</v>
      </c>
      <c r="AQ2210" t="s">
        <v>21310</v>
      </c>
      <c r="AR2210" t="s">
        <v>21310</v>
      </c>
      <c r="AS2210" t="s">
        <v>21310</v>
      </c>
      <c r="AU2210" t="s">
        <v>396</v>
      </c>
      <c r="AV2210">
        <v>2017</v>
      </c>
      <c r="AW2210" t="str">
        <f>"00-00-31-1800-0168-0090 "</f>
        <v xml:space="preserve">00-00-31-1800-0168-0090 </v>
      </c>
      <c r="AY2210" t="s">
        <v>18674</v>
      </c>
      <c r="AZ2210" t="s">
        <v>20794</v>
      </c>
      <c r="BA2210" t="s">
        <v>1942</v>
      </c>
      <c r="BD2210" t="s">
        <v>11749</v>
      </c>
      <c r="BE2210" t="s">
        <v>393</v>
      </c>
      <c r="BF2210">
        <v>32034</v>
      </c>
      <c r="BG2210" t="s">
        <v>21263</v>
      </c>
      <c r="BH2210" t="s">
        <v>11751</v>
      </c>
      <c r="BI2210">
        <v>-81.459581411875007</v>
      </c>
      <c r="BJ2210">
        <v>30.658584841470901</v>
      </c>
      <c r="BK2210" t="s">
        <v>21311</v>
      </c>
      <c r="BM2210" t="s">
        <v>21312</v>
      </c>
      <c r="BN2210" t="s">
        <v>3983</v>
      </c>
      <c r="BO2210">
        <v>32034</v>
      </c>
      <c r="BP2210" t="s">
        <v>404</v>
      </c>
      <c r="BQ2210">
        <v>0</v>
      </c>
      <c r="BR2210" t="s">
        <v>491</v>
      </c>
      <c r="BS2210">
        <v>8001</v>
      </c>
      <c r="BT2210" t="s">
        <v>492</v>
      </c>
      <c r="BW2210">
        <v>5279</v>
      </c>
      <c r="BX2210" t="s">
        <v>407</v>
      </c>
      <c r="BY2210" t="s">
        <v>20798</v>
      </c>
      <c r="CD2210">
        <v>2017</v>
      </c>
      <c r="CE2210">
        <v>20316</v>
      </c>
      <c r="CG2210">
        <v>20316</v>
      </c>
      <c r="CH2210">
        <v>2017</v>
      </c>
      <c r="CI2210">
        <v>20316</v>
      </c>
      <c r="CK2210">
        <v>20316</v>
      </c>
      <c r="CL2210">
        <v>2017</v>
      </c>
      <c r="CM2210">
        <v>404.91</v>
      </c>
      <c r="DD2210" t="s">
        <v>11749</v>
      </c>
      <c r="DG2210">
        <v>24</v>
      </c>
      <c r="DL2210">
        <v>50101</v>
      </c>
      <c r="DM2210" t="s">
        <v>15205</v>
      </c>
      <c r="DO2210" t="s">
        <v>21313</v>
      </c>
      <c r="DP2210">
        <v>0</v>
      </c>
      <c r="DQ2210">
        <v>14</v>
      </c>
      <c r="DR2210" t="s">
        <v>1479</v>
      </c>
      <c r="DS2210" t="s">
        <v>695</v>
      </c>
      <c r="EJ2210">
        <v>0</v>
      </c>
      <c r="EK2210">
        <v>0</v>
      </c>
      <c r="EP2210" t="s">
        <v>421</v>
      </c>
      <c r="EQ2210" t="s">
        <v>422</v>
      </c>
      <c r="ER2210">
        <v>0</v>
      </c>
      <c r="ES2210">
        <v>1</v>
      </c>
      <c r="ET2210">
        <v>0</v>
      </c>
      <c r="EU2210">
        <v>0</v>
      </c>
      <c r="EV2210">
        <v>0</v>
      </c>
      <c r="EW2210" s="2">
        <v>43222</v>
      </c>
      <c r="EX2210" s="1">
        <v>40688</v>
      </c>
      <c r="EY2210">
        <v>2010</v>
      </c>
      <c r="EZ2210">
        <v>151.30000000000001</v>
      </c>
      <c r="FA2210" t="s">
        <v>21314</v>
      </c>
      <c r="FB2210">
        <v>5</v>
      </c>
      <c r="FC2210" t="s">
        <v>424</v>
      </c>
      <c r="FD2210" t="s">
        <v>425</v>
      </c>
      <c r="FE2210" s="1">
        <v>41325</v>
      </c>
      <c r="FF2210">
        <v>21</v>
      </c>
      <c r="FG2210">
        <v>10003</v>
      </c>
      <c r="FH2210" t="s">
        <v>4341</v>
      </c>
    </row>
    <row r="2211" spans="1:356" x14ac:dyDescent="0.25">
      <c r="A2211">
        <v>16487218</v>
      </c>
      <c r="B2211">
        <v>2210</v>
      </c>
      <c r="C2211" t="s">
        <v>393</v>
      </c>
      <c r="D2211" t="s">
        <v>394</v>
      </c>
      <c r="F2211" t="str">
        <f>"00-00-31-1800-0170-0070"</f>
        <v>00-00-31-1800-0170-0070</v>
      </c>
      <c r="H2211" t="str">
        <f>"TYLER LEONIA M"</f>
        <v>TYLER LEONIA M</v>
      </c>
      <c r="I2211" t="str">
        <f>"1274 NIPIGON AVE"</f>
        <v>1274 NIPIGON AVE</v>
      </c>
      <c r="J2211" t="str">
        <f>"ATLANTIC BCH FL 32233"</f>
        <v>ATLANTIC BCH FL 32233</v>
      </c>
      <c r="K2211" t="str">
        <f>"1014 10TH ST S"</f>
        <v>1014 10TH ST S</v>
      </c>
      <c r="L2211" t="str">
        <f t="shared" si="826"/>
        <v>FERNANDINA BEACH FL 32034</v>
      </c>
      <c r="M2211" t="str">
        <f>"BLOCK 170 LOTS 7 8 9 &amp; 10 IN OR 893/345 CITY OF FDNA BEACH"</f>
        <v>BLOCK 170 LOTS 7 8 9 &amp; 10 IN OR 893/345 CITY OF FDNA BEACH</v>
      </c>
      <c r="N2211" t="str">
        <f>""</f>
        <v/>
      </c>
      <c r="O2211" t="str">
        <f>"12285"</f>
        <v>12285</v>
      </c>
      <c r="P2211" t="str">
        <f t="shared" si="821"/>
        <v>2017</v>
      </c>
      <c r="Q2211" t="str">
        <f>""</f>
        <v/>
      </c>
      <c r="R2211" t="str">
        <f t="shared" si="830"/>
        <v>N</v>
      </c>
      <c r="S2211" t="str">
        <f>""</f>
        <v/>
      </c>
      <c r="T2211" t="str">
        <f>"2576.38"</f>
        <v>2576.38</v>
      </c>
      <c r="U2211" t="str">
        <f>"129266.00"</f>
        <v>129266.00</v>
      </c>
      <c r="V2211" t="str">
        <f>"129266.00"</f>
        <v>129266.00</v>
      </c>
      <c r="W2211" t="str">
        <f t="shared" si="822"/>
        <v>2017</v>
      </c>
      <c r="X2211" t="str">
        <f>"16.50"</f>
        <v>16.50</v>
      </c>
      <c r="Y2211" t="str">
        <f>"2685.67"</f>
        <v>2685.67</v>
      </c>
      <c r="Z2211" t="str">
        <f>""</f>
        <v/>
      </c>
      <c r="AA2211" t="str">
        <f>"129266.00"</f>
        <v>129266.00</v>
      </c>
      <c r="AB2211" t="str">
        <f t="shared" si="831"/>
        <v>Residential</v>
      </c>
      <c r="AC2211" t="str">
        <f t="shared" si="829"/>
        <v>0</v>
      </c>
      <c r="AD2211" t="str">
        <f>""</f>
        <v/>
      </c>
      <c r="AE2211" t="str">
        <f>""</f>
        <v/>
      </c>
      <c r="AF2211" t="str">
        <f>"001"</f>
        <v>001</v>
      </c>
      <c r="AG2211" t="str">
        <f>"FL"</f>
        <v>FL</v>
      </c>
      <c r="AH2211" t="str">
        <f>"15000.00"</f>
        <v>15000.00</v>
      </c>
      <c r="AI2211" t="str">
        <f>"42075.00"</f>
        <v>42075.00</v>
      </c>
      <c r="AJ2211" t="str">
        <f>"C55-000-585-9706-3"</f>
        <v>C55-000-585-9706-3</v>
      </c>
      <c r="AK2211" t="str">
        <f>"49224"</f>
        <v>49224</v>
      </c>
      <c r="AL2211">
        <v>8</v>
      </c>
      <c r="AM2211">
        <v>2524</v>
      </c>
      <c r="AN2211">
        <v>2818.35</v>
      </c>
      <c r="AQ2211" t="s">
        <v>21315</v>
      </c>
      <c r="AR2211" t="s">
        <v>21315</v>
      </c>
      <c r="AS2211" t="s">
        <v>21315</v>
      </c>
      <c r="AU2211" t="s">
        <v>396</v>
      </c>
      <c r="AV2211">
        <v>2017</v>
      </c>
      <c r="AW2211" t="str">
        <f>"00-00-31-1800-0170-0070 "</f>
        <v xml:space="preserve">00-00-31-1800-0170-0070 </v>
      </c>
      <c r="AX2211">
        <v>1014</v>
      </c>
      <c r="AZ2211" t="s">
        <v>5188</v>
      </c>
      <c r="BA2211" t="s">
        <v>1942</v>
      </c>
      <c r="BB2211" t="s">
        <v>18674</v>
      </c>
      <c r="BD2211" t="s">
        <v>11749</v>
      </c>
      <c r="BE2211" t="s">
        <v>393</v>
      </c>
      <c r="BF2211">
        <v>32034</v>
      </c>
      <c r="BG2211" t="s">
        <v>21316</v>
      </c>
      <c r="BH2211" t="s">
        <v>11751</v>
      </c>
      <c r="BI2211">
        <v>-81.458920868724803</v>
      </c>
      <c r="BJ2211">
        <v>30.6573004153311</v>
      </c>
      <c r="BK2211" t="s">
        <v>21317</v>
      </c>
      <c r="BM2211" t="s">
        <v>21318</v>
      </c>
      <c r="BN2211" t="s">
        <v>548</v>
      </c>
      <c r="BO2211">
        <v>32233</v>
      </c>
      <c r="BP2211" t="s">
        <v>404</v>
      </c>
      <c r="BQ2211">
        <v>100</v>
      </c>
      <c r="BR2211" t="s">
        <v>514</v>
      </c>
      <c r="BS2211">
        <v>1001</v>
      </c>
      <c r="BT2211" t="s">
        <v>515</v>
      </c>
      <c r="BU2211">
        <v>1000</v>
      </c>
      <c r="BV2211">
        <v>1000</v>
      </c>
      <c r="BW2211">
        <v>9764</v>
      </c>
      <c r="BX2211" t="s">
        <v>407</v>
      </c>
      <c r="BY2211" t="s">
        <v>18253</v>
      </c>
      <c r="CA2211">
        <v>1960</v>
      </c>
      <c r="CB2211">
        <v>1</v>
      </c>
      <c r="CC2211">
        <v>1</v>
      </c>
      <c r="CD2211">
        <v>2017</v>
      </c>
      <c r="CE2211">
        <v>42075</v>
      </c>
      <c r="CF2211">
        <v>87191</v>
      </c>
      <c r="CG2211">
        <v>129266</v>
      </c>
      <c r="CH2211">
        <v>2017</v>
      </c>
      <c r="CI2211">
        <v>42075</v>
      </c>
      <c r="CJ2211">
        <v>87191</v>
      </c>
      <c r="CK2211">
        <v>129266</v>
      </c>
      <c r="CL2211">
        <v>2017</v>
      </c>
      <c r="CM2211">
        <v>2576.38</v>
      </c>
      <c r="CN2211" s="1">
        <v>36370</v>
      </c>
      <c r="CO2211">
        <v>10000</v>
      </c>
      <c r="CZ2211" s="1">
        <v>36370</v>
      </c>
      <c r="DD2211" t="s">
        <v>11749</v>
      </c>
      <c r="DG2211">
        <v>24</v>
      </c>
      <c r="DL2211">
        <v>50202</v>
      </c>
      <c r="DM2211" t="s">
        <v>15205</v>
      </c>
      <c r="DO2211" t="s">
        <v>21319</v>
      </c>
      <c r="DP2211">
        <v>0</v>
      </c>
      <c r="DQ2211">
        <v>1</v>
      </c>
      <c r="DR2211" t="s">
        <v>411</v>
      </c>
      <c r="DS2211" t="b">
        <v>1</v>
      </c>
      <c r="DT2211" t="s">
        <v>470</v>
      </c>
      <c r="DU2211" t="s">
        <v>471</v>
      </c>
      <c r="DV2211" t="s">
        <v>472</v>
      </c>
      <c r="DX2211">
        <v>-9999</v>
      </c>
      <c r="DZ2211" t="s">
        <v>447</v>
      </c>
      <c r="EA2211" t="s">
        <v>448</v>
      </c>
      <c r="EB2211" t="s">
        <v>14787</v>
      </c>
      <c r="EC2211">
        <v>20101217</v>
      </c>
      <c r="ED2211" t="s">
        <v>474</v>
      </c>
      <c r="EF2211">
        <v>1146</v>
      </c>
      <c r="EG2211">
        <v>913.3</v>
      </c>
      <c r="EI2211">
        <v>20160407</v>
      </c>
      <c r="EJ2211">
        <v>0</v>
      </c>
      <c r="EK2211">
        <v>0</v>
      </c>
      <c r="EP2211" t="s">
        <v>421</v>
      </c>
      <c r="EQ2211" t="s">
        <v>422</v>
      </c>
      <c r="ER2211">
        <v>2</v>
      </c>
      <c r="ES2211">
        <v>9</v>
      </c>
      <c r="ET2211">
        <v>5215.72</v>
      </c>
      <c r="EU2211">
        <v>273.29000000000002</v>
      </c>
      <c r="EV2211">
        <v>5489.01</v>
      </c>
      <c r="EW2211" s="2">
        <v>43222</v>
      </c>
      <c r="EX2211" s="1">
        <v>42879</v>
      </c>
      <c r="EY2211">
        <v>2016</v>
      </c>
      <c r="EZ2211">
        <v>2607.86</v>
      </c>
      <c r="FA2211" t="s">
        <v>21320</v>
      </c>
      <c r="FB2211">
        <v>0.25</v>
      </c>
      <c r="FC2211" t="s">
        <v>424</v>
      </c>
      <c r="FD2211" t="s">
        <v>454</v>
      </c>
      <c r="FF2211">
        <v>12</v>
      </c>
      <c r="FG2211">
        <v>11289</v>
      </c>
      <c r="FH2211" t="s">
        <v>787</v>
      </c>
      <c r="FJ2211" s="1">
        <v>42879</v>
      </c>
      <c r="FK2211">
        <v>2016</v>
      </c>
      <c r="FL2211">
        <v>2607.86</v>
      </c>
      <c r="FM2211" t="s">
        <v>21320</v>
      </c>
      <c r="FN2211">
        <v>0.25</v>
      </c>
      <c r="FO2211" t="s">
        <v>424</v>
      </c>
      <c r="FP2211" t="s">
        <v>454</v>
      </c>
      <c r="FR2211">
        <v>12</v>
      </c>
      <c r="FS2211">
        <v>7193163</v>
      </c>
      <c r="FT2211" t="s">
        <v>21321</v>
      </c>
      <c r="FV2211" s="1">
        <v>42515</v>
      </c>
      <c r="FW2211">
        <v>2015</v>
      </c>
      <c r="FX2211">
        <v>2455.17</v>
      </c>
      <c r="FY2211" t="s">
        <v>21322</v>
      </c>
      <c r="FZ2211">
        <v>0.25</v>
      </c>
      <c r="GA2211" t="s">
        <v>424</v>
      </c>
      <c r="GB2211" t="s">
        <v>425</v>
      </c>
      <c r="GC2211" s="1">
        <v>43144</v>
      </c>
      <c r="GD2211">
        <v>21</v>
      </c>
      <c r="GE2211">
        <v>2851116</v>
      </c>
      <c r="GF2211" t="s">
        <v>480</v>
      </c>
      <c r="GH2211" s="1">
        <v>42515</v>
      </c>
      <c r="GI2211">
        <v>2015</v>
      </c>
      <c r="GJ2211">
        <v>2455.17</v>
      </c>
      <c r="GK2211" t="s">
        <v>21322</v>
      </c>
      <c r="GL2211">
        <v>0.25</v>
      </c>
      <c r="GM2211" t="s">
        <v>424</v>
      </c>
      <c r="GN2211" t="s">
        <v>425</v>
      </c>
      <c r="GP2211">
        <v>22</v>
      </c>
      <c r="GQ2211">
        <v>5303889</v>
      </c>
      <c r="GR2211" t="s">
        <v>21323</v>
      </c>
      <c r="GT2211" s="1">
        <v>42151</v>
      </c>
      <c r="GU2211">
        <v>2014</v>
      </c>
      <c r="GV2211">
        <v>2370.36</v>
      </c>
      <c r="GW2211" t="s">
        <v>21324</v>
      </c>
      <c r="GX2211">
        <v>0.25</v>
      </c>
      <c r="GY2211" t="s">
        <v>424</v>
      </c>
      <c r="GZ2211" t="s">
        <v>425</v>
      </c>
      <c r="HA2211" s="1">
        <v>42457</v>
      </c>
      <c r="HB2211">
        <v>10</v>
      </c>
      <c r="HC2211">
        <v>2851116</v>
      </c>
      <c r="HD2211" t="s">
        <v>480</v>
      </c>
      <c r="HF2211" s="1">
        <v>42151</v>
      </c>
      <c r="HG2211">
        <v>2014</v>
      </c>
      <c r="HH2211">
        <v>2370.36</v>
      </c>
      <c r="HI2211" t="s">
        <v>21324</v>
      </c>
      <c r="HJ2211">
        <v>0.25</v>
      </c>
      <c r="HK2211" t="s">
        <v>424</v>
      </c>
      <c r="HL2211" t="s">
        <v>425</v>
      </c>
      <c r="HN2211">
        <v>22</v>
      </c>
      <c r="HO2211">
        <v>4966052</v>
      </c>
      <c r="HP2211" t="s">
        <v>21325</v>
      </c>
      <c r="HR2211" s="1">
        <v>41787</v>
      </c>
      <c r="HS2211">
        <v>2013</v>
      </c>
      <c r="HT2211">
        <v>2168.19</v>
      </c>
      <c r="HU2211" t="s">
        <v>21326</v>
      </c>
      <c r="HV2211">
        <v>0.25</v>
      </c>
      <c r="HW2211" t="s">
        <v>424</v>
      </c>
      <c r="HX2211" t="s">
        <v>425</v>
      </c>
      <c r="HY2211" s="1">
        <v>42006</v>
      </c>
      <c r="HZ2211">
        <v>8</v>
      </c>
      <c r="IA2211">
        <v>2675455</v>
      </c>
      <c r="IB2211" t="s">
        <v>1981</v>
      </c>
      <c r="ID2211" s="1">
        <v>41423</v>
      </c>
      <c r="IE2211">
        <v>2012</v>
      </c>
      <c r="IF2211">
        <v>3072.59</v>
      </c>
      <c r="IG2211" t="s">
        <v>21327</v>
      </c>
      <c r="IH2211">
        <v>0.25</v>
      </c>
      <c r="II2211" t="s">
        <v>424</v>
      </c>
      <c r="IJ2211" t="s">
        <v>425</v>
      </c>
      <c r="IL2211">
        <v>22</v>
      </c>
      <c r="IM2211">
        <v>11303</v>
      </c>
      <c r="IN2211" t="s">
        <v>918</v>
      </c>
      <c r="IP2211" s="1">
        <v>41423</v>
      </c>
      <c r="IQ2211">
        <v>2012</v>
      </c>
      <c r="IR2211">
        <v>3072.59</v>
      </c>
      <c r="IS2211" t="s">
        <v>21327</v>
      </c>
      <c r="IT2211">
        <v>0.25</v>
      </c>
      <c r="IU2211" t="s">
        <v>424</v>
      </c>
      <c r="IV2211" t="s">
        <v>425</v>
      </c>
      <c r="IW2211" s="1">
        <v>42006</v>
      </c>
      <c r="IX2211">
        <v>20</v>
      </c>
      <c r="IY2211">
        <v>4844956</v>
      </c>
      <c r="IZ2211" t="s">
        <v>919</v>
      </c>
      <c r="JB2211" s="1">
        <v>41052</v>
      </c>
      <c r="JC2211">
        <v>2011</v>
      </c>
      <c r="JD2211">
        <v>3647.6</v>
      </c>
      <c r="JE2211" t="s">
        <v>21328</v>
      </c>
      <c r="JF2211">
        <v>0.25</v>
      </c>
      <c r="JG2211" t="s">
        <v>424</v>
      </c>
      <c r="JH2211" t="s">
        <v>425</v>
      </c>
      <c r="JI2211" s="1">
        <v>41656</v>
      </c>
      <c r="JJ2211">
        <v>20</v>
      </c>
      <c r="JK2211">
        <v>13257</v>
      </c>
      <c r="JL2211" t="s">
        <v>21329</v>
      </c>
      <c r="JN2211" s="1">
        <v>40688</v>
      </c>
      <c r="JO2211">
        <v>2010</v>
      </c>
      <c r="JP2211">
        <v>3578.84</v>
      </c>
      <c r="JQ2211" t="s">
        <v>21330</v>
      </c>
      <c r="JR2211">
        <v>5.5</v>
      </c>
      <c r="JS2211" t="s">
        <v>424</v>
      </c>
      <c r="JT2211" t="s">
        <v>425</v>
      </c>
      <c r="JU2211" s="1">
        <v>41361</v>
      </c>
      <c r="JV2211">
        <v>22</v>
      </c>
      <c r="JW2211">
        <v>10553</v>
      </c>
      <c r="JX2211" t="s">
        <v>19013</v>
      </c>
    </row>
    <row r="2212" spans="1:356" x14ac:dyDescent="0.25">
      <c r="A2212">
        <v>16487219</v>
      </c>
      <c r="B2212">
        <v>2211</v>
      </c>
      <c r="C2212" t="s">
        <v>393</v>
      </c>
      <c r="D2212" t="s">
        <v>394</v>
      </c>
      <c r="F2212" t="str">
        <f>"00-00-31-1800-0171-0190"</f>
        <v>00-00-31-1800-0171-0190</v>
      </c>
      <c r="H2212" t="str">
        <f>"OLSON FAMILY LIVING TRUST THOMAS W OLSON TRUSTEE ET AL"</f>
        <v>OLSON FAMILY LIVING TRUST THOMAS W OLSON TRUSTEE ET AL</v>
      </c>
      <c r="I2212" t="str">
        <f>"3RA AVE"</f>
        <v>3RA AVE</v>
      </c>
      <c r="J2212" t="str">
        <f>"SACATEPQUEZ GUATEMALA"</f>
        <v>SACATEPQUEZ GUATEMALA</v>
      </c>
      <c r="K2212" t="str">
        <f>"1023 10TH ST S"</f>
        <v>1023 10TH ST S</v>
      </c>
      <c r="L2212" t="str">
        <f t="shared" si="826"/>
        <v>FERNANDINA BEACH FL 32034</v>
      </c>
      <c r="M2212" t="str">
        <f>"BLOCK 171 LOTS 19 20 21 &amp; S1/2 OF LOT 22 IN OR 2080/1894 CITY OF FDNA BEACH"</f>
        <v>BLOCK 171 LOTS 19 20 21 &amp; S1/2 OF LOT 22 IN OR 2080/1894 CITY OF FDNA BEACH</v>
      </c>
      <c r="N2212" t="str">
        <f>""</f>
        <v/>
      </c>
      <c r="O2212" t="str">
        <f>"12297"</f>
        <v>12297</v>
      </c>
      <c r="P2212" t="str">
        <f t="shared" si="821"/>
        <v>2017</v>
      </c>
      <c r="Q2212" t="str">
        <f>""</f>
        <v/>
      </c>
      <c r="R2212" t="str">
        <f t="shared" si="830"/>
        <v>N</v>
      </c>
      <c r="S2212" t="str">
        <f>""</f>
        <v/>
      </c>
      <c r="T2212" t="str">
        <f>"2036.54"</f>
        <v>2036.54</v>
      </c>
      <c r="U2212" t="str">
        <f>"102181.00"</f>
        <v>102181.00</v>
      </c>
      <c r="V2212" t="str">
        <f>"102181.00"</f>
        <v>102181.00</v>
      </c>
      <c r="W2212" t="str">
        <f t="shared" si="822"/>
        <v>2017</v>
      </c>
      <c r="X2212" t="str">
        <f>"5.67"</f>
        <v>5.67</v>
      </c>
      <c r="Y2212" t="str">
        <f>"2129.64"</f>
        <v>2129.64</v>
      </c>
      <c r="Z2212" t="str">
        <f>""</f>
        <v/>
      </c>
      <c r="AA2212" t="str">
        <f>"102181.00"</f>
        <v>102181.00</v>
      </c>
      <c r="AB2212" t="str">
        <f t="shared" si="831"/>
        <v>Residential</v>
      </c>
      <c r="AC2212" t="str">
        <f t="shared" si="829"/>
        <v>0</v>
      </c>
      <c r="AD2212" t="str">
        <f>"4"</f>
        <v>4</v>
      </c>
      <c r="AE2212" t="str">
        <f>"WOOD (INCLUDE STEEL STUDS)"</f>
        <v>WOOD (INCLUDE STEEL STUDS)</v>
      </c>
      <c r="AF2212" t="str">
        <f>"001"</f>
        <v>001</v>
      </c>
      <c r="AG2212" t="str">
        <f>"FC"</f>
        <v>FC</v>
      </c>
      <c r="AH2212" t="str">
        <f>"8700.00"</f>
        <v>8700.00</v>
      </c>
      <c r="AI2212" t="str">
        <f>"38981.00"</f>
        <v>38981.00</v>
      </c>
      <c r="AJ2212" t="str">
        <f>"C55-000-585-9718-8"</f>
        <v>C55-000-585-9718-8</v>
      </c>
      <c r="AK2212" t="str">
        <f>"49236"</f>
        <v>49236</v>
      </c>
      <c r="AL2212">
        <v>8</v>
      </c>
      <c r="AM2212">
        <v>2526</v>
      </c>
      <c r="AN2212">
        <v>2234.52</v>
      </c>
      <c r="AQ2212" t="s">
        <v>21331</v>
      </c>
      <c r="AR2212" t="s">
        <v>21331</v>
      </c>
      <c r="AS2212" t="s">
        <v>21331</v>
      </c>
      <c r="AU2212" t="s">
        <v>396</v>
      </c>
      <c r="AV2212">
        <v>2017</v>
      </c>
      <c r="AW2212" t="str">
        <f>"00-00-31-1800-0171-0190 "</f>
        <v xml:space="preserve">00-00-31-1800-0171-0190 </v>
      </c>
      <c r="AX2212">
        <v>1023</v>
      </c>
      <c r="AZ2212" t="s">
        <v>5188</v>
      </c>
      <c r="BA2212" t="s">
        <v>1942</v>
      </c>
      <c r="BB2212" t="s">
        <v>18674</v>
      </c>
      <c r="BD2212" t="s">
        <v>11749</v>
      </c>
      <c r="BE2212" t="s">
        <v>393</v>
      </c>
      <c r="BF2212">
        <v>32034</v>
      </c>
      <c r="BG2212" t="s">
        <v>21332</v>
      </c>
      <c r="BH2212" t="s">
        <v>11751</v>
      </c>
      <c r="BI2212">
        <v>-81.459479184722298</v>
      </c>
      <c r="BJ2212">
        <v>30.657068892738501</v>
      </c>
      <c r="BK2212" t="s">
        <v>21333</v>
      </c>
      <c r="BL2212" t="s">
        <v>21334</v>
      </c>
      <c r="BM2212" t="s">
        <v>21335</v>
      </c>
      <c r="BN2212" t="s">
        <v>21336</v>
      </c>
      <c r="BP2212" t="s">
        <v>404</v>
      </c>
      <c r="BQ2212">
        <v>100</v>
      </c>
      <c r="BR2212" t="s">
        <v>514</v>
      </c>
      <c r="BS2212">
        <v>1001</v>
      </c>
      <c r="BT2212" t="s">
        <v>515</v>
      </c>
      <c r="BU2212">
        <v>875</v>
      </c>
      <c r="BV2212">
        <v>1000</v>
      </c>
      <c r="BW2212">
        <v>9389</v>
      </c>
      <c r="BX2212" t="s">
        <v>407</v>
      </c>
      <c r="BY2212" t="s">
        <v>18253</v>
      </c>
      <c r="BZ2212">
        <v>4</v>
      </c>
      <c r="CA2212">
        <v>1986</v>
      </c>
      <c r="CB2212">
        <v>1</v>
      </c>
      <c r="CC2212">
        <v>1</v>
      </c>
      <c r="CD2212">
        <v>2017</v>
      </c>
      <c r="CE2212">
        <v>38981</v>
      </c>
      <c r="CF2212">
        <v>63200</v>
      </c>
      <c r="CG2212">
        <v>102181</v>
      </c>
      <c r="CH2212">
        <v>2017</v>
      </c>
      <c r="CI2212">
        <v>38981</v>
      </c>
      <c r="CJ2212">
        <v>63200</v>
      </c>
      <c r="CK2212">
        <v>102181</v>
      </c>
      <c r="CL2212">
        <v>2017</v>
      </c>
      <c r="CM2212">
        <v>2036.54</v>
      </c>
      <c r="CN2212" s="1">
        <v>42675</v>
      </c>
      <c r="CO2212">
        <v>87000</v>
      </c>
      <c r="CV2212">
        <v>0</v>
      </c>
      <c r="CZ2212" s="1">
        <v>42675</v>
      </c>
      <c r="DA2212">
        <v>0</v>
      </c>
      <c r="DD2212" t="s">
        <v>11749</v>
      </c>
      <c r="DF2212">
        <v>22</v>
      </c>
      <c r="DG2212">
        <v>24</v>
      </c>
      <c r="DL2212">
        <v>50202</v>
      </c>
      <c r="DM2212" t="s">
        <v>15205</v>
      </c>
      <c r="DO2212" t="s">
        <v>21337</v>
      </c>
      <c r="DP2212">
        <v>0</v>
      </c>
      <c r="DQ2212">
        <v>6</v>
      </c>
      <c r="DR2212" t="s">
        <v>1479</v>
      </c>
      <c r="DS2212" t="b">
        <v>1</v>
      </c>
      <c r="DT2212" t="s">
        <v>470</v>
      </c>
      <c r="DU2212" t="s">
        <v>471</v>
      </c>
      <c r="DV2212" t="s">
        <v>472</v>
      </c>
      <c r="DX2212">
        <v>-9999</v>
      </c>
      <c r="DZ2212" t="s">
        <v>447</v>
      </c>
      <c r="EA2212" t="s">
        <v>448</v>
      </c>
      <c r="EB2212" t="s">
        <v>14787</v>
      </c>
      <c r="EC2212">
        <v>20101217</v>
      </c>
      <c r="ED2212" t="s">
        <v>474</v>
      </c>
      <c r="EF2212">
        <v>974.8</v>
      </c>
      <c r="EG2212">
        <v>757.6</v>
      </c>
      <c r="EH2212" t="s">
        <v>451</v>
      </c>
      <c r="EI2212">
        <v>20140731</v>
      </c>
      <c r="EJ2212">
        <v>0</v>
      </c>
      <c r="EK2212">
        <v>0</v>
      </c>
      <c r="EP2212" t="s">
        <v>421</v>
      </c>
      <c r="EQ2212" t="s">
        <v>422</v>
      </c>
      <c r="ER2212">
        <v>2</v>
      </c>
      <c r="ES2212">
        <v>4</v>
      </c>
      <c r="ET2212">
        <v>3916.34</v>
      </c>
      <c r="EU2212">
        <v>208.32</v>
      </c>
      <c r="EV2212">
        <v>4124.66</v>
      </c>
      <c r="EW2212" s="2">
        <v>43222</v>
      </c>
      <c r="EX2212" s="1">
        <v>42879</v>
      </c>
      <c r="EY2212">
        <v>2016</v>
      </c>
      <c r="EZ2212">
        <v>1958.17</v>
      </c>
      <c r="FA2212" t="s">
        <v>21338</v>
      </c>
      <c r="FB2212">
        <v>0.25</v>
      </c>
      <c r="FC2212" t="s">
        <v>424</v>
      </c>
      <c r="FD2212" t="s">
        <v>454</v>
      </c>
      <c r="FF2212">
        <v>12</v>
      </c>
      <c r="FG2212">
        <v>2851116</v>
      </c>
      <c r="FH2212" t="s">
        <v>480</v>
      </c>
      <c r="FJ2212" s="1">
        <v>42879</v>
      </c>
      <c r="FK2212">
        <v>2016</v>
      </c>
      <c r="FL2212">
        <v>1958.17</v>
      </c>
      <c r="FM2212" t="s">
        <v>21338</v>
      </c>
      <c r="FN2212">
        <v>0.25</v>
      </c>
      <c r="FO2212" t="s">
        <v>424</v>
      </c>
      <c r="FP2212" t="s">
        <v>454</v>
      </c>
      <c r="FR2212">
        <v>12</v>
      </c>
      <c r="FS2212">
        <v>5742602</v>
      </c>
      <c r="FT2212" t="s">
        <v>21339</v>
      </c>
      <c r="FV2212" s="1">
        <v>42151</v>
      </c>
      <c r="FW2212">
        <v>2014</v>
      </c>
      <c r="FX2212">
        <v>1677.46</v>
      </c>
      <c r="FY2212" t="s">
        <v>21340</v>
      </c>
      <c r="FZ2212">
        <v>0.25</v>
      </c>
      <c r="GA2212" t="s">
        <v>424</v>
      </c>
      <c r="GB2212" t="s">
        <v>425</v>
      </c>
      <c r="GC2212" s="1">
        <v>42331</v>
      </c>
      <c r="GD2212">
        <v>6</v>
      </c>
      <c r="GE2212">
        <v>2851116</v>
      </c>
      <c r="GF2212" t="s">
        <v>480</v>
      </c>
      <c r="GH2212" s="1">
        <v>42151</v>
      </c>
      <c r="GI2212">
        <v>2014</v>
      </c>
      <c r="GJ2212">
        <v>1677.46</v>
      </c>
      <c r="GK2212" t="s">
        <v>21340</v>
      </c>
      <c r="GL2212">
        <v>0.25</v>
      </c>
      <c r="GM2212" t="s">
        <v>424</v>
      </c>
      <c r="GN2212" t="s">
        <v>425</v>
      </c>
      <c r="GP2212">
        <v>22</v>
      </c>
      <c r="GQ2212">
        <v>4941023</v>
      </c>
      <c r="GR2212" t="s">
        <v>21341</v>
      </c>
      <c r="GT2212" s="1">
        <v>41787</v>
      </c>
      <c r="GU2212">
        <v>2013</v>
      </c>
      <c r="GV2212">
        <v>1409.87</v>
      </c>
      <c r="GW2212" t="s">
        <v>21342</v>
      </c>
      <c r="GX2212">
        <v>0.25</v>
      </c>
      <c r="GY2212" t="s">
        <v>424</v>
      </c>
      <c r="GZ2212" t="s">
        <v>425</v>
      </c>
      <c r="HA2212" s="1">
        <v>41915</v>
      </c>
      <c r="HB2212">
        <v>5</v>
      </c>
      <c r="HC2212">
        <v>2675455</v>
      </c>
      <c r="HD2212" t="s">
        <v>1981</v>
      </c>
      <c r="HF2212" s="1">
        <v>41423</v>
      </c>
      <c r="HG2212">
        <v>2012</v>
      </c>
      <c r="HH2212">
        <v>637.24</v>
      </c>
      <c r="HI2212" t="s">
        <v>21343</v>
      </c>
      <c r="HJ2212">
        <v>0.25</v>
      </c>
      <c r="HK2212" t="s">
        <v>424</v>
      </c>
      <c r="HL2212" t="s">
        <v>425</v>
      </c>
      <c r="HM2212" s="1">
        <v>41593</v>
      </c>
      <c r="HN2212">
        <v>6</v>
      </c>
      <c r="HO2212">
        <v>15398</v>
      </c>
      <c r="HP2212" t="s">
        <v>1180</v>
      </c>
    </row>
    <row r="2213" spans="1:356" x14ac:dyDescent="0.25">
      <c r="A2213">
        <v>16487220</v>
      </c>
      <c r="B2213">
        <v>2212</v>
      </c>
      <c r="C2213" t="s">
        <v>393</v>
      </c>
      <c r="D2213" t="s">
        <v>394</v>
      </c>
      <c r="F2213" t="str">
        <f>"00-00-31-1800-0172-0310"</f>
        <v>00-00-31-1800-0172-0310</v>
      </c>
      <c r="H2213" t="str">
        <f>"KYLE ELAINE S TRUSTEE KYLE LIVING TRUST"</f>
        <v>KYLE ELAINE S TRUSTEE KYLE LIVING TRUST</v>
      </c>
      <c r="I2213" t="str">
        <f>"1050 VICTORY LAKE DRIVE"</f>
        <v>1050 VICTORY LAKE DRIVE</v>
      </c>
      <c r="J2213" t="str">
        <f>"JACKSONVILLE FL 32221"</f>
        <v>JACKSONVILLE FL 32221</v>
      </c>
      <c r="K2213" t="str">
        <f>"814 JASMINE ST"</f>
        <v>814 JASMINE ST</v>
      </c>
      <c r="L2213" t="str">
        <f t="shared" si="826"/>
        <v>FERNANDINA BEACH FL 32034</v>
      </c>
      <c r="M2213" t="str">
        <f>"BLOCK 172 LOTS 31 &amp; 32 IN OR 929/1157 &amp; OR 1364/776 CITY OF FDNA BEACH"</f>
        <v>BLOCK 172 LOTS 31 &amp; 32 IN OR 929/1157 &amp; OR 1364/776 CITY OF FDNA BEACH</v>
      </c>
      <c r="N2213" t="str">
        <f>""</f>
        <v/>
      </c>
      <c r="O2213" t="str">
        <f>"12309"</f>
        <v>12309</v>
      </c>
      <c r="P2213" t="str">
        <f t="shared" si="821"/>
        <v>2017</v>
      </c>
      <c r="Q2213" t="str">
        <f>""</f>
        <v/>
      </c>
      <c r="R2213" t="str">
        <f t="shared" si="830"/>
        <v>N</v>
      </c>
      <c r="S2213" t="str">
        <f>""</f>
        <v/>
      </c>
      <c r="T2213" t="str">
        <f>"1039.84"</f>
        <v>1039.84</v>
      </c>
      <c r="U2213" t="str">
        <f>"51910.00"</f>
        <v>51910.00</v>
      </c>
      <c r="V2213" t="str">
        <f>"51910.00"</f>
        <v>51910.00</v>
      </c>
      <c r="W2213" t="str">
        <f t="shared" si="822"/>
        <v>2017</v>
      </c>
      <c r="X2213" t="str">
        <f>"27.13"</f>
        <v>27.13</v>
      </c>
      <c r="Y2213" t="str">
        <f>"1103.04"</f>
        <v>1103.04</v>
      </c>
      <c r="Z2213" t="str">
        <f>""</f>
        <v/>
      </c>
      <c r="AA2213" t="str">
        <f>"52703.00"</f>
        <v>52703.00</v>
      </c>
      <c r="AB2213" t="str">
        <f t="shared" si="831"/>
        <v>Residential</v>
      </c>
      <c r="AC2213" t="str">
        <f t="shared" si="829"/>
        <v>0</v>
      </c>
      <c r="AD2213" t="str">
        <f>"3"</f>
        <v>3</v>
      </c>
      <c r="AE2213" t="str">
        <f>"MASONRY"</f>
        <v>MASONRY</v>
      </c>
      <c r="AF2213" t="str">
        <f>"001"</f>
        <v>001</v>
      </c>
      <c r="AG2213" t="str">
        <f t="shared" ref="AG2213:AG2227" si="832">"FL"</f>
        <v>FL</v>
      </c>
      <c r="AH2213" t="str">
        <f>"4513.00"</f>
        <v>4513.00</v>
      </c>
      <c r="AI2213" t="str">
        <f>"17375.00"</f>
        <v>17375.00</v>
      </c>
      <c r="AJ2213" t="str">
        <f>"C55-000-585-9732-9"</f>
        <v>C55-000-585-9732-9</v>
      </c>
      <c r="AK2213" t="str">
        <f>"49248"</f>
        <v>49248</v>
      </c>
      <c r="AL2213">
        <v>8</v>
      </c>
      <c r="AM2213">
        <v>2527</v>
      </c>
      <c r="AN2213">
        <v>1156.5899999999999</v>
      </c>
      <c r="AQ2213" t="s">
        <v>21344</v>
      </c>
      <c r="AR2213" t="s">
        <v>21344</v>
      </c>
      <c r="AS2213" t="s">
        <v>21344</v>
      </c>
      <c r="AU2213" t="s">
        <v>396</v>
      </c>
      <c r="AV2213">
        <v>2017</v>
      </c>
      <c r="AW2213" t="str">
        <f>"00-00-31-1800-0172-0310 "</f>
        <v xml:space="preserve">00-00-31-1800-0172-0310 </v>
      </c>
      <c r="AX2213">
        <v>814</v>
      </c>
      <c r="AZ2213" t="s">
        <v>21345</v>
      </c>
      <c r="BA2213" t="s">
        <v>1942</v>
      </c>
      <c r="BD2213" t="s">
        <v>11749</v>
      </c>
      <c r="BE2213" t="s">
        <v>393</v>
      </c>
      <c r="BF2213">
        <v>32034</v>
      </c>
      <c r="BG2213" t="s">
        <v>21346</v>
      </c>
      <c r="BH2213" t="s">
        <v>11751</v>
      </c>
      <c r="BI2213">
        <v>-81.460195624607394</v>
      </c>
      <c r="BJ2213">
        <v>30.6579298784016</v>
      </c>
      <c r="BK2213" t="s">
        <v>21347</v>
      </c>
      <c r="BM2213" t="s">
        <v>21348</v>
      </c>
      <c r="BN2213" t="s">
        <v>548</v>
      </c>
      <c r="BO2213">
        <v>32221</v>
      </c>
      <c r="BP2213" t="s">
        <v>404</v>
      </c>
      <c r="BQ2213">
        <v>100</v>
      </c>
      <c r="BR2213" t="s">
        <v>514</v>
      </c>
      <c r="BS2213">
        <v>1001</v>
      </c>
      <c r="BT2213" t="s">
        <v>515</v>
      </c>
      <c r="BW2213">
        <v>4513</v>
      </c>
      <c r="BX2213" t="s">
        <v>407</v>
      </c>
      <c r="BY2213" t="s">
        <v>20798</v>
      </c>
      <c r="BZ2213">
        <v>3</v>
      </c>
      <c r="CA2213">
        <v>1945</v>
      </c>
      <c r="CB2213">
        <v>1</v>
      </c>
      <c r="CC2213">
        <v>1</v>
      </c>
      <c r="CD2213">
        <v>2017</v>
      </c>
      <c r="CE2213">
        <v>17375</v>
      </c>
      <c r="CF2213">
        <v>35328</v>
      </c>
      <c r="CG2213">
        <v>52703</v>
      </c>
      <c r="CH2213">
        <v>2017</v>
      </c>
      <c r="CI2213">
        <v>17375</v>
      </c>
      <c r="CJ2213">
        <v>35328</v>
      </c>
      <c r="CK2213">
        <v>52703</v>
      </c>
      <c r="CL2213">
        <v>2017</v>
      </c>
      <c r="CM2213">
        <v>1039.8399999999999</v>
      </c>
      <c r="CN2213" s="1">
        <v>38659</v>
      </c>
      <c r="CO2213">
        <v>50000</v>
      </c>
      <c r="CZ2213" s="1">
        <v>38659</v>
      </c>
      <c r="DD2213" t="s">
        <v>11749</v>
      </c>
      <c r="DG2213">
        <v>24</v>
      </c>
      <c r="DJ2213" t="s">
        <v>20634</v>
      </c>
      <c r="DL2213">
        <v>50202</v>
      </c>
      <c r="DM2213" t="s">
        <v>15205</v>
      </c>
      <c r="DO2213" t="s">
        <v>21349</v>
      </c>
      <c r="DP2213">
        <v>0</v>
      </c>
      <c r="DQ2213">
        <v>12</v>
      </c>
      <c r="DR2213" t="s">
        <v>1479</v>
      </c>
      <c r="DS2213" t="b">
        <v>1</v>
      </c>
      <c r="DT2213" t="s">
        <v>470</v>
      </c>
      <c r="DU2213" t="s">
        <v>471</v>
      </c>
      <c r="DV2213" t="s">
        <v>472</v>
      </c>
      <c r="DX2213">
        <v>-9999</v>
      </c>
      <c r="DZ2213" t="s">
        <v>447</v>
      </c>
      <c r="EA2213" t="s">
        <v>448</v>
      </c>
      <c r="EB2213" t="s">
        <v>14787</v>
      </c>
      <c r="EC2213">
        <v>20101217</v>
      </c>
      <c r="ED2213" t="s">
        <v>474</v>
      </c>
      <c r="EF2213">
        <v>729.9</v>
      </c>
      <c r="EG2213">
        <v>524.79999999999995</v>
      </c>
      <c r="EI2213">
        <v>20160407</v>
      </c>
      <c r="EJ2213">
        <v>0</v>
      </c>
      <c r="EK2213">
        <v>0</v>
      </c>
      <c r="EP2213" t="s">
        <v>595</v>
      </c>
      <c r="EQ2213" t="s">
        <v>422</v>
      </c>
      <c r="ER2213">
        <v>0</v>
      </c>
      <c r="ES2213">
        <v>17</v>
      </c>
      <c r="ET2213">
        <v>0</v>
      </c>
      <c r="EU2213">
        <v>0</v>
      </c>
      <c r="EV2213">
        <v>0</v>
      </c>
      <c r="EW2213" s="2">
        <v>43222</v>
      </c>
      <c r="EX2213" s="1">
        <v>42879</v>
      </c>
      <c r="EY2213">
        <v>2016</v>
      </c>
      <c r="EZ2213">
        <v>1067.79</v>
      </c>
      <c r="FA2213" t="s">
        <v>21350</v>
      </c>
      <c r="FB2213">
        <v>0.25</v>
      </c>
      <c r="FC2213" t="s">
        <v>424</v>
      </c>
      <c r="FD2213" t="s">
        <v>425</v>
      </c>
      <c r="FE2213" s="1">
        <v>42934</v>
      </c>
      <c r="FF2213">
        <v>2</v>
      </c>
      <c r="FG2213">
        <v>2851116</v>
      </c>
      <c r="FH2213" t="s">
        <v>480</v>
      </c>
      <c r="FJ2213" s="1">
        <v>42879</v>
      </c>
      <c r="FK2213">
        <v>2016</v>
      </c>
      <c r="FL2213">
        <v>1067.79</v>
      </c>
      <c r="FM2213" t="s">
        <v>21350</v>
      </c>
      <c r="FN2213">
        <v>0.25</v>
      </c>
      <c r="FO2213" t="s">
        <v>424</v>
      </c>
      <c r="FP2213" t="s">
        <v>425</v>
      </c>
      <c r="FR2213">
        <v>22</v>
      </c>
      <c r="FS2213">
        <v>5367156</v>
      </c>
      <c r="FT2213" t="s">
        <v>21351</v>
      </c>
      <c r="FV2213" s="1">
        <v>42515</v>
      </c>
      <c r="FW2213">
        <v>2015</v>
      </c>
      <c r="FX2213">
        <v>1016.75</v>
      </c>
      <c r="FY2213" t="s">
        <v>21352</v>
      </c>
      <c r="FZ2213">
        <v>18</v>
      </c>
      <c r="GA2213" t="s">
        <v>424</v>
      </c>
      <c r="GB2213" t="s">
        <v>425</v>
      </c>
      <c r="GC2213" s="1">
        <v>42662</v>
      </c>
      <c r="GD2213">
        <v>5</v>
      </c>
      <c r="GE2213">
        <v>10125</v>
      </c>
      <c r="GF2213" t="s">
        <v>440</v>
      </c>
      <c r="GH2213" s="1">
        <v>42151</v>
      </c>
      <c r="GI2213">
        <v>2014</v>
      </c>
      <c r="GJ2213">
        <v>943.8</v>
      </c>
      <c r="GK2213" t="s">
        <v>21353</v>
      </c>
      <c r="GL2213">
        <v>18</v>
      </c>
      <c r="GM2213" t="s">
        <v>603</v>
      </c>
      <c r="GN2213" t="s">
        <v>425</v>
      </c>
      <c r="GP2213">
        <v>22</v>
      </c>
      <c r="GQ2213">
        <v>9999999</v>
      </c>
      <c r="GR2213" t="s">
        <v>604</v>
      </c>
      <c r="GT2213" s="1">
        <v>42151</v>
      </c>
      <c r="GU2213">
        <v>2014</v>
      </c>
      <c r="GV2213">
        <v>992.52</v>
      </c>
      <c r="GW2213" t="s">
        <v>21353</v>
      </c>
      <c r="GX2213">
        <v>18</v>
      </c>
      <c r="GY2213" t="s">
        <v>424</v>
      </c>
      <c r="GZ2213" t="s">
        <v>425</v>
      </c>
      <c r="HB2213">
        <v>22</v>
      </c>
      <c r="HC2213">
        <v>14851</v>
      </c>
      <c r="HD2213" t="s">
        <v>4401</v>
      </c>
      <c r="HF2213" s="1">
        <v>42151</v>
      </c>
      <c r="HG2213">
        <v>2014</v>
      </c>
      <c r="HH2213">
        <v>992.52</v>
      </c>
      <c r="HI2213" t="s">
        <v>21353</v>
      </c>
      <c r="HJ2213">
        <v>18</v>
      </c>
      <c r="HK2213" t="s">
        <v>424</v>
      </c>
      <c r="HL2213" t="s">
        <v>425</v>
      </c>
      <c r="HM2213" s="1">
        <v>42662</v>
      </c>
      <c r="HN2213">
        <v>17</v>
      </c>
      <c r="HO2213">
        <v>12259</v>
      </c>
      <c r="HP2213" t="s">
        <v>1032</v>
      </c>
      <c r="HR2213" s="1">
        <v>41787</v>
      </c>
      <c r="HS2213">
        <v>2013</v>
      </c>
      <c r="HT2213">
        <v>786.76</v>
      </c>
      <c r="HU2213" t="s">
        <v>21354</v>
      </c>
      <c r="HV2213">
        <v>16.5</v>
      </c>
      <c r="HW2213" t="s">
        <v>424</v>
      </c>
      <c r="HX2213" t="s">
        <v>425</v>
      </c>
      <c r="HY2213" s="1">
        <v>42662</v>
      </c>
      <c r="HZ2213">
        <v>29</v>
      </c>
      <c r="IA2213">
        <v>10125</v>
      </c>
      <c r="IB2213" t="s">
        <v>440</v>
      </c>
      <c r="ID2213" s="1">
        <v>41423</v>
      </c>
      <c r="IE2213">
        <v>2012</v>
      </c>
      <c r="IF2213">
        <v>843.92</v>
      </c>
      <c r="IG2213" t="s">
        <v>21355</v>
      </c>
      <c r="IH2213">
        <v>0.25</v>
      </c>
      <c r="II2213" t="s">
        <v>424</v>
      </c>
      <c r="IJ2213" t="s">
        <v>425</v>
      </c>
      <c r="IL2213">
        <v>22</v>
      </c>
      <c r="IM2213">
        <v>15399</v>
      </c>
      <c r="IN2213" t="s">
        <v>485</v>
      </c>
      <c r="IP2213" s="1">
        <v>41423</v>
      </c>
      <c r="IQ2213">
        <v>2012</v>
      </c>
      <c r="IR2213">
        <v>843.92</v>
      </c>
      <c r="IS2213" t="s">
        <v>21355</v>
      </c>
      <c r="IT2213">
        <v>0.25</v>
      </c>
      <c r="IU2213" t="s">
        <v>424</v>
      </c>
      <c r="IV2213" t="s">
        <v>425</v>
      </c>
      <c r="IX2213">
        <v>22</v>
      </c>
      <c r="IY2213">
        <v>13027</v>
      </c>
      <c r="IZ2213" t="s">
        <v>826</v>
      </c>
      <c r="JB2213" s="1">
        <v>41423</v>
      </c>
      <c r="JC2213">
        <v>2012</v>
      </c>
      <c r="JD2213">
        <v>843.92</v>
      </c>
      <c r="JE2213" t="s">
        <v>21355</v>
      </c>
      <c r="JF2213">
        <v>0.25</v>
      </c>
      <c r="JG2213" t="s">
        <v>424</v>
      </c>
      <c r="JH2213" t="s">
        <v>425</v>
      </c>
      <c r="JJ2213">
        <v>22</v>
      </c>
      <c r="JK2213">
        <v>7045044</v>
      </c>
      <c r="JL2213" t="s">
        <v>21356</v>
      </c>
      <c r="JN2213" s="1">
        <v>41423</v>
      </c>
      <c r="JO2213">
        <v>2012</v>
      </c>
      <c r="JP2213">
        <v>843.92</v>
      </c>
      <c r="JQ2213" t="s">
        <v>21355</v>
      </c>
      <c r="JR2213">
        <v>0.25</v>
      </c>
      <c r="JS2213" t="s">
        <v>424</v>
      </c>
      <c r="JT2213" t="s">
        <v>425</v>
      </c>
      <c r="JV2213">
        <v>22</v>
      </c>
      <c r="JW2213">
        <v>10198</v>
      </c>
      <c r="JX2213" t="s">
        <v>5883</v>
      </c>
      <c r="JZ2213" s="1">
        <v>41423</v>
      </c>
      <c r="KA2213">
        <v>2012</v>
      </c>
      <c r="KB2213">
        <v>843.92</v>
      </c>
      <c r="KC2213" t="s">
        <v>21355</v>
      </c>
      <c r="KD2213">
        <v>0.25</v>
      </c>
      <c r="KE2213" t="s">
        <v>424</v>
      </c>
      <c r="KF2213" t="s">
        <v>425</v>
      </c>
      <c r="KG2213" s="1">
        <v>42662</v>
      </c>
      <c r="KH2213">
        <v>41</v>
      </c>
      <c r="KI2213">
        <v>7045068</v>
      </c>
      <c r="KJ2213" t="s">
        <v>4968</v>
      </c>
      <c r="KL2213" s="1">
        <v>41423</v>
      </c>
      <c r="KM2213">
        <v>2011</v>
      </c>
      <c r="KN2213">
        <v>1256.19</v>
      </c>
      <c r="KO2213" t="s">
        <v>21357</v>
      </c>
      <c r="KP2213">
        <v>3.75</v>
      </c>
      <c r="KQ2213" t="s">
        <v>424</v>
      </c>
      <c r="KR2213" t="s">
        <v>425</v>
      </c>
      <c r="KS2213" s="1">
        <v>42662</v>
      </c>
      <c r="KT2213">
        <v>41</v>
      </c>
      <c r="KU2213">
        <v>15407</v>
      </c>
      <c r="KV2213" t="s">
        <v>1134</v>
      </c>
      <c r="KX2213" s="1">
        <v>41423</v>
      </c>
      <c r="KY2213">
        <v>2010</v>
      </c>
      <c r="KZ2213">
        <v>1738.1</v>
      </c>
      <c r="LA2213" t="s">
        <v>21358</v>
      </c>
      <c r="LB2213">
        <v>3.75</v>
      </c>
      <c r="LC2213" t="s">
        <v>424</v>
      </c>
      <c r="LD2213" t="s">
        <v>425</v>
      </c>
      <c r="LE2213" s="1">
        <v>42662</v>
      </c>
      <c r="LF2213">
        <v>41</v>
      </c>
      <c r="LG2213">
        <v>15407</v>
      </c>
      <c r="LH2213" t="s">
        <v>1134</v>
      </c>
      <c r="LJ2213" s="1">
        <v>41423</v>
      </c>
      <c r="LK2213">
        <v>2009</v>
      </c>
      <c r="LL2213">
        <v>2110.73</v>
      </c>
      <c r="LM2213" t="s">
        <v>21359</v>
      </c>
      <c r="LN2213">
        <v>3.75</v>
      </c>
      <c r="LO2213" t="s">
        <v>424</v>
      </c>
      <c r="LP2213" t="s">
        <v>425</v>
      </c>
      <c r="LR2213">
        <v>22</v>
      </c>
      <c r="LS2213">
        <v>1127</v>
      </c>
      <c r="LT2213" t="s">
        <v>1379</v>
      </c>
      <c r="LV2213" s="1">
        <v>41423</v>
      </c>
      <c r="LW2213">
        <v>2009</v>
      </c>
      <c r="LX2213">
        <v>2110.73</v>
      </c>
      <c r="LY2213" t="s">
        <v>21359</v>
      </c>
      <c r="LZ2213">
        <v>3.75</v>
      </c>
      <c r="MA2213" t="s">
        <v>424</v>
      </c>
      <c r="MB2213" t="s">
        <v>425</v>
      </c>
      <c r="MD2213">
        <v>22</v>
      </c>
      <c r="ME2213">
        <v>2035919</v>
      </c>
      <c r="MF2213" t="s">
        <v>507</v>
      </c>
      <c r="MH2213" s="1">
        <v>41423</v>
      </c>
      <c r="MI2213">
        <v>2009</v>
      </c>
      <c r="MJ2213">
        <v>2110.73</v>
      </c>
      <c r="MK2213" t="s">
        <v>21359</v>
      </c>
      <c r="ML2213">
        <v>3.75</v>
      </c>
      <c r="MM2213" t="s">
        <v>424</v>
      </c>
      <c r="MN2213" t="s">
        <v>425</v>
      </c>
      <c r="MO2213" s="1">
        <v>42662</v>
      </c>
      <c r="MP2213">
        <v>41</v>
      </c>
      <c r="MQ2213">
        <v>7336670</v>
      </c>
      <c r="MR2213" t="s">
        <v>2102</v>
      </c>
    </row>
    <row r="2214" spans="1:356" x14ac:dyDescent="0.25">
      <c r="A2214">
        <v>16487221</v>
      </c>
      <c r="B2214">
        <v>2213</v>
      </c>
      <c r="C2214" t="s">
        <v>393</v>
      </c>
      <c r="D2214" t="s">
        <v>394</v>
      </c>
      <c r="F2214" t="str">
        <f>"00-00-31-1800-0181-0020"</f>
        <v>00-00-31-1800-0181-0020</v>
      </c>
      <c r="H2214" t="str">
        <f>"FISHER PAMELIA F &amp; WILSON NETHERLAND F"</f>
        <v>FISHER PAMELIA F &amp; WILSON NETHERLAND F</v>
      </c>
      <c r="I2214" t="str">
        <f>"816 VERNON ST"</f>
        <v>816 VERNON ST</v>
      </c>
      <c r="J2214" t="str">
        <f>"FERNANDINA BEACH FL 32034"</f>
        <v>FERNANDINA BEACH FL 32034</v>
      </c>
      <c r="K2214" t="str">
        <f>"1111 10TH ST S"</f>
        <v>1111 10TH ST S</v>
      </c>
      <c r="L2214" t="str">
        <f t="shared" si="826"/>
        <v>FERNANDINA BEACH FL 32034</v>
      </c>
      <c r="M2214" t="str">
        <f>"BLOCK 181 LOT 2 &amp; N1/2 OF LOT 7 &amp; S1/2 OF LOT 8 IN OR 1231/301 1/2 HX INT CITY OF FDNA BEACH"</f>
        <v>BLOCK 181 LOT 2 &amp; N1/2 OF LOT 7 &amp; S1/2 OF LOT 8 IN OR 1231/301 1/2 HX INT CITY OF FDNA BEACH</v>
      </c>
      <c r="N2214" t="str">
        <f>""</f>
        <v/>
      </c>
      <c r="O2214" t="str">
        <f>"12331"</f>
        <v>12331</v>
      </c>
      <c r="P2214" t="str">
        <f t="shared" si="821"/>
        <v>2017</v>
      </c>
      <c r="Q2214" t="str">
        <f>""</f>
        <v/>
      </c>
      <c r="R2214" t="str">
        <f>"Y"</f>
        <v>Y</v>
      </c>
      <c r="S2214" t="str">
        <f>""</f>
        <v/>
      </c>
      <c r="T2214" t="str">
        <f>"1484.37"</f>
        <v>1484.37</v>
      </c>
      <c r="U2214" t="str">
        <f>"98481.00"</f>
        <v>98481.00</v>
      </c>
      <c r="V2214" t="str">
        <f>"98481.00"</f>
        <v>98481.00</v>
      </c>
      <c r="W2214" t="str">
        <f t="shared" si="822"/>
        <v>2017</v>
      </c>
      <c r="X2214" t="str">
        <f>"20.17"</f>
        <v>20.17</v>
      </c>
      <c r="Y2214" t="str">
        <f>"1560.90"</f>
        <v>1560.90</v>
      </c>
      <c r="Z2214" t="str">
        <f>"25000.00"</f>
        <v>25000.00</v>
      </c>
      <c r="AA2214" t="str">
        <f>"76487.00"</f>
        <v>76487.00</v>
      </c>
      <c r="AB2214" t="str">
        <f t="shared" si="831"/>
        <v>Residential</v>
      </c>
      <c r="AC2214" t="str">
        <f t="shared" si="829"/>
        <v>0</v>
      </c>
      <c r="AD2214" t="str">
        <f>"4"</f>
        <v>4</v>
      </c>
      <c r="AE2214" t="str">
        <f>"WOOD (INCLUDE STEEL STUDS)"</f>
        <v>WOOD (INCLUDE STEEL STUDS)</v>
      </c>
      <c r="AF2214" t="str">
        <f>"001"</f>
        <v>001</v>
      </c>
      <c r="AG2214" t="str">
        <f t="shared" si="832"/>
        <v>FL</v>
      </c>
      <c r="AH2214" t="str">
        <f>"20940.00"</f>
        <v>20940.00</v>
      </c>
      <c r="AI2214" t="str">
        <f>"57584.00"</f>
        <v>57584.00</v>
      </c>
      <c r="AJ2214" t="str">
        <f>"C55-000-585-9754-3"</f>
        <v>C55-000-585-9754-3</v>
      </c>
      <c r="AK2214" t="str">
        <f>"49266"</f>
        <v>49266</v>
      </c>
      <c r="AL2214">
        <v>8</v>
      </c>
      <c r="AM2214">
        <v>2528</v>
      </c>
      <c r="AN2214">
        <v>1637.35</v>
      </c>
      <c r="AQ2214" t="s">
        <v>21360</v>
      </c>
      <c r="AR2214" t="s">
        <v>21360</v>
      </c>
      <c r="AS2214" t="s">
        <v>21360</v>
      </c>
      <c r="AU2214" t="s">
        <v>396</v>
      </c>
      <c r="AV2214">
        <v>2017</v>
      </c>
      <c r="AW2214" t="str">
        <f>"00-00-31-1800-0181-0020 "</f>
        <v xml:space="preserve">00-00-31-1800-0181-0020 </v>
      </c>
      <c r="AX2214">
        <v>1111</v>
      </c>
      <c r="AZ2214" t="s">
        <v>5188</v>
      </c>
      <c r="BA2214" t="s">
        <v>1942</v>
      </c>
      <c r="BB2214" t="s">
        <v>18674</v>
      </c>
      <c r="BD2214" t="s">
        <v>11749</v>
      </c>
      <c r="BE2214" t="s">
        <v>393</v>
      </c>
      <c r="BF2214">
        <v>32034</v>
      </c>
      <c r="BG2214" t="s">
        <v>21361</v>
      </c>
      <c r="BH2214" t="s">
        <v>11751</v>
      </c>
      <c r="BI2214">
        <v>-81.459759829280202</v>
      </c>
      <c r="BJ2214">
        <v>30.656334028023299</v>
      </c>
      <c r="BK2214" t="s">
        <v>21362</v>
      </c>
      <c r="BL2214" t="s">
        <v>21363</v>
      </c>
      <c r="BM2214" t="s">
        <v>14817</v>
      </c>
      <c r="BN2214" t="s">
        <v>3983</v>
      </c>
      <c r="BO2214">
        <v>32034</v>
      </c>
      <c r="BP2214" t="s">
        <v>404</v>
      </c>
      <c r="BQ2214">
        <v>100</v>
      </c>
      <c r="BR2214" t="s">
        <v>514</v>
      </c>
      <c r="BS2214">
        <v>1001</v>
      </c>
      <c r="BT2214" t="s">
        <v>515</v>
      </c>
      <c r="BW2214">
        <v>20944</v>
      </c>
      <c r="BX2214" t="s">
        <v>407</v>
      </c>
      <c r="BY2214" t="s">
        <v>21123</v>
      </c>
      <c r="BZ2214">
        <v>4</v>
      </c>
      <c r="CA2214">
        <v>1957</v>
      </c>
      <c r="CB2214">
        <v>1</v>
      </c>
      <c r="CC2214">
        <v>1</v>
      </c>
      <c r="CD2214">
        <v>2017</v>
      </c>
      <c r="CG2214">
        <v>101487</v>
      </c>
      <c r="CH2214">
        <v>2017</v>
      </c>
      <c r="CI2214">
        <v>57584</v>
      </c>
      <c r="CJ2214">
        <v>73911</v>
      </c>
      <c r="CK2214">
        <v>131495</v>
      </c>
      <c r="CL2214">
        <v>2017</v>
      </c>
      <c r="CM2214">
        <v>1484.37</v>
      </c>
      <c r="CN2214" s="1">
        <v>38124</v>
      </c>
      <c r="CZ2214" s="1">
        <v>38124</v>
      </c>
      <c r="DD2214" t="s">
        <v>11749</v>
      </c>
      <c r="DF2214">
        <v>2</v>
      </c>
      <c r="DG2214">
        <v>24</v>
      </c>
      <c r="DL2214">
        <v>50202</v>
      </c>
      <c r="DM2214" t="s">
        <v>15205</v>
      </c>
      <c r="DO2214" t="s">
        <v>21364</v>
      </c>
      <c r="DP2214">
        <v>0</v>
      </c>
      <c r="DQ2214">
        <v>5</v>
      </c>
      <c r="DR2214" t="s">
        <v>1479</v>
      </c>
      <c r="DS2214" t="b">
        <v>1</v>
      </c>
      <c r="DT2214" t="s">
        <v>470</v>
      </c>
      <c r="DU2214" t="s">
        <v>471</v>
      </c>
      <c r="DV2214" t="s">
        <v>472</v>
      </c>
      <c r="DX2214">
        <v>-9999</v>
      </c>
      <c r="DZ2214" t="s">
        <v>447</v>
      </c>
      <c r="EA2214" t="s">
        <v>448</v>
      </c>
      <c r="EB2214" t="s">
        <v>14787</v>
      </c>
      <c r="EC2214">
        <v>20101217</v>
      </c>
      <c r="ED2214" t="s">
        <v>474</v>
      </c>
      <c r="EF2214">
        <v>924.6</v>
      </c>
      <c r="EG2214">
        <v>782.6</v>
      </c>
      <c r="EI2214">
        <v>20160407</v>
      </c>
      <c r="EJ2214">
        <v>0</v>
      </c>
      <c r="EK2214">
        <v>0</v>
      </c>
      <c r="EP2214" t="s">
        <v>421</v>
      </c>
      <c r="EQ2214" t="s">
        <v>422</v>
      </c>
      <c r="ER2214">
        <v>2</v>
      </c>
      <c r="ES2214">
        <v>8</v>
      </c>
      <c r="ET2214">
        <v>3032.86</v>
      </c>
      <c r="EU2214">
        <v>164.14</v>
      </c>
      <c r="EV2214">
        <v>3197</v>
      </c>
      <c r="EW2214" s="2">
        <v>43222</v>
      </c>
      <c r="EX2214" s="1">
        <v>42879</v>
      </c>
      <c r="EY2214">
        <v>2016</v>
      </c>
      <c r="EZ2214">
        <v>1516.43</v>
      </c>
      <c r="FA2214" t="s">
        <v>21365</v>
      </c>
      <c r="FB2214">
        <v>0.25</v>
      </c>
      <c r="FC2214" t="s">
        <v>424</v>
      </c>
      <c r="FD2214" t="s">
        <v>454</v>
      </c>
      <c r="FF2214">
        <v>12</v>
      </c>
      <c r="FG2214">
        <v>7336671</v>
      </c>
      <c r="FH2214" t="s">
        <v>437</v>
      </c>
      <c r="FJ2214" s="1">
        <v>42879</v>
      </c>
      <c r="FK2214">
        <v>2016</v>
      </c>
      <c r="FL2214">
        <v>1516.43</v>
      </c>
      <c r="FM2214" t="s">
        <v>21365</v>
      </c>
      <c r="FN2214">
        <v>0.25</v>
      </c>
      <c r="FO2214" t="s">
        <v>424</v>
      </c>
      <c r="FP2214" t="s">
        <v>454</v>
      </c>
      <c r="FR2214">
        <v>12</v>
      </c>
      <c r="FS2214">
        <v>6827407</v>
      </c>
      <c r="FT2214" t="s">
        <v>21366</v>
      </c>
      <c r="FV2214" s="1">
        <v>42515</v>
      </c>
      <c r="FW2214">
        <v>2015</v>
      </c>
      <c r="FX2214">
        <v>1452.89</v>
      </c>
      <c r="FY2214" t="s">
        <v>21367</v>
      </c>
      <c r="FZ2214">
        <v>0.25</v>
      </c>
      <c r="GA2214" t="s">
        <v>424</v>
      </c>
      <c r="GB2214" t="s">
        <v>425</v>
      </c>
      <c r="GC2214" s="1">
        <v>43187</v>
      </c>
      <c r="GD2214">
        <v>22</v>
      </c>
      <c r="GE2214">
        <v>5916895</v>
      </c>
      <c r="GF2214" t="s">
        <v>1390</v>
      </c>
      <c r="GH2214" s="1">
        <v>42515</v>
      </c>
      <c r="GI2214">
        <v>2015</v>
      </c>
      <c r="GJ2214">
        <v>1452.89</v>
      </c>
      <c r="GK2214" t="s">
        <v>21367</v>
      </c>
      <c r="GL2214">
        <v>0.25</v>
      </c>
      <c r="GM2214" t="s">
        <v>424</v>
      </c>
      <c r="GN2214" t="s">
        <v>425</v>
      </c>
      <c r="GP2214">
        <v>22</v>
      </c>
      <c r="GQ2214">
        <v>6004482</v>
      </c>
      <c r="GR2214" t="s">
        <v>21368</v>
      </c>
      <c r="GT2214" s="1">
        <v>42151</v>
      </c>
      <c r="GU2214">
        <v>2014</v>
      </c>
      <c r="GV2214">
        <v>1364.55</v>
      </c>
      <c r="GW2214" t="s">
        <v>21369</v>
      </c>
      <c r="GX2214">
        <v>0.25</v>
      </c>
      <c r="GY2214" t="s">
        <v>424</v>
      </c>
      <c r="GZ2214" t="s">
        <v>425</v>
      </c>
      <c r="HB2214">
        <v>22</v>
      </c>
      <c r="HC2214">
        <v>6485365</v>
      </c>
      <c r="HD2214" t="s">
        <v>21370</v>
      </c>
      <c r="HF2214" s="1">
        <v>42151</v>
      </c>
      <c r="HG2214">
        <v>2014</v>
      </c>
      <c r="HH2214">
        <v>1364.55</v>
      </c>
      <c r="HI2214" t="s">
        <v>21369</v>
      </c>
      <c r="HJ2214">
        <v>0.25</v>
      </c>
      <c r="HK2214" t="s">
        <v>424</v>
      </c>
      <c r="HL2214" t="s">
        <v>425</v>
      </c>
      <c r="HM2214" s="1">
        <v>42828</v>
      </c>
      <c r="HN2214">
        <v>23</v>
      </c>
      <c r="HO2214">
        <v>4975594</v>
      </c>
      <c r="HP2214" t="s">
        <v>457</v>
      </c>
      <c r="HR2214" s="1">
        <v>41787</v>
      </c>
      <c r="HS2214">
        <v>2013</v>
      </c>
      <c r="HT2214">
        <v>1137.28</v>
      </c>
      <c r="HU2214" t="s">
        <v>21371</v>
      </c>
      <c r="HV2214">
        <v>0.25</v>
      </c>
      <c r="HW2214" t="s">
        <v>424</v>
      </c>
      <c r="HX2214" t="s">
        <v>425</v>
      </c>
      <c r="HY2214" s="1">
        <v>42431</v>
      </c>
      <c r="HZ2214">
        <v>22</v>
      </c>
      <c r="IA2214">
        <v>2675455</v>
      </c>
      <c r="IB2214" t="s">
        <v>1981</v>
      </c>
      <c r="ID2214" s="1">
        <v>41423</v>
      </c>
      <c r="IE2214">
        <v>2012</v>
      </c>
      <c r="IF2214">
        <v>1191.72</v>
      </c>
      <c r="IG2214" t="s">
        <v>21372</v>
      </c>
      <c r="IH2214">
        <v>0.25</v>
      </c>
      <c r="II2214" t="s">
        <v>424</v>
      </c>
      <c r="IJ2214" t="s">
        <v>425</v>
      </c>
      <c r="IK2214" s="1">
        <v>42061</v>
      </c>
      <c r="IL2214">
        <v>21</v>
      </c>
      <c r="IM2214">
        <v>15970</v>
      </c>
      <c r="IN2214" t="s">
        <v>1435</v>
      </c>
      <c r="IP2214" s="1">
        <v>41052</v>
      </c>
      <c r="IQ2214">
        <v>2011</v>
      </c>
      <c r="IR2214">
        <v>1429.41</v>
      </c>
      <c r="IS2214" t="s">
        <v>21373</v>
      </c>
      <c r="IT2214">
        <v>0.25</v>
      </c>
      <c r="IU2214" t="s">
        <v>424</v>
      </c>
      <c r="IV2214" t="s">
        <v>425</v>
      </c>
      <c r="IW2214" s="1">
        <v>41726</v>
      </c>
      <c r="IX2214">
        <v>22</v>
      </c>
      <c r="IY2214">
        <v>13104</v>
      </c>
      <c r="IZ2214" t="s">
        <v>888</v>
      </c>
      <c r="JB2214" s="1">
        <v>41052</v>
      </c>
      <c r="JC2214">
        <v>2011</v>
      </c>
      <c r="JD2214">
        <v>1429.41</v>
      </c>
      <c r="JE2214" t="s">
        <v>21373</v>
      </c>
      <c r="JF2214">
        <v>0.25</v>
      </c>
      <c r="JG2214" t="s">
        <v>424</v>
      </c>
      <c r="JH2214" t="s">
        <v>425</v>
      </c>
      <c r="JJ2214">
        <v>22</v>
      </c>
      <c r="JK2214">
        <v>13663</v>
      </c>
      <c r="JL2214" t="s">
        <v>21374</v>
      </c>
    </row>
    <row r="2215" spans="1:356" x14ac:dyDescent="0.25">
      <c r="A2215">
        <v>16487222</v>
      </c>
      <c r="B2215">
        <v>2214</v>
      </c>
      <c r="C2215" t="s">
        <v>393</v>
      </c>
      <c r="D2215" t="s">
        <v>394</v>
      </c>
      <c r="F2215" t="str">
        <f>"00-00-31-1800-0182-0071"</f>
        <v>00-00-31-1800-0182-0071</v>
      </c>
      <c r="H2215" t="str">
        <f>"POLLARD JAVONE D"</f>
        <v>POLLARD JAVONE D</v>
      </c>
      <c r="I2215" t="str">
        <f>"1111 S 11TH ST"</f>
        <v>1111 S 11TH ST</v>
      </c>
      <c r="J2215" t="str">
        <f>"FERNANDINA BEACH FL 32034"</f>
        <v>FERNANDINA BEACH FL 32034</v>
      </c>
      <c r="K2215" t="str">
        <f>"1111 11TH ST S"</f>
        <v>1111 11TH ST S</v>
      </c>
      <c r="L2215" t="str">
        <f t="shared" si="826"/>
        <v>FERNANDINA BEACH FL 32034</v>
      </c>
      <c r="M2215" t="str">
        <f>"BLOCK 182 N1/2 OF LOT 7 A/K/A SUBLOTS A &amp; B IN OR 802/577 CITY OF FDNA BEACH PB 1/25"</f>
        <v>BLOCK 182 N1/2 OF LOT 7 A/K/A SUBLOTS A &amp; B IN OR 802/577 CITY OF FDNA BEACH PB 1/25</v>
      </c>
      <c r="N2215" t="str">
        <f>""</f>
        <v/>
      </c>
      <c r="O2215" t="str">
        <f>"12348"</f>
        <v>12348</v>
      </c>
      <c r="P2215" t="str">
        <f t="shared" si="821"/>
        <v>2017</v>
      </c>
      <c r="Q2215" t="str">
        <f>""</f>
        <v/>
      </c>
      <c r="R2215" t="str">
        <f>"Y"</f>
        <v>Y</v>
      </c>
      <c r="S2215" t="str">
        <f>""</f>
        <v/>
      </c>
      <c r="T2215" t="str">
        <f>"497.30"</f>
        <v>497.30</v>
      </c>
      <c r="U2215" t="str">
        <f>"49951.00"</f>
        <v>49951.00</v>
      </c>
      <c r="V2215" t="str">
        <f>"49951.00"</f>
        <v>49951.00</v>
      </c>
      <c r="W2215" t="str">
        <f t="shared" si="822"/>
        <v>2017</v>
      </c>
      <c r="X2215" t="str">
        <f>"16.67"</f>
        <v>16.67</v>
      </c>
      <c r="Y2215" t="str">
        <f>"544.22"</f>
        <v>544.22</v>
      </c>
      <c r="Z2215" t="str">
        <f>"25000.00"</f>
        <v>25000.00</v>
      </c>
      <c r="AA2215" t="str">
        <f>"24951.00"</f>
        <v>24951.00</v>
      </c>
      <c r="AB2215" t="str">
        <f t="shared" si="831"/>
        <v>Residential</v>
      </c>
      <c r="AC2215" t="str">
        <f t="shared" si="829"/>
        <v>0</v>
      </c>
      <c r="AD2215" t="str">
        <f>"4"</f>
        <v>4</v>
      </c>
      <c r="AE2215" t="str">
        <f>"WOOD (INCLUDE STEEL STUDS)"</f>
        <v>WOOD (INCLUDE STEEL STUDS)</v>
      </c>
      <c r="AF2215" t="str">
        <f>"001"</f>
        <v>001</v>
      </c>
      <c r="AG2215" t="str">
        <f t="shared" si="832"/>
        <v>FL</v>
      </c>
      <c r="AH2215" t="str">
        <f>"5000.00"</f>
        <v>5000.00</v>
      </c>
      <c r="AI2215" t="str">
        <f>"24750.00"</f>
        <v>24750.00</v>
      </c>
      <c r="AJ2215" t="str">
        <f>"C55-000-585-9766-7"</f>
        <v>C55-000-585-9766-7</v>
      </c>
      <c r="AK2215" t="str">
        <f>"49282"</f>
        <v>49282</v>
      </c>
      <c r="AL2215">
        <v>8</v>
      </c>
      <c r="AM2215">
        <v>2529</v>
      </c>
      <c r="AN2215">
        <v>569.83000000000004</v>
      </c>
      <c r="AQ2215" t="s">
        <v>21375</v>
      </c>
      <c r="AR2215" t="s">
        <v>21375</v>
      </c>
      <c r="AS2215" t="s">
        <v>21375</v>
      </c>
      <c r="AU2215" t="s">
        <v>396</v>
      </c>
      <c r="AV2215">
        <v>2017</v>
      </c>
      <c r="AW2215" t="str">
        <f>"00-00-31-1800-0182-0071 "</f>
        <v xml:space="preserve">00-00-31-1800-0182-0071 </v>
      </c>
      <c r="AX2215">
        <v>1111</v>
      </c>
      <c r="AZ2215" t="s">
        <v>5153</v>
      </c>
      <c r="BA2215" t="s">
        <v>1942</v>
      </c>
      <c r="BB2215" t="s">
        <v>18674</v>
      </c>
      <c r="BD2215" t="s">
        <v>11749</v>
      </c>
      <c r="BE2215" t="s">
        <v>393</v>
      </c>
      <c r="BF2215">
        <v>32034</v>
      </c>
      <c r="BG2215" t="s">
        <v>21376</v>
      </c>
      <c r="BH2215" t="s">
        <v>11751</v>
      </c>
      <c r="BI2215">
        <v>-81.458759851412097</v>
      </c>
      <c r="BJ2215">
        <v>30.656217000970901</v>
      </c>
      <c r="BK2215" t="s">
        <v>21377</v>
      </c>
      <c r="BM2215" t="s">
        <v>21378</v>
      </c>
      <c r="BN2215" t="s">
        <v>3983</v>
      </c>
      <c r="BO2215">
        <v>32034</v>
      </c>
      <c r="BP2215" t="s">
        <v>416</v>
      </c>
      <c r="BQ2215">
        <v>100</v>
      </c>
      <c r="BR2215" t="s">
        <v>514</v>
      </c>
      <c r="BS2215">
        <v>1001</v>
      </c>
      <c r="BT2215" t="s">
        <v>515</v>
      </c>
      <c r="BU2215">
        <v>500</v>
      </c>
      <c r="BV2215">
        <v>1000</v>
      </c>
      <c r="BW2215">
        <v>5039</v>
      </c>
      <c r="BX2215" t="s">
        <v>407</v>
      </c>
      <c r="BY2215" t="s">
        <v>18253</v>
      </c>
      <c r="BZ2215">
        <v>4</v>
      </c>
      <c r="CA2215">
        <v>1976</v>
      </c>
      <c r="CB2215">
        <v>1</v>
      </c>
      <c r="CC2215">
        <v>1</v>
      </c>
      <c r="CD2215">
        <v>2017</v>
      </c>
      <c r="CG2215">
        <v>49951</v>
      </c>
      <c r="CH2215">
        <v>2017</v>
      </c>
      <c r="CI2215">
        <v>24750</v>
      </c>
      <c r="CJ2215">
        <v>67781</v>
      </c>
      <c r="CK2215">
        <v>92531</v>
      </c>
      <c r="CL2215">
        <v>2017</v>
      </c>
      <c r="CM2215">
        <v>497.3</v>
      </c>
      <c r="CN2215" s="1">
        <v>35702</v>
      </c>
      <c r="CZ2215" s="1">
        <v>35702</v>
      </c>
      <c r="DD2215" t="s">
        <v>11749</v>
      </c>
      <c r="DF2215">
        <v>7</v>
      </c>
      <c r="DG2215">
        <v>24</v>
      </c>
      <c r="DL2215">
        <v>50202</v>
      </c>
      <c r="DM2215" t="s">
        <v>15205</v>
      </c>
      <c r="DO2215" t="s">
        <v>21379</v>
      </c>
      <c r="DP2215">
        <v>0</v>
      </c>
      <c r="DQ2215">
        <v>1</v>
      </c>
      <c r="DR2215" t="s">
        <v>1479</v>
      </c>
      <c r="DS2215" t="b">
        <v>1</v>
      </c>
      <c r="DT2215" t="s">
        <v>470</v>
      </c>
      <c r="DU2215" t="s">
        <v>471</v>
      </c>
      <c r="DV2215" t="s">
        <v>472</v>
      </c>
      <c r="DX2215">
        <v>-9999</v>
      </c>
      <c r="DZ2215" t="s">
        <v>447</v>
      </c>
      <c r="EA2215" t="s">
        <v>448</v>
      </c>
      <c r="EB2215" t="s">
        <v>14787</v>
      </c>
      <c r="EC2215">
        <v>20101217</v>
      </c>
      <c r="ED2215" t="s">
        <v>474</v>
      </c>
      <c r="EF2215">
        <v>1241.9000000000001</v>
      </c>
      <c r="EG2215">
        <v>1075.5999999999999</v>
      </c>
      <c r="EI2215">
        <v>20160407</v>
      </c>
      <c r="EJ2215">
        <v>0</v>
      </c>
      <c r="EK2215">
        <v>0</v>
      </c>
      <c r="EP2215" t="s">
        <v>421</v>
      </c>
      <c r="EQ2215" t="s">
        <v>422</v>
      </c>
      <c r="ER2215">
        <v>0</v>
      </c>
      <c r="ES2215">
        <v>9</v>
      </c>
      <c r="ET2215">
        <v>0</v>
      </c>
      <c r="EU2215">
        <v>0</v>
      </c>
      <c r="EV2215">
        <v>0</v>
      </c>
      <c r="EW2215" s="2">
        <v>43222</v>
      </c>
      <c r="EX2215" s="1">
        <v>42879</v>
      </c>
      <c r="EY2215">
        <v>2016</v>
      </c>
      <c r="EZ2215">
        <v>550.87</v>
      </c>
      <c r="FA2215" t="s">
        <v>21380</v>
      </c>
      <c r="FB2215">
        <v>0.25</v>
      </c>
      <c r="FC2215" t="s">
        <v>424</v>
      </c>
      <c r="FD2215" t="s">
        <v>425</v>
      </c>
      <c r="FE2215" s="1">
        <v>42930</v>
      </c>
      <c r="FF2215">
        <v>2</v>
      </c>
      <c r="FG2215">
        <v>7336671</v>
      </c>
      <c r="FH2215" t="s">
        <v>437</v>
      </c>
      <c r="FJ2215" s="1">
        <v>42879</v>
      </c>
      <c r="FK2215">
        <v>2016</v>
      </c>
      <c r="FL2215">
        <v>550.87</v>
      </c>
      <c r="FM2215" t="s">
        <v>21380</v>
      </c>
      <c r="FN2215">
        <v>0.25</v>
      </c>
      <c r="FO2215" t="s">
        <v>424</v>
      </c>
      <c r="FP2215" t="s">
        <v>425</v>
      </c>
      <c r="FR2215">
        <v>22</v>
      </c>
      <c r="FS2215">
        <v>7010244</v>
      </c>
      <c r="FT2215" t="s">
        <v>21381</v>
      </c>
      <c r="FV2215" s="1">
        <v>42515</v>
      </c>
      <c r="FW2215">
        <v>2015</v>
      </c>
      <c r="FX2215">
        <v>545.03</v>
      </c>
      <c r="FY2215" t="s">
        <v>21382</v>
      </c>
      <c r="FZ2215">
        <v>0.25</v>
      </c>
      <c r="GA2215" t="s">
        <v>424</v>
      </c>
      <c r="GB2215" t="s">
        <v>425</v>
      </c>
      <c r="GC2215" s="1">
        <v>42636</v>
      </c>
      <c r="GD2215">
        <v>4</v>
      </c>
      <c r="GE2215">
        <v>7045074</v>
      </c>
      <c r="GF2215" t="s">
        <v>580</v>
      </c>
      <c r="GH2215" s="1">
        <v>42515</v>
      </c>
      <c r="GI2215">
        <v>2015</v>
      </c>
      <c r="GJ2215">
        <v>545.03</v>
      </c>
      <c r="GK2215" t="s">
        <v>21382</v>
      </c>
      <c r="GL2215">
        <v>0.25</v>
      </c>
      <c r="GM2215" t="s">
        <v>424</v>
      </c>
      <c r="GN2215" t="s">
        <v>425</v>
      </c>
      <c r="GP2215">
        <v>22</v>
      </c>
      <c r="GQ2215">
        <v>6356800</v>
      </c>
      <c r="GR2215" t="s">
        <v>21383</v>
      </c>
      <c r="GT2215" s="1">
        <v>42151</v>
      </c>
      <c r="GU2215">
        <v>2014</v>
      </c>
      <c r="GV2215">
        <v>540.14</v>
      </c>
      <c r="GW2215" t="s">
        <v>21384</v>
      </c>
      <c r="GX2215">
        <v>0.25</v>
      </c>
      <c r="GY2215" t="s">
        <v>424</v>
      </c>
      <c r="GZ2215" t="s">
        <v>425</v>
      </c>
      <c r="HA2215" s="1">
        <v>42636</v>
      </c>
      <c r="HB2215">
        <v>16</v>
      </c>
      <c r="HC2215">
        <v>2851116</v>
      </c>
      <c r="HD2215" t="s">
        <v>480</v>
      </c>
      <c r="HF2215" s="1">
        <v>42151</v>
      </c>
      <c r="HG2215">
        <v>2014</v>
      </c>
      <c r="HH2215">
        <v>540.14</v>
      </c>
      <c r="HI2215" t="s">
        <v>21384</v>
      </c>
      <c r="HJ2215">
        <v>0.25</v>
      </c>
      <c r="HK2215" t="s">
        <v>424</v>
      </c>
      <c r="HL2215" t="s">
        <v>425</v>
      </c>
      <c r="HN2215">
        <v>22</v>
      </c>
      <c r="HO2215">
        <v>5325910</v>
      </c>
      <c r="HP2215" t="s">
        <v>21385</v>
      </c>
      <c r="HR2215" s="1">
        <v>41787</v>
      </c>
      <c r="HS2215">
        <v>2013</v>
      </c>
      <c r="HT2215">
        <v>507.01</v>
      </c>
      <c r="HU2215" t="s">
        <v>21386</v>
      </c>
      <c r="HV2215">
        <v>0.25</v>
      </c>
      <c r="HW2215" t="s">
        <v>424</v>
      </c>
      <c r="HX2215" t="s">
        <v>425</v>
      </c>
      <c r="HY2215" s="1">
        <v>42412</v>
      </c>
      <c r="HZ2215">
        <v>21</v>
      </c>
      <c r="IA2215">
        <v>2101382</v>
      </c>
      <c r="IB2215" t="s">
        <v>993</v>
      </c>
      <c r="ID2215" s="1">
        <v>41423</v>
      </c>
      <c r="IE2215">
        <v>2012</v>
      </c>
      <c r="IF2215">
        <v>489.34</v>
      </c>
      <c r="IG2215" t="s">
        <v>21387</v>
      </c>
      <c r="IH2215">
        <v>0.25</v>
      </c>
      <c r="II2215" t="s">
        <v>424</v>
      </c>
      <c r="IJ2215" t="s">
        <v>425</v>
      </c>
      <c r="IK2215" s="1">
        <v>42059</v>
      </c>
      <c r="IL2215">
        <v>21</v>
      </c>
      <c r="IM2215">
        <v>15407</v>
      </c>
      <c r="IN2215" t="s">
        <v>1134</v>
      </c>
      <c r="IP2215" s="1">
        <v>40688</v>
      </c>
      <c r="IQ2215">
        <v>2010</v>
      </c>
      <c r="IR2215">
        <v>414.72</v>
      </c>
      <c r="IS2215" t="s">
        <v>21388</v>
      </c>
      <c r="IT2215">
        <v>5.25</v>
      </c>
      <c r="IU2215" t="s">
        <v>424</v>
      </c>
      <c r="IV2215" t="s">
        <v>425</v>
      </c>
      <c r="IW2215" s="1">
        <v>40998</v>
      </c>
      <c r="IX2215">
        <v>10</v>
      </c>
      <c r="IY2215">
        <v>11177</v>
      </c>
      <c r="IZ2215" t="s">
        <v>650</v>
      </c>
    </row>
    <row r="2216" spans="1:356" x14ac:dyDescent="0.25">
      <c r="A2216">
        <v>16487223</v>
      </c>
      <c r="B2216">
        <v>2215</v>
      </c>
      <c r="C2216" t="s">
        <v>393</v>
      </c>
      <c r="D2216" t="s">
        <v>394</v>
      </c>
      <c r="F2216" t="str">
        <f>"00-00-31-1800-0182-0072"</f>
        <v>00-00-31-1800-0182-0072</v>
      </c>
      <c r="H2216" t="str">
        <f>"MARTIN ROBERT EST C/O THOMAS A SANDERS"</f>
        <v>MARTIN ROBERT EST C/O THOMAS A SANDERS</v>
      </c>
      <c r="I2216" t="str">
        <f>"P O BOX 15073"</f>
        <v>P O BOX 15073</v>
      </c>
      <c r="J2216" t="str">
        <f>"FERNANDINA BEACH FL 32035"</f>
        <v>FERNANDINA BEACH FL 32035</v>
      </c>
      <c r="K2216" t="str">
        <f>"1115 11TH ST S"</f>
        <v>1115 11TH ST S</v>
      </c>
      <c r="L2216" t="str">
        <f t="shared" si="826"/>
        <v>FERNANDINA BEACH FL 32034</v>
      </c>
      <c r="M2216" t="str">
        <f>"BLOCK 182 S1/2 OF LOT 7 A/K/A SUBLOTS C &amp; D IN OR 222/616 CITY OF FDNA BEACH PB 1/25"</f>
        <v>BLOCK 182 S1/2 OF LOT 7 A/K/A SUBLOTS C &amp; D IN OR 222/616 CITY OF FDNA BEACH PB 1/25</v>
      </c>
      <c r="N2216" t="str">
        <f>""</f>
        <v/>
      </c>
      <c r="O2216" t="str">
        <f>"12349"</f>
        <v>12349</v>
      </c>
      <c r="P2216" t="str">
        <f t="shared" si="821"/>
        <v>2017</v>
      </c>
      <c r="Q2216" t="str">
        <f>""</f>
        <v/>
      </c>
      <c r="R2216" t="str">
        <f>"N"</f>
        <v>N</v>
      </c>
      <c r="S2216" t="str">
        <f>""</f>
        <v/>
      </c>
      <c r="T2216" t="str">
        <f>"445.63"</f>
        <v>445.63</v>
      </c>
      <c r="U2216" t="str">
        <f>"21175.00"</f>
        <v>21175.00</v>
      </c>
      <c r="V2216" t="str">
        <f>"21175.00"</f>
        <v>21175.00</v>
      </c>
      <c r="W2216" t="str">
        <f t="shared" si="822"/>
        <v>2017</v>
      </c>
      <c r="X2216" t="str">
        <f>"22.67"</f>
        <v>22.67</v>
      </c>
      <c r="Y2216" t="str">
        <f>"491.00"</f>
        <v>491.00</v>
      </c>
      <c r="Z2216" t="str">
        <f>""</f>
        <v/>
      </c>
      <c r="AA2216" t="str">
        <f>"24750.00"</f>
        <v>24750.00</v>
      </c>
      <c r="AB2216" t="str">
        <f t="shared" si="831"/>
        <v>Residential</v>
      </c>
      <c r="AC2216" t="str">
        <f t="shared" si="829"/>
        <v>0</v>
      </c>
      <c r="AD2216" t="str">
        <f>""</f>
        <v/>
      </c>
      <c r="AE2216" t="str">
        <f>""</f>
        <v/>
      </c>
      <c r="AF2216" t="str">
        <f>"000"</f>
        <v>000</v>
      </c>
      <c r="AG2216" t="str">
        <f t="shared" si="832"/>
        <v>FL</v>
      </c>
      <c r="AH2216" t="str">
        <f>"5000.00"</f>
        <v>5000.00</v>
      </c>
      <c r="AI2216" t="str">
        <f>"24750.00"</f>
        <v>24750.00</v>
      </c>
      <c r="AJ2216" t="str">
        <f>"C55-000-585-9767-5"</f>
        <v>C55-000-585-9767-5</v>
      </c>
      <c r="AK2216" t="str">
        <f>"49283"</f>
        <v>49283</v>
      </c>
      <c r="AL2216">
        <v>8</v>
      </c>
      <c r="AM2216">
        <v>2530</v>
      </c>
      <c r="AN2216">
        <v>513.95000000000005</v>
      </c>
      <c r="AQ2216" t="s">
        <v>21389</v>
      </c>
      <c r="AR2216" t="s">
        <v>21389</v>
      </c>
      <c r="AS2216" t="s">
        <v>21389</v>
      </c>
      <c r="AU2216" t="s">
        <v>396</v>
      </c>
      <c r="AV2216">
        <v>2017</v>
      </c>
      <c r="AW2216" t="str">
        <f>"00-00-31-1800-0182-0072 "</f>
        <v xml:space="preserve">00-00-31-1800-0182-0072 </v>
      </c>
      <c r="AX2216">
        <v>1115</v>
      </c>
      <c r="AZ2216" t="s">
        <v>5153</v>
      </c>
      <c r="BA2216" t="s">
        <v>1942</v>
      </c>
      <c r="BB2216" t="s">
        <v>18674</v>
      </c>
      <c r="BD2216" t="s">
        <v>11749</v>
      </c>
      <c r="BE2216" t="s">
        <v>393</v>
      </c>
      <c r="BF2216">
        <v>32034</v>
      </c>
      <c r="BG2216" t="s">
        <v>21390</v>
      </c>
      <c r="BH2216" t="s">
        <v>11751</v>
      </c>
      <c r="BI2216">
        <v>-81.458779792541193</v>
      </c>
      <c r="BJ2216">
        <v>30.656080611619501</v>
      </c>
      <c r="BK2216" t="s">
        <v>21391</v>
      </c>
      <c r="BM2216" t="s">
        <v>21392</v>
      </c>
      <c r="BN2216" t="s">
        <v>3983</v>
      </c>
      <c r="BO2216">
        <v>32035</v>
      </c>
      <c r="BP2216" t="s">
        <v>404</v>
      </c>
      <c r="BQ2216">
        <v>0</v>
      </c>
      <c r="BR2216" t="s">
        <v>491</v>
      </c>
      <c r="BS2216">
        <v>8001</v>
      </c>
      <c r="BT2216" t="s">
        <v>492</v>
      </c>
      <c r="BU2216">
        <v>500</v>
      </c>
      <c r="BV2216">
        <v>1000</v>
      </c>
      <c r="BW2216">
        <v>5056</v>
      </c>
      <c r="BX2216" t="s">
        <v>407</v>
      </c>
      <c r="BY2216" t="s">
        <v>18253</v>
      </c>
      <c r="CD2216">
        <v>2017</v>
      </c>
      <c r="CE2216">
        <v>24750</v>
      </c>
      <c r="CG2216">
        <v>24750</v>
      </c>
      <c r="CH2216">
        <v>2017</v>
      </c>
      <c r="CI2216">
        <v>24750</v>
      </c>
      <c r="CK2216">
        <v>24750</v>
      </c>
      <c r="CL2216">
        <v>2017</v>
      </c>
      <c r="CM2216">
        <v>445.63</v>
      </c>
      <c r="CN2216" s="1">
        <v>27760</v>
      </c>
      <c r="CO2216">
        <v>21500</v>
      </c>
      <c r="CZ2216" s="1">
        <v>27760</v>
      </c>
      <c r="DD2216" t="s">
        <v>11749</v>
      </c>
      <c r="DF2216">
        <v>7</v>
      </c>
      <c r="DG2216">
        <v>24</v>
      </c>
      <c r="DL2216">
        <v>50202</v>
      </c>
      <c r="DM2216" t="s">
        <v>15205</v>
      </c>
      <c r="DO2216" t="s">
        <v>21393</v>
      </c>
      <c r="DP2216">
        <v>0</v>
      </c>
      <c r="DQ2216">
        <v>1</v>
      </c>
      <c r="DR2216" t="s">
        <v>1479</v>
      </c>
      <c r="DS2216" t="b">
        <v>1</v>
      </c>
      <c r="DT2216" t="s">
        <v>470</v>
      </c>
      <c r="DU2216" t="s">
        <v>471</v>
      </c>
      <c r="DV2216" t="s">
        <v>472</v>
      </c>
      <c r="DX2216">
        <v>-9999</v>
      </c>
      <c r="DZ2216" t="s">
        <v>447</v>
      </c>
      <c r="EA2216" t="s">
        <v>448</v>
      </c>
      <c r="EB2216" t="s">
        <v>14787</v>
      </c>
      <c r="EC2216">
        <v>20101217</v>
      </c>
      <c r="ED2216" t="s">
        <v>474</v>
      </c>
      <c r="EF2216">
        <v>1243.7</v>
      </c>
      <c r="EG2216">
        <v>1093.4000000000001</v>
      </c>
      <c r="EI2216">
        <v>20160407</v>
      </c>
      <c r="EJ2216">
        <v>0</v>
      </c>
      <c r="EK2216">
        <v>0</v>
      </c>
      <c r="EP2216" t="s">
        <v>421</v>
      </c>
      <c r="EQ2216" t="s">
        <v>422</v>
      </c>
      <c r="ER2216">
        <v>3</v>
      </c>
      <c r="ES2216">
        <v>5</v>
      </c>
      <c r="ET2216">
        <v>1292.6099999999999</v>
      </c>
      <c r="EU2216">
        <v>125.9</v>
      </c>
      <c r="EV2216">
        <v>1418.51</v>
      </c>
      <c r="EW2216" s="2">
        <v>43222</v>
      </c>
      <c r="EX2216" s="1">
        <v>42879</v>
      </c>
      <c r="EY2216">
        <v>2016</v>
      </c>
      <c r="EZ2216">
        <v>472.39</v>
      </c>
      <c r="FA2216" t="s">
        <v>21394</v>
      </c>
      <c r="FB2216">
        <v>14</v>
      </c>
      <c r="FC2216" t="s">
        <v>424</v>
      </c>
      <c r="FD2216" t="s">
        <v>454</v>
      </c>
      <c r="FF2216">
        <v>12</v>
      </c>
      <c r="FG2216">
        <v>10003</v>
      </c>
      <c r="FH2216" t="s">
        <v>4341</v>
      </c>
      <c r="FJ2216" s="1">
        <v>42515</v>
      </c>
      <c r="FK2216">
        <v>2015</v>
      </c>
      <c r="FL2216">
        <v>410.11</v>
      </c>
      <c r="FM2216" t="s">
        <v>21395</v>
      </c>
      <c r="FN2216">
        <v>0.25</v>
      </c>
      <c r="FO2216" t="s">
        <v>424</v>
      </c>
      <c r="FP2216" t="s">
        <v>454</v>
      </c>
      <c r="FR2216">
        <v>24</v>
      </c>
      <c r="FS2216">
        <v>7336671</v>
      </c>
      <c r="FT2216" t="s">
        <v>437</v>
      </c>
      <c r="FV2216" s="1">
        <v>42515</v>
      </c>
      <c r="FW2216">
        <v>2015</v>
      </c>
      <c r="FX2216">
        <v>410.11</v>
      </c>
      <c r="FY2216" t="s">
        <v>21395</v>
      </c>
      <c r="FZ2216">
        <v>0.25</v>
      </c>
      <c r="GA2216" t="s">
        <v>424</v>
      </c>
      <c r="GB2216" t="s">
        <v>454</v>
      </c>
      <c r="GD2216">
        <v>24</v>
      </c>
      <c r="GE2216">
        <v>6910279</v>
      </c>
      <c r="GF2216" t="s">
        <v>21396</v>
      </c>
      <c r="GH2216" s="1">
        <v>42151</v>
      </c>
      <c r="GI2216">
        <v>2014</v>
      </c>
      <c r="GJ2216">
        <v>412.86</v>
      </c>
      <c r="GK2216" t="s">
        <v>21397</v>
      </c>
      <c r="GL2216">
        <v>15.5</v>
      </c>
      <c r="GM2216" t="s">
        <v>424</v>
      </c>
      <c r="GN2216" t="s">
        <v>425</v>
      </c>
      <c r="GO2216" s="1">
        <v>43157</v>
      </c>
      <c r="GP2216">
        <v>33</v>
      </c>
      <c r="GQ2216">
        <v>10003</v>
      </c>
      <c r="GR2216" t="s">
        <v>4341</v>
      </c>
      <c r="GT2216" s="1">
        <v>41787</v>
      </c>
      <c r="GU2216">
        <v>2013</v>
      </c>
      <c r="GV2216">
        <v>399.46</v>
      </c>
      <c r="GW2216" t="s">
        <v>21398</v>
      </c>
      <c r="GX2216">
        <v>3</v>
      </c>
      <c r="GY2216" t="s">
        <v>424</v>
      </c>
      <c r="GZ2216" t="s">
        <v>425</v>
      </c>
      <c r="HA2216" s="1">
        <v>42461</v>
      </c>
      <c r="HB2216">
        <v>23</v>
      </c>
      <c r="HC2216">
        <v>10125</v>
      </c>
      <c r="HD2216" t="s">
        <v>440</v>
      </c>
      <c r="HF2216" s="1">
        <v>41423</v>
      </c>
      <c r="HG2216">
        <v>2012</v>
      </c>
      <c r="HH2216">
        <v>452.9</v>
      </c>
      <c r="HI2216" t="s">
        <v>21399</v>
      </c>
      <c r="HJ2216">
        <v>3.25</v>
      </c>
      <c r="HK2216" t="s">
        <v>424</v>
      </c>
      <c r="HL2216" t="s">
        <v>425</v>
      </c>
      <c r="HM2216" s="1">
        <v>42250</v>
      </c>
      <c r="HN2216">
        <v>28</v>
      </c>
      <c r="HO2216">
        <v>10125</v>
      </c>
      <c r="HP2216" t="s">
        <v>440</v>
      </c>
      <c r="HR2216" s="1">
        <v>41052</v>
      </c>
      <c r="HS2216">
        <v>2011</v>
      </c>
      <c r="HT2216">
        <v>640.58000000000004</v>
      </c>
      <c r="HU2216" t="s">
        <v>21400</v>
      </c>
      <c r="HV2216">
        <v>6.75</v>
      </c>
      <c r="HW2216" t="s">
        <v>424</v>
      </c>
      <c r="HX2216" t="s">
        <v>425</v>
      </c>
      <c r="HY2216" s="1">
        <v>41729</v>
      </c>
      <c r="HZ2216">
        <v>22</v>
      </c>
      <c r="IA2216">
        <v>10125</v>
      </c>
      <c r="IB2216" t="s">
        <v>440</v>
      </c>
      <c r="ID2216" s="1">
        <v>40688</v>
      </c>
      <c r="IE2216">
        <v>2010</v>
      </c>
      <c r="IF2216">
        <v>625.92999999999995</v>
      </c>
      <c r="IG2216" t="s">
        <v>21401</v>
      </c>
      <c r="IH2216">
        <v>5.75</v>
      </c>
      <c r="II2216" t="s">
        <v>424</v>
      </c>
      <c r="IJ2216" t="s">
        <v>425</v>
      </c>
      <c r="IK2216" s="1">
        <v>41337</v>
      </c>
      <c r="IL2216">
        <v>22</v>
      </c>
      <c r="IM2216">
        <v>10003</v>
      </c>
      <c r="IN2216" t="s">
        <v>4341</v>
      </c>
    </row>
    <row r="2217" spans="1:356" x14ac:dyDescent="0.25">
      <c r="A2217">
        <v>16487224</v>
      </c>
      <c r="B2217">
        <v>2216</v>
      </c>
      <c r="C2217" t="s">
        <v>393</v>
      </c>
      <c r="D2217" t="s">
        <v>394</v>
      </c>
      <c r="F2217" t="str">
        <f>"00-00-31-1800-0188-0080"</f>
        <v>00-00-31-1800-0188-0080</v>
      </c>
      <c r="H2217" t="str">
        <f>"DOUGLAS MARK S &amp; NANCY"</f>
        <v>DOUGLAS MARK S &amp; NANCY</v>
      </c>
      <c r="I2217" t="str">
        <f>"1223 S 5TH ST"</f>
        <v>1223 S 5TH ST</v>
      </c>
      <c r="J2217" t="str">
        <f t="shared" ref="J2217:J2225" si="833">"FERNANDINA BEACH FL 32034"</f>
        <v>FERNANDINA BEACH FL 32034</v>
      </c>
      <c r="K2217" t="str">
        <f>"1223 5TH ST S"</f>
        <v>1223 5TH ST S</v>
      </c>
      <c r="L2217" t="str">
        <f t="shared" si="826"/>
        <v>FERNANDINA BEACH FL 32034</v>
      </c>
      <c r="M2217" t="str">
        <f>"BLOCK 188 LOT 8 IN OR 893/1042 CITY OF FDNA BEACH"</f>
        <v>BLOCK 188 LOT 8 IN OR 893/1042 CITY OF FDNA BEACH</v>
      </c>
      <c r="N2217" t="str">
        <f>""</f>
        <v/>
      </c>
      <c r="O2217" t="str">
        <f>"12377"</f>
        <v>12377</v>
      </c>
      <c r="P2217" t="str">
        <f t="shared" si="821"/>
        <v>2017</v>
      </c>
      <c r="Q2217" t="str">
        <f>""</f>
        <v/>
      </c>
      <c r="R2217" t="str">
        <f>"Y"</f>
        <v>Y</v>
      </c>
      <c r="S2217" t="str">
        <f>""</f>
        <v/>
      </c>
      <c r="T2217" t="str">
        <f>"590.91"</f>
        <v>590.91</v>
      </c>
      <c r="U2217" t="str">
        <f>"77676.00"</f>
        <v>77676.00</v>
      </c>
      <c r="V2217" t="str">
        <f>"77676.00"</f>
        <v>77676.00</v>
      </c>
      <c r="W2217" t="str">
        <f t="shared" si="822"/>
        <v>2017</v>
      </c>
      <c r="X2217" t="str">
        <f>"3.00"</f>
        <v>3.00</v>
      </c>
      <c r="Y2217" t="str">
        <f>"640.64"</f>
        <v>640.64</v>
      </c>
      <c r="Z2217" t="str">
        <f>"25000.00"</f>
        <v>25000.00</v>
      </c>
      <c r="AA2217" t="str">
        <f>"52676.00"</f>
        <v>52676.00</v>
      </c>
      <c r="AB2217" t="str">
        <f t="shared" si="831"/>
        <v>Residential</v>
      </c>
      <c r="AC2217" t="str">
        <f t="shared" si="829"/>
        <v>0</v>
      </c>
      <c r="AD2217" t="str">
        <f>"4"</f>
        <v>4</v>
      </c>
      <c r="AE2217" t="str">
        <f>"WOOD (INCLUDE STEEL STUDS)"</f>
        <v>WOOD (INCLUDE STEEL STUDS)</v>
      </c>
      <c r="AF2217" t="str">
        <f t="shared" ref="AF2217:AF2222" si="834">"001"</f>
        <v>001</v>
      </c>
      <c r="AG2217" t="str">
        <f t="shared" si="832"/>
        <v>FL</v>
      </c>
      <c r="AH2217" t="str">
        <f>"10000.00"</f>
        <v>10000.00</v>
      </c>
      <c r="AI2217" t="str">
        <f>"40000.00"</f>
        <v>40000.00</v>
      </c>
      <c r="AJ2217" t="str">
        <f>"C55-000-585-9795-6"</f>
        <v>C55-000-585-9795-6</v>
      </c>
      <c r="AK2217" t="str">
        <f>"49311"</f>
        <v>49311</v>
      </c>
      <c r="AL2217">
        <v>8</v>
      </c>
      <c r="AM2217">
        <v>2533</v>
      </c>
      <c r="AN2217">
        <v>671.07</v>
      </c>
      <c r="AQ2217" t="s">
        <v>21402</v>
      </c>
      <c r="AR2217" t="s">
        <v>21402</v>
      </c>
      <c r="AS2217" t="s">
        <v>21402</v>
      </c>
      <c r="AU2217" t="s">
        <v>396</v>
      </c>
      <c r="AV2217">
        <v>2017</v>
      </c>
      <c r="AW2217" t="str">
        <f>"00-00-31-1800-0188-0080 "</f>
        <v xml:space="preserve">00-00-31-1800-0188-0080 </v>
      </c>
      <c r="AX2217">
        <v>1223</v>
      </c>
      <c r="AZ2217" t="s">
        <v>20702</v>
      </c>
      <c r="BA2217" t="s">
        <v>1942</v>
      </c>
      <c r="BB2217" t="s">
        <v>18674</v>
      </c>
      <c r="BD2217" t="s">
        <v>11749</v>
      </c>
      <c r="BE2217" t="s">
        <v>393</v>
      </c>
      <c r="BF2217">
        <v>32034</v>
      </c>
      <c r="BG2217" t="s">
        <v>21403</v>
      </c>
      <c r="BH2217" t="s">
        <v>11751</v>
      </c>
      <c r="BI2217">
        <v>-81.463844345736305</v>
      </c>
      <c r="BJ2217">
        <v>30.655728898963499</v>
      </c>
      <c r="BK2217" t="s">
        <v>21404</v>
      </c>
      <c r="BL2217" t="s">
        <v>21405</v>
      </c>
      <c r="BM2217" t="s">
        <v>21406</v>
      </c>
      <c r="BN2217" t="s">
        <v>3983</v>
      </c>
      <c r="BO2217">
        <v>32034</v>
      </c>
      <c r="BP2217" t="s">
        <v>416</v>
      </c>
      <c r="BQ2217">
        <v>100</v>
      </c>
      <c r="BR2217" t="s">
        <v>514</v>
      </c>
      <c r="BS2217">
        <v>1001</v>
      </c>
      <c r="BT2217" t="s">
        <v>515</v>
      </c>
      <c r="BU2217">
        <v>1000</v>
      </c>
      <c r="BV2217">
        <v>1000</v>
      </c>
      <c r="BW2217">
        <v>10000</v>
      </c>
      <c r="BX2217" t="s">
        <v>407</v>
      </c>
      <c r="BZ2217">
        <v>4</v>
      </c>
      <c r="CA2217">
        <v>1954</v>
      </c>
      <c r="CB2217">
        <v>1</v>
      </c>
      <c r="CC2217">
        <v>1</v>
      </c>
      <c r="CD2217">
        <v>2017</v>
      </c>
      <c r="CG2217">
        <v>77676</v>
      </c>
      <c r="CH2217">
        <v>2017</v>
      </c>
      <c r="CI2217">
        <v>40000</v>
      </c>
      <c r="CJ2217">
        <v>64074</v>
      </c>
      <c r="CK2217">
        <v>104074</v>
      </c>
      <c r="CL2217">
        <v>2017</v>
      </c>
      <c r="CM2217">
        <v>590.91</v>
      </c>
      <c r="CN2217" s="1">
        <v>36374</v>
      </c>
      <c r="CZ2217" s="1">
        <v>36374</v>
      </c>
      <c r="DD2217" t="s">
        <v>11749</v>
      </c>
      <c r="DF2217">
        <v>8</v>
      </c>
      <c r="DG2217">
        <v>24</v>
      </c>
      <c r="DL2217">
        <v>50202</v>
      </c>
      <c r="DM2217" t="s">
        <v>15205</v>
      </c>
      <c r="DO2217" t="s">
        <v>21407</v>
      </c>
      <c r="DP2217">
        <v>0</v>
      </c>
      <c r="DQ2217">
        <v>1</v>
      </c>
      <c r="DR2217" t="s">
        <v>1479</v>
      </c>
      <c r="DS2217" t="b">
        <v>1</v>
      </c>
      <c r="DT2217" t="s">
        <v>470</v>
      </c>
      <c r="DU2217" t="s">
        <v>10249</v>
      </c>
      <c r="DV2217" t="s">
        <v>472</v>
      </c>
      <c r="DX2217">
        <v>-9999</v>
      </c>
      <c r="DZ2217" t="s">
        <v>447</v>
      </c>
      <c r="EA2217" t="s">
        <v>448</v>
      </c>
      <c r="EB2217" t="s">
        <v>15609</v>
      </c>
      <c r="EC2217">
        <v>20101217</v>
      </c>
      <c r="ED2217" t="s">
        <v>10251</v>
      </c>
      <c r="EE2217">
        <v>5</v>
      </c>
      <c r="EF2217">
        <v>0.5</v>
      </c>
      <c r="EG2217">
        <v>0</v>
      </c>
      <c r="EI2217">
        <v>20160407</v>
      </c>
      <c r="EJ2217">
        <v>0</v>
      </c>
      <c r="EK2217">
        <v>0</v>
      </c>
      <c r="EP2217" t="s">
        <v>421</v>
      </c>
      <c r="EQ2217" t="s">
        <v>422</v>
      </c>
      <c r="ER2217">
        <v>0</v>
      </c>
      <c r="ES2217">
        <v>2</v>
      </c>
      <c r="ET2217">
        <v>0</v>
      </c>
      <c r="EU2217">
        <v>0</v>
      </c>
      <c r="EV2217">
        <v>0</v>
      </c>
      <c r="EW2217" s="2">
        <v>43222</v>
      </c>
      <c r="EX2217" s="1">
        <v>42515</v>
      </c>
      <c r="EY2217">
        <v>2015</v>
      </c>
      <c r="EZ2217">
        <v>653.92999999999995</v>
      </c>
      <c r="FA2217" t="s">
        <v>21408</v>
      </c>
      <c r="FB2217">
        <v>0.25</v>
      </c>
      <c r="FC2217" t="s">
        <v>424</v>
      </c>
      <c r="FD2217" t="s">
        <v>425</v>
      </c>
      <c r="FE2217" s="1">
        <v>42599</v>
      </c>
      <c r="FF2217">
        <v>3</v>
      </c>
      <c r="FG2217">
        <v>7045074</v>
      </c>
      <c r="FH2217" t="s">
        <v>580</v>
      </c>
      <c r="FJ2217" s="1">
        <v>42515</v>
      </c>
      <c r="FK2217">
        <v>2015</v>
      </c>
      <c r="FL2217">
        <v>653.92999999999995</v>
      </c>
      <c r="FM2217" t="s">
        <v>21408</v>
      </c>
      <c r="FN2217">
        <v>0.25</v>
      </c>
      <c r="FO2217" t="s">
        <v>424</v>
      </c>
      <c r="FP2217" t="s">
        <v>425</v>
      </c>
      <c r="FR2217">
        <v>22</v>
      </c>
      <c r="FS2217">
        <v>6687257</v>
      </c>
      <c r="FT2217" t="s">
        <v>21409</v>
      </c>
    </row>
    <row r="2218" spans="1:356" x14ac:dyDescent="0.25">
      <c r="A2218">
        <v>16487225</v>
      </c>
      <c r="B2218">
        <v>2217</v>
      </c>
      <c r="C2218" t="s">
        <v>393</v>
      </c>
      <c r="D2218" t="s">
        <v>394</v>
      </c>
      <c r="F2218" t="str">
        <f>"00-00-31-1800-0190-0010"</f>
        <v>00-00-31-1800-0190-0010</v>
      </c>
      <c r="H2218" t="str">
        <f>"FRENCH SUSAN N"</f>
        <v>FRENCH SUSAN N</v>
      </c>
      <c r="I2218" t="str">
        <f>"360 MAGNOLIA ST"</f>
        <v>360 MAGNOLIA ST</v>
      </c>
      <c r="J2218" t="str">
        <f t="shared" si="833"/>
        <v>FERNANDINA BEACH FL 32034</v>
      </c>
      <c r="K2218" t="str">
        <f>"360 MAGNOLIA ST"</f>
        <v>360 MAGNOLIA ST</v>
      </c>
      <c r="L2218" t="str">
        <f t="shared" si="826"/>
        <v>FERNANDINA BEACH FL 32034</v>
      </c>
      <c r="M2218" t="str">
        <f>"BLOCK 190 LOTS 1 2 &amp; 8 OR 169 PG 44 CITY OF FDNA BEACH"</f>
        <v>BLOCK 190 LOTS 1 2 &amp; 8 OR 169 PG 44 CITY OF FDNA BEACH</v>
      </c>
      <c r="N2218" t="str">
        <f>""</f>
        <v/>
      </c>
      <c r="O2218" t="str">
        <f>"12384"</f>
        <v>12384</v>
      </c>
      <c r="P2218" t="str">
        <f t="shared" si="821"/>
        <v>2017</v>
      </c>
      <c r="Q2218" t="str">
        <f>""</f>
        <v/>
      </c>
      <c r="R2218" t="str">
        <f>"Y"</f>
        <v>Y</v>
      </c>
      <c r="S2218" t="str">
        <f>""</f>
        <v/>
      </c>
      <c r="T2218" t="str">
        <f>"396.60"</f>
        <v>396.60</v>
      </c>
      <c r="U2218" t="str">
        <f>"51794.00"</f>
        <v>51794.00</v>
      </c>
      <c r="V2218" t="str">
        <f>"51794.00"</f>
        <v>51794.00</v>
      </c>
      <c r="W2218" t="str">
        <f t="shared" si="822"/>
        <v>2017</v>
      </c>
      <c r="X2218" t="str">
        <f>"9.67"</f>
        <v>9.67</v>
      </c>
      <c r="Y2218" t="str">
        <f>"440.50"</f>
        <v>440.50</v>
      </c>
      <c r="Z2218" t="str">
        <f>"25000.00"</f>
        <v>25000.00</v>
      </c>
      <c r="AA2218" t="str">
        <f>"26794.00"</f>
        <v>26794.00</v>
      </c>
      <c r="AB2218" t="str">
        <f t="shared" si="831"/>
        <v>Residential</v>
      </c>
      <c r="AC2218" t="str">
        <f t="shared" si="829"/>
        <v>0</v>
      </c>
      <c r="AD2218" t="str">
        <f>"4"</f>
        <v>4</v>
      </c>
      <c r="AE2218" t="str">
        <f>"WOOD (INCLUDE STEEL STUDS)"</f>
        <v>WOOD (INCLUDE STEEL STUDS)</v>
      </c>
      <c r="AF2218" t="str">
        <f t="shared" si="834"/>
        <v>001</v>
      </c>
      <c r="AG2218" t="str">
        <f t="shared" si="832"/>
        <v>FL</v>
      </c>
      <c r="AH2218" t="str">
        <f>"35000.00"</f>
        <v>35000.00</v>
      </c>
      <c r="AI2218" t="str">
        <f>"60600.00"</f>
        <v>60600.00</v>
      </c>
      <c r="AJ2218" t="str">
        <f>"C55-000-585-9802-0"</f>
        <v>C55-000-585-9802-0</v>
      </c>
      <c r="AK2218" t="str">
        <f>"49318"</f>
        <v>49318</v>
      </c>
      <c r="AL2218">
        <v>8</v>
      </c>
      <c r="AM2218">
        <v>2534</v>
      </c>
      <c r="AN2218">
        <v>460.93</v>
      </c>
      <c r="AQ2218" t="s">
        <v>21410</v>
      </c>
      <c r="AR2218" t="s">
        <v>21410</v>
      </c>
      <c r="AS2218" t="s">
        <v>21410</v>
      </c>
      <c r="AU2218" t="s">
        <v>396</v>
      </c>
      <c r="AV2218">
        <v>2017</v>
      </c>
      <c r="AW2218" t="str">
        <f>"00-00-31-1800-0190-0010 "</f>
        <v xml:space="preserve">00-00-31-1800-0190-0010 </v>
      </c>
      <c r="AX2218">
        <v>360</v>
      </c>
      <c r="AZ2218" t="s">
        <v>6847</v>
      </c>
      <c r="BA2218" t="s">
        <v>1942</v>
      </c>
      <c r="BD2218" t="s">
        <v>11749</v>
      </c>
      <c r="BE2218" t="s">
        <v>393</v>
      </c>
      <c r="BF2218">
        <v>32034</v>
      </c>
      <c r="BG2218" t="s">
        <v>21411</v>
      </c>
      <c r="BH2218" t="s">
        <v>11751</v>
      </c>
      <c r="BI2218">
        <v>-81.465081060882397</v>
      </c>
      <c r="BJ2218">
        <v>30.654511933978799</v>
      </c>
      <c r="BK2218" t="s">
        <v>21412</v>
      </c>
      <c r="BM2218" t="s">
        <v>21411</v>
      </c>
      <c r="BN2218" t="s">
        <v>3983</v>
      </c>
      <c r="BO2218">
        <v>32034</v>
      </c>
      <c r="BP2218" t="s">
        <v>416</v>
      </c>
      <c r="BQ2218">
        <v>100</v>
      </c>
      <c r="BR2218" t="s">
        <v>514</v>
      </c>
      <c r="BS2218">
        <v>1001</v>
      </c>
      <c r="BT2218" t="s">
        <v>515</v>
      </c>
      <c r="BW2218">
        <v>30000</v>
      </c>
      <c r="BX2218" t="s">
        <v>407</v>
      </c>
      <c r="BZ2218">
        <v>4</v>
      </c>
      <c r="CA2218">
        <v>1956</v>
      </c>
      <c r="CB2218">
        <v>1</v>
      </c>
      <c r="CC2218">
        <v>1</v>
      </c>
      <c r="CD2218">
        <v>2017</v>
      </c>
      <c r="CG2218">
        <v>51794</v>
      </c>
      <c r="CH2218">
        <v>2017</v>
      </c>
      <c r="CI2218">
        <v>60600</v>
      </c>
      <c r="CJ2218">
        <v>58393</v>
      </c>
      <c r="CK2218">
        <v>118993</v>
      </c>
      <c r="CL2218">
        <v>2017</v>
      </c>
      <c r="CM2218">
        <v>396.6</v>
      </c>
      <c r="CN2218" s="1">
        <v>27030</v>
      </c>
      <c r="CO2218">
        <v>800</v>
      </c>
      <c r="CZ2218" s="1">
        <v>27030</v>
      </c>
      <c r="DD2218" t="s">
        <v>11749</v>
      </c>
      <c r="DG2218">
        <v>24</v>
      </c>
      <c r="DL2218">
        <v>50202</v>
      </c>
      <c r="DM2218" t="s">
        <v>15205</v>
      </c>
      <c r="DO2218" t="s">
        <v>21413</v>
      </c>
      <c r="DP2218">
        <v>0</v>
      </c>
      <c r="DQ2218">
        <v>0</v>
      </c>
      <c r="DR2218" t="s">
        <v>411</v>
      </c>
      <c r="DS2218" t="b">
        <v>1</v>
      </c>
      <c r="DT2218" t="s">
        <v>8902</v>
      </c>
      <c r="DV2218" t="s">
        <v>446</v>
      </c>
      <c r="DX2218">
        <v>10</v>
      </c>
      <c r="DY2218" t="s">
        <v>11438</v>
      </c>
      <c r="DZ2218" t="s">
        <v>447</v>
      </c>
      <c r="EA2218" t="s">
        <v>448</v>
      </c>
      <c r="EB2218" t="s">
        <v>18370</v>
      </c>
      <c r="EC2218">
        <v>20101217</v>
      </c>
      <c r="ED2218" t="s">
        <v>450</v>
      </c>
      <c r="EE2218">
        <v>5</v>
      </c>
      <c r="EF2218">
        <v>0</v>
      </c>
      <c r="EG2218">
        <v>0</v>
      </c>
      <c r="EH2218" t="s">
        <v>451</v>
      </c>
      <c r="EI2218">
        <v>20140731</v>
      </c>
      <c r="EJ2218">
        <v>1</v>
      </c>
      <c r="EK2218">
        <v>0</v>
      </c>
      <c r="EP2218" t="s">
        <v>421</v>
      </c>
      <c r="EQ2218" t="s">
        <v>422</v>
      </c>
      <c r="ER2218">
        <v>0</v>
      </c>
      <c r="ES2218">
        <v>8</v>
      </c>
      <c r="ET2218">
        <v>0</v>
      </c>
      <c r="EU2218">
        <v>0</v>
      </c>
      <c r="EV2218">
        <v>0</v>
      </c>
      <c r="EW2218" s="2">
        <v>43222</v>
      </c>
      <c r="EX2218" s="1">
        <v>42879</v>
      </c>
      <c r="EY2218">
        <v>2016</v>
      </c>
      <c r="EZ2218">
        <v>454.48</v>
      </c>
      <c r="FA2218" t="s">
        <v>21414</v>
      </c>
      <c r="FB2218">
        <v>0.25</v>
      </c>
      <c r="FC2218" t="s">
        <v>424</v>
      </c>
      <c r="FD2218" t="s">
        <v>425</v>
      </c>
      <c r="FE2218" s="1">
        <v>43187</v>
      </c>
      <c r="FF2218">
        <v>10</v>
      </c>
      <c r="FG2218">
        <v>7400234</v>
      </c>
      <c r="FH2218" t="s">
        <v>426</v>
      </c>
      <c r="FJ2218" s="1">
        <v>42879</v>
      </c>
      <c r="FK2218">
        <v>2016</v>
      </c>
      <c r="FL2218">
        <v>454.48</v>
      </c>
      <c r="FM2218" t="s">
        <v>21414</v>
      </c>
      <c r="FN2218">
        <v>0.25</v>
      </c>
      <c r="FO2218" t="s">
        <v>424</v>
      </c>
      <c r="FP2218" t="s">
        <v>425</v>
      </c>
      <c r="FR2218">
        <v>22</v>
      </c>
      <c r="FS2218">
        <v>7449769</v>
      </c>
      <c r="FT2218" t="s">
        <v>21415</v>
      </c>
      <c r="FV2218" s="1">
        <v>42151</v>
      </c>
      <c r="FW2218">
        <v>2014</v>
      </c>
      <c r="FX2218">
        <v>452.98</v>
      </c>
      <c r="FY2218" t="s">
        <v>21416</v>
      </c>
      <c r="FZ2218">
        <v>0.25</v>
      </c>
      <c r="GA2218" t="s">
        <v>424</v>
      </c>
      <c r="GB2218" t="s">
        <v>425</v>
      </c>
      <c r="GD2218">
        <v>22</v>
      </c>
      <c r="GE2218">
        <v>15259</v>
      </c>
      <c r="GF2218" t="s">
        <v>891</v>
      </c>
      <c r="GH2218" s="1">
        <v>42151</v>
      </c>
      <c r="GI2218">
        <v>2014</v>
      </c>
      <c r="GJ2218">
        <v>452.98</v>
      </c>
      <c r="GK2218" t="s">
        <v>21416</v>
      </c>
      <c r="GL2218">
        <v>0.25</v>
      </c>
      <c r="GM2218" t="s">
        <v>424</v>
      </c>
      <c r="GN2218" t="s">
        <v>425</v>
      </c>
      <c r="GP2218">
        <v>22</v>
      </c>
      <c r="GQ2218">
        <v>6744101</v>
      </c>
      <c r="GR2218" t="s">
        <v>21417</v>
      </c>
      <c r="GT2218" s="1">
        <v>42151</v>
      </c>
      <c r="GU2218">
        <v>2014</v>
      </c>
      <c r="GV2218">
        <v>452.98</v>
      </c>
      <c r="GW2218" t="s">
        <v>21416</v>
      </c>
      <c r="GX2218">
        <v>0.25</v>
      </c>
      <c r="GY2218" t="s">
        <v>424</v>
      </c>
      <c r="GZ2218" t="s">
        <v>425</v>
      </c>
      <c r="HA2218" s="1">
        <v>42426</v>
      </c>
      <c r="HB2218">
        <v>9</v>
      </c>
      <c r="HC2218">
        <v>7045049</v>
      </c>
      <c r="HD2218" t="s">
        <v>1335</v>
      </c>
      <c r="HF2218" s="1">
        <v>41787</v>
      </c>
      <c r="HG2218">
        <v>2013</v>
      </c>
      <c r="HH2218">
        <v>417.96</v>
      </c>
      <c r="HI2218" t="s">
        <v>21418</v>
      </c>
      <c r="HJ2218">
        <v>0.25</v>
      </c>
      <c r="HK2218" t="s">
        <v>424</v>
      </c>
      <c r="HL2218" t="s">
        <v>425</v>
      </c>
      <c r="HM2218" s="1">
        <v>42114</v>
      </c>
      <c r="HN2218">
        <v>11</v>
      </c>
      <c r="HO2218">
        <v>15259</v>
      </c>
      <c r="HP2218" t="s">
        <v>891</v>
      </c>
      <c r="HR2218" s="1">
        <v>41423</v>
      </c>
      <c r="HS2218">
        <v>2012</v>
      </c>
      <c r="HT2218">
        <v>409.2</v>
      </c>
      <c r="HU2218" t="s">
        <v>21419</v>
      </c>
      <c r="HV2218">
        <v>0.25</v>
      </c>
      <c r="HW2218" t="s">
        <v>424</v>
      </c>
      <c r="HX2218" t="s">
        <v>425</v>
      </c>
      <c r="HY2218" s="1">
        <v>42114</v>
      </c>
      <c r="HZ2218">
        <v>23</v>
      </c>
      <c r="IA2218">
        <v>15398</v>
      </c>
      <c r="IB2218" t="s">
        <v>1180</v>
      </c>
      <c r="ID2218" s="1">
        <v>41052</v>
      </c>
      <c r="IE2218">
        <v>2011</v>
      </c>
      <c r="IF2218">
        <v>383.99</v>
      </c>
      <c r="IG2218" t="s">
        <v>21420</v>
      </c>
      <c r="IH2218">
        <v>0.25</v>
      </c>
      <c r="II2218" t="s">
        <v>424</v>
      </c>
      <c r="IJ2218" t="s">
        <v>425</v>
      </c>
      <c r="IK2218" s="1">
        <v>41185</v>
      </c>
      <c r="IL2218">
        <v>5</v>
      </c>
      <c r="IM2218">
        <v>14001</v>
      </c>
      <c r="IN2218" t="s">
        <v>21421</v>
      </c>
    </row>
    <row r="2219" spans="1:356" x14ac:dyDescent="0.25">
      <c r="A2219">
        <v>16487226</v>
      </c>
      <c r="B2219">
        <v>2218</v>
      </c>
      <c r="C2219" t="s">
        <v>393</v>
      </c>
      <c r="D2219" t="s">
        <v>394</v>
      </c>
      <c r="F2219" t="str">
        <f>"00-00-31-1800-0190-0070"</f>
        <v>00-00-31-1800-0190-0070</v>
      </c>
      <c r="H2219" t="str">
        <f>"THEOBALD THOMAS A &amp; RAMONA R"</f>
        <v>THEOBALD THOMAS A &amp; RAMONA R</v>
      </c>
      <c r="I2219" t="str">
        <f>"96568 CALHOUN RD"</f>
        <v>96568 CALHOUN RD</v>
      </c>
      <c r="J2219" t="str">
        <f t="shared" si="833"/>
        <v>FERNANDINA BEACH FL 32034</v>
      </c>
      <c r="K2219" t="str">
        <f>"1311 4TH ST S"</f>
        <v>1311 4TH ST S</v>
      </c>
      <c r="L2219" t="str">
        <f t="shared" si="826"/>
        <v>FERNANDINA BEACH FL 32034</v>
      </c>
      <c r="M2219" t="str">
        <f>"BLOCK 190 LOT 7 IN OR 1210/1508 CITY OF FDNA BEACH"</f>
        <v>BLOCK 190 LOT 7 IN OR 1210/1508 CITY OF FDNA BEACH</v>
      </c>
      <c r="N2219" t="str">
        <f>""</f>
        <v/>
      </c>
      <c r="O2219" t="str">
        <f>"12386"</f>
        <v>12386</v>
      </c>
      <c r="P2219" t="str">
        <f t="shared" si="821"/>
        <v>2017</v>
      </c>
      <c r="Q2219" t="str">
        <f>""</f>
        <v/>
      </c>
      <c r="R2219" t="str">
        <f>"N"</f>
        <v>N</v>
      </c>
      <c r="S2219" t="str">
        <f>""</f>
        <v/>
      </c>
      <c r="T2219" t="str">
        <f>"909.95"</f>
        <v>909.95</v>
      </c>
      <c r="U2219" t="str">
        <f>"59125.00"</f>
        <v>59125.00</v>
      </c>
      <c r="V2219" t="str">
        <f>"59125.00"</f>
        <v>59125.00</v>
      </c>
      <c r="W2219" t="str">
        <f t="shared" si="822"/>
        <v>2017</v>
      </c>
      <c r="X2219" t="str">
        <f>""</f>
        <v/>
      </c>
      <c r="Y2219" t="str">
        <f>"969.25"</f>
        <v>969.25</v>
      </c>
      <c r="Z2219" t="str">
        <f>""</f>
        <v/>
      </c>
      <c r="AA2219" t="str">
        <f>"59125.00"</f>
        <v>59125.00</v>
      </c>
      <c r="AB2219" t="str">
        <f t="shared" si="831"/>
        <v>Residential</v>
      </c>
      <c r="AC2219" t="str">
        <f t="shared" si="829"/>
        <v>0</v>
      </c>
      <c r="AD2219" t="str">
        <f>"4"</f>
        <v>4</v>
      </c>
      <c r="AE2219" t="str">
        <f>"WOOD (INCLUDE STEEL STUDS)"</f>
        <v>WOOD (INCLUDE STEEL STUDS)</v>
      </c>
      <c r="AF2219" t="str">
        <f t="shared" si="834"/>
        <v>001</v>
      </c>
      <c r="AG2219" t="str">
        <f t="shared" si="832"/>
        <v>FL</v>
      </c>
      <c r="AH2219" t="str">
        <f>"10000.00"</f>
        <v>10000.00</v>
      </c>
      <c r="AI2219" t="str">
        <f>"40000.00"</f>
        <v>40000.00</v>
      </c>
      <c r="AJ2219" t="str">
        <f>"C55-000-585-9804-6"</f>
        <v>C55-000-585-9804-6</v>
      </c>
      <c r="AK2219" t="str">
        <f>"49320"</f>
        <v>49320</v>
      </c>
      <c r="AL2219">
        <v>8</v>
      </c>
      <c r="AM2219">
        <v>2535</v>
      </c>
      <c r="AN2219">
        <v>1016.11</v>
      </c>
      <c r="AQ2219" t="s">
        <v>21422</v>
      </c>
      <c r="AR2219" t="s">
        <v>21422</v>
      </c>
      <c r="AS2219" t="s">
        <v>21422</v>
      </c>
      <c r="AU2219" t="s">
        <v>396</v>
      </c>
      <c r="AV2219">
        <v>2017</v>
      </c>
      <c r="AW2219" t="str">
        <f>"00-00-31-1800-0190-0070 "</f>
        <v xml:space="preserve">00-00-31-1800-0190-0070 </v>
      </c>
      <c r="AX2219">
        <v>1311</v>
      </c>
      <c r="AZ2219" t="s">
        <v>20670</v>
      </c>
      <c r="BA2219" t="s">
        <v>1942</v>
      </c>
      <c r="BB2219" t="s">
        <v>18674</v>
      </c>
      <c r="BD2219" t="s">
        <v>11749</v>
      </c>
      <c r="BE2219" t="s">
        <v>393</v>
      </c>
      <c r="BF2219">
        <v>32034</v>
      </c>
      <c r="BG2219" t="s">
        <v>21423</v>
      </c>
      <c r="BH2219" t="s">
        <v>11751</v>
      </c>
      <c r="BI2219">
        <v>-81.464898915366504</v>
      </c>
      <c r="BJ2219">
        <v>30.654306318609098</v>
      </c>
      <c r="BK2219" t="s">
        <v>12193</v>
      </c>
      <c r="BL2219" t="s">
        <v>21424</v>
      </c>
      <c r="BM2219" t="s">
        <v>12187</v>
      </c>
      <c r="BN2219" t="s">
        <v>3983</v>
      </c>
      <c r="BO2219">
        <v>32034</v>
      </c>
      <c r="BP2219" t="s">
        <v>404</v>
      </c>
      <c r="BQ2219">
        <v>100</v>
      </c>
      <c r="BR2219" t="s">
        <v>514</v>
      </c>
      <c r="BS2219">
        <v>1001</v>
      </c>
      <c r="BT2219" t="s">
        <v>515</v>
      </c>
      <c r="BU2219">
        <v>1000</v>
      </c>
      <c r="BV2219">
        <v>1000</v>
      </c>
      <c r="BW2219">
        <v>10000</v>
      </c>
      <c r="BX2219" t="s">
        <v>407</v>
      </c>
      <c r="BZ2219">
        <v>4</v>
      </c>
      <c r="CA2219">
        <v>1959</v>
      </c>
      <c r="CB2219">
        <v>1</v>
      </c>
      <c r="CC2219">
        <v>1</v>
      </c>
      <c r="CD2219">
        <v>2017</v>
      </c>
      <c r="CE2219">
        <v>40000</v>
      </c>
      <c r="CF2219">
        <v>19125</v>
      </c>
      <c r="CG2219">
        <v>59125</v>
      </c>
      <c r="CH2219">
        <v>2017</v>
      </c>
      <c r="CI2219">
        <v>40000</v>
      </c>
      <c r="CJ2219">
        <v>19125</v>
      </c>
      <c r="CK2219">
        <v>59125</v>
      </c>
      <c r="CL2219">
        <v>2017</v>
      </c>
      <c r="CM2219">
        <v>909.95</v>
      </c>
      <c r="CN2219" s="1">
        <v>38043</v>
      </c>
      <c r="CO2219">
        <v>75000</v>
      </c>
      <c r="CV2219">
        <v>0</v>
      </c>
      <c r="CZ2219" s="1">
        <v>38043</v>
      </c>
      <c r="DA2219">
        <v>0</v>
      </c>
      <c r="DD2219" t="s">
        <v>11749</v>
      </c>
      <c r="DF2219">
        <v>7</v>
      </c>
      <c r="DG2219">
        <v>24</v>
      </c>
      <c r="DL2219">
        <v>50202</v>
      </c>
      <c r="DM2219" t="s">
        <v>15205</v>
      </c>
      <c r="DO2219" t="s">
        <v>21425</v>
      </c>
      <c r="DP2219">
        <v>0</v>
      </c>
      <c r="DQ2219">
        <v>0</v>
      </c>
      <c r="DR2219" t="s">
        <v>411</v>
      </c>
    </row>
    <row r="2220" spans="1:356" x14ac:dyDescent="0.25">
      <c r="A2220">
        <v>16487227</v>
      </c>
      <c r="B2220">
        <v>2219</v>
      </c>
      <c r="C2220" t="s">
        <v>393</v>
      </c>
      <c r="D2220" t="s">
        <v>394</v>
      </c>
      <c r="F2220" t="str">
        <f>"00-00-31-1800-0192-0030"</f>
        <v>00-00-31-1800-0192-0030</v>
      </c>
      <c r="H2220" t="str">
        <f>"LOVE SHEILA A EST"</f>
        <v>LOVE SHEILA A EST</v>
      </c>
      <c r="I2220" t="str">
        <f>"1320 S 5TH ST EXT"</f>
        <v>1320 S 5TH ST EXT</v>
      </c>
      <c r="J2220" t="str">
        <f t="shared" si="833"/>
        <v>FERNANDINA BEACH FL 32034</v>
      </c>
      <c r="K2220" t="str">
        <f>"1320 5TH ST S"</f>
        <v>1320 5TH ST S</v>
      </c>
      <c r="L2220" t="str">
        <f t="shared" si="826"/>
        <v>FERNANDINA BEACH FL 32034</v>
      </c>
      <c r="M2220" t="str">
        <f>"BLOCK 192 LOT 3 IN OR 1841/292 CITY OF FDNA BEACH"</f>
        <v>BLOCK 192 LOT 3 IN OR 1841/292 CITY OF FDNA BEACH</v>
      </c>
      <c r="N2220" t="str">
        <f>""</f>
        <v/>
      </c>
      <c r="O2220" t="str">
        <f>"12393"</f>
        <v>12393</v>
      </c>
      <c r="P2220" t="str">
        <f t="shared" si="821"/>
        <v>2017</v>
      </c>
      <c r="Q2220" t="str">
        <f>""</f>
        <v/>
      </c>
      <c r="R2220" t="str">
        <f>"Y"</f>
        <v>Y</v>
      </c>
      <c r="S2220" t="str">
        <f>""</f>
        <v/>
      </c>
      <c r="T2220" t="str">
        <f>"667.04"</f>
        <v>667.04</v>
      </c>
      <c r="U2220" t="str">
        <f>"82623.00"</f>
        <v>82623.00</v>
      </c>
      <c r="V2220" t="str">
        <f>"82623.00"</f>
        <v>82623.00</v>
      </c>
      <c r="W2220" t="str">
        <f t="shared" si="822"/>
        <v>2017</v>
      </c>
      <c r="X2220" t="str">
        <f>"9.20"</f>
        <v>9.20</v>
      </c>
      <c r="Y2220" t="str">
        <f>"719.05"</f>
        <v>719.05</v>
      </c>
      <c r="Z2220" t="str">
        <f>"25000.00"</f>
        <v>25000.00</v>
      </c>
      <c r="AA2220" t="str">
        <f>"57623.00"</f>
        <v>57623.00</v>
      </c>
      <c r="AB2220" t="str">
        <f t="shared" si="831"/>
        <v>Residential</v>
      </c>
      <c r="AC2220" t="str">
        <f t="shared" si="829"/>
        <v>0</v>
      </c>
      <c r="AD2220" t="str">
        <f>"4"</f>
        <v>4</v>
      </c>
      <c r="AE2220" t="str">
        <f>"WOOD (INCLUDE STEEL STUDS)"</f>
        <v>WOOD (INCLUDE STEEL STUDS)</v>
      </c>
      <c r="AF2220" t="str">
        <f t="shared" si="834"/>
        <v>001</v>
      </c>
      <c r="AG2220" t="str">
        <f t="shared" si="832"/>
        <v>FL</v>
      </c>
      <c r="AH2220" t="str">
        <f>"10000.00"</f>
        <v>10000.00</v>
      </c>
      <c r="AI2220" t="str">
        <f>"40000.00"</f>
        <v>40000.00</v>
      </c>
      <c r="AJ2220" t="str">
        <f>"C55-000-585-9811-1"</f>
        <v>C55-000-585-9811-1</v>
      </c>
      <c r="AK2220" t="str">
        <f>"49327"</f>
        <v>49327</v>
      </c>
      <c r="AL2220">
        <v>8</v>
      </c>
      <c r="AM2220">
        <v>2537</v>
      </c>
      <c r="AN2220">
        <v>753.4</v>
      </c>
      <c r="AQ2220" t="s">
        <v>21426</v>
      </c>
      <c r="AR2220" t="s">
        <v>21426</v>
      </c>
      <c r="AS2220" t="s">
        <v>21426</v>
      </c>
      <c r="AU2220" t="s">
        <v>396</v>
      </c>
      <c r="AV2220">
        <v>2017</v>
      </c>
      <c r="AW2220" t="str">
        <f>"00-00-31-1800-0192-0030 "</f>
        <v xml:space="preserve">00-00-31-1800-0192-0030 </v>
      </c>
      <c r="AX2220">
        <v>1320</v>
      </c>
      <c r="AZ2220" t="s">
        <v>20702</v>
      </c>
      <c r="BA2220" t="s">
        <v>1942</v>
      </c>
      <c r="BB2220" t="s">
        <v>18674</v>
      </c>
      <c r="BD2220" t="s">
        <v>11749</v>
      </c>
      <c r="BE2220" t="s">
        <v>393</v>
      </c>
      <c r="BF2220">
        <v>32034</v>
      </c>
      <c r="BG2220" t="s">
        <v>21427</v>
      </c>
      <c r="BH2220" t="s">
        <v>11751</v>
      </c>
      <c r="BI2220">
        <v>-81.463616735173005</v>
      </c>
      <c r="BJ2220">
        <v>30.6538830569691</v>
      </c>
      <c r="BK2220" t="s">
        <v>21428</v>
      </c>
      <c r="BM2220" t="s">
        <v>21429</v>
      </c>
      <c r="BN2220" t="s">
        <v>3983</v>
      </c>
      <c r="BO2220">
        <v>32034</v>
      </c>
      <c r="BP2220" t="s">
        <v>416</v>
      </c>
      <c r="BQ2220">
        <v>100</v>
      </c>
      <c r="BR2220" t="s">
        <v>514</v>
      </c>
      <c r="BS2220">
        <v>1001</v>
      </c>
      <c r="BT2220" t="s">
        <v>515</v>
      </c>
      <c r="BU2220">
        <v>1000</v>
      </c>
      <c r="BV2220">
        <v>1000</v>
      </c>
      <c r="BW2220">
        <v>10000</v>
      </c>
      <c r="BX2220" t="s">
        <v>407</v>
      </c>
      <c r="BZ2220">
        <v>4</v>
      </c>
      <c r="CA2220">
        <v>1971</v>
      </c>
      <c r="CB2220">
        <v>1</v>
      </c>
      <c r="CC2220">
        <v>1</v>
      </c>
      <c r="CD2220">
        <v>2017</v>
      </c>
      <c r="CG2220">
        <v>82623</v>
      </c>
      <c r="CH2220">
        <v>2017</v>
      </c>
      <c r="CI2220">
        <v>40000</v>
      </c>
      <c r="CJ2220">
        <v>51741</v>
      </c>
      <c r="CK2220">
        <v>91741</v>
      </c>
      <c r="CL2220">
        <v>2017</v>
      </c>
      <c r="CM2220">
        <v>667.04</v>
      </c>
      <c r="CN2220" s="1">
        <v>40535</v>
      </c>
      <c r="CZ2220" s="1">
        <v>40535</v>
      </c>
      <c r="DD2220" t="s">
        <v>11749</v>
      </c>
      <c r="DF2220">
        <v>3</v>
      </c>
      <c r="DG2220">
        <v>24</v>
      </c>
      <c r="DL2220">
        <v>50202</v>
      </c>
      <c r="DM2220" t="s">
        <v>15205</v>
      </c>
      <c r="DO2220" t="s">
        <v>21430</v>
      </c>
      <c r="DP2220">
        <v>0</v>
      </c>
      <c r="DQ2220">
        <v>0</v>
      </c>
      <c r="DR2220" t="s">
        <v>411</v>
      </c>
      <c r="DS2220" t="b">
        <v>1</v>
      </c>
      <c r="DT2220" t="s">
        <v>470</v>
      </c>
      <c r="DU2220" t="s">
        <v>471</v>
      </c>
      <c r="DV2220" t="s">
        <v>472</v>
      </c>
      <c r="DX2220">
        <v>-9999</v>
      </c>
      <c r="DZ2220" t="s">
        <v>447</v>
      </c>
      <c r="EA2220" t="s">
        <v>448</v>
      </c>
      <c r="EB2220" t="s">
        <v>14787</v>
      </c>
      <c r="EC2220">
        <v>20101217</v>
      </c>
      <c r="ED2220" t="s">
        <v>474</v>
      </c>
      <c r="EF2220">
        <v>159.4</v>
      </c>
      <c r="EG2220">
        <v>111.5</v>
      </c>
      <c r="EI2220">
        <v>20160407</v>
      </c>
      <c r="EJ2220">
        <v>0</v>
      </c>
      <c r="EK2220">
        <v>0</v>
      </c>
      <c r="EP2220" t="s">
        <v>421</v>
      </c>
      <c r="EQ2220" t="s">
        <v>422</v>
      </c>
      <c r="ER2220">
        <v>0</v>
      </c>
      <c r="ES2220">
        <v>5</v>
      </c>
      <c r="ET2220">
        <v>0</v>
      </c>
      <c r="EU2220">
        <v>0</v>
      </c>
      <c r="EV2220">
        <v>0</v>
      </c>
      <c r="EW2220" s="2">
        <v>43222</v>
      </c>
      <c r="EX2220" s="1">
        <v>42515</v>
      </c>
      <c r="EY2220">
        <v>2015</v>
      </c>
      <c r="EZ2220">
        <v>736.53</v>
      </c>
      <c r="FA2220" t="s">
        <v>21431</v>
      </c>
      <c r="FB2220">
        <v>0.25</v>
      </c>
      <c r="FC2220" t="s">
        <v>424</v>
      </c>
      <c r="FD2220" t="s">
        <v>425</v>
      </c>
      <c r="FE2220" s="1">
        <v>42856</v>
      </c>
      <c r="FF2220">
        <v>12</v>
      </c>
      <c r="FG2220">
        <v>7336671</v>
      </c>
      <c r="FH2220" t="s">
        <v>437</v>
      </c>
      <c r="FJ2220" s="1">
        <v>42515</v>
      </c>
      <c r="FK2220">
        <v>2015</v>
      </c>
      <c r="FL2220">
        <v>736.53</v>
      </c>
      <c r="FM2220" t="s">
        <v>21431</v>
      </c>
      <c r="FN2220">
        <v>0.25</v>
      </c>
      <c r="FO2220" t="s">
        <v>424</v>
      </c>
      <c r="FP2220" t="s">
        <v>425</v>
      </c>
      <c r="FR2220">
        <v>22</v>
      </c>
      <c r="FS2220">
        <v>6967746</v>
      </c>
      <c r="FT2220" t="s">
        <v>21432</v>
      </c>
      <c r="FV2220" s="1">
        <v>42151</v>
      </c>
      <c r="FW2220">
        <v>2014</v>
      </c>
      <c r="FX2220">
        <v>730</v>
      </c>
      <c r="FY2220" t="s">
        <v>21433</v>
      </c>
      <c r="FZ2220">
        <v>0.25</v>
      </c>
      <c r="GA2220" t="s">
        <v>424</v>
      </c>
      <c r="GB2220" t="s">
        <v>425</v>
      </c>
      <c r="GC2220" s="1">
        <v>42782</v>
      </c>
      <c r="GD2220">
        <v>21</v>
      </c>
      <c r="GE2220">
        <v>2851116</v>
      </c>
      <c r="GF2220" t="s">
        <v>480</v>
      </c>
      <c r="GH2220" s="1">
        <v>42151</v>
      </c>
      <c r="GI2220">
        <v>2014</v>
      </c>
      <c r="GJ2220">
        <v>730</v>
      </c>
      <c r="GK2220" t="s">
        <v>21433</v>
      </c>
      <c r="GL2220">
        <v>0.25</v>
      </c>
      <c r="GM2220" t="s">
        <v>424</v>
      </c>
      <c r="GN2220" t="s">
        <v>425</v>
      </c>
      <c r="GP2220">
        <v>22</v>
      </c>
      <c r="GQ2220">
        <v>5012367</v>
      </c>
      <c r="GR2220" t="s">
        <v>21434</v>
      </c>
      <c r="GT2220" s="1">
        <v>40688</v>
      </c>
      <c r="GU2220">
        <v>2010</v>
      </c>
      <c r="GV2220">
        <v>322.07</v>
      </c>
      <c r="GW2220" t="s">
        <v>21435</v>
      </c>
      <c r="GX2220">
        <v>0.25</v>
      </c>
      <c r="GY2220" t="s">
        <v>424</v>
      </c>
      <c r="GZ2220" t="s">
        <v>425</v>
      </c>
      <c r="HA2220" s="1">
        <v>40969</v>
      </c>
      <c r="HB2220">
        <v>10</v>
      </c>
      <c r="HC2220">
        <v>11177</v>
      </c>
      <c r="HD2220" t="s">
        <v>650</v>
      </c>
    </row>
    <row r="2221" spans="1:356" x14ac:dyDescent="0.25">
      <c r="A2221">
        <v>16487228</v>
      </c>
      <c r="B2221">
        <v>2220</v>
      </c>
      <c r="C2221" t="s">
        <v>393</v>
      </c>
      <c r="D2221" t="s">
        <v>394</v>
      </c>
      <c r="F2221" t="str">
        <f>"00-00-31-1800-0193-0030"</f>
        <v>00-00-31-1800-0193-0030</v>
      </c>
      <c r="H2221" t="str">
        <f>"NAGLE EARL S IV"</f>
        <v>NAGLE EARL S IV</v>
      </c>
      <c r="I2221" t="str">
        <f>"7343 TARPON AVE"</f>
        <v>7343 TARPON AVE</v>
      </c>
      <c r="J2221" t="str">
        <f t="shared" si="833"/>
        <v>FERNANDINA BEACH FL 32034</v>
      </c>
      <c r="K2221" t="str">
        <f>"1322 6TH ST S"</f>
        <v>1322 6TH ST S</v>
      </c>
      <c r="L2221" t="str">
        <f t="shared" si="826"/>
        <v>FERNANDINA BEACH FL 32034</v>
      </c>
      <c r="M2221" t="str">
        <f>"BLOCK 193 LOT 3 IN OR 1697/1090 CITY OF FDNA BEACH"</f>
        <v>BLOCK 193 LOT 3 IN OR 1697/1090 CITY OF FDNA BEACH</v>
      </c>
      <c r="N2221" t="str">
        <f>""</f>
        <v/>
      </c>
      <c r="O2221" t="str">
        <f>"12401"</f>
        <v>12401</v>
      </c>
      <c r="P2221" t="str">
        <f t="shared" si="821"/>
        <v>2017</v>
      </c>
      <c r="Q2221" t="str">
        <f>""</f>
        <v/>
      </c>
      <c r="R2221" t="str">
        <f>"N"</f>
        <v>N</v>
      </c>
      <c r="S2221" t="str">
        <f>""</f>
        <v/>
      </c>
      <c r="T2221" t="str">
        <f>"1589.40"</f>
        <v>1589.40</v>
      </c>
      <c r="U2221" t="str">
        <f>"103273.00"</f>
        <v>103273.00</v>
      </c>
      <c r="V2221" t="str">
        <f>"103273.00"</f>
        <v>103273.00</v>
      </c>
      <c r="W2221" t="str">
        <f t="shared" si="822"/>
        <v>2017</v>
      </c>
      <c r="X2221" t="str">
        <f>"11.57"</f>
        <v>11.57</v>
      </c>
      <c r="Y2221" t="str">
        <f>"1669.08"</f>
        <v>1669.08</v>
      </c>
      <c r="Z2221" t="str">
        <f>""</f>
        <v/>
      </c>
      <c r="AA2221" t="str">
        <f>"103273.00"</f>
        <v>103273.00</v>
      </c>
      <c r="AB2221" t="str">
        <f t="shared" si="831"/>
        <v>Residential</v>
      </c>
      <c r="AC2221" t="str">
        <f t="shared" si="829"/>
        <v>0</v>
      </c>
      <c r="AD2221" t="str">
        <f>"3"</f>
        <v>3</v>
      </c>
      <c r="AE2221" t="str">
        <f>"MASONRY"</f>
        <v>MASONRY</v>
      </c>
      <c r="AF2221" t="str">
        <f t="shared" si="834"/>
        <v>001</v>
      </c>
      <c r="AG2221" t="str">
        <f t="shared" si="832"/>
        <v>FL</v>
      </c>
      <c r="AH2221" t="str">
        <f>"10000.00"</f>
        <v>10000.00</v>
      </c>
      <c r="AI2221" t="str">
        <f>"40000.00"</f>
        <v>40000.00</v>
      </c>
      <c r="AJ2221" t="str">
        <f>"C55-000-585-9819-4"</f>
        <v>C55-000-585-9819-4</v>
      </c>
      <c r="AK2221" t="str">
        <f>"49335"</f>
        <v>49335</v>
      </c>
      <c r="AL2221">
        <v>8</v>
      </c>
      <c r="AM2221">
        <v>2538</v>
      </c>
      <c r="AN2221">
        <v>1750.93</v>
      </c>
      <c r="AQ2221" t="s">
        <v>21436</v>
      </c>
      <c r="AR2221" t="s">
        <v>21436</v>
      </c>
      <c r="AS2221" t="s">
        <v>21436</v>
      </c>
      <c r="AU2221" t="s">
        <v>396</v>
      </c>
      <c r="AV2221">
        <v>2017</v>
      </c>
      <c r="AW2221" t="str">
        <f>"00-00-31-1800-0193-0030 "</f>
        <v xml:space="preserve">00-00-31-1800-0193-0030 </v>
      </c>
      <c r="AX2221">
        <v>1322</v>
      </c>
      <c r="AZ2221" t="s">
        <v>20778</v>
      </c>
      <c r="BA2221" t="s">
        <v>1942</v>
      </c>
      <c r="BB2221" t="s">
        <v>18674</v>
      </c>
      <c r="BD2221" t="s">
        <v>11749</v>
      </c>
      <c r="BE2221" t="s">
        <v>393</v>
      </c>
      <c r="BF2221">
        <v>32034</v>
      </c>
      <c r="BG2221" t="s">
        <v>21437</v>
      </c>
      <c r="BH2221" t="s">
        <v>11751</v>
      </c>
      <c r="BI2221">
        <v>-81.462798130964799</v>
      </c>
      <c r="BJ2221">
        <v>30.6537897687375</v>
      </c>
      <c r="BK2221" t="s">
        <v>21438</v>
      </c>
      <c r="BM2221" t="s">
        <v>21439</v>
      </c>
      <c r="BN2221" t="s">
        <v>3983</v>
      </c>
      <c r="BO2221">
        <v>32034</v>
      </c>
      <c r="BP2221" t="s">
        <v>404</v>
      </c>
      <c r="BQ2221">
        <v>100</v>
      </c>
      <c r="BR2221" t="s">
        <v>514</v>
      </c>
      <c r="BS2221">
        <v>1001</v>
      </c>
      <c r="BT2221" t="s">
        <v>515</v>
      </c>
      <c r="BU2221">
        <v>1000</v>
      </c>
      <c r="BV2221">
        <v>1000</v>
      </c>
      <c r="BW2221">
        <v>9927</v>
      </c>
      <c r="BX2221" t="s">
        <v>407</v>
      </c>
      <c r="BZ2221">
        <v>3</v>
      </c>
      <c r="CA2221">
        <v>1996</v>
      </c>
      <c r="CB2221">
        <v>1</v>
      </c>
      <c r="CC2221">
        <v>1</v>
      </c>
      <c r="CD2221">
        <v>2017</v>
      </c>
      <c r="CE2221">
        <v>40000</v>
      </c>
      <c r="CF2221">
        <v>63273</v>
      </c>
      <c r="CG2221">
        <v>103273</v>
      </c>
      <c r="CH2221">
        <v>2017</v>
      </c>
      <c r="CI2221">
        <v>40000</v>
      </c>
      <c r="CJ2221">
        <v>63273</v>
      </c>
      <c r="CK2221">
        <v>103273</v>
      </c>
      <c r="CL2221">
        <v>2017</v>
      </c>
      <c r="CM2221">
        <v>1589.4</v>
      </c>
      <c r="CN2221" s="1">
        <v>40424</v>
      </c>
      <c r="CO2221">
        <v>63000</v>
      </c>
      <c r="CV2221">
        <v>0</v>
      </c>
      <c r="CZ2221" s="1">
        <v>40424</v>
      </c>
      <c r="DA2221">
        <v>0</v>
      </c>
      <c r="DD2221" t="s">
        <v>11749</v>
      </c>
      <c r="DF2221">
        <v>3</v>
      </c>
      <c r="DG2221">
        <v>24</v>
      </c>
      <c r="DL2221">
        <v>50202</v>
      </c>
      <c r="DM2221" t="s">
        <v>15205</v>
      </c>
      <c r="DO2221" t="s">
        <v>21440</v>
      </c>
      <c r="DP2221">
        <v>0</v>
      </c>
      <c r="DQ2221">
        <v>0</v>
      </c>
      <c r="DR2221" t="s">
        <v>411</v>
      </c>
      <c r="DS2221" t="b">
        <v>1</v>
      </c>
      <c r="DT2221" t="s">
        <v>470</v>
      </c>
      <c r="DU2221" t="s">
        <v>471</v>
      </c>
      <c r="DV2221" t="s">
        <v>472</v>
      </c>
      <c r="DX2221">
        <v>-9999</v>
      </c>
      <c r="DZ2221" t="s">
        <v>447</v>
      </c>
      <c r="EA2221" t="s">
        <v>448</v>
      </c>
      <c r="EB2221" t="s">
        <v>14787</v>
      </c>
      <c r="EC2221">
        <v>20101217</v>
      </c>
      <c r="ED2221" t="s">
        <v>474</v>
      </c>
      <c r="EF2221">
        <v>402.7</v>
      </c>
      <c r="EG2221">
        <v>352.6</v>
      </c>
      <c r="EI2221">
        <v>20160407</v>
      </c>
      <c r="EJ2221">
        <v>0</v>
      </c>
      <c r="EK2221">
        <v>0</v>
      </c>
      <c r="EP2221" t="s">
        <v>421</v>
      </c>
      <c r="EQ2221" t="s">
        <v>452</v>
      </c>
      <c r="ER2221">
        <v>2</v>
      </c>
      <c r="ES2221">
        <v>9</v>
      </c>
      <c r="ET2221">
        <v>3300.28</v>
      </c>
      <c r="EU2221">
        <v>177.51</v>
      </c>
      <c r="EV2221">
        <v>3477.79</v>
      </c>
      <c r="EW2221" s="2">
        <v>43222</v>
      </c>
      <c r="EX2221" s="1">
        <v>42879</v>
      </c>
      <c r="EY2221">
        <v>2016</v>
      </c>
      <c r="EZ2221">
        <v>1650.14</v>
      </c>
      <c r="FA2221" t="s">
        <v>21441</v>
      </c>
      <c r="FB2221">
        <v>0.25</v>
      </c>
      <c r="FC2221" t="s">
        <v>424</v>
      </c>
      <c r="FD2221" t="s">
        <v>454</v>
      </c>
      <c r="FF2221">
        <v>12</v>
      </c>
      <c r="FG2221">
        <v>2851116</v>
      </c>
      <c r="FH2221" t="s">
        <v>480</v>
      </c>
      <c r="FJ2221" s="1">
        <v>42879</v>
      </c>
      <c r="FK2221">
        <v>2016</v>
      </c>
      <c r="FL2221">
        <v>1650.14</v>
      </c>
      <c r="FM2221" t="s">
        <v>21441</v>
      </c>
      <c r="FN2221">
        <v>0.25</v>
      </c>
      <c r="FO2221" t="s">
        <v>424</v>
      </c>
      <c r="FP2221" t="s">
        <v>454</v>
      </c>
      <c r="FR2221">
        <v>12</v>
      </c>
      <c r="FS2221">
        <v>5408216</v>
      </c>
      <c r="FT2221" t="s">
        <v>21442</v>
      </c>
      <c r="FV2221" s="1">
        <v>42515</v>
      </c>
      <c r="FW2221">
        <v>2015</v>
      </c>
      <c r="FX2221">
        <v>1678.61</v>
      </c>
      <c r="FY2221" t="s">
        <v>21443</v>
      </c>
      <c r="FZ2221">
        <v>0.25</v>
      </c>
      <c r="GA2221" t="s">
        <v>424</v>
      </c>
      <c r="GB2221" t="s">
        <v>425</v>
      </c>
      <c r="GC2221" s="1">
        <v>42642</v>
      </c>
      <c r="GD2221">
        <v>4</v>
      </c>
      <c r="GE2221">
        <v>7336671</v>
      </c>
      <c r="GF2221" t="s">
        <v>437</v>
      </c>
      <c r="GG2221" t="s">
        <v>458</v>
      </c>
      <c r="GH2221" s="1">
        <v>42515</v>
      </c>
      <c r="GI2221">
        <v>2015</v>
      </c>
      <c r="GJ2221">
        <v>1678.61</v>
      </c>
      <c r="GK2221" t="s">
        <v>21443</v>
      </c>
      <c r="GL2221">
        <v>0.25</v>
      </c>
      <c r="GM2221" t="s">
        <v>424</v>
      </c>
      <c r="GN2221" t="s">
        <v>425</v>
      </c>
      <c r="GP2221">
        <v>22</v>
      </c>
      <c r="GQ2221">
        <v>6851752</v>
      </c>
      <c r="GR2221" t="s">
        <v>21444</v>
      </c>
      <c r="GS2221" t="s">
        <v>458</v>
      </c>
      <c r="GT2221" s="1">
        <v>42151</v>
      </c>
      <c r="GU2221">
        <v>2014</v>
      </c>
      <c r="GV2221">
        <v>1596.69</v>
      </c>
      <c r="GW2221" t="s">
        <v>21445</v>
      </c>
      <c r="GX2221">
        <v>0.25</v>
      </c>
      <c r="GY2221" t="s">
        <v>424</v>
      </c>
      <c r="GZ2221" t="s">
        <v>425</v>
      </c>
      <c r="HB2221">
        <v>22</v>
      </c>
      <c r="HC2221">
        <v>15259</v>
      </c>
      <c r="HD2221" t="s">
        <v>891</v>
      </c>
      <c r="HE2221" t="s">
        <v>458</v>
      </c>
      <c r="HF2221" s="1">
        <v>42151</v>
      </c>
      <c r="HG2221">
        <v>2014</v>
      </c>
      <c r="HH2221">
        <v>1596.69</v>
      </c>
      <c r="HI2221" t="s">
        <v>21445</v>
      </c>
      <c r="HJ2221">
        <v>0.25</v>
      </c>
      <c r="HK2221" t="s">
        <v>424</v>
      </c>
      <c r="HL2221" t="s">
        <v>425</v>
      </c>
      <c r="HN2221">
        <v>22</v>
      </c>
      <c r="HO2221">
        <v>7038127</v>
      </c>
      <c r="HP2221" t="s">
        <v>21446</v>
      </c>
      <c r="HQ2221" t="s">
        <v>458</v>
      </c>
      <c r="HR2221" s="1">
        <v>42151</v>
      </c>
      <c r="HS2221">
        <v>2014</v>
      </c>
      <c r="HT2221">
        <v>1596.69</v>
      </c>
      <c r="HU2221" t="s">
        <v>21445</v>
      </c>
      <c r="HV2221">
        <v>0.25</v>
      </c>
      <c r="HW2221" t="s">
        <v>424</v>
      </c>
      <c r="HX2221" t="s">
        <v>425</v>
      </c>
      <c r="HY2221" s="1">
        <v>42642</v>
      </c>
      <c r="HZ2221">
        <v>16</v>
      </c>
      <c r="IA2221">
        <v>7045049</v>
      </c>
      <c r="IB2221" t="s">
        <v>1335</v>
      </c>
      <c r="IC2221" t="s">
        <v>458</v>
      </c>
      <c r="ID2221" s="1">
        <v>41787</v>
      </c>
      <c r="IE2221">
        <v>2013</v>
      </c>
      <c r="IF2221">
        <v>1443.62</v>
      </c>
      <c r="IG2221" t="s">
        <v>21447</v>
      </c>
      <c r="IH2221">
        <v>0.25</v>
      </c>
      <c r="II2221" t="s">
        <v>424</v>
      </c>
      <c r="IJ2221" t="s">
        <v>425</v>
      </c>
      <c r="IL2221">
        <v>22</v>
      </c>
      <c r="IM2221">
        <v>2851116</v>
      </c>
      <c r="IN2221" t="s">
        <v>480</v>
      </c>
      <c r="IO2221" t="s">
        <v>458</v>
      </c>
      <c r="IP2221" s="1">
        <v>41052</v>
      </c>
      <c r="IQ2221">
        <v>2011</v>
      </c>
      <c r="IR2221">
        <v>1568.12</v>
      </c>
      <c r="IS2221" t="s">
        <v>21448</v>
      </c>
      <c r="IT2221">
        <v>0.25</v>
      </c>
      <c r="IU2221" t="s">
        <v>424</v>
      </c>
      <c r="IV2221" t="s">
        <v>425</v>
      </c>
      <c r="IW2221" s="1">
        <v>41401</v>
      </c>
      <c r="IX2221">
        <v>12</v>
      </c>
      <c r="IY2221">
        <v>11289</v>
      </c>
      <c r="IZ2221" t="s">
        <v>787</v>
      </c>
      <c r="JA2221" t="s">
        <v>458</v>
      </c>
      <c r="JB2221" s="1">
        <v>41052</v>
      </c>
      <c r="JC2221">
        <v>2011</v>
      </c>
      <c r="JD2221">
        <v>1568.12</v>
      </c>
      <c r="JE2221" t="s">
        <v>21448</v>
      </c>
      <c r="JF2221">
        <v>0.25</v>
      </c>
      <c r="JG2221" t="s">
        <v>424</v>
      </c>
      <c r="JH2221" t="s">
        <v>425</v>
      </c>
      <c r="JJ2221">
        <v>22</v>
      </c>
      <c r="JK2221">
        <v>13189</v>
      </c>
      <c r="JL2221" t="s">
        <v>8778</v>
      </c>
      <c r="JM2221" t="s">
        <v>458</v>
      </c>
      <c r="JN2221" s="1">
        <v>40688</v>
      </c>
      <c r="JO2221">
        <v>2010</v>
      </c>
      <c r="JP2221">
        <v>1755.71</v>
      </c>
      <c r="JQ2221" t="s">
        <v>21449</v>
      </c>
      <c r="JR2221">
        <v>0.25</v>
      </c>
      <c r="JS2221" t="s">
        <v>424</v>
      </c>
      <c r="JT2221" t="s">
        <v>425</v>
      </c>
      <c r="JV2221">
        <v>22</v>
      </c>
      <c r="JW2221">
        <v>11177</v>
      </c>
      <c r="JX2221" t="s">
        <v>650</v>
      </c>
      <c r="JY2221" t="s">
        <v>458</v>
      </c>
    </row>
    <row r="2222" spans="1:356" x14ac:dyDescent="0.25">
      <c r="A2222">
        <v>16487229</v>
      </c>
      <c r="B2222">
        <v>2221</v>
      </c>
      <c r="C2222" t="s">
        <v>393</v>
      </c>
      <c r="D2222" t="s">
        <v>394</v>
      </c>
      <c r="F2222" t="str">
        <f>"00-00-31-1800-0193-0042"</f>
        <v>00-00-31-1800-0193-0042</v>
      </c>
      <c r="H2222" t="str">
        <f>"THRIFT BARBARA SUE"</f>
        <v>THRIFT BARBARA SUE</v>
      </c>
      <c r="I2222" t="str">
        <f>"1330 S 6TH ST"</f>
        <v>1330 S 6TH ST</v>
      </c>
      <c r="J2222" t="str">
        <f t="shared" si="833"/>
        <v>FERNANDINA BEACH FL 32034</v>
      </c>
      <c r="K2222" t="str">
        <f>"1330 6TH ST S"</f>
        <v>1330 6TH ST S</v>
      </c>
      <c r="L2222" t="str">
        <f t="shared" si="826"/>
        <v>FERNANDINA BEACH FL 32034</v>
      </c>
      <c r="M2222" t="str">
        <f>"BLOCK 193 S10 FT OF LOT 4 &amp; BLOCK 200 N10 FT OF LOT 1 &amp; PARCEL 5 24-3N-28 IN OR 1730/933 CITY OF FDNA BEACH"</f>
        <v>BLOCK 193 S10 FT OF LOT 4 &amp; BLOCK 200 N10 FT OF LOT 1 &amp; PARCEL 5 24-3N-28 IN OR 1730/933 CITY OF FDNA BEACH</v>
      </c>
      <c r="N2222" t="str">
        <f>""</f>
        <v/>
      </c>
      <c r="O2222" t="str">
        <f>"12403"</f>
        <v>12403</v>
      </c>
      <c r="P2222" t="str">
        <f t="shared" si="821"/>
        <v>2017</v>
      </c>
      <c r="Q2222" t="str">
        <f>""</f>
        <v/>
      </c>
      <c r="R2222" t="str">
        <f>"N"</f>
        <v>N</v>
      </c>
      <c r="S2222" t="str">
        <f>""</f>
        <v/>
      </c>
      <c r="T2222" t="str">
        <f>"1768.98"</f>
        <v>1768.98</v>
      </c>
      <c r="U2222" t="str">
        <f>"114940.00"</f>
        <v>114940.00</v>
      </c>
      <c r="V2222" t="str">
        <f>"114940.00"</f>
        <v>114940.00</v>
      </c>
      <c r="W2222" t="str">
        <f t="shared" si="822"/>
        <v>2017</v>
      </c>
      <c r="X2222" t="str">
        <f>"11.00"</f>
        <v>11.00</v>
      </c>
      <c r="Y2222" t="str">
        <f>"1854.05"</f>
        <v>1854.05</v>
      </c>
      <c r="Z2222" t="str">
        <f>""</f>
        <v/>
      </c>
      <c r="AA2222" t="str">
        <f>"114940.00"</f>
        <v>114940.00</v>
      </c>
      <c r="AB2222" t="str">
        <f t="shared" si="831"/>
        <v>Residential</v>
      </c>
      <c r="AC2222" t="str">
        <f t="shared" si="829"/>
        <v>0</v>
      </c>
      <c r="AD2222" t="str">
        <f>"4"</f>
        <v>4</v>
      </c>
      <c r="AE2222" t="str">
        <f>"WOOD (INCLUDE STEEL STUDS)"</f>
        <v>WOOD (INCLUDE STEEL STUDS)</v>
      </c>
      <c r="AF2222" t="str">
        <f t="shared" si="834"/>
        <v>001</v>
      </c>
      <c r="AG2222" t="str">
        <f t="shared" si="832"/>
        <v>FL</v>
      </c>
      <c r="AH2222" t="str">
        <f>"8500.00"</f>
        <v>8500.00</v>
      </c>
      <c r="AI2222" t="str">
        <f>"34000.00"</f>
        <v>34000.00</v>
      </c>
      <c r="AJ2222" t="str">
        <f>"C55-000-585-9821-0"</f>
        <v>C55-000-585-9821-0</v>
      </c>
      <c r="AK2222" t="str">
        <f>"49337"</f>
        <v>49337</v>
      </c>
      <c r="AL2222">
        <v>8</v>
      </c>
      <c r="AM2222">
        <v>2539</v>
      </c>
      <c r="AN2222">
        <v>1945.15</v>
      </c>
      <c r="AQ2222" t="s">
        <v>21450</v>
      </c>
      <c r="AR2222" t="s">
        <v>21450</v>
      </c>
      <c r="AS2222" t="s">
        <v>21450</v>
      </c>
      <c r="AU2222" t="s">
        <v>396</v>
      </c>
      <c r="AV2222">
        <v>2017</v>
      </c>
      <c r="AW2222" t="str">
        <f>"00-00-31-1800-0193-0042 "</f>
        <v xml:space="preserve">00-00-31-1800-0193-0042 </v>
      </c>
      <c r="AX2222">
        <v>1330</v>
      </c>
      <c r="AZ2222" t="s">
        <v>20778</v>
      </c>
      <c r="BA2222" t="s">
        <v>1942</v>
      </c>
      <c r="BB2222" t="s">
        <v>18674</v>
      </c>
      <c r="BD2222" t="s">
        <v>11749</v>
      </c>
      <c r="BE2222" t="s">
        <v>393</v>
      </c>
      <c r="BF2222">
        <v>32034</v>
      </c>
      <c r="BG2222" t="s">
        <v>21451</v>
      </c>
      <c r="BH2222" t="s">
        <v>11751</v>
      </c>
      <c r="BI2222">
        <v>-81.462873632607895</v>
      </c>
      <c r="BJ2222">
        <v>30.653294081987699</v>
      </c>
      <c r="BK2222" t="s">
        <v>21452</v>
      </c>
      <c r="BM2222" t="s">
        <v>21453</v>
      </c>
      <c r="BN2222" t="s">
        <v>3983</v>
      </c>
      <c r="BO2222">
        <v>32034</v>
      </c>
      <c r="BP2222" t="s">
        <v>416</v>
      </c>
      <c r="BQ2222">
        <v>100</v>
      </c>
      <c r="BR2222" t="s">
        <v>514</v>
      </c>
      <c r="BS2222">
        <v>1001</v>
      </c>
      <c r="BT2222" t="s">
        <v>515</v>
      </c>
      <c r="BU2222">
        <v>850</v>
      </c>
      <c r="BV2222">
        <v>1000</v>
      </c>
      <c r="BW2222">
        <v>7994</v>
      </c>
      <c r="BX2222" t="s">
        <v>407</v>
      </c>
      <c r="BZ2222">
        <v>4</v>
      </c>
      <c r="CA2222">
        <v>1938</v>
      </c>
      <c r="CB2222">
        <v>1</v>
      </c>
      <c r="CC2222">
        <v>1</v>
      </c>
      <c r="CD2222">
        <v>2017</v>
      </c>
      <c r="CE2222">
        <v>34000</v>
      </c>
      <c r="CF2222">
        <v>80940</v>
      </c>
      <c r="CG2222">
        <v>114940</v>
      </c>
      <c r="CH2222">
        <v>2017</v>
      </c>
      <c r="CI2222">
        <v>34000</v>
      </c>
      <c r="CJ2222">
        <v>80940</v>
      </c>
      <c r="CK2222">
        <v>114940</v>
      </c>
      <c r="CL2222">
        <v>2017</v>
      </c>
      <c r="CM2222">
        <v>1768.98</v>
      </c>
      <c r="CN2222" s="1">
        <v>40625</v>
      </c>
      <c r="CO2222">
        <v>85000</v>
      </c>
      <c r="CZ2222" s="1">
        <v>40625</v>
      </c>
      <c r="DD2222" t="s">
        <v>11749</v>
      </c>
      <c r="DE2222">
        <v>193</v>
      </c>
      <c r="DF2222">
        <v>4</v>
      </c>
      <c r="DG2222">
        <v>24</v>
      </c>
      <c r="DL2222">
        <v>50202</v>
      </c>
      <c r="DM2222" t="s">
        <v>15205</v>
      </c>
      <c r="DO2222" t="s">
        <v>21454</v>
      </c>
      <c r="DP2222">
        <v>0</v>
      </c>
      <c r="DQ2222">
        <v>0</v>
      </c>
      <c r="DR2222" t="s">
        <v>411</v>
      </c>
      <c r="DS2222" t="b">
        <v>1</v>
      </c>
      <c r="DT2222" t="s">
        <v>470</v>
      </c>
      <c r="DU2222" t="s">
        <v>471</v>
      </c>
      <c r="DV2222" t="s">
        <v>472</v>
      </c>
      <c r="DX2222">
        <v>-9999</v>
      </c>
      <c r="DZ2222" t="s">
        <v>447</v>
      </c>
      <c r="EA2222" t="s">
        <v>448</v>
      </c>
      <c r="EB2222" t="s">
        <v>14787</v>
      </c>
      <c r="EC2222">
        <v>20101217</v>
      </c>
      <c r="ED2222" t="s">
        <v>474</v>
      </c>
      <c r="EF2222">
        <v>352.6</v>
      </c>
      <c r="EG2222">
        <v>291.10000000000002</v>
      </c>
      <c r="EI2222">
        <v>20160407</v>
      </c>
      <c r="EJ2222">
        <v>0</v>
      </c>
      <c r="EK2222">
        <v>0</v>
      </c>
      <c r="EP2222" t="s">
        <v>421</v>
      </c>
      <c r="EQ2222" t="s">
        <v>422</v>
      </c>
      <c r="ER2222">
        <v>2</v>
      </c>
      <c r="ES2222">
        <v>4</v>
      </c>
      <c r="ET2222">
        <v>3738.48</v>
      </c>
      <c r="EU2222">
        <v>199.42</v>
      </c>
      <c r="EV2222">
        <v>3937.9</v>
      </c>
      <c r="EW2222" s="2">
        <v>43222</v>
      </c>
      <c r="EX2222" s="1">
        <v>42879</v>
      </c>
      <c r="EY2222">
        <v>2016</v>
      </c>
      <c r="EZ2222">
        <v>1869.24</v>
      </c>
      <c r="FA2222" t="s">
        <v>21455</v>
      </c>
      <c r="FB2222">
        <v>0.25</v>
      </c>
      <c r="FC2222" t="s">
        <v>424</v>
      </c>
      <c r="FD2222" t="s">
        <v>454</v>
      </c>
      <c r="FF2222">
        <v>12</v>
      </c>
      <c r="FG2222">
        <v>2851116</v>
      </c>
      <c r="FH2222" t="s">
        <v>480</v>
      </c>
      <c r="FJ2222" s="1">
        <v>42879</v>
      </c>
      <c r="FK2222">
        <v>2016</v>
      </c>
      <c r="FL2222">
        <v>1869.24</v>
      </c>
      <c r="FM2222" t="s">
        <v>21455</v>
      </c>
      <c r="FN2222">
        <v>0.25</v>
      </c>
      <c r="FO2222" t="s">
        <v>424</v>
      </c>
      <c r="FP2222" t="s">
        <v>454</v>
      </c>
      <c r="FR2222">
        <v>12</v>
      </c>
      <c r="FS2222">
        <v>5412240</v>
      </c>
      <c r="FT2222" t="s">
        <v>21456</v>
      </c>
      <c r="FV2222" s="1">
        <v>42515</v>
      </c>
      <c r="FW2222">
        <v>2015</v>
      </c>
      <c r="FX2222">
        <v>1822.63</v>
      </c>
      <c r="FY2222" t="s">
        <v>21457</v>
      </c>
      <c r="FZ2222">
        <v>0.25</v>
      </c>
      <c r="GA2222" t="s">
        <v>424</v>
      </c>
      <c r="GB2222" t="s">
        <v>425</v>
      </c>
      <c r="GC2222" s="1">
        <v>42664</v>
      </c>
      <c r="GD2222">
        <v>5</v>
      </c>
      <c r="GE2222">
        <v>7336671</v>
      </c>
      <c r="GF2222" t="s">
        <v>437</v>
      </c>
      <c r="GH2222" s="1">
        <v>42515</v>
      </c>
      <c r="GI2222">
        <v>2015</v>
      </c>
      <c r="GJ2222">
        <v>1822.63</v>
      </c>
      <c r="GK2222" t="s">
        <v>21457</v>
      </c>
      <c r="GL2222">
        <v>0.25</v>
      </c>
      <c r="GM2222" t="s">
        <v>424</v>
      </c>
      <c r="GN2222" t="s">
        <v>425</v>
      </c>
      <c r="GP2222">
        <v>22</v>
      </c>
      <c r="GQ2222">
        <v>6850944</v>
      </c>
      <c r="GR2222" t="s">
        <v>21458</v>
      </c>
      <c r="GT2222" s="1">
        <v>42151</v>
      </c>
      <c r="GU2222">
        <v>2014</v>
      </c>
      <c r="GV2222">
        <v>1689.8</v>
      </c>
      <c r="GW2222" t="s">
        <v>21459</v>
      </c>
      <c r="GX2222">
        <v>0.25</v>
      </c>
      <c r="GY2222" t="s">
        <v>424</v>
      </c>
      <c r="GZ2222" t="s">
        <v>425</v>
      </c>
      <c r="HA2222" s="1">
        <v>42664</v>
      </c>
      <c r="HB2222">
        <v>17</v>
      </c>
      <c r="HC2222">
        <v>11289</v>
      </c>
      <c r="HD2222" t="s">
        <v>787</v>
      </c>
      <c r="HF2222" s="1">
        <v>42151</v>
      </c>
      <c r="HG2222">
        <v>2014</v>
      </c>
      <c r="HH2222">
        <v>1689.8</v>
      </c>
      <c r="HI2222" t="s">
        <v>21459</v>
      </c>
      <c r="HJ2222">
        <v>0.25</v>
      </c>
      <c r="HK2222" t="s">
        <v>424</v>
      </c>
      <c r="HL2222" t="s">
        <v>425</v>
      </c>
      <c r="HN2222">
        <v>22</v>
      </c>
      <c r="HO2222">
        <v>5143068</v>
      </c>
      <c r="HP2222" t="s">
        <v>21460</v>
      </c>
    </row>
    <row r="2223" spans="1:356" x14ac:dyDescent="0.25">
      <c r="A2223">
        <v>16487230</v>
      </c>
      <c r="B2223">
        <v>2222</v>
      </c>
      <c r="C2223" t="s">
        <v>393</v>
      </c>
      <c r="D2223" t="s">
        <v>394</v>
      </c>
      <c r="F2223" t="str">
        <f>"00-00-31-1800-0196-0010"</f>
        <v>00-00-31-1800-0196-0010</v>
      </c>
      <c r="H2223" t="str">
        <f>"GALLUP WILLIAM F &amp; MARILYN L"</f>
        <v>GALLUP WILLIAM F &amp; MARILYN L</v>
      </c>
      <c r="I2223" t="str">
        <f>"1108 OLIVE ST"</f>
        <v>1108 OLIVE ST</v>
      </c>
      <c r="J2223" t="str">
        <f t="shared" si="833"/>
        <v>FERNANDINA BEACH FL 32034</v>
      </c>
      <c r="K2223" t="str">
        <f>"S 10TH ST"</f>
        <v>S 10TH ST</v>
      </c>
      <c r="L2223" t="str">
        <f t="shared" si="826"/>
        <v>FERNANDINA BEACH FL 32034</v>
      </c>
      <c r="M2223" t="str">
        <f>"BLOCK 196 LOTS 1 2 &amp; 3 IN OR 840/276 CITY OF FDNA BEACH"</f>
        <v>BLOCK 196 LOTS 1 2 &amp; 3 IN OR 840/276 CITY OF FDNA BEACH</v>
      </c>
      <c r="N2223" t="str">
        <f>""</f>
        <v/>
      </c>
      <c r="O2223" t="str">
        <f>"12411"</f>
        <v>12411</v>
      </c>
      <c r="P2223" t="str">
        <f t="shared" si="821"/>
        <v>2017</v>
      </c>
      <c r="Q2223" t="str">
        <f>""</f>
        <v/>
      </c>
      <c r="R2223" t="str">
        <f>"N"</f>
        <v>N</v>
      </c>
      <c r="S2223" t="str">
        <f>""</f>
        <v/>
      </c>
      <c r="T2223" t="str">
        <f>"1346.87"</f>
        <v>1346.87</v>
      </c>
      <c r="U2223" t="str">
        <f>"85650.00"</f>
        <v>85650.00</v>
      </c>
      <c r="V2223" t="str">
        <f>"85650.00"</f>
        <v>85650.00</v>
      </c>
      <c r="W2223" t="str">
        <f t="shared" si="822"/>
        <v>2017</v>
      </c>
      <c r="X2223" t="str">
        <f>"19.71"</f>
        <v>19.71</v>
      </c>
      <c r="Y2223" t="str">
        <f>"1419.28"</f>
        <v>1419.28</v>
      </c>
      <c r="Z2223" t="str">
        <f>""</f>
        <v/>
      </c>
      <c r="AA2223" t="str">
        <f>"90000.00"</f>
        <v>90000.00</v>
      </c>
      <c r="AB2223" t="str">
        <f>"Commercial"</f>
        <v>Commercial</v>
      </c>
      <c r="AC2223" t="str">
        <f t="shared" si="829"/>
        <v>0</v>
      </c>
      <c r="AD2223" t="str">
        <f>""</f>
        <v/>
      </c>
      <c r="AE2223" t="str">
        <f>""</f>
        <v/>
      </c>
      <c r="AF2223" t="str">
        <f>"010"</f>
        <v>010</v>
      </c>
      <c r="AG2223" t="str">
        <f t="shared" si="832"/>
        <v>FL</v>
      </c>
      <c r="AH2223" t="str">
        <f>"30000.00"</f>
        <v>30000.00</v>
      </c>
      <c r="AI2223" t="str">
        <f>"90000.00"</f>
        <v>90000.00</v>
      </c>
      <c r="AJ2223" t="str">
        <f>"C55-000-585-9829-3"</f>
        <v>C55-000-585-9829-3</v>
      </c>
      <c r="AK2223" t="str">
        <f>"49345"</f>
        <v>49345</v>
      </c>
      <c r="AL2223">
        <v>8</v>
      </c>
      <c r="AM2223">
        <v>2540</v>
      </c>
      <c r="AN2223">
        <v>1488.64</v>
      </c>
      <c r="AQ2223" t="s">
        <v>21461</v>
      </c>
      <c r="AR2223" t="s">
        <v>21461</v>
      </c>
      <c r="AS2223" t="s">
        <v>21461</v>
      </c>
      <c r="AU2223" t="s">
        <v>396</v>
      </c>
      <c r="AV2223">
        <v>2017</v>
      </c>
      <c r="AW2223" t="str">
        <f>"00-00-31-1800-0196-0010 "</f>
        <v xml:space="preserve">00-00-31-1800-0196-0010 </v>
      </c>
      <c r="AY2223" t="s">
        <v>18674</v>
      </c>
      <c r="AZ2223" t="s">
        <v>5188</v>
      </c>
      <c r="BA2223" t="s">
        <v>1942</v>
      </c>
      <c r="BD2223" t="s">
        <v>11749</v>
      </c>
      <c r="BE2223" t="s">
        <v>393</v>
      </c>
      <c r="BF2223">
        <v>32034</v>
      </c>
      <c r="BG2223" t="s">
        <v>21155</v>
      </c>
      <c r="BH2223" t="s">
        <v>11751</v>
      </c>
      <c r="BI2223">
        <v>-81.459675211670103</v>
      </c>
      <c r="BJ2223">
        <v>30.6524243530428</v>
      </c>
      <c r="BK2223" t="s">
        <v>21462</v>
      </c>
      <c r="BL2223" t="s">
        <v>21463</v>
      </c>
      <c r="BM2223" t="s">
        <v>21464</v>
      </c>
      <c r="BN2223" t="s">
        <v>3983</v>
      </c>
      <c r="BO2223">
        <v>32034</v>
      </c>
      <c r="BP2223" t="s">
        <v>404</v>
      </c>
      <c r="BQ2223">
        <v>1000</v>
      </c>
      <c r="BR2223" t="s">
        <v>2391</v>
      </c>
      <c r="BS2223">
        <v>8002</v>
      </c>
      <c r="BT2223" t="s">
        <v>2392</v>
      </c>
      <c r="BW2223">
        <v>31468</v>
      </c>
      <c r="BX2223" t="s">
        <v>407</v>
      </c>
      <c r="BY2223" t="s">
        <v>4413</v>
      </c>
      <c r="CD2223">
        <v>2017</v>
      </c>
      <c r="CE2223">
        <v>90000</v>
      </c>
      <c r="CG2223">
        <v>90000</v>
      </c>
      <c r="CH2223">
        <v>2017</v>
      </c>
      <c r="CI2223">
        <v>90000</v>
      </c>
      <c r="CK2223">
        <v>90000</v>
      </c>
      <c r="CL2223">
        <v>2017</v>
      </c>
      <c r="CM2223">
        <v>1346.87</v>
      </c>
      <c r="CN2223" s="1">
        <v>35984</v>
      </c>
      <c r="CO2223">
        <v>56500</v>
      </c>
      <c r="CZ2223" s="1">
        <v>35984</v>
      </c>
      <c r="DD2223" t="s">
        <v>11749</v>
      </c>
      <c r="DG2223">
        <v>24</v>
      </c>
      <c r="DL2223">
        <v>50202</v>
      </c>
      <c r="DM2223" t="s">
        <v>15205</v>
      </c>
      <c r="DO2223" t="s">
        <v>21465</v>
      </c>
      <c r="DP2223">
        <v>0</v>
      </c>
      <c r="DQ2223">
        <v>5</v>
      </c>
      <c r="DR2223" t="s">
        <v>1479</v>
      </c>
      <c r="DS2223" t="b">
        <v>1</v>
      </c>
      <c r="DT2223" t="s">
        <v>470</v>
      </c>
      <c r="DU2223" t="s">
        <v>471</v>
      </c>
      <c r="DV2223" t="s">
        <v>472</v>
      </c>
      <c r="DX2223">
        <v>-9999</v>
      </c>
      <c r="DZ2223" t="s">
        <v>447</v>
      </c>
      <c r="EA2223" t="s">
        <v>448</v>
      </c>
      <c r="EB2223" t="s">
        <v>14787</v>
      </c>
      <c r="EC2223">
        <v>20101217</v>
      </c>
      <c r="ED2223" t="s">
        <v>474</v>
      </c>
      <c r="EF2223">
        <v>1375.6</v>
      </c>
      <c r="EG2223">
        <v>1089.0999999999999</v>
      </c>
      <c r="EI2223">
        <v>20160407</v>
      </c>
      <c r="EJ2223">
        <v>0</v>
      </c>
      <c r="EK2223">
        <v>0</v>
      </c>
      <c r="EP2223" t="s">
        <v>421</v>
      </c>
      <c r="EQ2223" t="s">
        <v>422</v>
      </c>
      <c r="ER2223">
        <v>2</v>
      </c>
      <c r="ES2223">
        <v>5</v>
      </c>
      <c r="ET2223">
        <v>3157.48</v>
      </c>
      <c r="EU2223">
        <v>170.37</v>
      </c>
      <c r="EV2223">
        <v>3327.85</v>
      </c>
      <c r="EW2223" s="2">
        <v>43222</v>
      </c>
      <c r="EX2223" s="1">
        <v>42879</v>
      </c>
      <c r="EY2223">
        <v>2016</v>
      </c>
      <c r="EZ2223">
        <v>1578.74</v>
      </c>
      <c r="FA2223" t="s">
        <v>21466</v>
      </c>
      <c r="FB2223">
        <v>0.25</v>
      </c>
      <c r="FC2223" t="s">
        <v>424</v>
      </c>
      <c r="FD2223" t="s">
        <v>454</v>
      </c>
      <c r="FF2223">
        <v>12</v>
      </c>
      <c r="FG2223">
        <v>7336671</v>
      </c>
      <c r="FH2223" t="s">
        <v>437</v>
      </c>
      <c r="FJ2223" s="1">
        <v>42879</v>
      </c>
      <c r="FK2223">
        <v>2016</v>
      </c>
      <c r="FL2223">
        <v>1578.74</v>
      </c>
      <c r="FM2223" t="s">
        <v>21466</v>
      </c>
      <c r="FN2223">
        <v>0.25</v>
      </c>
      <c r="FO2223" t="s">
        <v>424</v>
      </c>
      <c r="FP2223" t="s">
        <v>454</v>
      </c>
      <c r="FR2223">
        <v>12</v>
      </c>
      <c r="FS2223">
        <v>6945157</v>
      </c>
      <c r="FT2223" t="s">
        <v>21467</v>
      </c>
      <c r="FV2223" s="1">
        <v>42515</v>
      </c>
      <c r="FW2223">
        <v>2015</v>
      </c>
      <c r="FX2223">
        <v>1541.38</v>
      </c>
      <c r="FY2223" t="s">
        <v>21468</v>
      </c>
      <c r="FZ2223">
        <v>0.25</v>
      </c>
      <c r="GA2223" t="s">
        <v>424</v>
      </c>
      <c r="GB2223" t="s">
        <v>425</v>
      </c>
      <c r="GC2223" s="1">
        <v>43124</v>
      </c>
      <c r="GD2223">
        <v>20</v>
      </c>
      <c r="GE2223">
        <v>2035919</v>
      </c>
      <c r="GF2223" t="s">
        <v>507</v>
      </c>
      <c r="GH2223" s="1">
        <v>42151</v>
      </c>
      <c r="GI2223">
        <v>2014</v>
      </c>
      <c r="GJ2223">
        <v>1489.69</v>
      </c>
      <c r="GK2223" t="s">
        <v>21469</v>
      </c>
      <c r="GL2223">
        <v>15.5</v>
      </c>
      <c r="GM2223" t="s">
        <v>424</v>
      </c>
      <c r="GN2223" t="s">
        <v>425</v>
      </c>
      <c r="GO2223" s="1">
        <v>42720</v>
      </c>
      <c r="GP2223">
        <v>19</v>
      </c>
      <c r="GQ2223">
        <v>10628</v>
      </c>
      <c r="GR2223" t="s">
        <v>943</v>
      </c>
      <c r="GT2223" s="1">
        <v>41787</v>
      </c>
      <c r="GU2223">
        <v>2013</v>
      </c>
      <c r="GV2223">
        <v>977.7</v>
      </c>
      <c r="GW2223" t="s">
        <v>21470</v>
      </c>
      <c r="GX2223">
        <v>3</v>
      </c>
      <c r="GY2223" t="s">
        <v>424</v>
      </c>
      <c r="GZ2223" t="s">
        <v>425</v>
      </c>
      <c r="HA2223" s="1">
        <v>42429</v>
      </c>
      <c r="HB2223">
        <v>21</v>
      </c>
      <c r="HC2223">
        <v>10125</v>
      </c>
      <c r="HD2223" t="s">
        <v>440</v>
      </c>
      <c r="HF2223" s="1">
        <v>41423</v>
      </c>
      <c r="HG2223">
        <v>2012</v>
      </c>
      <c r="HH2223">
        <v>989.39</v>
      </c>
      <c r="HI2223" t="s">
        <v>21471</v>
      </c>
      <c r="HJ2223">
        <v>0.75</v>
      </c>
      <c r="HK2223" t="s">
        <v>424</v>
      </c>
      <c r="HL2223" t="s">
        <v>425</v>
      </c>
      <c r="HM2223" s="1">
        <v>42055</v>
      </c>
      <c r="HN2223">
        <v>21</v>
      </c>
      <c r="HO2223">
        <v>10125</v>
      </c>
      <c r="HP2223" t="s">
        <v>440</v>
      </c>
      <c r="HR2223" s="1">
        <v>41052</v>
      </c>
      <c r="HS2223">
        <v>2011</v>
      </c>
      <c r="HT2223">
        <v>997.65</v>
      </c>
      <c r="HU2223" t="s">
        <v>21472</v>
      </c>
      <c r="HV2223">
        <v>5.75</v>
      </c>
      <c r="HW2223" t="s">
        <v>424</v>
      </c>
      <c r="HX2223" t="s">
        <v>425</v>
      </c>
      <c r="HY2223" s="1">
        <v>41696</v>
      </c>
      <c r="HZ2223">
        <v>21</v>
      </c>
      <c r="IA2223">
        <v>10125</v>
      </c>
      <c r="IB2223" t="s">
        <v>440</v>
      </c>
    </row>
    <row r="2224" spans="1:356" x14ac:dyDescent="0.25">
      <c r="A2224">
        <v>16487231</v>
      </c>
      <c r="B2224">
        <v>2223</v>
      </c>
      <c r="C2224" t="s">
        <v>393</v>
      </c>
      <c r="D2224" t="s">
        <v>394</v>
      </c>
      <c r="F2224" t="str">
        <f>"00-00-31-1800-0196-0080"</f>
        <v>00-00-31-1800-0196-0080</v>
      </c>
      <c r="H2224" t="str">
        <f>"GALLUP WILLIAM F &amp; GALLUP MARILYN L"</f>
        <v>GALLUP WILLIAM F &amp; GALLUP MARILYN L</v>
      </c>
      <c r="I2224" t="str">
        <f>"1090 OLIVE ST"</f>
        <v>1090 OLIVE ST</v>
      </c>
      <c r="J2224" t="str">
        <f t="shared" si="833"/>
        <v>FERNANDINA BEACH FL 32034</v>
      </c>
      <c r="K2224" t="str">
        <f>"1090 OLIVE ST"</f>
        <v>1090 OLIVE ST</v>
      </c>
      <c r="L2224" t="str">
        <f t="shared" si="826"/>
        <v>FERNANDINA BEACH FL 32034</v>
      </c>
      <c r="M2224" t="str">
        <f>"BLOCK 196 LOT 8 IN OR 1710/100 R/W IN OR 150/517 CITY OF FDNA BEACH"</f>
        <v>BLOCK 196 LOT 8 IN OR 1710/100 R/W IN OR 150/517 CITY OF FDNA BEACH</v>
      </c>
      <c r="N2224" t="str">
        <f>""</f>
        <v/>
      </c>
      <c r="O2224" t="str">
        <f>"12415"</f>
        <v>12415</v>
      </c>
      <c r="P2224" t="str">
        <f t="shared" si="821"/>
        <v>2017</v>
      </c>
      <c r="Q2224" t="str">
        <f>""</f>
        <v/>
      </c>
      <c r="R2224" t="str">
        <f>"Y"</f>
        <v>Y</v>
      </c>
      <c r="S2224" t="str">
        <f>""</f>
        <v/>
      </c>
      <c r="T2224" t="str">
        <f>"495.46"</f>
        <v>495.46</v>
      </c>
      <c r="U2224" t="str">
        <f>"55185.00"</f>
        <v>55185.00</v>
      </c>
      <c r="V2224" t="str">
        <f>"55185.00"</f>
        <v>55185.00</v>
      </c>
      <c r="W2224" t="str">
        <f t="shared" si="822"/>
        <v>2017</v>
      </c>
      <c r="X2224" t="str">
        <f>"18.25"</f>
        <v>18.25</v>
      </c>
      <c r="Y2224" t="str">
        <f>"542.32"</f>
        <v>542.32</v>
      </c>
      <c r="Z2224" t="str">
        <f>"25000.00"</f>
        <v>25000.00</v>
      </c>
      <c r="AA2224" t="str">
        <f>"34870.00"</f>
        <v>34870.00</v>
      </c>
      <c r="AB2224" t="str">
        <f t="shared" ref="AB2224:AB2231" si="835">"Residential"</f>
        <v>Residential</v>
      </c>
      <c r="AC2224" t="str">
        <f t="shared" si="829"/>
        <v>0</v>
      </c>
      <c r="AD2224" t="str">
        <f>"4"</f>
        <v>4</v>
      </c>
      <c r="AE2224" t="str">
        <f>"WOOD (INCLUDE STEEL STUDS)"</f>
        <v>WOOD (INCLUDE STEEL STUDS)</v>
      </c>
      <c r="AF2224" t="str">
        <f>"001"</f>
        <v>001</v>
      </c>
      <c r="AG2224" t="str">
        <f t="shared" si="832"/>
        <v>FL</v>
      </c>
      <c r="AH2224" t="str">
        <f>"10000.00"</f>
        <v>10000.00</v>
      </c>
      <c r="AI2224" t="str">
        <f>"30000.00"</f>
        <v>30000.00</v>
      </c>
      <c r="AJ2224" t="str">
        <f>"C55-000-585-9833-5"</f>
        <v>C55-000-585-9833-5</v>
      </c>
      <c r="AK2224" t="str">
        <f>"49349"</f>
        <v>49349</v>
      </c>
      <c r="AL2224">
        <v>8</v>
      </c>
      <c r="AM2224">
        <v>2541</v>
      </c>
      <c r="AN2224">
        <v>567.84</v>
      </c>
      <c r="AQ2224" t="s">
        <v>21473</v>
      </c>
      <c r="AR2224" t="s">
        <v>21473</v>
      </c>
      <c r="AS2224" t="s">
        <v>21473</v>
      </c>
      <c r="AU2224" t="s">
        <v>396</v>
      </c>
      <c r="AV2224">
        <v>2017</v>
      </c>
      <c r="AW2224" t="str">
        <f>"00-00-31-1800-0196-0080 "</f>
        <v xml:space="preserve">00-00-31-1800-0196-0080 </v>
      </c>
      <c r="AX2224">
        <v>1090</v>
      </c>
      <c r="AZ2224" t="s">
        <v>21474</v>
      </c>
      <c r="BA2224" t="s">
        <v>1942</v>
      </c>
      <c r="BD2224" t="s">
        <v>11749</v>
      </c>
      <c r="BE2224" t="s">
        <v>393</v>
      </c>
      <c r="BF2224">
        <v>32034</v>
      </c>
      <c r="BG2224" t="s">
        <v>21475</v>
      </c>
      <c r="BH2224" t="s">
        <v>11751</v>
      </c>
      <c r="BI2224">
        <v>-81.459259153736596</v>
      </c>
      <c r="BJ2224">
        <v>30.652654985607199</v>
      </c>
      <c r="BK2224" t="s">
        <v>21462</v>
      </c>
      <c r="BL2224" t="s">
        <v>21463</v>
      </c>
      <c r="BM2224" t="s">
        <v>21475</v>
      </c>
      <c r="BN2224" t="s">
        <v>3983</v>
      </c>
      <c r="BO2224">
        <v>32034</v>
      </c>
      <c r="BP2224" t="s">
        <v>416</v>
      </c>
      <c r="BQ2224">
        <v>100</v>
      </c>
      <c r="BR2224" t="s">
        <v>514</v>
      </c>
      <c r="BS2224">
        <v>1001</v>
      </c>
      <c r="BT2224" t="s">
        <v>515</v>
      </c>
      <c r="BU2224">
        <v>1000</v>
      </c>
      <c r="BV2224">
        <v>1000</v>
      </c>
      <c r="BW2224">
        <v>13200</v>
      </c>
      <c r="BX2224" t="s">
        <v>407</v>
      </c>
      <c r="BY2224" t="s">
        <v>4413</v>
      </c>
      <c r="BZ2224">
        <v>4</v>
      </c>
      <c r="CA2224">
        <v>1986</v>
      </c>
      <c r="CB2224">
        <v>1</v>
      </c>
      <c r="CC2224">
        <v>1</v>
      </c>
      <c r="CD2224">
        <v>2017</v>
      </c>
      <c r="CG2224">
        <v>59870</v>
      </c>
      <c r="CH2224">
        <v>2017</v>
      </c>
      <c r="CI2224">
        <v>30000</v>
      </c>
      <c r="CJ2224">
        <v>38864</v>
      </c>
      <c r="CK2224">
        <v>68864</v>
      </c>
      <c r="CL2224">
        <v>2017</v>
      </c>
      <c r="CM2224">
        <v>495.46</v>
      </c>
      <c r="CN2224" s="1">
        <v>40498</v>
      </c>
      <c r="CO2224">
        <v>30000</v>
      </c>
      <c r="CV2224">
        <v>0</v>
      </c>
      <c r="CZ2224" s="1">
        <v>40498</v>
      </c>
      <c r="DA2224">
        <v>0</v>
      </c>
      <c r="DD2224" t="s">
        <v>11749</v>
      </c>
      <c r="DF2224">
        <v>8</v>
      </c>
      <c r="DG2224">
        <v>24</v>
      </c>
      <c r="DL2224">
        <v>50202</v>
      </c>
      <c r="DM2224" t="s">
        <v>15205</v>
      </c>
      <c r="DO2224" t="s">
        <v>21476</v>
      </c>
      <c r="DP2224">
        <v>0</v>
      </c>
      <c r="DQ2224">
        <v>5</v>
      </c>
      <c r="DR2224" t="s">
        <v>1479</v>
      </c>
      <c r="DS2224" t="b">
        <v>1</v>
      </c>
      <c r="DT2224" t="s">
        <v>470</v>
      </c>
      <c r="DU2224" t="s">
        <v>471</v>
      </c>
      <c r="DV2224" t="s">
        <v>472</v>
      </c>
      <c r="DX2224">
        <v>-9999</v>
      </c>
      <c r="DZ2224" t="s">
        <v>447</v>
      </c>
      <c r="EA2224" t="s">
        <v>448</v>
      </c>
      <c r="EB2224" t="s">
        <v>14787</v>
      </c>
      <c r="EC2224">
        <v>20101217</v>
      </c>
      <c r="ED2224" t="s">
        <v>474</v>
      </c>
      <c r="EF2224">
        <v>1501</v>
      </c>
      <c r="EG2224">
        <v>1225.9000000000001</v>
      </c>
      <c r="EI2224">
        <v>20160407</v>
      </c>
      <c r="EJ2224">
        <v>0</v>
      </c>
      <c r="EK2224">
        <v>0</v>
      </c>
      <c r="EP2224" t="s">
        <v>421</v>
      </c>
      <c r="EQ2224" t="s">
        <v>422</v>
      </c>
      <c r="ER2224">
        <v>2</v>
      </c>
      <c r="ES2224">
        <v>8</v>
      </c>
      <c r="ET2224">
        <v>967.2</v>
      </c>
      <c r="EU2224">
        <v>60.86</v>
      </c>
      <c r="EV2224">
        <v>1028.06</v>
      </c>
      <c r="EW2224" s="2">
        <v>43222</v>
      </c>
      <c r="EX2224" s="1">
        <v>42879</v>
      </c>
      <c r="EY2224">
        <v>2016</v>
      </c>
      <c r="EZ2224">
        <v>483.6</v>
      </c>
      <c r="FA2224" t="s">
        <v>21477</v>
      </c>
      <c r="FB2224">
        <v>0.25</v>
      </c>
      <c r="FC2224" t="s">
        <v>424</v>
      </c>
      <c r="FD2224" t="s">
        <v>454</v>
      </c>
      <c r="FF2224">
        <v>12</v>
      </c>
      <c r="FG2224">
        <v>2851116</v>
      </c>
      <c r="FH2224" t="s">
        <v>480</v>
      </c>
      <c r="FJ2224" s="1">
        <v>42879</v>
      </c>
      <c r="FK2224">
        <v>2016</v>
      </c>
      <c r="FL2224">
        <v>483.6</v>
      </c>
      <c r="FM2224" t="s">
        <v>21477</v>
      </c>
      <c r="FN2224">
        <v>0.25</v>
      </c>
      <c r="FO2224" t="s">
        <v>424</v>
      </c>
      <c r="FP2224" t="s">
        <v>454</v>
      </c>
      <c r="FR2224">
        <v>12</v>
      </c>
      <c r="FS2224">
        <v>5269060</v>
      </c>
      <c r="FT2224" t="s">
        <v>21478</v>
      </c>
      <c r="FV2224" s="1">
        <v>42515</v>
      </c>
      <c r="FW2224">
        <v>2015</v>
      </c>
      <c r="FX2224">
        <v>878.53</v>
      </c>
      <c r="FY2224" t="s">
        <v>21479</v>
      </c>
      <c r="FZ2224">
        <v>0.25</v>
      </c>
      <c r="GA2224" t="s">
        <v>424</v>
      </c>
      <c r="GB2224" t="s">
        <v>425</v>
      </c>
      <c r="GC2224" s="1">
        <v>43158</v>
      </c>
      <c r="GD2224">
        <v>21</v>
      </c>
      <c r="GE2224">
        <v>2851116</v>
      </c>
      <c r="GF2224" t="s">
        <v>480</v>
      </c>
      <c r="GH2224" s="1">
        <v>42515</v>
      </c>
      <c r="GI2224">
        <v>2015</v>
      </c>
      <c r="GJ2224">
        <v>878.53</v>
      </c>
      <c r="GK2224" t="s">
        <v>21479</v>
      </c>
      <c r="GL2224">
        <v>0.25</v>
      </c>
      <c r="GM2224" t="s">
        <v>424</v>
      </c>
      <c r="GN2224" t="s">
        <v>425</v>
      </c>
      <c r="GP2224">
        <v>22</v>
      </c>
      <c r="GQ2224">
        <v>5757925</v>
      </c>
      <c r="GR2224" t="s">
        <v>21480</v>
      </c>
      <c r="GT2224" s="1">
        <v>42151</v>
      </c>
      <c r="GU2224">
        <v>2014</v>
      </c>
      <c r="GV2224">
        <v>803.79</v>
      </c>
      <c r="GW2224" t="s">
        <v>21481</v>
      </c>
      <c r="GX2224">
        <v>0.25</v>
      </c>
      <c r="GY2224" t="s">
        <v>424</v>
      </c>
      <c r="GZ2224" t="s">
        <v>425</v>
      </c>
      <c r="HA2224" s="1">
        <v>42794</v>
      </c>
      <c r="HB2224">
        <v>21</v>
      </c>
      <c r="HC2224">
        <v>2101382</v>
      </c>
      <c r="HD2224" t="s">
        <v>993</v>
      </c>
      <c r="HF2224" s="1">
        <v>42151</v>
      </c>
      <c r="HG2224">
        <v>2014</v>
      </c>
      <c r="HH2224">
        <v>803.79</v>
      </c>
      <c r="HI2224" t="s">
        <v>21481</v>
      </c>
      <c r="HJ2224">
        <v>0.25</v>
      </c>
      <c r="HK2224" t="s">
        <v>424</v>
      </c>
      <c r="HL2224" t="s">
        <v>425</v>
      </c>
      <c r="HN2224">
        <v>22</v>
      </c>
      <c r="HO2224">
        <v>5501268</v>
      </c>
      <c r="HP2224" t="s">
        <v>21482</v>
      </c>
      <c r="HR2224" s="1">
        <v>41787</v>
      </c>
      <c r="HS2224">
        <v>2013</v>
      </c>
      <c r="HT2224">
        <v>646.91999999999996</v>
      </c>
      <c r="HU2224" t="s">
        <v>21483</v>
      </c>
      <c r="HV2224">
        <v>2.25</v>
      </c>
      <c r="HW2224" t="s">
        <v>424</v>
      </c>
      <c r="HX2224" t="s">
        <v>425</v>
      </c>
      <c r="HY2224" s="1">
        <v>42429</v>
      </c>
      <c r="HZ2224">
        <v>21</v>
      </c>
      <c r="IA2224">
        <v>10125</v>
      </c>
      <c r="IB2224" t="s">
        <v>440</v>
      </c>
      <c r="ID2224" s="1">
        <v>41423</v>
      </c>
      <c r="IE2224">
        <v>2012</v>
      </c>
      <c r="IF2224">
        <v>635.01</v>
      </c>
      <c r="IG2224" t="s">
        <v>21484</v>
      </c>
      <c r="IH2224">
        <v>0.25</v>
      </c>
      <c r="II2224" t="s">
        <v>424</v>
      </c>
      <c r="IJ2224" t="s">
        <v>425</v>
      </c>
      <c r="IK2224" s="1">
        <v>42055</v>
      </c>
      <c r="IL2224">
        <v>21</v>
      </c>
      <c r="IM2224">
        <v>10125</v>
      </c>
      <c r="IN2224" t="s">
        <v>440</v>
      </c>
      <c r="IP2224" s="1">
        <v>41052</v>
      </c>
      <c r="IQ2224">
        <v>2011</v>
      </c>
      <c r="IR2224">
        <v>688.45</v>
      </c>
      <c r="IS2224" t="s">
        <v>21485</v>
      </c>
      <c r="IT2224">
        <v>5</v>
      </c>
      <c r="IU2224" t="s">
        <v>424</v>
      </c>
      <c r="IV2224" t="s">
        <v>425</v>
      </c>
      <c r="IW2224" s="1">
        <v>41696</v>
      </c>
      <c r="IX2224">
        <v>21</v>
      </c>
      <c r="IY2224">
        <v>10125</v>
      </c>
      <c r="IZ2224" t="s">
        <v>440</v>
      </c>
      <c r="JB2224" s="1">
        <v>40688</v>
      </c>
      <c r="JC2224">
        <v>2010</v>
      </c>
      <c r="JD2224">
        <v>944.68</v>
      </c>
      <c r="JE2224" t="s">
        <v>21486</v>
      </c>
      <c r="JF2224">
        <v>4</v>
      </c>
      <c r="JG2224" t="s">
        <v>424</v>
      </c>
      <c r="JH2224" t="s">
        <v>425</v>
      </c>
      <c r="JI2224" s="1">
        <v>41332</v>
      </c>
      <c r="JJ2224">
        <v>21</v>
      </c>
      <c r="JK2224">
        <v>11296</v>
      </c>
      <c r="JL2224" t="s">
        <v>4008</v>
      </c>
    </row>
    <row r="2225" spans="1:272" x14ac:dyDescent="0.25">
      <c r="A2225">
        <v>16487232</v>
      </c>
      <c r="B2225">
        <v>2224</v>
      </c>
      <c r="C2225" t="s">
        <v>393</v>
      </c>
      <c r="D2225" t="s">
        <v>394</v>
      </c>
      <c r="F2225" t="str">
        <f>"00-00-31-1800-0199-0030"</f>
        <v>00-00-31-1800-0199-0030</v>
      </c>
      <c r="H2225" t="str">
        <f>"FELDMAN IRMA K"</f>
        <v>FELDMAN IRMA K</v>
      </c>
      <c r="I2225" t="str">
        <f>"1474 CLINCH DRIVE"</f>
        <v>1474 CLINCH DRIVE</v>
      </c>
      <c r="J2225" t="str">
        <f t="shared" si="833"/>
        <v>FERNANDINA BEACH FL 32034</v>
      </c>
      <c r="K2225" t="str">
        <f>"1474 CLINCH DR"</f>
        <v>1474 CLINCH DR</v>
      </c>
      <c r="L2225" t="str">
        <f t="shared" si="826"/>
        <v>FERNANDINA BEACH FL 32034</v>
      </c>
      <c r="M2225" t="str">
        <f>"BLOCK 199 LOT 3 OR 161 PG 387 CITY OF FDNA BEACH"</f>
        <v>BLOCK 199 LOT 3 OR 161 PG 387 CITY OF FDNA BEACH</v>
      </c>
      <c r="N2225" t="str">
        <f>""</f>
        <v/>
      </c>
      <c r="O2225" t="str">
        <f>"12424"</f>
        <v>12424</v>
      </c>
      <c r="P2225" t="str">
        <f t="shared" si="821"/>
        <v>2017</v>
      </c>
      <c r="Q2225" t="str">
        <f>""</f>
        <v/>
      </c>
      <c r="R2225" t="str">
        <f>"Y"</f>
        <v>Y</v>
      </c>
      <c r="S2225" t="str">
        <f>""</f>
        <v/>
      </c>
      <c r="T2225" t="str">
        <f>"398.76"</f>
        <v>398.76</v>
      </c>
      <c r="U2225" t="str">
        <f>"53291.00"</f>
        <v>53291.00</v>
      </c>
      <c r="V2225" t="str">
        <f>"53291.00"</f>
        <v>53291.00</v>
      </c>
      <c r="W2225" t="str">
        <f t="shared" si="822"/>
        <v>2017</v>
      </c>
      <c r="X2225" t="str">
        <f>"24.00"</f>
        <v>24.00</v>
      </c>
      <c r="Y2225" t="str">
        <f>"442.72"</f>
        <v>442.72</v>
      </c>
      <c r="Z2225" t="str">
        <f>"25500.00"</f>
        <v>25500.00</v>
      </c>
      <c r="AA2225" t="str">
        <f>"27791.00"</f>
        <v>27791.00</v>
      </c>
      <c r="AB2225" t="str">
        <f t="shared" si="835"/>
        <v>Residential</v>
      </c>
      <c r="AC2225" t="str">
        <f t="shared" si="829"/>
        <v>0</v>
      </c>
      <c r="AD2225" t="str">
        <f>"3"</f>
        <v>3</v>
      </c>
      <c r="AE2225" t="str">
        <f>"MASONRY"</f>
        <v>MASONRY</v>
      </c>
      <c r="AF2225" t="str">
        <f>"001"</f>
        <v>001</v>
      </c>
      <c r="AG2225" t="str">
        <f t="shared" si="832"/>
        <v>FL</v>
      </c>
      <c r="AH2225" t="str">
        <f>"10000.00"</f>
        <v>10000.00</v>
      </c>
      <c r="AI2225" t="str">
        <f>"38250.00"</f>
        <v>38250.00</v>
      </c>
      <c r="AJ2225" t="str">
        <f>"C55-000-585-9840-0"</f>
        <v>C55-000-585-9840-0</v>
      </c>
      <c r="AK2225" t="str">
        <f>"49357"</f>
        <v>49357</v>
      </c>
      <c r="AL2225">
        <v>8</v>
      </c>
      <c r="AM2225">
        <v>2542</v>
      </c>
      <c r="AN2225">
        <v>463.26</v>
      </c>
      <c r="AQ2225" t="s">
        <v>21487</v>
      </c>
      <c r="AR2225" t="s">
        <v>21487</v>
      </c>
      <c r="AS2225" t="s">
        <v>21487</v>
      </c>
      <c r="AU2225" t="s">
        <v>396</v>
      </c>
      <c r="AV2225">
        <v>2017</v>
      </c>
      <c r="AW2225" t="str">
        <f>"00-00-31-1800-0199-0030 "</f>
        <v xml:space="preserve">00-00-31-1800-0199-0030 </v>
      </c>
      <c r="AX2225">
        <v>1474</v>
      </c>
      <c r="AZ2225" t="s">
        <v>19024</v>
      </c>
      <c r="BA2225" t="s">
        <v>669</v>
      </c>
      <c r="BD2225" t="s">
        <v>11749</v>
      </c>
      <c r="BE2225" t="s">
        <v>393</v>
      </c>
      <c r="BF2225">
        <v>32034</v>
      </c>
      <c r="BG2225" t="s">
        <v>21488</v>
      </c>
      <c r="BH2225" t="s">
        <v>11751</v>
      </c>
      <c r="BI2225">
        <v>-81.462176224312898</v>
      </c>
      <c r="BJ2225">
        <v>30.6524341532993</v>
      </c>
      <c r="BK2225" t="s">
        <v>21489</v>
      </c>
      <c r="BM2225" t="s">
        <v>21488</v>
      </c>
      <c r="BN2225" t="s">
        <v>3983</v>
      </c>
      <c r="BO2225">
        <v>32034</v>
      </c>
      <c r="BP2225" t="s">
        <v>416</v>
      </c>
      <c r="BQ2225">
        <v>100</v>
      </c>
      <c r="BR2225" t="s">
        <v>514</v>
      </c>
      <c r="BS2225">
        <v>1001</v>
      </c>
      <c r="BT2225" t="s">
        <v>515</v>
      </c>
      <c r="BU2225">
        <v>1000</v>
      </c>
      <c r="BV2225">
        <v>1000</v>
      </c>
      <c r="BW2225">
        <v>9485</v>
      </c>
      <c r="BX2225" t="s">
        <v>407</v>
      </c>
      <c r="BZ2225">
        <v>3</v>
      </c>
      <c r="CA2225">
        <v>1964</v>
      </c>
      <c r="CB2225">
        <v>1</v>
      </c>
      <c r="CC2225">
        <v>1</v>
      </c>
      <c r="CD2225">
        <v>2017</v>
      </c>
      <c r="CG2225">
        <v>53291</v>
      </c>
      <c r="CH2225">
        <v>2017</v>
      </c>
      <c r="CI2225">
        <v>38250</v>
      </c>
      <c r="CJ2225">
        <v>56803</v>
      </c>
      <c r="CK2225">
        <v>95053</v>
      </c>
      <c r="CL2225">
        <v>2017</v>
      </c>
      <c r="CM2225">
        <v>398.76</v>
      </c>
      <c r="CN2225" s="1">
        <v>26665</v>
      </c>
      <c r="CO2225">
        <v>24000</v>
      </c>
      <c r="CZ2225" s="1">
        <v>26665</v>
      </c>
      <c r="DD2225" t="s">
        <v>11749</v>
      </c>
      <c r="DF2225">
        <v>3</v>
      </c>
      <c r="DG2225">
        <v>24</v>
      </c>
      <c r="DL2225">
        <v>50202</v>
      </c>
      <c r="DM2225" t="s">
        <v>15205</v>
      </c>
      <c r="DO2225" t="s">
        <v>21490</v>
      </c>
      <c r="DP2225">
        <v>0</v>
      </c>
      <c r="DQ2225">
        <v>0</v>
      </c>
      <c r="DR2225" t="s">
        <v>411</v>
      </c>
      <c r="EP2225" t="s">
        <v>421</v>
      </c>
      <c r="EQ2225" t="s">
        <v>422</v>
      </c>
      <c r="ER2225">
        <v>0</v>
      </c>
      <c r="ES2225">
        <v>2</v>
      </c>
      <c r="ET2225">
        <v>0</v>
      </c>
      <c r="EU2225">
        <v>0</v>
      </c>
      <c r="EV2225">
        <v>0</v>
      </c>
      <c r="EW2225" s="2">
        <v>43222</v>
      </c>
      <c r="EX2225" s="1">
        <v>41423</v>
      </c>
      <c r="EY2225">
        <v>2012</v>
      </c>
      <c r="EZ2225">
        <v>424.08</v>
      </c>
      <c r="FA2225" t="s">
        <v>21491</v>
      </c>
      <c r="FB2225">
        <v>0.25</v>
      </c>
      <c r="FC2225" t="s">
        <v>424</v>
      </c>
      <c r="FD2225" t="s">
        <v>425</v>
      </c>
      <c r="FF2225">
        <v>22</v>
      </c>
      <c r="FG2225">
        <v>11153</v>
      </c>
      <c r="FH2225" t="s">
        <v>3643</v>
      </c>
      <c r="FJ2225" s="1">
        <v>41423</v>
      </c>
      <c r="FK2225">
        <v>2012</v>
      </c>
      <c r="FL2225">
        <v>424.08</v>
      </c>
      <c r="FM2225" t="s">
        <v>21491</v>
      </c>
      <c r="FN2225">
        <v>0.25</v>
      </c>
      <c r="FO2225" t="s">
        <v>424</v>
      </c>
      <c r="FP2225" t="s">
        <v>425</v>
      </c>
      <c r="FQ2225" s="1">
        <v>42130</v>
      </c>
      <c r="FR2225">
        <v>24</v>
      </c>
      <c r="FS2225">
        <v>1130</v>
      </c>
      <c r="FT2225" t="s">
        <v>6717</v>
      </c>
    </row>
    <row r="2226" spans="1:272" x14ac:dyDescent="0.25">
      <c r="A2226">
        <v>16487233</v>
      </c>
      <c r="B2226">
        <v>2225</v>
      </c>
      <c r="C2226" t="s">
        <v>393</v>
      </c>
      <c r="D2226" t="s">
        <v>394</v>
      </c>
      <c r="F2226" t="str">
        <f>"00-00-31-1800-0199-0081"</f>
        <v>00-00-31-1800-0199-0081</v>
      </c>
      <c r="H2226" t="str">
        <f>"BRAND JANICE"</f>
        <v>BRAND JANICE</v>
      </c>
      <c r="I2226" t="str">
        <f>"3163 GLENRIDGE DR"</f>
        <v>3163 GLENRIDGE DR</v>
      </c>
      <c r="J2226" t="str">
        <f>"PALM HARBOR FL 34685"</f>
        <v>PALM HARBOR FL 34685</v>
      </c>
      <c r="K2226" t="str">
        <f>"CLINCH DR"</f>
        <v>CLINCH DR</v>
      </c>
      <c r="L2226" t="str">
        <f t="shared" si="826"/>
        <v>FERNANDINA BEACH FL 32034</v>
      </c>
      <c r="M2226" t="str">
        <f>"BLOCK 199 N10 FT OF LOT 8 &amp; PARCEL 4-1 OF SEC 24-3N-28 IN OR 1891/1356 CITY OF FDNA BEACH"</f>
        <v>BLOCK 199 N10 FT OF LOT 8 &amp; PARCEL 4-1 OF SEC 24-3N-28 IN OR 1891/1356 CITY OF FDNA BEACH</v>
      </c>
      <c r="N2226" t="str">
        <f>""</f>
        <v/>
      </c>
      <c r="O2226" t="str">
        <f>"12428"</f>
        <v>12428</v>
      </c>
      <c r="P2226" t="str">
        <f t="shared" si="821"/>
        <v>2017</v>
      </c>
      <c r="Q2226" t="str">
        <f>""</f>
        <v/>
      </c>
      <c r="R2226" t="str">
        <f t="shared" ref="R2226:R2234" si="836">"N"</f>
        <v>N</v>
      </c>
      <c r="S2226" t="str">
        <f>""</f>
        <v/>
      </c>
      <c r="T2226" t="str">
        <f>"249.37"</f>
        <v>249.37</v>
      </c>
      <c r="U2226" t="str">
        <f>"10632.00"</f>
        <v>10632.00</v>
      </c>
      <c r="V2226" t="str">
        <f>"10632.00"</f>
        <v>10632.00</v>
      </c>
      <c r="W2226" t="str">
        <f t="shared" si="822"/>
        <v>2017</v>
      </c>
      <c r="X2226" t="str">
        <f>"20.00"</f>
        <v>20.00</v>
      </c>
      <c r="Y2226" t="str">
        <f>"288.85"</f>
        <v>288.85</v>
      </c>
      <c r="Z2226" t="str">
        <f>""</f>
        <v/>
      </c>
      <c r="AA2226" t="str">
        <f>"23625.00"</f>
        <v>23625.00</v>
      </c>
      <c r="AB2226" t="str">
        <f t="shared" si="835"/>
        <v>Residential</v>
      </c>
      <c r="AC2226" t="str">
        <f t="shared" si="829"/>
        <v>0</v>
      </c>
      <c r="AD2226" t="str">
        <f>""</f>
        <v/>
      </c>
      <c r="AE2226" t="str">
        <f>""</f>
        <v/>
      </c>
      <c r="AF2226" t="str">
        <f>"000"</f>
        <v>000</v>
      </c>
      <c r="AG2226" t="str">
        <f t="shared" si="832"/>
        <v>FL</v>
      </c>
      <c r="AH2226" t="str">
        <f>"7000.00"</f>
        <v>7000.00</v>
      </c>
      <c r="AI2226" t="str">
        <f>"23625.00"</f>
        <v>23625.00</v>
      </c>
      <c r="AJ2226" t="str">
        <f>"C55-000-585-9844-2"</f>
        <v>C55-000-585-9844-2</v>
      </c>
      <c r="AK2226" t="str">
        <f>"49361"</f>
        <v>49361</v>
      </c>
      <c r="AL2226">
        <v>8</v>
      </c>
      <c r="AM2226">
        <v>2543</v>
      </c>
      <c r="AN2226">
        <v>301.69</v>
      </c>
      <c r="AQ2226" t="s">
        <v>21492</v>
      </c>
      <c r="AR2226" t="s">
        <v>21492</v>
      </c>
      <c r="AS2226" t="s">
        <v>21492</v>
      </c>
      <c r="AU2226" t="s">
        <v>396</v>
      </c>
      <c r="AV2226">
        <v>2017</v>
      </c>
      <c r="AW2226" t="str">
        <f>"00-00-31-1800-0199-0081 "</f>
        <v xml:space="preserve">00-00-31-1800-0199-0081 </v>
      </c>
      <c r="AZ2226" t="s">
        <v>19024</v>
      </c>
      <c r="BA2226" t="s">
        <v>669</v>
      </c>
      <c r="BD2226" t="s">
        <v>11749</v>
      </c>
      <c r="BE2226" t="s">
        <v>393</v>
      </c>
      <c r="BF2226">
        <v>32034</v>
      </c>
      <c r="BG2226" t="s">
        <v>19416</v>
      </c>
      <c r="BH2226" t="s">
        <v>11751</v>
      </c>
      <c r="BI2226">
        <v>-81.461752439717799</v>
      </c>
      <c r="BJ2226">
        <v>30.653146613113599</v>
      </c>
      <c r="BK2226" t="s">
        <v>21493</v>
      </c>
      <c r="BM2226" t="s">
        <v>21494</v>
      </c>
      <c r="BN2226" t="s">
        <v>1222</v>
      </c>
      <c r="BO2226">
        <v>34685</v>
      </c>
      <c r="BP2226" t="s">
        <v>404</v>
      </c>
      <c r="BQ2226">
        <v>0</v>
      </c>
      <c r="BR2226" t="s">
        <v>491</v>
      </c>
      <c r="BS2226">
        <v>8001</v>
      </c>
      <c r="BT2226" t="s">
        <v>492</v>
      </c>
      <c r="BU2226">
        <v>700</v>
      </c>
      <c r="BV2226">
        <v>1000</v>
      </c>
      <c r="BW2226">
        <v>7000</v>
      </c>
      <c r="BX2226" t="s">
        <v>407</v>
      </c>
      <c r="CD2226">
        <v>2017</v>
      </c>
      <c r="CE2226">
        <v>23625</v>
      </c>
      <c r="CG2226">
        <v>23625</v>
      </c>
      <c r="CH2226">
        <v>2017</v>
      </c>
      <c r="CI2226">
        <v>23625</v>
      </c>
      <c r="CK2226">
        <v>23625</v>
      </c>
      <c r="CL2226">
        <v>2017</v>
      </c>
      <c r="CM2226">
        <v>249.37</v>
      </c>
      <c r="CN2226" s="1">
        <v>41591</v>
      </c>
      <c r="CZ2226" s="1">
        <v>41591</v>
      </c>
      <c r="DD2226" t="s">
        <v>11749</v>
      </c>
      <c r="DF2226">
        <v>8</v>
      </c>
      <c r="DG2226">
        <v>24</v>
      </c>
      <c r="DL2226">
        <v>50202</v>
      </c>
      <c r="DM2226" t="s">
        <v>15205</v>
      </c>
      <c r="DO2226" t="s">
        <v>21495</v>
      </c>
      <c r="DP2226">
        <v>0</v>
      </c>
      <c r="DQ2226">
        <v>0</v>
      </c>
      <c r="DR2226" t="s">
        <v>411</v>
      </c>
      <c r="EP2226" t="s">
        <v>421</v>
      </c>
      <c r="EQ2226" t="s">
        <v>422</v>
      </c>
      <c r="ER2226">
        <v>0</v>
      </c>
      <c r="ES2226">
        <v>4</v>
      </c>
      <c r="ET2226">
        <v>0</v>
      </c>
      <c r="EU2226">
        <v>0</v>
      </c>
      <c r="EV2226">
        <v>0</v>
      </c>
      <c r="EW2226" s="2">
        <v>43222</v>
      </c>
      <c r="EX2226" s="1">
        <v>41787</v>
      </c>
      <c r="EY2226">
        <v>2013</v>
      </c>
      <c r="EZ2226">
        <v>179.88</v>
      </c>
      <c r="FA2226" t="s">
        <v>21496</v>
      </c>
      <c r="FB2226">
        <v>12</v>
      </c>
      <c r="FC2226" t="s">
        <v>424</v>
      </c>
      <c r="FD2226" t="s">
        <v>425</v>
      </c>
      <c r="FE2226" s="1">
        <v>42062</v>
      </c>
      <c r="FF2226">
        <v>9</v>
      </c>
      <c r="FG2226">
        <v>10125</v>
      </c>
      <c r="FH2226" t="s">
        <v>440</v>
      </c>
      <c r="FJ2226" s="1">
        <v>41423</v>
      </c>
      <c r="FK2226">
        <v>2012</v>
      </c>
      <c r="FL2226">
        <v>181.82</v>
      </c>
      <c r="FM2226" t="s">
        <v>21497</v>
      </c>
      <c r="FN2226">
        <v>4.75</v>
      </c>
      <c r="FO2226" t="s">
        <v>424</v>
      </c>
      <c r="FP2226" t="s">
        <v>425</v>
      </c>
      <c r="FQ2226" s="1">
        <v>42053</v>
      </c>
      <c r="FR2226">
        <v>21</v>
      </c>
      <c r="FS2226">
        <v>10125</v>
      </c>
      <c r="FT2226" t="s">
        <v>440</v>
      </c>
      <c r="FV2226" s="1">
        <v>41052</v>
      </c>
      <c r="FW2226">
        <v>2011</v>
      </c>
      <c r="FX2226">
        <v>294.13</v>
      </c>
      <c r="FY2226" t="s">
        <v>21498</v>
      </c>
      <c r="FZ2226">
        <v>7</v>
      </c>
      <c r="GA2226" t="s">
        <v>424</v>
      </c>
      <c r="GB2226" t="s">
        <v>425</v>
      </c>
      <c r="GC2226" s="1">
        <v>41730</v>
      </c>
      <c r="GD2226">
        <v>23</v>
      </c>
      <c r="GE2226">
        <v>10125</v>
      </c>
      <c r="GF2226" t="s">
        <v>440</v>
      </c>
      <c r="GH2226" s="1">
        <v>40688</v>
      </c>
      <c r="GI2226">
        <v>2010</v>
      </c>
      <c r="GJ2226">
        <v>294.52</v>
      </c>
      <c r="GK2226" t="s">
        <v>21499</v>
      </c>
      <c r="GL2226">
        <v>10</v>
      </c>
      <c r="GM2226" t="s">
        <v>424</v>
      </c>
      <c r="GN2226" t="s">
        <v>425</v>
      </c>
      <c r="GO2226" s="1">
        <v>41330</v>
      </c>
      <c r="GP2226">
        <v>21</v>
      </c>
      <c r="GQ2226">
        <v>10125</v>
      </c>
      <c r="GR2226" t="s">
        <v>440</v>
      </c>
    </row>
    <row r="2227" spans="1:272" x14ac:dyDescent="0.25">
      <c r="A2227">
        <v>16487234</v>
      </c>
      <c r="B2227">
        <v>2226</v>
      </c>
      <c r="C2227" t="s">
        <v>393</v>
      </c>
      <c r="D2227" t="s">
        <v>394</v>
      </c>
      <c r="F2227" t="str">
        <f>"00-00-31-1800-0201-0010"</f>
        <v>00-00-31-1800-0201-0010</v>
      </c>
      <c r="H2227" t="str">
        <f>"PLATT MICHAEL V EST"</f>
        <v>PLATT MICHAEL V EST</v>
      </c>
      <c r="I2227" t="str">
        <f>"1411 S 6TH ST"</f>
        <v>1411 S 6TH ST</v>
      </c>
      <c r="J2227" t="str">
        <f>"FERNANDINA BEACH FL 32034"</f>
        <v>FERNANDINA BEACH FL 32034</v>
      </c>
      <c r="K2227" t="str">
        <f>"514 NOVELTY ST"</f>
        <v>514 NOVELTY ST</v>
      </c>
      <c r="L2227" t="str">
        <f t="shared" si="826"/>
        <v>FERNANDINA BEACH FL 32034</v>
      </c>
      <c r="M2227" t="str">
        <f>"BLOCK 201 LOTS 1 &amp; 8 R787411 IN OR 906/620 CITY OF FDNA BEACH"</f>
        <v>BLOCK 201 LOTS 1 &amp; 8 R787411 IN OR 906/620 CITY OF FDNA BEACH</v>
      </c>
      <c r="N2227" t="str">
        <f>""</f>
        <v/>
      </c>
      <c r="O2227" t="str">
        <f>"12437"</f>
        <v>12437</v>
      </c>
      <c r="P2227" t="str">
        <f t="shared" si="821"/>
        <v>2017</v>
      </c>
      <c r="Q2227" t="str">
        <f>""</f>
        <v/>
      </c>
      <c r="R2227" t="str">
        <f t="shared" si="836"/>
        <v>N</v>
      </c>
      <c r="S2227" t="str">
        <f>""</f>
        <v/>
      </c>
      <c r="T2227" t="str">
        <f>"763.88"</f>
        <v>763.88</v>
      </c>
      <c r="U2227" t="str">
        <f>"47599.00"</f>
        <v>47599.00</v>
      </c>
      <c r="V2227" t="str">
        <f>"47599.00"</f>
        <v>47599.00</v>
      </c>
      <c r="W2227" t="str">
        <f t="shared" si="822"/>
        <v>2017</v>
      </c>
      <c r="X2227" t="str">
        <f>"16.75"</f>
        <v>16.75</v>
      </c>
      <c r="Y2227" t="str">
        <f>"818.80"</f>
        <v>818.80</v>
      </c>
      <c r="Z2227" t="str">
        <f>""</f>
        <v/>
      </c>
      <c r="AA2227" t="str">
        <f>"52345.00"</f>
        <v>52345.00</v>
      </c>
      <c r="AB2227" t="str">
        <f t="shared" si="835"/>
        <v>Residential</v>
      </c>
      <c r="AC2227" t="str">
        <f t="shared" si="829"/>
        <v>0</v>
      </c>
      <c r="AD2227" t="str">
        <f>"4"</f>
        <v>4</v>
      </c>
      <c r="AE2227" t="str">
        <f>"WOOD (INCLUDE STEEL STUDS)"</f>
        <v>WOOD (INCLUDE STEEL STUDS)</v>
      </c>
      <c r="AF2227" t="str">
        <f>"002"</f>
        <v>002</v>
      </c>
      <c r="AG2227" t="str">
        <f t="shared" si="832"/>
        <v>FL</v>
      </c>
      <c r="AH2227" t="str">
        <f>"20000.00"</f>
        <v>20000.00</v>
      </c>
      <c r="AI2227" t="str">
        <f>"48800.00"</f>
        <v>48800.00</v>
      </c>
      <c r="AJ2227" t="str">
        <f>"C55-000-585-9853-3"</f>
        <v>C55-000-585-9853-3</v>
      </c>
      <c r="AK2227" t="str">
        <f>"49370"</f>
        <v>49370</v>
      </c>
      <c r="AL2227">
        <v>8</v>
      </c>
      <c r="AM2227">
        <v>2544</v>
      </c>
      <c r="AN2227">
        <v>858.14</v>
      </c>
      <c r="AQ2227" t="s">
        <v>21500</v>
      </c>
      <c r="AR2227" t="s">
        <v>21500</v>
      </c>
      <c r="AS2227" t="s">
        <v>21500</v>
      </c>
      <c r="AU2227" t="s">
        <v>396</v>
      </c>
      <c r="AV2227">
        <v>2017</v>
      </c>
      <c r="AW2227" t="str">
        <f>"00-00-31-1800-0201-0010 "</f>
        <v xml:space="preserve">00-00-31-1800-0201-0010 </v>
      </c>
      <c r="AX2227">
        <v>514</v>
      </c>
      <c r="AZ2227" t="s">
        <v>21501</v>
      </c>
      <c r="BA2227" t="s">
        <v>1942</v>
      </c>
      <c r="BD2227" t="s">
        <v>11749</v>
      </c>
      <c r="BE2227" t="s">
        <v>393</v>
      </c>
      <c r="BF2227">
        <v>32034</v>
      </c>
      <c r="BG2227" t="s">
        <v>21502</v>
      </c>
      <c r="BH2227" t="s">
        <v>11751</v>
      </c>
      <c r="BI2227">
        <v>-81.463568735704499</v>
      </c>
      <c r="BJ2227">
        <v>30.653154904573501</v>
      </c>
      <c r="BK2227" t="s">
        <v>21503</v>
      </c>
      <c r="BM2227" t="s">
        <v>21504</v>
      </c>
      <c r="BN2227" t="s">
        <v>3983</v>
      </c>
      <c r="BO2227">
        <v>32034</v>
      </c>
      <c r="BP2227" t="s">
        <v>404</v>
      </c>
      <c r="BQ2227">
        <v>200</v>
      </c>
      <c r="BR2227" t="s">
        <v>405</v>
      </c>
      <c r="BS2227">
        <v>1006</v>
      </c>
      <c r="BT2227" t="s">
        <v>406</v>
      </c>
      <c r="BU2227">
        <v>1000</v>
      </c>
      <c r="BV2227">
        <v>2000</v>
      </c>
      <c r="BW2227">
        <v>20000</v>
      </c>
      <c r="BX2227" t="s">
        <v>407</v>
      </c>
      <c r="BZ2227">
        <v>4</v>
      </c>
      <c r="CA2227">
        <v>1972</v>
      </c>
      <c r="CB2227">
        <v>1</v>
      </c>
      <c r="CC2227">
        <v>1</v>
      </c>
      <c r="CD2227">
        <v>2017</v>
      </c>
      <c r="CE2227">
        <v>48800</v>
      </c>
      <c r="CF2227">
        <v>3545</v>
      </c>
      <c r="CG2227">
        <v>52345</v>
      </c>
      <c r="CH2227">
        <v>2017</v>
      </c>
      <c r="CI2227">
        <v>48800</v>
      </c>
      <c r="CJ2227">
        <v>3545</v>
      </c>
      <c r="CK2227">
        <v>52345</v>
      </c>
      <c r="CL2227">
        <v>2017</v>
      </c>
      <c r="CM2227">
        <v>763.88</v>
      </c>
      <c r="CN2227" s="1">
        <v>36466</v>
      </c>
      <c r="CO2227">
        <v>40000</v>
      </c>
      <c r="CZ2227" s="1">
        <v>36466</v>
      </c>
      <c r="DD2227" t="s">
        <v>11749</v>
      </c>
      <c r="DG2227">
        <v>24</v>
      </c>
      <c r="DL2227">
        <v>50202</v>
      </c>
      <c r="DM2227" t="s">
        <v>15205</v>
      </c>
      <c r="DO2227" t="s">
        <v>21505</v>
      </c>
      <c r="DP2227">
        <v>0</v>
      </c>
      <c r="DQ2227">
        <v>0</v>
      </c>
      <c r="DR2227" t="s">
        <v>411</v>
      </c>
      <c r="DS2227" t="b">
        <v>1</v>
      </c>
      <c r="DT2227" t="s">
        <v>470</v>
      </c>
      <c r="DU2227" t="s">
        <v>471</v>
      </c>
      <c r="DV2227" t="s">
        <v>472</v>
      </c>
      <c r="DX2227">
        <v>-9999</v>
      </c>
      <c r="DZ2227" t="s">
        <v>447</v>
      </c>
      <c r="EA2227" t="s">
        <v>448</v>
      </c>
      <c r="EB2227" t="s">
        <v>14787</v>
      </c>
      <c r="EC2227">
        <v>20101217</v>
      </c>
      <c r="ED2227" t="s">
        <v>474</v>
      </c>
      <c r="EF2227">
        <v>142.1</v>
      </c>
      <c r="EG2227">
        <v>71.900000000000006</v>
      </c>
      <c r="EI2227">
        <v>20160407</v>
      </c>
      <c r="EJ2227">
        <v>0</v>
      </c>
      <c r="EK2227">
        <v>0</v>
      </c>
      <c r="EP2227" t="s">
        <v>421</v>
      </c>
      <c r="EQ2227" t="s">
        <v>422</v>
      </c>
      <c r="ER2227">
        <v>0</v>
      </c>
      <c r="ES2227">
        <v>5</v>
      </c>
      <c r="ET2227">
        <v>0</v>
      </c>
      <c r="EU2227">
        <v>0</v>
      </c>
      <c r="EV2227">
        <v>0</v>
      </c>
      <c r="EW2227" s="2">
        <v>43222</v>
      </c>
      <c r="EX2227" s="1">
        <v>42515</v>
      </c>
      <c r="EY2227">
        <v>2015</v>
      </c>
      <c r="EZ2227">
        <v>792.89</v>
      </c>
      <c r="FA2227" t="s">
        <v>21506</v>
      </c>
      <c r="FB2227">
        <v>0.25</v>
      </c>
      <c r="FC2227" t="s">
        <v>424</v>
      </c>
      <c r="FD2227" t="s">
        <v>425</v>
      </c>
      <c r="FE2227" s="1">
        <v>42753</v>
      </c>
      <c r="FF2227">
        <v>8</v>
      </c>
      <c r="FG2227">
        <v>2851116</v>
      </c>
      <c r="FH2227" t="s">
        <v>480</v>
      </c>
      <c r="FJ2227" s="1">
        <v>42515</v>
      </c>
      <c r="FK2227">
        <v>2015</v>
      </c>
      <c r="FL2227">
        <v>792.89</v>
      </c>
      <c r="FM2227" t="s">
        <v>21506</v>
      </c>
      <c r="FN2227">
        <v>0.25</v>
      </c>
      <c r="FO2227" t="s">
        <v>424</v>
      </c>
      <c r="FP2227" t="s">
        <v>425</v>
      </c>
      <c r="FR2227">
        <v>22</v>
      </c>
      <c r="FS2227">
        <v>5736402</v>
      </c>
      <c r="FT2227" t="s">
        <v>21507</v>
      </c>
      <c r="FV2227" s="1">
        <v>41787</v>
      </c>
      <c r="FW2227">
        <v>2013</v>
      </c>
      <c r="FX2227">
        <v>768.89</v>
      </c>
      <c r="FY2227" t="s">
        <v>21508</v>
      </c>
      <c r="FZ2227">
        <v>0.25</v>
      </c>
      <c r="GA2227" t="s">
        <v>424</v>
      </c>
      <c r="GB2227" t="s">
        <v>425</v>
      </c>
      <c r="GC2227" s="1">
        <v>42038</v>
      </c>
      <c r="GD2227">
        <v>9</v>
      </c>
      <c r="GE2227">
        <v>13026</v>
      </c>
      <c r="GF2227" t="s">
        <v>2129</v>
      </c>
      <c r="GH2227" s="1">
        <v>41052</v>
      </c>
      <c r="GI2227">
        <v>2011</v>
      </c>
      <c r="GJ2227">
        <v>986.23</v>
      </c>
      <c r="GK2227" t="s">
        <v>21509</v>
      </c>
      <c r="GL2227">
        <v>5</v>
      </c>
      <c r="GM2227" t="s">
        <v>424</v>
      </c>
      <c r="GN2227" t="s">
        <v>425</v>
      </c>
      <c r="GO2227" s="1">
        <v>41339</v>
      </c>
      <c r="GP2227">
        <v>10</v>
      </c>
      <c r="GQ2227">
        <v>10579</v>
      </c>
      <c r="GR2227" t="s">
        <v>488</v>
      </c>
      <c r="GT2227" s="1">
        <v>40688</v>
      </c>
      <c r="GU2227">
        <v>2010</v>
      </c>
      <c r="GV2227">
        <v>618.49</v>
      </c>
      <c r="GW2227" t="s">
        <v>21510</v>
      </c>
      <c r="GX2227">
        <v>3.75</v>
      </c>
      <c r="GY2227" t="s">
        <v>424</v>
      </c>
      <c r="GZ2227" t="s">
        <v>425</v>
      </c>
      <c r="HA2227" s="1">
        <v>41339</v>
      </c>
      <c r="HB2227">
        <v>22</v>
      </c>
      <c r="HC2227">
        <v>11141</v>
      </c>
      <c r="HD2227" t="s">
        <v>1723</v>
      </c>
    </row>
    <row r="2228" spans="1:272" x14ac:dyDescent="0.25">
      <c r="A2228">
        <v>16487235</v>
      </c>
      <c r="B2228">
        <v>2227</v>
      </c>
      <c r="C2228" t="s">
        <v>393</v>
      </c>
      <c r="D2228" t="s">
        <v>394</v>
      </c>
      <c r="F2228" t="str">
        <f>"00-00-31-1800-0201-0020"</f>
        <v>00-00-31-1800-0201-0020</v>
      </c>
      <c r="H2228" t="str">
        <f>"HOOPER SPICER EST C/O MARGARET S TURNER"</f>
        <v>HOOPER SPICER EST C/O MARGARET S TURNER</v>
      </c>
      <c r="I2228" t="str">
        <f>"1412 SO NAPA ST"</f>
        <v>1412 SO NAPA ST</v>
      </c>
      <c r="J2228" t="str">
        <f>"PHILDELPHIA PA 19146"</f>
        <v>PHILDELPHIA PA 19146</v>
      </c>
      <c r="K2228" t="str">
        <f>"1466 S 5TH ST"</f>
        <v>1466 S 5TH ST</v>
      </c>
      <c r="L2228" t="str">
        <f t="shared" si="826"/>
        <v>FERNANDINA BEACH FL 32034</v>
      </c>
      <c r="M2228" t="str">
        <f>"BLOCK 201 LOT 2 CITY OF FDNA BEACH"</f>
        <v>BLOCK 201 LOT 2 CITY OF FDNA BEACH</v>
      </c>
      <c r="N2228" t="str">
        <f>""</f>
        <v/>
      </c>
      <c r="O2228" t="str">
        <f>"12438"</f>
        <v>12438</v>
      </c>
      <c r="P2228" t="str">
        <f t="shared" si="821"/>
        <v>2017</v>
      </c>
      <c r="Q2228" t="str">
        <f>""</f>
        <v/>
      </c>
      <c r="R2228" t="str">
        <f t="shared" si="836"/>
        <v>N</v>
      </c>
      <c r="S2228" t="str">
        <f>""</f>
        <v/>
      </c>
      <c r="T2228" t="str">
        <f>"462.61"</f>
        <v>462.61</v>
      </c>
      <c r="U2228" t="str">
        <f>"28600.00"</f>
        <v>28600.00</v>
      </c>
      <c r="V2228" t="str">
        <f>"28600.00"</f>
        <v>28600.00</v>
      </c>
      <c r="W2228" t="str">
        <f t="shared" si="822"/>
        <v>2017</v>
      </c>
      <c r="X2228" t="str">
        <f>"21.60"</f>
        <v>21.60</v>
      </c>
      <c r="Y2228" t="str">
        <f>"508.49"</f>
        <v>508.49</v>
      </c>
      <c r="Z2228" t="str">
        <f>""</f>
        <v/>
      </c>
      <c r="AA2228" t="str">
        <f>"32000.00"</f>
        <v>32000.00</v>
      </c>
      <c r="AB2228" t="str">
        <f t="shared" si="835"/>
        <v>Residential</v>
      </c>
      <c r="AC2228" t="str">
        <f t="shared" si="829"/>
        <v>0</v>
      </c>
      <c r="AD2228" t="str">
        <f>""</f>
        <v/>
      </c>
      <c r="AE2228" t="str">
        <f>""</f>
        <v/>
      </c>
      <c r="AF2228" t="str">
        <f>"000"</f>
        <v>000</v>
      </c>
      <c r="AG2228" t="str">
        <f>"PA"</f>
        <v>PA</v>
      </c>
      <c r="AH2228" t="str">
        <f>"10000.00"</f>
        <v>10000.00</v>
      </c>
      <c r="AI2228" t="str">
        <f>"32000.00"</f>
        <v>32000.00</v>
      </c>
      <c r="AJ2228" t="str">
        <f>"C55-000-585-9854-1"</f>
        <v>C55-000-585-9854-1</v>
      </c>
      <c r="AK2228" t="str">
        <f>"49371"</f>
        <v>49371</v>
      </c>
      <c r="AL2228">
        <v>8</v>
      </c>
      <c r="AM2228">
        <v>2545</v>
      </c>
      <c r="AN2228">
        <v>532.30999999999995</v>
      </c>
      <c r="AQ2228" t="s">
        <v>21511</v>
      </c>
      <c r="AR2228" t="s">
        <v>21511</v>
      </c>
      <c r="AS2228" t="s">
        <v>21511</v>
      </c>
      <c r="AU2228" t="s">
        <v>396</v>
      </c>
      <c r="AV2228">
        <v>2017</v>
      </c>
      <c r="AW2228" t="str">
        <f>"00-00-31-1800-0201-0020 "</f>
        <v xml:space="preserve">00-00-31-1800-0201-0020 </v>
      </c>
      <c r="AX2228">
        <v>1466</v>
      </c>
      <c r="AY2228" t="s">
        <v>18674</v>
      </c>
      <c r="AZ2228" t="s">
        <v>20702</v>
      </c>
      <c r="BA2228" t="s">
        <v>1942</v>
      </c>
      <c r="BD2228" t="s">
        <v>11749</v>
      </c>
      <c r="BE2228" t="s">
        <v>393</v>
      </c>
      <c r="BF2228">
        <v>32034</v>
      </c>
      <c r="BG2228" t="s">
        <v>21512</v>
      </c>
      <c r="BH2228" t="s">
        <v>11751</v>
      </c>
      <c r="BI2228">
        <v>-81.463768320416605</v>
      </c>
      <c r="BJ2228">
        <v>30.652901147226899</v>
      </c>
      <c r="BK2228" t="s">
        <v>21513</v>
      </c>
      <c r="BM2228" t="s">
        <v>21514</v>
      </c>
      <c r="BN2228" t="s">
        <v>16603</v>
      </c>
      <c r="BO2228">
        <v>19146</v>
      </c>
      <c r="BP2228" t="s">
        <v>404</v>
      </c>
      <c r="BQ2228">
        <v>0</v>
      </c>
      <c r="BR2228" t="s">
        <v>491</v>
      </c>
      <c r="BS2228">
        <v>8001</v>
      </c>
      <c r="BT2228" t="s">
        <v>492</v>
      </c>
      <c r="BU2228">
        <v>1000</v>
      </c>
      <c r="BV2228">
        <v>1000</v>
      </c>
      <c r="BW2228">
        <v>10000</v>
      </c>
      <c r="BX2228" t="s">
        <v>407</v>
      </c>
      <c r="CD2228">
        <v>2017</v>
      </c>
      <c r="CE2228">
        <v>32000</v>
      </c>
      <c r="CG2228">
        <v>32000</v>
      </c>
      <c r="CH2228">
        <v>2017</v>
      </c>
      <c r="CI2228">
        <v>32000</v>
      </c>
      <c r="CK2228">
        <v>32000</v>
      </c>
      <c r="CL2228">
        <v>2017</v>
      </c>
      <c r="CM2228">
        <v>462.61</v>
      </c>
      <c r="DD2228" t="s">
        <v>11749</v>
      </c>
      <c r="DF2228">
        <v>2</v>
      </c>
      <c r="DG2228">
        <v>24</v>
      </c>
      <c r="DL2228">
        <v>50202</v>
      </c>
      <c r="DM2228" t="s">
        <v>15205</v>
      </c>
      <c r="DO2228" t="s">
        <v>21515</v>
      </c>
      <c r="DP2228">
        <v>0</v>
      </c>
      <c r="DQ2228">
        <v>0</v>
      </c>
      <c r="DR2228" t="s">
        <v>411</v>
      </c>
      <c r="DS2228" t="b">
        <v>1</v>
      </c>
      <c r="DT2228" t="s">
        <v>470</v>
      </c>
      <c r="DU2228" t="s">
        <v>471</v>
      </c>
      <c r="DV2228" t="s">
        <v>472</v>
      </c>
      <c r="DX2228">
        <v>-9999</v>
      </c>
      <c r="DZ2228" t="s">
        <v>447</v>
      </c>
      <c r="EA2228" t="s">
        <v>448</v>
      </c>
      <c r="EB2228" t="s">
        <v>14787</v>
      </c>
      <c r="EC2228">
        <v>20101217</v>
      </c>
      <c r="ED2228" t="s">
        <v>474</v>
      </c>
      <c r="EF2228">
        <v>84.3</v>
      </c>
      <c r="EG2228">
        <v>41.5</v>
      </c>
      <c r="EI2228">
        <v>20160407</v>
      </c>
      <c r="EJ2228">
        <v>0</v>
      </c>
      <c r="EK2228">
        <v>0</v>
      </c>
      <c r="EP2228" t="s">
        <v>421</v>
      </c>
      <c r="EQ2228" t="s">
        <v>422</v>
      </c>
      <c r="ER2228">
        <v>0</v>
      </c>
      <c r="ES2228">
        <v>5</v>
      </c>
      <c r="ET2228">
        <v>0</v>
      </c>
      <c r="EU2228">
        <v>0</v>
      </c>
      <c r="EV2228">
        <v>0</v>
      </c>
      <c r="EW2228" s="2">
        <v>43222</v>
      </c>
      <c r="EX2228" s="1">
        <v>42879</v>
      </c>
      <c r="EY2228">
        <v>2016</v>
      </c>
      <c r="EZ2228">
        <v>465.98</v>
      </c>
      <c r="FA2228" t="s">
        <v>21516</v>
      </c>
      <c r="FB2228">
        <v>5.5</v>
      </c>
      <c r="FC2228" t="s">
        <v>424</v>
      </c>
      <c r="FD2228" t="s">
        <v>425</v>
      </c>
      <c r="FE2228" s="1">
        <v>42965</v>
      </c>
      <c r="FF2228">
        <v>3</v>
      </c>
      <c r="FG2228">
        <v>10003</v>
      </c>
      <c r="FH2228" t="s">
        <v>4341</v>
      </c>
      <c r="FJ2228" s="1">
        <v>42151</v>
      </c>
      <c r="FK2228">
        <v>2014</v>
      </c>
      <c r="FL2228">
        <v>470.67</v>
      </c>
      <c r="FM2228" t="s">
        <v>21517</v>
      </c>
      <c r="FN2228">
        <v>15.5</v>
      </c>
      <c r="FO2228" t="s">
        <v>424</v>
      </c>
      <c r="FP2228" t="s">
        <v>425</v>
      </c>
      <c r="FQ2228" s="1">
        <v>42509</v>
      </c>
      <c r="FR2228">
        <v>12</v>
      </c>
      <c r="FS2228">
        <v>10628</v>
      </c>
      <c r="FT2228" t="s">
        <v>943</v>
      </c>
      <c r="FV2228" s="1">
        <v>41787</v>
      </c>
      <c r="FW2228">
        <v>2013</v>
      </c>
      <c r="FX2228">
        <v>446.76</v>
      </c>
      <c r="FY2228" t="s">
        <v>21518</v>
      </c>
      <c r="FZ2228">
        <v>2.75</v>
      </c>
      <c r="GA2228" t="s">
        <v>424</v>
      </c>
      <c r="GB2228" t="s">
        <v>425</v>
      </c>
      <c r="GC2228" s="1">
        <v>42509</v>
      </c>
      <c r="GD2228">
        <v>24</v>
      </c>
      <c r="GE2228">
        <v>10125</v>
      </c>
      <c r="GF2228" t="s">
        <v>440</v>
      </c>
      <c r="GH2228" s="1">
        <v>41052</v>
      </c>
      <c r="GI2228">
        <v>2011</v>
      </c>
      <c r="GJ2228">
        <v>518.44000000000005</v>
      </c>
      <c r="GK2228" t="s">
        <v>21519</v>
      </c>
      <c r="GL2228">
        <v>5.75</v>
      </c>
      <c r="GM2228" t="s">
        <v>424</v>
      </c>
      <c r="GN2228" t="s">
        <v>425</v>
      </c>
      <c r="GO2228" s="1">
        <v>42509</v>
      </c>
      <c r="GP2228">
        <v>48</v>
      </c>
      <c r="GQ2228">
        <v>10125</v>
      </c>
      <c r="GR2228" t="s">
        <v>440</v>
      </c>
      <c r="GT2228" s="1">
        <v>40688</v>
      </c>
      <c r="GU2228">
        <v>2010</v>
      </c>
      <c r="GV2228">
        <v>661.86</v>
      </c>
      <c r="GW2228" t="s">
        <v>21520</v>
      </c>
      <c r="GX2228">
        <v>7.5</v>
      </c>
      <c r="GY2228" t="s">
        <v>424</v>
      </c>
      <c r="GZ2228" t="s">
        <v>425</v>
      </c>
      <c r="HA2228" s="1">
        <v>41333</v>
      </c>
      <c r="HB2228">
        <v>21</v>
      </c>
      <c r="HC2228">
        <v>11064</v>
      </c>
      <c r="HD2228" t="s">
        <v>6946</v>
      </c>
    </row>
    <row r="2229" spans="1:272" x14ac:dyDescent="0.25">
      <c r="A2229">
        <v>16487236</v>
      </c>
      <c r="B2229">
        <v>2228</v>
      </c>
      <c r="C2229" t="s">
        <v>393</v>
      </c>
      <c r="D2229" t="s">
        <v>394</v>
      </c>
      <c r="F2229" t="str">
        <f>"00-00-31-1800-0201-0050"</f>
        <v>00-00-31-1800-0201-0050</v>
      </c>
      <c r="H2229" t="str">
        <f>"HOOPER JACKIE LASHAWN"</f>
        <v>HOOPER JACKIE LASHAWN</v>
      </c>
      <c r="I2229" t="str">
        <f>"86145 FORTUNE DRIVE"</f>
        <v>86145 FORTUNE DRIVE</v>
      </c>
      <c r="J2229" t="str">
        <f>"YULEE FL 32097"</f>
        <v>YULEE FL 32097</v>
      </c>
      <c r="K2229" t="str">
        <f>"S 6TH ST"</f>
        <v>S 6TH ST</v>
      </c>
      <c r="L2229" t="str">
        <f t="shared" si="826"/>
        <v>FERNANDINA BEACH FL 32034</v>
      </c>
      <c r="M2229" t="str">
        <f>"BLOCK 201 LOT 5 IN OR 1518/226 CITY OF FDNA BEACH"</f>
        <v>BLOCK 201 LOT 5 IN OR 1518/226 CITY OF FDNA BEACH</v>
      </c>
      <c r="N2229" t="str">
        <f>""</f>
        <v/>
      </c>
      <c r="O2229" t="str">
        <f>"12441"</f>
        <v>12441</v>
      </c>
      <c r="P2229" t="str">
        <f t="shared" si="821"/>
        <v>2017</v>
      </c>
      <c r="Q2229" t="str">
        <f>""</f>
        <v/>
      </c>
      <c r="R2229" t="str">
        <f t="shared" si="836"/>
        <v>N</v>
      </c>
      <c r="S2229" t="str">
        <f>""</f>
        <v/>
      </c>
      <c r="T2229" t="str">
        <f>"578.24"</f>
        <v>578.24</v>
      </c>
      <c r="U2229" t="str">
        <f>"35750.00"</f>
        <v>35750.00</v>
      </c>
      <c r="V2229" t="str">
        <f>"35750.00"</f>
        <v>35750.00</v>
      </c>
      <c r="W2229" t="str">
        <f t="shared" si="822"/>
        <v>2017</v>
      </c>
      <c r="X2229" t="str">
        <f>"12.00"</f>
        <v>12.00</v>
      </c>
      <c r="Y2229" t="str">
        <f>"627.59"</f>
        <v>627.59</v>
      </c>
      <c r="Z2229" t="str">
        <f>""</f>
        <v/>
      </c>
      <c r="AA2229" t="str">
        <f>"40000.00"</f>
        <v>40000.00</v>
      </c>
      <c r="AB2229" t="str">
        <f t="shared" si="835"/>
        <v>Residential</v>
      </c>
      <c r="AC2229" t="str">
        <f t="shared" si="829"/>
        <v>0</v>
      </c>
      <c r="AD2229" t="str">
        <f>""</f>
        <v/>
      </c>
      <c r="AE2229" t="str">
        <f>""</f>
        <v/>
      </c>
      <c r="AF2229" t="str">
        <f>"000"</f>
        <v>000</v>
      </c>
      <c r="AG2229" t="str">
        <f>"FL"</f>
        <v>FL</v>
      </c>
      <c r="AH2229" t="str">
        <f>"10000.00"</f>
        <v>10000.00</v>
      </c>
      <c r="AI2229" t="str">
        <f>"40000.00"</f>
        <v>40000.00</v>
      </c>
      <c r="AJ2229" t="str">
        <f>"C55-000-585-9857-4"</f>
        <v>C55-000-585-9857-4</v>
      </c>
      <c r="AK2229" t="str">
        <f>"49374"</f>
        <v>49374</v>
      </c>
      <c r="AL2229">
        <v>8</v>
      </c>
      <c r="AM2229">
        <v>2546</v>
      </c>
      <c r="AN2229">
        <v>657.37</v>
      </c>
      <c r="AQ2229" t="s">
        <v>21521</v>
      </c>
      <c r="AR2229" t="s">
        <v>21521</v>
      </c>
      <c r="AS2229" t="s">
        <v>21521</v>
      </c>
      <c r="AU2229" t="s">
        <v>396</v>
      </c>
      <c r="AV2229">
        <v>2017</v>
      </c>
      <c r="AW2229" t="str">
        <f>"00-00-31-1800-0201-0050 "</f>
        <v xml:space="preserve">00-00-31-1800-0201-0050 </v>
      </c>
      <c r="AY2229" t="s">
        <v>18674</v>
      </c>
      <c r="AZ2229" t="s">
        <v>20778</v>
      </c>
      <c r="BA2229" t="s">
        <v>1942</v>
      </c>
      <c r="BD2229" t="s">
        <v>11749</v>
      </c>
      <c r="BE2229" t="s">
        <v>393</v>
      </c>
      <c r="BF2229">
        <v>32034</v>
      </c>
      <c r="BG2229" t="s">
        <v>21522</v>
      </c>
      <c r="BH2229" t="s">
        <v>11751</v>
      </c>
      <c r="BI2229">
        <v>-81.463537443299302</v>
      </c>
      <c r="BJ2229">
        <v>30.652318552423701</v>
      </c>
      <c r="BK2229" t="s">
        <v>21523</v>
      </c>
      <c r="BM2229" t="s">
        <v>21524</v>
      </c>
      <c r="BN2229" t="s">
        <v>3983</v>
      </c>
      <c r="BO2229">
        <v>32034</v>
      </c>
      <c r="BP2229" t="s">
        <v>404</v>
      </c>
      <c r="BQ2229">
        <v>0</v>
      </c>
      <c r="BR2229" t="s">
        <v>491</v>
      </c>
      <c r="BS2229">
        <v>8001</v>
      </c>
      <c r="BT2229" t="s">
        <v>492</v>
      </c>
      <c r="BU2229">
        <v>1000</v>
      </c>
      <c r="BV2229">
        <v>1000</v>
      </c>
      <c r="BW2229">
        <v>10000</v>
      </c>
      <c r="BX2229" t="s">
        <v>407</v>
      </c>
      <c r="CD2229">
        <v>2017</v>
      </c>
      <c r="CE2229">
        <v>40000</v>
      </c>
      <c r="CG2229">
        <v>40000</v>
      </c>
      <c r="CH2229">
        <v>2017</v>
      </c>
      <c r="CI2229">
        <v>40000</v>
      </c>
      <c r="CK2229">
        <v>40000</v>
      </c>
      <c r="CL2229">
        <v>2017</v>
      </c>
      <c r="CM2229">
        <v>578.24</v>
      </c>
      <c r="CN2229" s="1">
        <v>39302</v>
      </c>
      <c r="CZ2229" s="1">
        <v>39302</v>
      </c>
      <c r="DD2229" t="s">
        <v>11749</v>
      </c>
      <c r="DF2229">
        <v>5</v>
      </c>
      <c r="DG2229">
        <v>24</v>
      </c>
      <c r="DJ2229" t="s">
        <v>20634</v>
      </c>
      <c r="DL2229">
        <v>50202</v>
      </c>
      <c r="DM2229" t="s">
        <v>15205</v>
      </c>
      <c r="DO2229" t="s">
        <v>21525</v>
      </c>
      <c r="DP2229">
        <v>0</v>
      </c>
      <c r="DQ2229">
        <v>0</v>
      </c>
      <c r="DR2229" t="s">
        <v>411</v>
      </c>
      <c r="DS2229" t="s">
        <v>695</v>
      </c>
      <c r="EJ2229">
        <v>0</v>
      </c>
      <c r="EK2229">
        <v>0</v>
      </c>
    </row>
    <row r="2230" spans="1:272" x14ac:dyDescent="0.25">
      <c r="A2230">
        <v>16487237</v>
      </c>
      <c r="B2230">
        <v>2229</v>
      </c>
      <c r="C2230" t="s">
        <v>393</v>
      </c>
      <c r="D2230" t="s">
        <v>394</v>
      </c>
      <c r="F2230" t="str">
        <f>"00-00-31-1800-0201-0070"</f>
        <v>00-00-31-1800-0201-0070</v>
      </c>
      <c r="H2230" t="str">
        <f>"HOOPER MARION H C/O MARGARET S TURNER"</f>
        <v>HOOPER MARION H C/O MARGARET S TURNER</v>
      </c>
      <c r="I2230" t="str">
        <f>"1412 S NAPA STREET"</f>
        <v>1412 S NAPA STREET</v>
      </c>
      <c r="J2230" t="str">
        <f>"PHILADELPHIA PA 19146"</f>
        <v>PHILADELPHIA PA 19146</v>
      </c>
      <c r="K2230" t="str">
        <f>"S 6TH ST"</f>
        <v>S 6TH ST</v>
      </c>
      <c r="L2230" t="str">
        <f t="shared" si="826"/>
        <v>FERNANDINA BEACH FL 32034</v>
      </c>
      <c r="M2230" t="str">
        <f>"BLOCK 201 LOT 7 CITY OF FDNA BEACH"</f>
        <v>BLOCK 201 LOT 7 CITY OF FDNA BEACH</v>
      </c>
      <c r="N2230" t="str">
        <f>""</f>
        <v/>
      </c>
      <c r="O2230" t="str">
        <f>"12443"</f>
        <v>12443</v>
      </c>
      <c r="P2230" t="str">
        <f t="shared" si="821"/>
        <v>2017</v>
      </c>
      <c r="Q2230" t="str">
        <f>""</f>
        <v/>
      </c>
      <c r="R2230" t="str">
        <f t="shared" si="836"/>
        <v>N</v>
      </c>
      <c r="S2230" t="str">
        <f>""</f>
        <v/>
      </c>
      <c r="T2230" t="str">
        <f>"578.24"</f>
        <v>578.24</v>
      </c>
      <c r="U2230" t="str">
        <f>"35750.00"</f>
        <v>35750.00</v>
      </c>
      <c r="V2230" t="str">
        <f>"35750.00"</f>
        <v>35750.00</v>
      </c>
      <c r="W2230" t="str">
        <f t="shared" si="822"/>
        <v>2017</v>
      </c>
      <c r="X2230" t="str">
        <f>"26.25"</f>
        <v>26.25</v>
      </c>
      <c r="Y2230" t="str">
        <f>"627.59"</f>
        <v>627.59</v>
      </c>
      <c r="Z2230" t="str">
        <f>""</f>
        <v/>
      </c>
      <c r="AA2230" t="str">
        <f>"40000.00"</f>
        <v>40000.00</v>
      </c>
      <c r="AB2230" t="str">
        <f t="shared" si="835"/>
        <v>Residential</v>
      </c>
      <c r="AC2230" t="str">
        <f t="shared" si="829"/>
        <v>0</v>
      </c>
      <c r="AD2230" t="str">
        <f>""</f>
        <v/>
      </c>
      <c r="AE2230" t="str">
        <f>""</f>
        <v/>
      </c>
      <c r="AF2230" t="str">
        <f>"000"</f>
        <v>000</v>
      </c>
      <c r="AG2230" t="str">
        <f>"PA"</f>
        <v>PA</v>
      </c>
      <c r="AH2230" t="str">
        <f>"10000.00"</f>
        <v>10000.00</v>
      </c>
      <c r="AI2230" t="str">
        <f>"40000.00"</f>
        <v>40000.00</v>
      </c>
      <c r="AJ2230" t="str">
        <f>"C55-000-585-9859-0"</f>
        <v>C55-000-585-9859-0</v>
      </c>
      <c r="AK2230" t="str">
        <f>"49376"</f>
        <v>49376</v>
      </c>
      <c r="AL2230">
        <v>8</v>
      </c>
      <c r="AM2230">
        <v>2547</v>
      </c>
      <c r="AN2230">
        <v>657.37</v>
      </c>
      <c r="AQ2230" t="s">
        <v>21526</v>
      </c>
      <c r="AR2230" t="s">
        <v>21526</v>
      </c>
      <c r="AS2230" t="s">
        <v>21526</v>
      </c>
      <c r="AU2230" t="s">
        <v>396</v>
      </c>
      <c r="AV2230">
        <v>2017</v>
      </c>
      <c r="AW2230" t="str">
        <f>"00-00-31-1800-0201-0070 "</f>
        <v xml:space="preserve">00-00-31-1800-0201-0070 </v>
      </c>
      <c r="AY2230" t="s">
        <v>18674</v>
      </c>
      <c r="AZ2230" t="s">
        <v>20778</v>
      </c>
      <c r="BA2230" t="s">
        <v>1942</v>
      </c>
      <c r="BD2230" t="s">
        <v>11749</v>
      </c>
      <c r="BE2230" t="s">
        <v>393</v>
      </c>
      <c r="BF2230">
        <v>32034</v>
      </c>
      <c r="BG2230" t="s">
        <v>21522</v>
      </c>
      <c r="BH2230" t="s">
        <v>11751</v>
      </c>
      <c r="BI2230">
        <v>-81.463453288492602</v>
      </c>
      <c r="BJ2230">
        <v>30.652863613307101</v>
      </c>
      <c r="BK2230" t="s">
        <v>21527</v>
      </c>
      <c r="BM2230" t="s">
        <v>21514</v>
      </c>
      <c r="BN2230" t="s">
        <v>16603</v>
      </c>
      <c r="BO2230">
        <v>19146</v>
      </c>
      <c r="BP2230" t="s">
        <v>404</v>
      </c>
      <c r="BQ2230">
        <v>0</v>
      </c>
      <c r="BR2230" t="s">
        <v>491</v>
      </c>
      <c r="BS2230">
        <v>8001</v>
      </c>
      <c r="BT2230" t="s">
        <v>492</v>
      </c>
      <c r="BU2230">
        <v>1000</v>
      </c>
      <c r="BV2230">
        <v>1000</v>
      </c>
      <c r="BW2230">
        <v>9999</v>
      </c>
      <c r="BX2230" t="s">
        <v>407</v>
      </c>
      <c r="CD2230">
        <v>2017</v>
      </c>
      <c r="CE2230">
        <v>40000</v>
      </c>
      <c r="CG2230">
        <v>40000</v>
      </c>
      <c r="CH2230">
        <v>2017</v>
      </c>
      <c r="CI2230">
        <v>40000</v>
      </c>
      <c r="CK2230">
        <v>40000</v>
      </c>
      <c r="CL2230">
        <v>2017</v>
      </c>
      <c r="CM2230">
        <v>578.24</v>
      </c>
      <c r="DD2230" t="s">
        <v>11749</v>
      </c>
      <c r="DF2230">
        <v>7</v>
      </c>
      <c r="DG2230">
        <v>24</v>
      </c>
      <c r="DL2230">
        <v>50202</v>
      </c>
      <c r="DM2230" t="s">
        <v>15205</v>
      </c>
      <c r="DO2230" t="s">
        <v>21528</v>
      </c>
      <c r="DP2230">
        <v>0</v>
      </c>
      <c r="DQ2230">
        <v>0</v>
      </c>
      <c r="DR2230" t="s">
        <v>411</v>
      </c>
      <c r="DS2230" t="b">
        <v>1</v>
      </c>
      <c r="DT2230" t="s">
        <v>470</v>
      </c>
      <c r="DU2230" t="s">
        <v>471</v>
      </c>
      <c r="DV2230" t="s">
        <v>472</v>
      </c>
      <c r="DX2230">
        <v>-9999</v>
      </c>
      <c r="DZ2230" t="s">
        <v>447</v>
      </c>
      <c r="EA2230" t="s">
        <v>448</v>
      </c>
      <c r="EB2230" t="s">
        <v>14787</v>
      </c>
      <c r="EC2230">
        <v>20101217</v>
      </c>
      <c r="ED2230" t="s">
        <v>474</v>
      </c>
      <c r="EF2230">
        <v>180.8</v>
      </c>
      <c r="EG2230">
        <v>140.80000000000001</v>
      </c>
      <c r="EI2230">
        <v>20160407</v>
      </c>
      <c r="EJ2230">
        <v>0</v>
      </c>
      <c r="EK2230">
        <v>0</v>
      </c>
      <c r="EP2230" t="s">
        <v>421</v>
      </c>
      <c r="EQ2230" t="s">
        <v>422</v>
      </c>
      <c r="ER2230">
        <v>1</v>
      </c>
      <c r="ES2230">
        <v>4</v>
      </c>
      <c r="ET2230">
        <v>575.75</v>
      </c>
      <c r="EU2230">
        <v>40.799999999999997</v>
      </c>
      <c r="EV2230">
        <v>616.54999999999995</v>
      </c>
      <c r="EW2230" s="2">
        <v>43222</v>
      </c>
      <c r="EX2230" s="1">
        <v>42879</v>
      </c>
      <c r="EY2230">
        <v>2016</v>
      </c>
      <c r="EZ2230">
        <v>575.75</v>
      </c>
      <c r="FA2230" t="s">
        <v>21529</v>
      </c>
      <c r="FB2230">
        <v>6</v>
      </c>
      <c r="FC2230" t="s">
        <v>424</v>
      </c>
      <c r="FD2230" t="s">
        <v>454</v>
      </c>
      <c r="FF2230">
        <v>12</v>
      </c>
      <c r="FG2230">
        <v>10021</v>
      </c>
      <c r="FH2230" t="s">
        <v>597</v>
      </c>
      <c r="FJ2230" s="1">
        <v>42151</v>
      </c>
      <c r="FK2230">
        <v>2014</v>
      </c>
      <c r="FL2230">
        <v>582.83000000000004</v>
      </c>
      <c r="FM2230" t="s">
        <v>21530</v>
      </c>
      <c r="FN2230">
        <v>15.5</v>
      </c>
      <c r="FO2230" t="s">
        <v>424</v>
      </c>
      <c r="FP2230" t="s">
        <v>425</v>
      </c>
      <c r="FQ2230" s="1">
        <v>42508</v>
      </c>
      <c r="FR2230">
        <v>12</v>
      </c>
      <c r="FS2230">
        <v>10628</v>
      </c>
      <c r="FT2230" t="s">
        <v>943</v>
      </c>
      <c r="FV2230" s="1">
        <v>41787</v>
      </c>
      <c r="FW2230">
        <v>2013</v>
      </c>
      <c r="FX2230">
        <v>552.95000000000005</v>
      </c>
      <c r="FY2230" t="s">
        <v>21531</v>
      </c>
      <c r="FZ2230">
        <v>3</v>
      </c>
      <c r="GA2230" t="s">
        <v>424</v>
      </c>
      <c r="GB2230" t="s">
        <v>425</v>
      </c>
      <c r="GC2230" s="1">
        <v>42508</v>
      </c>
      <c r="GD2230">
        <v>24</v>
      </c>
      <c r="GE2230">
        <v>10125</v>
      </c>
      <c r="GF2230" t="s">
        <v>440</v>
      </c>
      <c r="GH2230" s="1">
        <v>41052</v>
      </c>
      <c r="GI2230">
        <v>2011</v>
      </c>
      <c r="GJ2230">
        <v>644.54</v>
      </c>
      <c r="GK2230" t="s">
        <v>21532</v>
      </c>
      <c r="GL2230">
        <v>6.75</v>
      </c>
      <c r="GM2230" t="s">
        <v>424</v>
      </c>
      <c r="GN2230" t="s">
        <v>425</v>
      </c>
      <c r="GO2230" s="1">
        <v>42508</v>
      </c>
      <c r="GP2230">
        <v>48</v>
      </c>
      <c r="GQ2230">
        <v>10125</v>
      </c>
      <c r="GR2230" t="s">
        <v>440</v>
      </c>
      <c r="GT2230" s="1">
        <v>40688</v>
      </c>
      <c r="GU2230">
        <v>2010</v>
      </c>
      <c r="GV2230">
        <v>824.09</v>
      </c>
      <c r="GW2230" t="s">
        <v>21533</v>
      </c>
      <c r="GX2230">
        <v>7</v>
      </c>
      <c r="GY2230" t="s">
        <v>424</v>
      </c>
      <c r="GZ2230" t="s">
        <v>425</v>
      </c>
      <c r="HA2230" s="1">
        <v>41333</v>
      </c>
      <c r="HB2230">
        <v>21</v>
      </c>
      <c r="HC2230">
        <v>10579</v>
      </c>
      <c r="HD2230" t="s">
        <v>488</v>
      </c>
    </row>
    <row r="2231" spans="1:272" x14ac:dyDescent="0.25">
      <c r="A2231">
        <v>16487238</v>
      </c>
      <c r="B2231">
        <v>2230</v>
      </c>
      <c r="C2231" t="s">
        <v>393</v>
      </c>
      <c r="D2231" t="s">
        <v>394</v>
      </c>
      <c r="F2231" t="str">
        <f>"00-00-31-1800-0206-0070"</f>
        <v>00-00-31-1800-0206-0070</v>
      </c>
      <c r="H2231" t="str">
        <f>"SIMMONS ARTHUR C/O MRS M J WHITLEY"</f>
        <v>SIMMONS ARTHUR C/O MRS M J WHITLEY</v>
      </c>
      <c r="I2231" t="str">
        <f>"5028 DOSTIE DR S"</f>
        <v>5028 DOSTIE DR S</v>
      </c>
      <c r="J2231" t="str">
        <f>"JACKSONVILLE FL 32209"</f>
        <v>JACKSONVILLE FL 32209</v>
      </c>
      <c r="K2231" t="str">
        <f>"S 6TH ST"</f>
        <v>S 6TH ST</v>
      </c>
      <c r="L2231" t="str">
        <f t="shared" si="826"/>
        <v>FERNANDINA BEACH FL 32034</v>
      </c>
      <c r="M2231" t="str">
        <f>"BLK 206 LOT 7 CITY OF FDNA BEACH S/D OF SEC 24-3N-28E"</f>
        <v>BLK 206 LOT 7 CITY OF FDNA BEACH S/D OF SEC 24-3N-28E</v>
      </c>
      <c r="N2231" t="str">
        <f>""</f>
        <v/>
      </c>
      <c r="O2231" t="str">
        <f>"12457"</f>
        <v>12457</v>
      </c>
      <c r="P2231" t="str">
        <f t="shared" si="821"/>
        <v>2017</v>
      </c>
      <c r="Q2231" t="str">
        <f>""</f>
        <v/>
      </c>
      <c r="R2231" t="str">
        <f t="shared" si="836"/>
        <v>N</v>
      </c>
      <c r="S2231" t="str">
        <f>""</f>
        <v/>
      </c>
      <c r="T2231" t="str">
        <f>"549.35"</f>
        <v>549.35</v>
      </c>
      <c r="U2231" t="str">
        <f>"33963.00"</f>
        <v>33963.00</v>
      </c>
      <c r="V2231" t="str">
        <f>"33963.00"</f>
        <v>33963.00</v>
      </c>
      <c r="W2231" t="str">
        <f t="shared" si="822"/>
        <v>2017</v>
      </c>
      <c r="X2231" t="str">
        <f>""</f>
        <v/>
      </c>
      <c r="Y2231" t="str">
        <f>"597.83"</f>
        <v>597.83</v>
      </c>
      <c r="Z2231" t="str">
        <f>""</f>
        <v/>
      </c>
      <c r="AA2231" t="str">
        <f>"38000.00"</f>
        <v>38000.00</v>
      </c>
      <c r="AB2231" t="str">
        <f t="shared" si="835"/>
        <v>Residential</v>
      </c>
      <c r="AC2231" t="str">
        <f t="shared" si="829"/>
        <v>0</v>
      </c>
      <c r="AD2231" t="str">
        <f>""</f>
        <v/>
      </c>
      <c r="AE2231" t="str">
        <f>""</f>
        <v/>
      </c>
      <c r="AF2231" t="str">
        <f>"000"</f>
        <v>000</v>
      </c>
      <c r="AG2231" t="str">
        <f>"FL"</f>
        <v>FL</v>
      </c>
      <c r="AH2231" t="str">
        <f>"10000.00"</f>
        <v>10000.00</v>
      </c>
      <c r="AI2231" t="str">
        <f>"38000.00"</f>
        <v>38000.00</v>
      </c>
      <c r="AJ2231" t="str">
        <f>"C55-000-585-9873-1"</f>
        <v>C55-000-585-9873-1</v>
      </c>
      <c r="AK2231" t="str">
        <f>"49390"</f>
        <v>49390</v>
      </c>
      <c r="AL2231">
        <v>8</v>
      </c>
      <c r="AM2231">
        <v>2548</v>
      </c>
      <c r="AN2231">
        <v>626.12</v>
      </c>
      <c r="AQ2231" t="s">
        <v>21534</v>
      </c>
      <c r="AR2231" t="s">
        <v>21534</v>
      </c>
      <c r="AS2231" t="s">
        <v>21534</v>
      </c>
      <c r="AU2231" t="s">
        <v>396</v>
      </c>
      <c r="AV2231">
        <v>2017</v>
      </c>
      <c r="AW2231" t="str">
        <f>"00-00-31-1800-0206-0070 "</f>
        <v xml:space="preserve">00-00-31-1800-0206-0070 </v>
      </c>
      <c r="AY2231" t="s">
        <v>18674</v>
      </c>
      <c r="AZ2231" t="s">
        <v>20778</v>
      </c>
      <c r="BA2231" t="s">
        <v>1942</v>
      </c>
      <c r="BD2231" t="s">
        <v>11749</v>
      </c>
      <c r="BE2231" t="s">
        <v>393</v>
      </c>
      <c r="BF2231">
        <v>32034</v>
      </c>
      <c r="BG2231" t="s">
        <v>21522</v>
      </c>
      <c r="BH2231" t="s">
        <v>11751</v>
      </c>
      <c r="BI2231">
        <v>-81.463646847821494</v>
      </c>
      <c r="BJ2231">
        <v>30.6516099791545</v>
      </c>
      <c r="BK2231" t="s">
        <v>21535</v>
      </c>
      <c r="BM2231" t="s">
        <v>21536</v>
      </c>
      <c r="BN2231" t="s">
        <v>548</v>
      </c>
      <c r="BO2231">
        <v>32209</v>
      </c>
      <c r="BP2231" t="s">
        <v>404</v>
      </c>
      <c r="BQ2231">
        <v>0</v>
      </c>
      <c r="BR2231" t="s">
        <v>491</v>
      </c>
      <c r="BS2231">
        <v>8001</v>
      </c>
      <c r="BT2231" t="s">
        <v>492</v>
      </c>
      <c r="BU2231">
        <v>1000</v>
      </c>
      <c r="BV2231">
        <v>1000</v>
      </c>
      <c r="BW2231">
        <v>10000</v>
      </c>
      <c r="BX2231" t="s">
        <v>407</v>
      </c>
      <c r="CD2231">
        <v>2017</v>
      </c>
      <c r="CE2231">
        <v>38000</v>
      </c>
      <c r="CG2231">
        <v>38000</v>
      </c>
      <c r="CH2231">
        <v>2017</v>
      </c>
      <c r="CI2231">
        <v>38000</v>
      </c>
      <c r="CK2231">
        <v>38000</v>
      </c>
      <c r="CL2231">
        <v>2017</v>
      </c>
      <c r="CM2231">
        <v>549.35</v>
      </c>
      <c r="DD2231" t="s">
        <v>11749</v>
      </c>
      <c r="DF2231">
        <v>7</v>
      </c>
      <c r="DG2231">
        <v>24</v>
      </c>
      <c r="DJ2231" t="s">
        <v>20634</v>
      </c>
      <c r="DL2231">
        <v>50202</v>
      </c>
      <c r="DM2231" t="s">
        <v>15205</v>
      </c>
      <c r="DO2231" t="s">
        <v>21537</v>
      </c>
      <c r="DP2231">
        <v>0</v>
      </c>
      <c r="DQ2231">
        <v>1</v>
      </c>
      <c r="DR2231" t="s">
        <v>1479</v>
      </c>
      <c r="DS2231" t="b">
        <v>1</v>
      </c>
      <c r="DT2231" t="s">
        <v>470</v>
      </c>
      <c r="DU2231" t="s">
        <v>471</v>
      </c>
      <c r="DV2231" t="s">
        <v>472</v>
      </c>
      <c r="DX2231">
        <v>-9999</v>
      </c>
      <c r="DZ2231" t="s">
        <v>447</v>
      </c>
      <c r="EA2231" t="s">
        <v>448</v>
      </c>
      <c r="EB2231" t="s">
        <v>14787</v>
      </c>
      <c r="EC2231">
        <v>20101217</v>
      </c>
      <c r="ED2231" t="s">
        <v>474</v>
      </c>
      <c r="EF2231">
        <v>172.7</v>
      </c>
      <c r="EG2231">
        <v>150.80000000000001</v>
      </c>
      <c r="EI2231">
        <v>20160407</v>
      </c>
      <c r="EJ2231">
        <v>0</v>
      </c>
      <c r="EK2231">
        <v>0</v>
      </c>
      <c r="EP2231" t="s">
        <v>421</v>
      </c>
      <c r="EQ2231" t="s">
        <v>422</v>
      </c>
      <c r="ER2231">
        <v>4</v>
      </c>
      <c r="ES2231">
        <v>0</v>
      </c>
      <c r="ET2231">
        <v>2181.4299999999998</v>
      </c>
      <c r="EU2231">
        <v>523.91</v>
      </c>
      <c r="EV2231">
        <v>2705.34</v>
      </c>
      <c r="EW2231" s="2">
        <v>43222</v>
      </c>
      <c r="EX2231" s="1">
        <v>42879</v>
      </c>
      <c r="EY2231">
        <v>2016</v>
      </c>
      <c r="EZ2231">
        <v>548.29999999999995</v>
      </c>
      <c r="FA2231" t="s">
        <v>21538</v>
      </c>
      <c r="FB2231">
        <v>14</v>
      </c>
      <c r="FC2231" t="s">
        <v>424</v>
      </c>
      <c r="FD2231" t="s">
        <v>454</v>
      </c>
      <c r="FF2231">
        <v>12</v>
      </c>
      <c r="FG2231">
        <v>10003</v>
      </c>
      <c r="FH2231" t="s">
        <v>4341</v>
      </c>
      <c r="FJ2231" s="1">
        <v>42515</v>
      </c>
      <c r="FK2231">
        <v>2015</v>
      </c>
      <c r="FL2231">
        <v>551.95000000000005</v>
      </c>
      <c r="FM2231" t="s">
        <v>21539</v>
      </c>
      <c r="FN2231">
        <v>14.75</v>
      </c>
      <c r="FO2231" t="s">
        <v>424</v>
      </c>
      <c r="FP2231" t="s">
        <v>454</v>
      </c>
      <c r="FR2231">
        <v>24</v>
      </c>
      <c r="FS2231">
        <v>10003</v>
      </c>
      <c r="FT2231" t="s">
        <v>4341</v>
      </c>
      <c r="FV2231" s="1">
        <v>42151</v>
      </c>
      <c r="FW2231">
        <v>2014</v>
      </c>
      <c r="FX2231">
        <v>554.78</v>
      </c>
      <c r="FY2231" t="s">
        <v>21540</v>
      </c>
      <c r="FZ2231">
        <v>14</v>
      </c>
      <c r="GA2231" t="s">
        <v>424</v>
      </c>
      <c r="GB2231" t="s">
        <v>454</v>
      </c>
      <c r="GD2231">
        <v>36</v>
      </c>
      <c r="GE2231">
        <v>7045029</v>
      </c>
      <c r="GF2231" t="s">
        <v>21541</v>
      </c>
      <c r="GH2231" s="1">
        <v>41787</v>
      </c>
      <c r="GI2231">
        <v>2013</v>
      </c>
      <c r="GJ2231">
        <v>526.4</v>
      </c>
      <c r="GK2231" t="s">
        <v>21542</v>
      </c>
      <c r="GL2231">
        <v>0.25</v>
      </c>
      <c r="GM2231" t="s">
        <v>424</v>
      </c>
      <c r="GN2231" t="s">
        <v>454</v>
      </c>
      <c r="GP2231">
        <v>48</v>
      </c>
      <c r="GQ2231">
        <v>11340</v>
      </c>
      <c r="GR2231" t="s">
        <v>1230</v>
      </c>
    </row>
    <row r="2232" spans="1:272" x14ac:dyDescent="0.25">
      <c r="A2232">
        <v>16487239</v>
      </c>
      <c r="B2232">
        <v>2231</v>
      </c>
      <c r="C2232" t="s">
        <v>393</v>
      </c>
      <c r="D2232" t="s">
        <v>394</v>
      </c>
      <c r="F2232" t="str">
        <f>"00-00-31-1800-0209-0011"</f>
        <v>00-00-31-1800-0209-0011</v>
      </c>
      <c r="H2232" t="str">
        <f>"GALLUP WILLIAM"</f>
        <v>GALLUP WILLIAM</v>
      </c>
      <c r="I2232" t="str">
        <f>"1108 OLIVE ST"</f>
        <v>1108 OLIVE ST</v>
      </c>
      <c r="J2232" t="str">
        <f>"FERNANDINA BEACH FL 32034"</f>
        <v>FERNANDINA BEACH FL 32034</v>
      </c>
      <c r="K2232" t="str">
        <f>"1534 8TH ST S"</f>
        <v>1534 8TH ST S</v>
      </c>
      <c r="L2232" t="str">
        <f t="shared" si="826"/>
        <v>FERNANDINA BEACH FL 32034</v>
      </c>
      <c r="M2232" t="str">
        <f>"BLOCK 209 N1/2 OF LOT 1 IN OR 467 PG 236 CITY OF FDNA BEACH"</f>
        <v>BLOCK 209 N1/2 OF LOT 1 IN OR 467 PG 236 CITY OF FDNA BEACH</v>
      </c>
      <c r="N2232" t="str">
        <f>""</f>
        <v/>
      </c>
      <c r="O2232" t="str">
        <f>"12470"</f>
        <v>12470</v>
      </c>
      <c r="P2232" t="str">
        <f t="shared" si="821"/>
        <v>2017</v>
      </c>
      <c r="Q2232" t="str">
        <f>""</f>
        <v/>
      </c>
      <c r="R2232" t="str">
        <f t="shared" si="836"/>
        <v>N</v>
      </c>
      <c r="S2232" t="str">
        <f>""</f>
        <v/>
      </c>
      <c r="T2232" t="str">
        <f>"760.12"</f>
        <v>760.12</v>
      </c>
      <c r="U2232" t="str">
        <f>"49390.00"</f>
        <v>49390.00</v>
      </c>
      <c r="V2232" t="str">
        <f>"49390.00"</f>
        <v>49390.00</v>
      </c>
      <c r="W2232" t="str">
        <f t="shared" si="822"/>
        <v>2017</v>
      </c>
      <c r="X2232" t="str">
        <f>"20.63"</f>
        <v>20.63</v>
      </c>
      <c r="Y2232" t="str">
        <f>"814.92"</f>
        <v>814.92</v>
      </c>
      <c r="Z2232" t="str">
        <f>""</f>
        <v/>
      </c>
      <c r="AA2232" t="str">
        <f>"49390.00"</f>
        <v>49390.00</v>
      </c>
      <c r="AB2232" t="str">
        <f>"Commercial"</f>
        <v>Commercial</v>
      </c>
      <c r="AC2232" t="str">
        <f t="shared" si="829"/>
        <v>0</v>
      </c>
      <c r="AD2232" t="str">
        <f>"3"</f>
        <v>3</v>
      </c>
      <c r="AE2232" t="str">
        <f>"MASONRY"</f>
        <v>MASONRY</v>
      </c>
      <c r="AF2232" t="str">
        <f>"012"</f>
        <v>012</v>
      </c>
      <c r="AG2232" t="str">
        <f>"FL"</f>
        <v>FL</v>
      </c>
      <c r="AH2232" t="str">
        <f>"5000.00"</f>
        <v>5000.00</v>
      </c>
      <c r="AI2232" t="str">
        <f>"35000.00"</f>
        <v>35000.00</v>
      </c>
      <c r="AJ2232" t="str">
        <f>"C55-000-585-9884-8"</f>
        <v>C55-000-585-9884-8</v>
      </c>
      <c r="AK2232" t="str">
        <f>"49399"</f>
        <v>49399</v>
      </c>
      <c r="AL2232">
        <v>8</v>
      </c>
      <c r="AM2232">
        <v>2549</v>
      </c>
      <c r="AN2232">
        <v>854.07</v>
      </c>
      <c r="AQ2232" t="s">
        <v>21543</v>
      </c>
      <c r="AR2232" t="s">
        <v>21543</v>
      </c>
      <c r="AS2232" t="s">
        <v>21543</v>
      </c>
      <c r="AU2232" t="s">
        <v>396</v>
      </c>
      <c r="AV2232">
        <v>2017</v>
      </c>
      <c r="AW2232" t="str">
        <f>"00-00-31-1800-0209-0011 "</f>
        <v xml:space="preserve">00-00-31-1800-0209-0011 </v>
      </c>
      <c r="AX2232">
        <v>1534</v>
      </c>
      <c r="AZ2232" t="s">
        <v>18673</v>
      </c>
      <c r="BA2232" t="s">
        <v>1942</v>
      </c>
      <c r="BB2232" t="s">
        <v>18674</v>
      </c>
      <c r="BD2232" t="s">
        <v>11749</v>
      </c>
      <c r="BE2232" t="s">
        <v>393</v>
      </c>
      <c r="BF2232">
        <v>32034</v>
      </c>
      <c r="BG2232" t="s">
        <v>21544</v>
      </c>
      <c r="BH2232" t="s">
        <v>11751</v>
      </c>
      <c r="BI2232">
        <v>-81.459817641410893</v>
      </c>
      <c r="BJ2232">
        <v>30.651511547304398</v>
      </c>
      <c r="BK2232" t="s">
        <v>21545</v>
      </c>
      <c r="BM2232" t="s">
        <v>21464</v>
      </c>
      <c r="BN2232" t="s">
        <v>3983</v>
      </c>
      <c r="BO2232">
        <v>32034</v>
      </c>
      <c r="BP2232" t="s">
        <v>404</v>
      </c>
      <c r="BQ2232">
        <v>1200</v>
      </c>
      <c r="BR2232" t="s">
        <v>5393</v>
      </c>
      <c r="BS2232">
        <v>2003</v>
      </c>
      <c r="BT2232" t="s">
        <v>5394</v>
      </c>
      <c r="BW2232">
        <v>5245</v>
      </c>
      <c r="BX2232" t="s">
        <v>407</v>
      </c>
      <c r="BY2232" t="s">
        <v>4413</v>
      </c>
      <c r="BZ2232">
        <v>3</v>
      </c>
      <c r="CA2232">
        <v>1968</v>
      </c>
      <c r="CB2232">
        <v>1</v>
      </c>
      <c r="CC2232">
        <v>1</v>
      </c>
      <c r="CD2232">
        <v>2017</v>
      </c>
      <c r="CE2232">
        <v>35000</v>
      </c>
      <c r="CF2232">
        <v>14390</v>
      </c>
      <c r="CG2232">
        <v>49390</v>
      </c>
      <c r="CH2232">
        <v>2017</v>
      </c>
      <c r="CI2232">
        <v>35000</v>
      </c>
      <c r="CJ2232">
        <v>14390</v>
      </c>
      <c r="CK2232">
        <v>49390</v>
      </c>
      <c r="CL2232">
        <v>2017</v>
      </c>
      <c r="CM2232">
        <v>760.12</v>
      </c>
      <c r="CN2232" s="1">
        <v>31291</v>
      </c>
      <c r="CO2232">
        <v>16800</v>
      </c>
      <c r="CZ2232" s="1">
        <v>31291</v>
      </c>
      <c r="DD2232" t="s">
        <v>11749</v>
      </c>
      <c r="DF2232">
        <v>1</v>
      </c>
      <c r="DG2232">
        <v>24</v>
      </c>
      <c r="DJ2232" t="s">
        <v>20634</v>
      </c>
      <c r="DL2232">
        <v>50202</v>
      </c>
      <c r="DM2232" t="s">
        <v>15205</v>
      </c>
      <c r="DO2232" t="s">
        <v>21546</v>
      </c>
      <c r="DP2232">
        <v>0</v>
      </c>
      <c r="DQ2232">
        <v>5</v>
      </c>
      <c r="DR2232" t="s">
        <v>1479</v>
      </c>
      <c r="DS2232" t="b">
        <v>1</v>
      </c>
      <c r="DT2232" t="s">
        <v>470</v>
      </c>
      <c r="DU2232" t="s">
        <v>471</v>
      </c>
      <c r="DV2232" t="s">
        <v>472</v>
      </c>
      <c r="DX2232">
        <v>-9999</v>
      </c>
      <c r="DZ2232" t="s">
        <v>447</v>
      </c>
      <c r="EA2232" t="s">
        <v>448</v>
      </c>
      <c r="EB2232" t="s">
        <v>14787</v>
      </c>
      <c r="EC2232">
        <v>20101217</v>
      </c>
      <c r="ED2232" t="s">
        <v>474</v>
      </c>
      <c r="EF2232">
        <v>1375.3</v>
      </c>
      <c r="EG2232">
        <v>781.1</v>
      </c>
      <c r="EI2232">
        <v>20160407</v>
      </c>
      <c r="EJ2232">
        <v>0</v>
      </c>
      <c r="EK2232">
        <v>0</v>
      </c>
      <c r="EP2232" t="s">
        <v>421</v>
      </c>
      <c r="EQ2232" t="s">
        <v>422</v>
      </c>
      <c r="ER2232">
        <v>2</v>
      </c>
      <c r="ES2232">
        <v>8</v>
      </c>
      <c r="ET2232">
        <v>1731.76</v>
      </c>
      <c r="EU2232">
        <v>99.09</v>
      </c>
      <c r="EV2232">
        <v>1830.85</v>
      </c>
      <c r="EW2232" s="2">
        <v>43222</v>
      </c>
      <c r="EX2232" s="1">
        <v>42879</v>
      </c>
      <c r="EY2232">
        <v>2016</v>
      </c>
      <c r="EZ2232">
        <v>865.88</v>
      </c>
      <c r="FA2232" t="s">
        <v>21547</v>
      </c>
      <c r="FB2232">
        <v>0.25</v>
      </c>
      <c r="FC2232" t="s">
        <v>424</v>
      </c>
      <c r="FD2232" t="s">
        <v>454</v>
      </c>
      <c r="FF2232">
        <v>12</v>
      </c>
      <c r="FG2232">
        <v>2851116</v>
      </c>
      <c r="FH2232" t="s">
        <v>480</v>
      </c>
      <c r="FJ2232" s="1">
        <v>42879</v>
      </c>
      <c r="FK2232">
        <v>2016</v>
      </c>
      <c r="FL2232">
        <v>865.88</v>
      </c>
      <c r="FM2232" t="s">
        <v>21547</v>
      </c>
      <c r="FN2232">
        <v>0.25</v>
      </c>
      <c r="FO2232" t="s">
        <v>424</v>
      </c>
      <c r="FP2232" t="s">
        <v>454</v>
      </c>
      <c r="FR2232">
        <v>12</v>
      </c>
      <c r="FS2232">
        <v>4935269</v>
      </c>
      <c r="FT2232" t="s">
        <v>21548</v>
      </c>
      <c r="FV2232" s="1">
        <v>42515</v>
      </c>
      <c r="FW2232">
        <v>2015</v>
      </c>
      <c r="FX2232">
        <v>875.58</v>
      </c>
      <c r="FY2232" t="s">
        <v>21549</v>
      </c>
      <c r="FZ2232">
        <v>0.25</v>
      </c>
      <c r="GA2232" t="s">
        <v>424</v>
      </c>
      <c r="GB2232" t="s">
        <v>425</v>
      </c>
      <c r="GC2232" s="1">
        <v>43124</v>
      </c>
      <c r="GD2232">
        <v>20</v>
      </c>
      <c r="GE2232">
        <v>2851116</v>
      </c>
      <c r="GF2232" t="s">
        <v>480</v>
      </c>
      <c r="GH2232" s="1">
        <v>42515</v>
      </c>
      <c r="GI2232">
        <v>2015</v>
      </c>
      <c r="GJ2232">
        <v>875.58</v>
      </c>
      <c r="GK2232" t="s">
        <v>21549</v>
      </c>
      <c r="GL2232">
        <v>0.25</v>
      </c>
      <c r="GM2232" t="s">
        <v>424</v>
      </c>
      <c r="GN2232" t="s">
        <v>425</v>
      </c>
      <c r="GP2232">
        <v>22</v>
      </c>
      <c r="GQ2232">
        <v>5595538</v>
      </c>
      <c r="GR2232" t="s">
        <v>21550</v>
      </c>
      <c r="GT2232" s="1">
        <v>42151</v>
      </c>
      <c r="GU2232">
        <v>2014</v>
      </c>
      <c r="GV2232">
        <v>798.99</v>
      </c>
      <c r="GW2232" t="s">
        <v>21551</v>
      </c>
      <c r="GX2232">
        <v>0.25</v>
      </c>
      <c r="GY2232" t="s">
        <v>424</v>
      </c>
      <c r="GZ2232" t="s">
        <v>425</v>
      </c>
      <c r="HA2232" s="1">
        <v>42794</v>
      </c>
      <c r="HB2232">
        <v>21</v>
      </c>
      <c r="HC2232">
        <v>2851116</v>
      </c>
      <c r="HD2232" t="s">
        <v>480</v>
      </c>
      <c r="HF2232" s="1">
        <v>42151</v>
      </c>
      <c r="HG2232">
        <v>2014</v>
      </c>
      <c r="HH2232">
        <v>798.99</v>
      </c>
      <c r="HI2232" t="s">
        <v>21551</v>
      </c>
      <c r="HJ2232">
        <v>0.25</v>
      </c>
      <c r="HK2232" t="s">
        <v>424</v>
      </c>
      <c r="HL2232" t="s">
        <v>425</v>
      </c>
      <c r="HN2232">
        <v>22</v>
      </c>
      <c r="HO2232">
        <v>4892866</v>
      </c>
      <c r="HP2232" t="s">
        <v>21552</v>
      </c>
      <c r="HR2232" s="1">
        <v>41787</v>
      </c>
      <c r="HS2232">
        <v>2013</v>
      </c>
      <c r="HT2232">
        <v>776.99</v>
      </c>
      <c r="HU2232" t="s">
        <v>21553</v>
      </c>
      <c r="HV2232">
        <v>2.5</v>
      </c>
      <c r="HW2232" t="s">
        <v>424</v>
      </c>
      <c r="HX2232" t="s">
        <v>425</v>
      </c>
      <c r="HY2232" s="1">
        <v>42429</v>
      </c>
      <c r="HZ2232">
        <v>21</v>
      </c>
      <c r="IA2232">
        <v>10125</v>
      </c>
      <c r="IB2232" t="s">
        <v>440</v>
      </c>
      <c r="ID2232" s="1">
        <v>41423</v>
      </c>
      <c r="IE2232">
        <v>2012</v>
      </c>
      <c r="IF2232">
        <v>759.91</v>
      </c>
      <c r="IG2232" t="s">
        <v>21554</v>
      </c>
      <c r="IH2232">
        <v>3.25</v>
      </c>
      <c r="II2232" t="s">
        <v>424</v>
      </c>
      <c r="IJ2232" t="s">
        <v>425</v>
      </c>
      <c r="IK2232" s="1">
        <v>42062</v>
      </c>
      <c r="IL2232">
        <v>21</v>
      </c>
      <c r="IM2232">
        <v>10125</v>
      </c>
      <c r="IN2232" t="s">
        <v>440</v>
      </c>
      <c r="IP2232" s="1">
        <v>41052</v>
      </c>
      <c r="IQ2232">
        <v>2011</v>
      </c>
      <c r="IR2232">
        <v>769.88</v>
      </c>
      <c r="IS2232" t="s">
        <v>21555</v>
      </c>
      <c r="IT2232">
        <v>5</v>
      </c>
      <c r="IU2232" t="s">
        <v>424</v>
      </c>
      <c r="IV2232" t="s">
        <v>425</v>
      </c>
      <c r="IW2232" s="1">
        <v>41696</v>
      </c>
      <c r="IX2232">
        <v>21</v>
      </c>
      <c r="IY2232">
        <v>1625515</v>
      </c>
      <c r="IZ2232" t="s">
        <v>487</v>
      </c>
      <c r="JB2232" s="1">
        <v>41052</v>
      </c>
      <c r="JC2232">
        <v>2011</v>
      </c>
      <c r="JD2232">
        <v>769.88</v>
      </c>
      <c r="JE2232" t="s">
        <v>21555</v>
      </c>
      <c r="JF2232">
        <v>5</v>
      </c>
      <c r="JG2232" t="s">
        <v>424</v>
      </c>
      <c r="JH2232" t="s">
        <v>425</v>
      </c>
      <c r="JJ2232">
        <v>22</v>
      </c>
      <c r="JK2232">
        <v>10579</v>
      </c>
      <c r="JL2232" t="s">
        <v>488</v>
      </c>
    </row>
    <row r="2233" spans="1:272" x14ac:dyDescent="0.25">
      <c r="A2233">
        <v>16487240</v>
      </c>
      <c r="B2233">
        <v>2232</v>
      </c>
      <c r="C2233" t="s">
        <v>393</v>
      </c>
      <c r="D2233" t="s">
        <v>394</v>
      </c>
      <c r="F2233" t="str">
        <f>"00-00-31-1800-0209-0012"</f>
        <v>00-00-31-1800-0209-0012</v>
      </c>
      <c r="H2233" t="str">
        <f>"GALLUP WILLIAM &amp; MARILYN"</f>
        <v>GALLUP WILLIAM &amp; MARILYN</v>
      </c>
      <c r="I2233" t="str">
        <f>"1108 OLIVE ST"</f>
        <v>1108 OLIVE ST</v>
      </c>
      <c r="J2233" t="str">
        <f>"FERNANDINA BEACH FL 32034"</f>
        <v>FERNANDINA BEACH FL 32034</v>
      </c>
      <c r="K2233" t="str">
        <f>"S 8TH ST"</f>
        <v>S 8TH ST</v>
      </c>
      <c r="L2233" t="str">
        <f t="shared" si="826"/>
        <v>FERNANDINA BEACH FL 32034</v>
      </c>
      <c r="M2233" t="str">
        <f>"BLOCK 209 LOT S1/2 OF 1 IN OR 673 PG 1351 CITY OF FDNA BEACH"</f>
        <v>BLOCK 209 LOT S1/2 OF 1 IN OR 673 PG 1351 CITY OF FDNA BEACH</v>
      </c>
      <c r="N2233" t="str">
        <f>""</f>
        <v/>
      </c>
      <c r="O2233" t="str">
        <f>"12471"</f>
        <v>12471</v>
      </c>
      <c r="P2233" t="str">
        <f t="shared" si="821"/>
        <v>2017</v>
      </c>
      <c r="Q2233" t="str">
        <f>""</f>
        <v/>
      </c>
      <c r="R2233" t="str">
        <f t="shared" si="836"/>
        <v>N</v>
      </c>
      <c r="S2233" t="str">
        <f>""</f>
        <v/>
      </c>
      <c r="T2233" t="str">
        <f>"538.66"</f>
        <v>538.66</v>
      </c>
      <c r="U2233" t="str">
        <f>"35000.00"</f>
        <v>35000.00</v>
      </c>
      <c r="V2233" t="str">
        <f>"35000.00"</f>
        <v>35000.00</v>
      </c>
      <c r="W2233" t="str">
        <f t="shared" si="822"/>
        <v>2017</v>
      </c>
      <c r="X2233" t="str">
        <f>"21.00"</f>
        <v>21.00</v>
      </c>
      <c r="Y2233" t="str">
        <f>"586.82"</f>
        <v>586.82</v>
      </c>
      <c r="Z2233" t="str">
        <f>""</f>
        <v/>
      </c>
      <c r="AA2233" t="str">
        <f>"35000.00"</f>
        <v>35000.00</v>
      </c>
      <c r="AB2233" t="str">
        <f t="shared" ref="AB2233:AB2250" si="837">"Residential"</f>
        <v>Residential</v>
      </c>
      <c r="AC2233" t="str">
        <f t="shared" si="829"/>
        <v>0</v>
      </c>
      <c r="AD2233" t="str">
        <f>""</f>
        <v/>
      </c>
      <c r="AE2233" t="str">
        <f>""</f>
        <v/>
      </c>
      <c r="AF2233" t="str">
        <f>"000"</f>
        <v>000</v>
      </c>
      <c r="AG2233" t="str">
        <f>"FL"</f>
        <v>FL</v>
      </c>
      <c r="AH2233" t="str">
        <f>"5000.00"</f>
        <v>5000.00</v>
      </c>
      <c r="AI2233" t="str">
        <f>"35000.00"</f>
        <v>35000.00</v>
      </c>
      <c r="AJ2233" t="str">
        <f>"C55-000-585-9885-5"</f>
        <v>C55-000-585-9885-5</v>
      </c>
      <c r="AK2233" t="str">
        <f>"49400"</f>
        <v>49400</v>
      </c>
      <c r="AL2233">
        <v>8</v>
      </c>
      <c r="AM2233">
        <v>2550</v>
      </c>
      <c r="AN2233">
        <v>614.55999999999995</v>
      </c>
      <c r="AQ2233" t="s">
        <v>21556</v>
      </c>
      <c r="AR2233" t="s">
        <v>21556</v>
      </c>
      <c r="AS2233" t="s">
        <v>21556</v>
      </c>
      <c r="AU2233" t="s">
        <v>396</v>
      </c>
      <c r="AV2233">
        <v>2017</v>
      </c>
      <c r="AW2233" t="str">
        <f>"00-00-31-1800-0209-0012 "</f>
        <v xml:space="preserve">00-00-31-1800-0209-0012 </v>
      </c>
      <c r="AY2233" t="s">
        <v>18674</v>
      </c>
      <c r="AZ2233" t="s">
        <v>18673</v>
      </c>
      <c r="BA2233" t="s">
        <v>1942</v>
      </c>
      <c r="BD2233" t="s">
        <v>11749</v>
      </c>
      <c r="BE2233" t="s">
        <v>393</v>
      </c>
      <c r="BF2233">
        <v>32034</v>
      </c>
      <c r="BG2233" t="s">
        <v>21557</v>
      </c>
      <c r="BH2233" t="s">
        <v>11751</v>
      </c>
      <c r="BI2233">
        <v>-81.459838897566598</v>
      </c>
      <c r="BJ2233">
        <v>30.651375306566699</v>
      </c>
      <c r="BK2233" t="s">
        <v>21545</v>
      </c>
      <c r="BL2233" t="s">
        <v>21558</v>
      </c>
      <c r="BM2233" t="s">
        <v>21464</v>
      </c>
      <c r="BN2233" t="s">
        <v>3983</v>
      </c>
      <c r="BO2233">
        <v>32034</v>
      </c>
      <c r="BP2233" t="s">
        <v>404</v>
      </c>
      <c r="BQ2233">
        <v>0</v>
      </c>
      <c r="BR2233" t="s">
        <v>491</v>
      </c>
      <c r="BS2233">
        <v>8001</v>
      </c>
      <c r="BT2233" t="s">
        <v>492</v>
      </c>
      <c r="BW2233">
        <v>5245</v>
      </c>
      <c r="BX2233" t="s">
        <v>407</v>
      </c>
      <c r="BY2233" t="s">
        <v>4413</v>
      </c>
      <c r="CD2233">
        <v>2017</v>
      </c>
      <c r="CE2233">
        <v>35000</v>
      </c>
      <c r="CG2233">
        <v>35000</v>
      </c>
      <c r="CH2233">
        <v>2017</v>
      </c>
      <c r="CI2233">
        <v>35000</v>
      </c>
      <c r="CK2233">
        <v>35000</v>
      </c>
      <c r="CL2233">
        <v>2017</v>
      </c>
      <c r="CM2233">
        <v>538.66</v>
      </c>
      <c r="CN2233" s="1">
        <v>33982</v>
      </c>
      <c r="CO2233">
        <v>9100</v>
      </c>
      <c r="CZ2233" s="1">
        <v>33982</v>
      </c>
      <c r="DD2233" t="s">
        <v>11749</v>
      </c>
      <c r="DG2233">
        <v>24</v>
      </c>
      <c r="DL2233">
        <v>50202</v>
      </c>
      <c r="DM2233" t="s">
        <v>15205</v>
      </c>
      <c r="DO2233" t="s">
        <v>21559</v>
      </c>
      <c r="DP2233">
        <v>0</v>
      </c>
      <c r="DQ2233">
        <v>5</v>
      </c>
      <c r="DR2233" t="s">
        <v>1479</v>
      </c>
      <c r="DS2233" t="b">
        <v>1</v>
      </c>
      <c r="DT2233" t="s">
        <v>470</v>
      </c>
      <c r="DU2233" t="s">
        <v>471</v>
      </c>
      <c r="DV2233" t="s">
        <v>472</v>
      </c>
      <c r="DX2233">
        <v>-9999</v>
      </c>
      <c r="DZ2233" t="s">
        <v>447</v>
      </c>
      <c r="EA2233" t="s">
        <v>448</v>
      </c>
      <c r="EB2233" t="s">
        <v>14787</v>
      </c>
      <c r="EC2233">
        <v>20101217</v>
      </c>
      <c r="ED2233" t="s">
        <v>474</v>
      </c>
      <c r="EF2233">
        <v>1372.8</v>
      </c>
      <c r="EG2233">
        <v>737.1</v>
      </c>
      <c r="EI2233">
        <v>20160407</v>
      </c>
      <c r="EJ2233">
        <v>0</v>
      </c>
      <c r="EK2233">
        <v>0</v>
      </c>
      <c r="EP2233" t="s">
        <v>421</v>
      </c>
      <c r="EQ2233" t="s">
        <v>422</v>
      </c>
      <c r="ER2233">
        <v>1</v>
      </c>
      <c r="ES2233">
        <v>4</v>
      </c>
      <c r="ET2233">
        <v>617.94000000000005</v>
      </c>
      <c r="EU2233">
        <v>46.42</v>
      </c>
      <c r="EV2233">
        <v>664.36</v>
      </c>
      <c r="EW2233" s="2">
        <v>43222</v>
      </c>
      <c r="EX2233" s="1">
        <v>42879</v>
      </c>
      <c r="EY2233">
        <v>2016</v>
      </c>
      <c r="EZ2233">
        <v>617.94000000000005</v>
      </c>
      <c r="FA2233" t="s">
        <v>21560</v>
      </c>
      <c r="FB2233">
        <v>6.5</v>
      </c>
      <c r="FC2233" t="s">
        <v>424</v>
      </c>
      <c r="FD2233" t="s">
        <v>454</v>
      </c>
      <c r="FF2233">
        <v>12</v>
      </c>
      <c r="FG2233">
        <v>10125</v>
      </c>
      <c r="FH2233" t="s">
        <v>440</v>
      </c>
      <c r="FJ2233" s="1">
        <v>42515</v>
      </c>
      <c r="FK2233">
        <v>2015</v>
      </c>
      <c r="FL2233">
        <v>603.91</v>
      </c>
      <c r="FM2233" t="s">
        <v>21561</v>
      </c>
      <c r="FN2233">
        <v>14.75</v>
      </c>
      <c r="FO2233" t="s">
        <v>424</v>
      </c>
      <c r="FP2233" t="s">
        <v>425</v>
      </c>
      <c r="FQ2233" s="1">
        <v>43124</v>
      </c>
      <c r="FR2233">
        <v>20</v>
      </c>
      <c r="FS2233">
        <v>2035919</v>
      </c>
      <c r="FT2233" t="s">
        <v>507</v>
      </c>
      <c r="FV2233" s="1">
        <v>42151</v>
      </c>
      <c r="FW2233">
        <v>2014</v>
      </c>
      <c r="FX2233">
        <v>539.67999999999995</v>
      </c>
      <c r="FY2233" t="s">
        <v>21562</v>
      </c>
      <c r="FZ2233">
        <v>14</v>
      </c>
      <c r="GA2233" t="s">
        <v>424</v>
      </c>
      <c r="GB2233" t="s">
        <v>425</v>
      </c>
      <c r="GC2233" s="1">
        <v>42825</v>
      </c>
      <c r="GD2233">
        <v>22</v>
      </c>
      <c r="GE2233">
        <v>4695392</v>
      </c>
      <c r="GF2233" t="s">
        <v>958</v>
      </c>
      <c r="GH2233" s="1">
        <v>41787</v>
      </c>
      <c r="GI2233">
        <v>2013</v>
      </c>
      <c r="GJ2233">
        <v>479.43</v>
      </c>
      <c r="GK2233" t="s">
        <v>21563</v>
      </c>
      <c r="GL2233">
        <v>3</v>
      </c>
      <c r="GM2233" t="s">
        <v>424</v>
      </c>
      <c r="GN2233" t="s">
        <v>425</v>
      </c>
      <c r="GO2233" s="1">
        <v>42429</v>
      </c>
      <c r="GP2233">
        <v>21</v>
      </c>
      <c r="GQ2233">
        <v>10125</v>
      </c>
      <c r="GR2233" t="s">
        <v>440</v>
      </c>
      <c r="GT2233" s="1">
        <v>41423</v>
      </c>
      <c r="GU2233">
        <v>2012</v>
      </c>
      <c r="GV2233">
        <v>485.04</v>
      </c>
      <c r="GW2233" t="s">
        <v>21564</v>
      </c>
      <c r="GX2233">
        <v>0.75</v>
      </c>
      <c r="GY2233" t="s">
        <v>424</v>
      </c>
      <c r="GZ2233" t="s">
        <v>425</v>
      </c>
      <c r="HA2233" s="1">
        <v>42062</v>
      </c>
      <c r="HB2233">
        <v>21</v>
      </c>
      <c r="HC2233">
        <v>10125</v>
      </c>
      <c r="HD2233" t="s">
        <v>440</v>
      </c>
    </row>
    <row r="2234" spans="1:272" x14ac:dyDescent="0.25">
      <c r="A2234">
        <v>16487241</v>
      </c>
      <c r="B2234">
        <v>2233</v>
      </c>
      <c r="C2234" t="s">
        <v>393</v>
      </c>
      <c r="D2234" t="s">
        <v>394</v>
      </c>
      <c r="F2234" t="str">
        <f>"00-00-31-1800-0213-0022"</f>
        <v>00-00-31-1800-0213-0022</v>
      </c>
      <c r="H2234" t="str">
        <f>"BLUE BENJAMIN J &amp; BLUE JAMES C JR &amp; ROBERT E SR &amp; CORA STEVENSON &amp; LYNDON BLUE"</f>
        <v>BLUE BENJAMIN J &amp; BLUE JAMES C JR &amp; ROBERT E SR &amp; CORA STEVENSON &amp; LYNDON BLUE</v>
      </c>
      <c r="I2234" t="str">
        <f>""</f>
        <v/>
      </c>
      <c r="J2234" t="str">
        <f>"FERNANDINA BEACH FL 32035"</f>
        <v>FERNANDINA BEACH FL 32035</v>
      </c>
      <c r="K2234" t="str">
        <f>"820 11TH ST S"</f>
        <v>820 11TH ST S</v>
      </c>
      <c r="L2234" t="str">
        <f t="shared" si="826"/>
        <v>FERNANDINA BEACH FL 32034</v>
      </c>
      <c r="M2234" t="str">
        <f>"BLOCK 213 N111OF W100 OF LOT2 IN OR 1522/801 CITY OF FDNA BEACH"</f>
        <v>BLOCK 213 N111OF W100 OF LOT2 IN OR 1522/801 CITY OF FDNA BEACH</v>
      </c>
      <c r="N2234" t="str">
        <f>""</f>
        <v/>
      </c>
      <c r="O2234" t="str">
        <f>"12488"</f>
        <v>12488</v>
      </c>
      <c r="P2234" t="str">
        <f t="shared" si="821"/>
        <v>2017</v>
      </c>
      <c r="Q2234" t="str">
        <f>""</f>
        <v/>
      </c>
      <c r="R2234" t="str">
        <f t="shared" si="836"/>
        <v>N</v>
      </c>
      <c r="S2234" t="str">
        <f>""</f>
        <v/>
      </c>
      <c r="T2234" t="str">
        <f>"2160.79"</f>
        <v>2160.79</v>
      </c>
      <c r="U2234" t="str">
        <f>"105016.00"</f>
        <v>105016.00</v>
      </c>
      <c r="V2234" t="str">
        <f>"105016.00"</f>
        <v>105016.00</v>
      </c>
      <c r="W2234" t="str">
        <f t="shared" si="822"/>
        <v>2017</v>
      </c>
      <c r="X2234" t="str">
        <f>""</f>
        <v/>
      </c>
      <c r="Y2234" t="str">
        <f>"2257.61"</f>
        <v>2257.61</v>
      </c>
      <c r="Z2234" t="str">
        <f>""</f>
        <v/>
      </c>
      <c r="AA2234" t="str">
        <f>"115283.00"</f>
        <v>115283.00</v>
      </c>
      <c r="AB2234" t="str">
        <f t="shared" si="837"/>
        <v>Residential</v>
      </c>
      <c r="AC2234" t="str">
        <f t="shared" si="829"/>
        <v>0</v>
      </c>
      <c r="AD2234" t="str">
        <f>"4"</f>
        <v>4</v>
      </c>
      <c r="AE2234" t="str">
        <f>"WOOD (INCLUDE STEEL STUDS)"</f>
        <v>WOOD (INCLUDE STEEL STUDS)</v>
      </c>
      <c r="AF2234" t="str">
        <f>"001"</f>
        <v>001</v>
      </c>
      <c r="AG2234" t="str">
        <f>"FL"</f>
        <v>FL</v>
      </c>
      <c r="AH2234" t="str">
        <f>"11100.00"</f>
        <v>11100.00</v>
      </c>
      <c r="AI2234" t="str">
        <f>"41208.00"</f>
        <v>41208.00</v>
      </c>
      <c r="AJ2234" t="str">
        <f>"C55-000-585-9904-4"</f>
        <v>C55-000-585-9904-4</v>
      </c>
      <c r="AK2234" t="str">
        <f>"49415"</f>
        <v>49415</v>
      </c>
      <c r="AL2234">
        <v>8</v>
      </c>
      <c r="AM2234">
        <v>2551</v>
      </c>
      <c r="AN2234">
        <v>2368.89</v>
      </c>
      <c r="AQ2234" t="s">
        <v>21565</v>
      </c>
      <c r="AR2234" t="s">
        <v>21565</v>
      </c>
      <c r="AS2234" t="s">
        <v>21565</v>
      </c>
      <c r="AU2234" t="s">
        <v>396</v>
      </c>
      <c r="AV2234">
        <v>2017</v>
      </c>
      <c r="AW2234" t="str">
        <f>"00-00-31-1800-0213-0022 "</f>
        <v xml:space="preserve">00-00-31-1800-0213-0022 </v>
      </c>
      <c r="AX2234">
        <v>820</v>
      </c>
      <c r="AZ2234" t="s">
        <v>5153</v>
      </c>
      <c r="BA2234" t="s">
        <v>1942</v>
      </c>
      <c r="BB2234" t="s">
        <v>18674</v>
      </c>
      <c r="BD2234" t="s">
        <v>11749</v>
      </c>
      <c r="BE2234" t="s">
        <v>393</v>
      </c>
      <c r="BF2234">
        <v>32034</v>
      </c>
      <c r="BG2234" t="s">
        <v>21566</v>
      </c>
      <c r="BH2234" t="s">
        <v>11751</v>
      </c>
      <c r="BI2234">
        <v>-81.457739642906901</v>
      </c>
      <c r="BJ2234">
        <v>30.6596489633191</v>
      </c>
      <c r="BK2234" t="s">
        <v>21567</v>
      </c>
      <c r="BM2234" t="s">
        <v>15581</v>
      </c>
      <c r="BN2234" t="s">
        <v>3983</v>
      </c>
      <c r="BO2234">
        <v>32035</v>
      </c>
      <c r="BP2234" t="s">
        <v>404</v>
      </c>
      <c r="BQ2234">
        <v>100</v>
      </c>
      <c r="BR2234" t="s">
        <v>514</v>
      </c>
      <c r="BS2234">
        <v>1001</v>
      </c>
      <c r="BT2234" t="s">
        <v>515</v>
      </c>
      <c r="BU2234">
        <v>1110</v>
      </c>
      <c r="BV2234">
        <v>1000</v>
      </c>
      <c r="BW2234">
        <v>11270</v>
      </c>
      <c r="BX2234" t="s">
        <v>407</v>
      </c>
      <c r="BY2234" t="s">
        <v>18253</v>
      </c>
      <c r="BZ2234">
        <v>4</v>
      </c>
      <c r="CA2234">
        <v>1975</v>
      </c>
      <c r="CB2234">
        <v>1</v>
      </c>
      <c r="CC2234">
        <v>1</v>
      </c>
      <c r="CD2234">
        <v>2017</v>
      </c>
      <c r="CE2234">
        <v>41208</v>
      </c>
      <c r="CF2234">
        <v>74075</v>
      </c>
      <c r="CG2234">
        <v>115283</v>
      </c>
      <c r="CH2234">
        <v>2017</v>
      </c>
      <c r="CI2234">
        <v>41208</v>
      </c>
      <c r="CJ2234">
        <v>74075</v>
      </c>
      <c r="CK2234">
        <v>115283</v>
      </c>
      <c r="CL2234">
        <v>2017</v>
      </c>
      <c r="CM2234">
        <v>2160.79</v>
      </c>
      <c r="CN2234" s="1">
        <v>39324</v>
      </c>
      <c r="CZ2234" s="1">
        <v>39324</v>
      </c>
      <c r="DD2234" t="s">
        <v>11749</v>
      </c>
      <c r="DG2234">
        <v>24</v>
      </c>
      <c r="DL2234">
        <v>50101</v>
      </c>
      <c r="DM2234" t="s">
        <v>15205</v>
      </c>
      <c r="DO2234" t="s">
        <v>21568</v>
      </c>
      <c r="DP2234">
        <v>0</v>
      </c>
      <c r="DQ2234">
        <v>0</v>
      </c>
      <c r="DR2234" t="s">
        <v>411</v>
      </c>
      <c r="DS2234" t="b">
        <v>1</v>
      </c>
      <c r="DT2234" t="s">
        <v>470</v>
      </c>
      <c r="DU2234" t="s">
        <v>471</v>
      </c>
      <c r="DV2234" t="s">
        <v>472</v>
      </c>
      <c r="DX2234">
        <v>-9999</v>
      </c>
      <c r="DZ2234" t="s">
        <v>447</v>
      </c>
      <c r="EA2234" t="s">
        <v>448</v>
      </c>
      <c r="EB2234" t="s">
        <v>14787</v>
      </c>
      <c r="EC2234">
        <v>20101217</v>
      </c>
      <c r="ED2234" t="s">
        <v>474</v>
      </c>
      <c r="EF2234">
        <v>1426.3</v>
      </c>
      <c r="EG2234">
        <v>1118.4000000000001</v>
      </c>
      <c r="EI2234">
        <v>20160407</v>
      </c>
      <c r="EJ2234">
        <v>0</v>
      </c>
      <c r="EK2234">
        <v>0</v>
      </c>
    </row>
    <row r="2235" spans="1:272" x14ac:dyDescent="0.25">
      <c r="A2235">
        <v>16487242</v>
      </c>
      <c r="B2235">
        <v>2234</v>
      </c>
      <c r="C2235" t="s">
        <v>393</v>
      </c>
      <c r="D2235" t="s">
        <v>394</v>
      </c>
      <c r="F2235" t="str">
        <f>"00-00-31-1800-0213-0091"</f>
        <v>00-00-31-1800-0213-0091</v>
      </c>
      <c r="H2235" t="str">
        <f>"JONES JOLYN &amp; DAVIS BRIDGETTE &amp; JONES RONALD"</f>
        <v>JONES JOLYN &amp; DAVIS BRIDGETTE &amp; JONES RONALD</v>
      </c>
      <c r="I2235" t="str">
        <f>"815 S 12TH ST"</f>
        <v>815 S 12TH ST</v>
      </c>
      <c r="J2235" t="str">
        <f>"FERNANDINA BEACH FL 32034"</f>
        <v>FERNANDINA BEACH FL 32034</v>
      </c>
      <c r="K2235" t="str">
        <f>"815 12TH ST S"</f>
        <v>815 12TH ST S</v>
      </c>
      <c r="L2235" t="str">
        <f t="shared" si="826"/>
        <v>FERNANDINA BEACH FL 32034</v>
      </c>
      <c r="M2235" t="str">
        <f>"BLOCK 213 N50 FT OF E100 FT OF LOT 9 &amp; S11 FT OF E100 FT OF LOT 10 IN OR 2047/911 &amp; OR 2047/915 CITY OF FDNA BEACH"</f>
        <v>BLOCK 213 N50 FT OF E100 FT OF LOT 9 &amp; S11 FT OF E100 FT OF LOT 10 IN OR 2047/911 &amp; OR 2047/915 CITY OF FDNA BEACH</v>
      </c>
      <c r="N2235" t="str">
        <f>""</f>
        <v/>
      </c>
      <c r="O2235" t="str">
        <f>"12510"</f>
        <v>12510</v>
      </c>
      <c r="P2235" t="str">
        <f t="shared" si="821"/>
        <v>2017</v>
      </c>
      <c r="Q2235" t="str">
        <f>""</f>
        <v/>
      </c>
      <c r="R2235" t="str">
        <f>"Y"</f>
        <v>Y</v>
      </c>
      <c r="S2235" t="str">
        <f>""</f>
        <v/>
      </c>
      <c r="T2235" t="str">
        <f>"1149.44"</f>
        <v>1149.44</v>
      </c>
      <c r="U2235" t="str">
        <f>"82672.00"</f>
        <v>82672.00</v>
      </c>
      <c r="V2235" t="str">
        <f>"82672.00"</f>
        <v>82672.00</v>
      </c>
      <c r="W2235" t="str">
        <f t="shared" si="822"/>
        <v>2017</v>
      </c>
      <c r="X2235" t="str">
        <f>""</f>
        <v/>
      </c>
      <c r="Y2235" t="str">
        <f>"1215.92"</f>
        <v>1215.92</v>
      </c>
      <c r="Z2235" t="str">
        <f>"25000.00"</f>
        <v>25000.00</v>
      </c>
      <c r="AA2235" t="str">
        <f>"57672.00"</f>
        <v>57672.00</v>
      </c>
      <c r="AB2235" t="str">
        <f t="shared" si="837"/>
        <v>Residential</v>
      </c>
      <c r="AC2235" t="str">
        <f t="shared" si="829"/>
        <v>0</v>
      </c>
      <c r="AD2235" t="str">
        <f>"3"</f>
        <v>3</v>
      </c>
      <c r="AE2235" t="str">
        <f>"MASONRY"</f>
        <v>MASONRY</v>
      </c>
      <c r="AF2235" t="str">
        <f>"001"</f>
        <v>001</v>
      </c>
      <c r="AG2235" t="str">
        <f>"FL"</f>
        <v>FL</v>
      </c>
      <c r="AH2235" t="str">
        <f>"6100.00"</f>
        <v>6100.00</v>
      </c>
      <c r="AI2235" t="str">
        <f>"27175.00"</f>
        <v>27175.00</v>
      </c>
      <c r="AJ2235" t="str">
        <f>"C55-000-585-9925-9"</f>
        <v>C55-000-585-9925-9</v>
      </c>
      <c r="AK2235" t="str">
        <f>"49434"</f>
        <v>49434</v>
      </c>
      <c r="AL2235">
        <v>8</v>
      </c>
      <c r="AM2235">
        <v>2553</v>
      </c>
      <c r="AN2235">
        <v>1275.1199999999999</v>
      </c>
      <c r="AQ2235" t="s">
        <v>21569</v>
      </c>
      <c r="AR2235" t="s">
        <v>21569</v>
      </c>
      <c r="AS2235" t="s">
        <v>21569</v>
      </c>
      <c r="AU2235" t="s">
        <v>396</v>
      </c>
      <c r="AV2235">
        <v>2017</v>
      </c>
      <c r="AW2235" t="str">
        <f>"00-00-31-1800-0213-0091 "</f>
        <v xml:space="preserve">00-00-31-1800-0213-0091 </v>
      </c>
      <c r="AX2235">
        <v>815</v>
      </c>
      <c r="AZ2235" t="s">
        <v>5203</v>
      </c>
      <c r="BA2235" t="s">
        <v>1942</v>
      </c>
      <c r="BB2235" t="s">
        <v>18674</v>
      </c>
      <c r="BD2235" t="s">
        <v>11749</v>
      </c>
      <c r="BE2235" t="s">
        <v>393</v>
      </c>
      <c r="BF2235">
        <v>32034</v>
      </c>
      <c r="BG2235" t="s">
        <v>21570</v>
      </c>
      <c r="BH2235" t="s">
        <v>11751</v>
      </c>
      <c r="BI2235">
        <v>-81.456587105209195</v>
      </c>
      <c r="BJ2235">
        <v>30.659618621492999</v>
      </c>
      <c r="BK2235" t="s">
        <v>21571</v>
      </c>
      <c r="BM2235" t="s">
        <v>21572</v>
      </c>
      <c r="BN2235" t="s">
        <v>3983</v>
      </c>
      <c r="BO2235">
        <v>32034</v>
      </c>
      <c r="BP2235" t="s">
        <v>416</v>
      </c>
      <c r="BQ2235">
        <v>100</v>
      </c>
      <c r="BR2235" t="s">
        <v>514</v>
      </c>
      <c r="BS2235">
        <v>1001</v>
      </c>
      <c r="BT2235" t="s">
        <v>515</v>
      </c>
      <c r="BU2235">
        <v>610</v>
      </c>
      <c r="BV2235">
        <v>1000</v>
      </c>
      <c r="BW2235">
        <v>6100</v>
      </c>
      <c r="BX2235" t="s">
        <v>407</v>
      </c>
      <c r="BY2235" t="s">
        <v>18253</v>
      </c>
      <c r="BZ2235">
        <v>3</v>
      </c>
      <c r="CA2235">
        <v>1965</v>
      </c>
      <c r="CB2235">
        <v>1</v>
      </c>
      <c r="CC2235">
        <v>1</v>
      </c>
      <c r="CD2235">
        <v>2017</v>
      </c>
      <c r="CG2235">
        <v>82672</v>
      </c>
      <c r="CH2235">
        <v>2017</v>
      </c>
      <c r="CI2235">
        <v>27175</v>
      </c>
      <c r="CJ2235">
        <v>57378</v>
      </c>
      <c r="CK2235">
        <v>84553</v>
      </c>
      <c r="CL2235">
        <v>2017</v>
      </c>
      <c r="CM2235">
        <v>1149.44</v>
      </c>
      <c r="CN2235" s="1">
        <v>42510</v>
      </c>
      <c r="CZ2235" s="1">
        <v>42510</v>
      </c>
      <c r="DD2235" t="s">
        <v>11749</v>
      </c>
      <c r="DF2235">
        <v>9</v>
      </c>
      <c r="DG2235">
        <v>24</v>
      </c>
      <c r="DL2235">
        <v>50101</v>
      </c>
      <c r="DM2235" t="s">
        <v>15205</v>
      </c>
      <c r="DO2235" t="s">
        <v>21573</v>
      </c>
      <c r="DP2235">
        <v>0</v>
      </c>
      <c r="DQ2235">
        <v>0</v>
      </c>
      <c r="DR2235" t="s">
        <v>411</v>
      </c>
    </row>
    <row r="2236" spans="1:272" x14ac:dyDescent="0.25">
      <c r="A2236">
        <v>16487243</v>
      </c>
      <c r="B2236">
        <v>2235</v>
      </c>
      <c r="C2236" t="s">
        <v>393</v>
      </c>
      <c r="D2236" t="s">
        <v>394</v>
      </c>
      <c r="F2236" t="str">
        <f>"00-00-31-1800-0213-0094"</f>
        <v>00-00-31-1800-0213-0094</v>
      </c>
      <c r="H2236" t="str">
        <f>"CMR ISLAND LLC"</f>
        <v>CMR ISLAND LLC</v>
      </c>
      <c r="I2236" t="str">
        <f>"1766 MEMORIAL DR SUITE 1"</f>
        <v>1766 MEMORIAL DR SUITE 1</v>
      </c>
      <c r="J2236" t="str">
        <f>"WAYCROSS GA 31501"</f>
        <v>WAYCROSS GA 31501</v>
      </c>
      <c r="K2236" t="str">
        <f>"DIVISION ST"</f>
        <v>DIVISION ST</v>
      </c>
      <c r="L2236" t="str">
        <f t="shared" si="826"/>
        <v>FERNANDINA BEACH FL 32034</v>
      </c>
      <c r="M2236" t="str">
        <f>"BLOCK 213 PT OF LOTS 9 &amp; 10 IN OR 2125/589 CITY OF FDNA BEACH"</f>
        <v>BLOCK 213 PT OF LOTS 9 &amp; 10 IN OR 2125/589 CITY OF FDNA BEACH</v>
      </c>
      <c r="N2236" t="str">
        <f>""</f>
        <v/>
      </c>
      <c r="O2236" t="str">
        <f>"12513"</f>
        <v>12513</v>
      </c>
      <c r="P2236" t="str">
        <f t="shared" si="821"/>
        <v>2017</v>
      </c>
      <c r="Q2236" t="str">
        <f>""</f>
        <v/>
      </c>
      <c r="R2236" t="str">
        <f>"N"</f>
        <v>N</v>
      </c>
      <c r="S2236" t="str">
        <f>""</f>
        <v/>
      </c>
      <c r="T2236" t="str">
        <f>"271.83"</f>
        <v>271.83</v>
      </c>
      <c r="U2236" t="str">
        <f>"12917.00"</f>
        <v>12917.00</v>
      </c>
      <c r="V2236" t="str">
        <f>"12917.00"</f>
        <v>12917.00</v>
      </c>
      <c r="W2236" t="str">
        <f t="shared" si="822"/>
        <v>2017</v>
      </c>
      <c r="X2236" t="str">
        <f>"9.00"</f>
        <v>9.00</v>
      </c>
      <c r="Y2236" t="str">
        <f>"311.98"</f>
        <v>311.98</v>
      </c>
      <c r="Z2236" t="str">
        <f>""</f>
        <v/>
      </c>
      <c r="AA2236" t="str">
        <f>"15097.00"</f>
        <v>15097.00</v>
      </c>
      <c r="AB2236" t="str">
        <f t="shared" si="837"/>
        <v>Residential</v>
      </c>
      <c r="AC2236" t="str">
        <f t="shared" si="829"/>
        <v>0</v>
      </c>
      <c r="AD2236" t="str">
        <f>""</f>
        <v/>
      </c>
      <c r="AE2236" t="str">
        <f>""</f>
        <v/>
      </c>
      <c r="AF2236" t="str">
        <f>"000"</f>
        <v>000</v>
      </c>
      <c r="AG2236" t="str">
        <f>"GA"</f>
        <v>GA</v>
      </c>
      <c r="AH2236" t="str">
        <f>"6100.00"</f>
        <v>6100.00</v>
      </c>
      <c r="AI2236" t="str">
        <f>"15097.00"</f>
        <v>15097.00</v>
      </c>
      <c r="AJ2236" t="str">
        <f>"C55-000-585-9928-3"</f>
        <v>C55-000-585-9928-3</v>
      </c>
      <c r="AK2236" t="str">
        <f>"49437"</f>
        <v>49437</v>
      </c>
      <c r="AL2236">
        <v>8</v>
      </c>
      <c r="AM2236">
        <v>2554</v>
      </c>
      <c r="AN2236">
        <v>325.98</v>
      </c>
      <c r="AQ2236" t="s">
        <v>21574</v>
      </c>
      <c r="AR2236" t="s">
        <v>21574</v>
      </c>
      <c r="AS2236" t="s">
        <v>21574</v>
      </c>
      <c r="AU2236" t="s">
        <v>396</v>
      </c>
      <c r="AV2236">
        <v>2017</v>
      </c>
      <c r="AW2236" t="str">
        <f>"00-00-31-1800-0213-0094 "</f>
        <v xml:space="preserve">00-00-31-1800-0213-0094 </v>
      </c>
      <c r="AZ2236" t="s">
        <v>21575</v>
      </c>
      <c r="BA2236" t="s">
        <v>1942</v>
      </c>
      <c r="BD2236" t="s">
        <v>11749</v>
      </c>
      <c r="BE2236" t="s">
        <v>393</v>
      </c>
      <c r="BF2236">
        <v>32034</v>
      </c>
      <c r="BG2236" t="s">
        <v>21576</v>
      </c>
      <c r="BH2236" t="s">
        <v>11751</v>
      </c>
      <c r="BI2236">
        <v>-81.456902515182307</v>
      </c>
      <c r="BJ2236">
        <v>30.659653937105301</v>
      </c>
      <c r="BK2236" t="s">
        <v>21577</v>
      </c>
      <c r="BM2236" t="s">
        <v>21578</v>
      </c>
      <c r="BN2236" t="s">
        <v>12454</v>
      </c>
      <c r="BO2236">
        <v>31501</v>
      </c>
      <c r="BP2236" t="s">
        <v>404</v>
      </c>
      <c r="BQ2236">
        <v>0</v>
      </c>
      <c r="BR2236" t="s">
        <v>491</v>
      </c>
      <c r="BS2236">
        <v>8001</v>
      </c>
      <c r="BT2236" t="s">
        <v>492</v>
      </c>
      <c r="BU2236">
        <v>610</v>
      </c>
      <c r="BV2236">
        <v>1000</v>
      </c>
      <c r="BW2236">
        <v>6100</v>
      </c>
      <c r="BX2236" t="s">
        <v>407</v>
      </c>
      <c r="BY2236" t="s">
        <v>18253</v>
      </c>
      <c r="CD2236">
        <v>2017</v>
      </c>
      <c r="CE2236">
        <v>15097</v>
      </c>
      <c r="CG2236">
        <v>15097</v>
      </c>
      <c r="CH2236">
        <v>2017</v>
      </c>
      <c r="CI2236">
        <v>15097</v>
      </c>
      <c r="CK2236">
        <v>15097</v>
      </c>
      <c r="CL2236">
        <v>2017</v>
      </c>
      <c r="CM2236">
        <v>271.83</v>
      </c>
      <c r="CN2236" s="1">
        <v>42895</v>
      </c>
      <c r="CO2236">
        <v>30000</v>
      </c>
      <c r="CV2236">
        <v>0</v>
      </c>
      <c r="CZ2236" s="1">
        <v>42895</v>
      </c>
      <c r="DA2236">
        <v>0</v>
      </c>
      <c r="DD2236" t="s">
        <v>11749</v>
      </c>
      <c r="DG2236">
        <v>24</v>
      </c>
      <c r="DL2236">
        <v>50101</v>
      </c>
      <c r="DM2236" t="s">
        <v>15205</v>
      </c>
      <c r="DO2236" t="s">
        <v>21579</v>
      </c>
      <c r="DP2236">
        <v>0</v>
      </c>
      <c r="DQ2236">
        <v>0</v>
      </c>
      <c r="DR2236" t="s">
        <v>411</v>
      </c>
      <c r="DS2236" t="b">
        <v>1</v>
      </c>
      <c r="DT2236" t="s">
        <v>470</v>
      </c>
      <c r="DU2236" t="s">
        <v>471</v>
      </c>
      <c r="DV2236" t="s">
        <v>472</v>
      </c>
      <c r="DX2236">
        <v>-9999</v>
      </c>
      <c r="DZ2236" t="s">
        <v>447</v>
      </c>
      <c r="EA2236" t="s">
        <v>448</v>
      </c>
      <c r="EB2236" t="s">
        <v>14787</v>
      </c>
      <c r="EC2236">
        <v>20101217</v>
      </c>
      <c r="ED2236" t="s">
        <v>474</v>
      </c>
      <c r="EF2236">
        <v>1687.4</v>
      </c>
      <c r="EG2236">
        <v>1381.7</v>
      </c>
      <c r="EI2236">
        <v>20160407</v>
      </c>
      <c r="EJ2236">
        <v>0</v>
      </c>
      <c r="EK2236">
        <v>0</v>
      </c>
      <c r="EP2236" t="s">
        <v>421</v>
      </c>
      <c r="EQ2236" t="s">
        <v>422</v>
      </c>
      <c r="ER2236">
        <v>0</v>
      </c>
      <c r="ES2236">
        <v>1</v>
      </c>
      <c r="ET2236">
        <v>0</v>
      </c>
      <c r="EU2236">
        <v>0</v>
      </c>
      <c r="EV2236">
        <v>0</v>
      </c>
      <c r="EW2236" s="2">
        <v>43222</v>
      </c>
      <c r="EX2236" s="1">
        <v>42515</v>
      </c>
      <c r="EY2236">
        <v>2015</v>
      </c>
      <c r="EZ2236">
        <v>258.74</v>
      </c>
      <c r="FA2236" t="s">
        <v>21580</v>
      </c>
      <c r="FB2236">
        <v>15.75</v>
      </c>
      <c r="FC2236" t="s">
        <v>424</v>
      </c>
      <c r="FD2236" t="s">
        <v>425</v>
      </c>
      <c r="FE2236" s="1">
        <v>42790</v>
      </c>
      <c r="FF2236">
        <v>9</v>
      </c>
      <c r="FG2236">
        <v>7336677</v>
      </c>
      <c r="FH2236" t="s">
        <v>5826</v>
      </c>
    </row>
    <row r="2237" spans="1:272" x14ac:dyDescent="0.25">
      <c r="A2237">
        <v>16487244</v>
      </c>
      <c r="B2237">
        <v>2236</v>
      </c>
      <c r="C2237" t="s">
        <v>393</v>
      </c>
      <c r="D2237" t="s">
        <v>394</v>
      </c>
      <c r="F2237" t="str">
        <f>"00-00-31-1800-0213-0103"</f>
        <v>00-00-31-1800-0213-0103</v>
      </c>
      <c r="H2237" t="str">
        <f>"CMR ISLAND INC"</f>
        <v>CMR ISLAND INC</v>
      </c>
      <c r="I2237" t="str">
        <f>"1766 MEMORIAL DR 1"</f>
        <v>1766 MEMORIAL DR 1</v>
      </c>
      <c r="J2237" t="str">
        <f>"WAYCROSS GA 31501"</f>
        <v>WAYCROSS GA 31501</v>
      </c>
      <c r="K2237" t="str">
        <f>"DIVISION ST"</f>
        <v>DIVISION ST</v>
      </c>
      <c r="L2237" t="str">
        <f t="shared" si="826"/>
        <v>FERNANDINA BEACH FL 32034</v>
      </c>
      <c r="M2237" t="str">
        <f>"BLOCK 213 E 100 OF W 130 OF N 61 OF S72 OF LOT 10 (S-3) IN OR 2125/585 CITY OF FDNA BEACH"</f>
        <v>BLOCK 213 E 100 OF W 130 OF N 61 OF S72 OF LOT 10 (S-3) IN OR 2125/585 CITY OF FDNA BEACH</v>
      </c>
      <c r="N2237" t="str">
        <f>""</f>
        <v/>
      </c>
      <c r="O2237" t="str">
        <f>"12518"</f>
        <v>12518</v>
      </c>
      <c r="P2237" t="str">
        <f t="shared" si="821"/>
        <v>2017</v>
      </c>
      <c r="Q2237" t="str">
        <f>""</f>
        <v/>
      </c>
      <c r="R2237" t="str">
        <f>"N"</f>
        <v>N</v>
      </c>
      <c r="S2237" t="str">
        <f>""</f>
        <v/>
      </c>
      <c r="T2237" t="str">
        <f>"271.83"</f>
        <v>271.83</v>
      </c>
      <c r="U2237" t="str">
        <f>"12917.00"</f>
        <v>12917.00</v>
      </c>
      <c r="V2237" t="str">
        <f>"12917.00"</f>
        <v>12917.00</v>
      </c>
      <c r="W2237" t="str">
        <f t="shared" si="822"/>
        <v>2017</v>
      </c>
      <c r="X2237" t="str">
        <f>""</f>
        <v/>
      </c>
      <c r="Y2237" t="str">
        <f>"311.98"</f>
        <v>311.98</v>
      </c>
      <c r="Z2237" t="str">
        <f>""</f>
        <v/>
      </c>
      <c r="AA2237" t="str">
        <f>"15097.00"</f>
        <v>15097.00</v>
      </c>
      <c r="AB2237" t="str">
        <f t="shared" si="837"/>
        <v>Residential</v>
      </c>
      <c r="AC2237" t="str">
        <f t="shared" si="829"/>
        <v>0</v>
      </c>
      <c r="AD2237" t="str">
        <f>""</f>
        <v/>
      </c>
      <c r="AE2237" t="str">
        <f>""</f>
        <v/>
      </c>
      <c r="AF2237" t="str">
        <f>"000"</f>
        <v>000</v>
      </c>
      <c r="AG2237" t="str">
        <f>"GA"</f>
        <v>GA</v>
      </c>
      <c r="AH2237" t="str">
        <f>"6100.00"</f>
        <v>6100.00</v>
      </c>
      <c r="AI2237" t="str">
        <f>"15097.00"</f>
        <v>15097.00</v>
      </c>
      <c r="AJ2237" t="str">
        <f>"C55-000-585-9932-5"</f>
        <v>C55-000-585-9932-5</v>
      </c>
      <c r="AK2237" t="str">
        <f>"49441"</f>
        <v>49441</v>
      </c>
      <c r="AL2237">
        <v>8</v>
      </c>
      <c r="AM2237">
        <v>2555</v>
      </c>
      <c r="AN2237">
        <v>325.98</v>
      </c>
      <c r="AQ2237" t="s">
        <v>21581</v>
      </c>
      <c r="AR2237" t="s">
        <v>21581</v>
      </c>
      <c r="AS2237" t="s">
        <v>21581</v>
      </c>
      <c r="AU2237" t="s">
        <v>396</v>
      </c>
      <c r="AV2237">
        <v>2017</v>
      </c>
      <c r="AW2237" t="str">
        <f>"00-00-31-1800-0213-0103 "</f>
        <v xml:space="preserve">00-00-31-1800-0213-0103 </v>
      </c>
      <c r="AZ2237" t="s">
        <v>21575</v>
      </c>
      <c r="BA2237" t="s">
        <v>1942</v>
      </c>
      <c r="BD2237" t="s">
        <v>11749</v>
      </c>
      <c r="BE2237" t="s">
        <v>393</v>
      </c>
      <c r="BF2237">
        <v>32034</v>
      </c>
      <c r="BG2237" t="s">
        <v>21576</v>
      </c>
      <c r="BH2237" t="s">
        <v>11751</v>
      </c>
      <c r="BI2237">
        <v>-81.456877185939803</v>
      </c>
      <c r="BJ2237">
        <v>30.659821322384399</v>
      </c>
      <c r="BK2237" t="s">
        <v>21582</v>
      </c>
      <c r="BM2237" t="s">
        <v>21578</v>
      </c>
      <c r="BN2237" t="s">
        <v>12454</v>
      </c>
      <c r="BO2237">
        <v>31501</v>
      </c>
      <c r="BP2237" t="s">
        <v>404</v>
      </c>
      <c r="BQ2237">
        <v>0</v>
      </c>
      <c r="BR2237" t="s">
        <v>491</v>
      </c>
      <c r="BS2237">
        <v>8001</v>
      </c>
      <c r="BT2237" t="s">
        <v>492</v>
      </c>
      <c r="BU2237">
        <v>610</v>
      </c>
      <c r="BV2237">
        <v>1000</v>
      </c>
      <c r="BW2237">
        <v>6179</v>
      </c>
      <c r="BX2237" t="s">
        <v>407</v>
      </c>
      <c r="BY2237" t="s">
        <v>18253</v>
      </c>
      <c r="CD2237">
        <v>2017</v>
      </c>
      <c r="CE2237">
        <v>15097</v>
      </c>
      <c r="CG2237">
        <v>15097</v>
      </c>
      <c r="CH2237">
        <v>2017</v>
      </c>
      <c r="CI2237">
        <v>15097</v>
      </c>
      <c r="CK2237">
        <v>15097</v>
      </c>
      <c r="CL2237">
        <v>2017</v>
      </c>
      <c r="CM2237">
        <v>271.83</v>
      </c>
      <c r="CN2237" s="1">
        <v>42895</v>
      </c>
      <c r="CO2237">
        <v>30000</v>
      </c>
      <c r="CV2237">
        <v>0</v>
      </c>
      <c r="CZ2237" s="1">
        <v>42895</v>
      </c>
      <c r="DA2237">
        <v>0</v>
      </c>
      <c r="DD2237" t="s">
        <v>11749</v>
      </c>
      <c r="DF2237">
        <v>10</v>
      </c>
      <c r="DG2237">
        <v>24</v>
      </c>
      <c r="DL2237">
        <v>50101</v>
      </c>
      <c r="DM2237" t="s">
        <v>15205</v>
      </c>
      <c r="DO2237" t="s">
        <v>21583</v>
      </c>
      <c r="DP2237">
        <v>0</v>
      </c>
      <c r="DQ2237">
        <v>0</v>
      </c>
      <c r="DR2237" t="s">
        <v>411</v>
      </c>
    </row>
    <row r="2238" spans="1:272" x14ac:dyDescent="0.25">
      <c r="A2238">
        <v>16487245</v>
      </c>
      <c r="B2238">
        <v>2237</v>
      </c>
      <c r="C2238" t="s">
        <v>393</v>
      </c>
      <c r="D2238" t="s">
        <v>394</v>
      </c>
      <c r="F2238" t="str">
        <f>"00-00-31-1800-0214-01A0"</f>
        <v>00-00-31-1800-0214-01A0</v>
      </c>
      <c r="H2238" t="str">
        <f>"HARDY MERRITT S"</f>
        <v>HARDY MERRITT S</v>
      </c>
      <c r="I2238" t="str">
        <f>"528 S 13TH TERRACE"</f>
        <v>528 S 13TH TERRACE</v>
      </c>
      <c r="J2238" t="str">
        <f>"FERNANDINA BEACH FL 32034"</f>
        <v>FERNANDINA BEACH FL 32034</v>
      </c>
      <c r="K2238" t="str">
        <f>"602 11TH ST S"</f>
        <v>602 11TH ST S</v>
      </c>
      <c r="L2238" t="str">
        <f t="shared" si="826"/>
        <v>FERNANDINA BEACH FL 32034</v>
      </c>
      <c r="M2238" t="str">
        <f>"BLK 214 TRACT A OF LOT 1 &amp; N 14 FT OF TRACT B OF LOT 1 IN OR 1948/1827 CITY OF FDNA BEACH S/D OF SEC 24-3N-28E UNR"</f>
        <v>BLK 214 TRACT A OF LOT 1 &amp; N 14 FT OF TRACT B OF LOT 1 IN OR 1948/1827 CITY OF FDNA BEACH S/D OF SEC 24-3N-28E UNR</v>
      </c>
      <c r="N2238" t="str">
        <f>""</f>
        <v/>
      </c>
      <c r="O2238" t="str">
        <f>"12521"</f>
        <v>12521</v>
      </c>
      <c r="P2238" t="str">
        <f t="shared" si="821"/>
        <v>2017</v>
      </c>
      <c r="Q2238" t="str">
        <f>""</f>
        <v/>
      </c>
      <c r="R2238" t="str">
        <f>"N"</f>
        <v>N</v>
      </c>
      <c r="S2238" t="str">
        <f>""</f>
        <v/>
      </c>
      <c r="T2238" t="str">
        <f>"2359.70"</f>
        <v>2359.70</v>
      </c>
      <c r="U2238" t="str">
        <f>"118395.00"</f>
        <v>118395.00</v>
      </c>
      <c r="V2238" t="str">
        <f>"118395.00"</f>
        <v>118395.00</v>
      </c>
      <c r="W2238" t="str">
        <f t="shared" si="822"/>
        <v>2017</v>
      </c>
      <c r="X2238" t="str">
        <f>"17.00"</f>
        <v>17.00</v>
      </c>
      <c r="Y2238" t="str">
        <f>"2462.49"</f>
        <v>2462.49</v>
      </c>
      <c r="Z2238" t="str">
        <f>""</f>
        <v/>
      </c>
      <c r="AA2238" t="str">
        <f>"118395.00"</f>
        <v>118395.00</v>
      </c>
      <c r="AB2238" t="str">
        <f t="shared" si="837"/>
        <v>Residential</v>
      </c>
      <c r="AC2238" t="str">
        <f t="shared" si="829"/>
        <v>0</v>
      </c>
      <c r="AD2238" t="str">
        <f>"3"</f>
        <v>3</v>
      </c>
      <c r="AE2238" t="str">
        <f>"MASONRY"</f>
        <v>MASONRY</v>
      </c>
      <c r="AF2238" t="str">
        <f t="shared" ref="AF2238:AF2243" si="838">"001"</f>
        <v>001</v>
      </c>
      <c r="AG2238" t="str">
        <f t="shared" ref="AG2238:AG2246" si="839">"FL"</f>
        <v>FL</v>
      </c>
      <c r="AH2238" t="str">
        <f>"10000.00"</f>
        <v>10000.00</v>
      </c>
      <c r="AI2238" t="str">
        <f>"37125.00"</f>
        <v>37125.00</v>
      </c>
      <c r="AJ2238" t="str">
        <f>"C55-000-585-9935-8"</f>
        <v>C55-000-585-9935-8</v>
      </c>
      <c r="AK2238" t="str">
        <f>"49444"</f>
        <v>49444</v>
      </c>
      <c r="AL2238">
        <v>8</v>
      </c>
      <c r="AM2238">
        <v>2556</v>
      </c>
      <c r="AN2238">
        <v>2584.0100000000002</v>
      </c>
      <c r="AQ2238" t="s">
        <v>21584</v>
      </c>
      <c r="AR2238" t="s">
        <v>21584</v>
      </c>
      <c r="AS2238" t="s">
        <v>21584</v>
      </c>
      <c r="AU2238" t="s">
        <v>396</v>
      </c>
      <c r="AV2238">
        <v>2017</v>
      </c>
      <c r="AW2238" t="str">
        <f>"00-00-31-1800-0214-01A0 "</f>
        <v xml:space="preserve">00-00-31-1800-0214-01A0 </v>
      </c>
      <c r="AX2238">
        <v>602</v>
      </c>
      <c r="AZ2238" t="s">
        <v>5153</v>
      </c>
      <c r="BA2238" t="s">
        <v>1942</v>
      </c>
      <c r="BB2238" t="s">
        <v>18674</v>
      </c>
      <c r="BD2238" t="s">
        <v>11749</v>
      </c>
      <c r="BE2238" t="s">
        <v>393</v>
      </c>
      <c r="BF2238">
        <v>32034</v>
      </c>
      <c r="BG2238" t="s">
        <v>21585</v>
      </c>
      <c r="BH2238" t="s">
        <v>11751</v>
      </c>
      <c r="BI2238">
        <v>-81.457280852558497</v>
      </c>
      <c r="BJ2238">
        <v>30.662641412592599</v>
      </c>
      <c r="BK2238" t="s">
        <v>21586</v>
      </c>
      <c r="BM2238" t="s">
        <v>21587</v>
      </c>
      <c r="BN2238" t="s">
        <v>3983</v>
      </c>
      <c r="BO2238">
        <v>32034</v>
      </c>
      <c r="BP2238" t="s">
        <v>404</v>
      </c>
      <c r="BQ2238">
        <v>100</v>
      </c>
      <c r="BR2238" t="s">
        <v>514</v>
      </c>
      <c r="BS2238">
        <v>1001</v>
      </c>
      <c r="BT2238" t="s">
        <v>515</v>
      </c>
      <c r="BU2238">
        <v>1000</v>
      </c>
      <c r="BV2238">
        <v>1000</v>
      </c>
      <c r="BW2238">
        <v>10159</v>
      </c>
      <c r="BX2238" t="s">
        <v>407</v>
      </c>
      <c r="BY2238" t="s">
        <v>18253</v>
      </c>
      <c r="BZ2238">
        <v>3</v>
      </c>
      <c r="CA2238">
        <v>1955</v>
      </c>
      <c r="CB2238">
        <v>1</v>
      </c>
      <c r="CC2238">
        <v>1</v>
      </c>
      <c r="CD2238">
        <v>2017</v>
      </c>
      <c r="CE2238">
        <v>37125</v>
      </c>
      <c r="CF2238">
        <v>81270</v>
      </c>
      <c r="CG2238">
        <v>118395</v>
      </c>
      <c r="CH2238">
        <v>2017</v>
      </c>
      <c r="CI2238">
        <v>37125</v>
      </c>
      <c r="CJ2238">
        <v>81270</v>
      </c>
      <c r="CK2238">
        <v>118395</v>
      </c>
      <c r="CL2238">
        <v>2017</v>
      </c>
      <c r="CM2238">
        <v>2359.6999999999998</v>
      </c>
      <c r="CN2238" s="1">
        <v>41419</v>
      </c>
      <c r="CZ2238" s="1">
        <v>41419</v>
      </c>
      <c r="DD2238" t="s">
        <v>11749</v>
      </c>
      <c r="DG2238">
        <v>23</v>
      </c>
      <c r="DL2238">
        <v>50101</v>
      </c>
      <c r="DM2238" t="s">
        <v>20742</v>
      </c>
      <c r="DO2238" t="s">
        <v>21588</v>
      </c>
      <c r="DP2238">
        <v>0</v>
      </c>
      <c r="DQ2238">
        <v>2</v>
      </c>
      <c r="DR2238" t="s">
        <v>1174</v>
      </c>
      <c r="DS2238" t="b">
        <v>1</v>
      </c>
      <c r="DT2238" t="s">
        <v>470</v>
      </c>
      <c r="DU2238" t="s">
        <v>471</v>
      </c>
      <c r="DV2238" t="s">
        <v>472</v>
      </c>
      <c r="DX2238">
        <v>-9999</v>
      </c>
      <c r="DZ2238" t="s">
        <v>447</v>
      </c>
      <c r="EA2238" t="s">
        <v>448</v>
      </c>
      <c r="EB2238" t="s">
        <v>14787</v>
      </c>
      <c r="EC2238">
        <v>20101217</v>
      </c>
      <c r="ED2238" t="s">
        <v>474</v>
      </c>
      <c r="EF2238">
        <v>1552.7</v>
      </c>
      <c r="EG2238">
        <v>1409.8</v>
      </c>
      <c r="EI2238">
        <v>20160407</v>
      </c>
      <c r="EJ2238">
        <v>0</v>
      </c>
      <c r="EK2238">
        <v>0</v>
      </c>
      <c r="EP2238" t="s">
        <v>421</v>
      </c>
      <c r="EQ2238" t="s">
        <v>422</v>
      </c>
      <c r="ER2238">
        <v>0</v>
      </c>
      <c r="ES2238">
        <v>4</v>
      </c>
      <c r="ET2238">
        <v>0</v>
      </c>
      <c r="EU2238">
        <v>0</v>
      </c>
      <c r="EV2238">
        <v>0</v>
      </c>
      <c r="EW2238" s="2">
        <v>43222</v>
      </c>
      <c r="EX2238" s="1">
        <v>42879</v>
      </c>
      <c r="EY2238">
        <v>2016</v>
      </c>
      <c r="EZ2238">
        <v>2394.0500000000002</v>
      </c>
      <c r="FA2238" t="s">
        <v>21589</v>
      </c>
      <c r="FB2238">
        <v>0.25</v>
      </c>
      <c r="FC2238" t="s">
        <v>424</v>
      </c>
      <c r="FD2238" t="s">
        <v>425</v>
      </c>
      <c r="FE2238" s="1">
        <v>43200</v>
      </c>
      <c r="FF2238">
        <v>11</v>
      </c>
      <c r="FG2238">
        <v>2851116</v>
      </c>
      <c r="FH2238" t="s">
        <v>480</v>
      </c>
      <c r="FJ2238" s="1">
        <v>42879</v>
      </c>
      <c r="FK2238">
        <v>2016</v>
      </c>
      <c r="FL2238">
        <v>2394.0500000000002</v>
      </c>
      <c r="FM2238" t="s">
        <v>21589</v>
      </c>
      <c r="FN2238">
        <v>0.25</v>
      </c>
      <c r="FO2238" t="s">
        <v>424</v>
      </c>
      <c r="FP2238" t="s">
        <v>425</v>
      </c>
      <c r="FR2238">
        <v>22</v>
      </c>
      <c r="FS2238">
        <v>5683587</v>
      </c>
      <c r="FT2238" t="s">
        <v>21590</v>
      </c>
      <c r="FV2238" s="1">
        <v>42515</v>
      </c>
      <c r="FW2238">
        <v>2015</v>
      </c>
      <c r="FX2238">
        <v>2263.37</v>
      </c>
      <c r="FY2238" t="s">
        <v>21591</v>
      </c>
      <c r="FZ2238">
        <v>0.25</v>
      </c>
      <c r="GA2238" t="s">
        <v>424</v>
      </c>
      <c r="GB2238" t="s">
        <v>425</v>
      </c>
      <c r="GC2238" s="1">
        <v>43200</v>
      </c>
      <c r="GD2238">
        <v>23</v>
      </c>
      <c r="GE2238">
        <v>2851116</v>
      </c>
      <c r="GF2238" t="s">
        <v>480</v>
      </c>
      <c r="GH2238" s="1">
        <v>42515</v>
      </c>
      <c r="GI2238">
        <v>2015</v>
      </c>
      <c r="GJ2238">
        <v>2263.37</v>
      </c>
      <c r="GK2238" t="s">
        <v>21591</v>
      </c>
      <c r="GL2238">
        <v>0.25</v>
      </c>
      <c r="GM2238" t="s">
        <v>424</v>
      </c>
      <c r="GN2238" t="s">
        <v>425</v>
      </c>
      <c r="GP2238">
        <v>22</v>
      </c>
      <c r="GQ2238">
        <v>5531101</v>
      </c>
      <c r="GR2238" t="s">
        <v>21592</v>
      </c>
    </row>
    <row r="2239" spans="1:272" x14ac:dyDescent="0.25">
      <c r="A2239">
        <v>16487246</v>
      </c>
      <c r="B2239">
        <v>2238</v>
      </c>
      <c r="C2239" t="s">
        <v>393</v>
      </c>
      <c r="D2239" t="s">
        <v>394</v>
      </c>
      <c r="F2239" t="str">
        <f>"00-00-31-1800-0214-03D2"</f>
        <v>00-00-31-1800-0214-03D2</v>
      </c>
      <c r="H2239" t="str">
        <f>"MCNEIL DELORES M EST"</f>
        <v>MCNEIL DELORES M EST</v>
      </c>
      <c r="I2239" t="str">
        <f>"1109 GUM ST"</f>
        <v>1109 GUM ST</v>
      </c>
      <c r="J2239" t="str">
        <f>"FERNANDINA BEACH FL 32034"</f>
        <v>FERNANDINA BEACH FL 32034</v>
      </c>
      <c r="K2239" t="str">
        <f>"1109 GUM ST"</f>
        <v>1109 GUM ST</v>
      </c>
      <c r="L2239" t="str">
        <f t="shared" si="826"/>
        <v>FERNANDINA BEACH FL 32034</v>
      </c>
      <c r="M2239" t="str">
        <f>"BLK 214 W1/2 OF S 44 FT OF TRACT C OF LOT 2 &amp; W1/2 OF TRACT D OF LOT 3 IN OR 510/277 CITY OF FDNA BEACH S/D OF SEC 24-3N-28E UNR"</f>
        <v>BLK 214 W1/2 OF S 44 FT OF TRACT C OF LOT 2 &amp; W1/2 OF TRACT D OF LOT 3 IN OR 510/277 CITY OF FDNA BEACH S/D OF SEC 24-3N-28E UNR</v>
      </c>
      <c r="N2239" t="str">
        <f>""</f>
        <v/>
      </c>
      <c r="O2239" t="str">
        <f>"12535"</f>
        <v>12535</v>
      </c>
      <c r="P2239" t="str">
        <f t="shared" si="821"/>
        <v>2017</v>
      </c>
      <c r="Q2239" t="str">
        <f>""</f>
        <v/>
      </c>
      <c r="R2239" t="str">
        <f>"N"</f>
        <v>N</v>
      </c>
      <c r="S2239" t="str">
        <f>""</f>
        <v/>
      </c>
      <c r="T2239" t="str">
        <f>"1486.18"</f>
        <v>1486.18</v>
      </c>
      <c r="U2239" t="str">
        <f>"74567.00"</f>
        <v>74567.00</v>
      </c>
      <c r="V2239" t="str">
        <f>"74567.00"</f>
        <v>74567.00</v>
      </c>
      <c r="W2239" t="str">
        <f t="shared" si="822"/>
        <v>2017</v>
      </c>
      <c r="X2239" t="str">
        <f>"13.50"</f>
        <v>13.50</v>
      </c>
      <c r="Y2239" t="str">
        <f>"1562.77"</f>
        <v>1562.77</v>
      </c>
      <c r="Z2239" t="str">
        <f>""</f>
        <v/>
      </c>
      <c r="AA2239" t="str">
        <f>"74567.00"</f>
        <v>74567.00</v>
      </c>
      <c r="AB2239" t="str">
        <f t="shared" si="837"/>
        <v>Residential</v>
      </c>
      <c r="AC2239" t="str">
        <f t="shared" si="829"/>
        <v>0</v>
      </c>
      <c r="AD2239" t="str">
        <f>"4"</f>
        <v>4</v>
      </c>
      <c r="AE2239" t="str">
        <f>"WOOD (INCLUDE STEEL STUDS)"</f>
        <v>WOOD (INCLUDE STEEL STUDS)</v>
      </c>
      <c r="AF2239" t="str">
        <f t="shared" si="838"/>
        <v>001</v>
      </c>
      <c r="AG2239" t="str">
        <f t="shared" si="839"/>
        <v>FL</v>
      </c>
      <c r="AH2239" t="str">
        <f>"5000.00"</f>
        <v>5000.00</v>
      </c>
      <c r="AI2239" t="str">
        <f>"24750.00"</f>
        <v>24750.00</v>
      </c>
      <c r="AJ2239" t="str">
        <f>"C55-000-585-9949-9"</f>
        <v>C55-000-585-9949-9</v>
      </c>
      <c r="AK2239" t="str">
        <f>"49457"</f>
        <v>49457</v>
      </c>
      <c r="AL2239">
        <v>8</v>
      </c>
      <c r="AM2239">
        <v>2557</v>
      </c>
      <c r="AN2239">
        <v>1639.31</v>
      </c>
      <c r="AQ2239" t="s">
        <v>21593</v>
      </c>
      <c r="AR2239" t="s">
        <v>21593</v>
      </c>
      <c r="AS2239" t="s">
        <v>21593</v>
      </c>
      <c r="AU2239" t="s">
        <v>396</v>
      </c>
      <c r="AV2239">
        <v>2017</v>
      </c>
      <c r="AW2239" t="str">
        <f>"00-00-31-1800-0214-03D2 "</f>
        <v xml:space="preserve">00-00-31-1800-0214-03D2 </v>
      </c>
      <c r="AX2239">
        <v>1109</v>
      </c>
      <c r="AZ2239" t="s">
        <v>21282</v>
      </c>
      <c r="BA2239" t="s">
        <v>1942</v>
      </c>
      <c r="BD2239" t="s">
        <v>11749</v>
      </c>
      <c r="BE2239" t="s">
        <v>393</v>
      </c>
      <c r="BF2239">
        <v>32034</v>
      </c>
      <c r="BG2239" t="s">
        <v>21594</v>
      </c>
      <c r="BH2239" t="s">
        <v>11751</v>
      </c>
      <c r="BI2239">
        <v>-81.457165882210006</v>
      </c>
      <c r="BJ2239">
        <v>30.661796811381102</v>
      </c>
      <c r="BK2239" t="s">
        <v>21595</v>
      </c>
      <c r="BM2239" t="s">
        <v>21594</v>
      </c>
      <c r="BN2239" t="s">
        <v>3983</v>
      </c>
      <c r="BO2239">
        <v>32034</v>
      </c>
      <c r="BP2239" t="s">
        <v>416</v>
      </c>
      <c r="BQ2239">
        <v>100</v>
      </c>
      <c r="BR2239" t="s">
        <v>514</v>
      </c>
      <c r="BS2239">
        <v>1001</v>
      </c>
      <c r="BT2239" t="s">
        <v>515</v>
      </c>
      <c r="BU2239">
        <v>500</v>
      </c>
      <c r="BV2239">
        <v>1000</v>
      </c>
      <c r="BW2239">
        <v>5000</v>
      </c>
      <c r="BX2239" t="s">
        <v>407</v>
      </c>
      <c r="BY2239" t="s">
        <v>18253</v>
      </c>
      <c r="BZ2239">
        <v>4</v>
      </c>
      <c r="CA2239">
        <v>1950</v>
      </c>
      <c r="CB2239">
        <v>1</v>
      </c>
      <c r="CC2239">
        <v>1</v>
      </c>
      <c r="CD2239">
        <v>2017</v>
      </c>
      <c r="CE2239">
        <v>24750</v>
      </c>
      <c r="CF2239">
        <v>49817</v>
      </c>
      <c r="CG2239">
        <v>74567</v>
      </c>
      <c r="CH2239">
        <v>2017</v>
      </c>
      <c r="CI2239">
        <v>24750</v>
      </c>
      <c r="CJ2239">
        <v>49817</v>
      </c>
      <c r="CK2239">
        <v>74567</v>
      </c>
      <c r="CL2239">
        <v>2017</v>
      </c>
      <c r="CM2239">
        <v>1486.18</v>
      </c>
      <c r="CN2239" s="1">
        <v>31817</v>
      </c>
      <c r="CZ2239" s="1">
        <v>31817</v>
      </c>
      <c r="DD2239" t="s">
        <v>11749</v>
      </c>
      <c r="DG2239">
        <v>24</v>
      </c>
      <c r="DL2239">
        <v>50101</v>
      </c>
      <c r="DM2239" t="s">
        <v>15205</v>
      </c>
      <c r="DO2239" t="s">
        <v>21596</v>
      </c>
      <c r="DP2239">
        <v>0</v>
      </c>
      <c r="DQ2239">
        <v>1</v>
      </c>
      <c r="DR2239" t="s">
        <v>1174</v>
      </c>
      <c r="EP2239" t="s">
        <v>6</v>
      </c>
      <c r="EQ2239" t="s">
        <v>422</v>
      </c>
      <c r="ER2239">
        <v>0</v>
      </c>
      <c r="ES2239">
        <v>1</v>
      </c>
      <c r="ET2239">
        <v>0</v>
      </c>
      <c r="EU2239">
        <v>0</v>
      </c>
      <c r="EV2239">
        <v>0</v>
      </c>
      <c r="EW2239" s="2">
        <v>43222</v>
      </c>
      <c r="EX2239" s="1">
        <v>41787</v>
      </c>
      <c r="EY2239">
        <v>2013</v>
      </c>
      <c r="EZ2239">
        <v>50.71</v>
      </c>
      <c r="FA2239" t="s">
        <v>21597</v>
      </c>
      <c r="FB2239">
        <v>18</v>
      </c>
      <c r="FC2239" t="s">
        <v>603</v>
      </c>
      <c r="FD2239" t="s">
        <v>425</v>
      </c>
      <c r="FE2239" s="1">
        <v>41946</v>
      </c>
      <c r="FF2239">
        <v>6</v>
      </c>
      <c r="FG2239">
        <v>9999999</v>
      </c>
      <c r="FH2239" t="s">
        <v>604</v>
      </c>
    </row>
    <row r="2240" spans="1:272" x14ac:dyDescent="0.25">
      <c r="A2240">
        <v>16487247</v>
      </c>
      <c r="B2240">
        <v>2239</v>
      </c>
      <c r="C2240" t="s">
        <v>393</v>
      </c>
      <c r="D2240" t="s">
        <v>394</v>
      </c>
      <c r="F2240" t="str">
        <f>"00-00-31-1800-0214-06A1"</f>
        <v>00-00-31-1800-0214-06A1</v>
      </c>
      <c r="H2240" t="str">
        <f>"RICHO ABRAHAM &amp; DOROTHY J"</f>
        <v>RICHO ABRAHAM &amp; DOROTHY J</v>
      </c>
      <c r="I2240" t="str">
        <f>"722 DIVISION ST"</f>
        <v>722 DIVISION ST</v>
      </c>
      <c r="J2240" t="str">
        <f>"FERNANDINA BEACH FL 32034"</f>
        <v>FERNANDINA BEACH FL 32034</v>
      </c>
      <c r="K2240" t="str">
        <f>"722 DIVISION ST"</f>
        <v>722 DIVISION ST</v>
      </c>
      <c r="L2240" t="str">
        <f t="shared" si="826"/>
        <v>FERNANDINA BEACH FL 32034</v>
      </c>
      <c r="M2240" t="str">
        <f>"BLOCK 214 SUB N 72 FT OF A OF 6 SUB S 28 FT OF B OF 7 FINAL JDGMNT QUIETING TITLE IN OR 994/603 CITY OF FDNA BEACH"</f>
        <v>BLOCK 214 SUB N 72 FT OF A OF 6 SUB S 28 FT OF B OF 7 FINAL JDGMNT QUIETING TITLE IN OR 994/603 CITY OF FDNA BEACH</v>
      </c>
      <c r="N2240" t="str">
        <f>""</f>
        <v/>
      </c>
      <c r="O2240" t="str">
        <f>"12543"</f>
        <v>12543</v>
      </c>
      <c r="P2240" t="str">
        <f t="shared" si="821"/>
        <v>2017</v>
      </c>
      <c r="Q2240" t="str">
        <f>""</f>
        <v/>
      </c>
      <c r="R2240" t="str">
        <f>"Y"</f>
        <v>Y</v>
      </c>
      <c r="S2240" t="str">
        <f>""</f>
        <v/>
      </c>
      <c r="T2240" t="str">
        <f>"434.00"</f>
        <v>434.00</v>
      </c>
      <c r="U2240" t="str">
        <f>"46775.00"</f>
        <v>46775.00</v>
      </c>
      <c r="V2240" t="str">
        <f>"46775.00"</f>
        <v>46775.00</v>
      </c>
      <c r="W2240" t="str">
        <f t="shared" si="822"/>
        <v>2017</v>
      </c>
      <c r="X2240" t="str">
        <f>""</f>
        <v/>
      </c>
      <c r="Y2240" t="str">
        <f>"479.02"</f>
        <v>479.02</v>
      </c>
      <c r="Z2240" t="str">
        <f>"25000.00"</f>
        <v>25000.00</v>
      </c>
      <c r="AA2240" t="str">
        <f>"21775.00"</f>
        <v>21775.00</v>
      </c>
      <c r="AB2240" t="str">
        <f t="shared" si="837"/>
        <v>Residential</v>
      </c>
      <c r="AC2240" t="str">
        <f t="shared" si="829"/>
        <v>0</v>
      </c>
      <c r="AD2240" t="str">
        <f>"4"</f>
        <v>4</v>
      </c>
      <c r="AE2240" t="str">
        <f>"WOOD (INCLUDE STEEL STUDS)"</f>
        <v>WOOD (INCLUDE STEEL STUDS)</v>
      </c>
      <c r="AF2240" t="str">
        <f t="shared" si="838"/>
        <v>001</v>
      </c>
      <c r="AG2240" t="str">
        <f t="shared" si="839"/>
        <v>FL</v>
      </c>
      <c r="AH2240" t="str">
        <f>"10000.00"</f>
        <v>10000.00</v>
      </c>
      <c r="AI2240" t="str">
        <f>"37125.00"</f>
        <v>37125.00</v>
      </c>
      <c r="AJ2240" t="str">
        <f>"C55-000-585-9957-2"</f>
        <v>C55-000-585-9957-2</v>
      </c>
      <c r="AK2240" t="str">
        <f>"49466"</f>
        <v>49466</v>
      </c>
      <c r="AL2240">
        <v>8</v>
      </c>
      <c r="AM2240">
        <v>2558</v>
      </c>
      <c r="AN2240">
        <v>501.37</v>
      </c>
      <c r="AQ2240" t="s">
        <v>21598</v>
      </c>
      <c r="AR2240" t="s">
        <v>21598</v>
      </c>
      <c r="AS2240" t="s">
        <v>21598</v>
      </c>
      <c r="AU2240" t="s">
        <v>396</v>
      </c>
      <c r="AV2240">
        <v>2017</v>
      </c>
      <c r="AW2240" t="str">
        <f>"00-00-31-1800-0214-06A1 "</f>
        <v xml:space="preserve">00-00-31-1800-0214-06A1 </v>
      </c>
      <c r="AX2240">
        <v>722</v>
      </c>
      <c r="AZ2240" t="s">
        <v>21575</v>
      </c>
      <c r="BA2240" t="s">
        <v>1942</v>
      </c>
      <c r="BD2240" t="s">
        <v>11749</v>
      </c>
      <c r="BE2240" t="s">
        <v>393</v>
      </c>
      <c r="BF2240">
        <v>32034</v>
      </c>
      <c r="BG2240" t="s">
        <v>21599</v>
      </c>
      <c r="BH2240" t="s">
        <v>11751</v>
      </c>
      <c r="BI2240">
        <v>-81.456734747875302</v>
      </c>
      <c r="BJ2240">
        <v>30.6607504772056</v>
      </c>
      <c r="BK2240" t="s">
        <v>21600</v>
      </c>
      <c r="BL2240" t="s">
        <v>21601</v>
      </c>
      <c r="BM2240" t="s">
        <v>21599</v>
      </c>
      <c r="BN2240" t="s">
        <v>3983</v>
      </c>
      <c r="BO2240">
        <v>32034</v>
      </c>
      <c r="BP2240" t="s">
        <v>416</v>
      </c>
      <c r="BQ2240">
        <v>100</v>
      </c>
      <c r="BR2240" t="s">
        <v>514</v>
      </c>
      <c r="BS2240">
        <v>1001</v>
      </c>
      <c r="BT2240" t="s">
        <v>515</v>
      </c>
      <c r="BU2240">
        <v>1000</v>
      </c>
      <c r="BV2240">
        <v>1000</v>
      </c>
      <c r="BW2240">
        <v>10000</v>
      </c>
      <c r="BX2240" t="s">
        <v>407</v>
      </c>
      <c r="BY2240" t="s">
        <v>18253</v>
      </c>
      <c r="BZ2240">
        <v>4</v>
      </c>
      <c r="CA2240">
        <v>1957</v>
      </c>
      <c r="CB2240">
        <v>1</v>
      </c>
      <c r="CC2240">
        <v>1</v>
      </c>
      <c r="CD2240">
        <v>2017</v>
      </c>
      <c r="CG2240">
        <v>46775</v>
      </c>
      <c r="CH2240">
        <v>2017</v>
      </c>
      <c r="CI2240">
        <v>37125</v>
      </c>
      <c r="CJ2240">
        <v>86482</v>
      </c>
      <c r="CK2240">
        <v>123607</v>
      </c>
      <c r="CL2240">
        <v>2017</v>
      </c>
      <c r="CM2240">
        <v>434</v>
      </c>
      <c r="CN2240" s="1">
        <v>37069</v>
      </c>
      <c r="CO2240">
        <v>15000</v>
      </c>
      <c r="CZ2240" s="1">
        <v>37069</v>
      </c>
      <c r="DD2240" t="s">
        <v>11749</v>
      </c>
      <c r="DG2240">
        <v>24</v>
      </c>
      <c r="DL2240">
        <v>50101</v>
      </c>
      <c r="DM2240" t="s">
        <v>15205</v>
      </c>
      <c r="DO2240" t="s">
        <v>21602</v>
      </c>
      <c r="DP2240">
        <v>0</v>
      </c>
      <c r="DQ2240">
        <v>0</v>
      </c>
      <c r="DR2240" t="s">
        <v>411</v>
      </c>
    </row>
    <row r="2241" spans="1:284" x14ac:dyDescent="0.25">
      <c r="A2241">
        <v>16487248</v>
      </c>
      <c r="B2241">
        <v>2240</v>
      </c>
      <c r="C2241" t="s">
        <v>393</v>
      </c>
      <c r="D2241" t="s">
        <v>394</v>
      </c>
      <c r="F2241" t="str">
        <f>"00-00-31-1800-0214-07A2"</f>
        <v>00-00-31-1800-0214-07A2</v>
      </c>
      <c r="H2241" t="str">
        <f>"ABENDROTH AMANDA"</f>
        <v>ABENDROTH AMANDA</v>
      </c>
      <c r="I2241" t="str">
        <f>"13700 RICHMOND PARK DR N 1301"</f>
        <v>13700 RICHMOND PARK DR N 1301</v>
      </c>
      <c r="J2241" t="str">
        <f>"JACKSONVILLE FL 32224"</f>
        <v>JACKSONVILLE FL 32224</v>
      </c>
      <c r="K2241" t="str">
        <f>"710 DIVISION ST"</f>
        <v>710 DIVISION ST</v>
      </c>
      <c r="L2241" t="str">
        <f t="shared" si="826"/>
        <v>FERNANDINA BEACH FL 32034</v>
      </c>
      <c r="M2241" t="str">
        <f>"BLOCK 214 LOT S 42 FT OF A &amp; N 8 FT OF B OF 7 IN OR 1971/881 CITY OF FDNA BEACH"</f>
        <v>BLOCK 214 LOT S 42 FT OF A &amp; N 8 FT OF B OF 7 IN OR 1971/881 CITY OF FDNA BEACH</v>
      </c>
      <c r="N2241" t="str">
        <f>""</f>
        <v/>
      </c>
      <c r="O2241" t="str">
        <f>"12548"</f>
        <v>12548</v>
      </c>
      <c r="P2241" t="str">
        <f t="shared" si="821"/>
        <v>2017</v>
      </c>
      <c r="Q2241" t="str">
        <f>""</f>
        <v/>
      </c>
      <c r="R2241" t="str">
        <f>"N"</f>
        <v>N</v>
      </c>
      <c r="S2241" t="str">
        <f>""</f>
        <v/>
      </c>
      <c r="T2241" t="str">
        <f>"1483.88"</f>
        <v>1483.88</v>
      </c>
      <c r="U2241" t="str">
        <f>"74063.00"</f>
        <v>74063.00</v>
      </c>
      <c r="V2241" t="str">
        <f>"74063.00"</f>
        <v>74063.00</v>
      </c>
      <c r="W2241" t="str">
        <f t="shared" si="822"/>
        <v>2017</v>
      </c>
      <c r="X2241" t="str">
        <f>"23.00"</f>
        <v>23.00</v>
      </c>
      <c r="Y2241" t="str">
        <f>"1560.40"</f>
        <v>1560.40</v>
      </c>
      <c r="Z2241" t="str">
        <f>""</f>
        <v/>
      </c>
      <c r="AA2241" t="str">
        <f>"75240.00"</f>
        <v>75240.00</v>
      </c>
      <c r="AB2241" t="str">
        <f t="shared" si="837"/>
        <v>Residential</v>
      </c>
      <c r="AC2241" t="str">
        <f t="shared" si="829"/>
        <v>0</v>
      </c>
      <c r="AD2241" t="str">
        <f>"4"</f>
        <v>4</v>
      </c>
      <c r="AE2241" t="str">
        <f>"WOOD (INCLUDE STEEL STUDS)"</f>
        <v>WOOD (INCLUDE STEEL STUDS)</v>
      </c>
      <c r="AF2241" t="str">
        <f t="shared" si="838"/>
        <v>001</v>
      </c>
      <c r="AG2241" t="str">
        <f t="shared" si="839"/>
        <v>FL</v>
      </c>
      <c r="AH2241" t="str">
        <f>"5000.00"</f>
        <v>5000.00</v>
      </c>
      <c r="AI2241" t="str">
        <f>"24750.00"</f>
        <v>24750.00</v>
      </c>
      <c r="AJ2241" t="str">
        <f>"C55-000-585-9962-2"</f>
        <v>C55-000-585-9962-2</v>
      </c>
      <c r="AK2241" t="str">
        <f>"49471"</f>
        <v>49471</v>
      </c>
      <c r="AL2241">
        <v>8</v>
      </c>
      <c r="AM2241">
        <v>2559</v>
      </c>
      <c r="AN2241">
        <v>1636.82</v>
      </c>
      <c r="AQ2241" t="s">
        <v>21603</v>
      </c>
      <c r="AR2241" t="s">
        <v>21603</v>
      </c>
      <c r="AS2241" t="s">
        <v>21603</v>
      </c>
      <c r="AU2241" t="s">
        <v>396</v>
      </c>
      <c r="AV2241">
        <v>2017</v>
      </c>
      <c r="AW2241" t="str">
        <f>"00-00-31-1800-0214-07A2 "</f>
        <v xml:space="preserve">00-00-31-1800-0214-07A2 </v>
      </c>
      <c r="AX2241">
        <v>710</v>
      </c>
      <c r="AZ2241" t="s">
        <v>21575</v>
      </c>
      <c r="BA2241" t="s">
        <v>1942</v>
      </c>
      <c r="BD2241" t="s">
        <v>11749</v>
      </c>
      <c r="BE2241" t="s">
        <v>393</v>
      </c>
      <c r="BF2241">
        <v>32034</v>
      </c>
      <c r="BG2241" t="s">
        <v>21604</v>
      </c>
      <c r="BH2241" t="s">
        <v>11751</v>
      </c>
      <c r="BI2241">
        <v>-81.456681640017095</v>
      </c>
      <c r="BJ2241">
        <v>30.661091079948999</v>
      </c>
      <c r="BK2241" t="s">
        <v>21605</v>
      </c>
      <c r="BM2241" t="s">
        <v>21606</v>
      </c>
      <c r="BN2241" t="s">
        <v>548</v>
      </c>
      <c r="BO2241">
        <v>32224</v>
      </c>
      <c r="BP2241" t="s">
        <v>404</v>
      </c>
      <c r="BQ2241">
        <v>100</v>
      </c>
      <c r="BR2241" t="s">
        <v>514</v>
      </c>
      <c r="BS2241">
        <v>1001</v>
      </c>
      <c r="BT2241" t="s">
        <v>515</v>
      </c>
      <c r="BU2241">
        <v>500</v>
      </c>
      <c r="BV2241">
        <v>1000</v>
      </c>
      <c r="BW2241">
        <v>5000</v>
      </c>
      <c r="BX2241" t="s">
        <v>407</v>
      </c>
      <c r="BY2241" t="s">
        <v>18253</v>
      </c>
      <c r="BZ2241">
        <v>4</v>
      </c>
      <c r="CA2241">
        <v>1925</v>
      </c>
      <c r="CB2241">
        <v>1</v>
      </c>
      <c r="CC2241">
        <v>1</v>
      </c>
      <c r="CD2241">
        <v>2017</v>
      </c>
      <c r="CE2241">
        <v>24750</v>
      </c>
      <c r="CF2241">
        <v>50490</v>
      </c>
      <c r="CG2241">
        <v>75240</v>
      </c>
      <c r="CH2241">
        <v>2017</v>
      </c>
      <c r="CI2241">
        <v>24750</v>
      </c>
      <c r="CJ2241">
        <v>50490</v>
      </c>
      <c r="CK2241">
        <v>75240</v>
      </c>
      <c r="CL2241">
        <v>2017</v>
      </c>
      <c r="CM2241">
        <v>1483.88</v>
      </c>
      <c r="CN2241" s="1">
        <v>42095</v>
      </c>
      <c r="CO2241">
        <v>43000</v>
      </c>
      <c r="CV2241">
        <v>0</v>
      </c>
      <c r="CZ2241" s="1">
        <v>42095</v>
      </c>
      <c r="DA2241">
        <v>0</v>
      </c>
      <c r="DD2241" t="s">
        <v>11749</v>
      </c>
      <c r="DF2241" t="s">
        <v>18674</v>
      </c>
      <c r="DG2241">
        <v>24</v>
      </c>
      <c r="DL2241">
        <v>50101</v>
      </c>
      <c r="DM2241" t="s">
        <v>15205</v>
      </c>
      <c r="DO2241" t="s">
        <v>21607</v>
      </c>
      <c r="DP2241">
        <v>0</v>
      </c>
      <c r="DQ2241">
        <v>0</v>
      </c>
      <c r="DR2241" t="s">
        <v>411</v>
      </c>
      <c r="DS2241" t="b">
        <v>1</v>
      </c>
      <c r="DT2241" t="s">
        <v>470</v>
      </c>
      <c r="DU2241" t="s">
        <v>471</v>
      </c>
      <c r="DV2241" t="s">
        <v>472</v>
      </c>
      <c r="DX2241">
        <v>-9999</v>
      </c>
      <c r="DZ2241" t="s">
        <v>447</v>
      </c>
      <c r="EA2241" t="s">
        <v>448</v>
      </c>
      <c r="EB2241" t="s">
        <v>14787</v>
      </c>
      <c r="EC2241">
        <v>20101217</v>
      </c>
      <c r="ED2241" t="s">
        <v>474</v>
      </c>
      <c r="EF2241">
        <v>1721.4</v>
      </c>
      <c r="EG2241">
        <v>1546.9</v>
      </c>
      <c r="EI2241">
        <v>20160407</v>
      </c>
      <c r="EJ2241">
        <v>0</v>
      </c>
      <c r="EK2241">
        <v>0</v>
      </c>
      <c r="EP2241" t="s">
        <v>421</v>
      </c>
      <c r="EQ2241" t="s">
        <v>422</v>
      </c>
      <c r="ER2241">
        <v>2</v>
      </c>
      <c r="ES2241">
        <v>2</v>
      </c>
      <c r="ET2241">
        <v>3002.62</v>
      </c>
      <c r="EU2241">
        <v>162.63</v>
      </c>
      <c r="EV2241">
        <v>3165.25</v>
      </c>
      <c r="EW2241" s="2">
        <v>43222</v>
      </c>
      <c r="EX2241" s="1">
        <v>42879</v>
      </c>
      <c r="EY2241">
        <v>2016</v>
      </c>
      <c r="EZ2241">
        <v>1501.31</v>
      </c>
      <c r="FA2241" t="s">
        <v>21608</v>
      </c>
      <c r="FB2241">
        <v>0.25</v>
      </c>
      <c r="FC2241" t="s">
        <v>424</v>
      </c>
      <c r="FD2241" t="s">
        <v>454</v>
      </c>
      <c r="FF2241">
        <v>12</v>
      </c>
      <c r="FG2241">
        <v>7400234</v>
      </c>
      <c r="FH2241" t="s">
        <v>426</v>
      </c>
      <c r="FJ2241" s="1">
        <v>42879</v>
      </c>
      <c r="FK2241">
        <v>2016</v>
      </c>
      <c r="FL2241">
        <v>1501.31</v>
      </c>
      <c r="FM2241" t="s">
        <v>21608</v>
      </c>
      <c r="FN2241">
        <v>0.25</v>
      </c>
      <c r="FO2241" t="s">
        <v>424</v>
      </c>
      <c r="FP2241" t="s">
        <v>454</v>
      </c>
      <c r="FR2241">
        <v>12</v>
      </c>
      <c r="FS2241">
        <v>7558366</v>
      </c>
      <c r="FT2241" t="s">
        <v>21609</v>
      </c>
      <c r="FV2241" s="1">
        <v>42515</v>
      </c>
      <c r="FW2241">
        <v>2015</v>
      </c>
      <c r="FX2241">
        <v>1411.66</v>
      </c>
      <c r="FY2241" t="s">
        <v>21610</v>
      </c>
      <c r="FZ2241">
        <v>0.25</v>
      </c>
      <c r="GA2241" t="s">
        <v>424</v>
      </c>
      <c r="GB2241" t="s">
        <v>425</v>
      </c>
      <c r="GC2241" s="1">
        <v>43199</v>
      </c>
      <c r="GD2241">
        <v>23</v>
      </c>
      <c r="GE2241">
        <v>2851116</v>
      </c>
      <c r="GF2241" t="s">
        <v>480</v>
      </c>
      <c r="GH2241" s="1">
        <v>42515</v>
      </c>
      <c r="GI2241">
        <v>2015</v>
      </c>
      <c r="GJ2241">
        <v>1411.66</v>
      </c>
      <c r="GK2241" t="s">
        <v>21610</v>
      </c>
      <c r="GL2241">
        <v>0.25</v>
      </c>
      <c r="GM2241" t="s">
        <v>424</v>
      </c>
      <c r="GN2241" t="s">
        <v>425</v>
      </c>
      <c r="GP2241">
        <v>22</v>
      </c>
      <c r="GQ2241">
        <v>5066469</v>
      </c>
      <c r="GR2241" t="s">
        <v>21611</v>
      </c>
    </row>
    <row r="2242" spans="1:284" x14ac:dyDescent="0.25">
      <c r="A2242">
        <v>16487249</v>
      </c>
      <c r="B2242">
        <v>2241</v>
      </c>
      <c r="C2242" t="s">
        <v>393</v>
      </c>
      <c r="D2242" t="s">
        <v>394</v>
      </c>
      <c r="F2242" t="str">
        <f>"00-00-31-1800-0214-07D1"</f>
        <v>00-00-31-1800-0214-07D1</v>
      </c>
      <c r="H2242" t="str">
        <f>"DUFFY TAWN CHRISTOPHER"</f>
        <v>DUFFY TAWN CHRISTOPHER</v>
      </c>
      <c r="I2242" t="str">
        <f>"1473 FOUNTAIN DR"</f>
        <v>1473 FOUNTAIN DR</v>
      </c>
      <c r="J2242" t="str">
        <f>"FERNANDINA BEACH FL 32034"</f>
        <v>FERNANDINA BEACH FL 32034</v>
      </c>
      <c r="K2242" t="str">
        <f>"707 12TH ST S"</f>
        <v>707 12TH ST S</v>
      </c>
      <c r="L2242" t="str">
        <f t="shared" si="826"/>
        <v>FERNANDINA BEACH FL 32034</v>
      </c>
      <c r="M2242" t="str">
        <f>"BLOCK 214 N 50 FT OF D OF 7 IN OR 1851/1414 CITY OF FDNA BEACH"</f>
        <v>BLOCK 214 N 50 FT OF D OF 7 IN OR 1851/1414 CITY OF FDNA BEACH</v>
      </c>
      <c r="N2242" t="str">
        <f>""</f>
        <v/>
      </c>
      <c r="O2242" t="str">
        <f>"12551"</f>
        <v>12551</v>
      </c>
      <c r="P2242" t="str">
        <f t="shared" ref="P2242:P2287" si="840">"2017"</f>
        <v>2017</v>
      </c>
      <c r="Q2242" t="str">
        <f>""</f>
        <v/>
      </c>
      <c r="R2242" t="str">
        <f>"N"</f>
        <v>N</v>
      </c>
      <c r="S2242" t="str">
        <f>""</f>
        <v/>
      </c>
      <c r="T2242" t="str">
        <f>"1219.15"</f>
        <v>1219.15</v>
      </c>
      <c r="U2242" t="str">
        <f>"61169.00"</f>
        <v>61169.00</v>
      </c>
      <c r="V2242" t="str">
        <f>"61169.00"</f>
        <v>61169.00</v>
      </c>
      <c r="W2242" t="str">
        <f t="shared" ref="W2242:W2296" si="841">"2017"</f>
        <v>2017</v>
      </c>
      <c r="X2242" t="str">
        <f>"12.14"</f>
        <v>12.14</v>
      </c>
      <c r="Y2242" t="str">
        <f>"1287.72"</f>
        <v>1287.72</v>
      </c>
      <c r="Z2242" t="str">
        <f>""</f>
        <v/>
      </c>
      <c r="AA2242" t="str">
        <f>"61169.00"</f>
        <v>61169.00</v>
      </c>
      <c r="AB2242" t="str">
        <f t="shared" si="837"/>
        <v>Residential</v>
      </c>
      <c r="AC2242" t="str">
        <f t="shared" si="829"/>
        <v>0</v>
      </c>
      <c r="AD2242" t="str">
        <f>"4"</f>
        <v>4</v>
      </c>
      <c r="AE2242" t="str">
        <f>"WOOD (INCLUDE STEEL STUDS)"</f>
        <v>WOOD (INCLUDE STEEL STUDS)</v>
      </c>
      <c r="AF2242" t="str">
        <f t="shared" si="838"/>
        <v>001</v>
      </c>
      <c r="AG2242" t="str">
        <f t="shared" si="839"/>
        <v>FL</v>
      </c>
      <c r="AH2242" t="str">
        <f>"5000.00"</f>
        <v>5000.00</v>
      </c>
      <c r="AI2242" t="str">
        <f>"24750.00"</f>
        <v>24750.00</v>
      </c>
      <c r="AJ2242" t="str">
        <f>"C55-000-585-9965-5"</f>
        <v>C55-000-585-9965-5</v>
      </c>
      <c r="AK2242" t="str">
        <f>"49474"</f>
        <v>49474</v>
      </c>
      <c r="AL2242">
        <v>8</v>
      </c>
      <c r="AM2242">
        <v>2560</v>
      </c>
      <c r="AN2242">
        <v>1350.51</v>
      </c>
      <c r="AQ2242" t="s">
        <v>21612</v>
      </c>
      <c r="AR2242" t="s">
        <v>21612</v>
      </c>
      <c r="AS2242" t="s">
        <v>21612</v>
      </c>
      <c r="AU2242" t="s">
        <v>396</v>
      </c>
      <c r="AV2242">
        <v>2017</v>
      </c>
      <c r="AW2242" t="str">
        <f>"00-00-31-1800-0214-07D1 "</f>
        <v xml:space="preserve">00-00-31-1800-0214-07D1 </v>
      </c>
      <c r="AX2242">
        <v>707</v>
      </c>
      <c r="AZ2242" t="s">
        <v>5203</v>
      </c>
      <c r="BA2242" t="s">
        <v>1942</v>
      </c>
      <c r="BB2242" t="s">
        <v>18674</v>
      </c>
      <c r="BD2242" t="s">
        <v>11749</v>
      </c>
      <c r="BE2242" t="s">
        <v>393</v>
      </c>
      <c r="BF2242">
        <v>32034</v>
      </c>
      <c r="BG2242" t="s">
        <v>21613</v>
      </c>
      <c r="BH2242" t="s">
        <v>11751</v>
      </c>
      <c r="BI2242">
        <v>-81.456347561732002</v>
      </c>
      <c r="BJ2242">
        <v>30.661175659508999</v>
      </c>
      <c r="BK2242" t="s">
        <v>21614</v>
      </c>
      <c r="BM2242" t="s">
        <v>21615</v>
      </c>
      <c r="BN2242" t="s">
        <v>3983</v>
      </c>
      <c r="BO2242">
        <v>32034</v>
      </c>
      <c r="BP2242" t="s">
        <v>404</v>
      </c>
      <c r="BQ2242">
        <v>100</v>
      </c>
      <c r="BR2242" t="s">
        <v>514</v>
      </c>
      <c r="BS2242">
        <v>1001</v>
      </c>
      <c r="BT2242" t="s">
        <v>515</v>
      </c>
      <c r="BU2242">
        <v>500</v>
      </c>
      <c r="BV2242">
        <v>1000</v>
      </c>
      <c r="BW2242">
        <v>5000</v>
      </c>
      <c r="BX2242" t="s">
        <v>407</v>
      </c>
      <c r="BY2242" t="s">
        <v>18253</v>
      </c>
      <c r="BZ2242">
        <v>4</v>
      </c>
      <c r="CA2242">
        <v>1958</v>
      </c>
      <c r="CB2242">
        <v>1</v>
      </c>
      <c r="CC2242">
        <v>1</v>
      </c>
      <c r="CD2242">
        <v>2017</v>
      </c>
      <c r="CE2242">
        <v>24750</v>
      </c>
      <c r="CF2242">
        <v>36419</v>
      </c>
      <c r="CG2242">
        <v>61169</v>
      </c>
      <c r="CH2242">
        <v>2017</v>
      </c>
      <c r="CI2242">
        <v>24750</v>
      </c>
      <c r="CJ2242">
        <v>36419</v>
      </c>
      <c r="CK2242">
        <v>61169</v>
      </c>
      <c r="CL2242">
        <v>2017</v>
      </c>
      <c r="CM2242">
        <v>1219.1500000000001</v>
      </c>
      <c r="CN2242" s="1">
        <v>41383</v>
      </c>
      <c r="CO2242">
        <v>75000</v>
      </c>
      <c r="CV2242">
        <v>60000</v>
      </c>
      <c r="CX2242" t="s">
        <v>693</v>
      </c>
      <c r="CZ2242" s="1">
        <v>41383</v>
      </c>
      <c r="DA2242">
        <v>0</v>
      </c>
      <c r="DD2242" t="s">
        <v>11749</v>
      </c>
      <c r="DG2242">
        <v>24</v>
      </c>
      <c r="DL2242">
        <v>50101</v>
      </c>
      <c r="DM2242" t="s">
        <v>15205</v>
      </c>
      <c r="DO2242" t="s">
        <v>21616</v>
      </c>
      <c r="DP2242">
        <v>0</v>
      </c>
      <c r="DQ2242">
        <v>0</v>
      </c>
      <c r="DR2242" t="s">
        <v>411</v>
      </c>
      <c r="DS2242" t="b">
        <v>1</v>
      </c>
      <c r="DT2242" t="s">
        <v>470</v>
      </c>
      <c r="DU2242" t="s">
        <v>471</v>
      </c>
      <c r="DV2242" t="s">
        <v>472</v>
      </c>
      <c r="DX2242">
        <v>-9999</v>
      </c>
      <c r="DZ2242" t="s">
        <v>447</v>
      </c>
      <c r="EA2242" t="s">
        <v>448</v>
      </c>
      <c r="EB2242" t="s">
        <v>14787</v>
      </c>
      <c r="EC2242">
        <v>20101217</v>
      </c>
      <c r="ED2242" t="s">
        <v>474</v>
      </c>
      <c r="EF2242">
        <v>1821.9</v>
      </c>
      <c r="EG2242">
        <v>1656.1</v>
      </c>
      <c r="EI2242">
        <v>20160407</v>
      </c>
      <c r="EJ2242">
        <v>0</v>
      </c>
      <c r="EK2242">
        <v>0</v>
      </c>
      <c r="EP2242" t="s">
        <v>421</v>
      </c>
      <c r="EQ2242" t="s">
        <v>422</v>
      </c>
      <c r="ER2242">
        <v>4</v>
      </c>
      <c r="ES2242">
        <v>7</v>
      </c>
      <c r="ET2242">
        <v>4812.96</v>
      </c>
      <c r="EU2242">
        <v>265.64999999999998</v>
      </c>
      <c r="EV2242">
        <v>5078.6099999999997</v>
      </c>
      <c r="EW2242" s="2">
        <v>43222</v>
      </c>
      <c r="EX2242" s="1">
        <v>42879</v>
      </c>
      <c r="EY2242">
        <v>2016</v>
      </c>
      <c r="EZ2242">
        <v>1250.42</v>
      </c>
      <c r="FA2242" t="s">
        <v>21617</v>
      </c>
      <c r="FB2242">
        <v>0.25</v>
      </c>
      <c r="FC2242" t="s">
        <v>424</v>
      </c>
      <c r="FD2242" t="s">
        <v>454</v>
      </c>
      <c r="FF2242">
        <v>12</v>
      </c>
      <c r="FG2242">
        <v>7336671</v>
      </c>
      <c r="FH2242" t="s">
        <v>437</v>
      </c>
      <c r="FJ2242" s="1">
        <v>42879</v>
      </c>
      <c r="FK2242">
        <v>2016</v>
      </c>
      <c r="FL2242">
        <v>1250.42</v>
      </c>
      <c r="FM2242" t="s">
        <v>21617</v>
      </c>
      <c r="FN2242">
        <v>0.25</v>
      </c>
      <c r="FO2242" t="s">
        <v>424</v>
      </c>
      <c r="FP2242" t="s">
        <v>454</v>
      </c>
      <c r="FR2242">
        <v>12</v>
      </c>
      <c r="FS2242">
        <v>6770217</v>
      </c>
      <c r="FT2242" t="s">
        <v>21618</v>
      </c>
      <c r="FV2242" s="1">
        <v>42515</v>
      </c>
      <c r="FW2242">
        <v>2015</v>
      </c>
      <c r="FX2242">
        <v>1156.06</v>
      </c>
      <c r="FY2242" t="s">
        <v>21619</v>
      </c>
      <c r="FZ2242">
        <v>0.25</v>
      </c>
      <c r="GA2242" t="s">
        <v>424</v>
      </c>
      <c r="GB2242" t="s">
        <v>454</v>
      </c>
      <c r="GD2242">
        <v>24</v>
      </c>
      <c r="GE2242">
        <v>2851116</v>
      </c>
      <c r="GF2242" t="s">
        <v>480</v>
      </c>
      <c r="GH2242" s="1">
        <v>42515</v>
      </c>
      <c r="GI2242">
        <v>2015</v>
      </c>
      <c r="GJ2242">
        <v>1156.06</v>
      </c>
      <c r="GK2242" t="s">
        <v>21619</v>
      </c>
      <c r="GL2242">
        <v>0.25</v>
      </c>
      <c r="GM2242" t="s">
        <v>424</v>
      </c>
      <c r="GN2242" t="s">
        <v>454</v>
      </c>
      <c r="GP2242">
        <v>24</v>
      </c>
      <c r="GQ2242">
        <v>5356774</v>
      </c>
      <c r="GR2242" t="s">
        <v>21620</v>
      </c>
      <c r="GT2242" s="1">
        <v>42151</v>
      </c>
      <c r="GU2242">
        <v>2014</v>
      </c>
      <c r="GV2242">
        <v>1096.98</v>
      </c>
      <c r="GW2242" t="s">
        <v>21621</v>
      </c>
      <c r="GX2242">
        <v>0.25</v>
      </c>
      <c r="GY2242" t="s">
        <v>424</v>
      </c>
      <c r="GZ2242" t="s">
        <v>425</v>
      </c>
      <c r="HA2242" s="1">
        <v>42804</v>
      </c>
      <c r="HB2242">
        <v>22</v>
      </c>
      <c r="HC2242">
        <v>4975594</v>
      </c>
      <c r="HD2242" t="s">
        <v>457</v>
      </c>
      <c r="HF2242" s="1">
        <v>42151</v>
      </c>
      <c r="HG2242">
        <v>2014</v>
      </c>
      <c r="HH2242">
        <v>1096.98</v>
      </c>
      <c r="HI2242" t="s">
        <v>21621</v>
      </c>
      <c r="HJ2242">
        <v>0.25</v>
      </c>
      <c r="HK2242" t="s">
        <v>424</v>
      </c>
      <c r="HL2242" t="s">
        <v>425</v>
      </c>
      <c r="HN2242">
        <v>22</v>
      </c>
      <c r="HO2242">
        <v>6545987</v>
      </c>
      <c r="HP2242" t="s">
        <v>21622</v>
      </c>
      <c r="HR2242" s="1">
        <v>41787</v>
      </c>
      <c r="HS2242">
        <v>2013</v>
      </c>
      <c r="HT2242">
        <v>1136.71</v>
      </c>
      <c r="HU2242" t="s">
        <v>21623</v>
      </c>
      <c r="HV2242">
        <v>0.25</v>
      </c>
      <c r="HW2242" t="s">
        <v>424</v>
      </c>
      <c r="HX2242" t="s">
        <v>425</v>
      </c>
      <c r="HY2242" s="1">
        <v>42340</v>
      </c>
      <c r="HZ2242">
        <v>19</v>
      </c>
      <c r="IA2242">
        <v>2851116</v>
      </c>
      <c r="IB2242" t="s">
        <v>480</v>
      </c>
      <c r="ID2242" s="1">
        <v>41423</v>
      </c>
      <c r="IE2242">
        <v>2012</v>
      </c>
      <c r="IF2242">
        <v>1193.33</v>
      </c>
      <c r="IG2242" t="s">
        <v>21624</v>
      </c>
      <c r="IH2242">
        <v>0.25</v>
      </c>
      <c r="II2242" t="s">
        <v>424</v>
      </c>
      <c r="IJ2242" t="s">
        <v>425</v>
      </c>
      <c r="IK2242" s="1">
        <v>41585</v>
      </c>
      <c r="IL2242">
        <v>6</v>
      </c>
      <c r="IM2242">
        <v>606981</v>
      </c>
      <c r="IN2242" t="s">
        <v>792</v>
      </c>
      <c r="IP2242" s="1">
        <v>41052</v>
      </c>
      <c r="IQ2242">
        <v>2011</v>
      </c>
      <c r="IR2242">
        <v>1436.55</v>
      </c>
      <c r="IS2242" t="s">
        <v>21625</v>
      </c>
      <c r="IT2242">
        <v>4.75</v>
      </c>
      <c r="IU2242" t="s">
        <v>424</v>
      </c>
      <c r="IV2242" t="s">
        <v>425</v>
      </c>
      <c r="IW2242" s="1">
        <v>41228</v>
      </c>
      <c r="IX2242">
        <v>6</v>
      </c>
      <c r="IY2242">
        <v>11141</v>
      </c>
      <c r="IZ2242" t="s">
        <v>1723</v>
      </c>
      <c r="JB2242" s="1">
        <v>40688</v>
      </c>
      <c r="JC2242">
        <v>2010</v>
      </c>
      <c r="JD2242">
        <v>1472.77</v>
      </c>
      <c r="JE2242" t="s">
        <v>21626</v>
      </c>
      <c r="JF2242">
        <v>0.25</v>
      </c>
      <c r="JG2242" t="s">
        <v>424</v>
      </c>
      <c r="JH2242" t="s">
        <v>425</v>
      </c>
      <c r="JI2242" s="1">
        <v>41228</v>
      </c>
      <c r="JJ2242">
        <v>18</v>
      </c>
      <c r="JK2242">
        <v>11296</v>
      </c>
      <c r="JL2242" t="s">
        <v>4008</v>
      </c>
      <c r="JN2242" s="1">
        <v>40688</v>
      </c>
      <c r="JO2242">
        <v>2009</v>
      </c>
      <c r="JP2242">
        <v>1915.74</v>
      </c>
      <c r="JQ2242" t="s">
        <v>21627</v>
      </c>
      <c r="JR2242">
        <v>0.25</v>
      </c>
      <c r="JS2242" t="s">
        <v>424</v>
      </c>
      <c r="JT2242" t="s">
        <v>425</v>
      </c>
      <c r="JU2242" s="1">
        <v>40987</v>
      </c>
      <c r="JV2242">
        <v>10</v>
      </c>
      <c r="JW2242">
        <v>11296</v>
      </c>
      <c r="JX2242" t="s">
        <v>4008</v>
      </c>
    </row>
    <row r="2243" spans="1:284" x14ac:dyDescent="0.25">
      <c r="A2243">
        <v>16487250</v>
      </c>
      <c r="B2243">
        <v>2242</v>
      </c>
      <c r="C2243" t="s">
        <v>393</v>
      </c>
      <c r="D2243" t="s">
        <v>394</v>
      </c>
      <c r="F2243" t="str">
        <f>"00-00-31-1800-0214-08D0"</f>
        <v>00-00-31-1800-0214-08D0</v>
      </c>
      <c r="H2243" t="str">
        <f>"WHICKER DANA ROBERT"</f>
        <v>WHICKER DANA ROBERT</v>
      </c>
      <c r="I2243" t="str">
        <f>"842 PARKVIEW PLACE E"</f>
        <v>842 PARKVIEW PLACE E</v>
      </c>
      <c r="J2243" t="str">
        <f>"FERNANDINA BEACH FL 32034"</f>
        <v>FERNANDINA BEACH FL 32034</v>
      </c>
      <c r="K2243" t="str">
        <f>"631 12TH ST S"</f>
        <v>631 12TH ST S</v>
      </c>
      <c r="L2243" t="str">
        <f t="shared" si="826"/>
        <v>FERNANDINA BEACH FL 32034</v>
      </c>
      <c r="M2243" t="str">
        <f>"BLK 214 SUB D OF 8 IN OR 2146/1176 CITY OF FDNA BEACH"</f>
        <v>BLK 214 SUB D OF 8 IN OR 2146/1176 CITY OF FDNA BEACH</v>
      </c>
      <c r="N2243" t="str">
        <f>""</f>
        <v/>
      </c>
      <c r="O2243" t="str">
        <f>"12556"</f>
        <v>12556</v>
      </c>
      <c r="P2243" t="str">
        <f t="shared" si="840"/>
        <v>2017</v>
      </c>
      <c r="Q2243" t="str">
        <f>""</f>
        <v/>
      </c>
      <c r="R2243" t="str">
        <f>"Y"</f>
        <v>Y</v>
      </c>
      <c r="S2243" t="str">
        <f>""</f>
        <v/>
      </c>
      <c r="T2243" t="str">
        <f>"534.41"</f>
        <v>534.41</v>
      </c>
      <c r="U2243" t="str">
        <f>"56990.00"</f>
        <v>56990.00</v>
      </c>
      <c r="V2243" t="str">
        <f>"56990.00"</f>
        <v>56990.00</v>
      </c>
      <c r="W2243" t="str">
        <f t="shared" si="841"/>
        <v>2017</v>
      </c>
      <c r="X2243" t="str">
        <f>"7.75"</f>
        <v>7.75</v>
      </c>
      <c r="Y2243" t="str">
        <f>"582.44"</f>
        <v>582.44</v>
      </c>
      <c r="Z2243" t="str">
        <f>"25500.00"</f>
        <v>25500.00</v>
      </c>
      <c r="AA2243" t="str">
        <f>"31490.00"</f>
        <v>31490.00</v>
      </c>
      <c r="AB2243" t="str">
        <f t="shared" si="837"/>
        <v>Residential</v>
      </c>
      <c r="AC2243" t="str">
        <f t="shared" si="829"/>
        <v>0</v>
      </c>
      <c r="AD2243" t="str">
        <f>"4"</f>
        <v>4</v>
      </c>
      <c r="AE2243" t="str">
        <f>"WOOD (INCLUDE STEEL STUDS)"</f>
        <v>WOOD (INCLUDE STEEL STUDS)</v>
      </c>
      <c r="AF2243" t="str">
        <f t="shared" si="838"/>
        <v>001</v>
      </c>
      <c r="AG2243" t="str">
        <f t="shared" si="839"/>
        <v>FL</v>
      </c>
      <c r="AH2243" t="str">
        <f>"5600.00"</f>
        <v>5600.00</v>
      </c>
      <c r="AI2243" t="str">
        <f>"27720.00"</f>
        <v>27720.00</v>
      </c>
      <c r="AJ2243" t="str">
        <f>"C55-000-585-9970-5"</f>
        <v>C55-000-585-9970-5</v>
      </c>
      <c r="AK2243" t="str">
        <f>"49479"</f>
        <v>49479</v>
      </c>
      <c r="AL2243">
        <v>8</v>
      </c>
      <c r="AM2243">
        <v>2561</v>
      </c>
      <c r="AN2243">
        <v>609.96</v>
      </c>
      <c r="AQ2243" t="s">
        <v>21628</v>
      </c>
      <c r="AR2243" t="s">
        <v>21628</v>
      </c>
      <c r="AS2243" t="s">
        <v>21628</v>
      </c>
      <c r="AU2243" t="s">
        <v>396</v>
      </c>
      <c r="AV2243">
        <v>2017</v>
      </c>
      <c r="AW2243" t="str">
        <f>"00-00-31-1800-0214-08D0 "</f>
        <v xml:space="preserve">00-00-31-1800-0214-08D0 </v>
      </c>
      <c r="AX2243">
        <v>631</v>
      </c>
      <c r="AZ2243" t="s">
        <v>5203</v>
      </c>
      <c r="BA2243" t="s">
        <v>1942</v>
      </c>
      <c r="BB2243" t="s">
        <v>18674</v>
      </c>
      <c r="BD2243" t="s">
        <v>11749</v>
      </c>
      <c r="BE2243" t="s">
        <v>393</v>
      </c>
      <c r="BF2243">
        <v>32034</v>
      </c>
      <c r="BG2243" t="s">
        <v>21629</v>
      </c>
      <c r="BH2243" t="s">
        <v>11751</v>
      </c>
      <c r="BI2243">
        <v>-81.456276069213402</v>
      </c>
      <c r="BJ2243">
        <v>30.661636188625302</v>
      </c>
      <c r="BK2243" t="s">
        <v>21630</v>
      </c>
      <c r="BM2243" t="s">
        <v>21631</v>
      </c>
      <c r="BN2243" t="s">
        <v>3983</v>
      </c>
      <c r="BO2243">
        <v>32034</v>
      </c>
      <c r="BP2243" t="s">
        <v>404</v>
      </c>
      <c r="BQ2243">
        <v>100</v>
      </c>
      <c r="BR2243" t="s">
        <v>514</v>
      </c>
      <c r="BS2243">
        <v>1001</v>
      </c>
      <c r="BT2243" t="s">
        <v>515</v>
      </c>
      <c r="BU2243">
        <v>560</v>
      </c>
      <c r="BV2243">
        <v>1000</v>
      </c>
      <c r="BW2243">
        <v>5599</v>
      </c>
      <c r="BX2243" t="s">
        <v>407</v>
      </c>
      <c r="BY2243" t="s">
        <v>18253</v>
      </c>
      <c r="BZ2243">
        <v>4</v>
      </c>
      <c r="CA2243">
        <v>1963</v>
      </c>
      <c r="CB2243">
        <v>1</v>
      </c>
      <c r="CC2243">
        <v>1</v>
      </c>
      <c r="CD2243">
        <v>2017</v>
      </c>
      <c r="CG2243">
        <v>56990</v>
      </c>
      <c r="CH2243">
        <v>2017</v>
      </c>
      <c r="CI2243">
        <v>27720</v>
      </c>
      <c r="CJ2243">
        <v>57842</v>
      </c>
      <c r="CK2243">
        <v>85562</v>
      </c>
      <c r="CL2243">
        <v>2017</v>
      </c>
      <c r="CM2243">
        <v>534.41</v>
      </c>
      <c r="CN2243" s="1">
        <v>28550</v>
      </c>
      <c r="CO2243">
        <v>8000</v>
      </c>
      <c r="CZ2243" s="1">
        <v>28550</v>
      </c>
      <c r="DD2243" t="s">
        <v>11749</v>
      </c>
      <c r="DG2243">
        <v>24</v>
      </c>
      <c r="DL2243">
        <v>50101</v>
      </c>
      <c r="DM2243" t="s">
        <v>15205</v>
      </c>
      <c r="DO2243" t="s">
        <v>21632</v>
      </c>
      <c r="DP2243">
        <v>0</v>
      </c>
      <c r="DQ2243">
        <v>0</v>
      </c>
      <c r="DR2243" t="s">
        <v>411</v>
      </c>
      <c r="DS2243" t="b">
        <v>1</v>
      </c>
      <c r="DT2243" t="s">
        <v>470</v>
      </c>
      <c r="DU2243" t="s">
        <v>471</v>
      </c>
      <c r="DV2243" t="s">
        <v>472</v>
      </c>
      <c r="DX2243">
        <v>-9999</v>
      </c>
      <c r="DZ2243" t="s">
        <v>447</v>
      </c>
      <c r="EA2243" t="s">
        <v>448</v>
      </c>
      <c r="EB2243" t="s">
        <v>14787</v>
      </c>
      <c r="EC2243">
        <v>20101217</v>
      </c>
      <c r="ED2243" t="s">
        <v>474</v>
      </c>
      <c r="EF2243">
        <v>1833.4</v>
      </c>
      <c r="EG2243">
        <v>1739.5</v>
      </c>
      <c r="EI2243">
        <v>20160407</v>
      </c>
      <c r="EJ2243">
        <v>0</v>
      </c>
      <c r="EK2243">
        <v>0</v>
      </c>
      <c r="EP2243" t="s">
        <v>421</v>
      </c>
      <c r="EQ2243" t="s">
        <v>422</v>
      </c>
      <c r="ER2243">
        <v>2</v>
      </c>
      <c r="ES2243">
        <v>2</v>
      </c>
      <c r="ET2243">
        <v>1212.44</v>
      </c>
      <c r="EU2243">
        <v>73.12</v>
      </c>
      <c r="EV2243">
        <v>1285.56</v>
      </c>
      <c r="EW2243" s="2">
        <v>43222</v>
      </c>
      <c r="EX2243" s="1">
        <v>42879</v>
      </c>
      <c r="EY2243">
        <v>2016</v>
      </c>
      <c r="EZ2243">
        <v>606.22</v>
      </c>
      <c r="FA2243" t="s">
        <v>21633</v>
      </c>
      <c r="FB2243">
        <v>0.25</v>
      </c>
      <c r="FC2243" t="s">
        <v>424</v>
      </c>
      <c r="FD2243" t="s">
        <v>454</v>
      </c>
      <c r="FF2243">
        <v>12</v>
      </c>
      <c r="FG2243">
        <v>2851116</v>
      </c>
      <c r="FH2243" t="s">
        <v>480</v>
      </c>
      <c r="FJ2243" s="1">
        <v>42879</v>
      </c>
      <c r="FK2243">
        <v>2016</v>
      </c>
      <c r="FL2243">
        <v>606.22</v>
      </c>
      <c r="FM2243" t="s">
        <v>21633</v>
      </c>
      <c r="FN2243">
        <v>0.25</v>
      </c>
      <c r="FO2243" t="s">
        <v>424</v>
      </c>
      <c r="FP2243" t="s">
        <v>454</v>
      </c>
      <c r="FR2243">
        <v>12</v>
      </c>
      <c r="FS2243">
        <v>4884894</v>
      </c>
      <c r="FT2243" t="s">
        <v>21634</v>
      </c>
      <c r="FV2243" s="1">
        <v>42515</v>
      </c>
      <c r="FW2243">
        <v>2015</v>
      </c>
      <c r="FX2243">
        <v>607.35</v>
      </c>
      <c r="FY2243" t="s">
        <v>21635</v>
      </c>
      <c r="FZ2243">
        <v>0.25</v>
      </c>
      <c r="GA2243" t="s">
        <v>424</v>
      </c>
      <c r="GB2243" t="s">
        <v>425</v>
      </c>
      <c r="GC2243" s="1">
        <v>43150</v>
      </c>
      <c r="GD2243">
        <v>21</v>
      </c>
      <c r="GE2243">
        <v>11289</v>
      </c>
      <c r="GF2243" t="s">
        <v>787</v>
      </c>
      <c r="GH2243" s="1">
        <v>42515</v>
      </c>
      <c r="GI2243">
        <v>2015</v>
      </c>
      <c r="GJ2243">
        <v>607.35</v>
      </c>
      <c r="GK2243" t="s">
        <v>21635</v>
      </c>
      <c r="GL2243">
        <v>0.25</v>
      </c>
      <c r="GM2243" t="s">
        <v>424</v>
      </c>
      <c r="GN2243" t="s">
        <v>425</v>
      </c>
      <c r="GP2243">
        <v>22</v>
      </c>
      <c r="GQ2243">
        <v>7069031</v>
      </c>
      <c r="GR2243" t="s">
        <v>21636</v>
      </c>
    </row>
    <row r="2244" spans="1:284" x14ac:dyDescent="0.25">
      <c r="A2244">
        <v>16487251</v>
      </c>
      <c r="B2244">
        <v>2243</v>
      </c>
      <c r="C2244" t="s">
        <v>393</v>
      </c>
      <c r="D2244" t="s">
        <v>394</v>
      </c>
      <c r="F2244" t="str">
        <f>"00-00-31-1800-0214-09C2"</f>
        <v>00-00-31-1800-0214-09C2</v>
      </c>
      <c r="H2244" t="str">
        <f>"WHICKER DANA ROBERT"</f>
        <v>WHICKER DANA ROBERT</v>
      </c>
      <c r="I2244" t="str">
        <f>"842 PARKVIEW PL E"</f>
        <v>842 PARKVIEW PL E</v>
      </c>
      <c r="J2244" t="str">
        <f>"FERNANDINA BEACH FL 32034"</f>
        <v>FERNANDINA BEACH FL 32034</v>
      </c>
      <c r="K2244" t="str">
        <f>"631 S 12TH ST"</f>
        <v>631 S 12TH ST</v>
      </c>
      <c r="L2244" t="str">
        <f t="shared" si="826"/>
        <v>FERNANDINA BEACH FL 32034</v>
      </c>
      <c r="M2244" t="str">
        <f>"BLOCK 214 S44 FT OF SUB C OF LOT 9 IN OR 2129/1022 CITY OF FDNA BEACH"</f>
        <v>BLOCK 214 S44 FT OF SUB C OF LOT 9 IN OR 2129/1022 CITY OF FDNA BEACH</v>
      </c>
      <c r="N2244" t="str">
        <f>""</f>
        <v/>
      </c>
      <c r="O2244" t="str">
        <f>"12560"</f>
        <v>12560</v>
      </c>
      <c r="P2244" t="str">
        <f t="shared" si="840"/>
        <v>2017</v>
      </c>
      <c r="Q2244" t="str">
        <f>""</f>
        <v/>
      </c>
      <c r="R2244" t="str">
        <f t="shared" ref="R2244:R2249" si="842">"N"</f>
        <v>N</v>
      </c>
      <c r="S2244" t="str">
        <f>""</f>
        <v/>
      </c>
      <c r="T2244" t="str">
        <f>"392.15"</f>
        <v>392.15</v>
      </c>
      <c r="U2244" t="str">
        <f>"18634.00"</f>
        <v>18634.00</v>
      </c>
      <c r="V2244" t="str">
        <f>"18634.00"</f>
        <v>18634.00</v>
      </c>
      <c r="W2244" t="str">
        <f t="shared" si="841"/>
        <v>2017</v>
      </c>
      <c r="X2244" t="str">
        <f>"34.88"</f>
        <v>34.88</v>
      </c>
      <c r="Y2244" t="str">
        <f>"435.91"</f>
        <v>435.91</v>
      </c>
      <c r="Z2244" t="str">
        <f>""</f>
        <v/>
      </c>
      <c r="AA2244" t="str">
        <f>"21780.00"</f>
        <v>21780.00</v>
      </c>
      <c r="AB2244" t="str">
        <f t="shared" si="837"/>
        <v>Residential</v>
      </c>
      <c r="AC2244" t="str">
        <f t="shared" si="829"/>
        <v>0</v>
      </c>
      <c r="AD2244" t="str">
        <f>""</f>
        <v/>
      </c>
      <c r="AE2244" t="str">
        <f>""</f>
        <v/>
      </c>
      <c r="AF2244" t="str">
        <f>"000"</f>
        <v>000</v>
      </c>
      <c r="AG2244" t="str">
        <f t="shared" si="839"/>
        <v>FL</v>
      </c>
      <c r="AH2244" t="str">
        <f>"4400.00"</f>
        <v>4400.00</v>
      </c>
      <c r="AI2244" t="str">
        <f>"21780.00"</f>
        <v>21780.00</v>
      </c>
      <c r="AJ2244" t="str">
        <f>"C55-000-585-9974-7"</f>
        <v>C55-000-585-9974-7</v>
      </c>
      <c r="AK2244" t="str">
        <f>"49483"</f>
        <v>49483</v>
      </c>
      <c r="AL2244">
        <v>8</v>
      </c>
      <c r="AM2244">
        <v>2562</v>
      </c>
      <c r="AN2244">
        <v>456.11</v>
      </c>
      <c r="AQ2244" t="s">
        <v>21637</v>
      </c>
      <c r="AR2244" t="s">
        <v>21637</v>
      </c>
      <c r="AS2244" t="s">
        <v>21637</v>
      </c>
      <c r="AU2244" t="s">
        <v>396</v>
      </c>
      <c r="AV2244">
        <v>2017</v>
      </c>
      <c r="AW2244" t="str">
        <f>"00-00-31-1800-0214-09C2 "</f>
        <v xml:space="preserve">00-00-31-1800-0214-09C2 </v>
      </c>
      <c r="AX2244">
        <v>631</v>
      </c>
      <c r="AY2244" t="s">
        <v>18674</v>
      </c>
      <c r="AZ2244" t="s">
        <v>5203</v>
      </c>
      <c r="BA2244" t="s">
        <v>1942</v>
      </c>
      <c r="BD2244" t="s">
        <v>11749</v>
      </c>
      <c r="BE2244" t="s">
        <v>393</v>
      </c>
      <c r="BF2244">
        <v>32034</v>
      </c>
      <c r="BG2244" t="s">
        <v>21638</v>
      </c>
      <c r="BH2244" t="s">
        <v>11751</v>
      </c>
      <c r="BI2244">
        <v>-81.456255386715995</v>
      </c>
      <c r="BJ2244">
        <v>30.661772487745001</v>
      </c>
      <c r="BK2244" t="s">
        <v>21630</v>
      </c>
      <c r="BM2244" t="s">
        <v>21631</v>
      </c>
      <c r="BN2244" t="s">
        <v>3983</v>
      </c>
      <c r="BO2244">
        <v>32034</v>
      </c>
      <c r="BP2244" t="s">
        <v>404</v>
      </c>
      <c r="BQ2244">
        <v>0</v>
      </c>
      <c r="BR2244" t="s">
        <v>491</v>
      </c>
      <c r="BS2244">
        <v>8001</v>
      </c>
      <c r="BT2244" t="s">
        <v>492</v>
      </c>
      <c r="BU2244">
        <v>440</v>
      </c>
      <c r="BV2244">
        <v>1000</v>
      </c>
      <c r="BW2244">
        <v>4400</v>
      </c>
      <c r="BX2244" t="s">
        <v>407</v>
      </c>
      <c r="BY2244" t="s">
        <v>18253</v>
      </c>
      <c r="CD2244">
        <v>2017</v>
      </c>
      <c r="CE2244">
        <v>21780</v>
      </c>
      <c r="CG2244">
        <v>21780</v>
      </c>
      <c r="CH2244">
        <v>2017</v>
      </c>
      <c r="CI2244">
        <v>21780</v>
      </c>
      <c r="CK2244">
        <v>21780</v>
      </c>
      <c r="CL2244">
        <v>2017</v>
      </c>
      <c r="CM2244">
        <v>392.15</v>
      </c>
      <c r="CN2244" s="1">
        <v>40122</v>
      </c>
      <c r="CO2244">
        <v>4100</v>
      </c>
      <c r="CZ2244" s="1">
        <v>40122</v>
      </c>
      <c r="DD2244" t="s">
        <v>11749</v>
      </c>
      <c r="DF2244">
        <v>9</v>
      </c>
      <c r="DG2244">
        <v>24</v>
      </c>
      <c r="DL2244">
        <v>50101</v>
      </c>
      <c r="DM2244" t="s">
        <v>15205</v>
      </c>
      <c r="DO2244" t="s">
        <v>21639</v>
      </c>
      <c r="DP2244">
        <v>0</v>
      </c>
      <c r="DQ2244">
        <v>0</v>
      </c>
      <c r="DR2244" t="s">
        <v>411</v>
      </c>
      <c r="DS2244" t="b">
        <v>1</v>
      </c>
      <c r="DT2244" t="s">
        <v>470</v>
      </c>
      <c r="DU2244" t="s">
        <v>471</v>
      </c>
      <c r="DV2244" t="s">
        <v>472</v>
      </c>
      <c r="DX2244">
        <v>-9999</v>
      </c>
      <c r="DZ2244" t="s">
        <v>447</v>
      </c>
      <c r="EA2244" t="s">
        <v>448</v>
      </c>
      <c r="EB2244" t="s">
        <v>14787</v>
      </c>
      <c r="EC2244">
        <v>20101217</v>
      </c>
      <c r="ED2244" t="s">
        <v>474</v>
      </c>
      <c r="EF2244">
        <v>1839.6</v>
      </c>
      <c r="EG2244">
        <v>1749.9</v>
      </c>
      <c r="EI2244">
        <v>20160407</v>
      </c>
      <c r="EJ2244">
        <v>0</v>
      </c>
      <c r="EK2244">
        <v>0</v>
      </c>
      <c r="EP2244" t="s">
        <v>595</v>
      </c>
      <c r="EQ2244" t="s">
        <v>452</v>
      </c>
      <c r="ER2244">
        <v>0</v>
      </c>
      <c r="ES2244">
        <v>9</v>
      </c>
      <c r="ET2244">
        <v>0</v>
      </c>
      <c r="EU2244">
        <v>0</v>
      </c>
      <c r="EV2244">
        <v>0</v>
      </c>
      <c r="EW2244" s="2">
        <v>43222</v>
      </c>
      <c r="EX2244" s="1">
        <v>42515</v>
      </c>
      <c r="EY2244">
        <v>2015</v>
      </c>
      <c r="EZ2244">
        <v>363.53</v>
      </c>
      <c r="FA2244" t="s">
        <v>21640</v>
      </c>
      <c r="FB2244">
        <v>18</v>
      </c>
      <c r="FC2244" t="s">
        <v>603</v>
      </c>
      <c r="FD2244" t="s">
        <v>425</v>
      </c>
      <c r="FF2244">
        <v>22</v>
      </c>
      <c r="FG2244">
        <v>9999999</v>
      </c>
      <c r="FH2244" t="s">
        <v>604</v>
      </c>
      <c r="FI2244" t="s">
        <v>458</v>
      </c>
      <c r="FJ2244" s="1">
        <v>42515</v>
      </c>
      <c r="FK2244">
        <v>2015</v>
      </c>
      <c r="FL2244">
        <v>386.14</v>
      </c>
      <c r="FM2244" t="s">
        <v>21640</v>
      </c>
      <c r="FN2244">
        <v>18</v>
      </c>
      <c r="FO2244" t="s">
        <v>424</v>
      </c>
      <c r="FP2244" t="s">
        <v>425</v>
      </c>
      <c r="FQ2244" s="1">
        <v>42787</v>
      </c>
      <c r="FR2244">
        <v>9</v>
      </c>
      <c r="FS2244">
        <v>7336691</v>
      </c>
      <c r="FT2244" t="s">
        <v>5296</v>
      </c>
      <c r="FU2244" t="s">
        <v>458</v>
      </c>
      <c r="FV2244" s="1">
        <v>42151</v>
      </c>
      <c r="FW2244">
        <v>2014</v>
      </c>
      <c r="FX2244">
        <v>365.96</v>
      </c>
      <c r="FY2244" t="s">
        <v>21641</v>
      </c>
      <c r="FZ2244">
        <v>18</v>
      </c>
      <c r="GA2244" t="s">
        <v>603</v>
      </c>
      <c r="GB2244" t="s">
        <v>425</v>
      </c>
      <c r="GD2244">
        <v>22</v>
      </c>
      <c r="GE2244">
        <v>9999999</v>
      </c>
      <c r="GF2244" t="s">
        <v>604</v>
      </c>
      <c r="GG2244" t="s">
        <v>458</v>
      </c>
      <c r="GH2244" s="1">
        <v>42151</v>
      </c>
      <c r="GI2244">
        <v>2014</v>
      </c>
      <c r="GJ2244">
        <v>388.68</v>
      </c>
      <c r="GK2244" t="s">
        <v>21641</v>
      </c>
      <c r="GL2244">
        <v>18</v>
      </c>
      <c r="GM2244" t="s">
        <v>424</v>
      </c>
      <c r="GN2244" t="s">
        <v>425</v>
      </c>
      <c r="GP2244">
        <v>22</v>
      </c>
      <c r="GQ2244">
        <v>14851</v>
      </c>
      <c r="GR2244" t="s">
        <v>4401</v>
      </c>
      <c r="GS2244" t="s">
        <v>458</v>
      </c>
      <c r="GT2244" s="1">
        <v>42151</v>
      </c>
      <c r="GU2244">
        <v>2014</v>
      </c>
      <c r="GV2244">
        <v>388.68</v>
      </c>
      <c r="GW2244" t="s">
        <v>21641</v>
      </c>
      <c r="GX2244">
        <v>18</v>
      </c>
      <c r="GY2244" t="s">
        <v>424</v>
      </c>
      <c r="GZ2244" t="s">
        <v>425</v>
      </c>
      <c r="HA2244" s="1">
        <v>42787</v>
      </c>
      <c r="HB2244">
        <v>21</v>
      </c>
      <c r="HC2244">
        <v>12259</v>
      </c>
      <c r="HD2244" t="s">
        <v>1032</v>
      </c>
      <c r="HE2244" t="s">
        <v>458</v>
      </c>
      <c r="HF2244" s="1">
        <v>41787</v>
      </c>
      <c r="HG2244">
        <v>2013</v>
      </c>
      <c r="HH2244">
        <v>354.17</v>
      </c>
      <c r="HI2244" t="s">
        <v>21642</v>
      </c>
      <c r="HJ2244">
        <v>12.5</v>
      </c>
      <c r="HK2244" t="s">
        <v>424</v>
      </c>
      <c r="HL2244" t="s">
        <v>425</v>
      </c>
      <c r="HM2244" s="1">
        <v>42787</v>
      </c>
      <c r="HN2244">
        <v>33</v>
      </c>
      <c r="HO2244">
        <v>10125</v>
      </c>
      <c r="HP2244" t="s">
        <v>440</v>
      </c>
      <c r="HQ2244" t="s">
        <v>458</v>
      </c>
      <c r="HR2244" s="1">
        <v>41423</v>
      </c>
      <c r="HS2244">
        <v>2012</v>
      </c>
      <c r="HT2244">
        <v>401.2</v>
      </c>
      <c r="HU2244" t="s">
        <v>21643</v>
      </c>
      <c r="HV2244">
        <v>5.75</v>
      </c>
      <c r="HW2244" t="s">
        <v>424</v>
      </c>
      <c r="HX2244" t="s">
        <v>425</v>
      </c>
      <c r="HY2244" s="1">
        <v>42787</v>
      </c>
      <c r="HZ2244">
        <v>45</v>
      </c>
      <c r="IA2244">
        <v>10125</v>
      </c>
      <c r="IB2244" t="s">
        <v>440</v>
      </c>
      <c r="IC2244" t="s">
        <v>458</v>
      </c>
      <c r="ID2244" s="1">
        <v>41052</v>
      </c>
      <c r="IE2244">
        <v>2011</v>
      </c>
      <c r="IF2244">
        <v>565.37</v>
      </c>
      <c r="IG2244" t="s">
        <v>21644</v>
      </c>
      <c r="IH2244">
        <v>6.75</v>
      </c>
      <c r="II2244" t="s">
        <v>424</v>
      </c>
      <c r="IJ2244" t="s">
        <v>425</v>
      </c>
      <c r="IK2244" s="1">
        <v>42787</v>
      </c>
      <c r="IL2244">
        <v>57</v>
      </c>
      <c r="IM2244">
        <v>10125</v>
      </c>
      <c r="IN2244" t="s">
        <v>440</v>
      </c>
      <c r="IO2244" t="s">
        <v>458</v>
      </c>
      <c r="IP2244" s="1">
        <v>40688</v>
      </c>
      <c r="IQ2244">
        <v>2010</v>
      </c>
      <c r="IR2244">
        <v>552.39</v>
      </c>
      <c r="IS2244" t="s">
        <v>21645</v>
      </c>
      <c r="IT2244">
        <v>7.5</v>
      </c>
      <c r="IU2244" t="s">
        <v>424</v>
      </c>
      <c r="IV2244" t="s">
        <v>425</v>
      </c>
      <c r="IX2244">
        <v>22</v>
      </c>
      <c r="IY2244">
        <v>11064</v>
      </c>
      <c r="IZ2244" t="s">
        <v>6946</v>
      </c>
      <c r="JA2244" t="s">
        <v>458</v>
      </c>
    </row>
    <row r="2245" spans="1:284" x14ac:dyDescent="0.25">
      <c r="A2245">
        <v>16487252</v>
      </c>
      <c r="B2245">
        <v>2244</v>
      </c>
      <c r="C2245" t="s">
        <v>393</v>
      </c>
      <c r="D2245" t="s">
        <v>394</v>
      </c>
      <c r="F2245" t="str">
        <f>"00-00-31-1800-0215-02C1"</f>
        <v>00-00-31-1800-0215-02C1</v>
      </c>
      <c r="H2245" t="str">
        <f>"RICHO DAYLON"</f>
        <v>RICHO DAYLON</v>
      </c>
      <c r="I2245" t="str">
        <f>"330 SOUTH 12TH STREET"</f>
        <v>330 SOUTH 12TH STREET</v>
      </c>
      <c r="J2245" t="str">
        <f>"FERNANDINA BEACH FL 32034"</f>
        <v>FERNANDINA BEACH FL 32034</v>
      </c>
      <c r="K2245" t="str">
        <f>"421 DIVISION ST"</f>
        <v>421 DIVISION ST</v>
      </c>
      <c r="L2245" t="str">
        <f t="shared" si="826"/>
        <v>FERNANDINA BEACH FL 32034</v>
      </c>
      <c r="M2245" t="str">
        <f>"BLOCK 215 N29 FT OF C OF LOT 2 &amp; S28 FT OF D OF LOT 2 IN OR 2008/118 CITY OF FDNA BEACH"</f>
        <v>BLOCK 215 N29 FT OF C OF LOT 2 &amp; S28 FT OF D OF LOT 2 IN OR 2008/118 CITY OF FDNA BEACH</v>
      </c>
      <c r="N2245" t="str">
        <f>""</f>
        <v/>
      </c>
      <c r="O2245" t="str">
        <f>"12577"</f>
        <v>12577</v>
      </c>
      <c r="P2245" t="str">
        <f t="shared" si="840"/>
        <v>2017</v>
      </c>
      <c r="Q2245" t="str">
        <f>""</f>
        <v/>
      </c>
      <c r="R2245" t="str">
        <f t="shared" si="842"/>
        <v>N</v>
      </c>
      <c r="S2245" t="str">
        <f>""</f>
        <v/>
      </c>
      <c r="T2245" t="str">
        <f>"976.74"</f>
        <v>976.74</v>
      </c>
      <c r="U2245" t="str">
        <f>"49006.00"</f>
        <v>49006.00</v>
      </c>
      <c r="V2245" t="str">
        <f>"49006.00"</f>
        <v>49006.00</v>
      </c>
      <c r="W2245" t="str">
        <f t="shared" si="841"/>
        <v>2017</v>
      </c>
      <c r="X2245" t="str">
        <f>"6.50"</f>
        <v>6.50</v>
      </c>
      <c r="Y2245" t="str">
        <f>"1038.04"</f>
        <v>1038.04</v>
      </c>
      <c r="Z2245" t="str">
        <f>""</f>
        <v/>
      </c>
      <c r="AA2245" t="str">
        <f>"49006.00"</f>
        <v>49006.00</v>
      </c>
      <c r="AB2245" t="str">
        <f t="shared" si="837"/>
        <v>Residential</v>
      </c>
      <c r="AC2245" t="str">
        <f t="shared" si="829"/>
        <v>0</v>
      </c>
      <c r="AD2245" t="str">
        <f>"3"</f>
        <v>3</v>
      </c>
      <c r="AE2245" t="str">
        <f>"MASONRY"</f>
        <v>MASONRY</v>
      </c>
      <c r="AF2245" t="str">
        <f>"001"</f>
        <v>001</v>
      </c>
      <c r="AG2245" t="str">
        <f t="shared" si="839"/>
        <v>FL</v>
      </c>
      <c r="AH2245" t="str">
        <f>"5700.00"</f>
        <v>5700.00</v>
      </c>
      <c r="AI2245" t="str">
        <f>"28215.00"</f>
        <v>28215.00</v>
      </c>
      <c r="AJ2245" t="str">
        <f>"C55-000-585-9989-5"</f>
        <v>C55-000-585-9989-5</v>
      </c>
      <c r="AK2245" t="str">
        <f>"49500"</f>
        <v>49500</v>
      </c>
      <c r="AL2245">
        <v>8</v>
      </c>
      <c r="AM2245">
        <v>2564</v>
      </c>
      <c r="AN2245">
        <v>1088.3399999999999</v>
      </c>
      <c r="AQ2245" t="s">
        <v>21646</v>
      </c>
      <c r="AR2245" t="s">
        <v>21646</v>
      </c>
      <c r="AS2245" t="s">
        <v>21646</v>
      </c>
      <c r="AU2245" t="s">
        <v>396</v>
      </c>
      <c r="AV2245">
        <v>2017</v>
      </c>
      <c r="AW2245" t="str">
        <f>"00-00-31-1800-0215-02C1 "</f>
        <v xml:space="preserve">00-00-31-1800-0215-02C1 </v>
      </c>
      <c r="AX2245">
        <v>421</v>
      </c>
      <c r="AZ2245" t="s">
        <v>21575</v>
      </c>
      <c r="BA2245" t="s">
        <v>1942</v>
      </c>
      <c r="BD2245" t="s">
        <v>11749</v>
      </c>
      <c r="BE2245" t="s">
        <v>393</v>
      </c>
      <c r="BF2245">
        <v>32034</v>
      </c>
      <c r="BG2245" t="s">
        <v>21647</v>
      </c>
      <c r="BH2245" t="s">
        <v>11751</v>
      </c>
      <c r="BI2245">
        <v>-81.456666790662595</v>
      </c>
      <c r="BJ2245">
        <v>30.664559341735298</v>
      </c>
      <c r="BK2245" t="s">
        <v>21648</v>
      </c>
      <c r="BM2245" t="s">
        <v>20741</v>
      </c>
      <c r="BN2245" t="s">
        <v>3983</v>
      </c>
      <c r="BO2245">
        <v>32034</v>
      </c>
      <c r="BP2245" t="s">
        <v>404</v>
      </c>
      <c r="BQ2245">
        <v>100</v>
      </c>
      <c r="BR2245" t="s">
        <v>514</v>
      </c>
      <c r="BS2245">
        <v>1001</v>
      </c>
      <c r="BT2245" t="s">
        <v>515</v>
      </c>
      <c r="BU2245">
        <v>570</v>
      </c>
      <c r="BV2245">
        <v>1000</v>
      </c>
      <c r="BW2245">
        <v>5667</v>
      </c>
      <c r="BX2245" t="s">
        <v>407</v>
      </c>
      <c r="BY2245" t="s">
        <v>18253</v>
      </c>
      <c r="BZ2245">
        <v>3</v>
      </c>
      <c r="CA2245">
        <v>1989</v>
      </c>
      <c r="CB2245">
        <v>1</v>
      </c>
      <c r="CC2245">
        <v>1</v>
      </c>
      <c r="CD2245">
        <v>2017</v>
      </c>
      <c r="CE2245">
        <v>28215</v>
      </c>
      <c r="CF2245">
        <v>20791</v>
      </c>
      <c r="CG2245">
        <v>49006</v>
      </c>
      <c r="CH2245">
        <v>2017</v>
      </c>
      <c r="CI2245">
        <v>28215</v>
      </c>
      <c r="CJ2245">
        <v>20791</v>
      </c>
      <c r="CK2245">
        <v>49006</v>
      </c>
      <c r="CL2245">
        <v>2017</v>
      </c>
      <c r="CM2245">
        <v>976.74</v>
      </c>
      <c r="CN2245" s="1">
        <v>42285</v>
      </c>
      <c r="CZ2245" s="1">
        <v>42285</v>
      </c>
      <c r="DD2245" t="s">
        <v>11749</v>
      </c>
      <c r="DF2245">
        <v>2</v>
      </c>
      <c r="DG2245">
        <v>23</v>
      </c>
      <c r="DL2245">
        <v>50101</v>
      </c>
      <c r="DM2245" t="s">
        <v>20742</v>
      </c>
      <c r="DO2245" t="s">
        <v>21649</v>
      </c>
      <c r="DP2245">
        <v>0</v>
      </c>
      <c r="DQ2245">
        <v>0</v>
      </c>
      <c r="DR2245" t="s">
        <v>411</v>
      </c>
    </row>
    <row r="2246" spans="1:284" x14ac:dyDescent="0.25">
      <c r="A2246">
        <v>16487253</v>
      </c>
      <c r="B2246">
        <v>2245</v>
      </c>
      <c r="C2246" t="s">
        <v>393</v>
      </c>
      <c r="D2246" t="s">
        <v>394</v>
      </c>
      <c r="F2246" t="str">
        <f>"00-00-31-1800-0215-10A0"</f>
        <v>00-00-31-1800-0215-10A0</v>
      </c>
      <c r="H2246" t="str">
        <f>"SMITH MENTORIA"</f>
        <v>SMITH MENTORIA</v>
      </c>
      <c r="I2246" t="str">
        <f>"400 RONDA KAY CT APT 68"</f>
        <v>400 RONDA KAY CT APT 68</v>
      </c>
      <c r="J2246" t="str">
        <f>"FT WALTON BEACH FL 32548"</f>
        <v>FT WALTON BEACH FL 32548</v>
      </c>
      <c r="K2246" t="str">
        <f>"DIVISION ST"</f>
        <v>DIVISION ST</v>
      </c>
      <c r="L2246" t="str">
        <f t="shared" si="826"/>
        <v>FERNANDINA BEACH FL 32034</v>
      </c>
      <c r="M2246" t="str">
        <f>"BLOCK 215 SUB A OF 10 IN OR 610/365 &amp; OR 1915/1260 CITY OF FDNA BEACH"</f>
        <v>BLOCK 215 SUB A OF 10 IN OR 610/365 &amp; OR 1915/1260 CITY OF FDNA BEACH</v>
      </c>
      <c r="N2246" t="str">
        <f>""</f>
        <v/>
      </c>
      <c r="O2246" t="str">
        <f>"12611"</f>
        <v>12611</v>
      </c>
      <c r="P2246" t="str">
        <f t="shared" si="840"/>
        <v>2017</v>
      </c>
      <c r="Q2246" t="str">
        <f>""</f>
        <v/>
      </c>
      <c r="R2246" t="str">
        <f t="shared" si="842"/>
        <v>N</v>
      </c>
      <c r="S2246" t="str">
        <f>""</f>
        <v/>
      </c>
      <c r="T2246" t="str">
        <f>"574.84"</f>
        <v>574.84</v>
      </c>
      <c r="U2246" t="str">
        <f>"27316.00"</f>
        <v>27316.00</v>
      </c>
      <c r="V2246" t="str">
        <f>"27316.00"</f>
        <v>27316.00</v>
      </c>
      <c r="W2246" t="str">
        <f t="shared" si="841"/>
        <v>2017</v>
      </c>
      <c r="X2246" t="str">
        <f>"16.75"</f>
        <v>16.75</v>
      </c>
      <c r="Y2246" t="str">
        <f>"624.09"</f>
        <v>624.09</v>
      </c>
      <c r="Z2246" t="str">
        <f>""</f>
        <v/>
      </c>
      <c r="AA2246" t="str">
        <f>"31927.00"</f>
        <v>31927.00</v>
      </c>
      <c r="AB2246" t="str">
        <f t="shared" si="837"/>
        <v>Residential</v>
      </c>
      <c r="AC2246" t="str">
        <f t="shared" si="829"/>
        <v>0</v>
      </c>
      <c r="AD2246" t="str">
        <f>""</f>
        <v/>
      </c>
      <c r="AE2246" t="str">
        <f>""</f>
        <v/>
      </c>
      <c r="AF2246" t="str">
        <f>"000"</f>
        <v>000</v>
      </c>
      <c r="AG2246" t="str">
        <f t="shared" si="839"/>
        <v>FL</v>
      </c>
      <c r="AH2246" t="str">
        <f>"8600.00"</f>
        <v>8600.00</v>
      </c>
      <c r="AI2246" t="str">
        <f>"31927.00"</f>
        <v>31927.00</v>
      </c>
      <c r="AJ2246" t="str">
        <f>"C55-000-586-0022-2"</f>
        <v>C55-000-586-0022-2</v>
      </c>
      <c r="AK2246" t="str">
        <f>"49534"</f>
        <v>49534</v>
      </c>
      <c r="AL2246">
        <v>8</v>
      </c>
      <c r="AM2246">
        <v>2565</v>
      </c>
      <c r="AN2246">
        <v>653.69000000000005</v>
      </c>
      <c r="AQ2246" t="s">
        <v>21650</v>
      </c>
      <c r="AR2246" t="s">
        <v>21650</v>
      </c>
      <c r="AS2246" t="s">
        <v>21650</v>
      </c>
      <c r="AU2246" t="s">
        <v>396</v>
      </c>
      <c r="AV2246">
        <v>2017</v>
      </c>
      <c r="AW2246" t="str">
        <f>"00-00-31-1800-0215-10A0 "</f>
        <v xml:space="preserve">00-00-31-1800-0215-10A0 </v>
      </c>
      <c r="AZ2246" t="s">
        <v>21575</v>
      </c>
      <c r="BA2246" t="s">
        <v>1942</v>
      </c>
      <c r="BD2246" t="s">
        <v>11749</v>
      </c>
      <c r="BE2246" t="s">
        <v>393</v>
      </c>
      <c r="BF2246">
        <v>32034</v>
      </c>
      <c r="BG2246" t="s">
        <v>21576</v>
      </c>
      <c r="BH2246" t="s">
        <v>11751</v>
      </c>
      <c r="BI2246">
        <v>-81.456073315406996</v>
      </c>
      <c r="BJ2246">
        <v>30.665091103809001</v>
      </c>
      <c r="BK2246" t="s">
        <v>21651</v>
      </c>
      <c r="BM2246" t="s">
        <v>21652</v>
      </c>
      <c r="BN2246" t="s">
        <v>21653</v>
      </c>
      <c r="BO2246">
        <v>32548</v>
      </c>
      <c r="BP2246" t="s">
        <v>404</v>
      </c>
      <c r="BQ2246">
        <v>0</v>
      </c>
      <c r="BR2246" t="s">
        <v>491</v>
      </c>
      <c r="BS2246">
        <v>8001</v>
      </c>
      <c r="BT2246" t="s">
        <v>492</v>
      </c>
      <c r="BU2246">
        <v>860</v>
      </c>
      <c r="BV2246">
        <v>1000</v>
      </c>
      <c r="BW2246">
        <v>8766</v>
      </c>
      <c r="BX2246" t="s">
        <v>407</v>
      </c>
      <c r="BY2246" t="s">
        <v>18253</v>
      </c>
      <c r="CD2246">
        <v>2017</v>
      </c>
      <c r="CE2246">
        <v>31927</v>
      </c>
      <c r="CG2246">
        <v>31927</v>
      </c>
      <c r="CH2246">
        <v>2017</v>
      </c>
      <c r="CI2246">
        <v>31927</v>
      </c>
      <c r="CK2246">
        <v>31927</v>
      </c>
      <c r="CL2246">
        <v>2017</v>
      </c>
      <c r="CM2246">
        <v>574.84</v>
      </c>
      <c r="CN2246" s="1">
        <v>41603</v>
      </c>
      <c r="CZ2246" s="1">
        <v>41603</v>
      </c>
      <c r="DD2246" t="s">
        <v>11749</v>
      </c>
      <c r="DG2246">
        <v>23</v>
      </c>
      <c r="DL2246">
        <v>50101</v>
      </c>
      <c r="DM2246" t="s">
        <v>20742</v>
      </c>
      <c r="DO2246" t="s">
        <v>21654</v>
      </c>
      <c r="DP2246">
        <v>0</v>
      </c>
      <c r="DQ2246">
        <v>0</v>
      </c>
      <c r="DR2246" t="s">
        <v>411</v>
      </c>
      <c r="DS2246" t="b">
        <v>1</v>
      </c>
      <c r="DT2246" t="s">
        <v>470</v>
      </c>
      <c r="DU2246" t="s">
        <v>471</v>
      </c>
      <c r="DV2246" t="s">
        <v>472</v>
      </c>
      <c r="DX2246">
        <v>-9999</v>
      </c>
      <c r="DZ2246" t="s">
        <v>447</v>
      </c>
      <c r="EA2246" t="s">
        <v>448</v>
      </c>
      <c r="EB2246" t="s">
        <v>14787</v>
      </c>
      <c r="EC2246">
        <v>20101217</v>
      </c>
      <c r="ED2246" t="s">
        <v>474</v>
      </c>
      <c r="EF2246">
        <v>2033.6</v>
      </c>
      <c r="EG2246">
        <v>1862.5</v>
      </c>
      <c r="EI2246">
        <v>20160407</v>
      </c>
      <c r="EJ2246">
        <v>0</v>
      </c>
      <c r="EK2246">
        <v>0</v>
      </c>
      <c r="EP2246" t="s">
        <v>421</v>
      </c>
      <c r="EQ2246" t="s">
        <v>422</v>
      </c>
      <c r="ER2246">
        <v>0</v>
      </c>
      <c r="ES2246">
        <v>4</v>
      </c>
      <c r="ET2246">
        <v>0</v>
      </c>
      <c r="EU2246">
        <v>0</v>
      </c>
      <c r="EV2246">
        <v>0</v>
      </c>
      <c r="EW2246" s="2">
        <v>43222</v>
      </c>
      <c r="EX2246" s="1">
        <v>42515</v>
      </c>
      <c r="EY2246">
        <v>2015</v>
      </c>
      <c r="EZ2246">
        <v>522.64</v>
      </c>
      <c r="FA2246" t="s">
        <v>21655</v>
      </c>
      <c r="FB2246">
        <v>18</v>
      </c>
      <c r="FC2246" t="s">
        <v>424</v>
      </c>
      <c r="FD2246" t="s">
        <v>425</v>
      </c>
      <c r="FE2246" s="1">
        <v>42797</v>
      </c>
      <c r="FF2246">
        <v>10</v>
      </c>
      <c r="FG2246">
        <v>7336677</v>
      </c>
      <c r="FH2246" t="s">
        <v>5826</v>
      </c>
      <c r="FJ2246" s="1">
        <v>42151</v>
      </c>
      <c r="FK2246">
        <v>2014</v>
      </c>
      <c r="FL2246">
        <v>526.22</v>
      </c>
      <c r="FM2246" t="s">
        <v>21656</v>
      </c>
      <c r="FN2246">
        <v>15.5</v>
      </c>
      <c r="FO2246" t="s">
        <v>424</v>
      </c>
      <c r="FP2246" t="s">
        <v>425</v>
      </c>
      <c r="FQ2246" s="1">
        <v>42797</v>
      </c>
      <c r="FR2246">
        <v>22</v>
      </c>
      <c r="FS2246">
        <v>10628</v>
      </c>
      <c r="FT2246" t="s">
        <v>943</v>
      </c>
      <c r="FV2246" s="1">
        <v>41787</v>
      </c>
      <c r="FW2246">
        <v>2013</v>
      </c>
      <c r="FX2246">
        <v>508.95</v>
      </c>
      <c r="FY2246" t="s">
        <v>21657</v>
      </c>
      <c r="FZ2246">
        <v>3</v>
      </c>
      <c r="GA2246" t="s">
        <v>424</v>
      </c>
      <c r="GB2246" t="s">
        <v>425</v>
      </c>
      <c r="GC2246" s="1">
        <v>42114</v>
      </c>
      <c r="GD2246">
        <v>11</v>
      </c>
      <c r="GE2246">
        <v>10125</v>
      </c>
      <c r="GF2246" t="s">
        <v>440</v>
      </c>
      <c r="GH2246" s="1">
        <v>41052</v>
      </c>
      <c r="GI2246">
        <v>2011</v>
      </c>
      <c r="GJ2246">
        <v>822.27</v>
      </c>
      <c r="GK2246" t="s">
        <v>21658</v>
      </c>
      <c r="GL2246">
        <v>6.75</v>
      </c>
      <c r="GM2246" t="s">
        <v>424</v>
      </c>
      <c r="GN2246" t="s">
        <v>425</v>
      </c>
      <c r="GO2246" s="1">
        <v>41764</v>
      </c>
      <c r="GP2246">
        <v>24</v>
      </c>
      <c r="GQ2246">
        <v>10125</v>
      </c>
      <c r="GR2246" t="s">
        <v>440</v>
      </c>
    </row>
    <row r="2247" spans="1:284" x14ac:dyDescent="0.25">
      <c r="A2247">
        <v>16487254</v>
      </c>
      <c r="B2247">
        <v>2246</v>
      </c>
      <c r="C2247" t="s">
        <v>393</v>
      </c>
      <c r="D2247" t="s">
        <v>394</v>
      </c>
      <c r="F2247" t="str">
        <f>"00-00-31-1800-0216-04A0"</f>
        <v>00-00-31-1800-0216-04A0</v>
      </c>
      <c r="H2247" t="str">
        <f>"ULSAKER NORMAN L &amp; JUNE TRUST"</f>
        <v>ULSAKER NORMAN L &amp; JUNE TRUST</v>
      </c>
      <c r="I2247" t="str">
        <f>"325 ROUNDHOUSE DR"</f>
        <v>325 ROUNDHOUSE DR</v>
      </c>
      <c r="J2247" t="str">
        <f>"PERRYVILLE MD 21903"</f>
        <v>PERRYVILLE MD 21903</v>
      </c>
      <c r="K2247" t="str">
        <f>"S 11TH ST"</f>
        <v>S 11TH ST</v>
      </c>
      <c r="L2247" t="str">
        <f t="shared" si="826"/>
        <v>FERNANDINA BEACH FL 32034</v>
      </c>
      <c r="M2247" t="str">
        <f>"BLOCK 216 SUB A OF LOT 4 IN OR 1498/1027 CITY OF FDNA BEACH"</f>
        <v>BLOCK 216 SUB A OF LOT 4 IN OR 1498/1027 CITY OF FDNA BEACH</v>
      </c>
      <c r="N2247" t="str">
        <f>""</f>
        <v/>
      </c>
      <c r="O2247" t="str">
        <f>"12629"</f>
        <v>12629</v>
      </c>
      <c r="P2247" t="str">
        <f t="shared" si="840"/>
        <v>2017</v>
      </c>
      <c r="Q2247" t="str">
        <f>""</f>
        <v/>
      </c>
      <c r="R2247" t="str">
        <f t="shared" si="842"/>
        <v>N</v>
      </c>
      <c r="S2247" t="str">
        <f>""</f>
        <v/>
      </c>
      <c r="T2247" t="str">
        <f>"574.84"</f>
        <v>574.84</v>
      </c>
      <c r="U2247" t="str">
        <f>"27316.00"</f>
        <v>27316.00</v>
      </c>
      <c r="V2247" t="str">
        <f>"27316.00"</f>
        <v>27316.00</v>
      </c>
      <c r="W2247" t="str">
        <f t="shared" si="841"/>
        <v>2017</v>
      </c>
      <c r="X2247" t="str">
        <f>"18.00"</f>
        <v>18.00</v>
      </c>
      <c r="Y2247" t="str">
        <f>"624.09"</f>
        <v>624.09</v>
      </c>
      <c r="Z2247" t="str">
        <f>""</f>
        <v/>
      </c>
      <c r="AA2247" t="str">
        <f>"31927.00"</f>
        <v>31927.00</v>
      </c>
      <c r="AB2247" t="str">
        <f t="shared" si="837"/>
        <v>Residential</v>
      </c>
      <c r="AC2247" t="str">
        <f t="shared" si="829"/>
        <v>0</v>
      </c>
      <c r="AD2247" t="str">
        <f>""</f>
        <v/>
      </c>
      <c r="AE2247" t="str">
        <f>""</f>
        <v/>
      </c>
      <c r="AF2247" t="str">
        <f>"000"</f>
        <v>000</v>
      </c>
      <c r="AG2247" t="str">
        <f>"MD"</f>
        <v>MD</v>
      </c>
      <c r="AH2247" t="str">
        <f>"8600.00"</f>
        <v>8600.00</v>
      </c>
      <c r="AI2247" t="str">
        <f>"31927.00"</f>
        <v>31927.00</v>
      </c>
      <c r="AJ2247" t="str">
        <f>"C55-000-586-0040-4"</f>
        <v>C55-000-586-0040-4</v>
      </c>
      <c r="AK2247" t="str">
        <f>"49549"</f>
        <v>49549</v>
      </c>
      <c r="AL2247">
        <v>8</v>
      </c>
      <c r="AM2247">
        <v>2567</v>
      </c>
      <c r="AN2247">
        <v>653.69000000000005</v>
      </c>
      <c r="AQ2247" t="s">
        <v>21659</v>
      </c>
      <c r="AR2247" t="s">
        <v>21659</v>
      </c>
      <c r="AS2247" t="s">
        <v>21659</v>
      </c>
      <c r="AU2247" t="s">
        <v>396</v>
      </c>
      <c r="AV2247">
        <v>2017</v>
      </c>
      <c r="AW2247" t="str">
        <f>"00-00-31-1800-0216-04A0 "</f>
        <v xml:space="preserve">00-00-31-1800-0216-04A0 </v>
      </c>
      <c r="AY2247" t="s">
        <v>18674</v>
      </c>
      <c r="AZ2247" t="s">
        <v>5153</v>
      </c>
      <c r="BA2247" t="s">
        <v>1942</v>
      </c>
      <c r="BD2247" t="s">
        <v>11749</v>
      </c>
      <c r="BE2247" t="s">
        <v>393</v>
      </c>
      <c r="BF2247">
        <v>32034</v>
      </c>
      <c r="BG2247" t="s">
        <v>21660</v>
      </c>
      <c r="BH2247" t="s">
        <v>11751</v>
      </c>
      <c r="BI2247">
        <v>-81.456727489396499</v>
      </c>
      <c r="BJ2247">
        <v>30.666286309254598</v>
      </c>
      <c r="BK2247" t="s">
        <v>21661</v>
      </c>
      <c r="BM2247" t="s">
        <v>21662</v>
      </c>
      <c r="BN2247" t="s">
        <v>1778</v>
      </c>
      <c r="BO2247">
        <v>32097</v>
      </c>
      <c r="BP2247" t="s">
        <v>404</v>
      </c>
      <c r="BQ2247">
        <v>0</v>
      </c>
      <c r="BR2247" t="s">
        <v>491</v>
      </c>
      <c r="BS2247">
        <v>8001</v>
      </c>
      <c r="BT2247" t="s">
        <v>492</v>
      </c>
      <c r="BU2247">
        <v>860</v>
      </c>
      <c r="BV2247">
        <v>1000</v>
      </c>
      <c r="BW2247">
        <v>8555</v>
      </c>
      <c r="BX2247" t="s">
        <v>407</v>
      </c>
      <c r="BY2247" t="s">
        <v>18253</v>
      </c>
      <c r="CD2247">
        <v>2017</v>
      </c>
      <c r="CE2247">
        <v>31927</v>
      </c>
      <c r="CG2247">
        <v>31927</v>
      </c>
      <c r="CH2247">
        <v>2017</v>
      </c>
      <c r="CI2247">
        <v>31927</v>
      </c>
      <c r="CK2247">
        <v>31927</v>
      </c>
      <c r="CL2247">
        <v>2017</v>
      </c>
      <c r="CM2247">
        <v>574.84</v>
      </c>
      <c r="CN2247" s="1">
        <v>43014</v>
      </c>
      <c r="CO2247">
        <v>30000</v>
      </c>
      <c r="CV2247">
        <v>0</v>
      </c>
      <c r="CZ2247" s="1">
        <v>43014</v>
      </c>
      <c r="DA2247">
        <v>0</v>
      </c>
      <c r="DD2247" t="s">
        <v>11749</v>
      </c>
      <c r="DF2247">
        <v>4</v>
      </c>
      <c r="DG2247">
        <v>23</v>
      </c>
      <c r="DL2247">
        <v>50101</v>
      </c>
      <c r="DM2247" t="s">
        <v>20742</v>
      </c>
      <c r="DO2247" t="s">
        <v>21663</v>
      </c>
      <c r="DP2247">
        <v>0</v>
      </c>
      <c r="DQ2247">
        <v>1</v>
      </c>
      <c r="DR2247" t="s">
        <v>1479</v>
      </c>
      <c r="EP2247" t="s">
        <v>421</v>
      </c>
      <c r="EQ2247" t="s">
        <v>422</v>
      </c>
      <c r="ER2247">
        <v>0</v>
      </c>
      <c r="ES2247">
        <v>1</v>
      </c>
      <c r="ET2247">
        <v>0</v>
      </c>
      <c r="EU2247">
        <v>0</v>
      </c>
      <c r="EV2247">
        <v>0</v>
      </c>
      <c r="EW2247" s="2">
        <v>43222</v>
      </c>
      <c r="EX2247" s="1">
        <v>41423</v>
      </c>
      <c r="EY2247">
        <v>2012</v>
      </c>
      <c r="EZ2247">
        <v>577.86</v>
      </c>
      <c r="FA2247" t="s">
        <v>21664</v>
      </c>
      <c r="FB2247">
        <v>0.25</v>
      </c>
      <c r="FC2247" t="s">
        <v>424</v>
      </c>
      <c r="FD2247" t="s">
        <v>425</v>
      </c>
      <c r="FE2247" s="1">
        <v>41960</v>
      </c>
      <c r="FF2247">
        <v>18</v>
      </c>
      <c r="FG2247">
        <v>2101385</v>
      </c>
      <c r="FH2247" t="s">
        <v>810</v>
      </c>
    </row>
    <row r="2248" spans="1:284" x14ac:dyDescent="0.25">
      <c r="A2248">
        <v>16487255</v>
      </c>
      <c r="B2248">
        <v>2247</v>
      </c>
      <c r="C2248" t="s">
        <v>393</v>
      </c>
      <c r="D2248" t="s">
        <v>394</v>
      </c>
      <c r="F2248" t="str">
        <f>"00-00-31-1800-0216-04D2"</f>
        <v>00-00-31-1800-0216-04D2</v>
      </c>
      <c r="H2248" t="str">
        <f>"SADLER BELLE C/O PEGGY B DEAN"</f>
        <v>SADLER BELLE C/O PEGGY B DEAN</v>
      </c>
      <c r="I2248" t="str">
        <f>"1476 N W 37TH ST"</f>
        <v>1476 N W 37TH ST</v>
      </c>
      <c r="J2248" t="str">
        <f>"MIAMI FL 33142"</f>
        <v>MIAMI FL 33142</v>
      </c>
      <c r="K2248" t="str">
        <f>"DIVISION ST"</f>
        <v>DIVISION ST</v>
      </c>
      <c r="L2248" t="str">
        <f t="shared" si="826"/>
        <v>FERNANDINA BEACH FL 32034</v>
      </c>
      <c r="M2248" t="str">
        <f>"BLOCK 216 SUB S 29 FT OF D OF 4 CITY OF FDNA BEACH"</f>
        <v>BLOCK 216 SUB S 29 FT OF D OF 4 CITY OF FDNA BEACH</v>
      </c>
      <c r="N2248" t="str">
        <f>""</f>
        <v/>
      </c>
      <c r="O2248" t="str">
        <f>"12633"</f>
        <v>12633</v>
      </c>
      <c r="P2248" t="str">
        <f t="shared" si="840"/>
        <v>2017</v>
      </c>
      <c r="Q2248" t="str">
        <f>""</f>
        <v/>
      </c>
      <c r="R2248" t="str">
        <f t="shared" si="842"/>
        <v>N</v>
      </c>
      <c r="S2248" t="str">
        <f>""</f>
        <v/>
      </c>
      <c r="T2248" t="str">
        <f>"258.47"</f>
        <v>258.47</v>
      </c>
      <c r="U2248" t="str">
        <f>"12282.00"</f>
        <v>12282.00</v>
      </c>
      <c r="V2248" t="str">
        <f>"12282.00"</f>
        <v>12282.00</v>
      </c>
      <c r="W2248" t="str">
        <f t="shared" si="841"/>
        <v>2017</v>
      </c>
      <c r="X2248" t="str">
        <f>""</f>
        <v/>
      </c>
      <c r="Y2248" t="str">
        <f>"298.22"</f>
        <v>298.22</v>
      </c>
      <c r="Z2248" t="str">
        <f>""</f>
        <v/>
      </c>
      <c r="AA2248" t="str">
        <f>"14355.00"</f>
        <v>14355.00</v>
      </c>
      <c r="AB2248" t="str">
        <f t="shared" si="837"/>
        <v>Residential</v>
      </c>
      <c r="AC2248" t="str">
        <f t="shared" si="829"/>
        <v>0</v>
      </c>
      <c r="AD2248" t="str">
        <f>""</f>
        <v/>
      </c>
      <c r="AE2248" t="str">
        <f>""</f>
        <v/>
      </c>
      <c r="AF2248" t="str">
        <f>"000"</f>
        <v>000</v>
      </c>
      <c r="AG2248" t="str">
        <f>"FL"</f>
        <v>FL</v>
      </c>
      <c r="AH2248" t="str">
        <f>"2900.00"</f>
        <v>2900.00</v>
      </c>
      <c r="AI2248" t="str">
        <f>"14355.00"</f>
        <v>14355.00</v>
      </c>
      <c r="AJ2248" t="str">
        <f>"C55-000-586-0044-6"</f>
        <v>C55-000-586-0044-6</v>
      </c>
      <c r="AK2248" t="str">
        <f>"49553"</f>
        <v>49553</v>
      </c>
      <c r="AL2248">
        <v>8</v>
      </c>
      <c r="AM2248">
        <v>2568</v>
      </c>
      <c r="AN2248">
        <v>311.52999999999997</v>
      </c>
      <c r="AQ2248" t="s">
        <v>21665</v>
      </c>
      <c r="AR2248" t="s">
        <v>21665</v>
      </c>
      <c r="AS2248" t="s">
        <v>21665</v>
      </c>
      <c r="AU2248" t="s">
        <v>396</v>
      </c>
      <c r="AV2248">
        <v>2017</v>
      </c>
      <c r="AW2248" t="str">
        <f>"00-00-31-1800-0216-04D2 "</f>
        <v xml:space="preserve">00-00-31-1800-0216-04D2 </v>
      </c>
      <c r="AZ2248" t="s">
        <v>21575</v>
      </c>
      <c r="BA2248" t="s">
        <v>1942</v>
      </c>
      <c r="BD2248" t="s">
        <v>11749</v>
      </c>
      <c r="BE2248" t="s">
        <v>393</v>
      </c>
      <c r="BF2248">
        <v>32034</v>
      </c>
      <c r="BG2248" t="s">
        <v>21576</v>
      </c>
      <c r="BH2248" t="s">
        <v>11751</v>
      </c>
      <c r="BI2248">
        <v>-81.456422785987598</v>
      </c>
      <c r="BJ2248">
        <v>30.666171641203601</v>
      </c>
      <c r="BK2248" t="s">
        <v>21666</v>
      </c>
      <c r="BM2248" t="s">
        <v>21667</v>
      </c>
      <c r="BN2248" t="s">
        <v>17602</v>
      </c>
      <c r="BO2248">
        <v>33142</v>
      </c>
      <c r="BP2248" t="s">
        <v>404</v>
      </c>
      <c r="BQ2248">
        <v>0</v>
      </c>
      <c r="BR2248" t="s">
        <v>491</v>
      </c>
      <c r="BS2248">
        <v>8001</v>
      </c>
      <c r="BT2248" t="s">
        <v>492</v>
      </c>
      <c r="BU2248">
        <v>290</v>
      </c>
      <c r="BV2248">
        <v>1000</v>
      </c>
      <c r="BW2248">
        <v>2944</v>
      </c>
      <c r="BX2248" t="s">
        <v>407</v>
      </c>
      <c r="BY2248" t="s">
        <v>18253</v>
      </c>
      <c r="CD2248">
        <v>2017</v>
      </c>
      <c r="CE2248">
        <v>14355</v>
      </c>
      <c r="CG2248">
        <v>14355</v>
      </c>
      <c r="CH2248">
        <v>2017</v>
      </c>
      <c r="CI2248">
        <v>14355</v>
      </c>
      <c r="CK2248">
        <v>14355</v>
      </c>
      <c r="CL2248">
        <v>2017</v>
      </c>
      <c r="CM2248">
        <v>258.47000000000003</v>
      </c>
      <c r="DD2248" t="s">
        <v>11749</v>
      </c>
      <c r="DG2248">
        <v>23</v>
      </c>
      <c r="DL2248">
        <v>50101</v>
      </c>
      <c r="DM2248" t="s">
        <v>20742</v>
      </c>
      <c r="DO2248" t="s">
        <v>21668</v>
      </c>
      <c r="DP2248">
        <v>0</v>
      </c>
      <c r="DQ2248">
        <v>1</v>
      </c>
      <c r="DR2248" t="s">
        <v>411</v>
      </c>
      <c r="DS2248" t="b">
        <v>1</v>
      </c>
      <c r="DT2248" t="s">
        <v>470</v>
      </c>
      <c r="DU2248" t="s">
        <v>471</v>
      </c>
      <c r="DV2248" t="s">
        <v>472</v>
      </c>
      <c r="DX2248">
        <v>-9999</v>
      </c>
      <c r="DZ2248" t="s">
        <v>447</v>
      </c>
      <c r="EA2248" t="s">
        <v>448</v>
      </c>
      <c r="EB2248" t="s">
        <v>14787</v>
      </c>
      <c r="EC2248">
        <v>20101217</v>
      </c>
      <c r="ED2248" t="s">
        <v>474</v>
      </c>
      <c r="EF2248">
        <v>2017.8</v>
      </c>
      <c r="EG2248">
        <v>1807</v>
      </c>
      <c r="EI2248">
        <v>20160407</v>
      </c>
      <c r="EJ2248">
        <v>0</v>
      </c>
      <c r="EK2248">
        <v>0</v>
      </c>
      <c r="EP2248" t="s">
        <v>595</v>
      </c>
      <c r="EQ2248" t="s">
        <v>422</v>
      </c>
      <c r="ER2248">
        <v>10</v>
      </c>
      <c r="ES2248">
        <v>0</v>
      </c>
      <c r="ET2248">
        <v>2968.44</v>
      </c>
      <c r="EU2248">
        <v>1643.09</v>
      </c>
      <c r="EV2248">
        <v>4611.53</v>
      </c>
      <c r="EW2248" s="2">
        <v>43222</v>
      </c>
      <c r="EX2248" s="1">
        <v>42879</v>
      </c>
      <c r="EY2248">
        <v>2016</v>
      </c>
      <c r="EZ2248">
        <v>285.33</v>
      </c>
      <c r="FA2248" t="s">
        <v>21669</v>
      </c>
      <c r="FB2248">
        <v>17.75</v>
      </c>
      <c r="FC2248" t="s">
        <v>424</v>
      </c>
      <c r="FD2248" t="s">
        <v>454</v>
      </c>
      <c r="FF2248">
        <v>12</v>
      </c>
      <c r="FG2248">
        <v>6516843</v>
      </c>
      <c r="FH2248" t="s">
        <v>601</v>
      </c>
      <c r="FJ2248" s="1">
        <v>42515</v>
      </c>
      <c r="FK2248">
        <v>2015</v>
      </c>
      <c r="FL2248">
        <v>247.09</v>
      </c>
      <c r="FM2248" t="s">
        <v>21670</v>
      </c>
      <c r="FN2248">
        <v>18</v>
      </c>
      <c r="FO2248" t="s">
        <v>603</v>
      </c>
      <c r="FP2248" t="s">
        <v>454</v>
      </c>
      <c r="FR2248">
        <v>24</v>
      </c>
      <c r="FS2248">
        <v>9999999</v>
      </c>
      <c r="FT2248" t="s">
        <v>604</v>
      </c>
      <c r="FV2248" s="1">
        <v>42515</v>
      </c>
      <c r="FW2248">
        <v>2015</v>
      </c>
      <c r="FX2248">
        <v>316.35000000000002</v>
      </c>
      <c r="FY2248" t="s">
        <v>21670</v>
      </c>
      <c r="FZ2248">
        <v>18</v>
      </c>
      <c r="GA2248" t="s">
        <v>424</v>
      </c>
      <c r="GB2248" t="s">
        <v>454</v>
      </c>
      <c r="GD2248">
        <v>24</v>
      </c>
      <c r="GE2248">
        <v>7685301</v>
      </c>
      <c r="GF2248" t="s">
        <v>21671</v>
      </c>
      <c r="GH2248" s="1">
        <v>42515</v>
      </c>
      <c r="GI2248">
        <v>2015</v>
      </c>
      <c r="GJ2248">
        <v>338.59</v>
      </c>
      <c r="GK2248" t="s">
        <v>21670</v>
      </c>
      <c r="GL2248">
        <v>18</v>
      </c>
      <c r="GM2248" t="s">
        <v>424</v>
      </c>
      <c r="GN2248" t="s">
        <v>454</v>
      </c>
      <c r="GP2248">
        <v>24</v>
      </c>
      <c r="GQ2248">
        <v>7685315</v>
      </c>
      <c r="GR2248" t="s">
        <v>21672</v>
      </c>
      <c r="GT2248" s="1">
        <v>42151</v>
      </c>
      <c r="GU2248">
        <v>2014</v>
      </c>
      <c r="GV2248">
        <v>248.71</v>
      </c>
      <c r="GW2248" t="s">
        <v>21673</v>
      </c>
      <c r="GX2248">
        <v>18</v>
      </c>
      <c r="GY2248" t="s">
        <v>603</v>
      </c>
      <c r="GZ2248" t="s">
        <v>454</v>
      </c>
      <c r="HB2248">
        <v>36</v>
      </c>
      <c r="HC2248">
        <v>9999999</v>
      </c>
      <c r="HD2248" t="s">
        <v>604</v>
      </c>
      <c r="HF2248" s="1">
        <v>42151</v>
      </c>
      <c r="HG2248">
        <v>2014</v>
      </c>
      <c r="HH2248">
        <v>273.61</v>
      </c>
      <c r="HI2248" t="s">
        <v>21673</v>
      </c>
      <c r="HJ2248">
        <v>18</v>
      </c>
      <c r="HK2248" t="s">
        <v>424</v>
      </c>
      <c r="HL2248" t="s">
        <v>454</v>
      </c>
      <c r="HN2248">
        <v>36</v>
      </c>
      <c r="HO2248">
        <v>7045057</v>
      </c>
      <c r="HP2248" t="s">
        <v>21674</v>
      </c>
      <c r="HR2248" s="1">
        <v>41787</v>
      </c>
      <c r="HS2248">
        <v>2013</v>
      </c>
      <c r="HT2248">
        <v>240.94</v>
      </c>
      <c r="HU2248" t="s">
        <v>21675</v>
      </c>
      <c r="HV2248">
        <v>16.5</v>
      </c>
      <c r="HW2248" t="s">
        <v>424</v>
      </c>
      <c r="HX2248" t="s">
        <v>454</v>
      </c>
      <c r="HZ2248">
        <v>48</v>
      </c>
      <c r="IA2248">
        <v>10125</v>
      </c>
      <c r="IB2248" t="s">
        <v>440</v>
      </c>
      <c r="ID2248" s="1">
        <v>41423</v>
      </c>
      <c r="IE2248">
        <v>2012</v>
      </c>
      <c r="IF2248">
        <v>271.92</v>
      </c>
      <c r="IG2248" t="s">
        <v>21676</v>
      </c>
      <c r="IH2248">
        <v>9.75</v>
      </c>
      <c r="II2248" t="s">
        <v>424</v>
      </c>
      <c r="IJ2248" t="s">
        <v>454</v>
      </c>
      <c r="IL2248">
        <v>60</v>
      </c>
      <c r="IM2248">
        <v>10125</v>
      </c>
      <c r="IN2248" t="s">
        <v>440</v>
      </c>
      <c r="IP2248" s="1">
        <v>41052</v>
      </c>
      <c r="IQ2248">
        <v>2011</v>
      </c>
      <c r="IR2248">
        <v>377.41</v>
      </c>
      <c r="IS2248" t="s">
        <v>21677</v>
      </c>
      <c r="IT2248">
        <v>16.5</v>
      </c>
      <c r="IU2248" t="s">
        <v>424</v>
      </c>
      <c r="IV2248" t="s">
        <v>454</v>
      </c>
      <c r="IX2248">
        <v>72</v>
      </c>
      <c r="IY2248">
        <v>10125</v>
      </c>
      <c r="IZ2248" t="s">
        <v>440</v>
      </c>
      <c r="JB2248" s="1">
        <v>40688</v>
      </c>
      <c r="JC2248">
        <v>2010</v>
      </c>
      <c r="JD2248">
        <v>368.49</v>
      </c>
      <c r="JE2248" t="s">
        <v>21678</v>
      </c>
      <c r="JF2248">
        <v>10</v>
      </c>
      <c r="JG2248" t="s">
        <v>424</v>
      </c>
      <c r="JH2248" t="s">
        <v>454</v>
      </c>
      <c r="JJ2248">
        <v>84</v>
      </c>
      <c r="JK2248">
        <v>10125</v>
      </c>
      <c r="JL2248" t="s">
        <v>440</v>
      </c>
    </row>
    <row r="2249" spans="1:284" x14ac:dyDescent="0.25">
      <c r="A2249">
        <v>16487256</v>
      </c>
      <c r="B2249">
        <v>2248</v>
      </c>
      <c r="C2249" t="s">
        <v>393</v>
      </c>
      <c r="D2249" t="s">
        <v>394</v>
      </c>
      <c r="F2249" t="str">
        <f>"00-00-31-1800-0216-05D0"</f>
        <v>00-00-31-1800-0216-05D0</v>
      </c>
      <c r="H2249" t="str">
        <f>"REMSON DOROTHY"</f>
        <v>REMSON DOROTHY</v>
      </c>
      <c r="I2249" t="str">
        <f>"102 W PALM CT"</f>
        <v>102 W PALM CT</v>
      </c>
      <c r="J2249" t="str">
        <f>"KINGSLAND GA 31548"</f>
        <v>KINGSLAND GA 31548</v>
      </c>
      <c r="K2249" t="str">
        <f>"DIVISION ST"</f>
        <v>DIVISION ST</v>
      </c>
      <c r="L2249" t="str">
        <f t="shared" si="826"/>
        <v>FERNANDINA BEACH FL 32034</v>
      </c>
      <c r="M2249" t="str">
        <f>"BLOCK 216 SUB D OF 5 IN OR 1540/1740 CITY OF FDNA BEACH"</f>
        <v>BLOCK 216 SUB D OF 5 IN OR 1540/1740 CITY OF FDNA BEACH</v>
      </c>
      <c r="N2249" t="str">
        <f>""</f>
        <v/>
      </c>
      <c r="O2249" t="str">
        <f>"12639"</f>
        <v>12639</v>
      </c>
      <c r="P2249" t="str">
        <f t="shared" si="840"/>
        <v>2017</v>
      </c>
      <c r="Q2249" t="str">
        <f>""</f>
        <v/>
      </c>
      <c r="R2249" t="str">
        <f t="shared" si="842"/>
        <v>N</v>
      </c>
      <c r="S2249" t="str">
        <f>""</f>
        <v/>
      </c>
      <c r="T2249" t="str">
        <f>"574.84"</f>
        <v>574.84</v>
      </c>
      <c r="U2249" t="str">
        <f>"27316.00"</f>
        <v>27316.00</v>
      </c>
      <c r="V2249" t="str">
        <f>"27316.00"</f>
        <v>27316.00</v>
      </c>
      <c r="W2249" t="str">
        <f t="shared" si="841"/>
        <v>2017</v>
      </c>
      <c r="X2249" t="str">
        <f>"16.00"</f>
        <v>16.00</v>
      </c>
      <c r="Y2249" t="str">
        <f>"624.09"</f>
        <v>624.09</v>
      </c>
      <c r="Z2249" t="str">
        <f>""</f>
        <v/>
      </c>
      <c r="AA2249" t="str">
        <f>"31927.00"</f>
        <v>31927.00</v>
      </c>
      <c r="AB2249" t="str">
        <f t="shared" si="837"/>
        <v>Residential</v>
      </c>
      <c r="AC2249" t="str">
        <f t="shared" si="829"/>
        <v>0</v>
      </c>
      <c r="AD2249" t="str">
        <f>""</f>
        <v/>
      </c>
      <c r="AE2249" t="str">
        <f>""</f>
        <v/>
      </c>
      <c r="AF2249" t="str">
        <f>"000"</f>
        <v>000</v>
      </c>
      <c r="AG2249" t="str">
        <f>"GA"</f>
        <v>GA</v>
      </c>
      <c r="AH2249" t="str">
        <f>"8600.00"</f>
        <v>8600.00</v>
      </c>
      <c r="AI2249" t="str">
        <f>"31927.00"</f>
        <v>31927.00</v>
      </c>
      <c r="AJ2249" t="str">
        <f>"C55-000-586-0050-3"</f>
        <v>C55-000-586-0050-3</v>
      </c>
      <c r="AK2249" t="str">
        <f>"49559"</f>
        <v>49559</v>
      </c>
      <c r="AL2249">
        <v>8</v>
      </c>
      <c r="AM2249">
        <v>2569</v>
      </c>
      <c r="AN2249">
        <v>653.69000000000005</v>
      </c>
      <c r="AQ2249" t="s">
        <v>21679</v>
      </c>
      <c r="AR2249" t="s">
        <v>21679</v>
      </c>
      <c r="AS2249" t="s">
        <v>21679</v>
      </c>
      <c r="AU2249" t="s">
        <v>396</v>
      </c>
      <c r="AV2249">
        <v>2017</v>
      </c>
      <c r="AW2249" t="str">
        <f>"00-00-31-1800-0216-05D0 "</f>
        <v xml:space="preserve">00-00-31-1800-0216-05D0 </v>
      </c>
      <c r="AZ2249" t="s">
        <v>21575</v>
      </c>
      <c r="BA2249" t="s">
        <v>1942</v>
      </c>
      <c r="BD2249" t="s">
        <v>11749</v>
      </c>
      <c r="BE2249" t="s">
        <v>393</v>
      </c>
      <c r="BF2249">
        <v>32034</v>
      </c>
      <c r="BG2249" t="s">
        <v>21576</v>
      </c>
      <c r="BH2249" t="s">
        <v>11751</v>
      </c>
      <c r="BI2249">
        <v>-81.456483332797205</v>
      </c>
      <c r="BJ2249">
        <v>30.665780580794198</v>
      </c>
      <c r="BK2249" t="s">
        <v>21680</v>
      </c>
      <c r="BM2249" t="s">
        <v>21681</v>
      </c>
      <c r="BN2249" t="s">
        <v>8960</v>
      </c>
      <c r="BO2249">
        <v>31558</v>
      </c>
      <c r="BP2249" t="s">
        <v>404</v>
      </c>
      <c r="BQ2249">
        <v>0</v>
      </c>
      <c r="BR2249" t="s">
        <v>491</v>
      </c>
      <c r="BS2249">
        <v>8001</v>
      </c>
      <c r="BT2249" t="s">
        <v>492</v>
      </c>
      <c r="BU2249">
        <v>860</v>
      </c>
      <c r="BV2249">
        <v>1000</v>
      </c>
      <c r="BW2249">
        <v>8729</v>
      </c>
      <c r="BX2249" t="s">
        <v>407</v>
      </c>
      <c r="BY2249" t="s">
        <v>18253</v>
      </c>
      <c r="CD2249">
        <v>2017</v>
      </c>
      <c r="CE2249">
        <v>31927</v>
      </c>
      <c r="CG2249">
        <v>31927</v>
      </c>
      <c r="CH2249">
        <v>2017</v>
      </c>
      <c r="CI2249">
        <v>31927</v>
      </c>
      <c r="CK2249">
        <v>31927</v>
      </c>
      <c r="CL2249">
        <v>2017</v>
      </c>
      <c r="CM2249">
        <v>574.84</v>
      </c>
      <c r="CN2249" s="1">
        <v>39429</v>
      </c>
      <c r="CZ2249" s="1">
        <v>39429</v>
      </c>
      <c r="DD2249" t="s">
        <v>11749</v>
      </c>
      <c r="DG2249">
        <v>23</v>
      </c>
      <c r="DJ2249" t="s">
        <v>20634</v>
      </c>
      <c r="DL2249">
        <v>50101</v>
      </c>
      <c r="DM2249" t="s">
        <v>20742</v>
      </c>
      <c r="DO2249" t="s">
        <v>21682</v>
      </c>
      <c r="DP2249">
        <v>0</v>
      </c>
      <c r="DQ2249">
        <v>0</v>
      </c>
      <c r="DR2249" t="s">
        <v>411</v>
      </c>
      <c r="DS2249" t="b">
        <v>1</v>
      </c>
      <c r="DT2249" t="s">
        <v>470</v>
      </c>
      <c r="DU2249" t="s">
        <v>471</v>
      </c>
      <c r="DV2249" t="s">
        <v>472</v>
      </c>
      <c r="DX2249">
        <v>-9999</v>
      </c>
      <c r="DZ2249" t="s">
        <v>447</v>
      </c>
      <c r="EA2249" t="s">
        <v>448</v>
      </c>
      <c r="EB2249" t="s">
        <v>14787</v>
      </c>
      <c r="EC2249">
        <v>20101217</v>
      </c>
      <c r="ED2249" t="s">
        <v>474</v>
      </c>
      <c r="EF2249">
        <v>1978.9</v>
      </c>
      <c r="EG2249">
        <v>1828.3</v>
      </c>
      <c r="EI2249">
        <v>20160407</v>
      </c>
      <c r="EJ2249">
        <v>0</v>
      </c>
      <c r="EK2249">
        <v>0</v>
      </c>
      <c r="EP2249" t="s">
        <v>421</v>
      </c>
      <c r="EQ2249" t="s">
        <v>452</v>
      </c>
      <c r="ER2249">
        <v>2</v>
      </c>
      <c r="ES2249">
        <v>3</v>
      </c>
      <c r="ET2249">
        <v>1124.21</v>
      </c>
      <c r="EU2249">
        <v>284.87</v>
      </c>
      <c r="EV2249">
        <v>1409.08</v>
      </c>
      <c r="EW2249" s="2">
        <v>43222</v>
      </c>
      <c r="EX2249" s="1">
        <v>42879</v>
      </c>
      <c r="EY2249">
        <v>2016</v>
      </c>
      <c r="EZ2249">
        <v>601.57000000000005</v>
      </c>
      <c r="FA2249" t="s">
        <v>21683</v>
      </c>
      <c r="FB2249">
        <v>14</v>
      </c>
      <c r="FC2249" t="s">
        <v>424</v>
      </c>
      <c r="FD2249" t="s">
        <v>454</v>
      </c>
      <c r="FF2249">
        <v>12</v>
      </c>
      <c r="FG2249">
        <v>10003</v>
      </c>
      <c r="FH2249" t="s">
        <v>4341</v>
      </c>
      <c r="FJ2249" s="1">
        <v>42515</v>
      </c>
      <c r="FK2249">
        <v>2015</v>
      </c>
      <c r="FL2249">
        <v>522.64</v>
      </c>
      <c r="FM2249" t="s">
        <v>21684</v>
      </c>
      <c r="FN2249">
        <v>18</v>
      </c>
      <c r="FO2249" t="s">
        <v>424</v>
      </c>
      <c r="FP2249" t="s">
        <v>454</v>
      </c>
      <c r="FR2249">
        <v>24</v>
      </c>
      <c r="FS2249">
        <v>10003</v>
      </c>
      <c r="FT2249" t="s">
        <v>4341</v>
      </c>
      <c r="FV2249" s="1">
        <v>42151</v>
      </c>
      <c r="FW2249">
        <v>2014</v>
      </c>
      <c r="FX2249">
        <v>526.22</v>
      </c>
      <c r="FY2249" t="s">
        <v>21685</v>
      </c>
      <c r="FZ2249">
        <v>15.5</v>
      </c>
      <c r="GA2249" t="s">
        <v>424</v>
      </c>
      <c r="GB2249" t="s">
        <v>425</v>
      </c>
      <c r="GC2249" s="1">
        <v>42908</v>
      </c>
      <c r="GD2249">
        <v>25</v>
      </c>
      <c r="GE2249">
        <v>10628</v>
      </c>
      <c r="GF2249" t="s">
        <v>943</v>
      </c>
      <c r="GH2249" s="1">
        <v>41787</v>
      </c>
      <c r="GI2249">
        <v>2013</v>
      </c>
      <c r="GJ2249">
        <v>508.95</v>
      </c>
      <c r="GK2249" t="s">
        <v>21686</v>
      </c>
      <c r="GL2249">
        <v>3</v>
      </c>
      <c r="GM2249" t="s">
        <v>424</v>
      </c>
      <c r="GN2249" t="s">
        <v>425</v>
      </c>
      <c r="GO2249" s="1">
        <v>42580</v>
      </c>
      <c r="GP2249">
        <v>26</v>
      </c>
      <c r="GQ2249">
        <v>10125</v>
      </c>
      <c r="GR2249" t="s">
        <v>440</v>
      </c>
      <c r="GT2249" s="1">
        <v>40688</v>
      </c>
      <c r="GU2249">
        <v>2010</v>
      </c>
      <c r="GV2249">
        <v>803.67</v>
      </c>
      <c r="GW2249" t="s">
        <v>21687</v>
      </c>
      <c r="GX2249">
        <v>7</v>
      </c>
      <c r="GY2249" t="s">
        <v>424</v>
      </c>
      <c r="GZ2249" t="s">
        <v>425</v>
      </c>
      <c r="HA2249" s="1">
        <v>41261</v>
      </c>
      <c r="HB2249">
        <v>19</v>
      </c>
      <c r="HC2249">
        <v>10579</v>
      </c>
      <c r="HD2249" t="s">
        <v>488</v>
      </c>
      <c r="HE2249" t="s">
        <v>458</v>
      </c>
    </row>
    <row r="2250" spans="1:284" x14ac:dyDescent="0.25">
      <c r="A2250">
        <v>16487257</v>
      </c>
      <c r="B2250">
        <v>2249</v>
      </c>
      <c r="C2250" t="s">
        <v>393</v>
      </c>
      <c r="D2250" t="s">
        <v>394</v>
      </c>
      <c r="F2250" t="str">
        <f>"00-00-31-1800-0216-08B0"</f>
        <v>00-00-31-1800-0216-08B0</v>
      </c>
      <c r="H2250" t="str">
        <f>"SOUTHERS REBECCA G EST &amp; BAILEY DAISEY M EST C/O JAMES &amp; ERNESTINE SOUTHERS"</f>
        <v>SOUTHERS REBECCA G EST &amp; BAILEY DAISEY M EST C/O JAMES &amp; ERNESTINE SOUTHERS</v>
      </c>
      <c r="I2250" t="str">
        <f>""</f>
        <v/>
      </c>
      <c r="J2250" t="str">
        <f>"FERNANDINA BEACH FL 32034"</f>
        <v>FERNANDINA BEACH FL 32034</v>
      </c>
      <c r="K2250" t="str">
        <f>"304 DIVISION ST"</f>
        <v>304 DIVISION ST</v>
      </c>
      <c r="L2250" t="str">
        <f t="shared" si="826"/>
        <v>FERNANDINA BEACH FL 32034</v>
      </c>
      <c r="M2250" t="str">
        <f>"BLOCK 216 SUB B OF 8 CITY OF FDNA BEACH"</f>
        <v>BLOCK 216 SUB B OF 8 CITY OF FDNA BEACH</v>
      </c>
      <c r="N2250" t="str">
        <f>""</f>
        <v/>
      </c>
      <c r="O2250" t="str">
        <f>"12649"</f>
        <v>12649</v>
      </c>
      <c r="P2250" t="str">
        <f t="shared" si="840"/>
        <v>2017</v>
      </c>
      <c r="Q2250" t="str">
        <f>""</f>
        <v/>
      </c>
      <c r="R2250" t="str">
        <f>"Y"</f>
        <v>Y</v>
      </c>
      <c r="S2250" t="str">
        <f>""</f>
        <v/>
      </c>
      <c r="T2250" t="str">
        <f>"470.87"</f>
        <v>470.87</v>
      </c>
      <c r="U2250" t="str">
        <f>"39807.00"</f>
        <v>39807.00</v>
      </c>
      <c r="V2250" t="str">
        <f>"39807.00"</f>
        <v>39807.00</v>
      </c>
      <c r="W2250" t="str">
        <f t="shared" si="841"/>
        <v>2017</v>
      </c>
      <c r="X2250" t="str">
        <f>"49.84"</f>
        <v>49.84</v>
      </c>
      <c r="Y2250" t="str">
        <f>"517.00"</f>
        <v>517.00</v>
      </c>
      <c r="Z2250" t="str">
        <f>"17239.00"</f>
        <v>17239.00</v>
      </c>
      <c r="AA2250" t="str">
        <f>"25764.00"</f>
        <v>25764.00</v>
      </c>
      <c r="AB2250" t="str">
        <f t="shared" si="837"/>
        <v>Residential</v>
      </c>
      <c r="AC2250" t="str">
        <f t="shared" si="829"/>
        <v>0</v>
      </c>
      <c r="AD2250" t="str">
        <f>"4"</f>
        <v>4</v>
      </c>
      <c r="AE2250" t="str">
        <f>"WOOD (INCLUDE STEEL STUDS)"</f>
        <v>WOOD (INCLUDE STEEL STUDS)</v>
      </c>
      <c r="AF2250" t="str">
        <f>"008"</f>
        <v>008</v>
      </c>
      <c r="AG2250" t="str">
        <f t="shared" ref="AG2250:AG2267" si="843">"FL"</f>
        <v>FL</v>
      </c>
      <c r="AH2250" t="str">
        <f>"5600.00"</f>
        <v>5600.00</v>
      </c>
      <c r="AI2250" t="str">
        <f>"27720.00"</f>
        <v>27720.00</v>
      </c>
      <c r="AJ2250" t="str">
        <f>"C55-000-586-0060-2"</f>
        <v>C55-000-586-0060-2</v>
      </c>
      <c r="AK2250" t="str">
        <f>"49569"</f>
        <v>49569</v>
      </c>
      <c r="AL2250">
        <v>8</v>
      </c>
      <c r="AM2250">
        <v>2570</v>
      </c>
      <c r="AN2250">
        <v>541.25</v>
      </c>
      <c r="AQ2250" t="s">
        <v>21688</v>
      </c>
      <c r="AR2250" t="s">
        <v>21688</v>
      </c>
      <c r="AS2250" t="s">
        <v>21688</v>
      </c>
      <c r="AU2250" t="s">
        <v>396</v>
      </c>
      <c r="AV2250">
        <v>2017</v>
      </c>
      <c r="AW2250" t="str">
        <f>"00-00-31-1800-0216-08B0 "</f>
        <v xml:space="preserve">00-00-31-1800-0216-08B0 </v>
      </c>
      <c r="AX2250">
        <v>304</v>
      </c>
      <c r="AZ2250" t="s">
        <v>21575</v>
      </c>
      <c r="BA2250" t="s">
        <v>1942</v>
      </c>
      <c r="BD2250" t="s">
        <v>11749</v>
      </c>
      <c r="BE2250" t="s">
        <v>393</v>
      </c>
      <c r="BF2250">
        <v>32034</v>
      </c>
      <c r="BG2250" t="s">
        <v>21689</v>
      </c>
      <c r="BH2250" t="s">
        <v>11751</v>
      </c>
      <c r="BI2250">
        <v>-81.455874440216107</v>
      </c>
      <c r="BJ2250">
        <v>30.666380721482199</v>
      </c>
      <c r="BK2250" t="s">
        <v>21690</v>
      </c>
      <c r="BM2250" t="s">
        <v>21689</v>
      </c>
      <c r="BN2250" t="s">
        <v>3983</v>
      </c>
      <c r="BO2250">
        <v>32034</v>
      </c>
      <c r="BP2250" t="s">
        <v>416</v>
      </c>
      <c r="BQ2250">
        <v>800</v>
      </c>
      <c r="BR2250" t="s">
        <v>5126</v>
      </c>
      <c r="BS2250">
        <v>1110</v>
      </c>
      <c r="BT2250" t="s">
        <v>5127</v>
      </c>
      <c r="BU2250">
        <v>560</v>
      </c>
      <c r="BV2250">
        <v>1000</v>
      </c>
      <c r="BW2250">
        <v>5383</v>
      </c>
      <c r="BX2250" t="s">
        <v>407</v>
      </c>
      <c r="BY2250" t="s">
        <v>18253</v>
      </c>
      <c r="BZ2250">
        <v>4</v>
      </c>
      <c r="CA2250">
        <v>1930</v>
      </c>
      <c r="CB2250">
        <v>1.5</v>
      </c>
      <c r="CC2250">
        <v>1</v>
      </c>
      <c r="CD2250">
        <v>2017</v>
      </c>
      <c r="CG2250">
        <v>43003</v>
      </c>
      <c r="CH2250">
        <v>2017</v>
      </c>
      <c r="CI2250">
        <v>27720</v>
      </c>
      <c r="CJ2250">
        <v>23811</v>
      </c>
      <c r="CK2250">
        <v>51531</v>
      </c>
      <c r="CL2250">
        <v>2017</v>
      </c>
      <c r="CM2250">
        <v>470.87</v>
      </c>
      <c r="DD2250" t="s">
        <v>11749</v>
      </c>
      <c r="DG2250">
        <v>23</v>
      </c>
      <c r="DJ2250" t="s">
        <v>20634</v>
      </c>
      <c r="DL2250">
        <v>50101</v>
      </c>
      <c r="DM2250" t="s">
        <v>20742</v>
      </c>
      <c r="DO2250" t="s">
        <v>21691</v>
      </c>
      <c r="DP2250">
        <v>0</v>
      </c>
      <c r="DQ2250">
        <v>0</v>
      </c>
      <c r="DR2250" t="s">
        <v>411</v>
      </c>
      <c r="DS2250" t="b">
        <v>1</v>
      </c>
      <c r="DT2250" t="s">
        <v>470</v>
      </c>
      <c r="DU2250" t="s">
        <v>471</v>
      </c>
      <c r="DV2250" t="s">
        <v>472</v>
      </c>
      <c r="DX2250">
        <v>-9999</v>
      </c>
      <c r="DZ2250" t="s">
        <v>447</v>
      </c>
      <c r="EA2250" t="s">
        <v>448</v>
      </c>
      <c r="EB2250" t="s">
        <v>14787</v>
      </c>
      <c r="EC2250">
        <v>20101217</v>
      </c>
      <c r="ED2250" t="s">
        <v>474</v>
      </c>
      <c r="EF2250">
        <v>2127.1999999999998</v>
      </c>
      <c r="EG2250">
        <v>1776.9</v>
      </c>
      <c r="EI2250">
        <v>20160407</v>
      </c>
      <c r="EJ2250">
        <v>0</v>
      </c>
      <c r="EK2250">
        <v>0</v>
      </c>
      <c r="EP2250" t="s">
        <v>421</v>
      </c>
      <c r="EQ2250" t="s">
        <v>422</v>
      </c>
      <c r="ER2250">
        <v>2</v>
      </c>
      <c r="ES2250">
        <v>7</v>
      </c>
      <c r="ET2250">
        <v>997</v>
      </c>
      <c r="EU2250">
        <v>62.35</v>
      </c>
      <c r="EV2250">
        <v>1059.3499999999999</v>
      </c>
      <c r="EW2250" s="2">
        <v>43222</v>
      </c>
      <c r="EX2250" s="1">
        <v>42879</v>
      </c>
      <c r="EY2250">
        <v>2016</v>
      </c>
      <c r="EZ2250">
        <v>498.5</v>
      </c>
      <c r="FA2250" t="s">
        <v>21692</v>
      </c>
      <c r="FB2250">
        <v>0.25</v>
      </c>
      <c r="FC2250" t="s">
        <v>424</v>
      </c>
      <c r="FD2250" t="s">
        <v>454</v>
      </c>
      <c r="FF2250">
        <v>12</v>
      </c>
      <c r="FG2250">
        <v>2851116</v>
      </c>
      <c r="FH2250" t="s">
        <v>480</v>
      </c>
      <c r="FJ2250" s="1">
        <v>42879</v>
      </c>
      <c r="FK2250">
        <v>2016</v>
      </c>
      <c r="FL2250">
        <v>498.5</v>
      </c>
      <c r="FM2250" t="s">
        <v>21692</v>
      </c>
      <c r="FN2250">
        <v>0.25</v>
      </c>
      <c r="FO2250" t="s">
        <v>424</v>
      </c>
      <c r="FP2250" t="s">
        <v>454</v>
      </c>
      <c r="FR2250">
        <v>12</v>
      </c>
      <c r="FS2250">
        <v>5425651</v>
      </c>
      <c r="FT2250" t="s">
        <v>21693</v>
      </c>
      <c r="FV2250" s="1">
        <v>42515</v>
      </c>
      <c r="FW2250">
        <v>2015</v>
      </c>
      <c r="FX2250">
        <v>435.63</v>
      </c>
      <c r="FY2250" t="s">
        <v>21694</v>
      </c>
      <c r="FZ2250">
        <v>14.75</v>
      </c>
      <c r="GA2250" t="s">
        <v>424</v>
      </c>
      <c r="GB2250" t="s">
        <v>425</v>
      </c>
      <c r="GC2250" s="1">
        <v>43158</v>
      </c>
      <c r="GD2250">
        <v>21</v>
      </c>
      <c r="GE2250">
        <v>10125</v>
      </c>
      <c r="GF2250" t="s">
        <v>440</v>
      </c>
      <c r="GH2250" s="1">
        <v>42151</v>
      </c>
      <c r="GI2250">
        <v>2014</v>
      </c>
      <c r="GJ2250">
        <v>430.21</v>
      </c>
      <c r="GK2250" t="s">
        <v>21695</v>
      </c>
      <c r="GL2250">
        <v>0.25</v>
      </c>
      <c r="GM2250" t="s">
        <v>424</v>
      </c>
      <c r="GN2250" t="s">
        <v>425</v>
      </c>
      <c r="GP2250">
        <v>22</v>
      </c>
      <c r="GQ2250">
        <v>15399</v>
      </c>
      <c r="GR2250" t="s">
        <v>485</v>
      </c>
      <c r="GT2250" s="1">
        <v>42151</v>
      </c>
      <c r="GU2250">
        <v>2014</v>
      </c>
      <c r="GV2250">
        <v>430.21</v>
      </c>
      <c r="GW2250" t="s">
        <v>21695</v>
      </c>
      <c r="GX2250">
        <v>0.25</v>
      </c>
      <c r="GY2250" t="s">
        <v>424</v>
      </c>
      <c r="GZ2250" t="s">
        <v>425</v>
      </c>
      <c r="HB2250">
        <v>22</v>
      </c>
      <c r="HC2250">
        <v>7336692</v>
      </c>
      <c r="HD2250" t="s">
        <v>822</v>
      </c>
      <c r="HF2250" s="1">
        <v>42151</v>
      </c>
      <c r="HG2250">
        <v>2014</v>
      </c>
      <c r="HH2250">
        <v>430.21</v>
      </c>
      <c r="HI2250" t="s">
        <v>21695</v>
      </c>
      <c r="HJ2250">
        <v>0.25</v>
      </c>
      <c r="HK2250" t="s">
        <v>424</v>
      </c>
      <c r="HL2250" t="s">
        <v>425</v>
      </c>
      <c r="HM2250" s="1">
        <v>42793</v>
      </c>
      <c r="HN2250">
        <v>21</v>
      </c>
      <c r="HO2250">
        <v>7336698</v>
      </c>
      <c r="HP2250" t="s">
        <v>823</v>
      </c>
      <c r="HR2250" s="1">
        <v>41787</v>
      </c>
      <c r="HS2250">
        <v>2013</v>
      </c>
      <c r="HT2250">
        <v>375.45</v>
      </c>
      <c r="HU2250" t="s">
        <v>21696</v>
      </c>
      <c r="HV2250">
        <v>0.25</v>
      </c>
      <c r="HW2250" t="s">
        <v>424</v>
      </c>
      <c r="HX2250" t="s">
        <v>425</v>
      </c>
      <c r="HY2250" s="1">
        <v>42429</v>
      </c>
      <c r="HZ2250">
        <v>21</v>
      </c>
      <c r="IA2250">
        <v>10125</v>
      </c>
      <c r="IB2250" t="s">
        <v>440</v>
      </c>
      <c r="ID2250" s="1">
        <v>41423</v>
      </c>
      <c r="IE2250">
        <v>2012</v>
      </c>
      <c r="IF2250">
        <v>406.93</v>
      </c>
      <c r="IG2250" t="s">
        <v>21697</v>
      </c>
      <c r="IH2250">
        <v>0.25</v>
      </c>
      <c r="II2250" t="s">
        <v>424</v>
      </c>
      <c r="IJ2250" t="s">
        <v>425</v>
      </c>
      <c r="IK2250" s="1">
        <v>42095</v>
      </c>
      <c r="IL2250">
        <v>23</v>
      </c>
      <c r="IM2250">
        <v>10562</v>
      </c>
      <c r="IN2250" t="s">
        <v>713</v>
      </c>
      <c r="IP2250" s="1">
        <v>41052</v>
      </c>
      <c r="IQ2250">
        <v>2011</v>
      </c>
      <c r="IR2250">
        <v>520.77</v>
      </c>
      <c r="IS2250" t="s">
        <v>21698</v>
      </c>
      <c r="IT2250">
        <v>5.25</v>
      </c>
      <c r="IU2250" t="s">
        <v>424</v>
      </c>
      <c r="IV2250" t="s">
        <v>425</v>
      </c>
      <c r="IW2250" s="1">
        <v>41694</v>
      </c>
      <c r="IX2250">
        <v>21</v>
      </c>
      <c r="IY2250">
        <v>10125</v>
      </c>
      <c r="IZ2250" t="s">
        <v>440</v>
      </c>
    </row>
    <row r="2251" spans="1:284" x14ac:dyDescent="0.25">
      <c r="A2251">
        <v>16487258</v>
      </c>
      <c r="B2251">
        <v>2250</v>
      </c>
      <c r="C2251" t="s">
        <v>393</v>
      </c>
      <c r="D2251" t="s">
        <v>394</v>
      </c>
      <c r="F2251" t="str">
        <f>"00-00-31-1800-0230-01A0"</f>
        <v>00-00-31-1800-0230-01A0</v>
      </c>
      <c r="H2251" t="str">
        <f>"THE AMERICAN LEGION POST 174"</f>
        <v>THE AMERICAN LEGION POST 174</v>
      </c>
      <c r="I2251" t="str">
        <f>"PO BOX 15704"</f>
        <v>PO BOX 15704</v>
      </c>
      <c r="J2251" t="str">
        <f>"FERNANDINA BEACH FL 32035"</f>
        <v>FERNANDINA BEACH FL 32035</v>
      </c>
      <c r="K2251" t="str">
        <f>"200 S 12TH ST"</f>
        <v>200 S 12TH ST</v>
      </c>
      <c r="L2251" t="str">
        <f t="shared" si="826"/>
        <v>FERNANDINA BEACH FL 32034</v>
      </c>
      <c r="M2251" t="str">
        <f>"BLOCK 230 SUB A &amp; B OF 1 IN OR 1659/1505 CITY OF FDNA BEACH"</f>
        <v>BLOCK 230 SUB A &amp; B OF 1 IN OR 1659/1505 CITY OF FDNA BEACH</v>
      </c>
      <c r="N2251" t="str">
        <f>""</f>
        <v/>
      </c>
      <c r="O2251" t="str">
        <f>"12691"</f>
        <v>12691</v>
      </c>
      <c r="P2251" t="str">
        <f t="shared" si="840"/>
        <v>2017</v>
      </c>
      <c r="Q2251" t="str">
        <f>""</f>
        <v/>
      </c>
      <c r="R2251" t="str">
        <f>"N"</f>
        <v>N</v>
      </c>
      <c r="S2251" t="str">
        <f>""</f>
        <v/>
      </c>
      <c r="T2251" t="str">
        <f>"1314.53"</f>
        <v>1314.53</v>
      </c>
      <c r="U2251" t="str">
        <f>"65955.00"</f>
        <v>65955.00</v>
      </c>
      <c r="V2251" t="str">
        <f>"65955.00"</f>
        <v>65955.00</v>
      </c>
      <c r="W2251" t="str">
        <f t="shared" si="841"/>
        <v>2017</v>
      </c>
      <c r="X2251" t="str">
        <f>"15.60"</f>
        <v>15.60</v>
      </c>
      <c r="Y2251" t="str">
        <f>"1385.97"</f>
        <v>1385.97</v>
      </c>
      <c r="Z2251" t="str">
        <f>""</f>
        <v/>
      </c>
      <c r="AA2251" t="str">
        <f>"65955.00"</f>
        <v>65955.00</v>
      </c>
      <c r="AB2251" t="str">
        <f>"Institutional"</f>
        <v>Institutional</v>
      </c>
      <c r="AC2251" t="str">
        <f t="shared" si="829"/>
        <v>0</v>
      </c>
      <c r="AD2251" t="str">
        <f>""</f>
        <v/>
      </c>
      <c r="AE2251" t="str">
        <f>""</f>
        <v/>
      </c>
      <c r="AF2251" t="str">
        <f>"070"</f>
        <v>070</v>
      </c>
      <c r="AG2251" t="str">
        <f t="shared" si="843"/>
        <v>FL</v>
      </c>
      <c r="AH2251" t="str">
        <f>"17200.00"</f>
        <v>17200.00</v>
      </c>
      <c r="AI2251" t="str">
        <f>"65100.00"</f>
        <v>65100.00</v>
      </c>
      <c r="AJ2251" t="str">
        <f>"C55-000-586-0102-2"</f>
        <v>C55-000-586-0102-2</v>
      </c>
      <c r="AK2251" t="str">
        <f>"49613"</f>
        <v>49613</v>
      </c>
      <c r="AL2251">
        <v>8</v>
      </c>
      <c r="AM2251">
        <v>2571</v>
      </c>
      <c r="AN2251">
        <v>1453.67</v>
      </c>
      <c r="AQ2251" t="s">
        <v>21699</v>
      </c>
      <c r="AR2251" t="s">
        <v>21699</v>
      </c>
      <c r="AS2251" t="s">
        <v>21699</v>
      </c>
      <c r="AU2251" t="s">
        <v>396</v>
      </c>
      <c r="AV2251">
        <v>2017</v>
      </c>
      <c r="AW2251" t="str">
        <f>"00-00-31-1800-0230-01A0 "</f>
        <v xml:space="preserve">00-00-31-1800-0230-01A0 </v>
      </c>
      <c r="AX2251">
        <v>200</v>
      </c>
      <c r="AY2251" t="s">
        <v>18674</v>
      </c>
      <c r="AZ2251" t="s">
        <v>5203</v>
      </c>
      <c r="BA2251" t="s">
        <v>1942</v>
      </c>
      <c r="BD2251" t="s">
        <v>11749</v>
      </c>
      <c r="BE2251" t="s">
        <v>393</v>
      </c>
      <c r="BF2251">
        <v>32034</v>
      </c>
      <c r="BG2251" t="s">
        <v>21700</v>
      </c>
      <c r="BH2251" t="s">
        <v>11751</v>
      </c>
      <c r="BI2251">
        <v>-81.454885386691899</v>
      </c>
      <c r="BJ2251">
        <v>30.6673808659584</v>
      </c>
      <c r="BK2251" t="s">
        <v>21701</v>
      </c>
      <c r="BM2251" t="s">
        <v>21702</v>
      </c>
      <c r="BN2251" t="s">
        <v>2536</v>
      </c>
      <c r="BO2251">
        <v>32854</v>
      </c>
      <c r="BP2251" t="s">
        <v>404</v>
      </c>
      <c r="BQ2251">
        <v>7001</v>
      </c>
      <c r="BR2251" t="s">
        <v>15582</v>
      </c>
      <c r="BS2251">
        <v>8005</v>
      </c>
      <c r="BT2251" t="s">
        <v>15583</v>
      </c>
      <c r="BW2251">
        <v>17199</v>
      </c>
      <c r="BX2251" t="s">
        <v>407</v>
      </c>
      <c r="BY2251" t="s">
        <v>18253</v>
      </c>
      <c r="CD2251">
        <v>2017</v>
      </c>
      <c r="CE2251">
        <v>65100</v>
      </c>
      <c r="CF2251">
        <v>855</v>
      </c>
      <c r="CG2251">
        <v>65955</v>
      </c>
      <c r="CH2251">
        <v>2017</v>
      </c>
      <c r="CI2251">
        <v>65100</v>
      </c>
      <c r="CJ2251">
        <v>855</v>
      </c>
      <c r="CK2251">
        <v>65955</v>
      </c>
      <c r="CL2251">
        <v>2017</v>
      </c>
      <c r="CM2251">
        <v>1314.53</v>
      </c>
      <c r="CN2251" s="1">
        <v>40198</v>
      </c>
      <c r="CZ2251" s="1">
        <v>40198</v>
      </c>
      <c r="DD2251" t="s">
        <v>11749</v>
      </c>
      <c r="DG2251">
        <v>23</v>
      </c>
      <c r="DL2251">
        <v>50101</v>
      </c>
      <c r="DM2251" t="s">
        <v>20742</v>
      </c>
      <c r="DO2251" t="s">
        <v>21703</v>
      </c>
      <c r="DP2251">
        <v>0</v>
      </c>
      <c r="DQ2251">
        <v>0</v>
      </c>
      <c r="DR2251" t="s">
        <v>411</v>
      </c>
      <c r="DS2251" t="b">
        <v>1</v>
      </c>
      <c r="DT2251" t="s">
        <v>470</v>
      </c>
      <c r="DU2251" t="s">
        <v>471</v>
      </c>
      <c r="DV2251" t="s">
        <v>472</v>
      </c>
      <c r="DX2251">
        <v>-9999</v>
      </c>
      <c r="DZ2251" t="s">
        <v>447</v>
      </c>
      <c r="EA2251" t="s">
        <v>448</v>
      </c>
      <c r="EB2251" t="s">
        <v>14787</v>
      </c>
      <c r="EC2251">
        <v>20101217</v>
      </c>
      <c r="ED2251" t="s">
        <v>474</v>
      </c>
      <c r="EF2251">
        <v>1791.5</v>
      </c>
      <c r="EG2251">
        <v>1576.1</v>
      </c>
      <c r="EI2251">
        <v>20160407</v>
      </c>
      <c r="EJ2251">
        <v>0</v>
      </c>
      <c r="EK2251">
        <v>0</v>
      </c>
      <c r="EP2251" t="s">
        <v>421</v>
      </c>
      <c r="EQ2251" t="s">
        <v>452</v>
      </c>
      <c r="ER2251">
        <v>0</v>
      </c>
      <c r="ES2251">
        <v>5</v>
      </c>
      <c r="ET2251">
        <v>0</v>
      </c>
      <c r="EU2251">
        <v>0</v>
      </c>
      <c r="EV2251">
        <v>0</v>
      </c>
      <c r="EW2251" s="2">
        <v>43222</v>
      </c>
      <c r="EX2251" s="1">
        <v>42515</v>
      </c>
      <c r="EY2251">
        <v>2015</v>
      </c>
      <c r="EZ2251">
        <v>1251.31</v>
      </c>
      <c r="FA2251" t="s">
        <v>21704</v>
      </c>
      <c r="FB2251">
        <v>0.25</v>
      </c>
      <c r="FC2251" t="s">
        <v>424</v>
      </c>
      <c r="FD2251" t="s">
        <v>425</v>
      </c>
      <c r="FE2251" s="1">
        <v>42704</v>
      </c>
      <c r="FF2251">
        <v>6</v>
      </c>
      <c r="FG2251">
        <v>2035919</v>
      </c>
      <c r="FH2251" t="s">
        <v>507</v>
      </c>
      <c r="FJ2251" s="1">
        <v>42151</v>
      </c>
      <c r="FK2251">
        <v>2014</v>
      </c>
      <c r="FL2251">
        <v>1260.0899999999999</v>
      </c>
      <c r="FM2251" t="s">
        <v>21705</v>
      </c>
      <c r="FN2251">
        <v>18</v>
      </c>
      <c r="FO2251" t="s">
        <v>424</v>
      </c>
      <c r="FP2251" t="s">
        <v>425</v>
      </c>
      <c r="FQ2251" s="1">
        <v>42256</v>
      </c>
      <c r="FR2251">
        <v>4</v>
      </c>
      <c r="FS2251">
        <v>7045027</v>
      </c>
      <c r="FT2251" t="s">
        <v>16141</v>
      </c>
      <c r="FU2251" t="s">
        <v>458</v>
      </c>
      <c r="FV2251" s="1">
        <v>41787</v>
      </c>
      <c r="FW2251">
        <v>2013</v>
      </c>
      <c r="FX2251">
        <v>1217.6199999999999</v>
      </c>
      <c r="FY2251" t="s">
        <v>21706</v>
      </c>
      <c r="FZ2251">
        <v>9.5</v>
      </c>
      <c r="GA2251" t="s">
        <v>424</v>
      </c>
      <c r="GB2251" t="s">
        <v>425</v>
      </c>
      <c r="GD2251">
        <v>22</v>
      </c>
      <c r="GE2251">
        <v>10125</v>
      </c>
      <c r="GF2251" t="s">
        <v>440</v>
      </c>
      <c r="GG2251" t="s">
        <v>458</v>
      </c>
      <c r="GH2251" s="1">
        <v>41423</v>
      </c>
      <c r="GI2251">
        <v>2012</v>
      </c>
      <c r="GJ2251">
        <v>1216.24</v>
      </c>
      <c r="GK2251" t="s">
        <v>21707</v>
      </c>
      <c r="GL2251">
        <v>2.75</v>
      </c>
      <c r="GM2251" t="s">
        <v>424</v>
      </c>
      <c r="GN2251" t="s">
        <v>425</v>
      </c>
      <c r="GP2251">
        <v>22</v>
      </c>
      <c r="GQ2251">
        <v>10125</v>
      </c>
      <c r="GR2251" t="s">
        <v>440</v>
      </c>
      <c r="GS2251" t="s">
        <v>458</v>
      </c>
      <c r="GT2251" s="1">
        <v>41052</v>
      </c>
      <c r="GU2251">
        <v>2011</v>
      </c>
      <c r="GV2251">
        <v>1800.11</v>
      </c>
      <c r="GW2251" t="s">
        <v>21708</v>
      </c>
      <c r="GX2251">
        <v>7</v>
      </c>
      <c r="GY2251" t="s">
        <v>424</v>
      </c>
      <c r="GZ2251" t="s">
        <v>425</v>
      </c>
      <c r="HA2251" s="1">
        <v>41782</v>
      </c>
      <c r="HB2251">
        <v>24</v>
      </c>
      <c r="HC2251">
        <v>10125</v>
      </c>
      <c r="HD2251" t="s">
        <v>440</v>
      </c>
    </row>
    <row r="2252" spans="1:284" x14ac:dyDescent="0.25">
      <c r="A2252">
        <v>16487259</v>
      </c>
      <c r="B2252">
        <v>2251</v>
      </c>
      <c r="C2252" t="s">
        <v>393</v>
      </c>
      <c r="D2252" t="s">
        <v>394</v>
      </c>
      <c r="F2252" t="str">
        <f>"00-00-31-1800-0230-03A0"</f>
        <v>00-00-31-1800-0230-03A0</v>
      </c>
      <c r="H2252" t="str">
        <f>"HARRIS CHARLES E JR"</f>
        <v>HARRIS CHARLES E JR</v>
      </c>
      <c r="I2252" t="str">
        <f>"1280 NW 58TH TERRACE"</f>
        <v>1280 NW 58TH TERRACE</v>
      </c>
      <c r="J2252" t="str">
        <f>"SUNRISE FL 33313"</f>
        <v>SUNRISE FL 33313</v>
      </c>
      <c r="K2252" t="str">
        <f>"S 12TH ST"</f>
        <v>S 12TH ST</v>
      </c>
      <c r="L2252" t="str">
        <f t="shared" si="826"/>
        <v>FERNANDINA BEACH FL 32034</v>
      </c>
      <c r="M2252" t="str">
        <f>"BLOCK 230 SUB A OF LOT 3 IN OR 2094/1268 CITY OF FDNA BCH"</f>
        <v>BLOCK 230 SUB A OF LOT 3 IN OR 2094/1268 CITY OF FDNA BCH</v>
      </c>
      <c r="N2252" t="str">
        <f>""</f>
        <v/>
      </c>
      <c r="O2252" t="str">
        <f>"12698"</f>
        <v>12698</v>
      </c>
      <c r="P2252" t="str">
        <f t="shared" si="840"/>
        <v>2017</v>
      </c>
      <c r="Q2252" t="str">
        <f>""</f>
        <v/>
      </c>
      <c r="R2252" t="str">
        <f>"N"</f>
        <v>N</v>
      </c>
      <c r="S2252" t="str">
        <f>""</f>
        <v/>
      </c>
      <c r="T2252" t="str">
        <f>"552.47"</f>
        <v>552.47</v>
      </c>
      <c r="U2252" t="str">
        <f>"27720.00"</f>
        <v>27720.00</v>
      </c>
      <c r="V2252" t="str">
        <f>"27720.00"</f>
        <v>27720.00</v>
      </c>
      <c r="W2252" t="str">
        <f t="shared" si="841"/>
        <v>2017</v>
      </c>
      <c r="X2252" t="str">
        <f>"19.88"</f>
        <v>19.88</v>
      </c>
      <c r="Y2252" t="str">
        <f>"601.04"</f>
        <v>601.04</v>
      </c>
      <c r="Z2252" t="str">
        <f>""</f>
        <v/>
      </c>
      <c r="AA2252" t="str">
        <f>"27720.00"</f>
        <v>27720.00</v>
      </c>
      <c r="AB2252" t="str">
        <f t="shared" ref="AB2252:AB2267" si="844">"Residential"</f>
        <v>Residential</v>
      </c>
      <c r="AC2252" t="str">
        <f t="shared" si="829"/>
        <v>0</v>
      </c>
      <c r="AD2252" t="str">
        <f>""</f>
        <v/>
      </c>
      <c r="AE2252" t="str">
        <f>""</f>
        <v/>
      </c>
      <c r="AF2252" t="str">
        <f>"000"</f>
        <v>000</v>
      </c>
      <c r="AG2252" t="str">
        <f t="shared" si="843"/>
        <v>FL</v>
      </c>
      <c r="AH2252" t="str">
        <f>"5600.00"</f>
        <v>5600.00</v>
      </c>
      <c r="AI2252" t="str">
        <f>"27720.00"</f>
        <v>27720.00</v>
      </c>
      <c r="AJ2252" t="str">
        <f>"C55-000-586-0109-7"</f>
        <v>C55-000-586-0109-7</v>
      </c>
      <c r="AK2252" t="str">
        <f>"49620"</f>
        <v>49620</v>
      </c>
      <c r="AL2252">
        <v>8</v>
      </c>
      <c r="AM2252">
        <v>2572</v>
      </c>
      <c r="AN2252">
        <v>629.49</v>
      </c>
      <c r="AQ2252" t="s">
        <v>21709</v>
      </c>
      <c r="AR2252" t="s">
        <v>21709</v>
      </c>
      <c r="AS2252" t="s">
        <v>21709</v>
      </c>
      <c r="AU2252" t="s">
        <v>396</v>
      </c>
      <c r="AV2252">
        <v>2017</v>
      </c>
      <c r="AW2252" t="str">
        <f>"00-00-31-1800-0230-03A0 "</f>
        <v xml:space="preserve">00-00-31-1800-0230-03A0 </v>
      </c>
      <c r="AY2252" t="s">
        <v>18674</v>
      </c>
      <c r="AZ2252" t="s">
        <v>5203</v>
      </c>
      <c r="BA2252" t="s">
        <v>1942</v>
      </c>
      <c r="BD2252" t="s">
        <v>11749</v>
      </c>
      <c r="BE2252" t="s">
        <v>393</v>
      </c>
      <c r="BF2252">
        <v>32034</v>
      </c>
      <c r="BG2252" t="s">
        <v>21710</v>
      </c>
      <c r="BH2252" t="s">
        <v>11751</v>
      </c>
      <c r="BI2252">
        <v>-81.455006289879705</v>
      </c>
      <c r="BJ2252">
        <v>30.666600847179101</v>
      </c>
      <c r="BK2252" t="s">
        <v>20780</v>
      </c>
      <c r="BM2252" t="s">
        <v>21711</v>
      </c>
      <c r="BN2252" t="s">
        <v>18891</v>
      </c>
      <c r="BO2252">
        <v>33313</v>
      </c>
      <c r="BP2252" t="s">
        <v>404</v>
      </c>
      <c r="BQ2252">
        <v>0</v>
      </c>
      <c r="BR2252" t="s">
        <v>491</v>
      </c>
      <c r="BS2252">
        <v>8001</v>
      </c>
      <c r="BT2252" t="s">
        <v>492</v>
      </c>
      <c r="BU2252">
        <v>560</v>
      </c>
      <c r="BV2252">
        <v>1000</v>
      </c>
      <c r="BW2252">
        <v>5648</v>
      </c>
      <c r="BX2252" t="s">
        <v>407</v>
      </c>
      <c r="BY2252" t="s">
        <v>18253</v>
      </c>
      <c r="CD2252">
        <v>2017</v>
      </c>
      <c r="CE2252">
        <v>27720</v>
      </c>
      <c r="CG2252">
        <v>27720</v>
      </c>
      <c r="CH2252">
        <v>2017</v>
      </c>
      <c r="CI2252">
        <v>27720</v>
      </c>
      <c r="CK2252">
        <v>27720</v>
      </c>
      <c r="CL2252">
        <v>2017</v>
      </c>
      <c r="CM2252">
        <v>552.47</v>
      </c>
      <c r="CN2252" s="1">
        <v>35184</v>
      </c>
      <c r="CZ2252" s="1">
        <v>35184</v>
      </c>
      <c r="DD2252" t="s">
        <v>11749</v>
      </c>
      <c r="DF2252">
        <v>3</v>
      </c>
      <c r="DG2252">
        <v>23</v>
      </c>
      <c r="DL2252">
        <v>50101</v>
      </c>
      <c r="DM2252" t="s">
        <v>20742</v>
      </c>
      <c r="DO2252" t="s">
        <v>21712</v>
      </c>
      <c r="DP2252">
        <v>0</v>
      </c>
      <c r="DQ2252">
        <v>0</v>
      </c>
      <c r="DR2252" t="s">
        <v>411</v>
      </c>
      <c r="DS2252" t="b">
        <v>1</v>
      </c>
      <c r="DT2252" t="s">
        <v>470</v>
      </c>
      <c r="DU2252" t="s">
        <v>471</v>
      </c>
      <c r="DV2252" t="s">
        <v>472</v>
      </c>
      <c r="DX2252">
        <v>-9999</v>
      </c>
      <c r="DZ2252" t="s">
        <v>447</v>
      </c>
      <c r="EA2252" t="s">
        <v>448</v>
      </c>
      <c r="EB2252" t="s">
        <v>14787</v>
      </c>
      <c r="EC2252">
        <v>20101217</v>
      </c>
      <c r="ED2252" t="s">
        <v>474</v>
      </c>
      <c r="EF2252">
        <v>2077.1</v>
      </c>
      <c r="EG2252">
        <v>1804.8</v>
      </c>
      <c r="EI2252">
        <v>20160407</v>
      </c>
      <c r="EJ2252">
        <v>0</v>
      </c>
      <c r="EK2252">
        <v>0</v>
      </c>
      <c r="EP2252" t="s">
        <v>421</v>
      </c>
      <c r="EQ2252" t="s">
        <v>452</v>
      </c>
      <c r="ER2252">
        <v>1</v>
      </c>
      <c r="ES2252">
        <v>5</v>
      </c>
      <c r="ET2252">
        <v>525.83000000000004</v>
      </c>
      <c r="EU2252">
        <v>53.57</v>
      </c>
      <c r="EV2252">
        <v>579.4</v>
      </c>
      <c r="EW2252" s="2">
        <v>43222</v>
      </c>
      <c r="EX2252" s="1">
        <v>42879</v>
      </c>
      <c r="EY2252">
        <v>2016</v>
      </c>
      <c r="EZ2252">
        <v>525.83000000000004</v>
      </c>
      <c r="FA2252" t="s">
        <v>21713</v>
      </c>
      <c r="FB2252">
        <v>9</v>
      </c>
      <c r="FC2252" t="s">
        <v>424</v>
      </c>
      <c r="FD2252" t="s">
        <v>454</v>
      </c>
      <c r="FF2252">
        <v>12</v>
      </c>
      <c r="FG2252">
        <v>10003</v>
      </c>
      <c r="FH2252" t="s">
        <v>4341</v>
      </c>
      <c r="FJ2252" s="1">
        <v>42515</v>
      </c>
      <c r="FK2252">
        <v>2015</v>
      </c>
      <c r="FL2252">
        <v>456.69</v>
      </c>
      <c r="FM2252" t="s">
        <v>21714</v>
      </c>
      <c r="FN2252">
        <v>14.75</v>
      </c>
      <c r="FO2252" t="s">
        <v>424</v>
      </c>
      <c r="FP2252" t="s">
        <v>425</v>
      </c>
      <c r="FQ2252" s="1">
        <v>43188</v>
      </c>
      <c r="FR2252">
        <v>22</v>
      </c>
      <c r="FS2252">
        <v>10003</v>
      </c>
      <c r="FT2252" t="s">
        <v>4341</v>
      </c>
      <c r="FV2252" s="1">
        <v>42151</v>
      </c>
      <c r="FW2252">
        <v>2014</v>
      </c>
      <c r="FX2252">
        <v>459.77</v>
      </c>
      <c r="FY2252" t="s">
        <v>21715</v>
      </c>
      <c r="FZ2252">
        <v>18</v>
      </c>
      <c r="GA2252" t="s">
        <v>424</v>
      </c>
      <c r="GB2252" t="s">
        <v>425</v>
      </c>
      <c r="GC2252" s="1">
        <v>42822</v>
      </c>
      <c r="GD2252">
        <v>22</v>
      </c>
      <c r="GE2252">
        <v>7045027</v>
      </c>
      <c r="GF2252" t="s">
        <v>16141</v>
      </c>
      <c r="GH2252" s="1">
        <v>41787</v>
      </c>
      <c r="GI2252">
        <v>2013</v>
      </c>
      <c r="GJ2252">
        <v>444.76</v>
      </c>
      <c r="GK2252" t="s">
        <v>21716</v>
      </c>
      <c r="GL2252">
        <v>3</v>
      </c>
      <c r="GM2252" t="s">
        <v>424</v>
      </c>
      <c r="GN2252" t="s">
        <v>425</v>
      </c>
      <c r="GO2252" s="1">
        <v>42502</v>
      </c>
      <c r="GP2252">
        <v>24</v>
      </c>
      <c r="GQ2252">
        <v>10125</v>
      </c>
      <c r="GR2252" t="s">
        <v>440</v>
      </c>
      <c r="GT2252" s="1">
        <v>41052</v>
      </c>
      <c r="GU2252">
        <v>2011</v>
      </c>
      <c r="GV2252">
        <v>715.76</v>
      </c>
      <c r="GW2252" t="s">
        <v>21717</v>
      </c>
      <c r="GX2252">
        <v>16.5</v>
      </c>
      <c r="GY2252" t="s">
        <v>424</v>
      </c>
      <c r="GZ2252" t="s">
        <v>425</v>
      </c>
      <c r="HA2252" s="1">
        <v>41261</v>
      </c>
      <c r="HB2252">
        <v>7</v>
      </c>
      <c r="HC2252">
        <v>10125</v>
      </c>
      <c r="HD2252" t="s">
        <v>440</v>
      </c>
      <c r="HE2252" t="s">
        <v>458</v>
      </c>
      <c r="HF2252" s="1">
        <v>40688</v>
      </c>
      <c r="HG2252">
        <v>2010</v>
      </c>
      <c r="HH2252">
        <v>699.48</v>
      </c>
      <c r="HI2252" t="s">
        <v>21718</v>
      </c>
      <c r="HJ2252">
        <v>7</v>
      </c>
      <c r="HK2252" t="s">
        <v>424</v>
      </c>
      <c r="HL2252" t="s">
        <v>425</v>
      </c>
      <c r="HM2252" s="1">
        <v>41261</v>
      </c>
      <c r="HN2252">
        <v>19</v>
      </c>
      <c r="HO2252">
        <v>10579</v>
      </c>
      <c r="HP2252" t="s">
        <v>488</v>
      </c>
      <c r="HQ2252" t="s">
        <v>458</v>
      </c>
    </row>
    <row r="2253" spans="1:284" x14ac:dyDescent="0.25">
      <c r="A2253">
        <v>16487260</v>
      </c>
      <c r="B2253">
        <v>2252</v>
      </c>
      <c r="C2253" t="s">
        <v>393</v>
      </c>
      <c r="D2253" t="s">
        <v>394</v>
      </c>
      <c r="F2253" t="str">
        <f>"00-00-31-1800-0230-03D0"</f>
        <v>00-00-31-1800-0230-03D0</v>
      </c>
      <c r="H2253" t="str">
        <f>"HARRIS CHARLES E JR"</f>
        <v>HARRIS CHARLES E JR</v>
      </c>
      <c r="I2253" t="str">
        <f>"1280 NW 58TH TERRACE"</f>
        <v>1280 NW 58TH TERRACE</v>
      </c>
      <c r="J2253" t="str">
        <f>"SUNRISE FL 33313"</f>
        <v>SUNRISE FL 33313</v>
      </c>
      <c r="K2253" t="str">
        <f>"227 VERNON ST"</f>
        <v>227 VERNON ST</v>
      </c>
      <c r="L2253" t="str">
        <f t="shared" si="826"/>
        <v>FERNANDINA BEACH FL 32034</v>
      </c>
      <c r="M2253" t="str">
        <f>"BLOCK 230 SUB D OF 3 IN OR 2094/1272 CITY OF FERNANDINA BEACH"</f>
        <v>BLOCK 230 SUB D OF 3 IN OR 2094/1272 CITY OF FERNANDINA BEACH</v>
      </c>
      <c r="N2253" t="str">
        <f>""</f>
        <v/>
      </c>
      <c r="O2253" t="str">
        <f>"12701"</f>
        <v>12701</v>
      </c>
      <c r="P2253" t="str">
        <f t="shared" si="840"/>
        <v>2017</v>
      </c>
      <c r="Q2253" t="str">
        <f>""</f>
        <v/>
      </c>
      <c r="R2253" t="str">
        <f>"N"</f>
        <v>N</v>
      </c>
      <c r="S2253" t="str">
        <f>""</f>
        <v/>
      </c>
      <c r="T2253" t="str">
        <f>"1764.79"</f>
        <v>1764.79</v>
      </c>
      <c r="U2253" t="str">
        <f>"88546.00"</f>
        <v>88546.00</v>
      </c>
      <c r="V2253" t="str">
        <f>"88546.00"</f>
        <v>88546.00</v>
      </c>
      <c r="W2253" t="str">
        <f t="shared" si="841"/>
        <v>2017</v>
      </c>
      <c r="X2253" t="str">
        <f>"17.00"</f>
        <v>17.00</v>
      </c>
      <c r="Y2253" t="str">
        <f>"1849.73"</f>
        <v>1849.73</v>
      </c>
      <c r="Z2253" t="str">
        <f>""</f>
        <v/>
      </c>
      <c r="AA2253" t="str">
        <f>"88546.00"</f>
        <v>88546.00</v>
      </c>
      <c r="AB2253" t="str">
        <f t="shared" si="844"/>
        <v>Residential</v>
      </c>
      <c r="AC2253" t="str">
        <f t="shared" si="829"/>
        <v>0</v>
      </c>
      <c r="AD2253" t="str">
        <f>"3"</f>
        <v>3</v>
      </c>
      <c r="AE2253" t="str">
        <f>"MASONRY"</f>
        <v>MASONRY</v>
      </c>
      <c r="AF2253" t="str">
        <f t="shared" ref="AF2253:AF2258" si="845">"001"</f>
        <v>001</v>
      </c>
      <c r="AG2253" t="str">
        <f t="shared" si="843"/>
        <v>FL</v>
      </c>
      <c r="AH2253" t="str">
        <f>"5600.00"</f>
        <v>5600.00</v>
      </c>
      <c r="AI2253" t="str">
        <f>"27720.00"</f>
        <v>27720.00</v>
      </c>
      <c r="AJ2253" t="str">
        <f>"C55-000-586-0112-1"</f>
        <v>C55-000-586-0112-1</v>
      </c>
      <c r="AK2253" t="str">
        <f>"49623"</f>
        <v>49623</v>
      </c>
      <c r="AL2253">
        <v>8</v>
      </c>
      <c r="AM2253">
        <v>2573</v>
      </c>
      <c r="AN2253">
        <v>1940.62</v>
      </c>
      <c r="AQ2253" t="s">
        <v>21719</v>
      </c>
      <c r="AR2253" t="s">
        <v>21719</v>
      </c>
      <c r="AS2253" t="s">
        <v>21719</v>
      </c>
      <c r="AU2253" t="s">
        <v>396</v>
      </c>
      <c r="AV2253">
        <v>2017</v>
      </c>
      <c r="AW2253" t="str">
        <f>"00-00-31-1800-0230-03D0 "</f>
        <v xml:space="preserve">00-00-31-1800-0230-03D0 </v>
      </c>
      <c r="AX2253">
        <v>227</v>
      </c>
      <c r="AZ2253" t="s">
        <v>21720</v>
      </c>
      <c r="BA2253" t="s">
        <v>1942</v>
      </c>
      <c r="BD2253" t="s">
        <v>11749</v>
      </c>
      <c r="BE2253" t="s">
        <v>393</v>
      </c>
      <c r="BF2253">
        <v>32034</v>
      </c>
      <c r="BG2253" t="s">
        <v>21721</v>
      </c>
      <c r="BH2253" t="s">
        <v>11751</v>
      </c>
      <c r="BI2253">
        <v>-81.454691035359701</v>
      </c>
      <c r="BJ2253">
        <v>30.666564443327999</v>
      </c>
      <c r="BK2253" t="s">
        <v>20780</v>
      </c>
      <c r="BM2253" t="s">
        <v>18890</v>
      </c>
      <c r="BN2253" t="s">
        <v>18891</v>
      </c>
      <c r="BO2253">
        <v>33313</v>
      </c>
      <c r="BP2253" t="s">
        <v>404</v>
      </c>
      <c r="BQ2253">
        <v>100</v>
      </c>
      <c r="BR2253" t="s">
        <v>514</v>
      </c>
      <c r="BS2253">
        <v>1001</v>
      </c>
      <c r="BT2253" t="s">
        <v>515</v>
      </c>
      <c r="BU2253">
        <v>560</v>
      </c>
      <c r="BV2253">
        <v>1000</v>
      </c>
      <c r="BW2253">
        <v>5621</v>
      </c>
      <c r="BX2253" t="s">
        <v>407</v>
      </c>
      <c r="BY2253" t="s">
        <v>18253</v>
      </c>
      <c r="BZ2253">
        <v>3</v>
      </c>
      <c r="CA2253">
        <v>1970</v>
      </c>
      <c r="CB2253">
        <v>1</v>
      </c>
      <c r="CC2253">
        <v>1</v>
      </c>
      <c r="CD2253">
        <v>2017</v>
      </c>
      <c r="CE2253">
        <v>27720</v>
      </c>
      <c r="CF2253">
        <v>60826</v>
      </c>
      <c r="CG2253">
        <v>88546</v>
      </c>
      <c r="CH2253">
        <v>2017</v>
      </c>
      <c r="CI2253">
        <v>27720</v>
      </c>
      <c r="CJ2253">
        <v>60826</v>
      </c>
      <c r="CK2253">
        <v>88546</v>
      </c>
      <c r="CL2253">
        <v>2017</v>
      </c>
      <c r="CM2253">
        <v>1764.79</v>
      </c>
      <c r="CN2253" s="1">
        <v>31199</v>
      </c>
      <c r="CZ2253" s="1">
        <v>31199</v>
      </c>
      <c r="DD2253" t="s">
        <v>11749</v>
      </c>
      <c r="DG2253">
        <v>23</v>
      </c>
      <c r="DL2253">
        <v>50101</v>
      </c>
      <c r="DM2253" t="s">
        <v>20742</v>
      </c>
      <c r="DO2253" t="s">
        <v>21722</v>
      </c>
      <c r="DP2253">
        <v>0</v>
      </c>
      <c r="DQ2253">
        <v>0</v>
      </c>
      <c r="DR2253" t="s">
        <v>411</v>
      </c>
      <c r="DS2253" t="b">
        <v>1</v>
      </c>
      <c r="DT2253" t="s">
        <v>470</v>
      </c>
      <c r="DU2253" t="s">
        <v>471</v>
      </c>
      <c r="DV2253" t="s">
        <v>472</v>
      </c>
      <c r="DX2253">
        <v>-9999</v>
      </c>
      <c r="DZ2253" t="s">
        <v>447</v>
      </c>
      <c r="EA2253" t="s">
        <v>448</v>
      </c>
      <c r="EB2253" t="s">
        <v>14787</v>
      </c>
      <c r="EC2253">
        <v>20101217</v>
      </c>
      <c r="ED2253" t="s">
        <v>474</v>
      </c>
      <c r="EF2253">
        <v>2073.3000000000002</v>
      </c>
      <c r="EG2253">
        <v>1862.8</v>
      </c>
      <c r="EI2253">
        <v>20160407</v>
      </c>
      <c r="EJ2253">
        <v>0</v>
      </c>
      <c r="EK2253">
        <v>0</v>
      </c>
      <c r="EP2253" t="s">
        <v>421</v>
      </c>
      <c r="EQ2253" t="s">
        <v>452</v>
      </c>
      <c r="ER2253">
        <v>2</v>
      </c>
      <c r="ES2253">
        <v>7</v>
      </c>
      <c r="ET2253">
        <v>3500.24</v>
      </c>
      <c r="EU2253">
        <v>187.51</v>
      </c>
      <c r="EV2253">
        <v>3687.75</v>
      </c>
      <c r="EW2253" s="2">
        <v>43222</v>
      </c>
      <c r="EX2253" s="1">
        <v>42879</v>
      </c>
      <c r="EY2253">
        <v>2016</v>
      </c>
      <c r="EZ2253">
        <v>1750.12</v>
      </c>
      <c r="FA2253" t="s">
        <v>21723</v>
      </c>
      <c r="FB2253">
        <v>0.25</v>
      </c>
      <c r="FC2253" t="s">
        <v>424</v>
      </c>
      <c r="FD2253" t="s">
        <v>454</v>
      </c>
      <c r="FF2253">
        <v>12</v>
      </c>
      <c r="FG2253">
        <v>7400234</v>
      </c>
      <c r="FH2253" t="s">
        <v>426</v>
      </c>
      <c r="FJ2253" s="1">
        <v>42879</v>
      </c>
      <c r="FK2253">
        <v>2016</v>
      </c>
      <c r="FL2253">
        <v>1750.12</v>
      </c>
      <c r="FM2253" t="s">
        <v>21723</v>
      </c>
      <c r="FN2253">
        <v>0.25</v>
      </c>
      <c r="FO2253" t="s">
        <v>424</v>
      </c>
      <c r="FP2253" t="s">
        <v>454</v>
      </c>
      <c r="FR2253">
        <v>12</v>
      </c>
      <c r="FS2253">
        <v>7543149</v>
      </c>
      <c r="FT2253" t="s">
        <v>21724</v>
      </c>
      <c r="FV2253" s="1">
        <v>42515</v>
      </c>
      <c r="FW2253">
        <v>2015</v>
      </c>
      <c r="FX2253">
        <v>1626.23</v>
      </c>
      <c r="FY2253" t="s">
        <v>21725</v>
      </c>
      <c r="FZ2253">
        <v>0.25</v>
      </c>
      <c r="GA2253" t="s">
        <v>424</v>
      </c>
      <c r="GB2253" t="s">
        <v>425</v>
      </c>
      <c r="GC2253" s="1">
        <v>43188</v>
      </c>
      <c r="GD2253">
        <v>22</v>
      </c>
      <c r="GE2253">
        <v>5894185</v>
      </c>
      <c r="GF2253" t="s">
        <v>7135</v>
      </c>
      <c r="GH2253" s="1">
        <v>42515</v>
      </c>
      <c r="GI2253">
        <v>2015</v>
      </c>
      <c r="GJ2253">
        <v>1626.23</v>
      </c>
      <c r="GK2253" t="s">
        <v>21725</v>
      </c>
      <c r="GL2253">
        <v>0.25</v>
      </c>
      <c r="GM2253" t="s">
        <v>424</v>
      </c>
      <c r="GN2253" t="s">
        <v>425</v>
      </c>
      <c r="GP2253">
        <v>22</v>
      </c>
      <c r="GQ2253">
        <v>6205286</v>
      </c>
      <c r="GR2253" t="s">
        <v>21726</v>
      </c>
      <c r="GT2253" s="1">
        <v>42151</v>
      </c>
      <c r="GU2253">
        <v>2014</v>
      </c>
      <c r="GV2253">
        <v>1504.15</v>
      </c>
      <c r="GW2253" t="s">
        <v>21727</v>
      </c>
      <c r="GX2253">
        <v>0.25</v>
      </c>
      <c r="GY2253" t="s">
        <v>424</v>
      </c>
      <c r="GZ2253" t="s">
        <v>425</v>
      </c>
      <c r="HA2253" s="1">
        <v>42857</v>
      </c>
      <c r="HB2253">
        <v>24</v>
      </c>
      <c r="HC2253">
        <v>4975594</v>
      </c>
      <c r="HD2253" t="s">
        <v>457</v>
      </c>
      <c r="HF2253" s="1">
        <v>42151</v>
      </c>
      <c r="HG2253">
        <v>2014</v>
      </c>
      <c r="HH2253">
        <v>1504.15</v>
      </c>
      <c r="HI2253" t="s">
        <v>21727</v>
      </c>
      <c r="HJ2253">
        <v>0.25</v>
      </c>
      <c r="HK2253" t="s">
        <v>424</v>
      </c>
      <c r="HL2253" t="s">
        <v>425</v>
      </c>
      <c r="HN2253">
        <v>22</v>
      </c>
      <c r="HO2253">
        <v>6196375</v>
      </c>
      <c r="HP2253" t="s">
        <v>21728</v>
      </c>
      <c r="HR2253" s="1">
        <v>41787</v>
      </c>
      <c r="HS2253">
        <v>2013</v>
      </c>
      <c r="HT2253">
        <v>1279.07</v>
      </c>
      <c r="HU2253" t="s">
        <v>21729</v>
      </c>
      <c r="HV2253">
        <v>0.25</v>
      </c>
      <c r="HW2253" t="s">
        <v>424</v>
      </c>
      <c r="HX2253" t="s">
        <v>425</v>
      </c>
      <c r="HY2253" s="1">
        <v>42461</v>
      </c>
      <c r="HZ2253">
        <v>23</v>
      </c>
      <c r="IA2253">
        <v>2851116</v>
      </c>
      <c r="IB2253" t="s">
        <v>480</v>
      </c>
      <c r="ID2253" s="1">
        <v>41423</v>
      </c>
      <c r="IE2253">
        <v>2012</v>
      </c>
      <c r="IF2253">
        <v>1343.62</v>
      </c>
      <c r="IG2253" t="s">
        <v>21730</v>
      </c>
      <c r="IH2253">
        <v>0.25</v>
      </c>
      <c r="II2253" t="s">
        <v>424</v>
      </c>
      <c r="IJ2253" t="s">
        <v>425</v>
      </c>
      <c r="IK2253" s="1">
        <v>42095</v>
      </c>
      <c r="IL2253">
        <v>23</v>
      </c>
      <c r="IM2253">
        <v>606981</v>
      </c>
      <c r="IN2253" t="s">
        <v>792</v>
      </c>
      <c r="IP2253" s="1">
        <v>40688</v>
      </c>
      <c r="IQ2253">
        <v>2010</v>
      </c>
      <c r="IR2253">
        <v>1667.91</v>
      </c>
      <c r="IS2253" t="s">
        <v>21731</v>
      </c>
      <c r="IT2253">
        <v>4.5</v>
      </c>
      <c r="IU2253" t="s">
        <v>424</v>
      </c>
      <c r="IV2253" t="s">
        <v>425</v>
      </c>
      <c r="IW2253" s="1">
        <v>41029</v>
      </c>
      <c r="IX2253">
        <v>11</v>
      </c>
      <c r="IY2253">
        <v>11244</v>
      </c>
      <c r="IZ2253" t="s">
        <v>3585</v>
      </c>
      <c r="JA2253" t="s">
        <v>458</v>
      </c>
    </row>
    <row r="2254" spans="1:284" x14ac:dyDescent="0.25">
      <c r="A2254">
        <v>16487261</v>
      </c>
      <c r="B2254">
        <v>2253</v>
      </c>
      <c r="C2254" t="s">
        <v>393</v>
      </c>
      <c r="D2254" t="s">
        <v>394</v>
      </c>
      <c r="F2254" t="str">
        <f>"00-00-31-1800-0230-05B0"</f>
        <v>00-00-31-1800-0230-05B0</v>
      </c>
      <c r="H2254" t="str">
        <f>"RICHO JEROME &amp; RICHO RYAN"</f>
        <v>RICHO JEROME &amp; RICHO RYAN</v>
      </c>
      <c r="I2254" t="str">
        <f>"330 S 12TH ST"</f>
        <v>330 S 12TH ST</v>
      </c>
      <c r="J2254" t="str">
        <f>"FERNANDINA BEACH FL 32034"</f>
        <v>FERNANDINA BEACH FL 32034</v>
      </c>
      <c r="K2254" t="str">
        <f>"330 12TH ST S"</f>
        <v>330 12TH ST S</v>
      </c>
      <c r="L2254" t="str">
        <f t="shared" si="826"/>
        <v>FERNANDINA BEACH FL 32034</v>
      </c>
      <c r="M2254" t="str">
        <f>"BLOCK 230 SUB B OF LOT 5 IN OR 2116/520 CITY OF FDNA BEACH"</f>
        <v>BLOCK 230 SUB B OF LOT 5 IN OR 2116/520 CITY OF FDNA BEACH</v>
      </c>
      <c r="N2254" t="str">
        <f>""</f>
        <v/>
      </c>
      <c r="O2254" t="str">
        <f>"12707"</f>
        <v>12707</v>
      </c>
      <c r="P2254" t="str">
        <f t="shared" si="840"/>
        <v>2017</v>
      </c>
      <c r="Q2254" t="str">
        <f>""</f>
        <v/>
      </c>
      <c r="R2254" t="str">
        <f>"Y"</f>
        <v>Y</v>
      </c>
      <c r="S2254" t="str">
        <f>""</f>
        <v/>
      </c>
      <c r="T2254" t="str">
        <f>"524.22"</f>
        <v>524.22</v>
      </c>
      <c r="U2254" t="str">
        <f>"55445.00"</f>
        <v>55445.00</v>
      </c>
      <c r="V2254" t="str">
        <f>"55445.00"</f>
        <v>55445.00</v>
      </c>
      <c r="W2254" t="str">
        <f t="shared" si="841"/>
        <v>2017</v>
      </c>
      <c r="X2254" t="str">
        <f>""</f>
        <v/>
      </c>
      <c r="Y2254" t="str">
        <f>"571.95"</f>
        <v>571.95</v>
      </c>
      <c r="Z2254" t="str">
        <f>"25500.00"</f>
        <v>25500.00</v>
      </c>
      <c r="AA2254" t="str">
        <f>"29945.00"</f>
        <v>29945.00</v>
      </c>
      <c r="AB2254" t="str">
        <f t="shared" si="844"/>
        <v>Residential</v>
      </c>
      <c r="AC2254" t="str">
        <f t="shared" si="829"/>
        <v>0</v>
      </c>
      <c r="AD2254" t="str">
        <f>"4"</f>
        <v>4</v>
      </c>
      <c r="AE2254" t="str">
        <f>"WOOD (INCLUDE STEEL STUDS)"</f>
        <v>WOOD (INCLUDE STEEL STUDS)</v>
      </c>
      <c r="AF2254" t="str">
        <f t="shared" si="845"/>
        <v>001</v>
      </c>
      <c r="AG2254" t="str">
        <f t="shared" si="843"/>
        <v>FL</v>
      </c>
      <c r="AH2254" t="str">
        <f>"8600.00"</f>
        <v>8600.00</v>
      </c>
      <c r="AI2254" t="str">
        <f>"31927.00"</f>
        <v>31927.00</v>
      </c>
      <c r="AJ2254" t="str">
        <f>"C55-000-586-0118-8"</f>
        <v>C55-000-586-0118-8</v>
      </c>
      <c r="AK2254" t="str">
        <f>"49628"</f>
        <v>49628</v>
      </c>
      <c r="AL2254">
        <v>8</v>
      </c>
      <c r="AM2254">
        <v>2574</v>
      </c>
      <c r="AN2254">
        <v>598.95000000000005</v>
      </c>
      <c r="AQ2254" t="s">
        <v>21732</v>
      </c>
      <c r="AR2254" t="s">
        <v>21732</v>
      </c>
      <c r="AS2254" t="s">
        <v>21732</v>
      </c>
      <c r="AU2254" t="s">
        <v>396</v>
      </c>
      <c r="AV2254">
        <v>2017</v>
      </c>
      <c r="AW2254" t="str">
        <f>"00-00-31-1800-0230-05B0 "</f>
        <v xml:space="preserve">00-00-31-1800-0230-05B0 </v>
      </c>
      <c r="AX2254">
        <v>330</v>
      </c>
      <c r="AZ2254" t="s">
        <v>5203</v>
      </c>
      <c r="BA2254" t="s">
        <v>1942</v>
      </c>
      <c r="BB2254" t="s">
        <v>18674</v>
      </c>
      <c r="BD2254" t="s">
        <v>11749</v>
      </c>
      <c r="BE2254" t="s">
        <v>393</v>
      </c>
      <c r="BF2254">
        <v>32034</v>
      </c>
      <c r="BG2254" t="s">
        <v>21733</v>
      </c>
      <c r="BH2254" t="s">
        <v>11751</v>
      </c>
      <c r="BI2254">
        <v>-81.455193058734807</v>
      </c>
      <c r="BJ2254">
        <v>30.665394279470501</v>
      </c>
      <c r="BK2254" t="s">
        <v>20739</v>
      </c>
      <c r="BL2254" t="s">
        <v>21734</v>
      </c>
      <c r="BM2254" t="s">
        <v>20741</v>
      </c>
      <c r="BN2254" t="s">
        <v>3983</v>
      </c>
      <c r="BO2254">
        <v>32034</v>
      </c>
      <c r="BP2254" t="s">
        <v>416</v>
      </c>
      <c r="BQ2254">
        <v>100</v>
      </c>
      <c r="BR2254" t="s">
        <v>514</v>
      </c>
      <c r="BS2254">
        <v>1001</v>
      </c>
      <c r="BT2254" t="s">
        <v>515</v>
      </c>
      <c r="BU2254">
        <v>860</v>
      </c>
      <c r="BV2254">
        <v>1000</v>
      </c>
      <c r="BW2254">
        <v>8399</v>
      </c>
      <c r="BX2254" t="s">
        <v>407</v>
      </c>
      <c r="BY2254" t="s">
        <v>18253</v>
      </c>
      <c r="BZ2254">
        <v>4</v>
      </c>
      <c r="CA2254">
        <v>1974</v>
      </c>
      <c r="CB2254">
        <v>1</v>
      </c>
      <c r="CC2254">
        <v>1</v>
      </c>
      <c r="CD2254">
        <v>2017</v>
      </c>
      <c r="CG2254">
        <v>55445</v>
      </c>
      <c r="CH2254">
        <v>2017</v>
      </c>
      <c r="CI2254">
        <v>31927</v>
      </c>
      <c r="CJ2254">
        <v>69055</v>
      </c>
      <c r="CK2254">
        <v>100982</v>
      </c>
      <c r="CL2254">
        <v>2017</v>
      </c>
      <c r="CM2254">
        <v>524.22</v>
      </c>
      <c r="CN2254" s="1">
        <v>38811</v>
      </c>
      <c r="CZ2254" s="1">
        <v>38811</v>
      </c>
      <c r="DD2254" t="s">
        <v>11749</v>
      </c>
      <c r="DF2254">
        <v>5</v>
      </c>
      <c r="DG2254">
        <v>23</v>
      </c>
      <c r="DL2254">
        <v>50101</v>
      </c>
      <c r="DM2254" t="s">
        <v>20742</v>
      </c>
      <c r="DO2254" t="s">
        <v>21735</v>
      </c>
      <c r="DP2254">
        <v>0</v>
      </c>
      <c r="DQ2254">
        <v>0</v>
      </c>
      <c r="DR2254" t="s">
        <v>411</v>
      </c>
    </row>
    <row r="2255" spans="1:284" x14ac:dyDescent="0.25">
      <c r="A2255">
        <v>16487262</v>
      </c>
      <c r="B2255">
        <v>2254</v>
      </c>
      <c r="C2255" t="s">
        <v>393</v>
      </c>
      <c r="D2255" t="s">
        <v>394</v>
      </c>
      <c r="F2255" t="str">
        <f>"00-00-31-1800-0230-08B0"</f>
        <v>00-00-31-1800-0230-08B0</v>
      </c>
      <c r="H2255" t="str">
        <f>"BENTON TOMMIE L"</f>
        <v>BENTON TOMMIE L</v>
      </c>
      <c r="I2255" t="str">
        <f>"PO BOX 1234"</f>
        <v>PO BOX 1234</v>
      </c>
      <c r="J2255" t="str">
        <f>"FERNANDINA BEACH FL 32035"</f>
        <v>FERNANDINA BEACH FL 32035</v>
      </c>
      <c r="K2255" t="str">
        <f>"302 VERNON ST"</f>
        <v>302 VERNON ST</v>
      </c>
      <c r="L2255" t="str">
        <f t="shared" si="826"/>
        <v>FERNANDINA BEACH FL 32034</v>
      </c>
      <c r="M2255" t="str">
        <f>"BLK 230 TRACT B OF LOT 8 IN OR 631/1090 CITY OF FDNA BEACH S/D OF SEC 23-3N-28E UNR"</f>
        <v>BLK 230 TRACT B OF LOT 8 IN OR 631/1090 CITY OF FDNA BEACH S/D OF SEC 23-3N-28E UNR</v>
      </c>
      <c r="N2255" t="str">
        <f>""</f>
        <v/>
      </c>
      <c r="O2255" t="str">
        <f>"12719"</f>
        <v>12719</v>
      </c>
      <c r="P2255" t="str">
        <f t="shared" si="840"/>
        <v>2017</v>
      </c>
      <c r="Q2255" t="str">
        <f>""</f>
        <v/>
      </c>
      <c r="R2255" t="str">
        <f>"Y"</f>
        <v>Y</v>
      </c>
      <c r="S2255" t="str">
        <f>""</f>
        <v/>
      </c>
      <c r="T2255" t="str">
        <f>"506.60"</f>
        <v>506.60</v>
      </c>
      <c r="U2255" t="str">
        <f>"51262.00"</f>
        <v>51262.00</v>
      </c>
      <c r="V2255" t="str">
        <f>"51262.00"</f>
        <v>51262.00</v>
      </c>
      <c r="W2255" t="str">
        <f t="shared" si="841"/>
        <v>2017</v>
      </c>
      <c r="X2255" t="str">
        <f>"2.00"</f>
        <v>2.00</v>
      </c>
      <c r="Y2255" t="str">
        <f>"553.80"</f>
        <v>553.80</v>
      </c>
      <c r="Z2255" t="str">
        <f>"25000.00"</f>
        <v>25000.00</v>
      </c>
      <c r="AA2255" t="str">
        <f>"26262.00"</f>
        <v>26262.00</v>
      </c>
      <c r="AB2255" t="str">
        <f t="shared" si="844"/>
        <v>Residential</v>
      </c>
      <c r="AC2255" t="str">
        <f t="shared" si="829"/>
        <v>0</v>
      </c>
      <c r="AD2255" t="str">
        <f>"4"</f>
        <v>4</v>
      </c>
      <c r="AE2255" t="str">
        <f>"WOOD (INCLUDE STEEL STUDS)"</f>
        <v>WOOD (INCLUDE STEEL STUDS)</v>
      </c>
      <c r="AF2255" t="str">
        <f t="shared" si="845"/>
        <v>001</v>
      </c>
      <c r="AG2255" t="str">
        <f t="shared" si="843"/>
        <v>FL</v>
      </c>
      <c r="AH2255" t="str">
        <f>"5600.00"</f>
        <v>5600.00</v>
      </c>
      <c r="AI2255" t="str">
        <f>"27720.00"</f>
        <v>27720.00</v>
      </c>
      <c r="AJ2255" t="str">
        <f>"C55-000-586-0130-3"</f>
        <v>C55-000-586-0130-3</v>
      </c>
      <c r="AK2255" t="str">
        <f>"49640"</f>
        <v>49640</v>
      </c>
      <c r="AL2255">
        <v>8</v>
      </c>
      <c r="AM2255">
        <v>2575</v>
      </c>
      <c r="AN2255">
        <v>579.89</v>
      </c>
      <c r="AQ2255" t="s">
        <v>21736</v>
      </c>
      <c r="AR2255" t="s">
        <v>21736</v>
      </c>
      <c r="AS2255" t="s">
        <v>21736</v>
      </c>
      <c r="AU2255" t="s">
        <v>396</v>
      </c>
      <c r="AV2255">
        <v>2017</v>
      </c>
      <c r="AW2255" t="str">
        <f>"00-00-31-1800-0230-08B0 "</f>
        <v xml:space="preserve">00-00-31-1800-0230-08B0 </v>
      </c>
      <c r="AX2255">
        <v>302</v>
      </c>
      <c r="AZ2255" t="s">
        <v>21720</v>
      </c>
      <c r="BA2255" t="s">
        <v>1942</v>
      </c>
      <c r="BD2255" t="s">
        <v>11749</v>
      </c>
      <c r="BE2255" t="s">
        <v>393</v>
      </c>
      <c r="BF2255">
        <v>32034</v>
      </c>
      <c r="BG2255" t="s">
        <v>21737</v>
      </c>
      <c r="BH2255" t="s">
        <v>11751</v>
      </c>
      <c r="BI2255">
        <v>-81.454232525510804</v>
      </c>
      <c r="BJ2255">
        <v>30.666190815981999</v>
      </c>
      <c r="BK2255" t="s">
        <v>21738</v>
      </c>
      <c r="BM2255" t="s">
        <v>21739</v>
      </c>
      <c r="BN2255" t="s">
        <v>3983</v>
      </c>
      <c r="BO2255">
        <v>32035</v>
      </c>
      <c r="BP2255" t="s">
        <v>404</v>
      </c>
      <c r="BQ2255">
        <v>100</v>
      </c>
      <c r="BR2255" t="s">
        <v>514</v>
      </c>
      <c r="BS2255">
        <v>1001</v>
      </c>
      <c r="BT2255" t="s">
        <v>515</v>
      </c>
      <c r="BU2255">
        <v>560</v>
      </c>
      <c r="BV2255">
        <v>1000</v>
      </c>
      <c r="BW2255">
        <v>5596</v>
      </c>
      <c r="BX2255" t="s">
        <v>407</v>
      </c>
      <c r="BZ2255">
        <v>4</v>
      </c>
      <c r="CA2255">
        <v>1962</v>
      </c>
      <c r="CB2255">
        <v>1</v>
      </c>
      <c r="CC2255">
        <v>1</v>
      </c>
      <c r="CD2255">
        <v>2017</v>
      </c>
      <c r="CG2255">
        <v>51262</v>
      </c>
      <c r="CH2255">
        <v>2017</v>
      </c>
      <c r="CI2255">
        <v>27720</v>
      </c>
      <c r="CJ2255">
        <v>48065</v>
      </c>
      <c r="CK2255">
        <v>75785</v>
      </c>
      <c r="CL2255">
        <v>2017</v>
      </c>
      <c r="CM2255">
        <v>506.6</v>
      </c>
      <c r="CN2255" s="1">
        <v>33442</v>
      </c>
      <c r="CO2255">
        <v>35000</v>
      </c>
      <c r="CZ2255" s="1">
        <v>33442</v>
      </c>
      <c r="DD2255" t="s">
        <v>11749</v>
      </c>
      <c r="DG2255">
        <v>23</v>
      </c>
      <c r="DL2255">
        <v>50101</v>
      </c>
      <c r="DM2255" t="s">
        <v>20742</v>
      </c>
      <c r="DO2255" t="s">
        <v>21740</v>
      </c>
      <c r="DP2255">
        <v>0</v>
      </c>
      <c r="DQ2255">
        <v>0</v>
      </c>
      <c r="DR2255" t="s">
        <v>411</v>
      </c>
    </row>
    <row r="2256" spans="1:284" x14ac:dyDescent="0.25">
      <c r="A2256">
        <v>16487263</v>
      </c>
      <c r="B2256">
        <v>2255</v>
      </c>
      <c r="C2256" t="s">
        <v>393</v>
      </c>
      <c r="D2256" t="s">
        <v>394</v>
      </c>
      <c r="F2256" t="str">
        <f>"00-00-31-1800-0230-08D0"</f>
        <v>00-00-31-1800-0230-08D0</v>
      </c>
      <c r="H2256" t="str">
        <f>"JONES CATHERINE &amp; JONES CORNELLIA &amp; RICHARD SONIA &amp; BRENDA (JT/RS)"</f>
        <v>JONES CATHERINE &amp; JONES CORNELLIA &amp; RICHARD SONIA &amp; BRENDA (JT/RS)</v>
      </c>
      <c r="I2256" t="str">
        <f>""</f>
        <v/>
      </c>
      <c r="J2256" t="str">
        <f>"FERNANDINA BEACH FL 32034"</f>
        <v>FERNANDINA BEACH FL 32034</v>
      </c>
      <c r="K2256" t="str">
        <f>"229 13TH ST S"</f>
        <v>229 13TH ST S</v>
      </c>
      <c r="L2256" t="str">
        <f t="shared" si="826"/>
        <v>FERNANDINA BEACH FL 32034</v>
      </c>
      <c r="M2256" t="str">
        <f>"BLK 230 TRACT D OF LOT 8 IN OR 701/1991 CITY OF FDNA BEACH S/D OF SEC 23-3N-28E UNR"</f>
        <v>BLK 230 TRACT D OF LOT 8 IN OR 701/1991 CITY OF FDNA BEACH S/D OF SEC 23-3N-28E UNR</v>
      </c>
      <c r="N2256" t="str">
        <f>""</f>
        <v/>
      </c>
      <c r="O2256" t="str">
        <f>"12721"</f>
        <v>12721</v>
      </c>
      <c r="P2256" t="str">
        <f t="shared" si="840"/>
        <v>2017</v>
      </c>
      <c r="Q2256" t="str">
        <f>""</f>
        <v/>
      </c>
      <c r="R2256" t="str">
        <f>"Y"</f>
        <v>Y</v>
      </c>
      <c r="S2256" t="str">
        <f>""</f>
        <v/>
      </c>
      <c r="T2256" t="str">
        <f>"637.60"</f>
        <v>637.60</v>
      </c>
      <c r="U2256" t="str">
        <f>"71118.00"</f>
        <v>71118.00</v>
      </c>
      <c r="V2256" t="str">
        <f>"71118.00"</f>
        <v>71118.00</v>
      </c>
      <c r="W2256" t="str">
        <f t="shared" si="841"/>
        <v>2017</v>
      </c>
      <c r="X2256" t="str">
        <f>""</f>
        <v/>
      </c>
      <c r="Y2256" t="str">
        <f>"688.73"</f>
        <v>688.73</v>
      </c>
      <c r="Z2256" t="str">
        <f>"25000.00"</f>
        <v>25000.00</v>
      </c>
      <c r="AA2256" t="str">
        <f>"46118.00"</f>
        <v>46118.00</v>
      </c>
      <c r="AB2256" t="str">
        <f t="shared" si="844"/>
        <v>Residential</v>
      </c>
      <c r="AC2256" t="str">
        <f t="shared" si="829"/>
        <v>0</v>
      </c>
      <c r="AD2256" t="str">
        <f>"4"</f>
        <v>4</v>
      </c>
      <c r="AE2256" t="str">
        <f>"WOOD (INCLUDE STEEL STUDS)"</f>
        <v>WOOD (INCLUDE STEEL STUDS)</v>
      </c>
      <c r="AF2256" t="str">
        <f t="shared" si="845"/>
        <v>001</v>
      </c>
      <c r="AG2256" t="str">
        <f t="shared" si="843"/>
        <v>FL</v>
      </c>
      <c r="AH2256" t="str">
        <f>"5600.00"</f>
        <v>5600.00</v>
      </c>
      <c r="AI2256" t="str">
        <f>"27720.00"</f>
        <v>27720.00</v>
      </c>
      <c r="AJ2256" t="str">
        <f>"C55-000-586-0132-9"</f>
        <v>C55-000-586-0132-9</v>
      </c>
      <c r="AK2256" t="str">
        <f>"49642"</f>
        <v>49642</v>
      </c>
      <c r="AL2256">
        <v>8</v>
      </c>
      <c r="AM2256">
        <v>2576</v>
      </c>
      <c r="AN2256">
        <v>721.57</v>
      </c>
      <c r="AQ2256" t="s">
        <v>21741</v>
      </c>
      <c r="AR2256" t="s">
        <v>21741</v>
      </c>
      <c r="AS2256" t="s">
        <v>21741</v>
      </c>
      <c r="AU2256" t="s">
        <v>396</v>
      </c>
      <c r="AV2256">
        <v>2017</v>
      </c>
      <c r="AW2256" t="str">
        <f>"00-00-31-1800-0230-08D0 "</f>
        <v xml:space="preserve">00-00-31-1800-0230-08D0 </v>
      </c>
      <c r="AX2256">
        <v>229</v>
      </c>
      <c r="AZ2256" t="s">
        <v>21742</v>
      </c>
      <c r="BA2256" t="s">
        <v>1942</v>
      </c>
      <c r="BB2256" t="s">
        <v>18674</v>
      </c>
      <c r="BD2256" t="s">
        <v>11749</v>
      </c>
      <c r="BE2256" t="s">
        <v>393</v>
      </c>
      <c r="BF2256">
        <v>32034</v>
      </c>
      <c r="BG2256" t="s">
        <v>21743</v>
      </c>
      <c r="BH2256" t="s">
        <v>11751</v>
      </c>
      <c r="BI2256">
        <v>-81.453863063830696</v>
      </c>
      <c r="BJ2256">
        <v>30.666468149541299</v>
      </c>
      <c r="BK2256" t="s">
        <v>21744</v>
      </c>
      <c r="BM2256" t="s">
        <v>21745</v>
      </c>
      <c r="BN2256" t="s">
        <v>3983</v>
      </c>
      <c r="BO2256">
        <v>32034</v>
      </c>
      <c r="BP2256" t="s">
        <v>416</v>
      </c>
      <c r="BQ2256">
        <v>100</v>
      </c>
      <c r="BR2256" t="s">
        <v>514</v>
      </c>
      <c r="BS2256">
        <v>1001</v>
      </c>
      <c r="BT2256" t="s">
        <v>515</v>
      </c>
      <c r="BU2256">
        <v>560</v>
      </c>
      <c r="BV2256">
        <v>1000</v>
      </c>
      <c r="BW2256">
        <v>5698</v>
      </c>
      <c r="BX2256" t="s">
        <v>407</v>
      </c>
      <c r="BY2256" t="s">
        <v>18253</v>
      </c>
      <c r="BZ2256">
        <v>4</v>
      </c>
      <c r="CA2256">
        <v>1985</v>
      </c>
      <c r="CB2256">
        <v>1</v>
      </c>
      <c r="CC2256">
        <v>1</v>
      </c>
      <c r="CD2256">
        <v>2017</v>
      </c>
      <c r="CG2256">
        <v>71118</v>
      </c>
      <c r="CH2256">
        <v>2017</v>
      </c>
      <c r="CI2256">
        <v>27720</v>
      </c>
      <c r="CJ2256">
        <v>76622</v>
      </c>
      <c r="CK2256">
        <v>104342</v>
      </c>
      <c r="CL2256">
        <v>2017</v>
      </c>
      <c r="CM2256">
        <v>637.6</v>
      </c>
      <c r="CN2256" s="1">
        <v>34432</v>
      </c>
      <c r="CO2256">
        <v>41500</v>
      </c>
      <c r="CZ2256" s="1">
        <v>34432</v>
      </c>
      <c r="DD2256" t="s">
        <v>11749</v>
      </c>
      <c r="DF2256" t="s">
        <v>11940</v>
      </c>
      <c r="DG2256">
        <v>23</v>
      </c>
      <c r="DJ2256" t="s">
        <v>20634</v>
      </c>
      <c r="DL2256">
        <v>50101</v>
      </c>
      <c r="DM2256" t="s">
        <v>20742</v>
      </c>
      <c r="DO2256" t="s">
        <v>21746</v>
      </c>
      <c r="DP2256">
        <v>0</v>
      </c>
      <c r="DQ2256">
        <v>0</v>
      </c>
      <c r="DR2256" t="s">
        <v>411</v>
      </c>
      <c r="DS2256" t="b">
        <v>1</v>
      </c>
      <c r="DT2256" t="s">
        <v>470</v>
      </c>
      <c r="DU2256" t="s">
        <v>471</v>
      </c>
      <c r="DV2256" t="s">
        <v>472</v>
      </c>
      <c r="DX2256">
        <v>-9999</v>
      </c>
      <c r="DZ2256" t="s">
        <v>447</v>
      </c>
      <c r="EA2256" t="s">
        <v>448</v>
      </c>
      <c r="EB2256" t="s">
        <v>14787</v>
      </c>
      <c r="EC2256">
        <v>20101217</v>
      </c>
      <c r="ED2256" t="s">
        <v>474</v>
      </c>
      <c r="EF2256">
        <v>2089.3000000000002</v>
      </c>
      <c r="EG2256">
        <v>2032.6</v>
      </c>
      <c r="EH2256" t="s">
        <v>451</v>
      </c>
      <c r="EI2256">
        <v>20140731</v>
      </c>
      <c r="EJ2256">
        <v>0</v>
      </c>
      <c r="EK2256">
        <v>0</v>
      </c>
    </row>
    <row r="2257" spans="1:284" x14ac:dyDescent="0.25">
      <c r="A2257">
        <v>16487264</v>
      </c>
      <c r="B2257">
        <v>2256</v>
      </c>
      <c r="C2257" t="s">
        <v>393</v>
      </c>
      <c r="D2257" t="s">
        <v>394</v>
      </c>
      <c r="F2257" t="str">
        <f>"00-00-31-1800-0230-09C0"</f>
        <v>00-00-31-1800-0230-09C0</v>
      </c>
      <c r="H2257" t="str">
        <f>"DEMPS OSTEAN JR"</f>
        <v>DEMPS OSTEAN JR</v>
      </c>
      <c r="I2257" t="str">
        <f>"225 S 13TH ST"</f>
        <v>225 S 13TH ST</v>
      </c>
      <c r="J2257" t="str">
        <f>"FERNANDINA BEACH FL 32034"</f>
        <v>FERNANDINA BEACH FL 32034</v>
      </c>
      <c r="K2257" t="str">
        <f>"225 13TH ST S"</f>
        <v>225 13TH ST S</v>
      </c>
      <c r="L2257" t="str">
        <f t="shared" si="826"/>
        <v>FERNANDINA BEACH FL 32034</v>
      </c>
      <c r="M2257" t="str">
        <f>"BLK 230 TRACT C OF LOT 9 IN OR 2087/1389 CITY OF FDNA BEACH S/D OF SEC 23-3N-28E UNR"</f>
        <v>BLK 230 TRACT C OF LOT 9 IN OR 2087/1389 CITY OF FDNA BEACH S/D OF SEC 23-3N-28E UNR</v>
      </c>
      <c r="N2257" t="str">
        <f>""</f>
        <v/>
      </c>
      <c r="O2257" t="str">
        <f>"12724"</f>
        <v>12724</v>
      </c>
      <c r="P2257" t="str">
        <f t="shared" si="840"/>
        <v>2017</v>
      </c>
      <c r="Q2257" t="str">
        <f>""</f>
        <v/>
      </c>
      <c r="R2257" t="str">
        <f>"Y"</f>
        <v>Y</v>
      </c>
      <c r="S2257" t="str">
        <f>""</f>
        <v/>
      </c>
      <c r="T2257" t="str">
        <f>"545.67"</f>
        <v>545.67</v>
      </c>
      <c r="U2257" t="str">
        <f>"57183.00"</f>
        <v>57183.00</v>
      </c>
      <c r="V2257" t="str">
        <f>"57183.00"</f>
        <v>57183.00</v>
      </c>
      <c r="W2257" t="str">
        <f t="shared" si="841"/>
        <v>2017</v>
      </c>
      <c r="X2257" t="str">
        <f>"18.57"</f>
        <v>18.57</v>
      </c>
      <c r="Y2257" t="str">
        <f>"594.04"</f>
        <v>594.04</v>
      </c>
      <c r="Z2257" t="str">
        <f>"25000.00"</f>
        <v>25000.00</v>
      </c>
      <c r="AA2257" t="str">
        <f>"32183.00"</f>
        <v>32183.00</v>
      </c>
      <c r="AB2257" t="str">
        <f t="shared" si="844"/>
        <v>Residential</v>
      </c>
      <c r="AC2257" t="str">
        <f t="shared" si="829"/>
        <v>0</v>
      </c>
      <c r="AD2257" t="str">
        <f>"4"</f>
        <v>4</v>
      </c>
      <c r="AE2257" t="str">
        <f>"WOOD (INCLUDE STEEL STUDS)"</f>
        <v>WOOD (INCLUDE STEEL STUDS)</v>
      </c>
      <c r="AF2257" t="str">
        <f t="shared" si="845"/>
        <v>001</v>
      </c>
      <c r="AG2257" t="str">
        <f t="shared" si="843"/>
        <v>FL</v>
      </c>
      <c r="AH2257" t="str">
        <f>"8600.00"</f>
        <v>8600.00</v>
      </c>
      <c r="AI2257" t="str">
        <f>"31927.00"</f>
        <v>31927.00</v>
      </c>
      <c r="AJ2257" t="str">
        <f>"C55-000-586-0135-2"</f>
        <v>C55-000-586-0135-2</v>
      </c>
      <c r="AK2257" t="str">
        <f>"49645"</f>
        <v>49645</v>
      </c>
      <c r="AL2257">
        <v>8</v>
      </c>
      <c r="AM2257">
        <v>2577</v>
      </c>
      <c r="AN2257">
        <v>622.14</v>
      </c>
      <c r="AQ2257" t="s">
        <v>21747</v>
      </c>
      <c r="AR2257" t="s">
        <v>21747</v>
      </c>
      <c r="AS2257" t="s">
        <v>21747</v>
      </c>
      <c r="AU2257" t="s">
        <v>396</v>
      </c>
      <c r="AV2257">
        <v>2017</v>
      </c>
      <c r="AW2257" t="str">
        <f>"00-00-31-1800-0230-09C0 "</f>
        <v xml:space="preserve">00-00-31-1800-0230-09C0 </v>
      </c>
      <c r="AX2257">
        <v>225</v>
      </c>
      <c r="AZ2257" t="s">
        <v>21742</v>
      </c>
      <c r="BA2257" t="s">
        <v>1942</v>
      </c>
      <c r="BB2257" t="s">
        <v>18674</v>
      </c>
      <c r="BD2257" t="s">
        <v>11749</v>
      </c>
      <c r="BE2257" t="s">
        <v>393</v>
      </c>
      <c r="BF2257">
        <v>32034</v>
      </c>
      <c r="BG2257" t="s">
        <v>21748</v>
      </c>
      <c r="BH2257" t="s">
        <v>11751</v>
      </c>
      <c r="BI2257">
        <v>-81.453833106866298</v>
      </c>
      <c r="BJ2257">
        <v>30.666661630714898</v>
      </c>
      <c r="BK2257" t="s">
        <v>21749</v>
      </c>
      <c r="BL2257" t="s">
        <v>21750</v>
      </c>
      <c r="BM2257" t="s">
        <v>14992</v>
      </c>
      <c r="BN2257" t="s">
        <v>3983</v>
      </c>
      <c r="BO2257">
        <v>32034</v>
      </c>
      <c r="BP2257" t="s">
        <v>416</v>
      </c>
      <c r="BQ2257">
        <v>100</v>
      </c>
      <c r="BR2257" t="s">
        <v>514</v>
      </c>
      <c r="BS2257">
        <v>1001</v>
      </c>
      <c r="BT2257" t="s">
        <v>515</v>
      </c>
      <c r="BU2257">
        <v>860</v>
      </c>
      <c r="BV2257">
        <v>1000</v>
      </c>
      <c r="BW2257">
        <v>8750</v>
      </c>
      <c r="BX2257" t="s">
        <v>407</v>
      </c>
      <c r="BY2257" t="s">
        <v>18253</v>
      </c>
      <c r="BZ2257">
        <v>4</v>
      </c>
      <c r="CA2257">
        <v>1973</v>
      </c>
      <c r="CB2257">
        <v>1</v>
      </c>
      <c r="CC2257">
        <v>1</v>
      </c>
      <c r="CD2257">
        <v>2017</v>
      </c>
      <c r="CG2257">
        <v>57183</v>
      </c>
      <c r="CH2257">
        <v>2017</v>
      </c>
      <c r="CI2257">
        <v>31927</v>
      </c>
      <c r="CJ2257">
        <v>43886</v>
      </c>
      <c r="CK2257">
        <v>75813</v>
      </c>
      <c r="CL2257">
        <v>2017</v>
      </c>
      <c r="CM2257">
        <v>545.66999999999996</v>
      </c>
      <c r="CN2257" s="1">
        <v>38882</v>
      </c>
      <c r="CZ2257" s="1">
        <v>38882</v>
      </c>
      <c r="DD2257" t="s">
        <v>11749</v>
      </c>
      <c r="DF2257">
        <v>9</v>
      </c>
      <c r="DG2257">
        <v>23</v>
      </c>
      <c r="DL2257">
        <v>50101</v>
      </c>
      <c r="DM2257" t="s">
        <v>20742</v>
      </c>
      <c r="DO2257" t="s">
        <v>21751</v>
      </c>
      <c r="DP2257">
        <v>0</v>
      </c>
      <c r="DQ2257">
        <v>0</v>
      </c>
      <c r="DR2257" t="s">
        <v>411</v>
      </c>
      <c r="DS2257" t="b">
        <v>1</v>
      </c>
      <c r="DT2257" t="s">
        <v>470</v>
      </c>
      <c r="DU2257" t="s">
        <v>471</v>
      </c>
      <c r="DV2257" t="s">
        <v>472</v>
      </c>
      <c r="DX2257">
        <v>-9999</v>
      </c>
      <c r="DZ2257" t="s">
        <v>447</v>
      </c>
      <c r="EA2257" t="s">
        <v>448</v>
      </c>
      <c r="EB2257" t="s">
        <v>14787</v>
      </c>
      <c r="EC2257">
        <v>20101217</v>
      </c>
      <c r="ED2257" t="s">
        <v>474</v>
      </c>
      <c r="EF2257">
        <v>2015.8</v>
      </c>
      <c r="EG2257">
        <v>1976.5</v>
      </c>
      <c r="EI2257">
        <v>20160407</v>
      </c>
      <c r="EJ2257">
        <v>0</v>
      </c>
      <c r="EK2257">
        <v>0</v>
      </c>
      <c r="EP2257" t="s">
        <v>421</v>
      </c>
      <c r="EQ2257" t="s">
        <v>422</v>
      </c>
      <c r="ER2257">
        <v>2</v>
      </c>
      <c r="ES2257">
        <v>8</v>
      </c>
      <c r="ET2257">
        <v>2920.76</v>
      </c>
      <c r="EU2257">
        <v>158.54</v>
      </c>
      <c r="EV2257">
        <v>3079.3</v>
      </c>
      <c r="EW2257" s="2">
        <v>43222</v>
      </c>
      <c r="EX2257" s="1">
        <v>42879</v>
      </c>
      <c r="EY2257">
        <v>2016</v>
      </c>
      <c r="EZ2257">
        <v>1460.38</v>
      </c>
      <c r="FA2257" t="s">
        <v>21752</v>
      </c>
      <c r="FB2257">
        <v>0.25</v>
      </c>
      <c r="FC2257" t="s">
        <v>424</v>
      </c>
      <c r="FD2257" t="s">
        <v>454</v>
      </c>
      <c r="FF2257">
        <v>12</v>
      </c>
      <c r="FG2257">
        <v>2851116</v>
      </c>
      <c r="FH2257" t="s">
        <v>480</v>
      </c>
      <c r="FJ2257" s="1">
        <v>42879</v>
      </c>
      <c r="FK2257">
        <v>2016</v>
      </c>
      <c r="FL2257">
        <v>1460.38</v>
      </c>
      <c r="FM2257" t="s">
        <v>21752</v>
      </c>
      <c r="FN2257">
        <v>0.25</v>
      </c>
      <c r="FO2257" t="s">
        <v>424</v>
      </c>
      <c r="FP2257" t="s">
        <v>454</v>
      </c>
      <c r="FR2257">
        <v>12</v>
      </c>
      <c r="FS2257">
        <v>4863025</v>
      </c>
      <c r="FT2257" t="s">
        <v>21753</v>
      </c>
      <c r="FV2257" s="1">
        <v>42515</v>
      </c>
      <c r="FW2257">
        <v>2015</v>
      </c>
      <c r="FX2257">
        <v>1344.23</v>
      </c>
      <c r="FY2257" t="s">
        <v>21754</v>
      </c>
      <c r="FZ2257">
        <v>0.25</v>
      </c>
      <c r="GA2257" t="s">
        <v>424</v>
      </c>
      <c r="GB2257" t="s">
        <v>425</v>
      </c>
      <c r="GC2257" s="1">
        <v>43153</v>
      </c>
      <c r="GD2257">
        <v>21</v>
      </c>
      <c r="GE2257">
        <v>7045074</v>
      </c>
      <c r="GF2257" t="s">
        <v>580</v>
      </c>
      <c r="GH2257" s="1">
        <v>42515</v>
      </c>
      <c r="GI2257">
        <v>2015</v>
      </c>
      <c r="GJ2257">
        <v>1344.23</v>
      </c>
      <c r="GK2257" t="s">
        <v>21754</v>
      </c>
      <c r="GL2257">
        <v>0.25</v>
      </c>
      <c r="GM2257" t="s">
        <v>424</v>
      </c>
      <c r="GN2257" t="s">
        <v>425</v>
      </c>
      <c r="GP2257">
        <v>22</v>
      </c>
      <c r="GQ2257">
        <v>6315672</v>
      </c>
      <c r="GR2257" t="s">
        <v>21755</v>
      </c>
      <c r="GT2257" s="1">
        <v>42151</v>
      </c>
      <c r="GU2257">
        <v>2014</v>
      </c>
      <c r="GV2257">
        <v>1250.0899999999999</v>
      </c>
      <c r="GW2257" t="s">
        <v>21756</v>
      </c>
      <c r="GX2257">
        <v>0.25</v>
      </c>
      <c r="GY2257" t="s">
        <v>424</v>
      </c>
      <c r="GZ2257" t="s">
        <v>425</v>
      </c>
      <c r="HA2257" s="1">
        <v>42824</v>
      </c>
      <c r="HB2257">
        <v>22</v>
      </c>
      <c r="HC2257">
        <v>2851116</v>
      </c>
      <c r="HD2257" t="s">
        <v>480</v>
      </c>
      <c r="HF2257" s="1">
        <v>42151</v>
      </c>
      <c r="HG2257">
        <v>2014</v>
      </c>
      <c r="HH2257">
        <v>1250.0899999999999</v>
      </c>
      <c r="HI2257" t="s">
        <v>21756</v>
      </c>
      <c r="HJ2257">
        <v>0.25</v>
      </c>
      <c r="HK2257" t="s">
        <v>424</v>
      </c>
      <c r="HL2257" t="s">
        <v>425</v>
      </c>
      <c r="HN2257">
        <v>22</v>
      </c>
      <c r="HO2257">
        <v>5082743</v>
      </c>
      <c r="HP2257" t="s">
        <v>21757</v>
      </c>
      <c r="HR2257" s="1">
        <v>41787</v>
      </c>
      <c r="HS2257">
        <v>2013</v>
      </c>
      <c r="HT2257">
        <v>1052.9100000000001</v>
      </c>
      <c r="HU2257" t="s">
        <v>21758</v>
      </c>
      <c r="HV2257">
        <v>0.25</v>
      </c>
      <c r="HW2257" t="s">
        <v>424</v>
      </c>
      <c r="HX2257" t="s">
        <v>425</v>
      </c>
      <c r="HY2257" s="1">
        <v>42465</v>
      </c>
      <c r="HZ2257">
        <v>23</v>
      </c>
      <c r="IA2257">
        <v>2101382</v>
      </c>
      <c r="IB2257" t="s">
        <v>993</v>
      </c>
      <c r="ID2257" s="1">
        <v>41423</v>
      </c>
      <c r="IE2257">
        <v>2012</v>
      </c>
      <c r="IF2257">
        <v>1125.43</v>
      </c>
      <c r="IG2257" t="s">
        <v>21759</v>
      </c>
      <c r="IH2257">
        <v>0.25</v>
      </c>
      <c r="II2257" t="s">
        <v>424</v>
      </c>
      <c r="IJ2257" t="s">
        <v>425</v>
      </c>
      <c r="IK2257" s="1">
        <v>42109</v>
      </c>
      <c r="IL2257">
        <v>23</v>
      </c>
      <c r="IM2257">
        <v>606981</v>
      </c>
      <c r="IN2257" t="s">
        <v>792</v>
      </c>
      <c r="IP2257" s="1">
        <v>41052</v>
      </c>
      <c r="IQ2257">
        <v>2011</v>
      </c>
      <c r="IR2257">
        <v>1409.94</v>
      </c>
      <c r="IS2257" t="s">
        <v>21760</v>
      </c>
      <c r="IT2257">
        <v>5</v>
      </c>
      <c r="IU2257" t="s">
        <v>424</v>
      </c>
      <c r="IV2257" t="s">
        <v>425</v>
      </c>
      <c r="IW2257" s="1">
        <v>41729</v>
      </c>
      <c r="IX2257">
        <v>22</v>
      </c>
      <c r="IY2257">
        <v>10125</v>
      </c>
      <c r="IZ2257" t="s">
        <v>440</v>
      </c>
      <c r="JB2257" s="1">
        <v>40688</v>
      </c>
      <c r="JC2257">
        <v>2010</v>
      </c>
      <c r="JD2257">
        <v>1428.23</v>
      </c>
      <c r="JE2257" t="s">
        <v>21761</v>
      </c>
      <c r="JF2257">
        <v>4.5</v>
      </c>
      <c r="JG2257" t="s">
        <v>424</v>
      </c>
      <c r="JH2257" t="s">
        <v>425</v>
      </c>
      <c r="JI2257" s="1">
        <v>41333</v>
      </c>
      <c r="JJ2257">
        <v>21</v>
      </c>
      <c r="JK2257">
        <v>11244</v>
      </c>
      <c r="JL2257" t="s">
        <v>3585</v>
      </c>
    </row>
    <row r="2258" spans="1:284" x14ac:dyDescent="0.25">
      <c r="A2258">
        <v>16487265</v>
      </c>
      <c r="B2258">
        <v>2257</v>
      </c>
      <c r="C2258" t="s">
        <v>393</v>
      </c>
      <c r="D2258" t="s">
        <v>394</v>
      </c>
      <c r="F2258" t="str">
        <f>"00-00-31-1800-0230-09D0"</f>
        <v>00-00-31-1800-0230-09D0</v>
      </c>
      <c r="H2258" t="str">
        <f>"SIMS DORIS J"</f>
        <v>SIMS DORIS J</v>
      </c>
      <c r="I2258" t="str">
        <f>"217 S 13TH ST"</f>
        <v>217 S 13TH ST</v>
      </c>
      <c r="J2258" t="str">
        <f>"FERNANDINA BECH FL 32034"</f>
        <v>FERNANDINA BECH FL 32034</v>
      </c>
      <c r="K2258" t="str">
        <f>"217 13TH ST S"</f>
        <v>217 13TH ST S</v>
      </c>
      <c r="L2258" t="str">
        <f t="shared" si="826"/>
        <v>FERNANDINA BEACH FL 32034</v>
      </c>
      <c r="M2258" t="str">
        <f>"BLOCK 230 SUB D OF LOT 9 IN OR 1752/41 CITY OF FDNA BEACH"</f>
        <v>BLOCK 230 SUB D OF LOT 9 IN OR 1752/41 CITY OF FDNA BEACH</v>
      </c>
      <c r="N2258" t="str">
        <f>""</f>
        <v/>
      </c>
      <c r="O2258" t="str">
        <f>"12725"</f>
        <v>12725</v>
      </c>
      <c r="P2258" t="str">
        <f t="shared" si="840"/>
        <v>2017</v>
      </c>
      <c r="Q2258" t="str">
        <f>""</f>
        <v/>
      </c>
      <c r="R2258" t="str">
        <f>"N"</f>
        <v>N</v>
      </c>
      <c r="S2258" t="str">
        <f>""</f>
        <v/>
      </c>
      <c r="T2258" t="str">
        <f>"2126.69"</f>
        <v>2126.69</v>
      </c>
      <c r="U2258" t="str">
        <f>"104555.00"</f>
        <v>104555.00</v>
      </c>
      <c r="V2258" t="str">
        <f>"104555.00"</f>
        <v>104555.00</v>
      </c>
      <c r="W2258" t="str">
        <f t="shared" si="841"/>
        <v>2017</v>
      </c>
      <c r="X2258" t="str">
        <f>"19.33"</f>
        <v>19.33</v>
      </c>
      <c r="Y2258" t="str">
        <f>"2222.49"</f>
        <v>2222.49</v>
      </c>
      <c r="Z2258" t="str">
        <f>""</f>
        <v/>
      </c>
      <c r="AA2258" t="str">
        <f>"111046.00"</f>
        <v>111046.00</v>
      </c>
      <c r="AB2258" t="str">
        <f t="shared" si="844"/>
        <v>Residential</v>
      </c>
      <c r="AC2258" t="str">
        <f t="shared" si="829"/>
        <v>0</v>
      </c>
      <c r="AD2258" t="str">
        <f>"3"</f>
        <v>3</v>
      </c>
      <c r="AE2258" t="str">
        <f>"MASONRY"</f>
        <v>MASONRY</v>
      </c>
      <c r="AF2258" t="str">
        <f t="shared" si="845"/>
        <v>001</v>
      </c>
      <c r="AG2258" t="str">
        <f t="shared" si="843"/>
        <v>FL</v>
      </c>
      <c r="AH2258" t="str">
        <f>"8600.00"</f>
        <v>8600.00</v>
      </c>
      <c r="AI2258" t="str">
        <f>"31927.00"</f>
        <v>31927.00</v>
      </c>
      <c r="AJ2258" t="str">
        <f>"C55-000-586-0136-0"</f>
        <v>C55-000-586-0136-0</v>
      </c>
      <c r="AK2258" t="str">
        <f>"49646"</f>
        <v>49646</v>
      </c>
      <c r="AL2258">
        <v>8</v>
      </c>
      <c r="AM2258">
        <v>2578</v>
      </c>
      <c r="AN2258">
        <v>2332.0100000000002</v>
      </c>
      <c r="AQ2258" t="s">
        <v>21762</v>
      </c>
      <c r="AR2258" t="s">
        <v>21762</v>
      </c>
      <c r="AS2258" t="s">
        <v>21762</v>
      </c>
      <c r="AU2258" t="s">
        <v>396</v>
      </c>
      <c r="AV2258">
        <v>2017</v>
      </c>
      <c r="AW2258" t="str">
        <f>"00-00-31-1800-0230-09D0 "</f>
        <v xml:space="preserve">00-00-31-1800-0230-09D0 </v>
      </c>
      <c r="AX2258">
        <v>217</v>
      </c>
      <c r="AZ2258" t="s">
        <v>21742</v>
      </c>
      <c r="BA2258" t="s">
        <v>1942</v>
      </c>
      <c r="BB2258" t="s">
        <v>18674</v>
      </c>
      <c r="BD2258" t="s">
        <v>11749</v>
      </c>
      <c r="BE2258" t="s">
        <v>393</v>
      </c>
      <c r="BF2258">
        <v>32034</v>
      </c>
      <c r="BG2258" t="s">
        <v>21763</v>
      </c>
      <c r="BH2258" t="s">
        <v>11751</v>
      </c>
      <c r="BI2258">
        <v>-81.453796816342503</v>
      </c>
      <c r="BJ2258">
        <v>30.666895990843798</v>
      </c>
      <c r="BK2258" t="s">
        <v>21764</v>
      </c>
      <c r="BM2258" t="s">
        <v>21765</v>
      </c>
      <c r="BN2258" t="s">
        <v>3983</v>
      </c>
      <c r="BO2258">
        <v>32034</v>
      </c>
      <c r="BP2258" t="s">
        <v>416</v>
      </c>
      <c r="BQ2258">
        <v>100</v>
      </c>
      <c r="BR2258" t="s">
        <v>514</v>
      </c>
      <c r="BS2258">
        <v>1001</v>
      </c>
      <c r="BT2258" t="s">
        <v>515</v>
      </c>
      <c r="BU2258">
        <v>860</v>
      </c>
      <c r="BV2258">
        <v>1000</v>
      </c>
      <c r="BW2258">
        <v>8751</v>
      </c>
      <c r="BX2258" t="s">
        <v>407</v>
      </c>
      <c r="BY2258" t="s">
        <v>18253</v>
      </c>
      <c r="BZ2258">
        <v>3</v>
      </c>
      <c r="CA2258">
        <v>1976</v>
      </c>
      <c r="CB2258">
        <v>1</v>
      </c>
      <c r="CC2258">
        <v>1</v>
      </c>
      <c r="CD2258">
        <v>2017</v>
      </c>
      <c r="CE2258">
        <v>31927</v>
      </c>
      <c r="CF2258">
        <v>79119</v>
      </c>
      <c r="CG2258">
        <v>111046</v>
      </c>
      <c r="CH2258">
        <v>2017</v>
      </c>
      <c r="CI2258">
        <v>31927</v>
      </c>
      <c r="CJ2258">
        <v>79119</v>
      </c>
      <c r="CK2258">
        <v>111046</v>
      </c>
      <c r="CL2258">
        <v>2017</v>
      </c>
      <c r="CM2258">
        <v>2126.69</v>
      </c>
      <c r="CN2258" s="1">
        <v>40772</v>
      </c>
      <c r="CZ2258" s="1">
        <v>40772</v>
      </c>
      <c r="DD2258" t="s">
        <v>11749</v>
      </c>
      <c r="DF2258">
        <v>9</v>
      </c>
      <c r="DG2258">
        <v>23</v>
      </c>
      <c r="DL2258">
        <v>50101</v>
      </c>
      <c r="DM2258" t="s">
        <v>20742</v>
      </c>
      <c r="DO2258" t="s">
        <v>21766</v>
      </c>
      <c r="DP2258">
        <v>0</v>
      </c>
      <c r="DQ2258">
        <v>0</v>
      </c>
      <c r="DR2258" t="s">
        <v>411</v>
      </c>
      <c r="DS2258" t="b">
        <v>1</v>
      </c>
      <c r="DT2258" t="s">
        <v>470</v>
      </c>
      <c r="DU2258" t="s">
        <v>471</v>
      </c>
      <c r="DV2258" t="s">
        <v>472</v>
      </c>
      <c r="DX2258">
        <v>-9999</v>
      </c>
      <c r="DZ2258" t="s">
        <v>447</v>
      </c>
      <c r="EA2258" t="s">
        <v>448</v>
      </c>
      <c r="EB2258" t="s">
        <v>14787</v>
      </c>
      <c r="EC2258">
        <v>20101217</v>
      </c>
      <c r="ED2258" t="s">
        <v>474</v>
      </c>
      <c r="EF2258">
        <v>1930.4</v>
      </c>
      <c r="EG2258">
        <v>1913.7</v>
      </c>
      <c r="EI2258">
        <v>20160407</v>
      </c>
      <c r="EJ2258">
        <v>0</v>
      </c>
      <c r="EK2258">
        <v>0</v>
      </c>
      <c r="EP2258" t="s">
        <v>421</v>
      </c>
      <c r="EQ2258" t="s">
        <v>422</v>
      </c>
      <c r="ER2258">
        <v>2</v>
      </c>
      <c r="ES2258">
        <v>5</v>
      </c>
      <c r="ET2258">
        <v>4312.2</v>
      </c>
      <c r="EU2258">
        <v>228.11</v>
      </c>
      <c r="EV2258">
        <v>4540.3100000000004</v>
      </c>
      <c r="EW2258" s="2">
        <v>43222</v>
      </c>
      <c r="EX2258" s="1">
        <v>42879</v>
      </c>
      <c r="EY2258">
        <v>2016</v>
      </c>
      <c r="EZ2258">
        <v>2156.1</v>
      </c>
      <c r="FA2258" t="s">
        <v>21767</v>
      </c>
      <c r="FB2258">
        <v>0.25</v>
      </c>
      <c r="FC2258" t="s">
        <v>424</v>
      </c>
      <c r="FD2258" t="s">
        <v>454</v>
      </c>
      <c r="FF2258">
        <v>12</v>
      </c>
      <c r="FG2258">
        <v>5856195</v>
      </c>
      <c r="FH2258" t="s">
        <v>1060</v>
      </c>
      <c r="FJ2258" s="1">
        <v>42879</v>
      </c>
      <c r="FK2258">
        <v>2016</v>
      </c>
      <c r="FL2258">
        <v>2156.1</v>
      </c>
      <c r="FM2258" t="s">
        <v>21767</v>
      </c>
      <c r="FN2258">
        <v>0.25</v>
      </c>
      <c r="FO2258" t="s">
        <v>424</v>
      </c>
      <c r="FP2258" t="s">
        <v>454</v>
      </c>
      <c r="FR2258">
        <v>12</v>
      </c>
      <c r="FS2258">
        <v>7662607</v>
      </c>
      <c r="FT2258" t="s">
        <v>21768</v>
      </c>
      <c r="FV2258" s="1">
        <v>42515</v>
      </c>
      <c r="FW2258">
        <v>2015</v>
      </c>
      <c r="FX2258">
        <v>2010.28</v>
      </c>
      <c r="FY2258" t="s">
        <v>21769</v>
      </c>
      <c r="FZ2258">
        <v>0.25</v>
      </c>
      <c r="GA2258" t="s">
        <v>424</v>
      </c>
      <c r="GB2258" t="s">
        <v>425</v>
      </c>
      <c r="GC2258" s="1">
        <v>43188</v>
      </c>
      <c r="GD2258">
        <v>22</v>
      </c>
      <c r="GE2258">
        <v>2851116</v>
      </c>
      <c r="GF2258" t="s">
        <v>480</v>
      </c>
      <c r="GH2258" s="1">
        <v>42515</v>
      </c>
      <c r="GI2258">
        <v>2015</v>
      </c>
      <c r="GJ2258">
        <v>2010.28</v>
      </c>
      <c r="GK2258" t="s">
        <v>21769</v>
      </c>
      <c r="GL2258">
        <v>0.25</v>
      </c>
      <c r="GM2258" t="s">
        <v>424</v>
      </c>
      <c r="GN2258" t="s">
        <v>425</v>
      </c>
      <c r="GP2258">
        <v>22</v>
      </c>
      <c r="GQ2258">
        <v>5272144</v>
      </c>
      <c r="GR2258" t="s">
        <v>21770</v>
      </c>
      <c r="GT2258" s="1">
        <v>42151</v>
      </c>
      <c r="GU2258">
        <v>2014</v>
      </c>
      <c r="GV2258">
        <v>1859.83</v>
      </c>
      <c r="GW2258" t="s">
        <v>21771</v>
      </c>
      <c r="GX2258">
        <v>0.25</v>
      </c>
      <c r="GY2258" t="s">
        <v>424</v>
      </c>
      <c r="GZ2258" t="s">
        <v>425</v>
      </c>
      <c r="HA2258" s="1">
        <v>42611</v>
      </c>
      <c r="HB2258">
        <v>15</v>
      </c>
      <c r="HC2258">
        <v>4975594</v>
      </c>
      <c r="HD2258" t="s">
        <v>457</v>
      </c>
      <c r="HF2258" s="1">
        <v>42151</v>
      </c>
      <c r="HG2258">
        <v>2014</v>
      </c>
      <c r="HH2258">
        <v>1859.83</v>
      </c>
      <c r="HI2258" t="s">
        <v>21771</v>
      </c>
      <c r="HJ2258">
        <v>0.25</v>
      </c>
      <c r="HK2258" t="s">
        <v>424</v>
      </c>
      <c r="HL2258" t="s">
        <v>425</v>
      </c>
      <c r="HN2258">
        <v>22</v>
      </c>
      <c r="HO2258">
        <v>6691361</v>
      </c>
      <c r="HP2258" t="s">
        <v>21772</v>
      </c>
      <c r="HR2258" s="1">
        <v>41787</v>
      </c>
      <c r="HS2258">
        <v>2013</v>
      </c>
      <c r="HT2258">
        <v>1562.36</v>
      </c>
      <c r="HU2258" t="s">
        <v>21773</v>
      </c>
      <c r="HV2258">
        <v>0.25</v>
      </c>
      <c r="HW2258" t="s">
        <v>424</v>
      </c>
      <c r="HX2258" t="s">
        <v>425</v>
      </c>
      <c r="HY2258" s="1">
        <v>42429</v>
      </c>
      <c r="HZ2258">
        <v>21</v>
      </c>
      <c r="IA2258">
        <v>2851116</v>
      </c>
      <c r="IB2258" t="s">
        <v>480</v>
      </c>
    </row>
    <row r="2259" spans="1:284" x14ac:dyDescent="0.25">
      <c r="A2259">
        <v>16487266</v>
      </c>
      <c r="B2259">
        <v>2258</v>
      </c>
      <c r="C2259" t="s">
        <v>393</v>
      </c>
      <c r="D2259" t="s">
        <v>394</v>
      </c>
      <c r="F2259" t="str">
        <f>"00-00-31-1800-0231-02C2"</f>
        <v>00-00-31-1800-0231-02C2</v>
      </c>
      <c r="H2259" t="str">
        <f>"RIVER GREEN ESTATES LLC"</f>
        <v>RIVER GREEN ESTATES LLC</v>
      </c>
      <c r="I2259" t="str">
        <f>"11323 PHILLIPS PKWY DR STE 7"</f>
        <v>11323 PHILLIPS PKWY DR STE 7</v>
      </c>
      <c r="J2259" t="str">
        <f>"JACKSONVILLE FL 32256"</f>
        <v>JACKSONVILLE FL 32256</v>
      </c>
      <c r="K2259" t="str">
        <f>"ELM ST"</f>
        <v>ELM ST</v>
      </c>
      <c r="L2259" t="str">
        <f t="shared" ref="L2259:L2287" si="846">"FERNANDINA BEACH FL 32034"</f>
        <v>FERNANDINA BEACH FL 32034</v>
      </c>
      <c r="M2259" t="str">
        <f>"BLK 231 W1/2 TRACT C OF LOT 2 &amp; W1/2 OF TRACT D OF LOT 3 IN OR 2144/1745 CITY OF FDNA BEACH"</f>
        <v>BLK 231 W1/2 TRACT C OF LOT 2 &amp; W1/2 OF TRACT D OF LOT 3 IN OR 2144/1745 CITY OF FDNA BEACH</v>
      </c>
      <c r="N2259" t="str">
        <f>""</f>
        <v/>
      </c>
      <c r="O2259" t="str">
        <f>"12738"</f>
        <v>12738</v>
      </c>
      <c r="P2259" t="str">
        <f t="shared" si="840"/>
        <v>2017</v>
      </c>
      <c r="Q2259" t="str">
        <f>""</f>
        <v/>
      </c>
      <c r="R2259" t="str">
        <f>"N"</f>
        <v>N</v>
      </c>
      <c r="S2259" t="str">
        <f>""</f>
        <v/>
      </c>
      <c r="T2259" t="str">
        <f>"508.02"</f>
        <v>508.02</v>
      </c>
      <c r="U2259" t="str">
        <f>"24140.00"</f>
        <v>24140.00</v>
      </c>
      <c r="V2259" t="str">
        <f>"24140.00"</f>
        <v>24140.00</v>
      </c>
      <c r="W2259" t="str">
        <f t="shared" si="841"/>
        <v>2017</v>
      </c>
      <c r="X2259" t="str">
        <f>"12.60"</f>
        <v>12.60</v>
      </c>
      <c r="Y2259" t="str">
        <f>"555.26"</f>
        <v>555.26</v>
      </c>
      <c r="Z2259" t="str">
        <f>""</f>
        <v/>
      </c>
      <c r="AA2259" t="str">
        <f>"28215.00"</f>
        <v>28215.00</v>
      </c>
      <c r="AB2259" t="str">
        <f t="shared" si="844"/>
        <v>Residential</v>
      </c>
      <c r="AC2259" t="str">
        <f t="shared" si="829"/>
        <v>0</v>
      </c>
      <c r="AD2259" t="str">
        <f>""</f>
        <v/>
      </c>
      <c r="AE2259" t="str">
        <f>""</f>
        <v/>
      </c>
      <c r="AF2259" t="str">
        <f>"000"</f>
        <v>000</v>
      </c>
      <c r="AG2259" t="str">
        <f t="shared" si="843"/>
        <v>FL</v>
      </c>
      <c r="AH2259" t="str">
        <f>"7100.00"</f>
        <v>7100.00</v>
      </c>
      <c r="AI2259" t="str">
        <f>"28215.00"</f>
        <v>28215.00</v>
      </c>
      <c r="AJ2259" t="str">
        <f>"C55-000-586-0149-3"</f>
        <v>C55-000-586-0149-3</v>
      </c>
      <c r="AK2259" t="str">
        <f>"49659"</f>
        <v>49659</v>
      </c>
      <c r="AL2259">
        <v>8</v>
      </c>
      <c r="AM2259">
        <v>2579</v>
      </c>
      <c r="AN2259">
        <v>581.41999999999996</v>
      </c>
      <c r="AQ2259" t="s">
        <v>21774</v>
      </c>
      <c r="AR2259" t="s">
        <v>21774</v>
      </c>
      <c r="AS2259" t="s">
        <v>21774</v>
      </c>
      <c r="AU2259" t="s">
        <v>396</v>
      </c>
      <c r="AV2259">
        <v>2017</v>
      </c>
      <c r="AW2259" t="str">
        <f>"00-00-31-1800-0231-02C2 "</f>
        <v xml:space="preserve">00-00-31-1800-0231-02C2 </v>
      </c>
      <c r="AZ2259" t="s">
        <v>21775</v>
      </c>
      <c r="BA2259" t="s">
        <v>1942</v>
      </c>
      <c r="BD2259" t="s">
        <v>11749</v>
      </c>
      <c r="BE2259" t="s">
        <v>393</v>
      </c>
      <c r="BF2259">
        <v>32034</v>
      </c>
      <c r="BG2259" t="s">
        <v>21776</v>
      </c>
      <c r="BH2259" t="s">
        <v>11751</v>
      </c>
      <c r="BI2259">
        <v>-81.455135678292507</v>
      </c>
      <c r="BJ2259">
        <v>30.6641846139071</v>
      </c>
      <c r="BK2259" t="s">
        <v>20099</v>
      </c>
      <c r="BM2259" t="s">
        <v>21777</v>
      </c>
      <c r="BN2259" t="s">
        <v>548</v>
      </c>
      <c r="BO2259">
        <v>32256</v>
      </c>
      <c r="BP2259" t="s">
        <v>404</v>
      </c>
      <c r="BQ2259">
        <v>0</v>
      </c>
      <c r="BR2259" t="s">
        <v>491</v>
      </c>
      <c r="BS2259">
        <v>8001</v>
      </c>
      <c r="BT2259" t="s">
        <v>492</v>
      </c>
      <c r="BU2259">
        <v>500</v>
      </c>
      <c r="BV2259">
        <v>1420</v>
      </c>
      <c r="BW2259">
        <v>7327</v>
      </c>
      <c r="BX2259" t="s">
        <v>407</v>
      </c>
      <c r="BY2259" t="s">
        <v>18253</v>
      </c>
      <c r="CD2259">
        <v>2017</v>
      </c>
      <c r="CE2259">
        <v>28215</v>
      </c>
      <c r="CG2259">
        <v>28215</v>
      </c>
      <c r="CH2259">
        <v>2017</v>
      </c>
      <c r="CI2259">
        <v>28215</v>
      </c>
      <c r="CK2259">
        <v>28215</v>
      </c>
      <c r="CL2259">
        <v>2017</v>
      </c>
      <c r="CM2259">
        <v>508.02</v>
      </c>
      <c r="CN2259" s="1">
        <v>42984</v>
      </c>
      <c r="CO2259">
        <v>35000</v>
      </c>
      <c r="CV2259">
        <v>0</v>
      </c>
      <c r="CZ2259" s="1">
        <v>42984</v>
      </c>
      <c r="DA2259">
        <v>0</v>
      </c>
      <c r="DD2259" t="s">
        <v>11749</v>
      </c>
      <c r="DF2259">
        <v>2</v>
      </c>
      <c r="DG2259">
        <v>23</v>
      </c>
      <c r="DL2259">
        <v>50101</v>
      </c>
      <c r="DM2259" t="s">
        <v>20742</v>
      </c>
      <c r="DO2259" t="s">
        <v>21778</v>
      </c>
      <c r="DP2259">
        <v>0</v>
      </c>
      <c r="DQ2259">
        <v>0</v>
      </c>
      <c r="DR2259" t="s">
        <v>411</v>
      </c>
      <c r="EP2259" t="s">
        <v>421</v>
      </c>
      <c r="EQ2259" t="s">
        <v>422</v>
      </c>
      <c r="ER2259">
        <v>0</v>
      </c>
      <c r="ES2259">
        <v>3</v>
      </c>
      <c r="ET2259">
        <v>0</v>
      </c>
      <c r="EU2259">
        <v>0</v>
      </c>
      <c r="EV2259">
        <v>0</v>
      </c>
      <c r="EW2259" s="2">
        <v>43222</v>
      </c>
      <c r="EX2259" s="1">
        <v>41787</v>
      </c>
      <c r="EY2259">
        <v>2013</v>
      </c>
      <c r="EZ2259">
        <v>452.31</v>
      </c>
      <c r="FA2259" t="s">
        <v>21779</v>
      </c>
      <c r="FB2259">
        <v>2.75</v>
      </c>
      <c r="FC2259" t="s">
        <v>424</v>
      </c>
      <c r="FD2259" t="s">
        <v>425</v>
      </c>
      <c r="FE2259" s="1">
        <v>41835</v>
      </c>
      <c r="FF2259">
        <v>2</v>
      </c>
      <c r="FG2259">
        <v>10125</v>
      </c>
      <c r="FH2259" t="s">
        <v>440</v>
      </c>
      <c r="FJ2259" s="1">
        <v>41052</v>
      </c>
      <c r="FK2259">
        <v>2011</v>
      </c>
      <c r="FL2259">
        <v>728.27</v>
      </c>
      <c r="FM2259" t="s">
        <v>21780</v>
      </c>
      <c r="FN2259">
        <v>6.75</v>
      </c>
      <c r="FO2259" t="s">
        <v>424</v>
      </c>
      <c r="FP2259" t="s">
        <v>425</v>
      </c>
      <c r="FQ2259" s="1">
        <v>41463</v>
      </c>
      <c r="FR2259">
        <v>14</v>
      </c>
      <c r="FS2259">
        <v>10125</v>
      </c>
      <c r="FT2259" t="s">
        <v>440</v>
      </c>
      <c r="FV2259" s="1">
        <v>40688</v>
      </c>
      <c r="FW2259">
        <v>2010</v>
      </c>
      <c r="FX2259">
        <v>711.73</v>
      </c>
      <c r="FY2259" t="s">
        <v>21781</v>
      </c>
      <c r="FZ2259">
        <v>7</v>
      </c>
      <c r="GA2259" t="s">
        <v>424</v>
      </c>
      <c r="GB2259" t="s">
        <v>425</v>
      </c>
      <c r="GC2259" s="1">
        <v>41145</v>
      </c>
      <c r="GD2259">
        <v>15</v>
      </c>
      <c r="GE2259">
        <v>10579</v>
      </c>
      <c r="GF2259" t="s">
        <v>488</v>
      </c>
    </row>
    <row r="2260" spans="1:284" x14ac:dyDescent="0.25">
      <c r="A2260">
        <v>16487267</v>
      </c>
      <c r="B2260">
        <v>2259</v>
      </c>
      <c r="C2260" t="s">
        <v>393</v>
      </c>
      <c r="D2260" t="s">
        <v>394</v>
      </c>
      <c r="F2260" t="str">
        <f>"00-00-31-1800-0232-05C2"</f>
        <v>00-00-31-1800-0232-05C2</v>
      </c>
      <c r="H2260" t="str">
        <f>"THOMAS LORA ANN"</f>
        <v>THOMAS LORA ANN</v>
      </c>
      <c r="I2260" t="str">
        <f>"731 VERNON ST"</f>
        <v>731 VERNON ST</v>
      </c>
      <c r="J2260" t="str">
        <f t="shared" ref="J2260:J2267" si="847">"FERNANDINA BEACH FL 32034"</f>
        <v>FERNANDINA BEACH FL 32034</v>
      </c>
      <c r="K2260" t="str">
        <f>"731 VERNON ST"</f>
        <v>731 VERNON ST</v>
      </c>
      <c r="L2260" t="str">
        <f t="shared" si="846"/>
        <v>FERNANDINA BEACH FL 32034</v>
      </c>
      <c r="M2260" t="str">
        <f>"BLOCK 232 S 50 FT OF C OF 5 IN OR 330 PG 615 CITY OF FDNA BEACH"</f>
        <v>BLOCK 232 S 50 FT OF C OF 5 IN OR 330 PG 615 CITY OF FDNA BEACH</v>
      </c>
      <c r="N2260" t="str">
        <f>""</f>
        <v/>
      </c>
      <c r="O2260" t="str">
        <f>"12775"</f>
        <v>12775</v>
      </c>
      <c r="P2260" t="str">
        <f t="shared" si="840"/>
        <v>2017</v>
      </c>
      <c r="Q2260" t="str">
        <f>""</f>
        <v/>
      </c>
      <c r="R2260" t="str">
        <f>"N"</f>
        <v>N</v>
      </c>
      <c r="S2260" t="str">
        <f>""</f>
        <v/>
      </c>
      <c r="T2260" t="str">
        <f>"1602.45"</f>
        <v>1602.45</v>
      </c>
      <c r="U2260" t="str">
        <f>"79642.00"</f>
        <v>79642.00</v>
      </c>
      <c r="V2260" t="str">
        <f>"79642.00"</f>
        <v>79642.00</v>
      </c>
      <c r="W2260" t="str">
        <f t="shared" si="841"/>
        <v>2017</v>
      </c>
      <c r="X2260" t="str">
        <f>"6.00"</f>
        <v>6.00</v>
      </c>
      <c r="Y2260" t="str">
        <f>"1682.52"</f>
        <v>1682.52</v>
      </c>
      <c r="Z2260" t="str">
        <f>""</f>
        <v/>
      </c>
      <c r="AA2260" t="str">
        <f>"81935.00"</f>
        <v>81935.00</v>
      </c>
      <c r="AB2260" t="str">
        <f t="shared" si="844"/>
        <v>Residential</v>
      </c>
      <c r="AC2260" t="str">
        <f t="shared" si="829"/>
        <v>0</v>
      </c>
      <c r="AD2260" t="str">
        <f>"3"</f>
        <v>3</v>
      </c>
      <c r="AE2260" t="str">
        <f>"MASONRY"</f>
        <v>MASONRY</v>
      </c>
      <c r="AF2260" t="str">
        <f t="shared" ref="AF2260:AF2266" si="848">"001"</f>
        <v>001</v>
      </c>
      <c r="AG2260" t="str">
        <f t="shared" si="843"/>
        <v>FL</v>
      </c>
      <c r="AH2260" t="str">
        <f>"5000.00"</f>
        <v>5000.00</v>
      </c>
      <c r="AI2260" t="str">
        <f>"24750.00"</f>
        <v>24750.00</v>
      </c>
      <c r="AJ2260" t="str">
        <f>"C55-000-586-0184-0"</f>
        <v>C55-000-586-0184-0</v>
      </c>
      <c r="AK2260" t="str">
        <f>"49695"</f>
        <v>49695</v>
      </c>
      <c r="AL2260">
        <v>8</v>
      </c>
      <c r="AM2260">
        <v>2580</v>
      </c>
      <c r="AN2260">
        <v>1765.05</v>
      </c>
      <c r="AQ2260" t="s">
        <v>21782</v>
      </c>
      <c r="AR2260" t="s">
        <v>21782</v>
      </c>
      <c r="AS2260" t="s">
        <v>21782</v>
      </c>
      <c r="AU2260" t="s">
        <v>396</v>
      </c>
      <c r="AV2260">
        <v>2017</v>
      </c>
      <c r="AW2260" t="str">
        <f>"00-00-31-1800-0232-05C2 "</f>
        <v xml:space="preserve">00-00-31-1800-0232-05C2 </v>
      </c>
      <c r="AX2260">
        <v>731</v>
      </c>
      <c r="AZ2260" t="s">
        <v>21720</v>
      </c>
      <c r="BA2260" t="s">
        <v>1942</v>
      </c>
      <c r="BD2260" t="s">
        <v>11749</v>
      </c>
      <c r="BE2260" t="s">
        <v>393</v>
      </c>
      <c r="BF2260">
        <v>32034</v>
      </c>
      <c r="BG2260" t="s">
        <v>21783</v>
      </c>
      <c r="BH2260" t="s">
        <v>11751</v>
      </c>
      <c r="BI2260">
        <v>-81.455652657274399</v>
      </c>
      <c r="BJ2260">
        <v>30.660282757498798</v>
      </c>
      <c r="BK2260" t="s">
        <v>21784</v>
      </c>
      <c r="BM2260" t="s">
        <v>21783</v>
      </c>
      <c r="BN2260" t="s">
        <v>3983</v>
      </c>
      <c r="BO2260">
        <v>32034</v>
      </c>
      <c r="BP2260" t="s">
        <v>416</v>
      </c>
      <c r="BQ2260">
        <v>100</v>
      </c>
      <c r="BR2260" t="s">
        <v>514</v>
      </c>
      <c r="BS2260">
        <v>1001</v>
      </c>
      <c r="BT2260" t="s">
        <v>515</v>
      </c>
      <c r="BU2260">
        <v>500</v>
      </c>
      <c r="BV2260">
        <v>1000</v>
      </c>
      <c r="BW2260">
        <v>5000</v>
      </c>
      <c r="BX2260" t="s">
        <v>407</v>
      </c>
      <c r="BY2260" t="s">
        <v>18253</v>
      </c>
      <c r="BZ2260">
        <v>3</v>
      </c>
      <c r="CA2260">
        <v>1981</v>
      </c>
      <c r="CB2260">
        <v>1</v>
      </c>
      <c r="CC2260">
        <v>1</v>
      </c>
      <c r="CD2260">
        <v>2017</v>
      </c>
      <c r="CE2260">
        <v>24750</v>
      </c>
      <c r="CF2260">
        <v>57185</v>
      </c>
      <c r="CG2260">
        <v>81935</v>
      </c>
      <c r="CH2260">
        <v>2017</v>
      </c>
      <c r="CI2260">
        <v>24750</v>
      </c>
      <c r="CJ2260">
        <v>57185</v>
      </c>
      <c r="CK2260">
        <v>81935</v>
      </c>
      <c r="CL2260">
        <v>2017</v>
      </c>
      <c r="CM2260">
        <v>1602.45</v>
      </c>
      <c r="CN2260" s="1">
        <v>29618</v>
      </c>
      <c r="CO2260">
        <v>3300</v>
      </c>
      <c r="CZ2260" s="1">
        <v>29618</v>
      </c>
      <c r="DD2260" t="s">
        <v>11749</v>
      </c>
      <c r="DG2260">
        <v>24</v>
      </c>
      <c r="DJ2260" t="s">
        <v>20634</v>
      </c>
      <c r="DL2260">
        <v>50101</v>
      </c>
      <c r="DM2260" t="s">
        <v>15205</v>
      </c>
      <c r="DO2260" t="s">
        <v>21785</v>
      </c>
      <c r="DP2260">
        <v>0</v>
      </c>
      <c r="DQ2260">
        <v>0</v>
      </c>
      <c r="DR2260" t="s">
        <v>411</v>
      </c>
      <c r="EP2260" t="s">
        <v>421</v>
      </c>
      <c r="EQ2260" t="s">
        <v>422</v>
      </c>
      <c r="ER2260">
        <v>0</v>
      </c>
      <c r="ES2260">
        <v>3</v>
      </c>
      <c r="ET2260">
        <v>0</v>
      </c>
      <c r="EU2260">
        <v>0</v>
      </c>
      <c r="EV2260">
        <v>0</v>
      </c>
      <c r="EW2260" s="2">
        <v>43222</v>
      </c>
      <c r="EX2260" s="1">
        <v>42879</v>
      </c>
      <c r="EY2260">
        <v>2016</v>
      </c>
      <c r="EZ2260">
        <v>1630.13</v>
      </c>
      <c r="FA2260" t="s">
        <v>21786</v>
      </c>
      <c r="FB2260">
        <v>0.25</v>
      </c>
      <c r="FC2260" t="s">
        <v>424</v>
      </c>
      <c r="FD2260" t="s">
        <v>425</v>
      </c>
      <c r="FE2260" s="1">
        <v>43201</v>
      </c>
      <c r="FF2260">
        <v>11</v>
      </c>
      <c r="FG2260">
        <v>2851116</v>
      </c>
      <c r="FH2260" t="s">
        <v>480</v>
      </c>
      <c r="FJ2260" s="1">
        <v>42879</v>
      </c>
      <c r="FK2260">
        <v>2016</v>
      </c>
      <c r="FL2260">
        <v>1630.13</v>
      </c>
      <c r="FM2260" t="s">
        <v>21786</v>
      </c>
      <c r="FN2260">
        <v>0.25</v>
      </c>
      <c r="FO2260" t="s">
        <v>424</v>
      </c>
      <c r="FP2260" t="s">
        <v>425</v>
      </c>
      <c r="FR2260">
        <v>22</v>
      </c>
      <c r="FS2260">
        <v>5230839</v>
      </c>
      <c r="FT2260" t="s">
        <v>21787</v>
      </c>
      <c r="FV2260" s="1">
        <v>41423</v>
      </c>
      <c r="FW2260">
        <v>2012</v>
      </c>
      <c r="FX2260">
        <v>1250.49</v>
      </c>
      <c r="FY2260" t="s">
        <v>21788</v>
      </c>
      <c r="FZ2260">
        <v>0.25</v>
      </c>
      <c r="GA2260" t="s">
        <v>424</v>
      </c>
      <c r="GB2260" t="s">
        <v>425</v>
      </c>
      <c r="GC2260" s="1">
        <v>41453</v>
      </c>
      <c r="GD2260">
        <v>1</v>
      </c>
      <c r="GE2260">
        <v>606981</v>
      </c>
      <c r="GF2260" t="s">
        <v>792</v>
      </c>
    </row>
    <row r="2261" spans="1:284" x14ac:dyDescent="0.25">
      <c r="A2261">
        <v>16487268</v>
      </c>
      <c r="B2261">
        <v>2260</v>
      </c>
      <c r="C2261" t="s">
        <v>393</v>
      </c>
      <c r="D2261" t="s">
        <v>394</v>
      </c>
      <c r="F2261" t="str">
        <f>"00-00-31-1800-0233-0023"</f>
        <v>00-00-31-1800-0233-0023</v>
      </c>
      <c r="H2261" t="str">
        <f>"ROBERTS TERRY LEE"</f>
        <v>ROBERTS TERRY LEE</v>
      </c>
      <c r="I2261" t="str">
        <f>"816 S 12TH ST"</f>
        <v>816 S 12TH ST</v>
      </c>
      <c r="J2261" t="str">
        <f t="shared" si="847"/>
        <v>FERNANDINA BEACH FL 32034</v>
      </c>
      <c r="K2261" t="str">
        <f>"816 12TH ST S"</f>
        <v>816 12TH ST S</v>
      </c>
      <c r="L2261" t="str">
        <f t="shared" si="846"/>
        <v>FERNANDINA BEACH FL 32034</v>
      </c>
      <c r="M2261" t="str">
        <f>"BLOCK 233 W 100FT OF N 1/2 OF LOT 2 IN OR 1332/1276 CITY OF FDNA BEACH"</f>
        <v>BLOCK 233 W 100FT OF N 1/2 OF LOT 2 IN OR 1332/1276 CITY OF FDNA BEACH</v>
      </c>
      <c r="N2261" t="str">
        <f>""</f>
        <v/>
      </c>
      <c r="O2261" t="str">
        <f>"12804"</f>
        <v>12804</v>
      </c>
      <c r="P2261" t="str">
        <f t="shared" si="840"/>
        <v>2017</v>
      </c>
      <c r="Q2261" t="str">
        <f>""</f>
        <v/>
      </c>
      <c r="R2261" t="str">
        <f>"Y"</f>
        <v>Y</v>
      </c>
      <c r="S2261" t="str">
        <f>""</f>
        <v/>
      </c>
      <c r="T2261" t="str">
        <f>"1198.23"</f>
        <v>1198.23</v>
      </c>
      <c r="U2261" t="str">
        <f>"106844.00"</f>
        <v>106844.00</v>
      </c>
      <c r="V2261" t="str">
        <f>"106844.00"</f>
        <v>106844.00</v>
      </c>
      <c r="W2261" t="str">
        <f t="shared" si="841"/>
        <v>2017</v>
      </c>
      <c r="X2261" t="str">
        <f>"1.00"</f>
        <v>1.00</v>
      </c>
      <c r="Y2261" t="str">
        <f>"1266.18"</f>
        <v>1266.18</v>
      </c>
      <c r="Z2261" t="str">
        <f>"30000.00"</f>
        <v>30000.00</v>
      </c>
      <c r="AA2261" t="str">
        <f>"76844.00"</f>
        <v>76844.00</v>
      </c>
      <c r="AB2261" t="str">
        <f t="shared" si="844"/>
        <v>Residential</v>
      </c>
      <c r="AC2261" t="str">
        <f t="shared" si="829"/>
        <v>0</v>
      </c>
      <c r="AD2261" t="str">
        <f>"3"</f>
        <v>3</v>
      </c>
      <c r="AE2261" t="str">
        <f>"MASONRY"</f>
        <v>MASONRY</v>
      </c>
      <c r="AF2261" t="str">
        <f t="shared" si="848"/>
        <v>001</v>
      </c>
      <c r="AG2261" t="str">
        <f t="shared" si="843"/>
        <v>FL</v>
      </c>
      <c r="AH2261" t="str">
        <f>"8600.00"</f>
        <v>8600.00</v>
      </c>
      <c r="AI2261" t="str">
        <f>"31927.00"</f>
        <v>31927.00</v>
      </c>
      <c r="AJ2261" t="str">
        <f>"C55-000-586-0212-9"</f>
        <v>C55-000-586-0212-9</v>
      </c>
      <c r="AK2261" t="str">
        <f>"49724"</f>
        <v>49724</v>
      </c>
      <c r="AL2261">
        <v>8</v>
      </c>
      <c r="AM2261">
        <v>2581</v>
      </c>
      <c r="AN2261">
        <v>1327.89</v>
      </c>
      <c r="AQ2261" t="s">
        <v>21789</v>
      </c>
      <c r="AR2261" t="s">
        <v>21789</v>
      </c>
      <c r="AS2261" t="s">
        <v>21789</v>
      </c>
      <c r="AU2261" t="s">
        <v>396</v>
      </c>
      <c r="AV2261">
        <v>2017</v>
      </c>
      <c r="AW2261" t="str">
        <f>"00-00-31-1800-0233-0023 "</f>
        <v xml:space="preserve">00-00-31-1800-0233-0023 </v>
      </c>
      <c r="AX2261">
        <v>816</v>
      </c>
      <c r="AZ2261" t="s">
        <v>5203</v>
      </c>
      <c r="BA2261" t="s">
        <v>1942</v>
      </c>
      <c r="BB2261" t="s">
        <v>18674</v>
      </c>
      <c r="BD2261" t="s">
        <v>11749</v>
      </c>
      <c r="BE2261" t="s">
        <v>393</v>
      </c>
      <c r="BF2261">
        <v>32034</v>
      </c>
      <c r="BG2261" t="s">
        <v>21790</v>
      </c>
      <c r="BH2261" t="s">
        <v>11751</v>
      </c>
      <c r="BI2261">
        <v>-81.456092028951701</v>
      </c>
      <c r="BJ2261">
        <v>30.659498861715999</v>
      </c>
      <c r="BK2261" t="s">
        <v>21791</v>
      </c>
      <c r="BM2261" t="s">
        <v>21792</v>
      </c>
      <c r="BN2261" t="s">
        <v>3983</v>
      </c>
      <c r="BO2261">
        <v>32034</v>
      </c>
      <c r="BP2261" t="s">
        <v>416</v>
      </c>
      <c r="BQ2261">
        <v>100</v>
      </c>
      <c r="BR2261" t="s">
        <v>514</v>
      </c>
      <c r="BS2261">
        <v>1001</v>
      </c>
      <c r="BT2261" t="s">
        <v>515</v>
      </c>
      <c r="BU2261">
        <v>860</v>
      </c>
      <c r="BV2261">
        <v>1000</v>
      </c>
      <c r="BW2261">
        <v>8620</v>
      </c>
      <c r="BX2261" t="s">
        <v>407</v>
      </c>
      <c r="BY2261" t="s">
        <v>18253</v>
      </c>
      <c r="BZ2261">
        <v>3</v>
      </c>
      <c r="CA2261">
        <v>1971</v>
      </c>
      <c r="CB2261">
        <v>1</v>
      </c>
      <c r="CC2261">
        <v>1</v>
      </c>
      <c r="CD2261">
        <v>2017</v>
      </c>
      <c r="CE2261">
        <v>31927</v>
      </c>
      <c r="CF2261">
        <v>74917</v>
      </c>
      <c r="CG2261">
        <v>106844</v>
      </c>
      <c r="CH2261">
        <v>2017</v>
      </c>
      <c r="CI2261">
        <v>31927</v>
      </c>
      <c r="CJ2261">
        <v>74917</v>
      </c>
      <c r="CK2261">
        <v>106844</v>
      </c>
      <c r="CL2261">
        <v>2017</v>
      </c>
      <c r="CM2261">
        <v>1198.23</v>
      </c>
      <c r="CN2261" s="1">
        <v>38545</v>
      </c>
      <c r="CZ2261" s="1">
        <v>38545</v>
      </c>
      <c r="DD2261" t="s">
        <v>11749</v>
      </c>
      <c r="DF2261">
        <v>2</v>
      </c>
      <c r="DG2261">
        <v>24</v>
      </c>
      <c r="DL2261">
        <v>50101</v>
      </c>
      <c r="DM2261" t="s">
        <v>15205</v>
      </c>
      <c r="DO2261" t="s">
        <v>21793</v>
      </c>
      <c r="DP2261">
        <v>0</v>
      </c>
      <c r="DQ2261">
        <v>0</v>
      </c>
      <c r="DR2261" t="s">
        <v>411</v>
      </c>
      <c r="DS2261" t="b">
        <v>1</v>
      </c>
      <c r="DT2261" t="s">
        <v>470</v>
      </c>
      <c r="DU2261" t="s">
        <v>471</v>
      </c>
      <c r="DV2261" t="s">
        <v>472</v>
      </c>
      <c r="DX2261">
        <v>-9999</v>
      </c>
      <c r="DZ2261" t="s">
        <v>447</v>
      </c>
      <c r="EA2261" t="s">
        <v>448</v>
      </c>
      <c r="EB2261" t="s">
        <v>14787</v>
      </c>
      <c r="EC2261">
        <v>20101217</v>
      </c>
      <c r="ED2261" t="s">
        <v>474</v>
      </c>
      <c r="EF2261">
        <v>1947.1</v>
      </c>
      <c r="EG2261">
        <v>1637</v>
      </c>
      <c r="EI2261">
        <v>20160407</v>
      </c>
      <c r="EJ2261">
        <v>0</v>
      </c>
      <c r="EK2261">
        <v>0</v>
      </c>
    </row>
    <row r="2262" spans="1:284" x14ac:dyDescent="0.25">
      <c r="A2262">
        <v>16487269</v>
      </c>
      <c r="B2262">
        <v>2261</v>
      </c>
      <c r="C2262" t="s">
        <v>393</v>
      </c>
      <c r="D2262" t="s">
        <v>394</v>
      </c>
      <c r="F2262" t="str">
        <f>"00-00-31-1800-0233-0041"</f>
        <v>00-00-31-1800-0233-0041</v>
      </c>
      <c r="H2262" t="str">
        <f>"WILLIAMSON JAMES JR"</f>
        <v>WILLIAMSON JAMES JR</v>
      </c>
      <c r="I2262" t="str">
        <f>"909 VERNON ST"</f>
        <v>909 VERNON ST</v>
      </c>
      <c r="J2262" t="str">
        <f t="shared" si="847"/>
        <v>FERNANDINA BEACH FL 32034</v>
      </c>
      <c r="K2262" t="str">
        <f>"909 VERNON ST"</f>
        <v>909 VERNON ST</v>
      </c>
      <c r="L2262" t="str">
        <f t="shared" si="846"/>
        <v>FERNANDINA BEACH FL 32034</v>
      </c>
      <c r="M2262" t="str">
        <f>"BLOCK 233 N 65.5 FT OF W100 FT OF E130 FT OF LOT 4 IN OR 678 PG 1543 CITY OF FDNA BEACH"</f>
        <v>BLOCK 233 N 65.5 FT OF W100 FT OF E130 FT OF LOT 4 IN OR 678 PG 1543 CITY OF FDNA BEACH</v>
      </c>
      <c r="N2262" t="str">
        <f>""</f>
        <v/>
      </c>
      <c r="O2262" t="str">
        <f>"12811"</f>
        <v>12811</v>
      </c>
      <c r="P2262" t="str">
        <f t="shared" si="840"/>
        <v>2017</v>
      </c>
      <c r="Q2262" t="str">
        <f>""</f>
        <v/>
      </c>
      <c r="R2262" t="str">
        <f>"Y"</f>
        <v>Y</v>
      </c>
      <c r="S2262" t="str">
        <f>""</f>
        <v/>
      </c>
      <c r="T2262" t="str">
        <f>"619.66"</f>
        <v>619.66</v>
      </c>
      <c r="U2262" t="str">
        <f>"68024.00"</f>
        <v>68024.00</v>
      </c>
      <c r="V2262" t="str">
        <f>"68024.00"</f>
        <v>68024.00</v>
      </c>
      <c r="W2262" t="str">
        <f t="shared" si="841"/>
        <v>2017</v>
      </c>
      <c r="X2262" t="str">
        <f>"12.43"</f>
        <v>12.43</v>
      </c>
      <c r="Y2262" t="str">
        <f>"670.25"</f>
        <v>670.25</v>
      </c>
      <c r="Z2262" t="str">
        <f>"25000.00"</f>
        <v>25000.00</v>
      </c>
      <c r="AA2262" t="str">
        <f>"43024.00"</f>
        <v>43024.00</v>
      </c>
      <c r="AB2262" t="str">
        <f t="shared" si="844"/>
        <v>Residential</v>
      </c>
      <c r="AC2262" t="str">
        <f t="shared" si="829"/>
        <v>0</v>
      </c>
      <c r="AD2262" t="str">
        <f>"4"</f>
        <v>4</v>
      </c>
      <c r="AE2262" t="str">
        <f>"WOOD (INCLUDE STEEL STUDS)"</f>
        <v>WOOD (INCLUDE STEEL STUDS)</v>
      </c>
      <c r="AF2262" t="str">
        <f t="shared" si="848"/>
        <v>001</v>
      </c>
      <c r="AG2262" t="str">
        <f t="shared" si="843"/>
        <v>FL</v>
      </c>
      <c r="AH2262" t="str">
        <f>"6600.00"</f>
        <v>6600.00</v>
      </c>
      <c r="AI2262" t="str">
        <f>"29180.00"</f>
        <v>29180.00</v>
      </c>
      <c r="AJ2262" t="str">
        <f>"C55-000-586-0216-0"</f>
        <v>C55-000-586-0216-0</v>
      </c>
      <c r="AK2262" t="str">
        <f>"49730"</f>
        <v>49730</v>
      </c>
      <c r="AL2262">
        <v>8</v>
      </c>
      <c r="AM2262">
        <v>2582</v>
      </c>
      <c r="AN2262">
        <v>702.16</v>
      </c>
      <c r="AQ2262" t="s">
        <v>21794</v>
      </c>
      <c r="AR2262" t="s">
        <v>21794</v>
      </c>
      <c r="AS2262" t="s">
        <v>21794</v>
      </c>
      <c r="AU2262" t="s">
        <v>396</v>
      </c>
      <c r="AV2262">
        <v>2017</v>
      </c>
      <c r="AW2262" t="str">
        <f>"00-00-31-1800-0233-0041 "</f>
        <v xml:space="preserve">00-00-31-1800-0233-0041 </v>
      </c>
      <c r="AX2262">
        <v>909</v>
      </c>
      <c r="AZ2262" t="s">
        <v>21720</v>
      </c>
      <c r="BA2262" t="s">
        <v>1942</v>
      </c>
      <c r="BD2262" t="s">
        <v>11749</v>
      </c>
      <c r="BE2262" t="s">
        <v>393</v>
      </c>
      <c r="BF2262">
        <v>32034</v>
      </c>
      <c r="BG2262" t="s">
        <v>21795</v>
      </c>
      <c r="BH2262" t="s">
        <v>11751</v>
      </c>
      <c r="BI2262">
        <v>-81.455914612876796</v>
      </c>
      <c r="BJ2262">
        <v>30.6585514678737</v>
      </c>
      <c r="BK2262" t="s">
        <v>21796</v>
      </c>
      <c r="BM2262" t="s">
        <v>21795</v>
      </c>
      <c r="BN2262" t="s">
        <v>3983</v>
      </c>
      <c r="BO2262">
        <v>32034</v>
      </c>
      <c r="BP2262" t="s">
        <v>416</v>
      </c>
      <c r="BQ2262">
        <v>100</v>
      </c>
      <c r="BR2262" t="s">
        <v>514</v>
      </c>
      <c r="BS2262">
        <v>1001</v>
      </c>
      <c r="BT2262" t="s">
        <v>515</v>
      </c>
      <c r="BU2262">
        <v>655</v>
      </c>
      <c r="BV2262">
        <v>1000</v>
      </c>
      <c r="BW2262">
        <v>6565</v>
      </c>
      <c r="BX2262" t="s">
        <v>407</v>
      </c>
      <c r="BY2262" t="s">
        <v>18253</v>
      </c>
      <c r="BZ2262">
        <v>4</v>
      </c>
      <c r="CA2262">
        <v>1975</v>
      </c>
      <c r="CB2262">
        <v>1</v>
      </c>
      <c r="CC2262">
        <v>1</v>
      </c>
      <c r="CD2262">
        <v>2017</v>
      </c>
      <c r="CG2262">
        <v>68024</v>
      </c>
      <c r="CH2262">
        <v>2017</v>
      </c>
      <c r="CI2262">
        <v>29180</v>
      </c>
      <c r="CJ2262">
        <v>72409</v>
      </c>
      <c r="CK2262">
        <v>101589</v>
      </c>
      <c r="CL2262">
        <v>2017</v>
      </c>
      <c r="CM2262">
        <v>619.66</v>
      </c>
      <c r="CN2262" s="1">
        <v>36985</v>
      </c>
      <c r="CO2262">
        <v>18500</v>
      </c>
      <c r="CV2262">
        <v>0</v>
      </c>
      <c r="CZ2262" s="1">
        <v>36985</v>
      </c>
      <c r="DA2262">
        <v>0</v>
      </c>
      <c r="DD2262" t="s">
        <v>11749</v>
      </c>
      <c r="DF2262">
        <v>4</v>
      </c>
      <c r="DG2262">
        <v>24</v>
      </c>
      <c r="DL2262">
        <v>50101</v>
      </c>
      <c r="DM2262" t="s">
        <v>15205</v>
      </c>
      <c r="DO2262" t="s">
        <v>21797</v>
      </c>
      <c r="DP2262">
        <v>0</v>
      </c>
      <c r="DQ2262">
        <v>0</v>
      </c>
      <c r="DR2262" t="s">
        <v>411</v>
      </c>
      <c r="DS2262" t="b">
        <v>1</v>
      </c>
      <c r="DT2262" t="s">
        <v>470</v>
      </c>
      <c r="DU2262" t="s">
        <v>471</v>
      </c>
      <c r="DV2262" t="s">
        <v>472</v>
      </c>
      <c r="DX2262">
        <v>-9999</v>
      </c>
      <c r="DZ2262" t="s">
        <v>447</v>
      </c>
      <c r="EA2262" t="s">
        <v>448</v>
      </c>
      <c r="EB2262" t="s">
        <v>14787</v>
      </c>
      <c r="EC2262">
        <v>20101217</v>
      </c>
      <c r="ED2262" t="s">
        <v>474</v>
      </c>
      <c r="EF2262">
        <v>2008.3</v>
      </c>
      <c r="EG2262">
        <v>1735.3</v>
      </c>
      <c r="EI2262">
        <v>20160407</v>
      </c>
      <c r="EJ2262">
        <v>0</v>
      </c>
      <c r="EK2262">
        <v>0</v>
      </c>
      <c r="EP2262" t="s">
        <v>421</v>
      </c>
      <c r="EQ2262" t="s">
        <v>422</v>
      </c>
      <c r="ER2262">
        <v>2</v>
      </c>
      <c r="ES2262">
        <v>8</v>
      </c>
      <c r="ET2262">
        <v>1398.26</v>
      </c>
      <c r="EU2262">
        <v>82.41</v>
      </c>
      <c r="EV2262">
        <v>1480.67</v>
      </c>
      <c r="EW2262" s="2">
        <v>43222</v>
      </c>
      <c r="EX2262" s="1">
        <v>42879</v>
      </c>
      <c r="EY2262">
        <v>2016</v>
      </c>
      <c r="EZ2262">
        <v>699.13</v>
      </c>
      <c r="FA2262" t="s">
        <v>21798</v>
      </c>
      <c r="FB2262">
        <v>0.25</v>
      </c>
      <c r="FC2262" t="s">
        <v>424</v>
      </c>
      <c r="FD2262" t="s">
        <v>454</v>
      </c>
      <c r="FF2262">
        <v>12</v>
      </c>
      <c r="FG2262">
        <v>2851116</v>
      </c>
      <c r="FH2262" t="s">
        <v>480</v>
      </c>
      <c r="FJ2262" s="1">
        <v>42879</v>
      </c>
      <c r="FK2262">
        <v>2016</v>
      </c>
      <c r="FL2262">
        <v>699.13</v>
      </c>
      <c r="FM2262" t="s">
        <v>21798</v>
      </c>
      <c r="FN2262">
        <v>0.25</v>
      </c>
      <c r="FO2262" t="s">
        <v>424</v>
      </c>
      <c r="FP2262" t="s">
        <v>454</v>
      </c>
      <c r="FR2262">
        <v>12</v>
      </c>
      <c r="FS2262">
        <v>4991974</v>
      </c>
      <c r="FT2262" t="s">
        <v>21799</v>
      </c>
      <c r="FV2262" s="1">
        <v>42515</v>
      </c>
      <c r="FW2262">
        <v>2015</v>
      </c>
      <c r="FX2262">
        <v>704.16</v>
      </c>
      <c r="FY2262" t="s">
        <v>21800</v>
      </c>
      <c r="FZ2262">
        <v>0.25</v>
      </c>
      <c r="GA2262" t="s">
        <v>424</v>
      </c>
      <c r="GB2262" t="s">
        <v>425</v>
      </c>
      <c r="GC2262" s="1">
        <v>43158</v>
      </c>
      <c r="GD2262">
        <v>21</v>
      </c>
      <c r="GE2262">
        <v>7045074</v>
      </c>
      <c r="GF2262" t="s">
        <v>580</v>
      </c>
      <c r="GH2262" s="1">
        <v>42515</v>
      </c>
      <c r="GI2262">
        <v>2015</v>
      </c>
      <c r="GJ2262">
        <v>704.16</v>
      </c>
      <c r="GK2262" t="s">
        <v>21800</v>
      </c>
      <c r="GL2262">
        <v>0.25</v>
      </c>
      <c r="GM2262" t="s">
        <v>424</v>
      </c>
      <c r="GN2262" t="s">
        <v>425</v>
      </c>
      <c r="GP2262">
        <v>22</v>
      </c>
      <c r="GQ2262">
        <v>6431884</v>
      </c>
      <c r="GR2262" t="s">
        <v>21801</v>
      </c>
      <c r="GT2262" s="1">
        <v>42151</v>
      </c>
      <c r="GU2262">
        <v>2014</v>
      </c>
      <c r="GV2262">
        <v>705.54</v>
      </c>
      <c r="GW2262" t="s">
        <v>21802</v>
      </c>
      <c r="GX2262">
        <v>0.25</v>
      </c>
      <c r="GY2262" t="s">
        <v>424</v>
      </c>
      <c r="GZ2262" t="s">
        <v>425</v>
      </c>
      <c r="HA2262" s="1">
        <v>42513</v>
      </c>
      <c r="HB2262">
        <v>12</v>
      </c>
      <c r="HC2262">
        <v>4844983</v>
      </c>
      <c r="HD2262" t="s">
        <v>3901</v>
      </c>
      <c r="HF2262" s="1">
        <v>42151</v>
      </c>
      <c r="HG2262">
        <v>2014</v>
      </c>
      <c r="HH2262">
        <v>705.54</v>
      </c>
      <c r="HI2262" t="s">
        <v>21802</v>
      </c>
      <c r="HJ2262">
        <v>0.25</v>
      </c>
      <c r="HK2262" t="s">
        <v>424</v>
      </c>
      <c r="HL2262" t="s">
        <v>425</v>
      </c>
      <c r="HN2262">
        <v>22</v>
      </c>
      <c r="HO2262">
        <v>6003267</v>
      </c>
      <c r="HP2262" t="s">
        <v>21803</v>
      </c>
      <c r="HR2262" s="1">
        <v>41787</v>
      </c>
      <c r="HS2262">
        <v>2013</v>
      </c>
      <c r="HT2262">
        <v>681.46</v>
      </c>
      <c r="HU2262" t="s">
        <v>21804</v>
      </c>
      <c r="HV2262">
        <v>0.25</v>
      </c>
      <c r="HW2262" t="s">
        <v>424</v>
      </c>
      <c r="HX2262" t="s">
        <v>425</v>
      </c>
      <c r="HY2262" s="1">
        <v>42118</v>
      </c>
      <c r="HZ2262">
        <v>11</v>
      </c>
      <c r="IA2262">
        <v>2101382</v>
      </c>
      <c r="IB2262" t="s">
        <v>993</v>
      </c>
      <c r="ID2262" s="1">
        <v>41423</v>
      </c>
      <c r="IE2262">
        <v>2012</v>
      </c>
      <c r="IF2262">
        <v>675.66</v>
      </c>
      <c r="IG2262" t="s">
        <v>21805</v>
      </c>
      <c r="IH2262">
        <v>0.25</v>
      </c>
      <c r="II2262" t="s">
        <v>424</v>
      </c>
      <c r="IJ2262" t="s">
        <v>425</v>
      </c>
      <c r="IK2262" s="1">
        <v>42062</v>
      </c>
      <c r="IL2262">
        <v>21</v>
      </c>
      <c r="IM2262">
        <v>2101382</v>
      </c>
      <c r="IN2262" t="s">
        <v>993</v>
      </c>
      <c r="IP2262" s="1">
        <v>41052</v>
      </c>
      <c r="IQ2262">
        <v>2011</v>
      </c>
      <c r="IR2262">
        <v>639.94000000000005</v>
      </c>
      <c r="IS2262" t="s">
        <v>21806</v>
      </c>
      <c r="IT2262">
        <v>0.25</v>
      </c>
      <c r="IU2262" t="s">
        <v>424</v>
      </c>
      <c r="IV2262" t="s">
        <v>425</v>
      </c>
      <c r="IW2262" s="1">
        <v>41611</v>
      </c>
      <c r="IX2262">
        <v>19</v>
      </c>
      <c r="IY2262">
        <v>13297</v>
      </c>
      <c r="IZ2262" t="s">
        <v>1471</v>
      </c>
      <c r="JB2262" s="1">
        <v>40688</v>
      </c>
      <c r="JC2262">
        <v>2010</v>
      </c>
      <c r="JD2262">
        <v>620.61</v>
      </c>
      <c r="JE2262" t="s">
        <v>21807</v>
      </c>
      <c r="JF2262">
        <v>0.25</v>
      </c>
      <c r="JG2262" t="s">
        <v>424</v>
      </c>
      <c r="JH2262" t="s">
        <v>425</v>
      </c>
      <c r="JI2262" s="1">
        <v>40724</v>
      </c>
      <c r="JJ2262">
        <v>1</v>
      </c>
      <c r="JK2262">
        <v>11177</v>
      </c>
      <c r="JL2262" t="s">
        <v>650</v>
      </c>
    </row>
    <row r="2263" spans="1:284" x14ac:dyDescent="0.25">
      <c r="A2263">
        <v>16487270</v>
      </c>
      <c r="B2263">
        <v>2262</v>
      </c>
      <c r="C2263" t="s">
        <v>393</v>
      </c>
      <c r="D2263" t="s">
        <v>394</v>
      </c>
      <c r="F2263" t="str">
        <f>"00-00-31-1800-0233-0076"</f>
        <v>00-00-31-1800-0233-0076</v>
      </c>
      <c r="H2263" t="str">
        <f>"MITCHELL GLENITA M"</f>
        <v>MITCHELL GLENITA M</v>
      </c>
      <c r="I2263" t="str">
        <f>"920 VERNON ST"</f>
        <v>920 VERNON ST</v>
      </c>
      <c r="J2263" t="str">
        <f t="shared" si="847"/>
        <v>FERNANDINA BEACH FL 32034</v>
      </c>
      <c r="K2263" t="str">
        <f>"920 VERNON ST"</f>
        <v>920 VERNON ST</v>
      </c>
      <c r="L2263" t="str">
        <f t="shared" si="846"/>
        <v>FERNANDINA BEACH FL 32034</v>
      </c>
      <c r="M2263" t="str">
        <f>"BLOCK 233 S41 FT OF E100 FT OF W130 FT OF LOT 7 &amp; N24.5 FT OF E100 FT OF W130 FT OF LOT 6 IN OR 791/1460 CITY OF FDNA BEACH"</f>
        <v>BLOCK 233 S41 FT OF E100 FT OF W130 FT OF LOT 7 &amp; N24.5 FT OF E100 FT OF W130 FT OF LOT 6 IN OR 791/1460 CITY OF FDNA BEACH</v>
      </c>
      <c r="N2263" t="str">
        <f>""</f>
        <v/>
      </c>
      <c r="O2263" t="str">
        <f>"12830"</f>
        <v>12830</v>
      </c>
      <c r="P2263" t="str">
        <f t="shared" si="840"/>
        <v>2017</v>
      </c>
      <c r="Q2263" t="str">
        <f>""</f>
        <v/>
      </c>
      <c r="R2263" t="str">
        <f>"N"</f>
        <v>N</v>
      </c>
      <c r="S2263" t="str">
        <f>""</f>
        <v/>
      </c>
      <c r="T2263" t="str">
        <f>"1561.29"</f>
        <v>1561.29</v>
      </c>
      <c r="U2263" t="str">
        <f>"78335.00"</f>
        <v>78335.00</v>
      </c>
      <c r="V2263" t="str">
        <f>"78335.00"</f>
        <v>78335.00</v>
      </c>
      <c r="W2263" t="str">
        <f t="shared" si="841"/>
        <v>2017</v>
      </c>
      <c r="X2263" t="str">
        <f>"32.42"</f>
        <v>32.42</v>
      </c>
      <c r="Y2263" t="str">
        <f>"1640.13"</f>
        <v>1640.13</v>
      </c>
      <c r="Z2263" t="str">
        <f>""</f>
        <v/>
      </c>
      <c r="AA2263" t="str">
        <f>"78335.00"</f>
        <v>78335.00</v>
      </c>
      <c r="AB2263" t="str">
        <f t="shared" si="844"/>
        <v>Residential</v>
      </c>
      <c r="AC2263" t="str">
        <f t="shared" si="829"/>
        <v>0</v>
      </c>
      <c r="AD2263" t="str">
        <f>"4"</f>
        <v>4</v>
      </c>
      <c r="AE2263" t="str">
        <f>"WOOD (INCLUDE STEEL STUDS)"</f>
        <v>WOOD (INCLUDE STEEL STUDS)</v>
      </c>
      <c r="AF2263" t="str">
        <f t="shared" si="848"/>
        <v>001</v>
      </c>
      <c r="AG2263" t="str">
        <f t="shared" si="843"/>
        <v>FL</v>
      </c>
      <c r="AH2263" t="str">
        <f>"6600.00"</f>
        <v>6600.00</v>
      </c>
      <c r="AI2263" t="str">
        <f>"29180.00"</f>
        <v>29180.00</v>
      </c>
      <c r="AJ2263" t="str">
        <f>"C55-000-586-0234-3"</f>
        <v>C55-000-586-0234-3</v>
      </c>
      <c r="AK2263" t="str">
        <f>"49748"</f>
        <v>49748</v>
      </c>
      <c r="AL2263">
        <v>8</v>
      </c>
      <c r="AM2263">
        <v>2584</v>
      </c>
      <c r="AN2263">
        <v>1720.54</v>
      </c>
      <c r="AQ2263" t="s">
        <v>21808</v>
      </c>
      <c r="AR2263" t="s">
        <v>21808</v>
      </c>
      <c r="AS2263" t="s">
        <v>21808</v>
      </c>
      <c r="AU2263" t="s">
        <v>396</v>
      </c>
      <c r="AV2263">
        <v>2017</v>
      </c>
      <c r="AW2263" t="str">
        <f>"00-00-31-1800-0233-0076 "</f>
        <v xml:space="preserve">00-00-31-1800-0233-0076 </v>
      </c>
      <c r="AX2263">
        <v>920</v>
      </c>
      <c r="AZ2263" t="s">
        <v>21720</v>
      </c>
      <c r="BA2263" t="s">
        <v>1942</v>
      </c>
      <c r="BD2263" t="s">
        <v>11749</v>
      </c>
      <c r="BE2263" t="s">
        <v>393</v>
      </c>
      <c r="BF2263">
        <v>32034</v>
      </c>
      <c r="BG2263" t="s">
        <v>21809</v>
      </c>
      <c r="BH2263" t="s">
        <v>11751</v>
      </c>
      <c r="BI2263">
        <v>-81.455464126674499</v>
      </c>
      <c r="BJ2263">
        <v>30.6581369947118</v>
      </c>
      <c r="BK2263" t="s">
        <v>21810</v>
      </c>
      <c r="BM2263" t="s">
        <v>21809</v>
      </c>
      <c r="BN2263" t="s">
        <v>3983</v>
      </c>
      <c r="BO2263">
        <v>32034</v>
      </c>
      <c r="BP2263" t="s">
        <v>416</v>
      </c>
      <c r="BQ2263">
        <v>100</v>
      </c>
      <c r="BR2263" t="s">
        <v>514</v>
      </c>
      <c r="BS2263">
        <v>1001</v>
      </c>
      <c r="BT2263" t="s">
        <v>515</v>
      </c>
      <c r="BU2263">
        <v>655</v>
      </c>
      <c r="BV2263">
        <v>1000</v>
      </c>
      <c r="BW2263">
        <v>6565</v>
      </c>
      <c r="BX2263" t="s">
        <v>407</v>
      </c>
      <c r="BY2263" t="s">
        <v>18253</v>
      </c>
      <c r="BZ2263">
        <v>4</v>
      </c>
      <c r="CA2263">
        <v>1978</v>
      </c>
      <c r="CB2263">
        <v>1</v>
      </c>
      <c r="CC2263">
        <v>1</v>
      </c>
      <c r="CD2263">
        <v>2017</v>
      </c>
      <c r="CE2263">
        <v>29180</v>
      </c>
      <c r="CF2263">
        <v>49155</v>
      </c>
      <c r="CG2263">
        <v>78335</v>
      </c>
      <c r="CH2263">
        <v>2017</v>
      </c>
      <c r="CI2263">
        <v>29180</v>
      </c>
      <c r="CJ2263">
        <v>49155</v>
      </c>
      <c r="CK2263">
        <v>78335</v>
      </c>
      <c r="CL2263">
        <v>2017</v>
      </c>
      <c r="CM2263">
        <v>1561.29</v>
      </c>
      <c r="CN2263" s="1">
        <v>42060</v>
      </c>
      <c r="CZ2263" s="1">
        <v>42060</v>
      </c>
      <c r="DD2263" t="s">
        <v>11749</v>
      </c>
      <c r="DF2263">
        <v>7</v>
      </c>
      <c r="DG2263">
        <v>24</v>
      </c>
      <c r="DL2263">
        <v>50101</v>
      </c>
      <c r="DM2263" t="s">
        <v>15205</v>
      </c>
      <c r="DO2263" t="s">
        <v>21811</v>
      </c>
      <c r="DP2263">
        <v>0</v>
      </c>
      <c r="DQ2263">
        <v>0</v>
      </c>
      <c r="DR2263" t="s">
        <v>411</v>
      </c>
      <c r="DS2263" t="b">
        <v>1</v>
      </c>
      <c r="DT2263" t="s">
        <v>470</v>
      </c>
      <c r="DU2263" t="s">
        <v>471</v>
      </c>
      <c r="DV2263" t="s">
        <v>472</v>
      </c>
      <c r="DX2263">
        <v>-9999</v>
      </c>
      <c r="DZ2263" t="s">
        <v>447</v>
      </c>
      <c r="EA2263" t="s">
        <v>448</v>
      </c>
      <c r="EB2263" t="s">
        <v>14787</v>
      </c>
      <c r="EC2263">
        <v>20101217</v>
      </c>
      <c r="ED2263" t="s">
        <v>474</v>
      </c>
      <c r="EF2263">
        <v>2161.1</v>
      </c>
      <c r="EG2263">
        <v>1910.2</v>
      </c>
      <c r="EI2263">
        <v>20160407</v>
      </c>
      <c r="EJ2263">
        <v>0</v>
      </c>
      <c r="EK2263">
        <v>0</v>
      </c>
      <c r="EP2263" t="s">
        <v>421</v>
      </c>
      <c r="EQ2263" t="s">
        <v>452</v>
      </c>
      <c r="ER2263">
        <v>2</v>
      </c>
      <c r="ES2263">
        <v>7</v>
      </c>
      <c r="ET2263">
        <v>3182.24</v>
      </c>
      <c r="EU2263">
        <v>171.61</v>
      </c>
      <c r="EV2263">
        <v>3353.85</v>
      </c>
      <c r="EW2263" s="2">
        <v>43222</v>
      </c>
      <c r="EX2263" s="1">
        <v>42879</v>
      </c>
      <c r="EY2263">
        <v>2016</v>
      </c>
      <c r="EZ2263">
        <v>1591.12</v>
      </c>
      <c r="FA2263" t="s">
        <v>21812</v>
      </c>
      <c r="FB2263">
        <v>0.25</v>
      </c>
      <c r="FC2263" t="s">
        <v>424</v>
      </c>
      <c r="FD2263" t="s">
        <v>454</v>
      </c>
      <c r="FF2263">
        <v>12</v>
      </c>
      <c r="FG2263">
        <v>7400234</v>
      </c>
      <c r="FH2263" t="s">
        <v>426</v>
      </c>
      <c r="FJ2263" s="1">
        <v>42879</v>
      </c>
      <c r="FK2263">
        <v>2016</v>
      </c>
      <c r="FL2263">
        <v>1591.12</v>
      </c>
      <c r="FM2263" t="s">
        <v>21812</v>
      </c>
      <c r="FN2263">
        <v>0.25</v>
      </c>
      <c r="FO2263" t="s">
        <v>424</v>
      </c>
      <c r="FP2263" t="s">
        <v>454</v>
      </c>
      <c r="FR2263">
        <v>12</v>
      </c>
      <c r="FS2263">
        <v>7427370</v>
      </c>
      <c r="FT2263" t="s">
        <v>21813</v>
      </c>
      <c r="FV2263" s="1">
        <v>42515</v>
      </c>
      <c r="FW2263">
        <v>2015</v>
      </c>
      <c r="FX2263">
        <v>1437.77</v>
      </c>
      <c r="FY2263" t="s">
        <v>21814</v>
      </c>
      <c r="FZ2263">
        <v>0.25</v>
      </c>
      <c r="GA2263" t="s">
        <v>424</v>
      </c>
      <c r="GB2263" t="s">
        <v>425</v>
      </c>
      <c r="GC2263" s="1">
        <v>43185</v>
      </c>
      <c r="GD2263">
        <v>22</v>
      </c>
      <c r="GE2263">
        <v>11289</v>
      </c>
      <c r="GF2263" t="s">
        <v>787</v>
      </c>
      <c r="GH2263" s="1">
        <v>42515</v>
      </c>
      <c r="GI2263">
        <v>2015</v>
      </c>
      <c r="GJ2263">
        <v>1437.77</v>
      </c>
      <c r="GK2263" t="s">
        <v>21814</v>
      </c>
      <c r="GL2263">
        <v>0.25</v>
      </c>
      <c r="GM2263" t="s">
        <v>424</v>
      </c>
      <c r="GN2263" t="s">
        <v>425</v>
      </c>
      <c r="GP2263">
        <v>22</v>
      </c>
      <c r="GQ2263">
        <v>5190903</v>
      </c>
      <c r="GR2263" t="s">
        <v>21815</v>
      </c>
      <c r="GT2263" s="1">
        <v>42151</v>
      </c>
      <c r="GU2263">
        <v>2014</v>
      </c>
      <c r="GV2263">
        <v>1332.51</v>
      </c>
      <c r="GW2263" t="s">
        <v>21816</v>
      </c>
      <c r="GX2263">
        <v>0.25</v>
      </c>
      <c r="GY2263" t="s">
        <v>424</v>
      </c>
      <c r="GZ2263" t="s">
        <v>425</v>
      </c>
      <c r="HA2263" s="1">
        <v>42955</v>
      </c>
      <c r="HB2263">
        <v>27</v>
      </c>
      <c r="HC2263">
        <v>2851116</v>
      </c>
      <c r="HD2263" t="s">
        <v>480</v>
      </c>
      <c r="HF2263" s="1">
        <v>42151</v>
      </c>
      <c r="HG2263">
        <v>2014</v>
      </c>
      <c r="HH2263">
        <v>1332.51</v>
      </c>
      <c r="HI2263" t="s">
        <v>21816</v>
      </c>
      <c r="HJ2263">
        <v>0.25</v>
      </c>
      <c r="HK2263" t="s">
        <v>424</v>
      </c>
      <c r="HL2263" t="s">
        <v>425</v>
      </c>
      <c r="HN2263">
        <v>22</v>
      </c>
      <c r="HO2263">
        <v>5300235</v>
      </c>
      <c r="HP2263" t="s">
        <v>21817</v>
      </c>
      <c r="HR2263" s="1">
        <v>41787</v>
      </c>
      <c r="HS2263">
        <v>2013</v>
      </c>
      <c r="HT2263">
        <v>1141.76</v>
      </c>
      <c r="HU2263" t="s">
        <v>21818</v>
      </c>
      <c r="HV2263">
        <v>0.25</v>
      </c>
      <c r="HW2263" t="s">
        <v>424</v>
      </c>
      <c r="HX2263" t="s">
        <v>425</v>
      </c>
      <c r="HY2263" s="1">
        <v>42094</v>
      </c>
      <c r="HZ2263">
        <v>10</v>
      </c>
      <c r="IA2263">
        <v>2851116</v>
      </c>
      <c r="IB2263" t="s">
        <v>480</v>
      </c>
      <c r="ID2263" s="1">
        <v>41052</v>
      </c>
      <c r="IE2263">
        <v>2011</v>
      </c>
      <c r="IF2263">
        <v>1485.03</v>
      </c>
      <c r="IG2263" t="s">
        <v>21819</v>
      </c>
      <c r="IH2263">
        <v>9.25</v>
      </c>
      <c r="II2263" t="s">
        <v>424</v>
      </c>
      <c r="IJ2263" t="s">
        <v>425</v>
      </c>
      <c r="IK2263" s="1">
        <v>41400</v>
      </c>
      <c r="IL2263">
        <v>12</v>
      </c>
      <c r="IM2263">
        <v>10125</v>
      </c>
      <c r="IN2263" t="s">
        <v>440</v>
      </c>
      <c r="IO2263" t="s">
        <v>458</v>
      </c>
      <c r="IP2263" s="1">
        <v>40688</v>
      </c>
      <c r="IQ2263">
        <v>2010</v>
      </c>
      <c r="IR2263">
        <v>1516.68</v>
      </c>
      <c r="IS2263" t="s">
        <v>21820</v>
      </c>
      <c r="IT2263">
        <v>4.5</v>
      </c>
      <c r="IU2263" t="s">
        <v>424</v>
      </c>
      <c r="IV2263" t="s">
        <v>425</v>
      </c>
      <c r="IX2263">
        <v>22</v>
      </c>
      <c r="IY2263">
        <v>11244</v>
      </c>
      <c r="IZ2263" t="s">
        <v>3585</v>
      </c>
      <c r="JA2263" t="s">
        <v>458</v>
      </c>
    </row>
    <row r="2264" spans="1:284" x14ac:dyDescent="0.25">
      <c r="A2264">
        <v>16487271</v>
      </c>
      <c r="B2264">
        <v>2263</v>
      </c>
      <c r="C2264" t="s">
        <v>393</v>
      </c>
      <c r="D2264" t="s">
        <v>394</v>
      </c>
      <c r="F2264" t="str">
        <f>"00-00-31-1800-0233-0093"</f>
        <v>00-00-31-1800-0233-0093</v>
      </c>
      <c r="H2264" t="str">
        <f>"WILSON NETHERLAND F"</f>
        <v>WILSON NETHERLAND F</v>
      </c>
      <c r="I2264" t="str">
        <f>"816 VERNON ST"</f>
        <v>816 VERNON ST</v>
      </c>
      <c r="J2264" t="str">
        <f t="shared" si="847"/>
        <v>FERNANDINA BEACH FL 32034</v>
      </c>
      <c r="K2264" t="str">
        <f>"816 VERNON ST"</f>
        <v>816 VERNON ST</v>
      </c>
      <c r="L2264" t="str">
        <f t="shared" si="846"/>
        <v>FERNANDINA BEACH FL 32034</v>
      </c>
      <c r="M2264" t="str">
        <f>"BLOCK 233 E100 FT OF W130 FT OF N1/2 OF LOT 9 IN OR 1943/1206 CITY OF FDNA BEACH"</f>
        <v>BLOCK 233 E100 FT OF W130 FT OF N1/2 OF LOT 9 IN OR 1943/1206 CITY OF FDNA BEACH</v>
      </c>
      <c r="N2264" t="str">
        <f>""</f>
        <v/>
      </c>
      <c r="O2264" t="str">
        <f>"12834"</f>
        <v>12834</v>
      </c>
      <c r="P2264" t="str">
        <f t="shared" si="840"/>
        <v>2017</v>
      </c>
      <c r="Q2264" t="str">
        <f>""</f>
        <v/>
      </c>
      <c r="R2264" t="str">
        <f>"Y"</f>
        <v>Y</v>
      </c>
      <c r="S2264" t="str">
        <f>""</f>
        <v/>
      </c>
      <c r="T2264" t="str">
        <f>"542.05"</f>
        <v>542.05</v>
      </c>
      <c r="U2264" t="str">
        <f>"58149.00"</f>
        <v>58149.00</v>
      </c>
      <c r="V2264" t="str">
        <f>"58149.00"</f>
        <v>58149.00</v>
      </c>
      <c r="W2264" t="str">
        <f t="shared" si="841"/>
        <v>2017</v>
      </c>
      <c r="X2264" t="str">
        <f>"17.14"</f>
        <v>17.14</v>
      </c>
      <c r="Y2264" t="str">
        <f>"590.31"</f>
        <v>590.31</v>
      </c>
      <c r="Z2264" t="str">
        <f>"25500.00"</f>
        <v>25500.00</v>
      </c>
      <c r="AA2264" t="str">
        <f>"32649.00"</f>
        <v>32649.00</v>
      </c>
      <c r="AB2264" t="str">
        <f t="shared" si="844"/>
        <v>Residential</v>
      </c>
      <c r="AC2264" t="str">
        <f t="shared" si="829"/>
        <v>0</v>
      </c>
      <c r="AD2264" t="str">
        <f>"3"</f>
        <v>3</v>
      </c>
      <c r="AE2264" t="str">
        <f>"MASONRY"</f>
        <v>MASONRY</v>
      </c>
      <c r="AF2264" t="str">
        <f t="shared" si="848"/>
        <v>001</v>
      </c>
      <c r="AG2264" t="str">
        <f t="shared" si="843"/>
        <v>FL</v>
      </c>
      <c r="AH2264" t="str">
        <f>"8600.00"</f>
        <v>8600.00</v>
      </c>
      <c r="AI2264" t="str">
        <f>"31927.00"</f>
        <v>31927.00</v>
      </c>
      <c r="AJ2264" t="str">
        <f>"C55-000-586-0238-4"</f>
        <v>C55-000-586-0238-4</v>
      </c>
      <c r="AK2264" t="str">
        <f>"49752"</f>
        <v>49752</v>
      </c>
      <c r="AL2264">
        <v>8</v>
      </c>
      <c r="AM2264">
        <v>2585</v>
      </c>
      <c r="AN2264">
        <v>618.23</v>
      </c>
      <c r="AQ2264" t="s">
        <v>21821</v>
      </c>
      <c r="AR2264" t="s">
        <v>21821</v>
      </c>
      <c r="AS2264" t="s">
        <v>21821</v>
      </c>
      <c r="AU2264" t="s">
        <v>396</v>
      </c>
      <c r="AV2264">
        <v>2017</v>
      </c>
      <c r="AW2264" t="str">
        <f>"00-00-31-1800-0233-0093 "</f>
        <v xml:space="preserve">00-00-31-1800-0233-0093 </v>
      </c>
      <c r="AX2264">
        <v>816</v>
      </c>
      <c r="AZ2264" t="s">
        <v>21720</v>
      </c>
      <c r="BA2264" t="s">
        <v>1942</v>
      </c>
      <c r="BD2264" t="s">
        <v>11749</v>
      </c>
      <c r="BE2264" t="s">
        <v>393</v>
      </c>
      <c r="BF2264">
        <v>32034</v>
      </c>
      <c r="BG2264" t="s">
        <v>14817</v>
      </c>
      <c r="BH2264" t="s">
        <v>11751</v>
      </c>
      <c r="BI2264">
        <v>-81.455271792831695</v>
      </c>
      <c r="BJ2264">
        <v>30.6594083941919</v>
      </c>
      <c r="BK2264" t="s">
        <v>21822</v>
      </c>
      <c r="BL2264" t="s">
        <v>21823</v>
      </c>
      <c r="BM2264" t="s">
        <v>14817</v>
      </c>
      <c r="BN2264" t="s">
        <v>3983</v>
      </c>
      <c r="BO2264">
        <v>32034</v>
      </c>
      <c r="BP2264" t="s">
        <v>416</v>
      </c>
      <c r="BQ2264">
        <v>100</v>
      </c>
      <c r="BR2264" t="s">
        <v>514</v>
      </c>
      <c r="BS2264">
        <v>1001</v>
      </c>
      <c r="BT2264" t="s">
        <v>515</v>
      </c>
      <c r="BU2264">
        <v>860</v>
      </c>
      <c r="BV2264">
        <v>1000</v>
      </c>
      <c r="BW2264">
        <v>8601</v>
      </c>
      <c r="BX2264" t="s">
        <v>407</v>
      </c>
      <c r="BY2264" t="s">
        <v>18253</v>
      </c>
      <c r="BZ2264">
        <v>3</v>
      </c>
      <c r="CA2264">
        <v>1972</v>
      </c>
      <c r="CB2264">
        <v>1</v>
      </c>
      <c r="CC2264">
        <v>1</v>
      </c>
      <c r="CD2264">
        <v>2017</v>
      </c>
      <c r="CG2264">
        <v>58149</v>
      </c>
      <c r="CH2264">
        <v>2017</v>
      </c>
      <c r="CI2264">
        <v>31927</v>
      </c>
      <c r="CJ2264">
        <v>61757</v>
      </c>
      <c r="CK2264">
        <v>93684</v>
      </c>
      <c r="CL2264">
        <v>2017</v>
      </c>
      <c r="CM2264">
        <v>542.04999999999995</v>
      </c>
      <c r="CN2264" s="1">
        <v>41932</v>
      </c>
      <c r="CZ2264" s="1">
        <v>41932</v>
      </c>
      <c r="DD2264" t="s">
        <v>11749</v>
      </c>
      <c r="DF2264">
        <v>9</v>
      </c>
      <c r="DG2264">
        <v>24</v>
      </c>
      <c r="DL2264">
        <v>50101</v>
      </c>
      <c r="DM2264" t="s">
        <v>15205</v>
      </c>
      <c r="DO2264" t="s">
        <v>21824</v>
      </c>
      <c r="DP2264">
        <v>0</v>
      </c>
      <c r="DQ2264">
        <v>0</v>
      </c>
      <c r="DR2264" t="s">
        <v>411</v>
      </c>
      <c r="DS2264" t="b">
        <v>1</v>
      </c>
      <c r="DT2264" t="s">
        <v>470</v>
      </c>
      <c r="DU2264" t="s">
        <v>471</v>
      </c>
      <c r="DV2264" t="s">
        <v>472</v>
      </c>
      <c r="DX2264">
        <v>-9999</v>
      </c>
      <c r="DZ2264" t="s">
        <v>447</v>
      </c>
      <c r="EA2264" t="s">
        <v>448</v>
      </c>
      <c r="EB2264" t="s">
        <v>14787</v>
      </c>
      <c r="EC2264">
        <v>20101217</v>
      </c>
      <c r="ED2264" t="s">
        <v>474</v>
      </c>
      <c r="EF2264">
        <v>2207.1</v>
      </c>
      <c r="EG2264">
        <v>1895.9</v>
      </c>
      <c r="EI2264">
        <v>20160407</v>
      </c>
      <c r="EJ2264">
        <v>0</v>
      </c>
      <c r="EK2264">
        <v>0</v>
      </c>
      <c r="EP2264" t="s">
        <v>421</v>
      </c>
      <c r="EQ2264" t="s">
        <v>422</v>
      </c>
      <c r="ER2264">
        <v>2</v>
      </c>
      <c r="ES2264">
        <v>8</v>
      </c>
      <c r="ET2264">
        <v>1229.1199999999999</v>
      </c>
      <c r="EU2264">
        <v>73.959999999999994</v>
      </c>
      <c r="EV2264">
        <v>1303.08</v>
      </c>
      <c r="EW2264" s="2">
        <v>43222</v>
      </c>
      <c r="EX2264" s="1">
        <v>42879</v>
      </c>
      <c r="EY2264">
        <v>2016</v>
      </c>
      <c r="EZ2264">
        <v>614.55999999999995</v>
      </c>
      <c r="FA2264" t="s">
        <v>21825</v>
      </c>
      <c r="FB2264">
        <v>0.25</v>
      </c>
      <c r="FC2264" t="s">
        <v>424</v>
      </c>
      <c r="FD2264" t="s">
        <v>454</v>
      </c>
      <c r="FF2264">
        <v>12</v>
      </c>
      <c r="FG2264">
        <v>7336753</v>
      </c>
      <c r="FH2264" t="s">
        <v>1731</v>
      </c>
      <c r="FJ2264" s="1">
        <v>42879</v>
      </c>
      <c r="FK2264">
        <v>2016</v>
      </c>
      <c r="FL2264">
        <v>614.55999999999995</v>
      </c>
      <c r="FM2264" t="s">
        <v>21825</v>
      </c>
      <c r="FN2264">
        <v>0.25</v>
      </c>
      <c r="FO2264" t="s">
        <v>424</v>
      </c>
      <c r="FP2264" t="s">
        <v>454</v>
      </c>
      <c r="FR2264">
        <v>12</v>
      </c>
      <c r="FS2264">
        <v>7355297</v>
      </c>
      <c r="FT2264" t="s">
        <v>21826</v>
      </c>
      <c r="FV2264" s="1">
        <v>42515</v>
      </c>
      <c r="FW2264">
        <v>2015</v>
      </c>
      <c r="FX2264">
        <v>616.07000000000005</v>
      </c>
      <c r="FY2264" t="s">
        <v>21827</v>
      </c>
      <c r="FZ2264">
        <v>0.25</v>
      </c>
      <c r="GA2264" t="s">
        <v>424</v>
      </c>
      <c r="GB2264" t="s">
        <v>425</v>
      </c>
      <c r="GC2264" s="1">
        <v>43154</v>
      </c>
      <c r="GD2264">
        <v>21</v>
      </c>
      <c r="GE2264">
        <v>2851116</v>
      </c>
      <c r="GF2264" t="s">
        <v>480</v>
      </c>
      <c r="GH2264" s="1">
        <v>42515</v>
      </c>
      <c r="GI2264">
        <v>2015</v>
      </c>
      <c r="GJ2264">
        <v>616.07000000000005</v>
      </c>
      <c r="GK2264" t="s">
        <v>21827</v>
      </c>
      <c r="GL2264">
        <v>0.25</v>
      </c>
      <c r="GM2264" t="s">
        <v>424</v>
      </c>
      <c r="GN2264" t="s">
        <v>425</v>
      </c>
      <c r="GP2264">
        <v>22</v>
      </c>
      <c r="GQ2264">
        <v>5087193</v>
      </c>
      <c r="GR2264" t="s">
        <v>21828</v>
      </c>
      <c r="GT2264" s="1">
        <v>42151</v>
      </c>
      <c r="GU2264">
        <v>2014</v>
      </c>
      <c r="GV2264">
        <v>616.89</v>
      </c>
      <c r="GW2264" t="s">
        <v>21829</v>
      </c>
      <c r="GX2264">
        <v>0.25</v>
      </c>
      <c r="GY2264" t="s">
        <v>424</v>
      </c>
      <c r="GZ2264" t="s">
        <v>425</v>
      </c>
      <c r="HA2264" s="1">
        <v>42828</v>
      </c>
      <c r="HB2264">
        <v>23</v>
      </c>
      <c r="HC2264">
        <v>2851116</v>
      </c>
      <c r="HD2264" t="s">
        <v>480</v>
      </c>
      <c r="HF2264" s="1">
        <v>42151</v>
      </c>
      <c r="HG2264">
        <v>2014</v>
      </c>
      <c r="HH2264">
        <v>616.89</v>
      </c>
      <c r="HI2264" t="s">
        <v>21829</v>
      </c>
      <c r="HJ2264">
        <v>0.25</v>
      </c>
      <c r="HK2264" t="s">
        <v>424</v>
      </c>
      <c r="HL2264" t="s">
        <v>425</v>
      </c>
      <c r="HN2264">
        <v>22</v>
      </c>
      <c r="HO2264">
        <v>5416856</v>
      </c>
      <c r="HP2264" t="s">
        <v>21830</v>
      </c>
      <c r="HR2264" s="1">
        <v>41787</v>
      </c>
      <c r="HS2264">
        <v>2013</v>
      </c>
      <c r="HT2264">
        <v>592.48</v>
      </c>
      <c r="HU2264" t="s">
        <v>21831</v>
      </c>
      <c r="HV2264">
        <v>0.25</v>
      </c>
      <c r="HW2264" t="s">
        <v>424</v>
      </c>
      <c r="HX2264" t="s">
        <v>425</v>
      </c>
      <c r="HY2264" s="1">
        <v>42431</v>
      </c>
      <c r="HZ2264">
        <v>22</v>
      </c>
      <c r="IA2264">
        <v>2101382</v>
      </c>
      <c r="IB2264" t="s">
        <v>993</v>
      </c>
      <c r="ID2264" s="1">
        <v>41423</v>
      </c>
      <c r="IE2264">
        <v>2012</v>
      </c>
      <c r="IF2264">
        <v>585.38</v>
      </c>
      <c r="IG2264" t="s">
        <v>21832</v>
      </c>
      <c r="IH2264">
        <v>0.25</v>
      </c>
      <c r="II2264" t="s">
        <v>424</v>
      </c>
      <c r="IJ2264" t="s">
        <v>425</v>
      </c>
      <c r="IK2264" s="1">
        <v>42061</v>
      </c>
      <c r="IL2264">
        <v>21</v>
      </c>
      <c r="IM2264">
        <v>2101382</v>
      </c>
      <c r="IN2264" t="s">
        <v>993</v>
      </c>
      <c r="IP2264" s="1">
        <v>41052</v>
      </c>
      <c r="IQ2264">
        <v>2011</v>
      </c>
      <c r="IR2264">
        <v>549.1</v>
      </c>
      <c r="IS2264" t="s">
        <v>21833</v>
      </c>
      <c r="IT2264">
        <v>0.25</v>
      </c>
      <c r="IU2264" t="s">
        <v>424</v>
      </c>
      <c r="IV2264" t="s">
        <v>425</v>
      </c>
      <c r="IW2264" s="1">
        <v>41726</v>
      </c>
      <c r="IX2264">
        <v>22</v>
      </c>
      <c r="IY2264">
        <v>13067</v>
      </c>
      <c r="IZ2264" t="s">
        <v>429</v>
      </c>
      <c r="JB2264" s="1">
        <v>41052</v>
      </c>
      <c r="JC2264">
        <v>2011</v>
      </c>
      <c r="JD2264">
        <v>549.1</v>
      </c>
      <c r="JE2264" t="s">
        <v>21833</v>
      </c>
      <c r="JF2264">
        <v>0.25</v>
      </c>
      <c r="JG2264" t="s">
        <v>424</v>
      </c>
      <c r="JH2264" t="s">
        <v>425</v>
      </c>
      <c r="JJ2264">
        <v>22</v>
      </c>
      <c r="JK2264">
        <v>13427</v>
      </c>
      <c r="JL2264" t="s">
        <v>21834</v>
      </c>
    </row>
    <row r="2265" spans="1:284" x14ac:dyDescent="0.25">
      <c r="A2265">
        <v>16487272</v>
      </c>
      <c r="B2265">
        <v>2264</v>
      </c>
      <c r="C2265" t="s">
        <v>393</v>
      </c>
      <c r="D2265" t="s">
        <v>394</v>
      </c>
      <c r="F2265" t="str">
        <f>"00-00-31-1800-0238-0070"</f>
        <v>00-00-31-1800-0238-0070</v>
      </c>
      <c r="H2265" t="str">
        <f>"MURPHY LONNIE HOWARD"</f>
        <v>MURPHY LONNIE HOWARD</v>
      </c>
      <c r="I2265" t="str">
        <f>"1107 S 14TH ST"</f>
        <v>1107 S 14TH ST</v>
      </c>
      <c r="J2265" t="str">
        <f t="shared" si="847"/>
        <v>FERNANDINA BEACH FL 32034</v>
      </c>
      <c r="K2265" t="str">
        <f>"1107 14TH ST S"</f>
        <v>1107 14TH ST S</v>
      </c>
      <c r="L2265" t="str">
        <f t="shared" si="846"/>
        <v>FERNANDINA BEACH FL 32034</v>
      </c>
      <c r="M2265" t="str">
        <f>"BLOCK 238 LOT 7 EX S1/2 IN OR 1908/804 &amp; OR 1909/144 CITY OF FDNA BEACH"</f>
        <v>BLOCK 238 LOT 7 EX S1/2 IN OR 1908/804 &amp; OR 1909/144 CITY OF FDNA BEACH</v>
      </c>
      <c r="N2265" t="str">
        <f>""</f>
        <v/>
      </c>
      <c r="O2265" t="str">
        <f>"12855"</f>
        <v>12855</v>
      </c>
      <c r="P2265" t="str">
        <f t="shared" si="840"/>
        <v>2017</v>
      </c>
      <c r="Q2265" t="str">
        <f>""</f>
        <v/>
      </c>
      <c r="R2265" t="str">
        <f>"Y"</f>
        <v>Y</v>
      </c>
      <c r="S2265" t="str">
        <f>""</f>
        <v/>
      </c>
      <c r="T2265" t="str">
        <f>"1660.87"</f>
        <v>1660.87</v>
      </c>
      <c r="U2265" t="str">
        <f>"125056.00"</f>
        <v>125056.00</v>
      </c>
      <c r="V2265" t="str">
        <f>"125056.00"</f>
        <v>125056.00</v>
      </c>
      <c r="W2265" t="str">
        <f t="shared" si="841"/>
        <v>2017</v>
      </c>
      <c r="X2265" t="str">
        <f>""</f>
        <v/>
      </c>
      <c r="Y2265" t="str">
        <f>"1742.70"</f>
        <v>1742.70</v>
      </c>
      <c r="Z2265" t="str">
        <f>"25000.00"</f>
        <v>25000.00</v>
      </c>
      <c r="AA2265" t="str">
        <f>"100056.00"</f>
        <v>100056.00</v>
      </c>
      <c r="AB2265" t="str">
        <f t="shared" si="844"/>
        <v>Residential</v>
      </c>
      <c r="AC2265" t="str">
        <f t="shared" si="829"/>
        <v>0</v>
      </c>
      <c r="AD2265" t="str">
        <f>"3"</f>
        <v>3</v>
      </c>
      <c r="AE2265" t="str">
        <f>"MASONRY"</f>
        <v>MASONRY</v>
      </c>
      <c r="AF2265" t="str">
        <f t="shared" si="848"/>
        <v>001</v>
      </c>
      <c r="AG2265" t="str">
        <f t="shared" si="843"/>
        <v>FL</v>
      </c>
      <c r="AH2265" t="str">
        <f>"19780.00"</f>
        <v>19780.00</v>
      </c>
      <c r="AI2265" t="str">
        <f>"54111.00"</f>
        <v>54111.00</v>
      </c>
      <c r="AJ2265" t="str">
        <f>"C55-000-586-0257-4"</f>
        <v>C55-000-586-0257-4</v>
      </c>
      <c r="AK2265" t="str">
        <f>"49772"</f>
        <v>49772</v>
      </c>
      <c r="AL2265">
        <v>8</v>
      </c>
      <c r="AM2265">
        <v>2586</v>
      </c>
      <c r="AN2265">
        <v>1828.24</v>
      </c>
      <c r="AQ2265" t="s">
        <v>21835</v>
      </c>
      <c r="AR2265" t="s">
        <v>21835</v>
      </c>
      <c r="AS2265" t="s">
        <v>21835</v>
      </c>
      <c r="AU2265" t="s">
        <v>396</v>
      </c>
      <c r="AV2265">
        <v>2017</v>
      </c>
      <c r="AW2265" t="str">
        <f>"00-00-31-1800-0238-0070 "</f>
        <v xml:space="preserve">00-00-31-1800-0238-0070 </v>
      </c>
      <c r="AX2265">
        <v>1107</v>
      </c>
      <c r="AZ2265" t="s">
        <v>19750</v>
      </c>
      <c r="BA2265" t="s">
        <v>1942</v>
      </c>
      <c r="BB2265" t="s">
        <v>18674</v>
      </c>
      <c r="BD2265" t="s">
        <v>11749</v>
      </c>
      <c r="BE2265" t="s">
        <v>393</v>
      </c>
      <c r="BF2265">
        <v>32034</v>
      </c>
      <c r="BG2265" t="s">
        <v>21836</v>
      </c>
      <c r="BH2265" t="s">
        <v>11751</v>
      </c>
      <c r="BI2265">
        <v>-81.4540255678466</v>
      </c>
      <c r="BJ2265">
        <v>30.655762583683199</v>
      </c>
      <c r="BK2265" t="s">
        <v>21837</v>
      </c>
      <c r="BM2265" t="s">
        <v>21838</v>
      </c>
      <c r="BN2265" t="s">
        <v>3983</v>
      </c>
      <c r="BO2265">
        <v>32034</v>
      </c>
      <c r="BP2265" t="s">
        <v>416</v>
      </c>
      <c r="BQ2265">
        <v>100</v>
      </c>
      <c r="BR2265" t="s">
        <v>514</v>
      </c>
      <c r="BS2265">
        <v>1001</v>
      </c>
      <c r="BT2265" t="s">
        <v>515</v>
      </c>
      <c r="BU2265">
        <v>860</v>
      </c>
      <c r="BV2265">
        <v>0</v>
      </c>
      <c r="BW2265">
        <v>19779</v>
      </c>
      <c r="BX2265" t="s">
        <v>407</v>
      </c>
      <c r="BY2265" t="s">
        <v>20553</v>
      </c>
      <c r="BZ2265">
        <v>3</v>
      </c>
      <c r="CA2265">
        <v>1966</v>
      </c>
      <c r="CB2265">
        <v>1</v>
      </c>
      <c r="CC2265">
        <v>2</v>
      </c>
      <c r="CD2265">
        <v>2017</v>
      </c>
      <c r="CG2265">
        <v>125056</v>
      </c>
      <c r="CH2265">
        <v>2017</v>
      </c>
      <c r="CI2265">
        <v>54111</v>
      </c>
      <c r="CJ2265">
        <v>79720</v>
      </c>
      <c r="CK2265">
        <v>133831</v>
      </c>
      <c r="CL2265">
        <v>2017</v>
      </c>
      <c r="CM2265">
        <v>1660.87</v>
      </c>
      <c r="CN2265" s="1">
        <v>41724</v>
      </c>
      <c r="CZ2265" s="1">
        <v>41724</v>
      </c>
      <c r="DD2265" t="s">
        <v>11749</v>
      </c>
      <c r="DF2265">
        <v>7</v>
      </c>
      <c r="DG2265">
        <v>25</v>
      </c>
      <c r="DL2265">
        <v>50202</v>
      </c>
      <c r="DM2265" t="s">
        <v>20110</v>
      </c>
      <c r="DO2265" t="s">
        <v>21839</v>
      </c>
      <c r="DP2265">
        <v>0</v>
      </c>
      <c r="DQ2265">
        <v>0</v>
      </c>
      <c r="DR2265" t="s">
        <v>411</v>
      </c>
    </row>
    <row r="2266" spans="1:284" x14ac:dyDescent="0.25">
      <c r="A2266">
        <v>16487273</v>
      </c>
      <c r="B2266">
        <v>2265</v>
      </c>
      <c r="C2266" t="s">
        <v>393</v>
      </c>
      <c r="D2266" t="s">
        <v>394</v>
      </c>
      <c r="F2266" t="str">
        <f>"00-00-31-1800-0240-0091"</f>
        <v>00-00-31-1800-0240-0091</v>
      </c>
      <c r="H2266" t="str">
        <f>"MCLAUGHLIN HOLLE M"</f>
        <v>MCLAUGHLIN HOLLE M</v>
      </c>
      <c r="I2266" t="str">
        <f>"1849 HIGHLAND DR"</f>
        <v>1849 HIGHLAND DR</v>
      </c>
      <c r="J2266" t="str">
        <f t="shared" si="847"/>
        <v>FERNANDINA BEACH FL 32034</v>
      </c>
      <c r="K2266" t="str">
        <f>"615 14TH ST S"</f>
        <v>615 14TH ST S</v>
      </c>
      <c r="L2266" t="str">
        <f t="shared" si="846"/>
        <v>FERNANDINA BEACH FL 32034</v>
      </c>
      <c r="M2266" t="str">
        <f>"BLOCK 240 LOT E200 FT OF N 1/2 OF 9 IN OR 604 PG 274 CITY OF FDNA BEACH"</f>
        <v>BLOCK 240 LOT E200 FT OF N 1/2 OF 9 IN OR 604 PG 274 CITY OF FDNA BEACH</v>
      </c>
      <c r="N2266" t="str">
        <f>""</f>
        <v/>
      </c>
      <c r="O2266" t="str">
        <f>"12873"</f>
        <v>12873</v>
      </c>
      <c r="P2266" t="str">
        <f t="shared" si="840"/>
        <v>2017</v>
      </c>
      <c r="Q2266" t="str">
        <f>""</f>
        <v/>
      </c>
      <c r="R2266" t="str">
        <f>"N"</f>
        <v>N</v>
      </c>
      <c r="S2266" t="str">
        <f>""</f>
        <v/>
      </c>
      <c r="T2266" t="str">
        <f>"2241.98"</f>
        <v>2241.98</v>
      </c>
      <c r="U2266" t="str">
        <f>"110840.00"</f>
        <v>110840.00</v>
      </c>
      <c r="V2266" t="str">
        <f>"110840.00"</f>
        <v>110840.00</v>
      </c>
      <c r="W2266" t="str">
        <f t="shared" si="841"/>
        <v>2017</v>
      </c>
      <c r="X2266" t="str">
        <f>"21.38"</f>
        <v>21.38</v>
      </c>
      <c r="Y2266" t="str">
        <f>"2341.24"</f>
        <v>2341.24</v>
      </c>
      <c r="Z2266" t="str">
        <f>""</f>
        <v/>
      </c>
      <c r="AA2266" t="str">
        <f>"115820.00"</f>
        <v>115820.00</v>
      </c>
      <c r="AB2266" t="str">
        <f t="shared" si="844"/>
        <v>Residential</v>
      </c>
      <c r="AC2266" t="str">
        <f t="shared" si="829"/>
        <v>0</v>
      </c>
      <c r="AD2266" t="str">
        <f>"4"</f>
        <v>4</v>
      </c>
      <c r="AE2266" t="str">
        <f>"WOOD (INCLUDE STEEL STUDS)"</f>
        <v>WOOD (INCLUDE STEEL STUDS)</v>
      </c>
      <c r="AF2266" t="str">
        <f t="shared" si="848"/>
        <v>001</v>
      </c>
      <c r="AG2266" t="str">
        <f t="shared" si="843"/>
        <v>FL</v>
      </c>
      <c r="AH2266" t="str">
        <f>"17200.00"</f>
        <v>17200.00</v>
      </c>
      <c r="AI2266" t="str">
        <f>"57128.00"</f>
        <v>57128.00</v>
      </c>
      <c r="AJ2266" t="str">
        <f>"C55-000-586-0277-2"</f>
        <v>C55-000-586-0277-2</v>
      </c>
      <c r="AK2266" t="str">
        <f>"49790"</f>
        <v>49790</v>
      </c>
      <c r="AL2266">
        <v>8</v>
      </c>
      <c r="AM2266">
        <v>2587</v>
      </c>
      <c r="AN2266">
        <v>2456.6999999999998</v>
      </c>
      <c r="AQ2266" t="s">
        <v>21840</v>
      </c>
      <c r="AR2266" t="s">
        <v>21840</v>
      </c>
      <c r="AS2266" t="s">
        <v>21840</v>
      </c>
      <c r="AU2266" t="s">
        <v>396</v>
      </c>
      <c r="AV2266">
        <v>2017</v>
      </c>
      <c r="AW2266" t="str">
        <f>"00-00-31-1800-0240-0091 "</f>
        <v xml:space="preserve">00-00-31-1800-0240-0091 </v>
      </c>
      <c r="AX2266">
        <v>615</v>
      </c>
      <c r="AZ2266" t="s">
        <v>19750</v>
      </c>
      <c r="BA2266" t="s">
        <v>1942</v>
      </c>
      <c r="BB2266" t="s">
        <v>18674</v>
      </c>
      <c r="BD2266" t="s">
        <v>11749</v>
      </c>
      <c r="BE2266" t="s">
        <v>393</v>
      </c>
      <c r="BF2266">
        <v>32034</v>
      </c>
      <c r="BG2266" t="s">
        <v>21841</v>
      </c>
      <c r="BH2266" t="s">
        <v>11751</v>
      </c>
      <c r="BI2266">
        <v>-81.4530756084758</v>
      </c>
      <c r="BJ2266">
        <v>30.6617130844107</v>
      </c>
      <c r="BK2266" t="s">
        <v>21842</v>
      </c>
      <c r="BM2266" t="s">
        <v>21843</v>
      </c>
      <c r="BN2266" t="s">
        <v>3983</v>
      </c>
      <c r="BO2266">
        <v>32034</v>
      </c>
      <c r="BP2266" t="s">
        <v>404</v>
      </c>
      <c r="BQ2266">
        <v>100</v>
      </c>
      <c r="BR2266" t="s">
        <v>514</v>
      </c>
      <c r="BS2266">
        <v>1001</v>
      </c>
      <c r="BT2266" t="s">
        <v>515</v>
      </c>
      <c r="BU2266">
        <v>860</v>
      </c>
      <c r="BV2266">
        <v>2000</v>
      </c>
      <c r="BW2266">
        <v>17396</v>
      </c>
      <c r="BX2266" t="s">
        <v>407</v>
      </c>
      <c r="BY2266" t="s">
        <v>18253</v>
      </c>
      <c r="BZ2266">
        <v>4</v>
      </c>
      <c r="CA2266">
        <v>1971</v>
      </c>
      <c r="CB2266">
        <v>1</v>
      </c>
      <c r="CC2266">
        <v>1</v>
      </c>
      <c r="CD2266">
        <v>2017</v>
      </c>
      <c r="CE2266">
        <v>57128</v>
      </c>
      <c r="CF2266">
        <v>58692</v>
      </c>
      <c r="CG2266">
        <v>115820</v>
      </c>
      <c r="CH2266">
        <v>2017</v>
      </c>
      <c r="CI2266">
        <v>57128</v>
      </c>
      <c r="CJ2266">
        <v>58692</v>
      </c>
      <c r="CK2266">
        <v>115820</v>
      </c>
      <c r="CL2266">
        <v>2017</v>
      </c>
      <c r="CM2266">
        <v>2241.98</v>
      </c>
      <c r="CN2266" s="1">
        <v>33093</v>
      </c>
      <c r="CZ2266" s="1">
        <v>33093</v>
      </c>
      <c r="DD2266" t="s">
        <v>11749</v>
      </c>
      <c r="DF2266" t="s">
        <v>21844</v>
      </c>
      <c r="DG2266">
        <v>25</v>
      </c>
      <c r="DL2266">
        <v>50101</v>
      </c>
      <c r="DM2266" t="s">
        <v>20110</v>
      </c>
      <c r="DO2266" t="s">
        <v>21845</v>
      </c>
      <c r="DP2266">
        <v>0</v>
      </c>
      <c r="DQ2266">
        <v>0</v>
      </c>
      <c r="DR2266" t="s">
        <v>411</v>
      </c>
      <c r="DS2266" t="b">
        <v>1</v>
      </c>
      <c r="DT2266" t="s">
        <v>470</v>
      </c>
      <c r="DU2266" t="s">
        <v>471</v>
      </c>
      <c r="DV2266" t="s">
        <v>472</v>
      </c>
      <c r="DX2266">
        <v>-9999</v>
      </c>
      <c r="DZ2266" t="s">
        <v>447</v>
      </c>
      <c r="EA2266" t="s">
        <v>448</v>
      </c>
      <c r="EB2266" t="s">
        <v>14787</v>
      </c>
      <c r="EC2266">
        <v>20101217</v>
      </c>
      <c r="ED2266" t="s">
        <v>474</v>
      </c>
      <c r="EF2266">
        <v>2669.4</v>
      </c>
      <c r="EG2266">
        <v>2613.4</v>
      </c>
      <c r="EI2266">
        <v>20160407</v>
      </c>
      <c r="EJ2266">
        <v>0</v>
      </c>
      <c r="EK2266">
        <v>0</v>
      </c>
      <c r="EP2266" t="s">
        <v>421</v>
      </c>
      <c r="EQ2266" t="s">
        <v>422</v>
      </c>
      <c r="ER2266">
        <v>2</v>
      </c>
      <c r="ES2266">
        <v>9</v>
      </c>
      <c r="ET2266">
        <v>4466.82</v>
      </c>
      <c r="EU2266">
        <v>235.84</v>
      </c>
      <c r="EV2266">
        <v>4702.66</v>
      </c>
      <c r="EW2266" s="2">
        <v>43222</v>
      </c>
      <c r="EX2266" s="1">
        <v>42879</v>
      </c>
      <c r="EY2266">
        <v>2016</v>
      </c>
      <c r="EZ2266">
        <v>2233.41</v>
      </c>
      <c r="FA2266" t="s">
        <v>21846</v>
      </c>
      <c r="FB2266">
        <v>0.25</v>
      </c>
      <c r="FC2266" t="s">
        <v>424</v>
      </c>
      <c r="FD2266" t="s">
        <v>454</v>
      </c>
      <c r="FF2266">
        <v>12</v>
      </c>
      <c r="FG2266">
        <v>2851116</v>
      </c>
      <c r="FH2266" t="s">
        <v>480</v>
      </c>
      <c r="FJ2266" s="1">
        <v>42879</v>
      </c>
      <c r="FK2266">
        <v>2016</v>
      </c>
      <c r="FL2266">
        <v>2233.41</v>
      </c>
      <c r="FM2266" t="s">
        <v>21846</v>
      </c>
      <c r="FN2266">
        <v>0.25</v>
      </c>
      <c r="FO2266" t="s">
        <v>424</v>
      </c>
      <c r="FP2266" t="s">
        <v>454</v>
      </c>
      <c r="FR2266">
        <v>12</v>
      </c>
      <c r="FS2266">
        <v>5431992</v>
      </c>
      <c r="FT2266" t="s">
        <v>21847</v>
      </c>
      <c r="FV2266" s="1">
        <v>42515</v>
      </c>
      <c r="FW2266">
        <v>2015</v>
      </c>
      <c r="FX2266">
        <v>2148.33</v>
      </c>
      <c r="FY2266" t="s">
        <v>21848</v>
      </c>
      <c r="FZ2266">
        <v>0.25</v>
      </c>
      <c r="GA2266" t="s">
        <v>424</v>
      </c>
      <c r="GB2266" t="s">
        <v>425</v>
      </c>
      <c r="GC2266" s="1">
        <v>43131</v>
      </c>
      <c r="GD2266">
        <v>20</v>
      </c>
      <c r="GE2266">
        <v>2851116</v>
      </c>
      <c r="GF2266" t="s">
        <v>480</v>
      </c>
      <c r="GH2266" s="1">
        <v>42515</v>
      </c>
      <c r="GI2266">
        <v>2015</v>
      </c>
      <c r="GJ2266">
        <v>2148.33</v>
      </c>
      <c r="GK2266" t="s">
        <v>21848</v>
      </c>
      <c r="GL2266">
        <v>0.25</v>
      </c>
      <c r="GM2266" t="s">
        <v>424</v>
      </c>
      <c r="GN2266" t="s">
        <v>425</v>
      </c>
      <c r="GP2266">
        <v>22</v>
      </c>
      <c r="GQ2266">
        <v>5620164</v>
      </c>
      <c r="GR2266" t="s">
        <v>21849</v>
      </c>
      <c r="GT2266" s="1">
        <v>42151</v>
      </c>
      <c r="GU2266">
        <v>2014</v>
      </c>
      <c r="GV2266">
        <v>2002.21</v>
      </c>
      <c r="GW2266" t="s">
        <v>21850</v>
      </c>
      <c r="GX2266">
        <v>0.25</v>
      </c>
      <c r="GY2266" t="s">
        <v>424</v>
      </c>
      <c r="GZ2266" t="s">
        <v>425</v>
      </c>
      <c r="HA2266" s="1">
        <v>42825</v>
      </c>
      <c r="HB2266">
        <v>22</v>
      </c>
      <c r="HC2266">
        <v>4975594</v>
      </c>
      <c r="HD2266" t="s">
        <v>457</v>
      </c>
      <c r="HF2266" s="1">
        <v>42151</v>
      </c>
      <c r="HG2266">
        <v>2014</v>
      </c>
      <c r="HH2266">
        <v>2002.21</v>
      </c>
      <c r="HI2266" t="s">
        <v>21850</v>
      </c>
      <c r="HJ2266">
        <v>0.25</v>
      </c>
      <c r="HK2266" t="s">
        <v>424</v>
      </c>
      <c r="HL2266" t="s">
        <v>425</v>
      </c>
      <c r="HN2266">
        <v>22</v>
      </c>
      <c r="HO2266">
        <v>6313989</v>
      </c>
      <c r="HP2266" t="s">
        <v>21851</v>
      </c>
      <c r="HR2266" s="1">
        <v>41787</v>
      </c>
      <c r="HS2266">
        <v>2013</v>
      </c>
      <c r="HT2266">
        <v>1682.72</v>
      </c>
      <c r="HU2266" t="s">
        <v>21852</v>
      </c>
      <c r="HV2266">
        <v>0.25</v>
      </c>
      <c r="HW2266" t="s">
        <v>424</v>
      </c>
      <c r="HX2266" t="s">
        <v>425</v>
      </c>
      <c r="HY2266" s="1">
        <v>42426</v>
      </c>
      <c r="HZ2266">
        <v>21</v>
      </c>
      <c r="IA2266">
        <v>2757457</v>
      </c>
      <c r="IB2266" t="s">
        <v>648</v>
      </c>
      <c r="ID2266" s="1">
        <v>41423</v>
      </c>
      <c r="IE2266">
        <v>2012</v>
      </c>
      <c r="IF2266">
        <v>1785.59</v>
      </c>
      <c r="IG2266" t="s">
        <v>21853</v>
      </c>
      <c r="IH2266">
        <v>0.25</v>
      </c>
      <c r="II2266" t="s">
        <v>424</v>
      </c>
      <c r="IJ2266" t="s">
        <v>425</v>
      </c>
      <c r="IK2266" s="1">
        <v>42061</v>
      </c>
      <c r="IL2266">
        <v>21</v>
      </c>
      <c r="IM2266">
        <v>15970</v>
      </c>
      <c r="IN2266" t="s">
        <v>1435</v>
      </c>
      <c r="IP2266" s="1">
        <v>41052</v>
      </c>
      <c r="IQ2266">
        <v>2011</v>
      </c>
      <c r="IR2266">
        <v>2121.31</v>
      </c>
      <c r="IS2266" t="s">
        <v>21854</v>
      </c>
      <c r="IT2266">
        <v>0.25</v>
      </c>
      <c r="IU2266" t="s">
        <v>424</v>
      </c>
      <c r="IV2266" t="s">
        <v>425</v>
      </c>
      <c r="IW2266" s="1">
        <v>41724</v>
      </c>
      <c r="IX2266">
        <v>22</v>
      </c>
      <c r="IY2266">
        <v>13104</v>
      </c>
      <c r="IZ2266" t="s">
        <v>888</v>
      </c>
      <c r="JB2266" s="1">
        <v>41052</v>
      </c>
      <c r="JC2266">
        <v>2011</v>
      </c>
      <c r="JD2266">
        <v>2121.31</v>
      </c>
      <c r="JE2266" t="s">
        <v>21854</v>
      </c>
      <c r="JF2266">
        <v>0.25</v>
      </c>
      <c r="JG2266" t="s">
        <v>424</v>
      </c>
      <c r="JH2266" t="s">
        <v>425</v>
      </c>
      <c r="JJ2266">
        <v>22</v>
      </c>
      <c r="JK2266">
        <v>13672</v>
      </c>
      <c r="JL2266" t="s">
        <v>21855</v>
      </c>
      <c r="JN2266" s="1">
        <v>40688</v>
      </c>
      <c r="JO2266">
        <v>2010</v>
      </c>
      <c r="JP2266">
        <v>2080.1799999999998</v>
      </c>
      <c r="JQ2266" t="s">
        <v>21856</v>
      </c>
      <c r="JR2266">
        <v>3.75</v>
      </c>
      <c r="JS2266" t="s">
        <v>424</v>
      </c>
      <c r="JT2266" t="s">
        <v>425</v>
      </c>
      <c r="JU2266" s="1">
        <v>41358</v>
      </c>
      <c r="JV2266">
        <v>22</v>
      </c>
      <c r="JW2266">
        <v>11141</v>
      </c>
      <c r="JX2266" t="s">
        <v>1723</v>
      </c>
    </row>
    <row r="2267" spans="1:284" x14ac:dyDescent="0.25">
      <c r="A2267">
        <v>16487274</v>
      </c>
      <c r="B2267">
        <v>2266</v>
      </c>
      <c r="C2267" t="s">
        <v>393</v>
      </c>
      <c r="D2267" t="s">
        <v>394</v>
      </c>
      <c r="F2267" t="str">
        <f>"00-00-31-1800-0241-1090"</f>
        <v>00-00-31-1800-0241-1090</v>
      </c>
      <c r="H2267" t="str">
        <f>"14TH STREET FERNANDINA LLC"</f>
        <v>14TH STREET FERNANDINA LLC</v>
      </c>
      <c r="I2267" t="str">
        <f>"56 MARSH CREEK ROAD"</f>
        <v>56 MARSH CREEK ROAD</v>
      </c>
      <c r="J2267" t="str">
        <f t="shared" si="847"/>
        <v>FERNANDINA BEACH FL 32034</v>
      </c>
      <c r="K2267" t="str">
        <f>"14TH ST S"</f>
        <v>14TH ST S</v>
      </c>
      <c r="L2267" t="str">
        <f t="shared" si="846"/>
        <v>FERNANDINA BEACH FL 32034</v>
      </c>
      <c r="M2267" t="str">
        <f>"BLOCK 241 LOTS 109 110 111 &amp; 112 IN OR 1551/1660 CITY OF FDNA BEACH"</f>
        <v>BLOCK 241 LOTS 109 110 111 &amp; 112 IN OR 1551/1660 CITY OF FDNA BEACH</v>
      </c>
      <c r="N2267" t="str">
        <f>""</f>
        <v/>
      </c>
      <c r="O2267" t="str">
        <f>"12934"</f>
        <v>12934</v>
      </c>
      <c r="P2267" t="str">
        <f t="shared" si="840"/>
        <v>2017</v>
      </c>
      <c r="Q2267" t="str">
        <f>""</f>
        <v/>
      </c>
      <c r="R2267" t="str">
        <f>"N"</f>
        <v>N</v>
      </c>
      <c r="S2267" t="str">
        <f>""</f>
        <v/>
      </c>
      <c r="T2267" t="str">
        <f>"920.05"</f>
        <v>920.05</v>
      </c>
      <c r="U2267" t="str">
        <f>"43558.00"</f>
        <v>43558.00</v>
      </c>
      <c r="V2267" t="str">
        <f>"43558.00"</f>
        <v>43558.00</v>
      </c>
      <c r="W2267" t="str">
        <f t="shared" si="841"/>
        <v>2017</v>
      </c>
      <c r="X2267" t="str">
        <f>""</f>
        <v/>
      </c>
      <c r="Y2267" t="str">
        <f>"979.65"</f>
        <v>979.65</v>
      </c>
      <c r="Z2267" t="str">
        <f>""</f>
        <v/>
      </c>
      <c r="AA2267" t="str">
        <f>"51425.00"</f>
        <v>51425.00</v>
      </c>
      <c r="AB2267" t="str">
        <f t="shared" si="844"/>
        <v>Residential</v>
      </c>
      <c r="AC2267" t="str">
        <f t="shared" si="829"/>
        <v>0</v>
      </c>
      <c r="AD2267" t="str">
        <f>""</f>
        <v/>
      </c>
      <c r="AE2267" t="str">
        <f>""</f>
        <v/>
      </c>
      <c r="AF2267" t="str">
        <f>"000"</f>
        <v>000</v>
      </c>
      <c r="AG2267" t="str">
        <f t="shared" si="843"/>
        <v>FL</v>
      </c>
      <c r="AH2267" t="str">
        <f>"10000.00"</f>
        <v>10000.00</v>
      </c>
      <c r="AI2267" t="str">
        <f>"51425.00"</f>
        <v>51425.00</v>
      </c>
      <c r="AJ2267" t="str">
        <f>"C55-000-586-0324-2"</f>
        <v>C55-000-586-0324-2</v>
      </c>
      <c r="AK2267" t="str">
        <f>"49847"</f>
        <v>49847</v>
      </c>
      <c r="AL2267">
        <v>8</v>
      </c>
      <c r="AM2267">
        <v>2588</v>
      </c>
      <c r="AN2267">
        <v>1027.03</v>
      </c>
      <c r="AQ2267" t="s">
        <v>21857</v>
      </c>
      <c r="AR2267" t="s">
        <v>21857</v>
      </c>
      <c r="AS2267" t="s">
        <v>21857</v>
      </c>
      <c r="AU2267" t="s">
        <v>396</v>
      </c>
      <c r="AV2267">
        <v>2017</v>
      </c>
      <c r="AW2267" t="str">
        <f>"00-00-31-1800-0241-1090 "</f>
        <v xml:space="preserve">00-00-31-1800-0241-1090 </v>
      </c>
      <c r="AZ2267" t="s">
        <v>19750</v>
      </c>
      <c r="BA2267" t="s">
        <v>1942</v>
      </c>
      <c r="BB2267" t="s">
        <v>18674</v>
      </c>
      <c r="BD2267" t="s">
        <v>11749</v>
      </c>
      <c r="BE2267" t="s">
        <v>393</v>
      </c>
      <c r="BF2267">
        <v>32034</v>
      </c>
      <c r="BG2267" t="s">
        <v>21858</v>
      </c>
      <c r="BH2267" t="s">
        <v>11751</v>
      </c>
      <c r="BI2267">
        <v>-81.452649794459703</v>
      </c>
      <c r="BJ2267">
        <v>30.6633981289392</v>
      </c>
      <c r="BK2267" t="s">
        <v>20582</v>
      </c>
      <c r="BM2267" t="s">
        <v>20589</v>
      </c>
      <c r="BN2267" t="s">
        <v>548</v>
      </c>
      <c r="BO2267">
        <v>32256</v>
      </c>
      <c r="BP2267" t="s">
        <v>404</v>
      </c>
      <c r="BQ2267">
        <v>0</v>
      </c>
      <c r="BR2267" t="s">
        <v>491</v>
      </c>
      <c r="BS2267">
        <v>8001</v>
      </c>
      <c r="BT2267" t="s">
        <v>492</v>
      </c>
      <c r="BU2267">
        <v>1000</v>
      </c>
      <c r="BV2267">
        <v>1000</v>
      </c>
      <c r="BW2267">
        <v>10000</v>
      </c>
      <c r="BX2267" t="s">
        <v>407</v>
      </c>
      <c r="CD2267">
        <v>2017</v>
      </c>
      <c r="CE2267">
        <v>51425</v>
      </c>
      <c r="CG2267">
        <v>51425</v>
      </c>
      <c r="CH2267">
        <v>2017</v>
      </c>
      <c r="CI2267">
        <v>51425</v>
      </c>
      <c r="CK2267">
        <v>51425</v>
      </c>
      <c r="CL2267">
        <v>2017</v>
      </c>
      <c r="CM2267">
        <v>920.05</v>
      </c>
      <c r="CN2267" s="1">
        <v>43021</v>
      </c>
      <c r="CO2267">
        <v>90000</v>
      </c>
      <c r="CV2267">
        <v>0</v>
      </c>
      <c r="CZ2267" s="1">
        <v>43021</v>
      </c>
      <c r="DA2267">
        <v>0</v>
      </c>
      <c r="DD2267" t="s">
        <v>11749</v>
      </c>
      <c r="DG2267">
        <v>23</v>
      </c>
      <c r="DL2267">
        <v>50101</v>
      </c>
      <c r="DM2267" t="s">
        <v>20742</v>
      </c>
      <c r="DO2267" t="s">
        <v>21859</v>
      </c>
      <c r="DP2267">
        <v>0</v>
      </c>
      <c r="DQ2267">
        <v>1</v>
      </c>
      <c r="DR2267" t="s">
        <v>1479</v>
      </c>
    </row>
    <row r="2268" spans="1:284" x14ac:dyDescent="0.25">
      <c r="A2268">
        <v>16487275</v>
      </c>
      <c r="B2268">
        <v>2267</v>
      </c>
      <c r="C2268" t="s">
        <v>393</v>
      </c>
      <c r="D2268" t="s">
        <v>394</v>
      </c>
      <c r="F2268" t="str">
        <f>"00-00-31-1800-0242-02C0"</f>
        <v>00-00-31-1800-0242-02C0</v>
      </c>
      <c r="H2268" t="str">
        <f>"BENJAMIN CARL T &amp; MARGIE L"</f>
        <v>BENJAMIN CARL T &amp; MARGIE L</v>
      </c>
      <c r="I2268" t="str">
        <f>"294 HILLCREST RD"</f>
        <v>294 HILLCREST RD</v>
      </c>
      <c r="J2268" t="str">
        <f>"TIFTON GA 31794"</f>
        <v>TIFTON GA 31794</v>
      </c>
      <c r="K2268" t="str">
        <f>"216 13TH ST S"</f>
        <v>216 13TH ST S</v>
      </c>
      <c r="L2268" t="str">
        <f t="shared" si="846"/>
        <v>FERNANDINA BEACH FL 32034</v>
      </c>
      <c r="M2268" t="str">
        <f>"BLOCK 242 SUB C &amp; D OF LOT 2 IN OR 372 PG 333 CITY OF FDNA BEACH"</f>
        <v>BLOCK 242 SUB C &amp; D OF LOT 2 IN OR 372 PG 333 CITY OF FDNA BEACH</v>
      </c>
      <c r="N2268" t="str">
        <f>""</f>
        <v/>
      </c>
      <c r="O2268" t="str">
        <f>"12957"</f>
        <v>12957</v>
      </c>
      <c r="P2268" t="str">
        <f t="shared" si="840"/>
        <v>2017</v>
      </c>
      <c r="Q2268" t="str">
        <f>""</f>
        <v/>
      </c>
      <c r="R2268" t="str">
        <f>"N"</f>
        <v>N</v>
      </c>
      <c r="S2268" t="str">
        <f>""</f>
        <v/>
      </c>
      <c r="T2268" t="str">
        <f>"2054.11"</f>
        <v>2054.11</v>
      </c>
      <c r="U2268" t="str">
        <f>"103063.00"</f>
        <v>103063.00</v>
      </c>
      <c r="V2268" t="str">
        <f>"103063.00"</f>
        <v>103063.00</v>
      </c>
      <c r="W2268" t="str">
        <f t="shared" si="841"/>
        <v>2017</v>
      </c>
      <c r="X2268" t="str">
        <f>"17.00"</f>
        <v>17.00</v>
      </c>
      <c r="Y2268" t="str">
        <f>"2147.73"</f>
        <v>2147.73</v>
      </c>
      <c r="Z2268" t="str">
        <f>""</f>
        <v/>
      </c>
      <c r="AA2268" t="str">
        <f>"103063.00"</f>
        <v>103063.00</v>
      </c>
      <c r="AB2268" t="str">
        <f>"Commercial"</f>
        <v>Commercial</v>
      </c>
      <c r="AC2268" t="str">
        <f t="shared" si="829"/>
        <v>0</v>
      </c>
      <c r="AD2268" t="str">
        <f>"4"</f>
        <v>4</v>
      </c>
      <c r="AE2268" t="str">
        <f>"WOOD (INCLUDE STEEL STUDS)"</f>
        <v>WOOD (INCLUDE STEEL STUDS)</v>
      </c>
      <c r="AF2268" t="str">
        <f>"019"</f>
        <v>019</v>
      </c>
      <c r="AG2268" t="str">
        <f>"GA"</f>
        <v>GA</v>
      </c>
      <c r="AH2268" t="str">
        <f>"8772.00"</f>
        <v>8772.00</v>
      </c>
      <c r="AI2268" t="str">
        <f>"27158.00"</f>
        <v>27158.00</v>
      </c>
      <c r="AJ2268" t="str">
        <f>"C55-000-586-0345-7"</f>
        <v>C55-000-586-0345-7</v>
      </c>
      <c r="AK2268" t="str">
        <f>"49872"</f>
        <v>49872</v>
      </c>
      <c r="AL2268">
        <v>8</v>
      </c>
      <c r="AM2268">
        <v>2589</v>
      </c>
      <c r="AN2268">
        <v>2253.52</v>
      </c>
      <c r="AQ2268" t="s">
        <v>21860</v>
      </c>
      <c r="AR2268" t="s">
        <v>21860</v>
      </c>
      <c r="AS2268" t="s">
        <v>21860</v>
      </c>
      <c r="AU2268" t="s">
        <v>396</v>
      </c>
      <c r="AV2268">
        <v>2017</v>
      </c>
      <c r="AW2268" t="str">
        <f>"00-00-31-1800-0242-02C0 "</f>
        <v xml:space="preserve">00-00-31-1800-0242-02C0 </v>
      </c>
      <c r="AX2268">
        <v>216</v>
      </c>
      <c r="AZ2268" t="s">
        <v>21742</v>
      </c>
      <c r="BA2268" t="s">
        <v>1942</v>
      </c>
      <c r="BB2268" t="s">
        <v>18674</v>
      </c>
      <c r="BD2268" t="s">
        <v>11749</v>
      </c>
      <c r="BE2268" t="s">
        <v>393</v>
      </c>
      <c r="BF2268">
        <v>32034</v>
      </c>
      <c r="BG2268" t="s">
        <v>21861</v>
      </c>
      <c r="BH2268" t="s">
        <v>11751</v>
      </c>
      <c r="BI2268">
        <v>-81.453319114643605</v>
      </c>
      <c r="BJ2268">
        <v>30.6666060847609</v>
      </c>
      <c r="BK2268" t="s">
        <v>21862</v>
      </c>
      <c r="BL2268" t="s">
        <v>21863</v>
      </c>
      <c r="BM2268" t="s">
        <v>21864</v>
      </c>
      <c r="BN2268" t="s">
        <v>20457</v>
      </c>
      <c r="BO2268">
        <v>31794</v>
      </c>
      <c r="BP2268" t="s">
        <v>404</v>
      </c>
      <c r="BQ2268">
        <v>1920</v>
      </c>
      <c r="BR2268" t="s">
        <v>21865</v>
      </c>
      <c r="BS2268">
        <v>3001</v>
      </c>
      <c r="BT2268" t="s">
        <v>21866</v>
      </c>
      <c r="BW2268">
        <v>8454</v>
      </c>
      <c r="BX2268" t="s">
        <v>407</v>
      </c>
      <c r="BY2268" t="s">
        <v>18253</v>
      </c>
      <c r="BZ2268">
        <v>4</v>
      </c>
      <c r="CA2268">
        <v>1983</v>
      </c>
      <c r="CB2268">
        <v>1</v>
      </c>
      <c r="CD2268">
        <v>2017</v>
      </c>
      <c r="CE2268">
        <v>27158</v>
      </c>
      <c r="CF2268">
        <v>75905</v>
      </c>
      <c r="CG2268">
        <v>103063</v>
      </c>
      <c r="CH2268">
        <v>2017</v>
      </c>
      <c r="CI2268">
        <v>27158</v>
      </c>
      <c r="CJ2268">
        <v>75905</v>
      </c>
      <c r="CK2268">
        <v>103063</v>
      </c>
      <c r="CL2268">
        <v>2017</v>
      </c>
      <c r="CM2268">
        <v>2054.11</v>
      </c>
      <c r="DD2268" t="s">
        <v>11749</v>
      </c>
      <c r="DF2268">
        <v>2</v>
      </c>
      <c r="DG2268">
        <v>23</v>
      </c>
      <c r="DJ2268" t="s">
        <v>20634</v>
      </c>
      <c r="DL2268">
        <v>50101</v>
      </c>
      <c r="DM2268" t="s">
        <v>20742</v>
      </c>
      <c r="DO2268" t="s">
        <v>21867</v>
      </c>
      <c r="DP2268">
        <v>0</v>
      </c>
      <c r="DQ2268">
        <v>2</v>
      </c>
      <c r="DR2268" t="s">
        <v>411</v>
      </c>
      <c r="DS2268" t="b">
        <v>1</v>
      </c>
      <c r="DT2268" t="s">
        <v>470</v>
      </c>
      <c r="DU2268" t="s">
        <v>471</v>
      </c>
      <c r="DV2268" t="s">
        <v>472</v>
      </c>
      <c r="DX2268">
        <v>-9999</v>
      </c>
      <c r="DZ2268" t="s">
        <v>447</v>
      </c>
      <c r="EA2268" t="s">
        <v>448</v>
      </c>
      <c r="EB2268" t="s">
        <v>14787</v>
      </c>
      <c r="EC2268">
        <v>20101217</v>
      </c>
      <c r="ED2268" t="s">
        <v>474</v>
      </c>
      <c r="EF2268">
        <v>2042.1</v>
      </c>
      <c r="EG2268">
        <v>2036.8</v>
      </c>
      <c r="EH2268" t="s">
        <v>451</v>
      </c>
      <c r="EI2268">
        <v>20140731</v>
      </c>
      <c r="EJ2268">
        <v>2</v>
      </c>
      <c r="EK2268">
        <v>0</v>
      </c>
      <c r="EP2268" t="s">
        <v>421</v>
      </c>
      <c r="EQ2268" t="s">
        <v>452</v>
      </c>
      <c r="ER2268">
        <v>2</v>
      </c>
      <c r="ES2268">
        <v>6</v>
      </c>
      <c r="ET2268">
        <v>4176.5600000000004</v>
      </c>
      <c r="EU2268">
        <v>221.33</v>
      </c>
      <c r="EV2268">
        <v>4397.8900000000003</v>
      </c>
      <c r="EW2268" s="2">
        <v>43222</v>
      </c>
      <c r="EX2268" s="1">
        <v>42879</v>
      </c>
      <c r="EY2268">
        <v>2016</v>
      </c>
      <c r="EZ2268">
        <v>2088.2800000000002</v>
      </c>
      <c r="FA2268" t="s">
        <v>21868</v>
      </c>
      <c r="FB2268">
        <v>0.25</v>
      </c>
      <c r="FC2268" t="s">
        <v>424</v>
      </c>
      <c r="FD2268" t="s">
        <v>454</v>
      </c>
      <c r="FF2268">
        <v>12</v>
      </c>
      <c r="FG2268">
        <v>7336671</v>
      </c>
      <c r="FH2268" t="s">
        <v>437</v>
      </c>
      <c r="FJ2268" s="1">
        <v>42879</v>
      </c>
      <c r="FK2268">
        <v>2016</v>
      </c>
      <c r="FL2268">
        <v>2088.2800000000002</v>
      </c>
      <c r="FM2268" t="s">
        <v>21868</v>
      </c>
      <c r="FN2268">
        <v>0.25</v>
      </c>
      <c r="FO2268" t="s">
        <v>424</v>
      </c>
      <c r="FP2268" t="s">
        <v>454</v>
      </c>
      <c r="FR2268">
        <v>12</v>
      </c>
      <c r="FS2268">
        <v>5126889</v>
      </c>
      <c r="FT2268" t="s">
        <v>21869</v>
      </c>
      <c r="FV2268" s="1">
        <v>42151</v>
      </c>
      <c r="FW2268">
        <v>2014</v>
      </c>
      <c r="FX2268">
        <v>2004.14</v>
      </c>
      <c r="FY2268" t="s">
        <v>21870</v>
      </c>
      <c r="FZ2268">
        <v>0.25</v>
      </c>
      <c r="GA2268" t="s">
        <v>424</v>
      </c>
      <c r="GB2268" t="s">
        <v>425</v>
      </c>
      <c r="GD2268">
        <v>22</v>
      </c>
      <c r="GE2268">
        <v>2101382</v>
      </c>
      <c r="GF2268" t="s">
        <v>993</v>
      </c>
      <c r="GG2268" t="s">
        <v>458</v>
      </c>
      <c r="GH2268" s="1">
        <v>42151</v>
      </c>
      <c r="GI2268">
        <v>2014</v>
      </c>
      <c r="GJ2268">
        <v>2004.14</v>
      </c>
      <c r="GK2268" t="s">
        <v>21870</v>
      </c>
      <c r="GL2268">
        <v>0.25</v>
      </c>
      <c r="GM2268" t="s">
        <v>424</v>
      </c>
      <c r="GN2268" t="s">
        <v>425</v>
      </c>
      <c r="GP2268">
        <v>22</v>
      </c>
      <c r="GQ2268">
        <v>5480194</v>
      </c>
      <c r="GR2268" t="s">
        <v>21871</v>
      </c>
      <c r="GS2268" t="s">
        <v>458</v>
      </c>
      <c r="GT2268" s="1">
        <v>41787</v>
      </c>
      <c r="GU2268">
        <v>2013</v>
      </c>
      <c r="GV2268">
        <v>2150.12</v>
      </c>
      <c r="GW2268" t="s">
        <v>21872</v>
      </c>
      <c r="GX2268">
        <v>0.25</v>
      </c>
      <c r="GY2268" t="s">
        <v>424</v>
      </c>
      <c r="GZ2268" t="s">
        <v>425</v>
      </c>
      <c r="HB2268">
        <v>22</v>
      </c>
      <c r="HC2268">
        <v>2101382</v>
      </c>
      <c r="HD2268" t="s">
        <v>993</v>
      </c>
      <c r="HE2268" t="s">
        <v>458</v>
      </c>
      <c r="HF2268" s="1">
        <v>41423</v>
      </c>
      <c r="HG2268">
        <v>2012</v>
      </c>
      <c r="HH2268">
        <v>2216.5700000000002</v>
      </c>
      <c r="HI2268" t="s">
        <v>21873</v>
      </c>
      <c r="HJ2268">
        <v>0.25</v>
      </c>
      <c r="HK2268" t="s">
        <v>424</v>
      </c>
      <c r="HL2268" t="s">
        <v>425</v>
      </c>
      <c r="HM2268" s="1">
        <v>42109</v>
      </c>
      <c r="HN2268">
        <v>23</v>
      </c>
      <c r="HO2268">
        <v>606981</v>
      </c>
      <c r="HP2268" t="s">
        <v>792</v>
      </c>
      <c r="HR2268" s="1">
        <v>41052</v>
      </c>
      <c r="HS2268">
        <v>2011</v>
      </c>
      <c r="HT2268">
        <v>2303.41</v>
      </c>
      <c r="HU2268" t="s">
        <v>21874</v>
      </c>
      <c r="HV2268">
        <v>0.25</v>
      </c>
      <c r="HW2268" t="s">
        <v>424</v>
      </c>
      <c r="HX2268" t="s">
        <v>425</v>
      </c>
      <c r="HY2268" s="1">
        <v>41688</v>
      </c>
      <c r="HZ2268">
        <v>21</v>
      </c>
      <c r="IA2268">
        <v>13227</v>
      </c>
      <c r="IB2268" t="s">
        <v>21875</v>
      </c>
      <c r="ID2268" s="1">
        <v>40688</v>
      </c>
      <c r="IE2268">
        <v>2010</v>
      </c>
      <c r="IF2268">
        <v>2261.4299999999998</v>
      </c>
      <c r="IG2268" t="s">
        <v>21876</v>
      </c>
      <c r="IH2268">
        <v>4.75</v>
      </c>
      <c r="II2268" t="s">
        <v>424</v>
      </c>
      <c r="IJ2268" t="s">
        <v>425</v>
      </c>
      <c r="IK2268" s="1">
        <v>41149</v>
      </c>
      <c r="IL2268">
        <v>15</v>
      </c>
      <c r="IM2268">
        <v>11244</v>
      </c>
      <c r="IN2268" t="s">
        <v>3585</v>
      </c>
    </row>
    <row r="2269" spans="1:284" x14ac:dyDescent="0.25">
      <c r="A2269">
        <v>16487276</v>
      </c>
      <c r="B2269">
        <v>2268</v>
      </c>
      <c r="C2269" t="s">
        <v>393</v>
      </c>
      <c r="D2269" t="s">
        <v>394</v>
      </c>
      <c r="F2269" t="str">
        <f>"00-00-31-1800-0242-10A0"</f>
        <v>00-00-31-1800-0242-10A0</v>
      </c>
      <c r="H2269" t="str">
        <f>"HILL SHEILA"</f>
        <v>HILL SHEILA</v>
      </c>
      <c r="I2269" t="str">
        <f>"1316 BEECH ST"</f>
        <v>1316 BEECH ST</v>
      </c>
      <c r="J2269" t="str">
        <f>"FERNANDINA BEACH FL 32034"</f>
        <v>FERNANDINA BEACH FL 32034</v>
      </c>
      <c r="K2269" t="str">
        <f>"1316 BEECH ST"</f>
        <v>1316 BEECH ST</v>
      </c>
      <c r="L2269" t="str">
        <f t="shared" si="846"/>
        <v>FERNANDINA BEACH FL 32034</v>
      </c>
      <c r="M2269" t="str">
        <f>"BLOCK 242 SUB A OF LOT 10 OR 1588/1490 CASE 08-CP-165 IN OR 1594/78 &amp; 80 CITY OF FDNA BEACH"</f>
        <v>BLOCK 242 SUB A OF LOT 10 OR 1588/1490 CASE 08-CP-165 IN OR 1594/78 &amp; 80 CITY OF FDNA BEACH</v>
      </c>
      <c r="N2269" t="str">
        <f>""</f>
        <v/>
      </c>
      <c r="O2269" t="str">
        <f>"12960"</f>
        <v>12960</v>
      </c>
      <c r="P2269" t="str">
        <f t="shared" si="840"/>
        <v>2017</v>
      </c>
      <c r="Q2269" t="str">
        <f>""</f>
        <v/>
      </c>
      <c r="R2269" t="str">
        <f>"Y"</f>
        <v>Y</v>
      </c>
      <c r="S2269" t="str">
        <f>""</f>
        <v/>
      </c>
      <c r="T2269" t="str">
        <f>"207.58"</f>
        <v>207.58</v>
      </c>
      <c r="U2269" t="str">
        <f>"35415.00"</f>
        <v>35415.00</v>
      </c>
      <c r="V2269" t="str">
        <f>"35415.00"</f>
        <v>35415.00</v>
      </c>
      <c r="W2269" t="str">
        <f t="shared" si="841"/>
        <v>2017</v>
      </c>
      <c r="X2269" t="str">
        <f>"6.00"</f>
        <v>6.00</v>
      </c>
      <c r="Y2269" t="str">
        <f>"245.81"</f>
        <v>245.81</v>
      </c>
      <c r="Z2269" t="str">
        <f>"25000.00"</f>
        <v>25000.00</v>
      </c>
      <c r="AA2269" t="str">
        <f>"10415.00"</f>
        <v>10415.00</v>
      </c>
      <c r="AB2269" t="str">
        <f>"Residential"</f>
        <v>Residential</v>
      </c>
      <c r="AC2269" t="str">
        <f t="shared" si="829"/>
        <v>0</v>
      </c>
      <c r="AD2269" t="str">
        <f>"4"</f>
        <v>4</v>
      </c>
      <c r="AE2269" t="str">
        <f>"WOOD (INCLUDE STEEL STUDS)"</f>
        <v>WOOD (INCLUDE STEEL STUDS)</v>
      </c>
      <c r="AF2269" t="str">
        <f>"001"</f>
        <v>001</v>
      </c>
      <c r="AG2269" t="str">
        <f>"FL"</f>
        <v>FL</v>
      </c>
      <c r="AH2269" t="str">
        <f>"4386.00"</f>
        <v>4386.00</v>
      </c>
      <c r="AI2269" t="str">
        <f>"21458.00"</f>
        <v>21458.00</v>
      </c>
      <c r="AJ2269" t="str">
        <f>"C55-000-586-0348-1"</f>
        <v>C55-000-586-0348-1</v>
      </c>
      <c r="AK2269" t="str">
        <f>"49875"</f>
        <v>49875</v>
      </c>
      <c r="AL2269">
        <v>8</v>
      </c>
      <c r="AM2269">
        <v>2590</v>
      </c>
      <c r="AN2269">
        <v>256.5</v>
      </c>
      <c r="AQ2269" t="s">
        <v>21877</v>
      </c>
      <c r="AR2269" t="s">
        <v>21877</v>
      </c>
      <c r="AS2269" t="s">
        <v>21877</v>
      </c>
      <c r="AU2269" t="s">
        <v>396</v>
      </c>
      <c r="AV2269">
        <v>2017</v>
      </c>
      <c r="AW2269" t="str">
        <f>"00-00-31-1800-0242-10A0 "</f>
        <v xml:space="preserve">00-00-31-1800-0242-10A0 </v>
      </c>
      <c r="AX2269">
        <v>1316</v>
      </c>
      <c r="AZ2269" t="s">
        <v>19911</v>
      </c>
      <c r="BA2269" t="s">
        <v>1942</v>
      </c>
      <c r="BD2269" t="s">
        <v>11749</v>
      </c>
      <c r="BE2269" t="s">
        <v>393</v>
      </c>
      <c r="BF2269">
        <v>32034</v>
      </c>
      <c r="BG2269" t="s">
        <v>21878</v>
      </c>
      <c r="BH2269" t="s">
        <v>11751</v>
      </c>
      <c r="BI2269">
        <v>-81.452483631809002</v>
      </c>
      <c r="BJ2269">
        <v>30.667222873904301</v>
      </c>
      <c r="BK2269" t="s">
        <v>21879</v>
      </c>
      <c r="BM2269" t="s">
        <v>21878</v>
      </c>
      <c r="BN2269" t="s">
        <v>3983</v>
      </c>
      <c r="BO2269">
        <v>32034</v>
      </c>
      <c r="BP2269" t="s">
        <v>416</v>
      </c>
      <c r="BQ2269">
        <v>100</v>
      </c>
      <c r="BR2269" t="s">
        <v>514</v>
      </c>
      <c r="BS2269">
        <v>1001</v>
      </c>
      <c r="BT2269" t="s">
        <v>515</v>
      </c>
      <c r="BU2269">
        <v>510</v>
      </c>
      <c r="BV2269">
        <v>0</v>
      </c>
      <c r="BW2269">
        <v>4280</v>
      </c>
      <c r="BX2269" t="s">
        <v>407</v>
      </c>
      <c r="BY2269" t="s">
        <v>18253</v>
      </c>
      <c r="BZ2269">
        <v>4</v>
      </c>
      <c r="CA2269">
        <v>1920</v>
      </c>
      <c r="CB2269">
        <v>1</v>
      </c>
      <c r="CC2269">
        <v>1</v>
      </c>
      <c r="CD2269">
        <v>2017</v>
      </c>
      <c r="CG2269">
        <v>35415</v>
      </c>
      <c r="CH2269">
        <v>2017</v>
      </c>
      <c r="CI2269">
        <v>21458</v>
      </c>
      <c r="CJ2269">
        <v>32189</v>
      </c>
      <c r="CK2269">
        <v>53647</v>
      </c>
      <c r="CL2269">
        <v>2017</v>
      </c>
      <c r="CM2269">
        <v>207.58</v>
      </c>
      <c r="CN2269" s="1">
        <v>39772</v>
      </c>
      <c r="CZ2269" s="1">
        <v>39772</v>
      </c>
      <c r="DD2269" t="s">
        <v>11749</v>
      </c>
      <c r="DF2269">
        <v>10</v>
      </c>
      <c r="DG2269">
        <v>23</v>
      </c>
      <c r="DL2269">
        <v>50101</v>
      </c>
      <c r="DM2269" t="s">
        <v>20742</v>
      </c>
      <c r="DO2269" t="s">
        <v>21880</v>
      </c>
      <c r="DP2269">
        <v>0</v>
      </c>
      <c r="DQ2269">
        <v>3</v>
      </c>
      <c r="DR2269" t="s">
        <v>411</v>
      </c>
      <c r="EP2269" t="s">
        <v>595</v>
      </c>
      <c r="EQ2269" t="s">
        <v>422</v>
      </c>
      <c r="ER2269">
        <v>0</v>
      </c>
      <c r="ES2269">
        <v>5</v>
      </c>
      <c r="ET2269">
        <v>0</v>
      </c>
      <c r="EU2269">
        <v>0</v>
      </c>
      <c r="EV2269">
        <v>0</v>
      </c>
      <c r="EW2269" s="2">
        <v>43222</v>
      </c>
      <c r="EX2269" s="1">
        <v>42515</v>
      </c>
      <c r="EY2269">
        <v>2015</v>
      </c>
      <c r="EZ2269">
        <v>231.49</v>
      </c>
      <c r="FA2269" t="s">
        <v>21881</v>
      </c>
      <c r="FB2269">
        <v>18</v>
      </c>
      <c r="FC2269" t="s">
        <v>603</v>
      </c>
      <c r="FD2269" t="s">
        <v>425</v>
      </c>
      <c r="FF2269">
        <v>22</v>
      </c>
      <c r="FG2269">
        <v>9999999</v>
      </c>
      <c r="FH2269" t="s">
        <v>604</v>
      </c>
      <c r="FJ2269" s="1">
        <v>42515</v>
      </c>
      <c r="FK2269">
        <v>2015</v>
      </c>
      <c r="FL2269">
        <v>258.57</v>
      </c>
      <c r="FM2269" t="s">
        <v>21881</v>
      </c>
      <c r="FN2269">
        <v>18</v>
      </c>
      <c r="FO2269" t="s">
        <v>424</v>
      </c>
      <c r="FP2269" t="s">
        <v>425</v>
      </c>
      <c r="FQ2269" s="1">
        <v>42873</v>
      </c>
      <c r="FR2269">
        <v>12</v>
      </c>
      <c r="FS2269">
        <v>7336714</v>
      </c>
      <c r="FT2269" t="s">
        <v>21882</v>
      </c>
      <c r="FV2269" s="1">
        <v>41423</v>
      </c>
      <c r="FW2269">
        <v>2012</v>
      </c>
      <c r="FX2269">
        <v>300.51</v>
      </c>
      <c r="FY2269" t="s">
        <v>21883</v>
      </c>
      <c r="FZ2269">
        <v>0.25</v>
      </c>
      <c r="GA2269" t="s">
        <v>424</v>
      </c>
      <c r="GB2269" t="s">
        <v>425</v>
      </c>
      <c r="GC2269" s="1">
        <v>41437</v>
      </c>
      <c r="GD2269">
        <v>1</v>
      </c>
      <c r="GE2269">
        <v>15399</v>
      </c>
      <c r="GF2269" t="s">
        <v>485</v>
      </c>
      <c r="GH2269" s="1">
        <v>41052</v>
      </c>
      <c r="GI2269">
        <v>2011</v>
      </c>
      <c r="GJ2269">
        <v>514.46</v>
      </c>
      <c r="GK2269" t="s">
        <v>21884</v>
      </c>
      <c r="GL2269">
        <v>4.75</v>
      </c>
      <c r="GM2269" t="s">
        <v>424</v>
      </c>
      <c r="GN2269" t="s">
        <v>425</v>
      </c>
      <c r="GO2269" s="1">
        <v>41075</v>
      </c>
      <c r="GP2269">
        <v>1</v>
      </c>
      <c r="GQ2269">
        <v>13286</v>
      </c>
      <c r="GR2269" t="s">
        <v>10164</v>
      </c>
      <c r="GT2269" s="1">
        <v>40688</v>
      </c>
      <c r="GU2269">
        <v>2010</v>
      </c>
      <c r="GV2269">
        <v>533.71</v>
      </c>
      <c r="GW2269" t="s">
        <v>21885</v>
      </c>
      <c r="GX2269">
        <v>0.25</v>
      </c>
      <c r="GY2269" t="s">
        <v>424</v>
      </c>
      <c r="GZ2269" t="s">
        <v>425</v>
      </c>
      <c r="HA2269" s="1">
        <v>40697</v>
      </c>
      <c r="HB2269">
        <v>1</v>
      </c>
      <c r="HC2269">
        <v>11141</v>
      </c>
      <c r="HD2269" t="s">
        <v>1723</v>
      </c>
    </row>
    <row r="2270" spans="1:284" x14ac:dyDescent="0.25">
      <c r="A2270">
        <v>16487277</v>
      </c>
      <c r="B2270">
        <v>2269</v>
      </c>
      <c r="C2270" t="s">
        <v>393</v>
      </c>
      <c r="D2270" t="s">
        <v>394</v>
      </c>
      <c r="F2270" t="str">
        <f>"00-00-31-1800-0243-06D0"</f>
        <v>00-00-31-1800-0243-06D0</v>
      </c>
      <c r="H2270" t="str">
        <f>"BEACH DANA &amp; JENNIFER (M/C)"</f>
        <v>BEACH DANA &amp; JENNIFER (M/C)</v>
      </c>
      <c r="I2270" t="str">
        <f>"85052 CHAMPLAIN DR"</f>
        <v>85052 CHAMPLAIN DR</v>
      </c>
      <c r="J2270" t="str">
        <f>"FERNANDINA BEACH FL 32034"</f>
        <v>FERNANDINA BEACH FL 32034</v>
      </c>
      <c r="K2270" t="str">
        <f>"1323 BEECH ST"</f>
        <v>1323 BEECH ST</v>
      </c>
      <c r="L2270" t="str">
        <f t="shared" si="846"/>
        <v>FERNANDINA BEACH FL 32034</v>
      </c>
      <c r="M2270" t="str">
        <f>"BLK 243 TRACT D OF LOT 6 IN OR 2122/880 CITY OF FDNA BEACH S/D IN SEC 23-3N-28E"</f>
        <v>BLK 243 TRACT D OF LOT 6 IN OR 2122/880 CITY OF FDNA BEACH S/D IN SEC 23-3N-28E</v>
      </c>
      <c r="N2270" t="str">
        <f>""</f>
        <v/>
      </c>
      <c r="O2270" t="str">
        <f>"12985"</f>
        <v>12985</v>
      </c>
      <c r="P2270" t="str">
        <f t="shared" si="840"/>
        <v>2017</v>
      </c>
      <c r="Q2270" t="str">
        <f>""</f>
        <v/>
      </c>
      <c r="R2270" t="str">
        <f>"N"</f>
        <v>N</v>
      </c>
      <c r="S2270" t="str">
        <f>""</f>
        <v/>
      </c>
      <c r="T2270" t="str">
        <f>"560.62"</f>
        <v>560.62</v>
      </c>
      <c r="U2270" t="str">
        <f>"17062.00"</f>
        <v>17062.00</v>
      </c>
      <c r="V2270" t="str">
        <f>"17062.00"</f>
        <v>17062.00</v>
      </c>
      <c r="W2270" t="str">
        <f t="shared" si="841"/>
        <v>2017</v>
      </c>
      <c r="X2270" t="str">
        <f>""</f>
        <v/>
      </c>
      <c r="Y2270" t="str">
        <f>"609.44"</f>
        <v>609.44</v>
      </c>
      <c r="Z2270" t="str">
        <f>""</f>
        <v/>
      </c>
      <c r="AA2270" t="str">
        <f>"50490.00"</f>
        <v>50490.00</v>
      </c>
      <c r="AB2270" t="str">
        <f>"Residential"</f>
        <v>Residential</v>
      </c>
      <c r="AC2270" t="str">
        <f t="shared" ref="AC2270:AC2298" si="849">"0"</f>
        <v>0</v>
      </c>
      <c r="AD2270" t="str">
        <f>""</f>
        <v/>
      </c>
      <c r="AE2270" t="str">
        <f>""</f>
        <v/>
      </c>
      <c r="AF2270" t="str">
        <f>"000"</f>
        <v>000</v>
      </c>
      <c r="AG2270" t="str">
        <f>"FL"</f>
        <v>FL</v>
      </c>
      <c r="AH2270" t="str">
        <f>"4386.00"</f>
        <v>4386.00</v>
      </c>
      <c r="AI2270" t="str">
        <f>"50490.00"</f>
        <v>50490.00</v>
      </c>
      <c r="AJ2270" t="str">
        <f>"C55-000-586-0371-3"</f>
        <v>C55-000-586-0371-3</v>
      </c>
      <c r="AK2270" t="str">
        <f>"49899"</f>
        <v>49899</v>
      </c>
      <c r="AL2270">
        <v>8</v>
      </c>
      <c r="AM2270">
        <v>2593</v>
      </c>
      <c r="AN2270">
        <v>638.30999999999995</v>
      </c>
      <c r="AQ2270" t="s">
        <v>21886</v>
      </c>
      <c r="AR2270" t="s">
        <v>21886</v>
      </c>
      <c r="AS2270" t="s">
        <v>21886</v>
      </c>
      <c r="AU2270" t="s">
        <v>396</v>
      </c>
      <c r="AV2270">
        <v>2017</v>
      </c>
      <c r="AW2270" t="str">
        <f>"00-00-31-1800-0243-06D0 "</f>
        <v xml:space="preserve">00-00-31-1800-0243-06D0 </v>
      </c>
      <c r="AX2270">
        <v>1323</v>
      </c>
      <c r="AZ2270" t="s">
        <v>19911</v>
      </c>
      <c r="BA2270" t="s">
        <v>1942</v>
      </c>
      <c r="BD2270" t="s">
        <v>11749</v>
      </c>
      <c r="BE2270" t="s">
        <v>393</v>
      </c>
      <c r="BF2270">
        <v>32034</v>
      </c>
      <c r="BG2270" t="s">
        <v>21887</v>
      </c>
      <c r="BH2270" t="s">
        <v>11751</v>
      </c>
      <c r="BI2270">
        <v>-81.451941050858395</v>
      </c>
      <c r="BJ2270">
        <v>30.6675663803566</v>
      </c>
      <c r="BK2270" t="s">
        <v>21888</v>
      </c>
      <c r="BL2270" t="s">
        <v>21889</v>
      </c>
      <c r="BM2270" t="s">
        <v>21890</v>
      </c>
      <c r="BN2270" t="s">
        <v>3983</v>
      </c>
      <c r="BO2270">
        <v>32034</v>
      </c>
      <c r="BP2270" t="s">
        <v>404</v>
      </c>
      <c r="BQ2270">
        <v>0</v>
      </c>
      <c r="BR2270" t="s">
        <v>491</v>
      </c>
      <c r="BS2270">
        <v>8001</v>
      </c>
      <c r="BT2270" t="s">
        <v>492</v>
      </c>
      <c r="BU2270">
        <v>510</v>
      </c>
      <c r="BV2270">
        <v>0</v>
      </c>
      <c r="BW2270">
        <v>4558</v>
      </c>
      <c r="BX2270" t="s">
        <v>407</v>
      </c>
      <c r="BY2270" t="s">
        <v>18253</v>
      </c>
      <c r="CD2270">
        <v>2017</v>
      </c>
      <c r="CE2270">
        <v>50490</v>
      </c>
      <c r="CG2270">
        <v>50490</v>
      </c>
      <c r="CH2270">
        <v>2017</v>
      </c>
      <c r="CI2270">
        <v>50490</v>
      </c>
      <c r="CK2270">
        <v>50490</v>
      </c>
      <c r="CL2270">
        <v>2017</v>
      </c>
      <c r="CM2270">
        <v>560.62</v>
      </c>
      <c r="CN2270" s="1">
        <v>42880</v>
      </c>
      <c r="CO2270">
        <v>40000</v>
      </c>
      <c r="CV2270">
        <v>0</v>
      </c>
      <c r="CZ2270" s="1">
        <v>42880</v>
      </c>
      <c r="DA2270">
        <v>0</v>
      </c>
      <c r="DD2270" t="s">
        <v>11749</v>
      </c>
      <c r="DF2270">
        <v>6</v>
      </c>
      <c r="DG2270">
        <v>23</v>
      </c>
      <c r="DL2270">
        <v>50101</v>
      </c>
      <c r="DM2270" t="s">
        <v>20742</v>
      </c>
      <c r="DO2270" t="s">
        <v>21891</v>
      </c>
      <c r="DP2270">
        <v>0</v>
      </c>
      <c r="DQ2270">
        <v>3</v>
      </c>
      <c r="DR2270" t="s">
        <v>1479</v>
      </c>
    </row>
    <row r="2271" spans="1:284" x14ac:dyDescent="0.25">
      <c r="A2271">
        <v>16487278</v>
      </c>
      <c r="B2271">
        <v>2270</v>
      </c>
      <c r="C2271" t="s">
        <v>393</v>
      </c>
      <c r="D2271" t="s">
        <v>394</v>
      </c>
      <c r="F2271" t="str">
        <f>"00-00-31-1800-0244-06A2"</f>
        <v>00-00-31-1800-0244-06A2</v>
      </c>
      <c r="H2271" t="str">
        <f>"GEORGE PATSY SUE EST"</f>
        <v>GEORGE PATSY SUE EST</v>
      </c>
      <c r="I2271" t="str">
        <f>"128 N 13TH ST TER"</f>
        <v>128 N 13TH ST TER</v>
      </c>
      <c r="J2271" t="str">
        <f>"FERNANDINA BEACH FL 32034"</f>
        <v>FERNANDINA BEACH FL 32034</v>
      </c>
      <c r="K2271" t="str">
        <f>"128 13TH TER N"</f>
        <v>128 13TH TER N</v>
      </c>
      <c r="L2271" t="str">
        <f t="shared" si="846"/>
        <v>FERNANDINA BEACH FL 32034</v>
      </c>
      <c r="M2271" t="str">
        <f>"BLOCK 244 SUB G N12 FT OF H OF LOT 6 &amp; S5 FT OF A OF 6 IN OR 723 PG 476 CITY OF FDNA BEACH"</f>
        <v>BLOCK 244 SUB G N12 FT OF H OF LOT 6 &amp; S5 FT OF A OF 6 IN OR 723 PG 476 CITY OF FDNA BEACH</v>
      </c>
      <c r="N2271" t="str">
        <f>""</f>
        <v/>
      </c>
      <c r="O2271" t="str">
        <f>"13005"</f>
        <v>13005</v>
      </c>
      <c r="P2271" t="str">
        <f t="shared" si="840"/>
        <v>2017</v>
      </c>
      <c r="Q2271" t="str">
        <f>""</f>
        <v/>
      </c>
      <c r="R2271" t="str">
        <f>"N"</f>
        <v>N</v>
      </c>
      <c r="S2271" t="str">
        <f>""</f>
        <v/>
      </c>
      <c r="T2271" t="str">
        <f>"942.06"</f>
        <v>942.06</v>
      </c>
      <c r="U2271" t="str">
        <f>"45485.00"</f>
        <v>45485.00</v>
      </c>
      <c r="V2271" t="str">
        <f>"45485.00"</f>
        <v>45485.00</v>
      </c>
      <c r="W2271" t="str">
        <f t="shared" si="841"/>
        <v>2017</v>
      </c>
      <c r="X2271" t="str">
        <f>"9.75"</f>
        <v>9.75</v>
      </c>
      <c r="Y2271" t="str">
        <f>"1002.32"</f>
        <v>1002.32</v>
      </c>
      <c r="Z2271" t="str">
        <f>""</f>
        <v/>
      </c>
      <c r="AA2271" t="str">
        <f>"50867.00"</f>
        <v>50867.00</v>
      </c>
      <c r="AB2271" t="str">
        <f>"Residential"</f>
        <v>Residential</v>
      </c>
      <c r="AC2271" t="str">
        <f t="shared" si="849"/>
        <v>0</v>
      </c>
      <c r="AD2271" t="str">
        <f>"4"</f>
        <v>4</v>
      </c>
      <c r="AE2271" t="str">
        <f>"WOOD (INCLUDE STEEL STUDS)"</f>
        <v>WOOD (INCLUDE STEEL STUDS)</v>
      </c>
      <c r="AF2271" t="str">
        <f>"001"</f>
        <v>001</v>
      </c>
      <c r="AG2271" t="str">
        <f>"FL"</f>
        <v>FL</v>
      </c>
      <c r="AH2271" t="str">
        <f>"5865.00"</f>
        <v>5865.00</v>
      </c>
      <c r="AI2271" t="str">
        <f>"27500.00"</f>
        <v>27500.00</v>
      </c>
      <c r="AJ2271" t="str">
        <f>"C55-000-586-0389-5"</f>
        <v>C55-000-586-0389-5</v>
      </c>
      <c r="AK2271" t="str">
        <f>"49918"</f>
        <v>49918</v>
      </c>
      <c r="AL2271">
        <v>8</v>
      </c>
      <c r="AM2271">
        <v>2594</v>
      </c>
      <c r="AN2271">
        <v>1050.8399999999999</v>
      </c>
      <c r="AQ2271" t="s">
        <v>21892</v>
      </c>
      <c r="AR2271" t="s">
        <v>21892</v>
      </c>
      <c r="AS2271" t="s">
        <v>21892</v>
      </c>
      <c r="AU2271" t="s">
        <v>396</v>
      </c>
      <c r="AV2271">
        <v>2017</v>
      </c>
      <c r="AW2271" t="str">
        <f>"00-00-31-1800-0244-06A2 "</f>
        <v xml:space="preserve">00-00-31-1800-0244-06A2 </v>
      </c>
      <c r="AX2271">
        <v>128</v>
      </c>
      <c r="AZ2271" t="s">
        <v>21742</v>
      </c>
      <c r="BA2271" t="s">
        <v>21893</v>
      </c>
      <c r="BB2271" t="s">
        <v>404</v>
      </c>
      <c r="BD2271" t="s">
        <v>11749</v>
      </c>
      <c r="BE2271" t="s">
        <v>393</v>
      </c>
      <c r="BF2271">
        <v>32034</v>
      </c>
      <c r="BG2271" t="s">
        <v>21894</v>
      </c>
      <c r="BH2271" t="s">
        <v>11751</v>
      </c>
      <c r="BI2271">
        <v>-81.451685675463807</v>
      </c>
      <c r="BJ2271">
        <v>30.672113081895901</v>
      </c>
      <c r="BK2271" t="s">
        <v>21895</v>
      </c>
      <c r="BM2271" t="s">
        <v>21896</v>
      </c>
      <c r="BN2271" t="s">
        <v>3983</v>
      </c>
      <c r="BO2271">
        <v>32034</v>
      </c>
      <c r="BP2271" t="s">
        <v>416</v>
      </c>
      <c r="BQ2271">
        <v>100</v>
      </c>
      <c r="BR2271" t="s">
        <v>514</v>
      </c>
      <c r="BS2271">
        <v>1001</v>
      </c>
      <c r="BT2271" t="s">
        <v>515</v>
      </c>
      <c r="BW2271">
        <v>5865</v>
      </c>
      <c r="BX2271" t="s">
        <v>407</v>
      </c>
      <c r="BY2271" t="s">
        <v>20798</v>
      </c>
      <c r="BZ2271">
        <v>4</v>
      </c>
      <c r="CA2271">
        <v>1900</v>
      </c>
      <c r="CB2271">
        <v>1</v>
      </c>
      <c r="CC2271">
        <v>1</v>
      </c>
      <c r="CD2271">
        <v>2017</v>
      </c>
      <c r="CE2271">
        <v>27500</v>
      </c>
      <c r="CF2271">
        <v>23367</v>
      </c>
      <c r="CG2271">
        <v>50867</v>
      </c>
      <c r="CH2271">
        <v>2017</v>
      </c>
      <c r="CI2271">
        <v>27500</v>
      </c>
      <c r="CJ2271">
        <v>23367</v>
      </c>
      <c r="CK2271">
        <v>50867</v>
      </c>
      <c r="CL2271">
        <v>2017</v>
      </c>
      <c r="CM2271">
        <v>942.06</v>
      </c>
      <c r="CN2271" s="1">
        <v>34733</v>
      </c>
      <c r="CO2271">
        <v>14700</v>
      </c>
      <c r="CZ2271" s="1">
        <v>34733</v>
      </c>
      <c r="DD2271" t="s">
        <v>11749</v>
      </c>
      <c r="DF2271">
        <v>6</v>
      </c>
      <c r="DG2271">
        <v>21</v>
      </c>
      <c r="DL2271">
        <v>50102</v>
      </c>
      <c r="DM2271" t="s">
        <v>20609</v>
      </c>
      <c r="DO2271" t="s">
        <v>21897</v>
      </c>
      <c r="DP2271">
        <v>0</v>
      </c>
      <c r="DQ2271">
        <v>0</v>
      </c>
      <c r="DR2271" t="s">
        <v>411</v>
      </c>
      <c r="DS2271" t="b">
        <v>1</v>
      </c>
      <c r="DT2271" t="s">
        <v>470</v>
      </c>
      <c r="DU2271" t="s">
        <v>471</v>
      </c>
      <c r="DV2271" t="s">
        <v>472</v>
      </c>
      <c r="DX2271">
        <v>-9999</v>
      </c>
      <c r="DZ2271" t="s">
        <v>447</v>
      </c>
      <c r="EA2271" t="s">
        <v>448</v>
      </c>
      <c r="EB2271" t="s">
        <v>14787</v>
      </c>
      <c r="EC2271">
        <v>20101217</v>
      </c>
      <c r="ED2271" t="s">
        <v>474</v>
      </c>
      <c r="EF2271">
        <v>472.9</v>
      </c>
      <c r="EG2271">
        <v>408.3</v>
      </c>
      <c r="EI2271">
        <v>20160407</v>
      </c>
      <c r="EJ2271">
        <v>0</v>
      </c>
      <c r="EK2271">
        <v>0</v>
      </c>
      <c r="EP2271" t="s">
        <v>595</v>
      </c>
      <c r="EQ2271" t="s">
        <v>452</v>
      </c>
      <c r="ER2271">
        <v>4</v>
      </c>
      <c r="ES2271">
        <v>4</v>
      </c>
      <c r="ET2271">
        <v>3747.74</v>
      </c>
      <c r="EU2271">
        <v>212.39</v>
      </c>
      <c r="EV2271">
        <v>3960.13</v>
      </c>
      <c r="EW2271" s="2">
        <v>43222</v>
      </c>
      <c r="EX2271" s="1">
        <v>42879</v>
      </c>
      <c r="EY2271">
        <v>2016</v>
      </c>
      <c r="EZ2271">
        <v>932.44</v>
      </c>
      <c r="FA2271" t="s">
        <v>21898</v>
      </c>
      <c r="FB2271">
        <v>0.25</v>
      </c>
      <c r="FC2271" t="s">
        <v>424</v>
      </c>
      <c r="FD2271" t="s">
        <v>454</v>
      </c>
      <c r="FF2271">
        <v>12</v>
      </c>
      <c r="FG2271">
        <v>7400234</v>
      </c>
      <c r="FH2271" t="s">
        <v>426</v>
      </c>
      <c r="FJ2271" s="1">
        <v>42879</v>
      </c>
      <c r="FK2271">
        <v>2016</v>
      </c>
      <c r="FL2271">
        <v>932.44</v>
      </c>
      <c r="FM2271" t="s">
        <v>21898</v>
      </c>
      <c r="FN2271">
        <v>0.25</v>
      </c>
      <c r="FO2271" t="s">
        <v>424</v>
      </c>
      <c r="FP2271" t="s">
        <v>454</v>
      </c>
      <c r="FR2271">
        <v>12</v>
      </c>
      <c r="FS2271">
        <v>7435547</v>
      </c>
      <c r="FT2271" t="s">
        <v>21899</v>
      </c>
      <c r="FV2271" s="1">
        <v>42515</v>
      </c>
      <c r="FW2271">
        <v>2015</v>
      </c>
      <c r="FX2271">
        <v>941.43</v>
      </c>
      <c r="FY2271" t="s">
        <v>21900</v>
      </c>
      <c r="FZ2271">
        <v>0.25</v>
      </c>
      <c r="GA2271" t="s">
        <v>424</v>
      </c>
      <c r="GB2271" t="s">
        <v>454</v>
      </c>
      <c r="GD2271">
        <v>24</v>
      </c>
      <c r="GE2271">
        <v>2851116</v>
      </c>
      <c r="GF2271" t="s">
        <v>480</v>
      </c>
      <c r="GH2271" s="1">
        <v>42515</v>
      </c>
      <c r="GI2271">
        <v>2015</v>
      </c>
      <c r="GJ2271">
        <v>941.43</v>
      </c>
      <c r="GK2271" t="s">
        <v>21900</v>
      </c>
      <c r="GL2271">
        <v>0.25</v>
      </c>
      <c r="GM2271" t="s">
        <v>424</v>
      </c>
      <c r="GN2271" t="s">
        <v>454</v>
      </c>
      <c r="GP2271">
        <v>24</v>
      </c>
      <c r="GQ2271">
        <v>5683607</v>
      </c>
      <c r="GR2271" t="s">
        <v>21901</v>
      </c>
      <c r="GT2271" s="1">
        <v>41787</v>
      </c>
      <c r="GU2271">
        <v>2013</v>
      </c>
      <c r="GV2271">
        <v>772.99</v>
      </c>
      <c r="GW2271" t="s">
        <v>21902</v>
      </c>
      <c r="GX2271">
        <v>0.25</v>
      </c>
      <c r="GY2271" t="s">
        <v>424</v>
      </c>
      <c r="GZ2271" t="s">
        <v>425</v>
      </c>
      <c r="HA2271" s="1">
        <v>42095</v>
      </c>
      <c r="HB2271">
        <v>11</v>
      </c>
      <c r="HC2271">
        <v>15259</v>
      </c>
      <c r="HD2271" t="s">
        <v>891</v>
      </c>
      <c r="HE2271" t="s">
        <v>458</v>
      </c>
      <c r="HF2271" s="1">
        <v>41423</v>
      </c>
      <c r="HG2271">
        <v>2012</v>
      </c>
      <c r="HH2271">
        <v>152.54</v>
      </c>
      <c r="HI2271" t="s">
        <v>21903</v>
      </c>
      <c r="HJ2271">
        <v>18</v>
      </c>
      <c r="HK2271" t="s">
        <v>603</v>
      </c>
      <c r="HL2271" t="s">
        <v>425</v>
      </c>
      <c r="HN2271">
        <v>22</v>
      </c>
      <c r="HO2271">
        <v>9999999</v>
      </c>
      <c r="HP2271" t="s">
        <v>604</v>
      </c>
      <c r="HQ2271" t="s">
        <v>458</v>
      </c>
      <c r="HR2271" s="1">
        <v>41423</v>
      </c>
      <c r="HS2271">
        <v>2012</v>
      </c>
      <c r="HT2271">
        <v>206.84</v>
      </c>
      <c r="HU2271" t="s">
        <v>21903</v>
      </c>
      <c r="HV2271">
        <v>18</v>
      </c>
      <c r="HW2271" t="s">
        <v>424</v>
      </c>
      <c r="HX2271" t="s">
        <v>425</v>
      </c>
      <c r="HZ2271">
        <v>22</v>
      </c>
      <c r="IA2271">
        <v>4844966</v>
      </c>
      <c r="IB2271" t="s">
        <v>21904</v>
      </c>
      <c r="IC2271" t="s">
        <v>458</v>
      </c>
      <c r="ID2271" s="1">
        <v>41052</v>
      </c>
      <c r="IE2271">
        <v>2011</v>
      </c>
      <c r="IF2271">
        <v>121.34</v>
      </c>
      <c r="IG2271" t="s">
        <v>21905</v>
      </c>
      <c r="IH2271">
        <v>18</v>
      </c>
      <c r="II2271" t="s">
        <v>603</v>
      </c>
      <c r="IJ2271" t="s">
        <v>425</v>
      </c>
      <c r="IK2271" s="1">
        <v>41101</v>
      </c>
      <c r="IL2271">
        <v>2</v>
      </c>
      <c r="IM2271">
        <v>9999999</v>
      </c>
      <c r="IN2271" t="s">
        <v>604</v>
      </c>
    </row>
    <row r="2272" spans="1:284" x14ac:dyDescent="0.25">
      <c r="A2272">
        <v>16487279</v>
      </c>
      <c r="B2272">
        <v>2271</v>
      </c>
      <c r="C2272" t="s">
        <v>393</v>
      </c>
      <c r="D2272" t="s">
        <v>394</v>
      </c>
      <c r="F2272" t="str">
        <f>"00-00-31-1800-0244-10B1"</f>
        <v>00-00-31-1800-0244-10B1</v>
      </c>
      <c r="H2272" t="str">
        <f>"DEONAS NICK D &amp; HELEN D"</f>
        <v>DEONAS NICK D &amp; HELEN D</v>
      </c>
      <c r="I2272" t="str">
        <f>"96208 LIGHTWIND DR"</f>
        <v>96208 LIGHTWIND DR</v>
      </c>
      <c r="J2272" t="str">
        <f>"FERNANDINA BEACH FL 32034"</f>
        <v>FERNANDINA BEACH FL 32034</v>
      </c>
      <c r="K2272" t="str">
        <f>"9 14TH ST N"</f>
        <v>9 14TH ST N</v>
      </c>
      <c r="L2272" t="str">
        <f t="shared" si="846"/>
        <v>FERNANDINA BEACH FL 32034</v>
      </c>
      <c r="M2272" t="str">
        <f>"BLK 244 N 55 FT OF TRACT B OF LOT 10 IN OR 727/1257 CITY OF FDNA BEACH"</f>
        <v>BLK 244 N 55 FT OF TRACT B OF LOT 10 IN OR 727/1257 CITY OF FDNA BEACH</v>
      </c>
      <c r="N2272" t="str">
        <f>""</f>
        <v/>
      </c>
      <c r="O2272" t="str">
        <f>"13010"</f>
        <v>13010</v>
      </c>
      <c r="P2272" t="str">
        <f t="shared" si="840"/>
        <v>2017</v>
      </c>
      <c r="Q2272" t="str">
        <f>""</f>
        <v/>
      </c>
      <c r="R2272" t="str">
        <f>"N"</f>
        <v>N</v>
      </c>
      <c r="S2272" t="str">
        <f>""</f>
        <v/>
      </c>
      <c r="T2272" t="str">
        <f>"2640.53"</f>
        <v>2640.53</v>
      </c>
      <c r="U2272" t="str">
        <f>"132485.00"</f>
        <v>132485.00</v>
      </c>
      <c r="V2272" t="str">
        <f>"132485.00"</f>
        <v>132485.00</v>
      </c>
      <c r="W2272" t="str">
        <f t="shared" si="841"/>
        <v>2017</v>
      </c>
      <c r="X2272" t="str">
        <f>"12.60"</f>
        <v>12.60</v>
      </c>
      <c r="Y2272" t="str">
        <f>"2751.75"</f>
        <v>2751.75</v>
      </c>
      <c r="Z2272" t="str">
        <f>""</f>
        <v/>
      </c>
      <c r="AA2272" t="str">
        <f>"132485.00"</f>
        <v>132485.00</v>
      </c>
      <c r="AB2272" t="str">
        <f>"Commercial"</f>
        <v>Commercial</v>
      </c>
      <c r="AC2272" t="str">
        <f t="shared" si="849"/>
        <v>0</v>
      </c>
      <c r="AD2272" t="str">
        <f>"3"</f>
        <v>3</v>
      </c>
      <c r="AE2272" t="str">
        <f>"MASONRY"</f>
        <v>MASONRY</v>
      </c>
      <c r="AF2272" t="str">
        <f>"012"</f>
        <v>012</v>
      </c>
      <c r="AG2272" t="str">
        <f>"FL"</f>
        <v>FL</v>
      </c>
      <c r="AH2272" t="str">
        <f>"6536.00"</f>
        <v>6536.00</v>
      </c>
      <c r="AI2272" t="str">
        <f>"55556.00"</f>
        <v>55556.00</v>
      </c>
      <c r="AJ2272" t="str">
        <f>"C55-000-586-0394-5"</f>
        <v>C55-000-586-0394-5</v>
      </c>
      <c r="AK2272" t="str">
        <f>"49923"</f>
        <v>49923</v>
      </c>
      <c r="AL2272">
        <v>8</v>
      </c>
      <c r="AM2272">
        <v>2595</v>
      </c>
      <c r="AN2272">
        <v>2887.74</v>
      </c>
      <c r="AQ2272" t="s">
        <v>21906</v>
      </c>
      <c r="AR2272" t="s">
        <v>21906</v>
      </c>
      <c r="AS2272" t="s">
        <v>21906</v>
      </c>
      <c r="AU2272" t="s">
        <v>396</v>
      </c>
      <c r="AV2272">
        <v>2017</v>
      </c>
      <c r="AW2272" t="str">
        <f>"00-00-31-1800-0244-10B1 "</f>
        <v xml:space="preserve">00-00-31-1800-0244-10B1 </v>
      </c>
      <c r="AX2272">
        <v>9</v>
      </c>
      <c r="AZ2272" t="s">
        <v>19750</v>
      </c>
      <c r="BA2272" t="s">
        <v>1942</v>
      </c>
      <c r="BB2272" t="s">
        <v>404</v>
      </c>
      <c r="BD2272" t="s">
        <v>11749</v>
      </c>
      <c r="BE2272" t="s">
        <v>393</v>
      </c>
      <c r="BF2272">
        <v>32034</v>
      </c>
      <c r="BG2272" t="s">
        <v>21907</v>
      </c>
      <c r="BH2272" t="s">
        <v>11751</v>
      </c>
      <c r="BI2272">
        <v>-81.451570639630205</v>
      </c>
      <c r="BJ2272">
        <v>30.6704226865644</v>
      </c>
      <c r="BK2272" t="s">
        <v>16836</v>
      </c>
      <c r="BL2272" t="s">
        <v>16837</v>
      </c>
      <c r="BM2272" t="s">
        <v>16838</v>
      </c>
      <c r="BN2272" t="s">
        <v>3983</v>
      </c>
      <c r="BO2272">
        <v>32034</v>
      </c>
      <c r="BP2272" t="s">
        <v>404</v>
      </c>
      <c r="BQ2272">
        <v>1200</v>
      </c>
      <c r="BR2272" t="s">
        <v>5393</v>
      </c>
      <c r="BS2272">
        <v>2003</v>
      </c>
      <c r="BT2272" t="s">
        <v>5394</v>
      </c>
      <c r="BW2272">
        <v>4722</v>
      </c>
      <c r="BX2272" t="s">
        <v>407</v>
      </c>
      <c r="BY2272" t="s">
        <v>20798</v>
      </c>
      <c r="BZ2272">
        <v>3</v>
      </c>
      <c r="CA2272">
        <v>1939</v>
      </c>
      <c r="CB2272">
        <v>2</v>
      </c>
      <c r="CD2272">
        <v>2017</v>
      </c>
      <c r="CE2272">
        <v>55556</v>
      </c>
      <c r="CF2272">
        <v>76929</v>
      </c>
      <c r="CG2272">
        <v>132485</v>
      </c>
      <c r="CH2272">
        <v>2017</v>
      </c>
      <c r="CI2272">
        <v>55556</v>
      </c>
      <c r="CJ2272">
        <v>76929</v>
      </c>
      <c r="CK2272">
        <v>132485</v>
      </c>
      <c r="CL2272">
        <v>2017</v>
      </c>
      <c r="CM2272">
        <v>2640.53</v>
      </c>
      <c r="CN2272" s="1">
        <v>34802</v>
      </c>
      <c r="CO2272">
        <v>75000</v>
      </c>
      <c r="CZ2272" s="1">
        <v>34802</v>
      </c>
      <c r="DD2272" t="s">
        <v>11749</v>
      </c>
      <c r="DF2272">
        <v>10</v>
      </c>
      <c r="DG2272">
        <v>22</v>
      </c>
      <c r="DJ2272" t="s">
        <v>20634</v>
      </c>
      <c r="DL2272">
        <v>50102</v>
      </c>
      <c r="DM2272" t="s">
        <v>20208</v>
      </c>
      <c r="DO2272" t="s">
        <v>21908</v>
      </c>
      <c r="DP2272">
        <v>0</v>
      </c>
      <c r="DQ2272">
        <v>0</v>
      </c>
      <c r="DR2272" t="s">
        <v>411</v>
      </c>
      <c r="DS2272" t="b">
        <v>1</v>
      </c>
      <c r="DT2272" t="s">
        <v>470</v>
      </c>
      <c r="DU2272" t="s">
        <v>471</v>
      </c>
      <c r="DV2272" t="s">
        <v>472</v>
      </c>
      <c r="DX2272">
        <v>-9999</v>
      </c>
      <c r="DZ2272" t="s">
        <v>447</v>
      </c>
      <c r="EA2272" t="s">
        <v>448</v>
      </c>
      <c r="EB2272" t="s">
        <v>14787</v>
      </c>
      <c r="EC2272">
        <v>20101217</v>
      </c>
      <c r="ED2272" t="s">
        <v>474</v>
      </c>
      <c r="EF2272">
        <v>912.7</v>
      </c>
      <c r="EG2272">
        <v>843.3</v>
      </c>
      <c r="EI2272">
        <v>20160407</v>
      </c>
      <c r="EJ2272">
        <v>0</v>
      </c>
      <c r="EK2272">
        <v>0</v>
      </c>
      <c r="EP2272" t="s">
        <v>421</v>
      </c>
      <c r="EQ2272" t="s">
        <v>422</v>
      </c>
      <c r="ER2272">
        <v>0</v>
      </c>
      <c r="ES2272">
        <v>5</v>
      </c>
      <c r="ET2272">
        <v>0</v>
      </c>
      <c r="EU2272">
        <v>0</v>
      </c>
      <c r="EV2272">
        <v>0</v>
      </c>
      <c r="EW2272" s="2">
        <v>43222</v>
      </c>
      <c r="EX2272" s="1">
        <v>42515</v>
      </c>
      <c r="EY2272">
        <v>2015</v>
      </c>
      <c r="EZ2272">
        <v>2639.87</v>
      </c>
      <c r="FA2272" t="s">
        <v>21909</v>
      </c>
      <c r="FB2272">
        <v>0.25</v>
      </c>
      <c r="FC2272" t="s">
        <v>424</v>
      </c>
      <c r="FD2272" t="s">
        <v>425</v>
      </c>
      <c r="FE2272" s="1">
        <v>42594</v>
      </c>
      <c r="FF2272">
        <v>3</v>
      </c>
      <c r="FG2272">
        <v>2851116</v>
      </c>
      <c r="FH2272" t="s">
        <v>480</v>
      </c>
      <c r="FJ2272" s="1">
        <v>42515</v>
      </c>
      <c r="FK2272">
        <v>2015</v>
      </c>
      <c r="FL2272">
        <v>2639.87</v>
      </c>
      <c r="FM2272" t="s">
        <v>21909</v>
      </c>
      <c r="FN2272">
        <v>0.25</v>
      </c>
      <c r="FO2272" t="s">
        <v>424</v>
      </c>
      <c r="FP2272" t="s">
        <v>425</v>
      </c>
      <c r="FR2272">
        <v>22</v>
      </c>
      <c r="FS2272">
        <v>5692797</v>
      </c>
      <c r="FT2272" t="s">
        <v>21910</v>
      </c>
      <c r="FV2272" s="1">
        <v>41423</v>
      </c>
      <c r="FW2272">
        <v>2012</v>
      </c>
      <c r="FX2272">
        <v>2862.48</v>
      </c>
      <c r="FY2272" t="s">
        <v>21911</v>
      </c>
      <c r="FZ2272">
        <v>0.25</v>
      </c>
      <c r="GA2272" t="s">
        <v>424</v>
      </c>
      <c r="GB2272" t="s">
        <v>425</v>
      </c>
      <c r="GC2272" s="1">
        <v>41514</v>
      </c>
      <c r="GD2272">
        <v>3</v>
      </c>
      <c r="GE2272">
        <v>15259</v>
      </c>
      <c r="GF2272" t="s">
        <v>891</v>
      </c>
      <c r="GH2272" s="1">
        <v>41052</v>
      </c>
      <c r="GI2272">
        <v>2011</v>
      </c>
      <c r="GJ2272">
        <v>2744.05</v>
      </c>
      <c r="GK2272" t="s">
        <v>21912</v>
      </c>
      <c r="GL2272">
        <v>0.25</v>
      </c>
      <c r="GM2272" t="s">
        <v>424</v>
      </c>
      <c r="GN2272" t="s">
        <v>425</v>
      </c>
      <c r="GO2272" s="1">
        <v>41514</v>
      </c>
      <c r="GP2272">
        <v>15</v>
      </c>
      <c r="GQ2272">
        <v>13264</v>
      </c>
      <c r="GR2272" t="s">
        <v>15074</v>
      </c>
      <c r="GT2272" s="1">
        <v>40688</v>
      </c>
      <c r="GU2272">
        <v>2010</v>
      </c>
      <c r="GV2272">
        <v>2855.62</v>
      </c>
      <c r="GW2272" t="s">
        <v>21913</v>
      </c>
      <c r="GX2272">
        <v>5</v>
      </c>
      <c r="GY2272" t="s">
        <v>424</v>
      </c>
      <c r="GZ2272" t="s">
        <v>425</v>
      </c>
      <c r="HA2272" s="1">
        <v>41332</v>
      </c>
      <c r="HB2272">
        <v>21</v>
      </c>
      <c r="HC2272">
        <v>11302</v>
      </c>
      <c r="HD2272" t="s">
        <v>3940</v>
      </c>
    </row>
    <row r="2273" spans="1:260" x14ac:dyDescent="0.25">
      <c r="A2273">
        <v>16487280</v>
      </c>
      <c r="B2273">
        <v>2272</v>
      </c>
      <c r="C2273" t="s">
        <v>393</v>
      </c>
      <c r="D2273" t="s">
        <v>394</v>
      </c>
      <c r="F2273" t="str">
        <f>"00-00-31-1800-0245-01B1"</f>
        <v>00-00-31-1800-0245-01B1</v>
      </c>
      <c r="H2273" t="str">
        <f>"LEIBMAN MARILYN C"</f>
        <v>LEIBMAN MARILYN C</v>
      </c>
      <c r="I2273" t="str">
        <f>"PO BOX 150"</f>
        <v>PO BOX 150</v>
      </c>
      <c r="J2273" t="str">
        <f>"SOUND BEACH NY 11789"</f>
        <v>SOUND BEACH NY 11789</v>
      </c>
      <c r="K2273" t="str">
        <f>"213 13TH TER N"</f>
        <v>213 13TH TER N</v>
      </c>
      <c r="L2273" t="str">
        <f t="shared" si="846"/>
        <v>FERNANDINA BEACH FL 32034</v>
      </c>
      <c r="M2273" t="str">
        <f>"BLK 245 N1/2 OF TRACT B OF LOT 1 &amp; S 7FT OF TRACT D OF LOT 2 IN OR 1977/252 FERNANDINA DOCK &amp; REALTY CO R/P PBK 2/54"</f>
        <v>BLK 245 N1/2 OF TRACT B OF LOT 1 &amp; S 7FT OF TRACT D OF LOT 2 IN OR 1977/252 FERNANDINA DOCK &amp; REALTY CO R/P PBK 2/54</v>
      </c>
      <c r="N2273" t="str">
        <f>""</f>
        <v/>
      </c>
      <c r="O2273" t="str">
        <f>"13018"</f>
        <v>13018</v>
      </c>
      <c r="P2273" t="str">
        <f t="shared" si="840"/>
        <v>2017</v>
      </c>
      <c r="Q2273" t="str">
        <f>""</f>
        <v/>
      </c>
      <c r="R2273" t="str">
        <f>"N"</f>
        <v>N</v>
      </c>
      <c r="S2273" t="str">
        <f>""</f>
        <v/>
      </c>
      <c r="T2273" t="str">
        <f>"1086.31"</f>
        <v>1086.31</v>
      </c>
      <c r="U2273" t="str">
        <f>"49856.00"</f>
        <v>49856.00</v>
      </c>
      <c r="V2273" t="str">
        <f>"49856.00"</f>
        <v>49856.00</v>
      </c>
      <c r="W2273" t="str">
        <f t="shared" si="841"/>
        <v>2017</v>
      </c>
      <c r="X2273" t="str">
        <f>"21.00"</f>
        <v>21.00</v>
      </c>
      <c r="Y2273" t="str">
        <f>"1150.90"</f>
        <v>1150.90</v>
      </c>
      <c r="Z2273" t="str">
        <f>""</f>
        <v/>
      </c>
      <c r="AA2273" t="str">
        <f>"63898.00"</f>
        <v>63898.00</v>
      </c>
      <c r="AB2273" t="str">
        <f t="shared" ref="AB2273:AB2278" si="850">"Residential"</f>
        <v>Residential</v>
      </c>
      <c r="AC2273" t="str">
        <f t="shared" si="849"/>
        <v>0</v>
      </c>
      <c r="AD2273" t="str">
        <f>"4"</f>
        <v>4</v>
      </c>
      <c r="AE2273" t="str">
        <f>"WOOD (INCLUDE STEEL STUDS)"</f>
        <v>WOOD (INCLUDE STEEL STUDS)</v>
      </c>
      <c r="AF2273" t="str">
        <f t="shared" ref="AF2273:AF2278" si="851">"001"</f>
        <v>001</v>
      </c>
      <c r="AG2273" t="str">
        <f>"NY"</f>
        <v>NY</v>
      </c>
      <c r="AH2273" t="str">
        <f>"4999.00"</f>
        <v>4999.00</v>
      </c>
      <c r="AI2273" t="str">
        <f>"44000.00"</f>
        <v>44000.00</v>
      </c>
      <c r="AJ2273" t="str">
        <f>"C55-000-586-0402-6"</f>
        <v>C55-000-586-0402-6</v>
      </c>
      <c r="AK2273" t="str">
        <f>"49931"</f>
        <v>49931</v>
      </c>
      <c r="AL2273">
        <v>8</v>
      </c>
      <c r="AM2273">
        <v>2596</v>
      </c>
      <c r="AN2273">
        <v>1206.8499999999999</v>
      </c>
      <c r="AQ2273" t="s">
        <v>21914</v>
      </c>
      <c r="AR2273" t="s">
        <v>21914</v>
      </c>
      <c r="AS2273" t="s">
        <v>21914</v>
      </c>
      <c r="AU2273" t="s">
        <v>396</v>
      </c>
      <c r="AV2273">
        <v>2017</v>
      </c>
      <c r="AW2273" t="str">
        <f>"00-00-31-1800-0245-01B1 "</f>
        <v xml:space="preserve">00-00-31-1800-0245-01B1 </v>
      </c>
      <c r="AX2273">
        <v>213</v>
      </c>
      <c r="AZ2273" t="s">
        <v>21742</v>
      </c>
      <c r="BA2273" t="s">
        <v>21893</v>
      </c>
      <c r="BB2273" t="s">
        <v>404</v>
      </c>
      <c r="BD2273" t="s">
        <v>11749</v>
      </c>
      <c r="BE2273" t="s">
        <v>393</v>
      </c>
      <c r="BF2273">
        <v>32034</v>
      </c>
      <c r="BG2273" t="s">
        <v>21915</v>
      </c>
      <c r="BH2273" t="s">
        <v>11751</v>
      </c>
      <c r="BI2273">
        <v>-81.452045840910401</v>
      </c>
      <c r="BJ2273">
        <v>30.673059975052301</v>
      </c>
      <c r="BK2273" t="s">
        <v>17175</v>
      </c>
      <c r="BM2273" t="s">
        <v>17176</v>
      </c>
      <c r="BN2273" t="s">
        <v>17177</v>
      </c>
      <c r="BO2273">
        <v>11789</v>
      </c>
      <c r="BP2273" t="s">
        <v>404</v>
      </c>
      <c r="BQ2273">
        <v>100</v>
      </c>
      <c r="BR2273" t="s">
        <v>514</v>
      </c>
      <c r="BS2273">
        <v>1001</v>
      </c>
      <c r="BT2273" t="s">
        <v>515</v>
      </c>
      <c r="BW2273">
        <v>4999</v>
      </c>
      <c r="BX2273" t="s">
        <v>407</v>
      </c>
      <c r="BY2273" t="s">
        <v>18253</v>
      </c>
      <c r="BZ2273">
        <v>4</v>
      </c>
      <c r="CA2273">
        <v>1930</v>
      </c>
      <c r="CB2273">
        <v>1</v>
      </c>
      <c r="CC2273">
        <v>1</v>
      </c>
      <c r="CD2273">
        <v>2017</v>
      </c>
      <c r="CE2273">
        <v>44000</v>
      </c>
      <c r="CF2273">
        <v>19898</v>
      </c>
      <c r="CG2273">
        <v>63898</v>
      </c>
      <c r="CH2273">
        <v>2017</v>
      </c>
      <c r="CI2273">
        <v>44000</v>
      </c>
      <c r="CJ2273">
        <v>19898</v>
      </c>
      <c r="CK2273">
        <v>63898</v>
      </c>
      <c r="CL2273">
        <v>2017</v>
      </c>
      <c r="CM2273">
        <v>1086.31</v>
      </c>
      <c r="CN2273" s="1">
        <v>42124</v>
      </c>
      <c r="CO2273">
        <v>47000</v>
      </c>
      <c r="CV2273">
        <v>0</v>
      </c>
      <c r="CZ2273" s="1">
        <v>42124</v>
      </c>
      <c r="DA2273">
        <v>0</v>
      </c>
      <c r="DD2273" t="s">
        <v>11749</v>
      </c>
      <c r="DE2273">
        <v>245</v>
      </c>
      <c r="DG2273">
        <v>21</v>
      </c>
      <c r="DJ2273" t="s">
        <v>21916</v>
      </c>
      <c r="DL2273">
        <v>50102</v>
      </c>
      <c r="DM2273" t="s">
        <v>20609</v>
      </c>
      <c r="DO2273" t="s">
        <v>21917</v>
      </c>
      <c r="DP2273">
        <v>0</v>
      </c>
      <c r="DQ2273">
        <v>0</v>
      </c>
      <c r="DR2273" t="s">
        <v>411</v>
      </c>
      <c r="DS2273" t="b">
        <v>1</v>
      </c>
      <c r="DT2273" t="s">
        <v>470</v>
      </c>
      <c r="DU2273" t="s">
        <v>471</v>
      </c>
      <c r="DV2273" t="s">
        <v>472</v>
      </c>
      <c r="DX2273">
        <v>-9999</v>
      </c>
      <c r="DZ2273" t="s">
        <v>447</v>
      </c>
      <c r="EA2273" t="s">
        <v>448</v>
      </c>
      <c r="EB2273" t="s">
        <v>14787</v>
      </c>
      <c r="EC2273">
        <v>20101217</v>
      </c>
      <c r="ED2273" t="s">
        <v>474</v>
      </c>
      <c r="EF2273">
        <v>332.7</v>
      </c>
      <c r="EG2273">
        <v>295.60000000000002</v>
      </c>
      <c r="EI2273">
        <v>20160407</v>
      </c>
      <c r="EJ2273">
        <v>0</v>
      </c>
      <c r="EK2273">
        <v>0</v>
      </c>
      <c r="EP2273" t="s">
        <v>421</v>
      </c>
      <c r="EQ2273" t="s">
        <v>422</v>
      </c>
      <c r="ER2273">
        <v>2</v>
      </c>
      <c r="ES2273">
        <v>2</v>
      </c>
      <c r="ET2273">
        <v>2038.94</v>
      </c>
      <c r="EU2273">
        <v>114.45</v>
      </c>
      <c r="EV2273">
        <v>2153.39</v>
      </c>
      <c r="EW2273" s="2">
        <v>43222</v>
      </c>
      <c r="EX2273" s="1">
        <v>42879</v>
      </c>
      <c r="EY2273">
        <v>2016</v>
      </c>
      <c r="EZ2273">
        <v>1019.47</v>
      </c>
      <c r="FA2273" t="s">
        <v>21918</v>
      </c>
      <c r="FB2273">
        <v>0.25</v>
      </c>
      <c r="FC2273" t="s">
        <v>424</v>
      </c>
      <c r="FD2273" t="s">
        <v>454</v>
      </c>
      <c r="FF2273">
        <v>12</v>
      </c>
      <c r="FG2273">
        <v>2851116</v>
      </c>
      <c r="FH2273" t="s">
        <v>480</v>
      </c>
      <c r="FJ2273" s="1">
        <v>42879</v>
      </c>
      <c r="FK2273">
        <v>2016</v>
      </c>
      <c r="FL2273">
        <v>1019.47</v>
      </c>
      <c r="FM2273" t="s">
        <v>21918</v>
      </c>
      <c r="FN2273">
        <v>0.25</v>
      </c>
      <c r="FO2273" t="s">
        <v>424</v>
      </c>
      <c r="FP2273" t="s">
        <v>454</v>
      </c>
      <c r="FR2273">
        <v>12</v>
      </c>
      <c r="FS2273">
        <v>5372705</v>
      </c>
      <c r="FT2273" t="s">
        <v>21919</v>
      </c>
      <c r="FV2273" s="1">
        <v>42515</v>
      </c>
      <c r="FW2273">
        <v>2015</v>
      </c>
      <c r="FX2273">
        <v>1031.18</v>
      </c>
      <c r="FY2273" t="s">
        <v>21920</v>
      </c>
      <c r="FZ2273">
        <v>0.25</v>
      </c>
      <c r="GA2273" t="s">
        <v>424</v>
      </c>
      <c r="GB2273" t="s">
        <v>425</v>
      </c>
      <c r="GC2273" s="1">
        <v>43159</v>
      </c>
      <c r="GD2273">
        <v>21</v>
      </c>
      <c r="GE2273">
        <v>2851116</v>
      </c>
      <c r="GF2273" t="s">
        <v>480</v>
      </c>
      <c r="GH2273" s="1">
        <v>42515</v>
      </c>
      <c r="GI2273">
        <v>2015</v>
      </c>
      <c r="GJ2273">
        <v>1031.18</v>
      </c>
      <c r="GK2273" t="s">
        <v>21920</v>
      </c>
      <c r="GL2273">
        <v>0.25</v>
      </c>
      <c r="GM2273" t="s">
        <v>424</v>
      </c>
      <c r="GN2273" t="s">
        <v>425</v>
      </c>
      <c r="GP2273">
        <v>22</v>
      </c>
      <c r="GQ2273">
        <v>5426281</v>
      </c>
      <c r="GR2273" t="s">
        <v>21921</v>
      </c>
    </row>
    <row r="2274" spans="1:260" x14ac:dyDescent="0.25">
      <c r="A2274">
        <v>16487281</v>
      </c>
      <c r="B2274">
        <v>2273</v>
      </c>
      <c r="C2274" t="s">
        <v>393</v>
      </c>
      <c r="D2274" t="s">
        <v>394</v>
      </c>
      <c r="F2274" t="str">
        <f>"00-00-31-1800-0245-02A0"</f>
        <v>00-00-31-1800-0245-02A0</v>
      </c>
      <c r="H2274" t="str">
        <f>"BOUNDS JUDY"</f>
        <v>BOUNDS JUDY</v>
      </c>
      <c r="I2274" t="str">
        <f>"225 N 13TH ST"</f>
        <v>225 N 13TH ST</v>
      </c>
      <c r="J2274" t="str">
        <f>"FERNANDINA BEACH FL 32034"</f>
        <v>FERNANDINA BEACH FL 32034</v>
      </c>
      <c r="K2274" t="str">
        <f>"225 13TH TER N"</f>
        <v>225 13TH TER N</v>
      </c>
      <c r="L2274" t="str">
        <f t="shared" si="846"/>
        <v>FERNANDINA BEACH FL 32034</v>
      </c>
      <c r="M2274" t="str">
        <f>"BLK 245 TRACTS A B C &amp; NORTH 79 FT OF TRACT D OF LOT 2 &amp; TRACT D OF LOT 3 IN OR 1929/191 FERNANDINA DOCK &amp; REALTY CO R/P PBK 2/54"</f>
        <v>BLK 245 TRACTS A B C &amp; NORTH 79 FT OF TRACT D OF LOT 2 &amp; TRACT D OF LOT 3 IN OR 1929/191 FERNANDINA DOCK &amp; REALTY CO R/P PBK 2/54</v>
      </c>
      <c r="N2274" t="str">
        <f>""</f>
        <v/>
      </c>
      <c r="O2274" t="str">
        <f>"13022"</f>
        <v>13022</v>
      </c>
      <c r="P2274" t="str">
        <f t="shared" si="840"/>
        <v>2017</v>
      </c>
      <c r="Q2274" t="str">
        <f>""</f>
        <v/>
      </c>
      <c r="R2274" t="str">
        <f>"Y"</f>
        <v>Y</v>
      </c>
      <c r="S2274" t="str">
        <f>""</f>
        <v/>
      </c>
      <c r="T2274" t="str">
        <f>"258.18"</f>
        <v>258.18</v>
      </c>
      <c r="U2274" t="str">
        <f>"62947.00"</f>
        <v>62947.00</v>
      </c>
      <c r="V2274" t="str">
        <f>"62947.00"</f>
        <v>62947.00</v>
      </c>
      <c r="W2274" t="str">
        <f t="shared" si="841"/>
        <v>2017</v>
      </c>
      <c r="X2274" t="str">
        <f>"1.00"</f>
        <v>1.00</v>
      </c>
      <c r="Y2274" t="str">
        <f>"297.93"</f>
        <v>297.93</v>
      </c>
      <c r="Z2274" t="str">
        <f>"25500.00"</f>
        <v>25500.00</v>
      </c>
      <c r="AA2274" t="str">
        <f>"37447.00"</f>
        <v>37447.00</v>
      </c>
      <c r="AB2274" t="str">
        <f t="shared" si="850"/>
        <v>Residential</v>
      </c>
      <c r="AC2274" t="str">
        <f t="shared" si="849"/>
        <v>0</v>
      </c>
      <c r="AD2274" t="str">
        <f>"4"</f>
        <v>4</v>
      </c>
      <c r="AE2274" t="str">
        <f>"WOOD (INCLUDE STEEL STUDS)"</f>
        <v>WOOD (INCLUDE STEEL STUDS)</v>
      </c>
      <c r="AF2274" t="str">
        <f t="shared" si="851"/>
        <v>001</v>
      </c>
      <c r="AG2274" t="str">
        <f t="shared" ref="AG2274:AG2285" si="852">"FL"</f>
        <v>FL</v>
      </c>
      <c r="AH2274" t="str">
        <f>"42300.00"</f>
        <v>42300.00</v>
      </c>
      <c r="AI2274" t="str">
        <f>"55000.00"</f>
        <v>55000.00</v>
      </c>
      <c r="AJ2274" t="str">
        <f>"C55-000-586-0406-7"</f>
        <v>C55-000-586-0406-7</v>
      </c>
      <c r="AK2274" t="str">
        <f>"49935"</f>
        <v>49935</v>
      </c>
      <c r="AL2274">
        <v>8</v>
      </c>
      <c r="AM2274">
        <v>2597</v>
      </c>
      <c r="AN2274">
        <v>311.23</v>
      </c>
      <c r="AQ2274" t="s">
        <v>21922</v>
      </c>
      <c r="AR2274" t="s">
        <v>21922</v>
      </c>
      <c r="AS2274" t="s">
        <v>21922</v>
      </c>
      <c r="AU2274" t="s">
        <v>396</v>
      </c>
      <c r="AV2274">
        <v>2017</v>
      </c>
      <c r="AW2274" t="str">
        <f>"00-00-31-1800-0245-02A0 "</f>
        <v xml:space="preserve">00-00-31-1800-0245-02A0 </v>
      </c>
      <c r="AX2274">
        <v>225</v>
      </c>
      <c r="AZ2274" t="s">
        <v>21742</v>
      </c>
      <c r="BA2274" t="s">
        <v>21893</v>
      </c>
      <c r="BB2274" t="s">
        <v>404</v>
      </c>
      <c r="BD2274" t="s">
        <v>11749</v>
      </c>
      <c r="BE2274" t="s">
        <v>393</v>
      </c>
      <c r="BF2274">
        <v>32034</v>
      </c>
      <c r="BG2274" t="s">
        <v>21923</v>
      </c>
      <c r="BH2274" t="s">
        <v>11751</v>
      </c>
      <c r="BI2274">
        <v>-81.452118808166901</v>
      </c>
      <c r="BJ2274">
        <v>30.673432694736899</v>
      </c>
      <c r="BK2274" t="s">
        <v>21924</v>
      </c>
      <c r="BM2274" t="s">
        <v>21925</v>
      </c>
      <c r="BN2274" t="s">
        <v>3983</v>
      </c>
      <c r="BO2274">
        <v>32034</v>
      </c>
      <c r="BP2274" t="s">
        <v>404</v>
      </c>
      <c r="BQ2274">
        <v>100</v>
      </c>
      <c r="BR2274" t="s">
        <v>514</v>
      </c>
      <c r="BS2274">
        <v>1001</v>
      </c>
      <c r="BT2274" t="s">
        <v>515</v>
      </c>
      <c r="BW2274">
        <v>42300</v>
      </c>
      <c r="BX2274" t="s">
        <v>407</v>
      </c>
      <c r="BY2274" t="s">
        <v>18253</v>
      </c>
      <c r="BZ2274">
        <v>4</v>
      </c>
      <c r="CA2274">
        <v>1948</v>
      </c>
      <c r="CB2274">
        <v>1</v>
      </c>
      <c r="CC2274">
        <v>1</v>
      </c>
      <c r="CD2274">
        <v>2017</v>
      </c>
      <c r="CG2274">
        <v>62947</v>
      </c>
      <c r="CH2274">
        <v>2017</v>
      </c>
      <c r="CI2274">
        <v>55000</v>
      </c>
      <c r="CJ2274">
        <v>23532</v>
      </c>
      <c r="CK2274">
        <v>78532</v>
      </c>
      <c r="CL2274">
        <v>2017</v>
      </c>
      <c r="CM2274">
        <v>258.18</v>
      </c>
      <c r="DD2274" t="s">
        <v>11749</v>
      </c>
      <c r="DE2274">
        <v>245</v>
      </c>
      <c r="DF2274">
        <v>2</v>
      </c>
      <c r="DG2274">
        <v>21</v>
      </c>
      <c r="DL2274">
        <v>50102</v>
      </c>
      <c r="DM2274" t="s">
        <v>20609</v>
      </c>
      <c r="DO2274" t="s">
        <v>21926</v>
      </c>
      <c r="DP2274">
        <v>0</v>
      </c>
      <c r="DQ2274">
        <v>0</v>
      </c>
      <c r="DR2274" t="s">
        <v>411</v>
      </c>
      <c r="EP2274" t="s">
        <v>6</v>
      </c>
      <c r="EQ2274" t="s">
        <v>422</v>
      </c>
      <c r="ER2274">
        <v>0</v>
      </c>
      <c r="ES2274">
        <v>1</v>
      </c>
      <c r="ET2274">
        <v>0</v>
      </c>
      <c r="EU2274">
        <v>0</v>
      </c>
      <c r="EV2274">
        <v>0</v>
      </c>
      <c r="EW2274" s="2">
        <v>43222</v>
      </c>
      <c r="EX2274" s="1">
        <v>41787</v>
      </c>
      <c r="EY2274">
        <v>2013</v>
      </c>
      <c r="EZ2274">
        <v>65.64</v>
      </c>
      <c r="FA2274" t="s">
        <v>21927</v>
      </c>
      <c r="FB2274">
        <v>18</v>
      </c>
      <c r="FC2274" t="s">
        <v>603</v>
      </c>
      <c r="FD2274" t="s">
        <v>425</v>
      </c>
      <c r="FE2274" s="1">
        <v>41817</v>
      </c>
      <c r="FF2274">
        <v>1</v>
      </c>
      <c r="FG2274">
        <v>9999999</v>
      </c>
      <c r="FH2274" t="s">
        <v>604</v>
      </c>
    </row>
    <row r="2275" spans="1:260" x14ac:dyDescent="0.25">
      <c r="A2275">
        <v>16487282</v>
      </c>
      <c r="B2275">
        <v>2274</v>
      </c>
      <c r="C2275" t="s">
        <v>393</v>
      </c>
      <c r="D2275" t="s">
        <v>394</v>
      </c>
      <c r="F2275" t="str">
        <f>"00-00-31-1800-0245-10A0"</f>
        <v>00-00-31-1800-0245-10A0</v>
      </c>
      <c r="H2275" t="str">
        <f>"RYALS JUANITA C"</f>
        <v>RYALS JUANITA C</v>
      </c>
      <c r="I2275" t="str">
        <f>"205 N 14TH ST"</f>
        <v>205 N 14TH ST</v>
      </c>
      <c r="J2275" t="str">
        <f>"FERNANDINA BEACH FL 32034"</f>
        <v>FERNANDINA BEACH FL 32034</v>
      </c>
      <c r="K2275" t="str">
        <f>"205 14TH ST N"</f>
        <v>205 14TH ST N</v>
      </c>
      <c r="L2275" t="str">
        <f t="shared" si="846"/>
        <v>FERNANDINA BEACH FL 32034</v>
      </c>
      <c r="M2275" t="str">
        <f>"BLOCK 245 SUB A &amp; B 0F 10 IN DB 198 PG 265 REPLAT OF BLOCK 245 PB 2/54 CITY OF FDNA BEACH"</f>
        <v>BLOCK 245 SUB A &amp; B 0F 10 IN DB 198 PG 265 REPLAT OF BLOCK 245 PB 2/54 CITY OF FDNA BEACH</v>
      </c>
      <c r="N2275" t="str">
        <f>""</f>
        <v/>
      </c>
      <c r="O2275" t="str">
        <f>"13033"</f>
        <v>13033</v>
      </c>
      <c r="P2275" t="str">
        <f t="shared" si="840"/>
        <v>2017</v>
      </c>
      <c r="Q2275" t="str">
        <f>""</f>
        <v/>
      </c>
      <c r="R2275" t="str">
        <f>"Y"</f>
        <v>Y</v>
      </c>
      <c r="S2275" t="str">
        <f>""</f>
        <v/>
      </c>
      <c r="T2275" t="str">
        <f>"203.94"</f>
        <v>203.94</v>
      </c>
      <c r="U2275" t="str">
        <f>"54726.00"</f>
        <v>54726.00</v>
      </c>
      <c r="V2275" t="str">
        <f>"54726.00"</f>
        <v>54726.00</v>
      </c>
      <c r="W2275" t="str">
        <f t="shared" si="841"/>
        <v>2017</v>
      </c>
      <c r="X2275" t="str">
        <f>"2.00"</f>
        <v>2.00</v>
      </c>
      <c r="Y2275" t="str">
        <f>"242.06"</f>
        <v>242.06</v>
      </c>
      <c r="Z2275" t="str">
        <f>"25500.00"</f>
        <v>25500.00</v>
      </c>
      <c r="AA2275" t="str">
        <f>"29226.00"</f>
        <v>29226.00</v>
      </c>
      <c r="AB2275" t="str">
        <f t="shared" si="850"/>
        <v>Residential</v>
      </c>
      <c r="AC2275" t="str">
        <f t="shared" si="849"/>
        <v>0</v>
      </c>
      <c r="AD2275" t="str">
        <f>"4"</f>
        <v>4</v>
      </c>
      <c r="AE2275" t="str">
        <f>"WOOD (INCLUDE STEEL STUDS)"</f>
        <v>WOOD (INCLUDE STEEL STUDS)</v>
      </c>
      <c r="AF2275" t="str">
        <f t="shared" si="851"/>
        <v>001</v>
      </c>
      <c r="AG2275" t="str">
        <f t="shared" si="852"/>
        <v>FL</v>
      </c>
      <c r="AH2275" t="str">
        <f>"17200.00"</f>
        <v>17200.00</v>
      </c>
      <c r="AI2275" t="str">
        <f>"50464.00"</f>
        <v>50464.00</v>
      </c>
      <c r="AJ2275" t="str">
        <f>"C55-000-586-0416-6"</f>
        <v>C55-000-586-0416-6</v>
      </c>
      <c r="AK2275" t="str">
        <f>"49944"</f>
        <v>49944</v>
      </c>
      <c r="AL2275">
        <v>8</v>
      </c>
      <c r="AM2275">
        <v>2598</v>
      </c>
      <c r="AN2275">
        <v>252.56</v>
      </c>
      <c r="AQ2275" t="s">
        <v>21928</v>
      </c>
      <c r="AR2275" t="s">
        <v>21928</v>
      </c>
      <c r="AS2275" t="s">
        <v>21928</v>
      </c>
      <c r="AU2275" t="s">
        <v>396</v>
      </c>
      <c r="AV2275">
        <v>2017</v>
      </c>
      <c r="AW2275" t="str">
        <f>"00-00-31-1800-0245-10A0 "</f>
        <v xml:space="preserve">00-00-31-1800-0245-10A0 </v>
      </c>
      <c r="AX2275">
        <v>205</v>
      </c>
      <c r="AZ2275" t="s">
        <v>19750</v>
      </c>
      <c r="BA2275" t="s">
        <v>1942</v>
      </c>
      <c r="BB2275" t="s">
        <v>404</v>
      </c>
      <c r="BD2275" t="s">
        <v>11749</v>
      </c>
      <c r="BE2275" t="s">
        <v>393</v>
      </c>
      <c r="BF2275">
        <v>32034</v>
      </c>
      <c r="BG2275" t="s">
        <v>21929</v>
      </c>
      <c r="BH2275" t="s">
        <v>11751</v>
      </c>
      <c r="BI2275">
        <v>-81.451393695374506</v>
      </c>
      <c r="BJ2275">
        <v>30.672919094062902</v>
      </c>
      <c r="BK2275" t="s">
        <v>21930</v>
      </c>
      <c r="BM2275" t="s">
        <v>21931</v>
      </c>
      <c r="BN2275" t="s">
        <v>3983</v>
      </c>
      <c r="BO2275">
        <v>32034</v>
      </c>
      <c r="BP2275" t="s">
        <v>416</v>
      </c>
      <c r="BQ2275">
        <v>100</v>
      </c>
      <c r="BR2275" t="s">
        <v>514</v>
      </c>
      <c r="BS2275">
        <v>1001</v>
      </c>
      <c r="BT2275" t="s">
        <v>515</v>
      </c>
      <c r="BU2275">
        <v>860</v>
      </c>
      <c r="BV2275">
        <v>2000</v>
      </c>
      <c r="BW2275">
        <v>17200</v>
      </c>
      <c r="BX2275" t="s">
        <v>407</v>
      </c>
      <c r="BY2275" t="s">
        <v>18253</v>
      </c>
      <c r="BZ2275">
        <v>4</v>
      </c>
      <c r="CA2275">
        <v>1946</v>
      </c>
      <c r="CB2275">
        <v>1</v>
      </c>
      <c r="CC2275">
        <v>1</v>
      </c>
      <c r="CD2275">
        <v>2017</v>
      </c>
      <c r="CG2275">
        <v>54726</v>
      </c>
      <c r="CH2275">
        <v>2017</v>
      </c>
      <c r="CI2275">
        <v>50464</v>
      </c>
      <c r="CJ2275">
        <v>58675</v>
      </c>
      <c r="CK2275">
        <v>109139</v>
      </c>
      <c r="CL2275">
        <v>2017</v>
      </c>
      <c r="CM2275">
        <v>203.94</v>
      </c>
      <c r="DD2275" t="s">
        <v>11749</v>
      </c>
      <c r="DE2275">
        <v>245</v>
      </c>
      <c r="DG2275">
        <v>21</v>
      </c>
      <c r="DL2275">
        <v>50102</v>
      </c>
      <c r="DM2275" t="s">
        <v>20609</v>
      </c>
      <c r="DO2275" t="s">
        <v>21932</v>
      </c>
      <c r="DP2275">
        <v>0</v>
      </c>
      <c r="DQ2275">
        <v>0</v>
      </c>
      <c r="DR2275" t="s">
        <v>411</v>
      </c>
      <c r="DS2275" t="b">
        <v>1</v>
      </c>
      <c r="DT2275" t="s">
        <v>470</v>
      </c>
      <c r="DU2275" t="s">
        <v>471</v>
      </c>
      <c r="DV2275" t="s">
        <v>472</v>
      </c>
      <c r="DX2275">
        <v>-9999</v>
      </c>
      <c r="DZ2275" t="s">
        <v>447</v>
      </c>
      <c r="EA2275" t="s">
        <v>448</v>
      </c>
      <c r="EB2275" t="s">
        <v>14787</v>
      </c>
      <c r="EC2275">
        <v>20101217</v>
      </c>
      <c r="ED2275" t="s">
        <v>474</v>
      </c>
      <c r="EF2275">
        <v>333.2</v>
      </c>
      <c r="EG2275">
        <v>294.60000000000002</v>
      </c>
      <c r="EH2275" t="s">
        <v>451</v>
      </c>
      <c r="EI2275">
        <v>20140731</v>
      </c>
      <c r="EJ2275">
        <v>0</v>
      </c>
      <c r="EK2275">
        <v>0</v>
      </c>
      <c r="EP2275" t="s">
        <v>421</v>
      </c>
      <c r="EQ2275" t="s">
        <v>422</v>
      </c>
      <c r="ER2275">
        <v>0</v>
      </c>
      <c r="ES2275">
        <v>2</v>
      </c>
      <c r="ET2275">
        <v>0</v>
      </c>
      <c r="EU2275">
        <v>0</v>
      </c>
      <c r="EV2275">
        <v>0</v>
      </c>
      <c r="EW2275" s="2">
        <v>43222</v>
      </c>
      <c r="EX2275" s="1">
        <v>42879</v>
      </c>
      <c r="EY2275">
        <v>2016</v>
      </c>
      <c r="EZ2275">
        <v>589.92999999999995</v>
      </c>
      <c r="FA2275" t="s">
        <v>21933</v>
      </c>
      <c r="FB2275">
        <v>0.25</v>
      </c>
      <c r="FC2275" t="s">
        <v>424</v>
      </c>
      <c r="FD2275" t="s">
        <v>425</v>
      </c>
      <c r="FE2275" s="1">
        <v>42919</v>
      </c>
      <c r="FF2275">
        <v>2</v>
      </c>
      <c r="FG2275">
        <v>5856195</v>
      </c>
      <c r="FH2275" t="s">
        <v>1060</v>
      </c>
      <c r="FJ2275" s="1">
        <v>42879</v>
      </c>
      <c r="FK2275">
        <v>2016</v>
      </c>
      <c r="FL2275">
        <v>589.92999999999995</v>
      </c>
      <c r="FM2275" t="s">
        <v>21933</v>
      </c>
      <c r="FN2275">
        <v>0.25</v>
      </c>
      <c r="FO2275" t="s">
        <v>424</v>
      </c>
      <c r="FP2275" t="s">
        <v>425</v>
      </c>
      <c r="FR2275">
        <v>22</v>
      </c>
      <c r="FS2275">
        <v>5780364</v>
      </c>
      <c r="FT2275" t="s">
        <v>21934</v>
      </c>
    </row>
    <row r="2276" spans="1:260" x14ac:dyDescent="0.25">
      <c r="A2276">
        <v>16487283</v>
      </c>
      <c r="B2276">
        <v>2275</v>
      </c>
      <c r="C2276" t="s">
        <v>393</v>
      </c>
      <c r="D2276" t="s">
        <v>394</v>
      </c>
      <c r="F2276" t="str">
        <f>"00-00-31-1800-0253-0051"</f>
        <v>00-00-31-1800-0253-0051</v>
      </c>
      <c r="H2276" t="str">
        <f>"VELTRE SUZAN &amp; VELTRE JOSEPH M &amp; JOHN K"</f>
        <v>VELTRE SUZAN &amp; VELTRE JOSEPH M &amp; JOHN K</v>
      </c>
      <c r="I2276" t="str">
        <f>"1401 HIGHLAND DR"</f>
        <v>1401 HIGHLAND DR</v>
      </c>
      <c r="J2276" t="str">
        <f>"FERNANDINA BEACH FL 32034"</f>
        <v>FERNANDINA BEACH FL 32034</v>
      </c>
      <c r="K2276" t="str">
        <f>"1401 HIGHLAND DR"</f>
        <v>1401 HIGHLAND DR</v>
      </c>
      <c r="L2276" t="str">
        <f t="shared" si="846"/>
        <v>FERNANDINA BEACH FL 32034</v>
      </c>
      <c r="M2276" t="str">
        <f>"BLK 253 PT OF LOTS 5 6 &amp; BLK 252 PT OF LOT 8 &amp; PT OF UNDEVELOPED PROPOSED R/W LYING BETWEEN BLKS 252 &amp; 253 IN OR 2096/1532 CITY OF FDNA BEACH S/D UNR"</f>
        <v>BLK 253 PT OF LOTS 5 6 &amp; BLK 252 PT OF LOT 8 &amp; PT OF UNDEVELOPED PROPOSED R/W LYING BETWEEN BLKS 252 &amp; 253 IN OR 2096/1532 CITY OF FDNA BEACH S/D UNR</v>
      </c>
      <c r="N2276" t="str">
        <f>""</f>
        <v/>
      </c>
      <c r="O2276" t="str">
        <f>"13050"</f>
        <v>13050</v>
      </c>
      <c r="P2276" t="str">
        <f t="shared" si="840"/>
        <v>2017</v>
      </c>
      <c r="Q2276" t="str">
        <f>""</f>
        <v/>
      </c>
      <c r="R2276" t="str">
        <f>"N"</f>
        <v>N</v>
      </c>
      <c r="S2276" t="str">
        <f>""</f>
        <v/>
      </c>
      <c r="T2276" t="str">
        <f>"6218.70"</f>
        <v>6218.70</v>
      </c>
      <c r="U2276" t="str">
        <f>"310729.00"</f>
        <v>310729.00</v>
      </c>
      <c r="V2276" t="str">
        <f>"310729.00"</f>
        <v>310729.00</v>
      </c>
      <c r="W2276" t="str">
        <f t="shared" si="841"/>
        <v>2017</v>
      </c>
      <c r="X2276" t="str">
        <f>"25.67"</f>
        <v>25.67</v>
      </c>
      <c r="Y2276" t="str">
        <f>"6437.26"</f>
        <v>6437.26</v>
      </c>
      <c r="Z2276" t="str">
        <f>""</f>
        <v/>
      </c>
      <c r="AA2276" t="str">
        <f>"314619.00"</f>
        <v>314619.00</v>
      </c>
      <c r="AB2276" t="str">
        <f t="shared" si="850"/>
        <v>Residential</v>
      </c>
      <c r="AC2276" t="str">
        <f t="shared" si="849"/>
        <v>0</v>
      </c>
      <c r="AD2276" t="str">
        <f>"4"</f>
        <v>4</v>
      </c>
      <c r="AE2276" t="str">
        <f>"WOOD (INCLUDE STEEL STUDS)"</f>
        <v>WOOD (INCLUDE STEEL STUDS)</v>
      </c>
      <c r="AF2276" t="str">
        <f t="shared" si="851"/>
        <v>001</v>
      </c>
      <c r="AG2276" t="str">
        <f t="shared" si="852"/>
        <v>FL</v>
      </c>
      <c r="AH2276" t="str">
        <f>"19440.00"</f>
        <v>19440.00</v>
      </c>
      <c r="AI2276" t="str">
        <f>"192000.00"</f>
        <v>192000.00</v>
      </c>
      <c r="AJ2276" t="str">
        <f>"C55-000-586-0431-5"</f>
        <v>C55-000-586-0431-5</v>
      </c>
      <c r="AK2276" t="str">
        <f>"49960"</f>
        <v>49960</v>
      </c>
      <c r="AL2276">
        <v>8</v>
      </c>
      <c r="AM2276">
        <v>2599</v>
      </c>
      <c r="AN2276">
        <v>6757.52</v>
      </c>
      <c r="AQ2276" t="s">
        <v>21935</v>
      </c>
      <c r="AR2276" t="s">
        <v>21935</v>
      </c>
      <c r="AS2276" t="s">
        <v>21935</v>
      </c>
      <c r="AU2276" t="s">
        <v>396</v>
      </c>
      <c r="AV2276">
        <v>2017</v>
      </c>
      <c r="AW2276" t="str">
        <f>"00-00-31-1800-0253-0051 "</f>
        <v xml:space="preserve">00-00-31-1800-0253-0051 </v>
      </c>
      <c r="AX2276">
        <v>1401</v>
      </c>
      <c r="AZ2276" t="s">
        <v>19847</v>
      </c>
      <c r="BA2276" t="s">
        <v>669</v>
      </c>
      <c r="BD2276" t="s">
        <v>11749</v>
      </c>
      <c r="BE2276" t="s">
        <v>393</v>
      </c>
      <c r="BF2276">
        <v>32034</v>
      </c>
      <c r="BG2276" t="s">
        <v>21936</v>
      </c>
      <c r="BH2276" t="s">
        <v>11751</v>
      </c>
      <c r="BI2276">
        <v>-81.447826561703806</v>
      </c>
      <c r="BJ2276">
        <v>30.687249764784401</v>
      </c>
      <c r="BK2276" t="s">
        <v>21937</v>
      </c>
      <c r="BL2276" t="s">
        <v>21938</v>
      </c>
      <c r="BM2276" t="s">
        <v>21936</v>
      </c>
      <c r="BN2276" t="s">
        <v>3983</v>
      </c>
      <c r="BO2276">
        <v>32034</v>
      </c>
      <c r="BP2276" t="s">
        <v>416</v>
      </c>
      <c r="BQ2276">
        <v>100</v>
      </c>
      <c r="BR2276" t="s">
        <v>514</v>
      </c>
      <c r="BS2276">
        <v>1001</v>
      </c>
      <c r="BT2276" t="s">
        <v>515</v>
      </c>
      <c r="BU2276">
        <v>1200</v>
      </c>
      <c r="BV2276">
        <v>1620</v>
      </c>
      <c r="BW2276">
        <v>22591</v>
      </c>
      <c r="BX2276" t="s">
        <v>407</v>
      </c>
      <c r="BZ2276">
        <v>4</v>
      </c>
      <c r="CA2276">
        <v>1975</v>
      </c>
      <c r="CB2276">
        <v>1</v>
      </c>
      <c r="CC2276">
        <v>1</v>
      </c>
      <c r="CD2276">
        <v>2017</v>
      </c>
      <c r="CE2276">
        <v>192000</v>
      </c>
      <c r="CF2276">
        <v>122619</v>
      </c>
      <c r="CG2276">
        <v>314619</v>
      </c>
      <c r="CH2276">
        <v>2017</v>
      </c>
      <c r="CI2276">
        <v>192000</v>
      </c>
      <c r="CJ2276">
        <v>122619</v>
      </c>
      <c r="CK2276">
        <v>314619</v>
      </c>
      <c r="CL2276">
        <v>2017</v>
      </c>
      <c r="CM2276">
        <v>6218.7</v>
      </c>
      <c r="CN2276" s="1">
        <v>33239</v>
      </c>
      <c r="CO2276">
        <v>100000</v>
      </c>
      <c r="CZ2276" s="1">
        <v>33239</v>
      </c>
      <c r="DD2276" t="s">
        <v>11749</v>
      </c>
      <c r="DF2276">
        <v>8</v>
      </c>
      <c r="DG2276">
        <v>14</v>
      </c>
      <c r="DL2276">
        <v>50102</v>
      </c>
      <c r="DM2276" t="s">
        <v>20341</v>
      </c>
      <c r="DO2276" t="s">
        <v>21939</v>
      </c>
      <c r="DP2276">
        <v>0</v>
      </c>
      <c r="DQ2276">
        <v>0</v>
      </c>
      <c r="DR2276" t="s">
        <v>411</v>
      </c>
      <c r="DS2276" t="b">
        <v>1</v>
      </c>
      <c r="DT2276" t="s">
        <v>8902</v>
      </c>
      <c r="DV2276" t="s">
        <v>446</v>
      </c>
      <c r="DX2276">
        <v>10</v>
      </c>
      <c r="DY2276" t="s">
        <v>11438</v>
      </c>
      <c r="DZ2276" t="s">
        <v>447</v>
      </c>
      <c r="EA2276" t="s">
        <v>448</v>
      </c>
      <c r="EB2276" t="s">
        <v>18370</v>
      </c>
      <c r="EC2276">
        <v>20101217</v>
      </c>
      <c r="ED2276" t="s">
        <v>450</v>
      </c>
      <c r="EE2276">
        <v>5</v>
      </c>
      <c r="EF2276">
        <v>0</v>
      </c>
      <c r="EG2276">
        <v>0</v>
      </c>
      <c r="EI2276">
        <v>20160407</v>
      </c>
      <c r="EJ2276">
        <v>0</v>
      </c>
      <c r="EK2276">
        <v>0</v>
      </c>
      <c r="EP2276" t="s">
        <v>421</v>
      </c>
      <c r="EQ2276" t="s">
        <v>422</v>
      </c>
      <c r="ER2276">
        <v>2</v>
      </c>
      <c r="ES2276">
        <v>5</v>
      </c>
      <c r="ET2276">
        <v>12569.76</v>
      </c>
      <c r="EU2276">
        <v>640.99</v>
      </c>
      <c r="EV2276">
        <v>13210.75</v>
      </c>
      <c r="EW2276" s="2">
        <v>43222</v>
      </c>
      <c r="EX2276" s="1">
        <v>42879</v>
      </c>
      <c r="EY2276">
        <v>2016</v>
      </c>
      <c r="EZ2276">
        <v>6284.88</v>
      </c>
      <c r="FA2276" t="s">
        <v>21940</v>
      </c>
      <c r="FB2276">
        <v>0.25</v>
      </c>
      <c r="FC2276" t="s">
        <v>424</v>
      </c>
      <c r="FD2276" t="s">
        <v>454</v>
      </c>
      <c r="FF2276">
        <v>12</v>
      </c>
      <c r="FG2276">
        <v>7336671</v>
      </c>
      <c r="FH2276" t="s">
        <v>437</v>
      </c>
      <c r="FJ2276" s="1">
        <v>42879</v>
      </c>
      <c r="FK2276">
        <v>2016</v>
      </c>
      <c r="FL2276">
        <v>6284.88</v>
      </c>
      <c r="FM2276" t="s">
        <v>21940</v>
      </c>
      <c r="FN2276">
        <v>0.25</v>
      </c>
      <c r="FO2276" t="s">
        <v>424</v>
      </c>
      <c r="FP2276" t="s">
        <v>454</v>
      </c>
      <c r="FR2276">
        <v>12</v>
      </c>
      <c r="FS2276">
        <v>5194040</v>
      </c>
      <c r="FT2276" t="s">
        <v>21941</v>
      </c>
      <c r="FV2276" s="1">
        <v>42515</v>
      </c>
      <c r="FW2276">
        <v>2015</v>
      </c>
      <c r="FX2276">
        <v>5998.44</v>
      </c>
      <c r="FY2276" t="s">
        <v>21942</v>
      </c>
      <c r="FZ2276">
        <v>0.25</v>
      </c>
      <c r="GA2276" t="s">
        <v>424</v>
      </c>
      <c r="GB2276" t="s">
        <v>425</v>
      </c>
      <c r="GC2276" s="1">
        <v>43188</v>
      </c>
      <c r="GD2276">
        <v>22</v>
      </c>
      <c r="GE2276">
        <v>11289</v>
      </c>
      <c r="GF2276" t="s">
        <v>787</v>
      </c>
      <c r="GH2276" s="1">
        <v>42515</v>
      </c>
      <c r="GI2276">
        <v>2015</v>
      </c>
      <c r="GJ2276">
        <v>5998.44</v>
      </c>
      <c r="GK2276" t="s">
        <v>21942</v>
      </c>
      <c r="GL2276">
        <v>0.25</v>
      </c>
      <c r="GM2276" t="s">
        <v>424</v>
      </c>
      <c r="GN2276" t="s">
        <v>425</v>
      </c>
      <c r="GP2276">
        <v>22</v>
      </c>
      <c r="GQ2276">
        <v>7099787</v>
      </c>
      <c r="GR2276" t="s">
        <v>21943</v>
      </c>
      <c r="GT2276" s="1">
        <v>42151</v>
      </c>
      <c r="GU2276">
        <v>2014</v>
      </c>
      <c r="GV2276">
        <v>5236.3500000000004</v>
      </c>
      <c r="GW2276" t="s">
        <v>21944</v>
      </c>
      <c r="GX2276">
        <v>0.25</v>
      </c>
      <c r="GY2276" t="s">
        <v>424</v>
      </c>
      <c r="GZ2276" t="s">
        <v>425</v>
      </c>
      <c r="HA2276" s="1">
        <v>42954</v>
      </c>
      <c r="HB2276">
        <v>27</v>
      </c>
      <c r="HC2276">
        <v>2851116</v>
      </c>
      <c r="HD2276" t="s">
        <v>480</v>
      </c>
      <c r="HF2276" s="1">
        <v>42151</v>
      </c>
      <c r="HG2276">
        <v>2014</v>
      </c>
      <c r="HH2276">
        <v>5236.3500000000004</v>
      </c>
      <c r="HI2276" t="s">
        <v>21944</v>
      </c>
      <c r="HJ2276">
        <v>0.25</v>
      </c>
      <c r="HK2276" t="s">
        <v>424</v>
      </c>
      <c r="HL2276" t="s">
        <v>425</v>
      </c>
      <c r="HN2276">
        <v>22</v>
      </c>
      <c r="HO2276">
        <v>4863382</v>
      </c>
      <c r="HP2276" t="s">
        <v>21945</v>
      </c>
      <c r="HR2276" s="1">
        <v>41787</v>
      </c>
      <c r="HS2276">
        <v>2013</v>
      </c>
      <c r="HT2276">
        <v>2348.5300000000002</v>
      </c>
      <c r="HU2276" t="s">
        <v>21946</v>
      </c>
      <c r="HV2276">
        <v>0.25</v>
      </c>
      <c r="HW2276" t="s">
        <v>424</v>
      </c>
      <c r="HX2276" t="s">
        <v>425</v>
      </c>
      <c r="HY2276" s="1">
        <v>42619</v>
      </c>
      <c r="HZ2276">
        <v>28</v>
      </c>
      <c r="IA2276">
        <v>2851116</v>
      </c>
      <c r="IB2276" t="s">
        <v>480</v>
      </c>
    </row>
    <row r="2277" spans="1:260" x14ac:dyDescent="0.25">
      <c r="A2277">
        <v>16487284</v>
      </c>
      <c r="B2277">
        <v>2276</v>
      </c>
      <c r="C2277" t="s">
        <v>393</v>
      </c>
      <c r="D2277" t="s">
        <v>394</v>
      </c>
      <c r="F2277" t="str">
        <f>"00-00-31-1800-0256-0102"</f>
        <v>00-00-31-1800-0256-0102</v>
      </c>
      <c r="H2277" t="str">
        <f>"HAWKE JENNIFER SUPAN &amp; SUPAN CURT J &amp; MARY E"</f>
        <v>HAWKE JENNIFER SUPAN &amp; SUPAN CURT J &amp; MARY E</v>
      </c>
      <c r="I2277" t="str">
        <f>"1423 FRANKLIN STREET"</f>
        <v>1423 FRANKLIN STREET</v>
      </c>
      <c r="J2277" t="str">
        <f>"FERNANDINA BEACH FL 32034"</f>
        <v>FERNANDINA BEACH FL 32034</v>
      </c>
      <c r="K2277" t="str">
        <f>"1423 FRANKLIN ST"</f>
        <v>1423 FRANKLIN ST</v>
      </c>
      <c r="L2277" t="str">
        <f t="shared" si="846"/>
        <v>FERNANDINA BEACH FL 32034</v>
      </c>
      <c r="M2277" t="str">
        <f>"BLOCK 256 W80 FT OF LOT 10 IN OR 1460/1406 CITY OF FDNA BEACH"</f>
        <v>BLOCK 256 W80 FT OF LOT 10 IN OR 1460/1406 CITY OF FDNA BEACH</v>
      </c>
      <c r="N2277" t="str">
        <f>""</f>
        <v/>
      </c>
      <c r="O2277" t="str">
        <f>"13113"</f>
        <v>13113</v>
      </c>
      <c r="P2277" t="str">
        <f t="shared" si="840"/>
        <v>2017</v>
      </c>
      <c r="Q2277" t="str">
        <f>""</f>
        <v/>
      </c>
      <c r="R2277" t="str">
        <f>"Y"</f>
        <v>Y</v>
      </c>
      <c r="S2277" t="str">
        <f>""</f>
        <v/>
      </c>
      <c r="T2277" t="str">
        <f>"1388.01"</f>
        <v>1388.01</v>
      </c>
      <c r="U2277" t="str">
        <f>"91981.00"</f>
        <v>91981.00</v>
      </c>
      <c r="V2277" t="str">
        <f>"91981.00"</f>
        <v>91981.00</v>
      </c>
      <c r="W2277" t="str">
        <f t="shared" si="841"/>
        <v>2017</v>
      </c>
      <c r="X2277" t="str">
        <f>""</f>
        <v/>
      </c>
      <c r="Y2277" t="str">
        <f>"1461.65"</f>
        <v>1461.65</v>
      </c>
      <c r="Z2277" t="str">
        <f>"25000.00"</f>
        <v>25000.00</v>
      </c>
      <c r="AA2277" t="str">
        <f>"75018.00"</f>
        <v>75018.00</v>
      </c>
      <c r="AB2277" t="str">
        <f t="shared" si="850"/>
        <v>Residential</v>
      </c>
      <c r="AC2277" t="str">
        <f t="shared" si="849"/>
        <v>0</v>
      </c>
      <c r="AD2277" t="str">
        <f>"3"</f>
        <v>3</v>
      </c>
      <c r="AE2277" t="str">
        <f>"MASONRY"</f>
        <v>MASONRY</v>
      </c>
      <c r="AF2277" t="str">
        <f t="shared" si="851"/>
        <v>001</v>
      </c>
      <c r="AG2277" t="str">
        <f t="shared" si="852"/>
        <v>FL</v>
      </c>
      <c r="AH2277" t="str">
        <f>"13760.00"</f>
        <v>13760.00</v>
      </c>
      <c r="AI2277" t="str">
        <f>"80000.00"</f>
        <v>80000.00</v>
      </c>
      <c r="AJ2277" t="str">
        <f>"C55-000-586-0493-5"</f>
        <v>C55-000-586-0493-5</v>
      </c>
      <c r="AK2277" t="str">
        <f>"50023"</f>
        <v>50023</v>
      </c>
      <c r="AL2277">
        <v>8</v>
      </c>
      <c r="AM2277">
        <v>2600</v>
      </c>
      <c r="AN2277">
        <v>1533.13</v>
      </c>
      <c r="AQ2277" t="s">
        <v>21947</v>
      </c>
      <c r="AR2277" t="s">
        <v>21947</v>
      </c>
      <c r="AS2277" t="s">
        <v>21947</v>
      </c>
      <c r="AU2277" t="s">
        <v>396</v>
      </c>
      <c r="AV2277">
        <v>2017</v>
      </c>
      <c r="AW2277" t="str">
        <f>"00-00-31-1800-0256-0102 "</f>
        <v xml:space="preserve">00-00-31-1800-0256-0102 </v>
      </c>
      <c r="AX2277">
        <v>1423</v>
      </c>
      <c r="AZ2277" t="s">
        <v>21098</v>
      </c>
      <c r="BA2277" t="s">
        <v>1942</v>
      </c>
      <c r="BD2277" t="s">
        <v>11749</v>
      </c>
      <c r="BE2277" t="s">
        <v>393</v>
      </c>
      <c r="BF2277">
        <v>32034</v>
      </c>
      <c r="BG2277" t="s">
        <v>21948</v>
      </c>
      <c r="BH2277" t="s">
        <v>11751</v>
      </c>
      <c r="BI2277">
        <v>-81.449282808872397</v>
      </c>
      <c r="BJ2277">
        <v>30.6776582241847</v>
      </c>
      <c r="BK2277" t="s">
        <v>21949</v>
      </c>
      <c r="BL2277" t="s">
        <v>21950</v>
      </c>
      <c r="BM2277" t="s">
        <v>21948</v>
      </c>
      <c r="BN2277" t="s">
        <v>3983</v>
      </c>
      <c r="BO2277">
        <v>32034</v>
      </c>
      <c r="BP2277" t="s">
        <v>416</v>
      </c>
      <c r="BQ2277">
        <v>100</v>
      </c>
      <c r="BR2277" t="s">
        <v>514</v>
      </c>
      <c r="BS2277">
        <v>1001</v>
      </c>
      <c r="BT2277" t="s">
        <v>515</v>
      </c>
      <c r="BW2277">
        <v>13760</v>
      </c>
      <c r="BX2277" t="s">
        <v>407</v>
      </c>
      <c r="BY2277" t="s">
        <v>19842</v>
      </c>
      <c r="BZ2277">
        <v>3</v>
      </c>
      <c r="CA2277">
        <v>1949</v>
      </c>
      <c r="CB2277">
        <v>1</v>
      </c>
      <c r="CC2277">
        <v>1</v>
      </c>
      <c r="CD2277">
        <v>2017</v>
      </c>
      <c r="CG2277">
        <v>100018</v>
      </c>
      <c r="CH2277">
        <v>2017</v>
      </c>
      <c r="CI2277">
        <v>80000</v>
      </c>
      <c r="CJ2277">
        <v>46611</v>
      </c>
      <c r="CK2277">
        <v>126611</v>
      </c>
      <c r="CL2277">
        <v>2017</v>
      </c>
      <c r="CM2277">
        <v>1388.01</v>
      </c>
      <c r="CN2277" s="1">
        <v>39042</v>
      </c>
      <c r="CO2277">
        <v>139000</v>
      </c>
      <c r="CV2277">
        <v>104250</v>
      </c>
      <c r="CX2277" t="s">
        <v>675</v>
      </c>
      <c r="CZ2277" s="1">
        <v>39042</v>
      </c>
      <c r="DA2277">
        <v>0</v>
      </c>
      <c r="DD2277" t="s">
        <v>11749</v>
      </c>
      <c r="DF2277">
        <v>10</v>
      </c>
      <c r="DG2277">
        <v>18</v>
      </c>
      <c r="DL2277">
        <v>50102</v>
      </c>
      <c r="DM2277" t="s">
        <v>19854</v>
      </c>
      <c r="DO2277" t="s">
        <v>21951</v>
      </c>
      <c r="DP2277">
        <v>0</v>
      </c>
      <c r="DQ2277">
        <v>1</v>
      </c>
      <c r="DR2277" t="s">
        <v>1479</v>
      </c>
    </row>
    <row r="2278" spans="1:260" x14ac:dyDescent="0.25">
      <c r="A2278">
        <v>16487285</v>
      </c>
      <c r="B2278">
        <v>2277</v>
      </c>
      <c r="C2278" t="s">
        <v>393</v>
      </c>
      <c r="D2278" t="s">
        <v>394</v>
      </c>
      <c r="F2278" t="str">
        <f>"00-00-31-1800-0262-0041"</f>
        <v>00-00-31-1800-0262-0041</v>
      </c>
      <c r="H2278" t="str">
        <f>"YOUNG PATRICIA"</f>
        <v>YOUNG PATRICIA</v>
      </c>
      <c r="I2278" t="str">
        <f>"86058 JEAN ROAD"</f>
        <v>86058 JEAN ROAD</v>
      </c>
      <c r="J2278" t="str">
        <f>"YULEE FL 32097"</f>
        <v>YULEE FL 32097</v>
      </c>
      <c r="K2278" t="str">
        <f>"502 14TH ST S"</f>
        <v>502 14TH ST S</v>
      </c>
      <c r="L2278" t="str">
        <f t="shared" si="846"/>
        <v>FERNANDINA BEACH FL 32034</v>
      </c>
      <c r="M2278" t="str">
        <f>"BLOCK 262 S75 FT OF N106 FT OF LOT 4 IN OR 1653/1161 CITY OF FDNA BEACH"</f>
        <v>BLOCK 262 S75 FT OF N106 FT OF LOT 4 IN OR 1653/1161 CITY OF FDNA BEACH</v>
      </c>
      <c r="N2278" t="str">
        <f>""</f>
        <v/>
      </c>
      <c r="O2278" t="str">
        <f>"13192"</f>
        <v>13192</v>
      </c>
      <c r="P2278" t="str">
        <f t="shared" si="840"/>
        <v>2017</v>
      </c>
      <c r="Q2278" t="str">
        <f>""</f>
        <v/>
      </c>
      <c r="R2278" t="str">
        <f>"N"</f>
        <v>N</v>
      </c>
      <c r="S2278" t="str">
        <f>""</f>
        <v/>
      </c>
      <c r="T2278" t="str">
        <f>"2334.87"</f>
        <v>2334.87</v>
      </c>
      <c r="U2278" t="str">
        <f>"115930.00"</f>
        <v>115930.00</v>
      </c>
      <c r="V2278" t="str">
        <f>"115930.00"</f>
        <v>115930.00</v>
      </c>
      <c r="W2278" t="str">
        <f t="shared" si="841"/>
        <v>2017</v>
      </c>
      <c r="X2278" t="str">
        <f>"1.00"</f>
        <v>1.00</v>
      </c>
      <c r="Y2278" t="str">
        <f>"2436.92"</f>
        <v>2436.92</v>
      </c>
      <c r="Z2278" t="str">
        <f>""</f>
        <v/>
      </c>
      <c r="AA2278" t="str">
        <f>"119614.00"</f>
        <v>119614.00</v>
      </c>
      <c r="AB2278" t="str">
        <f t="shared" si="850"/>
        <v>Residential</v>
      </c>
      <c r="AC2278" t="str">
        <f t="shared" si="849"/>
        <v>0</v>
      </c>
      <c r="AD2278" t="str">
        <f>"4"</f>
        <v>4</v>
      </c>
      <c r="AE2278" t="str">
        <f>"WOOD (INCLUDE STEEL STUDS)"</f>
        <v>WOOD (INCLUDE STEEL STUDS)</v>
      </c>
      <c r="AF2278" t="str">
        <f t="shared" si="851"/>
        <v>001</v>
      </c>
      <c r="AG2278" t="str">
        <f t="shared" si="852"/>
        <v>FL</v>
      </c>
      <c r="AH2278" t="str">
        <f>"17250.00"</f>
        <v>17250.00</v>
      </c>
      <c r="AI2278" t="str">
        <f>"42879.00"</f>
        <v>42879.00</v>
      </c>
      <c r="AJ2278" t="str">
        <f>"C55-000-586-0573-4"</f>
        <v>C55-000-586-0573-4</v>
      </c>
      <c r="AK2278" t="str">
        <f>"50101"</f>
        <v>50101</v>
      </c>
      <c r="AL2278">
        <v>8</v>
      </c>
      <c r="AM2278">
        <v>2604</v>
      </c>
      <c r="AN2278">
        <v>2557.17</v>
      </c>
      <c r="AQ2278" t="s">
        <v>21952</v>
      </c>
      <c r="AR2278" t="s">
        <v>21952</v>
      </c>
      <c r="AS2278" t="s">
        <v>21952</v>
      </c>
      <c r="AU2278" t="s">
        <v>396</v>
      </c>
      <c r="AV2278">
        <v>2017</v>
      </c>
      <c r="AW2278" t="str">
        <f>"00-00-31-1800-0262-0041 "</f>
        <v xml:space="preserve">00-00-31-1800-0262-0041 </v>
      </c>
      <c r="AX2278">
        <v>502</v>
      </c>
      <c r="AZ2278" t="s">
        <v>19750</v>
      </c>
      <c r="BA2278" t="s">
        <v>1942</v>
      </c>
      <c r="BB2278" t="s">
        <v>18674</v>
      </c>
      <c r="BD2278" t="s">
        <v>11749</v>
      </c>
      <c r="BE2278" t="s">
        <v>393</v>
      </c>
      <c r="BF2278">
        <v>32034</v>
      </c>
      <c r="BG2278" t="s">
        <v>21953</v>
      </c>
      <c r="BH2278" t="s">
        <v>11751</v>
      </c>
      <c r="BI2278">
        <v>-81.451970382094103</v>
      </c>
      <c r="BJ2278">
        <v>30.663119250857299</v>
      </c>
      <c r="BK2278" t="s">
        <v>21954</v>
      </c>
      <c r="BM2278" t="s">
        <v>11854</v>
      </c>
      <c r="BN2278" t="s">
        <v>1778</v>
      </c>
      <c r="BO2278">
        <v>32097</v>
      </c>
      <c r="BP2278" t="s">
        <v>404</v>
      </c>
      <c r="BQ2278">
        <v>100</v>
      </c>
      <c r="BR2278" t="s">
        <v>514</v>
      </c>
      <c r="BS2278">
        <v>1001</v>
      </c>
      <c r="BT2278" t="s">
        <v>515</v>
      </c>
      <c r="BU2278">
        <v>750</v>
      </c>
      <c r="BV2278">
        <v>0</v>
      </c>
      <c r="BW2278">
        <v>17250</v>
      </c>
      <c r="BX2278" t="s">
        <v>407</v>
      </c>
      <c r="BY2278" t="s">
        <v>20347</v>
      </c>
      <c r="BZ2278">
        <v>4</v>
      </c>
      <c r="CA2278">
        <v>1977</v>
      </c>
      <c r="CB2278">
        <v>1</v>
      </c>
      <c r="CC2278">
        <v>1</v>
      </c>
      <c r="CD2278">
        <v>2017</v>
      </c>
      <c r="CE2278">
        <v>42879</v>
      </c>
      <c r="CF2278">
        <v>76735</v>
      </c>
      <c r="CG2278">
        <v>119614</v>
      </c>
      <c r="CH2278">
        <v>2017</v>
      </c>
      <c r="CI2278">
        <v>42879</v>
      </c>
      <c r="CJ2278">
        <v>76735</v>
      </c>
      <c r="CK2278">
        <v>119614</v>
      </c>
      <c r="CL2278">
        <v>2017</v>
      </c>
      <c r="CM2278">
        <v>2334.87</v>
      </c>
      <c r="CN2278" s="1">
        <v>40147</v>
      </c>
      <c r="CZ2278" s="1">
        <v>40147</v>
      </c>
      <c r="DD2278" t="s">
        <v>11749</v>
      </c>
      <c r="DF2278">
        <v>4</v>
      </c>
      <c r="DG2278">
        <v>23</v>
      </c>
      <c r="DL2278">
        <v>50101</v>
      </c>
      <c r="DM2278" t="s">
        <v>20742</v>
      </c>
      <c r="DO2278" t="s">
        <v>21955</v>
      </c>
      <c r="DP2278">
        <v>0</v>
      </c>
      <c r="DQ2278">
        <v>0</v>
      </c>
      <c r="DR2278" t="s">
        <v>411</v>
      </c>
      <c r="DS2278" t="b">
        <v>1</v>
      </c>
      <c r="DT2278" t="s">
        <v>470</v>
      </c>
      <c r="DU2278" t="s">
        <v>471</v>
      </c>
      <c r="DV2278" t="s">
        <v>472</v>
      </c>
      <c r="DX2278">
        <v>-9999</v>
      </c>
      <c r="DZ2278" t="s">
        <v>447</v>
      </c>
      <c r="EA2278" t="s">
        <v>448</v>
      </c>
      <c r="EB2278" t="s">
        <v>14787</v>
      </c>
      <c r="EC2278">
        <v>20101217</v>
      </c>
      <c r="ED2278" t="s">
        <v>474</v>
      </c>
      <c r="EF2278">
        <v>2373</v>
      </c>
      <c r="EG2278">
        <v>2339.6999999999998</v>
      </c>
      <c r="EH2278" t="s">
        <v>451</v>
      </c>
      <c r="EI2278">
        <v>20140731</v>
      </c>
      <c r="EJ2278">
        <v>0</v>
      </c>
      <c r="EK2278">
        <v>0</v>
      </c>
      <c r="EP2278" t="s">
        <v>421</v>
      </c>
      <c r="EQ2278" t="s">
        <v>422</v>
      </c>
      <c r="ER2278">
        <v>0</v>
      </c>
      <c r="ES2278">
        <v>1</v>
      </c>
      <c r="ET2278">
        <v>0</v>
      </c>
      <c r="EU2278">
        <v>0</v>
      </c>
      <c r="EV2278">
        <v>0</v>
      </c>
      <c r="EW2278" s="2">
        <v>43222</v>
      </c>
      <c r="EX2278" s="1">
        <v>41787</v>
      </c>
      <c r="EY2278">
        <v>2013</v>
      </c>
      <c r="EZ2278">
        <v>1873.32</v>
      </c>
      <c r="FA2278" t="s">
        <v>21956</v>
      </c>
      <c r="FB2278">
        <v>0.25</v>
      </c>
      <c r="FC2278" t="s">
        <v>424</v>
      </c>
      <c r="FD2278" t="s">
        <v>425</v>
      </c>
      <c r="FE2278" s="1">
        <v>41809</v>
      </c>
      <c r="FF2278">
        <v>1</v>
      </c>
      <c r="FG2278">
        <v>2662137</v>
      </c>
      <c r="FH2278" t="s">
        <v>916</v>
      </c>
    </row>
    <row r="2279" spans="1:260" x14ac:dyDescent="0.25">
      <c r="A2279">
        <v>16487286</v>
      </c>
      <c r="B2279">
        <v>2278</v>
      </c>
      <c r="C2279" t="s">
        <v>393</v>
      </c>
      <c r="D2279" t="s">
        <v>394</v>
      </c>
      <c r="F2279" t="str">
        <f>"00-00-31-1800-0266-0061"</f>
        <v>00-00-31-1800-0266-0061</v>
      </c>
      <c r="H2279" t="str">
        <f>"CEMR INC"</f>
        <v>CEMR INC</v>
      </c>
      <c r="I2279" t="str">
        <f>"86229 NORTH HAMPTON CLUB WAY"</f>
        <v>86229 NORTH HAMPTON CLUB WAY</v>
      </c>
      <c r="J2279" t="str">
        <f>"FERNANDINA BEACH FL 32034"</f>
        <v>FERNANDINA BEACH FL 32034</v>
      </c>
      <c r="K2279" t="str">
        <f>"1463 NECTARINE ST"</f>
        <v>1463 NECTARINE ST</v>
      </c>
      <c r="L2279" t="str">
        <f t="shared" si="846"/>
        <v>FERNANDINA BEACH FL 32034</v>
      </c>
      <c r="M2279" t="str">
        <f>"BLK 266 E 180FT OF LOT 6 IN OR 1190/1786 CITY OF FDNA BEACH"</f>
        <v>BLK 266 E 180FT OF LOT 6 IN OR 1190/1786 CITY OF FDNA BEACH</v>
      </c>
      <c r="N2279" t="str">
        <f>""</f>
        <v/>
      </c>
      <c r="O2279" t="str">
        <f>"13247"</f>
        <v>13247</v>
      </c>
      <c r="P2279" t="str">
        <f t="shared" si="840"/>
        <v>2017</v>
      </c>
      <c r="Q2279" t="str">
        <f>""</f>
        <v/>
      </c>
      <c r="R2279" t="str">
        <f>"N"</f>
        <v>N</v>
      </c>
      <c r="S2279" t="str">
        <f>""</f>
        <v/>
      </c>
      <c r="T2279" t="str">
        <f>"10066.86"</f>
        <v>10066.86</v>
      </c>
      <c r="U2279" t="str">
        <f>"505093.00"</f>
        <v>505093.00</v>
      </c>
      <c r="V2279" t="str">
        <f>"505093.00"</f>
        <v>505093.00</v>
      </c>
      <c r="W2279" t="str">
        <f t="shared" si="841"/>
        <v>2017</v>
      </c>
      <c r="X2279" t="str">
        <f>""</f>
        <v/>
      </c>
      <c r="Y2279" t="str">
        <f>"10400.87"</f>
        <v>10400.87</v>
      </c>
      <c r="Z2279" t="str">
        <f>""</f>
        <v/>
      </c>
      <c r="AA2279" t="str">
        <f>"505093.00"</f>
        <v>505093.00</v>
      </c>
      <c r="AB2279" t="str">
        <f>"Commercial"</f>
        <v>Commercial</v>
      </c>
      <c r="AC2279" t="str">
        <f t="shared" si="849"/>
        <v>0</v>
      </c>
      <c r="AD2279" t="str">
        <f>"3"</f>
        <v>3</v>
      </c>
      <c r="AE2279" t="str">
        <f>"MASONRY"</f>
        <v>MASONRY</v>
      </c>
      <c r="AF2279" t="str">
        <f>"019"</f>
        <v>019</v>
      </c>
      <c r="AG2279" t="str">
        <f t="shared" si="852"/>
        <v>FL</v>
      </c>
      <c r="AH2279" t="str">
        <f>"30960.00"</f>
        <v>30960.00</v>
      </c>
      <c r="AI2279" t="str">
        <f>"123840.00"</f>
        <v>123840.00</v>
      </c>
      <c r="AJ2279" t="str">
        <f>"C55-000-586-0626-0"</f>
        <v>C55-000-586-0626-0</v>
      </c>
      <c r="AK2279" t="str">
        <f>"50154"</f>
        <v>50154</v>
      </c>
      <c r="AL2279">
        <v>8</v>
      </c>
      <c r="AM2279">
        <v>2605</v>
      </c>
      <c r="AN2279">
        <v>10919.31</v>
      </c>
      <c r="AQ2279" t="s">
        <v>21957</v>
      </c>
      <c r="AR2279" t="s">
        <v>21957</v>
      </c>
      <c r="AS2279" t="s">
        <v>21957</v>
      </c>
      <c r="AU2279" t="s">
        <v>396</v>
      </c>
      <c r="AV2279">
        <v>2017</v>
      </c>
      <c r="AW2279" t="str">
        <f>"00-00-31-1800-0266-0061 "</f>
        <v xml:space="preserve">00-00-31-1800-0266-0061 </v>
      </c>
      <c r="AX2279">
        <v>1463</v>
      </c>
      <c r="AZ2279" t="s">
        <v>20427</v>
      </c>
      <c r="BA2279" t="s">
        <v>1942</v>
      </c>
      <c r="BD2279" t="s">
        <v>11749</v>
      </c>
      <c r="BE2279" t="s">
        <v>393</v>
      </c>
      <c r="BF2279">
        <v>32034</v>
      </c>
      <c r="BG2279" t="s">
        <v>21958</v>
      </c>
      <c r="BH2279" t="s">
        <v>11751</v>
      </c>
      <c r="BI2279">
        <v>-81.452783723918998</v>
      </c>
      <c r="BJ2279">
        <v>30.652468766966699</v>
      </c>
      <c r="BK2279" t="s">
        <v>21959</v>
      </c>
      <c r="BM2279" t="s">
        <v>21960</v>
      </c>
      <c r="BN2279" t="s">
        <v>3983</v>
      </c>
      <c r="BO2279">
        <v>32034</v>
      </c>
      <c r="BP2279" t="s">
        <v>404</v>
      </c>
      <c r="BQ2279">
        <v>1900</v>
      </c>
      <c r="BR2279" t="s">
        <v>21865</v>
      </c>
      <c r="BS2279">
        <v>3001</v>
      </c>
      <c r="BT2279" t="s">
        <v>21866</v>
      </c>
      <c r="BW2279">
        <v>30962</v>
      </c>
      <c r="BX2279" t="s">
        <v>407</v>
      </c>
      <c r="BY2279" t="s">
        <v>21123</v>
      </c>
      <c r="BZ2279">
        <v>3</v>
      </c>
      <c r="CA2279">
        <v>2006</v>
      </c>
      <c r="CB2279">
        <v>1.5</v>
      </c>
      <c r="CD2279">
        <v>2017</v>
      </c>
      <c r="CE2279">
        <v>123840</v>
      </c>
      <c r="CF2279">
        <v>381253</v>
      </c>
      <c r="CG2279">
        <v>505093</v>
      </c>
      <c r="CH2279">
        <v>2017</v>
      </c>
      <c r="CI2279">
        <v>123840</v>
      </c>
      <c r="CJ2279">
        <v>381253</v>
      </c>
      <c r="CK2279">
        <v>505093</v>
      </c>
      <c r="CL2279">
        <v>2017</v>
      </c>
      <c r="CM2279">
        <v>10066.86</v>
      </c>
      <c r="CN2279" s="1">
        <v>37950</v>
      </c>
      <c r="CO2279">
        <v>235000</v>
      </c>
      <c r="CV2279">
        <v>188000</v>
      </c>
      <c r="CX2279" t="s">
        <v>3031</v>
      </c>
      <c r="CZ2279" s="1">
        <v>37950</v>
      </c>
      <c r="DA2279">
        <v>0</v>
      </c>
      <c r="DD2279" t="s">
        <v>11749</v>
      </c>
      <c r="DF2279">
        <v>6</v>
      </c>
      <c r="DG2279">
        <v>25</v>
      </c>
      <c r="DJ2279" t="s">
        <v>20634</v>
      </c>
      <c r="DL2279">
        <v>50101</v>
      </c>
      <c r="DM2279" t="s">
        <v>20110</v>
      </c>
      <c r="DO2279" t="s">
        <v>21961</v>
      </c>
      <c r="DP2279">
        <v>0</v>
      </c>
      <c r="DQ2279">
        <v>1</v>
      </c>
      <c r="DR2279" t="s">
        <v>1479</v>
      </c>
      <c r="DS2279" t="b">
        <v>1</v>
      </c>
      <c r="DT2279" t="s">
        <v>470</v>
      </c>
      <c r="DU2279" t="s">
        <v>471</v>
      </c>
      <c r="DV2279" t="s">
        <v>472</v>
      </c>
      <c r="DX2279">
        <v>-9999</v>
      </c>
      <c r="DZ2279" t="s">
        <v>447</v>
      </c>
      <c r="EA2279" t="s">
        <v>448</v>
      </c>
      <c r="EB2279" t="s">
        <v>14787</v>
      </c>
      <c r="EC2279">
        <v>20101217</v>
      </c>
      <c r="ED2279" t="s">
        <v>474</v>
      </c>
      <c r="EF2279">
        <v>2251.3000000000002</v>
      </c>
      <c r="EG2279">
        <v>1976.5</v>
      </c>
      <c r="EI2279">
        <v>20160407</v>
      </c>
      <c r="EJ2279">
        <v>0</v>
      </c>
      <c r="EK2279">
        <v>0</v>
      </c>
    </row>
    <row r="2280" spans="1:260" x14ac:dyDescent="0.25">
      <c r="A2280">
        <v>16487287</v>
      </c>
      <c r="B2280">
        <v>2279</v>
      </c>
      <c r="C2280" t="s">
        <v>393</v>
      </c>
      <c r="D2280" t="s">
        <v>394</v>
      </c>
      <c r="F2280" t="str">
        <f>"00-00-31-1800-0269-0280"</f>
        <v>00-00-31-1800-0269-0280</v>
      </c>
      <c r="H2280" t="str">
        <f>"BURGESS ANNETTE J"</f>
        <v>BURGESS ANNETTE J</v>
      </c>
      <c r="I2280" t="str">
        <f>"216 CENTRE ST"</f>
        <v>216 CENTRE ST</v>
      </c>
      <c r="J2280" t="str">
        <f>"FERNANDINA BEACH FL 32034"</f>
        <v>FERNANDINA BEACH FL 32034</v>
      </c>
      <c r="K2280" t="str">
        <f>"216 CENTRE ST"</f>
        <v>216 CENTRE ST</v>
      </c>
      <c r="L2280" t="str">
        <f t="shared" si="846"/>
        <v>FERNANDINA BEACH FL 32034</v>
      </c>
      <c r="M2280" t="str">
        <f>"BLOCK 269 LOT 28 EX S29.9 FT IN OR 697/881 CITY OF FDNA BEACH"</f>
        <v>BLOCK 269 LOT 28 EX S29.9 FT IN OR 697/881 CITY OF FDNA BEACH</v>
      </c>
      <c r="N2280" t="str">
        <f>""</f>
        <v/>
      </c>
      <c r="O2280" t="str">
        <f>"13293"</f>
        <v>13293</v>
      </c>
      <c r="P2280" t="str">
        <f t="shared" si="840"/>
        <v>2017</v>
      </c>
      <c r="Q2280" t="str">
        <f>""</f>
        <v/>
      </c>
      <c r="R2280" t="str">
        <f>"N"</f>
        <v>N</v>
      </c>
      <c r="S2280" t="str">
        <f>""</f>
        <v/>
      </c>
      <c r="T2280" t="str">
        <f>"4474.32"</f>
        <v>4474.32</v>
      </c>
      <c r="U2280" t="str">
        <f>"265586.00"</f>
        <v>265586.00</v>
      </c>
      <c r="V2280" t="str">
        <f>"265586.00"</f>
        <v>265586.00</v>
      </c>
      <c r="W2280" t="str">
        <f t="shared" si="841"/>
        <v>2017</v>
      </c>
      <c r="X2280" t="str">
        <f>""</f>
        <v/>
      </c>
      <c r="Y2280" t="str">
        <f>"1560.85"</f>
        <v>1560.85</v>
      </c>
      <c r="Z2280" t="str">
        <f>""</f>
        <v/>
      </c>
      <c r="AA2280" t="str">
        <f>"267189.00"</f>
        <v>267189.00</v>
      </c>
      <c r="AB2280" t="str">
        <f>"Commercial"</f>
        <v>Commercial</v>
      </c>
      <c r="AC2280" t="str">
        <f t="shared" si="849"/>
        <v>0</v>
      </c>
      <c r="AD2280" t="str">
        <f>"2"</f>
        <v>2</v>
      </c>
      <c r="AE2280" t="str">
        <f>"REINFORCED CONCRETE"</f>
        <v>REINFORCED CONCRETE</v>
      </c>
      <c r="AF2280" t="str">
        <f>"012"</f>
        <v>012</v>
      </c>
      <c r="AG2280" t="str">
        <f t="shared" si="852"/>
        <v>FL</v>
      </c>
      <c r="AH2280" t="str">
        <f>"1750.00"</f>
        <v>1750.00</v>
      </c>
      <c r="AI2280" t="str">
        <f>"122500.00"</f>
        <v>122500.00</v>
      </c>
      <c r="AJ2280" t="str">
        <f>"C55-000-586-0671-6"</f>
        <v>C55-000-586-0671-6</v>
      </c>
      <c r="AK2280" t="str">
        <f>"50197"</f>
        <v>50197</v>
      </c>
      <c r="AL2280">
        <v>8</v>
      </c>
      <c r="AM2280">
        <v>2606</v>
      </c>
      <c r="AN2280">
        <v>1637.29</v>
      </c>
      <c r="AQ2280" t="s">
        <v>21962</v>
      </c>
      <c r="AR2280" t="s">
        <v>21962</v>
      </c>
      <c r="AS2280" t="s">
        <v>21962</v>
      </c>
      <c r="AU2280" t="s">
        <v>396</v>
      </c>
      <c r="AV2280">
        <v>2017</v>
      </c>
      <c r="AW2280" t="str">
        <f>"00-00-31-1800-0269-0280 "</f>
        <v xml:space="preserve">00-00-31-1800-0269-0280 </v>
      </c>
      <c r="AX2280">
        <v>216</v>
      </c>
      <c r="AZ2280" t="s">
        <v>20629</v>
      </c>
      <c r="BA2280" t="s">
        <v>1942</v>
      </c>
      <c r="BD2280" t="s">
        <v>11749</v>
      </c>
      <c r="BE2280" t="s">
        <v>393</v>
      </c>
      <c r="BF2280">
        <v>32034</v>
      </c>
      <c r="BG2280" t="s">
        <v>21963</v>
      </c>
      <c r="BH2280" t="s">
        <v>11751</v>
      </c>
      <c r="BI2280">
        <v>-81.463233412770805</v>
      </c>
      <c r="BJ2280">
        <v>30.671021185381399</v>
      </c>
      <c r="BK2280" t="s">
        <v>21964</v>
      </c>
      <c r="BM2280" t="s">
        <v>21963</v>
      </c>
      <c r="BN2280" t="s">
        <v>3983</v>
      </c>
      <c r="BO2280">
        <v>32034</v>
      </c>
      <c r="BP2280" t="s">
        <v>404</v>
      </c>
      <c r="BQ2280">
        <v>1200</v>
      </c>
      <c r="BR2280" t="s">
        <v>5393</v>
      </c>
      <c r="BS2280">
        <v>2003</v>
      </c>
      <c r="BT2280" t="s">
        <v>5394</v>
      </c>
      <c r="BW2280">
        <v>1751</v>
      </c>
      <c r="BX2280" t="s">
        <v>407</v>
      </c>
      <c r="BY2280" t="s">
        <v>20633</v>
      </c>
      <c r="BZ2280">
        <v>2</v>
      </c>
      <c r="CA2280">
        <v>1900</v>
      </c>
      <c r="CB2280">
        <v>2</v>
      </c>
      <c r="CD2280">
        <v>2017</v>
      </c>
      <c r="CE2280">
        <v>122500</v>
      </c>
      <c r="CF2280">
        <v>144689</v>
      </c>
      <c r="CG2280">
        <v>267189</v>
      </c>
      <c r="CH2280">
        <v>2017</v>
      </c>
      <c r="CI2280">
        <v>122500</v>
      </c>
      <c r="CJ2280">
        <v>144689</v>
      </c>
      <c r="CK2280">
        <v>267189</v>
      </c>
      <c r="CL2280">
        <v>2017</v>
      </c>
      <c r="CM2280">
        <v>4474.32</v>
      </c>
      <c r="CN2280" s="1">
        <v>34366</v>
      </c>
      <c r="CO2280">
        <v>235000</v>
      </c>
      <c r="CZ2280" s="1">
        <v>34366</v>
      </c>
      <c r="DD2280" t="s">
        <v>11749</v>
      </c>
      <c r="DF2280">
        <v>28</v>
      </c>
      <c r="DG2280">
        <v>22</v>
      </c>
      <c r="DL2280">
        <v>50101</v>
      </c>
      <c r="DM2280" t="s">
        <v>20208</v>
      </c>
      <c r="DO2280" t="s">
        <v>21965</v>
      </c>
      <c r="DP2280">
        <v>0</v>
      </c>
      <c r="DQ2280">
        <v>4</v>
      </c>
      <c r="DR2280" t="s">
        <v>1174</v>
      </c>
    </row>
    <row r="2281" spans="1:260" x14ac:dyDescent="0.25">
      <c r="A2281">
        <v>16487288</v>
      </c>
      <c r="B2281">
        <v>2280</v>
      </c>
      <c r="C2281" t="s">
        <v>393</v>
      </c>
      <c r="D2281" t="s">
        <v>394</v>
      </c>
      <c r="F2281" t="str">
        <f>"00-00-31-1800-0271-0110"</f>
        <v>00-00-31-1800-0271-0110</v>
      </c>
      <c r="H2281" t="str">
        <f>"ARTISAN HOMES LLC"</f>
        <v>ARTISAN HOMES LLC</v>
      </c>
      <c r="I2281" t="str">
        <f>"9995 GATE PARKWAY N STE 400"</f>
        <v>9995 GATE PARKWAY N STE 400</v>
      </c>
      <c r="J2281" t="str">
        <f>"JACKSONVILLE FL 32246"</f>
        <v>JACKSONVILLE FL 32246</v>
      </c>
      <c r="K2281" t="str">
        <f>"117 2ND ST S"</f>
        <v>117 2ND ST S</v>
      </c>
      <c r="L2281" t="str">
        <f t="shared" si="846"/>
        <v>FERNANDINA BEACH FL 32034</v>
      </c>
      <c r="M2281" t="str">
        <f>"BLOCK 271 PT LOTS 11 &amp; 12 EAST OF SAR R/W &amp; LOTS 22 &amp; 23 IN OR 2113/1862 CITY OF FDNA BEACH"</f>
        <v>BLOCK 271 PT LOTS 11 &amp; 12 EAST OF SAR R/W &amp; LOTS 22 &amp; 23 IN OR 2113/1862 CITY OF FDNA BEACH</v>
      </c>
      <c r="N2281" t="str">
        <f>""</f>
        <v/>
      </c>
      <c r="O2281" t="str">
        <f>"13306"</f>
        <v>13306</v>
      </c>
      <c r="P2281" t="str">
        <f t="shared" si="840"/>
        <v>2017</v>
      </c>
      <c r="Q2281" t="str">
        <f>""</f>
        <v/>
      </c>
      <c r="R2281" t="str">
        <f>"N"</f>
        <v>N</v>
      </c>
      <c r="S2281" t="str">
        <f>""</f>
        <v/>
      </c>
      <c r="T2281" t="str">
        <f>"3119.23"</f>
        <v>3119.23</v>
      </c>
      <c r="U2281" t="str">
        <f>"156503.00"</f>
        <v>156503.00</v>
      </c>
      <c r="V2281" t="str">
        <f>"156503.00"</f>
        <v>156503.00</v>
      </c>
      <c r="W2281" t="str">
        <f t="shared" si="841"/>
        <v>2017</v>
      </c>
      <c r="X2281" t="str">
        <f>"10.00"</f>
        <v>10.00</v>
      </c>
      <c r="Y2281" t="str">
        <f>"3244.81"</f>
        <v>3244.81</v>
      </c>
      <c r="Z2281" t="str">
        <f>""</f>
        <v/>
      </c>
      <c r="AA2281" t="str">
        <f>"156503.00"</f>
        <v>156503.00</v>
      </c>
      <c r="AB2281" t="str">
        <f>"Industrial"</f>
        <v>Industrial</v>
      </c>
      <c r="AC2281" t="str">
        <f t="shared" si="849"/>
        <v>0</v>
      </c>
      <c r="AD2281" t="str">
        <f>"5"</f>
        <v>5</v>
      </c>
      <c r="AE2281" t="str">
        <f>"STEEL FRAME/INCOMBUSTIBLE WALLS/ROOF"</f>
        <v>STEEL FRAME/INCOMBUSTIBLE WALLS/ROOF</v>
      </c>
      <c r="AF2281" t="str">
        <f>"048"</f>
        <v>048</v>
      </c>
      <c r="AG2281" t="str">
        <f t="shared" si="852"/>
        <v>FL</v>
      </c>
      <c r="AH2281" t="str">
        <f>"6300.00"</f>
        <v>6300.00</v>
      </c>
      <c r="AI2281" t="str">
        <f>"132300.00"</f>
        <v>132300.00</v>
      </c>
      <c r="AJ2281" t="str">
        <f>"C55-000-586-0684-9"</f>
        <v>C55-000-586-0684-9</v>
      </c>
      <c r="AK2281" t="str">
        <f>"50231"</f>
        <v>50231</v>
      </c>
      <c r="AL2281">
        <v>8</v>
      </c>
      <c r="AM2281">
        <v>2607</v>
      </c>
      <c r="AN2281">
        <v>3405.45</v>
      </c>
      <c r="AQ2281" t="s">
        <v>21966</v>
      </c>
      <c r="AR2281" t="s">
        <v>21966</v>
      </c>
      <c r="AS2281" t="s">
        <v>21966</v>
      </c>
      <c r="AU2281" t="s">
        <v>396</v>
      </c>
      <c r="AV2281">
        <v>2017</v>
      </c>
      <c r="AW2281" t="str">
        <f>"00-00-31-1800-0271-0110 "</f>
        <v xml:space="preserve">00-00-31-1800-0271-0110 </v>
      </c>
      <c r="AX2281">
        <v>117</v>
      </c>
      <c r="AZ2281" t="s">
        <v>20647</v>
      </c>
      <c r="BA2281" t="s">
        <v>1942</v>
      </c>
      <c r="BB2281" t="s">
        <v>18674</v>
      </c>
      <c r="BD2281" t="s">
        <v>11749</v>
      </c>
      <c r="BE2281" t="s">
        <v>393</v>
      </c>
      <c r="BF2281">
        <v>32034</v>
      </c>
      <c r="BG2281" t="s">
        <v>21967</v>
      </c>
      <c r="BH2281" t="s">
        <v>11751</v>
      </c>
      <c r="BI2281">
        <v>-81.464506924442702</v>
      </c>
      <c r="BJ2281">
        <v>30.669227757533701</v>
      </c>
      <c r="BK2281" t="s">
        <v>21968</v>
      </c>
      <c r="BM2281" t="s">
        <v>21969</v>
      </c>
      <c r="BN2281" t="s">
        <v>21970</v>
      </c>
      <c r="BO2281">
        <v>32082</v>
      </c>
      <c r="BP2281" t="s">
        <v>404</v>
      </c>
      <c r="BQ2281">
        <v>4800</v>
      </c>
      <c r="BR2281" t="s">
        <v>4463</v>
      </c>
      <c r="BS2281">
        <v>6002</v>
      </c>
      <c r="BT2281" t="s">
        <v>4464</v>
      </c>
      <c r="BW2281">
        <v>6421</v>
      </c>
      <c r="BX2281" t="s">
        <v>407</v>
      </c>
      <c r="BY2281" t="s">
        <v>21971</v>
      </c>
      <c r="BZ2281">
        <v>5</v>
      </c>
      <c r="CA2281">
        <v>1974</v>
      </c>
      <c r="CB2281">
        <v>1</v>
      </c>
      <c r="CD2281">
        <v>2017</v>
      </c>
      <c r="CE2281">
        <v>132300</v>
      </c>
      <c r="CF2281">
        <v>24203</v>
      </c>
      <c r="CG2281">
        <v>156503</v>
      </c>
      <c r="CH2281">
        <v>2017</v>
      </c>
      <c r="CI2281">
        <v>132300</v>
      </c>
      <c r="CJ2281">
        <v>24203</v>
      </c>
      <c r="CK2281">
        <v>156503</v>
      </c>
      <c r="CL2281">
        <v>2017</v>
      </c>
      <c r="CM2281">
        <v>3119.23</v>
      </c>
      <c r="CN2281" s="1">
        <v>43069</v>
      </c>
      <c r="CO2281">
        <v>108000</v>
      </c>
      <c r="CV2281">
        <v>0</v>
      </c>
      <c r="CZ2281" s="1">
        <v>43069</v>
      </c>
      <c r="DA2281">
        <v>0</v>
      </c>
      <c r="DD2281" t="s">
        <v>11749</v>
      </c>
      <c r="DG2281">
        <v>22</v>
      </c>
      <c r="DL2281">
        <v>50101</v>
      </c>
      <c r="DM2281" t="s">
        <v>20208</v>
      </c>
      <c r="DO2281" t="s">
        <v>21972</v>
      </c>
      <c r="DP2281">
        <v>0</v>
      </c>
      <c r="DQ2281">
        <v>7</v>
      </c>
      <c r="DR2281" t="s">
        <v>1479</v>
      </c>
      <c r="EP2281" t="s">
        <v>421</v>
      </c>
      <c r="EQ2281" t="s">
        <v>422</v>
      </c>
      <c r="ER2281">
        <v>0</v>
      </c>
      <c r="ES2281">
        <v>2</v>
      </c>
      <c r="ET2281">
        <v>0</v>
      </c>
      <c r="EU2281">
        <v>0</v>
      </c>
      <c r="EV2281">
        <v>0</v>
      </c>
      <c r="EW2281" s="2">
        <v>43222</v>
      </c>
      <c r="EX2281" s="1">
        <v>41052</v>
      </c>
      <c r="EY2281">
        <v>2011</v>
      </c>
      <c r="EZ2281">
        <v>3659.9</v>
      </c>
      <c r="FA2281" t="s">
        <v>21973</v>
      </c>
      <c r="FB2281">
        <v>3.5</v>
      </c>
      <c r="FC2281" t="s">
        <v>424</v>
      </c>
      <c r="FD2281" t="s">
        <v>425</v>
      </c>
      <c r="FE2281" s="1">
        <v>41361</v>
      </c>
      <c r="FF2281">
        <v>10</v>
      </c>
      <c r="FG2281">
        <v>13678</v>
      </c>
      <c r="FH2281" t="s">
        <v>11738</v>
      </c>
      <c r="FJ2281" s="1">
        <v>41052</v>
      </c>
      <c r="FK2281">
        <v>2010</v>
      </c>
      <c r="FL2281">
        <v>4204.78</v>
      </c>
      <c r="FM2281" t="s">
        <v>21974</v>
      </c>
      <c r="FN2281">
        <v>3.5</v>
      </c>
      <c r="FO2281" t="s">
        <v>424</v>
      </c>
      <c r="FP2281" t="s">
        <v>425</v>
      </c>
      <c r="FQ2281" s="1">
        <v>41361</v>
      </c>
      <c r="FR2281">
        <v>10</v>
      </c>
      <c r="FS2281">
        <v>13683</v>
      </c>
      <c r="FT2281" t="s">
        <v>21975</v>
      </c>
    </row>
    <row r="2282" spans="1:260" x14ac:dyDescent="0.25">
      <c r="A2282">
        <v>16487289</v>
      </c>
      <c r="B2282">
        <v>2281</v>
      </c>
      <c r="C2282" t="s">
        <v>393</v>
      </c>
      <c r="D2282" t="s">
        <v>394</v>
      </c>
      <c r="F2282" t="str">
        <f>"00-00-31-1800-0273-0010"</f>
        <v>00-00-31-1800-0273-0010</v>
      </c>
      <c r="H2282" t="str">
        <f>"GIEDRYS NORA"</f>
        <v>GIEDRYS NORA</v>
      </c>
      <c r="I2282" t="str">
        <f>"208 BEECH ST"</f>
        <v>208 BEECH ST</v>
      </c>
      <c r="J2282" t="str">
        <f>"FERNANDINA BEACH FL 32034"</f>
        <v>FERNANDINA BEACH FL 32034</v>
      </c>
      <c r="K2282" t="str">
        <f>"208 BEECH ST"</f>
        <v>208 BEECH ST</v>
      </c>
      <c r="L2282" t="str">
        <f t="shared" si="846"/>
        <v>FERNANDINA BEACH FL 32034</v>
      </c>
      <c r="M2282" t="str">
        <f>"BLK 273 PT LOTS 1 2 3 4 5 32 33 &amp; 34 IN OR 974/1225 CITY OF FDNA BEACH S/D OF SEC 23-3N-28E"</f>
        <v>BLK 273 PT LOTS 1 2 3 4 5 32 33 &amp; 34 IN OR 974/1225 CITY OF FDNA BEACH S/D OF SEC 23-3N-28E</v>
      </c>
      <c r="N2282" t="str">
        <f>""</f>
        <v/>
      </c>
      <c r="O2282" t="str">
        <f>"13311"</f>
        <v>13311</v>
      </c>
      <c r="P2282" t="str">
        <f t="shared" si="840"/>
        <v>2017</v>
      </c>
      <c r="Q2282" t="str">
        <f>""</f>
        <v/>
      </c>
      <c r="R2282" t="str">
        <f>"Y"</f>
        <v>Y</v>
      </c>
      <c r="S2282" t="str">
        <f>""</f>
        <v/>
      </c>
      <c r="T2282" t="str">
        <f>"4668.93"</f>
        <v>4668.93</v>
      </c>
      <c r="U2282" t="str">
        <f>"252611.00"</f>
        <v>252611.00</v>
      </c>
      <c r="V2282" t="str">
        <f>"252611.00"</f>
        <v>252611.00</v>
      </c>
      <c r="W2282" t="str">
        <f t="shared" si="841"/>
        <v>2017</v>
      </c>
      <c r="X2282" t="str">
        <f>"10.40"</f>
        <v>10.40</v>
      </c>
      <c r="Y2282" t="str">
        <f>"4841.00"</f>
        <v>4841.00</v>
      </c>
      <c r="Z2282" t="str">
        <f>"25000.00"</f>
        <v>25000.00</v>
      </c>
      <c r="AA2282" t="str">
        <f>"259211.00"</f>
        <v>259211.00</v>
      </c>
      <c r="AB2282" t="str">
        <f>"Industrial"</f>
        <v>Industrial</v>
      </c>
      <c r="AC2282" t="str">
        <f t="shared" si="849"/>
        <v>0</v>
      </c>
      <c r="AD2282" t="str">
        <f>"5"</f>
        <v>5</v>
      </c>
      <c r="AE2282" t="str">
        <f>"STEEL FRAME/INCOMBUSTIBLE WALLS/ROOF"</f>
        <v>STEEL FRAME/INCOMBUSTIBLE WALLS/ROOF</v>
      </c>
      <c r="AF2282" t="str">
        <f>"041"</f>
        <v>041</v>
      </c>
      <c r="AG2282" t="str">
        <f t="shared" si="852"/>
        <v>FL</v>
      </c>
      <c r="AH2282" t="str">
        <f>"13068.00"</f>
        <v>13068.00</v>
      </c>
      <c r="AI2282" t="str">
        <f>"130680.00"</f>
        <v>130680.00</v>
      </c>
      <c r="AJ2282" t="str">
        <f>"C55-000-586-0687-2"</f>
        <v>C55-000-586-0687-2</v>
      </c>
      <c r="AK2282" t="str">
        <f>"50235"</f>
        <v>50235</v>
      </c>
      <c r="AL2282">
        <v>8</v>
      </c>
      <c r="AM2282">
        <v>2608</v>
      </c>
      <c r="AN2282">
        <v>5081.45</v>
      </c>
      <c r="AQ2282" t="s">
        <v>21976</v>
      </c>
      <c r="AR2282" t="s">
        <v>21976</v>
      </c>
      <c r="AS2282" t="s">
        <v>21976</v>
      </c>
      <c r="AU2282" t="s">
        <v>396</v>
      </c>
      <c r="AV2282">
        <v>2017</v>
      </c>
      <c r="AW2282" t="str">
        <f>"00-00-31-1800-0273-0010 "</f>
        <v xml:space="preserve">00-00-31-1800-0273-0010 </v>
      </c>
      <c r="AX2282">
        <v>208</v>
      </c>
      <c r="AZ2282" t="s">
        <v>19911</v>
      </c>
      <c r="BA2282" t="s">
        <v>1942</v>
      </c>
      <c r="BD2282" t="s">
        <v>11749</v>
      </c>
      <c r="BE2282" t="s">
        <v>393</v>
      </c>
      <c r="BF2282">
        <v>32034</v>
      </c>
      <c r="BG2282" t="s">
        <v>21977</v>
      </c>
      <c r="BH2282" t="s">
        <v>11751</v>
      </c>
      <c r="BI2282">
        <v>-81.464088399247402</v>
      </c>
      <c r="BJ2282">
        <v>30.6684579750263</v>
      </c>
      <c r="BK2282" t="s">
        <v>21978</v>
      </c>
      <c r="BM2282" t="s">
        <v>21979</v>
      </c>
      <c r="BN2282" t="s">
        <v>3983</v>
      </c>
      <c r="BO2282">
        <v>32034</v>
      </c>
      <c r="BP2282" t="s">
        <v>404</v>
      </c>
      <c r="BQ2282">
        <v>4100</v>
      </c>
      <c r="BR2282" t="s">
        <v>4242</v>
      </c>
      <c r="BS2282">
        <v>5001</v>
      </c>
      <c r="BT2282" t="s">
        <v>4243</v>
      </c>
      <c r="BU2282">
        <v>1000</v>
      </c>
      <c r="BV2282">
        <v>1250</v>
      </c>
      <c r="BW2282">
        <v>12923</v>
      </c>
      <c r="BX2282" t="s">
        <v>407</v>
      </c>
      <c r="BY2282" t="s">
        <v>20798</v>
      </c>
      <c r="BZ2282">
        <v>5</v>
      </c>
      <c r="CA2282">
        <v>1972</v>
      </c>
      <c r="CB2282">
        <v>1</v>
      </c>
      <c r="CC2282">
        <v>1</v>
      </c>
      <c r="CD2282">
        <v>2017</v>
      </c>
      <c r="CE2282">
        <v>130680</v>
      </c>
      <c r="CF2282">
        <v>153531</v>
      </c>
      <c r="CG2282">
        <v>284211</v>
      </c>
      <c r="CH2282">
        <v>2017</v>
      </c>
      <c r="CI2282">
        <v>130680</v>
      </c>
      <c r="CJ2282">
        <v>153531</v>
      </c>
      <c r="CK2282">
        <v>284211</v>
      </c>
      <c r="CL2282">
        <v>2017</v>
      </c>
      <c r="CM2282">
        <v>4668.93</v>
      </c>
      <c r="CN2282" s="1">
        <v>39521</v>
      </c>
      <c r="CZ2282" s="1">
        <v>39521</v>
      </c>
      <c r="DD2282" t="s">
        <v>11749</v>
      </c>
      <c r="DG2282">
        <v>23</v>
      </c>
      <c r="DL2282">
        <v>50101</v>
      </c>
      <c r="DM2282" t="s">
        <v>20742</v>
      </c>
      <c r="DO2282" t="s">
        <v>21980</v>
      </c>
      <c r="DP2282">
        <v>0</v>
      </c>
      <c r="DQ2282">
        <v>5</v>
      </c>
      <c r="DR2282" t="s">
        <v>1479</v>
      </c>
      <c r="DS2282" t="b">
        <v>1</v>
      </c>
      <c r="DT2282" t="s">
        <v>8902</v>
      </c>
      <c r="DV2282" t="s">
        <v>446</v>
      </c>
      <c r="DX2282">
        <v>10</v>
      </c>
      <c r="DY2282" t="s">
        <v>11438</v>
      </c>
      <c r="DZ2282" t="s">
        <v>447</v>
      </c>
      <c r="EA2282" t="s">
        <v>448</v>
      </c>
      <c r="EB2282" t="s">
        <v>18370</v>
      </c>
      <c r="EC2282">
        <v>20101217</v>
      </c>
      <c r="ED2282" t="s">
        <v>450</v>
      </c>
      <c r="EE2282">
        <v>5</v>
      </c>
      <c r="EF2282">
        <v>0</v>
      </c>
      <c r="EG2282">
        <v>0</v>
      </c>
      <c r="EI2282">
        <v>20160407</v>
      </c>
      <c r="EJ2282">
        <v>0</v>
      </c>
      <c r="EK2282">
        <v>0</v>
      </c>
      <c r="EP2282" t="s">
        <v>421</v>
      </c>
      <c r="EQ2282" t="s">
        <v>422</v>
      </c>
      <c r="ER2282">
        <v>2</v>
      </c>
      <c r="ES2282">
        <v>7</v>
      </c>
      <c r="ET2282">
        <v>10361.52</v>
      </c>
      <c r="EU2282">
        <v>530.58000000000004</v>
      </c>
      <c r="EV2282">
        <v>10892.1</v>
      </c>
      <c r="EW2282" s="2">
        <v>43222</v>
      </c>
      <c r="EX2282" s="1">
        <v>42879</v>
      </c>
      <c r="EY2282">
        <v>2016</v>
      </c>
      <c r="EZ2282">
        <v>5180.76</v>
      </c>
      <c r="FA2282" t="s">
        <v>21981</v>
      </c>
      <c r="FB2282">
        <v>0.25</v>
      </c>
      <c r="FC2282" t="s">
        <v>424</v>
      </c>
      <c r="FD2282" t="s">
        <v>454</v>
      </c>
      <c r="FF2282">
        <v>12</v>
      </c>
      <c r="FG2282">
        <v>2851116</v>
      </c>
      <c r="FH2282" t="s">
        <v>480</v>
      </c>
      <c r="FJ2282" s="1">
        <v>42879</v>
      </c>
      <c r="FK2282">
        <v>2016</v>
      </c>
      <c r="FL2282">
        <v>5180.76</v>
      </c>
      <c r="FM2282" t="s">
        <v>21981</v>
      </c>
      <c r="FN2282">
        <v>0.25</v>
      </c>
      <c r="FO2282" t="s">
        <v>424</v>
      </c>
      <c r="FP2282" t="s">
        <v>454</v>
      </c>
      <c r="FR2282">
        <v>12</v>
      </c>
      <c r="FS2282">
        <v>5068024</v>
      </c>
      <c r="FT2282" t="s">
        <v>21982</v>
      </c>
      <c r="FV2282" s="1">
        <v>42515</v>
      </c>
      <c r="FW2282">
        <v>2015</v>
      </c>
      <c r="FX2282">
        <v>5283.1</v>
      </c>
      <c r="FY2282" t="s">
        <v>21983</v>
      </c>
      <c r="FZ2282">
        <v>0.25</v>
      </c>
      <c r="GA2282" t="s">
        <v>424</v>
      </c>
      <c r="GB2282" t="s">
        <v>425</v>
      </c>
      <c r="GC2282" s="1">
        <v>42734</v>
      </c>
      <c r="GD2282">
        <v>7</v>
      </c>
      <c r="GE2282">
        <v>7045074</v>
      </c>
      <c r="GF2282" t="s">
        <v>580</v>
      </c>
      <c r="GH2282" s="1">
        <v>42515</v>
      </c>
      <c r="GI2282">
        <v>2015</v>
      </c>
      <c r="GJ2282">
        <v>5283.1</v>
      </c>
      <c r="GK2282" t="s">
        <v>21983</v>
      </c>
      <c r="GL2282">
        <v>0.25</v>
      </c>
      <c r="GM2282" t="s">
        <v>424</v>
      </c>
      <c r="GN2282" t="s">
        <v>425</v>
      </c>
      <c r="GP2282">
        <v>22</v>
      </c>
      <c r="GQ2282">
        <v>6373028</v>
      </c>
      <c r="GR2282" t="s">
        <v>21984</v>
      </c>
      <c r="GT2282" s="1">
        <v>42151</v>
      </c>
      <c r="GU2282">
        <v>2014</v>
      </c>
      <c r="GV2282">
        <v>5259.97</v>
      </c>
      <c r="GW2282" t="s">
        <v>21985</v>
      </c>
      <c r="GX2282">
        <v>0.25</v>
      </c>
      <c r="GY2282" t="s">
        <v>424</v>
      </c>
      <c r="GZ2282" t="s">
        <v>425</v>
      </c>
      <c r="HA2282" s="1">
        <v>42369</v>
      </c>
      <c r="HB2282">
        <v>7</v>
      </c>
      <c r="HC2282">
        <v>2851116</v>
      </c>
      <c r="HD2282" t="s">
        <v>480</v>
      </c>
      <c r="HF2282" s="1">
        <v>42151</v>
      </c>
      <c r="HG2282">
        <v>2014</v>
      </c>
      <c r="HH2282">
        <v>5259.97</v>
      </c>
      <c r="HI2282" t="s">
        <v>21985</v>
      </c>
      <c r="HJ2282">
        <v>0.25</v>
      </c>
      <c r="HK2282" t="s">
        <v>424</v>
      </c>
      <c r="HL2282" t="s">
        <v>425</v>
      </c>
      <c r="HN2282">
        <v>22</v>
      </c>
      <c r="HO2282">
        <v>4899598</v>
      </c>
      <c r="HP2282" t="s">
        <v>21986</v>
      </c>
      <c r="HR2282" s="1">
        <v>41787</v>
      </c>
      <c r="HS2282">
        <v>2013</v>
      </c>
      <c r="HT2282">
        <v>4761.09</v>
      </c>
      <c r="HU2282" t="s">
        <v>21987</v>
      </c>
      <c r="HV2282">
        <v>0.25</v>
      </c>
      <c r="HW2282" t="s">
        <v>424</v>
      </c>
      <c r="HX2282" t="s">
        <v>425</v>
      </c>
      <c r="HY2282" s="1">
        <v>42296</v>
      </c>
      <c r="HZ2282">
        <v>17</v>
      </c>
      <c r="IA2282">
        <v>2757457</v>
      </c>
      <c r="IB2282" t="s">
        <v>648</v>
      </c>
      <c r="ID2282" s="1">
        <v>41052</v>
      </c>
      <c r="IE2282">
        <v>2011</v>
      </c>
      <c r="IF2282">
        <v>5039.57</v>
      </c>
      <c r="IG2282" t="s">
        <v>21988</v>
      </c>
      <c r="IH2282">
        <v>4.75</v>
      </c>
      <c r="II2282" t="s">
        <v>424</v>
      </c>
      <c r="IJ2282" t="s">
        <v>425</v>
      </c>
      <c r="IK2282" s="1">
        <v>41395</v>
      </c>
      <c r="IL2282">
        <v>12</v>
      </c>
      <c r="IM2282">
        <v>13286</v>
      </c>
      <c r="IN2282" t="s">
        <v>10164</v>
      </c>
      <c r="IP2282" s="1">
        <v>40688</v>
      </c>
      <c r="IQ2282">
        <v>2010</v>
      </c>
      <c r="IR2282">
        <v>5183.5200000000004</v>
      </c>
      <c r="IS2282" t="s">
        <v>21989</v>
      </c>
      <c r="IT2282">
        <v>4.75</v>
      </c>
      <c r="IU2282" t="s">
        <v>424</v>
      </c>
      <c r="IV2282" t="s">
        <v>425</v>
      </c>
      <c r="IW2282" s="1">
        <v>40967</v>
      </c>
      <c r="IX2282">
        <v>9</v>
      </c>
      <c r="IY2282">
        <v>11177</v>
      </c>
      <c r="IZ2282" t="s">
        <v>650</v>
      </c>
    </row>
    <row r="2283" spans="1:260" x14ac:dyDescent="0.25">
      <c r="A2283">
        <v>16487290</v>
      </c>
      <c r="B2283">
        <v>2282</v>
      </c>
      <c r="C2283" t="s">
        <v>393</v>
      </c>
      <c r="D2283" t="s">
        <v>394</v>
      </c>
      <c r="F2283" t="str">
        <f>"00-00-31-1800-0281-0002"</f>
        <v>00-00-31-1800-0281-0002</v>
      </c>
      <c r="H2283" t="str">
        <f>"RICHARDSON MICHAEL"</f>
        <v>RICHARDSON MICHAEL</v>
      </c>
      <c r="I2283" t="str">
        <f>"PO BOX 483"</f>
        <v>PO BOX 483</v>
      </c>
      <c r="J2283" t="str">
        <f>"FERNANDINA BEACH FL 32035"</f>
        <v>FERNANDINA BEACH FL 32035</v>
      </c>
      <c r="K2283" t="str">
        <f>"314 ELM ST"</f>
        <v>314 ELM ST</v>
      </c>
      <c r="L2283" t="str">
        <f t="shared" si="846"/>
        <v>FERNANDINA BEACH FL 32034</v>
      </c>
      <c r="M2283" t="str">
        <f>"BLOCK 281 LOTS LYING EAST OF A STRAIGHT LINE DRAWN FROM NW CORNER OF LOT 31 TO SE CORNER OF LOT 20 OR 868/1805 &amp; PT OR 1232/228 CITY OF FDNA BEACH"</f>
        <v>BLOCK 281 LOTS LYING EAST OF A STRAIGHT LINE DRAWN FROM NW CORNER OF LOT 31 TO SE CORNER OF LOT 20 OR 868/1805 &amp; PT OR 1232/228 CITY OF FDNA BEACH</v>
      </c>
      <c r="N2283" t="str">
        <f>""</f>
        <v/>
      </c>
      <c r="O2283" t="str">
        <f>"13353"</f>
        <v>13353</v>
      </c>
      <c r="P2283" t="str">
        <f t="shared" si="840"/>
        <v>2017</v>
      </c>
      <c r="Q2283" t="str">
        <f>""</f>
        <v/>
      </c>
      <c r="R2283" t="str">
        <f>"N"</f>
        <v>N</v>
      </c>
      <c r="S2283" t="str">
        <f>""</f>
        <v/>
      </c>
      <c r="T2283" t="str">
        <f>"2317.71"</f>
        <v>2317.71</v>
      </c>
      <c r="U2283" t="str">
        <f>"115451.00"</f>
        <v>115451.00</v>
      </c>
      <c r="V2283" t="str">
        <f>"115451.00"</f>
        <v>115451.00</v>
      </c>
      <c r="W2283" t="str">
        <f t="shared" si="841"/>
        <v>2017</v>
      </c>
      <c r="X2283" t="str">
        <f>""</f>
        <v/>
      </c>
      <c r="Y2283" t="str">
        <f>"2419.24"</f>
        <v>2419.24</v>
      </c>
      <c r="Z2283" t="str">
        <f>""</f>
        <v/>
      </c>
      <c r="AA2283" t="str">
        <f>"117979.00"</f>
        <v>117979.00</v>
      </c>
      <c r="AB2283" t="str">
        <f>"Residential"</f>
        <v>Residential</v>
      </c>
      <c r="AC2283" t="str">
        <f t="shared" si="849"/>
        <v>0</v>
      </c>
      <c r="AD2283" t="str">
        <f>"3"</f>
        <v>3</v>
      </c>
      <c r="AE2283" t="str">
        <f>"MASONRY"</f>
        <v>MASONRY</v>
      </c>
      <c r="AF2283" t="str">
        <f>"001"</f>
        <v>001</v>
      </c>
      <c r="AG2283" t="str">
        <f t="shared" si="852"/>
        <v>FL</v>
      </c>
      <c r="AH2283" t="str">
        <f>"18900.00"</f>
        <v>18900.00</v>
      </c>
      <c r="AI2283" t="str">
        <f>"70686.00"</f>
        <v>70686.00</v>
      </c>
      <c r="AJ2283" t="str">
        <f>"C55-000-586-0722-7"</f>
        <v>C55-000-586-0722-7</v>
      </c>
      <c r="AK2283" t="str">
        <f>"50277"</f>
        <v>50277</v>
      </c>
      <c r="AL2283">
        <v>8</v>
      </c>
      <c r="AM2283">
        <v>2610</v>
      </c>
      <c r="AN2283">
        <v>2538.6</v>
      </c>
      <c r="AQ2283" t="s">
        <v>21990</v>
      </c>
      <c r="AR2283" t="s">
        <v>21990</v>
      </c>
      <c r="AS2283" t="s">
        <v>21990</v>
      </c>
      <c r="AU2283" t="s">
        <v>396</v>
      </c>
      <c r="AV2283">
        <v>2017</v>
      </c>
      <c r="AW2283" t="str">
        <f>"00-00-31-1800-0281-0002 "</f>
        <v xml:space="preserve">00-00-31-1800-0281-0002 </v>
      </c>
      <c r="AX2283">
        <v>314</v>
      </c>
      <c r="AZ2283" t="s">
        <v>21775</v>
      </c>
      <c r="BA2283" t="s">
        <v>1942</v>
      </c>
      <c r="BD2283" t="s">
        <v>11749</v>
      </c>
      <c r="BE2283" t="s">
        <v>393</v>
      </c>
      <c r="BF2283">
        <v>32034</v>
      </c>
      <c r="BG2283" t="s">
        <v>21991</v>
      </c>
      <c r="BH2283" t="s">
        <v>11751</v>
      </c>
      <c r="BI2283">
        <v>-81.463331977040497</v>
      </c>
      <c r="BJ2283">
        <v>30.6644750803877</v>
      </c>
      <c r="BK2283" t="s">
        <v>16730</v>
      </c>
      <c r="BM2283" t="s">
        <v>16731</v>
      </c>
      <c r="BN2283" t="s">
        <v>3983</v>
      </c>
      <c r="BO2283">
        <v>32035</v>
      </c>
      <c r="BP2283" t="s">
        <v>404</v>
      </c>
      <c r="BQ2283">
        <v>100</v>
      </c>
      <c r="BR2283" t="s">
        <v>514</v>
      </c>
      <c r="BS2283">
        <v>1001</v>
      </c>
      <c r="BT2283" t="s">
        <v>515</v>
      </c>
      <c r="BU2283">
        <v>1080</v>
      </c>
      <c r="BV2283">
        <v>1750</v>
      </c>
      <c r="BW2283">
        <v>17319</v>
      </c>
      <c r="BX2283" t="s">
        <v>407</v>
      </c>
      <c r="BY2283" t="s">
        <v>18253</v>
      </c>
      <c r="BZ2283">
        <v>3</v>
      </c>
      <c r="CA2283">
        <v>1956</v>
      </c>
      <c r="CB2283">
        <v>1</v>
      </c>
      <c r="CC2283">
        <v>1</v>
      </c>
      <c r="CD2283">
        <v>2017</v>
      </c>
      <c r="CE2283">
        <v>70686</v>
      </c>
      <c r="CF2283">
        <v>47293</v>
      </c>
      <c r="CG2283">
        <v>117979</v>
      </c>
      <c r="CH2283">
        <v>2017</v>
      </c>
      <c r="CI2283">
        <v>70686</v>
      </c>
      <c r="CJ2283">
        <v>47293</v>
      </c>
      <c r="CK2283">
        <v>117979</v>
      </c>
      <c r="CL2283">
        <v>2017</v>
      </c>
      <c r="CM2283">
        <v>2317.71</v>
      </c>
      <c r="CN2283" s="1">
        <v>38127</v>
      </c>
      <c r="CZ2283" s="1">
        <v>38127</v>
      </c>
      <c r="DD2283" t="s">
        <v>11749</v>
      </c>
      <c r="DF2283">
        <v>31</v>
      </c>
      <c r="DG2283">
        <v>23</v>
      </c>
      <c r="DL2283">
        <v>50101</v>
      </c>
      <c r="DM2283" t="s">
        <v>20742</v>
      </c>
      <c r="DO2283" t="s">
        <v>21992</v>
      </c>
      <c r="DP2283">
        <v>0</v>
      </c>
      <c r="DQ2283">
        <v>0</v>
      </c>
      <c r="DR2283" t="s">
        <v>411</v>
      </c>
      <c r="EP2283" t="s">
        <v>421</v>
      </c>
      <c r="EQ2283" t="s">
        <v>422</v>
      </c>
      <c r="ER2283">
        <v>2</v>
      </c>
      <c r="ES2283">
        <v>0</v>
      </c>
      <c r="ET2283">
        <v>4650.38</v>
      </c>
      <c r="EU2283">
        <v>245.02</v>
      </c>
      <c r="EV2283">
        <v>4895.3999999999996</v>
      </c>
      <c r="EW2283" s="2">
        <v>43222</v>
      </c>
      <c r="EX2283" s="1">
        <v>42879</v>
      </c>
      <c r="EY2283">
        <v>2016</v>
      </c>
      <c r="EZ2283">
        <v>2325.19</v>
      </c>
      <c r="FA2283" t="s">
        <v>21993</v>
      </c>
      <c r="FB2283">
        <v>0.25</v>
      </c>
      <c r="FC2283" t="s">
        <v>424</v>
      </c>
      <c r="FD2283" t="s">
        <v>454</v>
      </c>
      <c r="FF2283">
        <v>12</v>
      </c>
      <c r="FG2283">
        <v>2851116</v>
      </c>
      <c r="FH2283" t="s">
        <v>480</v>
      </c>
      <c r="FJ2283" s="1">
        <v>42879</v>
      </c>
      <c r="FK2283">
        <v>2016</v>
      </c>
      <c r="FL2283">
        <v>2325.19</v>
      </c>
      <c r="FM2283" t="s">
        <v>21993</v>
      </c>
      <c r="FN2283">
        <v>0.25</v>
      </c>
      <c r="FO2283" t="s">
        <v>424</v>
      </c>
      <c r="FP2283" t="s">
        <v>454</v>
      </c>
      <c r="FR2283">
        <v>12</v>
      </c>
      <c r="FS2283">
        <v>4944695</v>
      </c>
      <c r="FT2283" t="s">
        <v>21994</v>
      </c>
    </row>
    <row r="2284" spans="1:260" x14ac:dyDescent="0.25">
      <c r="A2284">
        <v>16487291</v>
      </c>
      <c r="B2284">
        <v>2283</v>
      </c>
      <c r="C2284" t="s">
        <v>393</v>
      </c>
      <c r="D2284" t="s">
        <v>394</v>
      </c>
      <c r="F2284" t="str">
        <f>"00-00-31-1800-0281-0020"</f>
        <v>00-00-31-1800-0281-0020</v>
      </c>
      <c r="H2284" t="str">
        <f>"RICHARDSON MICHAEL"</f>
        <v>RICHARDSON MICHAEL</v>
      </c>
      <c r="I2284" t="str">
        <f>"PO BOX 483"</f>
        <v>PO BOX 483</v>
      </c>
      <c r="J2284" t="str">
        <f>"FERNANDINA BEACH FL 32035"</f>
        <v>FERNANDINA BEACH FL 32035</v>
      </c>
      <c r="K2284" t="str">
        <f>"S 3RD ST"</f>
        <v>S 3RD ST</v>
      </c>
      <c r="L2284" t="str">
        <f t="shared" si="846"/>
        <v>FERNANDINA BEACH FL 32034</v>
      </c>
      <c r="M2284" t="str">
        <f>"BLOCK 281 LOTS 2-5 &amp; PT OF LOTS 21-26 &amp; PT OF LOTS 30-31 PT OR 1246/1381 CITY OF FDNA BEACH"</f>
        <v>BLOCK 281 LOTS 2-5 &amp; PT OF LOTS 21-26 &amp; PT OF LOTS 30-31 PT OR 1246/1381 CITY OF FDNA BEACH</v>
      </c>
      <c r="N2284" t="str">
        <f>""</f>
        <v/>
      </c>
      <c r="O2284" t="str">
        <f>"13355"</f>
        <v>13355</v>
      </c>
      <c r="P2284" t="str">
        <f t="shared" si="840"/>
        <v>2017</v>
      </c>
      <c r="Q2284" t="str">
        <f>""</f>
        <v/>
      </c>
      <c r="R2284" t="str">
        <f>"N"</f>
        <v>N</v>
      </c>
      <c r="S2284" t="str">
        <f>""</f>
        <v/>
      </c>
      <c r="T2284" t="str">
        <f>"455.89"</f>
        <v>455.89</v>
      </c>
      <c r="U2284" t="str">
        <f>"17999.00"</f>
        <v>17999.00</v>
      </c>
      <c r="V2284" t="str">
        <f>"17999.00"</f>
        <v>17999.00</v>
      </c>
      <c r="W2284" t="str">
        <f t="shared" si="841"/>
        <v>2017</v>
      </c>
      <c r="X2284" t="str">
        <f>"21.13"</f>
        <v>21.13</v>
      </c>
      <c r="Y2284" t="str">
        <f>"501.57"</f>
        <v>501.57</v>
      </c>
      <c r="Z2284" t="str">
        <f>""</f>
        <v/>
      </c>
      <c r="AA2284" t="str">
        <f>"32725.00"</f>
        <v>32725.00</v>
      </c>
      <c r="AB2284" t="str">
        <f>"Residential"</f>
        <v>Residential</v>
      </c>
      <c r="AC2284" t="str">
        <f t="shared" si="849"/>
        <v>0</v>
      </c>
      <c r="AD2284" t="str">
        <f>""</f>
        <v/>
      </c>
      <c r="AE2284" t="str">
        <f>""</f>
        <v/>
      </c>
      <c r="AF2284" t="str">
        <f>"000"</f>
        <v>000</v>
      </c>
      <c r="AG2284" t="str">
        <f t="shared" si="852"/>
        <v>FL</v>
      </c>
      <c r="AH2284" t="str">
        <f>"21250.00"</f>
        <v>21250.00</v>
      </c>
      <c r="AI2284" t="str">
        <f>"32725.00"</f>
        <v>32725.00</v>
      </c>
      <c r="AJ2284" t="str">
        <f>"C55-000-588-9196-1"</f>
        <v>C55-000-588-9196-1</v>
      </c>
      <c r="AK2284" t="str">
        <f>"50279"</f>
        <v>50279</v>
      </c>
      <c r="AL2284">
        <v>8</v>
      </c>
      <c r="AM2284">
        <v>2611</v>
      </c>
      <c r="AN2284">
        <v>525.04999999999995</v>
      </c>
      <c r="AQ2284" t="s">
        <v>21995</v>
      </c>
      <c r="AR2284" t="s">
        <v>21995</v>
      </c>
      <c r="AS2284" t="s">
        <v>21995</v>
      </c>
      <c r="AU2284" t="s">
        <v>396</v>
      </c>
      <c r="AV2284">
        <v>2017</v>
      </c>
      <c r="AW2284" t="str">
        <f>"00-00-31-1800-0281-0020 "</f>
        <v xml:space="preserve">00-00-31-1800-0281-0020 </v>
      </c>
      <c r="AY2284" t="s">
        <v>18674</v>
      </c>
      <c r="AZ2284" t="s">
        <v>21996</v>
      </c>
      <c r="BA2284" t="s">
        <v>1942</v>
      </c>
      <c r="BD2284" t="s">
        <v>11749</v>
      </c>
      <c r="BE2284" t="s">
        <v>393</v>
      </c>
      <c r="BF2284">
        <v>32034</v>
      </c>
      <c r="BG2284" t="s">
        <v>21997</v>
      </c>
      <c r="BH2284" t="s">
        <v>11751</v>
      </c>
      <c r="BI2284">
        <v>-81.463639241709998</v>
      </c>
      <c r="BJ2284">
        <v>30.664400829994499</v>
      </c>
      <c r="BK2284" t="s">
        <v>16730</v>
      </c>
      <c r="BM2284" t="s">
        <v>16731</v>
      </c>
      <c r="BN2284" t="s">
        <v>3983</v>
      </c>
      <c r="BO2284">
        <v>32035</v>
      </c>
      <c r="BP2284" t="s">
        <v>404</v>
      </c>
      <c r="BQ2284">
        <v>0</v>
      </c>
      <c r="BR2284" t="s">
        <v>491</v>
      </c>
      <c r="BS2284">
        <v>8001</v>
      </c>
      <c r="BT2284" t="s">
        <v>492</v>
      </c>
      <c r="BU2284">
        <v>1250</v>
      </c>
      <c r="BV2284">
        <v>1700</v>
      </c>
      <c r="BW2284">
        <v>30186</v>
      </c>
      <c r="BX2284" t="s">
        <v>407</v>
      </c>
      <c r="BY2284" t="s">
        <v>20798</v>
      </c>
      <c r="CD2284">
        <v>2017</v>
      </c>
      <c r="CE2284">
        <v>32725</v>
      </c>
      <c r="CG2284">
        <v>32725</v>
      </c>
      <c r="CH2284">
        <v>2017</v>
      </c>
      <c r="CI2284">
        <v>32725</v>
      </c>
      <c r="CK2284">
        <v>32725</v>
      </c>
      <c r="CL2284">
        <v>2017</v>
      </c>
      <c r="CM2284">
        <v>455.89</v>
      </c>
      <c r="CN2284" s="1">
        <v>38188</v>
      </c>
      <c r="CZ2284" s="1">
        <v>38188</v>
      </c>
      <c r="DD2284" t="s">
        <v>11749</v>
      </c>
      <c r="DG2284">
        <v>23</v>
      </c>
      <c r="DL2284">
        <v>50101</v>
      </c>
      <c r="DM2284" t="s">
        <v>20742</v>
      </c>
      <c r="DO2284" t="s">
        <v>21998</v>
      </c>
      <c r="DP2284">
        <v>0</v>
      </c>
      <c r="DQ2284">
        <v>0</v>
      </c>
      <c r="DR2284" t="s">
        <v>411</v>
      </c>
      <c r="DS2284" t="b">
        <v>1</v>
      </c>
      <c r="DT2284" t="s">
        <v>8902</v>
      </c>
      <c r="DV2284" t="s">
        <v>446</v>
      </c>
      <c r="DX2284">
        <v>10</v>
      </c>
      <c r="DY2284" t="s">
        <v>11438</v>
      </c>
      <c r="DZ2284" t="s">
        <v>447</v>
      </c>
      <c r="EA2284" t="s">
        <v>448</v>
      </c>
      <c r="EB2284" t="s">
        <v>18370</v>
      </c>
      <c r="EC2284">
        <v>20101217</v>
      </c>
      <c r="ED2284" t="s">
        <v>450</v>
      </c>
      <c r="EE2284">
        <v>5</v>
      </c>
      <c r="EF2284">
        <v>0</v>
      </c>
      <c r="EG2284">
        <v>0</v>
      </c>
      <c r="EI2284">
        <v>20160407</v>
      </c>
      <c r="EJ2284">
        <v>0</v>
      </c>
      <c r="EK2284">
        <v>0</v>
      </c>
      <c r="EP2284" t="s">
        <v>421</v>
      </c>
      <c r="EQ2284" t="s">
        <v>422</v>
      </c>
      <c r="ER2284">
        <v>1</v>
      </c>
      <c r="ES2284">
        <v>6</v>
      </c>
      <c r="ET2284">
        <v>429</v>
      </c>
      <c r="EU2284">
        <v>44.86</v>
      </c>
      <c r="EV2284">
        <v>473.86</v>
      </c>
      <c r="EW2284" s="2">
        <v>43222</v>
      </c>
      <c r="EX2284" s="1">
        <v>42879</v>
      </c>
      <c r="EY2284">
        <v>2016</v>
      </c>
      <c r="EZ2284">
        <v>429</v>
      </c>
      <c r="FA2284" t="s">
        <v>21999</v>
      </c>
      <c r="FB2284">
        <v>9</v>
      </c>
      <c r="FC2284" t="s">
        <v>424</v>
      </c>
      <c r="FD2284" t="s">
        <v>454</v>
      </c>
      <c r="FF2284">
        <v>12</v>
      </c>
      <c r="FG2284">
        <v>10003</v>
      </c>
      <c r="FH2284" t="s">
        <v>4341</v>
      </c>
      <c r="FJ2284" s="1">
        <v>42515</v>
      </c>
      <c r="FK2284">
        <v>2015</v>
      </c>
      <c r="FL2284">
        <v>351.89</v>
      </c>
      <c r="FM2284" t="s">
        <v>22000</v>
      </c>
      <c r="FN2284">
        <v>14.75</v>
      </c>
      <c r="FO2284" t="s">
        <v>424</v>
      </c>
      <c r="FP2284" t="s">
        <v>425</v>
      </c>
      <c r="FQ2284" s="1">
        <v>43161</v>
      </c>
      <c r="FR2284">
        <v>22</v>
      </c>
      <c r="FS2284">
        <v>10003</v>
      </c>
      <c r="FT2284" t="s">
        <v>4341</v>
      </c>
      <c r="FV2284" s="1">
        <v>42151</v>
      </c>
      <c r="FW2284">
        <v>2014</v>
      </c>
      <c r="FX2284">
        <v>354.24</v>
      </c>
      <c r="FY2284" t="s">
        <v>22001</v>
      </c>
      <c r="FZ2284">
        <v>15.5</v>
      </c>
      <c r="GA2284" t="s">
        <v>424</v>
      </c>
      <c r="GB2284" t="s">
        <v>425</v>
      </c>
      <c r="GC2284" s="1">
        <v>43161</v>
      </c>
      <c r="GD2284">
        <v>34</v>
      </c>
      <c r="GE2284">
        <v>10003</v>
      </c>
      <c r="GF2284" t="s">
        <v>4341</v>
      </c>
      <c r="GH2284" s="1">
        <v>41787</v>
      </c>
      <c r="GI2284">
        <v>2013</v>
      </c>
      <c r="GJ2284">
        <v>342.84</v>
      </c>
      <c r="GK2284" t="s">
        <v>22002</v>
      </c>
      <c r="GL2284">
        <v>12</v>
      </c>
      <c r="GM2284" t="s">
        <v>424</v>
      </c>
      <c r="GN2284" t="s">
        <v>425</v>
      </c>
      <c r="GO2284" s="1">
        <v>42429</v>
      </c>
      <c r="GP2284">
        <v>21</v>
      </c>
      <c r="GQ2284">
        <v>10125</v>
      </c>
      <c r="GR2284" t="s">
        <v>440</v>
      </c>
      <c r="GT2284" s="1">
        <v>41423</v>
      </c>
      <c r="GU2284">
        <v>2012</v>
      </c>
      <c r="GV2284">
        <v>342.48</v>
      </c>
      <c r="GW2284" t="s">
        <v>22003</v>
      </c>
      <c r="GX2284">
        <v>5.75</v>
      </c>
      <c r="GY2284" t="s">
        <v>424</v>
      </c>
      <c r="GZ2284" t="s">
        <v>425</v>
      </c>
      <c r="HA2284" s="1">
        <v>42062</v>
      </c>
      <c r="HB2284">
        <v>21</v>
      </c>
      <c r="HC2284">
        <v>2101381</v>
      </c>
      <c r="HD2284" t="s">
        <v>605</v>
      </c>
      <c r="HF2284" s="1">
        <v>41052</v>
      </c>
      <c r="HG2284">
        <v>2011</v>
      </c>
      <c r="HH2284">
        <v>511.07</v>
      </c>
      <c r="HI2284" t="s">
        <v>22004</v>
      </c>
      <c r="HJ2284">
        <v>6.75</v>
      </c>
      <c r="HK2284" t="s">
        <v>424</v>
      </c>
      <c r="HL2284" t="s">
        <v>425</v>
      </c>
      <c r="HM2284" s="1">
        <v>41697</v>
      </c>
      <c r="HN2284">
        <v>21</v>
      </c>
      <c r="HO2284">
        <v>10125</v>
      </c>
      <c r="HP2284" t="s">
        <v>440</v>
      </c>
      <c r="HR2284" s="1">
        <v>40688</v>
      </c>
      <c r="HS2284">
        <v>2010</v>
      </c>
      <c r="HT2284">
        <v>499.26</v>
      </c>
      <c r="HU2284" t="s">
        <v>22005</v>
      </c>
      <c r="HV2284">
        <v>4.75</v>
      </c>
      <c r="HW2284" t="s">
        <v>424</v>
      </c>
      <c r="HX2284" t="s">
        <v>425</v>
      </c>
      <c r="HY2284" s="1">
        <v>41358</v>
      </c>
      <c r="HZ2284">
        <v>22</v>
      </c>
      <c r="IA2284">
        <v>10003</v>
      </c>
      <c r="IB2284" t="s">
        <v>4341</v>
      </c>
    </row>
    <row r="2285" spans="1:260" x14ac:dyDescent="0.25">
      <c r="A2285">
        <v>16487292</v>
      </c>
      <c r="B2285">
        <v>2284</v>
      </c>
      <c r="C2285" t="s">
        <v>393</v>
      </c>
      <c r="D2285" t="s">
        <v>394</v>
      </c>
      <c r="F2285" t="str">
        <f>"00-00-31-1800-0308-0080"</f>
        <v>00-00-31-1800-0308-0080</v>
      </c>
      <c r="H2285" t="str">
        <f>"DRAKUS NICHOLAS L"</f>
        <v>DRAKUS NICHOLAS L</v>
      </c>
      <c r="I2285" t="str">
        <f>"94140 MERLIN DR"</f>
        <v>94140 MERLIN DR</v>
      </c>
      <c r="J2285" t="str">
        <f>"FERNANDINA BEACH FL 32034"</f>
        <v>FERNANDINA BEACH FL 32034</v>
      </c>
      <c r="K2285" t="str">
        <f>"1241 S 8TH ST"</f>
        <v>1241 S 8TH ST</v>
      </c>
      <c r="L2285" t="str">
        <f t="shared" si="846"/>
        <v>FERNANDINA BEACH FL 32034</v>
      </c>
      <c r="M2285" t="str">
        <f>"BLOCK 308 LOT 8 &amp; N 50 OF 7 E OF RR &amp; PT LOT 2 BLOCK 185 INCL PT OF R/W IN OR 1558/1367 CITY OF FDNA BEACH"</f>
        <v>BLOCK 308 LOT 8 &amp; N 50 OF 7 E OF RR &amp; PT LOT 2 BLOCK 185 INCL PT OF R/W IN OR 1558/1367 CITY OF FDNA BEACH</v>
      </c>
      <c r="N2285" t="str">
        <f>""</f>
        <v/>
      </c>
      <c r="O2285" t="str">
        <f>"13398"</f>
        <v>13398</v>
      </c>
      <c r="P2285" t="str">
        <f t="shared" si="840"/>
        <v>2017</v>
      </c>
      <c r="Q2285" t="str">
        <f>""</f>
        <v/>
      </c>
      <c r="R2285" t="str">
        <f>"N"</f>
        <v>N</v>
      </c>
      <c r="S2285" t="str">
        <f>""</f>
        <v/>
      </c>
      <c r="T2285" t="str">
        <f>"2013.95"</f>
        <v>2013.95</v>
      </c>
      <c r="U2285" t="str">
        <f>"130858.00"</f>
        <v>130858.00</v>
      </c>
      <c r="V2285" t="str">
        <f>"130858.00"</f>
        <v>130858.00</v>
      </c>
      <c r="W2285" t="str">
        <f t="shared" si="841"/>
        <v>2017</v>
      </c>
      <c r="X2285" t="str">
        <f>"15.75"</f>
        <v>15.75</v>
      </c>
      <c r="Y2285" t="str">
        <f>"2106.37"</f>
        <v>2106.37</v>
      </c>
      <c r="Z2285" t="str">
        <f>""</f>
        <v/>
      </c>
      <c r="AA2285" t="str">
        <f>"130858.00"</f>
        <v>130858.00</v>
      </c>
      <c r="AB2285" t="str">
        <f>"Commercial"</f>
        <v>Commercial</v>
      </c>
      <c r="AC2285" t="str">
        <f t="shared" si="849"/>
        <v>0</v>
      </c>
      <c r="AD2285" t="str">
        <f>"3"</f>
        <v>3</v>
      </c>
      <c r="AE2285" t="str">
        <f>"MASONRY"</f>
        <v>MASONRY</v>
      </c>
      <c r="AF2285" t="str">
        <f>"016"</f>
        <v>016</v>
      </c>
      <c r="AG2285" t="str">
        <f t="shared" si="852"/>
        <v>FL</v>
      </c>
      <c r="AH2285" t="str">
        <f>"15000.00"</f>
        <v>15000.00</v>
      </c>
      <c r="AI2285" t="str">
        <f>"60000.00"</f>
        <v>60000.00</v>
      </c>
      <c r="AJ2285" t="str">
        <f>"C55-000-586-0756-5"</f>
        <v>C55-000-586-0756-5</v>
      </c>
      <c r="AK2285" t="str">
        <f>"50318"</f>
        <v>50318</v>
      </c>
      <c r="AL2285">
        <v>8</v>
      </c>
      <c r="AM2285">
        <v>2612</v>
      </c>
      <c r="AN2285">
        <v>2210.09</v>
      </c>
      <c r="AQ2285" t="s">
        <v>22006</v>
      </c>
      <c r="AR2285" t="s">
        <v>22006</v>
      </c>
      <c r="AS2285" t="s">
        <v>22006</v>
      </c>
      <c r="AU2285" t="s">
        <v>396</v>
      </c>
      <c r="AV2285">
        <v>2017</v>
      </c>
      <c r="AW2285" t="str">
        <f>"00-00-31-1800-0308-0080 "</f>
        <v xml:space="preserve">00-00-31-1800-0308-0080 </v>
      </c>
      <c r="AX2285">
        <v>1241</v>
      </c>
      <c r="AY2285" t="s">
        <v>18674</v>
      </c>
      <c r="AZ2285" t="s">
        <v>18673</v>
      </c>
      <c r="BA2285" t="s">
        <v>1942</v>
      </c>
      <c r="BD2285" t="s">
        <v>11749</v>
      </c>
      <c r="BE2285" t="s">
        <v>393</v>
      </c>
      <c r="BF2285">
        <v>32034</v>
      </c>
      <c r="BG2285" t="s">
        <v>22007</v>
      </c>
      <c r="BH2285" t="s">
        <v>11751</v>
      </c>
      <c r="BI2285">
        <v>-81.461268280902402</v>
      </c>
      <c r="BJ2285">
        <v>30.655313648608999</v>
      </c>
      <c r="BK2285" t="s">
        <v>22008</v>
      </c>
      <c r="BM2285" t="s">
        <v>22009</v>
      </c>
      <c r="BN2285" t="s">
        <v>3983</v>
      </c>
      <c r="BO2285">
        <v>32034</v>
      </c>
      <c r="BP2285" t="s">
        <v>404</v>
      </c>
      <c r="BQ2285">
        <v>1600</v>
      </c>
      <c r="BR2285" t="s">
        <v>22010</v>
      </c>
      <c r="BS2285">
        <v>2008</v>
      </c>
      <c r="BT2285" t="s">
        <v>22011</v>
      </c>
      <c r="BW2285">
        <v>22377</v>
      </c>
      <c r="BX2285" t="s">
        <v>407</v>
      </c>
      <c r="BY2285" t="s">
        <v>4413</v>
      </c>
      <c r="BZ2285">
        <v>3</v>
      </c>
      <c r="CA2285">
        <v>1950</v>
      </c>
      <c r="CB2285">
        <v>1</v>
      </c>
      <c r="CD2285">
        <v>2017</v>
      </c>
      <c r="CE2285">
        <v>60000</v>
      </c>
      <c r="CF2285">
        <v>70858</v>
      </c>
      <c r="CG2285">
        <v>130858</v>
      </c>
      <c r="CH2285">
        <v>2017</v>
      </c>
      <c r="CI2285">
        <v>60000</v>
      </c>
      <c r="CJ2285">
        <v>70858</v>
      </c>
      <c r="CK2285">
        <v>130858</v>
      </c>
      <c r="CL2285">
        <v>2017</v>
      </c>
      <c r="CM2285">
        <v>2013.95</v>
      </c>
      <c r="CN2285" s="1">
        <v>39539</v>
      </c>
      <c r="CO2285">
        <v>350000</v>
      </c>
      <c r="CV2285">
        <v>315000</v>
      </c>
      <c r="CX2285" t="s">
        <v>707</v>
      </c>
      <c r="CZ2285" s="1">
        <v>39539</v>
      </c>
      <c r="DA2285">
        <v>0</v>
      </c>
      <c r="DD2285" t="s">
        <v>11749</v>
      </c>
      <c r="DG2285">
        <v>24</v>
      </c>
      <c r="DL2285">
        <v>50202</v>
      </c>
      <c r="DM2285" t="s">
        <v>15205</v>
      </c>
      <c r="DO2285" t="s">
        <v>22012</v>
      </c>
      <c r="DP2285">
        <v>0</v>
      </c>
      <c r="DQ2285">
        <v>8</v>
      </c>
      <c r="DR2285" t="s">
        <v>1174</v>
      </c>
      <c r="DS2285" t="b">
        <v>1</v>
      </c>
      <c r="DT2285" t="s">
        <v>470</v>
      </c>
      <c r="DU2285" t="s">
        <v>471</v>
      </c>
      <c r="DV2285" t="s">
        <v>472</v>
      </c>
      <c r="DX2285">
        <v>-9999</v>
      </c>
      <c r="DZ2285" t="s">
        <v>447</v>
      </c>
      <c r="EA2285" t="s">
        <v>448</v>
      </c>
      <c r="EB2285" t="s">
        <v>14787</v>
      </c>
      <c r="EC2285">
        <v>20101217</v>
      </c>
      <c r="ED2285" t="s">
        <v>474</v>
      </c>
      <c r="EF2285">
        <v>658.7</v>
      </c>
      <c r="EG2285">
        <v>525.1</v>
      </c>
      <c r="EI2285">
        <v>20160407</v>
      </c>
      <c r="EJ2285">
        <v>0</v>
      </c>
      <c r="EK2285">
        <v>2</v>
      </c>
      <c r="EP2285" t="s">
        <v>421</v>
      </c>
      <c r="EQ2285" t="s">
        <v>422</v>
      </c>
      <c r="ER2285">
        <v>2</v>
      </c>
      <c r="ES2285">
        <v>6</v>
      </c>
      <c r="ET2285">
        <v>4522.4399999999996</v>
      </c>
      <c r="EU2285">
        <v>238.62</v>
      </c>
      <c r="EV2285">
        <v>4761.0600000000004</v>
      </c>
      <c r="EW2285" s="2">
        <v>43222</v>
      </c>
      <c r="EX2285" s="1">
        <v>42879</v>
      </c>
      <c r="EY2285">
        <v>2016</v>
      </c>
      <c r="EZ2285">
        <v>2261.2199999999998</v>
      </c>
      <c r="FA2285" t="s">
        <v>22013</v>
      </c>
      <c r="FB2285">
        <v>0.25</v>
      </c>
      <c r="FC2285" t="s">
        <v>424</v>
      </c>
      <c r="FD2285" t="s">
        <v>454</v>
      </c>
      <c r="FF2285">
        <v>12</v>
      </c>
      <c r="FG2285">
        <v>7336671</v>
      </c>
      <c r="FH2285" t="s">
        <v>437</v>
      </c>
      <c r="FJ2285" s="1">
        <v>42879</v>
      </c>
      <c r="FK2285">
        <v>2016</v>
      </c>
      <c r="FL2285">
        <v>2261.2199999999998</v>
      </c>
      <c r="FM2285" t="s">
        <v>22013</v>
      </c>
      <c r="FN2285">
        <v>0.25</v>
      </c>
      <c r="FO2285" t="s">
        <v>424</v>
      </c>
      <c r="FP2285" t="s">
        <v>454</v>
      </c>
      <c r="FR2285">
        <v>12</v>
      </c>
      <c r="FS2285">
        <v>5221379</v>
      </c>
      <c r="FT2285" t="s">
        <v>22014</v>
      </c>
      <c r="FV2285" s="1">
        <v>42515</v>
      </c>
      <c r="FW2285">
        <v>2015</v>
      </c>
      <c r="FX2285">
        <v>2317.16</v>
      </c>
      <c r="FY2285" t="s">
        <v>22015</v>
      </c>
      <c r="FZ2285">
        <v>0.25</v>
      </c>
      <c r="GA2285" t="s">
        <v>424</v>
      </c>
      <c r="GB2285" t="s">
        <v>425</v>
      </c>
      <c r="GC2285" s="1">
        <v>43166</v>
      </c>
      <c r="GD2285">
        <v>22</v>
      </c>
      <c r="GE2285">
        <v>2851116</v>
      </c>
      <c r="GF2285" t="s">
        <v>480</v>
      </c>
      <c r="GH2285" s="1">
        <v>42515</v>
      </c>
      <c r="GI2285">
        <v>2015</v>
      </c>
      <c r="GJ2285">
        <v>2317.16</v>
      </c>
      <c r="GK2285" t="s">
        <v>22015</v>
      </c>
      <c r="GL2285">
        <v>0.25</v>
      </c>
      <c r="GM2285" t="s">
        <v>424</v>
      </c>
      <c r="GN2285" t="s">
        <v>425</v>
      </c>
      <c r="GP2285">
        <v>22</v>
      </c>
      <c r="GQ2285">
        <v>5497797</v>
      </c>
      <c r="GR2285" t="s">
        <v>22016</v>
      </c>
      <c r="GT2285" s="1">
        <v>42151</v>
      </c>
      <c r="GU2285">
        <v>2014</v>
      </c>
      <c r="GV2285">
        <v>3429.45</v>
      </c>
      <c r="GW2285" t="s">
        <v>22017</v>
      </c>
      <c r="GX2285">
        <v>0.25</v>
      </c>
      <c r="GY2285" t="s">
        <v>424</v>
      </c>
      <c r="GZ2285" t="s">
        <v>425</v>
      </c>
      <c r="HB2285">
        <v>22</v>
      </c>
      <c r="HC2285">
        <v>15259</v>
      </c>
      <c r="HD2285" t="s">
        <v>891</v>
      </c>
      <c r="HF2285" s="1">
        <v>42151</v>
      </c>
      <c r="HG2285">
        <v>2014</v>
      </c>
      <c r="HH2285">
        <v>3429.45</v>
      </c>
      <c r="HI2285" t="s">
        <v>22017</v>
      </c>
      <c r="HJ2285">
        <v>0.25</v>
      </c>
      <c r="HK2285" t="s">
        <v>424</v>
      </c>
      <c r="HL2285" t="s">
        <v>425</v>
      </c>
      <c r="HN2285">
        <v>22</v>
      </c>
      <c r="HO2285">
        <v>6925801</v>
      </c>
      <c r="HP2285" t="s">
        <v>22018</v>
      </c>
      <c r="HR2285" s="1">
        <v>42151</v>
      </c>
      <c r="HS2285">
        <v>2014</v>
      </c>
      <c r="HT2285">
        <v>3429.45</v>
      </c>
      <c r="HU2285" t="s">
        <v>22017</v>
      </c>
      <c r="HV2285">
        <v>0.25</v>
      </c>
      <c r="HW2285" t="s">
        <v>424</v>
      </c>
      <c r="HX2285" t="s">
        <v>425</v>
      </c>
      <c r="HY2285" s="1">
        <v>42465</v>
      </c>
      <c r="HZ2285">
        <v>11</v>
      </c>
      <c r="IA2285">
        <v>7045049</v>
      </c>
      <c r="IB2285" t="s">
        <v>1335</v>
      </c>
      <c r="ID2285" s="1">
        <v>41787</v>
      </c>
      <c r="IE2285">
        <v>2013</v>
      </c>
      <c r="IF2285">
        <v>3288.2</v>
      </c>
      <c r="IG2285" t="s">
        <v>22019</v>
      </c>
      <c r="IH2285">
        <v>0.25</v>
      </c>
      <c r="II2285" t="s">
        <v>424</v>
      </c>
      <c r="IJ2285" t="s">
        <v>425</v>
      </c>
      <c r="IK2285" s="1">
        <v>42353</v>
      </c>
      <c r="IL2285">
        <v>19</v>
      </c>
      <c r="IM2285">
        <v>2851116</v>
      </c>
      <c r="IN2285" t="s">
        <v>480</v>
      </c>
    </row>
    <row r="2286" spans="1:260" x14ac:dyDescent="0.25">
      <c r="A2286">
        <v>16487293</v>
      </c>
      <c r="B2286">
        <v>2285</v>
      </c>
      <c r="C2286" t="s">
        <v>393</v>
      </c>
      <c r="D2286" t="s">
        <v>394</v>
      </c>
      <c r="F2286" t="str">
        <f>"00-00-31-1800-0309-0032"</f>
        <v>00-00-31-1800-0309-0032</v>
      </c>
      <c r="H2286" t="str">
        <f>"GAGE SCOTT MICHAEL &amp; GAGE CARLA SUSAN (H&amp;W)"</f>
        <v>GAGE SCOTT MICHAEL &amp; GAGE CARLA SUSAN (H&amp;W)</v>
      </c>
      <c r="I2286" t="str">
        <f>"4901 E WINDRIDGE AVE"</f>
        <v>4901 E WINDRIDGE AVE</v>
      </c>
      <c r="J2286" t="str">
        <f>"WASILLA AK 99654"</f>
        <v>WASILLA AK 99654</v>
      </c>
      <c r="K2286" t="str">
        <f>"1335 S 8TH ST"</f>
        <v>1335 S 8TH ST</v>
      </c>
      <c r="L2286" t="str">
        <f t="shared" si="846"/>
        <v>FERNANDINA BEACH FL 32034</v>
      </c>
      <c r="M2286" t="str">
        <f>"BLOCK 309 PT OF LOTS 3 4 5 &amp; 6 W OF HWY IN OR 2134/1836 CITY OF FDNA BEACH"</f>
        <v>BLOCK 309 PT OF LOTS 3 4 5 &amp; 6 W OF HWY IN OR 2134/1836 CITY OF FDNA BEACH</v>
      </c>
      <c r="N2286" t="str">
        <f>""</f>
        <v/>
      </c>
      <c r="O2286" t="str">
        <f>"13399"</f>
        <v>13399</v>
      </c>
      <c r="P2286" t="str">
        <f t="shared" si="840"/>
        <v>2017</v>
      </c>
      <c r="Q2286" t="str">
        <f>""</f>
        <v/>
      </c>
      <c r="R2286" t="str">
        <f>"N"</f>
        <v>N</v>
      </c>
      <c r="S2286" t="str">
        <f>""</f>
        <v/>
      </c>
      <c r="T2286" t="str">
        <f>"2134.11"</f>
        <v>2134.11</v>
      </c>
      <c r="U2286" t="str">
        <f>"138664.00"</f>
        <v>138664.00</v>
      </c>
      <c r="V2286" t="str">
        <f>"138664.00"</f>
        <v>138664.00</v>
      </c>
      <c r="W2286" t="str">
        <f t="shared" si="841"/>
        <v>2017</v>
      </c>
      <c r="X2286" t="str">
        <f>""</f>
        <v/>
      </c>
      <c r="Y2286" t="str">
        <f>"2230.13"</f>
        <v>2230.13</v>
      </c>
      <c r="Z2286" t="str">
        <f>""</f>
        <v/>
      </c>
      <c r="AA2286" t="str">
        <f>"138664.00"</f>
        <v>138664.00</v>
      </c>
      <c r="AB2286" t="str">
        <f>"Commercial"</f>
        <v>Commercial</v>
      </c>
      <c r="AC2286" t="str">
        <f t="shared" si="849"/>
        <v>0</v>
      </c>
      <c r="AD2286" t="str">
        <f>"3"</f>
        <v>3</v>
      </c>
      <c r="AE2286" t="str">
        <f>"MASONRY"</f>
        <v>MASONRY</v>
      </c>
      <c r="AF2286" t="str">
        <f>"017"</f>
        <v>017</v>
      </c>
      <c r="AG2286" t="str">
        <f>"AK"</f>
        <v>AK</v>
      </c>
      <c r="AH2286" t="str">
        <f>"13000.00"</f>
        <v>13000.00</v>
      </c>
      <c r="AI2286" t="str">
        <f>"52000.00"</f>
        <v>52000.00</v>
      </c>
      <c r="AJ2286" t="str">
        <f>"C55-000-586-0757-3"</f>
        <v>C55-000-586-0757-3</v>
      </c>
      <c r="AK2286" t="str">
        <f>"50319"</f>
        <v>50319</v>
      </c>
      <c r="AL2286">
        <v>8</v>
      </c>
      <c r="AM2286">
        <v>2613</v>
      </c>
      <c r="AN2286">
        <v>2340.04</v>
      </c>
      <c r="AQ2286" t="s">
        <v>22020</v>
      </c>
      <c r="AR2286" t="s">
        <v>22020</v>
      </c>
      <c r="AS2286" t="s">
        <v>22020</v>
      </c>
      <c r="AU2286" t="s">
        <v>396</v>
      </c>
      <c r="AV2286">
        <v>2017</v>
      </c>
      <c r="AW2286" t="str">
        <f>"00-00-31-1800-0309-0032 "</f>
        <v xml:space="preserve">00-00-31-1800-0309-0032 </v>
      </c>
      <c r="AX2286">
        <v>1335</v>
      </c>
      <c r="AY2286" t="s">
        <v>18674</v>
      </c>
      <c r="AZ2286" t="s">
        <v>18673</v>
      </c>
      <c r="BA2286" t="s">
        <v>1942</v>
      </c>
      <c r="BD2286" t="s">
        <v>11749</v>
      </c>
      <c r="BE2286" t="s">
        <v>393</v>
      </c>
      <c r="BF2286">
        <v>32034</v>
      </c>
      <c r="BG2286" t="s">
        <v>22021</v>
      </c>
      <c r="BH2286" t="s">
        <v>11751</v>
      </c>
      <c r="BI2286">
        <v>-81.4609662908166</v>
      </c>
      <c r="BJ2286">
        <v>30.653385386474501</v>
      </c>
      <c r="BK2286" t="s">
        <v>22022</v>
      </c>
      <c r="BL2286" t="s">
        <v>22023</v>
      </c>
      <c r="BM2286" t="s">
        <v>22024</v>
      </c>
      <c r="BN2286" t="s">
        <v>22025</v>
      </c>
      <c r="BO2286">
        <v>99654</v>
      </c>
      <c r="BP2286" t="s">
        <v>404</v>
      </c>
      <c r="BQ2286">
        <v>1700</v>
      </c>
      <c r="BR2286" t="s">
        <v>3686</v>
      </c>
      <c r="BS2286">
        <v>3003</v>
      </c>
      <c r="BT2286" t="s">
        <v>3687</v>
      </c>
      <c r="BW2286">
        <v>11975</v>
      </c>
      <c r="BX2286" t="s">
        <v>407</v>
      </c>
      <c r="BY2286" t="s">
        <v>4413</v>
      </c>
      <c r="BZ2286">
        <v>3</v>
      </c>
      <c r="CA2286">
        <v>1971</v>
      </c>
      <c r="CB2286">
        <v>1</v>
      </c>
      <c r="CD2286">
        <v>2017</v>
      </c>
      <c r="CE2286">
        <v>52000</v>
      </c>
      <c r="CF2286">
        <v>86664</v>
      </c>
      <c r="CG2286">
        <v>138664</v>
      </c>
      <c r="CH2286">
        <v>2017</v>
      </c>
      <c r="CI2286">
        <v>52000</v>
      </c>
      <c r="CJ2286">
        <v>86664</v>
      </c>
      <c r="CK2286">
        <v>138664</v>
      </c>
      <c r="CL2286">
        <v>2017</v>
      </c>
      <c r="CM2286">
        <v>2134.11</v>
      </c>
      <c r="CN2286" s="1">
        <v>42937</v>
      </c>
      <c r="CO2286">
        <v>350000</v>
      </c>
      <c r="CV2286">
        <v>280000</v>
      </c>
      <c r="CX2286" t="s">
        <v>707</v>
      </c>
      <c r="CZ2286" s="1">
        <v>42937</v>
      </c>
      <c r="DA2286">
        <v>0</v>
      </c>
      <c r="DD2286" t="s">
        <v>11749</v>
      </c>
      <c r="DG2286">
        <v>24</v>
      </c>
      <c r="DL2286">
        <v>50202</v>
      </c>
      <c r="DM2286" t="s">
        <v>15205</v>
      </c>
      <c r="DO2286" t="s">
        <v>22026</v>
      </c>
      <c r="DP2286">
        <v>0</v>
      </c>
      <c r="DQ2286">
        <v>1</v>
      </c>
      <c r="DR2286" t="s">
        <v>1479</v>
      </c>
    </row>
    <row r="2287" spans="1:260" x14ac:dyDescent="0.25">
      <c r="A2287">
        <v>16487294</v>
      </c>
      <c r="B2287">
        <v>2286</v>
      </c>
      <c r="C2287" t="s">
        <v>393</v>
      </c>
      <c r="D2287" t="s">
        <v>394</v>
      </c>
      <c r="F2287" t="str">
        <f>"00-00-31-1800-0310-0050"</f>
        <v>00-00-31-1800-0310-0050</v>
      </c>
      <c r="H2287" t="str">
        <f>"BRAND JANICE"</f>
        <v>BRAND JANICE</v>
      </c>
      <c r="I2287" t="str">
        <f>"3163 GLENRIDGE DR"</f>
        <v>3163 GLENRIDGE DR</v>
      </c>
      <c r="J2287" t="str">
        <f>"PALM HARBOR FL 34685"</f>
        <v>PALM HARBOR FL 34685</v>
      </c>
      <c r="K2287" t="str">
        <f>"CLINCH DR"</f>
        <v>CLINCH DR</v>
      </c>
      <c r="L2287" t="str">
        <f t="shared" si="846"/>
        <v>FERNANDINA BEACH FL 32034</v>
      </c>
      <c r="M2287" t="str">
        <f>"BLOCK 310 LOT 5 (W OF RR) IN OR 1891/1354 CITY OF FDNA BEACH"</f>
        <v>BLOCK 310 LOT 5 (W OF RR) IN OR 1891/1354 CITY OF FDNA BEACH</v>
      </c>
      <c r="N2287" t="str">
        <f>""</f>
        <v/>
      </c>
      <c r="O2287" t="str">
        <f>"13406"</f>
        <v>13406</v>
      </c>
      <c r="P2287" t="str">
        <f t="shared" si="840"/>
        <v>2017</v>
      </c>
      <c r="Q2287" t="str">
        <f>""</f>
        <v/>
      </c>
      <c r="R2287" t="str">
        <f>"N"</f>
        <v>N</v>
      </c>
      <c r="S2287" t="str">
        <f>""</f>
        <v/>
      </c>
      <c r="T2287" t="str">
        <f>"282.00"</f>
        <v>282.00</v>
      </c>
      <c r="U2287" t="str">
        <f>"15188.00"</f>
        <v>15188.00</v>
      </c>
      <c r="V2287" t="str">
        <f>"15188.00"</f>
        <v>15188.00</v>
      </c>
      <c r="W2287" t="str">
        <f t="shared" si="841"/>
        <v>2017</v>
      </c>
      <c r="X2287" t="str">
        <f>"20.11"</f>
        <v>20.11</v>
      </c>
      <c r="Y2287" t="str">
        <f>"322.46"</f>
        <v>322.46</v>
      </c>
      <c r="Z2287" t="str">
        <f>""</f>
        <v/>
      </c>
      <c r="AA2287" t="str">
        <f>"22500.00"</f>
        <v>22500.00</v>
      </c>
      <c r="AB2287" t="str">
        <f>"Residential"</f>
        <v>Residential</v>
      </c>
      <c r="AC2287" t="str">
        <f t="shared" si="849"/>
        <v>0</v>
      </c>
      <c r="AD2287" t="str">
        <f>""</f>
        <v/>
      </c>
      <c r="AE2287" t="str">
        <f>""</f>
        <v/>
      </c>
      <c r="AF2287" t="str">
        <f>"000"</f>
        <v>000</v>
      </c>
      <c r="AG2287" t="str">
        <f t="shared" ref="AG2287:AG2296" si="853">"FL"</f>
        <v>FL</v>
      </c>
      <c r="AH2287" t="str">
        <f>"10000.00"</f>
        <v>10000.00</v>
      </c>
      <c r="AI2287" t="str">
        <f>"22500.00"</f>
        <v>22500.00</v>
      </c>
      <c r="AJ2287" t="str">
        <f>"C55-000-586-0764-9"</f>
        <v>C55-000-586-0764-9</v>
      </c>
      <c r="AK2287" t="str">
        <f>"50326"</f>
        <v>50326</v>
      </c>
      <c r="AL2287">
        <v>8</v>
      </c>
      <c r="AM2287">
        <v>2614</v>
      </c>
      <c r="AN2287">
        <v>336.98</v>
      </c>
      <c r="AQ2287" t="s">
        <v>22027</v>
      </c>
      <c r="AR2287" t="s">
        <v>22027</v>
      </c>
      <c r="AS2287" t="s">
        <v>22027</v>
      </c>
      <c r="AU2287" t="s">
        <v>396</v>
      </c>
      <c r="AV2287">
        <v>2017</v>
      </c>
      <c r="AW2287" t="str">
        <f>"00-00-31-1800-0310-0050 "</f>
        <v xml:space="preserve">00-00-31-1800-0310-0050 </v>
      </c>
      <c r="AZ2287" t="s">
        <v>19024</v>
      </c>
      <c r="BA2287" t="s">
        <v>669</v>
      </c>
      <c r="BD2287" t="s">
        <v>11749</v>
      </c>
      <c r="BE2287" t="s">
        <v>393</v>
      </c>
      <c r="BF2287">
        <v>32034</v>
      </c>
      <c r="BG2287" t="s">
        <v>19416</v>
      </c>
      <c r="BH2287" t="s">
        <v>11751</v>
      </c>
      <c r="BI2287">
        <v>-81.4617178257474</v>
      </c>
      <c r="BJ2287">
        <v>30.653380758849899</v>
      </c>
      <c r="BK2287" t="s">
        <v>21493</v>
      </c>
      <c r="BM2287" t="s">
        <v>21494</v>
      </c>
      <c r="BN2287" t="s">
        <v>1222</v>
      </c>
      <c r="BO2287">
        <v>34685</v>
      </c>
      <c r="BP2287" t="s">
        <v>404</v>
      </c>
      <c r="BQ2287">
        <v>0</v>
      </c>
      <c r="BR2287" t="s">
        <v>491</v>
      </c>
      <c r="BS2287">
        <v>8001</v>
      </c>
      <c r="BT2287" t="s">
        <v>492</v>
      </c>
      <c r="BU2287">
        <v>1000</v>
      </c>
      <c r="BV2287">
        <v>1000</v>
      </c>
      <c r="BW2287">
        <v>10146</v>
      </c>
      <c r="BX2287" t="s">
        <v>407</v>
      </c>
      <c r="CD2287">
        <v>2017</v>
      </c>
      <c r="CE2287">
        <v>22500</v>
      </c>
      <c r="CG2287">
        <v>22500</v>
      </c>
      <c r="CH2287">
        <v>2017</v>
      </c>
      <c r="CI2287">
        <v>22500</v>
      </c>
      <c r="CK2287">
        <v>22500</v>
      </c>
      <c r="CL2287">
        <v>2017</v>
      </c>
      <c r="CM2287">
        <v>282</v>
      </c>
      <c r="CN2287" s="1">
        <v>41591</v>
      </c>
      <c r="CZ2287" s="1">
        <v>41591</v>
      </c>
      <c r="DD2287" t="s">
        <v>11749</v>
      </c>
      <c r="DF2287">
        <v>5</v>
      </c>
      <c r="DG2287">
        <v>24</v>
      </c>
      <c r="DL2287">
        <v>50202</v>
      </c>
      <c r="DM2287" t="s">
        <v>15205</v>
      </c>
      <c r="DO2287" t="s">
        <v>22028</v>
      </c>
      <c r="DP2287">
        <v>0</v>
      </c>
      <c r="DQ2287">
        <v>1</v>
      </c>
      <c r="DR2287" t="s">
        <v>411</v>
      </c>
      <c r="DS2287" t="s">
        <v>695</v>
      </c>
      <c r="EJ2287">
        <v>0</v>
      </c>
      <c r="EK2287">
        <v>0</v>
      </c>
      <c r="EP2287" t="s">
        <v>421</v>
      </c>
      <c r="EQ2287" t="s">
        <v>422</v>
      </c>
      <c r="ER2287">
        <v>0</v>
      </c>
      <c r="ES2287">
        <v>5</v>
      </c>
      <c r="ET2287">
        <v>0</v>
      </c>
      <c r="EU2287">
        <v>0</v>
      </c>
      <c r="EV2287">
        <v>0</v>
      </c>
      <c r="EW2287" s="2">
        <v>43222</v>
      </c>
      <c r="EX2287" s="1">
        <v>42151</v>
      </c>
      <c r="EY2287">
        <v>2014</v>
      </c>
      <c r="EZ2287">
        <v>260.26</v>
      </c>
      <c r="FA2287" t="s">
        <v>22029</v>
      </c>
      <c r="FB2287">
        <v>15.5</v>
      </c>
      <c r="FC2287" t="s">
        <v>424</v>
      </c>
      <c r="FD2287" t="s">
        <v>425</v>
      </c>
      <c r="FE2287" s="1">
        <v>42774</v>
      </c>
      <c r="FF2287">
        <v>21</v>
      </c>
      <c r="FG2287">
        <v>10003</v>
      </c>
      <c r="FH2287" t="s">
        <v>4341</v>
      </c>
      <c r="FJ2287" s="1">
        <v>41787</v>
      </c>
      <c r="FK2287">
        <v>2013</v>
      </c>
      <c r="FL2287">
        <v>247.57</v>
      </c>
      <c r="FM2287" t="s">
        <v>22030</v>
      </c>
      <c r="FN2287">
        <v>12</v>
      </c>
      <c r="FO2287" t="s">
        <v>424</v>
      </c>
      <c r="FP2287" t="s">
        <v>425</v>
      </c>
      <c r="FQ2287" s="1">
        <v>42062</v>
      </c>
      <c r="FR2287">
        <v>9</v>
      </c>
      <c r="FS2287">
        <v>10125</v>
      </c>
      <c r="FT2287" t="s">
        <v>440</v>
      </c>
      <c r="FV2287" s="1">
        <v>41423</v>
      </c>
      <c r="FW2287">
        <v>2012</v>
      </c>
      <c r="FX2287">
        <v>250.31</v>
      </c>
      <c r="FY2287" t="s">
        <v>22031</v>
      </c>
      <c r="FZ2287">
        <v>3.25</v>
      </c>
      <c r="GA2287" t="s">
        <v>424</v>
      </c>
      <c r="GB2287" t="s">
        <v>425</v>
      </c>
      <c r="GC2287" s="1">
        <v>42053</v>
      </c>
      <c r="GD2287">
        <v>21</v>
      </c>
      <c r="GE2287">
        <v>10125</v>
      </c>
      <c r="GF2287" t="s">
        <v>440</v>
      </c>
      <c r="GH2287" s="1">
        <v>41052</v>
      </c>
      <c r="GI2287">
        <v>2011</v>
      </c>
      <c r="GJ2287">
        <v>414.18</v>
      </c>
      <c r="GK2287" t="s">
        <v>22032</v>
      </c>
      <c r="GL2287">
        <v>6.75</v>
      </c>
      <c r="GM2287" t="s">
        <v>424</v>
      </c>
      <c r="GN2287" t="s">
        <v>425</v>
      </c>
      <c r="GO2287" s="1">
        <v>41730</v>
      </c>
      <c r="GP2287">
        <v>23</v>
      </c>
      <c r="GQ2287">
        <v>10125</v>
      </c>
      <c r="GR2287" t="s">
        <v>440</v>
      </c>
      <c r="GT2287" s="1">
        <v>40688</v>
      </c>
      <c r="GU2287">
        <v>2010</v>
      </c>
      <c r="GV2287">
        <v>415.16</v>
      </c>
      <c r="GW2287" t="s">
        <v>22033</v>
      </c>
      <c r="GX2287">
        <v>5</v>
      </c>
      <c r="GY2287" t="s">
        <v>424</v>
      </c>
      <c r="GZ2287" t="s">
        <v>425</v>
      </c>
      <c r="HA2287" s="1">
        <v>41330</v>
      </c>
      <c r="HB2287">
        <v>21</v>
      </c>
      <c r="HC2287">
        <v>10003</v>
      </c>
      <c r="HD2287" t="s">
        <v>4341</v>
      </c>
    </row>
    <row r="2288" spans="1:260" x14ac:dyDescent="0.25">
      <c r="A2288">
        <v>16487295</v>
      </c>
      <c r="B2288">
        <v>2287</v>
      </c>
      <c r="C2288" t="s">
        <v>393</v>
      </c>
      <c r="D2288" t="s">
        <v>394</v>
      </c>
      <c r="F2288" t="str">
        <f>"20-3N-24-2020-0046-0000"</f>
        <v>20-3N-24-2020-0046-0000</v>
      </c>
      <c r="H2288" t="str">
        <f>"HODGES WILL RANDALL &amp; LISA K &amp; HODGES ISOM ZANE"</f>
        <v>HODGES WILL RANDALL &amp; LISA K &amp; HODGES ISOM ZANE</v>
      </c>
      <c r="I2288" t="str">
        <f>"15595 COUNTY ROAD 108"</f>
        <v>15595 COUNTY ROAD 108</v>
      </c>
      <c r="J2288" t="str">
        <f>"HILLIARD FL 32046"</f>
        <v>HILLIARD FL 32046</v>
      </c>
      <c r="K2288" t="str">
        <f>"15595 CR 108"</f>
        <v>15595 CR 108</v>
      </c>
      <c r="L2288" t="str">
        <f>"HILLIARD FL 32046"</f>
        <v>HILLIARD FL 32046</v>
      </c>
      <c r="M2288" t="str">
        <f>"LOT 46 IN OR 1195/801 1997 WEST SW/MH &amp; 1985 SHOW SW/MH CORNWALL SURVEY"</f>
        <v>LOT 46 IN OR 1195/801 1997 WEST SW/MH &amp; 1985 SHOW SW/MH CORNWALL SURVEY</v>
      </c>
      <c r="N2288" t="str">
        <f>""</f>
        <v/>
      </c>
      <c r="O2288" t="str">
        <f>"33244"</f>
        <v>33244</v>
      </c>
      <c r="P2288" t="str">
        <f>"2016"</f>
        <v>2016</v>
      </c>
      <c r="Q2288" t="str">
        <f>""</f>
        <v/>
      </c>
      <c r="R2288" t="str">
        <f t="shared" ref="R2288:R2296" si="854">"Y"</f>
        <v>Y</v>
      </c>
      <c r="S2288" t="str">
        <f>"10.00"</f>
        <v>10.00</v>
      </c>
      <c r="T2288" t="str">
        <f>"421.71"</f>
        <v>421.71</v>
      </c>
      <c r="U2288" t="str">
        <f>"52007.00"</f>
        <v>52007.00</v>
      </c>
      <c r="V2288" t="str">
        <f>"52007.00"</f>
        <v>52007.00</v>
      </c>
      <c r="W2288" t="str">
        <f t="shared" si="841"/>
        <v>2017</v>
      </c>
      <c r="X2288" t="str">
        <f>"7.67"</f>
        <v>7.67</v>
      </c>
      <c r="Y2288" t="str">
        <f>"497.89"</f>
        <v>497.89</v>
      </c>
      <c r="Z2288" t="str">
        <f t="shared" ref="Z2288:Z2296" si="855">"25000.00"</f>
        <v>25000.00</v>
      </c>
      <c r="AA2288" t="str">
        <f>"28956.00"</f>
        <v>28956.00</v>
      </c>
      <c r="AB2288" t="str">
        <f>"Agricultural"</f>
        <v>Agricultural</v>
      </c>
      <c r="AC2288" t="str">
        <f t="shared" si="849"/>
        <v>0</v>
      </c>
      <c r="AD2288" t="str">
        <f t="shared" ref="AD2288:AD2296" si="856">"4"</f>
        <v>4</v>
      </c>
      <c r="AE2288" t="str">
        <f t="shared" ref="AE2288:AE2296" si="857">"WOOD (INCLUDE STEEL STUDS)"</f>
        <v>WOOD (INCLUDE STEEL STUDS)</v>
      </c>
      <c r="AF2288" t="str">
        <f>"050"</f>
        <v>050</v>
      </c>
      <c r="AG2288" t="str">
        <f t="shared" si="853"/>
        <v>FL</v>
      </c>
      <c r="AH2288" t="str">
        <f>"435600.00"</f>
        <v>435600.00</v>
      </c>
      <c r="AI2288" t="str">
        <f>"32320.00"</f>
        <v>32320.00</v>
      </c>
      <c r="AJ2288" t="str">
        <f>"C55-000-587-2649-8"</f>
        <v>C55-000-587-2649-8</v>
      </c>
      <c r="AK2288" t="str">
        <f>"7750"</f>
        <v>7750</v>
      </c>
      <c r="AL2288">
        <v>8</v>
      </c>
      <c r="AM2288">
        <v>2615</v>
      </c>
      <c r="AN2288">
        <v>521.17999999999995</v>
      </c>
      <c r="AQ2288" t="s">
        <v>5586</v>
      </c>
      <c r="AR2288" t="s">
        <v>5586</v>
      </c>
      <c r="AS2288" t="s">
        <v>5586</v>
      </c>
      <c r="AU2288" t="s">
        <v>396</v>
      </c>
      <c r="AV2288">
        <v>2017</v>
      </c>
      <c r="AW2288" t="str">
        <f>"20-3N-24-2020-0046-0000 "</f>
        <v xml:space="preserve">20-3N-24-2020-0046-0000 </v>
      </c>
      <c r="AX2288">
        <v>15595</v>
      </c>
      <c r="AZ2288" t="s">
        <v>1206</v>
      </c>
      <c r="BD2288" t="s">
        <v>398</v>
      </c>
      <c r="BE2288" t="s">
        <v>393</v>
      </c>
      <c r="BF2288">
        <v>32046</v>
      </c>
      <c r="BG2288" t="s">
        <v>5587</v>
      </c>
      <c r="BH2288" t="s">
        <v>400</v>
      </c>
      <c r="BI2288">
        <v>-81.927164252324104</v>
      </c>
      <c r="BJ2288">
        <v>30.656496612699499</v>
      </c>
      <c r="BK2288" t="s">
        <v>22034</v>
      </c>
      <c r="BL2288" t="s">
        <v>22035</v>
      </c>
      <c r="BM2288" t="s">
        <v>22036</v>
      </c>
      <c r="BN2288" t="s">
        <v>403</v>
      </c>
      <c r="BO2288">
        <v>32046</v>
      </c>
      <c r="BP2288" t="s">
        <v>416</v>
      </c>
      <c r="BQ2288">
        <v>5000</v>
      </c>
      <c r="BR2288" t="s">
        <v>664</v>
      </c>
      <c r="BS2288">
        <v>7000</v>
      </c>
      <c r="BT2288" t="s">
        <v>665</v>
      </c>
      <c r="BW2288">
        <v>435600</v>
      </c>
      <c r="BX2288" t="s">
        <v>407</v>
      </c>
      <c r="BZ2288">
        <v>4</v>
      </c>
      <c r="CA2288">
        <v>1997</v>
      </c>
      <c r="CB2288">
        <v>1</v>
      </c>
      <c r="CC2288">
        <v>2</v>
      </c>
      <c r="CD2288">
        <v>2017</v>
      </c>
      <c r="CG2288">
        <v>53956</v>
      </c>
      <c r="CH2288">
        <v>2017</v>
      </c>
      <c r="CI2288">
        <v>32320</v>
      </c>
      <c r="CJ2288">
        <v>96883</v>
      </c>
      <c r="CK2288">
        <v>129203</v>
      </c>
      <c r="CL2288">
        <v>2017</v>
      </c>
      <c r="CM2288">
        <v>421.71</v>
      </c>
      <c r="CN2288" s="1">
        <v>37971</v>
      </c>
      <c r="CZ2288" s="1">
        <v>37971</v>
      </c>
      <c r="DD2288" t="s">
        <v>398</v>
      </c>
      <c r="DF2288">
        <v>46</v>
      </c>
      <c r="DG2288">
        <v>20</v>
      </c>
      <c r="DL2288">
        <v>50400</v>
      </c>
      <c r="DM2288" t="s">
        <v>5564</v>
      </c>
      <c r="DO2288" t="s">
        <v>5590</v>
      </c>
      <c r="DP2288">
        <v>0</v>
      </c>
      <c r="DQ2288">
        <v>0</v>
      </c>
      <c r="DR2288" t="s">
        <v>411</v>
      </c>
      <c r="DS2288" t="b">
        <v>1</v>
      </c>
      <c r="DT2288" t="s">
        <v>470</v>
      </c>
      <c r="DU2288" t="s">
        <v>471</v>
      </c>
      <c r="DV2288" t="s">
        <v>472</v>
      </c>
      <c r="DX2288">
        <v>-9999</v>
      </c>
      <c r="DZ2288" t="s">
        <v>447</v>
      </c>
      <c r="EA2288" t="s">
        <v>448</v>
      </c>
      <c r="EB2288" t="s">
        <v>1224</v>
      </c>
      <c r="EC2288">
        <v>20101217</v>
      </c>
      <c r="ED2288" t="s">
        <v>474</v>
      </c>
      <c r="EF2288">
        <v>1570.9</v>
      </c>
      <c r="EG2288">
        <v>1570.9</v>
      </c>
      <c r="EI2288">
        <v>20160407</v>
      </c>
      <c r="EJ2288">
        <v>0</v>
      </c>
      <c r="EK2288">
        <v>0</v>
      </c>
      <c r="EP2288" t="s">
        <v>421</v>
      </c>
      <c r="EQ2288" t="s">
        <v>422</v>
      </c>
      <c r="ER2288">
        <v>0</v>
      </c>
      <c r="ES2288">
        <v>3</v>
      </c>
      <c r="ET2288">
        <v>0</v>
      </c>
      <c r="EU2288">
        <v>0</v>
      </c>
      <c r="EV2288">
        <v>0</v>
      </c>
      <c r="EW2288" s="2">
        <v>43222</v>
      </c>
      <c r="EX2288" s="1">
        <v>41787</v>
      </c>
      <c r="EY2288">
        <v>2013</v>
      </c>
      <c r="EZ2288">
        <v>423</v>
      </c>
      <c r="FA2288" t="s">
        <v>5591</v>
      </c>
      <c r="FB2288">
        <v>0.25</v>
      </c>
      <c r="FC2288" t="s">
        <v>424</v>
      </c>
      <c r="FD2288" t="s">
        <v>425</v>
      </c>
      <c r="FE2288" s="1">
        <v>42090</v>
      </c>
      <c r="FF2288">
        <v>10</v>
      </c>
      <c r="FG2288">
        <v>2101382</v>
      </c>
      <c r="FH2288" t="s">
        <v>993</v>
      </c>
      <c r="FJ2288" s="1">
        <v>41423</v>
      </c>
      <c r="FK2288">
        <v>2012</v>
      </c>
      <c r="FL2288">
        <v>416.82</v>
      </c>
      <c r="FM2288" t="s">
        <v>5592</v>
      </c>
      <c r="FN2288">
        <v>3</v>
      </c>
      <c r="FO2288" t="s">
        <v>424</v>
      </c>
      <c r="FP2288" t="s">
        <v>425</v>
      </c>
      <c r="FQ2288" s="1">
        <v>41746</v>
      </c>
      <c r="FR2288">
        <v>11</v>
      </c>
      <c r="FS2288">
        <v>15407</v>
      </c>
      <c r="FT2288" t="s">
        <v>1134</v>
      </c>
      <c r="FV2288" s="1">
        <v>41052</v>
      </c>
      <c r="FW2288">
        <v>2011</v>
      </c>
      <c r="FX2288">
        <v>464.7</v>
      </c>
      <c r="FY2288" t="s">
        <v>5593</v>
      </c>
      <c r="FZ2288">
        <v>6</v>
      </c>
      <c r="GA2288" t="s">
        <v>424</v>
      </c>
      <c r="GB2288" t="s">
        <v>425</v>
      </c>
      <c r="GC2288" s="1">
        <v>41113</v>
      </c>
      <c r="GD2288">
        <v>2</v>
      </c>
      <c r="GE2288">
        <v>10125</v>
      </c>
      <c r="GF2288" t="s">
        <v>440</v>
      </c>
    </row>
    <row r="2289" spans="1:248" x14ac:dyDescent="0.25">
      <c r="A2289">
        <v>16487296</v>
      </c>
      <c r="B2289">
        <v>2288</v>
      </c>
      <c r="C2289" t="s">
        <v>393</v>
      </c>
      <c r="D2289" t="s">
        <v>394</v>
      </c>
      <c r="F2289" t="str">
        <f>"09-4N-24-0000-0002-0140"</f>
        <v>09-4N-24-0000-0002-0140</v>
      </c>
      <c r="H2289" t="str">
        <f>"EADY WILLIAM JR &amp; LISA"</f>
        <v>EADY WILLIAM JR &amp; LISA</v>
      </c>
      <c r="I2289" t="str">
        <f>"39313 KOLARS FERRY ROAD"</f>
        <v>39313 KOLARS FERRY ROAD</v>
      </c>
      <c r="J2289" t="str">
        <f>"HILLIARD FL 32046"</f>
        <v>HILLIARD FL 32046</v>
      </c>
      <c r="K2289" t="str">
        <f>"39313 KOLARS FERRY RD"</f>
        <v>39313 KOLARS FERRY RD</v>
      </c>
      <c r="L2289" t="str">
        <f>"HILLIARD FL 32046"</f>
        <v>HILLIARD FL 32046</v>
      </c>
      <c r="M2289" t="str">
        <f>"PT OF NE1/4 OF NE1/4 IN OR 855/1179 2001 MERT DW/MH"</f>
        <v>PT OF NE1/4 OF NE1/4 IN OR 855/1179 2001 MERT DW/MH</v>
      </c>
      <c r="N2289" t="str">
        <f>""</f>
        <v/>
      </c>
      <c r="O2289" t="str">
        <f>"25324"</f>
        <v>25324</v>
      </c>
      <c r="P2289" t="str">
        <f>"2016"</f>
        <v>2016</v>
      </c>
      <c r="Q2289" t="str">
        <f>""</f>
        <v/>
      </c>
      <c r="R2289" t="str">
        <f t="shared" si="854"/>
        <v>Y</v>
      </c>
      <c r="S2289" t="str">
        <f>"2.48"</f>
        <v>2.48</v>
      </c>
      <c r="T2289" t="str">
        <f>"452.15"</f>
        <v>452.15</v>
      </c>
      <c r="U2289" t="str">
        <f>"61166.00"</f>
        <v>61166.00</v>
      </c>
      <c r="V2289" t="str">
        <f>"61166.00"</f>
        <v>61166.00</v>
      </c>
      <c r="W2289" t="str">
        <f t="shared" si="841"/>
        <v>2017</v>
      </c>
      <c r="X2289" t="str">
        <f>"20.43"</f>
        <v>20.43</v>
      </c>
      <c r="Y2289" t="str">
        <f>"577.82"</f>
        <v>577.82</v>
      </c>
      <c r="Z2289" t="str">
        <f t="shared" si="855"/>
        <v>25000.00</v>
      </c>
      <c r="AA2289" t="str">
        <f>"36166.00"</f>
        <v>36166.00</v>
      </c>
      <c r="AB2289" t="str">
        <f t="shared" ref="AB2289:AB2296" si="858">"Residential"</f>
        <v>Residential</v>
      </c>
      <c r="AC2289" t="str">
        <f t="shared" si="849"/>
        <v>0</v>
      </c>
      <c r="AD2289" t="str">
        <f t="shared" si="856"/>
        <v>4</v>
      </c>
      <c r="AE2289" t="str">
        <f t="shared" si="857"/>
        <v>WOOD (INCLUDE STEEL STUDS)</v>
      </c>
      <c r="AF2289" t="str">
        <f>"002"</f>
        <v>002</v>
      </c>
      <c r="AG2289" t="str">
        <f t="shared" si="853"/>
        <v>FL</v>
      </c>
      <c r="AH2289" t="str">
        <f>"108028.00"</f>
        <v>108028.00</v>
      </c>
      <c r="AI2289" t="str">
        <f>"23808.00"</f>
        <v>23808.00</v>
      </c>
      <c r="AJ2289" t="str">
        <f>"C55-000-586-8587-6"</f>
        <v>C55-000-586-8587-6</v>
      </c>
      <c r="AK2289" t="str">
        <f>"8332"</f>
        <v>8332</v>
      </c>
      <c r="AL2289">
        <v>8</v>
      </c>
      <c r="AM2289">
        <v>2616</v>
      </c>
      <c r="AN2289">
        <v>605.11</v>
      </c>
      <c r="AQ2289" t="s">
        <v>6028</v>
      </c>
      <c r="AR2289" t="s">
        <v>6028</v>
      </c>
      <c r="AS2289" t="s">
        <v>6028</v>
      </c>
      <c r="AU2289" t="s">
        <v>396</v>
      </c>
      <c r="AV2289">
        <v>2017</v>
      </c>
      <c r="AW2289" t="str">
        <f>"09-4N-24-0000-0002-0140 "</f>
        <v xml:space="preserve">09-4N-24-0000-0002-0140 </v>
      </c>
      <c r="AX2289">
        <v>39313</v>
      </c>
      <c r="AZ2289" t="s">
        <v>6029</v>
      </c>
      <c r="BA2289" t="s">
        <v>496</v>
      </c>
      <c r="BD2289" t="s">
        <v>398</v>
      </c>
      <c r="BE2289" t="s">
        <v>393</v>
      </c>
      <c r="BF2289">
        <v>32046</v>
      </c>
      <c r="BG2289" t="s">
        <v>6030</v>
      </c>
      <c r="BH2289" t="s">
        <v>400</v>
      </c>
      <c r="BI2289">
        <v>-81.919374698909706</v>
      </c>
      <c r="BJ2289">
        <v>30.783271160078598</v>
      </c>
      <c r="BK2289" t="s">
        <v>6031</v>
      </c>
      <c r="BL2289" t="s">
        <v>6032</v>
      </c>
      <c r="BM2289" t="s">
        <v>6030</v>
      </c>
      <c r="BN2289" t="s">
        <v>403</v>
      </c>
      <c r="BO2289">
        <v>32046</v>
      </c>
      <c r="BP2289" t="s">
        <v>416</v>
      </c>
      <c r="BQ2289">
        <v>200</v>
      </c>
      <c r="BR2289" t="s">
        <v>405</v>
      </c>
      <c r="BS2289">
        <v>1006</v>
      </c>
      <c r="BT2289" t="s">
        <v>406</v>
      </c>
      <c r="BW2289">
        <v>108028</v>
      </c>
      <c r="BX2289" t="s">
        <v>407</v>
      </c>
      <c r="BY2289" t="s">
        <v>408</v>
      </c>
      <c r="BZ2289">
        <v>4</v>
      </c>
      <c r="CA2289">
        <v>2001</v>
      </c>
      <c r="CC2289">
        <v>1</v>
      </c>
      <c r="CD2289">
        <v>2017</v>
      </c>
      <c r="CG2289">
        <v>61166</v>
      </c>
      <c r="CH2289">
        <v>2017</v>
      </c>
      <c r="CI2289">
        <v>23808</v>
      </c>
      <c r="CJ2289">
        <v>52320</v>
      </c>
      <c r="CK2289">
        <v>76128</v>
      </c>
      <c r="CL2289">
        <v>2017</v>
      </c>
      <c r="CM2289">
        <v>452.15</v>
      </c>
      <c r="CN2289" s="1">
        <v>36112</v>
      </c>
      <c r="CO2289">
        <v>17400</v>
      </c>
      <c r="CZ2289" s="1">
        <v>36112</v>
      </c>
      <c r="DD2289" t="s">
        <v>398</v>
      </c>
      <c r="DG2289">
        <v>9</v>
      </c>
      <c r="DL2289">
        <v>50400</v>
      </c>
      <c r="DM2289" t="s">
        <v>6019</v>
      </c>
      <c r="DO2289" t="s">
        <v>6033</v>
      </c>
      <c r="DP2289">
        <v>0</v>
      </c>
      <c r="DQ2289">
        <v>0</v>
      </c>
      <c r="DR2289" t="s">
        <v>411</v>
      </c>
      <c r="DS2289" t="b">
        <v>1</v>
      </c>
      <c r="DT2289" t="s">
        <v>470</v>
      </c>
      <c r="DU2289" t="s">
        <v>471</v>
      </c>
      <c r="DV2289" t="s">
        <v>472</v>
      </c>
      <c r="DX2289">
        <v>-9999</v>
      </c>
      <c r="DZ2289" t="s">
        <v>447</v>
      </c>
      <c r="EA2289" t="s">
        <v>448</v>
      </c>
      <c r="EB2289" t="s">
        <v>1224</v>
      </c>
      <c r="EC2289">
        <v>20101217</v>
      </c>
      <c r="ED2289" t="s">
        <v>474</v>
      </c>
      <c r="EF2289">
        <v>255.5</v>
      </c>
      <c r="EG2289">
        <v>255.5</v>
      </c>
      <c r="EI2289">
        <v>20160407</v>
      </c>
      <c r="EJ2289">
        <v>0</v>
      </c>
      <c r="EK2289">
        <v>0</v>
      </c>
      <c r="EP2289" t="s">
        <v>421</v>
      </c>
      <c r="EQ2289" t="s">
        <v>422</v>
      </c>
      <c r="ER2289">
        <v>0</v>
      </c>
      <c r="ES2289">
        <v>8</v>
      </c>
      <c r="ET2289">
        <v>0</v>
      </c>
      <c r="EU2289">
        <v>0</v>
      </c>
      <c r="EV2289">
        <v>0</v>
      </c>
      <c r="EW2289" s="2">
        <v>43222</v>
      </c>
      <c r="EX2289" s="1">
        <v>42515</v>
      </c>
      <c r="EY2289">
        <v>2015</v>
      </c>
      <c r="EZ2289">
        <v>554.71</v>
      </c>
      <c r="FA2289" t="s">
        <v>6034</v>
      </c>
      <c r="FB2289">
        <v>0.25</v>
      </c>
      <c r="FC2289" t="s">
        <v>424</v>
      </c>
      <c r="FD2289" t="s">
        <v>425</v>
      </c>
      <c r="FE2289" s="1">
        <v>43153</v>
      </c>
      <c r="FF2289">
        <v>21</v>
      </c>
      <c r="FG2289">
        <v>2851116</v>
      </c>
      <c r="FH2289" t="s">
        <v>480</v>
      </c>
      <c r="FJ2289" s="1">
        <v>42515</v>
      </c>
      <c r="FK2289">
        <v>2015</v>
      </c>
      <c r="FL2289">
        <v>554.71</v>
      </c>
      <c r="FM2289" t="s">
        <v>6034</v>
      </c>
      <c r="FN2289">
        <v>0.25</v>
      </c>
      <c r="FO2289" t="s">
        <v>424</v>
      </c>
      <c r="FP2289" t="s">
        <v>425</v>
      </c>
      <c r="FR2289">
        <v>22</v>
      </c>
      <c r="FS2289">
        <v>4892993</v>
      </c>
      <c r="FT2289" t="s">
        <v>6035</v>
      </c>
      <c r="FV2289" s="1">
        <v>42151</v>
      </c>
      <c r="FW2289">
        <v>2014</v>
      </c>
      <c r="FX2289">
        <v>574.89</v>
      </c>
      <c r="FY2289" t="s">
        <v>6036</v>
      </c>
      <c r="FZ2289">
        <v>0.25</v>
      </c>
      <c r="GA2289" t="s">
        <v>424</v>
      </c>
      <c r="GB2289" t="s">
        <v>425</v>
      </c>
      <c r="GC2289" s="1">
        <v>42941</v>
      </c>
      <c r="GD2289">
        <v>26</v>
      </c>
      <c r="GE2289">
        <v>2851116</v>
      </c>
      <c r="GF2289" t="s">
        <v>480</v>
      </c>
      <c r="GH2289" s="1">
        <v>42151</v>
      </c>
      <c r="GI2289">
        <v>2014</v>
      </c>
      <c r="GJ2289">
        <v>574.89</v>
      </c>
      <c r="GK2289" t="s">
        <v>6036</v>
      </c>
      <c r="GL2289">
        <v>0.25</v>
      </c>
      <c r="GM2289" t="s">
        <v>424</v>
      </c>
      <c r="GN2289" t="s">
        <v>425</v>
      </c>
      <c r="GP2289">
        <v>22</v>
      </c>
      <c r="GQ2289">
        <v>4880963</v>
      </c>
      <c r="GR2289" t="s">
        <v>6037</v>
      </c>
      <c r="GT2289" s="1">
        <v>41787</v>
      </c>
      <c r="GU2289">
        <v>2013</v>
      </c>
      <c r="GV2289">
        <v>577.73</v>
      </c>
      <c r="GW2289" t="s">
        <v>6038</v>
      </c>
      <c r="GX2289">
        <v>0.25</v>
      </c>
      <c r="GY2289" t="s">
        <v>424</v>
      </c>
      <c r="GZ2289" t="s">
        <v>425</v>
      </c>
      <c r="HA2289" s="1">
        <v>42426</v>
      </c>
      <c r="HB2289">
        <v>21</v>
      </c>
      <c r="HC2289">
        <v>2407503</v>
      </c>
      <c r="HD2289" t="s">
        <v>461</v>
      </c>
      <c r="HF2289" s="1">
        <v>41423</v>
      </c>
      <c r="HG2289">
        <v>2012</v>
      </c>
      <c r="HH2289">
        <v>602.87</v>
      </c>
      <c r="HI2289" t="s">
        <v>6039</v>
      </c>
      <c r="HJ2289">
        <v>3</v>
      </c>
      <c r="HK2289" t="s">
        <v>424</v>
      </c>
      <c r="HL2289" t="s">
        <v>425</v>
      </c>
      <c r="HM2289" s="1">
        <v>42062</v>
      </c>
      <c r="HN2289">
        <v>21</v>
      </c>
      <c r="HO2289">
        <v>15399</v>
      </c>
      <c r="HP2289" t="s">
        <v>485</v>
      </c>
      <c r="HR2289" s="1">
        <v>41052</v>
      </c>
      <c r="HS2289">
        <v>2011</v>
      </c>
      <c r="HT2289">
        <v>807.94</v>
      </c>
      <c r="HU2289" t="s">
        <v>6040</v>
      </c>
      <c r="HV2289">
        <v>5.75</v>
      </c>
      <c r="HW2289" t="s">
        <v>424</v>
      </c>
      <c r="HX2289" t="s">
        <v>425</v>
      </c>
      <c r="HY2289" s="1">
        <v>41698</v>
      </c>
      <c r="HZ2289">
        <v>21</v>
      </c>
      <c r="IA2289">
        <v>10125</v>
      </c>
      <c r="IB2289" t="s">
        <v>440</v>
      </c>
      <c r="ID2289" s="1">
        <v>40688</v>
      </c>
      <c r="IE2289">
        <v>2010</v>
      </c>
      <c r="IF2289">
        <v>789.08</v>
      </c>
      <c r="IG2289" t="s">
        <v>6041</v>
      </c>
      <c r="IH2289">
        <v>5</v>
      </c>
      <c r="II2289" t="s">
        <v>424</v>
      </c>
      <c r="IJ2289" t="s">
        <v>425</v>
      </c>
      <c r="IK2289" s="1">
        <v>41332</v>
      </c>
      <c r="IL2289">
        <v>21</v>
      </c>
      <c r="IM2289">
        <v>287</v>
      </c>
      <c r="IN2289" t="s">
        <v>572</v>
      </c>
    </row>
    <row r="2290" spans="1:248" x14ac:dyDescent="0.25">
      <c r="A2290">
        <v>16487297</v>
      </c>
      <c r="B2290">
        <v>2289</v>
      </c>
      <c r="C2290" t="s">
        <v>393</v>
      </c>
      <c r="D2290" t="s">
        <v>394</v>
      </c>
      <c r="F2290" t="str">
        <f>"04-1N-25-2760-0014-0040"</f>
        <v>04-1N-25-2760-0014-0040</v>
      </c>
      <c r="H2290" t="str">
        <f>"DENHAM PERRY P &amp; JENNIFER L"</f>
        <v>DENHAM PERRY P &amp; JENNIFER L</v>
      </c>
      <c r="I2290" t="str">
        <f>"44127 MCKENDREE DRIVE"</f>
        <v>44127 MCKENDREE DRIVE</v>
      </c>
      <c r="J2290" t="str">
        <f>"CALLAHAN FL 32011"</f>
        <v>CALLAHAN FL 32011</v>
      </c>
      <c r="K2290" t="str">
        <f>"44127 MCKENDREE DR"</f>
        <v>44127 MCKENDREE DR</v>
      </c>
      <c r="L2290" t="str">
        <f>"CALLAHAN FL 32011"</f>
        <v>CALLAHAN FL 32011</v>
      </c>
      <c r="M2290" t="str">
        <f>"PT OF LOT 14 (S-4) IN OR 962/43 EAST GRAY GABLES SUB PB 2/50"</f>
        <v>PT OF LOT 14 (S-4) IN OR 962/43 EAST GRAY GABLES SUB PB 2/50</v>
      </c>
      <c r="N2290" t="str">
        <f>""</f>
        <v/>
      </c>
      <c r="O2290" t="str">
        <f>"19706"</f>
        <v>19706</v>
      </c>
      <c r="P2290" t="str">
        <f>"2016"</f>
        <v>2016</v>
      </c>
      <c r="Q2290" t="str">
        <f>""</f>
        <v/>
      </c>
      <c r="R2290" t="str">
        <f t="shared" si="854"/>
        <v>Y</v>
      </c>
      <c r="S2290" t="str">
        <f>"2.41"</f>
        <v>2.41</v>
      </c>
      <c r="T2290" t="str">
        <f>"1494.72"</f>
        <v>1494.72</v>
      </c>
      <c r="U2290" t="str">
        <f>"137838.00"</f>
        <v>137838.00</v>
      </c>
      <c r="V2290" t="str">
        <f>"137838.00"</f>
        <v>137838.00</v>
      </c>
      <c r="W2290" t="str">
        <f t="shared" si="841"/>
        <v>2017</v>
      </c>
      <c r="X2290" t="str">
        <f>"32.00"</f>
        <v>32.00</v>
      </c>
      <c r="Y2290" t="str">
        <f>"1816.40"</f>
        <v>1816.40</v>
      </c>
      <c r="Z2290" t="str">
        <f t="shared" si="855"/>
        <v>25000.00</v>
      </c>
      <c r="AA2290" t="str">
        <f>"112838.00"</f>
        <v>112838.00</v>
      </c>
      <c r="AB2290" t="str">
        <f t="shared" si="858"/>
        <v>Residential</v>
      </c>
      <c r="AC2290" t="str">
        <f t="shared" si="849"/>
        <v>0</v>
      </c>
      <c r="AD2290" t="str">
        <f t="shared" si="856"/>
        <v>4</v>
      </c>
      <c r="AE2290" t="str">
        <f t="shared" si="857"/>
        <v>WOOD (INCLUDE STEEL STUDS)</v>
      </c>
      <c r="AF2290" t="str">
        <f>"001"</f>
        <v>001</v>
      </c>
      <c r="AG2290" t="str">
        <f t="shared" si="853"/>
        <v>FL</v>
      </c>
      <c r="AH2290" t="str">
        <f>"104979.00"</f>
        <v>104979.00</v>
      </c>
      <c r="AI2290" t="str">
        <f>"28920.00"</f>
        <v>28920.00</v>
      </c>
      <c r="AJ2290" t="str">
        <f>"C55-000-586-4874-2"</f>
        <v>C55-000-586-4874-2</v>
      </c>
      <c r="AK2290" t="str">
        <f>"9895"</f>
        <v>9895</v>
      </c>
      <c r="AL2290">
        <v>8</v>
      </c>
      <c r="AM2290">
        <v>2617</v>
      </c>
      <c r="AN2290">
        <v>1905.62</v>
      </c>
      <c r="AQ2290" t="s">
        <v>6545</v>
      </c>
      <c r="AR2290" t="s">
        <v>6545</v>
      </c>
      <c r="AS2290" t="s">
        <v>6545</v>
      </c>
      <c r="AU2290" t="s">
        <v>396</v>
      </c>
      <c r="AV2290">
        <v>2017</v>
      </c>
      <c r="AW2290" t="str">
        <f>"04-1N-25-2760-0014-0040 "</f>
        <v xml:space="preserve">04-1N-25-2760-0014-0040 </v>
      </c>
      <c r="AX2290">
        <v>44127</v>
      </c>
      <c r="AZ2290" t="s">
        <v>6502</v>
      </c>
      <c r="BA2290" t="s">
        <v>669</v>
      </c>
      <c r="BD2290" t="s">
        <v>2785</v>
      </c>
      <c r="BE2290" t="s">
        <v>393</v>
      </c>
      <c r="BF2290">
        <v>32011</v>
      </c>
      <c r="BG2290" t="s">
        <v>6546</v>
      </c>
      <c r="BH2290" t="s">
        <v>2787</v>
      </c>
      <c r="BI2290">
        <v>-81.805783302628797</v>
      </c>
      <c r="BJ2290">
        <v>30.533730811291299</v>
      </c>
      <c r="BK2290" t="s">
        <v>6547</v>
      </c>
      <c r="BL2290" t="s">
        <v>6548</v>
      </c>
      <c r="BM2290" t="s">
        <v>6546</v>
      </c>
      <c r="BN2290" t="s">
        <v>928</v>
      </c>
      <c r="BO2290">
        <v>32011</v>
      </c>
      <c r="BP2290" t="s">
        <v>416</v>
      </c>
      <c r="BQ2290">
        <v>100</v>
      </c>
      <c r="BR2290" t="s">
        <v>514</v>
      </c>
      <c r="BS2290">
        <v>1001</v>
      </c>
      <c r="BT2290" t="s">
        <v>515</v>
      </c>
      <c r="BW2290">
        <v>104979</v>
      </c>
      <c r="BX2290" t="s">
        <v>407</v>
      </c>
      <c r="BY2290" t="s">
        <v>4360</v>
      </c>
      <c r="BZ2290">
        <v>4</v>
      </c>
      <c r="CA2290">
        <v>1975</v>
      </c>
      <c r="CB2290">
        <v>1</v>
      </c>
      <c r="CC2290">
        <v>1</v>
      </c>
      <c r="CD2290">
        <v>2017</v>
      </c>
      <c r="CG2290">
        <v>137838</v>
      </c>
      <c r="CH2290">
        <v>2017</v>
      </c>
      <c r="CI2290">
        <v>28920</v>
      </c>
      <c r="CJ2290">
        <v>158864</v>
      </c>
      <c r="CK2290">
        <v>187784</v>
      </c>
      <c r="CL2290">
        <v>2017</v>
      </c>
      <c r="CM2290">
        <v>1494.72</v>
      </c>
      <c r="CN2290" s="1">
        <v>36874</v>
      </c>
      <c r="CO2290">
        <v>140000</v>
      </c>
      <c r="CZ2290" s="1">
        <v>36874</v>
      </c>
      <c r="DD2290" t="s">
        <v>2785</v>
      </c>
      <c r="DF2290">
        <v>14</v>
      </c>
      <c r="DG2290">
        <v>4</v>
      </c>
      <c r="DJ2290" t="s">
        <v>6519</v>
      </c>
      <c r="DL2290">
        <v>50502</v>
      </c>
      <c r="DM2290" t="s">
        <v>6474</v>
      </c>
      <c r="DO2290" t="s">
        <v>6549</v>
      </c>
      <c r="DP2290">
        <v>0</v>
      </c>
      <c r="DQ2290">
        <v>1</v>
      </c>
      <c r="DR2290" t="s">
        <v>411</v>
      </c>
    </row>
    <row r="2291" spans="1:248" x14ac:dyDescent="0.25">
      <c r="A2291">
        <v>16487298</v>
      </c>
      <c r="B2291">
        <v>2290</v>
      </c>
      <c r="C2291" t="s">
        <v>393</v>
      </c>
      <c r="D2291" t="s">
        <v>394</v>
      </c>
      <c r="F2291" t="str">
        <f>"42-2N-27-4613-0012-0030"</f>
        <v>42-2N-27-4613-0012-0030</v>
      </c>
      <c r="H2291" t="str">
        <f>"MABE FRANCES J"</f>
        <v>MABE FRANCES J</v>
      </c>
      <c r="I2291" t="str">
        <f>"85449 BROOKE ST"</f>
        <v>85449 BROOKE ST</v>
      </c>
      <c r="J2291" t="str">
        <f>"YULEE FL 32097"</f>
        <v>YULEE FL 32097</v>
      </c>
      <c r="K2291" t="str">
        <f>"85449 BROOKE ST"</f>
        <v>85449 BROOKE ST</v>
      </c>
      <c r="L2291" t="str">
        <f>"YULEE FL 32097"</f>
        <v>YULEE FL 32097</v>
      </c>
      <c r="M2291" t="str">
        <f>"BLOCK 12 LOT 3 IN OR 906/520 R787585 &amp; R787586 YULEE WOODS 3 PB 5/239"</f>
        <v>BLOCK 12 LOT 3 IN OR 906/520 R787585 &amp; R787586 YULEE WOODS 3 PB 5/239</v>
      </c>
      <c r="N2291" t="str">
        <f>""</f>
        <v/>
      </c>
      <c r="O2291" t="str">
        <f>"48969"</f>
        <v>48969</v>
      </c>
      <c r="P2291" t="str">
        <f>"2016"</f>
        <v>2016</v>
      </c>
      <c r="Q2291" t="str">
        <f>""</f>
        <v/>
      </c>
      <c r="R2291" t="str">
        <f t="shared" si="854"/>
        <v>Y</v>
      </c>
      <c r="S2291" t="str">
        <f>""</f>
        <v/>
      </c>
      <c r="T2291" t="str">
        <f>"600.69"</f>
        <v>600.69</v>
      </c>
      <c r="U2291" t="str">
        <f>"78783.00"</f>
        <v>78783.00</v>
      </c>
      <c r="V2291" t="str">
        <f>"78783.00"</f>
        <v>78783.00</v>
      </c>
      <c r="W2291" t="str">
        <f t="shared" si="841"/>
        <v>2017</v>
      </c>
      <c r="X2291" t="str">
        <f>"76.50"</f>
        <v>76.50</v>
      </c>
      <c r="Y2291" t="str">
        <f>"742.08"</f>
        <v>742.08</v>
      </c>
      <c r="Z2291" t="str">
        <f t="shared" si="855"/>
        <v>25000.00</v>
      </c>
      <c r="AA2291" t="str">
        <f>"53783.00"</f>
        <v>53783.00</v>
      </c>
      <c r="AB2291" t="str">
        <f t="shared" si="858"/>
        <v>Residential</v>
      </c>
      <c r="AC2291" t="str">
        <f t="shared" si="849"/>
        <v>0</v>
      </c>
      <c r="AD2291" t="str">
        <f t="shared" si="856"/>
        <v>4</v>
      </c>
      <c r="AE2291" t="str">
        <f t="shared" si="857"/>
        <v>WOOD (INCLUDE STEEL STUDS)</v>
      </c>
      <c r="AF2291" t="str">
        <f t="shared" ref="AF2291:AF2296" si="859">"002"</f>
        <v>002</v>
      </c>
      <c r="AG2291" t="str">
        <f t="shared" si="853"/>
        <v>FL</v>
      </c>
      <c r="AH2291" t="str">
        <f>"-"</f>
        <v>-</v>
      </c>
      <c r="AI2291" t="str">
        <f>"28000.00"</f>
        <v>28000.00</v>
      </c>
      <c r="AJ2291" t="str">
        <f>"C55-000-588-2529-0"</f>
        <v>C55-000-588-2529-0</v>
      </c>
      <c r="AK2291" t="str">
        <f>"22623"</f>
        <v>22623</v>
      </c>
      <c r="AL2291">
        <v>8</v>
      </c>
      <c r="AM2291">
        <v>2618</v>
      </c>
      <c r="AN2291">
        <v>777.58</v>
      </c>
      <c r="AQ2291" t="s">
        <v>13504</v>
      </c>
      <c r="AR2291" t="s">
        <v>13504</v>
      </c>
      <c r="AS2291" t="s">
        <v>13504</v>
      </c>
      <c r="AU2291" t="s">
        <v>396</v>
      </c>
      <c r="AV2291">
        <v>2017</v>
      </c>
      <c r="AW2291" t="str">
        <f>"42-2N-27-4613-0012-0030 "</f>
        <v xml:space="preserve">42-2N-27-4613-0012-0030 </v>
      </c>
      <c r="AX2291">
        <v>85449</v>
      </c>
      <c r="AZ2291" t="s">
        <v>13505</v>
      </c>
      <c r="BA2291" t="s">
        <v>1942</v>
      </c>
      <c r="BD2291" t="s">
        <v>2387</v>
      </c>
      <c r="BE2291" t="s">
        <v>393</v>
      </c>
      <c r="BF2291">
        <v>32097</v>
      </c>
      <c r="BG2291" t="s">
        <v>13506</v>
      </c>
      <c r="BH2291" t="s">
        <v>2388</v>
      </c>
      <c r="BI2291">
        <v>-81.589483804101903</v>
      </c>
      <c r="BJ2291">
        <v>30.602222641028</v>
      </c>
      <c r="BK2291" t="s">
        <v>13507</v>
      </c>
      <c r="BL2291" t="s">
        <v>13508</v>
      </c>
      <c r="BM2291" t="s">
        <v>13506</v>
      </c>
      <c r="BN2291" t="s">
        <v>1778</v>
      </c>
      <c r="BO2291">
        <v>32097</v>
      </c>
      <c r="BP2291" t="s">
        <v>416</v>
      </c>
      <c r="BQ2291">
        <v>200</v>
      </c>
      <c r="BR2291" t="s">
        <v>405</v>
      </c>
      <c r="BS2291">
        <v>1006</v>
      </c>
      <c r="BT2291" t="s">
        <v>406</v>
      </c>
      <c r="BW2291">
        <v>43650</v>
      </c>
      <c r="BX2291" t="s">
        <v>407</v>
      </c>
      <c r="BY2291" t="s">
        <v>408</v>
      </c>
      <c r="BZ2291">
        <v>4</v>
      </c>
      <c r="CA2291">
        <v>1999</v>
      </c>
      <c r="CB2291">
        <v>1</v>
      </c>
      <c r="CC2291">
        <v>1</v>
      </c>
      <c r="CD2291">
        <v>2017</v>
      </c>
      <c r="CG2291">
        <v>78783</v>
      </c>
      <c r="CH2291">
        <v>2017</v>
      </c>
      <c r="CI2291">
        <v>28000</v>
      </c>
      <c r="CJ2291">
        <v>73245</v>
      </c>
      <c r="CK2291">
        <v>101245</v>
      </c>
      <c r="CL2291">
        <v>2017</v>
      </c>
      <c r="CM2291">
        <v>600.69000000000005</v>
      </c>
      <c r="CN2291" s="1">
        <v>36466</v>
      </c>
      <c r="CO2291">
        <v>35000</v>
      </c>
      <c r="CZ2291" s="1">
        <v>36466</v>
      </c>
      <c r="DD2291" t="s">
        <v>2387</v>
      </c>
      <c r="DF2291">
        <v>3</v>
      </c>
      <c r="DG2291">
        <v>42</v>
      </c>
      <c r="DL2291">
        <v>50302</v>
      </c>
      <c r="DM2291" t="s">
        <v>12468</v>
      </c>
      <c r="DO2291" t="s">
        <v>13509</v>
      </c>
      <c r="DP2291">
        <v>0</v>
      </c>
      <c r="DQ2291">
        <v>0</v>
      </c>
      <c r="DR2291" t="s">
        <v>411</v>
      </c>
    </row>
    <row r="2292" spans="1:248" x14ac:dyDescent="0.25">
      <c r="A2292">
        <v>16487299</v>
      </c>
      <c r="B2292">
        <v>2291</v>
      </c>
      <c r="C2292" t="s">
        <v>393</v>
      </c>
      <c r="D2292" t="s">
        <v>394</v>
      </c>
      <c r="F2292" t="str">
        <f>"31-2N-28-0235-0005-0000"</f>
        <v>31-2N-28-0235-0005-0000</v>
      </c>
      <c r="H2292" t="str">
        <f>"HAYS ANN M"</f>
        <v>HAYS ANN M</v>
      </c>
      <c r="I2292" t="str">
        <f>"95260 BARBARAS PL"</f>
        <v>95260 BARBARAS PL</v>
      </c>
      <c r="J2292" t="str">
        <f>"FERNANDINA BEACH FL 32034"</f>
        <v>FERNANDINA BEACH FL 32034</v>
      </c>
      <c r="K2292" t="str">
        <f>"95260 BARBARAS PL"</f>
        <v>95260 BARBARAS PL</v>
      </c>
      <c r="L2292" t="str">
        <f>"FERNANDINA BEACH FL 32034"</f>
        <v>FERNANDINA BEACH FL 32034</v>
      </c>
      <c r="M2292" t="str">
        <f>"LOT 5 &amp; PT GOVT LOT 2 OF SEC 35-2N-28E IN OR 1740/1277 CEDAR RIDGE 1 PBK 6/95 {1999 FTWD DW/MH}"</f>
        <v>LOT 5 &amp; PT GOVT LOT 2 OF SEC 35-2N-28E IN OR 1740/1277 CEDAR RIDGE 1 PBK 6/95 {1999 FTWD DW/MH}</v>
      </c>
      <c r="N2292" t="str">
        <f>""</f>
        <v/>
      </c>
      <c r="O2292" t="str">
        <f>"39781"</f>
        <v>39781</v>
      </c>
      <c r="P2292" t="str">
        <f>"2016"</f>
        <v>2016</v>
      </c>
      <c r="Q2292" t="str">
        <f>""</f>
        <v/>
      </c>
      <c r="R2292" t="str">
        <f t="shared" si="854"/>
        <v>Y</v>
      </c>
      <c r="S2292" t="str">
        <f>"2.00"</f>
        <v>2.00</v>
      </c>
      <c r="T2292" t="str">
        <f>"780.27"</f>
        <v>780.27</v>
      </c>
      <c r="U2292" t="str">
        <f>"90645.00"</f>
        <v>90645.00</v>
      </c>
      <c r="V2292" t="str">
        <f>"90645.00"</f>
        <v>90645.00</v>
      </c>
      <c r="W2292" t="str">
        <f t="shared" si="841"/>
        <v>2017</v>
      </c>
      <c r="X2292" t="str">
        <f>"23.67"</f>
        <v>23.67</v>
      </c>
      <c r="Y2292" t="str">
        <f>"957.86"</f>
        <v>957.86</v>
      </c>
      <c r="Z2292" t="str">
        <f t="shared" si="855"/>
        <v>25000.00</v>
      </c>
      <c r="AA2292" t="str">
        <f>"65645.00"</f>
        <v>65645.00</v>
      </c>
      <c r="AB2292" t="str">
        <f t="shared" si="858"/>
        <v>Residential</v>
      </c>
      <c r="AC2292" t="str">
        <f t="shared" si="849"/>
        <v>0</v>
      </c>
      <c r="AD2292" t="str">
        <f t="shared" si="856"/>
        <v>4</v>
      </c>
      <c r="AE2292" t="str">
        <f t="shared" si="857"/>
        <v>WOOD (INCLUDE STEEL STUDS)</v>
      </c>
      <c r="AF2292" t="str">
        <f t="shared" si="859"/>
        <v>002</v>
      </c>
      <c r="AG2292" t="str">
        <f t="shared" si="853"/>
        <v>FL</v>
      </c>
      <c r="AH2292" t="str">
        <f>"87120.00"</f>
        <v>87120.00</v>
      </c>
      <c r="AI2292" t="str">
        <f>"50000.00"</f>
        <v>50000.00</v>
      </c>
      <c r="AJ2292" t="str">
        <f>"C55-000-587-6452-3"</f>
        <v>C55-000-587-6452-3</v>
      </c>
      <c r="AK2292" t="str">
        <f>"27864"</f>
        <v>27864</v>
      </c>
      <c r="AL2292">
        <v>8</v>
      </c>
      <c r="AM2292">
        <v>2619</v>
      </c>
      <c r="AN2292">
        <v>1004.15</v>
      </c>
      <c r="AQ2292" t="s">
        <v>15417</v>
      </c>
      <c r="AR2292" t="s">
        <v>15417</v>
      </c>
      <c r="AS2292" t="s">
        <v>15417</v>
      </c>
      <c r="AU2292" t="s">
        <v>396</v>
      </c>
      <c r="AV2292">
        <v>2017</v>
      </c>
      <c r="AW2292" t="str">
        <f>"31-2N-28-0235-0005-0000 "</f>
        <v xml:space="preserve">31-2N-28-0235-0005-0000 </v>
      </c>
      <c r="AX2292">
        <v>95260</v>
      </c>
      <c r="AZ2292" t="s">
        <v>15401</v>
      </c>
      <c r="BA2292" t="s">
        <v>641</v>
      </c>
      <c r="BD2292" t="s">
        <v>11749</v>
      </c>
      <c r="BE2292" t="s">
        <v>393</v>
      </c>
      <c r="BF2292">
        <v>32034</v>
      </c>
      <c r="BG2292" t="s">
        <v>15418</v>
      </c>
      <c r="BH2292" t="s">
        <v>11751</v>
      </c>
      <c r="BI2292">
        <v>-81.536191470698199</v>
      </c>
      <c r="BJ2292">
        <v>30.573946544497701</v>
      </c>
      <c r="BK2292" t="s">
        <v>15419</v>
      </c>
      <c r="BM2292" t="s">
        <v>15418</v>
      </c>
      <c r="BN2292" t="s">
        <v>3983</v>
      </c>
      <c r="BO2292">
        <v>32034</v>
      </c>
      <c r="BP2292" t="s">
        <v>416</v>
      </c>
      <c r="BQ2292">
        <v>200</v>
      </c>
      <c r="BR2292" t="s">
        <v>405</v>
      </c>
      <c r="BS2292">
        <v>1006</v>
      </c>
      <c r="BT2292" t="s">
        <v>406</v>
      </c>
      <c r="BW2292">
        <v>87120</v>
      </c>
      <c r="BX2292" t="s">
        <v>407</v>
      </c>
      <c r="BZ2292">
        <v>4</v>
      </c>
      <c r="CA2292">
        <v>1999</v>
      </c>
      <c r="CC2292">
        <v>1</v>
      </c>
      <c r="CD2292">
        <v>2017</v>
      </c>
      <c r="CG2292">
        <v>90645</v>
      </c>
      <c r="CH2292">
        <v>2017</v>
      </c>
      <c r="CI2292">
        <v>50000</v>
      </c>
      <c r="CJ2292">
        <v>55419</v>
      </c>
      <c r="CK2292">
        <v>105419</v>
      </c>
      <c r="CL2292">
        <v>2017</v>
      </c>
      <c r="CM2292">
        <v>780.27</v>
      </c>
      <c r="CN2292" s="1">
        <v>40694</v>
      </c>
      <c r="CO2292">
        <v>109000</v>
      </c>
      <c r="CV2292">
        <v>0</v>
      </c>
      <c r="CZ2292" s="1">
        <v>40694</v>
      </c>
      <c r="DA2292">
        <v>0</v>
      </c>
      <c r="DD2292" t="s">
        <v>11749</v>
      </c>
      <c r="DF2292">
        <v>5</v>
      </c>
      <c r="DG2292">
        <v>31</v>
      </c>
      <c r="DL2292">
        <v>50303</v>
      </c>
      <c r="DM2292" t="s">
        <v>15386</v>
      </c>
      <c r="DO2292" t="s">
        <v>15420</v>
      </c>
      <c r="DP2292">
        <v>0</v>
      </c>
      <c r="DQ2292">
        <v>0</v>
      </c>
      <c r="DR2292" t="s">
        <v>411</v>
      </c>
      <c r="EP2292" t="s">
        <v>421</v>
      </c>
      <c r="EQ2292" t="s">
        <v>422</v>
      </c>
      <c r="ER2292">
        <v>2</v>
      </c>
      <c r="ES2292">
        <v>3</v>
      </c>
      <c r="ET2292">
        <v>1391.6</v>
      </c>
      <c r="EU2292">
        <v>82.08</v>
      </c>
      <c r="EV2292">
        <v>1473.68</v>
      </c>
      <c r="EW2292" s="2">
        <v>43222</v>
      </c>
      <c r="EX2292" s="1">
        <v>41787</v>
      </c>
      <c r="EY2292">
        <v>2013</v>
      </c>
      <c r="EZ2292">
        <v>695.8</v>
      </c>
      <c r="FA2292" t="s">
        <v>15421</v>
      </c>
      <c r="FB2292">
        <v>0.25</v>
      </c>
      <c r="FC2292" t="s">
        <v>424</v>
      </c>
      <c r="FD2292" t="s">
        <v>454</v>
      </c>
      <c r="FF2292">
        <v>48</v>
      </c>
      <c r="FG2292">
        <v>2407503</v>
      </c>
      <c r="FH2292" t="s">
        <v>461</v>
      </c>
      <c r="FJ2292" s="1">
        <v>41787</v>
      </c>
      <c r="FK2292">
        <v>2013</v>
      </c>
      <c r="FL2292">
        <v>695.8</v>
      </c>
      <c r="FM2292" t="s">
        <v>15421</v>
      </c>
      <c r="FN2292">
        <v>0.25</v>
      </c>
      <c r="FO2292" t="s">
        <v>424</v>
      </c>
      <c r="FP2292" t="s">
        <v>454</v>
      </c>
      <c r="FR2292">
        <v>48</v>
      </c>
      <c r="FS2292">
        <v>7336670</v>
      </c>
      <c r="FT2292" t="s">
        <v>2102</v>
      </c>
      <c r="FV2292" s="1">
        <v>41423</v>
      </c>
      <c r="FW2292">
        <v>2012</v>
      </c>
      <c r="FX2292">
        <v>760.32</v>
      </c>
      <c r="FY2292" t="s">
        <v>15422</v>
      </c>
      <c r="FZ2292">
        <v>2.75</v>
      </c>
      <c r="GA2292" t="s">
        <v>424</v>
      </c>
      <c r="GB2292" t="s">
        <v>425</v>
      </c>
      <c r="GC2292" s="1">
        <v>42065</v>
      </c>
      <c r="GD2292">
        <v>22</v>
      </c>
      <c r="GE2292">
        <v>15399</v>
      </c>
      <c r="GF2292" t="s">
        <v>485</v>
      </c>
      <c r="GH2292" s="1">
        <v>41052</v>
      </c>
      <c r="GI2292">
        <v>2011</v>
      </c>
      <c r="GJ2292">
        <v>1299.79</v>
      </c>
      <c r="GK2292" t="s">
        <v>15423</v>
      </c>
      <c r="GL2292">
        <v>5.75</v>
      </c>
      <c r="GM2292" t="s">
        <v>424</v>
      </c>
      <c r="GN2292" t="s">
        <v>425</v>
      </c>
      <c r="GO2292" s="1">
        <v>41701</v>
      </c>
      <c r="GP2292">
        <v>22</v>
      </c>
      <c r="GQ2292">
        <v>1625515</v>
      </c>
      <c r="GR2292" t="s">
        <v>487</v>
      </c>
      <c r="GT2292" s="1">
        <v>41052</v>
      </c>
      <c r="GU2292">
        <v>2011</v>
      </c>
      <c r="GV2292">
        <v>1299.79</v>
      </c>
      <c r="GW2292" t="s">
        <v>15423</v>
      </c>
      <c r="GX2292">
        <v>5.75</v>
      </c>
      <c r="GY2292" t="s">
        <v>424</v>
      </c>
      <c r="GZ2292" t="s">
        <v>425</v>
      </c>
      <c r="HB2292">
        <v>22</v>
      </c>
      <c r="HC2292">
        <v>10579</v>
      </c>
      <c r="HD2292" t="s">
        <v>488</v>
      </c>
    </row>
    <row r="2293" spans="1:248" x14ac:dyDescent="0.25">
      <c r="A2293">
        <v>16487300</v>
      </c>
      <c r="B2293">
        <v>2292</v>
      </c>
      <c r="C2293" t="s">
        <v>393</v>
      </c>
      <c r="D2293" t="s">
        <v>394</v>
      </c>
      <c r="F2293" t="str">
        <f>"42-2N-27-4613-0012-0030"</f>
        <v>42-2N-27-4613-0012-0030</v>
      </c>
      <c r="H2293" t="str">
        <f>"MABE FRANCES J"</f>
        <v>MABE FRANCES J</v>
      </c>
      <c r="I2293" t="str">
        <f>"85449 BROOKE ST"</f>
        <v>85449 BROOKE ST</v>
      </c>
      <c r="J2293" t="str">
        <f>"YULEE FL 32097"</f>
        <v>YULEE FL 32097</v>
      </c>
      <c r="K2293" t="str">
        <f>"85449 BROOKE ST"</f>
        <v>85449 BROOKE ST</v>
      </c>
      <c r="L2293" t="str">
        <f>"YULEE FL 32097"</f>
        <v>YULEE FL 32097</v>
      </c>
      <c r="M2293" t="str">
        <f>"BLOCK 12 LOT 3 IN OR 906/520 R787585 &amp; R787586 YULEE WOODS 3 PB 5/239"</f>
        <v>BLOCK 12 LOT 3 IN OR 906/520 R787585 &amp; R787586 YULEE WOODS 3 PB 5/239</v>
      </c>
      <c r="N2293" t="str">
        <f>""</f>
        <v/>
      </c>
      <c r="O2293" t="str">
        <f>"48969"</f>
        <v>48969</v>
      </c>
      <c r="P2293" t="str">
        <f>"2015"</f>
        <v>2015</v>
      </c>
      <c r="Q2293" t="str">
        <f>""</f>
        <v/>
      </c>
      <c r="R2293" t="str">
        <f t="shared" si="854"/>
        <v>Y</v>
      </c>
      <c r="S2293" t="str">
        <f>""</f>
        <v/>
      </c>
      <c r="T2293" t="str">
        <f>"600.69"</f>
        <v>600.69</v>
      </c>
      <c r="U2293" t="str">
        <f>"78783.00"</f>
        <v>78783.00</v>
      </c>
      <c r="V2293" t="str">
        <f>"78783.00"</f>
        <v>78783.00</v>
      </c>
      <c r="W2293" t="str">
        <f t="shared" si="841"/>
        <v>2017</v>
      </c>
      <c r="X2293" t="str">
        <f>"76.50"</f>
        <v>76.50</v>
      </c>
      <c r="Y2293" t="str">
        <f>"862.51"</f>
        <v>862.51</v>
      </c>
      <c r="Z2293" t="str">
        <f t="shared" si="855"/>
        <v>25000.00</v>
      </c>
      <c r="AA2293" t="str">
        <f>"53783.00"</f>
        <v>53783.00</v>
      </c>
      <c r="AB2293" t="str">
        <f t="shared" si="858"/>
        <v>Residential</v>
      </c>
      <c r="AC2293" t="str">
        <f t="shared" si="849"/>
        <v>0</v>
      </c>
      <c r="AD2293" t="str">
        <f t="shared" si="856"/>
        <v>4</v>
      </c>
      <c r="AE2293" t="str">
        <f t="shared" si="857"/>
        <v>WOOD (INCLUDE STEEL STUDS)</v>
      </c>
      <c r="AF2293" t="str">
        <f t="shared" si="859"/>
        <v>002</v>
      </c>
      <c r="AG2293" t="str">
        <f t="shared" si="853"/>
        <v>FL</v>
      </c>
      <c r="AH2293" t="str">
        <f>"-"</f>
        <v>-</v>
      </c>
      <c r="AI2293" t="str">
        <f>"28000.00"</f>
        <v>28000.00</v>
      </c>
      <c r="AJ2293" t="str">
        <f>"C55-000-588-2529-0"</f>
        <v>C55-000-588-2529-0</v>
      </c>
      <c r="AK2293" t="str">
        <f>"22623"</f>
        <v>22623</v>
      </c>
      <c r="AL2293">
        <v>8</v>
      </c>
      <c r="AM2293">
        <v>2620</v>
      </c>
      <c r="AN2293">
        <v>904.04</v>
      </c>
      <c r="AQ2293" t="s">
        <v>13504</v>
      </c>
      <c r="AR2293" t="s">
        <v>13504</v>
      </c>
      <c r="AS2293" t="s">
        <v>13504</v>
      </c>
      <c r="AU2293" t="s">
        <v>396</v>
      </c>
      <c r="AV2293">
        <v>2017</v>
      </c>
      <c r="AW2293" t="str">
        <f>"42-2N-27-4613-0012-0030 "</f>
        <v xml:space="preserve">42-2N-27-4613-0012-0030 </v>
      </c>
      <c r="AX2293">
        <v>85449</v>
      </c>
      <c r="AZ2293" t="s">
        <v>13505</v>
      </c>
      <c r="BA2293" t="s">
        <v>1942</v>
      </c>
      <c r="BD2293" t="s">
        <v>2387</v>
      </c>
      <c r="BE2293" t="s">
        <v>393</v>
      </c>
      <c r="BF2293">
        <v>32097</v>
      </c>
      <c r="BG2293" t="s">
        <v>13506</v>
      </c>
      <c r="BH2293" t="s">
        <v>2388</v>
      </c>
      <c r="BI2293">
        <v>-81.589483804101903</v>
      </c>
      <c r="BJ2293">
        <v>30.602222641028</v>
      </c>
      <c r="BK2293" t="s">
        <v>13507</v>
      </c>
      <c r="BL2293" t="s">
        <v>13508</v>
      </c>
      <c r="BM2293" t="s">
        <v>13506</v>
      </c>
      <c r="BN2293" t="s">
        <v>1778</v>
      </c>
      <c r="BO2293">
        <v>32097</v>
      </c>
      <c r="BP2293" t="s">
        <v>416</v>
      </c>
      <c r="BQ2293">
        <v>200</v>
      </c>
      <c r="BR2293" t="s">
        <v>405</v>
      </c>
      <c r="BS2293">
        <v>1006</v>
      </c>
      <c r="BT2293" t="s">
        <v>406</v>
      </c>
      <c r="BW2293">
        <v>43650</v>
      </c>
      <c r="BX2293" t="s">
        <v>407</v>
      </c>
      <c r="BY2293" t="s">
        <v>408</v>
      </c>
      <c r="BZ2293">
        <v>4</v>
      </c>
      <c r="CA2293">
        <v>1999</v>
      </c>
      <c r="CB2293">
        <v>1</v>
      </c>
      <c r="CC2293">
        <v>1</v>
      </c>
      <c r="CD2293">
        <v>2017</v>
      </c>
      <c r="CG2293">
        <v>78783</v>
      </c>
      <c r="CH2293">
        <v>2017</v>
      </c>
      <c r="CI2293">
        <v>28000</v>
      </c>
      <c r="CJ2293">
        <v>73245</v>
      </c>
      <c r="CK2293">
        <v>101245</v>
      </c>
      <c r="CL2293">
        <v>2017</v>
      </c>
      <c r="CM2293">
        <v>600.69000000000005</v>
      </c>
      <c r="CN2293" s="1">
        <v>36466</v>
      </c>
      <c r="CO2293">
        <v>35000</v>
      </c>
      <c r="CZ2293" s="1">
        <v>36466</v>
      </c>
      <c r="DD2293" t="s">
        <v>2387</v>
      </c>
      <c r="DF2293">
        <v>3</v>
      </c>
      <c r="DG2293">
        <v>42</v>
      </c>
      <c r="DL2293">
        <v>50302</v>
      </c>
      <c r="DM2293" t="s">
        <v>12468</v>
      </c>
      <c r="DO2293" t="s">
        <v>13509</v>
      </c>
      <c r="DP2293">
        <v>0</v>
      </c>
      <c r="DQ2293">
        <v>0</v>
      </c>
      <c r="DR2293" t="s">
        <v>411</v>
      </c>
    </row>
    <row r="2294" spans="1:248" x14ac:dyDescent="0.25">
      <c r="A2294">
        <v>16487301</v>
      </c>
      <c r="B2294">
        <v>2293</v>
      </c>
      <c r="C2294" t="s">
        <v>393</v>
      </c>
      <c r="D2294" t="s">
        <v>394</v>
      </c>
      <c r="F2294" t="str">
        <f>"31-2N-28-0235-0005-0000"</f>
        <v>31-2N-28-0235-0005-0000</v>
      </c>
      <c r="H2294" t="str">
        <f>"HAYS ANN M"</f>
        <v>HAYS ANN M</v>
      </c>
      <c r="I2294" t="str">
        <f>"95260 BARBARAS PL"</f>
        <v>95260 BARBARAS PL</v>
      </c>
      <c r="J2294" t="str">
        <f>"FERNANDINA BEACH FL 32034"</f>
        <v>FERNANDINA BEACH FL 32034</v>
      </c>
      <c r="K2294" t="str">
        <f>"95260 BARBARAS PL"</f>
        <v>95260 BARBARAS PL</v>
      </c>
      <c r="L2294" t="str">
        <f>"FERNANDINA BEACH FL 32034"</f>
        <v>FERNANDINA BEACH FL 32034</v>
      </c>
      <c r="M2294" t="str">
        <f>"LOT 5 &amp; PT GOVT LOT 2 OF SEC 35-2N-28E IN OR 1740/1277 CEDAR RIDGE 1 PBK 6/95 {1999 FTWD DW/MH}"</f>
        <v>LOT 5 &amp; PT GOVT LOT 2 OF SEC 35-2N-28E IN OR 1740/1277 CEDAR RIDGE 1 PBK 6/95 {1999 FTWD DW/MH}</v>
      </c>
      <c r="N2294" t="str">
        <f>""</f>
        <v/>
      </c>
      <c r="O2294" t="str">
        <f>"39781"</f>
        <v>39781</v>
      </c>
      <c r="P2294" t="str">
        <f>"2015"</f>
        <v>2015</v>
      </c>
      <c r="Q2294" t="str">
        <f>""</f>
        <v/>
      </c>
      <c r="R2294" t="str">
        <f t="shared" si="854"/>
        <v>Y</v>
      </c>
      <c r="S2294" t="str">
        <f>"2.00"</f>
        <v>2.00</v>
      </c>
      <c r="T2294" t="str">
        <f>"780.27"</f>
        <v>780.27</v>
      </c>
      <c r="U2294" t="str">
        <f>"90645.00"</f>
        <v>90645.00</v>
      </c>
      <c r="V2294" t="str">
        <f>"90645.00"</f>
        <v>90645.00</v>
      </c>
      <c r="W2294" t="str">
        <f t="shared" si="841"/>
        <v>2017</v>
      </c>
      <c r="X2294" t="str">
        <f>"23.67"</f>
        <v>23.67</v>
      </c>
      <c r="Y2294" t="str">
        <f>"1276.54"</f>
        <v>1276.54</v>
      </c>
      <c r="Z2294" t="str">
        <f t="shared" si="855"/>
        <v>25000.00</v>
      </c>
      <c r="AA2294" t="str">
        <f>"65645.00"</f>
        <v>65645.00</v>
      </c>
      <c r="AB2294" t="str">
        <f t="shared" si="858"/>
        <v>Residential</v>
      </c>
      <c r="AC2294" t="str">
        <f t="shared" si="849"/>
        <v>0</v>
      </c>
      <c r="AD2294" t="str">
        <f t="shared" si="856"/>
        <v>4</v>
      </c>
      <c r="AE2294" t="str">
        <f t="shared" si="857"/>
        <v>WOOD (INCLUDE STEEL STUDS)</v>
      </c>
      <c r="AF2294" t="str">
        <f t="shared" si="859"/>
        <v>002</v>
      </c>
      <c r="AG2294" t="str">
        <f t="shared" si="853"/>
        <v>FL</v>
      </c>
      <c r="AH2294" t="str">
        <f>"87120.00"</f>
        <v>87120.00</v>
      </c>
      <c r="AI2294" t="str">
        <f>"50000.00"</f>
        <v>50000.00</v>
      </c>
      <c r="AJ2294" t="str">
        <f>"C55-000-587-6452-3"</f>
        <v>C55-000-587-6452-3</v>
      </c>
      <c r="AK2294" t="str">
        <f>"27864"</f>
        <v>27864</v>
      </c>
      <c r="AL2294">
        <v>8</v>
      </c>
      <c r="AM2294">
        <v>2621</v>
      </c>
      <c r="AN2294">
        <v>1338.77</v>
      </c>
      <c r="AQ2294" t="s">
        <v>15417</v>
      </c>
      <c r="AR2294" t="s">
        <v>15417</v>
      </c>
      <c r="AS2294" t="s">
        <v>15417</v>
      </c>
      <c r="AU2294" t="s">
        <v>396</v>
      </c>
      <c r="AV2294">
        <v>2017</v>
      </c>
      <c r="AW2294" t="str">
        <f>"31-2N-28-0235-0005-0000 "</f>
        <v xml:space="preserve">31-2N-28-0235-0005-0000 </v>
      </c>
      <c r="AX2294">
        <v>95260</v>
      </c>
      <c r="AZ2294" t="s">
        <v>15401</v>
      </c>
      <c r="BA2294" t="s">
        <v>641</v>
      </c>
      <c r="BD2294" t="s">
        <v>11749</v>
      </c>
      <c r="BE2294" t="s">
        <v>393</v>
      </c>
      <c r="BF2294">
        <v>32034</v>
      </c>
      <c r="BG2294" t="s">
        <v>15418</v>
      </c>
      <c r="BH2294" t="s">
        <v>11751</v>
      </c>
      <c r="BI2294">
        <v>-81.536191470698199</v>
      </c>
      <c r="BJ2294">
        <v>30.573946544497701</v>
      </c>
      <c r="BK2294" t="s">
        <v>15419</v>
      </c>
      <c r="BM2294" t="s">
        <v>15418</v>
      </c>
      <c r="BN2294" t="s">
        <v>3983</v>
      </c>
      <c r="BO2294">
        <v>32034</v>
      </c>
      <c r="BP2294" t="s">
        <v>416</v>
      </c>
      <c r="BQ2294">
        <v>200</v>
      </c>
      <c r="BR2294" t="s">
        <v>405</v>
      </c>
      <c r="BS2294">
        <v>1006</v>
      </c>
      <c r="BT2294" t="s">
        <v>406</v>
      </c>
      <c r="BW2294">
        <v>87120</v>
      </c>
      <c r="BX2294" t="s">
        <v>407</v>
      </c>
      <c r="BZ2294">
        <v>4</v>
      </c>
      <c r="CA2294">
        <v>1999</v>
      </c>
      <c r="CC2294">
        <v>1</v>
      </c>
      <c r="CD2294">
        <v>2017</v>
      </c>
      <c r="CG2294">
        <v>90645</v>
      </c>
      <c r="CH2294">
        <v>2017</v>
      </c>
      <c r="CI2294">
        <v>50000</v>
      </c>
      <c r="CJ2294">
        <v>55419</v>
      </c>
      <c r="CK2294">
        <v>105419</v>
      </c>
      <c r="CL2294">
        <v>2017</v>
      </c>
      <c r="CM2294">
        <v>780.27</v>
      </c>
      <c r="CN2294" s="1">
        <v>40694</v>
      </c>
      <c r="CO2294">
        <v>109000</v>
      </c>
      <c r="CV2294">
        <v>0</v>
      </c>
      <c r="CZ2294" s="1">
        <v>40694</v>
      </c>
      <c r="DA2294">
        <v>0</v>
      </c>
      <c r="DD2294" t="s">
        <v>11749</v>
      </c>
      <c r="DF2294">
        <v>5</v>
      </c>
      <c r="DG2294">
        <v>31</v>
      </c>
      <c r="DL2294">
        <v>50303</v>
      </c>
      <c r="DM2294" t="s">
        <v>15386</v>
      </c>
      <c r="DO2294" t="s">
        <v>15420</v>
      </c>
      <c r="DP2294">
        <v>0</v>
      </c>
      <c r="DQ2294">
        <v>0</v>
      </c>
      <c r="DR2294" t="s">
        <v>411</v>
      </c>
      <c r="EP2294" t="s">
        <v>421</v>
      </c>
      <c r="EQ2294" t="s">
        <v>422</v>
      </c>
      <c r="ER2294">
        <v>2</v>
      </c>
      <c r="ES2294">
        <v>3</v>
      </c>
      <c r="ET2294">
        <v>1391.6</v>
      </c>
      <c r="EU2294">
        <v>82.08</v>
      </c>
      <c r="EV2294">
        <v>1473.68</v>
      </c>
      <c r="EW2294" s="2">
        <v>43222</v>
      </c>
      <c r="EX2294" s="1">
        <v>41787</v>
      </c>
      <c r="EY2294">
        <v>2013</v>
      </c>
      <c r="EZ2294">
        <v>695.8</v>
      </c>
      <c r="FA2294" t="s">
        <v>15421</v>
      </c>
      <c r="FB2294">
        <v>0.25</v>
      </c>
      <c r="FC2294" t="s">
        <v>424</v>
      </c>
      <c r="FD2294" t="s">
        <v>454</v>
      </c>
      <c r="FF2294">
        <v>48</v>
      </c>
      <c r="FG2294">
        <v>2407503</v>
      </c>
      <c r="FH2294" t="s">
        <v>461</v>
      </c>
      <c r="FJ2294" s="1">
        <v>41787</v>
      </c>
      <c r="FK2294">
        <v>2013</v>
      </c>
      <c r="FL2294">
        <v>695.8</v>
      </c>
      <c r="FM2294" t="s">
        <v>15421</v>
      </c>
      <c r="FN2294">
        <v>0.25</v>
      </c>
      <c r="FO2294" t="s">
        <v>424</v>
      </c>
      <c r="FP2294" t="s">
        <v>454</v>
      </c>
      <c r="FR2294">
        <v>48</v>
      </c>
      <c r="FS2294">
        <v>7336670</v>
      </c>
      <c r="FT2294" t="s">
        <v>2102</v>
      </c>
      <c r="FV2294" s="1">
        <v>41423</v>
      </c>
      <c r="FW2294">
        <v>2012</v>
      </c>
      <c r="FX2294">
        <v>760.32</v>
      </c>
      <c r="FY2294" t="s">
        <v>15422</v>
      </c>
      <c r="FZ2294">
        <v>2.75</v>
      </c>
      <c r="GA2294" t="s">
        <v>424</v>
      </c>
      <c r="GB2294" t="s">
        <v>425</v>
      </c>
      <c r="GC2294" s="1">
        <v>42065</v>
      </c>
      <c r="GD2294">
        <v>22</v>
      </c>
      <c r="GE2294">
        <v>15399</v>
      </c>
      <c r="GF2294" t="s">
        <v>485</v>
      </c>
      <c r="GH2294" s="1">
        <v>41052</v>
      </c>
      <c r="GI2294">
        <v>2011</v>
      </c>
      <c r="GJ2294">
        <v>1299.79</v>
      </c>
      <c r="GK2294" t="s">
        <v>15423</v>
      </c>
      <c r="GL2294">
        <v>5.75</v>
      </c>
      <c r="GM2294" t="s">
        <v>424</v>
      </c>
      <c r="GN2294" t="s">
        <v>425</v>
      </c>
      <c r="GO2294" s="1">
        <v>41701</v>
      </c>
      <c r="GP2294">
        <v>22</v>
      </c>
      <c r="GQ2294">
        <v>1625515</v>
      </c>
      <c r="GR2294" t="s">
        <v>487</v>
      </c>
      <c r="GT2294" s="1">
        <v>41052</v>
      </c>
      <c r="GU2294">
        <v>2011</v>
      </c>
      <c r="GV2294">
        <v>1299.79</v>
      </c>
      <c r="GW2294" t="s">
        <v>15423</v>
      </c>
      <c r="GX2294">
        <v>5.75</v>
      </c>
      <c r="GY2294" t="s">
        <v>424</v>
      </c>
      <c r="GZ2294" t="s">
        <v>425</v>
      </c>
      <c r="HB2294">
        <v>22</v>
      </c>
      <c r="HC2294">
        <v>10579</v>
      </c>
      <c r="HD2294" t="s">
        <v>488</v>
      </c>
    </row>
    <row r="2295" spans="1:248" x14ac:dyDescent="0.25">
      <c r="A2295">
        <v>16487302</v>
      </c>
      <c r="B2295">
        <v>2294</v>
      </c>
      <c r="C2295" t="s">
        <v>393</v>
      </c>
      <c r="D2295" t="s">
        <v>394</v>
      </c>
      <c r="F2295" t="str">
        <f>"42-2N-27-4613-0012-0030"</f>
        <v>42-2N-27-4613-0012-0030</v>
      </c>
      <c r="H2295" t="str">
        <f>"MABE FRANCES J"</f>
        <v>MABE FRANCES J</v>
      </c>
      <c r="I2295" t="str">
        <f>"85449 BROOKE ST"</f>
        <v>85449 BROOKE ST</v>
      </c>
      <c r="J2295" t="str">
        <f>"YULEE FL 32097"</f>
        <v>YULEE FL 32097</v>
      </c>
      <c r="K2295" t="str">
        <f>"85449 BROOKE ST"</f>
        <v>85449 BROOKE ST</v>
      </c>
      <c r="L2295" t="str">
        <f>"YULEE FL 32097"</f>
        <v>YULEE FL 32097</v>
      </c>
      <c r="M2295" t="str">
        <f>"BLOCK 12 LOT 3 IN OR 906/520 R787585 &amp; R787586 YULEE WOODS 3 PB 5/239"</f>
        <v>BLOCK 12 LOT 3 IN OR 906/520 R787585 &amp; R787586 YULEE WOODS 3 PB 5/239</v>
      </c>
      <c r="N2295" t="str">
        <f>""</f>
        <v/>
      </c>
      <c r="O2295" t="str">
        <f>"48969"</f>
        <v>48969</v>
      </c>
      <c r="P2295" t="str">
        <f>"2014"</f>
        <v>2014</v>
      </c>
      <c r="Q2295" t="str">
        <f>""</f>
        <v/>
      </c>
      <c r="R2295" t="str">
        <f t="shared" si="854"/>
        <v>Y</v>
      </c>
      <c r="S2295" t="str">
        <f>""</f>
        <v/>
      </c>
      <c r="T2295" t="str">
        <f>"600.69"</f>
        <v>600.69</v>
      </c>
      <c r="U2295" t="str">
        <f>"78783.00"</f>
        <v>78783.00</v>
      </c>
      <c r="V2295" t="str">
        <f>"78783.00"</f>
        <v>78783.00</v>
      </c>
      <c r="W2295" t="str">
        <f t="shared" si="841"/>
        <v>2017</v>
      </c>
      <c r="X2295" t="str">
        <f>"76.50"</f>
        <v>76.50</v>
      </c>
      <c r="Y2295" t="str">
        <f>"1047.70"</f>
        <v>1047.70</v>
      </c>
      <c r="Z2295" t="str">
        <f t="shared" si="855"/>
        <v>25000.00</v>
      </c>
      <c r="AA2295" t="str">
        <f>"53783.00"</f>
        <v>53783.00</v>
      </c>
      <c r="AB2295" t="str">
        <f t="shared" si="858"/>
        <v>Residential</v>
      </c>
      <c r="AC2295" t="str">
        <f t="shared" si="849"/>
        <v>0</v>
      </c>
      <c r="AD2295" t="str">
        <f t="shared" si="856"/>
        <v>4</v>
      </c>
      <c r="AE2295" t="str">
        <f t="shared" si="857"/>
        <v>WOOD (INCLUDE STEEL STUDS)</v>
      </c>
      <c r="AF2295" t="str">
        <f t="shared" si="859"/>
        <v>002</v>
      </c>
      <c r="AG2295" t="str">
        <f t="shared" si="853"/>
        <v>FL</v>
      </c>
      <c r="AH2295" t="str">
        <f>"-"</f>
        <v>-</v>
      </c>
      <c r="AI2295" t="str">
        <f>"28000.00"</f>
        <v>28000.00</v>
      </c>
      <c r="AJ2295" t="str">
        <f>"C55-000-588-2529-0"</f>
        <v>C55-000-588-2529-0</v>
      </c>
      <c r="AK2295" t="str">
        <f>"22623"</f>
        <v>22623</v>
      </c>
      <c r="AL2295">
        <v>8</v>
      </c>
      <c r="AM2295">
        <v>2622</v>
      </c>
      <c r="AN2295">
        <v>1098.49</v>
      </c>
      <c r="AQ2295" t="s">
        <v>13504</v>
      </c>
      <c r="AR2295" t="s">
        <v>13504</v>
      </c>
      <c r="AS2295" t="s">
        <v>13504</v>
      </c>
      <c r="AU2295" t="s">
        <v>396</v>
      </c>
      <c r="AV2295">
        <v>2017</v>
      </c>
      <c r="AW2295" t="str">
        <f>"42-2N-27-4613-0012-0030 "</f>
        <v xml:space="preserve">42-2N-27-4613-0012-0030 </v>
      </c>
      <c r="AX2295">
        <v>85449</v>
      </c>
      <c r="AZ2295" t="s">
        <v>13505</v>
      </c>
      <c r="BA2295" t="s">
        <v>1942</v>
      </c>
      <c r="BD2295" t="s">
        <v>2387</v>
      </c>
      <c r="BE2295" t="s">
        <v>393</v>
      </c>
      <c r="BF2295">
        <v>32097</v>
      </c>
      <c r="BG2295" t="s">
        <v>13506</v>
      </c>
      <c r="BH2295" t="s">
        <v>2388</v>
      </c>
      <c r="BI2295">
        <v>-81.589483804101903</v>
      </c>
      <c r="BJ2295">
        <v>30.602222641028</v>
      </c>
      <c r="BK2295" t="s">
        <v>13507</v>
      </c>
      <c r="BL2295" t="s">
        <v>13508</v>
      </c>
      <c r="BM2295" t="s">
        <v>13506</v>
      </c>
      <c r="BN2295" t="s">
        <v>1778</v>
      </c>
      <c r="BO2295">
        <v>32097</v>
      </c>
      <c r="BP2295" t="s">
        <v>416</v>
      </c>
      <c r="BQ2295">
        <v>200</v>
      </c>
      <c r="BR2295" t="s">
        <v>405</v>
      </c>
      <c r="BS2295">
        <v>1006</v>
      </c>
      <c r="BT2295" t="s">
        <v>406</v>
      </c>
      <c r="BW2295">
        <v>43650</v>
      </c>
      <c r="BX2295" t="s">
        <v>407</v>
      </c>
      <c r="BY2295" t="s">
        <v>408</v>
      </c>
      <c r="BZ2295">
        <v>4</v>
      </c>
      <c r="CA2295">
        <v>1999</v>
      </c>
      <c r="CB2295">
        <v>1</v>
      </c>
      <c r="CC2295">
        <v>1</v>
      </c>
      <c r="CD2295">
        <v>2017</v>
      </c>
      <c r="CG2295">
        <v>78783</v>
      </c>
      <c r="CH2295">
        <v>2017</v>
      </c>
      <c r="CI2295">
        <v>28000</v>
      </c>
      <c r="CJ2295">
        <v>73245</v>
      </c>
      <c r="CK2295">
        <v>101245</v>
      </c>
      <c r="CL2295">
        <v>2017</v>
      </c>
      <c r="CM2295">
        <v>600.69000000000005</v>
      </c>
      <c r="CN2295" s="1">
        <v>36466</v>
      </c>
      <c r="CO2295">
        <v>35000</v>
      </c>
      <c r="CZ2295" s="1">
        <v>36466</v>
      </c>
      <c r="DD2295" t="s">
        <v>2387</v>
      </c>
      <c r="DF2295">
        <v>3</v>
      </c>
      <c r="DG2295">
        <v>42</v>
      </c>
      <c r="DL2295">
        <v>50302</v>
      </c>
      <c r="DM2295" t="s">
        <v>12468</v>
      </c>
      <c r="DO2295" t="s">
        <v>13509</v>
      </c>
      <c r="DP2295">
        <v>0</v>
      </c>
      <c r="DQ2295">
        <v>0</v>
      </c>
      <c r="DR2295" t="s">
        <v>411</v>
      </c>
    </row>
    <row r="2296" spans="1:248" x14ac:dyDescent="0.25">
      <c r="A2296">
        <v>16487303</v>
      </c>
      <c r="B2296">
        <v>2295</v>
      </c>
      <c r="C2296" t="s">
        <v>393</v>
      </c>
      <c r="D2296" t="s">
        <v>394</v>
      </c>
      <c r="F2296" t="str">
        <f>"31-2N-28-0235-0005-0000"</f>
        <v>31-2N-28-0235-0005-0000</v>
      </c>
      <c r="H2296" t="str">
        <f>"HAYS ANN M"</f>
        <v>HAYS ANN M</v>
      </c>
      <c r="I2296" t="str">
        <f>"95260 BARBARAS PL"</f>
        <v>95260 BARBARAS PL</v>
      </c>
      <c r="J2296" t="str">
        <f>"FERNANDINA BEACH FL 32034"</f>
        <v>FERNANDINA BEACH FL 32034</v>
      </c>
      <c r="K2296" t="str">
        <f>"95260 BARBARAS PL"</f>
        <v>95260 BARBARAS PL</v>
      </c>
      <c r="L2296" t="str">
        <f>"FERNANDINA BEACH FL 32034"</f>
        <v>FERNANDINA BEACH FL 32034</v>
      </c>
      <c r="M2296" t="str">
        <f>"LOT 5 &amp; PT GOVT LOT 2 OF SEC 35-2N-28E IN OR 1740/1277 CEDAR RIDGE 1 PBK 6/95 {1999 FTWD DW/MH}"</f>
        <v>LOT 5 &amp; PT GOVT LOT 2 OF SEC 35-2N-28E IN OR 1740/1277 CEDAR RIDGE 1 PBK 6/95 {1999 FTWD DW/MH}</v>
      </c>
      <c r="N2296" t="str">
        <f>""</f>
        <v/>
      </c>
      <c r="O2296" t="str">
        <f>"39781"</f>
        <v>39781</v>
      </c>
      <c r="P2296" t="str">
        <f>"2014"</f>
        <v>2014</v>
      </c>
      <c r="Q2296" t="str">
        <f>""</f>
        <v/>
      </c>
      <c r="R2296" t="str">
        <f t="shared" si="854"/>
        <v>Y</v>
      </c>
      <c r="S2296" t="str">
        <f>"2.00"</f>
        <v>2.00</v>
      </c>
      <c r="T2296" t="str">
        <f>"780.27"</f>
        <v>780.27</v>
      </c>
      <c r="U2296" t="str">
        <f>"90645.00"</f>
        <v>90645.00</v>
      </c>
      <c r="V2296" t="str">
        <f>"90645.00"</f>
        <v>90645.00</v>
      </c>
      <c r="W2296" t="str">
        <f t="shared" si="841"/>
        <v>2017</v>
      </c>
      <c r="X2296" t="str">
        <f>"23.67"</f>
        <v>23.67</v>
      </c>
      <c r="Y2296" t="str">
        <f>"929.68"</f>
        <v>929.68</v>
      </c>
      <c r="Z2296" t="str">
        <f t="shared" si="855"/>
        <v>25000.00</v>
      </c>
      <c r="AA2296" t="str">
        <f>"65645.00"</f>
        <v>65645.00</v>
      </c>
      <c r="AB2296" t="str">
        <f t="shared" si="858"/>
        <v>Residential</v>
      </c>
      <c r="AC2296" t="str">
        <f t="shared" si="849"/>
        <v>0</v>
      </c>
      <c r="AD2296" t="str">
        <f t="shared" si="856"/>
        <v>4</v>
      </c>
      <c r="AE2296" t="str">
        <f t="shared" si="857"/>
        <v>WOOD (INCLUDE STEEL STUDS)</v>
      </c>
      <c r="AF2296" t="str">
        <f t="shared" si="859"/>
        <v>002</v>
      </c>
      <c r="AG2296" t="str">
        <f t="shared" si="853"/>
        <v>FL</v>
      </c>
      <c r="AH2296" t="str">
        <f>"87120.00"</f>
        <v>87120.00</v>
      </c>
      <c r="AI2296" t="str">
        <f>"50000.00"</f>
        <v>50000.00</v>
      </c>
      <c r="AJ2296" t="str">
        <f>"C55-000-587-6452-3"</f>
        <v>C55-000-587-6452-3</v>
      </c>
      <c r="AK2296" t="str">
        <f>"27864"</f>
        <v>27864</v>
      </c>
      <c r="AL2296">
        <v>8</v>
      </c>
      <c r="AM2296">
        <v>2623</v>
      </c>
      <c r="AN2296">
        <v>974.56</v>
      </c>
      <c r="AQ2296" t="s">
        <v>15417</v>
      </c>
      <c r="AR2296" t="s">
        <v>15417</v>
      </c>
      <c r="AS2296" t="s">
        <v>15417</v>
      </c>
      <c r="AU2296" t="s">
        <v>396</v>
      </c>
      <c r="AV2296">
        <v>2017</v>
      </c>
      <c r="AW2296" t="str">
        <f>"31-2N-28-0235-0005-0000 "</f>
        <v xml:space="preserve">31-2N-28-0235-0005-0000 </v>
      </c>
      <c r="AX2296">
        <v>95260</v>
      </c>
      <c r="AZ2296" t="s">
        <v>15401</v>
      </c>
      <c r="BA2296" t="s">
        <v>641</v>
      </c>
      <c r="BD2296" t="s">
        <v>11749</v>
      </c>
      <c r="BE2296" t="s">
        <v>393</v>
      </c>
      <c r="BF2296">
        <v>32034</v>
      </c>
      <c r="BG2296" t="s">
        <v>15418</v>
      </c>
      <c r="BH2296" t="s">
        <v>11751</v>
      </c>
      <c r="BI2296">
        <v>-81.536191470698199</v>
      </c>
      <c r="BJ2296">
        <v>30.573946544497701</v>
      </c>
      <c r="BK2296" t="s">
        <v>15419</v>
      </c>
      <c r="BM2296" t="s">
        <v>15418</v>
      </c>
      <c r="BN2296" t="s">
        <v>3983</v>
      </c>
      <c r="BO2296">
        <v>32034</v>
      </c>
      <c r="BP2296" t="s">
        <v>416</v>
      </c>
      <c r="BQ2296">
        <v>200</v>
      </c>
      <c r="BR2296" t="s">
        <v>405</v>
      </c>
      <c r="BS2296">
        <v>1006</v>
      </c>
      <c r="BT2296" t="s">
        <v>406</v>
      </c>
      <c r="BW2296">
        <v>87120</v>
      </c>
      <c r="BX2296" t="s">
        <v>407</v>
      </c>
      <c r="BZ2296">
        <v>4</v>
      </c>
      <c r="CA2296">
        <v>1999</v>
      </c>
      <c r="CC2296">
        <v>1</v>
      </c>
      <c r="CD2296">
        <v>2017</v>
      </c>
      <c r="CG2296">
        <v>90645</v>
      </c>
      <c r="CH2296">
        <v>2017</v>
      </c>
      <c r="CI2296">
        <v>50000</v>
      </c>
      <c r="CJ2296">
        <v>55419</v>
      </c>
      <c r="CK2296">
        <v>105419</v>
      </c>
      <c r="CL2296">
        <v>2017</v>
      </c>
      <c r="CM2296">
        <v>780.27</v>
      </c>
      <c r="CN2296" s="1">
        <v>40694</v>
      </c>
      <c r="CO2296">
        <v>109000</v>
      </c>
      <c r="CV2296">
        <v>0</v>
      </c>
      <c r="CZ2296" s="1">
        <v>40694</v>
      </c>
      <c r="DA2296">
        <v>0</v>
      </c>
      <c r="DD2296" t="s">
        <v>11749</v>
      </c>
      <c r="DF2296">
        <v>5</v>
      </c>
      <c r="DG2296">
        <v>31</v>
      </c>
      <c r="DL2296">
        <v>50303</v>
      </c>
      <c r="DM2296" t="s">
        <v>15386</v>
      </c>
      <c r="DO2296" t="s">
        <v>15420</v>
      </c>
      <c r="DP2296">
        <v>0</v>
      </c>
      <c r="DQ2296">
        <v>0</v>
      </c>
      <c r="DR2296" t="s">
        <v>411</v>
      </c>
      <c r="EP2296" t="s">
        <v>421</v>
      </c>
      <c r="EQ2296" t="s">
        <v>422</v>
      </c>
      <c r="ER2296">
        <v>2</v>
      </c>
      <c r="ES2296">
        <v>3</v>
      </c>
      <c r="ET2296">
        <v>1391.6</v>
      </c>
      <c r="EU2296">
        <v>82.08</v>
      </c>
      <c r="EV2296">
        <v>1473.68</v>
      </c>
      <c r="EW2296" s="2">
        <v>43222</v>
      </c>
      <c r="EX2296" s="1">
        <v>41787</v>
      </c>
      <c r="EY2296">
        <v>2013</v>
      </c>
      <c r="EZ2296">
        <v>695.8</v>
      </c>
      <c r="FA2296" t="s">
        <v>15421</v>
      </c>
      <c r="FB2296">
        <v>0.25</v>
      </c>
      <c r="FC2296" t="s">
        <v>424</v>
      </c>
      <c r="FD2296" t="s">
        <v>454</v>
      </c>
      <c r="FF2296">
        <v>48</v>
      </c>
      <c r="FG2296">
        <v>2407503</v>
      </c>
      <c r="FH2296" t="s">
        <v>461</v>
      </c>
      <c r="FJ2296" s="1">
        <v>41787</v>
      </c>
      <c r="FK2296">
        <v>2013</v>
      </c>
      <c r="FL2296">
        <v>695.8</v>
      </c>
      <c r="FM2296" t="s">
        <v>15421</v>
      </c>
      <c r="FN2296">
        <v>0.25</v>
      </c>
      <c r="FO2296" t="s">
        <v>424</v>
      </c>
      <c r="FP2296" t="s">
        <v>454</v>
      </c>
      <c r="FR2296">
        <v>48</v>
      </c>
      <c r="FS2296">
        <v>7336670</v>
      </c>
      <c r="FT2296" t="s">
        <v>2102</v>
      </c>
      <c r="FV2296" s="1">
        <v>41423</v>
      </c>
      <c r="FW2296">
        <v>2012</v>
      </c>
      <c r="FX2296">
        <v>760.32</v>
      </c>
      <c r="FY2296" t="s">
        <v>15422</v>
      </c>
      <c r="FZ2296">
        <v>2.75</v>
      </c>
      <c r="GA2296" t="s">
        <v>424</v>
      </c>
      <c r="GB2296" t="s">
        <v>425</v>
      </c>
      <c r="GC2296" s="1">
        <v>42065</v>
      </c>
      <c r="GD2296">
        <v>22</v>
      </c>
      <c r="GE2296">
        <v>15399</v>
      </c>
      <c r="GF2296" t="s">
        <v>485</v>
      </c>
      <c r="GH2296" s="1">
        <v>41052</v>
      </c>
      <c r="GI2296">
        <v>2011</v>
      </c>
      <c r="GJ2296">
        <v>1299.79</v>
      </c>
      <c r="GK2296" t="s">
        <v>15423</v>
      </c>
      <c r="GL2296">
        <v>5.75</v>
      </c>
      <c r="GM2296" t="s">
        <v>424</v>
      </c>
      <c r="GN2296" t="s">
        <v>425</v>
      </c>
      <c r="GO2296" s="1">
        <v>41701</v>
      </c>
      <c r="GP2296">
        <v>22</v>
      </c>
      <c r="GQ2296">
        <v>1625515</v>
      </c>
      <c r="GR2296" t="s">
        <v>487</v>
      </c>
      <c r="GT2296" s="1">
        <v>41052</v>
      </c>
      <c r="GU2296">
        <v>2011</v>
      </c>
      <c r="GV2296">
        <v>1299.79</v>
      </c>
      <c r="GW2296" t="s">
        <v>15423</v>
      </c>
      <c r="GX2296">
        <v>5.75</v>
      </c>
      <c r="GY2296" t="s">
        <v>424</v>
      </c>
      <c r="GZ2296" t="s">
        <v>425</v>
      </c>
      <c r="HB2296">
        <v>22</v>
      </c>
      <c r="HC2296">
        <v>10579</v>
      </c>
      <c r="HD2296" t="s">
        <v>488</v>
      </c>
    </row>
    <row r="2297" spans="1:248" x14ac:dyDescent="0.25">
      <c r="A2297">
        <v>16487304</v>
      </c>
      <c r="B2297">
        <v>2296</v>
      </c>
      <c r="C2297" t="s">
        <v>393</v>
      </c>
      <c r="D2297" t="s">
        <v>394</v>
      </c>
      <c r="F2297" t="str">
        <f>"35-2N-28-0000-0001-1130"</f>
        <v>35-2N-28-0000-0001-1130</v>
      </c>
      <c r="H2297" t="str">
        <f>""</f>
        <v/>
      </c>
      <c r="I2297" t="str">
        <f>""</f>
        <v/>
      </c>
      <c r="J2297" t="str">
        <f>""</f>
        <v/>
      </c>
      <c r="K2297" t="str">
        <f>""</f>
        <v/>
      </c>
      <c r="L2297" t="str">
        <f>""</f>
        <v/>
      </c>
      <c r="M2297" t="str">
        <f>"PT OR 1740/1277"</f>
        <v>PT OR 1740/1277</v>
      </c>
      <c r="N2297" t="str">
        <f>""</f>
        <v/>
      </c>
      <c r="O2297" t="str">
        <f>"41163"</f>
        <v>41163</v>
      </c>
      <c r="P2297" t="str">
        <f>"2014"</f>
        <v>2014</v>
      </c>
      <c r="Q2297" t="str">
        <f>""</f>
        <v/>
      </c>
      <c r="R2297" t="str">
        <f>""</f>
        <v/>
      </c>
      <c r="S2297" t="str">
        <f>"1.00"</f>
        <v>1.00</v>
      </c>
      <c r="T2297" t="str">
        <f>"395.09"</f>
        <v>395.09</v>
      </c>
      <c r="U2297" t="str">
        <f>"25000.00"</f>
        <v>25000.00</v>
      </c>
      <c r="V2297" t="str">
        <f>""</f>
        <v/>
      </c>
      <c r="W2297" t="str">
        <f>"2014"</f>
        <v>2014</v>
      </c>
      <c r="X2297" t="str">
        <f>"22.00"</f>
        <v>22.00</v>
      </c>
      <c r="Y2297" t="str">
        <f>"652.29"</f>
        <v>652.29</v>
      </c>
      <c r="Z2297" t="str">
        <f>""</f>
        <v/>
      </c>
      <c r="AA2297" t="str">
        <f>"25000.00"</f>
        <v>25000.00</v>
      </c>
      <c r="AB2297" t="str">
        <f>""</f>
        <v/>
      </c>
      <c r="AC2297" t="str">
        <f t="shared" si="849"/>
        <v>0</v>
      </c>
      <c r="AD2297" t="str">
        <f>""</f>
        <v/>
      </c>
      <c r="AE2297" t="str">
        <f>""</f>
        <v/>
      </c>
      <c r="AF2297" t="str">
        <f>""</f>
        <v/>
      </c>
      <c r="AG2297" t="str">
        <f>""</f>
        <v/>
      </c>
      <c r="AH2297" t="str">
        <f>""</f>
        <v/>
      </c>
      <c r="AI2297" t="str">
        <f>""</f>
        <v/>
      </c>
      <c r="AJ2297" t="str">
        <f>""</f>
        <v/>
      </c>
      <c r="AK2297" t="str">
        <f>""</f>
        <v/>
      </c>
      <c r="AL2297">
        <v>8</v>
      </c>
      <c r="AM2297">
        <v>2624</v>
      </c>
      <c r="AN2297">
        <v>683.3</v>
      </c>
      <c r="AQ2297" t="s">
        <v>22037</v>
      </c>
      <c r="AR2297" t="s">
        <v>22037</v>
      </c>
      <c r="AS2297" t="s">
        <v>22037</v>
      </c>
      <c r="AT2297" t="s">
        <v>5763</v>
      </c>
      <c r="AU2297" t="s">
        <v>404</v>
      </c>
      <c r="AW2297" t="str">
        <f>"35-2N-28-0000-0001-1130 "</f>
        <v xml:space="preserve">35-2N-28-0000-0001-1130 </v>
      </c>
      <c r="BE2297" t="s">
        <v>393</v>
      </c>
      <c r="BX2297" t="s">
        <v>407</v>
      </c>
      <c r="EP2297" t="s">
        <v>421</v>
      </c>
      <c r="EQ2297" t="s">
        <v>422</v>
      </c>
      <c r="ER2297">
        <v>0</v>
      </c>
      <c r="ES2297">
        <v>1</v>
      </c>
      <c r="ET2297">
        <v>0</v>
      </c>
      <c r="EU2297">
        <v>0</v>
      </c>
      <c r="EV2297">
        <v>0</v>
      </c>
      <c r="EW2297" s="2">
        <v>43222</v>
      </c>
      <c r="EX2297" s="1">
        <v>41423</v>
      </c>
      <c r="EY2297">
        <v>2012</v>
      </c>
      <c r="EZ2297">
        <v>431.5</v>
      </c>
      <c r="FA2297" t="s">
        <v>22038</v>
      </c>
      <c r="FB2297">
        <v>2.75</v>
      </c>
      <c r="FC2297" t="s">
        <v>424</v>
      </c>
      <c r="FD2297" t="s">
        <v>425</v>
      </c>
      <c r="FE2297" s="1">
        <v>42065</v>
      </c>
      <c r="FF2297">
        <v>22</v>
      </c>
      <c r="FG2297">
        <v>1625515</v>
      </c>
      <c r="FH2297" t="s">
        <v>487</v>
      </c>
    </row>
    <row r="2298" spans="1:248" x14ac:dyDescent="0.25">
      <c r="A2298">
        <v>16487305</v>
      </c>
      <c r="B2298">
        <v>2297</v>
      </c>
      <c r="C2298" t="s">
        <v>393</v>
      </c>
      <c r="D2298" t="s">
        <v>394</v>
      </c>
      <c r="F2298" t="str">
        <f>"35-2N-28-0000-0001-1130"</f>
        <v>35-2N-28-0000-0001-1130</v>
      </c>
      <c r="H2298" t="str">
        <f>""</f>
        <v/>
      </c>
      <c r="I2298" t="str">
        <f>""</f>
        <v/>
      </c>
      <c r="J2298" t="str">
        <f>""</f>
        <v/>
      </c>
      <c r="K2298" t="str">
        <f>""</f>
        <v/>
      </c>
      <c r="L2298" t="str">
        <f>""</f>
        <v/>
      </c>
      <c r="M2298" t="str">
        <f>"PT OR 1740/1277"</f>
        <v>PT OR 1740/1277</v>
      </c>
      <c r="N2298" t="str">
        <f>""</f>
        <v/>
      </c>
      <c r="O2298" t="str">
        <f>"41163"</f>
        <v>41163</v>
      </c>
      <c r="P2298" t="str">
        <f>"2013"</f>
        <v>2013</v>
      </c>
      <c r="Q2298" t="str">
        <f>""</f>
        <v/>
      </c>
      <c r="R2298" t="str">
        <f>""</f>
        <v/>
      </c>
      <c r="S2298" t="str">
        <f>"1.00"</f>
        <v>1.00</v>
      </c>
      <c r="T2298" t="str">
        <f>"395.09"</f>
        <v>395.09</v>
      </c>
      <c r="U2298" t="str">
        <f>"25000.00"</f>
        <v>25000.00</v>
      </c>
      <c r="V2298" t="str">
        <f>""</f>
        <v/>
      </c>
      <c r="W2298" t="str">
        <f>"2014"</f>
        <v>2014</v>
      </c>
      <c r="X2298" t="str">
        <f>"22.00"</f>
        <v>22.00</v>
      </c>
      <c r="Y2298" t="str">
        <f>"708.45"</f>
        <v>708.45</v>
      </c>
      <c r="Z2298" t="str">
        <f>""</f>
        <v/>
      </c>
      <c r="AA2298" t="str">
        <f>"25000.00"</f>
        <v>25000.00</v>
      </c>
      <c r="AB2298" t="str">
        <f>""</f>
        <v/>
      </c>
      <c r="AC2298" t="str">
        <f t="shared" si="849"/>
        <v>0</v>
      </c>
      <c r="AD2298" t="str">
        <f>""</f>
        <v/>
      </c>
      <c r="AE2298" t="str">
        <f>""</f>
        <v/>
      </c>
      <c r="AF2298" t="str">
        <f>""</f>
        <v/>
      </c>
      <c r="AG2298" t="str">
        <f>""</f>
        <v/>
      </c>
      <c r="AH2298" t="str">
        <f>""</f>
        <v/>
      </c>
      <c r="AI2298" t="str">
        <f>""</f>
        <v/>
      </c>
      <c r="AJ2298" t="str">
        <f>""</f>
        <v/>
      </c>
      <c r="AK2298" t="str">
        <f>""</f>
        <v/>
      </c>
      <c r="AL2298">
        <v>8</v>
      </c>
      <c r="AM2298">
        <v>2625</v>
      </c>
      <c r="AN2298">
        <v>741.17</v>
      </c>
      <c r="AQ2298" t="s">
        <v>22037</v>
      </c>
      <c r="AR2298" t="s">
        <v>22037</v>
      </c>
      <c r="AS2298" t="s">
        <v>22037</v>
      </c>
      <c r="AT2298" t="s">
        <v>5763</v>
      </c>
      <c r="AU2298" t="s">
        <v>404</v>
      </c>
      <c r="AW2298" t="str">
        <f>"35-2N-28-0000-0001-1130 "</f>
        <v xml:space="preserve">35-2N-28-0000-0001-1130 </v>
      </c>
      <c r="BE2298" t="s">
        <v>393</v>
      </c>
      <c r="BX2298" t="s">
        <v>407</v>
      </c>
      <c r="EP2298" t="s">
        <v>421</v>
      </c>
      <c r="EQ2298" t="s">
        <v>422</v>
      </c>
      <c r="ER2298">
        <v>0</v>
      </c>
      <c r="ES2298">
        <v>1</v>
      </c>
      <c r="ET2298">
        <v>0</v>
      </c>
      <c r="EU2298">
        <v>0</v>
      </c>
      <c r="EV2298">
        <v>0</v>
      </c>
      <c r="EW2298" s="2">
        <v>43222</v>
      </c>
      <c r="EX2298" s="1">
        <v>41423</v>
      </c>
      <c r="EY2298">
        <v>2012</v>
      </c>
      <c r="EZ2298">
        <v>431.5</v>
      </c>
      <c r="FA2298" t="s">
        <v>22038</v>
      </c>
      <c r="FB2298">
        <v>2.75</v>
      </c>
      <c r="FC2298" t="s">
        <v>424</v>
      </c>
      <c r="FD2298" t="s">
        <v>425</v>
      </c>
      <c r="FE2298" s="1">
        <v>42065</v>
      </c>
      <c r="FF2298">
        <v>22</v>
      </c>
      <c r="FG2298">
        <v>1625515</v>
      </c>
      <c r="FH2298" t="s">
        <v>487</v>
      </c>
    </row>
  </sheetData>
  <autoFilter ref="A1:OC229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BackTax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Stack</dc:creator>
  <cp:lastModifiedBy>Robert Hughes</cp:lastModifiedBy>
  <dcterms:created xsi:type="dcterms:W3CDTF">2018-05-02T20:15:39Z</dcterms:created>
  <dcterms:modified xsi:type="dcterms:W3CDTF">2018-05-06T21:35:38Z</dcterms:modified>
</cp:coreProperties>
</file>